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66925"/>
  <xr:revisionPtr revIDLastSave="0" documentId="13_ncr:1_{F243527E-79A0-4154-9A53-650134B0C914}" xr6:coauthVersionLast="47" xr6:coauthVersionMax="47" xr10:uidLastSave="{00000000-0000-0000-0000-000000000000}"/>
  <bookViews>
    <workbookView xWindow="57480" yWindow="-120" windowWidth="29040" windowHeight="15720" tabRatio="869" firstSheet="1" activeTab="1" xr2:uid="{00000000-000D-0000-FFFF-FFFF00000000}"/>
  </bookViews>
  <sheets>
    <sheet name="__snloffice" sheetId="130" state="veryHidden" r:id="rId1"/>
    <sheet name="1.1 Recommended Cap Structure" sheetId="34" r:id="rId2"/>
    <sheet name="1.2 Summary of CE Models" sheetId="35" r:id="rId3"/>
    <sheet name="1.3 DCF Summary" sheetId="24" r:id="rId4"/>
    <sheet name="1.11 Risk Premium Summary" sheetId="27" r:id="rId5"/>
    <sheet name="1.12 Moody's Bond Yields" sheetId="28" r:id="rId6"/>
    <sheet name="1.13 Bond Ratings" sheetId="29" r:id="rId7"/>
    <sheet name="1.14 MOODY_S&amp;P numbericl_assign" sheetId="30" r:id="rId8"/>
    <sheet name="1.15 ERP Determination" sheetId="31" r:id="rId9"/>
    <sheet name="1.16 Beta Adjusted ERP" sheetId="32" r:id="rId10"/>
    <sheet name="1.19 S&amp;P RPM Study Returns" sheetId="33" r:id="rId11"/>
    <sheet name="1.20 Past Rate Cases Gas" sheetId="107" r:id="rId12"/>
    <sheet name="1.21 CAPM" sheetId="26" r:id="rId13"/>
    <sheet name="1.22 CAPM Notes" sheetId="25" r:id="rId14"/>
    <sheet name="1.23 CEM Notes Gas" sheetId="68" r:id="rId15"/>
    <sheet name="1.24 Comp Earnings Criteria Gas" sheetId="69" r:id="rId16"/>
    <sheet name="1.25 Proxy Group Equivalent Gas" sheetId="70" r:id="rId17"/>
    <sheet name="1.26 CEM Summary" sheetId="62" r:id="rId18"/>
    <sheet name="1.27 CEM DCF" sheetId="63" r:id="rId19"/>
    <sheet name="1.28 CEM RPM Summary" sheetId="64" r:id="rId20"/>
    <sheet name="1.29 CEM RPM Bond Ratings" sheetId="65" r:id="rId21"/>
    <sheet name="1.30 CEM Beta Adjusted RP" sheetId="66" r:id="rId22"/>
    <sheet name="1.31 CEM CAPM Backup" sheetId="67" r:id="rId23"/>
    <sheet name="1.32 CEM CAPM Backup" sheetId="132" r:id="rId24"/>
    <sheet name="1.33 Risk Adjustment" sheetId="119" r:id="rId25"/>
    <sheet name="1.34 Market Cap" sheetId="120" r:id="rId26"/>
    <sheet name="1.35 Equity Contributions" sheetId="139" r:id="rId27"/>
    <sheet name="2.1-2.2 Cap Str" sheetId="141" r:id="rId28"/>
    <sheet name="2.3 VL Cap Str" sheetId="142" r:id="rId29"/>
    <sheet name="2.4-2.6 Auth. NG CEs" sheetId="143" r:id="rId30"/>
    <sheet name="3.1 Past Rate Cases Regression" sheetId="144" r:id="rId31"/>
    <sheet name="4.1 Proxy Ann. Vol" sheetId="165" r:id="rId32"/>
    <sheet name="5.1 Growth Rate Regression" sheetId="150" r:id="rId33"/>
    <sheet name="6.1 RAB-3 pg 2 Corr" sheetId="151" r:id="rId34"/>
    <sheet name="7.1 Baudino Corrected CAPM" sheetId="153" r:id="rId35"/>
    <sheet name="8.1 Forecast Bias" sheetId="155" r:id="rId36"/>
    <sheet name="9.1 ERP Freq Dis" sheetId="160" r:id="rId37"/>
    <sheet name="10.1 MKT Rtns Freq" sheetId="166" r:id="rId38"/>
    <sheet name="10.2 MRP Rtns Freq" sheetId="161" r:id="rId39"/>
    <sheet name="11.1 GDP_MKT Returns" sheetId="162" r:id="rId40"/>
    <sheet name="Chart 1" sheetId="147" r:id="rId41"/>
    <sheet name="Table 6 - Safety Ranking CEM" sheetId="163" r:id="rId42"/>
    <sheet name="WP Chart 1" sheetId="148" r:id="rId43"/>
    <sheet name="WP 3.1 Rate Case Regress." sheetId="145" r:id="rId44"/>
    <sheet name="WP 6.1 RAB-2 Corr Divs" sheetId="152" r:id="rId45"/>
    <sheet name="WP 7.1 RAB-4 Corr" sheetId="154" r:id="rId46"/>
    <sheet name="WP 30-Yr Treasury Data" sheetId="146" r:id="rId47"/>
    <sheet name="WP Kroll" sheetId="156" r:id="rId48"/>
    <sheet name="WP MRP Comparison" sheetId="157" r:id="rId49"/>
    <sheet name="WP Ibbotson Chen" sheetId="158" r:id="rId50"/>
    <sheet name="WP Damadoran Survey" sheetId="159" r:id="rId51"/>
    <sheet name="WP Historical GDP" sheetId="164" r:id="rId52"/>
    <sheet name="Input" sheetId="1" r:id="rId53"/>
    <sheet name="Proxy Data Lookup" sheetId="5" r:id="rId54"/>
    <sheet name="Proxy Prices" sheetId="8" r:id="rId55"/>
    <sheet name="CEM Data Lookup" sheetId="55" r:id="rId56"/>
    <sheet name="CEM PricesDivs" sheetId="57" r:id="rId57"/>
    <sheet name="MRP WP1" sheetId="9" r:id="rId58"/>
    <sheet name="MRP WP2 Combined" sheetId="10" r:id="rId59"/>
    <sheet name="ERP WP1 Combined" sheetId="14" r:id="rId60"/>
    <sheet name="MRP ERP WP" sheetId="18" r:id="rId61"/>
    <sheet name="PRPM WP1" sheetId="58" r:id="rId62"/>
    <sheet name="PRPM WP2" sheetId="167" r:id="rId63"/>
    <sheet name="PRPM WP3" sheetId="168" r:id="rId64"/>
    <sheet name="PRPM WP4" sheetId="169" r:id="rId65"/>
    <sheet name="PRPM WP5" sheetId="170" r:id="rId66"/>
    <sheet name="3. ATO" sheetId="121" r:id="rId67"/>
    <sheet name="3. NJR" sheetId="122" r:id="rId68"/>
    <sheet name="3. NI" sheetId="123" r:id="rId69"/>
    <sheet name="3. NWN" sheetId="124" r:id="rId70"/>
    <sheet name="3. OGS" sheetId="125" r:id="rId71"/>
    <sheet name="3. SWX" sheetId="129" r:id="rId72"/>
    <sheet name="3. SR" sheetId="126" r:id="rId7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'1.11 Risk Premium Summary'!$A$1:$J$34</definedName>
    <definedName name="_xlnm.Print_Area" localSheetId="5">'1.12 Moody''s Bond Yields'!$A$1:$N$34</definedName>
    <definedName name="_xlnm.Print_Area" localSheetId="6">'1.13 Bond Ratings'!$B$1:$K$26</definedName>
    <definedName name="_xlnm.Print_Area" localSheetId="7">'1.14 MOODY_S&amp;P numbericl_assign'!$B$1:$F$26</definedName>
    <definedName name="_xlnm.Print_Area" localSheetId="8">'1.15 ERP Determination'!$A$1:$H$29</definedName>
    <definedName name="_xlnm.Print_Area" localSheetId="9">'1.16 Beta Adjusted ERP'!$A$1:$H$39</definedName>
    <definedName name="_xlnm.Print_Area" localSheetId="10">'1.19 S&amp;P RPM Study Returns'!$A$1:$H$22</definedName>
    <definedName name="_xlnm.Print_Area" localSheetId="2">'1.2 Summary of CE Models'!$A$1:$G$32</definedName>
    <definedName name="_xlnm.Print_Area" localSheetId="11">'1.20 Past Rate Cases Gas'!$Z$1:$AG$28</definedName>
    <definedName name="_xlnm.Print_Area" localSheetId="12">'1.21 CAPM'!$B$1:$W$45</definedName>
    <definedName name="_xlnm.Print_Area" localSheetId="13">'1.22 CAPM Notes'!$A$1:$O$61</definedName>
    <definedName name="_xlnm.Print_Area" localSheetId="15">'1.24 Comp Earnings Criteria Gas'!$C$1:$K$29</definedName>
    <definedName name="_xlnm.Print_Area" localSheetId="16">'1.25 Proxy Group Equivalent Gas'!$C$1:$K$64</definedName>
    <definedName name="_xlnm.Print_Area" localSheetId="17">'1.26 CEM Summary'!$A$1:$G$26</definedName>
    <definedName name="_xlnm.Print_Area" localSheetId="18">'1.27 CEM DCF'!$B$1:$W$71</definedName>
    <definedName name="_xlnm.Print_Area" localSheetId="19">'1.28 CEM RPM Summary'!$A$1:$K$46</definedName>
    <definedName name="_xlnm.Print_Area" localSheetId="20">'1.29 CEM RPM Bond Ratings'!$B$1:$J$66</definedName>
    <definedName name="_xlnm.Print_Area" localSheetId="3">'1.3 DCF Summary'!$B$1:$W$36</definedName>
    <definedName name="_xlnm.Print_Area" localSheetId="21">'1.30 CEM Beta Adjusted RP'!$A$1:$H$37</definedName>
    <definedName name="_xlnm.Print_Area" localSheetId="22">'1.31 CEM CAPM Backup'!$B$1:$W$71</definedName>
    <definedName name="_xlnm.Print_Area" localSheetId="23">'1.32 CEM CAPM Backup'!$B$1:$W$71</definedName>
    <definedName name="_xlnm.Print_Area" localSheetId="24">'1.33 Risk Adjustment'!$A$1:$M$39</definedName>
    <definedName name="_xlnm.Print_Area" localSheetId="25">'1.34 Market Cap'!$B$1:$Q$37</definedName>
    <definedName name="_xlnm.Print_Area" localSheetId="26">'1.35 Equity Contributions'!$A$1:$Q$48</definedName>
    <definedName name="_xlnm.Print_Area" localSheetId="37">'10.1 MKT Rtns Freq'!$B$1:$G$29</definedName>
    <definedName name="_xlnm.Print_Area" localSheetId="38">'10.2 MRP Rtns Freq'!$B$1:$G$29</definedName>
    <definedName name="_xlnm.Print_Area" localSheetId="39">'11.1 GDP_MKT Returns'!$H$9:$N$32</definedName>
    <definedName name="_xlnm.Print_Area" localSheetId="27">'2.1-2.2 Cap Str'!$A$1:$L$142</definedName>
    <definedName name="_xlnm.Print_Area" localSheetId="28">'2.3 VL Cap Str'!$A$2:$G$20</definedName>
    <definedName name="_xlnm.Print_Area" localSheetId="29">'2.4-2.6 Auth. NG CEs'!$A$1:$F$200</definedName>
    <definedName name="_xlnm.Print_Area" localSheetId="30">'3.1 Past Rate Cases Regression'!$U$4:$AD$42</definedName>
    <definedName name="_xlnm.Print_Area" localSheetId="31">'4.1 Proxy Ann. Vol'!$AD$1:$AI$34</definedName>
    <definedName name="_xlnm.Print_Area" localSheetId="32">'5.1 Growth Rate Regression'!$A$1:$G$95</definedName>
    <definedName name="_xlnm.Print_Area" localSheetId="33">'6.1 RAB-3 pg 2 Corr'!$B$4:$I$59</definedName>
    <definedName name="_xlnm.Print_Area" localSheetId="34">'7.1 Baudino Corrected CAPM'!$A$1:$I$50</definedName>
    <definedName name="_xlnm.Print_Area" localSheetId="35">'8.1 Forecast Bias'!$B$2:$G$34</definedName>
    <definedName name="_xlnm.Print_Area" localSheetId="36">'9.1 ERP Freq Dis'!$B$1:$F$32</definedName>
    <definedName name="_xlnm.Print_Area" localSheetId="61">'PRPM WP1'!$A$1:$D$1205</definedName>
    <definedName name="_xlnm.Print_Area" localSheetId="63">'PRPM WP3'!$B$1:$I$1080</definedName>
    <definedName name="_xlnm.Print_Area" localSheetId="64">'PRPM WP4'!$B$1:$I$1080</definedName>
    <definedName name="_xlnm.Print_Area" localSheetId="65">'PRPM WP5'!$B$1:$I$1059</definedName>
    <definedName name="_xlnm.Print_Area" localSheetId="44">'WP 6.1 RAB-2 Corr Divs'!$C$4:$O$24</definedName>
    <definedName name="_xlnm.Print_Area" localSheetId="45">'WP 7.1 RAB-4 Corr'!$A$2:$I$106</definedName>
    <definedName name="_xlnm.Print_Area" localSheetId="50">'WP Damadoran Survey'!$A$1:$F$65</definedName>
    <definedName name="_xlnm.Print_Area" localSheetId="47">'WP Kroll'!$A$1:$R$16</definedName>
    <definedName name="_xlnm.Print_Area" localSheetId="48">'WP MRP Comparison'!$A$1:$G$100</definedName>
    <definedName name="Print_Area_Reset" localSheetId="37">OFFSET('10.1 MKT Rtns Freq'!Full_Print,0,0,'10.1 MKT Rtns Freq'!Last_Row)</definedName>
    <definedName name="Print_Area_Reset" localSheetId="38">OFFSET('10.2 MRP Rtns Freq'!Full_Print,0,0,'10.2 MRP Rtns Freq'!Last_Row)</definedName>
    <definedName name="Print_Area_Reset" localSheetId="39">OFFSET([0]!Full_Print,0,0,[0]!Last_Row)</definedName>
    <definedName name="Print_Area_Reset" localSheetId="27">OFFSET('2.1-2.2 Cap Str'!Full_Print,0,0,'2.1-2.2 Cap Str'!Last_Row)</definedName>
    <definedName name="Print_Area_Reset" localSheetId="28">#N/A</definedName>
    <definedName name="Print_Area_Reset" localSheetId="30">OFFSET([0]!Full_Print,0,0,[0]!Last_Row)</definedName>
    <definedName name="Print_Area_Reset" localSheetId="31">OFFSET([0]!Full_Print,0,0,[0]!Last_Row)</definedName>
    <definedName name="Print_Area_Reset" localSheetId="32">OFFSET('5.1 Growth Rate Regression'!Full_Print,0,0,'5.1 Growth Rate Regression'!Last_Row)</definedName>
    <definedName name="Print_Area_Reset" localSheetId="36">OFFSET([0]!Full_Print,0,0,[0]!Last_Row)</definedName>
    <definedName name="Print_Area_Reset" localSheetId="41">OFFSET([0]!Full_Print,0,0,[0]!Last_Row)</definedName>
    <definedName name="Print_Area_Reset" localSheetId="50">OFFSET(Full_Print,0,0,'WP Damadoran Survey'!Last_Row)</definedName>
    <definedName name="Print_Area_Reset" localSheetId="51">OFFSET([0]!Full_Print,0,0,[0]!Last_Row)</definedName>
    <definedName name="Print_Area_Reset" localSheetId="49">OFFSET([0]!Full_Print,0,0,[0]!Last_Row)</definedName>
    <definedName name="Print_Area_Reset">OFFSET(Full_Print,0,0,Last_Row)</definedName>
    <definedName name="_xlnm.Print_Titles" localSheetId="12">'1.21 CAPM'!$1:$4</definedName>
    <definedName name="_xlnm.Print_Titles" localSheetId="16">'1.25 Proxy Group Equivalent Gas'!$1:$4</definedName>
    <definedName name="_xlnm.Print_Titles" localSheetId="18">'1.27 CEM DCF'!$1:$4</definedName>
    <definedName name="_xlnm.Print_Titles" localSheetId="20">'1.29 CEM RPM Bond Ratings'!$1:$4</definedName>
    <definedName name="_xlnm.Print_Titles" localSheetId="22">'1.31 CEM CAPM Backup'!$1:$4</definedName>
    <definedName name="_xlnm.Print_Titles" localSheetId="23">'1.32 CEM CAPM Backup'!$1:$4</definedName>
    <definedName name="_xlnm.Print_Titles" localSheetId="37">'10.1 MKT Rtns Freq'!$30:$31</definedName>
    <definedName name="_xlnm.Print_Titles" localSheetId="38">'10.2 MRP Rtns Freq'!$30:$31</definedName>
    <definedName name="_xlnm.Print_Titles" localSheetId="29">'2.4-2.6 Auth. NG CEs'!$1:$5</definedName>
    <definedName name="_xlnm.Print_Titles" localSheetId="30">'3.1 Past Rate Cases Regression'!$1:$1</definedName>
    <definedName name="_xlnm.Print_Titles" localSheetId="32">'5.1 Growth Rate Regression'!$1:$2</definedName>
    <definedName name="_xlnm.Print_Titles" localSheetId="36">'9.1 ERP Freq Dis'!$33:$37</definedName>
    <definedName name="_xlnm.Print_Titles" localSheetId="62">'PRPM WP2'!$2:$2</definedName>
    <definedName name="_xlnm.Print_Titles" localSheetId="63">'PRPM WP3'!$1:$1</definedName>
    <definedName name="_xlnm.Print_Titles" localSheetId="64">'PRPM WP4'!$1:$1</definedName>
    <definedName name="_xlnm.Print_Titles" localSheetId="65">'PRPM WP5'!$1:$1</definedName>
    <definedName name="_xlnm.Print_Titles" localSheetId="44">'WP 6.1 RAB-2 Corr Divs'!$4:$8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 i="170" l="1"/>
  <c r="I27" i="170"/>
  <c r="I28" i="170"/>
  <c r="I29" i="170"/>
  <c r="I30" i="170"/>
  <c r="I31" i="170"/>
  <c r="I32" i="170"/>
  <c r="I33" i="170"/>
  <c r="I34" i="170"/>
  <c r="I35" i="170"/>
  <c r="I36" i="170"/>
  <c r="I37" i="170"/>
  <c r="I38" i="170"/>
  <c r="I39" i="170"/>
  <c r="I40" i="170"/>
  <c r="I41" i="170"/>
  <c r="I42" i="170"/>
  <c r="I43" i="170"/>
  <c r="I44" i="170"/>
  <c r="I45" i="170"/>
  <c r="I46" i="170"/>
  <c r="I47" i="170"/>
  <c r="I48" i="170"/>
  <c r="I49" i="170"/>
  <c r="I50" i="170"/>
  <c r="I51" i="170"/>
  <c r="I52" i="170"/>
  <c r="I53" i="170"/>
  <c r="I54" i="170"/>
  <c r="I55" i="170"/>
  <c r="I56" i="170"/>
  <c r="I57" i="170"/>
  <c r="I58" i="170"/>
  <c r="I59" i="170"/>
  <c r="I60" i="170"/>
  <c r="I61" i="170"/>
  <c r="I62" i="170"/>
  <c r="I63" i="170"/>
  <c r="I64" i="170"/>
  <c r="I65" i="170"/>
  <c r="I66" i="170"/>
  <c r="I67" i="170"/>
  <c r="I68" i="170"/>
  <c r="I69" i="170"/>
  <c r="I70" i="170"/>
  <c r="I71" i="170"/>
  <c r="I72" i="170"/>
  <c r="I73" i="170"/>
  <c r="I74" i="170"/>
  <c r="I75" i="170"/>
  <c r="I76" i="170"/>
  <c r="I77" i="170"/>
  <c r="I78" i="170"/>
  <c r="I79" i="170"/>
  <c r="I80" i="170"/>
  <c r="I81" i="170"/>
  <c r="I82" i="170"/>
  <c r="I83" i="170"/>
  <c r="I84" i="170"/>
  <c r="I85" i="170"/>
  <c r="I86" i="170"/>
  <c r="I87" i="170"/>
  <c r="I88" i="170"/>
  <c r="I89" i="170"/>
  <c r="I90" i="170"/>
  <c r="I91" i="170"/>
  <c r="I92" i="170"/>
  <c r="I93" i="170"/>
  <c r="I94" i="170"/>
  <c r="I95" i="170"/>
  <c r="I96" i="170"/>
  <c r="I97" i="170"/>
  <c r="I98" i="170"/>
  <c r="I99" i="170"/>
  <c r="I100" i="170"/>
  <c r="I101" i="170"/>
  <c r="I102" i="170"/>
  <c r="I103" i="170"/>
  <c r="I104" i="170"/>
  <c r="I105" i="170"/>
  <c r="I106" i="170"/>
  <c r="I107" i="170"/>
  <c r="I108" i="170"/>
  <c r="I109" i="170"/>
  <c r="I110" i="170"/>
  <c r="I111" i="170"/>
  <c r="I112" i="170"/>
  <c r="I113" i="170"/>
  <c r="I114" i="170"/>
  <c r="I115" i="170"/>
  <c r="I116" i="170"/>
  <c r="I117" i="170"/>
  <c r="I118" i="170"/>
  <c r="I119" i="170"/>
  <c r="I120" i="170"/>
  <c r="I121" i="170"/>
  <c r="I122" i="170"/>
  <c r="I123" i="170"/>
  <c r="I124" i="170"/>
  <c r="I125" i="170"/>
  <c r="I126" i="170"/>
  <c r="I127" i="170"/>
  <c r="I128" i="170"/>
  <c r="I129" i="170"/>
  <c r="I130" i="170"/>
  <c r="I131" i="170"/>
  <c r="I132" i="170"/>
  <c r="I133" i="170"/>
  <c r="I134" i="170"/>
  <c r="I135" i="170"/>
  <c r="I136" i="170"/>
  <c r="I137" i="170"/>
  <c r="I138" i="170"/>
  <c r="I139" i="170"/>
  <c r="I140" i="170"/>
  <c r="I141" i="170"/>
  <c r="I142" i="170"/>
  <c r="I143" i="170"/>
  <c r="I144" i="170"/>
  <c r="I145" i="170"/>
  <c r="I146" i="170"/>
  <c r="I147" i="170"/>
  <c r="I148" i="170"/>
  <c r="I149" i="170"/>
  <c r="I150" i="170"/>
  <c r="I151" i="170"/>
  <c r="I152" i="170"/>
  <c r="I153" i="170"/>
  <c r="I154" i="170"/>
  <c r="I155" i="170"/>
  <c r="I156" i="170"/>
  <c r="I157" i="170"/>
  <c r="I158" i="170"/>
  <c r="I159" i="170"/>
  <c r="I160" i="170"/>
  <c r="I161" i="170"/>
  <c r="I162" i="170"/>
  <c r="I163" i="170"/>
  <c r="I164" i="170"/>
  <c r="I165" i="170"/>
  <c r="I166" i="170"/>
  <c r="I167" i="170"/>
  <c r="I168" i="170"/>
  <c r="I169" i="170"/>
  <c r="I170" i="170"/>
  <c r="I171" i="170"/>
  <c r="I172" i="170"/>
  <c r="I173" i="170"/>
  <c r="I174" i="170"/>
  <c r="I175" i="170"/>
  <c r="I176" i="170"/>
  <c r="I177" i="170"/>
  <c r="I178" i="170"/>
  <c r="I179" i="170"/>
  <c r="I180" i="170"/>
  <c r="I181" i="170"/>
  <c r="I182" i="170"/>
  <c r="I183" i="170"/>
  <c r="I184" i="170"/>
  <c r="I185" i="170"/>
  <c r="I186" i="170"/>
  <c r="I187" i="170"/>
  <c r="I188" i="170"/>
  <c r="I189" i="170"/>
  <c r="I190" i="170"/>
  <c r="I191" i="170"/>
  <c r="I192" i="170"/>
  <c r="I193" i="170"/>
  <c r="I194" i="170"/>
  <c r="I195" i="170"/>
  <c r="I196" i="170"/>
  <c r="I197" i="170"/>
  <c r="I198" i="170"/>
  <c r="I199" i="170"/>
  <c r="I200" i="170"/>
  <c r="I201" i="170"/>
  <c r="I202" i="170"/>
  <c r="I203" i="170"/>
  <c r="I204" i="170"/>
  <c r="I205" i="170"/>
  <c r="I206" i="170"/>
  <c r="I207" i="170"/>
  <c r="I208" i="170"/>
  <c r="I209" i="170"/>
  <c r="I210" i="170"/>
  <c r="I211" i="170"/>
  <c r="I212" i="170"/>
  <c r="I213" i="170"/>
  <c r="I214" i="170"/>
  <c r="I215" i="170"/>
  <c r="I216" i="170"/>
  <c r="I217" i="170"/>
  <c r="I218" i="170"/>
  <c r="I219" i="170"/>
  <c r="I220" i="170"/>
  <c r="I221" i="170"/>
  <c r="I222" i="170"/>
  <c r="I223" i="170"/>
  <c r="I224" i="170"/>
  <c r="I225" i="170"/>
  <c r="I226" i="170"/>
  <c r="I227" i="170"/>
  <c r="I228" i="170"/>
  <c r="I229" i="170"/>
  <c r="I230" i="170"/>
  <c r="I231" i="170"/>
  <c r="I232" i="170"/>
  <c r="I233" i="170"/>
  <c r="I234" i="170"/>
  <c r="I235" i="170"/>
  <c r="I236" i="170"/>
  <c r="I237" i="170"/>
  <c r="I238" i="170"/>
  <c r="I239" i="170"/>
  <c r="I240" i="170"/>
  <c r="I241" i="170"/>
  <c r="I242" i="170"/>
  <c r="I243" i="170"/>
  <c r="I244" i="170"/>
  <c r="I245" i="170"/>
  <c r="I246" i="170"/>
  <c r="I247" i="170"/>
  <c r="I248" i="170"/>
  <c r="I249" i="170"/>
  <c r="I250" i="170"/>
  <c r="I251" i="170"/>
  <c r="I252" i="170"/>
  <c r="I253" i="170"/>
  <c r="I254" i="170"/>
  <c r="I255" i="170"/>
  <c r="I256" i="170"/>
  <c r="I257" i="170"/>
  <c r="I258" i="170"/>
  <c r="I259" i="170"/>
  <c r="I260" i="170"/>
  <c r="I261" i="170"/>
  <c r="I262" i="170"/>
  <c r="I263" i="170"/>
  <c r="I264" i="170"/>
  <c r="I265" i="170"/>
  <c r="I266" i="170"/>
  <c r="I267" i="170"/>
  <c r="I268" i="170"/>
  <c r="I269" i="170"/>
  <c r="I270" i="170"/>
  <c r="I271" i="170"/>
  <c r="I272" i="170"/>
  <c r="I273" i="170"/>
  <c r="I274" i="170"/>
  <c r="I275" i="170"/>
  <c r="I276" i="170"/>
  <c r="I277" i="170"/>
  <c r="I278" i="170"/>
  <c r="I279" i="170"/>
  <c r="I280" i="170"/>
  <c r="I281" i="170"/>
  <c r="I282" i="170"/>
  <c r="I283" i="170"/>
  <c r="I284" i="170"/>
  <c r="I285" i="170"/>
  <c r="I286" i="170"/>
  <c r="I287" i="170"/>
  <c r="I288" i="170"/>
  <c r="I289" i="170"/>
  <c r="I290" i="170"/>
  <c r="I291" i="170"/>
  <c r="I292" i="170"/>
  <c r="I293" i="170"/>
  <c r="I294" i="170"/>
  <c r="I295" i="170"/>
  <c r="I296" i="170"/>
  <c r="I297" i="170"/>
  <c r="I298" i="170"/>
  <c r="I299" i="170"/>
  <c r="I300" i="170"/>
  <c r="I301" i="170"/>
  <c r="I302" i="170"/>
  <c r="I303" i="170"/>
  <c r="I304" i="170"/>
  <c r="I305" i="170"/>
  <c r="I306" i="170"/>
  <c r="I307" i="170"/>
  <c r="I308" i="170"/>
  <c r="I309" i="170"/>
  <c r="I310" i="170"/>
  <c r="I311" i="170"/>
  <c r="I312" i="170"/>
  <c r="I313" i="170"/>
  <c r="I314" i="170"/>
  <c r="I315" i="170"/>
  <c r="I316" i="170"/>
  <c r="I317" i="170"/>
  <c r="I318" i="170"/>
  <c r="I319" i="170"/>
  <c r="I320" i="170"/>
  <c r="I321" i="170"/>
  <c r="I322" i="170"/>
  <c r="I323" i="170"/>
  <c r="I324" i="170"/>
  <c r="I325" i="170"/>
  <c r="I326" i="170"/>
  <c r="I327" i="170"/>
  <c r="I328" i="170"/>
  <c r="I329" i="170"/>
  <c r="I330" i="170"/>
  <c r="I331" i="170"/>
  <c r="I332" i="170"/>
  <c r="I333" i="170"/>
  <c r="I334" i="170"/>
  <c r="I335" i="170"/>
  <c r="I336" i="170"/>
  <c r="I337" i="170"/>
  <c r="I338" i="170"/>
  <c r="I339" i="170"/>
  <c r="I340" i="170"/>
  <c r="I341" i="170"/>
  <c r="I342" i="170"/>
  <c r="I343" i="170"/>
  <c r="I344" i="170"/>
  <c r="I345" i="170"/>
  <c r="I346" i="170"/>
  <c r="I347" i="170"/>
  <c r="I348" i="170"/>
  <c r="I349" i="170"/>
  <c r="I350" i="170"/>
  <c r="I351" i="170"/>
  <c r="I352" i="170"/>
  <c r="I353" i="170"/>
  <c r="I354" i="170"/>
  <c r="I355" i="170"/>
  <c r="I356" i="170"/>
  <c r="I357" i="170"/>
  <c r="I358" i="170"/>
  <c r="I359" i="170"/>
  <c r="I360" i="170"/>
  <c r="I361" i="170"/>
  <c r="I362" i="170"/>
  <c r="I363" i="170"/>
  <c r="I364" i="170"/>
  <c r="I365" i="170"/>
  <c r="I366" i="170"/>
  <c r="I367" i="170"/>
  <c r="I368" i="170"/>
  <c r="I369" i="170"/>
  <c r="I370" i="170"/>
  <c r="I371" i="170"/>
  <c r="I372" i="170"/>
  <c r="I373" i="170"/>
  <c r="I374" i="170"/>
  <c r="I375" i="170"/>
  <c r="I376" i="170"/>
  <c r="I377" i="170"/>
  <c r="I378" i="170"/>
  <c r="I379" i="170"/>
  <c r="I380" i="170"/>
  <c r="I381" i="170"/>
  <c r="I382" i="170"/>
  <c r="I383" i="170"/>
  <c r="I384" i="170"/>
  <c r="I385" i="170"/>
  <c r="I386" i="170"/>
  <c r="I387" i="170"/>
  <c r="I388" i="170"/>
  <c r="I389" i="170"/>
  <c r="I390" i="170"/>
  <c r="I391" i="170"/>
  <c r="I392" i="170"/>
  <c r="I393" i="170"/>
  <c r="I394" i="170"/>
  <c r="I395" i="170"/>
  <c r="I396" i="170"/>
  <c r="I397" i="170"/>
  <c r="I398" i="170"/>
  <c r="I399" i="170"/>
  <c r="I400" i="170"/>
  <c r="I401" i="170"/>
  <c r="I402" i="170"/>
  <c r="I403" i="170"/>
  <c r="I404" i="170"/>
  <c r="I405" i="170"/>
  <c r="I406" i="170"/>
  <c r="I407" i="170"/>
  <c r="I408" i="170"/>
  <c r="I409" i="170"/>
  <c r="I410" i="170"/>
  <c r="I411" i="170"/>
  <c r="I412" i="170"/>
  <c r="I413" i="170"/>
  <c r="I414" i="170"/>
  <c r="I415" i="170"/>
  <c r="I416" i="170"/>
  <c r="I417" i="170"/>
  <c r="I418" i="170"/>
  <c r="I419" i="170"/>
  <c r="I420" i="170"/>
  <c r="I421" i="170"/>
  <c r="I422" i="170"/>
  <c r="I423" i="170"/>
  <c r="I424" i="170"/>
  <c r="I425" i="170"/>
  <c r="I426" i="170"/>
  <c r="I427" i="170"/>
  <c r="I428" i="170"/>
  <c r="I429" i="170"/>
  <c r="I430" i="170"/>
  <c r="I431" i="170"/>
  <c r="I432" i="170"/>
  <c r="I433" i="170"/>
  <c r="I434" i="170"/>
  <c r="I435" i="170"/>
  <c r="I436" i="170"/>
  <c r="I437" i="170"/>
  <c r="I438" i="170"/>
  <c r="I439" i="170"/>
  <c r="I440" i="170"/>
  <c r="I441" i="170"/>
  <c r="I442" i="170"/>
  <c r="I443" i="170"/>
  <c r="I444" i="170"/>
  <c r="I445" i="170"/>
  <c r="I446" i="170"/>
  <c r="I447" i="170"/>
  <c r="I448" i="170"/>
  <c r="I449" i="170"/>
  <c r="I450" i="170"/>
  <c r="I451" i="170"/>
  <c r="I452" i="170"/>
  <c r="I453" i="170"/>
  <c r="I454" i="170"/>
  <c r="I455" i="170"/>
  <c r="I456" i="170"/>
  <c r="I457" i="170"/>
  <c r="I458" i="170"/>
  <c r="I459" i="170"/>
  <c r="I460" i="170"/>
  <c r="I461" i="170"/>
  <c r="I462" i="170"/>
  <c r="I463" i="170"/>
  <c r="I464" i="170"/>
  <c r="I465" i="170"/>
  <c r="I466" i="170"/>
  <c r="I467" i="170"/>
  <c r="I468" i="170"/>
  <c r="I469" i="170"/>
  <c r="I470" i="170"/>
  <c r="I471" i="170"/>
  <c r="I472" i="170"/>
  <c r="I473" i="170"/>
  <c r="I474" i="170"/>
  <c r="I475" i="170"/>
  <c r="I476" i="170"/>
  <c r="I477" i="170"/>
  <c r="I478" i="170"/>
  <c r="I479" i="170"/>
  <c r="I480" i="170"/>
  <c r="I481" i="170"/>
  <c r="I482" i="170"/>
  <c r="I483" i="170"/>
  <c r="I484" i="170"/>
  <c r="I485" i="170"/>
  <c r="I486" i="170"/>
  <c r="I487" i="170"/>
  <c r="I488" i="170"/>
  <c r="I489" i="170"/>
  <c r="I490" i="170"/>
  <c r="I491" i="170"/>
  <c r="I492" i="170"/>
  <c r="I493" i="170"/>
  <c r="I494" i="170"/>
  <c r="I495" i="170"/>
  <c r="I496" i="170"/>
  <c r="I497" i="170"/>
  <c r="I498" i="170"/>
  <c r="I499" i="170"/>
  <c r="I500" i="170"/>
  <c r="I501" i="170"/>
  <c r="I502" i="170"/>
  <c r="I503" i="170"/>
  <c r="I504" i="170"/>
  <c r="I505" i="170"/>
  <c r="I506" i="170"/>
  <c r="I507" i="170"/>
  <c r="I508" i="170"/>
  <c r="I509" i="170"/>
  <c r="I510" i="170"/>
  <c r="I511" i="170"/>
  <c r="I512" i="170"/>
  <c r="I513" i="170"/>
  <c r="I514" i="170"/>
  <c r="I515" i="170"/>
  <c r="I516" i="170"/>
  <c r="I517" i="170"/>
  <c r="I518" i="170"/>
  <c r="I519" i="170"/>
  <c r="I520" i="170"/>
  <c r="I521" i="170"/>
  <c r="I522" i="170"/>
  <c r="I523" i="170"/>
  <c r="I524" i="170"/>
  <c r="I525" i="170"/>
  <c r="I526" i="170"/>
  <c r="I527" i="170"/>
  <c r="I528" i="170"/>
  <c r="I529" i="170"/>
  <c r="I530" i="170"/>
  <c r="I531" i="170"/>
  <c r="I532" i="170"/>
  <c r="I533" i="170"/>
  <c r="I534" i="170"/>
  <c r="I535" i="170"/>
  <c r="I536" i="170"/>
  <c r="I537" i="170"/>
  <c r="I538" i="170"/>
  <c r="I539" i="170"/>
  <c r="I540" i="170"/>
  <c r="I541" i="170"/>
  <c r="I542" i="170"/>
  <c r="I543" i="170"/>
  <c r="I544" i="170"/>
  <c r="I545" i="170"/>
  <c r="I546" i="170"/>
  <c r="I547" i="170"/>
  <c r="I548" i="170"/>
  <c r="I549" i="170"/>
  <c r="I550" i="170"/>
  <c r="I551" i="170"/>
  <c r="I552" i="170"/>
  <c r="I553" i="170"/>
  <c r="I554" i="170"/>
  <c r="I555" i="170"/>
  <c r="I556" i="170"/>
  <c r="I557" i="170"/>
  <c r="I558" i="170"/>
  <c r="I559" i="170"/>
  <c r="I560" i="170"/>
  <c r="I561" i="170"/>
  <c r="I562" i="170"/>
  <c r="I563" i="170"/>
  <c r="I564" i="170"/>
  <c r="I565" i="170"/>
  <c r="I566" i="170"/>
  <c r="I567" i="170"/>
  <c r="I568" i="170"/>
  <c r="I569" i="170"/>
  <c r="I570" i="170"/>
  <c r="I571" i="170"/>
  <c r="I572" i="170"/>
  <c r="I573" i="170"/>
  <c r="I574" i="170"/>
  <c r="I575" i="170"/>
  <c r="I576" i="170"/>
  <c r="I577" i="170"/>
  <c r="I578" i="170"/>
  <c r="I579" i="170"/>
  <c r="I580" i="170"/>
  <c r="I581" i="170"/>
  <c r="I582" i="170"/>
  <c r="I583" i="170"/>
  <c r="I584" i="170"/>
  <c r="I585" i="170"/>
  <c r="I586" i="170"/>
  <c r="I587" i="170"/>
  <c r="I588" i="170"/>
  <c r="I589" i="170"/>
  <c r="I590" i="170"/>
  <c r="I591" i="170"/>
  <c r="I592" i="170"/>
  <c r="I593" i="170"/>
  <c r="I594" i="170"/>
  <c r="I595" i="170"/>
  <c r="I596" i="170"/>
  <c r="I597" i="170"/>
  <c r="I598" i="170"/>
  <c r="I599" i="170"/>
  <c r="I600" i="170"/>
  <c r="I601" i="170"/>
  <c r="I602" i="170"/>
  <c r="I603" i="170"/>
  <c r="I604" i="170"/>
  <c r="I605" i="170"/>
  <c r="I606" i="170"/>
  <c r="I607" i="170"/>
  <c r="I608" i="170"/>
  <c r="I609" i="170"/>
  <c r="I610" i="170"/>
  <c r="I611" i="170"/>
  <c r="I612" i="170"/>
  <c r="I613" i="170"/>
  <c r="I614" i="170"/>
  <c r="I615" i="170"/>
  <c r="I616" i="170"/>
  <c r="I617" i="170"/>
  <c r="I618" i="170"/>
  <c r="I619" i="170"/>
  <c r="I620" i="170"/>
  <c r="I621" i="170"/>
  <c r="I622" i="170"/>
  <c r="I623" i="170"/>
  <c r="I624" i="170"/>
  <c r="I625" i="170"/>
  <c r="I626" i="170"/>
  <c r="I627" i="170"/>
  <c r="I628" i="170"/>
  <c r="I629" i="170"/>
  <c r="I630" i="170"/>
  <c r="I631" i="170"/>
  <c r="I632" i="170"/>
  <c r="I633" i="170"/>
  <c r="I634" i="170"/>
  <c r="I635" i="170"/>
  <c r="I636" i="170"/>
  <c r="I637" i="170"/>
  <c r="I638" i="170"/>
  <c r="I639" i="170"/>
  <c r="I640" i="170"/>
  <c r="I641" i="170"/>
  <c r="I642" i="170"/>
  <c r="I643" i="170"/>
  <c r="I644" i="170"/>
  <c r="I645" i="170"/>
  <c r="I646" i="170"/>
  <c r="I647" i="170"/>
  <c r="I648" i="170"/>
  <c r="I649" i="170"/>
  <c r="I650" i="170"/>
  <c r="I651" i="170"/>
  <c r="I652" i="170"/>
  <c r="I653" i="170"/>
  <c r="I654" i="170"/>
  <c r="I655" i="170"/>
  <c r="I656" i="170"/>
  <c r="I657" i="170"/>
  <c r="I658" i="170"/>
  <c r="I659" i="170"/>
  <c r="I660" i="170"/>
  <c r="I661" i="170"/>
  <c r="I662" i="170"/>
  <c r="I663" i="170"/>
  <c r="I664" i="170"/>
  <c r="I665" i="170"/>
  <c r="I666" i="170"/>
  <c r="I667" i="170"/>
  <c r="I668" i="170"/>
  <c r="I669" i="170"/>
  <c r="I670" i="170"/>
  <c r="I671" i="170"/>
  <c r="I672" i="170"/>
  <c r="I673" i="170"/>
  <c r="I674" i="170"/>
  <c r="I675" i="170"/>
  <c r="I676" i="170"/>
  <c r="I677" i="170"/>
  <c r="I678" i="170"/>
  <c r="I679" i="170"/>
  <c r="I680" i="170"/>
  <c r="I681" i="170"/>
  <c r="I682" i="170"/>
  <c r="I683" i="170"/>
  <c r="I684" i="170"/>
  <c r="I685" i="170"/>
  <c r="I686" i="170"/>
  <c r="I687" i="170"/>
  <c r="I688" i="170"/>
  <c r="I689" i="170"/>
  <c r="I690" i="170"/>
  <c r="I691" i="170"/>
  <c r="I692" i="170"/>
  <c r="I693" i="170"/>
  <c r="I694" i="170"/>
  <c r="I695" i="170"/>
  <c r="I696" i="170"/>
  <c r="I697" i="170"/>
  <c r="I698" i="170"/>
  <c r="I699" i="170"/>
  <c r="I700" i="170"/>
  <c r="I701" i="170"/>
  <c r="I702" i="170"/>
  <c r="I703" i="170"/>
  <c r="I704" i="170"/>
  <c r="I705" i="170"/>
  <c r="I706" i="170"/>
  <c r="I707" i="170"/>
  <c r="I708" i="170"/>
  <c r="I709" i="170"/>
  <c r="I710" i="170"/>
  <c r="I711" i="170"/>
  <c r="I712" i="170"/>
  <c r="I713" i="170"/>
  <c r="I714" i="170"/>
  <c r="I715" i="170"/>
  <c r="I716" i="170"/>
  <c r="I717" i="170"/>
  <c r="I718" i="170"/>
  <c r="I719" i="170"/>
  <c r="I720" i="170"/>
  <c r="I721" i="170"/>
  <c r="I722" i="170"/>
  <c r="I723" i="170"/>
  <c r="I724" i="170"/>
  <c r="I725" i="170"/>
  <c r="I726" i="170"/>
  <c r="I727" i="170"/>
  <c r="I728" i="170"/>
  <c r="I729" i="170"/>
  <c r="I730" i="170"/>
  <c r="I731" i="170"/>
  <c r="I732" i="170"/>
  <c r="I733" i="170"/>
  <c r="I734" i="170"/>
  <c r="I735" i="170"/>
  <c r="I736" i="170"/>
  <c r="I737" i="170"/>
  <c r="I738" i="170"/>
  <c r="I739" i="170"/>
  <c r="I740" i="170"/>
  <c r="I741" i="170"/>
  <c r="I742" i="170"/>
  <c r="I743" i="170"/>
  <c r="I744" i="170"/>
  <c r="I745" i="170"/>
  <c r="I746" i="170"/>
  <c r="I747" i="170"/>
  <c r="I748" i="170"/>
  <c r="I749" i="170"/>
  <c r="I750" i="170"/>
  <c r="I751" i="170"/>
  <c r="I752" i="170"/>
  <c r="I753" i="170"/>
  <c r="I754" i="170"/>
  <c r="I755" i="170"/>
  <c r="I756" i="170"/>
  <c r="I757" i="170"/>
  <c r="I758" i="170"/>
  <c r="I759" i="170"/>
  <c r="I760" i="170"/>
  <c r="I761" i="170"/>
  <c r="I762" i="170"/>
  <c r="I763" i="170"/>
  <c r="I764" i="170"/>
  <c r="I765" i="170"/>
  <c r="I766" i="170"/>
  <c r="I767" i="170"/>
  <c r="I768" i="170"/>
  <c r="I769" i="170"/>
  <c r="I770" i="170"/>
  <c r="I771" i="170"/>
  <c r="I772" i="170"/>
  <c r="I773" i="170"/>
  <c r="I774" i="170"/>
  <c r="I775" i="170"/>
  <c r="I776" i="170"/>
  <c r="I777" i="170"/>
  <c r="I778" i="170"/>
  <c r="I779" i="170"/>
  <c r="I780" i="170"/>
  <c r="I781" i="170"/>
  <c r="I782" i="170"/>
  <c r="I783" i="170"/>
  <c r="I784" i="170"/>
  <c r="I785" i="170"/>
  <c r="I786" i="170"/>
  <c r="I787" i="170"/>
  <c r="I788" i="170"/>
  <c r="I789" i="170"/>
  <c r="I790" i="170"/>
  <c r="I791" i="170"/>
  <c r="I792" i="170"/>
  <c r="I793" i="170"/>
  <c r="I794" i="170"/>
  <c r="I795" i="170"/>
  <c r="I796" i="170"/>
  <c r="I797" i="170"/>
  <c r="I798" i="170"/>
  <c r="I799" i="170"/>
  <c r="I800" i="170"/>
  <c r="I801" i="170"/>
  <c r="I802" i="170"/>
  <c r="I803" i="170"/>
  <c r="I804" i="170"/>
  <c r="I805" i="170"/>
  <c r="I806" i="170"/>
  <c r="I807" i="170"/>
  <c r="I808" i="170"/>
  <c r="I809" i="170"/>
  <c r="I810" i="170"/>
  <c r="I811" i="170"/>
  <c r="I812" i="170"/>
  <c r="I813" i="170"/>
  <c r="I814" i="170"/>
  <c r="I815" i="170"/>
  <c r="I816" i="170"/>
  <c r="I817" i="170"/>
  <c r="I818" i="170"/>
  <c r="I819" i="170"/>
  <c r="I820" i="170"/>
  <c r="I821" i="170"/>
  <c r="I822" i="170"/>
  <c r="I823" i="170"/>
  <c r="I824" i="170"/>
  <c r="I825" i="170"/>
  <c r="I826" i="170"/>
  <c r="I827" i="170"/>
  <c r="I828" i="170"/>
  <c r="I829" i="170"/>
  <c r="I830" i="170"/>
  <c r="I831" i="170"/>
  <c r="I832" i="170"/>
  <c r="I833" i="170"/>
  <c r="I834" i="170"/>
  <c r="I835" i="170"/>
  <c r="I836" i="170"/>
  <c r="I837" i="170"/>
  <c r="I838" i="170"/>
  <c r="I839" i="170"/>
  <c r="I840" i="170"/>
  <c r="I841" i="170"/>
  <c r="I842" i="170"/>
  <c r="I843" i="170"/>
  <c r="I844" i="170"/>
  <c r="I845" i="170"/>
  <c r="I846" i="170"/>
  <c r="I847" i="170"/>
  <c r="I848" i="170"/>
  <c r="I849" i="170"/>
  <c r="I850" i="170"/>
  <c r="I851" i="170"/>
  <c r="I852" i="170"/>
  <c r="I853" i="170"/>
  <c r="I854" i="170"/>
  <c r="I855" i="170"/>
  <c r="I856" i="170"/>
  <c r="I857" i="170"/>
  <c r="I858" i="170"/>
  <c r="I859" i="170"/>
  <c r="I860" i="170"/>
  <c r="I861" i="170"/>
  <c r="I862" i="170"/>
  <c r="I863" i="170"/>
  <c r="I864" i="170"/>
  <c r="I865" i="170"/>
  <c r="I866" i="170"/>
  <c r="I867" i="170"/>
  <c r="I868" i="170"/>
  <c r="I869" i="170"/>
  <c r="I870" i="170"/>
  <c r="I871" i="170"/>
  <c r="I872" i="170"/>
  <c r="I873" i="170"/>
  <c r="I874" i="170"/>
  <c r="I875" i="170"/>
  <c r="I876" i="170"/>
  <c r="I877" i="170"/>
  <c r="I878" i="170"/>
  <c r="I879" i="170"/>
  <c r="I880" i="170"/>
  <c r="I881" i="170"/>
  <c r="I882" i="170"/>
  <c r="I883" i="170"/>
  <c r="I884" i="170"/>
  <c r="I885" i="170"/>
  <c r="I886" i="170"/>
  <c r="I887" i="170"/>
  <c r="I888" i="170"/>
  <c r="I889" i="170"/>
  <c r="I890" i="170"/>
  <c r="I891" i="170"/>
  <c r="I892" i="170"/>
  <c r="I893" i="170"/>
  <c r="I894" i="170"/>
  <c r="I895" i="170"/>
  <c r="I896" i="170"/>
  <c r="I897" i="170"/>
  <c r="I898" i="170"/>
  <c r="I899" i="170"/>
  <c r="I900" i="170"/>
  <c r="I901" i="170"/>
  <c r="I902" i="170"/>
  <c r="I903" i="170"/>
  <c r="I904" i="170"/>
  <c r="I905" i="170"/>
  <c r="I906" i="170"/>
  <c r="I907" i="170"/>
  <c r="I908" i="170"/>
  <c r="I909" i="170"/>
  <c r="I910" i="170"/>
  <c r="I911" i="170"/>
  <c r="I912" i="170"/>
  <c r="I913" i="170"/>
  <c r="I914" i="170"/>
  <c r="I915" i="170"/>
  <c r="I916" i="170"/>
  <c r="I917" i="170"/>
  <c r="I918" i="170"/>
  <c r="I919" i="170"/>
  <c r="I920" i="170"/>
  <c r="I921" i="170"/>
  <c r="I922" i="170"/>
  <c r="I923" i="170"/>
  <c r="I924" i="170"/>
  <c r="I925" i="170"/>
  <c r="I926" i="170"/>
  <c r="I927" i="170"/>
  <c r="I928" i="170"/>
  <c r="I929" i="170"/>
  <c r="I930" i="170"/>
  <c r="I931" i="170"/>
  <c r="I932" i="170"/>
  <c r="I933" i="170"/>
  <c r="I934" i="170"/>
  <c r="I935" i="170"/>
  <c r="I936" i="170"/>
  <c r="I937" i="170"/>
  <c r="I938" i="170"/>
  <c r="I939" i="170"/>
  <c r="I940" i="170"/>
  <c r="I941" i="170"/>
  <c r="I942" i="170"/>
  <c r="I943" i="170"/>
  <c r="I944" i="170"/>
  <c r="I945" i="170"/>
  <c r="I946" i="170"/>
  <c r="I947" i="170"/>
  <c r="I948" i="170"/>
  <c r="I949" i="170"/>
  <c r="I950" i="170"/>
  <c r="I951" i="170"/>
  <c r="I952" i="170"/>
  <c r="I953" i="170"/>
  <c r="I954" i="170"/>
  <c r="I955" i="170"/>
  <c r="I956" i="170"/>
  <c r="I957" i="170"/>
  <c r="I958" i="170"/>
  <c r="I959" i="170"/>
  <c r="I960" i="170"/>
  <c r="I961" i="170"/>
  <c r="I962" i="170"/>
  <c r="I963" i="170"/>
  <c r="I964" i="170"/>
  <c r="I965" i="170"/>
  <c r="I966" i="170"/>
  <c r="I967" i="170"/>
  <c r="I968" i="170"/>
  <c r="I969" i="170"/>
  <c r="I970" i="170"/>
  <c r="I971" i="170"/>
  <c r="I972" i="170"/>
  <c r="I973" i="170"/>
  <c r="I974" i="170"/>
  <c r="I975" i="170"/>
  <c r="I976" i="170"/>
  <c r="I977" i="170"/>
  <c r="I978" i="170"/>
  <c r="I979" i="170"/>
  <c r="I980" i="170"/>
  <c r="I981" i="170"/>
  <c r="I982" i="170"/>
  <c r="I983" i="170"/>
  <c r="I984" i="170"/>
  <c r="I985" i="170"/>
  <c r="I986" i="170"/>
  <c r="I987" i="170"/>
  <c r="I988" i="170"/>
  <c r="I989" i="170"/>
  <c r="I990" i="170"/>
  <c r="I991" i="170"/>
  <c r="I992" i="170"/>
  <c r="I993" i="170"/>
  <c r="I994" i="170"/>
  <c r="I995" i="170"/>
  <c r="I996" i="170"/>
  <c r="I997" i="170"/>
  <c r="I998" i="170"/>
  <c r="I999" i="170"/>
  <c r="I1000" i="170"/>
  <c r="I1001" i="170"/>
  <c r="I1002" i="170"/>
  <c r="I1003" i="170"/>
  <c r="I1004" i="170"/>
  <c r="I1005" i="170"/>
  <c r="I1006" i="170"/>
  <c r="I1007" i="170"/>
  <c r="I1008" i="170"/>
  <c r="I1009" i="170"/>
  <c r="I1010" i="170"/>
  <c r="I1011" i="170"/>
  <c r="I1012" i="170"/>
  <c r="I1013" i="170"/>
  <c r="I1014" i="170"/>
  <c r="I1015" i="170"/>
  <c r="I1016" i="170"/>
  <c r="I1017" i="170"/>
  <c r="I1018" i="170"/>
  <c r="I1019" i="170"/>
  <c r="I1020" i="170"/>
  <c r="I1021" i="170"/>
  <c r="I1022" i="170"/>
  <c r="I1023" i="170"/>
  <c r="I1024" i="170"/>
  <c r="I1025" i="170"/>
  <c r="I1026" i="170"/>
  <c r="I1027" i="170"/>
  <c r="I1028" i="170"/>
  <c r="I1029" i="170"/>
  <c r="I1030" i="170"/>
  <c r="I1031" i="170"/>
  <c r="I1032" i="170"/>
  <c r="I1033" i="170"/>
  <c r="F1034" i="170"/>
  <c r="I1034" i="170" s="1"/>
  <c r="F1035" i="170"/>
  <c r="I1035" i="170" s="1"/>
  <c r="F1036" i="170"/>
  <c r="I1036" i="170"/>
  <c r="F1037" i="170"/>
  <c r="I1037" i="170" s="1"/>
  <c r="F1038" i="170"/>
  <c r="I1038" i="170" s="1"/>
  <c r="F1039" i="170"/>
  <c r="I1039" i="170"/>
  <c r="F1040" i="170"/>
  <c r="I1040" i="170" s="1"/>
  <c r="H1040" i="170"/>
  <c r="F1041" i="170"/>
  <c r="I1041" i="170" s="1"/>
  <c r="H1041" i="170"/>
  <c r="F1042" i="170"/>
  <c r="H1042" i="170"/>
  <c r="I1042" i="170"/>
  <c r="F1043" i="170"/>
  <c r="I1043" i="170" s="1"/>
  <c r="H1043" i="170"/>
  <c r="F1044" i="170"/>
  <c r="I1044" i="170" s="1"/>
  <c r="H1044" i="170"/>
  <c r="F1045" i="170"/>
  <c r="I1045" i="170" s="1"/>
  <c r="H1045" i="170"/>
  <c r="F1046" i="170"/>
  <c r="I1046" i="170" s="1"/>
  <c r="H1046" i="170"/>
  <c r="F1047" i="170"/>
  <c r="H1047" i="170"/>
  <c r="I1047" i="170"/>
  <c r="F1048" i="170"/>
  <c r="I1048" i="170" s="1"/>
  <c r="H1048" i="170"/>
  <c r="F1049" i="170"/>
  <c r="H1049" i="170"/>
  <c r="I1049" i="170"/>
  <c r="F1050" i="170"/>
  <c r="I1050" i="170" s="1"/>
  <c r="H1050" i="170"/>
  <c r="F1051" i="170"/>
  <c r="I1051" i="170" s="1"/>
  <c r="H1051" i="170"/>
  <c r="F1052" i="170"/>
  <c r="I1052" i="170" s="1"/>
  <c r="H1052" i="170"/>
  <c r="F1053" i="170"/>
  <c r="I1053" i="170" s="1"/>
  <c r="H1053" i="170"/>
  <c r="F1054" i="170"/>
  <c r="H1054" i="170"/>
  <c r="I1054" i="170" s="1"/>
  <c r="F1055" i="170"/>
  <c r="H1055" i="170"/>
  <c r="I1055" i="170"/>
  <c r="F1056" i="170"/>
  <c r="H1056" i="170"/>
  <c r="I1056" i="170"/>
  <c r="F1057" i="170"/>
  <c r="H1057" i="170"/>
  <c r="I1057" i="170"/>
  <c r="F1058" i="170"/>
  <c r="H1058" i="170"/>
  <c r="I1058" i="170"/>
  <c r="F1059" i="170"/>
  <c r="H1059" i="170"/>
  <c r="I1059" i="170"/>
  <c r="F1060" i="170"/>
  <c r="H1060" i="170"/>
  <c r="I1060" i="170" s="1"/>
  <c r="F1061" i="170"/>
  <c r="I1061" i="170" s="1"/>
  <c r="H1061" i="170"/>
  <c r="F1062" i="170"/>
  <c r="H1062" i="170"/>
  <c r="I1062" i="170" s="1"/>
  <c r="F1063" i="170"/>
  <c r="I1063" i="170" s="1"/>
  <c r="H1063" i="170"/>
  <c r="F1064" i="170"/>
  <c r="I1064" i="170" s="1"/>
  <c r="H1064" i="170"/>
  <c r="F1065" i="170"/>
  <c r="I1065" i="170" s="1"/>
  <c r="H1065" i="170"/>
  <c r="F1066" i="170"/>
  <c r="I1066" i="170" s="1"/>
  <c r="H1066" i="170"/>
  <c r="F1067" i="170"/>
  <c r="H1067" i="170"/>
  <c r="I1067" i="170"/>
  <c r="F1068" i="170"/>
  <c r="I1068" i="170" s="1"/>
  <c r="H1068" i="170"/>
  <c r="F1069" i="170"/>
  <c r="H1069" i="170"/>
  <c r="I1069" i="170"/>
  <c r="F1070" i="170"/>
  <c r="I1070" i="170" s="1"/>
  <c r="H1070" i="170"/>
  <c r="F1071" i="170"/>
  <c r="I1071" i="170" s="1"/>
  <c r="H1071" i="170"/>
  <c r="F1072" i="170"/>
  <c r="I1072" i="170" s="1"/>
  <c r="H1072" i="170"/>
  <c r="F1073" i="170"/>
  <c r="I1073" i="170" s="1"/>
  <c r="H1073" i="170"/>
  <c r="F1074" i="170"/>
  <c r="H1074" i="170"/>
  <c r="I1074" i="170" s="1"/>
  <c r="B1075" i="170"/>
  <c r="C1075" i="170"/>
  <c r="F1075" i="170"/>
  <c r="J1075" i="170"/>
  <c r="B1076" i="170"/>
  <c r="B1077" i="170" s="1"/>
  <c r="C1076" i="170"/>
  <c r="C1077" i="170" s="1"/>
  <c r="C1078" i="170" s="1"/>
  <c r="F1076" i="170"/>
  <c r="J1076" i="170"/>
  <c r="F1077" i="170"/>
  <c r="F1078" i="170"/>
  <c r="C1079" i="170"/>
  <c r="F1079" i="170"/>
  <c r="C1080" i="170"/>
  <c r="C1081" i="170" s="1"/>
  <c r="F1080" i="170"/>
  <c r="F1081" i="170"/>
  <c r="C1082" i="170"/>
  <c r="C1083" i="170" s="1"/>
  <c r="C1084" i="170" s="1"/>
  <c r="C1085" i="170" s="1"/>
  <c r="C1086" i="170" s="1"/>
  <c r="C1087" i="170" s="1"/>
  <c r="C1088" i="170" s="1"/>
  <c r="C1089" i="170" s="1"/>
  <c r="C1090" i="170" s="1"/>
  <c r="C1091" i="170" s="1"/>
  <c r="C1092" i="170" s="1"/>
  <c r="C1093" i="170" s="1"/>
  <c r="C1094" i="170" s="1"/>
  <c r="C1095" i="170" s="1"/>
  <c r="C1096" i="170" s="1"/>
  <c r="C1097" i="170" s="1"/>
  <c r="C1098" i="170" s="1"/>
  <c r="C1099" i="170" s="1"/>
  <c r="C1100" i="170" s="1"/>
  <c r="C1101" i="170" s="1"/>
  <c r="C1102" i="170" s="1"/>
  <c r="C1103" i="170" s="1"/>
  <c r="C1104" i="170" s="1"/>
  <c r="C1105" i="170" s="1"/>
  <c r="C1106" i="170" s="1"/>
  <c r="C1107" i="170" s="1"/>
  <c r="C1108" i="170" s="1"/>
  <c r="C1109" i="170" s="1"/>
  <c r="C1110" i="170" s="1"/>
  <c r="C1111" i="170" s="1"/>
  <c r="C1112" i="170" s="1"/>
  <c r="C1113" i="170" s="1"/>
  <c r="C1114" i="170" s="1"/>
  <c r="C1115" i="170" s="1"/>
  <c r="C1116" i="170" s="1"/>
  <c r="C1117" i="170" s="1"/>
  <c r="C1118" i="170" s="1"/>
  <c r="C1119" i="170" s="1"/>
  <c r="C1120" i="170" s="1"/>
  <c r="C1121" i="170" s="1"/>
  <c r="C1122" i="170" s="1"/>
  <c r="C1123" i="170" s="1"/>
  <c r="C1124" i="170" s="1"/>
  <c r="C1125" i="170" s="1"/>
  <c r="C1126" i="170" s="1"/>
  <c r="C1127" i="170" s="1"/>
  <c r="C1128" i="170" s="1"/>
  <c r="C1129" i="170" s="1"/>
  <c r="C1130" i="170" s="1"/>
  <c r="C1131" i="170" s="1"/>
  <c r="C1132" i="170" s="1"/>
  <c r="C1133" i="170" s="1"/>
  <c r="C1134" i="170" s="1"/>
  <c r="C1135" i="170" s="1"/>
  <c r="C1136" i="170" s="1"/>
  <c r="C1137" i="170" s="1"/>
  <c r="C1138" i="170" s="1"/>
  <c r="C1139" i="170" s="1"/>
  <c r="C1140" i="170" s="1"/>
  <c r="C1141" i="170" s="1"/>
  <c r="C1142" i="170" s="1"/>
  <c r="C1143" i="170" s="1"/>
  <c r="C1144" i="170" s="1"/>
  <c r="C1145" i="170" s="1"/>
  <c r="C1146" i="170" s="1"/>
  <c r="C1147" i="170" s="1"/>
  <c r="C1148" i="170" s="1"/>
  <c r="C1149" i="170" s="1"/>
  <c r="C1150" i="170" s="1"/>
  <c r="C1151" i="170" s="1"/>
  <c r="C1152" i="170" s="1"/>
  <c r="C1153" i="170" s="1"/>
  <c r="C1154" i="170" s="1"/>
  <c r="C1155" i="170" s="1"/>
  <c r="C1156" i="170" s="1"/>
  <c r="C1157" i="170" s="1"/>
  <c r="C1158" i="170" s="1"/>
  <c r="C1159" i="170" s="1"/>
  <c r="C1160" i="170" s="1"/>
  <c r="C1161" i="170" s="1"/>
  <c r="C1162" i="170" s="1"/>
  <c r="C1163" i="170" s="1"/>
  <c r="C1164" i="170" s="1"/>
  <c r="C1165" i="170" s="1"/>
  <c r="C1166" i="170" s="1"/>
  <c r="C1167" i="170" s="1"/>
  <c r="C1168" i="170" s="1"/>
  <c r="C1169" i="170" s="1"/>
  <c r="C1170" i="170" s="1"/>
  <c r="C1171" i="170" s="1"/>
  <c r="C1172" i="170" s="1"/>
  <c r="C1173" i="170" s="1"/>
  <c r="C1174" i="170" s="1"/>
  <c r="C1175" i="170" s="1"/>
  <c r="C1176" i="170" s="1"/>
  <c r="C1177" i="170" s="1"/>
  <c r="C1178" i="170" s="1"/>
  <c r="C1179" i="170" s="1"/>
  <c r="C1180" i="170" s="1"/>
  <c r="C1181" i="170" s="1"/>
  <c r="C1182" i="170" s="1"/>
  <c r="C1183" i="170" s="1"/>
  <c r="C1184" i="170" s="1"/>
  <c r="C1185" i="170" s="1"/>
  <c r="C1186" i="170" s="1"/>
  <c r="C1187" i="170" s="1"/>
  <c r="C1188" i="170" s="1"/>
  <c r="C1189" i="170" s="1"/>
  <c r="C1190" i="170" s="1"/>
  <c r="F1082" i="170"/>
  <c r="F1083" i="170"/>
  <c r="F1084" i="170"/>
  <c r="F1085" i="170"/>
  <c r="F1086" i="170"/>
  <c r="F1087" i="170"/>
  <c r="F1088" i="170"/>
  <c r="F1089" i="170"/>
  <c r="F1090" i="170"/>
  <c r="F1091" i="170"/>
  <c r="F1092" i="170"/>
  <c r="F1093" i="170"/>
  <c r="F1094" i="170"/>
  <c r="F1095" i="170"/>
  <c r="F1096" i="170"/>
  <c r="F1097" i="170"/>
  <c r="F1098" i="170"/>
  <c r="F1099" i="170"/>
  <c r="F1100" i="170"/>
  <c r="F1101" i="170"/>
  <c r="F1102" i="170"/>
  <c r="F1103" i="170"/>
  <c r="F1104" i="170"/>
  <c r="F1105" i="170"/>
  <c r="F1106" i="170"/>
  <c r="F1107" i="170"/>
  <c r="F1108" i="170"/>
  <c r="F1109" i="170"/>
  <c r="F1110" i="170"/>
  <c r="F1111" i="170"/>
  <c r="F1112" i="170"/>
  <c r="F1113" i="170"/>
  <c r="F1114" i="170"/>
  <c r="F1115" i="170"/>
  <c r="F1116" i="170"/>
  <c r="F1117" i="170"/>
  <c r="F1118" i="170"/>
  <c r="F1119" i="170"/>
  <c r="F1120" i="170"/>
  <c r="F1121" i="170"/>
  <c r="F1122" i="170"/>
  <c r="F1123" i="170"/>
  <c r="F1124" i="170"/>
  <c r="F1125" i="170"/>
  <c r="F1126" i="170"/>
  <c r="F1127" i="170"/>
  <c r="F1128" i="170"/>
  <c r="F1129" i="170"/>
  <c r="F1130" i="170"/>
  <c r="F1131" i="170"/>
  <c r="F1132" i="170"/>
  <c r="F1133" i="170"/>
  <c r="F1134" i="170"/>
  <c r="F1135" i="170"/>
  <c r="F1136" i="170"/>
  <c r="F1137" i="170"/>
  <c r="F1138" i="170"/>
  <c r="F1139" i="170"/>
  <c r="F1140" i="170"/>
  <c r="F1141" i="170"/>
  <c r="F1142" i="170"/>
  <c r="F1143" i="170"/>
  <c r="F1144" i="170"/>
  <c r="F1145" i="170"/>
  <c r="F1146" i="170"/>
  <c r="F1147" i="170"/>
  <c r="F1148" i="170"/>
  <c r="F1149" i="170"/>
  <c r="F1150" i="170"/>
  <c r="F1151" i="170"/>
  <c r="F1152" i="170"/>
  <c r="F1153" i="170"/>
  <c r="F1154" i="170"/>
  <c r="F1155" i="170"/>
  <c r="F1156" i="170"/>
  <c r="F1157" i="170"/>
  <c r="F1158" i="170"/>
  <c r="F1159" i="170"/>
  <c r="F1160" i="170"/>
  <c r="F1161" i="170"/>
  <c r="F1162" i="170"/>
  <c r="F1163" i="170"/>
  <c r="F1164" i="170"/>
  <c r="F1165" i="170"/>
  <c r="F1166" i="170"/>
  <c r="F1167" i="170"/>
  <c r="F1168" i="170"/>
  <c r="F1169" i="170"/>
  <c r="F1170" i="170"/>
  <c r="F1171" i="170"/>
  <c r="F1172" i="170"/>
  <c r="F1173" i="170"/>
  <c r="F1174" i="170"/>
  <c r="F1175" i="170"/>
  <c r="F1176" i="170"/>
  <c r="F1177" i="170"/>
  <c r="F1178" i="170"/>
  <c r="F1179" i="170"/>
  <c r="F1180" i="170"/>
  <c r="F1181" i="170"/>
  <c r="F1182" i="170"/>
  <c r="F1183" i="170"/>
  <c r="F1184" i="170"/>
  <c r="F1185" i="170"/>
  <c r="F26" i="169"/>
  <c r="H26" i="169"/>
  <c r="I26" i="169"/>
  <c r="F27" i="169"/>
  <c r="I27" i="169" s="1"/>
  <c r="H27" i="169"/>
  <c r="F28" i="169"/>
  <c r="I28" i="169" s="1"/>
  <c r="H28" i="169"/>
  <c r="F29" i="169"/>
  <c r="I29" i="169" s="1"/>
  <c r="H29" i="169"/>
  <c r="F30" i="169"/>
  <c r="I30" i="169" s="1"/>
  <c r="H30" i="169"/>
  <c r="F31" i="169"/>
  <c r="I31" i="169" s="1"/>
  <c r="H31" i="169"/>
  <c r="F32" i="169"/>
  <c r="I32" i="169" s="1"/>
  <c r="H32" i="169"/>
  <c r="F33" i="169"/>
  <c r="H33" i="169"/>
  <c r="I33" i="169"/>
  <c r="F34" i="169"/>
  <c r="H34" i="169"/>
  <c r="I34" i="169"/>
  <c r="F35" i="169"/>
  <c r="H35" i="169"/>
  <c r="I35" i="169" s="1"/>
  <c r="F36" i="169"/>
  <c r="H36" i="169"/>
  <c r="I36" i="169"/>
  <c r="F37" i="169"/>
  <c r="H37" i="169"/>
  <c r="I37" i="169"/>
  <c r="F38" i="169"/>
  <c r="H38" i="169"/>
  <c r="I38" i="169"/>
  <c r="F39" i="169"/>
  <c r="H39" i="169"/>
  <c r="I39" i="169" s="1"/>
  <c r="F40" i="169"/>
  <c r="I40" i="169" s="1"/>
  <c r="H40" i="169"/>
  <c r="F41" i="169"/>
  <c r="H41" i="169"/>
  <c r="I41" i="169" s="1"/>
  <c r="F42" i="169"/>
  <c r="I42" i="169" s="1"/>
  <c r="H42" i="169"/>
  <c r="F43" i="169"/>
  <c r="I43" i="169" s="1"/>
  <c r="H43" i="169"/>
  <c r="F44" i="169"/>
  <c r="I44" i="169" s="1"/>
  <c r="H44" i="169"/>
  <c r="F45" i="169"/>
  <c r="H45" i="169"/>
  <c r="F46" i="169"/>
  <c r="H46" i="169"/>
  <c r="I46" i="169"/>
  <c r="F47" i="169"/>
  <c r="I47" i="169" s="1"/>
  <c r="H47" i="169"/>
  <c r="F48" i="169"/>
  <c r="H48" i="169"/>
  <c r="I48" i="169"/>
  <c r="F49" i="169"/>
  <c r="I49" i="169" s="1"/>
  <c r="H49" i="169"/>
  <c r="F50" i="169"/>
  <c r="I50" i="169" s="1"/>
  <c r="H50" i="169"/>
  <c r="F51" i="169"/>
  <c r="I51" i="169" s="1"/>
  <c r="H51" i="169"/>
  <c r="F52" i="169"/>
  <c r="I52" i="169" s="1"/>
  <c r="H52" i="169"/>
  <c r="F53" i="169"/>
  <c r="H53" i="169"/>
  <c r="I53" i="169" s="1"/>
  <c r="F54" i="169"/>
  <c r="H54" i="169"/>
  <c r="I54" i="169"/>
  <c r="F55" i="169"/>
  <c r="H55" i="169"/>
  <c r="F56" i="169"/>
  <c r="H56" i="169"/>
  <c r="I56" i="169"/>
  <c r="F57" i="169"/>
  <c r="H57" i="169"/>
  <c r="I57" i="169"/>
  <c r="F58" i="169"/>
  <c r="H58" i="169"/>
  <c r="I58" i="169"/>
  <c r="F59" i="169"/>
  <c r="H59" i="169"/>
  <c r="I59" i="169"/>
  <c r="F60" i="169"/>
  <c r="I60" i="169" s="1"/>
  <c r="H60" i="169"/>
  <c r="F61" i="169"/>
  <c r="H61" i="169"/>
  <c r="I61" i="169"/>
  <c r="F62" i="169"/>
  <c r="H62" i="169"/>
  <c r="F63" i="169"/>
  <c r="I63" i="169" s="1"/>
  <c r="H63" i="169"/>
  <c r="F64" i="169"/>
  <c r="H64" i="169"/>
  <c r="F65" i="169"/>
  <c r="I65" i="169" s="1"/>
  <c r="H65" i="169"/>
  <c r="F66" i="169"/>
  <c r="H66" i="169"/>
  <c r="I66" i="169"/>
  <c r="F67" i="169"/>
  <c r="I67" i="169" s="1"/>
  <c r="H67" i="169"/>
  <c r="F68" i="169"/>
  <c r="I68" i="169" s="1"/>
  <c r="H68" i="169"/>
  <c r="F69" i="169"/>
  <c r="I69" i="169" s="1"/>
  <c r="H69" i="169"/>
  <c r="F70" i="169"/>
  <c r="I70" i="169" s="1"/>
  <c r="H70" i="169"/>
  <c r="F71" i="169"/>
  <c r="I71" i="169" s="1"/>
  <c r="H71" i="169"/>
  <c r="F72" i="169"/>
  <c r="I72" i="169" s="1"/>
  <c r="H72" i="169"/>
  <c r="F73" i="169"/>
  <c r="H73" i="169"/>
  <c r="I73" i="169"/>
  <c r="F74" i="169"/>
  <c r="H74" i="169"/>
  <c r="I74" i="169"/>
  <c r="F75" i="169"/>
  <c r="H75" i="169"/>
  <c r="I75" i="169"/>
  <c r="F76" i="169"/>
  <c r="H76" i="169"/>
  <c r="I76" i="169"/>
  <c r="F77" i="169"/>
  <c r="H77" i="169"/>
  <c r="I77" i="169"/>
  <c r="F78" i="169"/>
  <c r="H78" i="169"/>
  <c r="I78" i="169"/>
  <c r="F79" i="169"/>
  <c r="H79" i="169"/>
  <c r="I79" i="169"/>
  <c r="F80" i="169"/>
  <c r="H80" i="169"/>
  <c r="F81" i="169"/>
  <c r="H81" i="169"/>
  <c r="I81" i="169" s="1"/>
  <c r="F82" i="169"/>
  <c r="I82" i="169" s="1"/>
  <c r="H82" i="169"/>
  <c r="F83" i="169"/>
  <c r="I83" i="169" s="1"/>
  <c r="H83" i="169"/>
  <c r="F84" i="169"/>
  <c r="I84" i="169" s="1"/>
  <c r="H84" i="169"/>
  <c r="F85" i="169"/>
  <c r="H85" i="169"/>
  <c r="F86" i="169"/>
  <c r="H86" i="169"/>
  <c r="I86" i="169"/>
  <c r="F87" i="169"/>
  <c r="I87" i="169" s="1"/>
  <c r="H87" i="169"/>
  <c r="F88" i="169"/>
  <c r="I88" i="169" s="1"/>
  <c r="H88" i="169"/>
  <c r="F89" i="169"/>
  <c r="I89" i="169" s="1"/>
  <c r="H89" i="169"/>
  <c r="F90" i="169"/>
  <c r="I90" i="169" s="1"/>
  <c r="H90" i="169"/>
  <c r="F91" i="169"/>
  <c r="I91" i="169" s="1"/>
  <c r="H91" i="169"/>
  <c r="F92" i="169"/>
  <c r="I92" i="169" s="1"/>
  <c r="H92" i="169"/>
  <c r="F93" i="169"/>
  <c r="H93" i="169"/>
  <c r="I93" i="169" s="1"/>
  <c r="F94" i="169"/>
  <c r="H94" i="169"/>
  <c r="I94" i="169"/>
  <c r="F95" i="169"/>
  <c r="H95" i="169"/>
  <c r="F96" i="169"/>
  <c r="H96" i="169"/>
  <c r="I96" i="169"/>
  <c r="F97" i="169"/>
  <c r="H97" i="169"/>
  <c r="I97" i="169"/>
  <c r="F98" i="169"/>
  <c r="H98" i="169"/>
  <c r="I98" i="169"/>
  <c r="F99" i="169"/>
  <c r="H99" i="169"/>
  <c r="I99" i="169"/>
  <c r="F100" i="169"/>
  <c r="I100" i="169" s="1"/>
  <c r="H100" i="169"/>
  <c r="F101" i="169"/>
  <c r="H101" i="169"/>
  <c r="I101" i="169"/>
  <c r="F102" i="169"/>
  <c r="H102" i="169"/>
  <c r="F103" i="169"/>
  <c r="I103" i="169" s="1"/>
  <c r="H103" i="169"/>
  <c r="F104" i="169"/>
  <c r="I104" i="169" s="1"/>
  <c r="H104" i="169"/>
  <c r="F105" i="169"/>
  <c r="I105" i="169" s="1"/>
  <c r="H105" i="169"/>
  <c r="F106" i="169"/>
  <c r="H106" i="169"/>
  <c r="I106" i="169"/>
  <c r="F107" i="169"/>
  <c r="I107" i="169" s="1"/>
  <c r="H107" i="169"/>
  <c r="F108" i="169"/>
  <c r="I108" i="169" s="1"/>
  <c r="H108" i="169"/>
  <c r="F109" i="169"/>
  <c r="I109" i="169" s="1"/>
  <c r="H109" i="169"/>
  <c r="F110" i="169"/>
  <c r="I110" i="169" s="1"/>
  <c r="H110" i="169"/>
  <c r="F111" i="169"/>
  <c r="I111" i="169" s="1"/>
  <c r="H111" i="169"/>
  <c r="F112" i="169"/>
  <c r="I112" i="169" s="1"/>
  <c r="H112" i="169"/>
  <c r="F113" i="169"/>
  <c r="H113" i="169"/>
  <c r="I113" i="169"/>
  <c r="F114" i="169"/>
  <c r="H114" i="169"/>
  <c r="I114" i="169"/>
  <c r="F115" i="169"/>
  <c r="H115" i="169"/>
  <c r="I115" i="169"/>
  <c r="F116" i="169"/>
  <c r="H116" i="169"/>
  <c r="I116" i="169"/>
  <c r="F117" i="169"/>
  <c r="H117" i="169"/>
  <c r="I117" i="169"/>
  <c r="F118" i="169"/>
  <c r="H118" i="169"/>
  <c r="I118" i="169"/>
  <c r="F119" i="169"/>
  <c r="H119" i="169"/>
  <c r="I119" i="169"/>
  <c r="F120" i="169"/>
  <c r="H120" i="169"/>
  <c r="F121" i="169"/>
  <c r="H121" i="169"/>
  <c r="I121" i="169"/>
  <c r="F122" i="169"/>
  <c r="I122" i="169" s="1"/>
  <c r="H122" i="169"/>
  <c r="F123" i="169"/>
  <c r="I123" i="169" s="1"/>
  <c r="H123" i="169"/>
  <c r="F124" i="169"/>
  <c r="I124" i="169" s="1"/>
  <c r="H124" i="169"/>
  <c r="F125" i="169"/>
  <c r="H125" i="169"/>
  <c r="F126" i="169"/>
  <c r="H126" i="169"/>
  <c r="I126" i="169"/>
  <c r="F127" i="169"/>
  <c r="I127" i="169" s="1"/>
  <c r="H127" i="169"/>
  <c r="F128" i="169"/>
  <c r="H128" i="169"/>
  <c r="I128" i="169"/>
  <c r="F129" i="169"/>
  <c r="I129" i="169" s="1"/>
  <c r="H129" i="169"/>
  <c r="F130" i="169"/>
  <c r="I130" i="169" s="1"/>
  <c r="H130" i="169"/>
  <c r="F131" i="169"/>
  <c r="I131" i="169" s="1"/>
  <c r="H131" i="169"/>
  <c r="F132" i="169"/>
  <c r="I132" i="169" s="1"/>
  <c r="H132" i="169"/>
  <c r="F133" i="169"/>
  <c r="H133" i="169"/>
  <c r="I133" i="169" s="1"/>
  <c r="F134" i="169"/>
  <c r="H134" i="169"/>
  <c r="I134" i="169"/>
  <c r="F135" i="169"/>
  <c r="H135" i="169"/>
  <c r="F136" i="169"/>
  <c r="H136" i="169"/>
  <c r="I136" i="169"/>
  <c r="F137" i="169"/>
  <c r="H137" i="169"/>
  <c r="I137" i="169"/>
  <c r="F138" i="169"/>
  <c r="H138" i="169"/>
  <c r="I138" i="169"/>
  <c r="F139" i="169"/>
  <c r="H139" i="169"/>
  <c r="I139" i="169" s="1"/>
  <c r="F140" i="169"/>
  <c r="I140" i="169" s="1"/>
  <c r="H140" i="169"/>
  <c r="F141" i="169"/>
  <c r="H141" i="169"/>
  <c r="I141" i="169" s="1"/>
  <c r="F142" i="169"/>
  <c r="H142" i="169"/>
  <c r="F143" i="169"/>
  <c r="I143" i="169" s="1"/>
  <c r="H143" i="169"/>
  <c r="F144" i="169"/>
  <c r="I144" i="169" s="1"/>
  <c r="H144" i="169"/>
  <c r="F145" i="169"/>
  <c r="H145" i="169"/>
  <c r="F146" i="169"/>
  <c r="H146" i="169"/>
  <c r="I146" i="169"/>
  <c r="F147" i="169"/>
  <c r="I147" i="169" s="1"/>
  <c r="H147" i="169"/>
  <c r="F148" i="169"/>
  <c r="H148" i="169"/>
  <c r="F149" i="169"/>
  <c r="I149" i="169" s="1"/>
  <c r="H149" i="169"/>
  <c r="F150" i="169"/>
  <c r="I150" i="169" s="1"/>
  <c r="H150" i="169"/>
  <c r="F151" i="169"/>
  <c r="I151" i="169" s="1"/>
  <c r="H151" i="169"/>
  <c r="F152" i="169"/>
  <c r="I152" i="169" s="1"/>
  <c r="H152" i="169"/>
  <c r="F153" i="169"/>
  <c r="H153" i="169"/>
  <c r="I153" i="169" s="1"/>
  <c r="F154" i="169"/>
  <c r="H154" i="169"/>
  <c r="I154" i="169"/>
  <c r="F155" i="169"/>
  <c r="I155" i="169" s="1"/>
  <c r="H155" i="169"/>
  <c r="F156" i="169"/>
  <c r="H156" i="169"/>
  <c r="I156" i="169"/>
  <c r="F157" i="169"/>
  <c r="H157" i="169"/>
  <c r="I157" i="169"/>
  <c r="F158" i="169"/>
  <c r="H158" i="169"/>
  <c r="I158" i="169"/>
  <c r="F159" i="169"/>
  <c r="H159" i="169"/>
  <c r="I159" i="169"/>
  <c r="F160" i="169"/>
  <c r="H160" i="169"/>
  <c r="F161" i="169"/>
  <c r="H161" i="169"/>
  <c r="I161" i="169"/>
  <c r="F162" i="169"/>
  <c r="I162" i="169" s="1"/>
  <c r="H162" i="169"/>
  <c r="F163" i="169"/>
  <c r="I163" i="169" s="1"/>
  <c r="H163" i="169"/>
  <c r="F164" i="169"/>
  <c r="I164" i="169" s="1"/>
  <c r="H164" i="169"/>
  <c r="F165" i="169"/>
  <c r="I165" i="169" s="1"/>
  <c r="H165" i="169"/>
  <c r="F166" i="169"/>
  <c r="H166" i="169"/>
  <c r="I166" i="169"/>
  <c r="F167" i="169"/>
  <c r="I167" i="169" s="1"/>
  <c r="H167" i="169"/>
  <c r="F168" i="169"/>
  <c r="H168" i="169"/>
  <c r="I168" i="169" s="1"/>
  <c r="F169" i="169"/>
  <c r="I169" i="169" s="1"/>
  <c r="H169" i="169"/>
  <c r="F170" i="169"/>
  <c r="I170" i="169" s="1"/>
  <c r="H170" i="169"/>
  <c r="F171" i="169"/>
  <c r="I171" i="169" s="1"/>
  <c r="H171" i="169"/>
  <c r="F172" i="169"/>
  <c r="I172" i="169" s="1"/>
  <c r="H172" i="169"/>
  <c r="F173" i="169"/>
  <c r="H173" i="169"/>
  <c r="I173" i="169" s="1"/>
  <c r="F174" i="169"/>
  <c r="H174" i="169"/>
  <c r="I174" i="169"/>
  <c r="F175" i="169"/>
  <c r="H175" i="169"/>
  <c r="I175" i="169" s="1"/>
  <c r="F176" i="169"/>
  <c r="H176" i="169"/>
  <c r="I176" i="169"/>
  <c r="F177" i="169"/>
  <c r="H177" i="169"/>
  <c r="I177" i="169"/>
  <c r="F178" i="169"/>
  <c r="H178" i="169"/>
  <c r="I178" i="169"/>
  <c r="F179" i="169"/>
  <c r="H179" i="169"/>
  <c r="I179" i="169" s="1"/>
  <c r="F180" i="169"/>
  <c r="I180" i="169" s="1"/>
  <c r="H180" i="169"/>
  <c r="F181" i="169"/>
  <c r="H181" i="169"/>
  <c r="I181" i="169"/>
  <c r="F182" i="169"/>
  <c r="H182" i="169"/>
  <c r="F183" i="169"/>
  <c r="I183" i="169" s="1"/>
  <c r="H183" i="169"/>
  <c r="F184" i="169"/>
  <c r="H184" i="169"/>
  <c r="F185" i="169"/>
  <c r="I185" i="169" s="1"/>
  <c r="H185" i="169"/>
  <c r="F186" i="169"/>
  <c r="H186" i="169"/>
  <c r="I186" i="169"/>
  <c r="F187" i="169"/>
  <c r="I187" i="169" s="1"/>
  <c r="H187" i="169"/>
  <c r="F188" i="169"/>
  <c r="H188" i="169"/>
  <c r="I188" i="169" s="1"/>
  <c r="F189" i="169"/>
  <c r="I189" i="169" s="1"/>
  <c r="H189" i="169"/>
  <c r="F190" i="169"/>
  <c r="I190" i="169" s="1"/>
  <c r="H190" i="169"/>
  <c r="F191" i="169"/>
  <c r="I191" i="169" s="1"/>
  <c r="H191" i="169"/>
  <c r="F192" i="169"/>
  <c r="I192" i="169" s="1"/>
  <c r="H192" i="169"/>
  <c r="F193" i="169"/>
  <c r="H193" i="169"/>
  <c r="I193" i="169"/>
  <c r="F194" i="169"/>
  <c r="H194" i="169"/>
  <c r="I194" i="169"/>
  <c r="F195" i="169"/>
  <c r="H195" i="169"/>
  <c r="F196" i="169"/>
  <c r="H196" i="169"/>
  <c r="I196" i="169"/>
  <c r="F197" i="169"/>
  <c r="H197" i="169"/>
  <c r="I197" i="169"/>
  <c r="F198" i="169"/>
  <c r="H198" i="169"/>
  <c r="I198" i="169"/>
  <c r="F199" i="169"/>
  <c r="H199" i="169"/>
  <c r="I199" i="169"/>
  <c r="F200" i="169"/>
  <c r="H200" i="169"/>
  <c r="F201" i="169"/>
  <c r="H201" i="169"/>
  <c r="I201" i="169"/>
  <c r="F202" i="169"/>
  <c r="H202" i="169"/>
  <c r="F203" i="169"/>
  <c r="I203" i="169" s="1"/>
  <c r="H203" i="169"/>
  <c r="F204" i="169"/>
  <c r="H204" i="169"/>
  <c r="F205" i="169"/>
  <c r="I205" i="169" s="1"/>
  <c r="H205" i="169"/>
  <c r="F206" i="169"/>
  <c r="H206" i="169"/>
  <c r="I206" i="169"/>
  <c r="F207" i="169"/>
  <c r="I207" i="169" s="1"/>
  <c r="H207" i="169"/>
  <c r="F208" i="169"/>
  <c r="I208" i="169" s="1"/>
  <c r="H208" i="169"/>
  <c r="F209" i="169"/>
  <c r="I209" i="169" s="1"/>
  <c r="H209" i="169"/>
  <c r="F210" i="169"/>
  <c r="I210" i="169" s="1"/>
  <c r="H210" i="169"/>
  <c r="F211" i="169"/>
  <c r="I211" i="169" s="1"/>
  <c r="H211" i="169"/>
  <c r="F212" i="169"/>
  <c r="I212" i="169" s="1"/>
  <c r="H212" i="169"/>
  <c r="F213" i="169"/>
  <c r="H213" i="169"/>
  <c r="I213" i="169" s="1"/>
  <c r="F214" i="169"/>
  <c r="H214" i="169"/>
  <c r="I214" i="169"/>
  <c r="F215" i="169"/>
  <c r="H215" i="169"/>
  <c r="I215" i="169" s="1"/>
  <c r="F216" i="169"/>
  <c r="H216" i="169"/>
  <c r="I216" i="169"/>
  <c r="F217" i="169"/>
  <c r="H217" i="169"/>
  <c r="I217" i="169"/>
  <c r="F218" i="169"/>
  <c r="H218" i="169"/>
  <c r="I218" i="169"/>
  <c r="F219" i="169"/>
  <c r="H219" i="169"/>
  <c r="I219" i="169" s="1"/>
  <c r="F220" i="169"/>
  <c r="H220" i="169"/>
  <c r="F221" i="169"/>
  <c r="H221" i="169"/>
  <c r="I221" i="169" s="1"/>
  <c r="F222" i="169"/>
  <c r="I222" i="169" s="1"/>
  <c r="H222" i="169"/>
  <c r="F223" i="169"/>
  <c r="I223" i="169" s="1"/>
  <c r="H223" i="169"/>
  <c r="F224" i="169"/>
  <c r="I224" i="169" s="1"/>
  <c r="H224" i="169"/>
  <c r="F225" i="169"/>
  <c r="I225" i="169" s="1"/>
  <c r="H225" i="169"/>
  <c r="F226" i="169"/>
  <c r="H226" i="169"/>
  <c r="I226" i="169"/>
  <c r="F227" i="169"/>
  <c r="I227" i="169" s="1"/>
  <c r="H227" i="169"/>
  <c r="F228" i="169"/>
  <c r="H228" i="169"/>
  <c r="I228" i="169"/>
  <c r="F229" i="169"/>
  <c r="I229" i="169" s="1"/>
  <c r="H229" i="169"/>
  <c r="F230" i="169"/>
  <c r="I230" i="169" s="1"/>
  <c r="H230" i="169"/>
  <c r="F231" i="169"/>
  <c r="I231" i="169" s="1"/>
  <c r="H231" i="169"/>
  <c r="F232" i="169"/>
  <c r="I232" i="169" s="1"/>
  <c r="H232" i="169"/>
  <c r="F233" i="169"/>
  <c r="H233" i="169"/>
  <c r="I233" i="169"/>
  <c r="F234" i="169"/>
  <c r="H234" i="169"/>
  <c r="I234" i="169"/>
  <c r="F235" i="169"/>
  <c r="I235" i="169" s="1"/>
  <c r="H235" i="169"/>
  <c r="F236" i="169"/>
  <c r="H236" i="169"/>
  <c r="I236" i="169"/>
  <c r="F237" i="169"/>
  <c r="H237" i="169"/>
  <c r="I237" i="169"/>
  <c r="F238" i="169"/>
  <c r="H238" i="169"/>
  <c r="I238" i="169"/>
  <c r="F239" i="169"/>
  <c r="H239" i="169"/>
  <c r="I239" i="169" s="1"/>
  <c r="F240" i="169"/>
  <c r="I240" i="169" s="1"/>
  <c r="H240" i="169"/>
  <c r="F241" i="169"/>
  <c r="H241" i="169"/>
  <c r="I241" i="169"/>
  <c r="F242" i="169"/>
  <c r="H242" i="169"/>
  <c r="F243" i="169"/>
  <c r="I243" i="169" s="1"/>
  <c r="H243" i="169"/>
  <c r="F244" i="169"/>
  <c r="I244" i="169" s="1"/>
  <c r="H244" i="169"/>
  <c r="F245" i="169"/>
  <c r="I245" i="169" s="1"/>
  <c r="H245" i="169"/>
  <c r="F246" i="169"/>
  <c r="H246" i="169"/>
  <c r="I246" i="169"/>
  <c r="F247" i="169"/>
  <c r="I247" i="169" s="1"/>
  <c r="H247" i="169"/>
  <c r="F248" i="169"/>
  <c r="I248" i="169" s="1"/>
  <c r="H248" i="169"/>
  <c r="F249" i="169"/>
  <c r="I249" i="169" s="1"/>
  <c r="H249" i="169"/>
  <c r="F250" i="169"/>
  <c r="I250" i="169" s="1"/>
  <c r="H250" i="169"/>
  <c r="F251" i="169"/>
  <c r="I251" i="169" s="1"/>
  <c r="H251" i="169"/>
  <c r="F252" i="169"/>
  <c r="I252" i="169" s="1"/>
  <c r="H252" i="169"/>
  <c r="F253" i="169"/>
  <c r="H253" i="169"/>
  <c r="I253" i="169"/>
  <c r="F254" i="169"/>
  <c r="H254" i="169"/>
  <c r="I254" i="169"/>
  <c r="F255" i="169"/>
  <c r="H255" i="169"/>
  <c r="I255" i="169" s="1"/>
  <c r="F256" i="169"/>
  <c r="H256" i="169"/>
  <c r="I256" i="169"/>
  <c r="F257" i="169"/>
  <c r="H257" i="169"/>
  <c r="I257" i="169"/>
  <c r="F258" i="169"/>
  <c r="H258" i="169"/>
  <c r="I258" i="169"/>
  <c r="F259" i="169"/>
  <c r="H259" i="169"/>
  <c r="I259" i="169" s="1"/>
  <c r="F260" i="169"/>
  <c r="I260" i="169" s="1"/>
  <c r="H260" i="169"/>
  <c r="F261" i="169"/>
  <c r="H261" i="169"/>
  <c r="I261" i="169" s="1"/>
  <c r="F262" i="169"/>
  <c r="I262" i="169" s="1"/>
  <c r="H262" i="169"/>
  <c r="F263" i="169"/>
  <c r="I263" i="169" s="1"/>
  <c r="H263" i="169"/>
  <c r="F264" i="169"/>
  <c r="H264" i="169"/>
  <c r="F265" i="169"/>
  <c r="I265" i="169" s="1"/>
  <c r="H265" i="169"/>
  <c r="F266" i="169"/>
  <c r="H266" i="169"/>
  <c r="I266" i="169"/>
  <c r="F267" i="169"/>
  <c r="I267" i="169" s="1"/>
  <c r="H267" i="169"/>
  <c r="F268" i="169"/>
  <c r="H268" i="169"/>
  <c r="F269" i="169"/>
  <c r="I269" i="169" s="1"/>
  <c r="H269" i="169"/>
  <c r="F270" i="169"/>
  <c r="I270" i="169" s="1"/>
  <c r="H270" i="169"/>
  <c r="F271" i="169"/>
  <c r="I271" i="169" s="1"/>
  <c r="H271" i="169"/>
  <c r="F272" i="169"/>
  <c r="I272" i="169" s="1"/>
  <c r="H272" i="169"/>
  <c r="F273" i="169"/>
  <c r="H273" i="169"/>
  <c r="I273" i="169"/>
  <c r="F274" i="169"/>
  <c r="H274" i="169"/>
  <c r="I274" i="169"/>
  <c r="F275" i="169"/>
  <c r="H275" i="169"/>
  <c r="I275" i="169" s="1"/>
  <c r="F276" i="169"/>
  <c r="H276" i="169"/>
  <c r="I276" i="169"/>
  <c r="F277" i="169"/>
  <c r="H277" i="169"/>
  <c r="I277" i="169"/>
  <c r="F278" i="169"/>
  <c r="H278" i="169"/>
  <c r="I278" i="169"/>
  <c r="F279" i="169"/>
  <c r="H279" i="169"/>
  <c r="I279" i="169" s="1"/>
  <c r="F280" i="169"/>
  <c r="I280" i="169" s="1"/>
  <c r="H280" i="169"/>
  <c r="F281" i="169"/>
  <c r="H281" i="169"/>
  <c r="I281" i="169"/>
  <c r="F282" i="169"/>
  <c r="I282" i="169" s="1"/>
  <c r="H282" i="169"/>
  <c r="F283" i="169"/>
  <c r="I283" i="169" s="1"/>
  <c r="H283" i="169"/>
  <c r="F284" i="169"/>
  <c r="H284" i="169"/>
  <c r="F285" i="169"/>
  <c r="I285" i="169" s="1"/>
  <c r="H285" i="169"/>
  <c r="F286" i="169"/>
  <c r="H286" i="169"/>
  <c r="I286" i="169"/>
  <c r="F287" i="169"/>
  <c r="I287" i="169" s="1"/>
  <c r="H287" i="169"/>
  <c r="F288" i="169"/>
  <c r="I288" i="169" s="1"/>
  <c r="H288" i="169"/>
  <c r="F289" i="169"/>
  <c r="I289" i="169" s="1"/>
  <c r="H289" i="169"/>
  <c r="F290" i="169"/>
  <c r="I290" i="169" s="1"/>
  <c r="H290" i="169"/>
  <c r="F291" i="169"/>
  <c r="I291" i="169" s="1"/>
  <c r="H291" i="169"/>
  <c r="F292" i="169"/>
  <c r="I292" i="169" s="1"/>
  <c r="H292" i="169"/>
  <c r="F293" i="169"/>
  <c r="H293" i="169"/>
  <c r="I293" i="169" s="1"/>
  <c r="F294" i="169"/>
  <c r="H294" i="169"/>
  <c r="I294" i="169"/>
  <c r="F295" i="169"/>
  <c r="I295" i="169" s="1"/>
  <c r="H295" i="169"/>
  <c r="F296" i="169"/>
  <c r="H296" i="169"/>
  <c r="I296" i="169"/>
  <c r="F297" i="169"/>
  <c r="H297" i="169"/>
  <c r="I297" i="169"/>
  <c r="F298" i="169"/>
  <c r="H298" i="169"/>
  <c r="I298" i="169"/>
  <c r="F299" i="169"/>
  <c r="H299" i="169"/>
  <c r="I299" i="169" s="1"/>
  <c r="F300" i="169"/>
  <c r="I300" i="169" s="1"/>
  <c r="H300" i="169"/>
  <c r="F301" i="169"/>
  <c r="H301" i="169"/>
  <c r="I301" i="169"/>
  <c r="F302" i="169"/>
  <c r="I302" i="169" s="1"/>
  <c r="H302" i="169"/>
  <c r="F303" i="169"/>
  <c r="I303" i="169" s="1"/>
  <c r="H303" i="169"/>
  <c r="F304" i="169"/>
  <c r="I304" i="169" s="1"/>
  <c r="H304" i="169"/>
  <c r="F305" i="169"/>
  <c r="H305" i="169"/>
  <c r="F306" i="169"/>
  <c r="H306" i="169"/>
  <c r="I306" i="169"/>
  <c r="F307" i="169"/>
  <c r="I307" i="169" s="1"/>
  <c r="H307" i="169"/>
  <c r="F308" i="169"/>
  <c r="H308" i="169"/>
  <c r="I308" i="169"/>
  <c r="F309" i="169"/>
  <c r="I309" i="169" s="1"/>
  <c r="H309" i="169"/>
  <c r="F310" i="169"/>
  <c r="I310" i="169" s="1"/>
  <c r="H310" i="169"/>
  <c r="F311" i="169"/>
  <c r="I311" i="169" s="1"/>
  <c r="H311" i="169"/>
  <c r="F312" i="169"/>
  <c r="I312" i="169" s="1"/>
  <c r="H312" i="169"/>
  <c r="F313" i="169"/>
  <c r="H313" i="169"/>
  <c r="I313" i="169"/>
  <c r="F314" i="169"/>
  <c r="H314" i="169"/>
  <c r="I314" i="169"/>
  <c r="F315" i="169"/>
  <c r="H315" i="169"/>
  <c r="I315" i="169"/>
  <c r="F316" i="169"/>
  <c r="H316" i="169"/>
  <c r="I316" i="169"/>
  <c r="F317" i="169"/>
  <c r="H317" i="169"/>
  <c r="I317" i="169"/>
  <c r="F318" i="169"/>
  <c r="H318" i="169"/>
  <c r="I318" i="169"/>
  <c r="F319" i="169"/>
  <c r="H319" i="169"/>
  <c r="I319" i="169" s="1"/>
  <c r="F320" i="169"/>
  <c r="I320" i="169" s="1"/>
  <c r="H320" i="169"/>
  <c r="F321" i="169"/>
  <c r="H321" i="169"/>
  <c r="I321" i="169" s="1"/>
  <c r="F322" i="169"/>
  <c r="H322" i="169"/>
  <c r="F323" i="169"/>
  <c r="I323" i="169" s="1"/>
  <c r="H323" i="169"/>
  <c r="F324" i="169"/>
  <c r="I324" i="169" s="1"/>
  <c r="H324" i="169"/>
  <c r="F325" i="169"/>
  <c r="I325" i="169" s="1"/>
  <c r="H325" i="169"/>
  <c r="F326" i="169"/>
  <c r="H326" i="169"/>
  <c r="I326" i="169"/>
  <c r="F327" i="169"/>
  <c r="I327" i="169" s="1"/>
  <c r="H327" i="169"/>
  <c r="F328" i="169"/>
  <c r="H328" i="169"/>
  <c r="I328" i="169"/>
  <c r="F329" i="169"/>
  <c r="I329" i="169" s="1"/>
  <c r="H329" i="169"/>
  <c r="F330" i="169"/>
  <c r="I330" i="169" s="1"/>
  <c r="H330" i="169"/>
  <c r="F331" i="169"/>
  <c r="I331" i="169" s="1"/>
  <c r="H331" i="169"/>
  <c r="F332" i="169"/>
  <c r="I332" i="169" s="1"/>
  <c r="H332" i="169"/>
  <c r="F333" i="169"/>
  <c r="H333" i="169"/>
  <c r="I333" i="169"/>
  <c r="F334" i="169"/>
  <c r="H334" i="169"/>
  <c r="I334" i="169"/>
  <c r="F335" i="169"/>
  <c r="H335" i="169"/>
  <c r="F336" i="169"/>
  <c r="H336" i="169"/>
  <c r="I336" i="169"/>
  <c r="F337" i="169"/>
  <c r="H337" i="169"/>
  <c r="I337" i="169"/>
  <c r="F338" i="169"/>
  <c r="H338" i="169"/>
  <c r="I338" i="169"/>
  <c r="F339" i="169"/>
  <c r="H339" i="169"/>
  <c r="I339" i="169" s="1"/>
  <c r="F340" i="169"/>
  <c r="I340" i="169" s="1"/>
  <c r="H340" i="169"/>
  <c r="F341" i="169"/>
  <c r="H341" i="169"/>
  <c r="I341" i="169" s="1"/>
  <c r="F342" i="169"/>
  <c r="H342" i="169"/>
  <c r="F343" i="169"/>
  <c r="I343" i="169" s="1"/>
  <c r="H343" i="169"/>
  <c r="F344" i="169"/>
  <c r="I344" i="169" s="1"/>
  <c r="H344" i="169"/>
  <c r="F345" i="169"/>
  <c r="I345" i="169" s="1"/>
  <c r="H345" i="169"/>
  <c r="F346" i="169"/>
  <c r="H346" i="169"/>
  <c r="I346" i="169"/>
  <c r="F347" i="169"/>
  <c r="I347" i="169" s="1"/>
  <c r="H347" i="169"/>
  <c r="F348" i="169"/>
  <c r="H348" i="169"/>
  <c r="I348" i="169" s="1"/>
  <c r="F349" i="169"/>
  <c r="I349" i="169" s="1"/>
  <c r="H349" i="169"/>
  <c r="F350" i="169"/>
  <c r="I350" i="169" s="1"/>
  <c r="H350" i="169"/>
  <c r="F351" i="169"/>
  <c r="I351" i="169" s="1"/>
  <c r="H351" i="169"/>
  <c r="F352" i="169"/>
  <c r="I352" i="169" s="1"/>
  <c r="H352" i="169"/>
  <c r="F353" i="169"/>
  <c r="H353" i="169"/>
  <c r="I353" i="169"/>
  <c r="F354" i="169"/>
  <c r="H354" i="169"/>
  <c r="I354" i="169"/>
  <c r="F355" i="169"/>
  <c r="I355" i="169" s="1"/>
  <c r="H355" i="169"/>
  <c r="F356" i="169"/>
  <c r="H356" i="169"/>
  <c r="I356" i="169"/>
  <c r="F357" i="169"/>
  <c r="H357" i="169"/>
  <c r="I357" i="169"/>
  <c r="F358" i="169"/>
  <c r="H358" i="169"/>
  <c r="I358" i="169"/>
  <c r="F359" i="169"/>
  <c r="H359" i="169"/>
  <c r="I359" i="169"/>
  <c r="F360" i="169"/>
  <c r="H360" i="169"/>
  <c r="F361" i="169"/>
  <c r="H361" i="169"/>
  <c r="I361" i="169" s="1"/>
  <c r="F362" i="169"/>
  <c r="I362" i="169" s="1"/>
  <c r="H362" i="169"/>
  <c r="F363" i="169"/>
  <c r="I363" i="169" s="1"/>
  <c r="H363" i="169"/>
  <c r="F364" i="169"/>
  <c r="H364" i="169"/>
  <c r="F365" i="169"/>
  <c r="I365" i="169" s="1"/>
  <c r="H365" i="169"/>
  <c r="F366" i="169"/>
  <c r="H366" i="169"/>
  <c r="I366" i="169"/>
  <c r="F367" i="169"/>
  <c r="I367" i="169" s="1"/>
  <c r="H367" i="169"/>
  <c r="F368" i="169"/>
  <c r="I368" i="169" s="1"/>
  <c r="H368" i="169"/>
  <c r="F369" i="169"/>
  <c r="I369" i="169" s="1"/>
  <c r="H369" i="169"/>
  <c r="F370" i="169"/>
  <c r="I370" i="169" s="1"/>
  <c r="H370" i="169"/>
  <c r="F371" i="169"/>
  <c r="I371" i="169" s="1"/>
  <c r="H371" i="169"/>
  <c r="F372" i="169"/>
  <c r="I372" i="169" s="1"/>
  <c r="H372" i="169"/>
  <c r="F373" i="169"/>
  <c r="H373" i="169"/>
  <c r="I373" i="169"/>
  <c r="F374" i="169"/>
  <c r="H374" i="169"/>
  <c r="I374" i="169"/>
  <c r="F375" i="169"/>
  <c r="H375" i="169"/>
  <c r="I375" i="169"/>
  <c r="F376" i="169"/>
  <c r="H376" i="169"/>
  <c r="I376" i="169"/>
  <c r="F377" i="169"/>
  <c r="H377" i="169"/>
  <c r="I377" i="169"/>
  <c r="F378" i="169"/>
  <c r="H378" i="169"/>
  <c r="I378" i="169"/>
  <c r="F379" i="169"/>
  <c r="H379" i="169"/>
  <c r="I379" i="169"/>
  <c r="F380" i="169"/>
  <c r="H380" i="169"/>
  <c r="F381" i="169"/>
  <c r="H381" i="169"/>
  <c r="I381" i="169" s="1"/>
  <c r="F382" i="169"/>
  <c r="H382" i="169"/>
  <c r="F383" i="169"/>
  <c r="I383" i="169" s="1"/>
  <c r="H383" i="169"/>
  <c r="F384" i="169"/>
  <c r="I384" i="169" s="1"/>
  <c r="H384" i="169"/>
  <c r="F385" i="169"/>
  <c r="I385" i="169" s="1"/>
  <c r="H385" i="169"/>
  <c r="F386" i="169"/>
  <c r="H386" i="169"/>
  <c r="I386" i="169"/>
  <c r="F387" i="169"/>
  <c r="I387" i="169" s="1"/>
  <c r="H387" i="169"/>
  <c r="F388" i="169"/>
  <c r="I388" i="169" s="1"/>
  <c r="H388" i="169"/>
  <c r="F389" i="169"/>
  <c r="I389" i="169" s="1"/>
  <c r="H389" i="169"/>
  <c r="F390" i="169"/>
  <c r="I390" i="169" s="1"/>
  <c r="H390" i="169"/>
  <c r="F391" i="169"/>
  <c r="I391" i="169" s="1"/>
  <c r="H391" i="169"/>
  <c r="F392" i="169"/>
  <c r="I392" i="169" s="1"/>
  <c r="H392" i="169"/>
  <c r="F393" i="169"/>
  <c r="H393" i="169"/>
  <c r="I393" i="169"/>
  <c r="F394" i="169"/>
  <c r="H394" i="169"/>
  <c r="I394" i="169"/>
  <c r="F395" i="169"/>
  <c r="H395" i="169"/>
  <c r="I395" i="169"/>
  <c r="F396" i="169"/>
  <c r="H396" i="169"/>
  <c r="I396" i="169"/>
  <c r="F397" i="169"/>
  <c r="H397" i="169"/>
  <c r="I397" i="169"/>
  <c r="F398" i="169"/>
  <c r="H398" i="169"/>
  <c r="I398" i="169"/>
  <c r="F399" i="169"/>
  <c r="H399" i="169"/>
  <c r="I399" i="169" s="1"/>
  <c r="F400" i="169"/>
  <c r="I400" i="169" s="1"/>
  <c r="H400" i="169"/>
  <c r="F401" i="169"/>
  <c r="H401" i="169"/>
  <c r="I401" i="169"/>
  <c r="F402" i="169"/>
  <c r="H402" i="169"/>
  <c r="F403" i="169"/>
  <c r="H403" i="169"/>
  <c r="F404" i="169"/>
  <c r="I404" i="169" s="1"/>
  <c r="H404" i="169"/>
  <c r="F405" i="169"/>
  <c r="H405" i="169"/>
  <c r="F406" i="169"/>
  <c r="H406" i="169"/>
  <c r="I406" i="169"/>
  <c r="F407" i="169"/>
  <c r="I407" i="169" s="1"/>
  <c r="H407" i="169"/>
  <c r="F408" i="169"/>
  <c r="I408" i="169" s="1"/>
  <c r="H408" i="169"/>
  <c r="F409" i="169"/>
  <c r="I409" i="169" s="1"/>
  <c r="H409" i="169"/>
  <c r="F410" i="169"/>
  <c r="I410" i="169" s="1"/>
  <c r="H410" i="169"/>
  <c r="F411" i="169"/>
  <c r="I411" i="169" s="1"/>
  <c r="H411" i="169"/>
  <c r="F412" i="169"/>
  <c r="I412" i="169" s="1"/>
  <c r="H412" i="169"/>
  <c r="F413" i="169"/>
  <c r="H413" i="169"/>
  <c r="I413" i="169" s="1"/>
  <c r="F414" i="169"/>
  <c r="H414" i="169"/>
  <c r="I414" i="169"/>
  <c r="F415" i="169"/>
  <c r="H415" i="169"/>
  <c r="I415" i="169"/>
  <c r="F416" i="169"/>
  <c r="H416" i="169"/>
  <c r="I416" i="169"/>
  <c r="F417" i="169"/>
  <c r="H417" i="169"/>
  <c r="I417" i="169"/>
  <c r="F418" i="169"/>
  <c r="H418" i="169"/>
  <c r="I418" i="169"/>
  <c r="F419" i="169"/>
  <c r="I419" i="169" s="1"/>
  <c r="H419" i="169"/>
  <c r="F420" i="169"/>
  <c r="H420" i="169"/>
  <c r="F421" i="169"/>
  <c r="H421" i="169"/>
  <c r="I421" i="169"/>
  <c r="F422" i="169"/>
  <c r="I422" i="169" s="1"/>
  <c r="H422" i="169"/>
  <c r="F423" i="169"/>
  <c r="H423" i="169"/>
  <c r="F424" i="169"/>
  <c r="I424" i="169" s="1"/>
  <c r="H424" i="169"/>
  <c r="F425" i="169"/>
  <c r="I425" i="169" s="1"/>
  <c r="H425" i="169"/>
  <c r="F426" i="169"/>
  <c r="H426" i="169"/>
  <c r="I426" i="169"/>
  <c r="F427" i="169"/>
  <c r="I427" i="169" s="1"/>
  <c r="H427" i="169"/>
  <c r="F428" i="169"/>
  <c r="H428" i="169"/>
  <c r="I428" i="169"/>
  <c r="F429" i="169"/>
  <c r="I429" i="169" s="1"/>
  <c r="H429" i="169"/>
  <c r="F430" i="169"/>
  <c r="I430" i="169" s="1"/>
  <c r="H430" i="169"/>
  <c r="F431" i="169"/>
  <c r="I431" i="169" s="1"/>
  <c r="H431" i="169"/>
  <c r="F432" i="169"/>
  <c r="I432" i="169" s="1"/>
  <c r="H432" i="169"/>
  <c r="F433" i="169"/>
  <c r="H433" i="169"/>
  <c r="I433" i="169" s="1"/>
  <c r="F434" i="169"/>
  <c r="H434" i="169"/>
  <c r="I434" i="169"/>
  <c r="F435" i="169"/>
  <c r="I435" i="169" s="1"/>
  <c r="H435" i="169"/>
  <c r="F436" i="169"/>
  <c r="H436" i="169"/>
  <c r="I436" i="169" s="1"/>
  <c r="F437" i="169"/>
  <c r="H437" i="169"/>
  <c r="I437" i="169"/>
  <c r="F438" i="169"/>
  <c r="H438" i="169"/>
  <c r="I438" i="169"/>
  <c r="F439" i="169"/>
  <c r="I439" i="169" s="1"/>
  <c r="H439" i="169"/>
  <c r="F440" i="169"/>
  <c r="H440" i="169"/>
  <c r="F441" i="169"/>
  <c r="H441" i="169"/>
  <c r="I441" i="169" s="1"/>
  <c r="F442" i="169"/>
  <c r="H442" i="169"/>
  <c r="F443" i="169"/>
  <c r="I443" i="169" s="1"/>
  <c r="H443" i="169"/>
  <c r="F444" i="169"/>
  <c r="I444" i="169" s="1"/>
  <c r="H444" i="169"/>
  <c r="F445" i="169"/>
  <c r="I445" i="169" s="1"/>
  <c r="H445" i="169"/>
  <c r="F446" i="169"/>
  <c r="H446" i="169"/>
  <c r="I446" i="169"/>
  <c r="F447" i="169"/>
  <c r="I447" i="169" s="1"/>
  <c r="H447" i="169"/>
  <c r="F448" i="169"/>
  <c r="H448" i="169"/>
  <c r="F449" i="169"/>
  <c r="H449" i="169"/>
  <c r="I449" i="169"/>
  <c r="F450" i="169"/>
  <c r="I450" i="169" s="1"/>
  <c r="H450" i="169"/>
  <c r="F451" i="169"/>
  <c r="I451" i="169" s="1"/>
  <c r="H451" i="169"/>
  <c r="F452" i="169"/>
  <c r="I452" i="169" s="1"/>
  <c r="H452" i="169"/>
  <c r="F453" i="169"/>
  <c r="H453" i="169"/>
  <c r="I453" i="169"/>
  <c r="F454" i="169"/>
  <c r="H454" i="169"/>
  <c r="I454" i="169"/>
  <c r="F455" i="169"/>
  <c r="H455" i="169"/>
  <c r="I455" i="169"/>
  <c r="F456" i="169"/>
  <c r="H456" i="169"/>
  <c r="I456" i="169" s="1"/>
  <c r="F457" i="169"/>
  <c r="H457" i="169"/>
  <c r="I457" i="169"/>
  <c r="F458" i="169"/>
  <c r="H458" i="169"/>
  <c r="I458" i="169"/>
  <c r="F459" i="169"/>
  <c r="H459" i="169"/>
  <c r="I459" i="169"/>
  <c r="F460" i="169"/>
  <c r="I460" i="169" s="1"/>
  <c r="H460" i="169"/>
  <c r="F461" i="169"/>
  <c r="H461" i="169"/>
  <c r="I461" i="169"/>
  <c r="F462" i="169"/>
  <c r="I462" i="169" s="1"/>
  <c r="H462" i="169"/>
  <c r="F463" i="169"/>
  <c r="H463" i="169"/>
  <c r="F464" i="169"/>
  <c r="I464" i="169" s="1"/>
  <c r="H464" i="169"/>
  <c r="F465" i="169"/>
  <c r="H465" i="169"/>
  <c r="F466" i="169"/>
  <c r="H466" i="169"/>
  <c r="I466" i="169"/>
  <c r="F467" i="169"/>
  <c r="I467" i="169" s="1"/>
  <c r="H467" i="169"/>
  <c r="F468" i="169"/>
  <c r="H468" i="169"/>
  <c r="I468" i="169"/>
  <c r="F469" i="169"/>
  <c r="I469" i="169" s="1"/>
  <c r="H469" i="169"/>
  <c r="F470" i="169"/>
  <c r="I470" i="169" s="1"/>
  <c r="H470" i="169"/>
  <c r="F471" i="169"/>
  <c r="I471" i="169" s="1"/>
  <c r="H471" i="169"/>
  <c r="F472" i="169"/>
  <c r="I472" i="169" s="1"/>
  <c r="H472" i="169"/>
  <c r="F473" i="169"/>
  <c r="H473" i="169"/>
  <c r="I473" i="169"/>
  <c r="F474" i="169"/>
  <c r="H474" i="169"/>
  <c r="I474" i="169"/>
  <c r="F475" i="169"/>
  <c r="H475" i="169"/>
  <c r="I475" i="169"/>
  <c r="F476" i="169"/>
  <c r="H476" i="169"/>
  <c r="I476" i="169"/>
  <c r="F477" i="169"/>
  <c r="H477" i="169"/>
  <c r="I477" i="169"/>
  <c r="F478" i="169"/>
  <c r="H478" i="169"/>
  <c r="I478" i="169"/>
  <c r="F479" i="169"/>
  <c r="I479" i="169" s="1"/>
  <c r="H479" i="169"/>
  <c r="F480" i="169"/>
  <c r="I480" i="169" s="1"/>
  <c r="H480" i="169"/>
  <c r="F481" i="169"/>
  <c r="H481" i="169"/>
  <c r="I481" i="169"/>
  <c r="F482" i="169"/>
  <c r="H482" i="169"/>
  <c r="F483" i="169"/>
  <c r="H483" i="169"/>
  <c r="F484" i="169"/>
  <c r="H484" i="169"/>
  <c r="F485" i="169"/>
  <c r="I485" i="169" s="1"/>
  <c r="H485" i="169"/>
  <c r="F486" i="169"/>
  <c r="H486" i="169"/>
  <c r="I486" i="169"/>
  <c r="F487" i="169"/>
  <c r="I487" i="169" s="1"/>
  <c r="H487" i="169"/>
  <c r="F488" i="169"/>
  <c r="I488" i="169" s="1"/>
  <c r="H488" i="169"/>
  <c r="F489" i="169"/>
  <c r="H489" i="169"/>
  <c r="I489" i="169"/>
  <c r="F490" i="169"/>
  <c r="I490" i="169" s="1"/>
  <c r="H490" i="169"/>
  <c r="F491" i="169"/>
  <c r="I491" i="169" s="1"/>
  <c r="H491" i="169"/>
  <c r="F492" i="169"/>
  <c r="I492" i="169" s="1"/>
  <c r="H492" i="169"/>
  <c r="F493" i="169"/>
  <c r="H493" i="169"/>
  <c r="I493" i="169"/>
  <c r="F494" i="169"/>
  <c r="H494" i="169"/>
  <c r="I494" i="169"/>
  <c r="F495" i="169"/>
  <c r="H495" i="169"/>
  <c r="I495" i="169" s="1"/>
  <c r="F496" i="169"/>
  <c r="H496" i="169"/>
  <c r="I496" i="169" s="1"/>
  <c r="F497" i="169"/>
  <c r="H497" i="169"/>
  <c r="I497" i="169"/>
  <c r="F498" i="169"/>
  <c r="H498" i="169"/>
  <c r="I498" i="169"/>
  <c r="F499" i="169"/>
  <c r="H499" i="169"/>
  <c r="I499" i="169"/>
  <c r="F500" i="169"/>
  <c r="H500" i="169"/>
  <c r="F501" i="169"/>
  <c r="H501" i="169"/>
  <c r="I501" i="169" s="1"/>
  <c r="F502" i="169"/>
  <c r="H502" i="169"/>
  <c r="F503" i="169"/>
  <c r="I503" i="169" s="1"/>
  <c r="H503" i="169"/>
  <c r="F504" i="169"/>
  <c r="I504" i="169" s="1"/>
  <c r="H504" i="169"/>
  <c r="F505" i="169"/>
  <c r="I505" i="169" s="1"/>
  <c r="H505" i="169"/>
  <c r="F506" i="169"/>
  <c r="H506" i="169"/>
  <c r="I506" i="169"/>
  <c r="F507" i="169"/>
  <c r="I507" i="169" s="1"/>
  <c r="H507" i="169"/>
  <c r="F508" i="169"/>
  <c r="H508" i="169"/>
  <c r="I508" i="169"/>
  <c r="F509" i="169"/>
  <c r="H509" i="169"/>
  <c r="I509" i="169"/>
  <c r="F510" i="169"/>
  <c r="I510" i="169" s="1"/>
  <c r="H510" i="169"/>
  <c r="F511" i="169"/>
  <c r="I511" i="169" s="1"/>
  <c r="H511" i="169"/>
  <c r="F512" i="169"/>
  <c r="I512" i="169" s="1"/>
  <c r="H512" i="169"/>
  <c r="F513" i="169"/>
  <c r="H513" i="169"/>
  <c r="I513" i="169" s="1"/>
  <c r="F514" i="169"/>
  <c r="H514" i="169"/>
  <c r="I514" i="169"/>
  <c r="F515" i="169"/>
  <c r="H515" i="169"/>
  <c r="I515" i="169"/>
  <c r="F516" i="169"/>
  <c r="H516" i="169"/>
  <c r="I516" i="169"/>
  <c r="F517" i="169"/>
  <c r="H517" i="169"/>
  <c r="I517" i="169"/>
  <c r="F518" i="169"/>
  <c r="H518" i="169"/>
  <c r="I518" i="169"/>
  <c r="F519" i="169"/>
  <c r="H519" i="169"/>
  <c r="I519" i="169"/>
  <c r="F520" i="169"/>
  <c r="I520" i="169" s="1"/>
  <c r="H520" i="169"/>
  <c r="F521" i="169"/>
  <c r="H521" i="169"/>
  <c r="I521" i="169" s="1"/>
  <c r="F522" i="169"/>
  <c r="H522" i="169"/>
  <c r="I522" i="169"/>
  <c r="F523" i="169"/>
  <c r="H523" i="169"/>
  <c r="F524" i="169"/>
  <c r="H524" i="169"/>
  <c r="F525" i="169"/>
  <c r="I525" i="169" s="1"/>
  <c r="H525" i="169"/>
  <c r="F526" i="169"/>
  <c r="H526" i="169"/>
  <c r="I526" i="169"/>
  <c r="F527" i="169"/>
  <c r="I527" i="169" s="1"/>
  <c r="H527" i="169"/>
  <c r="F528" i="169"/>
  <c r="H528" i="169"/>
  <c r="I528" i="169" s="1"/>
  <c r="F529" i="169"/>
  <c r="H529" i="169"/>
  <c r="F530" i="169"/>
  <c r="I530" i="169" s="1"/>
  <c r="H530" i="169"/>
  <c r="F531" i="169"/>
  <c r="I531" i="169" s="1"/>
  <c r="H531" i="169"/>
  <c r="F532" i="169"/>
  <c r="I532" i="169" s="1"/>
  <c r="H532" i="169"/>
  <c r="F533" i="169"/>
  <c r="H533" i="169"/>
  <c r="I533" i="169" s="1"/>
  <c r="F534" i="169"/>
  <c r="H534" i="169"/>
  <c r="I534" i="169"/>
  <c r="F535" i="169"/>
  <c r="I535" i="169" s="1"/>
  <c r="H535" i="169"/>
  <c r="F536" i="169"/>
  <c r="I536" i="169" s="1"/>
  <c r="H536" i="169"/>
  <c r="F537" i="169"/>
  <c r="H537" i="169"/>
  <c r="I537" i="169"/>
  <c r="F538" i="169"/>
  <c r="H538" i="169"/>
  <c r="I538" i="169"/>
  <c r="F539" i="169"/>
  <c r="H539" i="169"/>
  <c r="I539" i="169"/>
  <c r="F540" i="169"/>
  <c r="I540" i="169" s="1"/>
  <c r="H540" i="169"/>
  <c r="F541" i="169"/>
  <c r="H541" i="169"/>
  <c r="I541" i="169"/>
  <c r="F542" i="169"/>
  <c r="I542" i="169" s="1"/>
  <c r="H542" i="169"/>
  <c r="F543" i="169"/>
  <c r="I543" i="169" s="1"/>
  <c r="H543" i="169"/>
  <c r="F544" i="169"/>
  <c r="I544" i="169" s="1"/>
  <c r="H544" i="169"/>
  <c r="F545" i="169"/>
  <c r="I545" i="169" s="1"/>
  <c r="H545" i="169"/>
  <c r="F546" i="169"/>
  <c r="H546" i="169"/>
  <c r="I546" i="169"/>
  <c r="F547" i="169"/>
  <c r="I547" i="169" s="1"/>
  <c r="H547" i="169"/>
  <c r="F548" i="169"/>
  <c r="H548" i="169"/>
  <c r="F549" i="169"/>
  <c r="H549" i="169"/>
  <c r="I549" i="169"/>
  <c r="F550" i="169"/>
  <c r="I550" i="169" s="1"/>
  <c r="H550" i="169"/>
  <c r="F551" i="169"/>
  <c r="I551" i="169" s="1"/>
  <c r="H551" i="169"/>
  <c r="F552" i="169"/>
  <c r="I552" i="169" s="1"/>
  <c r="H552" i="169"/>
  <c r="F553" i="169"/>
  <c r="H553" i="169"/>
  <c r="I553" i="169" s="1"/>
  <c r="F554" i="169"/>
  <c r="H554" i="169"/>
  <c r="I554" i="169"/>
  <c r="F555" i="169"/>
  <c r="H555" i="169"/>
  <c r="I555" i="169"/>
  <c r="F556" i="169"/>
  <c r="I556" i="169" s="1"/>
  <c r="H556" i="169"/>
  <c r="F557" i="169"/>
  <c r="H557" i="169"/>
  <c r="I557" i="169"/>
  <c r="F558" i="169"/>
  <c r="H558" i="169"/>
  <c r="I558" i="169"/>
  <c r="F559" i="169"/>
  <c r="I559" i="169" s="1"/>
  <c r="H559" i="169"/>
  <c r="F560" i="169"/>
  <c r="H560" i="169"/>
  <c r="F561" i="169"/>
  <c r="H561" i="169"/>
  <c r="I561" i="169"/>
  <c r="F562" i="169"/>
  <c r="H562" i="169"/>
  <c r="F563" i="169"/>
  <c r="H563" i="169"/>
  <c r="F564" i="169"/>
  <c r="I564" i="169" s="1"/>
  <c r="H564" i="169"/>
  <c r="F565" i="169"/>
  <c r="H565" i="169"/>
  <c r="B566" i="169"/>
  <c r="B567" i="169" s="1"/>
  <c r="B568" i="169" s="1"/>
  <c r="B569" i="169" s="1"/>
  <c r="B570" i="169" s="1"/>
  <c r="B571" i="169" s="1"/>
  <c r="B572" i="169" s="1"/>
  <c r="B573" i="169" s="1"/>
  <c r="B574" i="169" s="1"/>
  <c r="B575" i="169" s="1"/>
  <c r="B576" i="169" s="1"/>
  <c r="B577" i="169" s="1"/>
  <c r="B578" i="169" s="1"/>
  <c r="B579" i="169" s="1"/>
  <c r="B580" i="169" s="1"/>
  <c r="B581" i="169" s="1"/>
  <c r="B582" i="169" s="1"/>
  <c r="B583" i="169" s="1"/>
  <c r="B584" i="169" s="1"/>
  <c r="B585" i="169" s="1"/>
  <c r="B586" i="169" s="1"/>
  <c r="B587" i="169" s="1"/>
  <c r="B588" i="169" s="1"/>
  <c r="B589" i="169" s="1"/>
  <c r="B590" i="169" s="1"/>
  <c r="B591" i="169" s="1"/>
  <c r="B592" i="169" s="1"/>
  <c r="B593" i="169" s="1"/>
  <c r="B594" i="169" s="1"/>
  <c r="B595" i="169" s="1"/>
  <c r="B596" i="169" s="1"/>
  <c r="B597" i="169" s="1"/>
  <c r="B598" i="169" s="1"/>
  <c r="B599" i="169" s="1"/>
  <c r="B600" i="169" s="1"/>
  <c r="B601" i="169" s="1"/>
  <c r="B602" i="169" s="1"/>
  <c r="B603" i="169" s="1"/>
  <c r="B604" i="169" s="1"/>
  <c r="B605" i="169" s="1"/>
  <c r="B606" i="169" s="1"/>
  <c r="B607" i="169" s="1"/>
  <c r="B608" i="169" s="1"/>
  <c r="B609" i="169" s="1"/>
  <c r="B610" i="169" s="1"/>
  <c r="B611" i="169" s="1"/>
  <c r="B612" i="169" s="1"/>
  <c r="B613" i="169" s="1"/>
  <c r="B614" i="169" s="1"/>
  <c r="B615" i="169" s="1"/>
  <c r="B616" i="169" s="1"/>
  <c r="B617" i="169" s="1"/>
  <c r="B618" i="169" s="1"/>
  <c r="B619" i="169" s="1"/>
  <c r="B620" i="169" s="1"/>
  <c r="B621" i="169" s="1"/>
  <c r="B622" i="169" s="1"/>
  <c r="B623" i="169" s="1"/>
  <c r="B624" i="169" s="1"/>
  <c r="B625" i="169" s="1"/>
  <c r="B626" i="169" s="1"/>
  <c r="B627" i="169" s="1"/>
  <c r="B628" i="169" s="1"/>
  <c r="B629" i="169" s="1"/>
  <c r="B630" i="169" s="1"/>
  <c r="B631" i="169" s="1"/>
  <c r="B632" i="169" s="1"/>
  <c r="B633" i="169" s="1"/>
  <c r="B634" i="169" s="1"/>
  <c r="B635" i="169" s="1"/>
  <c r="B636" i="169" s="1"/>
  <c r="B637" i="169" s="1"/>
  <c r="B638" i="169" s="1"/>
  <c r="B639" i="169" s="1"/>
  <c r="B640" i="169" s="1"/>
  <c r="B641" i="169" s="1"/>
  <c r="B642" i="169" s="1"/>
  <c r="B643" i="169" s="1"/>
  <c r="B644" i="169" s="1"/>
  <c r="B645" i="169" s="1"/>
  <c r="B646" i="169" s="1"/>
  <c r="B647" i="169" s="1"/>
  <c r="B648" i="169" s="1"/>
  <c r="B649" i="169" s="1"/>
  <c r="B650" i="169" s="1"/>
  <c r="B651" i="169" s="1"/>
  <c r="B652" i="169" s="1"/>
  <c r="B653" i="169" s="1"/>
  <c r="B654" i="169" s="1"/>
  <c r="B655" i="169" s="1"/>
  <c r="B656" i="169" s="1"/>
  <c r="B657" i="169" s="1"/>
  <c r="B658" i="169" s="1"/>
  <c r="B659" i="169" s="1"/>
  <c r="B660" i="169" s="1"/>
  <c r="B661" i="169" s="1"/>
  <c r="B662" i="169" s="1"/>
  <c r="B663" i="169" s="1"/>
  <c r="B664" i="169" s="1"/>
  <c r="B665" i="169" s="1"/>
  <c r="B666" i="169" s="1"/>
  <c r="B667" i="169" s="1"/>
  <c r="B668" i="169" s="1"/>
  <c r="B669" i="169" s="1"/>
  <c r="B670" i="169" s="1"/>
  <c r="B671" i="169" s="1"/>
  <c r="B672" i="169" s="1"/>
  <c r="B673" i="169" s="1"/>
  <c r="B674" i="169" s="1"/>
  <c r="B675" i="169" s="1"/>
  <c r="B676" i="169" s="1"/>
  <c r="B677" i="169" s="1"/>
  <c r="B678" i="169" s="1"/>
  <c r="B679" i="169" s="1"/>
  <c r="B680" i="169" s="1"/>
  <c r="B681" i="169" s="1"/>
  <c r="B682" i="169" s="1"/>
  <c r="B683" i="169" s="1"/>
  <c r="B684" i="169" s="1"/>
  <c r="B685" i="169" s="1"/>
  <c r="B686" i="169" s="1"/>
  <c r="B687" i="169" s="1"/>
  <c r="B688" i="169" s="1"/>
  <c r="B689" i="169" s="1"/>
  <c r="B690" i="169" s="1"/>
  <c r="B691" i="169" s="1"/>
  <c r="B692" i="169" s="1"/>
  <c r="B693" i="169" s="1"/>
  <c r="B694" i="169" s="1"/>
  <c r="B695" i="169" s="1"/>
  <c r="B696" i="169" s="1"/>
  <c r="B697" i="169" s="1"/>
  <c r="B698" i="169" s="1"/>
  <c r="B699" i="169" s="1"/>
  <c r="B700" i="169" s="1"/>
  <c r="B701" i="169" s="1"/>
  <c r="B702" i="169" s="1"/>
  <c r="B703" i="169" s="1"/>
  <c r="B704" i="169" s="1"/>
  <c r="B705" i="169" s="1"/>
  <c r="B706" i="169" s="1"/>
  <c r="B707" i="169" s="1"/>
  <c r="B708" i="169" s="1"/>
  <c r="B709" i="169" s="1"/>
  <c r="B710" i="169" s="1"/>
  <c r="B711" i="169" s="1"/>
  <c r="B712" i="169" s="1"/>
  <c r="B713" i="169" s="1"/>
  <c r="B714" i="169" s="1"/>
  <c r="B715" i="169" s="1"/>
  <c r="B716" i="169" s="1"/>
  <c r="B717" i="169" s="1"/>
  <c r="B718" i="169" s="1"/>
  <c r="B719" i="169" s="1"/>
  <c r="B720" i="169" s="1"/>
  <c r="B721" i="169" s="1"/>
  <c r="B722" i="169" s="1"/>
  <c r="B723" i="169" s="1"/>
  <c r="B724" i="169" s="1"/>
  <c r="B725" i="169" s="1"/>
  <c r="B726" i="169" s="1"/>
  <c r="B727" i="169" s="1"/>
  <c r="B728" i="169" s="1"/>
  <c r="B729" i="169" s="1"/>
  <c r="B730" i="169" s="1"/>
  <c r="B731" i="169" s="1"/>
  <c r="B732" i="169" s="1"/>
  <c r="B733" i="169" s="1"/>
  <c r="B734" i="169" s="1"/>
  <c r="B735" i="169" s="1"/>
  <c r="B736" i="169" s="1"/>
  <c r="B737" i="169" s="1"/>
  <c r="B738" i="169" s="1"/>
  <c r="B739" i="169" s="1"/>
  <c r="B740" i="169" s="1"/>
  <c r="B741" i="169" s="1"/>
  <c r="B742" i="169" s="1"/>
  <c r="B743" i="169" s="1"/>
  <c r="B744" i="169" s="1"/>
  <c r="B745" i="169" s="1"/>
  <c r="B746" i="169" s="1"/>
  <c r="B747" i="169" s="1"/>
  <c r="B748" i="169" s="1"/>
  <c r="B749" i="169" s="1"/>
  <c r="B750" i="169" s="1"/>
  <c r="B751" i="169" s="1"/>
  <c r="B752" i="169" s="1"/>
  <c r="B753" i="169" s="1"/>
  <c r="B754" i="169" s="1"/>
  <c r="B755" i="169" s="1"/>
  <c r="B756" i="169" s="1"/>
  <c r="B757" i="169" s="1"/>
  <c r="B758" i="169" s="1"/>
  <c r="B759" i="169" s="1"/>
  <c r="B760" i="169" s="1"/>
  <c r="B761" i="169" s="1"/>
  <c r="B762" i="169" s="1"/>
  <c r="B763" i="169" s="1"/>
  <c r="B764" i="169" s="1"/>
  <c r="B765" i="169" s="1"/>
  <c r="B766" i="169" s="1"/>
  <c r="B767" i="169" s="1"/>
  <c r="B768" i="169" s="1"/>
  <c r="B769" i="169" s="1"/>
  <c r="B770" i="169" s="1"/>
  <c r="B771" i="169" s="1"/>
  <c r="B772" i="169" s="1"/>
  <c r="B773" i="169" s="1"/>
  <c r="B774" i="169" s="1"/>
  <c r="B775" i="169" s="1"/>
  <c r="B776" i="169" s="1"/>
  <c r="B777" i="169" s="1"/>
  <c r="B778" i="169" s="1"/>
  <c r="B779" i="169" s="1"/>
  <c r="B780" i="169" s="1"/>
  <c r="B781" i="169" s="1"/>
  <c r="B782" i="169" s="1"/>
  <c r="B783" i="169" s="1"/>
  <c r="B784" i="169" s="1"/>
  <c r="B785" i="169" s="1"/>
  <c r="B786" i="169" s="1"/>
  <c r="B787" i="169" s="1"/>
  <c r="B788" i="169" s="1"/>
  <c r="B789" i="169" s="1"/>
  <c r="B790" i="169" s="1"/>
  <c r="B791" i="169" s="1"/>
  <c r="B792" i="169" s="1"/>
  <c r="B793" i="169" s="1"/>
  <c r="B794" i="169" s="1"/>
  <c r="B795" i="169" s="1"/>
  <c r="B796" i="169" s="1"/>
  <c r="B797" i="169" s="1"/>
  <c r="B798" i="169" s="1"/>
  <c r="B799" i="169" s="1"/>
  <c r="B800" i="169" s="1"/>
  <c r="B801" i="169" s="1"/>
  <c r="B802" i="169" s="1"/>
  <c r="B803" i="169" s="1"/>
  <c r="B804" i="169" s="1"/>
  <c r="B805" i="169" s="1"/>
  <c r="B806" i="169" s="1"/>
  <c r="B807" i="169" s="1"/>
  <c r="B808" i="169" s="1"/>
  <c r="B809" i="169" s="1"/>
  <c r="B810" i="169" s="1"/>
  <c r="B811" i="169" s="1"/>
  <c r="B812" i="169" s="1"/>
  <c r="B813" i="169" s="1"/>
  <c r="B814" i="169" s="1"/>
  <c r="B815" i="169" s="1"/>
  <c r="B816" i="169" s="1"/>
  <c r="B817" i="169" s="1"/>
  <c r="B818" i="169" s="1"/>
  <c r="B819" i="169" s="1"/>
  <c r="B820" i="169" s="1"/>
  <c r="B821" i="169" s="1"/>
  <c r="B822" i="169" s="1"/>
  <c r="B823" i="169" s="1"/>
  <c r="B824" i="169" s="1"/>
  <c r="B825" i="169" s="1"/>
  <c r="B826" i="169" s="1"/>
  <c r="B827" i="169" s="1"/>
  <c r="B828" i="169" s="1"/>
  <c r="B829" i="169" s="1"/>
  <c r="B830" i="169" s="1"/>
  <c r="B831" i="169" s="1"/>
  <c r="B832" i="169" s="1"/>
  <c r="B833" i="169" s="1"/>
  <c r="B834" i="169" s="1"/>
  <c r="B835" i="169" s="1"/>
  <c r="B836" i="169" s="1"/>
  <c r="B837" i="169" s="1"/>
  <c r="B838" i="169" s="1"/>
  <c r="B839" i="169" s="1"/>
  <c r="B840" i="169" s="1"/>
  <c r="B841" i="169" s="1"/>
  <c r="B842" i="169" s="1"/>
  <c r="B843" i="169" s="1"/>
  <c r="B844" i="169" s="1"/>
  <c r="B845" i="169" s="1"/>
  <c r="B846" i="169" s="1"/>
  <c r="B847" i="169" s="1"/>
  <c r="B848" i="169" s="1"/>
  <c r="B849" i="169" s="1"/>
  <c r="B850" i="169" s="1"/>
  <c r="B851" i="169" s="1"/>
  <c r="B852" i="169" s="1"/>
  <c r="B853" i="169" s="1"/>
  <c r="B854" i="169" s="1"/>
  <c r="B855" i="169" s="1"/>
  <c r="B856" i="169" s="1"/>
  <c r="B857" i="169" s="1"/>
  <c r="B858" i="169" s="1"/>
  <c r="B859" i="169" s="1"/>
  <c r="B860" i="169" s="1"/>
  <c r="B861" i="169" s="1"/>
  <c r="B862" i="169" s="1"/>
  <c r="B863" i="169" s="1"/>
  <c r="B864" i="169" s="1"/>
  <c r="B865" i="169" s="1"/>
  <c r="B866" i="169" s="1"/>
  <c r="B867" i="169" s="1"/>
  <c r="B868" i="169" s="1"/>
  <c r="B869" i="169" s="1"/>
  <c r="B870" i="169" s="1"/>
  <c r="B871" i="169" s="1"/>
  <c r="B872" i="169" s="1"/>
  <c r="B873" i="169" s="1"/>
  <c r="B874" i="169" s="1"/>
  <c r="B875" i="169" s="1"/>
  <c r="B876" i="169" s="1"/>
  <c r="B877" i="169" s="1"/>
  <c r="B878" i="169" s="1"/>
  <c r="B879" i="169" s="1"/>
  <c r="B880" i="169" s="1"/>
  <c r="B881" i="169" s="1"/>
  <c r="B882" i="169" s="1"/>
  <c r="B883" i="169" s="1"/>
  <c r="B884" i="169" s="1"/>
  <c r="B885" i="169" s="1"/>
  <c r="B886" i="169" s="1"/>
  <c r="B887" i="169" s="1"/>
  <c r="B888" i="169" s="1"/>
  <c r="B889" i="169" s="1"/>
  <c r="B890" i="169" s="1"/>
  <c r="B891" i="169" s="1"/>
  <c r="B892" i="169" s="1"/>
  <c r="B893" i="169" s="1"/>
  <c r="B894" i="169" s="1"/>
  <c r="B895" i="169" s="1"/>
  <c r="B896" i="169" s="1"/>
  <c r="B897" i="169" s="1"/>
  <c r="B898" i="169" s="1"/>
  <c r="B899" i="169" s="1"/>
  <c r="B900" i="169" s="1"/>
  <c r="B901" i="169" s="1"/>
  <c r="B902" i="169" s="1"/>
  <c r="B903" i="169" s="1"/>
  <c r="B904" i="169" s="1"/>
  <c r="B905" i="169" s="1"/>
  <c r="B906" i="169" s="1"/>
  <c r="B907" i="169" s="1"/>
  <c r="B908" i="169" s="1"/>
  <c r="B909" i="169" s="1"/>
  <c r="B910" i="169" s="1"/>
  <c r="B911" i="169" s="1"/>
  <c r="B912" i="169" s="1"/>
  <c r="B913" i="169" s="1"/>
  <c r="B914" i="169" s="1"/>
  <c r="B915" i="169" s="1"/>
  <c r="B916" i="169" s="1"/>
  <c r="B917" i="169" s="1"/>
  <c r="B918" i="169" s="1"/>
  <c r="B919" i="169" s="1"/>
  <c r="B920" i="169" s="1"/>
  <c r="B921" i="169" s="1"/>
  <c r="B922" i="169" s="1"/>
  <c r="B923" i="169" s="1"/>
  <c r="B924" i="169" s="1"/>
  <c r="B925" i="169" s="1"/>
  <c r="B926" i="169" s="1"/>
  <c r="B927" i="169" s="1"/>
  <c r="B928" i="169" s="1"/>
  <c r="B929" i="169" s="1"/>
  <c r="B930" i="169" s="1"/>
  <c r="B931" i="169" s="1"/>
  <c r="B932" i="169" s="1"/>
  <c r="B933" i="169" s="1"/>
  <c r="B934" i="169" s="1"/>
  <c r="B935" i="169" s="1"/>
  <c r="B936" i="169" s="1"/>
  <c r="B937" i="169" s="1"/>
  <c r="B938" i="169" s="1"/>
  <c r="B939" i="169" s="1"/>
  <c r="B940" i="169" s="1"/>
  <c r="B941" i="169" s="1"/>
  <c r="B942" i="169" s="1"/>
  <c r="B943" i="169" s="1"/>
  <c r="B944" i="169" s="1"/>
  <c r="B945" i="169" s="1"/>
  <c r="B946" i="169" s="1"/>
  <c r="B947" i="169" s="1"/>
  <c r="B948" i="169" s="1"/>
  <c r="B949" i="169" s="1"/>
  <c r="B950" i="169" s="1"/>
  <c r="B951" i="169" s="1"/>
  <c r="B952" i="169" s="1"/>
  <c r="B953" i="169" s="1"/>
  <c r="B954" i="169" s="1"/>
  <c r="B955" i="169" s="1"/>
  <c r="B956" i="169" s="1"/>
  <c r="B957" i="169" s="1"/>
  <c r="B958" i="169" s="1"/>
  <c r="B959" i="169" s="1"/>
  <c r="B960" i="169" s="1"/>
  <c r="B961" i="169" s="1"/>
  <c r="B962" i="169" s="1"/>
  <c r="B963" i="169" s="1"/>
  <c r="B964" i="169" s="1"/>
  <c r="B965" i="169" s="1"/>
  <c r="B966" i="169" s="1"/>
  <c r="B967" i="169" s="1"/>
  <c r="B968" i="169" s="1"/>
  <c r="B969" i="169" s="1"/>
  <c r="B970" i="169" s="1"/>
  <c r="B971" i="169" s="1"/>
  <c r="B972" i="169" s="1"/>
  <c r="B973" i="169" s="1"/>
  <c r="B974" i="169" s="1"/>
  <c r="B975" i="169" s="1"/>
  <c r="B976" i="169" s="1"/>
  <c r="B977" i="169" s="1"/>
  <c r="B978" i="169" s="1"/>
  <c r="B979" i="169" s="1"/>
  <c r="B980" i="169" s="1"/>
  <c r="B981" i="169" s="1"/>
  <c r="B982" i="169" s="1"/>
  <c r="B983" i="169" s="1"/>
  <c r="B984" i="169" s="1"/>
  <c r="B985" i="169" s="1"/>
  <c r="B986" i="169" s="1"/>
  <c r="B987" i="169" s="1"/>
  <c r="B988" i="169" s="1"/>
  <c r="B989" i="169" s="1"/>
  <c r="B990" i="169" s="1"/>
  <c r="B991" i="169" s="1"/>
  <c r="B992" i="169" s="1"/>
  <c r="B993" i="169" s="1"/>
  <c r="B994" i="169" s="1"/>
  <c r="B995" i="169" s="1"/>
  <c r="B996" i="169" s="1"/>
  <c r="B997" i="169" s="1"/>
  <c r="B998" i="169" s="1"/>
  <c r="B999" i="169" s="1"/>
  <c r="B1000" i="169" s="1"/>
  <c r="B1001" i="169" s="1"/>
  <c r="B1002" i="169" s="1"/>
  <c r="B1003" i="169" s="1"/>
  <c r="B1004" i="169" s="1"/>
  <c r="B1005" i="169" s="1"/>
  <c r="B1006" i="169" s="1"/>
  <c r="B1007" i="169" s="1"/>
  <c r="B1008" i="169" s="1"/>
  <c r="B1009" i="169" s="1"/>
  <c r="B1010" i="169" s="1"/>
  <c r="B1011" i="169" s="1"/>
  <c r="B1012" i="169" s="1"/>
  <c r="B1013" i="169" s="1"/>
  <c r="B1014" i="169" s="1"/>
  <c r="B1015" i="169" s="1"/>
  <c r="B1016" i="169" s="1"/>
  <c r="B1017" i="169" s="1"/>
  <c r="B1018" i="169" s="1"/>
  <c r="B1019" i="169" s="1"/>
  <c r="B1020" i="169" s="1"/>
  <c r="B1021" i="169" s="1"/>
  <c r="B1022" i="169" s="1"/>
  <c r="B1023" i="169" s="1"/>
  <c r="B1024" i="169" s="1"/>
  <c r="B1025" i="169" s="1"/>
  <c r="B1026" i="169" s="1"/>
  <c r="B1027" i="169" s="1"/>
  <c r="B1028" i="169" s="1"/>
  <c r="B1029" i="169" s="1"/>
  <c r="B1030" i="169" s="1"/>
  <c r="B1031" i="169" s="1"/>
  <c r="B1032" i="169" s="1"/>
  <c r="B1033" i="169" s="1"/>
  <c r="B1034" i="169" s="1"/>
  <c r="B1035" i="169" s="1"/>
  <c r="B1036" i="169" s="1"/>
  <c r="B1037" i="169" s="1"/>
  <c r="B1038" i="169" s="1"/>
  <c r="B1039" i="169" s="1"/>
  <c r="B1040" i="169" s="1"/>
  <c r="B1041" i="169" s="1"/>
  <c r="B1042" i="169" s="1"/>
  <c r="B1043" i="169" s="1"/>
  <c r="B1044" i="169" s="1"/>
  <c r="B1045" i="169" s="1"/>
  <c r="B1046" i="169" s="1"/>
  <c r="B1047" i="169" s="1"/>
  <c r="B1048" i="169" s="1"/>
  <c r="B1049" i="169" s="1"/>
  <c r="B1050" i="169" s="1"/>
  <c r="B1051" i="169" s="1"/>
  <c r="B1052" i="169" s="1"/>
  <c r="B1053" i="169" s="1"/>
  <c r="B1054" i="169" s="1"/>
  <c r="B1055" i="169" s="1"/>
  <c r="B1056" i="169" s="1"/>
  <c r="B1057" i="169" s="1"/>
  <c r="B1058" i="169" s="1"/>
  <c r="B1059" i="169" s="1"/>
  <c r="B1060" i="169" s="1"/>
  <c r="B1061" i="169" s="1"/>
  <c r="B1062" i="169" s="1"/>
  <c r="B1063" i="169" s="1"/>
  <c r="B1064" i="169" s="1"/>
  <c r="B1065" i="169" s="1"/>
  <c r="B1066" i="169" s="1"/>
  <c r="B1067" i="169" s="1"/>
  <c r="B1068" i="169" s="1"/>
  <c r="B1069" i="169" s="1"/>
  <c r="B1070" i="169" s="1"/>
  <c r="B1071" i="169" s="1"/>
  <c r="B1072" i="169" s="1"/>
  <c r="B1073" i="169" s="1"/>
  <c r="B1074" i="169" s="1"/>
  <c r="B1075" i="169" s="1"/>
  <c r="B1076" i="169" s="1"/>
  <c r="B1077" i="169" s="1"/>
  <c r="B1078" i="169" s="1"/>
  <c r="B1079" i="169" s="1"/>
  <c r="B1080" i="169" s="1"/>
  <c r="B1081" i="169" s="1"/>
  <c r="B1082" i="169" s="1"/>
  <c r="B1083" i="169" s="1"/>
  <c r="B1084" i="169" s="1"/>
  <c r="B1085" i="169" s="1"/>
  <c r="B1086" i="169" s="1"/>
  <c r="B1087" i="169" s="1"/>
  <c r="B1088" i="169" s="1"/>
  <c r="B1089" i="169" s="1"/>
  <c r="C566" i="169"/>
  <c r="F566" i="169"/>
  <c r="H566" i="169"/>
  <c r="C567" i="169"/>
  <c r="F567" i="169"/>
  <c r="H567" i="169"/>
  <c r="I567" i="169"/>
  <c r="C568" i="169"/>
  <c r="C569" i="169" s="1"/>
  <c r="C570" i="169" s="1"/>
  <c r="C571" i="169" s="1"/>
  <c r="C572" i="169" s="1"/>
  <c r="C573" i="169" s="1"/>
  <c r="C574" i="169" s="1"/>
  <c r="F568" i="169"/>
  <c r="I568" i="169" s="1"/>
  <c r="H568" i="169"/>
  <c r="F569" i="169"/>
  <c r="I569" i="169" s="1"/>
  <c r="H569" i="169"/>
  <c r="F570" i="169"/>
  <c r="I570" i="169" s="1"/>
  <c r="H570" i="169"/>
  <c r="F571" i="169"/>
  <c r="H571" i="169"/>
  <c r="I571" i="169"/>
  <c r="F572" i="169"/>
  <c r="I572" i="169" s="1"/>
  <c r="H572" i="169"/>
  <c r="F573" i="169"/>
  <c r="H573" i="169"/>
  <c r="I573" i="169" s="1"/>
  <c r="F574" i="169"/>
  <c r="H574" i="169"/>
  <c r="C575" i="169"/>
  <c r="C576" i="169" s="1"/>
  <c r="C577" i="169" s="1"/>
  <c r="C578" i="169" s="1"/>
  <c r="C579" i="169" s="1"/>
  <c r="C580" i="169" s="1"/>
  <c r="C581" i="169" s="1"/>
  <c r="C582" i="169" s="1"/>
  <c r="C583" i="169" s="1"/>
  <c r="C584" i="169" s="1"/>
  <c r="C585" i="169" s="1"/>
  <c r="C586" i="169" s="1"/>
  <c r="C587" i="169" s="1"/>
  <c r="C588" i="169" s="1"/>
  <c r="C589" i="169" s="1"/>
  <c r="C590" i="169" s="1"/>
  <c r="C591" i="169" s="1"/>
  <c r="C592" i="169" s="1"/>
  <c r="C593" i="169" s="1"/>
  <c r="C594" i="169" s="1"/>
  <c r="C595" i="169" s="1"/>
  <c r="C596" i="169" s="1"/>
  <c r="C597" i="169" s="1"/>
  <c r="C598" i="169" s="1"/>
  <c r="C599" i="169" s="1"/>
  <c r="C600" i="169" s="1"/>
  <c r="C601" i="169" s="1"/>
  <c r="C602" i="169" s="1"/>
  <c r="C603" i="169" s="1"/>
  <c r="C604" i="169" s="1"/>
  <c r="C605" i="169" s="1"/>
  <c r="C606" i="169" s="1"/>
  <c r="C607" i="169" s="1"/>
  <c r="F575" i="169"/>
  <c r="I575" i="169" s="1"/>
  <c r="H575" i="169"/>
  <c r="F576" i="169"/>
  <c r="I576" i="169" s="1"/>
  <c r="H576" i="169"/>
  <c r="F577" i="169"/>
  <c r="H577" i="169"/>
  <c r="I577" i="169" s="1"/>
  <c r="F578" i="169"/>
  <c r="I578" i="169" s="1"/>
  <c r="H578" i="169"/>
  <c r="F579" i="169"/>
  <c r="H579" i="169"/>
  <c r="I579" i="169"/>
  <c r="F580" i="169"/>
  <c r="I580" i="169" s="1"/>
  <c r="H580" i="169"/>
  <c r="F581" i="169"/>
  <c r="H581" i="169"/>
  <c r="I581" i="169" s="1"/>
  <c r="F582" i="169"/>
  <c r="H582" i="169"/>
  <c r="F583" i="169"/>
  <c r="H583" i="169"/>
  <c r="I583" i="169" s="1"/>
  <c r="F584" i="169"/>
  <c r="I584" i="169" s="1"/>
  <c r="H584" i="169"/>
  <c r="F585" i="169"/>
  <c r="H585" i="169"/>
  <c r="I585" i="169" s="1"/>
  <c r="F586" i="169"/>
  <c r="I586" i="169" s="1"/>
  <c r="H586" i="169"/>
  <c r="F587" i="169"/>
  <c r="H587" i="169"/>
  <c r="I587" i="169"/>
  <c r="F588" i="169"/>
  <c r="I588" i="169" s="1"/>
  <c r="H588" i="169"/>
  <c r="F589" i="169"/>
  <c r="H589" i="169"/>
  <c r="F590" i="169"/>
  <c r="I590" i="169" s="1"/>
  <c r="H590" i="169"/>
  <c r="F591" i="169"/>
  <c r="H591" i="169"/>
  <c r="I591" i="169"/>
  <c r="F592" i="169"/>
  <c r="I592" i="169" s="1"/>
  <c r="H592" i="169"/>
  <c r="F593" i="169"/>
  <c r="H593" i="169"/>
  <c r="F594" i="169"/>
  <c r="I594" i="169" s="1"/>
  <c r="H594" i="169"/>
  <c r="F595" i="169"/>
  <c r="H595" i="169"/>
  <c r="I595" i="169"/>
  <c r="F596" i="169"/>
  <c r="I596" i="169" s="1"/>
  <c r="H596" i="169"/>
  <c r="F597" i="169"/>
  <c r="H597" i="169"/>
  <c r="F598" i="169"/>
  <c r="H598" i="169"/>
  <c r="F599" i="169"/>
  <c r="H599" i="169"/>
  <c r="I599" i="169" s="1"/>
  <c r="F600" i="169"/>
  <c r="I600" i="169" s="1"/>
  <c r="H600" i="169"/>
  <c r="F601" i="169"/>
  <c r="H601" i="169"/>
  <c r="F602" i="169"/>
  <c r="I602" i="169" s="1"/>
  <c r="H602" i="169"/>
  <c r="F603" i="169"/>
  <c r="H603" i="169"/>
  <c r="I603" i="169" s="1"/>
  <c r="F604" i="169"/>
  <c r="I604" i="169" s="1"/>
  <c r="H604" i="169"/>
  <c r="F605" i="169"/>
  <c r="H605" i="169"/>
  <c r="F606" i="169"/>
  <c r="H606" i="169"/>
  <c r="F607" i="169"/>
  <c r="I607" i="169" s="1"/>
  <c r="H607" i="169"/>
  <c r="C608" i="169"/>
  <c r="C609" i="169" s="1"/>
  <c r="C610" i="169" s="1"/>
  <c r="C611" i="169" s="1"/>
  <c r="C612" i="169" s="1"/>
  <c r="C613" i="169" s="1"/>
  <c r="C614" i="169" s="1"/>
  <c r="C615" i="169" s="1"/>
  <c r="C616" i="169" s="1"/>
  <c r="C617" i="169" s="1"/>
  <c r="C618" i="169" s="1"/>
  <c r="C619" i="169" s="1"/>
  <c r="C620" i="169" s="1"/>
  <c r="C621" i="169" s="1"/>
  <c r="C622" i="169" s="1"/>
  <c r="C623" i="169" s="1"/>
  <c r="C624" i="169" s="1"/>
  <c r="C625" i="169" s="1"/>
  <c r="C626" i="169" s="1"/>
  <c r="C627" i="169" s="1"/>
  <c r="C628" i="169" s="1"/>
  <c r="C629" i="169" s="1"/>
  <c r="C630" i="169" s="1"/>
  <c r="C631" i="169" s="1"/>
  <c r="C632" i="169" s="1"/>
  <c r="C633" i="169" s="1"/>
  <c r="C634" i="169" s="1"/>
  <c r="C635" i="169" s="1"/>
  <c r="C636" i="169" s="1"/>
  <c r="C637" i="169" s="1"/>
  <c r="C638" i="169" s="1"/>
  <c r="C639" i="169" s="1"/>
  <c r="C640" i="169" s="1"/>
  <c r="C641" i="169" s="1"/>
  <c r="C642" i="169" s="1"/>
  <c r="C643" i="169" s="1"/>
  <c r="C644" i="169" s="1"/>
  <c r="C645" i="169" s="1"/>
  <c r="C646" i="169" s="1"/>
  <c r="C647" i="169" s="1"/>
  <c r="C648" i="169" s="1"/>
  <c r="C649" i="169" s="1"/>
  <c r="C650" i="169" s="1"/>
  <c r="C651" i="169" s="1"/>
  <c r="C652" i="169" s="1"/>
  <c r="C653" i="169" s="1"/>
  <c r="C654" i="169" s="1"/>
  <c r="C655" i="169" s="1"/>
  <c r="C656" i="169" s="1"/>
  <c r="C657" i="169" s="1"/>
  <c r="C658" i="169" s="1"/>
  <c r="C659" i="169" s="1"/>
  <c r="C660" i="169" s="1"/>
  <c r="C661" i="169" s="1"/>
  <c r="C662" i="169" s="1"/>
  <c r="C663" i="169" s="1"/>
  <c r="C664" i="169" s="1"/>
  <c r="C665" i="169" s="1"/>
  <c r="C666" i="169" s="1"/>
  <c r="C667" i="169" s="1"/>
  <c r="C668" i="169" s="1"/>
  <c r="C669" i="169" s="1"/>
  <c r="C670" i="169" s="1"/>
  <c r="C671" i="169" s="1"/>
  <c r="C672" i="169" s="1"/>
  <c r="C673" i="169" s="1"/>
  <c r="C674" i="169" s="1"/>
  <c r="C675" i="169" s="1"/>
  <c r="C676" i="169" s="1"/>
  <c r="C677" i="169" s="1"/>
  <c r="C678" i="169" s="1"/>
  <c r="C679" i="169" s="1"/>
  <c r="C680" i="169" s="1"/>
  <c r="C681" i="169" s="1"/>
  <c r="C682" i="169" s="1"/>
  <c r="C683" i="169" s="1"/>
  <c r="C684" i="169" s="1"/>
  <c r="C685" i="169" s="1"/>
  <c r="C686" i="169" s="1"/>
  <c r="C687" i="169" s="1"/>
  <c r="C688" i="169" s="1"/>
  <c r="C689" i="169" s="1"/>
  <c r="C690" i="169" s="1"/>
  <c r="C691" i="169" s="1"/>
  <c r="C692" i="169" s="1"/>
  <c r="C693" i="169" s="1"/>
  <c r="C694" i="169" s="1"/>
  <c r="C695" i="169" s="1"/>
  <c r="C696" i="169" s="1"/>
  <c r="C697" i="169" s="1"/>
  <c r="C698" i="169" s="1"/>
  <c r="C699" i="169" s="1"/>
  <c r="C700" i="169" s="1"/>
  <c r="C701" i="169" s="1"/>
  <c r="C702" i="169" s="1"/>
  <c r="C703" i="169" s="1"/>
  <c r="C704" i="169" s="1"/>
  <c r="C705" i="169" s="1"/>
  <c r="C706" i="169" s="1"/>
  <c r="C707" i="169" s="1"/>
  <c r="C708" i="169" s="1"/>
  <c r="C709" i="169" s="1"/>
  <c r="C710" i="169" s="1"/>
  <c r="C711" i="169" s="1"/>
  <c r="C712" i="169" s="1"/>
  <c r="C713" i="169" s="1"/>
  <c r="C714" i="169" s="1"/>
  <c r="C715" i="169" s="1"/>
  <c r="C716" i="169" s="1"/>
  <c r="C717" i="169" s="1"/>
  <c r="C718" i="169" s="1"/>
  <c r="C719" i="169" s="1"/>
  <c r="C720" i="169" s="1"/>
  <c r="C721" i="169" s="1"/>
  <c r="C722" i="169" s="1"/>
  <c r="C723" i="169" s="1"/>
  <c r="C724" i="169" s="1"/>
  <c r="C725" i="169" s="1"/>
  <c r="C726" i="169" s="1"/>
  <c r="C727" i="169" s="1"/>
  <c r="C728" i="169" s="1"/>
  <c r="C729" i="169" s="1"/>
  <c r="C730" i="169" s="1"/>
  <c r="C731" i="169" s="1"/>
  <c r="C732" i="169" s="1"/>
  <c r="C733" i="169" s="1"/>
  <c r="C734" i="169" s="1"/>
  <c r="C735" i="169" s="1"/>
  <c r="C736" i="169" s="1"/>
  <c r="C737" i="169" s="1"/>
  <c r="C738" i="169" s="1"/>
  <c r="C739" i="169" s="1"/>
  <c r="C740" i="169" s="1"/>
  <c r="C741" i="169" s="1"/>
  <c r="C742" i="169" s="1"/>
  <c r="C743" i="169" s="1"/>
  <c r="C744" i="169" s="1"/>
  <c r="C745" i="169" s="1"/>
  <c r="C746" i="169" s="1"/>
  <c r="C747" i="169" s="1"/>
  <c r="C748" i="169" s="1"/>
  <c r="C749" i="169" s="1"/>
  <c r="C750" i="169" s="1"/>
  <c r="C751" i="169" s="1"/>
  <c r="C752" i="169" s="1"/>
  <c r="C753" i="169" s="1"/>
  <c r="C754" i="169" s="1"/>
  <c r="C755" i="169" s="1"/>
  <c r="C756" i="169" s="1"/>
  <c r="C757" i="169" s="1"/>
  <c r="C758" i="169" s="1"/>
  <c r="C759" i="169" s="1"/>
  <c r="C760" i="169" s="1"/>
  <c r="C761" i="169" s="1"/>
  <c r="C762" i="169" s="1"/>
  <c r="C763" i="169" s="1"/>
  <c r="C764" i="169" s="1"/>
  <c r="C765" i="169" s="1"/>
  <c r="C766" i="169" s="1"/>
  <c r="C767" i="169" s="1"/>
  <c r="C768" i="169" s="1"/>
  <c r="C769" i="169" s="1"/>
  <c r="C770" i="169" s="1"/>
  <c r="C771" i="169" s="1"/>
  <c r="C772" i="169" s="1"/>
  <c r="C773" i="169" s="1"/>
  <c r="C774" i="169" s="1"/>
  <c r="C775" i="169" s="1"/>
  <c r="C776" i="169" s="1"/>
  <c r="C777" i="169" s="1"/>
  <c r="C778" i="169" s="1"/>
  <c r="C779" i="169" s="1"/>
  <c r="C780" i="169" s="1"/>
  <c r="C781" i="169" s="1"/>
  <c r="C782" i="169" s="1"/>
  <c r="C783" i="169" s="1"/>
  <c r="C784" i="169" s="1"/>
  <c r="C785" i="169" s="1"/>
  <c r="C786" i="169" s="1"/>
  <c r="C787" i="169" s="1"/>
  <c r="C788" i="169" s="1"/>
  <c r="C789" i="169" s="1"/>
  <c r="C790" i="169" s="1"/>
  <c r="C791" i="169" s="1"/>
  <c r="C792" i="169" s="1"/>
  <c r="C793" i="169" s="1"/>
  <c r="C794" i="169" s="1"/>
  <c r="C795" i="169" s="1"/>
  <c r="C796" i="169" s="1"/>
  <c r="C797" i="169" s="1"/>
  <c r="C798" i="169" s="1"/>
  <c r="C799" i="169" s="1"/>
  <c r="C800" i="169" s="1"/>
  <c r="C801" i="169" s="1"/>
  <c r="C802" i="169" s="1"/>
  <c r="C803" i="169" s="1"/>
  <c r="C804" i="169" s="1"/>
  <c r="C805" i="169" s="1"/>
  <c r="C806" i="169" s="1"/>
  <c r="C807" i="169" s="1"/>
  <c r="C808" i="169" s="1"/>
  <c r="C809" i="169" s="1"/>
  <c r="C810" i="169" s="1"/>
  <c r="C811" i="169" s="1"/>
  <c r="C812" i="169" s="1"/>
  <c r="C813" i="169" s="1"/>
  <c r="C814" i="169" s="1"/>
  <c r="C815" i="169" s="1"/>
  <c r="C816" i="169" s="1"/>
  <c r="C817" i="169" s="1"/>
  <c r="C818" i="169" s="1"/>
  <c r="C819" i="169" s="1"/>
  <c r="C820" i="169" s="1"/>
  <c r="C821" i="169" s="1"/>
  <c r="C822" i="169" s="1"/>
  <c r="C823" i="169" s="1"/>
  <c r="C824" i="169" s="1"/>
  <c r="C825" i="169" s="1"/>
  <c r="C826" i="169" s="1"/>
  <c r="C827" i="169" s="1"/>
  <c r="C828" i="169" s="1"/>
  <c r="C829" i="169" s="1"/>
  <c r="C830" i="169" s="1"/>
  <c r="C831" i="169" s="1"/>
  <c r="C832" i="169" s="1"/>
  <c r="C833" i="169" s="1"/>
  <c r="C834" i="169" s="1"/>
  <c r="C835" i="169" s="1"/>
  <c r="C836" i="169" s="1"/>
  <c r="C837" i="169" s="1"/>
  <c r="C838" i="169" s="1"/>
  <c r="C839" i="169" s="1"/>
  <c r="C840" i="169" s="1"/>
  <c r="C841" i="169" s="1"/>
  <c r="C842" i="169" s="1"/>
  <c r="C843" i="169" s="1"/>
  <c r="C844" i="169" s="1"/>
  <c r="C845" i="169" s="1"/>
  <c r="C846" i="169" s="1"/>
  <c r="C847" i="169" s="1"/>
  <c r="C848" i="169" s="1"/>
  <c r="C849" i="169" s="1"/>
  <c r="C850" i="169" s="1"/>
  <c r="C851" i="169" s="1"/>
  <c r="C852" i="169" s="1"/>
  <c r="C853" i="169" s="1"/>
  <c r="C854" i="169" s="1"/>
  <c r="C855" i="169" s="1"/>
  <c r="C856" i="169" s="1"/>
  <c r="C857" i="169" s="1"/>
  <c r="C858" i="169" s="1"/>
  <c r="C859" i="169" s="1"/>
  <c r="C860" i="169" s="1"/>
  <c r="C861" i="169" s="1"/>
  <c r="C862" i="169" s="1"/>
  <c r="C863" i="169" s="1"/>
  <c r="C864" i="169" s="1"/>
  <c r="C865" i="169" s="1"/>
  <c r="C866" i="169" s="1"/>
  <c r="C867" i="169" s="1"/>
  <c r="C868" i="169" s="1"/>
  <c r="C869" i="169" s="1"/>
  <c r="C870" i="169" s="1"/>
  <c r="C871" i="169" s="1"/>
  <c r="C872" i="169" s="1"/>
  <c r="C873" i="169" s="1"/>
  <c r="C874" i="169" s="1"/>
  <c r="C875" i="169" s="1"/>
  <c r="C876" i="169" s="1"/>
  <c r="C877" i="169" s="1"/>
  <c r="C878" i="169" s="1"/>
  <c r="C879" i="169" s="1"/>
  <c r="C880" i="169" s="1"/>
  <c r="C881" i="169" s="1"/>
  <c r="C882" i="169" s="1"/>
  <c r="C883" i="169" s="1"/>
  <c r="C884" i="169" s="1"/>
  <c r="C885" i="169" s="1"/>
  <c r="C886" i="169" s="1"/>
  <c r="C887" i="169" s="1"/>
  <c r="C888" i="169" s="1"/>
  <c r="C889" i="169" s="1"/>
  <c r="C890" i="169" s="1"/>
  <c r="C891" i="169" s="1"/>
  <c r="C892" i="169" s="1"/>
  <c r="C893" i="169" s="1"/>
  <c r="C894" i="169" s="1"/>
  <c r="C895" i="169" s="1"/>
  <c r="C896" i="169" s="1"/>
  <c r="C897" i="169" s="1"/>
  <c r="C898" i="169" s="1"/>
  <c r="C899" i="169" s="1"/>
  <c r="C900" i="169" s="1"/>
  <c r="C901" i="169" s="1"/>
  <c r="C902" i="169" s="1"/>
  <c r="C903" i="169" s="1"/>
  <c r="C904" i="169" s="1"/>
  <c r="C905" i="169" s="1"/>
  <c r="C906" i="169" s="1"/>
  <c r="C907" i="169" s="1"/>
  <c r="C908" i="169" s="1"/>
  <c r="C909" i="169" s="1"/>
  <c r="C910" i="169" s="1"/>
  <c r="C911" i="169" s="1"/>
  <c r="C912" i="169" s="1"/>
  <c r="C913" i="169" s="1"/>
  <c r="C914" i="169" s="1"/>
  <c r="C915" i="169" s="1"/>
  <c r="C916" i="169" s="1"/>
  <c r="C917" i="169" s="1"/>
  <c r="C918" i="169" s="1"/>
  <c r="C919" i="169" s="1"/>
  <c r="C920" i="169" s="1"/>
  <c r="C921" i="169" s="1"/>
  <c r="C922" i="169" s="1"/>
  <c r="C923" i="169" s="1"/>
  <c r="C924" i="169" s="1"/>
  <c r="C925" i="169" s="1"/>
  <c r="C926" i="169" s="1"/>
  <c r="C927" i="169" s="1"/>
  <c r="C928" i="169" s="1"/>
  <c r="C929" i="169" s="1"/>
  <c r="C930" i="169" s="1"/>
  <c r="C931" i="169" s="1"/>
  <c r="C932" i="169" s="1"/>
  <c r="C933" i="169" s="1"/>
  <c r="C934" i="169" s="1"/>
  <c r="C935" i="169" s="1"/>
  <c r="C936" i="169" s="1"/>
  <c r="C937" i="169" s="1"/>
  <c r="C938" i="169" s="1"/>
  <c r="C939" i="169" s="1"/>
  <c r="C940" i="169" s="1"/>
  <c r="C941" i="169" s="1"/>
  <c r="C942" i="169" s="1"/>
  <c r="C943" i="169" s="1"/>
  <c r="C944" i="169" s="1"/>
  <c r="C945" i="169" s="1"/>
  <c r="C946" i="169" s="1"/>
  <c r="C947" i="169" s="1"/>
  <c r="C948" i="169" s="1"/>
  <c r="C949" i="169" s="1"/>
  <c r="C950" i="169" s="1"/>
  <c r="C951" i="169" s="1"/>
  <c r="C952" i="169" s="1"/>
  <c r="C953" i="169" s="1"/>
  <c r="C954" i="169" s="1"/>
  <c r="C955" i="169" s="1"/>
  <c r="C956" i="169" s="1"/>
  <c r="C957" i="169" s="1"/>
  <c r="C958" i="169" s="1"/>
  <c r="C959" i="169" s="1"/>
  <c r="C960" i="169" s="1"/>
  <c r="C961" i="169" s="1"/>
  <c r="C962" i="169" s="1"/>
  <c r="C963" i="169" s="1"/>
  <c r="C964" i="169" s="1"/>
  <c r="C965" i="169" s="1"/>
  <c r="C966" i="169" s="1"/>
  <c r="C967" i="169" s="1"/>
  <c r="C968" i="169" s="1"/>
  <c r="C969" i="169" s="1"/>
  <c r="C970" i="169" s="1"/>
  <c r="C971" i="169" s="1"/>
  <c r="C972" i="169" s="1"/>
  <c r="C973" i="169" s="1"/>
  <c r="C974" i="169" s="1"/>
  <c r="C975" i="169" s="1"/>
  <c r="C976" i="169" s="1"/>
  <c r="C977" i="169" s="1"/>
  <c r="C978" i="169" s="1"/>
  <c r="C979" i="169" s="1"/>
  <c r="C980" i="169" s="1"/>
  <c r="C981" i="169" s="1"/>
  <c r="C982" i="169" s="1"/>
  <c r="C983" i="169" s="1"/>
  <c r="C984" i="169" s="1"/>
  <c r="C985" i="169" s="1"/>
  <c r="C986" i="169" s="1"/>
  <c r="C987" i="169" s="1"/>
  <c r="C988" i="169" s="1"/>
  <c r="C989" i="169" s="1"/>
  <c r="C990" i="169" s="1"/>
  <c r="C991" i="169" s="1"/>
  <c r="C992" i="169" s="1"/>
  <c r="C993" i="169" s="1"/>
  <c r="C994" i="169" s="1"/>
  <c r="C995" i="169" s="1"/>
  <c r="C996" i="169" s="1"/>
  <c r="C997" i="169" s="1"/>
  <c r="C998" i="169" s="1"/>
  <c r="C999" i="169" s="1"/>
  <c r="C1000" i="169" s="1"/>
  <c r="C1001" i="169" s="1"/>
  <c r="C1002" i="169" s="1"/>
  <c r="C1003" i="169" s="1"/>
  <c r="C1004" i="169" s="1"/>
  <c r="C1005" i="169" s="1"/>
  <c r="C1006" i="169" s="1"/>
  <c r="C1007" i="169" s="1"/>
  <c r="C1008" i="169" s="1"/>
  <c r="C1009" i="169" s="1"/>
  <c r="C1010" i="169" s="1"/>
  <c r="C1011" i="169" s="1"/>
  <c r="C1012" i="169" s="1"/>
  <c r="C1013" i="169" s="1"/>
  <c r="C1014" i="169" s="1"/>
  <c r="C1015" i="169" s="1"/>
  <c r="C1016" i="169" s="1"/>
  <c r="C1017" i="169" s="1"/>
  <c r="C1018" i="169" s="1"/>
  <c r="C1019" i="169" s="1"/>
  <c r="C1020" i="169" s="1"/>
  <c r="C1021" i="169" s="1"/>
  <c r="C1022" i="169" s="1"/>
  <c r="C1023" i="169" s="1"/>
  <c r="C1024" i="169" s="1"/>
  <c r="C1025" i="169" s="1"/>
  <c r="C1026" i="169" s="1"/>
  <c r="C1027" i="169" s="1"/>
  <c r="C1028" i="169" s="1"/>
  <c r="C1029" i="169" s="1"/>
  <c r="C1030" i="169" s="1"/>
  <c r="C1031" i="169" s="1"/>
  <c r="C1032" i="169" s="1"/>
  <c r="C1033" i="169" s="1"/>
  <c r="C1034" i="169" s="1"/>
  <c r="C1035" i="169" s="1"/>
  <c r="C1036" i="169" s="1"/>
  <c r="C1037" i="169" s="1"/>
  <c r="C1038" i="169" s="1"/>
  <c r="C1039" i="169" s="1"/>
  <c r="C1040" i="169" s="1"/>
  <c r="C1041" i="169" s="1"/>
  <c r="C1042" i="169" s="1"/>
  <c r="C1043" i="169" s="1"/>
  <c r="C1044" i="169" s="1"/>
  <c r="C1045" i="169" s="1"/>
  <c r="C1046" i="169" s="1"/>
  <c r="C1047" i="169" s="1"/>
  <c r="C1048" i="169" s="1"/>
  <c r="C1049" i="169" s="1"/>
  <c r="C1050" i="169" s="1"/>
  <c r="C1051" i="169" s="1"/>
  <c r="C1052" i="169" s="1"/>
  <c r="C1053" i="169" s="1"/>
  <c r="C1054" i="169" s="1"/>
  <c r="C1055" i="169" s="1"/>
  <c r="C1056" i="169" s="1"/>
  <c r="C1057" i="169" s="1"/>
  <c r="C1058" i="169" s="1"/>
  <c r="C1059" i="169" s="1"/>
  <c r="C1060" i="169" s="1"/>
  <c r="C1061" i="169" s="1"/>
  <c r="C1062" i="169" s="1"/>
  <c r="C1063" i="169" s="1"/>
  <c r="C1064" i="169" s="1"/>
  <c r="C1065" i="169" s="1"/>
  <c r="C1066" i="169" s="1"/>
  <c r="C1067" i="169" s="1"/>
  <c r="C1068" i="169" s="1"/>
  <c r="C1069" i="169" s="1"/>
  <c r="C1070" i="169" s="1"/>
  <c r="C1071" i="169" s="1"/>
  <c r="C1072" i="169" s="1"/>
  <c r="C1073" i="169" s="1"/>
  <c r="C1074" i="169" s="1"/>
  <c r="C1075" i="169" s="1"/>
  <c r="C1076" i="169" s="1"/>
  <c r="C1077" i="169" s="1"/>
  <c r="C1078" i="169" s="1"/>
  <c r="C1079" i="169" s="1"/>
  <c r="C1080" i="169" s="1"/>
  <c r="C1081" i="169" s="1"/>
  <c r="C1082" i="169" s="1"/>
  <c r="C1083" i="169" s="1"/>
  <c r="C1084" i="169" s="1"/>
  <c r="C1085" i="169" s="1"/>
  <c r="C1086" i="169" s="1"/>
  <c r="C1087" i="169" s="1"/>
  <c r="C1088" i="169" s="1"/>
  <c r="C1089" i="169" s="1"/>
  <c r="C1090" i="169" s="1"/>
  <c r="C1091" i="169" s="1"/>
  <c r="C1092" i="169" s="1"/>
  <c r="C1093" i="169" s="1"/>
  <c r="C1094" i="169" s="1"/>
  <c r="C1095" i="169" s="1"/>
  <c r="C1096" i="169" s="1"/>
  <c r="C1097" i="169" s="1"/>
  <c r="C1098" i="169" s="1"/>
  <c r="C1099" i="169" s="1"/>
  <c r="C1100" i="169" s="1"/>
  <c r="C1101" i="169" s="1"/>
  <c r="C1102" i="169" s="1"/>
  <c r="C1103" i="169" s="1"/>
  <c r="C1104" i="169" s="1"/>
  <c r="C1105" i="169" s="1"/>
  <c r="C1106" i="169" s="1"/>
  <c r="C1107" i="169" s="1"/>
  <c r="C1108" i="169" s="1"/>
  <c r="C1109" i="169" s="1"/>
  <c r="C1110" i="169" s="1"/>
  <c r="C1111" i="169" s="1"/>
  <c r="C1112" i="169" s="1"/>
  <c r="C1113" i="169" s="1"/>
  <c r="C1114" i="169" s="1"/>
  <c r="C1115" i="169" s="1"/>
  <c r="C1116" i="169" s="1"/>
  <c r="C1117" i="169" s="1"/>
  <c r="C1118" i="169" s="1"/>
  <c r="C1119" i="169" s="1"/>
  <c r="C1120" i="169" s="1"/>
  <c r="C1121" i="169" s="1"/>
  <c r="C1122" i="169" s="1"/>
  <c r="C1123" i="169" s="1"/>
  <c r="C1124" i="169" s="1"/>
  <c r="C1125" i="169" s="1"/>
  <c r="C1126" i="169" s="1"/>
  <c r="C1127" i="169" s="1"/>
  <c r="C1128" i="169" s="1"/>
  <c r="C1129" i="169" s="1"/>
  <c r="C1130" i="169" s="1"/>
  <c r="C1131" i="169" s="1"/>
  <c r="C1132" i="169" s="1"/>
  <c r="C1133" i="169" s="1"/>
  <c r="C1134" i="169" s="1"/>
  <c r="C1135" i="169" s="1"/>
  <c r="C1136" i="169" s="1"/>
  <c r="C1137" i="169" s="1"/>
  <c r="C1138" i="169" s="1"/>
  <c r="C1139" i="169" s="1"/>
  <c r="C1140" i="169" s="1"/>
  <c r="C1141" i="169" s="1"/>
  <c r="C1142" i="169" s="1"/>
  <c r="C1143" i="169" s="1"/>
  <c r="C1144" i="169" s="1"/>
  <c r="C1145" i="169" s="1"/>
  <c r="C1146" i="169" s="1"/>
  <c r="C1147" i="169" s="1"/>
  <c r="C1148" i="169" s="1"/>
  <c r="C1149" i="169" s="1"/>
  <c r="C1150" i="169" s="1"/>
  <c r="C1151" i="169" s="1"/>
  <c r="C1152" i="169" s="1"/>
  <c r="C1153" i="169" s="1"/>
  <c r="C1154" i="169" s="1"/>
  <c r="C1155" i="169" s="1"/>
  <c r="C1156" i="169" s="1"/>
  <c r="C1157" i="169" s="1"/>
  <c r="C1158" i="169" s="1"/>
  <c r="C1159" i="169" s="1"/>
  <c r="C1160" i="169" s="1"/>
  <c r="C1161" i="169" s="1"/>
  <c r="C1162" i="169" s="1"/>
  <c r="C1163" i="169" s="1"/>
  <c r="C1164" i="169" s="1"/>
  <c r="C1165" i="169" s="1"/>
  <c r="C1166" i="169" s="1"/>
  <c r="C1167" i="169" s="1"/>
  <c r="C1168" i="169" s="1"/>
  <c r="C1169" i="169" s="1"/>
  <c r="C1170" i="169" s="1"/>
  <c r="C1171" i="169" s="1"/>
  <c r="C1172" i="169" s="1"/>
  <c r="C1173" i="169" s="1"/>
  <c r="C1174" i="169" s="1"/>
  <c r="C1175" i="169" s="1"/>
  <c r="C1176" i="169" s="1"/>
  <c r="C1177" i="169" s="1"/>
  <c r="C1178" i="169" s="1"/>
  <c r="C1179" i="169" s="1"/>
  <c r="C1180" i="169" s="1"/>
  <c r="C1181" i="169" s="1"/>
  <c r="C1182" i="169" s="1"/>
  <c r="C1183" i="169" s="1"/>
  <c r="C1184" i="169" s="1"/>
  <c r="C1185" i="169" s="1"/>
  <c r="C1186" i="169" s="1"/>
  <c r="C1187" i="169" s="1"/>
  <c r="C1188" i="169" s="1"/>
  <c r="C1189" i="169" s="1"/>
  <c r="C1190" i="169" s="1"/>
  <c r="F608" i="169"/>
  <c r="I608" i="169" s="1"/>
  <c r="H608" i="169"/>
  <c r="F609" i="169"/>
  <c r="I609" i="169" s="1"/>
  <c r="H609" i="169"/>
  <c r="F610" i="169"/>
  <c r="H610" i="169"/>
  <c r="F611" i="169"/>
  <c r="H611" i="169"/>
  <c r="I611" i="169" s="1"/>
  <c r="F612" i="169"/>
  <c r="I612" i="169" s="1"/>
  <c r="H612" i="169"/>
  <c r="F613" i="169"/>
  <c r="I613" i="169" s="1"/>
  <c r="H613" i="169"/>
  <c r="F614" i="169"/>
  <c r="I614" i="169" s="1"/>
  <c r="H614" i="169"/>
  <c r="F615" i="169"/>
  <c r="H615" i="169"/>
  <c r="I615" i="169"/>
  <c r="F616" i="169"/>
  <c r="I616" i="169" s="1"/>
  <c r="H616" i="169"/>
  <c r="F617" i="169"/>
  <c r="I617" i="169" s="1"/>
  <c r="H617" i="169"/>
  <c r="F618" i="169"/>
  <c r="I618" i="169" s="1"/>
  <c r="H618" i="169"/>
  <c r="F619" i="169"/>
  <c r="H619" i="169"/>
  <c r="F620" i="169"/>
  <c r="I620" i="169" s="1"/>
  <c r="H620" i="169"/>
  <c r="F621" i="169"/>
  <c r="H621" i="169"/>
  <c r="F622" i="169"/>
  <c r="H622" i="169"/>
  <c r="F623" i="169"/>
  <c r="I623" i="169" s="1"/>
  <c r="H623" i="169"/>
  <c r="F624" i="169"/>
  <c r="I624" i="169" s="1"/>
  <c r="H624" i="169"/>
  <c r="F625" i="169"/>
  <c r="I625" i="169" s="1"/>
  <c r="H625" i="169"/>
  <c r="F626" i="169"/>
  <c r="H626" i="169"/>
  <c r="F627" i="169"/>
  <c r="I627" i="169" s="1"/>
  <c r="H627" i="169"/>
  <c r="F628" i="169"/>
  <c r="I628" i="169" s="1"/>
  <c r="H628" i="169"/>
  <c r="F629" i="169"/>
  <c r="H629" i="169"/>
  <c r="I629" i="169" s="1"/>
  <c r="F630" i="169"/>
  <c r="I630" i="169" s="1"/>
  <c r="H630" i="169"/>
  <c r="F631" i="169"/>
  <c r="I631" i="169" s="1"/>
  <c r="H631" i="169"/>
  <c r="F632" i="169"/>
  <c r="I632" i="169" s="1"/>
  <c r="H632" i="169"/>
  <c r="F633" i="169"/>
  <c r="H633" i="169"/>
  <c r="I633" i="169" s="1"/>
  <c r="F634" i="169"/>
  <c r="I634" i="169" s="1"/>
  <c r="H634" i="169"/>
  <c r="F635" i="169"/>
  <c r="H635" i="169"/>
  <c r="F636" i="169"/>
  <c r="I636" i="169" s="1"/>
  <c r="H636" i="169"/>
  <c r="F637" i="169"/>
  <c r="H637" i="169"/>
  <c r="I637" i="169" s="1"/>
  <c r="F638" i="169"/>
  <c r="I638" i="169" s="1"/>
  <c r="H638" i="169"/>
  <c r="F639" i="169"/>
  <c r="I639" i="169" s="1"/>
  <c r="H639" i="169"/>
  <c r="F640" i="169"/>
  <c r="I640" i="169" s="1"/>
  <c r="H640" i="169"/>
  <c r="F641" i="169"/>
  <c r="H641" i="169"/>
  <c r="I641" i="169" s="1"/>
  <c r="F642" i="169"/>
  <c r="H642" i="169"/>
  <c r="F643" i="169"/>
  <c r="H643" i="169"/>
  <c r="I643" i="169"/>
  <c r="F644" i="169"/>
  <c r="I644" i="169" s="1"/>
  <c r="H644" i="169"/>
  <c r="F645" i="169"/>
  <c r="H645" i="169"/>
  <c r="I645" i="169" s="1"/>
  <c r="F646" i="169"/>
  <c r="H646" i="169"/>
  <c r="F647" i="169"/>
  <c r="I647" i="169" s="1"/>
  <c r="H647" i="169"/>
  <c r="F648" i="169"/>
  <c r="I648" i="169" s="1"/>
  <c r="H648" i="169"/>
  <c r="F649" i="169"/>
  <c r="H649" i="169"/>
  <c r="I649" i="169" s="1"/>
  <c r="F650" i="169"/>
  <c r="I650" i="169" s="1"/>
  <c r="H650" i="169"/>
  <c r="F651" i="169"/>
  <c r="H651" i="169"/>
  <c r="F652" i="169"/>
  <c r="I652" i="169" s="1"/>
  <c r="H652" i="169"/>
  <c r="F653" i="169"/>
  <c r="H653" i="169"/>
  <c r="I653" i="169" s="1"/>
  <c r="F654" i="169"/>
  <c r="H654" i="169"/>
  <c r="F655" i="169"/>
  <c r="H655" i="169"/>
  <c r="I655" i="169"/>
  <c r="F656" i="169"/>
  <c r="I656" i="169" s="1"/>
  <c r="H656" i="169"/>
  <c r="F657" i="169"/>
  <c r="H657" i="169"/>
  <c r="I657" i="169"/>
  <c r="F658" i="169"/>
  <c r="H658" i="169"/>
  <c r="F659" i="169"/>
  <c r="H659" i="169"/>
  <c r="I659" i="169" s="1"/>
  <c r="F660" i="169"/>
  <c r="I660" i="169" s="1"/>
  <c r="H660" i="169"/>
  <c r="F661" i="169"/>
  <c r="H661" i="169"/>
  <c r="I661" i="169"/>
  <c r="F662" i="169"/>
  <c r="H662" i="169"/>
  <c r="F663" i="169"/>
  <c r="I663" i="169" s="1"/>
  <c r="H663" i="169"/>
  <c r="F664" i="169"/>
  <c r="I664" i="169" s="1"/>
  <c r="H664" i="169"/>
  <c r="F665" i="169"/>
  <c r="H665" i="169"/>
  <c r="I665" i="169" s="1"/>
  <c r="F666" i="169"/>
  <c r="I666" i="169" s="1"/>
  <c r="H666" i="169"/>
  <c r="F667" i="169"/>
  <c r="H667" i="169"/>
  <c r="I667" i="169"/>
  <c r="F668" i="169"/>
  <c r="I668" i="169" s="1"/>
  <c r="H668" i="169"/>
  <c r="F669" i="169"/>
  <c r="H669" i="169"/>
  <c r="I669" i="169" s="1"/>
  <c r="F670" i="169"/>
  <c r="H670" i="169"/>
  <c r="F671" i="169"/>
  <c r="H671" i="169"/>
  <c r="I671" i="169"/>
  <c r="F672" i="169"/>
  <c r="I672" i="169" s="1"/>
  <c r="H672" i="169"/>
  <c r="F673" i="169"/>
  <c r="H673" i="169"/>
  <c r="I673" i="169"/>
  <c r="F674" i="169"/>
  <c r="H674" i="169"/>
  <c r="F675" i="169"/>
  <c r="H675" i="169"/>
  <c r="I675" i="169"/>
  <c r="F676" i="169"/>
  <c r="I676" i="169" s="1"/>
  <c r="H676" i="169"/>
  <c r="F677" i="169"/>
  <c r="H677" i="169"/>
  <c r="I677" i="169"/>
  <c r="F678" i="169"/>
  <c r="I678" i="169" s="1"/>
  <c r="H678" i="169"/>
  <c r="F679" i="169"/>
  <c r="I679" i="169" s="1"/>
  <c r="H679" i="169"/>
  <c r="F680" i="169"/>
  <c r="I680" i="169" s="1"/>
  <c r="H680" i="169"/>
  <c r="F681" i="169"/>
  <c r="H681" i="169"/>
  <c r="I681" i="169" s="1"/>
  <c r="F682" i="169"/>
  <c r="I682" i="169" s="1"/>
  <c r="H682" i="169"/>
  <c r="F683" i="169"/>
  <c r="H683" i="169"/>
  <c r="I683" i="169"/>
  <c r="F684" i="169"/>
  <c r="I684" i="169" s="1"/>
  <c r="H684" i="169"/>
  <c r="F685" i="169"/>
  <c r="H685" i="169"/>
  <c r="I685" i="169" s="1"/>
  <c r="F686" i="169"/>
  <c r="H686" i="169"/>
  <c r="F687" i="169"/>
  <c r="H687" i="169"/>
  <c r="I687" i="169"/>
  <c r="F688" i="169"/>
  <c r="I688" i="169" s="1"/>
  <c r="H688" i="169"/>
  <c r="F689" i="169"/>
  <c r="H689" i="169"/>
  <c r="I689" i="169"/>
  <c r="F690" i="169"/>
  <c r="H690" i="169"/>
  <c r="F691" i="169"/>
  <c r="H691" i="169"/>
  <c r="I691" i="169"/>
  <c r="F692" i="169"/>
  <c r="H692" i="169"/>
  <c r="I692" i="169" s="1"/>
  <c r="F693" i="169"/>
  <c r="H693" i="169"/>
  <c r="I693" i="169" s="1"/>
  <c r="F694" i="169"/>
  <c r="H694" i="169"/>
  <c r="I694" i="169"/>
  <c r="F695" i="169"/>
  <c r="H695" i="169"/>
  <c r="I695" i="169" s="1"/>
  <c r="F696" i="169"/>
  <c r="I696" i="169" s="1"/>
  <c r="H696" i="169"/>
  <c r="F697" i="169"/>
  <c r="H697" i="169"/>
  <c r="I697" i="169" s="1"/>
  <c r="F698" i="169"/>
  <c r="H698" i="169"/>
  <c r="I698" i="169"/>
  <c r="F699" i="169"/>
  <c r="H699" i="169"/>
  <c r="I699" i="169" s="1"/>
  <c r="F700" i="169"/>
  <c r="I700" i="169" s="1"/>
  <c r="H700" i="169"/>
  <c r="F701" i="169"/>
  <c r="I701" i="169" s="1"/>
  <c r="H701" i="169"/>
  <c r="F702" i="169"/>
  <c r="I702" i="169" s="1"/>
  <c r="H702" i="169"/>
  <c r="F703" i="169"/>
  <c r="H703" i="169"/>
  <c r="I703" i="169"/>
  <c r="F704" i="169"/>
  <c r="H704" i="169"/>
  <c r="I704" i="169" s="1"/>
  <c r="F705" i="169"/>
  <c r="I705" i="169" s="1"/>
  <c r="H705" i="169"/>
  <c r="F706" i="169"/>
  <c r="H706" i="169"/>
  <c r="I706" i="169"/>
  <c r="F707" i="169"/>
  <c r="H707" i="169"/>
  <c r="I707" i="169"/>
  <c r="F708" i="169"/>
  <c r="H708" i="169"/>
  <c r="F709" i="169"/>
  <c r="H709" i="169"/>
  <c r="I709" i="169"/>
  <c r="F710" i="169"/>
  <c r="H710" i="169"/>
  <c r="I710" i="169"/>
  <c r="F711" i="169"/>
  <c r="H711" i="169"/>
  <c r="I711" i="169"/>
  <c r="F712" i="169"/>
  <c r="H712" i="169"/>
  <c r="F713" i="169"/>
  <c r="H713" i="169"/>
  <c r="F714" i="169"/>
  <c r="I714" i="169" s="1"/>
  <c r="H714" i="169"/>
  <c r="F715" i="169"/>
  <c r="H715" i="169"/>
  <c r="I715" i="169"/>
  <c r="F716" i="169"/>
  <c r="H716" i="169"/>
  <c r="I716" i="169"/>
  <c r="F717" i="169"/>
  <c r="H717" i="169"/>
  <c r="F718" i="169"/>
  <c r="I718" i="169" s="1"/>
  <c r="H718" i="169"/>
  <c r="F719" i="169"/>
  <c r="H719" i="169"/>
  <c r="I719" i="169" s="1"/>
  <c r="F720" i="169"/>
  <c r="H720" i="169"/>
  <c r="I720" i="169"/>
  <c r="F721" i="169"/>
  <c r="I721" i="169" s="1"/>
  <c r="H721" i="169"/>
  <c r="F722" i="169"/>
  <c r="H722" i="169"/>
  <c r="I722" i="169"/>
  <c r="F723" i="169"/>
  <c r="H723" i="169"/>
  <c r="I723" i="169"/>
  <c r="F724" i="169"/>
  <c r="H724" i="169"/>
  <c r="I724" i="169" s="1"/>
  <c r="F725" i="169"/>
  <c r="H725" i="169"/>
  <c r="I725" i="169"/>
  <c r="F726" i="169"/>
  <c r="I726" i="169" s="1"/>
  <c r="H726" i="169"/>
  <c r="F727" i="169"/>
  <c r="H727" i="169"/>
  <c r="I727" i="169" s="1"/>
  <c r="F728" i="169"/>
  <c r="H728" i="169"/>
  <c r="F729" i="169"/>
  <c r="H729" i="169"/>
  <c r="I729" i="169" s="1"/>
  <c r="F730" i="169"/>
  <c r="H730" i="169"/>
  <c r="I730" i="169"/>
  <c r="F731" i="169"/>
  <c r="H731" i="169"/>
  <c r="I731" i="169" s="1"/>
  <c r="F732" i="169"/>
  <c r="H732" i="169"/>
  <c r="I732" i="169"/>
  <c r="F733" i="169"/>
  <c r="I733" i="169" s="1"/>
  <c r="H733" i="169"/>
  <c r="F734" i="169"/>
  <c r="I734" i="169" s="1"/>
  <c r="H734" i="169"/>
  <c r="F735" i="169"/>
  <c r="I735" i="169" s="1"/>
  <c r="H735" i="169"/>
  <c r="F736" i="169"/>
  <c r="H736" i="169"/>
  <c r="I736" i="169" s="1"/>
  <c r="F737" i="169"/>
  <c r="H737" i="169"/>
  <c r="I737" i="169"/>
  <c r="F738" i="169"/>
  <c r="I738" i="169" s="1"/>
  <c r="H738" i="169"/>
  <c r="F739" i="169"/>
  <c r="H739" i="169"/>
  <c r="I739" i="169"/>
  <c r="F740" i="169"/>
  <c r="I740" i="169" s="1"/>
  <c r="H740" i="169"/>
  <c r="F741" i="169"/>
  <c r="H741" i="169"/>
  <c r="I741" i="169"/>
  <c r="F742" i="169"/>
  <c r="H742" i="169"/>
  <c r="I742" i="169"/>
  <c r="F743" i="169"/>
  <c r="H743" i="169"/>
  <c r="I743" i="169" s="1"/>
  <c r="F744" i="169"/>
  <c r="I744" i="169" s="1"/>
  <c r="H744" i="169"/>
  <c r="F745" i="169"/>
  <c r="H745" i="169"/>
  <c r="I745" i="169"/>
  <c r="F746" i="169"/>
  <c r="H746" i="169"/>
  <c r="I746" i="169"/>
  <c r="F747" i="169"/>
  <c r="I747" i="169" s="1"/>
  <c r="H747" i="169"/>
  <c r="F748" i="169"/>
  <c r="H748" i="169"/>
  <c r="I748" i="169" s="1"/>
  <c r="F749" i="169"/>
  <c r="H749" i="169"/>
  <c r="I749" i="169"/>
  <c r="F750" i="169"/>
  <c r="I750" i="169" s="1"/>
  <c r="H750" i="169"/>
  <c r="F751" i="169"/>
  <c r="H751" i="169"/>
  <c r="I751" i="169"/>
  <c r="F752" i="169"/>
  <c r="H752" i="169"/>
  <c r="I752" i="169"/>
  <c r="F753" i="169"/>
  <c r="H753" i="169"/>
  <c r="I753" i="169" s="1"/>
  <c r="F754" i="169"/>
  <c r="I754" i="169" s="1"/>
  <c r="H754" i="169"/>
  <c r="F755" i="169"/>
  <c r="H755" i="169"/>
  <c r="I755" i="169"/>
  <c r="F756" i="169"/>
  <c r="H756" i="169"/>
  <c r="I756" i="169"/>
  <c r="F757" i="169"/>
  <c r="H757" i="169"/>
  <c r="I757" i="169"/>
  <c r="F758" i="169"/>
  <c r="H758" i="169"/>
  <c r="I758" i="169"/>
  <c r="F759" i="169"/>
  <c r="I759" i="169" s="1"/>
  <c r="H759" i="169"/>
  <c r="F760" i="169"/>
  <c r="H760" i="169"/>
  <c r="F761" i="169"/>
  <c r="H761" i="169"/>
  <c r="I761" i="169"/>
  <c r="F762" i="169"/>
  <c r="H762" i="169"/>
  <c r="I762" i="169" s="1"/>
  <c r="F763" i="169"/>
  <c r="H763" i="169"/>
  <c r="I763" i="169"/>
  <c r="F764" i="169"/>
  <c r="H764" i="169"/>
  <c r="I764" i="169"/>
  <c r="F765" i="169"/>
  <c r="I765" i="169" s="1"/>
  <c r="H765" i="169"/>
  <c r="F766" i="169"/>
  <c r="H766" i="169"/>
  <c r="F767" i="169"/>
  <c r="H767" i="169"/>
  <c r="I767" i="169" s="1"/>
  <c r="F768" i="169"/>
  <c r="H768" i="169"/>
  <c r="I768" i="169"/>
  <c r="F769" i="169"/>
  <c r="H769" i="169"/>
  <c r="I769" i="169"/>
  <c r="F770" i="169"/>
  <c r="H770" i="169"/>
  <c r="I770" i="169"/>
  <c r="F771" i="169"/>
  <c r="H771" i="169"/>
  <c r="I771" i="169"/>
  <c r="F772" i="169"/>
  <c r="H772" i="169"/>
  <c r="I772" i="169"/>
  <c r="F773" i="169"/>
  <c r="H773" i="169"/>
  <c r="F774" i="169"/>
  <c r="H774" i="169"/>
  <c r="I774" i="169" s="1"/>
  <c r="F775" i="169"/>
  <c r="H775" i="169"/>
  <c r="I775" i="169" s="1"/>
  <c r="F776" i="169"/>
  <c r="I776" i="169" s="1"/>
  <c r="H776" i="169"/>
  <c r="F777" i="169"/>
  <c r="H777" i="169"/>
  <c r="I777" i="169"/>
  <c r="F778" i="169"/>
  <c r="I778" i="169" s="1"/>
  <c r="H778" i="169"/>
  <c r="F779" i="169"/>
  <c r="I779" i="169" s="1"/>
  <c r="H779" i="169"/>
  <c r="F780" i="169"/>
  <c r="I780" i="169" s="1"/>
  <c r="H780" i="169"/>
  <c r="F781" i="169"/>
  <c r="I781" i="169" s="1"/>
  <c r="H781" i="169"/>
  <c r="F782" i="169"/>
  <c r="H782" i="169"/>
  <c r="I782" i="169"/>
  <c r="F783" i="169"/>
  <c r="H783" i="169"/>
  <c r="I783" i="169"/>
  <c r="F784" i="169"/>
  <c r="H784" i="169"/>
  <c r="I784" i="169"/>
  <c r="F785" i="169"/>
  <c r="I785" i="169" s="1"/>
  <c r="H785" i="169"/>
  <c r="F786" i="169"/>
  <c r="H786" i="169"/>
  <c r="I786" i="169" s="1"/>
  <c r="F787" i="169"/>
  <c r="H787" i="169"/>
  <c r="I787" i="169"/>
  <c r="F788" i="169"/>
  <c r="I788" i="169" s="1"/>
  <c r="H788" i="169"/>
  <c r="F789" i="169"/>
  <c r="H789" i="169"/>
  <c r="I789" i="169" s="1"/>
  <c r="F790" i="169"/>
  <c r="H790" i="169"/>
  <c r="I790" i="169"/>
  <c r="F791" i="169"/>
  <c r="H791" i="169"/>
  <c r="I791" i="169"/>
  <c r="F792" i="169"/>
  <c r="H792" i="169"/>
  <c r="F793" i="169"/>
  <c r="H793" i="169"/>
  <c r="I793" i="169"/>
  <c r="F794" i="169"/>
  <c r="I794" i="169" s="1"/>
  <c r="H794" i="169"/>
  <c r="F795" i="169"/>
  <c r="I795" i="169" s="1"/>
  <c r="H795" i="169"/>
  <c r="F796" i="169"/>
  <c r="I796" i="169" s="1"/>
  <c r="H796" i="169"/>
  <c r="F797" i="169"/>
  <c r="H797" i="169"/>
  <c r="F798" i="169"/>
  <c r="H798" i="169"/>
  <c r="F799" i="169"/>
  <c r="H799" i="169"/>
  <c r="F800" i="169"/>
  <c r="H800" i="169"/>
  <c r="I800" i="169"/>
  <c r="F801" i="169"/>
  <c r="H801" i="169"/>
  <c r="I801" i="169"/>
  <c r="F802" i="169"/>
  <c r="I802" i="169" s="1"/>
  <c r="H802" i="169"/>
  <c r="F803" i="169"/>
  <c r="H803" i="169"/>
  <c r="I803" i="169" s="1"/>
  <c r="F804" i="169"/>
  <c r="H804" i="169"/>
  <c r="I804" i="169" s="1"/>
  <c r="F805" i="169"/>
  <c r="H805" i="169"/>
  <c r="I805" i="169"/>
  <c r="F806" i="169"/>
  <c r="H806" i="169"/>
  <c r="I806" i="169"/>
  <c r="F807" i="169"/>
  <c r="I807" i="169" s="1"/>
  <c r="H807" i="169"/>
  <c r="F808" i="169"/>
  <c r="H808" i="169"/>
  <c r="I808" i="169"/>
  <c r="F809" i="169"/>
  <c r="H809" i="169"/>
  <c r="I809" i="169" s="1"/>
  <c r="F810" i="169"/>
  <c r="H810" i="169"/>
  <c r="I810" i="169"/>
  <c r="F811" i="169"/>
  <c r="H811" i="169"/>
  <c r="F812" i="169"/>
  <c r="I812" i="169" s="1"/>
  <c r="H812" i="169"/>
  <c r="F813" i="169"/>
  <c r="I813" i="169" s="1"/>
  <c r="H813" i="169"/>
  <c r="F814" i="169"/>
  <c r="I814" i="169" s="1"/>
  <c r="H814" i="169"/>
  <c r="F815" i="169"/>
  <c r="I815" i="169" s="1"/>
  <c r="H815" i="169"/>
  <c r="F816" i="169"/>
  <c r="H816" i="169"/>
  <c r="I816" i="169" s="1"/>
  <c r="F817" i="169"/>
  <c r="H817" i="169"/>
  <c r="I817" i="169"/>
  <c r="F818" i="169"/>
  <c r="H818" i="169"/>
  <c r="F819" i="169"/>
  <c r="H819" i="169"/>
  <c r="I819" i="169"/>
  <c r="F820" i="169"/>
  <c r="I820" i="169" s="1"/>
  <c r="H820" i="169"/>
  <c r="F821" i="169"/>
  <c r="H821" i="169"/>
  <c r="I821" i="169"/>
  <c r="F822" i="169"/>
  <c r="I822" i="169" s="1"/>
  <c r="H822" i="169"/>
  <c r="F823" i="169"/>
  <c r="I823" i="169" s="1"/>
  <c r="H823" i="169"/>
  <c r="F824" i="169"/>
  <c r="H824" i="169"/>
  <c r="F825" i="169"/>
  <c r="H825" i="169"/>
  <c r="I825" i="169"/>
  <c r="F826" i="169"/>
  <c r="H826" i="169"/>
  <c r="I826" i="169"/>
  <c r="F827" i="169"/>
  <c r="I827" i="169" s="1"/>
  <c r="H827" i="169"/>
  <c r="F828" i="169"/>
  <c r="H828" i="169"/>
  <c r="I828" i="169"/>
  <c r="F829" i="169"/>
  <c r="H829" i="169"/>
  <c r="F830" i="169"/>
  <c r="H830" i="169"/>
  <c r="I830" i="169"/>
  <c r="F831" i="169"/>
  <c r="I831" i="169" s="1"/>
  <c r="H831" i="169"/>
  <c r="F832" i="169"/>
  <c r="H832" i="169"/>
  <c r="I832" i="169" s="1"/>
  <c r="F833" i="169"/>
  <c r="H833" i="169"/>
  <c r="I833" i="169"/>
  <c r="F834" i="169"/>
  <c r="I834" i="169" s="1"/>
  <c r="H834" i="169"/>
  <c r="F835" i="169"/>
  <c r="H835" i="169"/>
  <c r="I835" i="169"/>
  <c r="F836" i="169"/>
  <c r="H836" i="169"/>
  <c r="I836" i="169" s="1"/>
  <c r="F837" i="169"/>
  <c r="H837" i="169"/>
  <c r="I837" i="169"/>
  <c r="F838" i="169"/>
  <c r="H838" i="169"/>
  <c r="I838" i="169"/>
  <c r="F839" i="169"/>
  <c r="I839" i="169" s="1"/>
  <c r="H839" i="169"/>
  <c r="F840" i="169"/>
  <c r="I840" i="169" s="1"/>
  <c r="H840" i="169"/>
  <c r="F841" i="169"/>
  <c r="H841" i="169"/>
  <c r="I841" i="169" s="1"/>
  <c r="F842" i="169"/>
  <c r="H842" i="169"/>
  <c r="I842" i="169" s="1"/>
  <c r="F843" i="169"/>
  <c r="H843" i="169"/>
  <c r="I843" i="169"/>
  <c r="F844" i="169"/>
  <c r="H844" i="169"/>
  <c r="I844" i="169" s="1"/>
  <c r="F845" i="169"/>
  <c r="H845" i="169"/>
  <c r="I845" i="169" s="1"/>
  <c r="F846" i="169"/>
  <c r="H846" i="169"/>
  <c r="I846" i="169"/>
  <c r="F847" i="169"/>
  <c r="H847" i="169"/>
  <c r="I847" i="169"/>
  <c r="F848" i="169"/>
  <c r="H848" i="169"/>
  <c r="I848" i="169"/>
  <c r="F849" i="169"/>
  <c r="H849" i="169"/>
  <c r="I849" i="169" s="1"/>
  <c r="F850" i="169"/>
  <c r="H850" i="169"/>
  <c r="F851" i="169"/>
  <c r="I851" i="169" s="1"/>
  <c r="H851" i="169"/>
  <c r="F852" i="169"/>
  <c r="H852" i="169"/>
  <c r="I852" i="169"/>
  <c r="F853" i="169"/>
  <c r="H853" i="169"/>
  <c r="I853" i="169" s="1"/>
  <c r="F854" i="169"/>
  <c r="H854" i="169"/>
  <c r="F855" i="169"/>
  <c r="H855" i="169"/>
  <c r="I855" i="169"/>
  <c r="F856" i="169"/>
  <c r="H856" i="169"/>
  <c r="I856" i="169"/>
  <c r="F857" i="169"/>
  <c r="H857" i="169"/>
  <c r="I857" i="169" s="1"/>
  <c r="F858" i="169"/>
  <c r="H858" i="169"/>
  <c r="I858" i="169"/>
  <c r="F859" i="169"/>
  <c r="I859" i="169" s="1"/>
  <c r="H859" i="169"/>
  <c r="F860" i="169"/>
  <c r="H860" i="169"/>
  <c r="I860" i="169"/>
  <c r="F861" i="169"/>
  <c r="H861" i="169"/>
  <c r="I861" i="169" s="1"/>
  <c r="F862" i="169"/>
  <c r="H862" i="169"/>
  <c r="I862" i="169" s="1"/>
  <c r="F863" i="169"/>
  <c r="H863" i="169"/>
  <c r="I863" i="169"/>
  <c r="F864" i="169"/>
  <c r="H864" i="169"/>
  <c r="I864" i="169" s="1"/>
  <c r="F865" i="169"/>
  <c r="H865" i="169"/>
  <c r="I865" i="169" s="1"/>
  <c r="F866" i="169"/>
  <c r="H866" i="169"/>
  <c r="I866" i="169" s="1"/>
  <c r="F867" i="169"/>
  <c r="I867" i="169" s="1"/>
  <c r="H867" i="169"/>
  <c r="F868" i="169"/>
  <c r="H868" i="169"/>
  <c r="I868" i="169" s="1"/>
  <c r="F869" i="169"/>
  <c r="H869" i="169"/>
  <c r="I869" i="169" s="1"/>
  <c r="F870" i="169"/>
  <c r="I870" i="169" s="1"/>
  <c r="H870" i="169"/>
  <c r="F871" i="169"/>
  <c r="H871" i="169"/>
  <c r="I871" i="169"/>
  <c r="F872" i="169"/>
  <c r="H872" i="169"/>
  <c r="I872" i="169" s="1"/>
  <c r="F873" i="169"/>
  <c r="H873" i="169"/>
  <c r="I873" i="169" s="1"/>
  <c r="F874" i="169"/>
  <c r="H874" i="169"/>
  <c r="I874" i="169"/>
  <c r="F875" i="169"/>
  <c r="I875" i="169" s="1"/>
  <c r="H875" i="169"/>
  <c r="F876" i="169"/>
  <c r="H876" i="169"/>
  <c r="I876" i="169" s="1"/>
  <c r="F877" i="169"/>
  <c r="H877" i="169"/>
  <c r="I877" i="169" s="1"/>
  <c r="F878" i="169"/>
  <c r="H878" i="169"/>
  <c r="I878" i="169"/>
  <c r="F879" i="169"/>
  <c r="H879" i="169"/>
  <c r="I879" i="169"/>
  <c r="F880" i="169"/>
  <c r="H880" i="169"/>
  <c r="I880" i="169"/>
  <c r="F881" i="169"/>
  <c r="H881" i="169"/>
  <c r="I881" i="169" s="1"/>
  <c r="F882" i="169"/>
  <c r="I882" i="169" s="1"/>
  <c r="H882" i="169"/>
  <c r="F883" i="169"/>
  <c r="I883" i="169" s="1"/>
  <c r="H883" i="169"/>
  <c r="F884" i="169"/>
  <c r="H884" i="169"/>
  <c r="I884" i="169" s="1"/>
  <c r="F885" i="169"/>
  <c r="H885" i="169"/>
  <c r="I885" i="169" s="1"/>
  <c r="F886" i="169"/>
  <c r="I886" i="169" s="1"/>
  <c r="H886" i="169"/>
  <c r="F887" i="169"/>
  <c r="I887" i="169" s="1"/>
  <c r="H887" i="169"/>
  <c r="F888" i="169"/>
  <c r="H888" i="169"/>
  <c r="I888" i="169" s="1"/>
  <c r="F889" i="169"/>
  <c r="H889" i="169"/>
  <c r="I889" i="169" s="1"/>
  <c r="F890" i="169"/>
  <c r="H890" i="169"/>
  <c r="I890" i="169"/>
  <c r="F891" i="169"/>
  <c r="H891" i="169"/>
  <c r="I891" i="169"/>
  <c r="F892" i="169"/>
  <c r="H892" i="169"/>
  <c r="I892" i="169" s="1"/>
  <c r="F893" i="169"/>
  <c r="H893" i="169"/>
  <c r="I893" i="169" s="1"/>
  <c r="F894" i="169"/>
  <c r="I894" i="169" s="1"/>
  <c r="H894" i="169"/>
  <c r="F895" i="169"/>
  <c r="I895" i="169" s="1"/>
  <c r="H895" i="169"/>
  <c r="F896" i="169"/>
  <c r="H896" i="169"/>
  <c r="I896" i="169"/>
  <c r="F897" i="169"/>
  <c r="H897" i="169"/>
  <c r="I897" i="169" s="1"/>
  <c r="F898" i="169"/>
  <c r="I898" i="169" s="1"/>
  <c r="H898" i="169"/>
  <c r="F899" i="169"/>
  <c r="H899" i="169"/>
  <c r="I899" i="169"/>
  <c r="F900" i="169"/>
  <c r="H900" i="169"/>
  <c r="I900" i="169"/>
  <c r="F901" i="169"/>
  <c r="H901" i="169"/>
  <c r="I901" i="169" s="1"/>
  <c r="F902" i="169"/>
  <c r="I902" i="169" s="1"/>
  <c r="H902" i="169"/>
  <c r="F903" i="169"/>
  <c r="I903" i="169" s="1"/>
  <c r="H903" i="169"/>
  <c r="F904" i="169"/>
  <c r="H904" i="169"/>
  <c r="I904" i="169"/>
  <c r="F905" i="169"/>
  <c r="H905" i="169"/>
  <c r="I905" i="169" s="1"/>
  <c r="F906" i="169"/>
  <c r="I906" i="169" s="1"/>
  <c r="H906" i="169"/>
  <c r="F907" i="169"/>
  <c r="H907" i="169"/>
  <c r="I907" i="169"/>
  <c r="F908" i="169"/>
  <c r="H908" i="169"/>
  <c r="I908" i="169" s="1"/>
  <c r="F909" i="169"/>
  <c r="H909" i="169"/>
  <c r="I909" i="169" s="1"/>
  <c r="F910" i="169"/>
  <c r="H910" i="169"/>
  <c r="I910" i="169"/>
  <c r="F911" i="169"/>
  <c r="I911" i="169" s="1"/>
  <c r="H911" i="169"/>
  <c r="F912" i="169"/>
  <c r="H912" i="169"/>
  <c r="I912" i="169"/>
  <c r="F913" i="169"/>
  <c r="H913" i="169"/>
  <c r="I913" i="169" s="1"/>
  <c r="F914" i="169"/>
  <c r="H914" i="169"/>
  <c r="F915" i="169"/>
  <c r="H915" i="169"/>
  <c r="I915" i="169"/>
  <c r="F916" i="169"/>
  <c r="H916" i="169"/>
  <c r="I916" i="169"/>
  <c r="F917" i="169"/>
  <c r="H917" i="169"/>
  <c r="I917" i="169" s="1"/>
  <c r="F918" i="169"/>
  <c r="H918" i="169"/>
  <c r="I918" i="169"/>
  <c r="F919" i="169"/>
  <c r="H919" i="169"/>
  <c r="I919" i="169"/>
  <c r="F920" i="169"/>
  <c r="H920" i="169"/>
  <c r="I920" i="169"/>
  <c r="F921" i="169"/>
  <c r="H921" i="169"/>
  <c r="I921" i="169" s="1"/>
  <c r="F922" i="169"/>
  <c r="I922" i="169" s="1"/>
  <c r="H922" i="169"/>
  <c r="F923" i="169"/>
  <c r="H923" i="169"/>
  <c r="I923" i="169"/>
  <c r="F924" i="169"/>
  <c r="H924" i="169"/>
  <c r="I924" i="169"/>
  <c r="F925" i="169"/>
  <c r="H925" i="169"/>
  <c r="I925" i="169" s="1"/>
  <c r="F926" i="169"/>
  <c r="H926" i="169"/>
  <c r="I926" i="169"/>
  <c r="F927" i="169"/>
  <c r="H927" i="169"/>
  <c r="I927" i="169"/>
  <c r="F928" i="169"/>
  <c r="H928" i="169"/>
  <c r="I928" i="169"/>
  <c r="F929" i="169"/>
  <c r="H929" i="169"/>
  <c r="I929" i="169" s="1"/>
  <c r="F930" i="169"/>
  <c r="H930" i="169"/>
  <c r="F931" i="169"/>
  <c r="I931" i="169" s="1"/>
  <c r="H931" i="169"/>
  <c r="F932" i="169"/>
  <c r="H932" i="169"/>
  <c r="I932" i="169"/>
  <c r="F933" i="169"/>
  <c r="H933" i="169"/>
  <c r="I933" i="169" s="1"/>
  <c r="F934" i="169"/>
  <c r="I934" i="169" s="1"/>
  <c r="H934" i="169"/>
  <c r="F935" i="169"/>
  <c r="H935" i="169"/>
  <c r="I935" i="169"/>
  <c r="F936" i="169"/>
  <c r="H936" i="169"/>
  <c r="I936" i="169"/>
  <c r="F937" i="169"/>
  <c r="H937" i="169"/>
  <c r="I937" i="169" s="1"/>
  <c r="F938" i="169"/>
  <c r="H938" i="169"/>
  <c r="I938" i="169"/>
  <c r="F939" i="169"/>
  <c r="I939" i="169" s="1"/>
  <c r="H939" i="169"/>
  <c r="F940" i="169"/>
  <c r="H940" i="169"/>
  <c r="I940" i="169"/>
  <c r="F941" i="169"/>
  <c r="H941" i="169"/>
  <c r="I941" i="169" s="1"/>
  <c r="F942" i="169"/>
  <c r="H942" i="169"/>
  <c r="I942" i="169"/>
  <c r="F943" i="169"/>
  <c r="I943" i="169" s="1"/>
  <c r="H943" i="169"/>
  <c r="F944" i="169"/>
  <c r="H944" i="169"/>
  <c r="I944" i="169" s="1"/>
  <c r="F945" i="169"/>
  <c r="H945" i="169"/>
  <c r="I945" i="169" s="1"/>
  <c r="F946" i="169"/>
  <c r="H946" i="169"/>
  <c r="I946" i="169" s="1"/>
  <c r="F947" i="169"/>
  <c r="I947" i="169" s="1"/>
  <c r="H947" i="169"/>
  <c r="F948" i="169"/>
  <c r="H948" i="169"/>
  <c r="I948" i="169"/>
  <c r="F949" i="169"/>
  <c r="H949" i="169"/>
  <c r="I949" i="169" s="1"/>
  <c r="F950" i="169"/>
  <c r="I950" i="169" s="1"/>
  <c r="H950" i="169"/>
  <c r="F951" i="169"/>
  <c r="H951" i="169"/>
  <c r="I951" i="169"/>
  <c r="F952" i="169"/>
  <c r="H952" i="169"/>
  <c r="I952" i="169"/>
  <c r="F953" i="169"/>
  <c r="H953" i="169"/>
  <c r="I953" i="169" s="1"/>
  <c r="F954" i="169"/>
  <c r="H954" i="169"/>
  <c r="I954" i="169"/>
  <c r="F955" i="169"/>
  <c r="I955" i="169" s="1"/>
  <c r="H955" i="169"/>
  <c r="F956" i="169"/>
  <c r="H956" i="169"/>
  <c r="I956" i="169" s="1"/>
  <c r="F957" i="169"/>
  <c r="H957" i="169"/>
  <c r="I957" i="169" s="1"/>
  <c r="F958" i="169"/>
  <c r="H958" i="169"/>
  <c r="I958" i="169" s="1"/>
  <c r="F959" i="169"/>
  <c r="I959" i="169" s="1"/>
  <c r="H959" i="169"/>
  <c r="F960" i="169"/>
  <c r="H960" i="169"/>
  <c r="I960" i="169"/>
  <c r="F961" i="169"/>
  <c r="H961" i="169"/>
  <c r="I961" i="169" s="1"/>
  <c r="F962" i="169"/>
  <c r="I962" i="169" s="1"/>
  <c r="H962" i="169"/>
  <c r="F963" i="169"/>
  <c r="I963" i="169" s="1"/>
  <c r="H963" i="169"/>
  <c r="F964" i="169"/>
  <c r="H964" i="169"/>
  <c r="I964" i="169" s="1"/>
  <c r="F965" i="169"/>
  <c r="H965" i="169"/>
  <c r="I965" i="169" s="1"/>
  <c r="F966" i="169"/>
  <c r="I966" i="169" s="1"/>
  <c r="H966" i="169"/>
  <c r="F967" i="169"/>
  <c r="H967" i="169"/>
  <c r="I967" i="169"/>
  <c r="F968" i="169"/>
  <c r="H968" i="169"/>
  <c r="I968" i="169"/>
  <c r="F969" i="169"/>
  <c r="H969" i="169"/>
  <c r="I969" i="169" s="1"/>
  <c r="F970" i="169"/>
  <c r="H970" i="169"/>
  <c r="I970" i="169"/>
  <c r="F971" i="169"/>
  <c r="H971" i="169"/>
  <c r="I971" i="169"/>
  <c r="F972" i="169"/>
  <c r="H972" i="169"/>
  <c r="I972" i="169" s="1"/>
  <c r="F973" i="169"/>
  <c r="H973" i="169"/>
  <c r="I973" i="169" s="1"/>
  <c r="F974" i="169"/>
  <c r="I974" i="169" s="1"/>
  <c r="H974" i="169"/>
  <c r="F975" i="169"/>
  <c r="I975" i="169" s="1"/>
  <c r="H975" i="169"/>
  <c r="F976" i="169"/>
  <c r="H976" i="169"/>
  <c r="I976" i="169"/>
  <c r="F977" i="169"/>
  <c r="H977" i="169"/>
  <c r="I977" i="169" s="1"/>
  <c r="F978" i="169"/>
  <c r="H978" i="169"/>
  <c r="I978" i="169"/>
  <c r="F979" i="169"/>
  <c r="H979" i="169"/>
  <c r="I979" i="169"/>
  <c r="F980" i="169"/>
  <c r="H980" i="169"/>
  <c r="I980" i="169"/>
  <c r="F981" i="169"/>
  <c r="H981" i="169"/>
  <c r="I981" i="169" s="1"/>
  <c r="F982" i="169"/>
  <c r="I982" i="169" s="1"/>
  <c r="H982" i="169"/>
  <c r="F983" i="169"/>
  <c r="I983" i="169" s="1"/>
  <c r="H983" i="169"/>
  <c r="F984" i="169"/>
  <c r="H984" i="169"/>
  <c r="I984" i="169"/>
  <c r="F985" i="169"/>
  <c r="H985" i="169"/>
  <c r="I985" i="169" s="1"/>
  <c r="F986" i="169"/>
  <c r="I986" i="169" s="1"/>
  <c r="H986" i="169"/>
  <c r="F987" i="169"/>
  <c r="H987" i="169"/>
  <c r="I987" i="169"/>
  <c r="F988" i="169"/>
  <c r="H988" i="169"/>
  <c r="I988" i="169" s="1"/>
  <c r="F989" i="169"/>
  <c r="H989" i="169"/>
  <c r="I989" i="169" s="1"/>
  <c r="F990" i="169"/>
  <c r="H990" i="169"/>
  <c r="I990" i="169" s="1"/>
  <c r="F991" i="169"/>
  <c r="I991" i="169" s="1"/>
  <c r="H991" i="169"/>
  <c r="F992" i="169"/>
  <c r="H992" i="169"/>
  <c r="I992" i="169" s="1"/>
  <c r="F993" i="169"/>
  <c r="H993" i="169"/>
  <c r="I993" i="169" s="1"/>
  <c r="F994" i="169"/>
  <c r="H994" i="169"/>
  <c r="F995" i="169"/>
  <c r="H995" i="169"/>
  <c r="I995" i="169"/>
  <c r="F996" i="169"/>
  <c r="H996" i="169"/>
  <c r="I996" i="169"/>
  <c r="F997" i="169"/>
  <c r="H997" i="169"/>
  <c r="I997" i="169" s="1"/>
  <c r="F998" i="169"/>
  <c r="H998" i="169"/>
  <c r="I998" i="169"/>
  <c r="F999" i="169"/>
  <c r="H999" i="169"/>
  <c r="I999" i="169"/>
  <c r="F1000" i="169"/>
  <c r="H1000" i="169"/>
  <c r="I1000" i="169"/>
  <c r="F1001" i="169"/>
  <c r="H1001" i="169"/>
  <c r="I1001" i="169" s="1"/>
  <c r="F1002" i="169"/>
  <c r="H1002" i="169"/>
  <c r="F1003" i="169"/>
  <c r="H1003" i="169"/>
  <c r="I1003" i="169"/>
  <c r="F1004" i="169"/>
  <c r="H1004" i="169"/>
  <c r="I1004" i="169" s="1"/>
  <c r="F1005" i="169"/>
  <c r="H1005" i="169"/>
  <c r="I1005" i="169" s="1"/>
  <c r="F1006" i="169"/>
  <c r="H1006" i="169"/>
  <c r="I1006" i="169"/>
  <c r="F1007" i="169"/>
  <c r="H1007" i="169"/>
  <c r="I1007" i="169"/>
  <c r="F1008" i="169"/>
  <c r="H1008" i="169"/>
  <c r="I1008" i="169"/>
  <c r="F1009" i="169"/>
  <c r="H1009" i="169"/>
  <c r="I1009" i="169" s="1"/>
  <c r="F1010" i="169"/>
  <c r="H1010" i="169"/>
  <c r="F1011" i="169"/>
  <c r="I1011" i="169" s="1"/>
  <c r="H1011" i="169"/>
  <c r="F1012" i="169"/>
  <c r="H1012" i="169"/>
  <c r="I1012" i="169"/>
  <c r="F1013" i="169"/>
  <c r="H1013" i="169"/>
  <c r="I1013" i="169" s="1"/>
  <c r="F1014" i="169"/>
  <c r="H1014" i="169"/>
  <c r="I1014" i="169"/>
  <c r="F1015" i="169"/>
  <c r="H1015" i="169"/>
  <c r="I1015" i="169"/>
  <c r="F1016" i="169"/>
  <c r="H1016" i="169"/>
  <c r="I1016" i="169"/>
  <c r="F1017" i="169"/>
  <c r="H1017" i="169"/>
  <c r="I1017" i="169" s="1"/>
  <c r="F1018" i="169"/>
  <c r="H1018" i="169"/>
  <c r="I1018" i="169"/>
  <c r="F1019" i="169"/>
  <c r="I1019" i="169" s="1"/>
  <c r="H1019" i="169"/>
  <c r="F1020" i="169"/>
  <c r="H1020" i="169"/>
  <c r="I1020" i="169"/>
  <c r="F1021" i="169"/>
  <c r="H1021" i="169"/>
  <c r="I1021" i="169" s="1"/>
  <c r="F1022" i="169"/>
  <c r="I1022" i="169" s="1"/>
  <c r="H1022" i="169"/>
  <c r="F1023" i="169"/>
  <c r="H1023" i="169"/>
  <c r="I1023" i="169"/>
  <c r="F1024" i="169"/>
  <c r="H1024" i="169"/>
  <c r="I1024" i="169" s="1"/>
  <c r="F1025" i="169"/>
  <c r="H1025" i="169"/>
  <c r="I1025" i="169" s="1"/>
  <c r="F1026" i="169"/>
  <c r="H1026" i="169"/>
  <c r="I1026" i="169"/>
  <c r="F1027" i="169"/>
  <c r="H1027" i="169"/>
  <c r="I1027" i="169"/>
  <c r="F1028" i="169"/>
  <c r="H1028" i="169"/>
  <c r="I1028" i="169" s="1"/>
  <c r="F1029" i="169"/>
  <c r="H1029" i="169"/>
  <c r="I1029" i="169" s="1"/>
  <c r="F1030" i="169"/>
  <c r="H1030" i="169"/>
  <c r="I1030" i="169"/>
  <c r="F1031" i="169"/>
  <c r="H1031" i="169"/>
  <c r="I1031" i="169"/>
  <c r="F1032" i="169"/>
  <c r="H1032" i="169"/>
  <c r="I1032" i="169" s="1"/>
  <c r="F1033" i="169"/>
  <c r="H1033" i="169"/>
  <c r="I1033" i="169" s="1"/>
  <c r="F1034" i="169"/>
  <c r="I1034" i="169" s="1"/>
  <c r="H1034" i="169"/>
  <c r="F1035" i="169"/>
  <c r="I1035" i="169" s="1"/>
  <c r="H1035" i="169"/>
  <c r="F1036" i="169"/>
  <c r="H1036" i="169"/>
  <c r="I1036" i="169" s="1"/>
  <c r="F1037" i="169"/>
  <c r="H1037" i="169"/>
  <c r="I1037" i="169" s="1"/>
  <c r="F1038" i="169"/>
  <c r="H1038" i="169"/>
  <c r="I1038" i="169"/>
  <c r="F1039" i="169"/>
  <c r="H1039" i="169"/>
  <c r="I1039" i="169"/>
  <c r="F1040" i="169"/>
  <c r="H1040" i="169"/>
  <c r="I1040" i="169" s="1"/>
  <c r="F1041" i="169"/>
  <c r="H1041" i="169"/>
  <c r="I1041" i="169" s="1"/>
  <c r="F1042" i="169"/>
  <c r="H1042" i="169"/>
  <c r="I1042" i="169" s="1"/>
  <c r="F1043" i="169"/>
  <c r="H1043" i="169"/>
  <c r="I1043" i="169"/>
  <c r="F1044" i="169"/>
  <c r="H1044" i="169"/>
  <c r="I1044" i="169"/>
  <c r="F1045" i="169"/>
  <c r="H1045" i="169"/>
  <c r="I1045" i="169" s="1"/>
  <c r="F1046" i="169"/>
  <c r="I1046" i="169" s="1"/>
  <c r="H1046" i="169"/>
  <c r="F1047" i="169"/>
  <c r="I1047" i="169" s="1"/>
  <c r="H1047" i="169"/>
  <c r="F1048" i="169"/>
  <c r="H1048" i="169"/>
  <c r="I1048" i="169"/>
  <c r="F1049" i="169"/>
  <c r="H1049" i="169"/>
  <c r="I1049" i="169" s="1"/>
  <c r="F1050" i="169"/>
  <c r="I1050" i="169" s="1"/>
  <c r="H1050" i="169"/>
  <c r="F1051" i="169"/>
  <c r="I1051" i="169" s="1"/>
  <c r="H1051" i="169"/>
  <c r="F1052" i="169"/>
  <c r="H1052" i="169"/>
  <c r="I1052" i="169"/>
  <c r="F1053" i="169"/>
  <c r="H1053" i="169"/>
  <c r="I1053" i="169" s="1"/>
  <c r="F1054" i="169"/>
  <c r="I1054" i="169" s="1"/>
  <c r="H1054" i="169"/>
  <c r="F1055" i="169"/>
  <c r="I1055" i="169" s="1"/>
  <c r="H1055" i="169"/>
  <c r="F1056" i="169"/>
  <c r="H1056" i="169"/>
  <c r="I1056" i="169"/>
  <c r="F1057" i="169"/>
  <c r="H1057" i="169"/>
  <c r="I1057" i="169"/>
  <c r="F1058" i="169"/>
  <c r="H1058" i="169"/>
  <c r="F1059" i="169"/>
  <c r="H1059" i="169"/>
  <c r="I1059" i="169"/>
  <c r="F1060" i="169"/>
  <c r="H1060" i="169"/>
  <c r="I1060" i="169"/>
  <c r="F1061" i="169"/>
  <c r="H1061" i="169"/>
  <c r="I1061" i="169"/>
  <c r="F1062" i="169"/>
  <c r="H1062" i="169"/>
  <c r="F1063" i="169"/>
  <c r="H1063" i="169"/>
  <c r="I1063" i="169"/>
  <c r="F1064" i="169"/>
  <c r="H1064" i="169"/>
  <c r="I1064" i="169"/>
  <c r="F1065" i="169"/>
  <c r="H1065" i="169"/>
  <c r="I1065" i="169"/>
  <c r="F1066" i="169"/>
  <c r="I1066" i="169" s="1"/>
  <c r="H1066" i="169"/>
  <c r="F1067" i="169"/>
  <c r="I1067" i="169" s="1"/>
  <c r="H1067" i="169"/>
  <c r="F1068" i="169"/>
  <c r="H1068" i="169"/>
  <c r="I1068" i="169"/>
  <c r="F1069" i="169"/>
  <c r="H1069" i="169"/>
  <c r="I1069" i="169" s="1"/>
  <c r="F1070" i="169"/>
  <c r="I1070" i="169" s="1"/>
  <c r="H1070" i="169"/>
  <c r="F1071" i="169"/>
  <c r="I1071" i="169" s="1"/>
  <c r="H1071" i="169"/>
  <c r="F1072" i="169"/>
  <c r="H1072" i="169"/>
  <c r="I1072" i="169"/>
  <c r="F1073" i="169"/>
  <c r="H1073" i="169"/>
  <c r="I1073" i="169"/>
  <c r="F1074" i="169"/>
  <c r="H1074" i="169"/>
  <c r="F1075" i="169"/>
  <c r="H1075" i="169"/>
  <c r="I1075" i="169"/>
  <c r="F1076" i="169"/>
  <c r="H1076" i="169"/>
  <c r="I1076" i="169"/>
  <c r="F1077" i="169"/>
  <c r="H1077" i="169"/>
  <c r="I1077" i="169"/>
  <c r="F1078" i="169"/>
  <c r="H1078" i="169"/>
  <c r="F1079" i="169"/>
  <c r="H1079" i="169"/>
  <c r="I1079" i="169"/>
  <c r="F1080" i="169"/>
  <c r="H1080" i="169"/>
  <c r="I1080" i="169"/>
  <c r="F1081" i="169"/>
  <c r="H1081" i="169"/>
  <c r="I1081" i="169"/>
  <c r="F1082" i="169"/>
  <c r="I1082" i="169" s="1"/>
  <c r="H1082" i="169"/>
  <c r="F1083" i="169"/>
  <c r="I1083" i="169" s="1"/>
  <c r="H1083" i="169"/>
  <c r="F1084" i="169"/>
  <c r="H1084" i="169"/>
  <c r="I1084" i="169"/>
  <c r="F1085" i="169"/>
  <c r="H1085" i="169"/>
  <c r="I1085" i="169" s="1"/>
  <c r="F1086" i="169"/>
  <c r="I1086" i="169" s="1"/>
  <c r="H1086" i="169"/>
  <c r="F1087" i="169"/>
  <c r="I1087" i="169" s="1"/>
  <c r="H1087" i="169"/>
  <c r="F1088" i="169"/>
  <c r="H1088" i="169"/>
  <c r="I1088" i="169"/>
  <c r="F1089" i="169"/>
  <c r="H1089" i="169"/>
  <c r="I1089" i="169"/>
  <c r="F1090" i="169"/>
  <c r="I1090" i="169" s="1"/>
  <c r="H1090" i="169"/>
  <c r="F1091" i="169"/>
  <c r="I1091" i="169" s="1"/>
  <c r="H1091" i="169"/>
  <c r="F1092" i="169"/>
  <c r="H1092" i="169"/>
  <c r="F1093" i="169"/>
  <c r="I1093" i="169" s="1"/>
  <c r="H1093" i="169"/>
  <c r="F1094" i="169"/>
  <c r="H1094" i="169"/>
  <c r="I1094" i="169"/>
  <c r="F1095" i="169"/>
  <c r="I1095" i="169" s="1"/>
  <c r="H1095" i="169"/>
  <c r="F1096" i="169"/>
  <c r="H1096" i="169"/>
  <c r="F1097" i="169"/>
  <c r="H1097" i="169"/>
  <c r="I1097" i="169" s="1"/>
  <c r="F1098" i="169"/>
  <c r="H1098" i="169"/>
  <c r="I1098" i="169"/>
  <c r="F1099" i="169"/>
  <c r="H1099" i="169"/>
  <c r="I1099" i="169"/>
  <c r="F1100" i="169"/>
  <c r="H1100" i="169"/>
  <c r="I1100" i="169" s="1"/>
  <c r="F1101" i="169"/>
  <c r="H1101" i="169"/>
  <c r="F1102" i="169"/>
  <c r="H1102" i="169"/>
  <c r="F1103" i="169"/>
  <c r="H1103" i="169"/>
  <c r="I1103" i="169"/>
  <c r="F1104" i="169"/>
  <c r="I1104" i="169" s="1"/>
  <c r="H1104" i="169"/>
  <c r="F1105" i="169"/>
  <c r="I1105" i="169" s="1"/>
  <c r="H1105" i="169"/>
  <c r="F1106" i="169"/>
  <c r="I1106" i="169" s="1"/>
  <c r="H1106" i="169"/>
  <c r="F1107" i="169"/>
  <c r="H1107" i="169"/>
  <c r="F1108" i="169"/>
  <c r="I1108" i="169" s="1"/>
  <c r="H1108" i="169"/>
  <c r="F1109" i="169"/>
  <c r="H1109" i="169"/>
  <c r="I1109" i="169"/>
  <c r="F1110" i="169"/>
  <c r="H1110" i="169"/>
  <c r="I1110" i="169"/>
  <c r="F1111" i="169"/>
  <c r="H1111" i="169"/>
  <c r="I1111" i="169"/>
  <c r="F1112" i="169"/>
  <c r="I1112" i="169" s="1"/>
  <c r="H1112" i="169"/>
  <c r="F1113" i="169"/>
  <c r="I1113" i="169" s="1"/>
  <c r="H1113" i="169"/>
  <c r="F1114" i="169"/>
  <c r="H1114" i="169"/>
  <c r="I1114" i="169"/>
  <c r="F1115" i="169"/>
  <c r="H1115" i="169"/>
  <c r="I1115" i="169" s="1"/>
  <c r="F1116" i="169"/>
  <c r="H1116" i="169"/>
  <c r="F1117" i="169"/>
  <c r="I1117" i="169" s="1"/>
  <c r="H1117" i="169"/>
  <c r="F1118" i="169"/>
  <c r="H1118" i="169"/>
  <c r="I1118" i="169"/>
  <c r="F1119" i="169"/>
  <c r="H1119" i="169"/>
  <c r="I1119" i="169" s="1"/>
  <c r="F1120" i="169"/>
  <c r="H1120" i="169"/>
  <c r="I1120" i="169" s="1"/>
  <c r="F1121" i="169"/>
  <c r="H1121" i="169"/>
  <c r="I1121" i="169" s="1"/>
  <c r="F1122" i="169"/>
  <c r="I1122" i="169" s="1"/>
  <c r="H1122" i="169"/>
  <c r="F1123" i="169"/>
  <c r="I1123" i="169" s="1"/>
  <c r="H1123" i="169"/>
  <c r="F1124" i="169"/>
  <c r="I1124" i="169" s="1"/>
  <c r="H1124" i="169"/>
  <c r="F1125" i="169"/>
  <c r="H1125" i="169"/>
  <c r="I1125" i="169"/>
  <c r="F1126" i="169"/>
  <c r="H1126" i="169"/>
  <c r="I1126" i="169"/>
  <c r="F1127" i="169"/>
  <c r="H1127" i="169"/>
  <c r="F1128" i="169"/>
  <c r="H1128" i="169"/>
  <c r="I1128" i="169"/>
  <c r="F1129" i="169"/>
  <c r="H1129" i="169"/>
  <c r="I1129" i="169" s="1"/>
  <c r="F1130" i="169"/>
  <c r="I1130" i="169" s="1"/>
  <c r="H1130" i="169"/>
  <c r="F1131" i="169"/>
  <c r="H1131" i="169"/>
  <c r="I1131" i="169"/>
  <c r="F1132" i="169"/>
  <c r="I1132" i="169" s="1"/>
  <c r="H1132" i="169"/>
  <c r="F1133" i="169"/>
  <c r="I1133" i="169" s="1"/>
  <c r="H1133" i="169"/>
  <c r="F1134" i="169"/>
  <c r="H1134" i="169"/>
  <c r="I1134" i="169" s="1"/>
  <c r="F1135" i="169"/>
  <c r="H1135" i="169"/>
  <c r="I1135" i="169"/>
  <c r="F1136" i="169"/>
  <c r="H1136" i="169"/>
  <c r="I1136" i="169" s="1"/>
  <c r="F1137" i="169"/>
  <c r="H1137" i="169"/>
  <c r="I1137" i="169"/>
  <c r="F1138" i="169"/>
  <c r="I1138" i="169" s="1"/>
  <c r="H1138" i="169"/>
  <c r="F1139" i="169"/>
  <c r="H1139" i="169"/>
  <c r="I1139" i="169" s="1"/>
  <c r="F1140" i="169"/>
  <c r="H1140" i="169"/>
  <c r="F1141" i="169"/>
  <c r="H1141" i="169"/>
  <c r="I1141" i="169" s="1"/>
  <c r="F1142" i="169"/>
  <c r="H1142" i="169"/>
  <c r="F1143" i="169"/>
  <c r="H1143" i="169"/>
  <c r="I1143" i="169" s="1"/>
  <c r="F1144" i="169"/>
  <c r="H1144" i="169"/>
  <c r="I1144" i="169"/>
  <c r="F1145" i="169"/>
  <c r="I1145" i="169" s="1"/>
  <c r="H1145" i="169"/>
  <c r="F1146" i="169"/>
  <c r="I1146" i="169" s="1"/>
  <c r="H1146" i="169"/>
  <c r="F1147" i="169"/>
  <c r="H1147" i="169"/>
  <c r="I1147" i="169"/>
  <c r="F1148" i="169"/>
  <c r="I1148" i="169" s="1"/>
  <c r="H1148" i="169"/>
  <c r="F1149" i="169"/>
  <c r="H1149" i="169"/>
  <c r="I1149" i="169"/>
  <c r="F1150" i="169"/>
  <c r="H1150" i="169"/>
  <c r="I1150" i="169" s="1"/>
  <c r="F1151" i="169"/>
  <c r="H1151" i="169"/>
  <c r="I1151" i="169"/>
  <c r="F1152" i="169"/>
  <c r="I1152" i="169" s="1"/>
  <c r="H1152" i="169"/>
  <c r="F1153" i="169"/>
  <c r="H1153" i="169"/>
  <c r="I1153" i="169"/>
  <c r="F1154" i="169"/>
  <c r="H1154" i="169"/>
  <c r="I1154" i="169"/>
  <c r="F1155" i="169"/>
  <c r="H1155" i="169"/>
  <c r="I1155" i="169"/>
  <c r="F1156" i="169"/>
  <c r="H1156" i="169"/>
  <c r="F1157" i="169"/>
  <c r="I1157" i="169" s="1"/>
  <c r="H1157" i="169"/>
  <c r="F1158" i="169"/>
  <c r="I1158" i="169" s="1"/>
  <c r="H1158" i="169"/>
  <c r="F1159" i="169"/>
  <c r="H1159" i="169"/>
  <c r="I1159" i="169"/>
  <c r="F1160" i="169"/>
  <c r="H1160" i="169"/>
  <c r="I1160" i="169" s="1"/>
  <c r="F1161" i="169"/>
  <c r="H1161" i="169"/>
  <c r="I1161" i="169"/>
  <c r="F1162" i="169"/>
  <c r="H1162" i="169"/>
  <c r="F1163" i="169"/>
  <c r="H1163" i="169"/>
  <c r="F1164" i="169"/>
  <c r="H1164" i="169"/>
  <c r="F1165" i="169"/>
  <c r="H1165" i="169"/>
  <c r="I1165" i="169"/>
  <c r="F1166" i="169"/>
  <c r="I1166" i="169" s="1"/>
  <c r="H1166" i="169"/>
  <c r="F1167" i="169"/>
  <c r="H1167" i="169"/>
  <c r="I1167" i="169"/>
  <c r="F1168" i="169"/>
  <c r="H1168" i="169"/>
  <c r="I1168" i="169"/>
  <c r="F1169" i="169"/>
  <c r="H1169" i="169"/>
  <c r="I1169" i="169"/>
  <c r="F1170" i="169"/>
  <c r="H1170" i="169"/>
  <c r="F1171" i="169"/>
  <c r="I1171" i="169" s="1"/>
  <c r="H1171" i="169"/>
  <c r="F1172" i="169"/>
  <c r="H1172" i="169"/>
  <c r="F1173" i="169"/>
  <c r="I1173" i="169" s="1"/>
  <c r="H1173" i="169"/>
  <c r="F1174" i="169"/>
  <c r="H1174" i="169"/>
  <c r="I1174" i="169"/>
  <c r="F1175" i="169"/>
  <c r="I1175" i="169" s="1"/>
  <c r="H1175" i="169"/>
  <c r="F1176" i="169"/>
  <c r="I1176" i="169" s="1"/>
  <c r="H1176" i="169"/>
  <c r="F1177" i="169"/>
  <c r="H1177" i="169"/>
  <c r="I1177" i="169" s="1"/>
  <c r="F1178" i="169"/>
  <c r="I1178" i="169" s="1"/>
  <c r="H1178" i="169"/>
  <c r="F1179" i="169"/>
  <c r="H1179" i="169"/>
  <c r="I1179" i="169"/>
  <c r="F1180" i="169"/>
  <c r="I1180" i="169" s="1"/>
  <c r="H1180" i="169"/>
  <c r="F1181" i="169"/>
  <c r="H1181" i="169"/>
  <c r="I1181" i="169"/>
  <c r="F1182" i="169"/>
  <c r="I1182" i="169" s="1"/>
  <c r="H1182" i="169"/>
  <c r="F1183" i="169"/>
  <c r="H1183" i="169"/>
  <c r="F1184" i="169"/>
  <c r="H1184" i="169"/>
  <c r="I1184" i="169" s="1"/>
  <c r="F1185" i="169"/>
  <c r="H1185" i="169"/>
  <c r="I1185" i="169"/>
  <c r="H1186" i="169"/>
  <c r="H1187" i="169"/>
  <c r="H1188" i="169"/>
  <c r="H1189" i="169"/>
  <c r="H1190" i="169"/>
  <c r="I2" i="168"/>
  <c r="I3" i="168"/>
  <c r="I4" i="168"/>
  <c r="I5" i="168"/>
  <c r="I6" i="168"/>
  <c r="I7" i="168"/>
  <c r="I8" i="168"/>
  <c r="I9" i="168"/>
  <c r="I10" i="168"/>
  <c r="I11" i="168"/>
  <c r="I12" i="168"/>
  <c r="I13" i="168"/>
  <c r="I14" i="168"/>
  <c r="I15" i="168"/>
  <c r="I16" i="168"/>
  <c r="I17" i="168"/>
  <c r="I18" i="168"/>
  <c r="I19" i="168"/>
  <c r="I20" i="168"/>
  <c r="I21" i="168"/>
  <c r="I22" i="168"/>
  <c r="I23" i="168"/>
  <c r="I24" i="168"/>
  <c r="I25" i="168"/>
  <c r="I26" i="168"/>
  <c r="I27" i="168"/>
  <c r="I28" i="168"/>
  <c r="I29" i="168"/>
  <c r="I30" i="168"/>
  <c r="I31" i="168"/>
  <c r="I32" i="168"/>
  <c r="I33" i="168"/>
  <c r="I34" i="168"/>
  <c r="I35" i="168"/>
  <c r="I36" i="168"/>
  <c r="I37" i="168"/>
  <c r="I38" i="168"/>
  <c r="I39" i="168"/>
  <c r="I40" i="168"/>
  <c r="I41" i="168"/>
  <c r="I42" i="168"/>
  <c r="I43" i="168"/>
  <c r="I44" i="168"/>
  <c r="I45" i="168"/>
  <c r="I46" i="168"/>
  <c r="I47" i="168"/>
  <c r="I48" i="168"/>
  <c r="I49" i="168"/>
  <c r="I50" i="168"/>
  <c r="I51" i="168"/>
  <c r="I52" i="168"/>
  <c r="I53" i="168"/>
  <c r="I54" i="168"/>
  <c r="I55" i="168"/>
  <c r="I56" i="168"/>
  <c r="I57" i="168"/>
  <c r="I58" i="168"/>
  <c r="I59" i="168"/>
  <c r="I60" i="168"/>
  <c r="I61" i="168"/>
  <c r="I62" i="168"/>
  <c r="I63" i="168"/>
  <c r="I64" i="168"/>
  <c r="I65" i="168"/>
  <c r="I66" i="168"/>
  <c r="I67" i="168"/>
  <c r="I68" i="168"/>
  <c r="I69" i="168"/>
  <c r="I70" i="168"/>
  <c r="I71" i="168"/>
  <c r="I72" i="168"/>
  <c r="I73" i="168"/>
  <c r="I74" i="168"/>
  <c r="I75" i="168"/>
  <c r="I76" i="168"/>
  <c r="I77" i="168"/>
  <c r="I78" i="168"/>
  <c r="I79" i="168"/>
  <c r="I80" i="168"/>
  <c r="I81" i="168"/>
  <c r="I82" i="168"/>
  <c r="I83" i="168"/>
  <c r="I84" i="168"/>
  <c r="I85" i="168"/>
  <c r="I86" i="168"/>
  <c r="I87" i="168"/>
  <c r="I88" i="168"/>
  <c r="I89" i="168"/>
  <c r="I90" i="168"/>
  <c r="I91" i="168"/>
  <c r="I92" i="168"/>
  <c r="I93" i="168"/>
  <c r="I94" i="168"/>
  <c r="I95" i="168"/>
  <c r="I96" i="168"/>
  <c r="I97" i="168"/>
  <c r="I98" i="168"/>
  <c r="I99" i="168"/>
  <c r="I100" i="168"/>
  <c r="I101" i="168"/>
  <c r="I102" i="168"/>
  <c r="I103" i="168"/>
  <c r="I104" i="168"/>
  <c r="I105" i="168"/>
  <c r="I106" i="168"/>
  <c r="I107" i="168"/>
  <c r="I108" i="168"/>
  <c r="I109" i="168"/>
  <c r="I110" i="168"/>
  <c r="I111" i="168"/>
  <c r="I112" i="168"/>
  <c r="I113" i="168"/>
  <c r="I114" i="168"/>
  <c r="I115" i="168"/>
  <c r="I116" i="168"/>
  <c r="I117" i="168"/>
  <c r="I118" i="168"/>
  <c r="I119" i="168"/>
  <c r="I120" i="168"/>
  <c r="I121" i="168"/>
  <c r="I122" i="168"/>
  <c r="I123" i="168"/>
  <c r="I124" i="168"/>
  <c r="I125" i="168"/>
  <c r="I126" i="168"/>
  <c r="I127" i="168"/>
  <c r="I128" i="168"/>
  <c r="I129" i="168"/>
  <c r="I130" i="168"/>
  <c r="I131" i="168"/>
  <c r="I132" i="168"/>
  <c r="I133" i="168"/>
  <c r="I134" i="168"/>
  <c r="I135" i="168"/>
  <c r="I136" i="168"/>
  <c r="I137" i="168"/>
  <c r="I138" i="168"/>
  <c r="I139" i="168"/>
  <c r="I140" i="168"/>
  <c r="I141" i="168"/>
  <c r="I142" i="168"/>
  <c r="I143" i="168"/>
  <c r="I144" i="168"/>
  <c r="I145" i="168"/>
  <c r="I146" i="168"/>
  <c r="I147" i="168"/>
  <c r="I148" i="168"/>
  <c r="I149" i="168"/>
  <c r="I150" i="168"/>
  <c r="I151" i="168"/>
  <c r="I152" i="168"/>
  <c r="I153" i="168"/>
  <c r="I154" i="168"/>
  <c r="I155" i="168"/>
  <c r="I156" i="168"/>
  <c r="I157" i="168"/>
  <c r="I158" i="168"/>
  <c r="I159" i="168"/>
  <c r="I160" i="168"/>
  <c r="I161" i="168"/>
  <c r="I162" i="168"/>
  <c r="I163" i="168"/>
  <c r="I164" i="168"/>
  <c r="I165" i="168"/>
  <c r="I166" i="168"/>
  <c r="I167" i="168"/>
  <c r="I168" i="168"/>
  <c r="I169" i="168"/>
  <c r="I170" i="168"/>
  <c r="I171" i="168"/>
  <c r="I172" i="168"/>
  <c r="I173" i="168"/>
  <c r="I174" i="168"/>
  <c r="I175" i="168"/>
  <c r="I176" i="168"/>
  <c r="I177" i="168"/>
  <c r="I178" i="168"/>
  <c r="I179" i="168"/>
  <c r="I180" i="168"/>
  <c r="I181" i="168"/>
  <c r="I182" i="168"/>
  <c r="I183" i="168"/>
  <c r="I184" i="168"/>
  <c r="I185" i="168"/>
  <c r="I186" i="168"/>
  <c r="I187" i="168"/>
  <c r="I188" i="168"/>
  <c r="I189" i="168"/>
  <c r="I190" i="168"/>
  <c r="I191" i="168"/>
  <c r="I192" i="168"/>
  <c r="I193" i="168"/>
  <c r="I194" i="168"/>
  <c r="I195" i="168"/>
  <c r="I196" i="168"/>
  <c r="I197" i="168"/>
  <c r="I198" i="168"/>
  <c r="I199" i="168"/>
  <c r="I200" i="168"/>
  <c r="I201" i="168"/>
  <c r="I202" i="168"/>
  <c r="I203" i="168"/>
  <c r="I204" i="168"/>
  <c r="I205" i="168"/>
  <c r="I206" i="168"/>
  <c r="I207" i="168"/>
  <c r="I208" i="168"/>
  <c r="I209" i="168"/>
  <c r="I210" i="168"/>
  <c r="I211" i="168"/>
  <c r="I212" i="168"/>
  <c r="I213" i="168"/>
  <c r="I214" i="168"/>
  <c r="I215" i="168"/>
  <c r="I216" i="168"/>
  <c r="I217" i="168"/>
  <c r="I218" i="168"/>
  <c r="I219" i="168"/>
  <c r="I220" i="168"/>
  <c r="I221" i="168"/>
  <c r="I222" i="168"/>
  <c r="I223" i="168"/>
  <c r="I224" i="168"/>
  <c r="I225" i="168"/>
  <c r="I226" i="168"/>
  <c r="I227" i="168"/>
  <c r="I228" i="168"/>
  <c r="I229" i="168"/>
  <c r="I230" i="168"/>
  <c r="I231" i="168"/>
  <c r="I232" i="168"/>
  <c r="I233" i="168"/>
  <c r="I234" i="168"/>
  <c r="I235" i="168"/>
  <c r="I236" i="168"/>
  <c r="I237" i="168"/>
  <c r="I238" i="168"/>
  <c r="I239" i="168"/>
  <c r="I240" i="168"/>
  <c r="I241" i="168"/>
  <c r="I242" i="168"/>
  <c r="I243" i="168"/>
  <c r="I244" i="168"/>
  <c r="I245" i="168"/>
  <c r="I246" i="168"/>
  <c r="I247" i="168"/>
  <c r="I248" i="168"/>
  <c r="I249" i="168"/>
  <c r="I250" i="168"/>
  <c r="I251" i="168"/>
  <c r="I252" i="168"/>
  <c r="I253" i="168"/>
  <c r="I254" i="168"/>
  <c r="I255" i="168"/>
  <c r="I256" i="168"/>
  <c r="I257" i="168"/>
  <c r="I258" i="168"/>
  <c r="I259" i="168"/>
  <c r="I260" i="168"/>
  <c r="I261" i="168"/>
  <c r="I262" i="168"/>
  <c r="I263" i="168"/>
  <c r="I264" i="168"/>
  <c r="I265" i="168"/>
  <c r="I266" i="168"/>
  <c r="I267" i="168"/>
  <c r="I268" i="168"/>
  <c r="I269" i="168"/>
  <c r="I270" i="168"/>
  <c r="I271" i="168"/>
  <c r="I272" i="168"/>
  <c r="I273" i="168"/>
  <c r="I274" i="168"/>
  <c r="I275" i="168"/>
  <c r="I276" i="168"/>
  <c r="I277" i="168"/>
  <c r="I278" i="168"/>
  <c r="I279" i="168"/>
  <c r="I280" i="168"/>
  <c r="I281" i="168"/>
  <c r="I282" i="168"/>
  <c r="I283" i="168"/>
  <c r="I284" i="168"/>
  <c r="I285" i="168"/>
  <c r="I286" i="168"/>
  <c r="I287" i="168"/>
  <c r="I288" i="168"/>
  <c r="I289" i="168"/>
  <c r="I290" i="168"/>
  <c r="I291" i="168"/>
  <c r="I292" i="168"/>
  <c r="I293" i="168"/>
  <c r="I294" i="168"/>
  <c r="I295" i="168"/>
  <c r="I296" i="168"/>
  <c r="I297" i="168"/>
  <c r="I298" i="168"/>
  <c r="I299" i="168"/>
  <c r="I300" i="168"/>
  <c r="I301" i="168"/>
  <c r="I302" i="168"/>
  <c r="I303" i="168"/>
  <c r="I304" i="168"/>
  <c r="I305" i="168"/>
  <c r="I306" i="168"/>
  <c r="I307" i="168"/>
  <c r="I308" i="168"/>
  <c r="I309" i="168"/>
  <c r="I310" i="168"/>
  <c r="I311" i="168"/>
  <c r="I312" i="168"/>
  <c r="I313" i="168"/>
  <c r="I314" i="168"/>
  <c r="I315" i="168"/>
  <c r="I316" i="168"/>
  <c r="I317" i="168"/>
  <c r="I318" i="168"/>
  <c r="I319" i="168"/>
  <c r="I320" i="168"/>
  <c r="I321" i="168"/>
  <c r="I322" i="168"/>
  <c r="I323" i="168"/>
  <c r="I324" i="168"/>
  <c r="I325" i="168"/>
  <c r="I326" i="168"/>
  <c r="I327" i="168"/>
  <c r="I328" i="168"/>
  <c r="I329" i="168"/>
  <c r="I330" i="168"/>
  <c r="I331" i="168"/>
  <c r="I332" i="168"/>
  <c r="I333" i="168"/>
  <c r="I334" i="168"/>
  <c r="I335" i="168"/>
  <c r="I336" i="168"/>
  <c r="I337" i="168"/>
  <c r="I338" i="168"/>
  <c r="I339" i="168"/>
  <c r="I340" i="168"/>
  <c r="I341" i="168"/>
  <c r="I342" i="168"/>
  <c r="I343" i="168"/>
  <c r="I344" i="168"/>
  <c r="I345" i="168"/>
  <c r="I346" i="168"/>
  <c r="I347" i="168"/>
  <c r="I348" i="168"/>
  <c r="I349" i="168"/>
  <c r="I350" i="168"/>
  <c r="I351" i="168"/>
  <c r="I352" i="168"/>
  <c r="I353" i="168"/>
  <c r="I354" i="168"/>
  <c r="I355" i="168"/>
  <c r="I356" i="168"/>
  <c r="I357" i="168"/>
  <c r="I358" i="168"/>
  <c r="I359" i="168"/>
  <c r="I360" i="168"/>
  <c r="I361" i="168"/>
  <c r="I362" i="168"/>
  <c r="I363" i="168"/>
  <c r="I364" i="168"/>
  <c r="I365" i="168"/>
  <c r="I366" i="168"/>
  <c r="I367" i="168"/>
  <c r="I368" i="168"/>
  <c r="I369" i="168"/>
  <c r="I370" i="168"/>
  <c r="I371" i="168"/>
  <c r="I372" i="168"/>
  <c r="I373" i="168"/>
  <c r="I374" i="168"/>
  <c r="I375" i="168"/>
  <c r="I376" i="168"/>
  <c r="I377" i="168"/>
  <c r="I378" i="168"/>
  <c r="I379" i="168"/>
  <c r="I380" i="168"/>
  <c r="I381" i="168"/>
  <c r="I382" i="168"/>
  <c r="I383" i="168"/>
  <c r="I384" i="168"/>
  <c r="I385" i="168"/>
  <c r="I386" i="168"/>
  <c r="I387" i="168"/>
  <c r="I388" i="168"/>
  <c r="I389" i="168"/>
  <c r="I390" i="168"/>
  <c r="I391" i="168"/>
  <c r="I392" i="168"/>
  <c r="I393" i="168"/>
  <c r="I394" i="168"/>
  <c r="I395" i="168"/>
  <c r="I396" i="168"/>
  <c r="I397" i="168"/>
  <c r="I398" i="168"/>
  <c r="I399" i="168"/>
  <c r="I400" i="168"/>
  <c r="I401" i="168"/>
  <c r="I402" i="168"/>
  <c r="I403" i="168"/>
  <c r="I404" i="168"/>
  <c r="I405" i="168"/>
  <c r="I406" i="168"/>
  <c r="I407" i="168"/>
  <c r="I408" i="168"/>
  <c r="I409" i="168"/>
  <c r="I410" i="168"/>
  <c r="I411" i="168"/>
  <c r="I412" i="168"/>
  <c r="I413" i="168"/>
  <c r="I414" i="168"/>
  <c r="I415" i="168"/>
  <c r="I416" i="168"/>
  <c r="I417" i="168"/>
  <c r="I418" i="168"/>
  <c r="I419" i="168"/>
  <c r="I420" i="168"/>
  <c r="I421" i="168"/>
  <c r="I422" i="168"/>
  <c r="I423" i="168"/>
  <c r="I424" i="168"/>
  <c r="I425" i="168"/>
  <c r="I426" i="168"/>
  <c r="I427" i="168"/>
  <c r="I428" i="168"/>
  <c r="I429" i="168"/>
  <c r="I430" i="168"/>
  <c r="I431" i="168"/>
  <c r="I432" i="168"/>
  <c r="I433" i="168"/>
  <c r="I434" i="168"/>
  <c r="I435" i="168"/>
  <c r="I436" i="168"/>
  <c r="I437" i="168"/>
  <c r="I438" i="168"/>
  <c r="I439" i="168"/>
  <c r="I440" i="168"/>
  <c r="I441" i="168"/>
  <c r="I442" i="168"/>
  <c r="I443" i="168"/>
  <c r="I444" i="168"/>
  <c r="I445" i="168"/>
  <c r="I446" i="168"/>
  <c r="I447" i="168"/>
  <c r="I448" i="168"/>
  <c r="I449" i="168"/>
  <c r="I450" i="168"/>
  <c r="I451" i="168"/>
  <c r="I452" i="168"/>
  <c r="I453" i="168"/>
  <c r="I454" i="168"/>
  <c r="I455" i="168"/>
  <c r="I456" i="168"/>
  <c r="I457" i="168"/>
  <c r="I458" i="168"/>
  <c r="I459" i="168"/>
  <c r="I460" i="168"/>
  <c r="I461" i="168"/>
  <c r="I462" i="168"/>
  <c r="I463" i="168"/>
  <c r="I464" i="168"/>
  <c r="I465" i="168"/>
  <c r="I466" i="168"/>
  <c r="I467" i="168"/>
  <c r="I468" i="168"/>
  <c r="I469" i="168"/>
  <c r="I470" i="168"/>
  <c r="I471" i="168"/>
  <c r="I472" i="168"/>
  <c r="I473" i="168"/>
  <c r="I474" i="168"/>
  <c r="I475" i="168"/>
  <c r="I476" i="168"/>
  <c r="I477" i="168"/>
  <c r="I478" i="168"/>
  <c r="I479" i="168"/>
  <c r="I480" i="168"/>
  <c r="I481" i="168"/>
  <c r="I482" i="168"/>
  <c r="I483" i="168"/>
  <c r="I484" i="168"/>
  <c r="I485" i="168"/>
  <c r="I486" i="168"/>
  <c r="I487" i="168"/>
  <c r="I488" i="168"/>
  <c r="I489" i="168"/>
  <c r="I490" i="168"/>
  <c r="I491" i="168"/>
  <c r="I492" i="168"/>
  <c r="I493" i="168"/>
  <c r="I494" i="168"/>
  <c r="I495" i="168"/>
  <c r="I496" i="168"/>
  <c r="I497" i="168"/>
  <c r="I498" i="168"/>
  <c r="I499" i="168"/>
  <c r="I500" i="168"/>
  <c r="I501" i="168"/>
  <c r="I502" i="168"/>
  <c r="I503" i="168"/>
  <c r="I504" i="168"/>
  <c r="I505" i="168"/>
  <c r="I506" i="168"/>
  <c r="I507" i="168"/>
  <c r="I508" i="168"/>
  <c r="I509" i="168"/>
  <c r="I510" i="168"/>
  <c r="I511" i="168"/>
  <c r="I512" i="168"/>
  <c r="I513" i="168"/>
  <c r="I514" i="168"/>
  <c r="I515" i="168"/>
  <c r="I516" i="168"/>
  <c r="I517" i="168"/>
  <c r="I518" i="168"/>
  <c r="I519" i="168"/>
  <c r="I520" i="168"/>
  <c r="I521" i="168"/>
  <c r="I522" i="168"/>
  <c r="I523" i="168"/>
  <c r="I524" i="168"/>
  <c r="I525" i="168"/>
  <c r="I526" i="168"/>
  <c r="I527" i="168"/>
  <c r="I528" i="168"/>
  <c r="I529" i="168"/>
  <c r="I530" i="168"/>
  <c r="I531" i="168"/>
  <c r="I532" i="168"/>
  <c r="I533" i="168"/>
  <c r="I534" i="168"/>
  <c r="I535" i="168"/>
  <c r="I536" i="168"/>
  <c r="I537" i="168"/>
  <c r="I538" i="168"/>
  <c r="I539" i="168"/>
  <c r="I540" i="168"/>
  <c r="I541" i="168"/>
  <c r="I542" i="168"/>
  <c r="I543" i="168"/>
  <c r="I544" i="168"/>
  <c r="I545" i="168"/>
  <c r="I546" i="168"/>
  <c r="I547" i="168"/>
  <c r="I548" i="168"/>
  <c r="I549" i="168"/>
  <c r="I550" i="168"/>
  <c r="I551" i="168"/>
  <c r="I552" i="168"/>
  <c r="I553" i="168"/>
  <c r="I554" i="168"/>
  <c r="I555" i="168"/>
  <c r="I556" i="168"/>
  <c r="I557" i="168"/>
  <c r="I558" i="168"/>
  <c r="I559" i="168"/>
  <c r="I560" i="168"/>
  <c r="I561" i="168"/>
  <c r="I562" i="168"/>
  <c r="I563" i="168"/>
  <c r="I564" i="168"/>
  <c r="I565" i="168"/>
  <c r="I566" i="168"/>
  <c r="I567" i="168"/>
  <c r="I568" i="168"/>
  <c r="I569" i="168"/>
  <c r="I570" i="168"/>
  <c r="I571" i="168"/>
  <c r="I572" i="168"/>
  <c r="I573" i="168"/>
  <c r="I574" i="168"/>
  <c r="I575" i="168"/>
  <c r="I576" i="168"/>
  <c r="I577" i="168"/>
  <c r="I578" i="168"/>
  <c r="I579" i="168"/>
  <c r="I580" i="168"/>
  <c r="I581" i="168"/>
  <c r="I582" i="168"/>
  <c r="I583" i="168"/>
  <c r="I584" i="168"/>
  <c r="I585" i="168"/>
  <c r="I586" i="168"/>
  <c r="I587" i="168"/>
  <c r="I588" i="168"/>
  <c r="I589" i="168"/>
  <c r="I590" i="168"/>
  <c r="I591" i="168"/>
  <c r="I592" i="168"/>
  <c r="I593" i="168"/>
  <c r="I594" i="168"/>
  <c r="I595" i="168"/>
  <c r="I596" i="168"/>
  <c r="I597" i="168"/>
  <c r="I598" i="168"/>
  <c r="I599" i="168"/>
  <c r="I600" i="168"/>
  <c r="I601" i="168"/>
  <c r="I602" i="168"/>
  <c r="I603" i="168"/>
  <c r="I604" i="168"/>
  <c r="I605" i="168"/>
  <c r="I606" i="168"/>
  <c r="I607" i="168"/>
  <c r="I608" i="168"/>
  <c r="I609" i="168"/>
  <c r="I610" i="168"/>
  <c r="I611" i="168"/>
  <c r="I612" i="168"/>
  <c r="I613" i="168"/>
  <c r="I614" i="168"/>
  <c r="I615" i="168"/>
  <c r="I616" i="168"/>
  <c r="I617" i="168"/>
  <c r="I618" i="168"/>
  <c r="I619" i="168"/>
  <c r="I620" i="168"/>
  <c r="I621" i="168"/>
  <c r="I622" i="168"/>
  <c r="I623" i="168"/>
  <c r="I624" i="168"/>
  <c r="I625" i="168"/>
  <c r="I626" i="168"/>
  <c r="I627" i="168"/>
  <c r="I628" i="168"/>
  <c r="I629" i="168"/>
  <c r="I630" i="168"/>
  <c r="I631" i="168"/>
  <c r="I632" i="168"/>
  <c r="I633" i="168"/>
  <c r="I634" i="168"/>
  <c r="I635" i="168"/>
  <c r="I636" i="168"/>
  <c r="I637" i="168"/>
  <c r="I638" i="168"/>
  <c r="I639" i="168"/>
  <c r="I640" i="168"/>
  <c r="I641" i="168"/>
  <c r="I642" i="168"/>
  <c r="I643" i="168"/>
  <c r="I644" i="168"/>
  <c r="I645" i="168"/>
  <c r="I646" i="168"/>
  <c r="I647" i="168"/>
  <c r="I648" i="168"/>
  <c r="I649" i="168"/>
  <c r="I650" i="168"/>
  <c r="I651" i="168"/>
  <c r="I652" i="168"/>
  <c r="I653" i="168"/>
  <c r="I654" i="168"/>
  <c r="I655" i="168"/>
  <c r="I656" i="168"/>
  <c r="I657" i="168"/>
  <c r="I658" i="168"/>
  <c r="I659" i="168"/>
  <c r="I660" i="168"/>
  <c r="I661" i="168"/>
  <c r="I662" i="168"/>
  <c r="I663" i="168"/>
  <c r="I664" i="168"/>
  <c r="I665" i="168"/>
  <c r="I666" i="168"/>
  <c r="I667" i="168"/>
  <c r="I668" i="168"/>
  <c r="I669" i="168"/>
  <c r="I670" i="168"/>
  <c r="I671" i="168"/>
  <c r="I672" i="168"/>
  <c r="I673" i="168"/>
  <c r="I674" i="168"/>
  <c r="I675" i="168"/>
  <c r="I676" i="168"/>
  <c r="I677" i="168"/>
  <c r="I678" i="168"/>
  <c r="I679" i="168"/>
  <c r="I680" i="168"/>
  <c r="I681" i="168"/>
  <c r="I682" i="168"/>
  <c r="I683" i="168"/>
  <c r="I684" i="168"/>
  <c r="I685" i="168"/>
  <c r="I686" i="168"/>
  <c r="I687" i="168"/>
  <c r="I688" i="168"/>
  <c r="I689" i="168"/>
  <c r="I690" i="168"/>
  <c r="I691" i="168"/>
  <c r="I692" i="168"/>
  <c r="I693" i="168"/>
  <c r="I694" i="168"/>
  <c r="I695" i="168"/>
  <c r="I696" i="168"/>
  <c r="I697" i="168"/>
  <c r="I698" i="168"/>
  <c r="I699" i="168"/>
  <c r="I700" i="168"/>
  <c r="I701" i="168"/>
  <c r="I702" i="168"/>
  <c r="I703" i="168"/>
  <c r="I704" i="168"/>
  <c r="I705" i="168"/>
  <c r="I706" i="168"/>
  <c r="I707" i="168"/>
  <c r="I708" i="168"/>
  <c r="I709" i="168"/>
  <c r="I710" i="168"/>
  <c r="I711" i="168"/>
  <c r="I712" i="168"/>
  <c r="I713" i="168"/>
  <c r="I714" i="168"/>
  <c r="I715" i="168"/>
  <c r="I716" i="168"/>
  <c r="I717" i="168"/>
  <c r="I718" i="168"/>
  <c r="I719" i="168"/>
  <c r="I720" i="168"/>
  <c r="I721" i="168"/>
  <c r="I722" i="168"/>
  <c r="I723" i="168"/>
  <c r="I724" i="168"/>
  <c r="I725" i="168"/>
  <c r="I726" i="168"/>
  <c r="I727" i="168"/>
  <c r="I728" i="168"/>
  <c r="I729" i="168"/>
  <c r="I730" i="168"/>
  <c r="I731" i="168"/>
  <c r="I732" i="168"/>
  <c r="I733" i="168"/>
  <c r="I734" i="168"/>
  <c r="I735" i="168"/>
  <c r="I736" i="168"/>
  <c r="I737" i="168"/>
  <c r="I738" i="168"/>
  <c r="I739" i="168"/>
  <c r="I740" i="168"/>
  <c r="I741" i="168"/>
  <c r="I742" i="168"/>
  <c r="I743" i="168"/>
  <c r="I744" i="168"/>
  <c r="I745" i="168"/>
  <c r="I746" i="168"/>
  <c r="I747" i="168"/>
  <c r="I748" i="168"/>
  <c r="I749" i="168"/>
  <c r="I750" i="168"/>
  <c r="I751" i="168"/>
  <c r="I752" i="168"/>
  <c r="I753" i="168"/>
  <c r="I754" i="168"/>
  <c r="I755" i="168"/>
  <c r="I756" i="168"/>
  <c r="I757" i="168"/>
  <c r="I758" i="168"/>
  <c r="I759" i="168"/>
  <c r="I760" i="168"/>
  <c r="I761" i="168"/>
  <c r="I762" i="168"/>
  <c r="I763" i="168"/>
  <c r="I764" i="168"/>
  <c r="I765" i="168"/>
  <c r="I766" i="168"/>
  <c r="I767" i="168"/>
  <c r="I768" i="168"/>
  <c r="I769" i="168"/>
  <c r="I770" i="168"/>
  <c r="I771" i="168"/>
  <c r="I772" i="168"/>
  <c r="I773" i="168"/>
  <c r="I774" i="168"/>
  <c r="I775" i="168"/>
  <c r="I776" i="168"/>
  <c r="I777" i="168"/>
  <c r="I778" i="168"/>
  <c r="I779" i="168"/>
  <c r="I780" i="168"/>
  <c r="I781" i="168"/>
  <c r="I782" i="168"/>
  <c r="I783" i="168"/>
  <c r="I784" i="168"/>
  <c r="I785" i="168"/>
  <c r="I786" i="168"/>
  <c r="I787" i="168"/>
  <c r="I788" i="168"/>
  <c r="I789" i="168"/>
  <c r="I790" i="168"/>
  <c r="I791" i="168"/>
  <c r="I792" i="168"/>
  <c r="I793" i="168"/>
  <c r="I794" i="168"/>
  <c r="I795" i="168"/>
  <c r="I796" i="168"/>
  <c r="I797" i="168"/>
  <c r="I798" i="168"/>
  <c r="I799" i="168"/>
  <c r="I800" i="168"/>
  <c r="I801" i="168"/>
  <c r="I802" i="168"/>
  <c r="I803" i="168"/>
  <c r="I804" i="168"/>
  <c r="I805" i="168"/>
  <c r="I806" i="168"/>
  <c r="I807" i="168"/>
  <c r="I808" i="168"/>
  <c r="I809" i="168"/>
  <c r="I810" i="168"/>
  <c r="I811" i="168"/>
  <c r="I812" i="168"/>
  <c r="I813" i="168"/>
  <c r="I814" i="168"/>
  <c r="I815" i="168"/>
  <c r="I816" i="168"/>
  <c r="I817" i="168"/>
  <c r="I818" i="168"/>
  <c r="I819" i="168"/>
  <c r="I820" i="168"/>
  <c r="I821" i="168"/>
  <c r="I822" i="168"/>
  <c r="I823" i="168"/>
  <c r="I824" i="168"/>
  <c r="I825" i="168"/>
  <c r="I826" i="168"/>
  <c r="I827" i="168"/>
  <c r="I828" i="168"/>
  <c r="I829" i="168"/>
  <c r="I830" i="168"/>
  <c r="I831" i="168"/>
  <c r="I832" i="168"/>
  <c r="I833" i="168"/>
  <c r="I834" i="168"/>
  <c r="I835" i="168"/>
  <c r="I836" i="168"/>
  <c r="I837" i="168"/>
  <c r="I838" i="168"/>
  <c r="I839" i="168"/>
  <c r="I840" i="168"/>
  <c r="I841" i="168"/>
  <c r="I842" i="168"/>
  <c r="I843" i="168"/>
  <c r="I844" i="168"/>
  <c r="I845" i="168"/>
  <c r="I846" i="168"/>
  <c r="I847" i="168"/>
  <c r="I848" i="168"/>
  <c r="I849" i="168"/>
  <c r="I850" i="168"/>
  <c r="I851" i="168"/>
  <c r="I852" i="168"/>
  <c r="I853" i="168"/>
  <c r="I854" i="168"/>
  <c r="I855" i="168"/>
  <c r="I856" i="168"/>
  <c r="I857" i="168"/>
  <c r="I858" i="168"/>
  <c r="I859" i="168"/>
  <c r="I860" i="168"/>
  <c r="I861" i="168"/>
  <c r="I862" i="168"/>
  <c r="I863" i="168"/>
  <c r="I864" i="168"/>
  <c r="I865" i="168"/>
  <c r="I866" i="168"/>
  <c r="I867" i="168"/>
  <c r="I868" i="168"/>
  <c r="I869" i="168"/>
  <c r="I870" i="168"/>
  <c r="I871" i="168"/>
  <c r="I872" i="168"/>
  <c r="I873" i="168"/>
  <c r="I874" i="168"/>
  <c r="I875" i="168"/>
  <c r="I876" i="168"/>
  <c r="I877" i="168"/>
  <c r="I878" i="168"/>
  <c r="I879" i="168"/>
  <c r="I880" i="168"/>
  <c r="I881" i="168"/>
  <c r="I882" i="168"/>
  <c r="I883" i="168"/>
  <c r="I884" i="168"/>
  <c r="I885" i="168"/>
  <c r="I886" i="168"/>
  <c r="I887" i="168"/>
  <c r="I888" i="168"/>
  <c r="I889" i="168"/>
  <c r="I890" i="168"/>
  <c r="I891" i="168"/>
  <c r="I892" i="168"/>
  <c r="I893" i="168"/>
  <c r="I894" i="168"/>
  <c r="I895" i="168"/>
  <c r="I896" i="168"/>
  <c r="I897" i="168"/>
  <c r="I898" i="168"/>
  <c r="I899" i="168"/>
  <c r="I900" i="168"/>
  <c r="I901" i="168"/>
  <c r="I902" i="168"/>
  <c r="I903" i="168"/>
  <c r="I904" i="168"/>
  <c r="I905" i="168"/>
  <c r="I906" i="168"/>
  <c r="I907" i="168"/>
  <c r="I908" i="168"/>
  <c r="I909" i="168"/>
  <c r="I910" i="168"/>
  <c r="I911" i="168"/>
  <c r="I912" i="168"/>
  <c r="I913" i="168"/>
  <c r="I914" i="168"/>
  <c r="I915" i="168"/>
  <c r="I916" i="168"/>
  <c r="I917" i="168"/>
  <c r="I918" i="168"/>
  <c r="I919" i="168"/>
  <c r="I920" i="168"/>
  <c r="I921" i="168"/>
  <c r="I922" i="168"/>
  <c r="I923" i="168"/>
  <c r="I924" i="168"/>
  <c r="I925" i="168"/>
  <c r="I926" i="168"/>
  <c r="I927" i="168"/>
  <c r="I928" i="168"/>
  <c r="I929" i="168"/>
  <c r="I930" i="168"/>
  <c r="I931" i="168"/>
  <c r="I932" i="168"/>
  <c r="I933" i="168"/>
  <c r="I934" i="168"/>
  <c r="I935" i="168"/>
  <c r="I936" i="168"/>
  <c r="I937" i="168"/>
  <c r="I938" i="168"/>
  <c r="I939" i="168"/>
  <c r="I940" i="168"/>
  <c r="I941" i="168"/>
  <c r="I942" i="168"/>
  <c r="I943" i="168"/>
  <c r="I944" i="168"/>
  <c r="I945" i="168"/>
  <c r="I946" i="168"/>
  <c r="I947" i="168"/>
  <c r="I948" i="168"/>
  <c r="I949" i="168"/>
  <c r="I950" i="168"/>
  <c r="I951" i="168"/>
  <c r="I952" i="168"/>
  <c r="I953" i="168"/>
  <c r="I954" i="168"/>
  <c r="I955" i="168"/>
  <c r="I956" i="168"/>
  <c r="I957" i="168"/>
  <c r="I958" i="168"/>
  <c r="I959" i="168"/>
  <c r="I960" i="168"/>
  <c r="I961" i="168"/>
  <c r="I962" i="168"/>
  <c r="I963" i="168"/>
  <c r="I964" i="168"/>
  <c r="I965" i="168"/>
  <c r="I966" i="168"/>
  <c r="I967" i="168"/>
  <c r="I968" i="168"/>
  <c r="I969" i="168"/>
  <c r="I970" i="168"/>
  <c r="I971" i="168"/>
  <c r="I972" i="168"/>
  <c r="I973" i="168"/>
  <c r="I974" i="168"/>
  <c r="I975" i="168"/>
  <c r="I976" i="168"/>
  <c r="I977" i="168"/>
  <c r="I978" i="168"/>
  <c r="I979" i="168"/>
  <c r="I980" i="168"/>
  <c r="I981" i="168"/>
  <c r="I982" i="168"/>
  <c r="I983" i="168"/>
  <c r="I984" i="168"/>
  <c r="I985" i="168"/>
  <c r="I986" i="168"/>
  <c r="I987" i="168"/>
  <c r="I988" i="168"/>
  <c r="I989" i="168"/>
  <c r="I990" i="168"/>
  <c r="I991" i="168"/>
  <c r="I992" i="168"/>
  <c r="I993" i="168"/>
  <c r="I994" i="168"/>
  <c r="I995" i="168"/>
  <c r="I996" i="168"/>
  <c r="I997" i="168"/>
  <c r="I998" i="168"/>
  <c r="I999" i="168"/>
  <c r="I1000" i="168"/>
  <c r="I1001" i="168"/>
  <c r="I1002" i="168"/>
  <c r="I1003" i="168"/>
  <c r="I1004" i="168"/>
  <c r="I1005" i="168"/>
  <c r="I1006" i="168"/>
  <c r="I1007" i="168"/>
  <c r="I1008" i="168"/>
  <c r="I1009" i="168"/>
  <c r="I1010" i="168"/>
  <c r="I1011" i="168"/>
  <c r="I1012" i="168"/>
  <c r="I1013" i="168"/>
  <c r="I1014" i="168"/>
  <c r="I1015" i="168"/>
  <c r="I1016" i="168"/>
  <c r="I1017" i="168"/>
  <c r="I1018" i="168"/>
  <c r="I1019" i="168"/>
  <c r="I1020" i="168"/>
  <c r="I1021" i="168"/>
  <c r="I1022" i="168"/>
  <c r="I1023" i="168"/>
  <c r="I1024" i="168"/>
  <c r="I1025" i="168"/>
  <c r="I1026" i="168"/>
  <c r="I1027" i="168"/>
  <c r="I1028" i="168"/>
  <c r="H1029" i="168"/>
  <c r="I1029" i="168"/>
  <c r="I1030" i="168"/>
  <c r="I1031" i="168"/>
  <c r="I1032" i="168"/>
  <c r="H1033" i="168"/>
  <c r="I1033" i="168" s="1"/>
  <c r="F1034" i="168"/>
  <c r="I1034" i="168" s="1"/>
  <c r="H1034" i="168"/>
  <c r="F1035" i="168"/>
  <c r="I1035" i="168" s="1"/>
  <c r="H1035" i="168"/>
  <c r="F1036" i="168"/>
  <c r="H1036" i="168"/>
  <c r="I1036" i="168"/>
  <c r="F1037" i="168"/>
  <c r="H1037" i="168"/>
  <c r="I1037" i="168"/>
  <c r="F1038" i="168"/>
  <c r="I1038" i="168" s="1"/>
  <c r="H1038" i="168"/>
  <c r="F1039" i="168"/>
  <c r="H1039" i="168"/>
  <c r="I1039" i="168"/>
  <c r="F1040" i="168"/>
  <c r="I1040" i="168" s="1"/>
  <c r="H1040" i="168"/>
  <c r="F1041" i="168"/>
  <c r="H1041" i="168"/>
  <c r="I1041" i="168"/>
  <c r="F1042" i="168"/>
  <c r="I1042" i="168" s="1"/>
  <c r="H1042" i="168"/>
  <c r="F1043" i="168"/>
  <c r="H1043" i="168"/>
  <c r="I1043" i="168"/>
  <c r="F1044" i="168"/>
  <c r="I1044" i="168" s="1"/>
  <c r="H1044" i="168"/>
  <c r="F1045" i="168"/>
  <c r="H1045" i="168"/>
  <c r="I1045" i="168"/>
  <c r="F1046" i="168"/>
  <c r="I1046" i="168" s="1"/>
  <c r="H1046" i="168"/>
  <c r="F1047" i="168"/>
  <c r="H1047" i="168"/>
  <c r="I1047" i="168" s="1"/>
  <c r="F1048" i="168"/>
  <c r="I1048" i="168" s="1"/>
  <c r="H1048" i="168"/>
  <c r="F1049" i="168"/>
  <c r="I1049" i="168" s="1"/>
  <c r="H1049" i="168"/>
  <c r="F1050" i="168"/>
  <c r="H1050" i="168"/>
  <c r="I1050" i="168"/>
  <c r="F1051" i="168"/>
  <c r="I1051" i="168" s="1"/>
  <c r="H1051" i="168"/>
  <c r="F1052" i="168"/>
  <c r="H1052" i="168"/>
  <c r="I1052" i="168" s="1"/>
  <c r="F1053" i="168"/>
  <c r="H1053" i="168"/>
  <c r="F1054" i="168"/>
  <c r="I1054" i="168" s="1"/>
  <c r="H1054" i="168"/>
  <c r="F1055" i="168"/>
  <c r="I1055" i="168" s="1"/>
  <c r="H1055" i="168"/>
  <c r="F1056" i="168"/>
  <c r="H1056" i="168"/>
  <c r="I1056" i="168" s="1"/>
  <c r="F1057" i="168"/>
  <c r="I1057" i="168" s="1"/>
  <c r="H1057" i="168"/>
  <c r="F1058" i="168"/>
  <c r="I1058" i="168" s="1"/>
  <c r="H1058" i="168"/>
  <c r="F1059" i="168"/>
  <c r="H1059" i="168"/>
  <c r="I1059" i="168" s="1"/>
  <c r="F1060" i="168"/>
  <c r="H1060" i="168"/>
  <c r="I1060" i="168"/>
  <c r="F1061" i="168"/>
  <c r="H1061" i="168"/>
  <c r="I1061" i="168" s="1"/>
  <c r="F1062" i="168"/>
  <c r="I1062" i="168" s="1"/>
  <c r="H1062" i="168"/>
  <c r="F1063" i="168"/>
  <c r="H1063" i="168"/>
  <c r="I1063" i="168" s="1"/>
  <c r="F1064" i="168"/>
  <c r="I1064" i="168" s="1"/>
  <c r="H1064" i="168"/>
  <c r="F1065" i="168"/>
  <c r="H1065" i="168"/>
  <c r="I1065" i="168"/>
  <c r="F1066" i="168"/>
  <c r="H1066" i="168"/>
  <c r="F1067" i="168"/>
  <c r="H1067" i="168"/>
  <c r="I1067" i="168" s="1"/>
  <c r="F1068" i="168"/>
  <c r="I1068" i="168" s="1"/>
  <c r="H1068" i="168"/>
  <c r="F1069" i="168"/>
  <c r="I1069" i="168" s="1"/>
  <c r="H1069" i="168"/>
  <c r="F1070" i="168"/>
  <c r="H1070" i="168"/>
  <c r="I1070" i="168" s="1"/>
  <c r="F1071" i="168"/>
  <c r="I1071" i="168" s="1"/>
  <c r="H1071" i="168"/>
  <c r="F1072" i="168"/>
  <c r="H1072" i="168"/>
  <c r="I1072" i="168" s="1"/>
  <c r="F1073" i="168"/>
  <c r="H1073" i="168"/>
  <c r="F1074" i="168"/>
  <c r="H1074" i="168"/>
  <c r="I1074" i="168"/>
  <c r="B1075" i="168"/>
  <c r="C1075" i="168"/>
  <c r="C1076" i="168" s="1"/>
  <c r="C1077" i="168" s="1"/>
  <c r="C1078" i="168" s="1"/>
  <c r="C1079" i="168" s="1"/>
  <c r="C1080" i="168" s="1"/>
  <c r="C1081" i="168" s="1"/>
  <c r="C1082" i="168" s="1"/>
  <c r="C1083" i="168" s="1"/>
  <c r="C1084" i="168" s="1"/>
  <c r="C1085" i="168" s="1"/>
  <c r="C1086" i="168" s="1"/>
  <c r="C1087" i="168" s="1"/>
  <c r="C1088" i="168" s="1"/>
  <c r="C1089" i="168" s="1"/>
  <c r="C1090" i="168" s="1"/>
  <c r="C1091" i="168" s="1"/>
  <c r="C1092" i="168" s="1"/>
  <c r="C1093" i="168" s="1"/>
  <c r="C1094" i="168" s="1"/>
  <c r="C1095" i="168" s="1"/>
  <c r="C1096" i="168" s="1"/>
  <c r="C1097" i="168" s="1"/>
  <c r="C1098" i="168" s="1"/>
  <c r="C1099" i="168" s="1"/>
  <c r="C1100" i="168" s="1"/>
  <c r="C1101" i="168" s="1"/>
  <c r="C1102" i="168" s="1"/>
  <c r="C1103" i="168" s="1"/>
  <c r="C1104" i="168" s="1"/>
  <c r="C1105" i="168" s="1"/>
  <c r="C1106" i="168" s="1"/>
  <c r="C1107" i="168" s="1"/>
  <c r="C1108" i="168" s="1"/>
  <c r="C1109" i="168" s="1"/>
  <c r="C1110" i="168" s="1"/>
  <c r="C1111" i="168" s="1"/>
  <c r="C1112" i="168" s="1"/>
  <c r="C1113" i="168" s="1"/>
  <c r="C1114" i="168" s="1"/>
  <c r="C1115" i="168" s="1"/>
  <c r="C1116" i="168" s="1"/>
  <c r="C1117" i="168" s="1"/>
  <c r="C1118" i="168" s="1"/>
  <c r="C1119" i="168" s="1"/>
  <c r="C1120" i="168" s="1"/>
  <c r="C1121" i="168" s="1"/>
  <c r="C1122" i="168" s="1"/>
  <c r="C1123" i="168" s="1"/>
  <c r="C1124" i="168" s="1"/>
  <c r="C1125" i="168" s="1"/>
  <c r="C1126" i="168" s="1"/>
  <c r="C1127" i="168" s="1"/>
  <c r="C1128" i="168" s="1"/>
  <c r="C1129" i="168" s="1"/>
  <c r="C1130" i="168" s="1"/>
  <c r="C1131" i="168" s="1"/>
  <c r="C1132" i="168" s="1"/>
  <c r="C1133" i="168" s="1"/>
  <c r="C1134" i="168" s="1"/>
  <c r="C1135" i="168" s="1"/>
  <c r="C1136" i="168" s="1"/>
  <c r="C1137" i="168" s="1"/>
  <c r="C1138" i="168" s="1"/>
  <c r="C1139" i="168" s="1"/>
  <c r="C1140" i="168" s="1"/>
  <c r="C1141" i="168" s="1"/>
  <c r="C1142" i="168" s="1"/>
  <c r="C1143" i="168" s="1"/>
  <c r="C1144" i="168" s="1"/>
  <c r="C1145" i="168" s="1"/>
  <c r="C1146" i="168" s="1"/>
  <c r="C1147" i="168" s="1"/>
  <c r="C1148" i="168" s="1"/>
  <c r="C1149" i="168" s="1"/>
  <c r="C1150" i="168" s="1"/>
  <c r="C1151" i="168" s="1"/>
  <c r="C1152" i="168" s="1"/>
  <c r="C1153" i="168" s="1"/>
  <c r="C1154" i="168" s="1"/>
  <c r="C1155" i="168" s="1"/>
  <c r="C1156" i="168" s="1"/>
  <c r="C1157" i="168" s="1"/>
  <c r="C1158" i="168" s="1"/>
  <c r="C1159" i="168" s="1"/>
  <c r="C1160" i="168" s="1"/>
  <c r="C1161" i="168" s="1"/>
  <c r="C1162" i="168" s="1"/>
  <c r="C1163" i="168" s="1"/>
  <c r="C1164" i="168" s="1"/>
  <c r="C1165" i="168" s="1"/>
  <c r="C1166" i="168" s="1"/>
  <c r="C1167" i="168" s="1"/>
  <c r="C1168" i="168" s="1"/>
  <c r="C1169" i="168" s="1"/>
  <c r="C1170" i="168" s="1"/>
  <c r="C1171" i="168" s="1"/>
  <c r="C1172" i="168" s="1"/>
  <c r="C1173" i="168" s="1"/>
  <c r="C1174" i="168" s="1"/>
  <c r="C1175" i="168" s="1"/>
  <c r="C1176" i="168" s="1"/>
  <c r="C1177" i="168" s="1"/>
  <c r="C1178" i="168" s="1"/>
  <c r="C1179" i="168" s="1"/>
  <c r="C1180" i="168" s="1"/>
  <c r="C1181" i="168" s="1"/>
  <c r="C1182" i="168" s="1"/>
  <c r="C1183" i="168" s="1"/>
  <c r="C1184" i="168" s="1"/>
  <c r="C1185" i="168" s="1"/>
  <c r="C1186" i="168" s="1"/>
  <c r="C1187" i="168" s="1"/>
  <c r="C1188" i="168" s="1"/>
  <c r="C1189" i="168" s="1"/>
  <c r="C1190" i="168" s="1"/>
  <c r="F1075" i="168"/>
  <c r="I1075" i="168" s="1"/>
  <c r="H1075" i="168"/>
  <c r="F1076" i="168"/>
  <c r="I1076" i="168" s="1"/>
  <c r="H1076" i="168"/>
  <c r="F1077" i="168"/>
  <c r="H1077" i="168"/>
  <c r="F1078" i="168"/>
  <c r="I1078" i="168" s="1"/>
  <c r="H1078" i="168"/>
  <c r="F1079" i="168"/>
  <c r="I1079" i="168" s="1"/>
  <c r="H1079" i="168"/>
  <c r="F1080" i="168"/>
  <c r="H1080" i="168"/>
  <c r="I1080" i="168"/>
  <c r="F1081" i="168"/>
  <c r="H1081" i="168"/>
  <c r="I1081" i="168"/>
  <c r="F1082" i="168"/>
  <c r="I1082" i="168" s="1"/>
  <c r="H1082" i="168"/>
  <c r="F1083" i="168"/>
  <c r="H1083" i="168"/>
  <c r="I1083" i="168"/>
  <c r="F1084" i="168"/>
  <c r="H1084" i="168"/>
  <c r="I1084" i="168" s="1"/>
  <c r="F1085" i="168"/>
  <c r="H1085" i="168"/>
  <c r="I1085" i="168"/>
  <c r="F1086" i="168"/>
  <c r="I1086" i="168" s="1"/>
  <c r="H1086" i="168"/>
  <c r="F1087" i="168"/>
  <c r="H1087" i="168"/>
  <c r="F1088" i="168"/>
  <c r="I1088" i="168" s="1"/>
  <c r="H1088" i="168"/>
  <c r="F1089" i="168"/>
  <c r="I1089" i="168" s="1"/>
  <c r="H1089" i="168"/>
  <c r="F1090" i="168"/>
  <c r="H1090" i="168"/>
  <c r="I1090" i="168"/>
  <c r="F1091" i="168"/>
  <c r="H1091" i="168"/>
  <c r="I1091" i="168"/>
  <c r="F1092" i="168"/>
  <c r="I1092" i="168" s="1"/>
  <c r="H1092" i="168"/>
  <c r="F1093" i="168"/>
  <c r="H1093" i="168"/>
  <c r="I1093" i="168"/>
  <c r="F1094" i="168"/>
  <c r="H1094" i="168"/>
  <c r="I1094" i="168" s="1"/>
  <c r="F1095" i="168"/>
  <c r="H1095" i="168"/>
  <c r="I1095" i="168"/>
  <c r="F1096" i="168"/>
  <c r="H1096" i="168"/>
  <c r="F1097" i="168"/>
  <c r="H1097" i="168"/>
  <c r="F1098" i="168"/>
  <c r="I1098" i="168" s="1"/>
  <c r="H1098" i="168"/>
  <c r="F1099" i="168"/>
  <c r="H1099" i="168"/>
  <c r="I1099" i="168"/>
  <c r="F1100" i="168"/>
  <c r="I1100" i="168" s="1"/>
  <c r="H1100" i="168"/>
  <c r="F1101" i="168"/>
  <c r="H1101" i="168"/>
  <c r="I1101" i="168" s="1"/>
  <c r="F1102" i="168"/>
  <c r="I1102" i="168" s="1"/>
  <c r="H1102" i="168"/>
  <c r="F1103" i="168"/>
  <c r="H1103" i="168"/>
  <c r="I1103" i="168"/>
  <c r="F1104" i="168"/>
  <c r="H1104" i="168"/>
  <c r="I1104" i="168" s="1"/>
  <c r="F1105" i="168"/>
  <c r="H1105" i="168"/>
  <c r="I1105" i="168"/>
  <c r="F1106" i="168"/>
  <c r="H1106" i="168"/>
  <c r="F1107" i="168"/>
  <c r="I1107" i="168" s="1"/>
  <c r="H1107" i="168"/>
  <c r="F1108" i="168"/>
  <c r="H1108" i="168"/>
  <c r="I1108" i="168"/>
  <c r="F1109" i="168"/>
  <c r="H1109" i="168"/>
  <c r="I1109" i="168"/>
  <c r="F1110" i="168"/>
  <c r="I1110" i="168" s="1"/>
  <c r="H1110" i="168"/>
  <c r="F1111" i="168"/>
  <c r="H1111" i="168"/>
  <c r="I1111" i="168" s="1"/>
  <c r="F1112" i="168"/>
  <c r="I1112" i="168" s="1"/>
  <c r="H1112" i="168"/>
  <c r="F1113" i="168"/>
  <c r="H1113" i="168"/>
  <c r="I1113" i="168"/>
  <c r="F1114" i="168"/>
  <c r="I1114" i="168" s="1"/>
  <c r="H1114" i="168"/>
  <c r="F1115" i="168"/>
  <c r="I1115" i="168" s="1"/>
  <c r="H1115" i="168"/>
  <c r="F1116" i="168"/>
  <c r="I1116" i="168" s="1"/>
  <c r="H1116" i="168"/>
  <c r="F1117" i="168"/>
  <c r="I1117" i="168" s="1"/>
  <c r="H1117" i="168"/>
  <c r="F1118" i="168"/>
  <c r="I1118" i="168" s="1"/>
  <c r="H1118" i="168"/>
  <c r="F1119" i="168"/>
  <c r="I1119" i="168" s="1"/>
  <c r="H1119" i="168"/>
  <c r="F1120" i="168"/>
  <c r="I1120" i="168" s="1"/>
  <c r="H1120" i="168"/>
  <c r="F1121" i="168"/>
  <c r="H1121" i="168"/>
  <c r="I1121" i="168"/>
  <c r="F1122" i="168"/>
  <c r="I1122" i="168" s="1"/>
  <c r="H1122" i="168"/>
  <c r="F1123" i="168"/>
  <c r="H1123" i="168"/>
  <c r="I1123" i="168"/>
  <c r="F1124" i="168"/>
  <c r="I1124" i="168" s="1"/>
  <c r="H1124" i="168"/>
  <c r="F1125" i="168"/>
  <c r="I1125" i="168" s="1"/>
  <c r="H1125" i="168"/>
  <c r="F1126" i="168"/>
  <c r="I1126" i="168" s="1"/>
  <c r="H1126" i="168"/>
  <c r="F1127" i="168"/>
  <c r="H1127" i="168"/>
  <c r="F1128" i="168"/>
  <c r="I1128" i="168" s="1"/>
  <c r="H1128" i="168"/>
  <c r="F1129" i="168"/>
  <c r="I1129" i="168" s="1"/>
  <c r="H1129" i="168"/>
  <c r="F1130" i="168"/>
  <c r="H1130" i="168"/>
  <c r="I1130" i="168" s="1"/>
  <c r="F1131" i="168"/>
  <c r="H1131" i="168"/>
  <c r="F1132" i="168"/>
  <c r="I1132" i="168" s="1"/>
  <c r="H1132" i="168"/>
  <c r="F1133" i="168"/>
  <c r="I1133" i="168" s="1"/>
  <c r="H1133" i="168"/>
  <c r="F1134" i="168"/>
  <c r="H1134" i="168"/>
  <c r="I1134" i="168"/>
  <c r="F1135" i="168"/>
  <c r="H1135" i="168"/>
  <c r="I1135" i="168"/>
  <c r="F1136" i="168"/>
  <c r="H1136" i="168"/>
  <c r="I1136" i="168"/>
  <c r="F1137" i="168"/>
  <c r="I1137" i="168" s="1"/>
  <c r="H1137" i="168"/>
  <c r="F1138" i="168"/>
  <c r="H1138" i="168"/>
  <c r="I1138" i="168"/>
  <c r="F1139" i="168"/>
  <c r="I1139" i="168" s="1"/>
  <c r="H1139" i="168"/>
  <c r="F1140" i="168"/>
  <c r="H1140" i="168"/>
  <c r="I1140" i="168" s="1"/>
  <c r="F1141" i="168"/>
  <c r="H1141" i="168"/>
  <c r="F1142" i="168"/>
  <c r="I1142" i="168" s="1"/>
  <c r="H1142" i="168"/>
  <c r="F1143" i="168"/>
  <c r="I1143" i="168" s="1"/>
  <c r="H1143" i="168"/>
  <c r="F1144" i="168"/>
  <c r="H1144" i="168"/>
  <c r="I1144" i="168"/>
  <c r="F1145" i="168"/>
  <c r="I1145" i="168" s="1"/>
  <c r="H1145" i="168"/>
  <c r="F1146" i="168"/>
  <c r="H1146" i="168"/>
  <c r="I1146" i="168"/>
  <c r="F1147" i="168"/>
  <c r="I1147" i="168" s="1"/>
  <c r="H1147" i="168"/>
  <c r="F1148" i="168"/>
  <c r="H1148" i="168"/>
  <c r="I1148" i="168"/>
  <c r="F1149" i="168"/>
  <c r="I1149" i="168" s="1"/>
  <c r="H1149" i="168"/>
  <c r="F1150" i="168"/>
  <c r="H1150" i="168"/>
  <c r="I1150" i="168" s="1"/>
  <c r="F1151" i="168"/>
  <c r="H1151" i="168"/>
  <c r="F1152" i="168"/>
  <c r="I1152" i="168" s="1"/>
  <c r="H1152" i="168"/>
  <c r="F1153" i="168"/>
  <c r="I1153" i="168" s="1"/>
  <c r="H1153" i="168"/>
  <c r="F1154" i="168"/>
  <c r="H1154" i="168"/>
  <c r="I1154" i="168"/>
  <c r="F1155" i="168"/>
  <c r="I1155" i="168" s="1"/>
  <c r="H1155" i="168"/>
  <c r="F1156" i="168"/>
  <c r="H1156" i="168"/>
  <c r="I1156" i="168"/>
  <c r="F1157" i="168"/>
  <c r="I1157" i="168" s="1"/>
  <c r="H1157" i="168"/>
  <c r="F1158" i="168"/>
  <c r="H1158" i="168"/>
  <c r="I1158" i="168" s="1"/>
  <c r="F1159" i="168"/>
  <c r="H1159" i="168"/>
  <c r="F1160" i="168"/>
  <c r="H1160" i="168"/>
  <c r="I1160" i="168" s="1"/>
  <c r="F1161" i="168"/>
  <c r="H1161" i="168"/>
  <c r="F1162" i="168"/>
  <c r="I1162" i="168" s="1"/>
  <c r="H1162" i="168"/>
  <c r="F1163" i="168"/>
  <c r="I1163" i="168" s="1"/>
  <c r="H1163" i="168"/>
  <c r="F1164" i="168"/>
  <c r="H1164" i="168"/>
  <c r="I1164" i="168"/>
  <c r="F1165" i="168"/>
  <c r="I1165" i="168" s="1"/>
  <c r="H1165" i="168"/>
  <c r="F1166" i="168"/>
  <c r="H1166" i="168"/>
  <c r="I1166" i="168"/>
  <c r="F1167" i="168"/>
  <c r="I1167" i="168" s="1"/>
  <c r="H1167" i="168"/>
  <c r="F1168" i="168"/>
  <c r="H1168" i="168"/>
  <c r="I1168" i="168" s="1"/>
  <c r="F1169" i="168"/>
  <c r="H1169" i="168"/>
  <c r="F1170" i="168"/>
  <c r="H1170" i="168"/>
  <c r="I1170" i="168" s="1"/>
  <c r="F1171" i="168"/>
  <c r="I1171" i="168" s="1"/>
  <c r="H1171" i="168"/>
  <c r="F1172" i="168"/>
  <c r="I1172" i="168" s="1"/>
  <c r="H1172" i="168"/>
  <c r="F1173" i="168"/>
  <c r="I1173" i="168" s="1"/>
  <c r="H1173" i="168"/>
  <c r="F1174" i="168"/>
  <c r="H1174" i="168"/>
  <c r="I1174" i="168"/>
  <c r="F1175" i="168"/>
  <c r="H1175" i="168"/>
  <c r="I1175" i="168"/>
  <c r="F1176" i="168"/>
  <c r="H1176" i="168"/>
  <c r="I1176" i="168"/>
  <c r="F1177" i="168"/>
  <c r="I1177" i="168" s="1"/>
  <c r="H1177" i="168"/>
  <c r="F1178" i="168"/>
  <c r="H1178" i="168"/>
  <c r="I1178" i="168"/>
  <c r="F1179" i="168"/>
  <c r="I1179" i="168" s="1"/>
  <c r="H1179" i="168"/>
  <c r="F1180" i="168"/>
  <c r="H1180" i="168"/>
  <c r="I1180" i="168" s="1"/>
  <c r="F1181" i="168"/>
  <c r="H1181" i="168"/>
  <c r="F1182" i="168"/>
  <c r="H1182" i="168"/>
  <c r="I1182" i="168"/>
  <c r="F1183" i="168"/>
  <c r="I1183" i="168" s="1"/>
  <c r="H1183" i="168"/>
  <c r="F1184" i="168"/>
  <c r="H1184" i="168"/>
  <c r="I1184" i="168"/>
  <c r="F1185" i="168"/>
  <c r="H1185" i="168"/>
  <c r="I1185" i="168"/>
  <c r="H1186" i="168"/>
  <c r="H1187" i="168"/>
  <c r="H1188" i="168"/>
  <c r="H1189" i="168"/>
  <c r="H1190" i="168"/>
  <c r="I4" i="167"/>
  <c r="I5" i="167"/>
  <c r="I6" i="167"/>
  <c r="I7" i="167"/>
  <c r="I8" i="167"/>
  <c r="I9" i="167"/>
  <c r="I10" i="167"/>
  <c r="I11" i="167"/>
  <c r="I12" i="167"/>
  <c r="I13" i="167"/>
  <c r="I14" i="167"/>
  <c r="I15" i="167"/>
  <c r="I16" i="167"/>
  <c r="I17" i="167"/>
  <c r="I18" i="167"/>
  <c r="I19" i="167"/>
  <c r="I20" i="167"/>
  <c r="I21" i="167"/>
  <c r="I22" i="167"/>
  <c r="I23" i="167"/>
  <c r="I24" i="167"/>
  <c r="I25" i="167"/>
  <c r="I26" i="167"/>
  <c r="I27" i="167"/>
  <c r="J27" i="167"/>
  <c r="K27" i="167"/>
  <c r="I28" i="167"/>
  <c r="J28" i="167"/>
  <c r="K28" i="167"/>
  <c r="I29" i="167"/>
  <c r="J29" i="167"/>
  <c r="K29" i="167"/>
  <c r="I30" i="167"/>
  <c r="J30" i="167"/>
  <c r="K30" i="167"/>
  <c r="I31" i="167"/>
  <c r="J31" i="167"/>
  <c r="K31" i="167"/>
  <c r="I32" i="167"/>
  <c r="J32" i="167"/>
  <c r="K32" i="167"/>
  <c r="I33" i="167"/>
  <c r="J33" i="167"/>
  <c r="K33" i="167"/>
  <c r="I34" i="167"/>
  <c r="J34" i="167"/>
  <c r="K34" i="167"/>
  <c r="I35" i="167"/>
  <c r="J35" i="167"/>
  <c r="K35" i="167"/>
  <c r="I36" i="167"/>
  <c r="J36" i="167"/>
  <c r="K36" i="167"/>
  <c r="I37" i="167"/>
  <c r="J37" i="167"/>
  <c r="K37" i="167"/>
  <c r="I38" i="167"/>
  <c r="J38" i="167"/>
  <c r="K38" i="167"/>
  <c r="I39" i="167"/>
  <c r="J39" i="167"/>
  <c r="K39" i="167"/>
  <c r="I40" i="167"/>
  <c r="J40" i="167"/>
  <c r="K40" i="167"/>
  <c r="I41" i="167"/>
  <c r="J41" i="167"/>
  <c r="K41" i="167"/>
  <c r="I42" i="167"/>
  <c r="J42" i="167"/>
  <c r="K42" i="167"/>
  <c r="I43" i="167"/>
  <c r="J43" i="167"/>
  <c r="K43" i="167"/>
  <c r="I44" i="167"/>
  <c r="J44" i="167"/>
  <c r="K44" i="167"/>
  <c r="I45" i="167"/>
  <c r="J45" i="167"/>
  <c r="K45" i="167"/>
  <c r="I46" i="167"/>
  <c r="J46" i="167"/>
  <c r="K46" i="167"/>
  <c r="I47" i="167"/>
  <c r="J47" i="167"/>
  <c r="K47" i="167"/>
  <c r="I48" i="167"/>
  <c r="J48" i="167"/>
  <c r="K48" i="167"/>
  <c r="I49" i="167"/>
  <c r="J49" i="167"/>
  <c r="K49" i="167"/>
  <c r="I50" i="167"/>
  <c r="J50" i="167"/>
  <c r="K50" i="167"/>
  <c r="I51" i="167"/>
  <c r="J51" i="167"/>
  <c r="K51" i="167"/>
  <c r="I52" i="167"/>
  <c r="J52" i="167"/>
  <c r="K52" i="167"/>
  <c r="I53" i="167"/>
  <c r="J53" i="167"/>
  <c r="K53" i="167"/>
  <c r="I54" i="167"/>
  <c r="J54" i="167"/>
  <c r="K54" i="167"/>
  <c r="I55" i="167"/>
  <c r="J55" i="167"/>
  <c r="K55" i="167"/>
  <c r="I56" i="167"/>
  <c r="J56" i="167"/>
  <c r="K56" i="167"/>
  <c r="I57" i="167"/>
  <c r="J57" i="167"/>
  <c r="K57" i="167"/>
  <c r="I58" i="167"/>
  <c r="J58" i="167"/>
  <c r="K58" i="167"/>
  <c r="I59" i="167"/>
  <c r="J59" i="167"/>
  <c r="K59" i="167"/>
  <c r="I60" i="167"/>
  <c r="J60" i="167"/>
  <c r="K60" i="167"/>
  <c r="I61" i="167"/>
  <c r="J61" i="167"/>
  <c r="K61" i="167"/>
  <c r="I62" i="167"/>
  <c r="J62" i="167"/>
  <c r="K62" i="167"/>
  <c r="I63" i="167"/>
  <c r="J63" i="167"/>
  <c r="K63" i="167"/>
  <c r="I64" i="167"/>
  <c r="J64" i="167"/>
  <c r="K64" i="167"/>
  <c r="I65" i="167"/>
  <c r="J65" i="167"/>
  <c r="K65" i="167"/>
  <c r="I66" i="167"/>
  <c r="J66" i="167"/>
  <c r="K66" i="167"/>
  <c r="I67" i="167"/>
  <c r="J67" i="167"/>
  <c r="K67" i="167"/>
  <c r="I68" i="167"/>
  <c r="J68" i="167"/>
  <c r="K68" i="167"/>
  <c r="I69" i="167"/>
  <c r="J69" i="167"/>
  <c r="K69" i="167"/>
  <c r="I70" i="167"/>
  <c r="J70" i="167"/>
  <c r="K70" i="167"/>
  <c r="I71" i="167"/>
  <c r="J71" i="167"/>
  <c r="K71" i="167"/>
  <c r="I72" i="167"/>
  <c r="J72" i="167"/>
  <c r="K72" i="167"/>
  <c r="I73" i="167"/>
  <c r="J73" i="167"/>
  <c r="K73" i="167"/>
  <c r="I74" i="167"/>
  <c r="J74" i="167"/>
  <c r="K74" i="167"/>
  <c r="I75" i="167"/>
  <c r="J75" i="167"/>
  <c r="K75" i="167"/>
  <c r="I76" i="167"/>
  <c r="J76" i="167"/>
  <c r="K76" i="167"/>
  <c r="I77" i="167"/>
  <c r="J77" i="167"/>
  <c r="K77" i="167"/>
  <c r="I78" i="167"/>
  <c r="J78" i="167"/>
  <c r="K78" i="167"/>
  <c r="I79" i="167"/>
  <c r="J79" i="167"/>
  <c r="K79" i="167"/>
  <c r="I80" i="167"/>
  <c r="J80" i="167"/>
  <c r="K80" i="167"/>
  <c r="I81" i="167"/>
  <c r="J81" i="167"/>
  <c r="K81" i="167"/>
  <c r="I82" i="167"/>
  <c r="J82" i="167"/>
  <c r="K82" i="167"/>
  <c r="I83" i="167"/>
  <c r="J83" i="167"/>
  <c r="K83" i="167"/>
  <c r="I84" i="167"/>
  <c r="J84" i="167"/>
  <c r="K84" i="167"/>
  <c r="I85" i="167"/>
  <c r="J85" i="167"/>
  <c r="K85" i="167"/>
  <c r="I86" i="167"/>
  <c r="J86" i="167"/>
  <c r="K86" i="167"/>
  <c r="I87" i="167"/>
  <c r="J87" i="167"/>
  <c r="K87" i="167"/>
  <c r="I88" i="167"/>
  <c r="J88" i="167"/>
  <c r="K88" i="167"/>
  <c r="I89" i="167"/>
  <c r="J89" i="167"/>
  <c r="K89" i="167"/>
  <c r="I90" i="167"/>
  <c r="J90" i="167"/>
  <c r="K90" i="167"/>
  <c r="I91" i="167"/>
  <c r="J91" i="167"/>
  <c r="K91" i="167"/>
  <c r="I92" i="167"/>
  <c r="J92" i="167"/>
  <c r="K92" i="167"/>
  <c r="I93" i="167"/>
  <c r="J93" i="167"/>
  <c r="K93" i="167"/>
  <c r="I94" i="167"/>
  <c r="J94" i="167"/>
  <c r="K94" i="167"/>
  <c r="I95" i="167"/>
  <c r="J95" i="167"/>
  <c r="K95" i="167"/>
  <c r="I96" i="167"/>
  <c r="J96" i="167"/>
  <c r="K96" i="167"/>
  <c r="I97" i="167"/>
  <c r="J97" i="167"/>
  <c r="K97" i="167"/>
  <c r="I98" i="167"/>
  <c r="J98" i="167"/>
  <c r="K98" i="167"/>
  <c r="I99" i="167"/>
  <c r="J99" i="167"/>
  <c r="K99" i="167"/>
  <c r="I100" i="167"/>
  <c r="J100" i="167"/>
  <c r="K100" i="167"/>
  <c r="I101" i="167"/>
  <c r="J101" i="167"/>
  <c r="K101" i="167"/>
  <c r="I102" i="167"/>
  <c r="J102" i="167"/>
  <c r="K102" i="167"/>
  <c r="I103" i="167"/>
  <c r="J103" i="167"/>
  <c r="K103" i="167"/>
  <c r="I104" i="167"/>
  <c r="J104" i="167"/>
  <c r="K104" i="167"/>
  <c r="I105" i="167"/>
  <c r="J105" i="167"/>
  <c r="K105" i="167"/>
  <c r="I106" i="167"/>
  <c r="J106" i="167"/>
  <c r="K106" i="167"/>
  <c r="I107" i="167"/>
  <c r="J107" i="167"/>
  <c r="K107" i="167"/>
  <c r="I108" i="167"/>
  <c r="J108" i="167"/>
  <c r="K108" i="167"/>
  <c r="I109" i="167"/>
  <c r="J109" i="167"/>
  <c r="K109" i="167"/>
  <c r="I110" i="167"/>
  <c r="J110" i="167"/>
  <c r="K110" i="167"/>
  <c r="I111" i="167"/>
  <c r="J111" i="167"/>
  <c r="K111" i="167"/>
  <c r="I112" i="167"/>
  <c r="J112" i="167"/>
  <c r="K112" i="167"/>
  <c r="I113" i="167"/>
  <c r="J113" i="167"/>
  <c r="K113" i="167"/>
  <c r="I114" i="167"/>
  <c r="J114" i="167"/>
  <c r="K114" i="167"/>
  <c r="I115" i="167"/>
  <c r="J115" i="167"/>
  <c r="K115" i="167"/>
  <c r="I116" i="167"/>
  <c r="J116" i="167"/>
  <c r="K116" i="167"/>
  <c r="I117" i="167"/>
  <c r="J117" i="167"/>
  <c r="K117" i="167"/>
  <c r="I118" i="167"/>
  <c r="J118" i="167"/>
  <c r="K118" i="167"/>
  <c r="I119" i="167"/>
  <c r="J119" i="167"/>
  <c r="K119" i="167"/>
  <c r="I120" i="167"/>
  <c r="J120" i="167"/>
  <c r="K120" i="167"/>
  <c r="I121" i="167"/>
  <c r="J121" i="167"/>
  <c r="K121" i="167"/>
  <c r="I122" i="167"/>
  <c r="J122" i="167"/>
  <c r="K122" i="167"/>
  <c r="I123" i="167"/>
  <c r="J123" i="167"/>
  <c r="K123" i="167"/>
  <c r="I124" i="167"/>
  <c r="J124" i="167"/>
  <c r="K124" i="167"/>
  <c r="I125" i="167"/>
  <c r="J125" i="167"/>
  <c r="K125" i="167"/>
  <c r="I126" i="167"/>
  <c r="J126" i="167"/>
  <c r="K126" i="167"/>
  <c r="I127" i="167"/>
  <c r="J127" i="167"/>
  <c r="K127" i="167"/>
  <c r="I128" i="167"/>
  <c r="J128" i="167"/>
  <c r="K128" i="167"/>
  <c r="I129" i="167"/>
  <c r="J129" i="167"/>
  <c r="K129" i="167"/>
  <c r="I130" i="167"/>
  <c r="J130" i="167"/>
  <c r="K130" i="167"/>
  <c r="I131" i="167"/>
  <c r="J131" i="167"/>
  <c r="K131" i="167"/>
  <c r="I132" i="167"/>
  <c r="J132" i="167"/>
  <c r="K132" i="167"/>
  <c r="I133" i="167"/>
  <c r="J133" i="167"/>
  <c r="K133" i="167"/>
  <c r="I134" i="167"/>
  <c r="J134" i="167"/>
  <c r="K134" i="167"/>
  <c r="I135" i="167"/>
  <c r="J135" i="167"/>
  <c r="K135" i="167"/>
  <c r="I136" i="167"/>
  <c r="J136" i="167"/>
  <c r="K136" i="167"/>
  <c r="I137" i="167"/>
  <c r="J137" i="167"/>
  <c r="K137" i="167"/>
  <c r="I138" i="167"/>
  <c r="J138" i="167"/>
  <c r="K138" i="167"/>
  <c r="I139" i="167"/>
  <c r="J139" i="167"/>
  <c r="K139" i="167"/>
  <c r="I140" i="167"/>
  <c r="J140" i="167"/>
  <c r="K140" i="167"/>
  <c r="I141" i="167"/>
  <c r="J141" i="167"/>
  <c r="K141" i="167"/>
  <c r="I142" i="167"/>
  <c r="J142" i="167"/>
  <c r="K142" i="167"/>
  <c r="I143" i="167"/>
  <c r="J143" i="167"/>
  <c r="K143" i="167"/>
  <c r="I144" i="167"/>
  <c r="J144" i="167"/>
  <c r="K144" i="167"/>
  <c r="I145" i="167"/>
  <c r="J145" i="167"/>
  <c r="K145" i="167"/>
  <c r="I146" i="167"/>
  <c r="J146" i="167"/>
  <c r="K146" i="167"/>
  <c r="I147" i="167"/>
  <c r="J147" i="167"/>
  <c r="K147" i="167"/>
  <c r="I148" i="167"/>
  <c r="J148" i="167"/>
  <c r="K148" i="167"/>
  <c r="I149" i="167"/>
  <c r="J149" i="167"/>
  <c r="K149" i="167"/>
  <c r="I150" i="167"/>
  <c r="J150" i="167"/>
  <c r="K150" i="167"/>
  <c r="I151" i="167"/>
  <c r="J151" i="167"/>
  <c r="K151" i="167"/>
  <c r="I152" i="167"/>
  <c r="J152" i="167"/>
  <c r="K152" i="167"/>
  <c r="I153" i="167"/>
  <c r="J153" i="167"/>
  <c r="K153" i="167"/>
  <c r="I154" i="167"/>
  <c r="J154" i="167"/>
  <c r="K154" i="167"/>
  <c r="I155" i="167"/>
  <c r="J155" i="167"/>
  <c r="K155" i="167"/>
  <c r="I156" i="167"/>
  <c r="J156" i="167"/>
  <c r="K156" i="167"/>
  <c r="I157" i="167"/>
  <c r="J157" i="167"/>
  <c r="K157" i="167"/>
  <c r="I158" i="167"/>
  <c r="J158" i="167"/>
  <c r="K158" i="167"/>
  <c r="I159" i="167"/>
  <c r="J159" i="167"/>
  <c r="K159" i="167"/>
  <c r="I160" i="167"/>
  <c r="J160" i="167"/>
  <c r="K160" i="167"/>
  <c r="I161" i="167"/>
  <c r="J161" i="167"/>
  <c r="K161" i="167"/>
  <c r="I162" i="167"/>
  <c r="J162" i="167"/>
  <c r="K162" i="167"/>
  <c r="I163" i="167"/>
  <c r="J163" i="167"/>
  <c r="K163" i="167"/>
  <c r="I164" i="167"/>
  <c r="J164" i="167"/>
  <c r="K164" i="167"/>
  <c r="I165" i="167"/>
  <c r="J165" i="167"/>
  <c r="K165" i="167"/>
  <c r="I166" i="167"/>
  <c r="J166" i="167"/>
  <c r="K166" i="167"/>
  <c r="I167" i="167"/>
  <c r="J167" i="167"/>
  <c r="K167" i="167"/>
  <c r="I168" i="167"/>
  <c r="J168" i="167"/>
  <c r="K168" i="167"/>
  <c r="I169" i="167"/>
  <c r="J169" i="167"/>
  <c r="K169" i="167"/>
  <c r="I170" i="167"/>
  <c r="J170" i="167"/>
  <c r="K170" i="167"/>
  <c r="I171" i="167"/>
  <c r="J171" i="167"/>
  <c r="K171" i="167"/>
  <c r="I172" i="167"/>
  <c r="J172" i="167"/>
  <c r="K172" i="167"/>
  <c r="I173" i="167"/>
  <c r="J173" i="167"/>
  <c r="K173" i="167"/>
  <c r="I174" i="167"/>
  <c r="J174" i="167"/>
  <c r="K174" i="167"/>
  <c r="I175" i="167"/>
  <c r="J175" i="167"/>
  <c r="K175" i="167"/>
  <c r="I176" i="167"/>
  <c r="J176" i="167"/>
  <c r="K176" i="167"/>
  <c r="I177" i="167"/>
  <c r="J177" i="167"/>
  <c r="K177" i="167"/>
  <c r="I178" i="167"/>
  <c r="J178" i="167"/>
  <c r="K178" i="167"/>
  <c r="I179" i="167"/>
  <c r="J179" i="167"/>
  <c r="K179" i="167"/>
  <c r="I180" i="167"/>
  <c r="J180" i="167"/>
  <c r="K180" i="167"/>
  <c r="I181" i="167"/>
  <c r="J181" i="167"/>
  <c r="K181" i="167"/>
  <c r="I182" i="167"/>
  <c r="J182" i="167"/>
  <c r="K182" i="167"/>
  <c r="I183" i="167"/>
  <c r="J183" i="167"/>
  <c r="K183" i="167"/>
  <c r="I184" i="167"/>
  <c r="J184" i="167"/>
  <c r="K184" i="167"/>
  <c r="I185" i="167"/>
  <c r="J185" i="167"/>
  <c r="K185" i="167"/>
  <c r="I186" i="167"/>
  <c r="J186" i="167"/>
  <c r="K186" i="167"/>
  <c r="I187" i="167"/>
  <c r="J187" i="167"/>
  <c r="K187" i="167"/>
  <c r="I188" i="167"/>
  <c r="J188" i="167"/>
  <c r="K188" i="167"/>
  <c r="I189" i="167"/>
  <c r="J189" i="167"/>
  <c r="K189" i="167"/>
  <c r="I190" i="167"/>
  <c r="J190" i="167"/>
  <c r="K190" i="167"/>
  <c r="I191" i="167"/>
  <c r="J191" i="167"/>
  <c r="K191" i="167"/>
  <c r="I192" i="167"/>
  <c r="J192" i="167"/>
  <c r="K192" i="167"/>
  <c r="I193" i="167"/>
  <c r="J193" i="167"/>
  <c r="K193" i="167"/>
  <c r="I194" i="167"/>
  <c r="J194" i="167"/>
  <c r="K194" i="167"/>
  <c r="I195" i="167"/>
  <c r="J195" i="167"/>
  <c r="K195" i="167"/>
  <c r="I196" i="167"/>
  <c r="J196" i="167"/>
  <c r="K196" i="167"/>
  <c r="I197" i="167"/>
  <c r="J197" i="167"/>
  <c r="K197" i="167"/>
  <c r="I198" i="167"/>
  <c r="J198" i="167"/>
  <c r="K198" i="167"/>
  <c r="I199" i="167"/>
  <c r="J199" i="167"/>
  <c r="K199" i="167"/>
  <c r="I200" i="167"/>
  <c r="J200" i="167"/>
  <c r="K200" i="167"/>
  <c r="I201" i="167"/>
  <c r="J201" i="167"/>
  <c r="K201" i="167"/>
  <c r="I202" i="167"/>
  <c r="J202" i="167"/>
  <c r="K202" i="167"/>
  <c r="I203" i="167"/>
  <c r="J203" i="167"/>
  <c r="K203" i="167"/>
  <c r="I204" i="167"/>
  <c r="J204" i="167"/>
  <c r="K204" i="167"/>
  <c r="I205" i="167"/>
  <c r="J205" i="167"/>
  <c r="K205" i="167"/>
  <c r="I206" i="167"/>
  <c r="J206" i="167"/>
  <c r="K206" i="167"/>
  <c r="I207" i="167"/>
  <c r="J207" i="167"/>
  <c r="K207" i="167"/>
  <c r="I208" i="167"/>
  <c r="J208" i="167"/>
  <c r="K208" i="167"/>
  <c r="I209" i="167"/>
  <c r="J209" i="167"/>
  <c r="K209" i="167"/>
  <c r="I210" i="167"/>
  <c r="J210" i="167"/>
  <c r="K210" i="167"/>
  <c r="I211" i="167"/>
  <c r="J211" i="167"/>
  <c r="K211" i="167"/>
  <c r="I212" i="167"/>
  <c r="J212" i="167"/>
  <c r="K212" i="167"/>
  <c r="I213" i="167"/>
  <c r="J213" i="167"/>
  <c r="K213" i="167"/>
  <c r="I214" i="167"/>
  <c r="J214" i="167"/>
  <c r="K214" i="167"/>
  <c r="I215" i="167"/>
  <c r="J215" i="167"/>
  <c r="K215" i="167"/>
  <c r="I216" i="167"/>
  <c r="J216" i="167"/>
  <c r="K216" i="167"/>
  <c r="I217" i="167"/>
  <c r="J217" i="167"/>
  <c r="K217" i="167"/>
  <c r="I218" i="167"/>
  <c r="J218" i="167"/>
  <c r="K218" i="167"/>
  <c r="I219" i="167"/>
  <c r="J219" i="167"/>
  <c r="K219" i="167"/>
  <c r="I220" i="167"/>
  <c r="J220" i="167"/>
  <c r="K220" i="167"/>
  <c r="I221" i="167"/>
  <c r="J221" i="167"/>
  <c r="K221" i="167"/>
  <c r="I222" i="167"/>
  <c r="J222" i="167"/>
  <c r="K222" i="167"/>
  <c r="I223" i="167"/>
  <c r="J223" i="167"/>
  <c r="K223" i="167"/>
  <c r="I224" i="167"/>
  <c r="J224" i="167"/>
  <c r="K224" i="167"/>
  <c r="I225" i="167"/>
  <c r="J225" i="167"/>
  <c r="K225" i="167"/>
  <c r="I226" i="167"/>
  <c r="J226" i="167"/>
  <c r="K226" i="167"/>
  <c r="I227" i="167"/>
  <c r="J227" i="167"/>
  <c r="K227" i="167"/>
  <c r="I228" i="167"/>
  <c r="J228" i="167"/>
  <c r="K228" i="167"/>
  <c r="I229" i="167"/>
  <c r="J229" i="167"/>
  <c r="K229" i="167"/>
  <c r="I230" i="167"/>
  <c r="J230" i="167"/>
  <c r="K230" i="167"/>
  <c r="I231" i="167"/>
  <c r="J231" i="167"/>
  <c r="K231" i="167"/>
  <c r="I232" i="167"/>
  <c r="J232" i="167"/>
  <c r="K232" i="167"/>
  <c r="I233" i="167"/>
  <c r="J233" i="167"/>
  <c r="K233" i="167"/>
  <c r="I234" i="167"/>
  <c r="J234" i="167"/>
  <c r="K234" i="167"/>
  <c r="I235" i="167"/>
  <c r="J235" i="167"/>
  <c r="K235" i="167"/>
  <c r="I236" i="167"/>
  <c r="J236" i="167"/>
  <c r="K236" i="167"/>
  <c r="I237" i="167"/>
  <c r="J237" i="167"/>
  <c r="K237" i="167"/>
  <c r="I238" i="167"/>
  <c r="J238" i="167"/>
  <c r="K238" i="167"/>
  <c r="I239" i="167"/>
  <c r="J239" i="167"/>
  <c r="K239" i="167"/>
  <c r="I240" i="167"/>
  <c r="J240" i="167"/>
  <c r="K240" i="167"/>
  <c r="I241" i="167"/>
  <c r="J241" i="167"/>
  <c r="K241" i="167"/>
  <c r="I242" i="167"/>
  <c r="J242" i="167"/>
  <c r="K242" i="167"/>
  <c r="I243" i="167"/>
  <c r="J243" i="167"/>
  <c r="K243" i="167"/>
  <c r="I244" i="167"/>
  <c r="J244" i="167"/>
  <c r="K244" i="167"/>
  <c r="I245" i="167"/>
  <c r="J245" i="167"/>
  <c r="K245" i="167"/>
  <c r="I246" i="167"/>
  <c r="J246" i="167"/>
  <c r="K246" i="167"/>
  <c r="I247" i="167"/>
  <c r="J247" i="167"/>
  <c r="K247" i="167"/>
  <c r="I248" i="167"/>
  <c r="J248" i="167"/>
  <c r="K248" i="167"/>
  <c r="I249" i="167"/>
  <c r="J249" i="167"/>
  <c r="K249" i="167"/>
  <c r="I250" i="167"/>
  <c r="J250" i="167"/>
  <c r="K250" i="167"/>
  <c r="I251" i="167"/>
  <c r="J251" i="167"/>
  <c r="K251" i="167"/>
  <c r="I252" i="167"/>
  <c r="J252" i="167"/>
  <c r="K252" i="167"/>
  <c r="I253" i="167"/>
  <c r="J253" i="167"/>
  <c r="K253" i="167"/>
  <c r="I254" i="167"/>
  <c r="J254" i="167"/>
  <c r="K254" i="167"/>
  <c r="I255" i="167"/>
  <c r="J255" i="167"/>
  <c r="K255" i="167"/>
  <c r="I256" i="167"/>
  <c r="J256" i="167"/>
  <c r="K256" i="167"/>
  <c r="I257" i="167"/>
  <c r="J257" i="167"/>
  <c r="K257" i="167"/>
  <c r="I258" i="167"/>
  <c r="J258" i="167"/>
  <c r="K258" i="167"/>
  <c r="I259" i="167"/>
  <c r="J259" i="167"/>
  <c r="K259" i="167"/>
  <c r="I260" i="167"/>
  <c r="J260" i="167"/>
  <c r="K260" i="167"/>
  <c r="I261" i="167"/>
  <c r="J261" i="167"/>
  <c r="K261" i="167"/>
  <c r="I262" i="167"/>
  <c r="J262" i="167"/>
  <c r="K262" i="167"/>
  <c r="I263" i="167"/>
  <c r="J263" i="167"/>
  <c r="K263" i="167"/>
  <c r="I264" i="167"/>
  <c r="J264" i="167"/>
  <c r="K264" i="167"/>
  <c r="I265" i="167"/>
  <c r="J265" i="167"/>
  <c r="K265" i="167"/>
  <c r="I266" i="167"/>
  <c r="J266" i="167"/>
  <c r="K266" i="167"/>
  <c r="I267" i="167"/>
  <c r="J267" i="167"/>
  <c r="K267" i="167"/>
  <c r="I268" i="167"/>
  <c r="J268" i="167"/>
  <c r="K268" i="167"/>
  <c r="I269" i="167"/>
  <c r="J269" i="167"/>
  <c r="K269" i="167"/>
  <c r="I270" i="167"/>
  <c r="J270" i="167"/>
  <c r="K270" i="167"/>
  <c r="I271" i="167"/>
  <c r="J271" i="167"/>
  <c r="K271" i="167"/>
  <c r="I272" i="167"/>
  <c r="J272" i="167"/>
  <c r="K272" i="167"/>
  <c r="I273" i="167"/>
  <c r="J273" i="167"/>
  <c r="K273" i="167"/>
  <c r="I274" i="167"/>
  <c r="J274" i="167"/>
  <c r="K274" i="167"/>
  <c r="I275" i="167"/>
  <c r="J275" i="167"/>
  <c r="K275" i="167"/>
  <c r="I276" i="167"/>
  <c r="J276" i="167"/>
  <c r="K276" i="167"/>
  <c r="I277" i="167"/>
  <c r="J277" i="167"/>
  <c r="K277" i="167"/>
  <c r="I278" i="167"/>
  <c r="J278" i="167"/>
  <c r="K278" i="167"/>
  <c r="I279" i="167"/>
  <c r="J279" i="167"/>
  <c r="K279" i="167"/>
  <c r="I280" i="167"/>
  <c r="J280" i="167"/>
  <c r="K280" i="167"/>
  <c r="I281" i="167"/>
  <c r="J281" i="167"/>
  <c r="K281" i="167"/>
  <c r="I282" i="167"/>
  <c r="J282" i="167"/>
  <c r="K282" i="167"/>
  <c r="I283" i="167"/>
  <c r="J283" i="167"/>
  <c r="K283" i="167"/>
  <c r="I284" i="167"/>
  <c r="J284" i="167"/>
  <c r="K284" i="167"/>
  <c r="I285" i="167"/>
  <c r="J285" i="167"/>
  <c r="K285" i="167"/>
  <c r="I286" i="167"/>
  <c r="J286" i="167"/>
  <c r="K286" i="167"/>
  <c r="I287" i="167"/>
  <c r="J287" i="167"/>
  <c r="K287" i="167"/>
  <c r="I288" i="167"/>
  <c r="J288" i="167"/>
  <c r="K288" i="167"/>
  <c r="I289" i="167"/>
  <c r="J289" i="167"/>
  <c r="K289" i="167"/>
  <c r="I290" i="167"/>
  <c r="J290" i="167"/>
  <c r="K290" i="167"/>
  <c r="I291" i="167"/>
  <c r="J291" i="167"/>
  <c r="K291" i="167"/>
  <c r="I292" i="167"/>
  <c r="J292" i="167"/>
  <c r="K292" i="167"/>
  <c r="I293" i="167"/>
  <c r="J293" i="167"/>
  <c r="K293" i="167"/>
  <c r="I294" i="167"/>
  <c r="J294" i="167"/>
  <c r="K294" i="167"/>
  <c r="I295" i="167"/>
  <c r="J295" i="167"/>
  <c r="K295" i="167"/>
  <c r="I296" i="167"/>
  <c r="J296" i="167"/>
  <c r="K296" i="167"/>
  <c r="I297" i="167"/>
  <c r="J297" i="167"/>
  <c r="K297" i="167"/>
  <c r="I298" i="167"/>
  <c r="J298" i="167"/>
  <c r="K298" i="167"/>
  <c r="I299" i="167"/>
  <c r="J299" i="167"/>
  <c r="K299" i="167"/>
  <c r="I300" i="167"/>
  <c r="J300" i="167"/>
  <c r="K300" i="167"/>
  <c r="I301" i="167"/>
  <c r="J301" i="167"/>
  <c r="K301" i="167"/>
  <c r="I302" i="167"/>
  <c r="J302" i="167"/>
  <c r="K302" i="167"/>
  <c r="I303" i="167"/>
  <c r="J303" i="167"/>
  <c r="K303" i="167"/>
  <c r="I304" i="167"/>
  <c r="J304" i="167"/>
  <c r="K304" i="167"/>
  <c r="I305" i="167"/>
  <c r="J305" i="167"/>
  <c r="K305" i="167"/>
  <c r="I306" i="167"/>
  <c r="J306" i="167"/>
  <c r="K306" i="167"/>
  <c r="I307" i="167"/>
  <c r="J307" i="167"/>
  <c r="K307" i="167"/>
  <c r="I308" i="167"/>
  <c r="J308" i="167"/>
  <c r="K308" i="167"/>
  <c r="I309" i="167"/>
  <c r="J309" i="167"/>
  <c r="K309" i="167"/>
  <c r="I310" i="167"/>
  <c r="J310" i="167"/>
  <c r="K310" i="167"/>
  <c r="I311" i="167"/>
  <c r="J311" i="167"/>
  <c r="K311" i="167"/>
  <c r="I312" i="167"/>
  <c r="J312" i="167"/>
  <c r="K312" i="167"/>
  <c r="I313" i="167"/>
  <c r="J313" i="167"/>
  <c r="K313" i="167"/>
  <c r="I314" i="167"/>
  <c r="J314" i="167"/>
  <c r="K314" i="167"/>
  <c r="I315" i="167"/>
  <c r="J315" i="167"/>
  <c r="K315" i="167"/>
  <c r="I316" i="167"/>
  <c r="J316" i="167"/>
  <c r="K316" i="167"/>
  <c r="I317" i="167"/>
  <c r="J317" i="167"/>
  <c r="K317" i="167"/>
  <c r="I318" i="167"/>
  <c r="J318" i="167"/>
  <c r="K318" i="167"/>
  <c r="I319" i="167"/>
  <c r="J319" i="167"/>
  <c r="K319" i="167"/>
  <c r="I320" i="167"/>
  <c r="J320" i="167"/>
  <c r="K320" i="167"/>
  <c r="I321" i="167"/>
  <c r="J321" i="167"/>
  <c r="K321" i="167"/>
  <c r="I322" i="167"/>
  <c r="J322" i="167"/>
  <c r="K322" i="167"/>
  <c r="I323" i="167"/>
  <c r="J323" i="167"/>
  <c r="K323" i="167"/>
  <c r="I324" i="167"/>
  <c r="J324" i="167"/>
  <c r="K324" i="167"/>
  <c r="I325" i="167"/>
  <c r="J325" i="167"/>
  <c r="K325" i="167"/>
  <c r="I326" i="167"/>
  <c r="J326" i="167"/>
  <c r="K326" i="167"/>
  <c r="I327" i="167"/>
  <c r="J327" i="167"/>
  <c r="K327" i="167"/>
  <c r="I328" i="167"/>
  <c r="J328" i="167"/>
  <c r="K328" i="167"/>
  <c r="I329" i="167"/>
  <c r="J329" i="167"/>
  <c r="K329" i="167"/>
  <c r="I330" i="167"/>
  <c r="J330" i="167"/>
  <c r="K330" i="167"/>
  <c r="I331" i="167"/>
  <c r="J331" i="167"/>
  <c r="K331" i="167"/>
  <c r="I332" i="167"/>
  <c r="J332" i="167"/>
  <c r="K332" i="167"/>
  <c r="I333" i="167"/>
  <c r="J333" i="167"/>
  <c r="K333" i="167"/>
  <c r="I334" i="167"/>
  <c r="J334" i="167"/>
  <c r="K334" i="167"/>
  <c r="I335" i="167"/>
  <c r="J335" i="167"/>
  <c r="K335" i="167"/>
  <c r="I336" i="167"/>
  <c r="J336" i="167"/>
  <c r="K336" i="167"/>
  <c r="I337" i="167"/>
  <c r="J337" i="167"/>
  <c r="K337" i="167"/>
  <c r="I338" i="167"/>
  <c r="J338" i="167"/>
  <c r="K338" i="167"/>
  <c r="I339" i="167"/>
  <c r="J339" i="167"/>
  <c r="K339" i="167"/>
  <c r="I340" i="167"/>
  <c r="J340" i="167"/>
  <c r="K340" i="167"/>
  <c r="I341" i="167"/>
  <c r="J341" i="167"/>
  <c r="K341" i="167"/>
  <c r="I342" i="167"/>
  <c r="J342" i="167"/>
  <c r="K342" i="167"/>
  <c r="I343" i="167"/>
  <c r="J343" i="167"/>
  <c r="K343" i="167"/>
  <c r="I344" i="167"/>
  <c r="J344" i="167"/>
  <c r="K344" i="167"/>
  <c r="I345" i="167"/>
  <c r="J345" i="167"/>
  <c r="K345" i="167"/>
  <c r="I346" i="167"/>
  <c r="J346" i="167"/>
  <c r="K346" i="167"/>
  <c r="I347" i="167"/>
  <c r="J347" i="167"/>
  <c r="K347" i="167"/>
  <c r="I348" i="167"/>
  <c r="J348" i="167"/>
  <c r="K348" i="167"/>
  <c r="I349" i="167"/>
  <c r="J349" i="167"/>
  <c r="K349" i="167"/>
  <c r="I350" i="167"/>
  <c r="J350" i="167"/>
  <c r="K350" i="167"/>
  <c r="I351" i="167"/>
  <c r="J351" i="167"/>
  <c r="K351" i="167"/>
  <c r="I352" i="167"/>
  <c r="J352" i="167"/>
  <c r="K352" i="167"/>
  <c r="I353" i="167"/>
  <c r="J353" i="167"/>
  <c r="K353" i="167"/>
  <c r="I354" i="167"/>
  <c r="J354" i="167"/>
  <c r="K354" i="167"/>
  <c r="I355" i="167"/>
  <c r="J355" i="167"/>
  <c r="K355" i="167"/>
  <c r="I356" i="167"/>
  <c r="J356" i="167"/>
  <c r="K356" i="167"/>
  <c r="I357" i="167"/>
  <c r="J357" i="167"/>
  <c r="K357" i="167"/>
  <c r="I358" i="167"/>
  <c r="J358" i="167"/>
  <c r="K358" i="167"/>
  <c r="I359" i="167"/>
  <c r="J359" i="167"/>
  <c r="K359" i="167"/>
  <c r="I360" i="167"/>
  <c r="J360" i="167"/>
  <c r="K360" i="167"/>
  <c r="I361" i="167"/>
  <c r="J361" i="167"/>
  <c r="K361" i="167"/>
  <c r="I362" i="167"/>
  <c r="J362" i="167"/>
  <c r="K362" i="167"/>
  <c r="I363" i="167"/>
  <c r="J363" i="167"/>
  <c r="K363" i="167"/>
  <c r="I364" i="167"/>
  <c r="J364" i="167"/>
  <c r="K364" i="167"/>
  <c r="I365" i="167"/>
  <c r="J365" i="167"/>
  <c r="K365" i="167"/>
  <c r="I366" i="167"/>
  <c r="J366" i="167"/>
  <c r="K366" i="167"/>
  <c r="I367" i="167"/>
  <c r="J367" i="167"/>
  <c r="K367" i="167"/>
  <c r="I368" i="167"/>
  <c r="J368" i="167"/>
  <c r="K368" i="167"/>
  <c r="I369" i="167"/>
  <c r="J369" i="167"/>
  <c r="K369" i="167"/>
  <c r="I370" i="167"/>
  <c r="J370" i="167"/>
  <c r="K370" i="167"/>
  <c r="I371" i="167"/>
  <c r="J371" i="167"/>
  <c r="K371" i="167"/>
  <c r="I372" i="167"/>
  <c r="J372" i="167"/>
  <c r="K372" i="167"/>
  <c r="I373" i="167"/>
  <c r="J373" i="167"/>
  <c r="K373" i="167"/>
  <c r="I374" i="167"/>
  <c r="J374" i="167"/>
  <c r="K374" i="167"/>
  <c r="I375" i="167"/>
  <c r="J375" i="167"/>
  <c r="K375" i="167"/>
  <c r="I376" i="167"/>
  <c r="J376" i="167"/>
  <c r="K376" i="167"/>
  <c r="I377" i="167"/>
  <c r="J377" i="167"/>
  <c r="K377" i="167"/>
  <c r="I378" i="167"/>
  <c r="J378" i="167"/>
  <c r="K378" i="167"/>
  <c r="I379" i="167"/>
  <c r="J379" i="167"/>
  <c r="K379" i="167"/>
  <c r="I380" i="167"/>
  <c r="J380" i="167"/>
  <c r="K380" i="167"/>
  <c r="I381" i="167"/>
  <c r="J381" i="167"/>
  <c r="K381" i="167"/>
  <c r="I382" i="167"/>
  <c r="J382" i="167"/>
  <c r="K382" i="167"/>
  <c r="I383" i="167"/>
  <c r="J383" i="167"/>
  <c r="K383" i="167"/>
  <c r="I384" i="167"/>
  <c r="J384" i="167"/>
  <c r="K384" i="167"/>
  <c r="I385" i="167"/>
  <c r="J385" i="167"/>
  <c r="K385" i="167"/>
  <c r="I386" i="167"/>
  <c r="J386" i="167"/>
  <c r="K386" i="167"/>
  <c r="I387" i="167"/>
  <c r="J387" i="167"/>
  <c r="K387" i="167"/>
  <c r="I388" i="167"/>
  <c r="J388" i="167"/>
  <c r="K388" i="167"/>
  <c r="I389" i="167"/>
  <c r="J389" i="167"/>
  <c r="K389" i="167"/>
  <c r="I390" i="167"/>
  <c r="J390" i="167"/>
  <c r="K390" i="167"/>
  <c r="I391" i="167"/>
  <c r="J391" i="167"/>
  <c r="K391" i="167"/>
  <c r="I392" i="167"/>
  <c r="J392" i="167"/>
  <c r="K392" i="167"/>
  <c r="I393" i="167"/>
  <c r="J393" i="167"/>
  <c r="K393" i="167"/>
  <c r="I394" i="167"/>
  <c r="J394" i="167"/>
  <c r="K394" i="167"/>
  <c r="I395" i="167"/>
  <c r="J395" i="167"/>
  <c r="K395" i="167"/>
  <c r="I396" i="167"/>
  <c r="J396" i="167"/>
  <c r="K396" i="167"/>
  <c r="I397" i="167"/>
  <c r="J397" i="167"/>
  <c r="K397" i="167"/>
  <c r="I398" i="167"/>
  <c r="J398" i="167"/>
  <c r="K398" i="167"/>
  <c r="I399" i="167"/>
  <c r="J399" i="167"/>
  <c r="K399" i="167"/>
  <c r="I400" i="167"/>
  <c r="J400" i="167"/>
  <c r="K400" i="167"/>
  <c r="I401" i="167"/>
  <c r="J401" i="167"/>
  <c r="K401" i="167"/>
  <c r="I402" i="167"/>
  <c r="J402" i="167"/>
  <c r="K402" i="167"/>
  <c r="I403" i="167"/>
  <c r="J403" i="167"/>
  <c r="K403" i="167"/>
  <c r="I404" i="167"/>
  <c r="J404" i="167"/>
  <c r="K404" i="167"/>
  <c r="I405" i="167"/>
  <c r="J405" i="167"/>
  <c r="K405" i="167"/>
  <c r="I406" i="167"/>
  <c r="J406" i="167"/>
  <c r="K406" i="167"/>
  <c r="I407" i="167"/>
  <c r="J407" i="167"/>
  <c r="K407" i="167"/>
  <c r="I408" i="167"/>
  <c r="J408" i="167"/>
  <c r="K408" i="167"/>
  <c r="I409" i="167"/>
  <c r="J409" i="167"/>
  <c r="K409" i="167"/>
  <c r="I410" i="167"/>
  <c r="J410" i="167"/>
  <c r="K410" i="167"/>
  <c r="I411" i="167"/>
  <c r="J411" i="167"/>
  <c r="K411" i="167"/>
  <c r="I412" i="167"/>
  <c r="J412" i="167"/>
  <c r="K412" i="167"/>
  <c r="I413" i="167"/>
  <c r="J413" i="167"/>
  <c r="K413" i="167"/>
  <c r="I414" i="167"/>
  <c r="J414" i="167"/>
  <c r="K414" i="167"/>
  <c r="I415" i="167"/>
  <c r="J415" i="167"/>
  <c r="K415" i="167"/>
  <c r="I416" i="167"/>
  <c r="J416" i="167"/>
  <c r="K416" i="167"/>
  <c r="I417" i="167"/>
  <c r="J417" i="167"/>
  <c r="K417" i="167"/>
  <c r="I418" i="167"/>
  <c r="J418" i="167"/>
  <c r="K418" i="167"/>
  <c r="I419" i="167"/>
  <c r="J419" i="167"/>
  <c r="K419" i="167"/>
  <c r="I420" i="167"/>
  <c r="J420" i="167"/>
  <c r="K420" i="167"/>
  <c r="I421" i="167"/>
  <c r="J421" i="167"/>
  <c r="K421" i="167"/>
  <c r="I422" i="167"/>
  <c r="J422" i="167"/>
  <c r="K422" i="167"/>
  <c r="I423" i="167"/>
  <c r="J423" i="167"/>
  <c r="K423" i="167"/>
  <c r="I424" i="167"/>
  <c r="J424" i="167"/>
  <c r="K424" i="167"/>
  <c r="I425" i="167"/>
  <c r="J425" i="167"/>
  <c r="K425" i="167"/>
  <c r="I426" i="167"/>
  <c r="J426" i="167"/>
  <c r="K426" i="167"/>
  <c r="I427" i="167"/>
  <c r="J427" i="167"/>
  <c r="K427" i="167"/>
  <c r="I428" i="167"/>
  <c r="J428" i="167"/>
  <c r="K428" i="167"/>
  <c r="I429" i="167"/>
  <c r="J429" i="167"/>
  <c r="K429" i="167"/>
  <c r="I430" i="167"/>
  <c r="J430" i="167"/>
  <c r="K430" i="167"/>
  <c r="I431" i="167"/>
  <c r="J431" i="167"/>
  <c r="K431" i="167"/>
  <c r="I432" i="167"/>
  <c r="J432" i="167"/>
  <c r="K432" i="167"/>
  <c r="I433" i="167"/>
  <c r="J433" i="167"/>
  <c r="K433" i="167"/>
  <c r="I434" i="167"/>
  <c r="J434" i="167"/>
  <c r="K434" i="167"/>
  <c r="I435" i="167"/>
  <c r="J435" i="167"/>
  <c r="K435" i="167"/>
  <c r="I436" i="167"/>
  <c r="J436" i="167"/>
  <c r="K436" i="167"/>
  <c r="I437" i="167"/>
  <c r="J437" i="167"/>
  <c r="K437" i="167"/>
  <c r="I438" i="167"/>
  <c r="J438" i="167"/>
  <c r="K438" i="167"/>
  <c r="I439" i="167"/>
  <c r="J439" i="167"/>
  <c r="K439" i="167"/>
  <c r="I440" i="167"/>
  <c r="J440" i="167"/>
  <c r="K440" i="167"/>
  <c r="I441" i="167"/>
  <c r="J441" i="167"/>
  <c r="K441" i="167"/>
  <c r="I442" i="167"/>
  <c r="J442" i="167"/>
  <c r="K442" i="167"/>
  <c r="I443" i="167"/>
  <c r="J443" i="167"/>
  <c r="K443" i="167"/>
  <c r="I444" i="167"/>
  <c r="J444" i="167"/>
  <c r="K444" i="167"/>
  <c r="I445" i="167"/>
  <c r="J445" i="167"/>
  <c r="K445" i="167"/>
  <c r="I446" i="167"/>
  <c r="J446" i="167"/>
  <c r="K446" i="167"/>
  <c r="I447" i="167"/>
  <c r="J447" i="167"/>
  <c r="K447" i="167"/>
  <c r="I448" i="167"/>
  <c r="J448" i="167"/>
  <c r="K448" i="167"/>
  <c r="I449" i="167"/>
  <c r="J449" i="167"/>
  <c r="K449" i="167"/>
  <c r="I450" i="167"/>
  <c r="J450" i="167"/>
  <c r="K450" i="167"/>
  <c r="I451" i="167"/>
  <c r="J451" i="167"/>
  <c r="K451" i="167"/>
  <c r="I452" i="167"/>
  <c r="J452" i="167"/>
  <c r="K452" i="167"/>
  <c r="I453" i="167"/>
  <c r="J453" i="167"/>
  <c r="K453" i="167"/>
  <c r="I454" i="167"/>
  <c r="J454" i="167"/>
  <c r="K454" i="167"/>
  <c r="I455" i="167"/>
  <c r="J455" i="167"/>
  <c r="K455" i="167"/>
  <c r="I456" i="167"/>
  <c r="J456" i="167"/>
  <c r="K456" i="167"/>
  <c r="I457" i="167"/>
  <c r="J457" i="167"/>
  <c r="K457" i="167"/>
  <c r="I458" i="167"/>
  <c r="J458" i="167"/>
  <c r="K458" i="167"/>
  <c r="I459" i="167"/>
  <c r="J459" i="167"/>
  <c r="K459" i="167"/>
  <c r="I460" i="167"/>
  <c r="J460" i="167"/>
  <c r="K460" i="167"/>
  <c r="I461" i="167"/>
  <c r="J461" i="167"/>
  <c r="K461" i="167"/>
  <c r="I462" i="167"/>
  <c r="J462" i="167"/>
  <c r="K462" i="167"/>
  <c r="I463" i="167"/>
  <c r="J463" i="167"/>
  <c r="K463" i="167"/>
  <c r="I464" i="167"/>
  <c r="J464" i="167"/>
  <c r="K464" i="167"/>
  <c r="I465" i="167"/>
  <c r="J465" i="167"/>
  <c r="K465" i="167"/>
  <c r="I466" i="167"/>
  <c r="J466" i="167"/>
  <c r="K466" i="167"/>
  <c r="I467" i="167"/>
  <c r="J467" i="167"/>
  <c r="K467" i="167"/>
  <c r="I468" i="167"/>
  <c r="J468" i="167"/>
  <c r="K468" i="167"/>
  <c r="I469" i="167"/>
  <c r="J469" i="167"/>
  <c r="K469" i="167"/>
  <c r="I470" i="167"/>
  <c r="J470" i="167"/>
  <c r="K470" i="167"/>
  <c r="I471" i="167"/>
  <c r="J471" i="167"/>
  <c r="K471" i="167"/>
  <c r="I472" i="167"/>
  <c r="J472" i="167"/>
  <c r="K472" i="167"/>
  <c r="I473" i="167"/>
  <c r="J473" i="167"/>
  <c r="K473" i="167"/>
  <c r="I474" i="167"/>
  <c r="J474" i="167"/>
  <c r="K474" i="167"/>
  <c r="I475" i="167"/>
  <c r="J475" i="167"/>
  <c r="K475" i="167"/>
  <c r="I476" i="167"/>
  <c r="J476" i="167"/>
  <c r="K476" i="167"/>
  <c r="I477" i="167"/>
  <c r="J477" i="167"/>
  <c r="K477" i="167"/>
  <c r="I478" i="167"/>
  <c r="J478" i="167"/>
  <c r="K478" i="167"/>
  <c r="I479" i="167"/>
  <c r="J479" i="167"/>
  <c r="K479" i="167"/>
  <c r="I480" i="167"/>
  <c r="J480" i="167"/>
  <c r="K480" i="167"/>
  <c r="I481" i="167"/>
  <c r="J481" i="167"/>
  <c r="K481" i="167"/>
  <c r="I482" i="167"/>
  <c r="J482" i="167"/>
  <c r="K482" i="167"/>
  <c r="I483" i="167"/>
  <c r="J483" i="167"/>
  <c r="K483" i="167"/>
  <c r="I484" i="167"/>
  <c r="J484" i="167"/>
  <c r="K484" i="167"/>
  <c r="I485" i="167"/>
  <c r="J485" i="167"/>
  <c r="K485" i="167"/>
  <c r="I486" i="167"/>
  <c r="J486" i="167"/>
  <c r="K486" i="167"/>
  <c r="I487" i="167"/>
  <c r="J487" i="167"/>
  <c r="K487" i="167"/>
  <c r="I488" i="167"/>
  <c r="J488" i="167"/>
  <c r="K488" i="167"/>
  <c r="I489" i="167"/>
  <c r="J489" i="167"/>
  <c r="K489" i="167"/>
  <c r="I490" i="167"/>
  <c r="J490" i="167"/>
  <c r="K490" i="167"/>
  <c r="I491" i="167"/>
  <c r="J491" i="167"/>
  <c r="K491" i="167"/>
  <c r="I492" i="167"/>
  <c r="J492" i="167"/>
  <c r="K492" i="167"/>
  <c r="I493" i="167"/>
  <c r="J493" i="167"/>
  <c r="K493" i="167"/>
  <c r="I494" i="167"/>
  <c r="J494" i="167"/>
  <c r="K494" i="167"/>
  <c r="I495" i="167"/>
  <c r="J495" i="167"/>
  <c r="K495" i="167"/>
  <c r="I496" i="167"/>
  <c r="J496" i="167"/>
  <c r="K496" i="167"/>
  <c r="I497" i="167"/>
  <c r="J497" i="167"/>
  <c r="K497" i="167"/>
  <c r="I498" i="167"/>
  <c r="J498" i="167"/>
  <c r="K498" i="167"/>
  <c r="I499" i="167"/>
  <c r="J499" i="167"/>
  <c r="K499" i="167"/>
  <c r="I500" i="167"/>
  <c r="J500" i="167"/>
  <c r="K500" i="167"/>
  <c r="I501" i="167"/>
  <c r="J501" i="167"/>
  <c r="K501" i="167"/>
  <c r="I502" i="167"/>
  <c r="J502" i="167"/>
  <c r="K502" i="167"/>
  <c r="I503" i="167"/>
  <c r="J503" i="167"/>
  <c r="K503" i="167"/>
  <c r="I504" i="167"/>
  <c r="J504" i="167"/>
  <c r="K504" i="167"/>
  <c r="I505" i="167"/>
  <c r="J505" i="167"/>
  <c r="K505" i="167"/>
  <c r="I506" i="167"/>
  <c r="J506" i="167"/>
  <c r="K506" i="167"/>
  <c r="I507" i="167"/>
  <c r="J507" i="167"/>
  <c r="K507" i="167"/>
  <c r="I508" i="167"/>
  <c r="J508" i="167"/>
  <c r="K508" i="167"/>
  <c r="I509" i="167"/>
  <c r="J509" i="167"/>
  <c r="K509" i="167"/>
  <c r="I510" i="167"/>
  <c r="J510" i="167"/>
  <c r="K510" i="167"/>
  <c r="I511" i="167"/>
  <c r="J511" i="167"/>
  <c r="K511" i="167"/>
  <c r="I512" i="167"/>
  <c r="J512" i="167"/>
  <c r="K512" i="167"/>
  <c r="I513" i="167"/>
  <c r="J513" i="167"/>
  <c r="K513" i="167"/>
  <c r="I514" i="167"/>
  <c r="J514" i="167"/>
  <c r="K514" i="167"/>
  <c r="I515" i="167"/>
  <c r="J515" i="167"/>
  <c r="K515" i="167"/>
  <c r="I516" i="167"/>
  <c r="J516" i="167"/>
  <c r="K516" i="167"/>
  <c r="I517" i="167"/>
  <c r="J517" i="167"/>
  <c r="K517" i="167"/>
  <c r="I518" i="167"/>
  <c r="J518" i="167"/>
  <c r="K518" i="167"/>
  <c r="I519" i="167"/>
  <c r="J519" i="167"/>
  <c r="K519" i="167"/>
  <c r="I520" i="167"/>
  <c r="J520" i="167"/>
  <c r="K520" i="167"/>
  <c r="I521" i="167"/>
  <c r="J521" i="167"/>
  <c r="K521" i="167"/>
  <c r="I522" i="167"/>
  <c r="J522" i="167"/>
  <c r="K522" i="167"/>
  <c r="I523" i="167"/>
  <c r="J523" i="167"/>
  <c r="K523" i="167"/>
  <c r="I524" i="167"/>
  <c r="J524" i="167"/>
  <c r="K524" i="167"/>
  <c r="I525" i="167"/>
  <c r="J525" i="167"/>
  <c r="K525" i="167"/>
  <c r="I526" i="167"/>
  <c r="J526" i="167"/>
  <c r="K526" i="167"/>
  <c r="I527" i="167"/>
  <c r="J527" i="167"/>
  <c r="K527" i="167"/>
  <c r="I528" i="167"/>
  <c r="J528" i="167"/>
  <c r="K528" i="167"/>
  <c r="I529" i="167"/>
  <c r="J529" i="167"/>
  <c r="K529" i="167"/>
  <c r="I530" i="167"/>
  <c r="J530" i="167"/>
  <c r="K530" i="167"/>
  <c r="I531" i="167"/>
  <c r="J531" i="167"/>
  <c r="K531" i="167"/>
  <c r="I532" i="167"/>
  <c r="J532" i="167"/>
  <c r="K532" i="167"/>
  <c r="I533" i="167"/>
  <c r="J533" i="167"/>
  <c r="K533" i="167"/>
  <c r="I534" i="167"/>
  <c r="J534" i="167"/>
  <c r="K534" i="167"/>
  <c r="I535" i="167"/>
  <c r="J535" i="167"/>
  <c r="K535" i="167"/>
  <c r="I536" i="167"/>
  <c r="J536" i="167"/>
  <c r="K536" i="167"/>
  <c r="I537" i="167"/>
  <c r="J537" i="167"/>
  <c r="K537" i="167"/>
  <c r="I538" i="167"/>
  <c r="J538" i="167"/>
  <c r="K538" i="167"/>
  <c r="I539" i="167"/>
  <c r="J539" i="167"/>
  <c r="K539" i="167"/>
  <c r="I540" i="167"/>
  <c r="J540" i="167"/>
  <c r="K540" i="167"/>
  <c r="I541" i="167"/>
  <c r="J541" i="167"/>
  <c r="K541" i="167"/>
  <c r="I542" i="167"/>
  <c r="J542" i="167"/>
  <c r="K542" i="167"/>
  <c r="I543" i="167"/>
  <c r="J543" i="167"/>
  <c r="K543" i="167"/>
  <c r="I544" i="167"/>
  <c r="J544" i="167"/>
  <c r="K544" i="167"/>
  <c r="I545" i="167"/>
  <c r="J545" i="167"/>
  <c r="K545" i="167"/>
  <c r="I546" i="167"/>
  <c r="J546" i="167"/>
  <c r="K546" i="167"/>
  <c r="I547" i="167"/>
  <c r="J547" i="167"/>
  <c r="K547" i="167"/>
  <c r="I548" i="167"/>
  <c r="J548" i="167"/>
  <c r="K548" i="167"/>
  <c r="I549" i="167"/>
  <c r="J549" i="167"/>
  <c r="K549" i="167"/>
  <c r="I550" i="167"/>
  <c r="J550" i="167"/>
  <c r="K550" i="167"/>
  <c r="I551" i="167"/>
  <c r="J551" i="167"/>
  <c r="K551" i="167"/>
  <c r="I552" i="167"/>
  <c r="J552" i="167"/>
  <c r="K552" i="167"/>
  <c r="I553" i="167"/>
  <c r="J553" i="167"/>
  <c r="K553" i="167"/>
  <c r="I554" i="167"/>
  <c r="J554" i="167"/>
  <c r="K554" i="167"/>
  <c r="I555" i="167"/>
  <c r="J555" i="167"/>
  <c r="K555" i="167"/>
  <c r="I556" i="167"/>
  <c r="J556" i="167"/>
  <c r="K556" i="167"/>
  <c r="I557" i="167"/>
  <c r="J557" i="167"/>
  <c r="K557" i="167"/>
  <c r="I558" i="167"/>
  <c r="J558" i="167"/>
  <c r="K558" i="167"/>
  <c r="I559" i="167"/>
  <c r="J559" i="167"/>
  <c r="K559" i="167"/>
  <c r="I560" i="167"/>
  <c r="J560" i="167"/>
  <c r="K560" i="167"/>
  <c r="I561" i="167"/>
  <c r="J561" i="167"/>
  <c r="K561" i="167"/>
  <c r="I562" i="167"/>
  <c r="J562" i="167"/>
  <c r="K562" i="167"/>
  <c r="I563" i="167"/>
  <c r="J563" i="167"/>
  <c r="K563" i="167"/>
  <c r="I564" i="167"/>
  <c r="J564" i="167"/>
  <c r="K564" i="167"/>
  <c r="I565" i="167"/>
  <c r="J565" i="167"/>
  <c r="K565" i="167"/>
  <c r="I566" i="167"/>
  <c r="J566" i="167"/>
  <c r="K566" i="167"/>
  <c r="I567" i="167"/>
  <c r="J567" i="167"/>
  <c r="K567" i="167"/>
  <c r="I568" i="167"/>
  <c r="J568" i="167"/>
  <c r="K568" i="167"/>
  <c r="I569" i="167"/>
  <c r="J569" i="167"/>
  <c r="K569" i="167"/>
  <c r="I570" i="167"/>
  <c r="J570" i="167"/>
  <c r="K570" i="167"/>
  <c r="I571" i="167"/>
  <c r="J571" i="167"/>
  <c r="K571" i="167"/>
  <c r="I572" i="167"/>
  <c r="J572" i="167"/>
  <c r="K572" i="167"/>
  <c r="I573" i="167"/>
  <c r="J573" i="167"/>
  <c r="K573" i="167"/>
  <c r="I574" i="167"/>
  <c r="J574" i="167"/>
  <c r="K574" i="167"/>
  <c r="I575" i="167"/>
  <c r="J575" i="167"/>
  <c r="K575" i="167"/>
  <c r="I576" i="167"/>
  <c r="J576" i="167"/>
  <c r="K576" i="167"/>
  <c r="I577" i="167"/>
  <c r="J577" i="167"/>
  <c r="K577" i="167"/>
  <c r="I578" i="167"/>
  <c r="J578" i="167"/>
  <c r="K578" i="167"/>
  <c r="I579" i="167"/>
  <c r="J579" i="167"/>
  <c r="K579" i="167"/>
  <c r="I580" i="167"/>
  <c r="J580" i="167"/>
  <c r="K580" i="167"/>
  <c r="I581" i="167"/>
  <c r="J581" i="167"/>
  <c r="K581" i="167"/>
  <c r="I582" i="167"/>
  <c r="J582" i="167"/>
  <c r="K582" i="167"/>
  <c r="I583" i="167"/>
  <c r="J583" i="167"/>
  <c r="K583" i="167"/>
  <c r="I584" i="167"/>
  <c r="J584" i="167"/>
  <c r="K584" i="167"/>
  <c r="I585" i="167"/>
  <c r="J585" i="167"/>
  <c r="K585" i="167"/>
  <c r="I586" i="167"/>
  <c r="J586" i="167"/>
  <c r="K586" i="167"/>
  <c r="I587" i="167"/>
  <c r="J587" i="167"/>
  <c r="K587" i="167"/>
  <c r="I588" i="167"/>
  <c r="J588" i="167"/>
  <c r="K588" i="167"/>
  <c r="I589" i="167"/>
  <c r="J589" i="167"/>
  <c r="K589" i="167"/>
  <c r="I590" i="167"/>
  <c r="J590" i="167"/>
  <c r="K590" i="167"/>
  <c r="I591" i="167"/>
  <c r="J591" i="167"/>
  <c r="K591" i="167"/>
  <c r="I592" i="167"/>
  <c r="J592" i="167"/>
  <c r="K592" i="167"/>
  <c r="I593" i="167"/>
  <c r="J593" i="167"/>
  <c r="K593" i="167"/>
  <c r="I594" i="167"/>
  <c r="J594" i="167"/>
  <c r="K594" i="167"/>
  <c r="I595" i="167"/>
  <c r="J595" i="167"/>
  <c r="K595" i="167"/>
  <c r="I596" i="167"/>
  <c r="J596" i="167"/>
  <c r="K596" i="167"/>
  <c r="I597" i="167"/>
  <c r="J597" i="167"/>
  <c r="K597" i="167"/>
  <c r="I598" i="167"/>
  <c r="J598" i="167"/>
  <c r="K598" i="167"/>
  <c r="I599" i="167"/>
  <c r="J599" i="167"/>
  <c r="K599" i="167"/>
  <c r="I600" i="167"/>
  <c r="J600" i="167"/>
  <c r="K600" i="167"/>
  <c r="I601" i="167"/>
  <c r="J601" i="167"/>
  <c r="K601" i="167"/>
  <c r="I602" i="167"/>
  <c r="J602" i="167"/>
  <c r="K602" i="167"/>
  <c r="I603" i="167"/>
  <c r="J603" i="167"/>
  <c r="K603" i="167"/>
  <c r="I604" i="167"/>
  <c r="J604" i="167"/>
  <c r="K604" i="167"/>
  <c r="I605" i="167"/>
  <c r="J605" i="167"/>
  <c r="K605" i="167"/>
  <c r="I606" i="167"/>
  <c r="J606" i="167"/>
  <c r="K606" i="167"/>
  <c r="I607" i="167"/>
  <c r="J607" i="167"/>
  <c r="K607" i="167"/>
  <c r="I608" i="167"/>
  <c r="J608" i="167"/>
  <c r="K608" i="167"/>
  <c r="I609" i="167"/>
  <c r="J609" i="167"/>
  <c r="K609" i="167"/>
  <c r="I610" i="167"/>
  <c r="J610" i="167"/>
  <c r="K610" i="167"/>
  <c r="I611" i="167"/>
  <c r="J611" i="167"/>
  <c r="K611" i="167"/>
  <c r="I612" i="167"/>
  <c r="J612" i="167"/>
  <c r="K612" i="167"/>
  <c r="I613" i="167"/>
  <c r="J613" i="167"/>
  <c r="K613" i="167"/>
  <c r="I614" i="167"/>
  <c r="J614" i="167"/>
  <c r="K614" i="167"/>
  <c r="I615" i="167"/>
  <c r="J615" i="167"/>
  <c r="K615" i="167"/>
  <c r="I616" i="167"/>
  <c r="J616" i="167"/>
  <c r="K616" i="167"/>
  <c r="I617" i="167"/>
  <c r="J617" i="167"/>
  <c r="K617" i="167"/>
  <c r="I618" i="167"/>
  <c r="J618" i="167"/>
  <c r="K618" i="167"/>
  <c r="I619" i="167"/>
  <c r="J619" i="167"/>
  <c r="K619" i="167"/>
  <c r="I620" i="167"/>
  <c r="J620" i="167"/>
  <c r="K620" i="167"/>
  <c r="I621" i="167"/>
  <c r="J621" i="167"/>
  <c r="K621" i="167"/>
  <c r="I622" i="167"/>
  <c r="J622" i="167"/>
  <c r="K622" i="167"/>
  <c r="I623" i="167"/>
  <c r="J623" i="167"/>
  <c r="K623" i="167"/>
  <c r="I624" i="167"/>
  <c r="J624" i="167"/>
  <c r="K624" i="167"/>
  <c r="I625" i="167"/>
  <c r="J625" i="167"/>
  <c r="K625" i="167"/>
  <c r="I626" i="167"/>
  <c r="J626" i="167"/>
  <c r="K626" i="167"/>
  <c r="I627" i="167"/>
  <c r="J627" i="167"/>
  <c r="K627" i="167"/>
  <c r="I628" i="167"/>
  <c r="J628" i="167"/>
  <c r="K628" i="167"/>
  <c r="I629" i="167"/>
  <c r="J629" i="167"/>
  <c r="K629" i="167"/>
  <c r="I630" i="167"/>
  <c r="J630" i="167"/>
  <c r="K630" i="167"/>
  <c r="I631" i="167"/>
  <c r="J631" i="167"/>
  <c r="K631" i="167"/>
  <c r="I632" i="167"/>
  <c r="J632" i="167"/>
  <c r="K632" i="167"/>
  <c r="I633" i="167"/>
  <c r="J633" i="167"/>
  <c r="K633" i="167"/>
  <c r="I634" i="167"/>
  <c r="J634" i="167"/>
  <c r="K634" i="167"/>
  <c r="I635" i="167"/>
  <c r="J635" i="167"/>
  <c r="K635" i="167"/>
  <c r="I636" i="167"/>
  <c r="J636" i="167"/>
  <c r="K636" i="167"/>
  <c r="I637" i="167"/>
  <c r="J637" i="167"/>
  <c r="K637" i="167"/>
  <c r="I638" i="167"/>
  <c r="J638" i="167"/>
  <c r="K638" i="167"/>
  <c r="I639" i="167"/>
  <c r="J639" i="167"/>
  <c r="K639" i="167"/>
  <c r="I640" i="167"/>
  <c r="J640" i="167"/>
  <c r="K640" i="167"/>
  <c r="I641" i="167"/>
  <c r="J641" i="167"/>
  <c r="K641" i="167"/>
  <c r="I642" i="167"/>
  <c r="J642" i="167"/>
  <c r="K642" i="167"/>
  <c r="I643" i="167"/>
  <c r="J643" i="167"/>
  <c r="K643" i="167"/>
  <c r="I644" i="167"/>
  <c r="J644" i="167"/>
  <c r="K644" i="167"/>
  <c r="I645" i="167"/>
  <c r="J645" i="167"/>
  <c r="K645" i="167"/>
  <c r="I646" i="167"/>
  <c r="J646" i="167"/>
  <c r="K646" i="167"/>
  <c r="I647" i="167"/>
  <c r="J647" i="167"/>
  <c r="K647" i="167"/>
  <c r="I648" i="167"/>
  <c r="J648" i="167"/>
  <c r="K648" i="167"/>
  <c r="I649" i="167"/>
  <c r="J649" i="167"/>
  <c r="K649" i="167"/>
  <c r="I650" i="167"/>
  <c r="J650" i="167"/>
  <c r="K650" i="167"/>
  <c r="I651" i="167"/>
  <c r="J651" i="167"/>
  <c r="K651" i="167"/>
  <c r="I652" i="167"/>
  <c r="J652" i="167"/>
  <c r="K652" i="167"/>
  <c r="I653" i="167"/>
  <c r="J653" i="167"/>
  <c r="K653" i="167"/>
  <c r="I654" i="167"/>
  <c r="J654" i="167"/>
  <c r="K654" i="167"/>
  <c r="I655" i="167"/>
  <c r="J655" i="167"/>
  <c r="K655" i="167"/>
  <c r="I656" i="167"/>
  <c r="J656" i="167"/>
  <c r="K656" i="167"/>
  <c r="I657" i="167"/>
  <c r="J657" i="167"/>
  <c r="K657" i="167"/>
  <c r="I658" i="167"/>
  <c r="J658" i="167"/>
  <c r="K658" i="167"/>
  <c r="I659" i="167"/>
  <c r="J659" i="167"/>
  <c r="K659" i="167"/>
  <c r="I660" i="167"/>
  <c r="J660" i="167"/>
  <c r="K660" i="167"/>
  <c r="I661" i="167"/>
  <c r="J661" i="167"/>
  <c r="K661" i="167"/>
  <c r="I662" i="167"/>
  <c r="J662" i="167"/>
  <c r="K662" i="167"/>
  <c r="I663" i="167"/>
  <c r="J663" i="167"/>
  <c r="K663" i="167"/>
  <c r="I664" i="167"/>
  <c r="J664" i="167"/>
  <c r="K664" i="167"/>
  <c r="I665" i="167"/>
  <c r="J665" i="167"/>
  <c r="K665" i="167"/>
  <c r="I666" i="167"/>
  <c r="J666" i="167"/>
  <c r="K666" i="167"/>
  <c r="I667" i="167"/>
  <c r="J667" i="167"/>
  <c r="K667" i="167"/>
  <c r="I668" i="167"/>
  <c r="J668" i="167"/>
  <c r="K668" i="167"/>
  <c r="I669" i="167"/>
  <c r="J669" i="167"/>
  <c r="K669" i="167"/>
  <c r="I670" i="167"/>
  <c r="J670" i="167"/>
  <c r="K670" i="167"/>
  <c r="I671" i="167"/>
  <c r="J671" i="167"/>
  <c r="K671" i="167"/>
  <c r="I672" i="167"/>
  <c r="J672" i="167"/>
  <c r="K672" i="167"/>
  <c r="I673" i="167"/>
  <c r="J673" i="167"/>
  <c r="K673" i="167"/>
  <c r="I674" i="167"/>
  <c r="J674" i="167"/>
  <c r="K674" i="167"/>
  <c r="I675" i="167"/>
  <c r="J675" i="167"/>
  <c r="K675" i="167"/>
  <c r="I676" i="167"/>
  <c r="J676" i="167"/>
  <c r="K676" i="167"/>
  <c r="I677" i="167"/>
  <c r="J677" i="167"/>
  <c r="K677" i="167"/>
  <c r="I678" i="167"/>
  <c r="J678" i="167"/>
  <c r="K678" i="167"/>
  <c r="I679" i="167"/>
  <c r="J679" i="167"/>
  <c r="K679" i="167"/>
  <c r="I680" i="167"/>
  <c r="J680" i="167"/>
  <c r="K680" i="167"/>
  <c r="I681" i="167"/>
  <c r="J681" i="167"/>
  <c r="K681" i="167"/>
  <c r="I682" i="167"/>
  <c r="J682" i="167"/>
  <c r="K682" i="167"/>
  <c r="I683" i="167"/>
  <c r="J683" i="167"/>
  <c r="K683" i="167"/>
  <c r="I684" i="167"/>
  <c r="J684" i="167"/>
  <c r="K684" i="167"/>
  <c r="I685" i="167"/>
  <c r="J685" i="167"/>
  <c r="K685" i="167"/>
  <c r="I686" i="167"/>
  <c r="J686" i="167"/>
  <c r="K686" i="167"/>
  <c r="I687" i="167"/>
  <c r="J687" i="167"/>
  <c r="K687" i="167"/>
  <c r="I688" i="167"/>
  <c r="J688" i="167"/>
  <c r="K688" i="167"/>
  <c r="I689" i="167"/>
  <c r="J689" i="167"/>
  <c r="K689" i="167"/>
  <c r="I690" i="167"/>
  <c r="J690" i="167"/>
  <c r="K690" i="167"/>
  <c r="I691" i="167"/>
  <c r="J691" i="167"/>
  <c r="K691" i="167"/>
  <c r="I692" i="167"/>
  <c r="J692" i="167"/>
  <c r="K692" i="167"/>
  <c r="I693" i="167"/>
  <c r="J693" i="167"/>
  <c r="K693" i="167"/>
  <c r="I694" i="167"/>
  <c r="J694" i="167"/>
  <c r="K694" i="167"/>
  <c r="I695" i="167"/>
  <c r="J695" i="167"/>
  <c r="K695" i="167"/>
  <c r="I696" i="167"/>
  <c r="J696" i="167"/>
  <c r="K696" i="167"/>
  <c r="I697" i="167"/>
  <c r="J697" i="167"/>
  <c r="K697" i="167"/>
  <c r="I698" i="167"/>
  <c r="J698" i="167"/>
  <c r="K698" i="167"/>
  <c r="I699" i="167"/>
  <c r="J699" i="167"/>
  <c r="K699" i="167"/>
  <c r="I700" i="167"/>
  <c r="J700" i="167"/>
  <c r="K700" i="167"/>
  <c r="I701" i="167"/>
  <c r="J701" i="167"/>
  <c r="K701" i="167"/>
  <c r="I702" i="167"/>
  <c r="J702" i="167"/>
  <c r="K702" i="167"/>
  <c r="I703" i="167"/>
  <c r="J703" i="167"/>
  <c r="K703" i="167"/>
  <c r="I704" i="167"/>
  <c r="J704" i="167"/>
  <c r="K704" i="167"/>
  <c r="I705" i="167"/>
  <c r="J705" i="167"/>
  <c r="K705" i="167"/>
  <c r="I706" i="167"/>
  <c r="J706" i="167"/>
  <c r="K706" i="167"/>
  <c r="I707" i="167"/>
  <c r="J707" i="167"/>
  <c r="K707" i="167"/>
  <c r="I708" i="167"/>
  <c r="J708" i="167"/>
  <c r="K708" i="167"/>
  <c r="I709" i="167"/>
  <c r="J709" i="167"/>
  <c r="K709" i="167"/>
  <c r="I710" i="167"/>
  <c r="J710" i="167"/>
  <c r="K710" i="167"/>
  <c r="I711" i="167"/>
  <c r="J711" i="167"/>
  <c r="K711" i="167"/>
  <c r="I712" i="167"/>
  <c r="J712" i="167"/>
  <c r="K712" i="167"/>
  <c r="I713" i="167"/>
  <c r="J713" i="167"/>
  <c r="K713" i="167"/>
  <c r="I714" i="167"/>
  <c r="J714" i="167"/>
  <c r="K714" i="167"/>
  <c r="I715" i="167"/>
  <c r="J715" i="167"/>
  <c r="K715" i="167"/>
  <c r="I716" i="167"/>
  <c r="J716" i="167"/>
  <c r="K716" i="167"/>
  <c r="I717" i="167"/>
  <c r="J717" i="167"/>
  <c r="K717" i="167"/>
  <c r="I718" i="167"/>
  <c r="J718" i="167"/>
  <c r="K718" i="167"/>
  <c r="I719" i="167"/>
  <c r="J719" i="167"/>
  <c r="K719" i="167"/>
  <c r="I720" i="167"/>
  <c r="J720" i="167"/>
  <c r="K720" i="167"/>
  <c r="I721" i="167"/>
  <c r="J721" i="167"/>
  <c r="K721" i="167"/>
  <c r="I722" i="167"/>
  <c r="J722" i="167"/>
  <c r="K722" i="167"/>
  <c r="I723" i="167"/>
  <c r="J723" i="167"/>
  <c r="K723" i="167"/>
  <c r="I724" i="167"/>
  <c r="J724" i="167"/>
  <c r="K724" i="167"/>
  <c r="I725" i="167"/>
  <c r="J725" i="167"/>
  <c r="K725" i="167"/>
  <c r="I726" i="167"/>
  <c r="J726" i="167"/>
  <c r="K726" i="167"/>
  <c r="I727" i="167"/>
  <c r="J727" i="167"/>
  <c r="K727" i="167"/>
  <c r="I728" i="167"/>
  <c r="J728" i="167"/>
  <c r="K728" i="167"/>
  <c r="I729" i="167"/>
  <c r="J729" i="167"/>
  <c r="K729" i="167"/>
  <c r="I730" i="167"/>
  <c r="J730" i="167"/>
  <c r="K730" i="167"/>
  <c r="I731" i="167"/>
  <c r="J731" i="167"/>
  <c r="K731" i="167"/>
  <c r="I732" i="167"/>
  <c r="J732" i="167"/>
  <c r="K732" i="167"/>
  <c r="I733" i="167"/>
  <c r="J733" i="167"/>
  <c r="K733" i="167"/>
  <c r="I734" i="167"/>
  <c r="J734" i="167"/>
  <c r="K734" i="167"/>
  <c r="I735" i="167"/>
  <c r="J735" i="167"/>
  <c r="K735" i="167"/>
  <c r="I736" i="167"/>
  <c r="J736" i="167"/>
  <c r="K736" i="167"/>
  <c r="I737" i="167"/>
  <c r="J737" i="167"/>
  <c r="K737" i="167"/>
  <c r="I738" i="167"/>
  <c r="J738" i="167"/>
  <c r="K738" i="167"/>
  <c r="I739" i="167"/>
  <c r="J739" i="167"/>
  <c r="K739" i="167"/>
  <c r="I740" i="167"/>
  <c r="J740" i="167"/>
  <c r="K740" i="167"/>
  <c r="I741" i="167"/>
  <c r="J741" i="167"/>
  <c r="K741" i="167"/>
  <c r="I742" i="167"/>
  <c r="J742" i="167"/>
  <c r="K742" i="167"/>
  <c r="I743" i="167"/>
  <c r="J743" i="167"/>
  <c r="K743" i="167"/>
  <c r="I744" i="167"/>
  <c r="J744" i="167"/>
  <c r="K744" i="167"/>
  <c r="I745" i="167"/>
  <c r="J745" i="167"/>
  <c r="K745" i="167"/>
  <c r="I746" i="167"/>
  <c r="J746" i="167"/>
  <c r="K746" i="167"/>
  <c r="I747" i="167"/>
  <c r="J747" i="167"/>
  <c r="K747" i="167"/>
  <c r="I748" i="167"/>
  <c r="J748" i="167"/>
  <c r="K748" i="167"/>
  <c r="I749" i="167"/>
  <c r="J749" i="167"/>
  <c r="K749" i="167"/>
  <c r="I750" i="167"/>
  <c r="J750" i="167"/>
  <c r="K750" i="167"/>
  <c r="I751" i="167"/>
  <c r="J751" i="167"/>
  <c r="K751" i="167"/>
  <c r="I752" i="167"/>
  <c r="J752" i="167"/>
  <c r="K752" i="167"/>
  <c r="I753" i="167"/>
  <c r="J753" i="167"/>
  <c r="K753" i="167"/>
  <c r="I754" i="167"/>
  <c r="J754" i="167"/>
  <c r="K754" i="167"/>
  <c r="I755" i="167"/>
  <c r="J755" i="167"/>
  <c r="K755" i="167"/>
  <c r="I756" i="167"/>
  <c r="J756" i="167"/>
  <c r="K756" i="167"/>
  <c r="I757" i="167"/>
  <c r="J757" i="167"/>
  <c r="K757" i="167"/>
  <c r="I758" i="167"/>
  <c r="J758" i="167"/>
  <c r="K758" i="167"/>
  <c r="I759" i="167"/>
  <c r="J759" i="167"/>
  <c r="K759" i="167"/>
  <c r="I760" i="167"/>
  <c r="J760" i="167"/>
  <c r="K760" i="167"/>
  <c r="I761" i="167"/>
  <c r="J761" i="167"/>
  <c r="K761" i="167"/>
  <c r="I762" i="167"/>
  <c r="J762" i="167"/>
  <c r="K762" i="167"/>
  <c r="I763" i="167"/>
  <c r="J763" i="167"/>
  <c r="K763" i="167"/>
  <c r="I764" i="167"/>
  <c r="J764" i="167"/>
  <c r="K764" i="167"/>
  <c r="I765" i="167"/>
  <c r="J765" i="167"/>
  <c r="K765" i="167"/>
  <c r="I766" i="167"/>
  <c r="J766" i="167"/>
  <c r="K766" i="167"/>
  <c r="I767" i="167"/>
  <c r="J767" i="167"/>
  <c r="K767" i="167"/>
  <c r="I768" i="167"/>
  <c r="J768" i="167"/>
  <c r="K768" i="167"/>
  <c r="I769" i="167"/>
  <c r="J769" i="167"/>
  <c r="K769" i="167"/>
  <c r="I770" i="167"/>
  <c r="J770" i="167"/>
  <c r="K770" i="167"/>
  <c r="I771" i="167"/>
  <c r="J771" i="167"/>
  <c r="K771" i="167"/>
  <c r="I772" i="167"/>
  <c r="J772" i="167"/>
  <c r="K772" i="167"/>
  <c r="I773" i="167"/>
  <c r="J773" i="167"/>
  <c r="K773" i="167"/>
  <c r="I774" i="167"/>
  <c r="J774" i="167"/>
  <c r="K774" i="167"/>
  <c r="I775" i="167"/>
  <c r="J775" i="167"/>
  <c r="K775" i="167"/>
  <c r="I776" i="167"/>
  <c r="J776" i="167"/>
  <c r="K776" i="167"/>
  <c r="I777" i="167"/>
  <c r="J777" i="167"/>
  <c r="K777" i="167"/>
  <c r="I778" i="167"/>
  <c r="J778" i="167"/>
  <c r="K778" i="167"/>
  <c r="I779" i="167"/>
  <c r="J779" i="167"/>
  <c r="K779" i="167"/>
  <c r="I780" i="167"/>
  <c r="J780" i="167"/>
  <c r="K780" i="167"/>
  <c r="I781" i="167"/>
  <c r="J781" i="167"/>
  <c r="K781" i="167"/>
  <c r="I782" i="167"/>
  <c r="J782" i="167"/>
  <c r="K782" i="167"/>
  <c r="I783" i="167"/>
  <c r="J783" i="167"/>
  <c r="K783" i="167"/>
  <c r="I784" i="167"/>
  <c r="J784" i="167"/>
  <c r="K784" i="167"/>
  <c r="I785" i="167"/>
  <c r="J785" i="167"/>
  <c r="K785" i="167"/>
  <c r="I786" i="167"/>
  <c r="J786" i="167"/>
  <c r="K786" i="167"/>
  <c r="I787" i="167"/>
  <c r="J787" i="167"/>
  <c r="K787" i="167"/>
  <c r="I788" i="167"/>
  <c r="J788" i="167"/>
  <c r="K788" i="167"/>
  <c r="I789" i="167"/>
  <c r="J789" i="167"/>
  <c r="K789" i="167"/>
  <c r="I790" i="167"/>
  <c r="J790" i="167"/>
  <c r="K790" i="167"/>
  <c r="I791" i="167"/>
  <c r="J791" i="167"/>
  <c r="K791" i="167"/>
  <c r="I792" i="167"/>
  <c r="J792" i="167"/>
  <c r="K792" i="167"/>
  <c r="I793" i="167"/>
  <c r="J793" i="167"/>
  <c r="K793" i="167"/>
  <c r="I794" i="167"/>
  <c r="J794" i="167"/>
  <c r="K794" i="167"/>
  <c r="I795" i="167"/>
  <c r="J795" i="167"/>
  <c r="K795" i="167"/>
  <c r="I796" i="167"/>
  <c r="J796" i="167"/>
  <c r="K796" i="167"/>
  <c r="I797" i="167"/>
  <c r="J797" i="167"/>
  <c r="K797" i="167"/>
  <c r="I798" i="167"/>
  <c r="J798" i="167"/>
  <c r="K798" i="167"/>
  <c r="I799" i="167"/>
  <c r="J799" i="167"/>
  <c r="K799" i="167"/>
  <c r="I800" i="167"/>
  <c r="J800" i="167"/>
  <c r="K800" i="167"/>
  <c r="I801" i="167"/>
  <c r="J801" i="167"/>
  <c r="K801" i="167"/>
  <c r="I802" i="167"/>
  <c r="J802" i="167"/>
  <c r="K802" i="167"/>
  <c r="I803" i="167"/>
  <c r="J803" i="167"/>
  <c r="K803" i="167"/>
  <c r="I804" i="167"/>
  <c r="J804" i="167"/>
  <c r="K804" i="167"/>
  <c r="I805" i="167"/>
  <c r="J805" i="167"/>
  <c r="K805" i="167"/>
  <c r="I806" i="167"/>
  <c r="J806" i="167"/>
  <c r="K806" i="167"/>
  <c r="I807" i="167"/>
  <c r="J807" i="167"/>
  <c r="K807" i="167"/>
  <c r="I808" i="167"/>
  <c r="J808" i="167"/>
  <c r="K808" i="167"/>
  <c r="I809" i="167"/>
  <c r="J809" i="167"/>
  <c r="K809" i="167"/>
  <c r="I810" i="167"/>
  <c r="J810" i="167"/>
  <c r="K810" i="167"/>
  <c r="I811" i="167"/>
  <c r="J811" i="167"/>
  <c r="K811" i="167"/>
  <c r="I812" i="167"/>
  <c r="J812" i="167"/>
  <c r="K812" i="167"/>
  <c r="I813" i="167"/>
  <c r="J813" i="167"/>
  <c r="K813" i="167"/>
  <c r="I814" i="167"/>
  <c r="J814" i="167"/>
  <c r="K814" i="167"/>
  <c r="I815" i="167"/>
  <c r="J815" i="167"/>
  <c r="K815" i="167"/>
  <c r="I816" i="167"/>
  <c r="J816" i="167"/>
  <c r="K816" i="167"/>
  <c r="I817" i="167"/>
  <c r="J817" i="167"/>
  <c r="K817" i="167"/>
  <c r="I818" i="167"/>
  <c r="J818" i="167"/>
  <c r="K818" i="167"/>
  <c r="I819" i="167"/>
  <c r="J819" i="167"/>
  <c r="K819" i="167"/>
  <c r="I820" i="167"/>
  <c r="J820" i="167"/>
  <c r="K820" i="167"/>
  <c r="I821" i="167"/>
  <c r="J821" i="167"/>
  <c r="K821" i="167"/>
  <c r="I822" i="167"/>
  <c r="J822" i="167"/>
  <c r="K822" i="167"/>
  <c r="I823" i="167"/>
  <c r="J823" i="167"/>
  <c r="K823" i="167"/>
  <c r="I824" i="167"/>
  <c r="J824" i="167"/>
  <c r="K824" i="167"/>
  <c r="I825" i="167"/>
  <c r="J825" i="167"/>
  <c r="K825" i="167"/>
  <c r="I826" i="167"/>
  <c r="J826" i="167"/>
  <c r="K826" i="167"/>
  <c r="I827" i="167"/>
  <c r="J827" i="167"/>
  <c r="K827" i="167"/>
  <c r="I828" i="167"/>
  <c r="J828" i="167"/>
  <c r="K828" i="167"/>
  <c r="I829" i="167"/>
  <c r="J829" i="167"/>
  <c r="K829" i="167"/>
  <c r="I830" i="167"/>
  <c r="J830" i="167"/>
  <c r="K830" i="167"/>
  <c r="I831" i="167"/>
  <c r="J831" i="167"/>
  <c r="K831" i="167"/>
  <c r="I832" i="167"/>
  <c r="J832" i="167"/>
  <c r="K832" i="167"/>
  <c r="I833" i="167"/>
  <c r="J833" i="167"/>
  <c r="K833" i="167"/>
  <c r="I834" i="167"/>
  <c r="J834" i="167"/>
  <c r="K834" i="167"/>
  <c r="I835" i="167"/>
  <c r="J835" i="167"/>
  <c r="K835" i="167"/>
  <c r="I836" i="167"/>
  <c r="J836" i="167"/>
  <c r="K836" i="167"/>
  <c r="I837" i="167"/>
  <c r="J837" i="167"/>
  <c r="K837" i="167"/>
  <c r="I838" i="167"/>
  <c r="J838" i="167"/>
  <c r="K838" i="167"/>
  <c r="I839" i="167"/>
  <c r="J839" i="167"/>
  <c r="K839" i="167"/>
  <c r="I840" i="167"/>
  <c r="J840" i="167"/>
  <c r="K840" i="167"/>
  <c r="I841" i="167"/>
  <c r="J841" i="167"/>
  <c r="K841" i="167"/>
  <c r="I842" i="167"/>
  <c r="J842" i="167"/>
  <c r="K842" i="167"/>
  <c r="I843" i="167"/>
  <c r="J843" i="167"/>
  <c r="K843" i="167"/>
  <c r="I844" i="167"/>
  <c r="J844" i="167"/>
  <c r="K844" i="167"/>
  <c r="I845" i="167"/>
  <c r="J845" i="167"/>
  <c r="K845" i="167"/>
  <c r="I846" i="167"/>
  <c r="J846" i="167"/>
  <c r="K846" i="167"/>
  <c r="I847" i="167"/>
  <c r="J847" i="167"/>
  <c r="K847" i="167"/>
  <c r="I848" i="167"/>
  <c r="J848" i="167"/>
  <c r="K848" i="167"/>
  <c r="I849" i="167"/>
  <c r="J849" i="167"/>
  <c r="K849" i="167"/>
  <c r="I850" i="167"/>
  <c r="J850" i="167"/>
  <c r="K850" i="167"/>
  <c r="I851" i="167"/>
  <c r="J851" i="167"/>
  <c r="K851" i="167"/>
  <c r="I852" i="167"/>
  <c r="J852" i="167"/>
  <c r="K852" i="167"/>
  <c r="I853" i="167"/>
  <c r="J853" i="167"/>
  <c r="K853" i="167"/>
  <c r="I854" i="167"/>
  <c r="J854" i="167"/>
  <c r="K854" i="167"/>
  <c r="I855" i="167"/>
  <c r="J855" i="167"/>
  <c r="K855" i="167"/>
  <c r="I856" i="167"/>
  <c r="J856" i="167"/>
  <c r="K856" i="167"/>
  <c r="I857" i="167"/>
  <c r="J857" i="167"/>
  <c r="K857" i="167"/>
  <c r="I858" i="167"/>
  <c r="J858" i="167"/>
  <c r="K858" i="167"/>
  <c r="I859" i="167"/>
  <c r="J859" i="167"/>
  <c r="K859" i="167"/>
  <c r="I860" i="167"/>
  <c r="J860" i="167"/>
  <c r="K860" i="167"/>
  <c r="I861" i="167"/>
  <c r="J861" i="167"/>
  <c r="K861" i="167"/>
  <c r="I862" i="167"/>
  <c r="J862" i="167"/>
  <c r="K862" i="167"/>
  <c r="I863" i="167"/>
  <c r="J863" i="167"/>
  <c r="K863" i="167"/>
  <c r="I864" i="167"/>
  <c r="J864" i="167"/>
  <c r="K864" i="167"/>
  <c r="I865" i="167"/>
  <c r="J865" i="167"/>
  <c r="K865" i="167"/>
  <c r="I866" i="167"/>
  <c r="J866" i="167"/>
  <c r="K866" i="167"/>
  <c r="I867" i="167"/>
  <c r="J867" i="167"/>
  <c r="K867" i="167"/>
  <c r="I868" i="167"/>
  <c r="J868" i="167"/>
  <c r="K868" i="167"/>
  <c r="I869" i="167"/>
  <c r="J869" i="167"/>
  <c r="K869" i="167"/>
  <c r="I870" i="167"/>
  <c r="J870" i="167"/>
  <c r="K870" i="167"/>
  <c r="I871" i="167"/>
  <c r="J871" i="167"/>
  <c r="K871" i="167"/>
  <c r="I872" i="167"/>
  <c r="J872" i="167"/>
  <c r="K872" i="167"/>
  <c r="I873" i="167"/>
  <c r="J873" i="167"/>
  <c r="K873" i="167"/>
  <c r="I874" i="167"/>
  <c r="J874" i="167"/>
  <c r="K874" i="167"/>
  <c r="I875" i="167"/>
  <c r="J875" i="167"/>
  <c r="K875" i="167"/>
  <c r="I876" i="167"/>
  <c r="J876" i="167"/>
  <c r="K876" i="167"/>
  <c r="I877" i="167"/>
  <c r="J877" i="167"/>
  <c r="K877" i="167"/>
  <c r="I878" i="167"/>
  <c r="J878" i="167"/>
  <c r="K878" i="167"/>
  <c r="I879" i="167"/>
  <c r="J879" i="167"/>
  <c r="K879" i="167"/>
  <c r="I880" i="167"/>
  <c r="J880" i="167"/>
  <c r="K880" i="167"/>
  <c r="I881" i="167"/>
  <c r="J881" i="167"/>
  <c r="K881" i="167"/>
  <c r="I882" i="167"/>
  <c r="J882" i="167"/>
  <c r="K882" i="167"/>
  <c r="I883" i="167"/>
  <c r="J883" i="167"/>
  <c r="K883" i="167"/>
  <c r="I884" i="167"/>
  <c r="J884" i="167"/>
  <c r="K884" i="167"/>
  <c r="I885" i="167"/>
  <c r="J885" i="167"/>
  <c r="K885" i="167"/>
  <c r="I886" i="167"/>
  <c r="J886" i="167"/>
  <c r="K886" i="167"/>
  <c r="I887" i="167"/>
  <c r="J887" i="167"/>
  <c r="K887" i="167"/>
  <c r="I888" i="167"/>
  <c r="J888" i="167"/>
  <c r="K888" i="167"/>
  <c r="I889" i="167"/>
  <c r="J889" i="167"/>
  <c r="K889" i="167"/>
  <c r="I890" i="167"/>
  <c r="J890" i="167"/>
  <c r="K890" i="167"/>
  <c r="I891" i="167"/>
  <c r="J891" i="167"/>
  <c r="K891" i="167"/>
  <c r="I892" i="167"/>
  <c r="J892" i="167"/>
  <c r="K892" i="167"/>
  <c r="I893" i="167"/>
  <c r="J893" i="167"/>
  <c r="K893" i="167"/>
  <c r="I894" i="167"/>
  <c r="J894" i="167"/>
  <c r="K894" i="167"/>
  <c r="I895" i="167"/>
  <c r="J895" i="167"/>
  <c r="K895" i="167"/>
  <c r="I896" i="167"/>
  <c r="J896" i="167"/>
  <c r="K896" i="167"/>
  <c r="I897" i="167"/>
  <c r="J897" i="167"/>
  <c r="K897" i="167"/>
  <c r="I898" i="167"/>
  <c r="J898" i="167"/>
  <c r="K898" i="167"/>
  <c r="I899" i="167"/>
  <c r="J899" i="167"/>
  <c r="K899" i="167"/>
  <c r="I900" i="167"/>
  <c r="J900" i="167"/>
  <c r="K900" i="167"/>
  <c r="I901" i="167"/>
  <c r="J901" i="167"/>
  <c r="K901" i="167"/>
  <c r="I902" i="167"/>
  <c r="J902" i="167"/>
  <c r="K902" i="167"/>
  <c r="I903" i="167"/>
  <c r="J903" i="167"/>
  <c r="K903" i="167"/>
  <c r="I904" i="167"/>
  <c r="J904" i="167"/>
  <c r="K904" i="167"/>
  <c r="I905" i="167"/>
  <c r="J905" i="167"/>
  <c r="K905" i="167"/>
  <c r="I906" i="167"/>
  <c r="J906" i="167"/>
  <c r="K906" i="167"/>
  <c r="I907" i="167"/>
  <c r="J907" i="167"/>
  <c r="K907" i="167"/>
  <c r="I908" i="167"/>
  <c r="J908" i="167"/>
  <c r="K908" i="167"/>
  <c r="I909" i="167"/>
  <c r="J909" i="167"/>
  <c r="K909" i="167"/>
  <c r="I910" i="167"/>
  <c r="J910" i="167"/>
  <c r="K910" i="167"/>
  <c r="I911" i="167"/>
  <c r="J911" i="167"/>
  <c r="K911" i="167"/>
  <c r="I912" i="167"/>
  <c r="J912" i="167"/>
  <c r="K912" i="167"/>
  <c r="I913" i="167"/>
  <c r="J913" i="167"/>
  <c r="K913" i="167"/>
  <c r="I914" i="167"/>
  <c r="J914" i="167"/>
  <c r="K914" i="167"/>
  <c r="I915" i="167"/>
  <c r="J915" i="167"/>
  <c r="K915" i="167"/>
  <c r="I916" i="167"/>
  <c r="J916" i="167"/>
  <c r="K916" i="167"/>
  <c r="I917" i="167"/>
  <c r="J917" i="167"/>
  <c r="K917" i="167"/>
  <c r="I918" i="167"/>
  <c r="J918" i="167"/>
  <c r="K918" i="167"/>
  <c r="I919" i="167"/>
  <c r="J919" i="167"/>
  <c r="K919" i="167"/>
  <c r="I920" i="167"/>
  <c r="J920" i="167"/>
  <c r="K920" i="167"/>
  <c r="I921" i="167"/>
  <c r="J921" i="167"/>
  <c r="K921" i="167"/>
  <c r="I922" i="167"/>
  <c r="J922" i="167"/>
  <c r="K922" i="167"/>
  <c r="I923" i="167"/>
  <c r="J923" i="167"/>
  <c r="K923" i="167"/>
  <c r="I924" i="167"/>
  <c r="J924" i="167"/>
  <c r="K924" i="167"/>
  <c r="I925" i="167"/>
  <c r="J925" i="167"/>
  <c r="K925" i="167"/>
  <c r="I926" i="167"/>
  <c r="J926" i="167"/>
  <c r="K926" i="167"/>
  <c r="I927" i="167"/>
  <c r="J927" i="167"/>
  <c r="K927" i="167"/>
  <c r="I928" i="167"/>
  <c r="J928" i="167"/>
  <c r="K928" i="167"/>
  <c r="I929" i="167"/>
  <c r="J929" i="167"/>
  <c r="K929" i="167"/>
  <c r="I930" i="167"/>
  <c r="J930" i="167"/>
  <c r="K930" i="167"/>
  <c r="I931" i="167"/>
  <c r="J931" i="167"/>
  <c r="K931" i="167"/>
  <c r="I932" i="167"/>
  <c r="J932" i="167"/>
  <c r="K932" i="167"/>
  <c r="I933" i="167"/>
  <c r="J933" i="167"/>
  <c r="K933" i="167"/>
  <c r="I934" i="167"/>
  <c r="J934" i="167"/>
  <c r="K934" i="167"/>
  <c r="I935" i="167"/>
  <c r="J935" i="167"/>
  <c r="K935" i="167"/>
  <c r="I936" i="167"/>
  <c r="J936" i="167"/>
  <c r="K936" i="167"/>
  <c r="I937" i="167"/>
  <c r="J937" i="167"/>
  <c r="K937" i="167"/>
  <c r="I938" i="167"/>
  <c r="J938" i="167"/>
  <c r="K938" i="167"/>
  <c r="I939" i="167"/>
  <c r="J939" i="167"/>
  <c r="K939" i="167"/>
  <c r="I940" i="167"/>
  <c r="J940" i="167"/>
  <c r="K940" i="167"/>
  <c r="I941" i="167"/>
  <c r="J941" i="167"/>
  <c r="K941" i="167"/>
  <c r="I942" i="167"/>
  <c r="J942" i="167"/>
  <c r="K942" i="167"/>
  <c r="I943" i="167"/>
  <c r="J943" i="167"/>
  <c r="K943" i="167"/>
  <c r="I944" i="167"/>
  <c r="J944" i="167"/>
  <c r="K944" i="167"/>
  <c r="I945" i="167"/>
  <c r="J945" i="167"/>
  <c r="K945" i="167"/>
  <c r="I946" i="167"/>
  <c r="J946" i="167"/>
  <c r="K946" i="167"/>
  <c r="I947" i="167"/>
  <c r="J947" i="167"/>
  <c r="K947" i="167"/>
  <c r="I948" i="167"/>
  <c r="J948" i="167"/>
  <c r="K948" i="167"/>
  <c r="I949" i="167"/>
  <c r="J949" i="167"/>
  <c r="K949" i="167"/>
  <c r="I950" i="167"/>
  <c r="J950" i="167"/>
  <c r="K950" i="167"/>
  <c r="I951" i="167"/>
  <c r="J951" i="167"/>
  <c r="K951" i="167"/>
  <c r="I952" i="167"/>
  <c r="J952" i="167"/>
  <c r="K952" i="167"/>
  <c r="I953" i="167"/>
  <c r="J953" i="167"/>
  <c r="K953" i="167"/>
  <c r="I954" i="167"/>
  <c r="J954" i="167"/>
  <c r="K954" i="167"/>
  <c r="I955" i="167"/>
  <c r="J955" i="167"/>
  <c r="K955" i="167"/>
  <c r="I956" i="167"/>
  <c r="J956" i="167"/>
  <c r="K956" i="167"/>
  <c r="I957" i="167"/>
  <c r="J957" i="167"/>
  <c r="K957" i="167"/>
  <c r="I958" i="167"/>
  <c r="J958" i="167"/>
  <c r="K958" i="167"/>
  <c r="I959" i="167"/>
  <c r="J959" i="167"/>
  <c r="K959" i="167"/>
  <c r="I960" i="167"/>
  <c r="J960" i="167"/>
  <c r="K960" i="167"/>
  <c r="I961" i="167"/>
  <c r="J961" i="167"/>
  <c r="K961" i="167"/>
  <c r="I962" i="167"/>
  <c r="J962" i="167"/>
  <c r="K962" i="167"/>
  <c r="I963" i="167"/>
  <c r="J963" i="167"/>
  <c r="K963" i="167"/>
  <c r="I964" i="167"/>
  <c r="J964" i="167"/>
  <c r="K964" i="167"/>
  <c r="I965" i="167"/>
  <c r="J965" i="167"/>
  <c r="K965" i="167"/>
  <c r="I966" i="167"/>
  <c r="J966" i="167"/>
  <c r="K966" i="167"/>
  <c r="I967" i="167"/>
  <c r="J967" i="167"/>
  <c r="K967" i="167"/>
  <c r="I968" i="167"/>
  <c r="J968" i="167"/>
  <c r="K968" i="167"/>
  <c r="I969" i="167"/>
  <c r="J969" i="167"/>
  <c r="K969" i="167"/>
  <c r="I970" i="167"/>
  <c r="J970" i="167"/>
  <c r="K970" i="167"/>
  <c r="I971" i="167"/>
  <c r="J971" i="167"/>
  <c r="K971" i="167"/>
  <c r="I972" i="167"/>
  <c r="J972" i="167"/>
  <c r="K972" i="167"/>
  <c r="I973" i="167"/>
  <c r="J973" i="167"/>
  <c r="K973" i="167"/>
  <c r="I974" i="167"/>
  <c r="J974" i="167"/>
  <c r="K974" i="167"/>
  <c r="I975" i="167"/>
  <c r="J975" i="167"/>
  <c r="K975" i="167"/>
  <c r="I976" i="167"/>
  <c r="J976" i="167"/>
  <c r="K976" i="167"/>
  <c r="I977" i="167"/>
  <c r="J977" i="167"/>
  <c r="K977" i="167"/>
  <c r="I978" i="167"/>
  <c r="J978" i="167"/>
  <c r="K978" i="167"/>
  <c r="I979" i="167"/>
  <c r="J979" i="167"/>
  <c r="K979" i="167"/>
  <c r="I980" i="167"/>
  <c r="J980" i="167"/>
  <c r="K980" i="167"/>
  <c r="I981" i="167"/>
  <c r="J981" i="167"/>
  <c r="K981" i="167"/>
  <c r="I982" i="167"/>
  <c r="J982" i="167"/>
  <c r="K982" i="167"/>
  <c r="I983" i="167"/>
  <c r="J983" i="167"/>
  <c r="K983" i="167"/>
  <c r="I984" i="167"/>
  <c r="J984" i="167"/>
  <c r="K984" i="167"/>
  <c r="I985" i="167"/>
  <c r="J985" i="167"/>
  <c r="K985" i="167"/>
  <c r="I986" i="167"/>
  <c r="J986" i="167"/>
  <c r="K986" i="167"/>
  <c r="I987" i="167"/>
  <c r="J987" i="167"/>
  <c r="K987" i="167"/>
  <c r="I988" i="167"/>
  <c r="J988" i="167"/>
  <c r="K988" i="167"/>
  <c r="I989" i="167"/>
  <c r="J989" i="167"/>
  <c r="K989" i="167"/>
  <c r="I990" i="167"/>
  <c r="J990" i="167"/>
  <c r="K990" i="167"/>
  <c r="I991" i="167"/>
  <c r="J991" i="167"/>
  <c r="K991" i="167"/>
  <c r="I992" i="167"/>
  <c r="J992" i="167"/>
  <c r="K992" i="167"/>
  <c r="I993" i="167"/>
  <c r="J993" i="167"/>
  <c r="K993" i="167"/>
  <c r="I994" i="167"/>
  <c r="J994" i="167"/>
  <c r="K994" i="167"/>
  <c r="I995" i="167"/>
  <c r="J995" i="167"/>
  <c r="K995" i="167"/>
  <c r="I996" i="167"/>
  <c r="J996" i="167"/>
  <c r="K996" i="167"/>
  <c r="I997" i="167"/>
  <c r="J997" i="167"/>
  <c r="K997" i="167"/>
  <c r="I998" i="167"/>
  <c r="J998" i="167"/>
  <c r="K998" i="167"/>
  <c r="I999" i="167"/>
  <c r="J999" i="167"/>
  <c r="K999" i="167"/>
  <c r="I1000" i="167"/>
  <c r="J1000" i="167"/>
  <c r="K1000" i="167"/>
  <c r="I1001" i="167"/>
  <c r="J1001" i="167"/>
  <c r="K1001" i="167"/>
  <c r="I1002" i="167"/>
  <c r="J1002" i="167"/>
  <c r="K1002" i="167"/>
  <c r="I1003" i="167"/>
  <c r="J1003" i="167"/>
  <c r="K1003" i="167"/>
  <c r="I1004" i="167"/>
  <c r="J1004" i="167"/>
  <c r="K1004" i="167"/>
  <c r="I1005" i="167"/>
  <c r="J1005" i="167"/>
  <c r="K1005" i="167"/>
  <c r="I1006" i="167"/>
  <c r="J1006" i="167"/>
  <c r="K1006" i="167"/>
  <c r="I1007" i="167"/>
  <c r="J1007" i="167"/>
  <c r="K1007" i="167"/>
  <c r="I1008" i="167"/>
  <c r="J1008" i="167"/>
  <c r="K1008" i="167"/>
  <c r="I1009" i="167"/>
  <c r="J1009" i="167"/>
  <c r="K1009" i="167"/>
  <c r="I1010" i="167"/>
  <c r="J1010" i="167"/>
  <c r="K1010" i="167"/>
  <c r="I1011" i="167"/>
  <c r="J1011" i="167"/>
  <c r="K1011" i="167"/>
  <c r="I1012" i="167"/>
  <c r="J1012" i="167"/>
  <c r="K1012" i="167"/>
  <c r="I1013" i="167"/>
  <c r="J1013" i="167"/>
  <c r="K1013" i="167"/>
  <c r="I1014" i="167"/>
  <c r="J1014" i="167"/>
  <c r="K1014" i="167"/>
  <c r="I1015" i="167"/>
  <c r="J1015" i="167"/>
  <c r="K1015" i="167"/>
  <c r="I1016" i="167"/>
  <c r="J1016" i="167"/>
  <c r="K1016" i="167"/>
  <c r="I1017" i="167"/>
  <c r="J1017" i="167"/>
  <c r="K1017" i="167"/>
  <c r="I1018" i="167"/>
  <c r="J1018" i="167"/>
  <c r="K1018" i="167"/>
  <c r="I1019" i="167"/>
  <c r="J1019" i="167"/>
  <c r="K1019" i="167"/>
  <c r="I1020" i="167"/>
  <c r="J1020" i="167"/>
  <c r="K1020" i="167"/>
  <c r="I1021" i="167"/>
  <c r="J1021" i="167"/>
  <c r="K1021" i="167"/>
  <c r="I1022" i="167"/>
  <c r="J1022" i="167"/>
  <c r="K1022" i="167"/>
  <c r="I1023" i="167"/>
  <c r="J1023" i="167"/>
  <c r="K1023" i="167"/>
  <c r="I1024" i="167"/>
  <c r="J1024" i="167"/>
  <c r="K1024" i="167"/>
  <c r="I1025" i="167"/>
  <c r="J1025" i="167"/>
  <c r="K1025" i="167"/>
  <c r="I1026" i="167"/>
  <c r="J1026" i="167"/>
  <c r="K1026" i="167"/>
  <c r="I1027" i="167"/>
  <c r="J1027" i="167"/>
  <c r="K1027" i="167"/>
  <c r="I1028" i="167"/>
  <c r="J1028" i="167"/>
  <c r="K1028" i="167"/>
  <c r="I1029" i="167"/>
  <c r="J1029" i="167"/>
  <c r="K1029" i="167"/>
  <c r="I1030" i="167"/>
  <c r="J1030" i="167"/>
  <c r="K1030" i="167"/>
  <c r="I1031" i="167"/>
  <c r="J1031" i="167"/>
  <c r="K1031" i="167"/>
  <c r="I1032" i="167"/>
  <c r="J1032" i="167"/>
  <c r="K1032" i="167"/>
  <c r="I1033" i="167"/>
  <c r="J1033" i="167"/>
  <c r="K1033" i="167"/>
  <c r="I1034" i="167"/>
  <c r="J1034" i="167"/>
  <c r="K1034" i="167"/>
  <c r="I1035" i="167"/>
  <c r="J1035" i="167"/>
  <c r="K1035" i="167"/>
  <c r="I1036" i="167"/>
  <c r="J1036" i="167"/>
  <c r="K1036" i="167"/>
  <c r="I1037" i="167"/>
  <c r="J1037" i="167"/>
  <c r="K1037" i="167"/>
  <c r="I1038" i="167"/>
  <c r="J1038" i="167"/>
  <c r="K1038" i="167"/>
  <c r="I1039" i="167"/>
  <c r="J1039" i="167"/>
  <c r="K1039" i="167"/>
  <c r="I1040" i="167"/>
  <c r="J1040" i="167"/>
  <c r="K1040" i="167"/>
  <c r="I1041" i="167"/>
  <c r="J1041" i="167"/>
  <c r="K1041" i="167"/>
  <c r="I1042" i="167"/>
  <c r="J1042" i="167"/>
  <c r="K1042" i="167"/>
  <c r="I1043" i="167"/>
  <c r="J1043" i="167"/>
  <c r="K1043" i="167"/>
  <c r="I1044" i="167"/>
  <c r="J1044" i="167"/>
  <c r="K1044" i="167"/>
  <c r="I1045" i="167"/>
  <c r="J1045" i="167"/>
  <c r="K1045" i="167"/>
  <c r="I1046" i="167"/>
  <c r="J1046" i="167"/>
  <c r="K1046" i="167"/>
  <c r="I1047" i="167"/>
  <c r="J1047" i="167"/>
  <c r="K1047" i="167"/>
  <c r="I1048" i="167"/>
  <c r="J1048" i="167"/>
  <c r="K1048" i="167"/>
  <c r="I1049" i="167"/>
  <c r="J1049" i="167"/>
  <c r="K1049" i="167"/>
  <c r="I1050" i="167"/>
  <c r="J1050" i="167"/>
  <c r="K1050" i="167"/>
  <c r="I1051" i="167"/>
  <c r="J1051" i="167"/>
  <c r="K1051" i="167"/>
  <c r="I1052" i="167"/>
  <c r="J1052" i="167"/>
  <c r="K1052" i="167"/>
  <c r="I1053" i="167"/>
  <c r="J1053" i="167"/>
  <c r="K1053" i="167"/>
  <c r="I1054" i="167"/>
  <c r="J1054" i="167"/>
  <c r="K1054" i="167"/>
  <c r="I1055" i="167"/>
  <c r="J1055" i="167"/>
  <c r="K1055" i="167"/>
  <c r="I1056" i="167"/>
  <c r="J1056" i="167"/>
  <c r="K1056" i="167"/>
  <c r="I1057" i="167"/>
  <c r="J1057" i="167"/>
  <c r="K1057" i="167"/>
  <c r="I1058" i="167"/>
  <c r="J1058" i="167"/>
  <c r="K1058" i="167"/>
  <c r="I1059" i="167"/>
  <c r="J1059" i="167"/>
  <c r="K1059" i="167"/>
  <c r="I1060" i="167"/>
  <c r="J1060" i="167"/>
  <c r="K1060" i="167"/>
  <c r="I1061" i="167"/>
  <c r="J1061" i="167"/>
  <c r="K1061" i="167"/>
  <c r="I1062" i="167"/>
  <c r="J1062" i="167"/>
  <c r="K1062" i="167"/>
  <c r="I1063" i="167"/>
  <c r="J1063" i="167"/>
  <c r="K1063" i="167"/>
  <c r="I1064" i="167"/>
  <c r="J1064" i="167"/>
  <c r="K1064" i="167"/>
  <c r="I1065" i="167"/>
  <c r="J1065" i="167"/>
  <c r="K1065" i="167"/>
  <c r="I1066" i="167"/>
  <c r="J1066" i="167"/>
  <c r="K1066" i="167"/>
  <c r="I1067" i="167"/>
  <c r="J1067" i="167"/>
  <c r="K1067" i="167"/>
  <c r="I1068" i="167"/>
  <c r="J1068" i="167"/>
  <c r="K1068" i="167"/>
  <c r="I1069" i="167"/>
  <c r="J1069" i="167"/>
  <c r="K1069" i="167"/>
  <c r="I1070" i="167"/>
  <c r="J1070" i="167"/>
  <c r="K1070" i="167"/>
  <c r="I1071" i="167"/>
  <c r="J1071" i="167"/>
  <c r="K1071" i="167"/>
  <c r="I1072" i="167"/>
  <c r="J1072" i="167"/>
  <c r="K1072" i="167"/>
  <c r="I1073" i="167"/>
  <c r="J1073" i="167"/>
  <c r="K1073" i="167"/>
  <c r="I1074" i="167"/>
  <c r="J1074" i="167"/>
  <c r="K1074" i="167"/>
  <c r="I1075" i="167"/>
  <c r="J1075" i="167"/>
  <c r="K1075" i="167"/>
  <c r="G1076" i="167"/>
  <c r="J1076" i="167" s="1"/>
  <c r="I1076" i="167"/>
  <c r="K1076" i="167"/>
  <c r="G1077" i="167"/>
  <c r="I1077" i="167"/>
  <c r="K1077" i="167"/>
  <c r="G1078" i="167"/>
  <c r="I1078" i="167"/>
  <c r="K1078" i="167"/>
  <c r="G1079" i="167"/>
  <c r="I1079" i="167"/>
  <c r="K1079" i="167"/>
  <c r="G1080" i="167"/>
  <c r="H1079" i="170" s="1"/>
  <c r="I1079" i="170" s="1"/>
  <c r="I1080" i="167"/>
  <c r="J1080" i="167"/>
  <c r="K1080" i="167"/>
  <c r="G1081" i="167"/>
  <c r="I1081" i="167"/>
  <c r="K1081" i="167"/>
  <c r="G1082" i="167"/>
  <c r="I1082" i="167"/>
  <c r="K1082" i="167"/>
  <c r="G1083" i="167"/>
  <c r="I1083" i="167"/>
  <c r="K1083" i="167"/>
  <c r="G1084" i="167"/>
  <c r="I1084" i="167"/>
  <c r="K1084" i="167"/>
  <c r="G1085" i="167"/>
  <c r="H1084" i="170" s="1"/>
  <c r="I1084" i="170" s="1"/>
  <c r="I1085" i="167"/>
  <c r="K1085" i="167"/>
  <c r="G1086" i="167"/>
  <c r="I1086" i="167"/>
  <c r="K1086" i="167"/>
  <c r="G1087" i="167"/>
  <c r="I1087" i="167"/>
  <c r="K1087" i="167"/>
  <c r="G1088" i="167"/>
  <c r="I1088" i="167"/>
  <c r="K1088" i="167"/>
  <c r="G1089" i="167"/>
  <c r="I1089" i="167"/>
  <c r="K1089" i="167"/>
  <c r="G1090" i="167"/>
  <c r="H1089" i="170" s="1"/>
  <c r="I1089" i="170" s="1"/>
  <c r="I1090" i="167"/>
  <c r="K1090" i="167"/>
  <c r="G1091" i="167"/>
  <c r="I1091" i="167"/>
  <c r="K1091" i="167"/>
  <c r="G1092" i="167"/>
  <c r="I1092" i="167"/>
  <c r="K1092" i="167"/>
  <c r="G1093" i="167"/>
  <c r="I1093" i="167"/>
  <c r="K1093" i="167"/>
  <c r="G1094" i="167"/>
  <c r="I1094" i="167"/>
  <c r="K1094" i="167"/>
  <c r="G1095" i="167"/>
  <c r="H1094" i="170" s="1"/>
  <c r="I1094" i="170" s="1"/>
  <c r="I1095" i="167"/>
  <c r="K1095" i="167"/>
  <c r="G1096" i="167"/>
  <c r="I1096" i="167"/>
  <c r="K1096" i="167"/>
  <c r="G1097" i="167"/>
  <c r="I1097" i="167"/>
  <c r="K1097" i="167"/>
  <c r="G1098" i="167"/>
  <c r="I1098" i="167"/>
  <c r="K1098" i="167"/>
  <c r="G1099" i="167"/>
  <c r="I1099" i="167"/>
  <c r="K1099" i="167"/>
  <c r="G1100" i="167"/>
  <c r="H1099" i="170" s="1"/>
  <c r="I1099" i="170" s="1"/>
  <c r="I1100" i="167"/>
  <c r="K1100" i="167"/>
  <c r="G1101" i="167"/>
  <c r="I1101" i="167"/>
  <c r="K1101" i="167"/>
  <c r="G1102" i="167"/>
  <c r="I1102" i="167"/>
  <c r="K1102" i="167"/>
  <c r="G1103" i="167"/>
  <c r="I1103" i="167"/>
  <c r="K1103" i="167"/>
  <c r="G1104" i="167"/>
  <c r="I1104" i="167"/>
  <c r="K1104" i="167"/>
  <c r="G1105" i="167"/>
  <c r="H1104" i="170" s="1"/>
  <c r="I1104" i="170" s="1"/>
  <c r="I1105" i="167"/>
  <c r="J1105" i="167"/>
  <c r="K1105" i="167"/>
  <c r="G1106" i="167"/>
  <c r="I1106" i="167"/>
  <c r="K1106" i="167"/>
  <c r="G1107" i="167"/>
  <c r="I1107" i="167"/>
  <c r="K1107" i="167"/>
  <c r="G1108" i="167"/>
  <c r="I1108" i="167"/>
  <c r="K1108" i="167"/>
  <c r="G1109" i="167"/>
  <c r="I1109" i="167"/>
  <c r="K1109" i="167"/>
  <c r="G1110" i="167"/>
  <c r="H1109" i="170" s="1"/>
  <c r="I1109" i="170" s="1"/>
  <c r="I1110" i="167"/>
  <c r="K1110" i="167"/>
  <c r="G1111" i="167"/>
  <c r="I1111" i="167"/>
  <c r="K1111" i="167"/>
  <c r="G1112" i="167"/>
  <c r="I1112" i="167"/>
  <c r="K1112" i="167"/>
  <c r="G1113" i="167"/>
  <c r="I1113" i="167"/>
  <c r="K1113" i="167"/>
  <c r="G1114" i="167"/>
  <c r="I1114" i="167"/>
  <c r="K1114" i="167"/>
  <c r="G1115" i="167"/>
  <c r="H1114" i="170" s="1"/>
  <c r="I1114" i="170" s="1"/>
  <c r="I1115" i="167"/>
  <c r="K1115" i="167"/>
  <c r="G1116" i="167"/>
  <c r="I1116" i="167"/>
  <c r="K1116" i="167"/>
  <c r="G1117" i="167"/>
  <c r="I1117" i="167"/>
  <c r="K1117" i="167"/>
  <c r="G1118" i="167"/>
  <c r="I1118" i="167"/>
  <c r="K1118" i="167"/>
  <c r="G1119" i="167"/>
  <c r="I1119" i="167"/>
  <c r="K1119" i="167"/>
  <c r="G1120" i="167"/>
  <c r="H1119" i="170" s="1"/>
  <c r="I1119" i="170" s="1"/>
  <c r="I1120" i="167"/>
  <c r="K1120" i="167"/>
  <c r="G1121" i="167"/>
  <c r="I1121" i="167"/>
  <c r="K1121" i="167"/>
  <c r="G1122" i="167"/>
  <c r="I1122" i="167"/>
  <c r="K1122" i="167"/>
  <c r="G1123" i="167"/>
  <c r="I1123" i="167"/>
  <c r="K1123" i="167"/>
  <c r="G1124" i="167"/>
  <c r="I1124" i="167"/>
  <c r="K1124" i="167"/>
  <c r="G1125" i="167"/>
  <c r="H1124" i="170" s="1"/>
  <c r="I1124" i="170" s="1"/>
  <c r="I1125" i="167"/>
  <c r="K1125" i="167"/>
  <c r="G1126" i="167"/>
  <c r="I1126" i="167"/>
  <c r="K1126" i="167"/>
  <c r="G1127" i="167"/>
  <c r="I1127" i="167"/>
  <c r="K1127" i="167"/>
  <c r="G1128" i="167"/>
  <c r="I1128" i="167"/>
  <c r="K1128" i="167"/>
  <c r="G1129" i="167"/>
  <c r="I1129" i="167"/>
  <c r="K1129" i="167"/>
  <c r="G1130" i="167"/>
  <c r="H1129" i="170" s="1"/>
  <c r="I1129" i="170" s="1"/>
  <c r="I1130" i="167"/>
  <c r="J1130" i="167"/>
  <c r="K1130" i="167"/>
  <c r="G1131" i="167"/>
  <c r="I1131" i="167"/>
  <c r="K1131" i="167"/>
  <c r="G1132" i="167"/>
  <c r="I1132" i="167"/>
  <c r="K1132" i="167"/>
  <c r="G1133" i="167"/>
  <c r="I1133" i="167"/>
  <c r="K1133" i="167"/>
  <c r="G1134" i="167"/>
  <c r="I1134" i="167"/>
  <c r="K1134" i="167"/>
  <c r="G1135" i="167"/>
  <c r="H1134" i="170" s="1"/>
  <c r="I1134" i="170" s="1"/>
  <c r="I1135" i="167"/>
  <c r="K1135" i="167"/>
  <c r="G1136" i="167"/>
  <c r="I1136" i="167"/>
  <c r="K1136" i="167"/>
  <c r="G1137" i="167"/>
  <c r="I1137" i="167"/>
  <c r="K1137" i="167"/>
  <c r="G1138" i="167"/>
  <c r="I1138" i="167"/>
  <c r="K1138" i="167"/>
  <c r="G1139" i="167"/>
  <c r="I1139" i="167"/>
  <c r="K1139" i="167"/>
  <c r="G1140" i="167"/>
  <c r="H1139" i="170" s="1"/>
  <c r="I1139" i="170" s="1"/>
  <c r="I1140" i="167"/>
  <c r="K1140" i="167"/>
  <c r="G1141" i="167"/>
  <c r="I1141" i="167"/>
  <c r="K1141" i="167"/>
  <c r="G1142" i="167"/>
  <c r="I1142" i="167"/>
  <c r="K1142" i="167"/>
  <c r="G1143" i="167"/>
  <c r="I1143" i="167"/>
  <c r="K1143" i="167"/>
  <c r="G1144" i="167"/>
  <c r="H1143" i="170" s="1"/>
  <c r="I1144" i="167"/>
  <c r="K1144" i="167"/>
  <c r="G1145" i="167"/>
  <c r="H1144" i="170" s="1"/>
  <c r="I1144" i="170" s="1"/>
  <c r="I1145" i="167"/>
  <c r="J1145" i="167"/>
  <c r="K1145" i="167"/>
  <c r="G1146" i="167"/>
  <c r="I1146" i="167"/>
  <c r="K1146" i="167"/>
  <c r="G1147" i="167"/>
  <c r="I1147" i="167"/>
  <c r="K1147" i="167"/>
  <c r="G1148" i="167"/>
  <c r="I1148" i="167"/>
  <c r="K1148" i="167"/>
  <c r="G1149" i="167"/>
  <c r="H1148" i="170" s="1"/>
  <c r="I1148" i="170" s="1"/>
  <c r="I1149" i="167"/>
  <c r="K1149" i="167"/>
  <c r="G1150" i="167"/>
  <c r="H1149" i="170" s="1"/>
  <c r="I1149" i="170" s="1"/>
  <c r="I1150" i="167"/>
  <c r="J1150" i="167"/>
  <c r="K1150" i="167"/>
  <c r="G1151" i="167"/>
  <c r="I1151" i="167"/>
  <c r="K1151" i="167"/>
  <c r="G1152" i="167"/>
  <c r="I1152" i="167"/>
  <c r="K1152" i="167"/>
  <c r="G1153" i="167"/>
  <c r="I1153" i="167"/>
  <c r="K1153" i="167"/>
  <c r="G1154" i="167"/>
  <c r="H1153" i="170" s="1"/>
  <c r="I1154" i="167"/>
  <c r="J1154" i="167"/>
  <c r="K1154" i="167"/>
  <c r="G1155" i="167"/>
  <c r="H1154" i="170" s="1"/>
  <c r="I1154" i="170" s="1"/>
  <c r="I1155" i="167"/>
  <c r="K1155" i="167"/>
  <c r="G1156" i="167"/>
  <c r="I1156" i="167"/>
  <c r="K1156" i="167"/>
  <c r="G1157" i="167"/>
  <c r="I1157" i="167"/>
  <c r="K1157" i="167"/>
  <c r="G1158" i="167"/>
  <c r="I1158" i="167"/>
  <c r="K1158" i="167"/>
  <c r="G1159" i="167"/>
  <c r="H1158" i="170" s="1"/>
  <c r="I1158" i="170" s="1"/>
  <c r="I1159" i="167"/>
  <c r="K1159" i="167"/>
  <c r="G1160" i="167"/>
  <c r="H1159" i="170" s="1"/>
  <c r="I1159" i="170" s="1"/>
  <c r="I1160" i="167"/>
  <c r="J1160" i="167"/>
  <c r="K1160" i="167"/>
  <c r="G1161" i="167"/>
  <c r="I1161" i="167"/>
  <c r="K1161" i="167"/>
  <c r="G1162" i="167"/>
  <c r="I1162" i="167"/>
  <c r="K1162" i="167"/>
  <c r="G1163" i="167"/>
  <c r="I1163" i="167"/>
  <c r="K1163" i="167"/>
  <c r="G1164" i="167"/>
  <c r="H1163" i="170" s="1"/>
  <c r="I1164" i="167"/>
  <c r="K1164" i="167"/>
  <c r="G1165" i="167"/>
  <c r="H1164" i="170" s="1"/>
  <c r="I1164" i="170" s="1"/>
  <c r="I1165" i="167"/>
  <c r="K1165" i="167"/>
  <c r="G1166" i="167"/>
  <c r="I1166" i="167"/>
  <c r="K1166" i="167"/>
  <c r="G1167" i="167"/>
  <c r="I1167" i="167"/>
  <c r="K1167" i="167"/>
  <c r="G1168" i="167"/>
  <c r="I1168" i="167"/>
  <c r="K1168" i="167"/>
  <c r="G1169" i="167"/>
  <c r="H1168" i="170" s="1"/>
  <c r="I1168" i="170" s="1"/>
  <c r="I1169" i="167"/>
  <c r="J1169" i="167"/>
  <c r="K1169" i="167"/>
  <c r="G1170" i="167"/>
  <c r="H1169" i="170" s="1"/>
  <c r="I1169" i="170" s="1"/>
  <c r="I1170" i="167"/>
  <c r="J1170" i="167"/>
  <c r="K1170" i="167"/>
  <c r="G1171" i="167"/>
  <c r="I1171" i="167"/>
  <c r="K1171" i="167"/>
  <c r="G1172" i="167"/>
  <c r="I1172" i="167"/>
  <c r="K1172" i="167"/>
  <c r="G1173" i="167"/>
  <c r="I1173" i="167"/>
  <c r="K1173" i="167"/>
  <c r="G1174" i="167"/>
  <c r="H1173" i="170" s="1"/>
  <c r="I1174" i="167"/>
  <c r="J1174" i="167"/>
  <c r="K1174" i="167"/>
  <c r="G1175" i="167"/>
  <c r="H1174" i="170" s="1"/>
  <c r="I1174" i="170" s="1"/>
  <c r="I1175" i="167"/>
  <c r="K1175" i="167"/>
  <c r="G1176" i="167"/>
  <c r="I1176" i="167"/>
  <c r="K1176" i="167"/>
  <c r="G1177" i="167"/>
  <c r="I1177" i="167"/>
  <c r="K1177" i="167"/>
  <c r="G1178" i="167"/>
  <c r="I1178" i="167"/>
  <c r="K1178" i="167"/>
  <c r="G1179" i="167"/>
  <c r="H1178" i="170" s="1"/>
  <c r="I1178" i="170" s="1"/>
  <c r="I1179" i="167"/>
  <c r="K1179" i="167"/>
  <c r="G1180" i="167"/>
  <c r="H1179" i="170" s="1"/>
  <c r="I1179" i="170" s="1"/>
  <c r="I1180" i="167"/>
  <c r="K1180" i="167"/>
  <c r="G1181" i="167"/>
  <c r="I1181" i="167"/>
  <c r="K1181" i="167"/>
  <c r="G1182" i="167"/>
  <c r="I1182" i="167"/>
  <c r="K1182" i="167"/>
  <c r="G1183" i="167"/>
  <c r="I1183" i="167"/>
  <c r="K1183" i="167"/>
  <c r="G1184" i="167"/>
  <c r="H1183" i="170" s="1"/>
  <c r="I1184" i="167"/>
  <c r="J1184" i="167"/>
  <c r="K1184" i="167"/>
  <c r="G1185" i="167"/>
  <c r="H1184" i="170" s="1"/>
  <c r="I1184" i="170" s="1"/>
  <c r="I1185" i="167"/>
  <c r="K1185" i="167"/>
  <c r="G1186" i="167"/>
  <c r="I1186" i="167"/>
  <c r="K1186" i="167"/>
  <c r="G1187" i="167"/>
  <c r="I1187" i="167"/>
  <c r="K1187" i="167"/>
  <c r="G1188" i="167"/>
  <c r="I1188" i="167"/>
  <c r="K1188" i="167"/>
  <c r="G1189" i="167"/>
  <c r="H1188" i="170" s="1"/>
  <c r="I1189" i="167"/>
  <c r="J1189" i="167"/>
  <c r="K1189" i="167"/>
  <c r="G1190" i="167"/>
  <c r="H1189" i="170" s="1"/>
  <c r="I1190" i="167"/>
  <c r="K1190" i="167"/>
  <c r="G1191" i="167"/>
  <c r="H1190" i="170" s="1"/>
  <c r="I1191" i="167"/>
  <c r="J1191" i="167"/>
  <c r="K1191" i="167"/>
  <c r="J1089" i="169" l="1"/>
  <c r="B1090" i="169"/>
  <c r="H1076" i="170"/>
  <c r="J1077" i="167"/>
  <c r="H1092" i="170"/>
  <c r="I1092" i="170" s="1"/>
  <c r="J1093" i="167"/>
  <c r="I1159" i="168"/>
  <c r="I1097" i="168"/>
  <c r="H1088" i="170"/>
  <c r="I1088" i="170" s="1"/>
  <c r="J1089" i="167"/>
  <c r="H1086" i="170"/>
  <c r="J1087" i="167"/>
  <c r="H1075" i="170"/>
  <c r="H1177" i="170"/>
  <c r="J1178" i="167"/>
  <c r="H1171" i="170"/>
  <c r="I1171" i="170" s="1"/>
  <c r="J1172" i="167"/>
  <c r="H1165" i="170"/>
  <c r="I1165" i="170" s="1"/>
  <c r="J1166" i="167"/>
  <c r="H1123" i="170"/>
  <c r="J1124" i="167"/>
  <c r="H1098" i="170"/>
  <c r="I1098" i="170" s="1"/>
  <c r="J1099" i="167"/>
  <c r="I1169" i="168"/>
  <c r="H1111" i="170"/>
  <c r="I1111" i="170" s="1"/>
  <c r="J1112" i="167"/>
  <c r="H1142" i="170"/>
  <c r="J1143" i="167"/>
  <c r="H1117" i="170"/>
  <c r="I1117" i="170" s="1"/>
  <c r="J1118" i="167"/>
  <c r="H1085" i="170"/>
  <c r="I1085" i="170" s="1"/>
  <c r="J1086" i="167"/>
  <c r="H1136" i="170"/>
  <c r="J1137" i="167"/>
  <c r="J1165" i="167"/>
  <c r="H1147" i="170"/>
  <c r="I1147" i="170" s="1"/>
  <c r="J1148" i="167"/>
  <c r="H1116" i="170"/>
  <c r="J1117" i="167"/>
  <c r="H1091" i="170"/>
  <c r="I1091" i="170" s="1"/>
  <c r="J1092" i="167"/>
  <c r="H1110" i="170"/>
  <c r="I1110" i="170" s="1"/>
  <c r="J1111" i="167"/>
  <c r="H1141" i="170"/>
  <c r="I1141" i="170" s="1"/>
  <c r="J1142" i="167"/>
  <c r="H1182" i="170"/>
  <c r="I1182" i="170" s="1"/>
  <c r="J1183" i="167"/>
  <c r="H1176" i="170"/>
  <c r="I1176" i="170" s="1"/>
  <c r="J1177" i="167"/>
  <c r="H1170" i="170"/>
  <c r="I1170" i="170" s="1"/>
  <c r="J1171" i="167"/>
  <c r="J1159" i="167"/>
  <c r="J1135" i="167"/>
  <c r="H1122" i="170"/>
  <c r="J1123" i="167"/>
  <c r="J1110" i="167"/>
  <c r="H1097" i="170"/>
  <c r="J1098" i="167"/>
  <c r="J1085" i="167"/>
  <c r="H1125" i="170"/>
  <c r="I1125" i="170" s="1"/>
  <c r="J1126" i="167"/>
  <c r="H1135" i="170"/>
  <c r="I1135" i="170" s="1"/>
  <c r="J1136" i="167"/>
  <c r="H1128" i="170"/>
  <c r="I1128" i="170" s="1"/>
  <c r="J1129" i="167"/>
  <c r="H1103" i="170"/>
  <c r="I1103" i="170" s="1"/>
  <c r="J1104" i="167"/>
  <c r="H1078" i="170"/>
  <c r="I1078" i="170" s="1"/>
  <c r="J1079" i="167"/>
  <c r="H1101" i="170"/>
  <c r="I1101" i="170" s="1"/>
  <c r="J1102" i="167"/>
  <c r="H1152" i="170"/>
  <c r="J1153" i="167"/>
  <c r="H1113" i="170"/>
  <c r="J1114" i="167"/>
  <c r="H1140" i="170"/>
  <c r="I1140" i="170" s="1"/>
  <c r="J1141" i="167"/>
  <c r="H1175" i="170"/>
  <c r="I1175" i="170" s="1"/>
  <c r="J1176" i="167"/>
  <c r="J1164" i="167"/>
  <c r="I1053" i="168"/>
  <c r="H1146" i="170"/>
  <c r="J1147" i="167"/>
  <c r="H1115" i="170"/>
  <c r="I1115" i="170" s="1"/>
  <c r="J1116" i="167"/>
  <c r="H1090" i="170"/>
  <c r="I1090" i="170" s="1"/>
  <c r="J1091" i="167"/>
  <c r="H1187" i="170"/>
  <c r="J1188" i="167"/>
  <c r="H1181" i="170"/>
  <c r="I1181" i="170" s="1"/>
  <c r="J1182" i="167"/>
  <c r="H1121" i="170"/>
  <c r="J1122" i="167"/>
  <c r="H1096" i="170"/>
  <c r="J1097" i="167"/>
  <c r="J1140" i="167"/>
  <c r="H1127" i="170"/>
  <c r="I1127" i="170" s="1"/>
  <c r="J1128" i="167"/>
  <c r="J1115" i="167"/>
  <c r="H1102" i="170"/>
  <c r="J1103" i="167"/>
  <c r="J1090" i="167"/>
  <c r="H1077" i="170"/>
  <c r="J1078" i="167"/>
  <c r="J1175" i="167"/>
  <c r="H1157" i="170"/>
  <c r="I1157" i="170" s="1"/>
  <c r="J1158" i="167"/>
  <c r="H1151" i="170"/>
  <c r="I1151" i="170" s="1"/>
  <c r="J1152" i="167"/>
  <c r="H1145" i="170"/>
  <c r="I1145" i="170" s="1"/>
  <c r="J1146" i="167"/>
  <c r="H1133" i="170"/>
  <c r="J1134" i="167"/>
  <c r="H1108" i="170"/>
  <c r="I1108" i="170" s="1"/>
  <c r="J1109" i="167"/>
  <c r="H1083" i="170"/>
  <c r="J1084" i="167"/>
  <c r="H1186" i="170"/>
  <c r="J1187" i="167"/>
  <c r="H1180" i="170"/>
  <c r="I1180" i="170" s="1"/>
  <c r="J1181" i="167"/>
  <c r="H1120" i="170"/>
  <c r="I1120" i="170" s="1"/>
  <c r="J1121" i="167"/>
  <c r="H1095" i="170"/>
  <c r="I1095" i="170" s="1"/>
  <c r="J1096" i="167"/>
  <c r="I1131" i="168"/>
  <c r="J1180" i="167"/>
  <c r="H1162" i="170"/>
  <c r="I1162" i="170" s="1"/>
  <c r="J1163" i="167"/>
  <c r="H1156" i="170"/>
  <c r="I1156" i="170" s="1"/>
  <c r="J1157" i="167"/>
  <c r="H1150" i="170"/>
  <c r="I1150" i="170" s="1"/>
  <c r="J1151" i="167"/>
  <c r="H1132" i="170"/>
  <c r="J1133" i="167"/>
  <c r="J1120" i="167"/>
  <c r="H1107" i="170"/>
  <c r="I1107" i="170" s="1"/>
  <c r="J1108" i="167"/>
  <c r="J1095" i="167"/>
  <c r="H1082" i="170"/>
  <c r="I1082" i="170" s="1"/>
  <c r="J1083" i="167"/>
  <c r="H1138" i="170"/>
  <c r="I1138" i="170" s="1"/>
  <c r="J1139" i="167"/>
  <c r="I1141" i="168"/>
  <c r="H1185" i="170"/>
  <c r="I1185" i="170" s="1"/>
  <c r="J1186" i="167"/>
  <c r="I854" i="169"/>
  <c r="J1144" i="167"/>
  <c r="H1081" i="170"/>
  <c r="I1081" i="170" s="1"/>
  <c r="J1082" i="167"/>
  <c r="J1185" i="167"/>
  <c r="H1167" i="170"/>
  <c r="J1168" i="167"/>
  <c r="H1161" i="170"/>
  <c r="I1161" i="170" s="1"/>
  <c r="J1162" i="167"/>
  <c r="H1155" i="170"/>
  <c r="I1155" i="170" s="1"/>
  <c r="J1156" i="167"/>
  <c r="H1131" i="170"/>
  <c r="I1131" i="170" s="1"/>
  <c r="J1132" i="167"/>
  <c r="H1106" i="170"/>
  <c r="J1107" i="167"/>
  <c r="I1151" i="168"/>
  <c r="J1179" i="167"/>
  <c r="H1137" i="170"/>
  <c r="J1138" i="167"/>
  <c r="J1125" i="167"/>
  <c r="H1112" i="170"/>
  <c r="I1112" i="170" s="1"/>
  <c r="J1113" i="167"/>
  <c r="J1100" i="167"/>
  <c r="H1087" i="170"/>
  <c r="I1087" i="170" s="1"/>
  <c r="J1088" i="167"/>
  <c r="I1161" i="168"/>
  <c r="H1126" i="170"/>
  <c r="J1127" i="167"/>
  <c r="H1100" i="170"/>
  <c r="I1100" i="170" s="1"/>
  <c r="J1101" i="167"/>
  <c r="J1155" i="167"/>
  <c r="H1118" i="170"/>
  <c r="I1118" i="170" s="1"/>
  <c r="J1119" i="167"/>
  <c r="H1093" i="170"/>
  <c r="J1094" i="167"/>
  <c r="J1190" i="167"/>
  <c r="H1172" i="170"/>
  <c r="J1173" i="167"/>
  <c r="H1166" i="170"/>
  <c r="I1166" i="170" s="1"/>
  <c r="J1167" i="167"/>
  <c r="H1160" i="170"/>
  <c r="I1160" i="170" s="1"/>
  <c r="J1161" i="167"/>
  <c r="J1149" i="167"/>
  <c r="H1130" i="170"/>
  <c r="I1130" i="170" s="1"/>
  <c r="J1131" i="167"/>
  <c r="H1105" i="170"/>
  <c r="I1105" i="170" s="1"/>
  <c r="J1106" i="167"/>
  <c r="H1080" i="170"/>
  <c r="I1080" i="170" s="1"/>
  <c r="J1081" i="167"/>
  <c r="I1181" i="168"/>
  <c r="J1075" i="168"/>
  <c r="B1076" i="168"/>
  <c r="I1066" i="168"/>
  <c r="I829" i="169"/>
  <c r="I728" i="169"/>
  <c r="I1143" i="170"/>
  <c r="I1075" i="170"/>
  <c r="I1073" i="168"/>
  <c r="I1078" i="169"/>
  <c r="I1062" i="169"/>
  <c r="I914" i="169"/>
  <c r="I713" i="169"/>
  <c r="I1142" i="170"/>
  <c r="I1123" i="170"/>
  <c r="I1156" i="169"/>
  <c r="I930" i="169"/>
  <c r="I760" i="169"/>
  <c r="I1127" i="168"/>
  <c r="I1096" i="168"/>
  <c r="I1077" i="168"/>
  <c r="I1170" i="169"/>
  <c r="I1127" i="169"/>
  <c r="I1102" i="170"/>
  <c r="I1083" i="170"/>
  <c r="I773" i="169"/>
  <c r="I529" i="169"/>
  <c r="I420" i="169"/>
  <c r="I1102" i="169"/>
  <c r="I994" i="169"/>
  <c r="I55" i="169"/>
  <c r="I1107" i="169"/>
  <c r="I1010" i="169"/>
  <c r="I120" i="169"/>
  <c r="I1116" i="169"/>
  <c r="I1101" i="169"/>
  <c r="I850" i="169"/>
  <c r="I1153" i="170"/>
  <c r="I1106" i="168"/>
  <c r="I1087" i="168"/>
  <c r="I1164" i="169"/>
  <c r="I798" i="169"/>
  <c r="I560" i="169"/>
  <c r="I1183" i="169"/>
  <c r="I1140" i="169"/>
  <c r="I1096" i="169"/>
  <c r="I593" i="169"/>
  <c r="I484" i="169"/>
  <c r="I818" i="169"/>
  <c r="I708" i="169"/>
  <c r="I1163" i="169"/>
  <c r="I1074" i="169"/>
  <c r="I1058" i="169"/>
  <c r="I824" i="169"/>
  <c r="I1002" i="169"/>
  <c r="I1183" i="170"/>
  <c r="I1163" i="170"/>
  <c r="I500" i="169"/>
  <c r="I1122" i="170"/>
  <c r="I1162" i="169"/>
  <c r="I766" i="169"/>
  <c r="I204" i="169"/>
  <c r="I145" i="169"/>
  <c r="I95" i="169"/>
  <c r="I811" i="169"/>
  <c r="I712" i="169"/>
  <c r="I651" i="169"/>
  <c r="I524" i="169"/>
  <c r="I102" i="169"/>
  <c r="I635" i="169"/>
  <c r="I195" i="169"/>
  <c r="I1172" i="169"/>
  <c r="I1092" i="169"/>
  <c r="I642" i="169"/>
  <c r="I380" i="169"/>
  <c r="I364" i="169"/>
  <c r="I202" i="169"/>
  <c r="I799" i="169"/>
  <c r="I305" i="169"/>
  <c r="I1173" i="170"/>
  <c r="I792" i="169"/>
  <c r="I717" i="169"/>
  <c r="I448" i="169"/>
  <c r="I1142" i="169"/>
  <c r="I797" i="169"/>
  <c r="I662" i="169"/>
  <c r="I562" i="169"/>
  <c r="I402" i="169"/>
  <c r="I335" i="169"/>
  <c r="I148" i="169"/>
  <c r="I1167" i="170"/>
  <c r="I670" i="169"/>
  <c r="I220" i="169"/>
  <c r="I62" i="169"/>
  <c r="I160" i="169"/>
  <c r="I135" i="169"/>
  <c r="I1121" i="170"/>
  <c r="I606" i="169"/>
  <c r="I565" i="169"/>
  <c r="I523" i="169"/>
  <c r="I442" i="169"/>
  <c r="I268" i="169"/>
  <c r="I242" i="169"/>
  <c r="I548" i="169"/>
  <c r="I482" i="169"/>
  <c r="I284" i="169"/>
  <c r="I200" i="169"/>
  <c r="I142" i="169"/>
  <c r="I686" i="169"/>
  <c r="I619" i="169"/>
  <c r="I605" i="169"/>
  <c r="I598" i="169"/>
  <c r="I654" i="169"/>
  <c r="I563" i="169"/>
  <c r="I1136" i="170"/>
  <c r="I1116" i="170"/>
  <c r="I1096" i="170"/>
  <c r="J1077" i="170"/>
  <c r="B1078" i="170"/>
  <c r="I610" i="169"/>
  <c r="I589" i="169"/>
  <c r="I582" i="169"/>
  <c r="I463" i="169"/>
  <c r="I405" i="169"/>
  <c r="I264" i="169"/>
  <c r="I80" i="169"/>
  <c r="I64" i="169"/>
  <c r="I574" i="169"/>
  <c r="I483" i="169"/>
  <c r="I403" i="169"/>
  <c r="I322" i="169"/>
  <c r="I184" i="169"/>
  <c r="I1146" i="170"/>
  <c r="I1133" i="170"/>
  <c r="I1126" i="170"/>
  <c r="I1113" i="170"/>
  <c r="I1106" i="170"/>
  <c r="I1093" i="170"/>
  <c r="I1086" i="170"/>
  <c r="I690" i="169"/>
  <c r="I674" i="169"/>
  <c r="I658" i="169"/>
  <c r="I622" i="169"/>
  <c r="I597" i="169"/>
  <c r="I182" i="169"/>
  <c r="I1172" i="170"/>
  <c r="I1152" i="170"/>
  <c r="I1132" i="170"/>
  <c r="I646" i="169"/>
  <c r="I621" i="169"/>
  <c r="I566" i="169"/>
  <c r="I465" i="169"/>
  <c r="I360" i="169"/>
  <c r="I125" i="169"/>
  <c r="I85" i="169"/>
  <c r="I45" i="169"/>
  <c r="I440" i="169"/>
  <c r="I1077" i="170"/>
  <c r="I626" i="169"/>
  <c r="I601" i="169"/>
  <c r="I502" i="169"/>
  <c r="I423" i="169"/>
  <c r="I382" i="169"/>
  <c r="I342" i="169"/>
  <c r="I1177" i="170"/>
  <c r="I1137" i="170"/>
  <c r="I1097" i="170"/>
  <c r="I1076" i="170"/>
  <c r="J1076" i="168" l="1"/>
  <c r="B1077" i="168"/>
  <c r="J1078" i="170"/>
  <c r="B1079" i="170"/>
  <c r="J1090" i="169"/>
  <c r="B1091" i="169"/>
  <c r="J1079" i="170" l="1"/>
  <c r="B1080" i="170"/>
  <c r="J1091" i="169"/>
  <c r="B1092" i="169"/>
  <c r="B1078" i="168"/>
  <c r="J1077" i="168"/>
  <c r="J1078" i="168" l="1"/>
  <c r="B1079" i="168"/>
  <c r="B1093" i="169"/>
  <c r="J1092" i="169"/>
  <c r="J1080" i="170"/>
  <c r="B1081" i="170"/>
  <c r="J1093" i="169" l="1"/>
  <c r="B1094" i="169"/>
  <c r="J1081" i="170"/>
  <c r="B1082" i="170"/>
  <c r="B1080" i="168"/>
  <c r="J1079" i="168"/>
  <c r="B1081" i="168" l="1"/>
  <c r="J1080" i="168"/>
  <c r="J1094" i="169"/>
  <c r="B1095" i="169"/>
  <c r="J1082" i="170"/>
  <c r="B1083" i="170"/>
  <c r="J1083" i="170" l="1"/>
  <c r="B1084" i="170"/>
  <c r="B1096" i="169"/>
  <c r="J1095" i="169"/>
  <c r="B1082" i="168"/>
  <c r="J1081" i="168"/>
  <c r="J1082" i="168" l="1"/>
  <c r="B1083" i="168"/>
  <c r="J1096" i="169"/>
  <c r="B1097" i="169"/>
  <c r="B1085" i="170"/>
  <c r="J1084" i="170"/>
  <c r="J1097" i="169" l="1"/>
  <c r="B1098" i="169"/>
  <c r="B1086" i="170"/>
  <c r="J1085" i="170"/>
  <c r="J1083" i="168"/>
  <c r="B1084" i="168"/>
  <c r="J1084" i="168" l="1"/>
  <c r="B1085" i="168"/>
  <c r="J1098" i="169"/>
  <c r="B1099" i="169"/>
  <c r="B1087" i="170"/>
  <c r="J1086" i="170"/>
  <c r="J1087" i="170" l="1"/>
  <c r="B1088" i="170"/>
  <c r="J1099" i="169"/>
  <c r="B1100" i="169"/>
  <c r="B1086" i="168"/>
  <c r="J1085" i="168"/>
  <c r="J1086" i="168" l="1"/>
  <c r="B1087" i="168"/>
  <c r="J1100" i="169"/>
  <c r="B1101" i="169"/>
  <c r="J1088" i="170"/>
  <c r="B1089" i="170"/>
  <c r="J1089" i="170" l="1"/>
  <c r="B1090" i="170"/>
  <c r="J1101" i="169"/>
  <c r="B1102" i="169"/>
  <c r="B1088" i="168"/>
  <c r="J1087" i="168"/>
  <c r="J1088" i="168" l="1"/>
  <c r="B1089" i="168"/>
  <c r="B1103" i="169"/>
  <c r="J1102" i="169"/>
  <c r="J1090" i="170"/>
  <c r="B1091" i="170"/>
  <c r="J1091" i="170" l="1"/>
  <c r="B1092" i="170"/>
  <c r="B1104" i="169"/>
  <c r="J1103" i="169"/>
  <c r="B1090" i="168"/>
  <c r="J1089" i="168"/>
  <c r="B1091" i="168" l="1"/>
  <c r="J1090" i="168"/>
  <c r="J1104" i="169"/>
  <c r="B1105" i="169"/>
  <c r="J1092" i="170"/>
  <c r="B1093" i="170"/>
  <c r="B1106" i="169" l="1"/>
  <c r="J1105" i="169"/>
  <c r="J1093" i="170"/>
  <c r="B1094" i="170"/>
  <c r="J1091" i="168"/>
  <c r="B1092" i="168"/>
  <c r="J1092" i="168" l="1"/>
  <c r="B1093" i="168"/>
  <c r="B1095" i="170"/>
  <c r="J1094" i="170"/>
  <c r="J1106" i="169"/>
  <c r="B1107" i="169"/>
  <c r="J1107" i="169" l="1"/>
  <c r="B1108" i="169"/>
  <c r="B1096" i="170"/>
  <c r="J1095" i="170"/>
  <c r="J1093" i="168"/>
  <c r="B1094" i="168"/>
  <c r="J1094" i="168" l="1"/>
  <c r="B1095" i="168"/>
  <c r="B1097" i="170"/>
  <c r="J1096" i="170"/>
  <c r="J1108" i="169"/>
  <c r="B1109" i="169"/>
  <c r="J1109" i="169" l="1"/>
  <c r="B1110" i="169"/>
  <c r="J1097" i="170"/>
  <c r="B1098" i="170"/>
  <c r="J1095" i="168"/>
  <c r="B1096" i="168"/>
  <c r="J1096" i="168" l="1"/>
  <c r="B1097" i="168"/>
  <c r="J1098" i="170"/>
  <c r="B1099" i="170"/>
  <c r="J1110" i="169"/>
  <c r="B1111" i="169"/>
  <c r="J1099" i="170" l="1"/>
  <c r="B1100" i="170"/>
  <c r="J1111" i="169"/>
  <c r="B1112" i="169"/>
  <c r="B1098" i="168"/>
  <c r="J1097" i="168"/>
  <c r="B1113" i="169" l="1"/>
  <c r="J1112" i="169"/>
  <c r="J1100" i="170"/>
  <c r="B1101" i="170"/>
  <c r="J1098" i="168"/>
  <c r="B1099" i="168"/>
  <c r="B1100" i="168" l="1"/>
  <c r="J1099" i="168"/>
  <c r="J1101" i="170"/>
  <c r="B1102" i="170"/>
  <c r="B1114" i="169"/>
  <c r="J1113" i="169"/>
  <c r="J1102" i="170" l="1"/>
  <c r="B1103" i="170"/>
  <c r="B1115" i="169"/>
  <c r="J1114" i="169"/>
  <c r="B1101" i="168"/>
  <c r="J1100" i="168"/>
  <c r="B1116" i="169" l="1"/>
  <c r="J1115" i="169"/>
  <c r="J1101" i="168"/>
  <c r="B1102" i="168"/>
  <c r="J1103" i="170"/>
  <c r="B1104" i="170"/>
  <c r="B1105" i="170" l="1"/>
  <c r="J1104" i="170"/>
  <c r="J1102" i="168"/>
  <c r="B1103" i="168"/>
  <c r="J1116" i="169"/>
  <c r="B1117" i="169"/>
  <c r="J1103" i="168" l="1"/>
  <c r="B1104" i="168"/>
  <c r="J1117" i="169"/>
  <c r="B1118" i="169"/>
  <c r="B1106" i="170"/>
  <c r="J1105" i="170"/>
  <c r="J1118" i="169" l="1"/>
  <c r="B1119" i="169"/>
  <c r="B1107" i="170"/>
  <c r="J1106" i="170"/>
  <c r="J1104" i="168"/>
  <c r="B1105" i="168"/>
  <c r="J1107" i="170" l="1"/>
  <c r="B1108" i="170"/>
  <c r="J1105" i="168"/>
  <c r="B1106" i="168"/>
  <c r="J1119" i="169"/>
  <c r="B1120" i="169"/>
  <c r="J1106" i="168" l="1"/>
  <c r="B1107" i="168"/>
  <c r="J1120" i="169"/>
  <c r="B1121" i="169"/>
  <c r="J1108" i="170"/>
  <c r="B1109" i="170"/>
  <c r="J1121" i="169" l="1"/>
  <c r="B1122" i="169"/>
  <c r="J1109" i="170"/>
  <c r="B1110" i="170"/>
  <c r="B1108" i="168"/>
  <c r="J1107" i="168"/>
  <c r="J1110" i="170" l="1"/>
  <c r="B1111" i="170"/>
  <c r="J1108" i="168"/>
  <c r="B1109" i="168"/>
  <c r="J1122" i="169"/>
  <c r="B1123" i="169"/>
  <c r="B1110" i="168" l="1"/>
  <c r="J1109" i="168"/>
  <c r="B1124" i="169"/>
  <c r="J1123" i="169"/>
  <c r="J1111" i="170"/>
  <c r="B1112" i="170"/>
  <c r="B1125" i="169" l="1"/>
  <c r="J1124" i="169"/>
  <c r="J1112" i="170"/>
  <c r="B1113" i="170"/>
  <c r="B1111" i="168"/>
  <c r="J1110" i="168"/>
  <c r="J1111" i="168" l="1"/>
  <c r="B1112" i="168"/>
  <c r="J1113" i="170"/>
  <c r="B1114" i="170"/>
  <c r="B1126" i="169"/>
  <c r="J1125" i="169"/>
  <c r="J1126" i="169" l="1"/>
  <c r="B1127" i="169"/>
  <c r="J1112" i="168"/>
  <c r="B1113" i="168"/>
  <c r="B1115" i="170"/>
  <c r="J1114" i="170"/>
  <c r="B1116" i="170" l="1"/>
  <c r="J1115" i="170"/>
  <c r="B1114" i="168"/>
  <c r="J1113" i="168"/>
  <c r="J1127" i="169"/>
  <c r="B1128" i="169"/>
  <c r="J1128" i="169" l="1"/>
  <c r="B1129" i="169"/>
  <c r="J1114" i="168"/>
  <c r="B1115" i="168"/>
  <c r="B1117" i="170"/>
  <c r="J1116" i="170"/>
  <c r="J1117" i="170" l="1"/>
  <c r="B1118" i="170"/>
  <c r="B1116" i="168"/>
  <c r="J1115" i="168"/>
  <c r="J1129" i="169"/>
  <c r="B1130" i="169"/>
  <c r="J1116" i="168" l="1"/>
  <c r="B1117" i="168"/>
  <c r="J1130" i="169"/>
  <c r="B1131" i="169"/>
  <c r="J1118" i="170"/>
  <c r="B1119" i="170"/>
  <c r="B1118" i="168" l="1"/>
  <c r="J1117" i="168"/>
  <c r="J1119" i="170"/>
  <c r="B1120" i="170"/>
  <c r="J1131" i="169"/>
  <c r="B1132" i="169"/>
  <c r="J1132" i="169" l="1"/>
  <c r="B1133" i="169"/>
  <c r="J1120" i="170"/>
  <c r="B1121" i="170"/>
  <c r="J1118" i="168"/>
  <c r="B1119" i="168"/>
  <c r="J1121" i="170" l="1"/>
  <c r="B1122" i="170"/>
  <c r="B1120" i="168"/>
  <c r="J1119" i="168"/>
  <c r="J1133" i="169"/>
  <c r="B1134" i="169"/>
  <c r="B1121" i="168" l="1"/>
  <c r="J1120" i="168"/>
  <c r="B1135" i="169"/>
  <c r="J1134" i="169"/>
  <c r="J1122" i="170"/>
  <c r="B1123" i="170"/>
  <c r="J1123" i="170" l="1"/>
  <c r="B1124" i="170"/>
  <c r="B1136" i="169"/>
  <c r="J1135" i="169"/>
  <c r="B1122" i="168"/>
  <c r="J1121" i="168"/>
  <c r="J1122" i="168" l="1"/>
  <c r="B1123" i="168"/>
  <c r="J1136" i="169"/>
  <c r="B1137" i="169"/>
  <c r="B1125" i="170"/>
  <c r="J1124" i="170"/>
  <c r="J1137" i="169" l="1"/>
  <c r="B1138" i="169"/>
  <c r="B1126" i="170"/>
  <c r="J1125" i="170"/>
  <c r="B1124" i="168"/>
  <c r="J1123" i="168"/>
  <c r="B1127" i="170" l="1"/>
  <c r="J1126" i="170"/>
  <c r="J1124" i="168"/>
  <c r="B1125" i="168"/>
  <c r="J1138" i="169"/>
  <c r="B1139" i="169"/>
  <c r="J1139" i="169" l="1"/>
  <c r="B1140" i="169"/>
  <c r="J1125" i="168"/>
  <c r="B1126" i="168"/>
  <c r="J1127" i="170"/>
  <c r="B1128" i="170"/>
  <c r="J1128" i="170" l="1"/>
  <c r="B1129" i="170"/>
  <c r="J1126" i="168"/>
  <c r="B1127" i="168"/>
  <c r="J1140" i="169"/>
  <c r="B1141" i="169"/>
  <c r="J1141" i="169" l="1"/>
  <c r="B1142" i="169"/>
  <c r="J1129" i="170"/>
  <c r="B1130" i="170"/>
  <c r="B1128" i="168"/>
  <c r="J1127" i="168"/>
  <c r="J1128" i="168" l="1"/>
  <c r="B1129" i="168"/>
  <c r="J1130" i="170"/>
  <c r="B1131" i="170"/>
  <c r="J1142" i="169"/>
  <c r="B1143" i="169"/>
  <c r="J1143" i="169" l="1"/>
  <c r="B1144" i="169"/>
  <c r="J1131" i="170"/>
  <c r="B1132" i="170"/>
  <c r="B1130" i="168"/>
  <c r="J1129" i="168"/>
  <c r="J1130" i="168" l="1"/>
  <c r="B1131" i="168"/>
  <c r="J1132" i="170"/>
  <c r="B1133" i="170"/>
  <c r="J1144" i="169"/>
  <c r="B1145" i="169"/>
  <c r="B1146" i="169" l="1"/>
  <c r="J1145" i="169"/>
  <c r="J1131" i="168"/>
  <c r="B1132" i="168"/>
  <c r="J1133" i="170"/>
  <c r="B1134" i="170"/>
  <c r="B1135" i="170" l="1"/>
  <c r="J1134" i="170"/>
  <c r="B1133" i="168"/>
  <c r="J1132" i="168"/>
  <c r="B1147" i="169"/>
  <c r="J1146" i="169"/>
  <c r="B1148" i="169" l="1"/>
  <c r="J1147" i="169"/>
  <c r="J1133" i="168"/>
  <c r="B1134" i="168"/>
  <c r="B1136" i="170"/>
  <c r="J1135" i="170"/>
  <c r="B1137" i="170" l="1"/>
  <c r="J1136" i="170"/>
  <c r="B1135" i="168"/>
  <c r="J1134" i="168"/>
  <c r="J1148" i="169"/>
  <c r="B1149" i="169"/>
  <c r="J1149" i="169" l="1"/>
  <c r="B1150" i="169"/>
  <c r="J1135" i="168"/>
  <c r="B1136" i="168"/>
  <c r="J1137" i="170"/>
  <c r="B1138" i="170"/>
  <c r="J1138" i="170" l="1"/>
  <c r="B1139" i="170"/>
  <c r="J1136" i="168"/>
  <c r="B1137" i="168"/>
  <c r="J1150" i="169"/>
  <c r="B1151" i="169"/>
  <c r="J1151" i="169" l="1"/>
  <c r="B1152" i="169"/>
  <c r="J1139" i="170"/>
  <c r="B1140" i="170"/>
  <c r="J1137" i="168"/>
  <c r="B1138" i="168"/>
  <c r="J1138" i="168" l="1"/>
  <c r="B1139" i="168"/>
  <c r="B1153" i="169"/>
  <c r="J1152" i="169"/>
  <c r="J1140" i="170"/>
  <c r="B1141" i="170"/>
  <c r="J1139" i="168" l="1"/>
  <c r="B1140" i="168"/>
  <c r="J1141" i="170"/>
  <c r="B1142" i="170"/>
  <c r="B1154" i="169"/>
  <c r="J1153" i="169"/>
  <c r="B1155" i="169" l="1"/>
  <c r="J1154" i="169"/>
  <c r="J1142" i="170"/>
  <c r="B1143" i="170"/>
  <c r="J1140" i="168"/>
  <c r="B1141" i="168"/>
  <c r="J1141" i="168" l="1"/>
  <c r="B1142" i="168"/>
  <c r="J1143" i="170"/>
  <c r="B1144" i="170"/>
  <c r="B1156" i="169"/>
  <c r="J1155" i="169"/>
  <c r="J1156" i="169" l="1"/>
  <c r="B1157" i="169"/>
  <c r="B1143" i="168"/>
  <c r="J1142" i="168"/>
  <c r="B1145" i="170"/>
  <c r="J1144" i="170"/>
  <c r="J1143" i="168" l="1"/>
  <c r="B1144" i="168"/>
  <c r="B1146" i="170"/>
  <c r="J1145" i="170"/>
  <c r="J1157" i="169"/>
  <c r="B1158" i="169"/>
  <c r="J1158" i="169" l="1"/>
  <c r="B1159" i="169"/>
  <c r="B1147" i="170"/>
  <c r="J1146" i="170"/>
  <c r="B1145" i="168"/>
  <c r="J1144" i="168"/>
  <c r="J1147" i="170" l="1"/>
  <c r="B1148" i="170"/>
  <c r="J1145" i="168"/>
  <c r="B1146" i="168"/>
  <c r="B1160" i="169"/>
  <c r="J1159" i="169"/>
  <c r="B1161" i="169" l="1"/>
  <c r="J1160" i="169"/>
  <c r="J1146" i="168"/>
  <c r="B1147" i="168"/>
  <c r="J1148" i="170"/>
  <c r="B1149" i="170"/>
  <c r="J1149" i="170" l="1"/>
  <c r="B1150" i="170"/>
  <c r="J1147" i="168"/>
  <c r="B1148" i="168"/>
  <c r="J1161" i="169"/>
  <c r="B1162" i="169"/>
  <c r="J1148" i="168" l="1"/>
  <c r="B1149" i="168"/>
  <c r="B1163" i="169"/>
  <c r="J1162" i="169"/>
  <c r="J1150" i="170"/>
  <c r="B1151" i="170"/>
  <c r="J1163" i="169" l="1"/>
  <c r="B1164" i="169"/>
  <c r="J1151" i="170"/>
  <c r="B1152" i="170"/>
  <c r="J1149" i="168"/>
  <c r="B1150" i="168"/>
  <c r="J1152" i="170" l="1"/>
  <c r="B1153" i="170"/>
  <c r="J1150" i="168"/>
  <c r="B1151" i="168"/>
  <c r="J1164" i="169"/>
  <c r="B1165" i="169"/>
  <c r="B1166" i="169" l="1"/>
  <c r="J1165" i="169"/>
  <c r="J1151" i="168"/>
  <c r="B1152" i="168"/>
  <c r="J1153" i="170"/>
  <c r="B1154" i="170"/>
  <c r="B1155" i="170" l="1"/>
  <c r="J1154" i="170"/>
  <c r="B1153" i="168"/>
  <c r="J1152" i="168"/>
  <c r="J1166" i="169"/>
  <c r="B1167" i="169"/>
  <c r="J1167" i="169" l="1"/>
  <c r="B1168" i="169"/>
  <c r="J1153" i="168"/>
  <c r="B1154" i="168"/>
  <c r="B1156" i="170"/>
  <c r="J1155" i="170"/>
  <c r="B1157" i="170" l="1"/>
  <c r="J1156" i="170"/>
  <c r="J1168" i="169"/>
  <c r="B1169" i="169"/>
  <c r="B1155" i="168"/>
  <c r="J1154" i="168"/>
  <c r="J1155" i="168" l="1"/>
  <c r="B1156" i="168"/>
  <c r="J1169" i="169"/>
  <c r="B1170" i="169"/>
  <c r="J1157" i="170"/>
  <c r="B1158" i="170"/>
  <c r="J1170" i="169" l="1"/>
  <c r="B1171" i="169"/>
  <c r="J1158" i="170"/>
  <c r="B1159" i="170"/>
  <c r="J1156" i="168"/>
  <c r="B1157" i="168"/>
  <c r="J1157" i="168" l="1"/>
  <c r="B1158" i="168"/>
  <c r="J1159" i="170"/>
  <c r="B1160" i="170"/>
  <c r="J1171" i="169"/>
  <c r="B1172" i="169"/>
  <c r="J1160" i="170" l="1"/>
  <c r="B1161" i="170"/>
  <c r="B1173" i="169"/>
  <c r="J1172" i="169"/>
  <c r="J1158" i="168"/>
  <c r="B1159" i="168"/>
  <c r="J1159" i="168" l="1"/>
  <c r="B1160" i="168"/>
  <c r="J1173" i="169"/>
  <c r="B1174" i="169"/>
  <c r="J1161" i="170"/>
  <c r="B1162" i="170"/>
  <c r="J1174" i="169" l="1"/>
  <c r="B1175" i="169"/>
  <c r="J1162" i="170"/>
  <c r="B1163" i="170"/>
  <c r="J1160" i="168"/>
  <c r="B1161" i="168"/>
  <c r="J1163" i="170" l="1"/>
  <c r="B1164" i="170"/>
  <c r="J1161" i="168"/>
  <c r="B1162" i="168"/>
  <c r="B1176" i="169"/>
  <c r="J1175" i="169"/>
  <c r="B1163" i="168" l="1"/>
  <c r="J1162" i="168"/>
  <c r="J1176" i="169"/>
  <c r="B1177" i="169"/>
  <c r="B1165" i="170"/>
  <c r="J1164" i="170"/>
  <c r="B1166" i="170" l="1"/>
  <c r="J1165" i="170"/>
  <c r="B1178" i="169"/>
  <c r="J1177" i="169"/>
  <c r="J1163" i="168"/>
  <c r="B1164" i="168"/>
  <c r="B1165" i="168" l="1"/>
  <c r="J1164" i="168"/>
  <c r="B1179" i="169"/>
  <c r="J1178" i="169"/>
  <c r="B1167" i="170"/>
  <c r="J1166" i="170"/>
  <c r="J1167" i="170" l="1"/>
  <c r="B1168" i="170"/>
  <c r="B1180" i="169"/>
  <c r="J1179" i="169"/>
  <c r="J1165" i="168"/>
  <c r="B1166" i="168"/>
  <c r="J1166" i="168" l="1"/>
  <c r="B1167" i="168"/>
  <c r="J1180" i="169"/>
  <c r="B1181" i="169"/>
  <c r="J1168" i="170"/>
  <c r="B1169" i="170"/>
  <c r="J1181" i="169" l="1"/>
  <c r="B1182" i="169"/>
  <c r="J1169" i="170"/>
  <c r="B1170" i="170"/>
  <c r="J1167" i="168"/>
  <c r="B1168" i="168"/>
  <c r="J1170" i="170" l="1"/>
  <c r="B1171" i="170"/>
  <c r="J1168" i="168"/>
  <c r="B1169" i="168"/>
  <c r="J1182" i="169"/>
  <c r="B1183" i="169"/>
  <c r="J1169" i="168" l="1"/>
  <c r="B1170" i="168"/>
  <c r="J1183" i="169"/>
  <c r="B1184" i="169"/>
  <c r="J1171" i="170"/>
  <c r="B1172" i="170"/>
  <c r="B1185" i="169" l="1"/>
  <c r="J1184" i="169"/>
  <c r="J1172" i="170"/>
  <c r="B1173" i="170"/>
  <c r="J1170" i="168"/>
  <c r="B1171" i="168"/>
  <c r="J1171" i="168" l="1"/>
  <c r="B1172" i="168"/>
  <c r="J1173" i="170"/>
  <c r="B1174" i="170"/>
  <c r="B1186" i="169"/>
  <c r="J1185" i="169"/>
  <c r="F1186" i="169" l="1"/>
  <c r="I1186" i="169" s="1"/>
  <c r="J1186" i="169"/>
  <c r="B1187" i="169"/>
  <c r="B1175" i="170"/>
  <c r="J1174" i="170"/>
  <c r="B1173" i="168"/>
  <c r="J1172" i="168"/>
  <c r="J1173" i="168" l="1"/>
  <c r="B1174" i="168"/>
  <c r="B1176" i="170"/>
  <c r="J1175" i="170"/>
  <c r="F1187" i="169"/>
  <c r="I1187" i="169" s="1"/>
  <c r="J1187" i="169"/>
  <c r="B1188" i="169"/>
  <c r="J1188" i="169" l="1"/>
  <c r="F1188" i="169"/>
  <c r="I1188" i="169" s="1"/>
  <c r="B1189" i="169"/>
  <c r="B1177" i="170"/>
  <c r="J1176" i="170"/>
  <c r="B1175" i="168"/>
  <c r="J1174" i="168"/>
  <c r="J1175" i="168" l="1"/>
  <c r="B1176" i="168"/>
  <c r="J1177" i="170"/>
  <c r="B1178" i="170"/>
  <c r="F1189" i="169"/>
  <c r="I1189" i="169" s="1"/>
  <c r="J1189" i="169"/>
  <c r="B1190" i="169"/>
  <c r="F1190" i="169" l="1"/>
  <c r="I1190" i="169" s="1"/>
  <c r="J1190" i="169"/>
  <c r="J1178" i="170"/>
  <c r="B1179" i="170"/>
  <c r="J1176" i="168"/>
  <c r="B1177" i="168"/>
  <c r="J1177" i="168" l="1"/>
  <c r="B1178" i="168"/>
  <c r="J1179" i="170"/>
  <c r="B1180" i="170"/>
  <c r="J1180" i="170" l="1"/>
  <c r="B1181" i="170"/>
  <c r="J1178" i="168"/>
  <c r="B1179" i="168"/>
  <c r="J1179" i="168" l="1"/>
  <c r="B1180" i="168"/>
  <c r="J1181" i="170"/>
  <c r="B1182" i="170"/>
  <c r="J1182" i="170" l="1"/>
  <c r="B1183" i="170"/>
  <c r="J1180" i="168"/>
  <c r="B1181" i="168"/>
  <c r="J1181" i="168" l="1"/>
  <c r="B1182" i="168"/>
  <c r="J1183" i="170"/>
  <c r="B1184" i="170"/>
  <c r="B1183" i="168" l="1"/>
  <c r="J1182" i="168"/>
  <c r="B1185" i="170"/>
  <c r="J1184" i="170"/>
  <c r="B1186" i="170" l="1"/>
  <c r="J1185" i="170"/>
  <c r="J1183" i="168"/>
  <c r="B1184" i="168"/>
  <c r="B1185" i="168" l="1"/>
  <c r="J1184" i="168"/>
  <c r="F1186" i="170"/>
  <c r="I1186" i="170" s="1"/>
  <c r="B1187" i="170"/>
  <c r="J1186" i="170"/>
  <c r="J1187" i="170" l="1"/>
  <c r="F1187" i="170"/>
  <c r="I1187" i="170" s="1"/>
  <c r="B1188" i="170"/>
  <c r="B1186" i="168"/>
  <c r="J1185" i="168"/>
  <c r="F1186" i="168" l="1"/>
  <c r="I1186" i="168" s="1"/>
  <c r="J1186" i="168"/>
  <c r="B1187" i="168"/>
  <c r="F1188" i="170"/>
  <c r="I1188" i="170" s="1"/>
  <c r="J1188" i="170"/>
  <c r="B1189" i="170"/>
  <c r="F1189" i="170" l="1"/>
  <c r="I1189" i="170" s="1"/>
  <c r="J1189" i="170"/>
  <c r="B1190" i="170"/>
  <c r="F1187" i="168"/>
  <c r="I1187" i="168" s="1"/>
  <c r="J1187" i="168"/>
  <c r="B1188" i="168"/>
  <c r="J1190" i="170" l="1"/>
  <c r="F1190" i="170"/>
  <c r="I1190" i="170" s="1"/>
  <c r="F1188" i="168"/>
  <c r="I1188" i="168" s="1"/>
  <c r="J1188" i="168"/>
  <c r="B1189" i="168"/>
  <c r="J1189" i="168" l="1"/>
  <c r="B1190" i="168"/>
  <c r="F1189" i="168"/>
  <c r="I1189" i="168" s="1"/>
  <c r="F1190" i="168" l="1"/>
  <c r="I1190" i="168" s="1"/>
  <c r="J1190" i="168"/>
  <c r="E196" i="143" l="1"/>
  <c r="E195" i="143"/>
  <c r="D27" i="166"/>
  <c r="E142" i="166"/>
  <c r="D130" i="166" s="1"/>
  <c r="D132" i="166" s="1"/>
  <c r="E130" i="166"/>
  <c r="G129" i="166"/>
  <c r="G128" i="166"/>
  <c r="G127" i="166"/>
  <c r="G126" i="166"/>
  <c r="G125" i="166"/>
  <c r="G124" i="166"/>
  <c r="G123" i="166"/>
  <c r="G122" i="166"/>
  <c r="G121" i="166"/>
  <c r="G120" i="166"/>
  <c r="G119" i="166"/>
  <c r="G118" i="166"/>
  <c r="G117" i="166"/>
  <c r="G116" i="166"/>
  <c r="G115" i="166"/>
  <c r="G114" i="166"/>
  <c r="G113" i="166"/>
  <c r="G112" i="166"/>
  <c r="G111" i="166"/>
  <c r="G110" i="166"/>
  <c r="G109" i="166"/>
  <c r="G108" i="166"/>
  <c r="G107" i="166"/>
  <c r="G106" i="166"/>
  <c r="G105" i="166"/>
  <c r="G104" i="166"/>
  <c r="G103" i="166"/>
  <c r="G102" i="166"/>
  <c r="G101" i="166"/>
  <c r="G100" i="166"/>
  <c r="G99" i="166"/>
  <c r="G98" i="166"/>
  <c r="G97" i="166"/>
  <c r="G96" i="166"/>
  <c r="G95" i="166"/>
  <c r="G94" i="166"/>
  <c r="G93" i="166"/>
  <c r="G92" i="166"/>
  <c r="G91" i="166"/>
  <c r="I90" i="166"/>
  <c r="G90" i="166"/>
  <c r="G89" i="166"/>
  <c r="G88" i="166"/>
  <c r="I87" i="166"/>
  <c r="D24" i="166" s="1"/>
  <c r="G87" i="166"/>
  <c r="G86" i="166"/>
  <c r="G85" i="166"/>
  <c r="I84" i="166"/>
  <c r="D21" i="166" s="1"/>
  <c r="G84" i="166"/>
  <c r="G83" i="166"/>
  <c r="G82" i="166"/>
  <c r="G81" i="166"/>
  <c r="G80" i="166"/>
  <c r="G79" i="166"/>
  <c r="G78" i="166"/>
  <c r="G77" i="166"/>
  <c r="G76" i="166"/>
  <c r="G75" i="166"/>
  <c r="G74" i="166"/>
  <c r="G73" i="166"/>
  <c r="G72" i="166"/>
  <c r="G71" i="166"/>
  <c r="G70" i="166"/>
  <c r="G69" i="166"/>
  <c r="G68" i="166"/>
  <c r="G67" i="166"/>
  <c r="G66" i="166"/>
  <c r="G65" i="166"/>
  <c r="G64" i="166"/>
  <c r="G63" i="166"/>
  <c r="G62" i="166"/>
  <c r="G61" i="166"/>
  <c r="G60" i="166"/>
  <c r="G59" i="166"/>
  <c r="G58" i="166"/>
  <c r="G57" i="166"/>
  <c r="G56" i="166"/>
  <c r="G55" i="166"/>
  <c r="G54" i="166"/>
  <c r="G53" i="166"/>
  <c r="G52" i="166"/>
  <c r="G51" i="166"/>
  <c r="G50" i="166"/>
  <c r="G49" i="166"/>
  <c r="G48" i="166"/>
  <c r="G47" i="166"/>
  <c r="G46" i="166"/>
  <c r="G45" i="166"/>
  <c r="G44" i="166"/>
  <c r="G43" i="166"/>
  <c r="G42" i="166"/>
  <c r="G41" i="166"/>
  <c r="G40" i="166"/>
  <c r="G39" i="166"/>
  <c r="G38" i="166"/>
  <c r="G37" i="166"/>
  <c r="G36" i="166"/>
  <c r="G35" i="166"/>
  <c r="G34" i="166"/>
  <c r="G33" i="166"/>
  <c r="G32" i="166"/>
  <c r="F27" i="166" l="1"/>
  <c r="K90" i="166"/>
  <c r="E27" i="166" s="1"/>
  <c r="K84" i="166"/>
  <c r="E21" i="166" s="1"/>
  <c r="K87" i="166"/>
  <c r="E24" i="166" s="1"/>
  <c r="L87" i="166"/>
  <c r="J34" i="166" a="1"/>
  <c r="J64" i="166" s="1"/>
  <c r="L90" i="166"/>
  <c r="L84" i="166"/>
  <c r="E132" i="166"/>
  <c r="E131" i="166"/>
  <c r="G130" i="166"/>
  <c r="G132" i="166" s="1"/>
  <c r="G131" i="166"/>
  <c r="D131" i="166"/>
  <c r="J41" i="166" l="1"/>
  <c r="J49" i="166"/>
  <c r="J48" i="166"/>
  <c r="J53" i="166"/>
  <c r="J65" i="166"/>
  <c r="J50" i="166"/>
  <c r="J55" i="166"/>
  <c r="J38" i="166"/>
  <c r="J58" i="166"/>
  <c r="J62" i="166"/>
  <c r="J36" i="166"/>
  <c r="J76" i="166"/>
  <c r="J74" i="166"/>
  <c r="J77" i="166"/>
  <c r="J73" i="166"/>
  <c r="J39" i="166"/>
  <c r="J42" i="166"/>
  <c r="J56" i="166"/>
  <c r="J79" i="166"/>
  <c r="J51" i="166"/>
  <c r="J54" i="166"/>
  <c r="J34" i="166"/>
  <c r="J57" i="166"/>
  <c r="J63" i="166"/>
  <c r="J66" i="166"/>
  <c r="J35" i="166"/>
  <c r="J75" i="166"/>
  <c r="J78" i="166"/>
  <c r="J71" i="166"/>
  <c r="J40" i="166"/>
  <c r="J52" i="166"/>
  <c r="J70" i="166"/>
  <c r="J72" i="166"/>
  <c r="J46" i="166"/>
  <c r="J45" i="166"/>
  <c r="J44" i="166"/>
  <c r="J68" i="166"/>
  <c r="J60" i="166"/>
  <c r="J59" i="166"/>
  <c r="J47" i="166"/>
  <c r="J43" i="166"/>
  <c r="J37" i="166"/>
  <c r="J69" i="166"/>
  <c r="J67" i="166"/>
  <c r="J61" i="166"/>
  <c r="J81" i="166" l="1"/>
  <c r="K78" i="166" s="1"/>
  <c r="K46" i="166" l="1"/>
  <c r="K70" i="166"/>
  <c r="K50" i="166"/>
  <c r="K75" i="166"/>
  <c r="K53" i="166"/>
  <c r="K38" i="166"/>
  <c r="K39" i="166"/>
  <c r="K61" i="166"/>
  <c r="K43" i="166"/>
  <c r="K44" i="166"/>
  <c r="K54" i="166"/>
  <c r="K48" i="166"/>
  <c r="K59" i="166"/>
  <c r="K52" i="166"/>
  <c r="K71" i="166"/>
  <c r="K56" i="166"/>
  <c r="K35" i="166"/>
  <c r="K60" i="166"/>
  <c r="K58" i="166"/>
  <c r="K64" i="166"/>
  <c r="K63" i="166"/>
  <c r="K68" i="166"/>
  <c r="K34" i="166"/>
  <c r="K65" i="166"/>
  <c r="K73" i="166"/>
  <c r="K57" i="166"/>
  <c r="K69" i="166"/>
  <c r="K51" i="166"/>
  <c r="K55" i="166"/>
  <c r="K77" i="166"/>
  <c r="K62" i="166"/>
  <c r="K79" i="166"/>
  <c r="K37" i="166"/>
  <c r="K74" i="166"/>
  <c r="K76" i="166"/>
  <c r="K41" i="166"/>
  <c r="K42" i="166"/>
  <c r="K36" i="166"/>
  <c r="K45" i="166"/>
  <c r="K47" i="166"/>
  <c r="K40" i="166"/>
  <c r="K49" i="166"/>
  <c r="K67" i="166"/>
  <c r="K66" i="166"/>
  <c r="K72" i="166"/>
  <c r="C22" i="64" l="1"/>
  <c r="B39" i="25"/>
  <c r="C32" i="35"/>
  <c r="C63" i="65"/>
  <c r="D70" i="132"/>
  <c r="D69" i="132"/>
  <c r="D70" i="67"/>
  <c r="D69" i="67"/>
  <c r="C30" i="66"/>
  <c r="C29" i="66"/>
  <c r="C28" i="66"/>
  <c r="C27" i="66"/>
  <c r="C26" i="66"/>
  <c r="C21" i="33"/>
  <c r="C19" i="33"/>
  <c r="C31" i="32"/>
  <c r="C29" i="32"/>
  <c r="C27" i="32"/>
  <c r="C33" i="27" a="1"/>
  <c r="C33" i="27" s="1"/>
  <c r="C32" i="27"/>
  <c r="F28" i="24"/>
  <c r="C29" i="35"/>
  <c r="C28" i="35"/>
  <c r="C27" i="35"/>
  <c r="C26" i="35"/>
  <c r="AA1274" i="165" l="1"/>
  <c r="Y1274" i="165"/>
  <c r="U1274" i="165"/>
  <c r="S1274" i="165"/>
  <c r="O1274" i="165"/>
  <c r="M1274" i="165"/>
  <c r="K1274" i="165"/>
  <c r="I1274" i="165"/>
  <c r="G1274" i="165"/>
  <c r="E1274" i="165"/>
  <c r="C1274" i="165"/>
  <c r="X1272" i="165"/>
  <c r="V1272" i="165"/>
  <c r="AG22" i="165" s="1"/>
  <c r="T1272" i="165"/>
  <c r="J1272" i="165"/>
  <c r="H1272" i="165"/>
  <c r="F1272" i="165"/>
  <c r="Z1271" i="165"/>
  <c r="X1271" i="165"/>
  <c r="V1271" i="165"/>
  <c r="T1271" i="165"/>
  <c r="R1271" i="165"/>
  <c r="N1271" i="165"/>
  <c r="L1271" i="165"/>
  <c r="J1271" i="165"/>
  <c r="H1271" i="165"/>
  <c r="F1271" i="165"/>
  <c r="D1271" i="165"/>
  <c r="D1272" i="165" s="1"/>
  <c r="B1271" i="165"/>
  <c r="B1272" i="165" s="1"/>
  <c r="Z1270" i="165"/>
  <c r="X1270" i="165"/>
  <c r="V1270" i="165"/>
  <c r="T1270" i="165"/>
  <c r="R1270" i="165"/>
  <c r="N1270" i="165"/>
  <c r="L1270" i="165"/>
  <c r="J1270" i="165"/>
  <c r="H1270" i="165"/>
  <c r="F1270" i="165"/>
  <c r="D1270" i="165"/>
  <c r="B1270" i="165"/>
  <c r="Z1269" i="165"/>
  <c r="X1269" i="165"/>
  <c r="T1269" i="165"/>
  <c r="R1269" i="165"/>
  <c r="N1269" i="165"/>
  <c r="L1269" i="165"/>
  <c r="J1269" i="165"/>
  <c r="H1269" i="165"/>
  <c r="F1269" i="165"/>
  <c r="D1269" i="165"/>
  <c r="B1269" i="165"/>
  <c r="AA1266" i="165"/>
  <c r="Y1266" i="165"/>
  <c r="W1266" i="165"/>
  <c r="U1266" i="165"/>
  <c r="S1266" i="165"/>
  <c r="O1266" i="165"/>
  <c r="M1266" i="165"/>
  <c r="P1266" i="165" s="1"/>
  <c r="K1266" i="165"/>
  <c r="I1266" i="165"/>
  <c r="G1266" i="165"/>
  <c r="E1266" i="165"/>
  <c r="C1266" i="165"/>
  <c r="AA1265" i="165"/>
  <c r="Y1265" i="165"/>
  <c r="W1265" i="165"/>
  <c r="U1265" i="165"/>
  <c r="S1265" i="165"/>
  <c r="O1265" i="165"/>
  <c r="M1265" i="165"/>
  <c r="K1265" i="165"/>
  <c r="I1265" i="165"/>
  <c r="G1265" i="165"/>
  <c r="E1265" i="165"/>
  <c r="C1265" i="165"/>
  <c r="P1265" i="165" s="1"/>
  <c r="AA1264" i="165"/>
  <c r="Y1264" i="165"/>
  <c r="W1264" i="165"/>
  <c r="U1264" i="165"/>
  <c r="S1264" i="165"/>
  <c r="O1264" i="165"/>
  <c r="M1264" i="165"/>
  <c r="K1264" i="165"/>
  <c r="I1264" i="165"/>
  <c r="G1264" i="165"/>
  <c r="E1264" i="165"/>
  <c r="P1264" i="165" s="1"/>
  <c r="C1264" i="165"/>
  <c r="AA1263" i="165"/>
  <c r="Y1263" i="165"/>
  <c r="W1263" i="165"/>
  <c r="U1263" i="165"/>
  <c r="S1263" i="165"/>
  <c r="O1263" i="165"/>
  <c r="M1263" i="165"/>
  <c r="K1263" i="165"/>
  <c r="I1263" i="165"/>
  <c r="G1263" i="165"/>
  <c r="E1263" i="165"/>
  <c r="C1263" i="165"/>
  <c r="AA1262" i="165"/>
  <c r="Y1262" i="165"/>
  <c r="W1262" i="165"/>
  <c r="U1262" i="165"/>
  <c r="S1262" i="165"/>
  <c r="O1262" i="165"/>
  <c r="M1262" i="165"/>
  <c r="K1262" i="165"/>
  <c r="I1262" i="165"/>
  <c r="G1262" i="165"/>
  <c r="E1262" i="165"/>
  <c r="C1262" i="165"/>
  <c r="AA1261" i="165"/>
  <c r="Y1261" i="165"/>
  <c r="W1261" i="165"/>
  <c r="U1261" i="165"/>
  <c r="S1261" i="165"/>
  <c r="O1261" i="165"/>
  <c r="M1261" i="165"/>
  <c r="K1261" i="165"/>
  <c r="I1261" i="165"/>
  <c r="G1261" i="165"/>
  <c r="P1261" i="165" s="1"/>
  <c r="E1261" i="165"/>
  <c r="C1261" i="165"/>
  <c r="AA1260" i="165"/>
  <c r="Y1260" i="165"/>
  <c r="W1260" i="165"/>
  <c r="U1260" i="165"/>
  <c r="S1260" i="165"/>
  <c r="O1260" i="165"/>
  <c r="M1260" i="165"/>
  <c r="K1260" i="165"/>
  <c r="I1260" i="165"/>
  <c r="G1260" i="165"/>
  <c r="E1260" i="165"/>
  <c r="C1260" i="165"/>
  <c r="AA1259" i="165"/>
  <c r="Y1259" i="165"/>
  <c r="W1259" i="165"/>
  <c r="U1259" i="165"/>
  <c r="S1259" i="165"/>
  <c r="O1259" i="165"/>
  <c r="M1259" i="165"/>
  <c r="K1259" i="165"/>
  <c r="I1259" i="165"/>
  <c r="G1259" i="165"/>
  <c r="E1259" i="165"/>
  <c r="C1259" i="165"/>
  <c r="AA1258" i="165"/>
  <c r="Y1258" i="165"/>
  <c r="W1258" i="165"/>
  <c r="U1258" i="165"/>
  <c r="S1258" i="165"/>
  <c r="O1258" i="165"/>
  <c r="M1258" i="165"/>
  <c r="K1258" i="165"/>
  <c r="I1258" i="165"/>
  <c r="P1258" i="165" s="1"/>
  <c r="G1258" i="165"/>
  <c r="E1258" i="165"/>
  <c r="C1258" i="165"/>
  <c r="AA1257" i="165"/>
  <c r="Y1257" i="165"/>
  <c r="W1257" i="165"/>
  <c r="U1257" i="165"/>
  <c r="S1257" i="165"/>
  <c r="O1257" i="165"/>
  <c r="M1257" i="165"/>
  <c r="K1257" i="165"/>
  <c r="I1257" i="165"/>
  <c r="G1257" i="165"/>
  <c r="E1257" i="165"/>
  <c r="C1257" i="165"/>
  <c r="AA1256" i="165"/>
  <c r="Y1256" i="165"/>
  <c r="W1256" i="165"/>
  <c r="U1256" i="165"/>
  <c r="S1256" i="165"/>
  <c r="O1256" i="165"/>
  <c r="M1256" i="165"/>
  <c r="K1256" i="165"/>
  <c r="I1256" i="165"/>
  <c r="G1256" i="165"/>
  <c r="E1256" i="165"/>
  <c r="P1256" i="165" s="1"/>
  <c r="C1256" i="165"/>
  <c r="AA1255" i="165"/>
  <c r="Y1255" i="165"/>
  <c r="W1255" i="165"/>
  <c r="U1255" i="165"/>
  <c r="S1255" i="165"/>
  <c r="O1255" i="165"/>
  <c r="M1255" i="165"/>
  <c r="K1255" i="165"/>
  <c r="I1255" i="165"/>
  <c r="G1255" i="165"/>
  <c r="P1255" i="165" s="1"/>
  <c r="E1255" i="165"/>
  <c r="C1255" i="165"/>
  <c r="AA1254" i="165"/>
  <c r="Y1254" i="165"/>
  <c r="W1254" i="165"/>
  <c r="U1254" i="165"/>
  <c r="S1254" i="165"/>
  <c r="O1254" i="165"/>
  <c r="M1254" i="165"/>
  <c r="K1254" i="165"/>
  <c r="I1254" i="165"/>
  <c r="P1254" i="165" s="1"/>
  <c r="G1254" i="165"/>
  <c r="E1254" i="165"/>
  <c r="C1254" i="165"/>
  <c r="AA1253" i="165"/>
  <c r="Y1253" i="165"/>
  <c r="W1253" i="165"/>
  <c r="U1253" i="165"/>
  <c r="S1253" i="165"/>
  <c r="O1253" i="165"/>
  <c r="M1253" i="165"/>
  <c r="K1253" i="165"/>
  <c r="I1253" i="165"/>
  <c r="G1253" i="165"/>
  <c r="E1253" i="165"/>
  <c r="C1253" i="165"/>
  <c r="AA1252" i="165"/>
  <c r="Y1252" i="165"/>
  <c r="W1252" i="165"/>
  <c r="U1252" i="165"/>
  <c r="S1252" i="165"/>
  <c r="O1252" i="165"/>
  <c r="M1252" i="165"/>
  <c r="K1252" i="165"/>
  <c r="I1252" i="165"/>
  <c r="G1252" i="165"/>
  <c r="E1252" i="165"/>
  <c r="C1252" i="165"/>
  <c r="AA1251" i="165"/>
  <c r="Y1251" i="165"/>
  <c r="W1251" i="165"/>
  <c r="U1251" i="165"/>
  <c r="S1251" i="165"/>
  <c r="O1251" i="165"/>
  <c r="M1251" i="165"/>
  <c r="K1251" i="165"/>
  <c r="I1251" i="165"/>
  <c r="G1251" i="165"/>
  <c r="E1251" i="165"/>
  <c r="C1251" i="165"/>
  <c r="AA1250" i="165"/>
  <c r="Y1250" i="165"/>
  <c r="W1250" i="165"/>
  <c r="U1250" i="165"/>
  <c r="S1250" i="165"/>
  <c r="P1250" i="165"/>
  <c r="O1250" i="165"/>
  <c r="M1250" i="165"/>
  <c r="K1250" i="165"/>
  <c r="I1250" i="165"/>
  <c r="G1250" i="165"/>
  <c r="E1250" i="165"/>
  <c r="C1250" i="165"/>
  <c r="AA1249" i="165"/>
  <c r="Y1249" i="165"/>
  <c r="W1249" i="165"/>
  <c r="U1249" i="165"/>
  <c r="S1249" i="165"/>
  <c r="O1249" i="165"/>
  <c r="M1249" i="165"/>
  <c r="K1249" i="165"/>
  <c r="I1249" i="165"/>
  <c r="G1249" i="165"/>
  <c r="E1249" i="165"/>
  <c r="C1249" i="165"/>
  <c r="AA1248" i="165"/>
  <c r="Y1248" i="165"/>
  <c r="W1248" i="165"/>
  <c r="U1248" i="165"/>
  <c r="S1248" i="165"/>
  <c r="O1248" i="165"/>
  <c r="M1248" i="165"/>
  <c r="K1248" i="165"/>
  <c r="I1248" i="165"/>
  <c r="G1248" i="165"/>
  <c r="E1248" i="165"/>
  <c r="C1248" i="165"/>
  <c r="AA1247" i="165"/>
  <c r="Y1247" i="165"/>
  <c r="W1247" i="165"/>
  <c r="U1247" i="165"/>
  <c r="S1247" i="165"/>
  <c r="O1247" i="165"/>
  <c r="M1247" i="165"/>
  <c r="K1247" i="165"/>
  <c r="I1247" i="165"/>
  <c r="G1247" i="165"/>
  <c r="E1247" i="165"/>
  <c r="C1247" i="165"/>
  <c r="AA1246" i="165"/>
  <c r="Y1246" i="165"/>
  <c r="W1246" i="165"/>
  <c r="U1246" i="165"/>
  <c r="S1246" i="165"/>
  <c r="O1246" i="165"/>
  <c r="M1246" i="165"/>
  <c r="K1246" i="165"/>
  <c r="I1246" i="165"/>
  <c r="G1246" i="165"/>
  <c r="E1246" i="165"/>
  <c r="C1246" i="165"/>
  <c r="AA1245" i="165"/>
  <c r="Y1245" i="165"/>
  <c r="W1245" i="165"/>
  <c r="U1245" i="165"/>
  <c r="S1245" i="165"/>
  <c r="O1245" i="165"/>
  <c r="P1245" i="165" s="1"/>
  <c r="M1245" i="165"/>
  <c r="K1245" i="165"/>
  <c r="I1245" i="165"/>
  <c r="G1245" i="165"/>
  <c r="E1245" i="165"/>
  <c r="C1245" i="165"/>
  <c r="AA1244" i="165"/>
  <c r="Y1244" i="165"/>
  <c r="W1244" i="165"/>
  <c r="U1244" i="165"/>
  <c r="S1244" i="165"/>
  <c r="P1244" i="165"/>
  <c r="O1244" i="165"/>
  <c r="M1244" i="165"/>
  <c r="K1244" i="165"/>
  <c r="I1244" i="165"/>
  <c r="G1244" i="165"/>
  <c r="E1244" i="165"/>
  <c r="C1244" i="165"/>
  <c r="AA1243" i="165"/>
  <c r="Y1243" i="165"/>
  <c r="W1243" i="165"/>
  <c r="U1243" i="165"/>
  <c r="S1243" i="165"/>
  <c r="P1243" i="165"/>
  <c r="O1243" i="165"/>
  <c r="M1243" i="165"/>
  <c r="K1243" i="165"/>
  <c r="I1243" i="165"/>
  <c r="G1243" i="165"/>
  <c r="E1243" i="165"/>
  <c r="C1243" i="165"/>
  <c r="AA1242" i="165"/>
  <c r="Y1242" i="165"/>
  <c r="W1242" i="165"/>
  <c r="U1242" i="165"/>
  <c r="S1242" i="165"/>
  <c r="P1242" i="165"/>
  <c r="O1242" i="165"/>
  <c r="M1242" i="165"/>
  <c r="K1242" i="165"/>
  <c r="I1242" i="165"/>
  <c r="G1242" i="165"/>
  <c r="E1242" i="165"/>
  <c r="C1242" i="165"/>
  <c r="AA1241" i="165"/>
  <c r="Y1241" i="165"/>
  <c r="W1241" i="165"/>
  <c r="U1241" i="165"/>
  <c r="S1241" i="165"/>
  <c r="P1241" i="165"/>
  <c r="O1241" i="165"/>
  <c r="M1241" i="165"/>
  <c r="K1241" i="165"/>
  <c r="I1241" i="165"/>
  <c r="G1241" i="165"/>
  <c r="E1241" i="165"/>
  <c r="C1241" i="165"/>
  <c r="AA1240" i="165"/>
  <c r="Y1240" i="165"/>
  <c r="W1240" i="165"/>
  <c r="U1240" i="165"/>
  <c r="S1240" i="165"/>
  <c r="O1240" i="165"/>
  <c r="M1240" i="165"/>
  <c r="K1240" i="165"/>
  <c r="I1240" i="165"/>
  <c r="G1240" i="165"/>
  <c r="E1240" i="165"/>
  <c r="C1240" i="165"/>
  <c r="P1240" i="165" s="1"/>
  <c r="AA1239" i="165"/>
  <c r="Y1239" i="165"/>
  <c r="W1239" i="165"/>
  <c r="U1239" i="165"/>
  <c r="S1239" i="165"/>
  <c r="O1239" i="165"/>
  <c r="M1239" i="165"/>
  <c r="K1239" i="165"/>
  <c r="I1239" i="165"/>
  <c r="G1239" i="165"/>
  <c r="E1239" i="165"/>
  <c r="C1239" i="165"/>
  <c r="P1239" i="165" s="1"/>
  <c r="AA1238" i="165"/>
  <c r="Y1238" i="165"/>
  <c r="W1238" i="165"/>
  <c r="U1238" i="165"/>
  <c r="S1238" i="165"/>
  <c r="O1238" i="165"/>
  <c r="M1238" i="165"/>
  <c r="K1238" i="165"/>
  <c r="I1238" i="165"/>
  <c r="G1238" i="165"/>
  <c r="E1238" i="165"/>
  <c r="C1238" i="165"/>
  <c r="P1238" i="165" s="1"/>
  <c r="AA1237" i="165"/>
  <c r="Y1237" i="165"/>
  <c r="W1237" i="165"/>
  <c r="U1237" i="165"/>
  <c r="S1237" i="165"/>
  <c r="O1237" i="165"/>
  <c r="M1237" i="165"/>
  <c r="K1237" i="165"/>
  <c r="I1237" i="165"/>
  <c r="G1237" i="165"/>
  <c r="E1237" i="165"/>
  <c r="C1237" i="165"/>
  <c r="P1237" i="165" s="1"/>
  <c r="AA1236" i="165"/>
  <c r="Y1236" i="165"/>
  <c r="W1236" i="165"/>
  <c r="U1236" i="165"/>
  <c r="S1236" i="165"/>
  <c r="O1236" i="165"/>
  <c r="M1236" i="165"/>
  <c r="K1236" i="165"/>
  <c r="I1236" i="165"/>
  <c r="G1236" i="165"/>
  <c r="E1236" i="165"/>
  <c r="C1236" i="165"/>
  <c r="P1236" i="165" s="1"/>
  <c r="AA1235" i="165"/>
  <c r="Y1235" i="165"/>
  <c r="W1235" i="165"/>
  <c r="U1235" i="165"/>
  <c r="S1235" i="165"/>
  <c r="O1235" i="165"/>
  <c r="M1235" i="165"/>
  <c r="K1235" i="165"/>
  <c r="I1235" i="165"/>
  <c r="G1235" i="165"/>
  <c r="E1235" i="165"/>
  <c r="C1235" i="165"/>
  <c r="P1235" i="165" s="1"/>
  <c r="AA1234" i="165"/>
  <c r="Y1234" i="165"/>
  <c r="W1234" i="165"/>
  <c r="U1234" i="165"/>
  <c r="S1234" i="165"/>
  <c r="O1234" i="165"/>
  <c r="M1234" i="165"/>
  <c r="K1234" i="165"/>
  <c r="I1234" i="165"/>
  <c r="G1234" i="165"/>
  <c r="E1234" i="165"/>
  <c r="C1234" i="165"/>
  <c r="P1234" i="165" s="1"/>
  <c r="AA1233" i="165"/>
  <c r="Y1233" i="165"/>
  <c r="W1233" i="165"/>
  <c r="U1233" i="165"/>
  <c r="S1233" i="165"/>
  <c r="O1233" i="165"/>
  <c r="M1233" i="165"/>
  <c r="K1233" i="165"/>
  <c r="I1233" i="165"/>
  <c r="G1233" i="165"/>
  <c r="E1233" i="165"/>
  <c r="C1233" i="165"/>
  <c r="AA1232" i="165"/>
  <c r="Y1232" i="165"/>
  <c r="W1232" i="165"/>
  <c r="U1232" i="165"/>
  <c r="S1232" i="165"/>
  <c r="O1232" i="165"/>
  <c r="M1232" i="165"/>
  <c r="K1232" i="165"/>
  <c r="I1232" i="165"/>
  <c r="G1232" i="165"/>
  <c r="E1232" i="165"/>
  <c r="C1232" i="165"/>
  <c r="AA1231" i="165"/>
  <c r="Y1231" i="165"/>
  <c r="W1231" i="165"/>
  <c r="U1231" i="165"/>
  <c r="S1231" i="165"/>
  <c r="O1231" i="165"/>
  <c r="M1231" i="165"/>
  <c r="K1231" i="165"/>
  <c r="I1231" i="165"/>
  <c r="G1231" i="165"/>
  <c r="E1231" i="165"/>
  <c r="C1231" i="165"/>
  <c r="AA1230" i="165"/>
  <c r="Y1230" i="165"/>
  <c r="W1230" i="165"/>
  <c r="U1230" i="165"/>
  <c r="S1230" i="165"/>
  <c r="O1230" i="165"/>
  <c r="M1230" i="165"/>
  <c r="K1230" i="165"/>
  <c r="I1230" i="165"/>
  <c r="G1230" i="165"/>
  <c r="E1230" i="165"/>
  <c r="C1230" i="165"/>
  <c r="AA1229" i="165"/>
  <c r="Y1229" i="165"/>
  <c r="W1229" i="165"/>
  <c r="U1229" i="165"/>
  <c r="S1229" i="165"/>
  <c r="O1229" i="165"/>
  <c r="M1229" i="165"/>
  <c r="K1229" i="165"/>
  <c r="I1229" i="165"/>
  <c r="G1229" i="165"/>
  <c r="E1229" i="165"/>
  <c r="C1229" i="165"/>
  <c r="P1229" i="165" s="1"/>
  <c r="AA1228" i="165"/>
  <c r="Y1228" i="165"/>
  <c r="W1228" i="165"/>
  <c r="U1228" i="165"/>
  <c r="S1228" i="165"/>
  <c r="P1228" i="165"/>
  <c r="O1228" i="165"/>
  <c r="M1228" i="165"/>
  <c r="K1228" i="165"/>
  <c r="I1228" i="165"/>
  <c r="G1228" i="165"/>
  <c r="E1228" i="165"/>
  <c r="C1228" i="165"/>
  <c r="AA1227" i="165"/>
  <c r="Y1227" i="165"/>
  <c r="W1227" i="165"/>
  <c r="U1227" i="165"/>
  <c r="S1227" i="165"/>
  <c r="O1227" i="165"/>
  <c r="M1227" i="165"/>
  <c r="K1227" i="165"/>
  <c r="I1227" i="165"/>
  <c r="G1227" i="165"/>
  <c r="P1227" i="165" s="1"/>
  <c r="E1227" i="165"/>
  <c r="C1227" i="165"/>
  <c r="AA1226" i="165"/>
  <c r="Y1226" i="165"/>
  <c r="W1226" i="165"/>
  <c r="U1226" i="165"/>
  <c r="S1226" i="165"/>
  <c r="O1226" i="165"/>
  <c r="M1226" i="165"/>
  <c r="K1226" i="165"/>
  <c r="I1226" i="165"/>
  <c r="P1226" i="165" s="1"/>
  <c r="G1226" i="165"/>
  <c r="E1226" i="165"/>
  <c r="C1226" i="165"/>
  <c r="AA1225" i="165"/>
  <c r="Y1225" i="165"/>
  <c r="W1225" i="165"/>
  <c r="U1225" i="165"/>
  <c r="S1225" i="165"/>
  <c r="O1225" i="165"/>
  <c r="M1225" i="165"/>
  <c r="K1225" i="165"/>
  <c r="P1225" i="165" s="1"/>
  <c r="I1225" i="165"/>
  <c r="G1225" i="165"/>
  <c r="E1225" i="165"/>
  <c r="C1225" i="165"/>
  <c r="AA1224" i="165"/>
  <c r="Y1224" i="165"/>
  <c r="W1224" i="165"/>
  <c r="U1224" i="165"/>
  <c r="S1224" i="165"/>
  <c r="O1224" i="165"/>
  <c r="M1224" i="165"/>
  <c r="K1224" i="165"/>
  <c r="I1224" i="165"/>
  <c r="G1224" i="165"/>
  <c r="E1224" i="165"/>
  <c r="C1224" i="165"/>
  <c r="AA1223" i="165"/>
  <c r="Y1223" i="165"/>
  <c r="W1223" i="165"/>
  <c r="U1223" i="165"/>
  <c r="S1223" i="165"/>
  <c r="O1223" i="165"/>
  <c r="M1223" i="165"/>
  <c r="K1223" i="165"/>
  <c r="I1223" i="165"/>
  <c r="G1223" i="165"/>
  <c r="E1223" i="165"/>
  <c r="C1223" i="165"/>
  <c r="AA1222" i="165"/>
  <c r="Y1222" i="165"/>
  <c r="W1222" i="165"/>
  <c r="U1222" i="165"/>
  <c r="S1222" i="165"/>
  <c r="O1222" i="165"/>
  <c r="M1222" i="165"/>
  <c r="K1222" i="165"/>
  <c r="I1222" i="165"/>
  <c r="G1222" i="165"/>
  <c r="E1222" i="165"/>
  <c r="C1222" i="165"/>
  <c r="P1222" i="165" s="1"/>
  <c r="AA1221" i="165"/>
  <c r="Y1221" i="165"/>
  <c r="W1221" i="165"/>
  <c r="U1221" i="165"/>
  <c r="S1221" i="165"/>
  <c r="O1221" i="165"/>
  <c r="M1221" i="165"/>
  <c r="K1221" i="165"/>
  <c r="I1221" i="165"/>
  <c r="G1221" i="165"/>
  <c r="E1221" i="165"/>
  <c r="C1221" i="165"/>
  <c r="P1221" i="165" s="1"/>
  <c r="AA1220" i="165"/>
  <c r="Y1220" i="165"/>
  <c r="W1220" i="165"/>
  <c r="U1220" i="165"/>
  <c r="S1220" i="165"/>
  <c r="O1220" i="165"/>
  <c r="M1220" i="165"/>
  <c r="K1220" i="165"/>
  <c r="I1220" i="165"/>
  <c r="G1220" i="165"/>
  <c r="E1220" i="165"/>
  <c r="C1220" i="165"/>
  <c r="AA1219" i="165"/>
  <c r="Y1219" i="165"/>
  <c r="W1219" i="165"/>
  <c r="U1219" i="165"/>
  <c r="S1219" i="165"/>
  <c r="O1219" i="165"/>
  <c r="M1219" i="165"/>
  <c r="K1219" i="165"/>
  <c r="I1219" i="165"/>
  <c r="G1219" i="165"/>
  <c r="E1219" i="165"/>
  <c r="C1219" i="165"/>
  <c r="AA1218" i="165"/>
  <c r="Y1218" i="165"/>
  <c r="W1218" i="165"/>
  <c r="U1218" i="165"/>
  <c r="S1218" i="165"/>
  <c r="O1218" i="165"/>
  <c r="M1218" i="165"/>
  <c r="K1218" i="165"/>
  <c r="I1218" i="165"/>
  <c r="G1218" i="165"/>
  <c r="P1218" i="165" s="1"/>
  <c r="E1218" i="165"/>
  <c r="C1218" i="165"/>
  <c r="AA1217" i="165"/>
  <c r="Y1217" i="165"/>
  <c r="W1217" i="165"/>
  <c r="U1217" i="165"/>
  <c r="S1217" i="165"/>
  <c r="O1217" i="165"/>
  <c r="M1217" i="165"/>
  <c r="K1217" i="165"/>
  <c r="I1217" i="165"/>
  <c r="G1217" i="165"/>
  <c r="E1217" i="165"/>
  <c r="C1217" i="165"/>
  <c r="P1217" i="165" s="1"/>
  <c r="AA1216" i="165"/>
  <c r="Y1216" i="165"/>
  <c r="W1216" i="165"/>
  <c r="U1216" i="165"/>
  <c r="S1216" i="165"/>
  <c r="O1216" i="165"/>
  <c r="M1216" i="165"/>
  <c r="K1216" i="165"/>
  <c r="I1216" i="165"/>
  <c r="G1216" i="165"/>
  <c r="E1216" i="165"/>
  <c r="C1216" i="165"/>
  <c r="AA1215" i="165"/>
  <c r="Y1215" i="165"/>
  <c r="W1215" i="165"/>
  <c r="U1215" i="165"/>
  <c r="S1215" i="165"/>
  <c r="O1215" i="165"/>
  <c r="M1215" i="165"/>
  <c r="K1215" i="165"/>
  <c r="I1215" i="165"/>
  <c r="G1215" i="165"/>
  <c r="E1215" i="165"/>
  <c r="C1215" i="165"/>
  <c r="AA1214" i="165"/>
  <c r="Y1214" i="165"/>
  <c r="W1214" i="165"/>
  <c r="U1214" i="165"/>
  <c r="S1214" i="165"/>
  <c r="O1214" i="165"/>
  <c r="M1214" i="165"/>
  <c r="K1214" i="165"/>
  <c r="I1214" i="165"/>
  <c r="G1214" i="165"/>
  <c r="E1214" i="165"/>
  <c r="C1214" i="165"/>
  <c r="AA1213" i="165"/>
  <c r="Y1213" i="165"/>
  <c r="W1213" i="165"/>
  <c r="U1213" i="165"/>
  <c r="S1213" i="165"/>
  <c r="O1213" i="165"/>
  <c r="M1213" i="165"/>
  <c r="K1213" i="165"/>
  <c r="I1213" i="165"/>
  <c r="G1213" i="165"/>
  <c r="P1213" i="165" s="1"/>
  <c r="E1213" i="165"/>
  <c r="C1213" i="165"/>
  <c r="AA1212" i="165"/>
  <c r="Y1212" i="165"/>
  <c r="W1212" i="165"/>
  <c r="U1212" i="165"/>
  <c r="S1212" i="165"/>
  <c r="O1212" i="165"/>
  <c r="M1212" i="165"/>
  <c r="K1212" i="165"/>
  <c r="I1212" i="165"/>
  <c r="G1212" i="165"/>
  <c r="E1212" i="165"/>
  <c r="C1212" i="165"/>
  <c r="AA1211" i="165"/>
  <c r="Y1211" i="165"/>
  <c r="W1211" i="165"/>
  <c r="U1211" i="165"/>
  <c r="S1211" i="165"/>
  <c r="O1211" i="165"/>
  <c r="M1211" i="165"/>
  <c r="K1211" i="165"/>
  <c r="I1211" i="165"/>
  <c r="G1211" i="165"/>
  <c r="E1211" i="165"/>
  <c r="C1211" i="165"/>
  <c r="AA1210" i="165"/>
  <c r="Y1210" i="165"/>
  <c r="W1210" i="165"/>
  <c r="U1210" i="165"/>
  <c r="S1210" i="165"/>
  <c r="O1210" i="165"/>
  <c r="M1210" i="165"/>
  <c r="K1210" i="165"/>
  <c r="I1210" i="165"/>
  <c r="G1210" i="165"/>
  <c r="E1210" i="165"/>
  <c r="C1210" i="165"/>
  <c r="AA1209" i="165"/>
  <c r="Y1209" i="165"/>
  <c r="W1209" i="165"/>
  <c r="U1209" i="165"/>
  <c r="S1209" i="165"/>
  <c r="O1209" i="165"/>
  <c r="M1209" i="165"/>
  <c r="P1209" i="165" s="1"/>
  <c r="K1209" i="165"/>
  <c r="I1209" i="165"/>
  <c r="G1209" i="165"/>
  <c r="E1209" i="165"/>
  <c r="C1209" i="165"/>
  <c r="AA1208" i="165"/>
  <c r="Y1208" i="165"/>
  <c r="W1208" i="165"/>
  <c r="U1208" i="165"/>
  <c r="S1208" i="165"/>
  <c r="O1208" i="165"/>
  <c r="P1208" i="165" s="1"/>
  <c r="M1208" i="165"/>
  <c r="K1208" i="165"/>
  <c r="I1208" i="165"/>
  <c r="G1208" i="165"/>
  <c r="E1208" i="165"/>
  <c r="C1208" i="165"/>
  <c r="AA1207" i="165"/>
  <c r="Y1207" i="165"/>
  <c r="W1207" i="165"/>
  <c r="U1207" i="165"/>
  <c r="S1207" i="165"/>
  <c r="P1207" i="165"/>
  <c r="O1207" i="165"/>
  <c r="M1207" i="165"/>
  <c r="K1207" i="165"/>
  <c r="I1207" i="165"/>
  <c r="G1207" i="165"/>
  <c r="E1207" i="165"/>
  <c r="C1207" i="165"/>
  <c r="AA1206" i="165"/>
  <c r="Y1206" i="165"/>
  <c r="W1206" i="165"/>
  <c r="U1206" i="165"/>
  <c r="S1206" i="165"/>
  <c r="P1206" i="165"/>
  <c r="O1206" i="165"/>
  <c r="M1206" i="165"/>
  <c r="K1206" i="165"/>
  <c r="I1206" i="165"/>
  <c r="G1206" i="165"/>
  <c r="E1206" i="165"/>
  <c r="C1206" i="165"/>
  <c r="AA1205" i="165"/>
  <c r="Y1205" i="165"/>
  <c r="W1205" i="165"/>
  <c r="U1205" i="165"/>
  <c r="S1205" i="165"/>
  <c r="O1205" i="165"/>
  <c r="M1205" i="165"/>
  <c r="K1205" i="165"/>
  <c r="I1205" i="165"/>
  <c r="G1205" i="165"/>
  <c r="E1205" i="165"/>
  <c r="C1205" i="165"/>
  <c r="AA1204" i="165"/>
  <c r="Y1204" i="165"/>
  <c r="W1204" i="165"/>
  <c r="U1204" i="165"/>
  <c r="S1204" i="165"/>
  <c r="O1204" i="165"/>
  <c r="M1204" i="165"/>
  <c r="K1204" i="165"/>
  <c r="I1204" i="165"/>
  <c r="G1204" i="165"/>
  <c r="E1204" i="165"/>
  <c r="C1204" i="165"/>
  <c r="AA1203" i="165"/>
  <c r="Y1203" i="165"/>
  <c r="W1203" i="165"/>
  <c r="U1203" i="165"/>
  <c r="S1203" i="165"/>
  <c r="O1203" i="165"/>
  <c r="P1203" i="165" s="1"/>
  <c r="M1203" i="165"/>
  <c r="K1203" i="165"/>
  <c r="I1203" i="165"/>
  <c r="G1203" i="165"/>
  <c r="E1203" i="165"/>
  <c r="C1203" i="165"/>
  <c r="AA1202" i="165"/>
  <c r="Y1202" i="165"/>
  <c r="W1202" i="165"/>
  <c r="U1202" i="165"/>
  <c r="S1202" i="165"/>
  <c r="P1202" i="165"/>
  <c r="O1202" i="165"/>
  <c r="M1202" i="165"/>
  <c r="K1202" i="165"/>
  <c r="I1202" i="165"/>
  <c r="G1202" i="165"/>
  <c r="E1202" i="165"/>
  <c r="C1202" i="165"/>
  <c r="AA1201" i="165"/>
  <c r="Y1201" i="165"/>
  <c r="W1201" i="165"/>
  <c r="U1201" i="165"/>
  <c r="S1201" i="165"/>
  <c r="O1201" i="165"/>
  <c r="M1201" i="165"/>
  <c r="K1201" i="165"/>
  <c r="I1201" i="165"/>
  <c r="G1201" i="165"/>
  <c r="E1201" i="165"/>
  <c r="C1201" i="165"/>
  <c r="AA1200" i="165"/>
  <c r="Y1200" i="165"/>
  <c r="W1200" i="165"/>
  <c r="U1200" i="165"/>
  <c r="S1200" i="165"/>
  <c r="O1200" i="165"/>
  <c r="M1200" i="165"/>
  <c r="K1200" i="165"/>
  <c r="I1200" i="165"/>
  <c r="G1200" i="165"/>
  <c r="E1200" i="165"/>
  <c r="C1200" i="165"/>
  <c r="AA1199" i="165"/>
  <c r="Y1199" i="165"/>
  <c r="W1199" i="165"/>
  <c r="U1199" i="165"/>
  <c r="S1199" i="165"/>
  <c r="O1199" i="165"/>
  <c r="M1199" i="165"/>
  <c r="K1199" i="165"/>
  <c r="I1199" i="165"/>
  <c r="G1199" i="165"/>
  <c r="E1199" i="165"/>
  <c r="C1199" i="165"/>
  <c r="AA1198" i="165"/>
  <c r="Y1198" i="165"/>
  <c r="W1198" i="165"/>
  <c r="U1198" i="165"/>
  <c r="S1198" i="165"/>
  <c r="O1198" i="165"/>
  <c r="M1198" i="165"/>
  <c r="K1198" i="165"/>
  <c r="I1198" i="165"/>
  <c r="G1198" i="165"/>
  <c r="E1198" i="165"/>
  <c r="C1198" i="165"/>
  <c r="AA1197" i="165"/>
  <c r="Y1197" i="165"/>
  <c r="W1197" i="165"/>
  <c r="U1197" i="165"/>
  <c r="S1197" i="165"/>
  <c r="O1197" i="165"/>
  <c r="M1197" i="165"/>
  <c r="K1197" i="165"/>
  <c r="I1197" i="165"/>
  <c r="G1197" i="165"/>
  <c r="E1197" i="165"/>
  <c r="C1197" i="165"/>
  <c r="AA1196" i="165"/>
  <c r="Y1196" i="165"/>
  <c r="W1196" i="165"/>
  <c r="U1196" i="165"/>
  <c r="S1196" i="165"/>
  <c r="P1196" i="165"/>
  <c r="O1196" i="165"/>
  <c r="M1196" i="165"/>
  <c r="K1196" i="165"/>
  <c r="I1196" i="165"/>
  <c r="G1196" i="165"/>
  <c r="E1196" i="165"/>
  <c r="C1196" i="165"/>
  <c r="AA1195" i="165"/>
  <c r="Y1195" i="165"/>
  <c r="W1195" i="165"/>
  <c r="U1195" i="165"/>
  <c r="S1195" i="165"/>
  <c r="O1195" i="165"/>
  <c r="M1195" i="165"/>
  <c r="K1195" i="165"/>
  <c r="I1195" i="165"/>
  <c r="G1195" i="165"/>
  <c r="E1195" i="165"/>
  <c r="C1195" i="165"/>
  <c r="AA1194" i="165"/>
  <c r="Y1194" i="165"/>
  <c r="W1194" i="165"/>
  <c r="U1194" i="165"/>
  <c r="S1194" i="165"/>
  <c r="P1194" i="165"/>
  <c r="O1194" i="165"/>
  <c r="M1194" i="165"/>
  <c r="K1194" i="165"/>
  <c r="I1194" i="165"/>
  <c r="G1194" i="165"/>
  <c r="E1194" i="165"/>
  <c r="C1194" i="165"/>
  <c r="AA1193" i="165"/>
  <c r="Y1193" i="165"/>
  <c r="W1193" i="165"/>
  <c r="U1193" i="165"/>
  <c r="S1193" i="165"/>
  <c r="O1193" i="165"/>
  <c r="M1193" i="165"/>
  <c r="K1193" i="165"/>
  <c r="I1193" i="165"/>
  <c r="P1193" i="165" s="1"/>
  <c r="G1193" i="165"/>
  <c r="E1193" i="165"/>
  <c r="C1193" i="165"/>
  <c r="AA1192" i="165"/>
  <c r="Y1192" i="165"/>
  <c r="W1192" i="165"/>
  <c r="U1192" i="165"/>
  <c r="S1192" i="165"/>
  <c r="O1192" i="165"/>
  <c r="M1192" i="165"/>
  <c r="K1192" i="165"/>
  <c r="P1192" i="165" s="1"/>
  <c r="I1192" i="165"/>
  <c r="G1192" i="165"/>
  <c r="E1192" i="165"/>
  <c r="C1192" i="165"/>
  <c r="AA1191" i="165"/>
  <c r="Y1191" i="165"/>
  <c r="W1191" i="165"/>
  <c r="U1191" i="165"/>
  <c r="S1191" i="165"/>
  <c r="O1191" i="165"/>
  <c r="M1191" i="165"/>
  <c r="K1191" i="165"/>
  <c r="I1191" i="165"/>
  <c r="G1191" i="165"/>
  <c r="E1191" i="165"/>
  <c r="C1191" i="165"/>
  <c r="AA1190" i="165"/>
  <c r="Y1190" i="165"/>
  <c r="W1190" i="165"/>
  <c r="U1190" i="165"/>
  <c r="S1190" i="165"/>
  <c r="O1190" i="165"/>
  <c r="M1190" i="165"/>
  <c r="K1190" i="165"/>
  <c r="I1190" i="165"/>
  <c r="G1190" i="165"/>
  <c r="E1190" i="165"/>
  <c r="C1190" i="165"/>
  <c r="AA1189" i="165"/>
  <c r="Y1189" i="165"/>
  <c r="W1189" i="165"/>
  <c r="U1189" i="165"/>
  <c r="S1189" i="165"/>
  <c r="O1189" i="165"/>
  <c r="M1189" i="165"/>
  <c r="K1189" i="165"/>
  <c r="I1189" i="165"/>
  <c r="G1189" i="165"/>
  <c r="E1189" i="165"/>
  <c r="C1189" i="165"/>
  <c r="AA1188" i="165"/>
  <c r="Y1188" i="165"/>
  <c r="W1188" i="165"/>
  <c r="U1188" i="165"/>
  <c r="S1188" i="165"/>
  <c r="O1188" i="165"/>
  <c r="M1188" i="165"/>
  <c r="K1188" i="165"/>
  <c r="I1188" i="165"/>
  <c r="G1188" i="165"/>
  <c r="E1188" i="165"/>
  <c r="C1188" i="165"/>
  <c r="AA1187" i="165"/>
  <c r="Y1187" i="165"/>
  <c r="W1187" i="165"/>
  <c r="U1187" i="165"/>
  <c r="S1187" i="165"/>
  <c r="O1187" i="165"/>
  <c r="M1187" i="165"/>
  <c r="K1187" i="165"/>
  <c r="I1187" i="165"/>
  <c r="G1187" i="165"/>
  <c r="E1187" i="165"/>
  <c r="C1187" i="165"/>
  <c r="AA1186" i="165"/>
  <c r="Y1186" i="165"/>
  <c r="W1186" i="165"/>
  <c r="U1186" i="165"/>
  <c r="S1186" i="165"/>
  <c r="O1186" i="165"/>
  <c r="M1186" i="165"/>
  <c r="K1186" i="165"/>
  <c r="I1186" i="165"/>
  <c r="G1186" i="165"/>
  <c r="E1186" i="165"/>
  <c r="C1186" i="165"/>
  <c r="AA1185" i="165"/>
  <c r="Y1185" i="165"/>
  <c r="W1185" i="165"/>
  <c r="U1185" i="165"/>
  <c r="S1185" i="165"/>
  <c r="P1185" i="165"/>
  <c r="O1185" i="165"/>
  <c r="M1185" i="165"/>
  <c r="K1185" i="165"/>
  <c r="I1185" i="165"/>
  <c r="G1185" i="165"/>
  <c r="E1185" i="165"/>
  <c r="C1185" i="165"/>
  <c r="AA1184" i="165"/>
  <c r="Y1184" i="165"/>
  <c r="W1184" i="165"/>
  <c r="U1184" i="165"/>
  <c r="S1184" i="165"/>
  <c r="O1184" i="165"/>
  <c r="M1184" i="165"/>
  <c r="K1184" i="165"/>
  <c r="I1184" i="165"/>
  <c r="P1184" i="165" s="1"/>
  <c r="G1184" i="165"/>
  <c r="E1184" i="165"/>
  <c r="C1184" i="165"/>
  <c r="AA1183" i="165"/>
  <c r="Y1183" i="165"/>
  <c r="W1183" i="165"/>
  <c r="U1183" i="165"/>
  <c r="S1183" i="165"/>
  <c r="O1183" i="165"/>
  <c r="M1183" i="165"/>
  <c r="K1183" i="165"/>
  <c r="I1183" i="165"/>
  <c r="G1183" i="165"/>
  <c r="E1183" i="165"/>
  <c r="C1183" i="165"/>
  <c r="AA1182" i="165"/>
  <c r="Y1182" i="165"/>
  <c r="W1182" i="165"/>
  <c r="U1182" i="165"/>
  <c r="S1182" i="165"/>
  <c r="O1182" i="165"/>
  <c r="M1182" i="165"/>
  <c r="K1182" i="165"/>
  <c r="I1182" i="165"/>
  <c r="P1182" i="165" s="1"/>
  <c r="G1182" i="165"/>
  <c r="E1182" i="165"/>
  <c r="C1182" i="165"/>
  <c r="AA1181" i="165"/>
  <c r="Y1181" i="165"/>
  <c r="W1181" i="165"/>
  <c r="U1181" i="165"/>
  <c r="S1181" i="165"/>
  <c r="O1181" i="165"/>
  <c r="M1181" i="165"/>
  <c r="K1181" i="165"/>
  <c r="I1181" i="165"/>
  <c r="G1181" i="165"/>
  <c r="E1181" i="165"/>
  <c r="C1181" i="165"/>
  <c r="AA1180" i="165"/>
  <c r="Y1180" i="165"/>
  <c r="W1180" i="165"/>
  <c r="U1180" i="165"/>
  <c r="S1180" i="165"/>
  <c r="O1180" i="165"/>
  <c r="M1180" i="165"/>
  <c r="P1180" i="165" s="1"/>
  <c r="K1180" i="165"/>
  <c r="I1180" i="165"/>
  <c r="G1180" i="165"/>
  <c r="E1180" i="165"/>
  <c r="C1180" i="165"/>
  <c r="AA1179" i="165"/>
  <c r="Y1179" i="165"/>
  <c r="W1179" i="165"/>
  <c r="U1179" i="165"/>
  <c r="S1179" i="165"/>
  <c r="O1179" i="165"/>
  <c r="P1179" i="165" s="1"/>
  <c r="M1179" i="165"/>
  <c r="K1179" i="165"/>
  <c r="I1179" i="165"/>
  <c r="G1179" i="165"/>
  <c r="E1179" i="165"/>
  <c r="C1179" i="165"/>
  <c r="AA1178" i="165"/>
  <c r="Y1178" i="165"/>
  <c r="W1178" i="165"/>
  <c r="U1178" i="165"/>
  <c r="S1178" i="165"/>
  <c r="P1178" i="165"/>
  <c r="O1178" i="165"/>
  <c r="M1178" i="165"/>
  <c r="K1178" i="165"/>
  <c r="I1178" i="165"/>
  <c r="G1178" i="165"/>
  <c r="E1178" i="165"/>
  <c r="C1178" i="165"/>
  <c r="AA1177" i="165"/>
  <c r="Y1177" i="165"/>
  <c r="W1177" i="165"/>
  <c r="U1177" i="165"/>
  <c r="S1177" i="165"/>
  <c r="O1177" i="165"/>
  <c r="M1177" i="165"/>
  <c r="K1177" i="165"/>
  <c r="I1177" i="165"/>
  <c r="G1177" i="165"/>
  <c r="E1177" i="165"/>
  <c r="C1177" i="165"/>
  <c r="AA1176" i="165"/>
  <c r="Y1176" i="165"/>
  <c r="W1176" i="165"/>
  <c r="U1176" i="165"/>
  <c r="S1176" i="165"/>
  <c r="O1176" i="165"/>
  <c r="M1176" i="165"/>
  <c r="K1176" i="165"/>
  <c r="I1176" i="165"/>
  <c r="G1176" i="165"/>
  <c r="E1176" i="165"/>
  <c r="C1176" i="165"/>
  <c r="AA1175" i="165"/>
  <c r="Y1175" i="165"/>
  <c r="W1175" i="165"/>
  <c r="U1175" i="165"/>
  <c r="S1175" i="165"/>
  <c r="O1175" i="165"/>
  <c r="M1175" i="165"/>
  <c r="K1175" i="165"/>
  <c r="I1175" i="165"/>
  <c r="G1175" i="165"/>
  <c r="E1175" i="165"/>
  <c r="C1175" i="165"/>
  <c r="AA1174" i="165"/>
  <c r="Y1174" i="165"/>
  <c r="W1174" i="165"/>
  <c r="U1174" i="165"/>
  <c r="S1174" i="165"/>
  <c r="O1174" i="165"/>
  <c r="M1174" i="165"/>
  <c r="K1174" i="165"/>
  <c r="I1174" i="165"/>
  <c r="G1174" i="165"/>
  <c r="E1174" i="165"/>
  <c r="C1174" i="165"/>
  <c r="AA1173" i="165"/>
  <c r="Y1173" i="165"/>
  <c r="W1173" i="165"/>
  <c r="U1173" i="165"/>
  <c r="S1173" i="165"/>
  <c r="P1173" i="165"/>
  <c r="O1173" i="165"/>
  <c r="M1173" i="165"/>
  <c r="K1173" i="165"/>
  <c r="I1173" i="165"/>
  <c r="G1173" i="165"/>
  <c r="E1173" i="165"/>
  <c r="C1173" i="165"/>
  <c r="AA1172" i="165"/>
  <c r="Y1172" i="165"/>
  <c r="W1172" i="165"/>
  <c r="U1172" i="165"/>
  <c r="S1172" i="165"/>
  <c r="P1172" i="165"/>
  <c r="O1172" i="165"/>
  <c r="M1172" i="165"/>
  <c r="K1172" i="165"/>
  <c r="I1172" i="165"/>
  <c r="G1172" i="165"/>
  <c r="E1172" i="165"/>
  <c r="C1172" i="165"/>
  <c r="AA1171" i="165"/>
  <c r="Y1171" i="165"/>
  <c r="W1171" i="165"/>
  <c r="U1171" i="165"/>
  <c r="S1171" i="165"/>
  <c r="P1171" i="165"/>
  <c r="O1171" i="165"/>
  <c r="M1171" i="165"/>
  <c r="K1171" i="165"/>
  <c r="I1171" i="165"/>
  <c r="G1171" i="165"/>
  <c r="E1171" i="165"/>
  <c r="C1171" i="165"/>
  <c r="AA1170" i="165"/>
  <c r="Y1170" i="165"/>
  <c r="W1170" i="165"/>
  <c r="U1170" i="165"/>
  <c r="S1170" i="165"/>
  <c r="O1170" i="165"/>
  <c r="M1170" i="165"/>
  <c r="P1170" i="165" s="1"/>
  <c r="K1170" i="165"/>
  <c r="I1170" i="165"/>
  <c r="G1170" i="165"/>
  <c r="E1170" i="165"/>
  <c r="C1170" i="165"/>
  <c r="AA1169" i="165"/>
  <c r="Y1169" i="165"/>
  <c r="W1169" i="165"/>
  <c r="U1169" i="165"/>
  <c r="S1169" i="165"/>
  <c r="O1169" i="165"/>
  <c r="P1169" i="165" s="1"/>
  <c r="M1169" i="165"/>
  <c r="K1169" i="165"/>
  <c r="I1169" i="165"/>
  <c r="G1169" i="165"/>
  <c r="E1169" i="165"/>
  <c r="C1169" i="165"/>
  <c r="AA1168" i="165"/>
  <c r="Y1168" i="165"/>
  <c r="W1168" i="165"/>
  <c r="U1168" i="165"/>
  <c r="S1168" i="165"/>
  <c r="O1168" i="165"/>
  <c r="M1168" i="165"/>
  <c r="K1168" i="165"/>
  <c r="I1168" i="165"/>
  <c r="G1168" i="165"/>
  <c r="E1168" i="165"/>
  <c r="C1168" i="165"/>
  <c r="P1168" i="165" s="1"/>
  <c r="AA1167" i="165"/>
  <c r="Y1167" i="165"/>
  <c r="W1167" i="165"/>
  <c r="U1167" i="165"/>
  <c r="S1167" i="165"/>
  <c r="O1167" i="165"/>
  <c r="M1167" i="165"/>
  <c r="K1167" i="165"/>
  <c r="I1167" i="165"/>
  <c r="G1167" i="165"/>
  <c r="E1167" i="165"/>
  <c r="C1167" i="165"/>
  <c r="AA1166" i="165"/>
  <c r="Y1166" i="165"/>
  <c r="W1166" i="165"/>
  <c r="U1166" i="165"/>
  <c r="S1166" i="165"/>
  <c r="O1166" i="165"/>
  <c r="M1166" i="165"/>
  <c r="K1166" i="165"/>
  <c r="I1166" i="165"/>
  <c r="G1166" i="165"/>
  <c r="E1166" i="165"/>
  <c r="C1166" i="165"/>
  <c r="AA1165" i="165"/>
  <c r="Y1165" i="165"/>
  <c r="W1165" i="165"/>
  <c r="U1165" i="165"/>
  <c r="S1165" i="165"/>
  <c r="O1165" i="165"/>
  <c r="M1165" i="165"/>
  <c r="K1165" i="165"/>
  <c r="I1165" i="165"/>
  <c r="G1165" i="165"/>
  <c r="E1165" i="165"/>
  <c r="C1165" i="165"/>
  <c r="AA1164" i="165"/>
  <c r="Y1164" i="165"/>
  <c r="W1164" i="165"/>
  <c r="U1164" i="165"/>
  <c r="S1164" i="165"/>
  <c r="O1164" i="165"/>
  <c r="M1164" i="165"/>
  <c r="K1164" i="165"/>
  <c r="I1164" i="165"/>
  <c r="G1164" i="165"/>
  <c r="E1164" i="165"/>
  <c r="C1164" i="165"/>
  <c r="AA1163" i="165"/>
  <c r="Y1163" i="165"/>
  <c r="W1163" i="165"/>
  <c r="U1163" i="165"/>
  <c r="S1163" i="165"/>
  <c r="O1163" i="165"/>
  <c r="M1163" i="165"/>
  <c r="K1163" i="165"/>
  <c r="I1163" i="165"/>
  <c r="G1163" i="165"/>
  <c r="E1163" i="165"/>
  <c r="C1163" i="165"/>
  <c r="AA1162" i="165"/>
  <c r="Y1162" i="165"/>
  <c r="W1162" i="165"/>
  <c r="U1162" i="165"/>
  <c r="S1162" i="165"/>
  <c r="O1162" i="165"/>
  <c r="M1162" i="165"/>
  <c r="K1162" i="165"/>
  <c r="I1162" i="165"/>
  <c r="G1162" i="165"/>
  <c r="E1162" i="165"/>
  <c r="C1162" i="165"/>
  <c r="AA1161" i="165"/>
  <c r="Y1161" i="165"/>
  <c r="W1161" i="165"/>
  <c r="U1161" i="165"/>
  <c r="S1161" i="165"/>
  <c r="O1161" i="165"/>
  <c r="M1161" i="165"/>
  <c r="K1161" i="165"/>
  <c r="I1161" i="165"/>
  <c r="G1161" i="165"/>
  <c r="E1161" i="165"/>
  <c r="C1161" i="165"/>
  <c r="AA1160" i="165"/>
  <c r="Y1160" i="165"/>
  <c r="W1160" i="165"/>
  <c r="U1160" i="165"/>
  <c r="S1160" i="165"/>
  <c r="O1160" i="165"/>
  <c r="M1160" i="165"/>
  <c r="K1160" i="165"/>
  <c r="I1160" i="165"/>
  <c r="G1160" i="165"/>
  <c r="E1160" i="165"/>
  <c r="C1160" i="165"/>
  <c r="AA1159" i="165"/>
  <c r="Y1159" i="165"/>
  <c r="W1159" i="165"/>
  <c r="U1159" i="165"/>
  <c r="S1159" i="165"/>
  <c r="O1159" i="165"/>
  <c r="M1159" i="165"/>
  <c r="K1159" i="165"/>
  <c r="I1159" i="165"/>
  <c r="P1159" i="165" s="1"/>
  <c r="G1159" i="165"/>
  <c r="E1159" i="165"/>
  <c r="C1159" i="165"/>
  <c r="AA1158" i="165"/>
  <c r="Y1158" i="165"/>
  <c r="W1158" i="165"/>
  <c r="U1158" i="165"/>
  <c r="S1158" i="165"/>
  <c r="O1158" i="165"/>
  <c r="M1158" i="165"/>
  <c r="P1158" i="165" s="1"/>
  <c r="K1158" i="165"/>
  <c r="I1158" i="165"/>
  <c r="G1158" i="165"/>
  <c r="E1158" i="165"/>
  <c r="C1158" i="165"/>
  <c r="AA1157" i="165"/>
  <c r="Y1157" i="165"/>
  <c r="W1157" i="165"/>
  <c r="U1157" i="165"/>
  <c r="S1157" i="165"/>
  <c r="O1157" i="165"/>
  <c r="M1157" i="165"/>
  <c r="K1157" i="165"/>
  <c r="I1157" i="165"/>
  <c r="G1157" i="165"/>
  <c r="E1157" i="165"/>
  <c r="C1157" i="165"/>
  <c r="AA1156" i="165"/>
  <c r="Y1156" i="165"/>
  <c r="W1156" i="165"/>
  <c r="U1156" i="165"/>
  <c r="S1156" i="165"/>
  <c r="O1156" i="165"/>
  <c r="M1156" i="165"/>
  <c r="P1156" i="165" s="1"/>
  <c r="K1156" i="165"/>
  <c r="I1156" i="165"/>
  <c r="G1156" i="165"/>
  <c r="E1156" i="165"/>
  <c r="C1156" i="165"/>
  <c r="AA1155" i="165"/>
  <c r="Y1155" i="165"/>
  <c r="W1155" i="165"/>
  <c r="U1155" i="165"/>
  <c r="S1155" i="165"/>
  <c r="O1155" i="165"/>
  <c r="P1155" i="165" s="1"/>
  <c r="M1155" i="165"/>
  <c r="K1155" i="165"/>
  <c r="I1155" i="165"/>
  <c r="G1155" i="165"/>
  <c r="E1155" i="165"/>
  <c r="C1155" i="165"/>
  <c r="AA1154" i="165"/>
  <c r="Y1154" i="165"/>
  <c r="W1154" i="165"/>
  <c r="U1154" i="165"/>
  <c r="S1154" i="165"/>
  <c r="P1154" i="165"/>
  <c r="O1154" i="165"/>
  <c r="M1154" i="165"/>
  <c r="K1154" i="165"/>
  <c r="I1154" i="165"/>
  <c r="G1154" i="165"/>
  <c r="E1154" i="165"/>
  <c r="C1154" i="165"/>
  <c r="AA1153" i="165"/>
  <c r="Y1153" i="165"/>
  <c r="W1153" i="165"/>
  <c r="U1153" i="165"/>
  <c r="S1153" i="165"/>
  <c r="O1153" i="165"/>
  <c r="M1153" i="165"/>
  <c r="K1153" i="165"/>
  <c r="I1153" i="165"/>
  <c r="G1153" i="165"/>
  <c r="E1153" i="165"/>
  <c r="C1153" i="165"/>
  <c r="P1153" i="165" s="1"/>
  <c r="AA1152" i="165"/>
  <c r="Y1152" i="165"/>
  <c r="W1152" i="165"/>
  <c r="U1152" i="165"/>
  <c r="S1152" i="165"/>
  <c r="O1152" i="165"/>
  <c r="M1152" i="165"/>
  <c r="K1152" i="165"/>
  <c r="I1152" i="165"/>
  <c r="G1152" i="165"/>
  <c r="E1152" i="165"/>
  <c r="C1152" i="165"/>
  <c r="P1152" i="165" s="1"/>
  <c r="AA1151" i="165"/>
  <c r="Y1151" i="165"/>
  <c r="W1151" i="165"/>
  <c r="U1151" i="165"/>
  <c r="S1151" i="165"/>
  <c r="O1151" i="165"/>
  <c r="M1151" i="165"/>
  <c r="K1151" i="165"/>
  <c r="I1151" i="165"/>
  <c r="G1151" i="165"/>
  <c r="E1151" i="165"/>
  <c r="C1151" i="165"/>
  <c r="P1151" i="165" s="1"/>
  <c r="AA1150" i="165"/>
  <c r="Y1150" i="165"/>
  <c r="W1150" i="165"/>
  <c r="U1150" i="165"/>
  <c r="S1150" i="165"/>
  <c r="O1150" i="165"/>
  <c r="M1150" i="165"/>
  <c r="K1150" i="165"/>
  <c r="I1150" i="165"/>
  <c r="G1150" i="165"/>
  <c r="E1150" i="165"/>
  <c r="C1150" i="165"/>
  <c r="AA1149" i="165"/>
  <c r="Y1149" i="165"/>
  <c r="W1149" i="165"/>
  <c r="U1149" i="165"/>
  <c r="S1149" i="165"/>
  <c r="O1149" i="165"/>
  <c r="M1149" i="165"/>
  <c r="K1149" i="165"/>
  <c r="I1149" i="165"/>
  <c r="G1149" i="165"/>
  <c r="E1149" i="165"/>
  <c r="C1149" i="165"/>
  <c r="AA1148" i="165"/>
  <c r="Y1148" i="165"/>
  <c r="W1148" i="165"/>
  <c r="U1148" i="165"/>
  <c r="S1148" i="165"/>
  <c r="O1148" i="165"/>
  <c r="M1148" i="165"/>
  <c r="K1148" i="165"/>
  <c r="I1148" i="165"/>
  <c r="G1148" i="165"/>
  <c r="E1148" i="165"/>
  <c r="C1148" i="165"/>
  <c r="AA1147" i="165"/>
  <c r="Y1147" i="165"/>
  <c r="W1147" i="165"/>
  <c r="U1147" i="165"/>
  <c r="S1147" i="165"/>
  <c r="O1147" i="165"/>
  <c r="M1147" i="165"/>
  <c r="K1147" i="165"/>
  <c r="I1147" i="165"/>
  <c r="G1147" i="165"/>
  <c r="E1147" i="165"/>
  <c r="C1147" i="165"/>
  <c r="AA1146" i="165"/>
  <c r="Y1146" i="165"/>
  <c r="W1146" i="165"/>
  <c r="U1146" i="165"/>
  <c r="S1146" i="165"/>
  <c r="O1146" i="165"/>
  <c r="M1146" i="165"/>
  <c r="K1146" i="165"/>
  <c r="I1146" i="165"/>
  <c r="G1146" i="165"/>
  <c r="P1146" i="165" s="1"/>
  <c r="E1146" i="165"/>
  <c r="C1146" i="165"/>
  <c r="AA1145" i="165"/>
  <c r="Y1145" i="165"/>
  <c r="W1145" i="165"/>
  <c r="U1145" i="165"/>
  <c r="S1145" i="165"/>
  <c r="O1145" i="165"/>
  <c r="M1145" i="165"/>
  <c r="K1145" i="165"/>
  <c r="I1145" i="165"/>
  <c r="G1145" i="165"/>
  <c r="E1145" i="165"/>
  <c r="C1145" i="165"/>
  <c r="P1145" i="165" s="1"/>
  <c r="AA1144" i="165"/>
  <c r="Y1144" i="165"/>
  <c r="W1144" i="165"/>
  <c r="U1144" i="165"/>
  <c r="S1144" i="165"/>
  <c r="O1144" i="165"/>
  <c r="M1144" i="165"/>
  <c r="K1144" i="165"/>
  <c r="I1144" i="165"/>
  <c r="G1144" i="165"/>
  <c r="E1144" i="165"/>
  <c r="C1144" i="165"/>
  <c r="AA1143" i="165"/>
  <c r="Y1143" i="165"/>
  <c r="W1143" i="165"/>
  <c r="U1143" i="165"/>
  <c r="S1143" i="165"/>
  <c r="O1143" i="165"/>
  <c r="M1143" i="165"/>
  <c r="K1143" i="165"/>
  <c r="I1143" i="165"/>
  <c r="G1143" i="165"/>
  <c r="E1143" i="165"/>
  <c r="C1143" i="165"/>
  <c r="AA1142" i="165"/>
  <c r="Y1142" i="165"/>
  <c r="W1142" i="165"/>
  <c r="U1142" i="165"/>
  <c r="S1142" i="165"/>
  <c r="O1142" i="165"/>
  <c r="M1142" i="165"/>
  <c r="K1142" i="165"/>
  <c r="I1142" i="165"/>
  <c r="G1142" i="165"/>
  <c r="E1142" i="165"/>
  <c r="C1142" i="165"/>
  <c r="AA1141" i="165"/>
  <c r="Y1141" i="165"/>
  <c r="W1141" i="165"/>
  <c r="U1141" i="165"/>
  <c r="S1141" i="165"/>
  <c r="O1141" i="165"/>
  <c r="M1141" i="165"/>
  <c r="K1141" i="165"/>
  <c r="I1141" i="165"/>
  <c r="G1141" i="165"/>
  <c r="P1141" i="165" s="1"/>
  <c r="E1141" i="165"/>
  <c r="C1141" i="165"/>
  <c r="AA1140" i="165"/>
  <c r="Y1140" i="165"/>
  <c r="W1140" i="165"/>
  <c r="U1140" i="165"/>
  <c r="S1140" i="165"/>
  <c r="O1140" i="165"/>
  <c r="M1140" i="165"/>
  <c r="K1140" i="165"/>
  <c r="I1140" i="165"/>
  <c r="G1140" i="165"/>
  <c r="E1140" i="165"/>
  <c r="C1140" i="165"/>
  <c r="AA1139" i="165"/>
  <c r="Y1139" i="165"/>
  <c r="W1139" i="165"/>
  <c r="U1139" i="165"/>
  <c r="S1139" i="165"/>
  <c r="O1139" i="165"/>
  <c r="M1139" i="165"/>
  <c r="K1139" i="165"/>
  <c r="I1139" i="165"/>
  <c r="G1139" i="165"/>
  <c r="E1139" i="165"/>
  <c r="C1139" i="165"/>
  <c r="AA1138" i="165"/>
  <c r="Y1138" i="165"/>
  <c r="W1138" i="165"/>
  <c r="U1138" i="165"/>
  <c r="S1138" i="165"/>
  <c r="O1138" i="165"/>
  <c r="M1138" i="165"/>
  <c r="K1138" i="165"/>
  <c r="I1138" i="165"/>
  <c r="P1138" i="165" s="1"/>
  <c r="G1138" i="165"/>
  <c r="E1138" i="165"/>
  <c r="C1138" i="165"/>
  <c r="AA1137" i="165"/>
  <c r="Y1137" i="165"/>
  <c r="W1137" i="165"/>
  <c r="U1137" i="165"/>
  <c r="S1137" i="165"/>
  <c r="O1137" i="165"/>
  <c r="M1137" i="165"/>
  <c r="K1137" i="165"/>
  <c r="P1137" i="165" s="1"/>
  <c r="I1137" i="165"/>
  <c r="G1137" i="165"/>
  <c r="E1137" i="165"/>
  <c r="C1137" i="165"/>
  <c r="AA1136" i="165"/>
  <c r="Y1136" i="165"/>
  <c r="W1136" i="165"/>
  <c r="U1136" i="165"/>
  <c r="S1136" i="165"/>
  <c r="O1136" i="165"/>
  <c r="M1136" i="165"/>
  <c r="P1136" i="165" s="1"/>
  <c r="K1136" i="165"/>
  <c r="I1136" i="165"/>
  <c r="G1136" i="165"/>
  <c r="E1136" i="165"/>
  <c r="C1136" i="165"/>
  <c r="AA1135" i="165"/>
  <c r="Y1135" i="165"/>
  <c r="W1135" i="165"/>
  <c r="U1135" i="165"/>
  <c r="S1135" i="165"/>
  <c r="O1135" i="165"/>
  <c r="P1135" i="165" s="1"/>
  <c r="M1135" i="165"/>
  <c r="K1135" i="165"/>
  <c r="I1135" i="165"/>
  <c r="G1135" i="165"/>
  <c r="E1135" i="165"/>
  <c r="C1135" i="165"/>
  <c r="AA1134" i="165"/>
  <c r="Y1134" i="165"/>
  <c r="W1134" i="165"/>
  <c r="U1134" i="165"/>
  <c r="S1134" i="165"/>
  <c r="P1134" i="165"/>
  <c r="O1134" i="165"/>
  <c r="M1134" i="165"/>
  <c r="K1134" i="165"/>
  <c r="I1134" i="165"/>
  <c r="G1134" i="165"/>
  <c r="E1134" i="165"/>
  <c r="C1134" i="165"/>
  <c r="AA1133" i="165"/>
  <c r="Y1133" i="165"/>
  <c r="W1133" i="165"/>
  <c r="U1133" i="165"/>
  <c r="S1133" i="165"/>
  <c r="O1133" i="165"/>
  <c r="M1133" i="165"/>
  <c r="K1133" i="165"/>
  <c r="I1133" i="165"/>
  <c r="G1133" i="165"/>
  <c r="E1133" i="165"/>
  <c r="C1133" i="165"/>
  <c r="P1133" i="165" s="1"/>
  <c r="AA1132" i="165"/>
  <c r="Y1132" i="165"/>
  <c r="W1132" i="165"/>
  <c r="U1132" i="165"/>
  <c r="S1132" i="165"/>
  <c r="O1132" i="165"/>
  <c r="M1132" i="165"/>
  <c r="K1132" i="165"/>
  <c r="I1132" i="165"/>
  <c r="G1132" i="165"/>
  <c r="E1132" i="165"/>
  <c r="C1132" i="165"/>
  <c r="P1132" i="165" s="1"/>
  <c r="AA1131" i="165"/>
  <c r="Y1131" i="165"/>
  <c r="W1131" i="165"/>
  <c r="U1131" i="165"/>
  <c r="S1131" i="165"/>
  <c r="O1131" i="165"/>
  <c r="M1131" i="165"/>
  <c r="K1131" i="165"/>
  <c r="I1131" i="165"/>
  <c r="G1131" i="165"/>
  <c r="E1131" i="165"/>
  <c r="C1131" i="165"/>
  <c r="P1131" i="165" s="1"/>
  <c r="AA1130" i="165"/>
  <c r="Y1130" i="165"/>
  <c r="W1130" i="165"/>
  <c r="U1130" i="165"/>
  <c r="S1130" i="165"/>
  <c r="O1130" i="165"/>
  <c r="M1130" i="165"/>
  <c r="K1130" i="165"/>
  <c r="I1130" i="165"/>
  <c r="G1130" i="165"/>
  <c r="E1130" i="165"/>
  <c r="C1130" i="165"/>
  <c r="P1130" i="165" s="1"/>
  <c r="AA1129" i="165"/>
  <c r="Y1129" i="165"/>
  <c r="W1129" i="165"/>
  <c r="U1129" i="165"/>
  <c r="S1129" i="165"/>
  <c r="O1129" i="165"/>
  <c r="M1129" i="165"/>
  <c r="K1129" i="165"/>
  <c r="I1129" i="165"/>
  <c r="G1129" i="165"/>
  <c r="E1129" i="165"/>
  <c r="C1129" i="165"/>
  <c r="AA1128" i="165"/>
  <c r="Y1128" i="165"/>
  <c r="W1128" i="165"/>
  <c r="U1128" i="165"/>
  <c r="S1128" i="165"/>
  <c r="O1128" i="165"/>
  <c r="M1128" i="165"/>
  <c r="K1128" i="165"/>
  <c r="I1128" i="165"/>
  <c r="G1128" i="165"/>
  <c r="E1128" i="165"/>
  <c r="C1128" i="165"/>
  <c r="AA1127" i="165"/>
  <c r="Y1127" i="165"/>
  <c r="W1127" i="165"/>
  <c r="U1127" i="165"/>
  <c r="S1127" i="165"/>
  <c r="O1127" i="165"/>
  <c r="M1127" i="165"/>
  <c r="K1127" i="165"/>
  <c r="I1127" i="165"/>
  <c r="G1127" i="165"/>
  <c r="E1127" i="165"/>
  <c r="C1127" i="165"/>
  <c r="AA1126" i="165"/>
  <c r="Y1126" i="165"/>
  <c r="W1126" i="165"/>
  <c r="U1126" i="165"/>
  <c r="S1126" i="165"/>
  <c r="P1126" i="165"/>
  <c r="O1126" i="165"/>
  <c r="M1126" i="165"/>
  <c r="K1126" i="165"/>
  <c r="I1126" i="165"/>
  <c r="G1126" i="165"/>
  <c r="E1126" i="165"/>
  <c r="C1126" i="165"/>
  <c r="AA1125" i="165"/>
  <c r="Y1125" i="165"/>
  <c r="W1125" i="165"/>
  <c r="U1125" i="165"/>
  <c r="S1125" i="165"/>
  <c r="O1125" i="165"/>
  <c r="P1125" i="165" s="1"/>
  <c r="M1125" i="165"/>
  <c r="K1125" i="165"/>
  <c r="I1125" i="165"/>
  <c r="G1125" i="165"/>
  <c r="E1125" i="165"/>
  <c r="C1125" i="165"/>
  <c r="AA1124" i="165"/>
  <c r="Y1124" i="165"/>
  <c r="W1124" i="165"/>
  <c r="U1124" i="165"/>
  <c r="S1124" i="165"/>
  <c r="P1124" i="165"/>
  <c r="O1124" i="165"/>
  <c r="M1124" i="165"/>
  <c r="K1124" i="165"/>
  <c r="I1124" i="165"/>
  <c r="G1124" i="165"/>
  <c r="E1124" i="165"/>
  <c r="C1124" i="165"/>
  <c r="AA1123" i="165"/>
  <c r="Y1123" i="165"/>
  <c r="W1123" i="165"/>
  <c r="U1123" i="165"/>
  <c r="S1123" i="165"/>
  <c r="O1123" i="165"/>
  <c r="M1123" i="165"/>
  <c r="P1123" i="165" s="1"/>
  <c r="K1123" i="165"/>
  <c r="I1123" i="165"/>
  <c r="G1123" i="165"/>
  <c r="E1123" i="165"/>
  <c r="C1123" i="165"/>
  <c r="AA1122" i="165"/>
  <c r="Y1122" i="165"/>
  <c r="W1122" i="165"/>
  <c r="U1122" i="165"/>
  <c r="S1122" i="165"/>
  <c r="O1122" i="165"/>
  <c r="M1122" i="165"/>
  <c r="P1122" i="165" s="1"/>
  <c r="K1122" i="165"/>
  <c r="I1122" i="165"/>
  <c r="G1122" i="165"/>
  <c r="E1122" i="165"/>
  <c r="C1122" i="165"/>
  <c r="AA1121" i="165"/>
  <c r="Y1121" i="165"/>
  <c r="W1121" i="165"/>
  <c r="U1121" i="165"/>
  <c r="S1121" i="165"/>
  <c r="O1121" i="165"/>
  <c r="M1121" i="165"/>
  <c r="K1121" i="165"/>
  <c r="I1121" i="165"/>
  <c r="G1121" i="165"/>
  <c r="E1121" i="165"/>
  <c r="C1121" i="165"/>
  <c r="P1121" i="165" s="1"/>
  <c r="AA1120" i="165"/>
  <c r="Y1120" i="165"/>
  <c r="W1120" i="165"/>
  <c r="U1120" i="165"/>
  <c r="S1120" i="165"/>
  <c r="O1120" i="165"/>
  <c r="M1120" i="165"/>
  <c r="K1120" i="165"/>
  <c r="I1120" i="165"/>
  <c r="G1120" i="165"/>
  <c r="E1120" i="165"/>
  <c r="C1120" i="165"/>
  <c r="AA1119" i="165"/>
  <c r="Y1119" i="165"/>
  <c r="W1119" i="165"/>
  <c r="U1119" i="165"/>
  <c r="S1119" i="165"/>
  <c r="O1119" i="165"/>
  <c r="M1119" i="165"/>
  <c r="K1119" i="165"/>
  <c r="I1119" i="165"/>
  <c r="G1119" i="165"/>
  <c r="E1119" i="165"/>
  <c r="C1119" i="165"/>
  <c r="AA1118" i="165"/>
  <c r="Y1118" i="165"/>
  <c r="W1118" i="165"/>
  <c r="U1118" i="165"/>
  <c r="S1118" i="165"/>
  <c r="O1118" i="165"/>
  <c r="M1118" i="165"/>
  <c r="K1118" i="165"/>
  <c r="I1118" i="165"/>
  <c r="G1118" i="165"/>
  <c r="E1118" i="165"/>
  <c r="C1118" i="165"/>
  <c r="AA1117" i="165"/>
  <c r="Y1117" i="165"/>
  <c r="W1117" i="165"/>
  <c r="U1117" i="165"/>
  <c r="S1117" i="165"/>
  <c r="P1117" i="165"/>
  <c r="O1117" i="165"/>
  <c r="M1117" i="165"/>
  <c r="K1117" i="165"/>
  <c r="I1117" i="165"/>
  <c r="G1117" i="165"/>
  <c r="E1117" i="165"/>
  <c r="C1117" i="165"/>
  <c r="AA1116" i="165"/>
  <c r="Y1116" i="165"/>
  <c r="W1116" i="165"/>
  <c r="U1116" i="165"/>
  <c r="S1116" i="165"/>
  <c r="O1116" i="165"/>
  <c r="M1116" i="165"/>
  <c r="K1116" i="165"/>
  <c r="I1116" i="165"/>
  <c r="G1116" i="165"/>
  <c r="E1116" i="165"/>
  <c r="C1116" i="165"/>
  <c r="AA1115" i="165"/>
  <c r="Y1115" i="165"/>
  <c r="W1115" i="165"/>
  <c r="U1115" i="165"/>
  <c r="S1115" i="165"/>
  <c r="O1115" i="165"/>
  <c r="M1115" i="165"/>
  <c r="K1115" i="165"/>
  <c r="I1115" i="165"/>
  <c r="G1115" i="165"/>
  <c r="E1115" i="165"/>
  <c r="C1115" i="165"/>
  <c r="AA1114" i="165"/>
  <c r="Y1114" i="165"/>
  <c r="W1114" i="165"/>
  <c r="U1114" i="165"/>
  <c r="S1114" i="165"/>
  <c r="P1114" i="165"/>
  <c r="O1114" i="165"/>
  <c r="M1114" i="165"/>
  <c r="K1114" i="165"/>
  <c r="I1114" i="165"/>
  <c r="G1114" i="165"/>
  <c r="E1114" i="165"/>
  <c r="C1114" i="165"/>
  <c r="AA1113" i="165"/>
  <c r="Y1113" i="165"/>
  <c r="W1113" i="165"/>
  <c r="U1113" i="165"/>
  <c r="S1113" i="165"/>
  <c r="O1113" i="165"/>
  <c r="M1113" i="165"/>
  <c r="K1113" i="165"/>
  <c r="I1113" i="165"/>
  <c r="G1113" i="165"/>
  <c r="E1113" i="165"/>
  <c r="C1113" i="165"/>
  <c r="AA1112" i="165"/>
  <c r="Y1112" i="165"/>
  <c r="W1112" i="165"/>
  <c r="U1112" i="165"/>
  <c r="S1112" i="165"/>
  <c r="O1112" i="165"/>
  <c r="M1112" i="165"/>
  <c r="K1112" i="165"/>
  <c r="I1112" i="165"/>
  <c r="G1112" i="165"/>
  <c r="E1112" i="165"/>
  <c r="C1112" i="165"/>
  <c r="AA1111" i="165"/>
  <c r="Y1111" i="165"/>
  <c r="W1111" i="165"/>
  <c r="U1111" i="165"/>
  <c r="S1111" i="165"/>
  <c r="O1111" i="165"/>
  <c r="M1111" i="165"/>
  <c r="K1111" i="165"/>
  <c r="I1111" i="165"/>
  <c r="G1111" i="165"/>
  <c r="E1111" i="165"/>
  <c r="C1111" i="165"/>
  <c r="AA1110" i="165"/>
  <c r="Y1110" i="165"/>
  <c r="W1110" i="165"/>
  <c r="U1110" i="165"/>
  <c r="S1110" i="165"/>
  <c r="O1110" i="165"/>
  <c r="M1110" i="165"/>
  <c r="P1110" i="165" s="1"/>
  <c r="K1110" i="165"/>
  <c r="I1110" i="165"/>
  <c r="G1110" i="165"/>
  <c r="E1110" i="165"/>
  <c r="C1110" i="165"/>
  <c r="AA1109" i="165"/>
  <c r="Y1109" i="165"/>
  <c r="W1109" i="165"/>
  <c r="U1109" i="165"/>
  <c r="S1109" i="165"/>
  <c r="O1109" i="165"/>
  <c r="P1109" i="165" s="1"/>
  <c r="M1109" i="165"/>
  <c r="K1109" i="165"/>
  <c r="I1109" i="165"/>
  <c r="G1109" i="165"/>
  <c r="E1109" i="165"/>
  <c r="C1109" i="165"/>
  <c r="AA1108" i="165"/>
  <c r="Y1108" i="165"/>
  <c r="W1108" i="165"/>
  <c r="U1108" i="165"/>
  <c r="S1108" i="165"/>
  <c r="P1108" i="165"/>
  <c r="O1108" i="165"/>
  <c r="M1108" i="165"/>
  <c r="K1108" i="165"/>
  <c r="I1108" i="165"/>
  <c r="G1108" i="165"/>
  <c r="E1108" i="165"/>
  <c r="C1108" i="165"/>
  <c r="AA1107" i="165"/>
  <c r="Y1107" i="165"/>
  <c r="W1107" i="165"/>
  <c r="U1107" i="165"/>
  <c r="S1107" i="165"/>
  <c r="P1107" i="165"/>
  <c r="O1107" i="165"/>
  <c r="M1107" i="165"/>
  <c r="K1107" i="165"/>
  <c r="I1107" i="165"/>
  <c r="G1107" i="165"/>
  <c r="E1107" i="165"/>
  <c r="C1107" i="165"/>
  <c r="AA1106" i="165"/>
  <c r="Y1106" i="165"/>
  <c r="W1106" i="165"/>
  <c r="U1106" i="165"/>
  <c r="S1106" i="165"/>
  <c r="P1106" i="165"/>
  <c r="O1106" i="165"/>
  <c r="M1106" i="165"/>
  <c r="K1106" i="165"/>
  <c r="I1106" i="165"/>
  <c r="G1106" i="165"/>
  <c r="E1106" i="165"/>
  <c r="C1106" i="165"/>
  <c r="AA1105" i="165"/>
  <c r="Y1105" i="165"/>
  <c r="W1105" i="165"/>
  <c r="U1105" i="165"/>
  <c r="S1105" i="165"/>
  <c r="O1105" i="165"/>
  <c r="M1105" i="165"/>
  <c r="K1105" i="165"/>
  <c r="I1105" i="165"/>
  <c r="G1105" i="165"/>
  <c r="E1105" i="165"/>
  <c r="C1105" i="165"/>
  <c r="AA1104" i="165"/>
  <c r="Y1104" i="165"/>
  <c r="W1104" i="165"/>
  <c r="U1104" i="165"/>
  <c r="S1104" i="165"/>
  <c r="O1104" i="165"/>
  <c r="M1104" i="165"/>
  <c r="K1104" i="165"/>
  <c r="I1104" i="165"/>
  <c r="G1104" i="165"/>
  <c r="E1104" i="165"/>
  <c r="C1104" i="165"/>
  <c r="AA1103" i="165"/>
  <c r="Y1103" i="165"/>
  <c r="W1103" i="165"/>
  <c r="U1103" i="165"/>
  <c r="S1103" i="165"/>
  <c r="O1103" i="165"/>
  <c r="M1103" i="165"/>
  <c r="K1103" i="165"/>
  <c r="I1103" i="165"/>
  <c r="G1103" i="165"/>
  <c r="E1103" i="165"/>
  <c r="C1103" i="165"/>
  <c r="AA1102" i="165"/>
  <c r="Y1102" i="165"/>
  <c r="W1102" i="165"/>
  <c r="U1102" i="165"/>
  <c r="S1102" i="165"/>
  <c r="O1102" i="165"/>
  <c r="M1102" i="165"/>
  <c r="K1102" i="165"/>
  <c r="I1102" i="165"/>
  <c r="G1102" i="165"/>
  <c r="E1102" i="165"/>
  <c r="C1102" i="165"/>
  <c r="AA1101" i="165"/>
  <c r="Y1101" i="165"/>
  <c r="W1101" i="165"/>
  <c r="U1101" i="165"/>
  <c r="S1101" i="165"/>
  <c r="O1101" i="165"/>
  <c r="M1101" i="165"/>
  <c r="K1101" i="165"/>
  <c r="I1101" i="165"/>
  <c r="G1101" i="165"/>
  <c r="E1101" i="165"/>
  <c r="C1101" i="165"/>
  <c r="P1101" i="165" s="1"/>
  <c r="AA1100" i="165"/>
  <c r="Y1100" i="165"/>
  <c r="W1100" i="165"/>
  <c r="U1100" i="165"/>
  <c r="S1100" i="165"/>
  <c r="O1100" i="165"/>
  <c r="M1100" i="165"/>
  <c r="K1100" i="165"/>
  <c r="I1100" i="165"/>
  <c r="G1100" i="165"/>
  <c r="E1100" i="165"/>
  <c r="C1100" i="165"/>
  <c r="P1100" i="165" s="1"/>
  <c r="AA1099" i="165"/>
  <c r="Y1099" i="165"/>
  <c r="W1099" i="165"/>
  <c r="U1099" i="165"/>
  <c r="S1099" i="165"/>
  <c r="O1099" i="165"/>
  <c r="M1099" i="165"/>
  <c r="K1099" i="165"/>
  <c r="I1099" i="165"/>
  <c r="G1099" i="165"/>
  <c r="E1099" i="165"/>
  <c r="C1099" i="165"/>
  <c r="AA1098" i="165"/>
  <c r="Y1098" i="165"/>
  <c r="W1098" i="165"/>
  <c r="U1098" i="165"/>
  <c r="S1098" i="165"/>
  <c r="O1098" i="165"/>
  <c r="M1098" i="165"/>
  <c r="K1098" i="165"/>
  <c r="I1098" i="165"/>
  <c r="G1098" i="165"/>
  <c r="P1098" i="165" s="1"/>
  <c r="E1098" i="165"/>
  <c r="C1098" i="165"/>
  <c r="AA1097" i="165"/>
  <c r="Y1097" i="165"/>
  <c r="W1097" i="165"/>
  <c r="U1097" i="165"/>
  <c r="S1097" i="165"/>
  <c r="O1097" i="165"/>
  <c r="M1097" i="165"/>
  <c r="K1097" i="165"/>
  <c r="I1097" i="165"/>
  <c r="P1097" i="165" s="1"/>
  <c r="G1097" i="165"/>
  <c r="E1097" i="165"/>
  <c r="C1097" i="165"/>
  <c r="AA1096" i="165"/>
  <c r="Y1096" i="165"/>
  <c r="W1096" i="165"/>
  <c r="U1096" i="165"/>
  <c r="S1096" i="165"/>
  <c r="O1096" i="165"/>
  <c r="M1096" i="165"/>
  <c r="K1096" i="165"/>
  <c r="I1096" i="165"/>
  <c r="G1096" i="165"/>
  <c r="E1096" i="165"/>
  <c r="C1096" i="165"/>
  <c r="P1096" i="165" s="1"/>
  <c r="AA1095" i="165"/>
  <c r="Y1095" i="165"/>
  <c r="W1095" i="165"/>
  <c r="U1095" i="165"/>
  <c r="S1095" i="165"/>
  <c r="O1095" i="165"/>
  <c r="M1095" i="165"/>
  <c r="K1095" i="165"/>
  <c r="I1095" i="165"/>
  <c r="G1095" i="165"/>
  <c r="E1095" i="165"/>
  <c r="C1095" i="165"/>
  <c r="P1095" i="165" s="1"/>
  <c r="AA1094" i="165"/>
  <c r="Y1094" i="165"/>
  <c r="W1094" i="165"/>
  <c r="U1094" i="165"/>
  <c r="S1094" i="165"/>
  <c r="O1094" i="165"/>
  <c r="M1094" i="165"/>
  <c r="K1094" i="165"/>
  <c r="I1094" i="165"/>
  <c r="G1094" i="165"/>
  <c r="E1094" i="165"/>
  <c r="C1094" i="165"/>
  <c r="AA1093" i="165"/>
  <c r="Y1093" i="165"/>
  <c r="W1093" i="165"/>
  <c r="U1093" i="165"/>
  <c r="S1093" i="165"/>
  <c r="O1093" i="165"/>
  <c r="M1093" i="165"/>
  <c r="K1093" i="165"/>
  <c r="I1093" i="165"/>
  <c r="G1093" i="165"/>
  <c r="E1093" i="165"/>
  <c r="C1093" i="165"/>
  <c r="AA1092" i="165"/>
  <c r="Y1092" i="165"/>
  <c r="W1092" i="165"/>
  <c r="U1092" i="165"/>
  <c r="S1092" i="165"/>
  <c r="O1092" i="165"/>
  <c r="M1092" i="165"/>
  <c r="K1092" i="165"/>
  <c r="I1092" i="165"/>
  <c r="G1092" i="165"/>
  <c r="E1092" i="165"/>
  <c r="C1092" i="165"/>
  <c r="AA1091" i="165"/>
  <c r="Y1091" i="165"/>
  <c r="W1091" i="165"/>
  <c r="U1091" i="165"/>
  <c r="S1091" i="165"/>
  <c r="O1091" i="165"/>
  <c r="M1091" i="165"/>
  <c r="K1091" i="165"/>
  <c r="I1091" i="165"/>
  <c r="G1091" i="165"/>
  <c r="E1091" i="165"/>
  <c r="C1091" i="165"/>
  <c r="AA1090" i="165"/>
  <c r="Y1090" i="165"/>
  <c r="W1090" i="165"/>
  <c r="U1090" i="165"/>
  <c r="S1090" i="165"/>
  <c r="O1090" i="165"/>
  <c r="M1090" i="165"/>
  <c r="K1090" i="165"/>
  <c r="I1090" i="165"/>
  <c r="G1090" i="165"/>
  <c r="E1090" i="165"/>
  <c r="C1090" i="165"/>
  <c r="AA1089" i="165"/>
  <c r="Y1089" i="165"/>
  <c r="W1089" i="165"/>
  <c r="U1089" i="165"/>
  <c r="S1089" i="165"/>
  <c r="O1089" i="165"/>
  <c r="M1089" i="165"/>
  <c r="K1089" i="165"/>
  <c r="I1089" i="165"/>
  <c r="G1089" i="165"/>
  <c r="E1089" i="165"/>
  <c r="C1089" i="165"/>
  <c r="AA1088" i="165"/>
  <c r="Y1088" i="165"/>
  <c r="W1088" i="165"/>
  <c r="U1088" i="165"/>
  <c r="S1088" i="165"/>
  <c r="O1088" i="165"/>
  <c r="M1088" i="165"/>
  <c r="K1088" i="165"/>
  <c r="I1088" i="165"/>
  <c r="G1088" i="165"/>
  <c r="E1088" i="165"/>
  <c r="C1088" i="165"/>
  <c r="AA1087" i="165"/>
  <c r="Y1087" i="165"/>
  <c r="W1087" i="165"/>
  <c r="U1087" i="165"/>
  <c r="S1087" i="165"/>
  <c r="O1087" i="165"/>
  <c r="M1087" i="165"/>
  <c r="K1087" i="165"/>
  <c r="I1087" i="165"/>
  <c r="G1087" i="165"/>
  <c r="E1087" i="165"/>
  <c r="C1087" i="165"/>
  <c r="AA1086" i="165"/>
  <c r="Y1086" i="165"/>
  <c r="W1086" i="165"/>
  <c r="U1086" i="165"/>
  <c r="S1086" i="165"/>
  <c r="O1086" i="165"/>
  <c r="M1086" i="165"/>
  <c r="K1086" i="165"/>
  <c r="I1086" i="165"/>
  <c r="G1086" i="165"/>
  <c r="E1086" i="165"/>
  <c r="C1086" i="165"/>
  <c r="AA1085" i="165"/>
  <c r="Y1085" i="165"/>
  <c r="W1085" i="165"/>
  <c r="U1085" i="165"/>
  <c r="S1085" i="165"/>
  <c r="O1085" i="165"/>
  <c r="M1085" i="165"/>
  <c r="P1085" i="165" s="1"/>
  <c r="K1085" i="165"/>
  <c r="I1085" i="165"/>
  <c r="G1085" i="165"/>
  <c r="E1085" i="165"/>
  <c r="C1085" i="165"/>
  <c r="AA1084" i="165"/>
  <c r="Y1084" i="165"/>
  <c r="W1084" i="165"/>
  <c r="U1084" i="165"/>
  <c r="S1084" i="165"/>
  <c r="O1084" i="165"/>
  <c r="P1084" i="165" s="1"/>
  <c r="M1084" i="165"/>
  <c r="K1084" i="165"/>
  <c r="I1084" i="165"/>
  <c r="G1084" i="165"/>
  <c r="E1084" i="165"/>
  <c r="C1084" i="165"/>
  <c r="AA1083" i="165"/>
  <c r="Y1083" i="165"/>
  <c r="W1083" i="165"/>
  <c r="U1083" i="165"/>
  <c r="S1083" i="165"/>
  <c r="P1083" i="165"/>
  <c r="O1083" i="165"/>
  <c r="M1083" i="165"/>
  <c r="K1083" i="165"/>
  <c r="I1083" i="165"/>
  <c r="G1083" i="165"/>
  <c r="E1083" i="165"/>
  <c r="C1083" i="165"/>
  <c r="AA1082" i="165"/>
  <c r="Y1082" i="165"/>
  <c r="W1082" i="165"/>
  <c r="U1082" i="165"/>
  <c r="S1082" i="165"/>
  <c r="P1082" i="165"/>
  <c r="O1082" i="165"/>
  <c r="M1082" i="165"/>
  <c r="K1082" i="165"/>
  <c r="I1082" i="165"/>
  <c r="G1082" i="165"/>
  <c r="E1082" i="165"/>
  <c r="C1082" i="165"/>
  <c r="AA1081" i="165"/>
  <c r="Y1081" i="165"/>
  <c r="W1081" i="165"/>
  <c r="U1081" i="165"/>
  <c r="S1081" i="165"/>
  <c r="O1081" i="165"/>
  <c r="M1081" i="165"/>
  <c r="K1081" i="165"/>
  <c r="I1081" i="165"/>
  <c r="G1081" i="165"/>
  <c r="E1081" i="165"/>
  <c r="C1081" i="165"/>
  <c r="AA1080" i="165"/>
  <c r="Y1080" i="165"/>
  <c r="W1080" i="165"/>
  <c r="U1080" i="165"/>
  <c r="S1080" i="165"/>
  <c r="O1080" i="165"/>
  <c r="M1080" i="165"/>
  <c r="K1080" i="165"/>
  <c r="I1080" i="165"/>
  <c r="G1080" i="165"/>
  <c r="E1080" i="165"/>
  <c r="C1080" i="165"/>
  <c r="AA1079" i="165"/>
  <c r="Y1079" i="165"/>
  <c r="W1079" i="165"/>
  <c r="U1079" i="165"/>
  <c r="S1079" i="165"/>
  <c r="O1079" i="165"/>
  <c r="M1079" i="165"/>
  <c r="K1079" i="165"/>
  <c r="I1079" i="165"/>
  <c r="G1079" i="165"/>
  <c r="E1079" i="165"/>
  <c r="C1079" i="165"/>
  <c r="AA1078" i="165"/>
  <c r="Y1078" i="165"/>
  <c r="W1078" i="165"/>
  <c r="U1078" i="165"/>
  <c r="S1078" i="165"/>
  <c r="O1078" i="165"/>
  <c r="M1078" i="165"/>
  <c r="K1078" i="165"/>
  <c r="I1078" i="165"/>
  <c r="G1078" i="165"/>
  <c r="E1078" i="165"/>
  <c r="C1078" i="165"/>
  <c r="AA1077" i="165"/>
  <c r="Y1077" i="165"/>
  <c r="W1077" i="165"/>
  <c r="U1077" i="165"/>
  <c r="S1077" i="165"/>
  <c r="O1077" i="165"/>
  <c r="M1077" i="165"/>
  <c r="K1077" i="165"/>
  <c r="I1077" i="165"/>
  <c r="G1077" i="165"/>
  <c r="E1077" i="165"/>
  <c r="C1077" i="165"/>
  <c r="AA1076" i="165"/>
  <c r="Y1076" i="165"/>
  <c r="W1076" i="165"/>
  <c r="U1076" i="165"/>
  <c r="S1076" i="165"/>
  <c r="O1076" i="165"/>
  <c r="M1076" i="165"/>
  <c r="K1076" i="165"/>
  <c r="I1076" i="165"/>
  <c r="G1076" i="165"/>
  <c r="E1076" i="165"/>
  <c r="C1076" i="165"/>
  <c r="AA1075" i="165"/>
  <c r="Y1075" i="165"/>
  <c r="W1075" i="165"/>
  <c r="U1075" i="165"/>
  <c r="S1075" i="165"/>
  <c r="O1075" i="165"/>
  <c r="M1075" i="165"/>
  <c r="K1075" i="165"/>
  <c r="I1075" i="165"/>
  <c r="G1075" i="165"/>
  <c r="E1075" i="165"/>
  <c r="P1075" i="165" s="1"/>
  <c r="C1075" i="165"/>
  <c r="AA1074" i="165"/>
  <c r="Y1074" i="165"/>
  <c r="W1074" i="165"/>
  <c r="U1074" i="165"/>
  <c r="S1074" i="165"/>
  <c r="O1074" i="165"/>
  <c r="M1074" i="165"/>
  <c r="K1074" i="165"/>
  <c r="I1074" i="165"/>
  <c r="G1074" i="165"/>
  <c r="P1074" i="165" s="1"/>
  <c r="E1074" i="165"/>
  <c r="C1074" i="165"/>
  <c r="AA1073" i="165"/>
  <c r="Y1073" i="165"/>
  <c r="W1073" i="165"/>
  <c r="U1073" i="165"/>
  <c r="S1073" i="165"/>
  <c r="O1073" i="165"/>
  <c r="M1073" i="165"/>
  <c r="K1073" i="165"/>
  <c r="I1073" i="165"/>
  <c r="G1073" i="165"/>
  <c r="E1073" i="165"/>
  <c r="C1073" i="165"/>
  <c r="P1073" i="165" s="1"/>
  <c r="AA1072" i="165"/>
  <c r="Y1072" i="165"/>
  <c r="W1072" i="165"/>
  <c r="U1072" i="165"/>
  <c r="S1072" i="165"/>
  <c r="O1072" i="165"/>
  <c r="M1072" i="165"/>
  <c r="K1072" i="165"/>
  <c r="I1072" i="165"/>
  <c r="G1072" i="165"/>
  <c r="E1072" i="165"/>
  <c r="C1072" i="165"/>
  <c r="AA1071" i="165"/>
  <c r="Y1071" i="165"/>
  <c r="W1071" i="165"/>
  <c r="U1071" i="165"/>
  <c r="S1071" i="165"/>
  <c r="O1071" i="165"/>
  <c r="M1071" i="165"/>
  <c r="K1071" i="165"/>
  <c r="I1071" i="165"/>
  <c r="G1071" i="165"/>
  <c r="E1071" i="165"/>
  <c r="C1071" i="165"/>
  <c r="AA1070" i="165"/>
  <c r="Y1070" i="165"/>
  <c r="W1070" i="165"/>
  <c r="U1070" i="165"/>
  <c r="S1070" i="165"/>
  <c r="P1070" i="165"/>
  <c r="O1070" i="165"/>
  <c r="M1070" i="165"/>
  <c r="K1070" i="165"/>
  <c r="I1070" i="165"/>
  <c r="G1070" i="165"/>
  <c r="E1070" i="165"/>
  <c r="C1070" i="165"/>
  <c r="AA1069" i="165"/>
  <c r="Y1069" i="165"/>
  <c r="W1069" i="165"/>
  <c r="U1069" i="165"/>
  <c r="S1069" i="165"/>
  <c r="P1069" i="165"/>
  <c r="O1069" i="165"/>
  <c r="M1069" i="165"/>
  <c r="K1069" i="165"/>
  <c r="I1069" i="165"/>
  <c r="G1069" i="165"/>
  <c r="E1069" i="165"/>
  <c r="C1069" i="165"/>
  <c r="AA1068" i="165"/>
  <c r="Y1068" i="165"/>
  <c r="W1068" i="165"/>
  <c r="U1068" i="165"/>
  <c r="S1068" i="165"/>
  <c r="O1068" i="165"/>
  <c r="M1068" i="165"/>
  <c r="K1068" i="165"/>
  <c r="I1068" i="165"/>
  <c r="G1068" i="165"/>
  <c r="E1068" i="165"/>
  <c r="C1068" i="165"/>
  <c r="AA1067" i="165"/>
  <c r="Y1067" i="165"/>
  <c r="W1067" i="165"/>
  <c r="U1067" i="165"/>
  <c r="S1067" i="165"/>
  <c r="O1067" i="165"/>
  <c r="M1067" i="165"/>
  <c r="K1067" i="165"/>
  <c r="I1067" i="165"/>
  <c r="G1067" i="165"/>
  <c r="E1067" i="165"/>
  <c r="C1067" i="165"/>
  <c r="AA1066" i="165"/>
  <c r="Y1066" i="165"/>
  <c r="W1066" i="165"/>
  <c r="U1066" i="165"/>
  <c r="S1066" i="165"/>
  <c r="O1066" i="165"/>
  <c r="M1066" i="165"/>
  <c r="P1066" i="165" s="1"/>
  <c r="K1066" i="165"/>
  <c r="I1066" i="165"/>
  <c r="G1066" i="165"/>
  <c r="E1066" i="165"/>
  <c r="C1066" i="165"/>
  <c r="AA1065" i="165"/>
  <c r="Y1065" i="165"/>
  <c r="W1065" i="165"/>
  <c r="U1065" i="165"/>
  <c r="S1065" i="165"/>
  <c r="O1065" i="165"/>
  <c r="P1065" i="165" s="1"/>
  <c r="M1065" i="165"/>
  <c r="K1065" i="165"/>
  <c r="I1065" i="165"/>
  <c r="G1065" i="165"/>
  <c r="E1065" i="165"/>
  <c r="C1065" i="165"/>
  <c r="AA1064" i="165"/>
  <c r="Y1064" i="165"/>
  <c r="W1064" i="165"/>
  <c r="U1064" i="165"/>
  <c r="S1064" i="165"/>
  <c r="P1064" i="165"/>
  <c r="O1064" i="165"/>
  <c r="M1064" i="165"/>
  <c r="K1064" i="165"/>
  <c r="I1064" i="165"/>
  <c r="G1064" i="165"/>
  <c r="E1064" i="165"/>
  <c r="C1064" i="165"/>
  <c r="AA1063" i="165"/>
  <c r="Y1063" i="165"/>
  <c r="W1063" i="165"/>
  <c r="U1063" i="165"/>
  <c r="S1063" i="165"/>
  <c r="O1063" i="165"/>
  <c r="M1063" i="165"/>
  <c r="K1063" i="165"/>
  <c r="I1063" i="165"/>
  <c r="G1063" i="165"/>
  <c r="E1063" i="165"/>
  <c r="P1063" i="165" s="1"/>
  <c r="C1063" i="165"/>
  <c r="AA1062" i="165"/>
  <c r="Y1062" i="165"/>
  <c r="W1062" i="165"/>
  <c r="U1062" i="165"/>
  <c r="S1062" i="165"/>
  <c r="O1062" i="165"/>
  <c r="M1062" i="165"/>
  <c r="K1062" i="165"/>
  <c r="I1062" i="165"/>
  <c r="G1062" i="165"/>
  <c r="E1062" i="165"/>
  <c r="C1062" i="165"/>
  <c r="AA1061" i="165"/>
  <c r="Y1061" i="165"/>
  <c r="W1061" i="165"/>
  <c r="U1061" i="165"/>
  <c r="S1061" i="165"/>
  <c r="O1061" i="165"/>
  <c r="M1061" i="165"/>
  <c r="K1061" i="165"/>
  <c r="I1061" i="165"/>
  <c r="G1061" i="165"/>
  <c r="E1061" i="165"/>
  <c r="C1061" i="165"/>
  <c r="AA1060" i="165"/>
  <c r="Y1060" i="165"/>
  <c r="W1060" i="165"/>
  <c r="U1060" i="165"/>
  <c r="S1060" i="165"/>
  <c r="O1060" i="165"/>
  <c r="M1060" i="165"/>
  <c r="K1060" i="165"/>
  <c r="I1060" i="165"/>
  <c r="G1060" i="165"/>
  <c r="E1060" i="165"/>
  <c r="C1060" i="165"/>
  <c r="AA1059" i="165"/>
  <c r="Y1059" i="165"/>
  <c r="W1059" i="165"/>
  <c r="U1059" i="165"/>
  <c r="S1059" i="165"/>
  <c r="O1059" i="165"/>
  <c r="M1059" i="165"/>
  <c r="K1059" i="165"/>
  <c r="I1059" i="165"/>
  <c r="G1059" i="165"/>
  <c r="E1059" i="165"/>
  <c r="C1059" i="165"/>
  <c r="AA1058" i="165"/>
  <c r="Y1058" i="165"/>
  <c r="W1058" i="165"/>
  <c r="U1058" i="165"/>
  <c r="S1058" i="165"/>
  <c r="O1058" i="165"/>
  <c r="M1058" i="165"/>
  <c r="K1058" i="165"/>
  <c r="I1058" i="165"/>
  <c r="G1058" i="165"/>
  <c r="E1058" i="165"/>
  <c r="C1058" i="165"/>
  <c r="P1058" i="165" s="1"/>
  <c r="AA1057" i="165"/>
  <c r="Y1057" i="165"/>
  <c r="W1057" i="165"/>
  <c r="U1057" i="165"/>
  <c r="S1057" i="165"/>
  <c r="O1057" i="165"/>
  <c r="M1057" i="165"/>
  <c r="K1057" i="165"/>
  <c r="I1057" i="165"/>
  <c r="G1057" i="165"/>
  <c r="E1057" i="165"/>
  <c r="C1057" i="165"/>
  <c r="P1057" i="165" s="1"/>
  <c r="AA1056" i="165"/>
  <c r="Y1056" i="165"/>
  <c r="W1056" i="165"/>
  <c r="U1056" i="165"/>
  <c r="S1056" i="165"/>
  <c r="O1056" i="165"/>
  <c r="M1056" i="165"/>
  <c r="K1056" i="165"/>
  <c r="I1056" i="165"/>
  <c r="G1056" i="165"/>
  <c r="E1056" i="165"/>
  <c r="C1056" i="165"/>
  <c r="P1056" i="165" s="1"/>
  <c r="AA1055" i="165"/>
  <c r="Y1055" i="165"/>
  <c r="W1055" i="165"/>
  <c r="U1055" i="165"/>
  <c r="S1055" i="165"/>
  <c r="O1055" i="165"/>
  <c r="M1055" i="165"/>
  <c r="K1055" i="165"/>
  <c r="I1055" i="165"/>
  <c r="G1055" i="165"/>
  <c r="E1055" i="165"/>
  <c r="C1055" i="165"/>
  <c r="P1055" i="165" s="1"/>
  <c r="AA1054" i="165"/>
  <c r="Y1054" i="165"/>
  <c r="W1054" i="165"/>
  <c r="U1054" i="165"/>
  <c r="S1054" i="165"/>
  <c r="O1054" i="165"/>
  <c r="M1054" i="165"/>
  <c r="K1054" i="165"/>
  <c r="I1054" i="165"/>
  <c r="G1054" i="165"/>
  <c r="E1054" i="165"/>
  <c r="P1054" i="165" s="1"/>
  <c r="C1054" i="165"/>
  <c r="AA1053" i="165"/>
  <c r="Y1053" i="165"/>
  <c r="W1053" i="165"/>
  <c r="U1053" i="165"/>
  <c r="S1053" i="165"/>
  <c r="O1053" i="165"/>
  <c r="M1053" i="165"/>
  <c r="K1053" i="165"/>
  <c r="I1053" i="165"/>
  <c r="G1053" i="165"/>
  <c r="P1053" i="165" s="1"/>
  <c r="E1053" i="165"/>
  <c r="C1053" i="165"/>
  <c r="AA1052" i="165"/>
  <c r="Y1052" i="165"/>
  <c r="W1052" i="165"/>
  <c r="U1052" i="165"/>
  <c r="S1052" i="165"/>
  <c r="O1052" i="165"/>
  <c r="M1052" i="165"/>
  <c r="K1052" i="165"/>
  <c r="I1052" i="165"/>
  <c r="P1052" i="165" s="1"/>
  <c r="G1052" i="165"/>
  <c r="E1052" i="165"/>
  <c r="C1052" i="165"/>
  <c r="AA1051" i="165"/>
  <c r="Y1051" i="165"/>
  <c r="W1051" i="165"/>
  <c r="U1051" i="165"/>
  <c r="S1051" i="165"/>
  <c r="O1051" i="165"/>
  <c r="M1051" i="165"/>
  <c r="K1051" i="165"/>
  <c r="I1051" i="165"/>
  <c r="G1051" i="165"/>
  <c r="E1051" i="165"/>
  <c r="C1051" i="165"/>
  <c r="AA1050" i="165"/>
  <c r="Y1050" i="165"/>
  <c r="W1050" i="165"/>
  <c r="U1050" i="165"/>
  <c r="S1050" i="165"/>
  <c r="O1050" i="165"/>
  <c r="M1050" i="165"/>
  <c r="P1050" i="165" s="1"/>
  <c r="K1050" i="165"/>
  <c r="I1050" i="165"/>
  <c r="G1050" i="165"/>
  <c r="E1050" i="165"/>
  <c r="C1050" i="165"/>
  <c r="AA1049" i="165"/>
  <c r="Y1049" i="165"/>
  <c r="W1049" i="165"/>
  <c r="U1049" i="165"/>
  <c r="S1049" i="165"/>
  <c r="O1049" i="165"/>
  <c r="P1049" i="165" s="1"/>
  <c r="M1049" i="165"/>
  <c r="K1049" i="165"/>
  <c r="I1049" i="165"/>
  <c r="G1049" i="165"/>
  <c r="E1049" i="165"/>
  <c r="C1049" i="165"/>
  <c r="AA1048" i="165"/>
  <c r="Y1048" i="165"/>
  <c r="W1048" i="165"/>
  <c r="U1048" i="165"/>
  <c r="S1048" i="165"/>
  <c r="P1048" i="165"/>
  <c r="O1048" i="165"/>
  <c r="M1048" i="165"/>
  <c r="K1048" i="165"/>
  <c r="I1048" i="165"/>
  <c r="G1048" i="165"/>
  <c r="E1048" i="165"/>
  <c r="C1048" i="165"/>
  <c r="AA1047" i="165"/>
  <c r="Y1047" i="165"/>
  <c r="W1047" i="165"/>
  <c r="U1047" i="165"/>
  <c r="S1047" i="165"/>
  <c r="O1047" i="165"/>
  <c r="M1047" i="165"/>
  <c r="K1047" i="165"/>
  <c r="I1047" i="165"/>
  <c r="G1047" i="165"/>
  <c r="E1047" i="165"/>
  <c r="C1047" i="165"/>
  <c r="AA1046" i="165"/>
  <c r="Y1046" i="165"/>
  <c r="W1046" i="165"/>
  <c r="U1046" i="165"/>
  <c r="S1046" i="165"/>
  <c r="O1046" i="165"/>
  <c r="M1046" i="165"/>
  <c r="K1046" i="165"/>
  <c r="I1046" i="165"/>
  <c r="G1046" i="165"/>
  <c r="E1046" i="165"/>
  <c r="C1046" i="165"/>
  <c r="AA1045" i="165"/>
  <c r="Y1045" i="165"/>
  <c r="W1045" i="165"/>
  <c r="U1045" i="165"/>
  <c r="S1045" i="165"/>
  <c r="O1045" i="165"/>
  <c r="M1045" i="165"/>
  <c r="K1045" i="165"/>
  <c r="I1045" i="165"/>
  <c r="G1045" i="165"/>
  <c r="E1045" i="165"/>
  <c r="C1045" i="165"/>
  <c r="AA1044" i="165"/>
  <c r="Y1044" i="165"/>
  <c r="W1044" i="165"/>
  <c r="U1044" i="165"/>
  <c r="S1044" i="165"/>
  <c r="O1044" i="165"/>
  <c r="M1044" i="165"/>
  <c r="K1044" i="165"/>
  <c r="I1044" i="165"/>
  <c r="G1044" i="165"/>
  <c r="E1044" i="165"/>
  <c r="C1044" i="165"/>
  <c r="AA1043" i="165"/>
  <c r="Y1043" i="165"/>
  <c r="W1043" i="165"/>
  <c r="U1043" i="165"/>
  <c r="S1043" i="165"/>
  <c r="O1043" i="165"/>
  <c r="M1043" i="165"/>
  <c r="K1043" i="165"/>
  <c r="I1043" i="165"/>
  <c r="G1043" i="165"/>
  <c r="E1043" i="165"/>
  <c r="C1043" i="165"/>
  <c r="AA1042" i="165"/>
  <c r="Y1042" i="165"/>
  <c r="W1042" i="165"/>
  <c r="U1042" i="165"/>
  <c r="S1042" i="165"/>
  <c r="O1042" i="165"/>
  <c r="M1042" i="165"/>
  <c r="K1042" i="165"/>
  <c r="I1042" i="165"/>
  <c r="G1042" i="165"/>
  <c r="E1042" i="165"/>
  <c r="C1042" i="165"/>
  <c r="AA1041" i="165"/>
  <c r="Y1041" i="165"/>
  <c r="W1041" i="165"/>
  <c r="U1041" i="165"/>
  <c r="S1041" i="165"/>
  <c r="O1041" i="165"/>
  <c r="M1041" i="165"/>
  <c r="K1041" i="165"/>
  <c r="I1041" i="165"/>
  <c r="G1041" i="165"/>
  <c r="E1041" i="165"/>
  <c r="C1041" i="165"/>
  <c r="AA1040" i="165"/>
  <c r="Y1040" i="165"/>
  <c r="W1040" i="165"/>
  <c r="U1040" i="165"/>
  <c r="S1040" i="165"/>
  <c r="O1040" i="165"/>
  <c r="M1040" i="165"/>
  <c r="K1040" i="165"/>
  <c r="I1040" i="165"/>
  <c r="G1040" i="165"/>
  <c r="E1040" i="165"/>
  <c r="C1040" i="165"/>
  <c r="AA1039" i="165"/>
  <c r="Y1039" i="165"/>
  <c r="W1039" i="165"/>
  <c r="U1039" i="165"/>
  <c r="S1039" i="165"/>
  <c r="O1039" i="165"/>
  <c r="M1039" i="165"/>
  <c r="P1039" i="165" s="1"/>
  <c r="K1039" i="165"/>
  <c r="I1039" i="165"/>
  <c r="G1039" i="165"/>
  <c r="E1039" i="165"/>
  <c r="C1039" i="165"/>
  <c r="AA1038" i="165"/>
  <c r="Y1038" i="165"/>
  <c r="W1038" i="165"/>
  <c r="U1038" i="165"/>
  <c r="S1038" i="165"/>
  <c r="O1038" i="165"/>
  <c r="P1038" i="165" s="1"/>
  <c r="M1038" i="165"/>
  <c r="K1038" i="165"/>
  <c r="I1038" i="165"/>
  <c r="G1038" i="165"/>
  <c r="E1038" i="165"/>
  <c r="C1038" i="165"/>
  <c r="AA1037" i="165"/>
  <c r="Y1037" i="165"/>
  <c r="W1037" i="165"/>
  <c r="U1037" i="165"/>
  <c r="S1037" i="165"/>
  <c r="P1037" i="165"/>
  <c r="O1037" i="165"/>
  <c r="M1037" i="165"/>
  <c r="K1037" i="165"/>
  <c r="I1037" i="165"/>
  <c r="G1037" i="165"/>
  <c r="E1037" i="165"/>
  <c r="C1037" i="165"/>
  <c r="AA1036" i="165"/>
  <c r="Y1036" i="165"/>
  <c r="W1036" i="165"/>
  <c r="U1036" i="165"/>
  <c r="S1036" i="165"/>
  <c r="P1036" i="165"/>
  <c r="O1036" i="165"/>
  <c r="M1036" i="165"/>
  <c r="K1036" i="165"/>
  <c r="I1036" i="165"/>
  <c r="G1036" i="165"/>
  <c r="E1036" i="165"/>
  <c r="C1036" i="165"/>
  <c r="AA1035" i="165"/>
  <c r="Y1035" i="165"/>
  <c r="W1035" i="165"/>
  <c r="U1035" i="165"/>
  <c r="S1035" i="165"/>
  <c r="O1035" i="165"/>
  <c r="M1035" i="165"/>
  <c r="K1035" i="165"/>
  <c r="I1035" i="165"/>
  <c r="G1035" i="165"/>
  <c r="E1035" i="165"/>
  <c r="C1035" i="165"/>
  <c r="P1035" i="165" s="1"/>
  <c r="AA1034" i="165"/>
  <c r="Y1034" i="165"/>
  <c r="W1034" i="165"/>
  <c r="U1034" i="165"/>
  <c r="S1034" i="165"/>
  <c r="O1034" i="165"/>
  <c r="M1034" i="165"/>
  <c r="K1034" i="165"/>
  <c r="I1034" i="165"/>
  <c r="G1034" i="165"/>
  <c r="E1034" i="165"/>
  <c r="C1034" i="165"/>
  <c r="P1034" i="165" s="1"/>
  <c r="AA1033" i="165"/>
  <c r="Y1033" i="165"/>
  <c r="W1033" i="165"/>
  <c r="U1033" i="165"/>
  <c r="S1033" i="165"/>
  <c r="O1033" i="165"/>
  <c r="M1033" i="165"/>
  <c r="K1033" i="165"/>
  <c r="I1033" i="165"/>
  <c r="G1033" i="165"/>
  <c r="E1033" i="165"/>
  <c r="C1033" i="165"/>
  <c r="P1033" i="165" s="1"/>
  <c r="AA1032" i="165"/>
  <c r="Y1032" i="165"/>
  <c r="W1032" i="165"/>
  <c r="U1032" i="165"/>
  <c r="S1032" i="165"/>
  <c r="O1032" i="165"/>
  <c r="M1032" i="165"/>
  <c r="K1032" i="165"/>
  <c r="I1032" i="165"/>
  <c r="G1032" i="165"/>
  <c r="E1032" i="165"/>
  <c r="C1032" i="165"/>
  <c r="P1032" i="165" s="1"/>
  <c r="AA1031" i="165"/>
  <c r="Y1031" i="165"/>
  <c r="W1031" i="165"/>
  <c r="U1031" i="165"/>
  <c r="S1031" i="165"/>
  <c r="O1031" i="165"/>
  <c r="M1031" i="165"/>
  <c r="K1031" i="165"/>
  <c r="I1031" i="165"/>
  <c r="G1031" i="165"/>
  <c r="E1031" i="165"/>
  <c r="C1031" i="165"/>
  <c r="P1031" i="165" s="1"/>
  <c r="AA1030" i="165"/>
  <c r="Y1030" i="165"/>
  <c r="W1030" i="165"/>
  <c r="U1030" i="165"/>
  <c r="S1030" i="165"/>
  <c r="O1030" i="165"/>
  <c r="M1030" i="165"/>
  <c r="K1030" i="165"/>
  <c r="I1030" i="165"/>
  <c r="G1030" i="165"/>
  <c r="E1030" i="165"/>
  <c r="C1030" i="165"/>
  <c r="P1030" i="165" s="1"/>
  <c r="AA1029" i="165"/>
  <c r="Y1029" i="165"/>
  <c r="W1029" i="165"/>
  <c r="U1029" i="165"/>
  <c r="S1029" i="165"/>
  <c r="O1029" i="165"/>
  <c r="M1029" i="165"/>
  <c r="K1029" i="165"/>
  <c r="I1029" i="165"/>
  <c r="G1029" i="165"/>
  <c r="E1029" i="165"/>
  <c r="C1029" i="165"/>
  <c r="P1029" i="165" s="1"/>
  <c r="AA1028" i="165"/>
  <c r="Y1028" i="165"/>
  <c r="W1028" i="165"/>
  <c r="U1028" i="165"/>
  <c r="S1028" i="165"/>
  <c r="O1028" i="165"/>
  <c r="M1028" i="165"/>
  <c r="K1028" i="165"/>
  <c r="I1028" i="165"/>
  <c r="G1028" i="165"/>
  <c r="E1028" i="165"/>
  <c r="C1028" i="165"/>
  <c r="P1028" i="165" s="1"/>
  <c r="AA1027" i="165"/>
  <c r="Y1027" i="165"/>
  <c r="W1027" i="165"/>
  <c r="U1027" i="165"/>
  <c r="S1027" i="165"/>
  <c r="O1027" i="165"/>
  <c r="M1027" i="165"/>
  <c r="K1027" i="165"/>
  <c r="I1027" i="165"/>
  <c r="G1027" i="165"/>
  <c r="E1027" i="165"/>
  <c r="P1027" i="165" s="1"/>
  <c r="C1027" i="165"/>
  <c r="AA1026" i="165"/>
  <c r="Y1026" i="165"/>
  <c r="W1026" i="165"/>
  <c r="U1026" i="165"/>
  <c r="S1026" i="165"/>
  <c r="O1026" i="165"/>
  <c r="M1026" i="165"/>
  <c r="K1026" i="165"/>
  <c r="I1026" i="165"/>
  <c r="G1026" i="165"/>
  <c r="E1026" i="165"/>
  <c r="C1026" i="165"/>
  <c r="AA1025" i="165"/>
  <c r="Y1025" i="165"/>
  <c r="W1025" i="165"/>
  <c r="U1025" i="165"/>
  <c r="S1025" i="165"/>
  <c r="O1025" i="165"/>
  <c r="M1025" i="165"/>
  <c r="K1025" i="165"/>
  <c r="I1025" i="165"/>
  <c r="G1025" i="165"/>
  <c r="E1025" i="165"/>
  <c r="C1025" i="165"/>
  <c r="AA1024" i="165"/>
  <c r="Y1024" i="165"/>
  <c r="W1024" i="165"/>
  <c r="U1024" i="165"/>
  <c r="S1024" i="165"/>
  <c r="O1024" i="165"/>
  <c r="M1024" i="165"/>
  <c r="K1024" i="165"/>
  <c r="I1024" i="165"/>
  <c r="G1024" i="165"/>
  <c r="E1024" i="165"/>
  <c r="C1024" i="165"/>
  <c r="AA1023" i="165"/>
  <c r="Y1023" i="165"/>
  <c r="W1023" i="165"/>
  <c r="U1023" i="165"/>
  <c r="S1023" i="165"/>
  <c r="O1023" i="165"/>
  <c r="P1023" i="165" s="1"/>
  <c r="M1023" i="165"/>
  <c r="K1023" i="165"/>
  <c r="I1023" i="165"/>
  <c r="G1023" i="165"/>
  <c r="E1023" i="165"/>
  <c r="C1023" i="165"/>
  <c r="AA1022" i="165"/>
  <c r="Y1022" i="165"/>
  <c r="W1022" i="165"/>
  <c r="U1022" i="165"/>
  <c r="S1022" i="165"/>
  <c r="P1022" i="165"/>
  <c r="O1022" i="165"/>
  <c r="M1022" i="165"/>
  <c r="K1022" i="165"/>
  <c r="I1022" i="165"/>
  <c r="G1022" i="165"/>
  <c r="E1022" i="165"/>
  <c r="C1022" i="165"/>
  <c r="AA1021" i="165"/>
  <c r="Y1021" i="165"/>
  <c r="W1021" i="165"/>
  <c r="U1021" i="165"/>
  <c r="S1021" i="165"/>
  <c r="O1021" i="165"/>
  <c r="M1021" i="165"/>
  <c r="K1021" i="165"/>
  <c r="I1021" i="165"/>
  <c r="G1021" i="165"/>
  <c r="P1021" i="165" s="1"/>
  <c r="E1021" i="165"/>
  <c r="C1021" i="165"/>
  <c r="AA1020" i="165"/>
  <c r="Y1020" i="165"/>
  <c r="W1020" i="165"/>
  <c r="U1020" i="165"/>
  <c r="S1020" i="165"/>
  <c r="O1020" i="165"/>
  <c r="M1020" i="165"/>
  <c r="K1020" i="165"/>
  <c r="I1020" i="165"/>
  <c r="G1020" i="165"/>
  <c r="E1020" i="165"/>
  <c r="C1020" i="165"/>
  <c r="AA1019" i="165"/>
  <c r="Y1019" i="165"/>
  <c r="W1019" i="165"/>
  <c r="U1019" i="165"/>
  <c r="S1019" i="165"/>
  <c r="O1019" i="165"/>
  <c r="M1019" i="165"/>
  <c r="K1019" i="165"/>
  <c r="I1019" i="165"/>
  <c r="G1019" i="165"/>
  <c r="E1019" i="165"/>
  <c r="C1019" i="165"/>
  <c r="AA1018" i="165"/>
  <c r="Y1018" i="165"/>
  <c r="W1018" i="165"/>
  <c r="U1018" i="165"/>
  <c r="S1018" i="165"/>
  <c r="P1018" i="165"/>
  <c r="O1018" i="165"/>
  <c r="M1018" i="165"/>
  <c r="K1018" i="165"/>
  <c r="I1018" i="165"/>
  <c r="G1018" i="165"/>
  <c r="E1018" i="165"/>
  <c r="C1018" i="165"/>
  <c r="AA1017" i="165"/>
  <c r="Y1017" i="165"/>
  <c r="W1017" i="165"/>
  <c r="U1017" i="165"/>
  <c r="S1017" i="165"/>
  <c r="O1017" i="165"/>
  <c r="M1017" i="165"/>
  <c r="K1017" i="165"/>
  <c r="I1017" i="165"/>
  <c r="G1017" i="165"/>
  <c r="E1017" i="165"/>
  <c r="C1017" i="165"/>
  <c r="AA1016" i="165"/>
  <c r="Y1016" i="165"/>
  <c r="W1016" i="165"/>
  <c r="U1016" i="165"/>
  <c r="S1016" i="165"/>
  <c r="O1016" i="165"/>
  <c r="M1016" i="165"/>
  <c r="K1016" i="165"/>
  <c r="I1016" i="165"/>
  <c r="G1016" i="165"/>
  <c r="E1016" i="165"/>
  <c r="C1016" i="165"/>
  <c r="AA1015" i="165"/>
  <c r="Y1015" i="165"/>
  <c r="W1015" i="165"/>
  <c r="U1015" i="165"/>
  <c r="S1015" i="165"/>
  <c r="O1015" i="165"/>
  <c r="M1015" i="165"/>
  <c r="P1015" i="165" s="1"/>
  <c r="K1015" i="165"/>
  <c r="I1015" i="165"/>
  <c r="G1015" i="165"/>
  <c r="E1015" i="165"/>
  <c r="C1015" i="165"/>
  <c r="AA1014" i="165"/>
  <c r="Y1014" i="165"/>
  <c r="W1014" i="165"/>
  <c r="U1014" i="165"/>
  <c r="S1014" i="165"/>
  <c r="O1014" i="165"/>
  <c r="M1014" i="165"/>
  <c r="P1014" i="165" s="1"/>
  <c r="K1014" i="165"/>
  <c r="I1014" i="165"/>
  <c r="G1014" i="165"/>
  <c r="E1014" i="165"/>
  <c r="C1014" i="165"/>
  <c r="AA1013" i="165"/>
  <c r="Y1013" i="165"/>
  <c r="W1013" i="165"/>
  <c r="U1013" i="165"/>
  <c r="S1013" i="165"/>
  <c r="O1013" i="165"/>
  <c r="M1013" i="165"/>
  <c r="K1013" i="165"/>
  <c r="I1013" i="165"/>
  <c r="G1013" i="165"/>
  <c r="E1013" i="165"/>
  <c r="C1013" i="165"/>
  <c r="P1013" i="165" s="1"/>
  <c r="AA1012" i="165"/>
  <c r="Y1012" i="165"/>
  <c r="W1012" i="165"/>
  <c r="U1012" i="165"/>
  <c r="S1012" i="165"/>
  <c r="O1012" i="165"/>
  <c r="M1012" i="165"/>
  <c r="K1012" i="165"/>
  <c r="I1012" i="165"/>
  <c r="G1012" i="165"/>
  <c r="E1012" i="165"/>
  <c r="P1012" i="165" s="1"/>
  <c r="C1012" i="165"/>
  <c r="AA1011" i="165"/>
  <c r="Y1011" i="165"/>
  <c r="W1011" i="165"/>
  <c r="U1011" i="165"/>
  <c r="S1011" i="165"/>
  <c r="O1011" i="165"/>
  <c r="M1011" i="165"/>
  <c r="K1011" i="165"/>
  <c r="I1011" i="165"/>
  <c r="G1011" i="165"/>
  <c r="P1011" i="165" s="1"/>
  <c r="E1011" i="165"/>
  <c r="C1011" i="165"/>
  <c r="AA1010" i="165"/>
  <c r="Y1010" i="165"/>
  <c r="W1010" i="165"/>
  <c r="U1010" i="165"/>
  <c r="S1010" i="165"/>
  <c r="O1010" i="165"/>
  <c r="M1010" i="165"/>
  <c r="K1010" i="165"/>
  <c r="I1010" i="165"/>
  <c r="G1010" i="165"/>
  <c r="E1010" i="165"/>
  <c r="C1010" i="165"/>
  <c r="P1010" i="165" s="1"/>
  <c r="AA1009" i="165"/>
  <c r="Y1009" i="165"/>
  <c r="W1009" i="165"/>
  <c r="U1009" i="165"/>
  <c r="S1009" i="165"/>
  <c r="O1009" i="165"/>
  <c r="M1009" i="165"/>
  <c r="K1009" i="165"/>
  <c r="I1009" i="165"/>
  <c r="G1009" i="165"/>
  <c r="E1009" i="165"/>
  <c r="C1009" i="165"/>
  <c r="AA1008" i="165"/>
  <c r="Y1008" i="165"/>
  <c r="W1008" i="165"/>
  <c r="U1008" i="165"/>
  <c r="S1008" i="165"/>
  <c r="O1008" i="165"/>
  <c r="M1008" i="165"/>
  <c r="K1008" i="165"/>
  <c r="I1008" i="165"/>
  <c r="G1008" i="165"/>
  <c r="E1008" i="165"/>
  <c r="C1008" i="165"/>
  <c r="AA1007" i="165"/>
  <c r="Y1007" i="165"/>
  <c r="W1007" i="165"/>
  <c r="U1007" i="165"/>
  <c r="S1007" i="165"/>
  <c r="O1007" i="165"/>
  <c r="M1007" i="165"/>
  <c r="K1007" i="165"/>
  <c r="I1007" i="165"/>
  <c r="G1007" i="165"/>
  <c r="E1007" i="165"/>
  <c r="C1007" i="165"/>
  <c r="AA1006" i="165"/>
  <c r="Y1006" i="165"/>
  <c r="W1006" i="165"/>
  <c r="U1006" i="165"/>
  <c r="S1006" i="165"/>
  <c r="O1006" i="165"/>
  <c r="M1006" i="165"/>
  <c r="K1006" i="165"/>
  <c r="I1006" i="165"/>
  <c r="G1006" i="165"/>
  <c r="E1006" i="165"/>
  <c r="C1006" i="165"/>
  <c r="AA1005" i="165"/>
  <c r="Y1005" i="165"/>
  <c r="W1005" i="165"/>
  <c r="U1005" i="165"/>
  <c r="S1005" i="165"/>
  <c r="O1005" i="165"/>
  <c r="M1005" i="165"/>
  <c r="K1005" i="165"/>
  <c r="I1005" i="165"/>
  <c r="G1005" i="165"/>
  <c r="E1005" i="165"/>
  <c r="C1005" i="165"/>
  <c r="AA1004" i="165"/>
  <c r="Y1004" i="165"/>
  <c r="W1004" i="165"/>
  <c r="U1004" i="165"/>
  <c r="S1004" i="165"/>
  <c r="O1004" i="165"/>
  <c r="M1004" i="165"/>
  <c r="K1004" i="165"/>
  <c r="I1004" i="165"/>
  <c r="G1004" i="165"/>
  <c r="E1004" i="165"/>
  <c r="P1004" i="165" s="1"/>
  <c r="C1004" i="165"/>
  <c r="AA1003" i="165"/>
  <c r="Y1003" i="165"/>
  <c r="W1003" i="165"/>
  <c r="U1003" i="165"/>
  <c r="S1003" i="165"/>
  <c r="O1003" i="165"/>
  <c r="M1003" i="165"/>
  <c r="K1003" i="165"/>
  <c r="I1003" i="165"/>
  <c r="G1003" i="165"/>
  <c r="E1003" i="165"/>
  <c r="C1003" i="165"/>
  <c r="AA1002" i="165"/>
  <c r="Y1002" i="165"/>
  <c r="W1002" i="165"/>
  <c r="U1002" i="165"/>
  <c r="S1002" i="165"/>
  <c r="O1002" i="165"/>
  <c r="M1002" i="165"/>
  <c r="K1002" i="165"/>
  <c r="I1002" i="165"/>
  <c r="G1002" i="165"/>
  <c r="E1002" i="165"/>
  <c r="C1002" i="165"/>
  <c r="AA1001" i="165"/>
  <c r="Y1001" i="165"/>
  <c r="W1001" i="165"/>
  <c r="U1001" i="165"/>
  <c r="S1001" i="165"/>
  <c r="O1001" i="165"/>
  <c r="M1001" i="165"/>
  <c r="K1001" i="165"/>
  <c r="I1001" i="165"/>
  <c r="G1001" i="165"/>
  <c r="E1001" i="165"/>
  <c r="C1001" i="165"/>
  <c r="AA1000" i="165"/>
  <c r="Y1000" i="165"/>
  <c r="W1000" i="165"/>
  <c r="U1000" i="165"/>
  <c r="S1000" i="165"/>
  <c r="O1000" i="165"/>
  <c r="P1000" i="165" s="1"/>
  <c r="M1000" i="165"/>
  <c r="K1000" i="165"/>
  <c r="I1000" i="165"/>
  <c r="G1000" i="165"/>
  <c r="E1000" i="165"/>
  <c r="C1000" i="165"/>
  <c r="AA999" i="165"/>
  <c r="Y999" i="165"/>
  <c r="W999" i="165"/>
  <c r="U999" i="165"/>
  <c r="S999" i="165"/>
  <c r="P999" i="165"/>
  <c r="O999" i="165"/>
  <c r="M999" i="165"/>
  <c r="K999" i="165"/>
  <c r="I999" i="165"/>
  <c r="G999" i="165"/>
  <c r="E999" i="165"/>
  <c r="C999" i="165"/>
  <c r="AA998" i="165"/>
  <c r="Y998" i="165"/>
  <c r="W998" i="165"/>
  <c r="U998" i="165"/>
  <c r="S998" i="165"/>
  <c r="P998" i="165"/>
  <c r="O998" i="165"/>
  <c r="M998" i="165"/>
  <c r="K998" i="165"/>
  <c r="I998" i="165"/>
  <c r="G998" i="165"/>
  <c r="E998" i="165"/>
  <c r="C998" i="165"/>
  <c r="AA997" i="165"/>
  <c r="Y997" i="165"/>
  <c r="W997" i="165"/>
  <c r="U997" i="165"/>
  <c r="S997" i="165"/>
  <c r="P997" i="165"/>
  <c r="O997" i="165"/>
  <c r="M997" i="165"/>
  <c r="K997" i="165"/>
  <c r="I997" i="165"/>
  <c r="G997" i="165"/>
  <c r="E997" i="165"/>
  <c r="C997" i="165"/>
  <c r="AA996" i="165"/>
  <c r="Y996" i="165"/>
  <c r="W996" i="165"/>
  <c r="U996" i="165"/>
  <c r="S996" i="165"/>
  <c r="O996" i="165"/>
  <c r="M996" i="165"/>
  <c r="K996" i="165"/>
  <c r="I996" i="165"/>
  <c r="G996" i="165"/>
  <c r="E996" i="165"/>
  <c r="C996" i="165"/>
  <c r="AA995" i="165"/>
  <c r="Y995" i="165"/>
  <c r="W995" i="165"/>
  <c r="U995" i="165"/>
  <c r="S995" i="165"/>
  <c r="O995" i="165"/>
  <c r="M995" i="165"/>
  <c r="K995" i="165"/>
  <c r="I995" i="165"/>
  <c r="G995" i="165"/>
  <c r="E995" i="165"/>
  <c r="C995" i="165"/>
  <c r="AA994" i="165"/>
  <c r="Y994" i="165"/>
  <c r="W994" i="165"/>
  <c r="U994" i="165"/>
  <c r="S994" i="165"/>
  <c r="P994" i="165"/>
  <c r="O994" i="165"/>
  <c r="M994" i="165"/>
  <c r="K994" i="165"/>
  <c r="I994" i="165"/>
  <c r="G994" i="165"/>
  <c r="E994" i="165"/>
  <c r="C994" i="165"/>
  <c r="AA993" i="165"/>
  <c r="Y993" i="165"/>
  <c r="W993" i="165"/>
  <c r="U993" i="165"/>
  <c r="S993" i="165"/>
  <c r="O993" i="165"/>
  <c r="M993" i="165"/>
  <c r="K993" i="165"/>
  <c r="I993" i="165"/>
  <c r="G993" i="165"/>
  <c r="E993" i="165"/>
  <c r="C993" i="165"/>
  <c r="AA992" i="165"/>
  <c r="Y992" i="165"/>
  <c r="W992" i="165"/>
  <c r="U992" i="165"/>
  <c r="S992" i="165"/>
  <c r="O992" i="165"/>
  <c r="M992" i="165"/>
  <c r="K992" i="165"/>
  <c r="I992" i="165"/>
  <c r="G992" i="165"/>
  <c r="E992" i="165"/>
  <c r="C992" i="165"/>
  <c r="AA991" i="165"/>
  <c r="Y991" i="165"/>
  <c r="W991" i="165"/>
  <c r="U991" i="165"/>
  <c r="S991" i="165"/>
  <c r="O991" i="165"/>
  <c r="M991" i="165"/>
  <c r="K991" i="165"/>
  <c r="I991" i="165"/>
  <c r="G991" i="165"/>
  <c r="E991" i="165"/>
  <c r="C991" i="165"/>
  <c r="AA990" i="165"/>
  <c r="Y990" i="165"/>
  <c r="W990" i="165"/>
  <c r="U990" i="165"/>
  <c r="S990" i="165"/>
  <c r="P990" i="165"/>
  <c r="O990" i="165"/>
  <c r="M990" i="165"/>
  <c r="K990" i="165"/>
  <c r="I990" i="165"/>
  <c r="G990" i="165"/>
  <c r="E990" i="165"/>
  <c r="C990" i="165"/>
  <c r="AA989" i="165"/>
  <c r="Y989" i="165"/>
  <c r="W989" i="165"/>
  <c r="U989" i="165"/>
  <c r="S989" i="165"/>
  <c r="O989" i="165"/>
  <c r="M989" i="165"/>
  <c r="K989" i="165"/>
  <c r="I989" i="165"/>
  <c r="G989" i="165"/>
  <c r="E989" i="165"/>
  <c r="C989" i="165"/>
  <c r="AA988" i="165"/>
  <c r="Y988" i="165"/>
  <c r="W988" i="165"/>
  <c r="U988" i="165"/>
  <c r="S988" i="165"/>
  <c r="O988" i="165"/>
  <c r="M988" i="165"/>
  <c r="K988" i="165"/>
  <c r="I988" i="165"/>
  <c r="G988" i="165"/>
  <c r="E988" i="165"/>
  <c r="C988" i="165"/>
  <c r="AA987" i="165"/>
  <c r="Y987" i="165"/>
  <c r="W987" i="165"/>
  <c r="U987" i="165"/>
  <c r="S987" i="165"/>
  <c r="O987" i="165"/>
  <c r="M987" i="165"/>
  <c r="K987" i="165"/>
  <c r="I987" i="165"/>
  <c r="G987" i="165"/>
  <c r="E987" i="165"/>
  <c r="C987" i="165"/>
  <c r="AA986" i="165"/>
  <c r="Y986" i="165"/>
  <c r="W986" i="165"/>
  <c r="U986" i="165"/>
  <c r="S986" i="165"/>
  <c r="P986" i="165"/>
  <c r="O986" i="165"/>
  <c r="M986" i="165"/>
  <c r="K986" i="165"/>
  <c r="I986" i="165"/>
  <c r="G986" i="165"/>
  <c r="E986" i="165"/>
  <c r="C986" i="165"/>
  <c r="AA985" i="165"/>
  <c r="Y985" i="165"/>
  <c r="W985" i="165"/>
  <c r="U985" i="165"/>
  <c r="S985" i="165"/>
  <c r="O985" i="165"/>
  <c r="M985" i="165"/>
  <c r="K985" i="165"/>
  <c r="I985" i="165"/>
  <c r="G985" i="165"/>
  <c r="P985" i="165" s="1"/>
  <c r="E985" i="165"/>
  <c r="C985" i="165"/>
  <c r="AA984" i="165"/>
  <c r="Y984" i="165"/>
  <c r="W984" i="165"/>
  <c r="U984" i="165"/>
  <c r="S984" i="165"/>
  <c r="O984" i="165"/>
  <c r="M984" i="165"/>
  <c r="K984" i="165"/>
  <c r="I984" i="165"/>
  <c r="G984" i="165"/>
  <c r="E984" i="165"/>
  <c r="C984" i="165"/>
  <c r="AA983" i="165"/>
  <c r="Y983" i="165"/>
  <c r="W983" i="165"/>
  <c r="U983" i="165"/>
  <c r="S983" i="165"/>
  <c r="O983" i="165"/>
  <c r="M983" i="165"/>
  <c r="K983" i="165"/>
  <c r="I983" i="165"/>
  <c r="G983" i="165"/>
  <c r="E983" i="165"/>
  <c r="C983" i="165"/>
  <c r="AA982" i="165"/>
  <c r="Y982" i="165"/>
  <c r="W982" i="165"/>
  <c r="U982" i="165"/>
  <c r="S982" i="165"/>
  <c r="O982" i="165"/>
  <c r="M982" i="165"/>
  <c r="K982" i="165"/>
  <c r="I982" i="165"/>
  <c r="P982" i="165" s="1"/>
  <c r="G982" i="165"/>
  <c r="E982" i="165"/>
  <c r="C982" i="165"/>
  <c r="AA981" i="165"/>
  <c r="Y981" i="165"/>
  <c r="W981" i="165"/>
  <c r="U981" i="165"/>
  <c r="S981" i="165"/>
  <c r="O981" i="165"/>
  <c r="M981" i="165"/>
  <c r="P981" i="165" s="1"/>
  <c r="K981" i="165"/>
  <c r="I981" i="165"/>
  <c r="G981" i="165"/>
  <c r="E981" i="165"/>
  <c r="C981" i="165"/>
  <c r="AA980" i="165"/>
  <c r="Y980" i="165"/>
  <c r="W980" i="165"/>
  <c r="U980" i="165"/>
  <c r="S980" i="165"/>
  <c r="O980" i="165"/>
  <c r="M980" i="165"/>
  <c r="K980" i="165"/>
  <c r="I980" i="165"/>
  <c r="G980" i="165"/>
  <c r="E980" i="165"/>
  <c r="C980" i="165"/>
  <c r="AA979" i="165"/>
  <c r="Y979" i="165"/>
  <c r="W979" i="165"/>
  <c r="U979" i="165"/>
  <c r="S979" i="165"/>
  <c r="P979" i="165"/>
  <c r="O979" i="165"/>
  <c r="M979" i="165"/>
  <c r="K979" i="165"/>
  <c r="I979" i="165"/>
  <c r="G979" i="165"/>
  <c r="E979" i="165"/>
  <c r="C979" i="165"/>
  <c r="AA978" i="165"/>
  <c r="Y978" i="165"/>
  <c r="W978" i="165"/>
  <c r="U978" i="165"/>
  <c r="S978" i="165"/>
  <c r="P978" i="165"/>
  <c r="O978" i="165"/>
  <c r="M978" i="165"/>
  <c r="K978" i="165"/>
  <c r="I978" i="165"/>
  <c r="G978" i="165"/>
  <c r="E978" i="165"/>
  <c r="C978" i="165"/>
  <c r="AA977" i="165"/>
  <c r="Y977" i="165"/>
  <c r="W977" i="165"/>
  <c r="U977" i="165"/>
  <c r="S977" i="165"/>
  <c r="O977" i="165"/>
  <c r="M977" i="165"/>
  <c r="K977" i="165"/>
  <c r="I977" i="165"/>
  <c r="G977" i="165"/>
  <c r="E977" i="165"/>
  <c r="C977" i="165"/>
  <c r="AA976" i="165"/>
  <c r="Y976" i="165"/>
  <c r="W976" i="165"/>
  <c r="U976" i="165"/>
  <c r="S976" i="165"/>
  <c r="O976" i="165"/>
  <c r="M976" i="165"/>
  <c r="K976" i="165"/>
  <c r="I976" i="165"/>
  <c r="G976" i="165"/>
  <c r="E976" i="165"/>
  <c r="C976" i="165"/>
  <c r="AA975" i="165"/>
  <c r="Y975" i="165"/>
  <c r="W975" i="165"/>
  <c r="U975" i="165"/>
  <c r="S975" i="165"/>
  <c r="O975" i="165"/>
  <c r="M975" i="165"/>
  <c r="K975" i="165"/>
  <c r="I975" i="165"/>
  <c r="G975" i="165"/>
  <c r="E975" i="165"/>
  <c r="C975" i="165"/>
  <c r="AA974" i="165"/>
  <c r="Y974" i="165"/>
  <c r="W974" i="165"/>
  <c r="U974" i="165"/>
  <c r="S974" i="165"/>
  <c r="O974" i="165"/>
  <c r="M974" i="165"/>
  <c r="K974" i="165"/>
  <c r="I974" i="165"/>
  <c r="G974" i="165"/>
  <c r="E974" i="165"/>
  <c r="C974" i="165"/>
  <c r="AA973" i="165"/>
  <c r="Y973" i="165"/>
  <c r="W973" i="165"/>
  <c r="U973" i="165"/>
  <c r="S973" i="165"/>
  <c r="O973" i="165"/>
  <c r="M973" i="165"/>
  <c r="K973" i="165"/>
  <c r="I973" i="165"/>
  <c r="G973" i="165"/>
  <c r="E973" i="165"/>
  <c r="C973" i="165"/>
  <c r="AA972" i="165"/>
  <c r="Y972" i="165"/>
  <c r="W972" i="165"/>
  <c r="U972" i="165"/>
  <c r="S972" i="165"/>
  <c r="O972" i="165"/>
  <c r="M972" i="165"/>
  <c r="K972" i="165"/>
  <c r="I972" i="165"/>
  <c r="G972" i="165"/>
  <c r="E972" i="165"/>
  <c r="C972" i="165"/>
  <c r="AA971" i="165"/>
  <c r="Y971" i="165"/>
  <c r="W971" i="165"/>
  <c r="U971" i="165"/>
  <c r="S971" i="165"/>
  <c r="O971" i="165"/>
  <c r="M971" i="165"/>
  <c r="K971" i="165"/>
  <c r="I971" i="165"/>
  <c r="G971" i="165"/>
  <c r="E971" i="165"/>
  <c r="C971" i="165"/>
  <c r="AA970" i="165"/>
  <c r="Y970" i="165"/>
  <c r="W970" i="165"/>
  <c r="U970" i="165"/>
  <c r="S970" i="165"/>
  <c r="O970" i="165"/>
  <c r="M970" i="165"/>
  <c r="P970" i="165" s="1"/>
  <c r="K970" i="165"/>
  <c r="I970" i="165"/>
  <c r="G970" i="165"/>
  <c r="E970" i="165"/>
  <c r="C970" i="165"/>
  <c r="AA969" i="165"/>
  <c r="Y969" i="165"/>
  <c r="W969" i="165"/>
  <c r="U969" i="165"/>
  <c r="S969" i="165"/>
  <c r="O969" i="165"/>
  <c r="M969" i="165"/>
  <c r="P969" i="165" s="1"/>
  <c r="K969" i="165"/>
  <c r="I969" i="165"/>
  <c r="G969" i="165"/>
  <c r="E969" i="165"/>
  <c r="C969" i="165"/>
  <c r="AA968" i="165"/>
  <c r="Y968" i="165"/>
  <c r="W968" i="165"/>
  <c r="U968" i="165"/>
  <c r="S968" i="165"/>
  <c r="O968" i="165"/>
  <c r="P968" i="165" s="1"/>
  <c r="M968" i="165"/>
  <c r="K968" i="165"/>
  <c r="I968" i="165"/>
  <c r="G968" i="165"/>
  <c r="E968" i="165"/>
  <c r="C968" i="165"/>
  <c r="AA967" i="165"/>
  <c r="Y967" i="165"/>
  <c r="W967" i="165"/>
  <c r="U967" i="165"/>
  <c r="S967" i="165"/>
  <c r="P967" i="165"/>
  <c r="O967" i="165"/>
  <c r="M967" i="165"/>
  <c r="K967" i="165"/>
  <c r="I967" i="165"/>
  <c r="G967" i="165"/>
  <c r="E967" i="165"/>
  <c r="C967" i="165"/>
  <c r="AA966" i="165"/>
  <c r="Y966" i="165"/>
  <c r="W966" i="165"/>
  <c r="U966" i="165"/>
  <c r="S966" i="165"/>
  <c r="P966" i="165"/>
  <c r="O966" i="165"/>
  <c r="M966" i="165"/>
  <c r="K966" i="165"/>
  <c r="I966" i="165"/>
  <c r="G966" i="165"/>
  <c r="E966" i="165"/>
  <c r="C966" i="165"/>
  <c r="AA965" i="165"/>
  <c r="Y965" i="165"/>
  <c r="W965" i="165"/>
  <c r="U965" i="165"/>
  <c r="S965" i="165"/>
  <c r="O965" i="165"/>
  <c r="M965" i="165"/>
  <c r="K965" i="165"/>
  <c r="I965" i="165"/>
  <c r="G965" i="165"/>
  <c r="E965" i="165"/>
  <c r="C965" i="165"/>
  <c r="P965" i="165" s="1"/>
  <c r="AA964" i="165"/>
  <c r="Y964" i="165"/>
  <c r="W964" i="165"/>
  <c r="U964" i="165"/>
  <c r="S964" i="165"/>
  <c r="O964" i="165"/>
  <c r="M964" i="165"/>
  <c r="K964" i="165"/>
  <c r="I964" i="165"/>
  <c r="G964" i="165"/>
  <c r="E964" i="165"/>
  <c r="C964" i="165"/>
  <c r="AA963" i="165"/>
  <c r="Y963" i="165"/>
  <c r="W963" i="165"/>
  <c r="U963" i="165"/>
  <c r="S963" i="165"/>
  <c r="O963" i="165"/>
  <c r="M963" i="165"/>
  <c r="K963" i="165"/>
  <c r="I963" i="165"/>
  <c r="G963" i="165"/>
  <c r="E963" i="165"/>
  <c r="C963" i="165"/>
  <c r="AA962" i="165"/>
  <c r="Y962" i="165"/>
  <c r="W962" i="165"/>
  <c r="U962" i="165"/>
  <c r="S962" i="165"/>
  <c r="O962" i="165"/>
  <c r="M962" i="165"/>
  <c r="K962" i="165"/>
  <c r="I962" i="165"/>
  <c r="G962" i="165"/>
  <c r="E962" i="165"/>
  <c r="C962" i="165"/>
  <c r="AA961" i="165"/>
  <c r="Y961" i="165"/>
  <c r="W961" i="165"/>
  <c r="U961" i="165"/>
  <c r="S961" i="165"/>
  <c r="O961" i="165"/>
  <c r="M961" i="165"/>
  <c r="K961" i="165"/>
  <c r="I961" i="165"/>
  <c r="G961" i="165"/>
  <c r="E961" i="165"/>
  <c r="C961" i="165"/>
  <c r="AA960" i="165"/>
  <c r="Y960" i="165"/>
  <c r="W960" i="165"/>
  <c r="U960" i="165"/>
  <c r="S960" i="165"/>
  <c r="O960" i="165"/>
  <c r="M960" i="165"/>
  <c r="K960" i="165"/>
  <c r="I960" i="165"/>
  <c r="G960" i="165"/>
  <c r="E960" i="165"/>
  <c r="C960" i="165"/>
  <c r="AA959" i="165"/>
  <c r="Y959" i="165"/>
  <c r="W959" i="165"/>
  <c r="U959" i="165"/>
  <c r="S959" i="165"/>
  <c r="O959" i="165"/>
  <c r="M959" i="165"/>
  <c r="K959" i="165"/>
  <c r="I959" i="165"/>
  <c r="G959" i="165"/>
  <c r="E959" i="165"/>
  <c r="C959" i="165"/>
  <c r="AA958" i="165"/>
  <c r="Y958" i="165"/>
  <c r="W958" i="165"/>
  <c r="U958" i="165"/>
  <c r="S958" i="165"/>
  <c r="O958" i="165"/>
  <c r="M958" i="165"/>
  <c r="K958" i="165"/>
  <c r="I958" i="165"/>
  <c r="G958" i="165"/>
  <c r="E958" i="165"/>
  <c r="C958" i="165"/>
  <c r="AA957" i="165"/>
  <c r="Y957" i="165"/>
  <c r="W957" i="165"/>
  <c r="U957" i="165"/>
  <c r="S957" i="165"/>
  <c r="O957" i="165"/>
  <c r="M957" i="165"/>
  <c r="K957" i="165"/>
  <c r="I957" i="165"/>
  <c r="G957" i="165"/>
  <c r="E957" i="165"/>
  <c r="C957" i="165"/>
  <c r="AA956" i="165"/>
  <c r="Y956" i="165"/>
  <c r="W956" i="165"/>
  <c r="U956" i="165"/>
  <c r="S956" i="165"/>
  <c r="O956" i="165"/>
  <c r="M956" i="165"/>
  <c r="K956" i="165"/>
  <c r="I956" i="165"/>
  <c r="G956" i="165"/>
  <c r="E956" i="165"/>
  <c r="C956" i="165"/>
  <c r="AA955" i="165"/>
  <c r="Y955" i="165"/>
  <c r="W955" i="165"/>
  <c r="U955" i="165"/>
  <c r="S955" i="165"/>
  <c r="O955" i="165"/>
  <c r="M955" i="165"/>
  <c r="K955" i="165"/>
  <c r="I955" i="165"/>
  <c r="G955" i="165"/>
  <c r="E955" i="165"/>
  <c r="C955" i="165"/>
  <c r="AA954" i="165"/>
  <c r="Y954" i="165"/>
  <c r="W954" i="165"/>
  <c r="U954" i="165"/>
  <c r="S954" i="165"/>
  <c r="O954" i="165"/>
  <c r="M954" i="165"/>
  <c r="K954" i="165"/>
  <c r="I954" i="165"/>
  <c r="G954" i="165"/>
  <c r="E954" i="165"/>
  <c r="C954" i="165"/>
  <c r="AA953" i="165"/>
  <c r="Y953" i="165"/>
  <c r="W953" i="165"/>
  <c r="U953" i="165"/>
  <c r="S953" i="165"/>
  <c r="O953" i="165"/>
  <c r="P953" i="165" s="1"/>
  <c r="M953" i="165"/>
  <c r="K953" i="165"/>
  <c r="I953" i="165"/>
  <c r="G953" i="165"/>
  <c r="E953" i="165"/>
  <c r="C953" i="165"/>
  <c r="AA952" i="165"/>
  <c r="Y952" i="165"/>
  <c r="W952" i="165"/>
  <c r="U952" i="165"/>
  <c r="S952" i="165"/>
  <c r="P952" i="165"/>
  <c r="O952" i="165"/>
  <c r="M952" i="165"/>
  <c r="K952" i="165"/>
  <c r="I952" i="165"/>
  <c r="G952" i="165"/>
  <c r="E952" i="165"/>
  <c r="C952" i="165"/>
  <c r="AA951" i="165"/>
  <c r="Y951" i="165"/>
  <c r="W951" i="165"/>
  <c r="U951" i="165"/>
  <c r="S951" i="165"/>
  <c r="O951" i="165"/>
  <c r="M951" i="165"/>
  <c r="P951" i="165" s="1"/>
  <c r="K951" i="165"/>
  <c r="I951" i="165"/>
  <c r="G951" i="165"/>
  <c r="E951" i="165"/>
  <c r="C951" i="165"/>
  <c r="AA950" i="165"/>
  <c r="Y950" i="165"/>
  <c r="W950" i="165"/>
  <c r="U950" i="165"/>
  <c r="S950" i="165"/>
  <c r="O950" i="165"/>
  <c r="P950" i="165" s="1"/>
  <c r="M950" i="165"/>
  <c r="K950" i="165"/>
  <c r="I950" i="165"/>
  <c r="G950" i="165"/>
  <c r="E950" i="165"/>
  <c r="C950" i="165"/>
  <c r="AA949" i="165"/>
  <c r="Y949" i="165"/>
  <c r="W949" i="165"/>
  <c r="U949" i="165"/>
  <c r="S949" i="165"/>
  <c r="P949" i="165"/>
  <c r="O949" i="165"/>
  <c r="M949" i="165"/>
  <c r="K949" i="165"/>
  <c r="I949" i="165"/>
  <c r="G949" i="165"/>
  <c r="E949" i="165"/>
  <c r="C949" i="165"/>
  <c r="AA948" i="165"/>
  <c r="Y948" i="165"/>
  <c r="W948" i="165"/>
  <c r="U948" i="165"/>
  <c r="S948" i="165"/>
  <c r="O948" i="165"/>
  <c r="M948" i="165"/>
  <c r="K948" i="165"/>
  <c r="I948" i="165"/>
  <c r="G948" i="165"/>
  <c r="E948" i="165"/>
  <c r="C948" i="165"/>
  <c r="P948" i="165" s="1"/>
  <c r="AA947" i="165"/>
  <c r="Y947" i="165"/>
  <c r="W947" i="165"/>
  <c r="U947" i="165"/>
  <c r="S947" i="165"/>
  <c r="O947" i="165"/>
  <c r="M947" i="165"/>
  <c r="K947" i="165"/>
  <c r="I947" i="165"/>
  <c r="G947" i="165"/>
  <c r="E947" i="165"/>
  <c r="C947" i="165"/>
  <c r="AA946" i="165"/>
  <c r="Y946" i="165"/>
  <c r="W946" i="165"/>
  <c r="U946" i="165"/>
  <c r="S946" i="165"/>
  <c r="O946" i="165"/>
  <c r="M946" i="165"/>
  <c r="K946" i="165"/>
  <c r="I946" i="165"/>
  <c r="G946" i="165"/>
  <c r="E946" i="165"/>
  <c r="C946" i="165"/>
  <c r="P946" i="165" s="1"/>
  <c r="AA945" i="165"/>
  <c r="Y945" i="165"/>
  <c r="W945" i="165"/>
  <c r="U945" i="165"/>
  <c r="S945" i="165"/>
  <c r="O945" i="165"/>
  <c r="M945" i="165"/>
  <c r="K945" i="165"/>
  <c r="I945" i="165"/>
  <c r="G945" i="165"/>
  <c r="E945" i="165"/>
  <c r="C945" i="165"/>
  <c r="P945" i="165" s="1"/>
  <c r="AA944" i="165"/>
  <c r="Y944" i="165"/>
  <c r="W944" i="165"/>
  <c r="U944" i="165"/>
  <c r="S944" i="165"/>
  <c r="O944" i="165"/>
  <c r="M944" i="165"/>
  <c r="K944" i="165"/>
  <c r="I944" i="165"/>
  <c r="G944" i="165"/>
  <c r="E944" i="165"/>
  <c r="C944" i="165"/>
  <c r="P944" i="165" s="1"/>
  <c r="AA943" i="165"/>
  <c r="Y943" i="165"/>
  <c r="W943" i="165"/>
  <c r="U943" i="165"/>
  <c r="S943" i="165"/>
  <c r="O943" i="165"/>
  <c r="M943" i="165"/>
  <c r="K943" i="165"/>
  <c r="I943" i="165"/>
  <c r="G943" i="165"/>
  <c r="E943" i="165"/>
  <c r="P943" i="165" s="1"/>
  <c r="C943" i="165"/>
  <c r="AA942" i="165"/>
  <c r="Y942" i="165"/>
  <c r="W942" i="165"/>
  <c r="U942" i="165"/>
  <c r="S942" i="165"/>
  <c r="O942" i="165"/>
  <c r="M942" i="165"/>
  <c r="K942" i="165"/>
  <c r="I942" i="165"/>
  <c r="G942" i="165"/>
  <c r="P942" i="165" s="1"/>
  <c r="E942" i="165"/>
  <c r="C942" i="165"/>
  <c r="AA941" i="165"/>
  <c r="Y941" i="165"/>
  <c r="W941" i="165"/>
  <c r="U941" i="165"/>
  <c r="S941" i="165"/>
  <c r="O941" i="165"/>
  <c r="M941" i="165"/>
  <c r="K941" i="165"/>
  <c r="I941" i="165"/>
  <c r="G941" i="165"/>
  <c r="E941" i="165"/>
  <c r="C941" i="165"/>
  <c r="P941" i="165" s="1"/>
  <c r="AA940" i="165"/>
  <c r="Y940" i="165"/>
  <c r="W940" i="165"/>
  <c r="U940" i="165"/>
  <c r="S940" i="165"/>
  <c r="O940" i="165"/>
  <c r="M940" i="165"/>
  <c r="K940" i="165"/>
  <c r="I940" i="165"/>
  <c r="G940" i="165"/>
  <c r="E940" i="165"/>
  <c r="P940" i="165" s="1"/>
  <c r="C940" i="165"/>
  <c r="AA939" i="165"/>
  <c r="Y939" i="165"/>
  <c r="W939" i="165"/>
  <c r="U939" i="165"/>
  <c r="S939" i="165"/>
  <c r="O939" i="165"/>
  <c r="M939" i="165"/>
  <c r="K939" i="165"/>
  <c r="I939" i="165"/>
  <c r="G939" i="165"/>
  <c r="P939" i="165" s="1"/>
  <c r="E939" i="165"/>
  <c r="C939" i="165"/>
  <c r="AA938" i="165"/>
  <c r="Y938" i="165"/>
  <c r="W938" i="165"/>
  <c r="U938" i="165"/>
  <c r="S938" i="165"/>
  <c r="O938" i="165"/>
  <c r="M938" i="165"/>
  <c r="K938" i="165"/>
  <c r="I938" i="165"/>
  <c r="G938" i="165"/>
  <c r="E938" i="165"/>
  <c r="C938" i="165"/>
  <c r="P938" i="165" s="1"/>
  <c r="AA937" i="165"/>
  <c r="Y937" i="165"/>
  <c r="W937" i="165"/>
  <c r="U937" i="165"/>
  <c r="S937" i="165"/>
  <c r="O937" i="165"/>
  <c r="M937" i="165"/>
  <c r="K937" i="165"/>
  <c r="I937" i="165"/>
  <c r="G937" i="165"/>
  <c r="E937" i="165"/>
  <c r="C937" i="165"/>
  <c r="AA936" i="165"/>
  <c r="Y936" i="165"/>
  <c r="W936" i="165"/>
  <c r="U936" i="165"/>
  <c r="S936" i="165"/>
  <c r="O936" i="165"/>
  <c r="M936" i="165"/>
  <c r="K936" i="165"/>
  <c r="I936" i="165"/>
  <c r="G936" i="165"/>
  <c r="E936" i="165"/>
  <c r="C936" i="165"/>
  <c r="AA935" i="165"/>
  <c r="Y935" i="165"/>
  <c r="W935" i="165"/>
  <c r="U935" i="165"/>
  <c r="S935" i="165"/>
  <c r="O935" i="165"/>
  <c r="M935" i="165"/>
  <c r="K935" i="165"/>
  <c r="I935" i="165"/>
  <c r="G935" i="165"/>
  <c r="E935" i="165"/>
  <c r="C935" i="165"/>
  <c r="AA934" i="165"/>
  <c r="Y934" i="165"/>
  <c r="W934" i="165"/>
  <c r="U934" i="165"/>
  <c r="S934" i="165"/>
  <c r="O934" i="165"/>
  <c r="M934" i="165"/>
  <c r="K934" i="165"/>
  <c r="I934" i="165"/>
  <c r="G934" i="165"/>
  <c r="E934" i="165"/>
  <c r="P934" i="165" s="1"/>
  <c r="C934" i="165"/>
  <c r="AA933" i="165"/>
  <c r="Y933" i="165"/>
  <c r="W933" i="165"/>
  <c r="U933" i="165"/>
  <c r="S933" i="165"/>
  <c r="O933" i="165"/>
  <c r="M933" i="165"/>
  <c r="K933" i="165"/>
  <c r="I933" i="165"/>
  <c r="G933" i="165"/>
  <c r="P933" i="165" s="1"/>
  <c r="E933" i="165"/>
  <c r="C933" i="165"/>
  <c r="AA932" i="165"/>
  <c r="Y932" i="165"/>
  <c r="W932" i="165"/>
  <c r="U932" i="165"/>
  <c r="S932" i="165"/>
  <c r="O932" i="165"/>
  <c r="M932" i="165"/>
  <c r="K932" i="165"/>
  <c r="I932" i="165"/>
  <c r="P932" i="165" s="1"/>
  <c r="G932" i="165"/>
  <c r="E932" i="165"/>
  <c r="C932" i="165"/>
  <c r="AA931" i="165"/>
  <c r="Y931" i="165"/>
  <c r="W931" i="165"/>
  <c r="U931" i="165"/>
  <c r="S931" i="165"/>
  <c r="O931" i="165"/>
  <c r="M931" i="165"/>
  <c r="K931" i="165"/>
  <c r="I931" i="165"/>
  <c r="G931" i="165"/>
  <c r="E931" i="165"/>
  <c r="C931" i="165"/>
  <c r="AA930" i="165"/>
  <c r="Y930" i="165"/>
  <c r="W930" i="165"/>
  <c r="U930" i="165"/>
  <c r="S930" i="165"/>
  <c r="O930" i="165"/>
  <c r="M930" i="165"/>
  <c r="K930" i="165"/>
  <c r="I930" i="165"/>
  <c r="G930" i="165"/>
  <c r="E930" i="165"/>
  <c r="C930" i="165"/>
  <c r="AA929" i="165"/>
  <c r="Y929" i="165"/>
  <c r="W929" i="165"/>
  <c r="U929" i="165"/>
  <c r="S929" i="165"/>
  <c r="O929" i="165"/>
  <c r="M929" i="165"/>
  <c r="K929" i="165"/>
  <c r="P929" i="165" s="1"/>
  <c r="I929" i="165"/>
  <c r="G929" i="165"/>
  <c r="E929" i="165"/>
  <c r="C929" i="165"/>
  <c r="AA928" i="165"/>
  <c r="Y928" i="165"/>
  <c r="W928" i="165"/>
  <c r="U928" i="165"/>
  <c r="S928" i="165"/>
  <c r="O928" i="165"/>
  <c r="M928" i="165"/>
  <c r="P928" i="165" s="1"/>
  <c r="K928" i="165"/>
  <c r="I928" i="165"/>
  <c r="G928" i="165"/>
  <c r="E928" i="165"/>
  <c r="C928" i="165"/>
  <c r="AA927" i="165"/>
  <c r="Y927" i="165"/>
  <c r="W927" i="165"/>
  <c r="U927" i="165"/>
  <c r="S927" i="165"/>
  <c r="O927" i="165"/>
  <c r="P927" i="165" s="1"/>
  <c r="M927" i="165"/>
  <c r="K927" i="165"/>
  <c r="I927" i="165"/>
  <c r="G927" i="165"/>
  <c r="E927" i="165"/>
  <c r="C927" i="165"/>
  <c r="AA926" i="165"/>
  <c r="Y926" i="165"/>
  <c r="W926" i="165"/>
  <c r="U926" i="165"/>
  <c r="S926" i="165"/>
  <c r="P926" i="165"/>
  <c r="O926" i="165"/>
  <c r="M926" i="165"/>
  <c r="K926" i="165"/>
  <c r="I926" i="165"/>
  <c r="G926" i="165"/>
  <c r="E926" i="165"/>
  <c r="C926" i="165"/>
  <c r="AA925" i="165"/>
  <c r="Y925" i="165"/>
  <c r="W925" i="165"/>
  <c r="U925" i="165"/>
  <c r="S925" i="165"/>
  <c r="O925" i="165"/>
  <c r="M925" i="165"/>
  <c r="K925" i="165"/>
  <c r="I925" i="165"/>
  <c r="G925" i="165"/>
  <c r="E925" i="165"/>
  <c r="C925" i="165"/>
  <c r="AA924" i="165"/>
  <c r="Y924" i="165"/>
  <c r="W924" i="165"/>
  <c r="U924" i="165"/>
  <c r="S924" i="165"/>
  <c r="O924" i="165"/>
  <c r="M924" i="165"/>
  <c r="K924" i="165"/>
  <c r="I924" i="165"/>
  <c r="G924" i="165"/>
  <c r="E924" i="165"/>
  <c r="C924" i="165"/>
  <c r="AA923" i="165"/>
  <c r="Y923" i="165"/>
  <c r="W923" i="165"/>
  <c r="U923" i="165"/>
  <c r="S923" i="165"/>
  <c r="O923" i="165"/>
  <c r="M923" i="165"/>
  <c r="K923" i="165"/>
  <c r="I923" i="165"/>
  <c r="G923" i="165"/>
  <c r="E923" i="165"/>
  <c r="C923" i="165"/>
  <c r="AA922" i="165"/>
  <c r="Y922" i="165"/>
  <c r="W922" i="165"/>
  <c r="U922" i="165"/>
  <c r="S922" i="165"/>
  <c r="O922" i="165"/>
  <c r="M922" i="165"/>
  <c r="K922" i="165"/>
  <c r="I922" i="165"/>
  <c r="G922" i="165"/>
  <c r="E922" i="165"/>
  <c r="C922" i="165"/>
  <c r="AA921" i="165"/>
  <c r="Y921" i="165"/>
  <c r="W921" i="165"/>
  <c r="U921" i="165"/>
  <c r="S921" i="165"/>
  <c r="O921" i="165"/>
  <c r="M921" i="165"/>
  <c r="K921" i="165"/>
  <c r="I921" i="165"/>
  <c r="G921" i="165"/>
  <c r="E921" i="165"/>
  <c r="C921" i="165"/>
  <c r="AA920" i="165"/>
  <c r="Y920" i="165"/>
  <c r="W920" i="165"/>
  <c r="U920" i="165"/>
  <c r="S920" i="165"/>
  <c r="O920" i="165"/>
  <c r="M920" i="165"/>
  <c r="K920" i="165"/>
  <c r="I920" i="165"/>
  <c r="G920" i="165"/>
  <c r="E920" i="165"/>
  <c r="C920" i="165"/>
  <c r="P920" i="165" s="1"/>
  <c r="AA919" i="165"/>
  <c r="Y919" i="165"/>
  <c r="W919" i="165"/>
  <c r="U919" i="165"/>
  <c r="S919" i="165"/>
  <c r="O919" i="165"/>
  <c r="M919" i="165"/>
  <c r="K919" i="165"/>
  <c r="I919" i="165"/>
  <c r="G919" i="165"/>
  <c r="E919" i="165"/>
  <c r="P919" i="165" s="1"/>
  <c r="C919" i="165"/>
  <c r="AA918" i="165"/>
  <c r="Y918" i="165"/>
  <c r="W918" i="165"/>
  <c r="U918" i="165"/>
  <c r="S918" i="165"/>
  <c r="O918" i="165"/>
  <c r="M918" i="165"/>
  <c r="K918" i="165"/>
  <c r="I918" i="165"/>
  <c r="G918" i="165"/>
  <c r="P918" i="165" s="1"/>
  <c r="E918" i="165"/>
  <c r="C918" i="165"/>
  <c r="AA917" i="165"/>
  <c r="Y917" i="165"/>
  <c r="W917" i="165"/>
  <c r="U917" i="165"/>
  <c r="S917" i="165"/>
  <c r="O917" i="165"/>
  <c r="M917" i="165"/>
  <c r="K917" i="165"/>
  <c r="I917" i="165"/>
  <c r="G917" i="165"/>
  <c r="E917" i="165"/>
  <c r="C917" i="165"/>
  <c r="AA916" i="165"/>
  <c r="Y916" i="165"/>
  <c r="W916" i="165"/>
  <c r="U916" i="165"/>
  <c r="S916" i="165"/>
  <c r="O916" i="165"/>
  <c r="M916" i="165"/>
  <c r="K916" i="165"/>
  <c r="I916" i="165"/>
  <c r="G916" i="165"/>
  <c r="E916" i="165"/>
  <c r="C916" i="165"/>
  <c r="AA915" i="165"/>
  <c r="Y915" i="165"/>
  <c r="W915" i="165"/>
  <c r="U915" i="165"/>
  <c r="S915" i="165"/>
  <c r="O915" i="165"/>
  <c r="M915" i="165"/>
  <c r="K915" i="165"/>
  <c r="I915" i="165"/>
  <c r="G915" i="165"/>
  <c r="P915" i="165" s="1"/>
  <c r="E915" i="165"/>
  <c r="C915" i="165"/>
  <c r="AA914" i="165"/>
  <c r="Y914" i="165"/>
  <c r="W914" i="165"/>
  <c r="U914" i="165"/>
  <c r="S914" i="165"/>
  <c r="O914" i="165"/>
  <c r="M914" i="165"/>
  <c r="K914" i="165"/>
  <c r="I914" i="165"/>
  <c r="P914" i="165" s="1"/>
  <c r="G914" i="165"/>
  <c r="E914" i="165"/>
  <c r="C914" i="165"/>
  <c r="AA913" i="165"/>
  <c r="Y913" i="165"/>
  <c r="W913" i="165"/>
  <c r="U913" i="165"/>
  <c r="S913" i="165"/>
  <c r="O913" i="165"/>
  <c r="M913" i="165"/>
  <c r="K913" i="165"/>
  <c r="I913" i="165"/>
  <c r="G913" i="165"/>
  <c r="E913" i="165"/>
  <c r="C913" i="165"/>
  <c r="AA912" i="165"/>
  <c r="Y912" i="165"/>
  <c r="W912" i="165"/>
  <c r="U912" i="165"/>
  <c r="S912" i="165"/>
  <c r="O912" i="165"/>
  <c r="M912" i="165"/>
  <c r="K912" i="165"/>
  <c r="I912" i="165"/>
  <c r="G912" i="165"/>
  <c r="E912" i="165"/>
  <c r="C912" i="165"/>
  <c r="AA911" i="165"/>
  <c r="Y911" i="165"/>
  <c r="W911" i="165"/>
  <c r="U911" i="165"/>
  <c r="S911" i="165"/>
  <c r="O911" i="165"/>
  <c r="M911" i="165"/>
  <c r="K911" i="165"/>
  <c r="I911" i="165"/>
  <c r="G911" i="165"/>
  <c r="E911" i="165"/>
  <c r="C911" i="165"/>
  <c r="AA910" i="165"/>
  <c r="Y910" i="165"/>
  <c r="W910" i="165"/>
  <c r="U910" i="165"/>
  <c r="S910" i="165"/>
  <c r="O910" i="165"/>
  <c r="M910" i="165"/>
  <c r="K910" i="165"/>
  <c r="I910" i="165"/>
  <c r="G910" i="165"/>
  <c r="E910" i="165"/>
  <c r="P910" i="165" s="1"/>
  <c r="C910" i="165"/>
  <c r="AA909" i="165"/>
  <c r="Y909" i="165"/>
  <c r="W909" i="165"/>
  <c r="U909" i="165"/>
  <c r="S909" i="165"/>
  <c r="O909" i="165"/>
  <c r="M909" i="165"/>
  <c r="K909" i="165"/>
  <c r="I909" i="165"/>
  <c r="G909" i="165"/>
  <c r="P909" i="165" s="1"/>
  <c r="E909" i="165"/>
  <c r="C909" i="165"/>
  <c r="AA908" i="165"/>
  <c r="Y908" i="165"/>
  <c r="W908" i="165"/>
  <c r="U908" i="165"/>
  <c r="S908" i="165"/>
  <c r="O908" i="165"/>
  <c r="M908" i="165"/>
  <c r="K908" i="165"/>
  <c r="I908" i="165"/>
  <c r="P908" i="165" s="1"/>
  <c r="G908" i="165"/>
  <c r="E908" i="165"/>
  <c r="C908" i="165"/>
  <c r="AA907" i="165"/>
  <c r="Y907" i="165"/>
  <c r="W907" i="165"/>
  <c r="U907" i="165"/>
  <c r="S907" i="165"/>
  <c r="O907" i="165"/>
  <c r="M907" i="165"/>
  <c r="K907" i="165"/>
  <c r="I907" i="165"/>
  <c r="G907" i="165"/>
  <c r="E907" i="165"/>
  <c r="C907" i="165"/>
  <c r="AA906" i="165"/>
  <c r="Y906" i="165"/>
  <c r="W906" i="165"/>
  <c r="U906" i="165"/>
  <c r="S906" i="165"/>
  <c r="O906" i="165"/>
  <c r="M906" i="165"/>
  <c r="K906" i="165"/>
  <c r="I906" i="165"/>
  <c r="G906" i="165"/>
  <c r="E906" i="165"/>
  <c r="C906" i="165"/>
  <c r="AA905" i="165"/>
  <c r="Y905" i="165"/>
  <c r="W905" i="165"/>
  <c r="U905" i="165"/>
  <c r="S905" i="165"/>
  <c r="O905" i="165"/>
  <c r="M905" i="165"/>
  <c r="K905" i="165"/>
  <c r="I905" i="165"/>
  <c r="G905" i="165"/>
  <c r="E905" i="165"/>
  <c r="C905" i="165"/>
  <c r="AA904" i="165"/>
  <c r="Y904" i="165"/>
  <c r="W904" i="165"/>
  <c r="U904" i="165"/>
  <c r="S904" i="165"/>
  <c r="O904" i="165"/>
  <c r="M904" i="165"/>
  <c r="K904" i="165"/>
  <c r="P904" i="165" s="1"/>
  <c r="I904" i="165"/>
  <c r="G904" i="165"/>
  <c r="E904" i="165"/>
  <c r="C904" i="165"/>
  <c r="AA903" i="165"/>
  <c r="Y903" i="165"/>
  <c r="W903" i="165"/>
  <c r="U903" i="165"/>
  <c r="S903" i="165"/>
  <c r="O903" i="165"/>
  <c r="M903" i="165"/>
  <c r="K903" i="165"/>
  <c r="I903" i="165"/>
  <c r="G903" i="165"/>
  <c r="E903" i="165"/>
  <c r="C903" i="165"/>
  <c r="AA902" i="165"/>
  <c r="Y902" i="165"/>
  <c r="W902" i="165"/>
  <c r="U902" i="165"/>
  <c r="S902" i="165"/>
  <c r="O902" i="165"/>
  <c r="M902" i="165"/>
  <c r="K902" i="165"/>
  <c r="I902" i="165"/>
  <c r="G902" i="165"/>
  <c r="E902" i="165"/>
  <c r="C902" i="165"/>
  <c r="AA901" i="165"/>
  <c r="Y901" i="165"/>
  <c r="W901" i="165"/>
  <c r="U901" i="165"/>
  <c r="S901" i="165"/>
  <c r="P901" i="165"/>
  <c r="O901" i="165"/>
  <c r="M901" i="165"/>
  <c r="K901" i="165"/>
  <c r="I901" i="165"/>
  <c r="G901" i="165"/>
  <c r="E901" i="165"/>
  <c r="C901" i="165"/>
  <c r="AA900" i="165"/>
  <c r="Y900" i="165"/>
  <c r="W900" i="165"/>
  <c r="U900" i="165"/>
  <c r="S900" i="165"/>
  <c r="O900" i="165"/>
  <c r="M900" i="165"/>
  <c r="K900" i="165"/>
  <c r="I900" i="165"/>
  <c r="G900" i="165"/>
  <c r="E900" i="165"/>
  <c r="C900" i="165"/>
  <c r="AA899" i="165"/>
  <c r="Y899" i="165"/>
  <c r="W899" i="165"/>
  <c r="U899" i="165"/>
  <c r="S899" i="165"/>
  <c r="O899" i="165"/>
  <c r="M899" i="165"/>
  <c r="K899" i="165"/>
  <c r="I899" i="165"/>
  <c r="G899" i="165"/>
  <c r="E899" i="165"/>
  <c r="C899" i="165"/>
  <c r="AA898" i="165"/>
  <c r="Y898" i="165"/>
  <c r="W898" i="165"/>
  <c r="U898" i="165"/>
  <c r="S898" i="165"/>
  <c r="O898" i="165"/>
  <c r="P898" i="165" s="1"/>
  <c r="M898" i="165"/>
  <c r="K898" i="165"/>
  <c r="I898" i="165"/>
  <c r="G898" i="165"/>
  <c r="E898" i="165"/>
  <c r="C898" i="165"/>
  <c r="AA897" i="165"/>
  <c r="Y897" i="165"/>
  <c r="W897" i="165"/>
  <c r="U897" i="165"/>
  <c r="S897" i="165"/>
  <c r="P897" i="165"/>
  <c r="O897" i="165"/>
  <c r="M897" i="165"/>
  <c r="K897" i="165"/>
  <c r="I897" i="165"/>
  <c r="G897" i="165"/>
  <c r="E897" i="165"/>
  <c r="C897" i="165"/>
  <c r="AA896" i="165"/>
  <c r="Y896" i="165"/>
  <c r="W896" i="165"/>
  <c r="U896" i="165"/>
  <c r="S896" i="165"/>
  <c r="P896" i="165"/>
  <c r="O896" i="165"/>
  <c r="M896" i="165"/>
  <c r="K896" i="165"/>
  <c r="I896" i="165"/>
  <c r="G896" i="165"/>
  <c r="E896" i="165"/>
  <c r="C896" i="165"/>
  <c r="AA895" i="165"/>
  <c r="Y895" i="165"/>
  <c r="W895" i="165"/>
  <c r="U895" i="165"/>
  <c r="S895" i="165"/>
  <c r="P895" i="165"/>
  <c r="O895" i="165"/>
  <c r="M895" i="165"/>
  <c r="K895" i="165"/>
  <c r="I895" i="165"/>
  <c r="G895" i="165"/>
  <c r="E895" i="165"/>
  <c r="C895" i="165"/>
  <c r="AA894" i="165"/>
  <c r="Y894" i="165"/>
  <c r="W894" i="165"/>
  <c r="U894" i="165"/>
  <c r="S894" i="165"/>
  <c r="O894" i="165"/>
  <c r="M894" i="165"/>
  <c r="P894" i="165" s="1"/>
  <c r="K894" i="165"/>
  <c r="I894" i="165"/>
  <c r="G894" i="165"/>
  <c r="E894" i="165"/>
  <c r="C894" i="165"/>
  <c r="AA893" i="165"/>
  <c r="Y893" i="165"/>
  <c r="W893" i="165"/>
  <c r="U893" i="165"/>
  <c r="S893" i="165"/>
  <c r="O893" i="165"/>
  <c r="M893" i="165"/>
  <c r="K893" i="165"/>
  <c r="I893" i="165"/>
  <c r="G893" i="165"/>
  <c r="E893" i="165"/>
  <c r="C893" i="165"/>
  <c r="P893" i="165" s="1"/>
  <c r="AA892" i="165"/>
  <c r="Y892" i="165"/>
  <c r="W892" i="165"/>
  <c r="U892" i="165"/>
  <c r="S892" i="165"/>
  <c r="O892" i="165"/>
  <c r="M892" i="165"/>
  <c r="K892" i="165"/>
  <c r="I892" i="165"/>
  <c r="G892" i="165"/>
  <c r="E892" i="165"/>
  <c r="C892" i="165"/>
  <c r="P892" i="165" s="1"/>
  <c r="AA891" i="165"/>
  <c r="Y891" i="165"/>
  <c r="W891" i="165"/>
  <c r="U891" i="165"/>
  <c r="S891" i="165"/>
  <c r="O891" i="165"/>
  <c r="M891" i="165"/>
  <c r="K891" i="165"/>
  <c r="I891" i="165"/>
  <c r="G891" i="165"/>
  <c r="E891" i="165"/>
  <c r="C891" i="165"/>
  <c r="P891" i="165" s="1"/>
  <c r="AA890" i="165"/>
  <c r="Y890" i="165"/>
  <c r="W890" i="165"/>
  <c r="U890" i="165"/>
  <c r="S890" i="165"/>
  <c r="O890" i="165"/>
  <c r="M890" i="165"/>
  <c r="K890" i="165"/>
  <c r="I890" i="165"/>
  <c r="G890" i="165"/>
  <c r="E890" i="165"/>
  <c r="C890" i="165"/>
  <c r="P890" i="165" s="1"/>
  <c r="AA889" i="165"/>
  <c r="Y889" i="165"/>
  <c r="W889" i="165"/>
  <c r="U889" i="165"/>
  <c r="S889" i="165"/>
  <c r="O889" i="165"/>
  <c r="M889" i="165"/>
  <c r="K889" i="165"/>
  <c r="I889" i="165"/>
  <c r="G889" i="165"/>
  <c r="E889" i="165"/>
  <c r="C889" i="165"/>
  <c r="P889" i="165" s="1"/>
  <c r="AA888" i="165"/>
  <c r="Y888" i="165"/>
  <c r="W888" i="165"/>
  <c r="U888" i="165"/>
  <c r="S888" i="165"/>
  <c r="O888" i="165"/>
  <c r="M888" i="165"/>
  <c r="K888" i="165"/>
  <c r="I888" i="165"/>
  <c r="G888" i="165"/>
  <c r="E888" i="165"/>
  <c r="C888" i="165"/>
  <c r="P888" i="165" s="1"/>
  <c r="AA887" i="165"/>
  <c r="Y887" i="165"/>
  <c r="W887" i="165"/>
  <c r="U887" i="165"/>
  <c r="S887" i="165"/>
  <c r="O887" i="165"/>
  <c r="M887" i="165"/>
  <c r="K887" i="165"/>
  <c r="I887" i="165"/>
  <c r="G887" i="165"/>
  <c r="E887" i="165"/>
  <c r="C887" i="165"/>
  <c r="P887" i="165" s="1"/>
  <c r="AA886" i="165"/>
  <c r="Y886" i="165"/>
  <c r="W886" i="165"/>
  <c r="U886" i="165"/>
  <c r="S886" i="165"/>
  <c r="O886" i="165"/>
  <c r="M886" i="165"/>
  <c r="K886" i="165"/>
  <c r="I886" i="165"/>
  <c r="G886" i="165"/>
  <c r="E886" i="165"/>
  <c r="C886" i="165"/>
  <c r="P886" i="165" s="1"/>
  <c r="AA885" i="165"/>
  <c r="Y885" i="165"/>
  <c r="W885" i="165"/>
  <c r="U885" i="165"/>
  <c r="S885" i="165"/>
  <c r="O885" i="165"/>
  <c r="M885" i="165"/>
  <c r="K885" i="165"/>
  <c r="I885" i="165"/>
  <c r="G885" i="165"/>
  <c r="E885" i="165"/>
  <c r="C885" i="165"/>
  <c r="P885" i="165" s="1"/>
  <c r="AA884" i="165"/>
  <c r="Y884" i="165"/>
  <c r="W884" i="165"/>
  <c r="U884" i="165"/>
  <c r="S884" i="165"/>
  <c r="O884" i="165"/>
  <c r="M884" i="165"/>
  <c r="K884" i="165"/>
  <c r="I884" i="165"/>
  <c r="G884" i="165"/>
  <c r="E884" i="165"/>
  <c r="C884" i="165"/>
  <c r="P884" i="165" s="1"/>
  <c r="AA883" i="165"/>
  <c r="Y883" i="165"/>
  <c r="W883" i="165"/>
  <c r="U883" i="165"/>
  <c r="S883" i="165"/>
  <c r="O883" i="165"/>
  <c r="M883" i="165"/>
  <c r="K883" i="165"/>
  <c r="I883" i="165"/>
  <c r="G883" i="165"/>
  <c r="E883" i="165"/>
  <c r="P883" i="165" s="1"/>
  <c r="C883" i="165"/>
  <c r="AA882" i="165"/>
  <c r="Y882" i="165"/>
  <c r="W882" i="165"/>
  <c r="U882" i="165"/>
  <c r="S882" i="165"/>
  <c r="O882" i="165"/>
  <c r="M882" i="165"/>
  <c r="K882" i="165"/>
  <c r="I882" i="165"/>
  <c r="G882" i="165"/>
  <c r="P882" i="165" s="1"/>
  <c r="E882" i="165"/>
  <c r="C882" i="165"/>
  <c r="AA881" i="165"/>
  <c r="Y881" i="165"/>
  <c r="W881" i="165"/>
  <c r="U881" i="165"/>
  <c r="S881" i="165"/>
  <c r="O881" i="165"/>
  <c r="M881" i="165"/>
  <c r="K881" i="165"/>
  <c r="I881" i="165"/>
  <c r="G881" i="165"/>
  <c r="E881" i="165"/>
  <c r="C881" i="165"/>
  <c r="AA880" i="165"/>
  <c r="Y880" i="165"/>
  <c r="W880" i="165"/>
  <c r="U880" i="165"/>
  <c r="S880" i="165"/>
  <c r="O880" i="165"/>
  <c r="M880" i="165"/>
  <c r="P880" i="165" s="1"/>
  <c r="K880" i="165"/>
  <c r="I880" i="165"/>
  <c r="G880" i="165"/>
  <c r="E880" i="165"/>
  <c r="C880" i="165"/>
  <c r="AA879" i="165"/>
  <c r="Y879" i="165"/>
  <c r="W879" i="165"/>
  <c r="U879" i="165"/>
  <c r="S879" i="165"/>
  <c r="O879" i="165"/>
  <c r="P879" i="165" s="1"/>
  <c r="M879" i="165"/>
  <c r="K879" i="165"/>
  <c r="I879" i="165"/>
  <c r="G879" i="165"/>
  <c r="E879" i="165"/>
  <c r="C879" i="165"/>
  <c r="AA878" i="165"/>
  <c r="Y878" i="165"/>
  <c r="W878" i="165"/>
  <c r="U878" i="165"/>
  <c r="S878" i="165"/>
  <c r="P878" i="165"/>
  <c r="O878" i="165"/>
  <c r="M878" i="165"/>
  <c r="K878" i="165"/>
  <c r="I878" i="165"/>
  <c r="G878" i="165"/>
  <c r="E878" i="165"/>
  <c r="C878" i="165"/>
  <c r="AA877" i="165"/>
  <c r="Y877" i="165"/>
  <c r="W877" i="165"/>
  <c r="U877" i="165"/>
  <c r="S877" i="165"/>
  <c r="P877" i="165"/>
  <c r="O877" i="165"/>
  <c r="M877" i="165"/>
  <c r="K877" i="165"/>
  <c r="I877" i="165"/>
  <c r="G877" i="165"/>
  <c r="E877" i="165"/>
  <c r="C877" i="165"/>
  <c r="AA876" i="165"/>
  <c r="Y876" i="165"/>
  <c r="W876" i="165"/>
  <c r="U876" i="165"/>
  <c r="S876" i="165"/>
  <c r="O876" i="165"/>
  <c r="M876" i="165"/>
  <c r="K876" i="165"/>
  <c r="I876" i="165"/>
  <c r="G876" i="165"/>
  <c r="E876" i="165"/>
  <c r="C876" i="165"/>
  <c r="AA875" i="165"/>
  <c r="Y875" i="165"/>
  <c r="W875" i="165"/>
  <c r="U875" i="165"/>
  <c r="S875" i="165"/>
  <c r="P875" i="165"/>
  <c r="O875" i="165"/>
  <c r="M875" i="165"/>
  <c r="K875" i="165"/>
  <c r="I875" i="165"/>
  <c r="G875" i="165"/>
  <c r="E875" i="165"/>
  <c r="C875" i="165"/>
  <c r="AA874" i="165"/>
  <c r="Y874" i="165"/>
  <c r="W874" i="165"/>
  <c r="U874" i="165"/>
  <c r="S874" i="165"/>
  <c r="O874" i="165"/>
  <c r="M874" i="165"/>
  <c r="K874" i="165"/>
  <c r="I874" i="165"/>
  <c r="G874" i="165"/>
  <c r="E874" i="165"/>
  <c r="C874" i="165"/>
  <c r="AA873" i="165"/>
  <c r="Y873" i="165"/>
  <c r="W873" i="165"/>
  <c r="U873" i="165"/>
  <c r="S873" i="165"/>
  <c r="O873" i="165"/>
  <c r="M873" i="165"/>
  <c r="K873" i="165"/>
  <c r="I873" i="165"/>
  <c r="G873" i="165"/>
  <c r="E873" i="165"/>
  <c r="C873" i="165"/>
  <c r="AA872" i="165"/>
  <c r="Y872" i="165"/>
  <c r="W872" i="165"/>
  <c r="U872" i="165"/>
  <c r="S872" i="165"/>
  <c r="O872" i="165"/>
  <c r="M872" i="165"/>
  <c r="K872" i="165"/>
  <c r="I872" i="165"/>
  <c r="G872" i="165"/>
  <c r="E872" i="165"/>
  <c r="C872" i="165"/>
  <c r="AA871" i="165"/>
  <c r="Y871" i="165"/>
  <c r="W871" i="165"/>
  <c r="U871" i="165"/>
  <c r="S871" i="165"/>
  <c r="O871" i="165"/>
  <c r="M871" i="165"/>
  <c r="K871" i="165"/>
  <c r="I871" i="165"/>
  <c r="G871" i="165"/>
  <c r="E871" i="165"/>
  <c r="P871" i="165" s="1"/>
  <c r="C871" i="165"/>
  <c r="AA870" i="165"/>
  <c r="Y870" i="165"/>
  <c r="W870" i="165"/>
  <c r="U870" i="165"/>
  <c r="S870" i="165"/>
  <c r="O870" i="165"/>
  <c r="M870" i="165"/>
  <c r="K870" i="165"/>
  <c r="I870" i="165"/>
  <c r="G870" i="165"/>
  <c r="E870" i="165"/>
  <c r="C870" i="165"/>
  <c r="AA869" i="165"/>
  <c r="Y869" i="165"/>
  <c r="W869" i="165"/>
  <c r="U869" i="165"/>
  <c r="S869" i="165"/>
  <c r="O869" i="165"/>
  <c r="M869" i="165"/>
  <c r="K869" i="165"/>
  <c r="I869" i="165"/>
  <c r="G869" i="165"/>
  <c r="E869" i="165"/>
  <c r="P869" i="165" s="1"/>
  <c r="C869" i="165"/>
  <c r="AA868" i="165"/>
  <c r="Y868" i="165"/>
  <c r="W868" i="165"/>
  <c r="U868" i="165"/>
  <c r="S868" i="165"/>
  <c r="O868" i="165"/>
  <c r="M868" i="165"/>
  <c r="K868" i="165"/>
  <c r="I868" i="165"/>
  <c r="G868" i="165"/>
  <c r="P868" i="165" s="1"/>
  <c r="E868" i="165"/>
  <c r="C868" i="165"/>
  <c r="AA867" i="165"/>
  <c r="Y867" i="165"/>
  <c r="W867" i="165"/>
  <c r="U867" i="165"/>
  <c r="S867" i="165"/>
  <c r="O867" i="165"/>
  <c r="M867" i="165"/>
  <c r="K867" i="165"/>
  <c r="I867" i="165"/>
  <c r="G867" i="165"/>
  <c r="E867" i="165"/>
  <c r="C867" i="165"/>
  <c r="AA866" i="165"/>
  <c r="Y866" i="165"/>
  <c r="W866" i="165"/>
  <c r="U866" i="165"/>
  <c r="S866" i="165"/>
  <c r="O866" i="165"/>
  <c r="M866" i="165"/>
  <c r="K866" i="165"/>
  <c r="I866" i="165"/>
  <c r="G866" i="165"/>
  <c r="E866" i="165"/>
  <c r="C866" i="165"/>
  <c r="AA865" i="165"/>
  <c r="Y865" i="165"/>
  <c r="W865" i="165"/>
  <c r="U865" i="165"/>
  <c r="S865" i="165"/>
  <c r="P865" i="165"/>
  <c r="O865" i="165"/>
  <c r="M865" i="165"/>
  <c r="K865" i="165"/>
  <c r="I865" i="165"/>
  <c r="G865" i="165"/>
  <c r="E865" i="165"/>
  <c r="C865" i="165"/>
  <c r="AA864" i="165"/>
  <c r="Y864" i="165"/>
  <c r="W864" i="165"/>
  <c r="U864" i="165"/>
  <c r="S864" i="165"/>
  <c r="O864" i="165"/>
  <c r="M864" i="165"/>
  <c r="K864" i="165"/>
  <c r="I864" i="165"/>
  <c r="G864" i="165"/>
  <c r="E864" i="165"/>
  <c r="C864" i="165"/>
  <c r="AA863" i="165"/>
  <c r="Y863" i="165"/>
  <c r="W863" i="165"/>
  <c r="U863" i="165"/>
  <c r="S863" i="165"/>
  <c r="P863" i="165"/>
  <c r="O863" i="165"/>
  <c r="M863" i="165"/>
  <c r="K863" i="165"/>
  <c r="I863" i="165"/>
  <c r="G863" i="165"/>
  <c r="E863" i="165"/>
  <c r="C863" i="165"/>
  <c r="AA862" i="165"/>
  <c r="Y862" i="165"/>
  <c r="W862" i="165"/>
  <c r="U862" i="165"/>
  <c r="S862" i="165"/>
  <c r="P862" i="165"/>
  <c r="O862" i="165"/>
  <c r="M862" i="165"/>
  <c r="K862" i="165"/>
  <c r="I862" i="165"/>
  <c r="G862" i="165"/>
  <c r="E862" i="165"/>
  <c r="C862" i="165"/>
  <c r="AA861" i="165"/>
  <c r="Y861" i="165"/>
  <c r="W861" i="165"/>
  <c r="U861" i="165"/>
  <c r="S861" i="165"/>
  <c r="O861" i="165"/>
  <c r="M861" i="165"/>
  <c r="K861" i="165"/>
  <c r="I861" i="165"/>
  <c r="G861" i="165"/>
  <c r="E861" i="165"/>
  <c r="C861" i="165"/>
  <c r="AA860" i="165"/>
  <c r="Y860" i="165"/>
  <c r="W860" i="165"/>
  <c r="U860" i="165"/>
  <c r="S860" i="165"/>
  <c r="O860" i="165"/>
  <c r="M860" i="165"/>
  <c r="K860" i="165"/>
  <c r="I860" i="165"/>
  <c r="G860" i="165"/>
  <c r="E860" i="165"/>
  <c r="C860" i="165"/>
  <c r="AA859" i="165"/>
  <c r="Y859" i="165"/>
  <c r="W859" i="165"/>
  <c r="U859" i="165"/>
  <c r="S859" i="165"/>
  <c r="O859" i="165"/>
  <c r="P859" i="165" s="1"/>
  <c r="M859" i="165"/>
  <c r="K859" i="165"/>
  <c r="I859" i="165"/>
  <c r="G859" i="165"/>
  <c r="E859" i="165"/>
  <c r="C859" i="165"/>
  <c r="AA858" i="165"/>
  <c r="Y858" i="165"/>
  <c r="W858" i="165"/>
  <c r="U858" i="165"/>
  <c r="S858" i="165"/>
  <c r="P858" i="165"/>
  <c r="O858" i="165"/>
  <c r="M858" i="165"/>
  <c r="K858" i="165"/>
  <c r="I858" i="165"/>
  <c r="G858" i="165"/>
  <c r="E858" i="165"/>
  <c r="C858" i="165"/>
  <c r="AA857" i="165"/>
  <c r="Y857" i="165"/>
  <c r="W857" i="165"/>
  <c r="U857" i="165"/>
  <c r="S857" i="165"/>
  <c r="O857" i="165"/>
  <c r="M857" i="165"/>
  <c r="K857" i="165"/>
  <c r="I857" i="165"/>
  <c r="G857" i="165"/>
  <c r="E857" i="165"/>
  <c r="C857" i="165"/>
  <c r="AA856" i="165"/>
  <c r="Y856" i="165"/>
  <c r="W856" i="165"/>
  <c r="U856" i="165"/>
  <c r="S856" i="165"/>
  <c r="O856" i="165"/>
  <c r="M856" i="165"/>
  <c r="K856" i="165"/>
  <c r="I856" i="165"/>
  <c r="G856" i="165"/>
  <c r="E856" i="165"/>
  <c r="C856" i="165"/>
  <c r="AA855" i="165"/>
  <c r="Y855" i="165"/>
  <c r="W855" i="165"/>
  <c r="U855" i="165"/>
  <c r="S855" i="165"/>
  <c r="O855" i="165"/>
  <c r="M855" i="165"/>
  <c r="K855" i="165"/>
  <c r="I855" i="165"/>
  <c r="G855" i="165"/>
  <c r="E855" i="165"/>
  <c r="C855" i="165"/>
  <c r="AA854" i="165"/>
  <c r="Y854" i="165"/>
  <c r="W854" i="165"/>
  <c r="U854" i="165"/>
  <c r="S854" i="165"/>
  <c r="O854" i="165"/>
  <c r="M854" i="165"/>
  <c r="K854" i="165"/>
  <c r="I854" i="165"/>
  <c r="G854" i="165"/>
  <c r="E854" i="165"/>
  <c r="C854" i="165"/>
  <c r="P854" i="165" s="1"/>
  <c r="AA853" i="165"/>
  <c r="Y853" i="165"/>
  <c r="W853" i="165"/>
  <c r="U853" i="165"/>
  <c r="S853" i="165"/>
  <c r="O853" i="165"/>
  <c r="M853" i="165"/>
  <c r="K853" i="165"/>
  <c r="I853" i="165"/>
  <c r="G853" i="165"/>
  <c r="E853" i="165"/>
  <c r="C853" i="165"/>
  <c r="AA852" i="165"/>
  <c r="Y852" i="165"/>
  <c r="W852" i="165"/>
  <c r="U852" i="165"/>
  <c r="S852" i="165"/>
  <c r="O852" i="165"/>
  <c r="M852" i="165"/>
  <c r="K852" i="165"/>
  <c r="I852" i="165"/>
  <c r="G852" i="165"/>
  <c r="E852" i="165"/>
  <c r="C852" i="165"/>
  <c r="AA851" i="165"/>
  <c r="Y851" i="165"/>
  <c r="W851" i="165"/>
  <c r="U851" i="165"/>
  <c r="S851" i="165"/>
  <c r="O851" i="165"/>
  <c r="M851" i="165"/>
  <c r="K851" i="165"/>
  <c r="I851" i="165"/>
  <c r="G851" i="165"/>
  <c r="E851" i="165"/>
  <c r="P851" i="165" s="1"/>
  <c r="C851" i="165"/>
  <c r="AA850" i="165"/>
  <c r="Y850" i="165"/>
  <c r="W850" i="165"/>
  <c r="U850" i="165"/>
  <c r="S850" i="165"/>
  <c r="O850" i="165"/>
  <c r="M850" i="165"/>
  <c r="K850" i="165"/>
  <c r="I850" i="165"/>
  <c r="G850" i="165"/>
  <c r="E850" i="165"/>
  <c r="C850" i="165"/>
  <c r="AA849" i="165"/>
  <c r="Y849" i="165"/>
  <c r="W849" i="165"/>
  <c r="U849" i="165"/>
  <c r="S849" i="165"/>
  <c r="O849" i="165"/>
  <c r="M849" i="165"/>
  <c r="K849" i="165"/>
  <c r="I849" i="165"/>
  <c r="P849" i="165" s="1"/>
  <c r="G849" i="165"/>
  <c r="E849" i="165"/>
  <c r="C849" i="165"/>
  <c r="AA848" i="165"/>
  <c r="Y848" i="165"/>
  <c r="W848" i="165"/>
  <c r="U848" i="165"/>
  <c r="S848" i="165"/>
  <c r="O848" i="165"/>
  <c r="M848" i="165"/>
  <c r="K848" i="165"/>
  <c r="I848" i="165"/>
  <c r="G848" i="165"/>
  <c r="E848" i="165"/>
  <c r="C848" i="165"/>
  <c r="AA847" i="165"/>
  <c r="Y847" i="165"/>
  <c r="W847" i="165"/>
  <c r="U847" i="165"/>
  <c r="S847" i="165"/>
  <c r="O847" i="165"/>
  <c r="M847" i="165"/>
  <c r="K847" i="165"/>
  <c r="I847" i="165"/>
  <c r="G847" i="165"/>
  <c r="E847" i="165"/>
  <c r="C847" i="165"/>
  <c r="AA846" i="165"/>
  <c r="Y846" i="165"/>
  <c r="W846" i="165"/>
  <c r="U846" i="165"/>
  <c r="S846" i="165"/>
  <c r="O846" i="165"/>
  <c r="M846" i="165"/>
  <c r="K846" i="165"/>
  <c r="I846" i="165"/>
  <c r="G846" i="165"/>
  <c r="E846" i="165"/>
  <c r="C846" i="165"/>
  <c r="AA845" i="165"/>
  <c r="Y845" i="165"/>
  <c r="W845" i="165"/>
  <c r="U845" i="165"/>
  <c r="S845" i="165"/>
  <c r="O845" i="165"/>
  <c r="M845" i="165"/>
  <c r="K845" i="165"/>
  <c r="I845" i="165"/>
  <c r="G845" i="165"/>
  <c r="E845" i="165"/>
  <c r="C845" i="165"/>
  <c r="AA844" i="165"/>
  <c r="Y844" i="165"/>
  <c r="W844" i="165"/>
  <c r="U844" i="165"/>
  <c r="S844" i="165"/>
  <c r="O844" i="165"/>
  <c r="M844" i="165"/>
  <c r="K844" i="165"/>
  <c r="I844" i="165"/>
  <c r="G844" i="165"/>
  <c r="P844" i="165" s="1"/>
  <c r="E844" i="165"/>
  <c r="C844" i="165"/>
  <c r="AA843" i="165"/>
  <c r="Y843" i="165"/>
  <c r="W843" i="165"/>
  <c r="U843" i="165"/>
  <c r="S843" i="165"/>
  <c r="O843" i="165"/>
  <c r="M843" i="165"/>
  <c r="K843" i="165"/>
  <c r="I843" i="165"/>
  <c r="P843" i="165" s="1"/>
  <c r="G843" i="165"/>
  <c r="E843" i="165"/>
  <c r="C843" i="165"/>
  <c r="AA842" i="165"/>
  <c r="Y842" i="165"/>
  <c r="W842" i="165"/>
  <c r="U842" i="165"/>
  <c r="S842" i="165"/>
  <c r="O842" i="165"/>
  <c r="M842" i="165"/>
  <c r="K842" i="165"/>
  <c r="I842" i="165"/>
  <c r="G842" i="165"/>
  <c r="E842" i="165"/>
  <c r="C842" i="165"/>
  <c r="AA841" i="165"/>
  <c r="Y841" i="165"/>
  <c r="W841" i="165"/>
  <c r="U841" i="165"/>
  <c r="S841" i="165"/>
  <c r="O841" i="165"/>
  <c r="M841" i="165"/>
  <c r="K841" i="165"/>
  <c r="I841" i="165"/>
  <c r="G841" i="165"/>
  <c r="E841" i="165"/>
  <c r="C841" i="165"/>
  <c r="AA840" i="165"/>
  <c r="Y840" i="165"/>
  <c r="W840" i="165"/>
  <c r="U840" i="165"/>
  <c r="S840" i="165"/>
  <c r="O840" i="165"/>
  <c r="M840" i="165"/>
  <c r="K840" i="165"/>
  <c r="I840" i="165"/>
  <c r="G840" i="165"/>
  <c r="E840" i="165"/>
  <c r="C840" i="165"/>
  <c r="AA839" i="165"/>
  <c r="Y839" i="165"/>
  <c r="W839" i="165"/>
  <c r="U839" i="165"/>
  <c r="S839" i="165"/>
  <c r="O839" i="165"/>
  <c r="M839" i="165"/>
  <c r="K839" i="165"/>
  <c r="I839" i="165"/>
  <c r="G839" i="165"/>
  <c r="E839" i="165"/>
  <c r="C839" i="165"/>
  <c r="AA838" i="165"/>
  <c r="Y838" i="165"/>
  <c r="W838" i="165"/>
  <c r="U838" i="165"/>
  <c r="S838" i="165"/>
  <c r="O838" i="165"/>
  <c r="P838" i="165" s="1"/>
  <c r="M838" i="165"/>
  <c r="K838" i="165"/>
  <c r="I838" i="165"/>
  <c r="G838" i="165"/>
  <c r="E838" i="165"/>
  <c r="C838" i="165"/>
  <c r="AA837" i="165"/>
  <c r="Y837" i="165"/>
  <c r="W837" i="165"/>
  <c r="U837" i="165"/>
  <c r="S837" i="165"/>
  <c r="P837" i="165"/>
  <c r="O837" i="165"/>
  <c r="M837" i="165"/>
  <c r="K837" i="165"/>
  <c r="I837" i="165"/>
  <c r="G837" i="165"/>
  <c r="E837" i="165"/>
  <c r="C837" i="165"/>
  <c r="AA836" i="165"/>
  <c r="Y836" i="165"/>
  <c r="W836" i="165"/>
  <c r="U836" i="165"/>
  <c r="S836" i="165"/>
  <c r="P836" i="165"/>
  <c r="O836" i="165"/>
  <c r="M836" i="165"/>
  <c r="K836" i="165"/>
  <c r="I836" i="165"/>
  <c r="G836" i="165"/>
  <c r="E836" i="165"/>
  <c r="C836" i="165"/>
  <c r="AA835" i="165"/>
  <c r="Y835" i="165"/>
  <c r="W835" i="165"/>
  <c r="U835" i="165"/>
  <c r="S835" i="165"/>
  <c r="O835" i="165"/>
  <c r="M835" i="165"/>
  <c r="K835" i="165"/>
  <c r="I835" i="165"/>
  <c r="G835" i="165"/>
  <c r="E835" i="165"/>
  <c r="C835" i="165"/>
  <c r="AA834" i="165"/>
  <c r="Y834" i="165"/>
  <c r="W834" i="165"/>
  <c r="U834" i="165"/>
  <c r="S834" i="165"/>
  <c r="O834" i="165"/>
  <c r="M834" i="165"/>
  <c r="K834" i="165"/>
  <c r="I834" i="165"/>
  <c r="G834" i="165"/>
  <c r="E834" i="165"/>
  <c r="C834" i="165"/>
  <c r="AA833" i="165"/>
  <c r="Y833" i="165"/>
  <c r="W833" i="165"/>
  <c r="U833" i="165"/>
  <c r="S833" i="165"/>
  <c r="P833" i="165"/>
  <c r="O833" i="165"/>
  <c r="M833" i="165"/>
  <c r="K833" i="165"/>
  <c r="I833" i="165"/>
  <c r="G833" i="165"/>
  <c r="E833" i="165"/>
  <c r="C833" i="165"/>
  <c r="AA832" i="165"/>
  <c r="Y832" i="165"/>
  <c r="W832" i="165"/>
  <c r="U832" i="165"/>
  <c r="S832" i="165"/>
  <c r="P832" i="165"/>
  <c r="O832" i="165"/>
  <c r="M832" i="165"/>
  <c r="K832" i="165"/>
  <c r="I832" i="165"/>
  <c r="G832" i="165"/>
  <c r="E832" i="165"/>
  <c r="C832" i="165"/>
  <c r="AA831" i="165"/>
  <c r="Y831" i="165"/>
  <c r="W831" i="165"/>
  <c r="U831" i="165"/>
  <c r="S831" i="165"/>
  <c r="O831" i="165"/>
  <c r="M831" i="165"/>
  <c r="K831" i="165"/>
  <c r="I831" i="165"/>
  <c r="G831" i="165"/>
  <c r="E831" i="165"/>
  <c r="C831" i="165"/>
  <c r="P831" i="165" s="1"/>
  <c r="AA830" i="165"/>
  <c r="Y830" i="165"/>
  <c r="W830" i="165"/>
  <c r="U830" i="165"/>
  <c r="S830" i="165"/>
  <c r="O830" i="165"/>
  <c r="M830" i="165"/>
  <c r="K830" i="165"/>
  <c r="I830" i="165"/>
  <c r="G830" i="165"/>
  <c r="E830" i="165"/>
  <c r="P830" i="165" s="1"/>
  <c r="C830" i="165"/>
  <c r="AA829" i="165"/>
  <c r="Y829" i="165"/>
  <c r="W829" i="165"/>
  <c r="U829" i="165"/>
  <c r="S829" i="165"/>
  <c r="O829" i="165"/>
  <c r="M829" i="165"/>
  <c r="K829" i="165"/>
  <c r="I829" i="165"/>
  <c r="G829" i="165"/>
  <c r="P829" i="165" s="1"/>
  <c r="E829" i="165"/>
  <c r="C829" i="165"/>
  <c r="AA828" i="165"/>
  <c r="Y828" i="165"/>
  <c r="W828" i="165"/>
  <c r="U828" i="165"/>
  <c r="S828" i="165"/>
  <c r="O828" i="165"/>
  <c r="M828" i="165"/>
  <c r="K828" i="165"/>
  <c r="I828" i="165"/>
  <c r="G828" i="165"/>
  <c r="E828" i="165"/>
  <c r="C828" i="165"/>
  <c r="AA827" i="165"/>
  <c r="Y827" i="165"/>
  <c r="W827" i="165"/>
  <c r="U827" i="165"/>
  <c r="S827" i="165"/>
  <c r="O827" i="165"/>
  <c r="M827" i="165"/>
  <c r="K827" i="165"/>
  <c r="I827" i="165"/>
  <c r="G827" i="165"/>
  <c r="E827" i="165"/>
  <c r="C827" i="165"/>
  <c r="P827" i="165" s="1"/>
  <c r="AA826" i="165"/>
  <c r="Y826" i="165"/>
  <c r="W826" i="165"/>
  <c r="U826" i="165"/>
  <c r="S826" i="165"/>
  <c r="O826" i="165"/>
  <c r="M826" i="165"/>
  <c r="K826" i="165"/>
  <c r="I826" i="165"/>
  <c r="G826" i="165"/>
  <c r="E826" i="165"/>
  <c r="C826" i="165"/>
  <c r="P826" i="165" s="1"/>
  <c r="AA825" i="165"/>
  <c r="Y825" i="165"/>
  <c r="W825" i="165"/>
  <c r="U825" i="165"/>
  <c r="S825" i="165"/>
  <c r="O825" i="165"/>
  <c r="M825" i="165"/>
  <c r="K825" i="165"/>
  <c r="I825" i="165"/>
  <c r="G825" i="165"/>
  <c r="E825" i="165"/>
  <c r="C825" i="165"/>
  <c r="AA824" i="165"/>
  <c r="Y824" i="165"/>
  <c r="W824" i="165"/>
  <c r="U824" i="165"/>
  <c r="S824" i="165"/>
  <c r="O824" i="165"/>
  <c r="M824" i="165"/>
  <c r="K824" i="165"/>
  <c r="I824" i="165"/>
  <c r="G824" i="165"/>
  <c r="E824" i="165"/>
  <c r="C824" i="165"/>
  <c r="P824" i="165" s="1"/>
  <c r="AA823" i="165"/>
  <c r="Y823" i="165"/>
  <c r="W823" i="165"/>
  <c r="U823" i="165"/>
  <c r="S823" i="165"/>
  <c r="O823" i="165"/>
  <c r="M823" i="165"/>
  <c r="K823" i="165"/>
  <c r="I823" i="165"/>
  <c r="G823" i="165"/>
  <c r="E823" i="165"/>
  <c r="P823" i="165" s="1"/>
  <c r="C823" i="165"/>
  <c r="AA822" i="165"/>
  <c r="Y822" i="165"/>
  <c r="W822" i="165"/>
  <c r="U822" i="165"/>
  <c r="S822" i="165"/>
  <c r="O822" i="165"/>
  <c r="M822" i="165"/>
  <c r="K822" i="165"/>
  <c r="I822" i="165"/>
  <c r="G822" i="165"/>
  <c r="E822" i="165"/>
  <c r="C822" i="165"/>
  <c r="AA821" i="165"/>
  <c r="Y821" i="165"/>
  <c r="W821" i="165"/>
  <c r="U821" i="165"/>
  <c r="S821" i="165"/>
  <c r="O821" i="165"/>
  <c r="M821" i="165"/>
  <c r="K821" i="165"/>
  <c r="I821" i="165"/>
  <c r="G821" i="165"/>
  <c r="E821" i="165"/>
  <c r="C821" i="165"/>
  <c r="AA820" i="165"/>
  <c r="Y820" i="165"/>
  <c r="W820" i="165"/>
  <c r="U820" i="165"/>
  <c r="S820" i="165"/>
  <c r="O820" i="165"/>
  <c r="M820" i="165"/>
  <c r="K820" i="165"/>
  <c r="I820" i="165"/>
  <c r="G820" i="165"/>
  <c r="E820" i="165"/>
  <c r="C820" i="165"/>
  <c r="P820" i="165" s="1"/>
  <c r="AA819" i="165"/>
  <c r="Y819" i="165"/>
  <c r="W819" i="165"/>
  <c r="U819" i="165"/>
  <c r="S819" i="165"/>
  <c r="O819" i="165"/>
  <c r="M819" i="165"/>
  <c r="K819" i="165"/>
  <c r="I819" i="165"/>
  <c r="G819" i="165"/>
  <c r="E819" i="165"/>
  <c r="P819" i="165" s="1"/>
  <c r="C819" i="165"/>
  <c r="AA818" i="165"/>
  <c r="Y818" i="165"/>
  <c r="W818" i="165"/>
  <c r="U818" i="165"/>
  <c r="S818" i="165"/>
  <c r="O818" i="165"/>
  <c r="M818" i="165"/>
  <c r="K818" i="165"/>
  <c r="I818" i="165"/>
  <c r="G818" i="165"/>
  <c r="P818" i="165" s="1"/>
  <c r="E818" i="165"/>
  <c r="C818" i="165"/>
  <c r="AA817" i="165"/>
  <c r="Y817" i="165"/>
  <c r="W817" i="165"/>
  <c r="U817" i="165"/>
  <c r="S817" i="165"/>
  <c r="O817" i="165"/>
  <c r="M817" i="165"/>
  <c r="K817" i="165"/>
  <c r="I817" i="165"/>
  <c r="P817" i="165" s="1"/>
  <c r="G817" i="165"/>
  <c r="E817" i="165"/>
  <c r="C817" i="165"/>
  <c r="AA816" i="165"/>
  <c r="Y816" i="165"/>
  <c r="W816" i="165"/>
  <c r="U816" i="165"/>
  <c r="S816" i="165"/>
  <c r="O816" i="165"/>
  <c r="M816" i="165"/>
  <c r="K816" i="165"/>
  <c r="I816" i="165"/>
  <c r="G816" i="165"/>
  <c r="E816" i="165"/>
  <c r="C816" i="165"/>
  <c r="AA815" i="165"/>
  <c r="Y815" i="165"/>
  <c r="W815" i="165"/>
  <c r="U815" i="165"/>
  <c r="S815" i="165"/>
  <c r="O815" i="165"/>
  <c r="M815" i="165"/>
  <c r="P815" i="165" s="1"/>
  <c r="K815" i="165"/>
  <c r="I815" i="165"/>
  <c r="G815" i="165"/>
  <c r="E815" i="165"/>
  <c r="C815" i="165"/>
  <c r="AA814" i="165"/>
  <c r="Y814" i="165"/>
  <c r="W814" i="165"/>
  <c r="U814" i="165"/>
  <c r="S814" i="165"/>
  <c r="O814" i="165"/>
  <c r="M814" i="165"/>
  <c r="K814" i="165"/>
  <c r="I814" i="165"/>
  <c r="G814" i="165"/>
  <c r="E814" i="165"/>
  <c r="C814" i="165"/>
  <c r="P814" i="165" s="1"/>
  <c r="AA813" i="165"/>
  <c r="Y813" i="165"/>
  <c r="W813" i="165"/>
  <c r="U813" i="165"/>
  <c r="S813" i="165"/>
  <c r="O813" i="165"/>
  <c r="M813" i="165"/>
  <c r="K813" i="165"/>
  <c r="I813" i="165"/>
  <c r="G813" i="165"/>
  <c r="E813" i="165"/>
  <c r="C813" i="165"/>
  <c r="P813" i="165" s="1"/>
  <c r="AA812" i="165"/>
  <c r="Y812" i="165"/>
  <c r="W812" i="165"/>
  <c r="U812" i="165"/>
  <c r="S812" i="165"/>
  <c r="O812" i="165"/>
  <c r="M812" i="165"/>
  <c r="K812" i="165"/>
  <c r="I812" i="165"/>
  <c r="G812" i="165"/>
  <c r="E812" i="165"/>
  <c r="P812" i="165" s="1"/>
  <c r="C812" i="165"/>
  <c r="AA811" i="165"/>
  <c r="Y811" i="165"/>
  <c r="W811" i="165"/>
  <c r="U811" i="165"/>
  <c r="S811" i="165"/>
  <c r="O811" i="165"/>
  <c r="M811" i="165"/>
  <c r="K811" i="165"/>
  <c r="I811" i="165"/>
  <c r="G811" i="165"/>
  <c r="E811" i="165"/>
  <c r="P811" i="165" s="1"/>
  <c r="C811" i="165"/>
  <c r="AA810" i="165"/>
  <c r="Y810" i="165"/>
  <c r="W810" i="165"/>
  <c r="U810" i="165"/>
  <c r="S810" i="165"/>
  <c r="O810" i="165"/>
  <c r="M810" i="165"/>
  <c r="K810" i="165"/>
  <c r="I810" i="165"/>
  <c r="G810" i="165"/>
  <c r="E810" i="165"/>
  <c r="C810" i="165"/>
  <c r="AA809" i="165"/>
  <c r="Y809" i="165"/>
  <c r="W809" i="165"/>
  <c r="U809" i="165"/>
  <c r="S809" i="165"/>
  <c r="O809" i="165"/>
  <c r="M809" i="165"/>
  <c r="K809" i="165"/>
  <c r="I809" i="165"/>
  <c r="G809" i="165"/>
  <c r="E809" i="165"/>
  <c r="C809" i="165"/>
  <c r="AA808" i="165"/>
  <c r="Y808" i="165"/>
  <c r="W808" i="165"/>
  <c r="U808" i="165"/>
  <c r="S808" i="165"/>
  <c r="O808" i="165"/>
  <c r="M808" i="165"/>
  <c r="K808" i="165"/>
  <c r="I808" i="165"/>
  <c r="G808" i="165"/>
  <c r="E808" i="165"/>
  <c r="C808" i="165"/>
  <c r="AA807" i="165"/>
  <c r="Y807" i="165"/>
  <c r="W807" i="165"/>
  <c r="U807" i="165"/>
  <c r="S807" i="165"/>
  <c r="O807" i="165"/>
  <c r="M807" i="165"/>
  <c r="K807" i="165"/>
  <c r="I807" i="165"/>
  <c r="G807" i="165"/>
  <c r="E807" i="165"/>
  <c r="C807" i="165"/>
  <c r="AA806" i="165"/>
  <c r="Y806" i="165"/>
  <c r="W806" i="165"/>
  <c r="U806" i="165"/>
  <c r="S806" i="165"/>
  <c r="O806" i="165"/>
  <c r="M806" i="165"/>
  <c r="K806" i="165"/>
  <c r="I806" i="165"/>
  <c r="G806" i="165"/>
  <c r="E806" i="165"/>
  <c r="C806" i="165"/>
  <c r="AA805" i="165"/>
  <c r="Y805" i="165"/>
  <c r="W805" i="165"/>
  <c r="U805" i="165"/>
  <c r="S805" i="165"/>
  <c r="O805" i="165"/>
  <c r="M805" i="165"/>
  <c r="K805" i="165"/>
  <c r="I805" i="165"/>
  <c r="G805" i="165"/>
  <c r="E805" i="165"/>
  <c r="C805" i="165"/>
  <c r="AA804" i="165"/>
  <c r="Y804" i="165"/>
  <c r="W804" i="165"/>
  <c r="U804" i="165"/>
  <c r="S804" i="165"/>
  <c r="O804" i="165"/>
  <c r="M804" i="165"/>
  <c r="K804" i="165"/>
  <c r="I804" i="165"/>
  <c r="G804" i="165"/>
  <c r="E804" i="165"/>
  <c r="C804" i="165"/>
  <c r="AA803" i="165"/>
  <c r="Y803" i="165"/>
  <c r="W803" i="165"/>
  <c r="U803" i="165"/>
  <c r="S803" i="165"/>
  <c r="O803" i="165"/>
  <c r="M803" i="165"/>
  <c r="K803" i="165"/>
  <c r="I803" i="165"/>
  <c r="G803" i="165"/>
  <c r="E803" i="165"/>
  <c r="P803" i="165" s="1"/>
  <c r="C803" i="165"/>
  <c r="AA802" i="165"/>
  <c r="Y802" i="165"/>
  <c r="W802" i="165"/>
  <c r="U802" i="165"/>
  <c r="S802" i="165"/>
  <c r="O802" i="165"/>
  <c r="M802" i="165"/>
  <c r="K802" i="165"/>
  <c r="I802" i="165"/>
  <c r="G802" i="165"/>
  <c r="P802" i="165" s="1"/>
  <c r="E802" i="165"/>
  <c r="C802" i="165"/>
  <c r="AA801" i="165"/>
  <c r="Y801" i="165"/>
  <c r="W801" i="165"/>
  <c r="U801" i="165"/>
  <c r="S801" i="165"/>
  <c r="O801" i="165"/>
  <c r="M801" i="165"/>
  <c r="K801" i="165"/>
  <c r="I801" i="165"/>
  <c r="P801" i="165" s="1"/>
  <c r="G801" i="165"/>
  <c r="E801" i="165"/>
  <c r="C801" i="165"/>
  <c r="AA800" i="165"/>
  <c r="Y800" i="165"/>
  <c r="W800" i="165"/>
  <c r="U800" i="165"/>
  <c r="S800" i="165"/>
  <c r="O800" i="165"/>
  <c r="M800" i="165"/>
  <c r="K800" i="165"/>
  <c r="P800" i="165" s="1"/>
  <c r="I800" i="165"/>
  <c r="G800" i="165"/>
  <c r="E800" i="165"/>
  <c r="C800" i="165"/>
  <c r="AA799" i="165"/>
  <c r="Y799" i="165"/>
  <c r="W799" i="165"/>
  <c r="U799" i="165"/>
  <c r="S799" i="165"/>
  <c r="O799" i="165"/>
  <c r="M799" i="165"/>
  <c r="P799" i="165" s="1"/>
  <c r="K799" i="165"/>
  <c r="I799" i="165"/>
  <c r="G799" i="165"/>
  <c r="E799" i="165"/>
  <c r="C799" i="165"/>
  <c r="AA798" i="165"/>
  <c r="Y798" i="165"/>
  <c r="W798" i="165"/>
  <c r="U798" i="165"/>
  <c r="S798" i="165"/>
  <c r="O798" i="165"/>
  <c r="P798" i="165" s="1"/>
  <c r="M798" i="165"/>
  <c r="K798" i="165"/>
  <c r="I798" i="165"/>
  <c r="G798" i="165"/>
  <c r="E798" i="165"/>
  <c r="C798" i="165"/>
  <c r="AA797" i="165"/>
  <c r="Y797" i="165"/>
  <c r="W797" i="165"/>
  <c r="U797" i="165"/>
  <c r="S797" i="165"/>
  <c r="P797" i="165"/>
  <c r="O797" i="165"/>
  <c r="M797" i="165"/>
  <c r="K797" i="165"/>
  <c r="I797" i="165"/>
  <c r="G797" i="165"/>
  <c r="E797" i="165"/>
  <c r="C797" i="165"/>
  <c r="AA796" i="165"/>
  <c r="Y796" i="165"/>
  <c r="W796" i="165"/>
  <c r="U796" i="165"/>
  <c r="S796" i="165"/>
  <c r="O796" i="165"/>
  <c r="M796" i="165"/>
  <c r="K796" i="165"/>
  <c r="I796" i="165"/>
  <c r="G796" i="165"/>
  <c r="E796" i="165"/>
  <c r="C796" i="165"/>
  <c r="P796" i="165" s="1"/>
  <c r="AA795" i="165"/>
  <c r="Y795" i="165"/>
  <c r="W795" i="165"/>
  <c r="U795" i="165"/>
  <c r="S795" i="165"/>
  <c r="O795" i="165"/>
  <c r="M795" i="165"/>
  <c r="K795" i="165"/>
  <c r="I795" i="165"/>
  <c r="G795" i="165"/>
  <c r="E795" i="165"/>
  <c r="C795" i="165"/>
  <c r="P795" i="165" s="1"/>
  <c r="AA794" i="165"/>
  <c r="Y794" i="165"/>
  <c r="W794" i="165"/>
  <c r="U794" i="165"/>
  <c r="S794" i="165"/>
  <c r="O794" i="165"/>
  <c r="M794" i="165"/>
  <c r="K794" i="165"/>
  <c r="I794" i="165"/>
  <c r="G794" i="165"/>
  <c r="E794" i="165"/>
  <c r="C794" i="165"/>
  <c r="AA793" i="165"/>
  <c r="Y793" i="165"/>
  <c r="W793" i="165"/>
  <c r="U793" i="165"/>
  <c r="S793" i="165"/>
  <c r="O793" i="165"/>
  <c r="M793" i="165"/>
  <c r="K793" i="165"/>
  <c r="I793" i="165"/>
  <c r="G793" i="165"/>
  <c r="E793" i="165"/>
  <c r="C793" i="165"/>
  <c r="AA792" i="165"/>
  <c r="Y792" i="165"/>
  <c r="W792" i="165"/>
  <c r="U792" i="165"/>
  <c r="S792" i="165"/>
  <c r="O792" i="165"/>
  <c r="M792" i="165"/>
  <c r="K792" i="165"/>
  <c r="I792" i="165"/>
  <c r="G792" i="165"/>
  <c r="E792" i="165"/>
  <c r="C792" i="165"/>
  <c r="AA791" i="165"/>
  <c r="Y791" i="165"/>
  <c r="W791" i="165"/>
  <c r="U791" i="165"/>
  <c r="S791" i="165"/>
  <c r="O791" i="165"/>
  <c r="M791" i="165"/>
  <c r="K791" i="165"/>
  <c r="I791" i="165"/>
  <c r="G791" i="165"/>
  <c r="E791" i="165"/>
  <c r="C791" i="165"/>
  <c r="AA790" i="165"/>
  <c r="Y790" i="165"/>
  <c r="W790" i="165"/>
  <c r="U790" i="165"/>
  <c r="S790" i="165"/>
  <c r="O790" i="165"/>
  <c r="M790" i="165"/>
  <c r="P790" i="165" s="1"/>
  <c r="K790" i="165"/>
  <c r="I790" i="165"/>
  <c r="G790" i="165"/>
  <c r="E790" i="165"/>
  <c r="C790" i="165"/>
  <c r="AA789" i="165"/>
  <c r="Y789" i="165"/>
  <c r="W789" i="165"/>
  <c r="U789" i="165"/>
  <c r="S789" i="165"/>
  <c r="O789" i="165"/>
  <c r="P789" i="165" s="1"/>
  <c r="M789" i="165"/>
  <c r="K789" i="165"/>
  <c r="I789" i="165"/>
  <c r="G789" i="165"/>
  <c r="E789" i="165"/>
  <c r="C789" i="165"/>
  <c r="AA788" i="165"/>
  <c r="Y788" i="165"/>
  <c r="W788" i="165"/>
  <c r="U788" i="165"/>
  <c r="S788" i="165"/>
  <c r="P788" i="165"/>
  <c r="O788" i="165"/>
  <c r="M788" i="165"/>
  <c r="K788" i="165"/>
  <c r="I788" i="165"/>
  <c r="G788" i="165"/>
  <c r="E788" i="165"/>
  <c r="C788" i="165"/>
  <c r="AA787" i="165"/>
  <c r="Y787" i="165"/>
  <c r="W787" i="165"/>
  <c r="U787" i="165"/>
  <c r="S787" i="165"/>
  <c r="O787" i="165"/>
  <c r="M787" i="165"/>
  <c r="P787" i="165" s="1"/>
  <c r="K787" i="165"/>
  <c r="I787" i="165"/>
  <c r="G787" i="165"/>
  <c r="E787" i="165"/>
  <c r="C787" i="165"/>
  <c r="AA786" i="165"/>
  <c r="Y786" i="165"/>
  <c r="W786" i="165"/>
  <c r="U786" i="165"/>
  <c r="S786" i="165"/>
  <c r="O786" i="165"/>
  <c r="M786" i="165"/>
  <c r="P786" i="165" s="1"/>
  <c r="K786" i="165"/>
  <c r="I786" i="165"/>
  <c r="G786" i="165"/>
  <c r="E786" i="165"/>
  <c r="C786" i="165"/>
  <c r="AA785" i="165"/>
  <c r="Y785" i="165"/>
  <c r="W785" i="165"/>
  <c r="U785" i="165"/>
  <c r="S785" i="165"/>
  <c r="O785" i="165"/>
  <c r="M785" i="165"/>
  <c r="K785" i="165"/>
  <c r="I785" i="165"/>
  <c r="G785" i="165"/>
  <c r="E785" i="165"/>
  <c r="C785" i="165"/>
  <c r="P785" i="165" s="1"/>
  <c r="AA784" i="165"/>
  <c r="Y784" i="165"/>
  <c r="W784" i="165"/>
  <c r="U784" i="165"/>
  <c r="S784" i="165"/>
  <c r="O784" i="165"/>
  <c r="M784" i="165"/>
  <c r="K784" i="165"/>
  <c r="I784" i="165"/>
  <c r="G784" i="165"/>
  <c r="E784" i="165"/>
  <c r="C784" i="165"/>
  <c r="AA783" i="165"/>
  <c r="Y783" i="165"/>
  <c r="W783" i="165"/>
  <c r="U783" i="165"/>
  <c r="S783" i="165"/>
  <c r="O783" i="165"/>
  <c r="M783" i="165"/>
  <c r="K783" i="165"/>
  <c r="I783" i="165"/>
  <c r="G783" i="165"/>
  <c r="E783" i="165"/>
  <c r="C783" i="165"/>
  <c r="AA782" i="165"/>
  <c r="Y782" i="165"/>
  <c r="W782" i="165"/>
  <c r="U782" i="165"/>
  <c r="S782" i="165"/>
  <c r="O782" i="165"/>
  <c r="M782" i="165"/>
  <c r="K782" i="165"/>
  <c r="I782" i="165"/>
  <c r="G782" i="165"/>
  <c r="E782" i="165"/>
  <c r="C782" i="165"/>
  <c r="AA781" i="165"/>
  <c r="Y781" i="165"/>
  <c r="W781" i="165"/>
  <c r="U781" i="165"/>
  <c r="S781" i="165"/>
  <c r="P781" i="165"/>
  <c r="O781" i="165"/>
  <c r="M781" i="165"/>
  <c r="K781" i="165"/>
  <c r="I781" i="165"/>
  <c r="G781" i="165"/>
  <c r="E781" i="165"/>
  <c r="C781" i="165"/>
  <c r="AA780" i="165"/>
  <c r="Y780" i="165"/>
  <c r="W780" i="165"/>
  <c r="U780" i="165"/>
  <c r="S780" i="165"/>
  <c r="O780" i="165"/>
  <c r="M780" i="165"/>
  <c r="K780" i="165"/>
  <c r="I780" i="165"/>
  <c r="G780" i="165"/>
  <c r="E780" i="165"/>
  <c r="C780" i="165"/>
  <c r="AA779" i="165"/>
  <c r="Y779" i="165"/>
  <c r="W779" i="165"/>
  <c r="U779" i="165"/>
  <c r="S779" i="165"/>
  <c r="P779" i="165"/>
  <c r="O779" i="165"/>
  <c r="M779" i="165"/>
  <c r="K779" i="165"/>
  <c r="I779" i="165"/>
  <c r="G779" i="165"/>
  <c r="E779" i="165"/>
  <c r="C779" i="165"/>
  <c r="AA778" i="165"/>
  <c r="Y778" i="165"/>
  <c r="W778" i="165"/>
  <c r="U778" i="165"/>
  <c r="S778" i="165"/>
  <c r="O778" i="165"/>
  <c r="M778" i="165"/>
  <c r="K778" i="165"/>
  <c r="I778" i="165"/>
  <c r="G778" i="165"/>
  <c r="E778" i="165"/>
  <c r="C778" i="165"/>
  <c r="AA777" i="165"/>
  <c r="Y777" i="165"/>
  <c r="W777" i="165"/>
  <c r="U777" i="165"/>
  <c r="S777" i="165"/>
  <c r="O777" i="165"/>
  <c r="M777" i="165"/>
  <c r="K777" i="165"/>
  <c r="I777" i="165"/>
  <c r="G777" i="165"/>
  <c r="E777" i="165"/>
  <c r="C777" i="165"/>
  <c r="AA776" i="165"/>
  <c r="Y776" i="165"/>
  <c r="W776" i="165"/>
  <c r="U776" i="165"/>
  <c r="S776" i="165"/>
  <c r="O776" i="165"/>
  <c r="M776" i="165"/>
  <c r="K776" i="165"/>
  <c r="I776" i="165"/>
  <c r="G776" i="165"/>
  <c r="E776" i="165"/>
  <c r="C776" i="165"/>
  <c r="AA775" i="165"/>
  <c r="Y775" i="165"/>
  <c r="W775" i="165"/>
  <c r="U775" i="165"/>
  <c r="S775" i="165"/>
  <c r="O775" i="165"/>
  <c r="M775" i="165"/>
  <c r="P775" i="165" s="1"/>
  <c r="K775" i="165"/>
  <c r="I775" i="165"/>
  <c r="G775" i="165"/>
  <c r="E775" i="165"/>
  <c r="C775" i="165"/>
  <c r="AA774" i="165"/>
  <c r="Y774" i="165"/>
  <c r="W774" i="165"/>
  <c r="U774" i="165"/>
  <c r="S774" i="165"/>
  <c r="O774" i="165"/>
  <c r="M774" i="165"/>
  <c r="P774" i="165" s="1"/>
  <c r="K774" i="165"/>
  <c r="I774" i="165"/>
  <c r="G774" i="165"/>
  <c r="E774" i="165"/>
  <c r="C774" i="165"/>
  <c r="AA773" i="165"/>
  <c r="Y773" i="165"/>
  <c r="W773" i="165"/>
  <c r="U773" i="165"/>
  <c r="S773" i="165"/>
  <c r="O773" i="165"/>
  <c r="P773" i="165" s="1"/>
  <c r="M773" i="165"/>
  <c r="K773" i="165"/>
  <c r="I773" i="165"/>
  <c r="G773" i="165"/>
  <c r="E773" i="165"/>
  <c r="C773" i="165"/>
  <c r="AA772" i="165"/>
  <c r="Y772" i="165"/>
  <c r="W772" i="165"/>
  <c r="U772" i="165"/>
  <c r="S772" i="165"/>
  <c r="P772" i="165"/>
  <c r="O772" i="165"/>
  <c r="M772" i="165"/>
  <c r="K772" i="165"/>
  <c r="I772" i="165"/>
  <c r="G772" i="165"/>
  <c r="E772" i="165"/>
  <c r="C772" i="165"/>
  <c r="AA771" i="165"/>
  <c r="Y771" i="165"/>
  <c r="W771" i="165"/>
  <c r="U771" i="165"/>
  <c r="S771" i="165"/>
  <c r="P771" i="165"/>
  <c r="O771" i="165"/>
  <c r="M771" i="165"/>
  <c r="K771" i="165"/>
  <c r="I771" i="165"/>
  <c r="G771" i="165"/>
  <c r="E771" i="165"/>
  <c r="C771" i="165"/>
  <c r="AA770" i="165"/>
  <c r="Y770" i="165"/>
  <c r="W770" i="165"/>
  <c r="U770" i="165"/>
  <c r="S770" i="165"/>
  <c r="O770" i="165"/>
  <c r="M770" i="165"/>
  <c r="K770" i="165"/>
  <c r="I770" i="165"/>
  <c r="G770" i="165"/>
  <c r="E770" i="165"/>
  <c r="C770" i="165"/>
  <c r="AA769" i="165"/>
  <c r="Y769" i="165"/>
  <c r="W769" i="165"/>
  <c r="U769" i="165"/>
  <c r="S769" i="165"/>
  <c r="O769" i="165"/>
  <c r="M769" i="165"/>
  <c r="K769" i="165"/>
  <c r="I769" i="165"/>
  <c r="G769" i="165"/>
  <c r="E769" i="165"/>
  <c r="C769" i="165"/>
  <c r="AA768" i="165"/>
  <c r="Y768" i="165"/>
  <c r="W768" i="165"/>
  <c r="U768" i="165"/>
  <c r="S768" i="165"/>
  <c r="O768" i="165"/>
  <c r="M768" i="165"/>
  <c r="K768" i="165"/>
  <c r="I768" i="165"/>
  <c r="G768" i="165"/>
  <c r="E768" i="165"/>
  <c r="C768" i="165"/>
  <c r="AA767" i="165"/>
  <c r="Y767" i="165"/>
  <c r="W767" i="165"/>
  <c r="U767" i="165"/>
  <c r="S767" i="165"/>
  <c r="O767" i="165"/>
  <c r="M767" i="165"/>
  <c r="K767" i="165"/>
  <c r="I767" i="165"/>
  <c r="G767" i="165"/>
  <c r="E767" i="165"/>
  <c r="C767" i="165"/>
  <c r="P767" i="165" s="1"/>
  <c r="AA766" i="165"/>
  <c r="Y766" i="165"/>
  <c r="W766" i="165"/>
  <c r="U766" i="165"/>
  <c r="S766" i="165"/>
  <c r="O766" i="165"/>
  <c r="M766" i="165"/>
  <c r="K766" i="165"/>
  <c r="I766" i="165"/>
  <c r="G766" i="165"/>
  <c r="E766" i="165"/>
  <c r="C766" i="165"/>
  <c r="P766" i="165" s="1"/>
  <c r="AA765" i="165"/>
  <c r="Y765" i="165"/>
  <c r="W765" i="165"/>
  <c r="U765" i="165"/>
  <c r="S765" i="165"/>
  <c r="O765" i="165"/>
  <c r="M765" i="165"/>
  <c r="K765" i="165"/>
  <c r="I765" i="165"/>
  <c r="G765" i="165"/>
  <c r="E765" i="165"/>
  <c r="C765" i="165"/>
  <c r="P765" i="165" s="1"/>
  <c r="AA764" i="165"/>
  <c r="Y764" i="165"/>
  <c r="W764" i="165"/>
  <c r="U764" i="165"/>
  <c r="S764" i="165"/>
  <c r="O764" i="165"/>
  <c r="M764" i="165"/>
  <c r="K764" i="165"/>
  <c r="I764" i="165"/>
  <c r="G764" i="165"/>
  <c r="E764" i="165"/>
  <c r="C764" i="165"/>
  <c r="P764" i="165" s="1"/>
  <c r="AA763" i="165"/>
  <c r="Y763" i="165"/>
  <c r="W763" i="165"/>
  <c r="U763" i="165"/>
  <c r="S763" i="165"/>
  <c r="O763" i="165"/>
  <c r="M763" i="165"/>
  <c r="K763" i="165"/>
  <c r="I763" i="165"/>
  <c r="G763" i="165"/>
  <c r="E763" i="165"/>
  <c r="P763" i="165" s="1"/>
  <c r="C763" i="165"/>
  <c r="AA762" i="165"/>
  <c r="Y762" i="165"/>
  <c r="W762" i="165"/>
  <c r="U762" i="165"/>
  <c r="S762" i="165"/>
  <c r="O762" i="165"/>
  <c r="M762" i="165"/>
  <c r="K762" i="165"/>
  <c r="I762" i="165"/>
  <c r="G762" i="165"/>
  <c r="E762" i="165"/>
  <c r="C762" i="165"/>
  <c r="P762" i="165" s="1"/>
  <c r="AA761" i="165"/>
  <c r="Y761" i="165"/>
  <c r="W761" i="165"/>
  <c r="U761" i="165"/>
  <c r="S761" i="165"/>
  <c r="O761" i="165"/>
  <c r="M761" i="165"/>
  <c r="K761" i="165"/>
  <c r="I761" i="165"/>
  <c r="G761" i="165"/>
  <c r="E761" i="165"/>
  <c r="C761" i="165"/>
  <c r="P761" i="165" s="1"/>
  <c r="AA760" i="165"/>
  <c r="Y760" i="165"/>
  <c r="W760" i="165"/>
  <c r="U760" i="165"/>
  <c r="S760" i="165"/>
  <c r="O760" i="165"/>
  <c r="M760" i="165"/>
  <c r="K760" i="165"/>
  <c r="I760" i="165"/>
  <c r="G760" i="165"/>
  <c r="E760" i="165"/>
  <c r="C760" i="165"/>
  <c r="P760" i="165" s="1"/>
  <c r="AA759" i="165"/>
  <c r="Y759" i="165"/>
  <c r="W759" i="165"/>
  <c r="U759" i="165"/>
  <c r="S759" i="165"/>
  <c r="O759" i="165"/>
  <c r="M759" i="165"/>
  <c r="K759" i="165"/>
  <c r="I759" i="165"/>
  <c r="G759" i="165"/>
  <c r="E759" i="165"/>
  <c r="P759" i="165" s="1"/>
  <c r="C759" i="165"/>
  <c r="AA758" i="165"/>
  <c r="Y758" i="165"/>
  <c r="W758" i="165"/>
  <c r="U758" i="165"/>
  <c r="S758" i="165"/>
  <c r="O758" i="165"/>
  <c r="M758" i="165"/>
  <c r="K758" i="165"/>
  <c r="I758" i="165"/>
  <c r="G758" i="165"/>
  <c r="P758" i="165" s="1"/>
  <c r="E758" i="165"/>
  <c r="C758" i="165"/>
  <c r="AA757" i="165"/>
  <c r="Y757" i="165"/>
  <c r="W757" i="165"/>
  <c r="U757" i="165"/>
  <c r="S757" i="165"/>
  <c r="O757" i="165"/>
  <c r="M757" i="165"/>
  <c r="K757" i="165"/>
  <c r="I757" i="165"/>
  <c r="G757" i="165"/>
  <c r="P757" i="165" s="1"/>
  <c r="E757" i="165"/>
  <c r="C757" i="165"/>
  <c r="AA756" i="165"/>
  <c r="Y756" i="165"/>
  <c r="W756" i="165"/>
  <c r="U756" i="165"/>
  <c r="S756" i="165"/>
  <c r="O756" i="165"/>
  <c r="M756" i="165"/>
  <c r="K756" i="165"/>
  <c r="I756" i="165"/>
  <c r="G756" i="165"/>
  <c r="E756" i="165"/>
  <c r="C756" i="165"/>
  <c r="AA755" i="165"/>
  <c r="Y755" i="165"/>
  <c r="W755" i="165"/>
  <c r="U755" i="165"/>
  <c r="S755" i="165"/>
  <c r="O755" i="165"/>
  <c r="M755" i="165"/>
  <c r="K755" i="165"/>
  <c r="I755" i="165"/>
  <c r="G755" i="165"/>
  <c r="E755" i="165"/>
  <c r="C755" i="165"/>
  <c r="AA754" i="165"/>
  <c r="Y754" i="165"/>
  <c r="W754" i="165"/>
  <c r="U754" i="165"/>
  <c r="S754" i="165"/>
  <c r="O754" i="165"/>
  <c r="M754" i="165"/>
  <c r="K754" i="165"/>
  <c r="I754" i="165"/>
  <c r="P754" i="165" s="1"/>
  <c r="G754" i="165"/>
  <c r="E754" i="165"/>
  <c r="C754" i="165"/>
  <c r="AA753" i="165"/>
  <c r="Y753" i="165"/>
  <c r="W753" i="165"/>
  <c r="U753" i="165"/>
  <c r="S753" i="165"/>
  <c r="O753" i="165"/>
  <c r="M753" i="165"/>
  <c r="P753" i="165" s="1"/>
  <c r="K753" i="165"/>
  <c r="I753" i="165"/>
  <c r="G753" i="165"/>
  <c r="E753" i="165"/>
  <c r="C753" i="165"/>
  <c r="AA752" i="165"/>
  <c r="Y752" i="165"/>
  <c r="W752" i="165"/>
  <c r="U752" i="165"/>
  <c r="S752" i="165"/>
  <c r="O752" i="165"/>
  <c r="M752" i="165"/>
  <c r="P752" i="165" s="1"/>
  <c r="K752" i="165"/>
  <c r="I752" i="165"/>
  <c r="G752" i="165"/>
  <c r="E752" i="165"/>
  <c r="C752" i="165"/>
  <c r="AA751" i="165"/>
  <c r="Y751" i="165"/>
  <c r="W751" i="165"/>
  <c r="U751" i="165"/>
  <c r="S751" i="165"/>
  <c r="O751" i="165"/>
  <c r="P751" i="165" s="1"/>
  <c r="M751" i="165"/>
  <c r="K751" i="165"/>
  <c r="I751" i="165"/>
  <c r="G751" i="165"/>
  <c r="E751" i="165"/>
  <c r="C751" i="165"/>
  <c r="AA750" i="165"/>
  <c r="Y750" i="165"/>
  <c r="W750" i="165"/>
  <c r="U750" i="165"/>
  <c r="S750" i="165"/>
  <c r="P750" i="165"/>
  <c r="O750" i="165"/>
  <c r="M750" i="165"/>
  <c r="K750" i="165"/>
  <c r="I750" i="165"/>
  <c r="G750" i="165"/>
  <c r="E750" i="165"/>
  <c r="C750" i="165"/>
  <c r="AA749" i="165"/>
  <c r="Y749" i="165"/>
  <c r="W749" i="165"/>
  <c r="U749" i="165"/>
  <c r="S749" i="165"/>
  <c r="O749" i="165"/>
  <c r="M749" i="165"/>
  <c r="K749" i="165"/>
  <c r="I749" i="165"/>
  <c r="G749" i="165"/>
  <c r="E749" i="165"/>
  <c r="C749" i="165"/>
  <c r="P749" i="165" s="1"/>
  <c r="AA748" i="165"/>
  <c r="Y748" i="165"/>
  <c r="W748" i="165"/>
  <c r="U748" i="165"/>
  <c r="S748" i="165"/>
  <c r="O748" i="165"/>
  <c r="M748" i="165"/>
  <c r="K748" i="165"/>
  <c r="I748" i="165"/>
  <c r="G748" i="165"/>
  <c r="E748" i="165"/>
  <c r="C748" i="165"/>
  <c r="AA747" i="165"/>
  <c r="Y747" i="165"/>
  <c r="W747" i="165"/>
  <c r="U747" i="165"/>
  <c r="S747" i="165"/>
  <c r="O747" i="165"/>
  <c r="M747" i="165"/>
  <c r="K747" i="165"/>
  <c r="I747" i="165"/>
  <c r="G747" i="165"/>
  <c r="E747" i="165"/>
  <c r="C747" i="165"/>
  <c r="AA746" i="165"/>
  <c r="Y746" i="165"/>
  <c r="W746" i="165"/>
  <c r="U746" i="165"/>
  <c r="S746" i="165"/>
  <c r="O746" i="165"/>
  <c r="M746" i="165"/>
  <c r="K746" i="165"/>
  <c r="I746" i="165"/>
  <c r="G746" i="165"/>
  <c r="E746" i="165"/>
  <c r="C746" i="165"/>
  <c r="AA745" i="165"/>
  <c r="Y745" i="165"/>
  <c r="W745" i="165"/>
  <c r="U745" i="165"/>
  <c r="S745" i="165"/>
  <c r="O745" i="165"/>
  <c r="M745" i="165"/>
  <c r="K745" i="165"/>
  <c r="I745" i="165"/>
  <c r="G745" i="165"/>
  <c r="E745" i="165"/>
  <c r="C745" i="165"/>
  <c r="AA744" i="165"/>
  <c r="Y744" i="165"/>
  <c r="W744" i="165"/>
  <c r="U744" i="165"/>
  <c r="S744" i="165"/>
  <c r="O744" i="165"/>
  <c r="M744" i="165"/>
  <c r="K744" i="165"/>
  <c r="I744" i="165"/>
  <c r="G744" i="165"/>
  <c r="E744" i="165"/>
  <c r="C744" i="165"/>
  <c r="AA743" i="165"/>
  <c r="Y743" i="165"/>
  <c r="W743" i="165"/>
  <c r="U743" i="165"/>
  <c r="S743" i="165"/>
  <c r="O743" i="165"/>
  <c r="M743" i="165"/>
  <c r="K743" i="165"/>
  <c r="I743" i="165"/>
  <c r="G743" i="165"/>
  <c r="E743" i="165"/>
  <c r="P743" i="165" s="1"/>
  <c r="C743" i="165"/>
  <c r="AA742" i="165"/>
  <c r="Y742" i="165"/>
  <c r="W742" i="165"/>
  <c r="U742" i="165"/>
  <c r="S742" i="165"/>
  <c r="O742" i="165"/>
  <c r="M742" i="165"/>
  <c r="K742" i="165"/>
  <c r="I742" i="165"/>
  <c r="G742" i="165"/>
  <c r="E742" i="165"/>
  <c r="C742" i="165"/>
  <c r="AA741" i="165"/>
  <c r="Y741" i="165"/>
  <c r="W741" i="165"/>
  <c r="U741" i="165"/>
  <c r="S741" i="165"/>
  <c r="O741" i="165"/>
  <c r="M741" i="165"/>
  <c r="K741" i="165"/>
  <c r="I741" i="165"/>
  <c r="G741" i="165"/>
  <c r="P741" i="165" s="1"/>
  <c r="E741" i="165"/>
  <c r="C741" i="165"/>
  <c r="AA740" i="165"/>
  <c r="Y740" i="165"/>
  <c r="W740" i="165"/>
  <c r="U740" i="165"/>
  <c r="S740" i="165"/>
  <c r="O740" i="165"/>
  <c r="M740" i="165"/>
  <c r="K740" i="165"/>
  <c r="I740" i="165"/>
  <c r="P740" i="165" s="1"/>
  <c r="G740" i="165"/>
  <c r="E740" i="165"/>
  <c r="C740" i="165"/>
  <c r="AA739" i="165"/>
  <c r="Y739" i="165"/>
  <c r="W739" i="165"/>
  <c r="U739" i="165"/>
  <c r="S739" i="165"/>
  <c r="O739" i="165"/>
  <c r="M739" i="165"/>
  <c r="K739" i="165"/>
  <c r="P739" i="165" s="1"/>
  <c r="I739" i="165"/>
  <c r="G739" i="165"/>
  <c r="E739" i="165"/>
  <c r="C739" i="165"/>
  <c r="AA738" i="165"/>
  <c r="Y738" i="165"/>
  <c r="W738" i="165"/>
  <c r="U738" i="165"/>
  <c r="S738" i="165"/>
  <c r="O738" i="165"/>
  <c r="M738" i="165"/>
  <c r="P738" i="165" s="1"/>
  <c r="K738" i="165"/>
  <c r="I738" i="165"/>
  <c r="G738" i="165"/>
  <c r="E738" i="165"/>
  <c r="C738" i="165"/>
  <c r="AA737" i="165"/>
  <c r="Y737" i="165"/>
  <c r="W737" i="165"/>
  <c r="U737" i="165"/>
  <c r="S737" i="165"/>
  <c r="O737" i="165"/>
  <c r="P737" i="165" s="1"/>
  <c r="M737" i="165"/>
  <c r="K737" i="165"/>
  <c r="I737" i="165"/>
  <c r="G737" i="165"/>
  <c r="E737" i="165"/>
  <c r="C737" i="165"/>
  <c r="AA736" i="165"/>
  <c r="Y736" i="165"/>
  <c r="W736" i="165"/>
  <c r="U736" i="165"/>
  <c r="S736" i="165"/>
  <c r="P736" i="165"/>
  <c r="O736" i="165"/>
  <c r="M736" i="165"/>
  <c r="K736" i="165"/>
  <c r="I736" i="165"/>
  <c r="G736" i="165"/>
  <c r="E736" i="165"/>
  <c r="C736" i="165"/>
  <c r="AA735" i="165"/>
  <c r="Y735" i="165"/>
  <c r="W735" i="165"/>
  <c r="U735" i="165"/>
  <c r="S735" i="165"/>
  <c r="O735" i="165"/>
  <c r="M735" i="165"/>
  <c r="K735" i="165"/>
  <c r="I735" i="165"/>
  <c r="G735" i="165"/>
  <c r="E735" i="165"/>
  <c r="C735" i="165"/>
  <c r="P735" i="165" s="1"/>
  <c r="AA734" i="165"/>
  <c r="Y734" i="165"/>
  <c r="W734" i="165"/>
  <c r="U734" i="165"/>
  <c r="S734" i="165"/>
  <c r="O734" i="165"/>
  <c r="M734" i="165"/>
  <c r="K734" i="165"/>
  <c r="I734" i="165"/>
  <c r="G734" i="165"/>
  <c r="E734" i="165"/>
  <c r="C734" i="165"/>
  <c r="AA733" i="165"/>
  <c r="Y733" i="165"/>
  <c r="W733" i="165"/>
  <c r="U733" i="165"/>
  <c r="S733" i="165"/>
  <c r="O733" i="165"/>
  <c r="M733" i="165"/>
  <c r="K733" i="165"/>
  <c r="I733" i="165"/>
  <c r="G733" i="165"/>
  <c r="E733" i="165"/>
  <c r="C733" i="165"/>
  <c r="AA732" i="165"/>
  <c r="Y732" i="165"/>
  <c r="W732" i="165"/>
  <c r="U732" i="165"/>
  <c r="S732" i="165"/>
  <c r="O732" i="165"/>
  <c r="M732" i="165"/>
  <c r="K732" i="165"/>
  <c r="I732" i="165"/>
  <c r="G732" i="165"/>
  <c r="E732" i="165"/>
  <c r="C732" i="165"/>
  <c r="AA731" i="165"/>
  <c r="Y731" i="165"/>
  <c r="W731" i="165"/>
  <c r="U731" i="165"/>
  <c r="S731" i="165"/>
  <c r="O731" i="165"/>
  <c r="M731" i="165"/>
  <c r="K731" i="165"/>
  <c r="I731" i="165"/>
  <c r="G731" i="165"/>
  <c r="E731" i="165"/>
  <c r="C731" i="165"/>
  <c r="P731" i="165" s="1"/>
  <c r="AA730" i="165"/>
  <c r="Y730" i="165"/>
  <c r="W730" i="165"/>
  <c r="U730" i="165"/>
  <c r="S730" i="165"/>
  <c r="O730" i="165"/>
  <c r="M730" i="165"/>
  <c r="K730" i="165"/>
  <c r="I730" i="165"/>
  <c r="G730" i="165"/>
  <c r="E730" i="165"/>
  <c r="C730" i="165"/>
  <c r="AA729" i="165"/>
  <c r="Y729" i="165"/>
  <c r="W729" i="165"/>
  <c r="U729" i="165"/>
  <c r="S729" i="165"/>
  <c r="O729" i="165"/>
  <c r="M729" i="165"/>
  <c r="K729" i="165"/>
  <c r="I729" i="165"/>
  <c r="G729" i="165"/>
  <c r="E729" i="165"/>
  <c r="C729" i="165"/>
  <c r="AA728" i="165"/>
  <c r="Y728" i="165"/>
  <c r="W728" i="165"/>
  <c r="U728" i="165"/>
  <c r="S728" i="165"/>
  <c r="O728" i="165"/>
  <c r="M728" i="165"/>
  <c r="K728" i="165"/>
  <c r="I728" i="165"/>
  <c r="G728" i="165"/>
  <c r="E728" i="165"/>
  <c r="P728" i="165" s="1"/>
  <c r="C728" i="165"/>
  <c r="AA727" i="165"/>
  <c r="Y727" i="165"/>
  <c r="W727" i="165"/>
  <c r="U727" i="165"/>
  <c r="S727" i="165"/>
  <c r="O727" i="165"/>
  <c r="M727" i="165"/>
  <c r="K727" i="165"/>
  <c r="I727" i="165"/>
  <c r="G727" i="165"/>
  <c r="E727" i="165"/>
  <c r="C727" i="165"/>
  <c r="AA726" i="165"/>
  <c r="Y726" i="165"/>
  <c r="W726" i="165"/>
  <c r="U726" i="165"/>
  <c r="S726" i="165"/>
  <c r="O726" i="165"/>
  <c r="M726" i="165"/>
  <c r="K726" i="165"/>
  <c r="I726" i="165"/>
  <c r="P726" i="165" s="1"/>
  <c r="G726" i="165"/>
  <c r="E726" i="165"/>
  <c r="C726" i="165"/>
  <c r="AA725" i="165"/>
  <c r="Y725" i="165"/>
  <c r="W725" i="165"/>
  <c r="U725" i="165"/>
  <c r="S725" i="165"/>
  <c r="O725" i="165"/>
  <c r="M725" i="165"/>
  <c r="K725" i="165"/>
  <c r="I725" i="165"/>
  <c r="G725" i="165"/>
  <c r="E725" i="165"/>
  <c r="C725" i="165"/>
  <c r="AA724" i="165"/>
  <c r="Y724" i="165"/>
  <c r="W724" i="165"/>
  <c r="U724" i="165"/>
  <c r="S724" i="165"/>
  <c r="O724" i="165"/>
  <c r="M724" i="165"/>
  <c r="K724" i="165"/>
  <c r="I724" i="165"/>
  <c r="G724" i="165"/>
  <c r="E724" i="165"/>
  <c r="C724" i="165"/>
  <c r="AA723" i="165"/>
  <c r="Y723" i="165"/>
  <c r="W723" i="165"/>
  <c r="U723" i="165"/>
  <c r="S723" i="165"/>
  <c r="O723" i="165"/>
  <c r="P723" i="165" s="1"/>
  <c r="M723" i="165"/>
  <c r="K723" i="165"/>
  <c r="I723" i="165"/>
  <c r="G723" i="165"/>
  <c r="E723" i="165"/>
  <c r="C723" i="165"/>
  <c r="AA722" i="165"/>
  <c r="Y722" i="165"/>
  <c r="W722" i="165"/>
  <c r="U722" i="165"/>
  <c r="S722" i="165"/>
  <c r="P722" i="165"/>
  <c r="O722" i="165"/>
  <c r="M722" i="165"/>
  <c r="K722" i="165"/>
  <c r="I722" i="165"/>
  <c r="G722" i="165"/>
  <c r="E722" i="165"/>
  <c r="C722" i="165"/>
  <c r="AA721" i="165"/>
  <c r="Y721" i="165"/>
  <c r="W721" i="165"/>
  <c r="U721" i="165"/>
  <c r="S721" i="165"/>
  <c r="O721" i="165"/>
  <c r="M721" i="165"/>
  <c r="K721" i="165"/>
  <c r="I721" i="165"/>
  <c r="G721" i="165"/>
  <c r="E721" i="165"/>
  <c r="C721" i="165"/>
  <c r="AA720" i="165"/>
  <c r="Y720" i="165"/>
  <c r="W720" i="165"/>
  <c r="U720" i="165"/>
  <c r="S720" i="165"/>
  <c r="O720" i="165"/>
  <c r="M720" i="165"/>
  <c r="K720" i="165"/>
  <c r="I720" i="165"/>
  <c r="G720" i="165"/>
  <c r="E720" i="165"/>
  <c r="C720" i="165"/>
  <c r="AA719" i="165"/>
  <c r="Y719" i="165"/>
  <c r="W719" i="165"/>
  <c r="U719" i="165"/>
  <c r="S719" i="165"/>
  <c r="O719" i="165"/>
  <c r="M719" i="165"/>
  <c r="K719" i="165"/>
  <c r="I719" i="165"/>
  <c r="G719" i="165"/>
  <c r="E719" i="165"/>
  <c r="C719" i="165"/>
  <c r="AA718" i="165"/>
  <c r="Y718" i="165"/>
  <c r="W718" i="165"/>
  <c r="U718" i="165"/>
  <c r="S718" i="165"/>
  <c r="O718" i="165"/>
  <c r="M718" i="165"/>
  <c r="K718" i="165"/>
  <c r="I718" i="165"/>
  <c r="G718" i="165"/>
  <c r="E718" i="165"/>
  <c r="C718" i="165"/>
  <c r="AA717" i="165"/>
  <c r="Y717" i="165"/>
  <c r="W717" i="165"/>
  <c r="U717" i="165"/>
  <c r="S717" i="165"/>
  <c r="P717" i="165"/>
  <c r="O717" i="165"/>
  <c r="M717" i="165"/>
  <c r="K717" i="165"/>
  <c r="I717" i="165"/>
  <c r="G717" i="165"/>
  <c r="E717" i="165"/>
  <c r="C717" i="165"/>
  <c r="AA716" i="165"/>
  <c r="Y716" i="165"/>
  <c r="W716" i="165"/>
  <c r="U716" i="165"/>
  <c r="S716" i="165"/>
  <c r="O716" i="165"/>
  <c r="M716" i="165"/>
  <c r="K716" i="165"/>
  <c r="I716" i="165"/>
  <c r="G716" i="165"/>
  <c r="E716" i="165"/>
  <c r="C716" i="165"/>
  <c r="AA715" i="165"/>
  <c r="Y715" i="165"/>
  <c r="W715" i="165"/>
  <c r="U715" i="165"/>
  <c r="S715" i="165"/>
  <c r="P715" i="165"/>
  <c r="O715" i="165"/>
  <c r="M715" i="165"/>
  <c r="K715" i="165"/>
  <c r="I715" i="165"/>
  <c r="G715" i="165"/>
  <c r="E715" i="165"/>
  <c r="C715" i="165"/>
  <c r="AA714" i="165"/>
  <c r="Y714" i="165"/>
  <c r="W714" i="165"/>
  <c r="U714" i="165"/>
  <c r="S714" i="165"/>
  <c r="O714" i="165"/>
  <c r="P714" i="165" s="1"/>
  <c r="M714" i="165"/>
  <c r="K714" i="165"/>
  <c r="I714" i="165"/>
  <c r="G714" i="165"/>
  <c r="E714" i="165"/>
  <c r="C714" i="165"/>
  <c r="AA713" i="165"/>
  <c r="Y713" i="165"/>
  <c r="W713" i="165"/>
  <c r="U713" i="165"/>
  <c r="S713" i="165"/>
  <c r="P713" i="165"/>
  <c r="O713" i="165"/>
  <c r="M713" i="165"/>
  <c r="K713" i="165"/>
  <c r="I713" i="165"/>
  <c r="G713" i="165"/>
  <c r="E713" i="165"/>
  <c r="C713" i="165"/>
  <c r="AA712" i="165"/>
  <c r="Y712" i="165"/>
  <c r="W712" i="165"/>
  <c r="U712" i="165"/>
  <c r="S712" i="165"/>
  <c r="P712" i="165"/>
  <c r="O712" i="165"/>
  <c r="M712" i="165"/>
  <c r="K712" i="165"/>
  <c r="I712" i="165"/>
  <c r="G712" i="165"/>
  <c r="E712" i="165"/>
  <c r="C712" i="165"/>
  <c r="AA711" i="165"/>
  <c r="Y711" i="165"/>
  <c r="W711" i="165"/>
  <c r="U711" i="165"/>
  <c r="S711" i="165"/>
  <c r="P711" i="165"/>
  <c r="O711" i="165"/>
  <c r="M711" i="165"/>
  <c r="K711" i="165"/>
  <c r="I711" i="165"/>
  <c r="G711" i="165"/>
  <c r="E711" i="165"/>
  <c r="C711" i="165"/>
  <c r="AA710" i="165"/>
  <c r="Y710" i="165"/>
  <c r="W710" i="165"/>
  <c r="U710" i="165"/>
  <c r="S710" i="165"/>
  <c r="O710" i="165"/>
  <c r="M710" i="165"/>
  <c r="K710" i="165"/>
  <c r="I710" i="165"/>
  <c r="G710" i="165"/>
  <c r="E710" i="165"/>
  <c r="C710" i="165"/>
  <c r="P710" i="165" s="1"/>
  <c r="AA709" i="165"/>
  <c r="Y709" i="165"/>
  <c r="W709" i="165"/>
  <c r="U709" i="165"/>
  <c r="S709" i="165"/>
  <c r="O709" i="165"/>
  <c r="M709" i="165"/>
  <c r="K709" i="165"/>
  <c r="I709" i="165"/>
  <c r="G709" i="165"/>
  <c r="E709" i="165"/>
  <c r="C709" i="165"/>
  <c r="AA708" i="165"/>
  <c r="Y708" i="165"/>
  <c r="W708" i="165"/>
  <c r="U708" i="165"/>
  <c r="S708" i="165"/>
  <c r="O708" i="165"/>
  <c r="M708" i="165"/>
  <c r="K708" i="165"/>
  <c r="I708" i="165"/>
  <c r="G708" i="165"/>
  <c r="E708" i="165"/>
  <c r="C708" i="165"/>
  <c r="AA707" i="165"/>
  <c r="Y707" i="165"/>
  <c r="W707" i="165"/>
  <c r="U707" i="165"/>
  <c r="S707" i="165"/>
  <c r="O707" i="165"/>
  <c r="M707" i="165"/>
  <c r="K707" i="165"/>
  <c r="I707" i="165"/>
  <c r="G707" i="165"/>
  <c r="E707" i="165"/>
  <c r="C707" i="165"/>
  <c r="AA706" i="165"/>
  <c r="Y706" i="165"/>
  <c r="W706" i="165"/>
  <c r="U706" i="165"/>
  <c r="S706" i="165"/>
  <c r="O706" i="165"/>
  <c r="M706" i="165"/>
  <c r="K706" i="165"/>
  <c r="I706" i="165"/>
  <c r="G706" i="165"/>
  <c r="E706" i="165"/>
  <c r="C706" i="165"/>
  <c r="AA705" i="165"/>
  <c r="Y705" i="165"/>
  <c r="W705" i="165"/>
  <c r="U705" i="165"/>
  <c r="S705" i="165"/>
  <c r="O705" i="165"/>
  <c r="M705" i="165"/>
  <c r="K705" i="165"/>
  <c r="I705" i="165"/>
  <c r="G705" i="165"/>
  <c r="E705" i="165"/>
  <c r="C705" i="165"/>
  <c r="AA704" i="165"/>
  <c r="Y704" i="165"/>
  <c r="W704" i="165"/>
  <c r="U704" i="165"/>
  <c r="S704" i="165"/>
  <c r="O704" i="165"/>
  <c r="M704" i="165"/>
  <c r="K704" i="165"/>
  <c r="I704" i="165"/>
  <c r="G704" i="165"/>
  <c r="E704" i="165"/>
  <c r="C704" i="165"/>
  <c r="AA703" i="165"/>
  <c r="Y703" i="165"/>
  <c r="W703" i="165"/>
  <c r="U703" i="165"/>
  <c r="S703" i="165"/>
  <c r="O703" i="165"/>
  <c r="M703" i="165"/>
  <c r="K703" i="165"/>
  <c r="I703" i="165"/>
  <c r="G703" i="165"/>
  <c r="E703" i="165"/>
  <c r="P703" i="165" s="1"/>
  <c r="C703" i="165"/>
  <c r="AA702" i="165"/>
  <c r="Y702" i="165"/>
  <c r="W702" i="165"/>
  <c r="U702" i="165"/>
  <c r="S702" i="165"/>
  <c r="O702" i="165"/>
  <c r="M702" i="165"/>
  <c r="K702" i="165"/>
  <c r="I702" i="165"/>
  <c r="G702" i="165"/>
  <c r="E702" i="165"/>
  <c r="C702" i="165"/>
  <c r="AA701" i="165"/>
  <c r="Y701" i="165"/>
  <c r="W701" i="165"/>
  <c r="U701" i="165"/>
  <c r="S701" i="165"/>
  <c r="O701" i="165"/>
  <c r="M701" i="165"/>
  <c r="K701" i="165"/>
  <c r="I701" i="165"/>
  <c r="G701" i="165"/>
  <c r="E701" i="165"/>
  <c r="C701" i="165"/>
  <c r="AA700" i="165"/>
  <c r="Y700" i="165"/>
  <c r="W700" i="165"/>
  <c r="U700" i="165"/>
  <c r="S700" i="165"/>
  <c r="O700" i="165"/>
  <c r="M700" i="165"/>
  <c r="K700" i="165"/>
  <c r="I700" i="165"/>
  <c r="G700" i="165"/>
  <c r="E700" i="165"/>
  <c r="P700" i="165" s="1"/>
  <c r="C700" i="165"/>
  <c r="AA699" i="165"/>
  <c r="Y699" i="165"/>
  <c r="W699" i="165"/>
  <c r="U699" i="165"/>
  <c r="S699" i="165"/>
  <c r="O699" i="165"/>
  <c r="M699" i="165"/>
  <c r="K699" i="165"/>
  <c r="I699" i="165"/>
  <c r="G699" i="165"/>
  <c r="P699" i="165" s="1"/>
  <c r="E699" i="165"/>
  <c r="C699" i="165"/>
  <c r="AA698" i="165"/>
  <c r="Y698" i="165"/>
  <c r="W698" i="165"/>
  <c r="U698" i="165"/>
  <c r="S698" i="165"/>
  <c r="O698" i="165"/>
  <c r="M698" i="165"/>
  <c r="K698" i="165"/>
  <c r="I698" i="165"/>
  <c r="P698" i="165" s="1"/>
  <c r="G698" i="165"/>
  <c r="E698" i="165"/>
  <c r="C698" i="165"/>
  <c r="AA697" i="165"/>
  <c r="Y697" i="165"/>
  <c r="W697" i="165"/>
  <c r="U697" i="165"/>
  <c r="S697" i="165"/>
  <c r="O697" i="165"/>
  <c r="M697" i="165"/>
  <c r="K697" i="165"/>
  <c r="I697" i="165"/>
  <c r="G697" i="165"/>
  <c r="E697" i="165"/>
  <c r="C697" i="165"/>
  <c r="AA696" i="165"/>
  <c r="Y696" i="165"/>
  <c r="W696" i="165"/>
  <c r="U696" i="165"/>
  <c r="S696" i="165"/>
  <c r="O696" i="165"/>
  <c r="M696" i="165"/>
  <c r="K696" i="165"/>
  <c r="I696" i="165"/>
  <c r="G696" i="165"/>
  <c r="E696" i="165"/>
  <c r="C696" i="165"/>
  <c r="AA695" i="165"/>
  <c r="Y695" i="165"/>
  <c r="W695" i="165"/>
  <c r="U695" i="165"/>
  <c r="S695" i="165"/>
  <c r="O695" i="165"/>
  <c r="M695" i="165"/>
  <c r="P695" i="165" s="1"/>
  <c r="K695" i="165"/>
  <c r="I695" i="165"/>
  <c r="G695" i="165"/>
  <c r="E695" i="165"/>
  <c r="C695" i="165"/>
  <c r="AA694" i="165"/>
  <c r="Y694" i="165"/>
  <c r="W694" i="165"/>
  <c r="U694" i="165"/>
  <c r="S694" i="165"/>
  <c r="O694" i="165"/>
  <c r="P694" i="165" s="1"/>
  <c r="M694" i="165"/>
  <c r="K694" i="165"/>
  <c r="I694" i="165"/>
  <c r="G694" i="165"/>
  <c r="E694" i="165"/>
  <c r="C694" i="165"/>
  <c r="AA693" i="165"/>
  <c r="Y693" i="165"/>
  <c r="W693" i="165"/>
  <c r="U693" i="165"/>
  <c r="S693" i="165"/>
  <c r="P693" i="165"/>
  <c r="O693" i="165"/>
  <c r="M693" i="165"/>
  <c r="K693" i="165"/>
  <c r="I693" i="165"/>
  <c r="G693" i="165"/>
  <c r="E693" i="165"/>
  <c r="C693" i="165"/>
  <c r="AA692" i="165"/>
  <c r="Y692" i="165"/>
  <c r="W692" i="165"/>
  <c r="U692" i="165"/>
  <c r="S692" i="165"/>
  <c r="O692" i="165"/>
  <c r="M692" i="165"/>
  <c r="K692" i="165"/>
  <c r="I692" i="165"/>
  <c r="G692" i="165"/>
  <c r="E692" i="165"/>
  <c r="C692" i="165"/>
  <c r="AA691" i="165"/>
  <c r="Y691" i="165"/>
  <c r="W691" i="165"/>
  <c r="U691" i="165"/>
  <c r="S691" i="165"/>
  <c r="O691" i="165"/>
  <c r="M691" i="165"/>
  <c r="K691" i="165"/>
  <c r="I691" i="165"/>
  <c r="G691" i="165"/>
  <c r="E691" i="165"/>
  <c r="C691" i="165"/>
  <c r="AA690" i="165"/>
  <c r="Y690" i="165"/>
  <c r="W690" i="165"/>
  <c r="U690" i="165"/>
  <c r="S690" i="165"/>
  <c r="O690" i="165"/>
  <c r="M690" i="165"/>
  <c r="K690" i="165"/>
  <c r="I690" i="165"/>
  <c r="G690" i="165"/>
  <c r="E690" i="165"/>
  <c r="C690" i="165"/>
  <c r="AA689" i="165"/>
  <c r="Y689" i="165"/>
  <c r="W689" i="165"/>
  <c r="U689" i="165"/>
  <c r="S689" i="165"/>
  <c r="O689" i="165"/>
  <c r="M689" i="165"/>
  <c r="K689" i="165"/>
  <c r="I689" i="165"/>
  <c r="G689" i="165"/>
  <c r="E689" i="165"/>
  <c r="C689" i="165"/>
  <c r="AA688" i="165"/>
  <c r="Y688" i="165"/>
  <c r="W688" i="165"/>
  <c r="U688" i="165"/>
  <c r="S688" i="165"/>
  <c r="O688" i="165"/>
  <c r="M688" i="165"/>
  <c r="K688" i="165"/>
  <c r="I688" i="165"/>
  <c r="G688" i="165"/>
  <c r="E688" i="165"/>
  <c r="C688" i="165"/>
  <c r="AA687" i="165"/>
  <c r="Y687" i="165"/>
  <c r="W687" i="165"/>
  <c r="U687" i="165"/>
  <c r="S687" i="165"/>
  <c r="O687" i="165"/>
  <c r="M687" i="165"/>
  <c r="K687" i="165"/>
  <c r="I687" i="165"/>
  <c r="G687" i="165"/>
  <c r="E687" i="165"/>
  <c r="C687" i="165"/>
  <c r="AA686" i="165"/>
  <c r="Y686" i="165"/>
  <c r="W686" i="165"/>
  <c r="U686" i="165"/>
  <c r="S686" i="165"/>
  <c r="O686" i="165"/>
  <c r="M686" i="165"/>
  <c r="K686" i="165"/>
  <c r="I686" i="165"/>
  <c r="G686" i="165"/>
  <c r="E686" i="165"/>
  <c r="C686" i="165"/>
  <c r="AA685" i="165"/>
  <c r="Y685" i="165"/>
  <c r="W685" i="165"/>
  <c r="U685" i="165"/>
  <c r="S685" i="165"/>
  <c r="O685" i="165"/>
  <c r="M685" i="165"/>
  <c r="K685" i="165"/>
  <c r="I685" i="165"/>
  <c r="G685" i="165"/>
  <c r="E685" i="165"/>
  <c r="C685" i="165"/>
  <c r="AA684" i="165"/>
  <c r="Y684" i="165"/>
  <c r="W684" i="165"/>
  <c r="U684" i="165"/>
  <c r="S684" i="165"/>
  <c r="O684" i="165"/>
  <c r="M684" i="165"/>
  <c r="K684" i="165"/>
  <c r="I684" i="165"/>
  <c r="G684" i="165"/>
  <c r="E684" i="165"/>
  <c r="C684" i="165"/>
  <c r="AA683" i="165"/>
  <c r="Y683" i="165"/>
  <c r="W683" i="165"/>
  <c r="U683" i="165"/>
  <c r="S683" i="165"/>
  <c r="O683" i="165"/>
  <c r="P683" i="165" s="1"/>
  <c r="M683" i="165"/>
  <c r="K683" i="165"/>
  <c r="I683" i="165"/>
  <c r="G683" i="165"/>
  <c r="E683" i="165"/>
  <c r="C683" i="165"/>
  <c r="AA682" i="165"/>
  <c r="Y682" i="165"/>
  <c r="W682" i="165"/>
  <c r="U682" i="165"/>
  <c r="S682" i="165"/>
  <c r="P682" i="165"/>
  <c r="O682" i="165"/>
  <c r="M682" i="165"/>
  <c r="K682" i="165"/>
  <c r="I682" i="165"/>
  <c r="G682" i="165"/>
  <c r="E682" i="165"/>
  <c r="C682" i="165"/>
  <c r="AA681" i="165"/>
  <c r="Y681" i="165"/>
  <c r="W681" i="165"/>
  <c r="U681" i="165"/>
  <c r="S681" i="165"/>
  <c r="O681" i="165"/>
  <c r="M681" i="165"/>
  <c r="P681" i="165" s="1"/>
  <c r="K681" i="165"/>
  <c r="I681" i="165"/>
  <c r="G681" i="165"/>
  <c r="E681" i="165"/>
  <c r="C681" i="165"/>
  <c r="AA680" i="165"/>
  <c r="Y680" i="165"/>
  <c r="W680" i="165"/>
  <c r="U680" i="165"/>
  <c r="S680" i="165"/>
  <c r="O680" i="165"/>
  <c r="P680" i="165" s="1"/>
  <c r="M680" i="165"/>
  <c r="K680" i="165"/>
  <c r="I680" i="165"/>
  <c r="G680" i="165"/>
  <c r="E680" i="165"/>
  <c r="C680" i="165"/>
  <c r="AA679" i="165"/>
  <c r="Y679" i="165"/>
  <c r="W679" i="165"/>
  <c r="U679" i="165"/>
  <c r="S679" i="165"/>
  <c r="P679" i="165"/>
  <c r="O679" i="165"/>
  <c r="M679" i="165"/>
  <c r="K679" i="165"/>
  <c r="I679" i="165"/>
  <c r="G679" i="165"/>
  <c r="E679" i="165"/>
  <c r="C679" i="165"/>
  <c r="AA678" i="165"/>
  <c r="Y678" i="165"/>
  <c r="W678" i="165"/>
  <c r="U678" i="165"/>
  <c r="S678" i="165"/>
  <c r="O678" i="165"/>
  <c r="M678" i="165"/>
  <c r="K678" i="165"/>
  <c r="I678" i="165"/>
  <c r="G678" i="165"/>
  <c r="E678" i="165"/>
  <c r="C678" i="165"/>
  <c r="P678" i="165" s="1"/>
  <c r="AA677" i="165"/>
  <c r="Y677" i="165"/>
  <c r="W677" i="165"/>
  <c r="U677" i="165"/>
  <c r="S677" i="165"/>
  <c r="O677" i="165"/>
  <c r="M677" i="165"/>
  <c r="K677" i="165"/>
  <c r="I677" i="165"/>
  <c r="G677" i="165"/>
  <c r="E677" i="165"/>
  <c r="C677" i="165"/>
  <c r="P677" i="165" s="1"/>
  <c r="AA676" i="165"/>
  <c r="Y676" i="165"/>
  <c r="W676" i="165"/>
  <c r="U676" i="165"/>
  <c r="S676" i="165"/>
  <c r="O676" i="165"/>
  <c r="M676" i="165"/>
  <c r="K676" i="165"/>
  <c r="I676" i="165"/>
  <c r="G676" i="165"/>
  <c r="E676" i="165"/>
  <c r="C676" i="165"/>
  <c r="P676" i="165" s="1"/>
  <c r="AA675" i="165"/>
  <c r="Y675" i="165"/>
  <c r="W675" i="165"/>
  <c r="U675" i="165"/>
  <c r="S675" i="165"/>
  <c r="O675" i="165"/>
  <c r="M675" i="165"/>
  <c r="K675" i="165"/>
  <c r="I675" i="165"/>
  <c r="G675" i="165"/>
  <c r="E675" i="165"/>
  <c r="C675" i="165"/>
  <c r="P675" i="165" s="1"/>
  <c r="AA674" i="165"/>
  <c r="Y674" i="165"/>
  <c r="W674" i="165"/>
  <c r="U674" i="165"/>
  <c r="S674" i="165"/>
  <c r="O674" i="165"/>
  <c r="M674" i="165"/>
  <c r="K674" i="165"/>
  <c r="I674" i="165"/>
  <c r="G674" i="165"/>
  <c r="E674" i="165"/>
  <c r="C674" i="165"/>
  <c r="P674" i="165" s="1"/>
  <c r="AA673" i="165"/>
  <c r="Y673" i="165"/>
  <c r="W673" i="165"/>
  <c r="U673" i="165"/>
  <c r="S673" i="165"/>
  <c r="O673" i="165"/>
  <c r="M673" i="165"/>
  <c r="K673" i="165"/>
  <c r="I673" i="165"/>
  <c r="G673" i="165"/>
  <c r="E673" i="165"/>
  <c r="C673" i="165"/>
  <c r="P673" i="165" s="1"/>
  <c r="AA672" i="165"/>
  <c r="Y672" i="165"/>
  <c r="W672" i="165"/>
  <c r="U672" i="165"/>
  <c r="S672" i="165"/>
  <c r="O672" i="165"/>
  <c r="M672" i="165"/>
  <c r="K672" i="165"/>
  <c r="I672" i="165"/>
  <c r="G672" i="165"/>
  <c r="E672" i="165"/>
  <c r="C672" i="165"/>
  <c r="P672" i="165" s="1"/>
  <c r="AA671" i="165"/>
  <c r="Y671" i="165"/>
  <c r="W671" i="165"/>
  <c r="U671" i="165"/>
  <c r="S671" i="165"/>
  <c r="O671" i="165"/>
  <c r="M671" i="165"/>
  <c r="K671" i="165"/>
  <c r="I671" i="165"/>
  <c r="G671" i="165"/>
  <c r="E671" i="165"/>
  <c r="P671" i="165" s="1"/>
  <c r="C671" i="165"/>
  <c r="AA670" i="165"/>
  <c r="Y670" i="165"/>
  <c r="W670" i="165"/>
  <c r="U670" i="165"/>
  <c r="S670" i="165"/>
  <c r="O670" i="165"/>
  <c r="M670" i="165"/>
  <c r="K670" i="165"/>
  <c r="I670" i="165"/>
  <c r="G670" i="165"/>
  <c r="P670" i="165" s="1"/>
  <c r="E670" i="165"/>
  <c r="C670" i="165"/>
  <c r="AA669" i="165"/>
  <c r="Y669" i="165"/>
  <c r="W669" i="165"/>
  <c r="U669" i="165"/>
  <c r="S669" i="165"/>
  <c r="O669" i="165"/>
  <c r="M669" i="165"/>
  <c r="K669" i="165"/>
  <c r="I669" i="165"/>
  <c r="P669" i="165" s="1"/>
  <c r="G669" i="165"/>
  <c r="E669" i="165"/>
  <c r="C669" i="165"/>
  <c r="AA668" i="165"/>
  <c r="Y668" i="165"/>
  <c r="W668" i="165"/>
  <c r="U668" i="165"/>
  <c r="S668" i="165"/>
  <c r="O668" i="165"/>
  <c r="M668" i="165"/>
  <c r="K668" i="165"/>
  <c r="I668" i="165"/>
  <c r="G668" i="165"/>
  <c r="E668" i="165"/>
  <c r="C668" i="165"/>
  <c r="AA667" i="165"/>
  <c r="Y667" i="165"/>
  <c r="W667" i="165"/>
  <c r="U667" i="165"/>
  <c r="S667" i="165"/>
  <c r="O667" i="165"/>
  <c r="M667" i="165"/>
  <c r="P667" i="165" s="1"/>
  <c r="K667" i="165"/>
  <c r="I667" i="165"/>
  <c r="G667" i="165"/>
  <c r="E667" i="165"/>
  <c r="C667" i="165"/>
  <c r="AA666" i="165"/>
  <c r="Y666" i="165"/>
  <c r="W666" i="165"/>
  <c r="U666" i="165"/>
  <c r="S666" i="165"/>
  <c r="O666" i="165"/>
  <c r="M666" i="165"/>
  <c r="K666" i="165"/>
  <c r="I666" i="165"/>
  <c r="G666" i="165"/>
  <c r="E666" i="165"/>
  <c r="C666" i="165"/>
  <c r="P666" i="165" s="1"/>
  <c r="AA665" i="165"/>
  <c r="Y665" i="165"/>
  <c r="W665" i="165"/>
  <c r="U665" i="165"/>
  <c r="S665" i="165"/>
  <c r="O665" i="165"/>
  <c r="M665" i="165"/>
  <c r="K665" i="165"/>
  <c r="I665" i="165"/>
  <c r="G665" i="165"/>
  <c r="E665" i="165"/>
  <c r="P665" i="165" s="1"/>
  <c r="C665" i="165"/>
  <c r="AA664" i="165"/>
  <c r="Y664" i="165"/>
  <c r="W664" i="165"/>
  <c r="U664" i="165"/>
  <c r="S664" i="165"/>
  <c r="O664" i="165"/>
  <c r="M664" i="165"/>
  <c r="K664" i="165"/>
  <c r="I664" i="165"/>
  <c r="G664" i="165"/>
  <c r="E664" i="165"/>
  <c r="C664" i="165"/>
  <c r="AA663" i="165"/>
  <c r="Y663" i="165"/>
  <c r="W663" i="165"/>
  <c r="U663" i="165"/>
  <c r="S663" i="165"/>
  <c r="O663" i="165"/>
  <c r="M663" i="165"/>
  <c r="K663" i="165"/>
  <c r="I663" i="165"/>
  <c r="G663" i="165"/>
  <c r="E663" i="165"/>
  <c r="C663" i="165"/>
  <c r="AA662" i="165"/>
  <c r="Y662" i="165"/>
  <c r="W662" i="165"/>
  <c r="U662" i="165"/>
  <c r="S662" i="165"/>
  <c r="O662" i="165"/>
  <c r="M662" i="165"/>
  <c r="K662" i="165"/>
  <c r="I662" i="165"/>
  <c r="G662" i="165"/>
  <c r="E662" i="165"/>
  <c r="C662" i="165"/>
  <c r="AA661" i="165"/>
  <c r="Y661" i="165"/>
  <c r="W661" i="165"/>
  <c r="U661" i="165"/>
  <c r="S661" i="165"/>
  <c r="O661" i="165"/>
  <c r="M661" i="165"/>
  <c r="K661" i="165"/>
  <c r="I661" i="165"/>
  <c r="G661" i="165"/>
  <c r="E661" i="165"/>
  <c r="C661" i="165"/>
  <c r="AA660" i="165"/>
  <c r="Y660" i="165"/>
  <c r="W660" i="165"/>
  <c r="U660" i="165"/>
  <c r="S660" i="165"/>
  <c r="O660" i="165"/>
  <c r="M660" i="165"/>
  <c r="K660" i="165"/>
  <c r="I660" i="165"/>
  <c r="G660" i="165"/>
  <c r="E660" i="165"/>
  <c r="C660" i="165"/>
  <c r="AA659" i="165"/>
  <c r="Y659" i="165"/>
  <c r="W659" i="165"/>
  <c r="U659" i="165"/>
  <c r="S659" i="165"/>
  <c r="O659" i="165"/>
  <c r="M659" i="165"/>
  <c r="K659" i="165"/>
  <c r="I659" i="165"/>
  <c r="G659" i="165"/>
  <c r="E659" i="165"/>
  <c r="C659" i="165"/>
  <c r="AA658" i="165"/>
  <c r="Y658" i="165"/>
  <c r="W658" i="165"/>
  <c r="U658" i="165"/>
  <c r="S658" i="165"/>
  <c r="P658" i="165"/>
  <c r="O658" i="165"/>
  <c r="M658" i="165"/>
  <c r="K658" i="165"/>
  <c r="I658" i="165"/>
  <c r="G658" i="165"/>
  <c r="E658" i="165"/>
  <c r="C658" i="165"/>
  <c r="AA657" i="165"/>
  <c r="Y657" i="165"/>
  <c r="W657" i="165"/>
  <c r="U657" i="165"/>
  <c r="S657" i="165"/>
  <c r="O657" i="165"/>
  <c r="M657" i="165"/>
  <c r="K657" i="165"/>
  <c r="P657" i="165" s="1"/>
  <c r="I657" i="165"/>
  <c r="G657" i="165"/>
  <c r="E657" i="165"/>
  <c r="C657" i="165"/>
  <c r="AA656" i="165"/>
  <c r="Y656" i="165"/>
  <c r="W656" i="165"/>
  <c r="U656" i="165"/>
  <c r="S656" i="165"/>
  <c r="O656" i="165"/>
  <c r="M656" i="165"/>
  <c r="P656" i="165" s="1"/>
  <c r="K656" i="165"/>
  <c r="I656" i="165"/>
  <c r="G656" i="165"/>
  <c r="E656" i="165"/>
  <c r="C656" i="165"/>
  <c r="AA655" i="165"/>
  <c r="Y655" i="165"/>
  <c r="W655" i="165"/>
  <c r="U655" i="165"/>
  <c r="S655" i="165"/>
  <c r="O655" i="165"/>
  <c r="P655" i="165" s="1"/>
  <c r="M655" i="165"/>
  <c r="K655" i="165"/>
  <c r="I655" i="165"/>
  <c r="G655" i="165"/>
  <c r="E655" i="165"/>
  <c r="C655" i="165"/>
  <c r="AA654" i="165"/>
  <c r="Y654" i="165"/>
  <c r="W654" i="165"/>
  <c r="U654" i="165"/>
  <c r="S654" i="165"/>
  <c r="P654" i="165"/>
  <c r="O654" i="165"/>
  <c r="M654" i="165"/>
  <c r="K654" i="165"/>
  <c r="I654" i="165"/>
  <c r="G654" i="165"/>
  <c r="E654" i="165"/>
  <c r="C654" i="165"/>
  <c r="AA653" i="165"/>
  <c r="Y653" i="165"/>
  <c r="W653" i="165"/>
  <c r="U653" i="165"/>
  <c r="S653" i="165"/>
  <c r="O653" i="165"/>
  <c r="M653" i="165"/>
  <c r="K653" i="165"/>
  <c r="I653" i="165"/>
  <c r="G653" i="165"/>
  <c r="E653" i="165"/>
  <c r="C653" i="165"/>
  <c r="P653" i="165" s="1"/>
  <c r="AA652" i="165"/>
  <c r="Y652" i="165"/>
  <c r="W652" i="165"/>
  <c r="U652" i="165"/>
  <c r="S652" i="165"/>
  <c r="O652" i="165"/>
  <c r="M652" i="165"/>
  <c r="K652" i="165"/>
  <c r="I652" i="165"/>
  <c r="G652" i="165"/>
  <c r="E652" i="165"/>
  <c r="C652" i="165"/>
  <c r="P652" i="165" s="1"/>
  <c r="AA651" i="165"/>
  <c r="Y651" i="165"/>
  <c r="W651" i="165"/>
  <c r="U651" i="165"/>
  <c r="S651" i="165"/>
  <c r="O651" i="165"/>
  <c r="M651" i="165"/>
  <c r="K651" i="165"/>
  <c r="I651" i="165"/>
  <c r="G651" i="165"/>
  <c r="E651" i="165"/>
  <c r="C651" i="165"/>
  <c r="P651" i="165" s="1"/>
  <c r="AA650" i="165"/>
  <c r="Y650" i="165"/>
  <c r="W650" i="165"/>
  <c r="U650" i="165"/>
  <c r="S650" i="165"/>
  <c r="O650" i="165"/>
  <c r="M650" i="165"/>
  <c r="K650" i="165"/>
  <c r="I650" i="165"/>
  <c r="G650" i="165"/>
  <c r="E650" i="165"/>
  <c r="C650" i="165"/>
  <c r="AA649" i="165"/>
  <c r="Y649" i="165"/>
  <c r="W649" i="165"/>
  <c r="U649" i="165"/>
  <c r="S649" i="165"/>
  <c r="O649" i="165"/>
  <c r="M649" i="165"/>
  <c r="K649" i="165"/>
  <c r="I649" i="165"/>
  <c r="G649" i="165"/>
  <c r="E649" i="165"/>
  <c r="C649" i="165"/>
  <c r="AA648" i="165"/>
  <c r="Y648" i="165"/>
  <c r="W648" i="165"/>
  <c r="U648" i="165"/>
  <c r="S648" i="165"/>
  <c r="O648" i="165"/>
  <c r="M648" i="165"/>
  <c r="K648" i="165"/>
  <c r="I648" i="165"/>
  <c r="G648" i="165"/>
  <c r="E648" i="165"/>
  <c r="C648" i="165"/>
  <c r="AA647" i="165"/>
  <c r="Y647" i="165"/>
  <c r="W647" i="165"/>
  <c r="U647" i="165"/>
  <c r="S647" i="165"/>
  <c r="O647" i="165"/>
  <c r="M647" i="165"/>
  <c r="K647" i="165"/>
  <c r="I647" i="165"/>
  <c r="G647" i="165"/>
  <c r="E647" i="165"/>
  <c r="C647" i="165"/>
  <c r="AA646" i="165"/>
  <c r="Y646" i="165"/>
  <c r="W646" i="165"/>
  <c r="U646" i="165"/>
  <c r="S646" i="165"/>
  <c r="O646" i="165"/>
  <c r="M646" i="165"/>
  <c r="K646" i="165"/>
  <c r="I646" i="165"/>
  <c r="G646" i="165"/>
  <c r="E646" i="165"/>
  <c r="C646" i="165"/>
  <c r="AA645" i="165"/>
  <c r="Y645" i="165"/>
  <c r="W645" i="165"/>
  <c r="U645" i="165"/>
  <c r="S645" i="165"/>
  <c r="O645" i="165"/>
  <c r="M645" i="165"/>
  <c r="P645" i="165" s="1"/>
  <c r="K645" i="165"/>
  <c r="I645" i="165"/>
  <c r="G645" i="165"/>
  <c r="E645" i="165"/>
  <c r="C645" i="165"/>
  <c r="AA644" i="165"/>
  <c r="Y644" i="165"/>
  <c r="W644" i="165"/>
  <c r="U644" i="165"/>
  <c r="S644" i="165"/>
  <c r="O644" i="165"/>
  <c r="M644" i="165"/>
  <c r="K644" i="165"/>
  <c r="I644" i="165"/>
  <c r="G644" i="165"/>
  <c r="E644" i="165"/>
  <c r="C644" i="165"/>
  <c r="AA643" i="165"/>
  <c r="Y643" i="165"/>
  <c r="W643" i="165"/>
  <c r="U643" i="165"/>
  <c r="S643" i="165"/>
  <c r="O643" i="165"/>
  <c r="M643" i="165"/>
  <c r="P643" i="165" s="1"/>
  <c r="K643" i="165"/>
  <c r="I643" i="165"/>
  <c r="G643" i="165"/>
  <c r="E643" i="165"/>
  <c r="C643" i="165"/>
  <c r="AA642" i="165"/>
  <c r="Y642" i="165"/>
  <c r="W642" i="165"/>
  <c r="U642" i="165"/>
  <c r="S642" i="165"/>
  <c r="O642" i="165"/>
  <c r="P642" i="165" s="1"/>
  <c r="M642" i="165"/>
  <c r="K642" i="165"/>
  <c r="I642" i="165"/>
  <c r="G642" i="165"/>
  <c r="E642" i="165"/>
  <c r="C642" i="165"/>
  <c r="AA641" i="165"/>
  <c r="Y641" i="165"/>
  <c r="W641" i="165"/>
  <c r="U641" i="165"/>
  <c r="S641" i="165"/>
  <c r="P641" i="165"/>
  <c r="O641" i="165"/>
  <c r="M641" i="165"/>
  <c r="K641" i="165"/>
  <c r="I641" i="165"/>
  <c r="G641" i="165"/>
  <c r="E641" i="165"/>
  <c r="C641" i="165"/>
  <c r="AA640" i="165"/>
  <c r="Y640" i="165"/>
  <c r="W640" i="165"/>
  <c r="U640" i="165"/>
  <c r="S640" i="165"/>
  <c r="O640" i="165"/>
  <c r="M640" i="165"/>
  <c r="K640" i="165"/>
  <c r="I640" i="165"/>
  <c r="G640" i="165"/>
  <c r="E640" i="165"/>
  <c r="C640" i="165"/>
  <c r="P640" i="165" s="1"/>
  <c r="AA639" i="165"/>
  <c r="Y639" i="165"/>
  <c r="W639" i="165"/>
  <c r="U639" i="165"/>
  <c r="S639" i="165"/>
  <c r="O639" i="165"/>
  <c r="M639" i="165"/>
  <c r="K639" i="165"/>
  <c r="I639" i="165"/>
  <c r="G639" i="165"/>
  <c r="E639" i="165"/>
  <c r="P639" i="165" s="1"/>
  <c r="C639" i="165"/>
  <c r="AA638" i="165"/>
  <c r="Y638" i="165"/>
  <c r="W638" i="165"/>
  <c r="U638" i="165"/>
  <c r="S638" i="165"/>
  <c r="O638" i="165"/>
  <c r="M638" i="165"/>
  <c r="K638" i="165"/>
  <c r="I638" i="165"/>
  <c r="G638" i="165"/>
  <c r="E638" i="165"/>
  <c r="C638" i="165"/>
  <c r="AA637" i="165"/>
  <c r="Y637" i="165"/>
  <c r="W637" i="165"/>
  <c r="U637" i="165"/>
  <c r="S637" i="165"/>
  <c r="O637" i="165"/>
  <c r="M637" i="165"/>
  <c r="K637" i="165"/>
  <c r="I637" i="165"/>
  <c r="G637" i="165"/>
  <c r="E637" i="165"/>
  <c r="C637" i="165"/>
  <c r="AA636" i="165"/>
  <c r="Y636" i="165"/>
  <c r="W636" i="165"/>
  <c r="U636" i="165"/>
  <c r="S636" i="165"/>
  <c r="O636" i="165"/>
  <c r="M636" i="165"/>
  <c r="K636" i="165"/>
  <c r="I636" i="165"/>
  <c r="G636" i="165"/>
  <c r="E636" i="165"/>
  <c r="C636" i="165"/>
  <c r="AA635" i="165"/>
  <c r="Y635" i="165"/>
  <c r="W635" i="165"/>
  <c r="U635" i="165"/>
  <c r="S635" i="165"/>
  <c r="O635" i="165"/>
  <c r="M635" i="165"/>
  <c r="K635" i="165"/>
  <c r="I635" i="165"/>
  <c r="G635" i="165"/>
  <c r="E635" i="165"/>
  <c r="C635" i="165"/>
  <c r="AA634" i="165"/>
  <c r="Y634" i="165"/>
  <c r="W634" i="165"/>
  <c r="U634" i="165"/>
  <c r="S634" i="165"/>
  <c r="O634" i="165"/>
  <c r="M634" i="165"/>
  <c r="K634" i="165"/>
  <c r="I634" i="165"/>
  <c r="G634" i="165"/>
  <c r="E634" i="165"/>
  <c r="C634" i="165"/>
  <c r="AA633" i="165"/>
  <c r="Y633" i="165"/>
  <c r="W633" i="165"/>
  <c r="U633" i="165"/>
  <c r="S633" i="165"/>
  <c r="O633" i="165"/>
  <c r="M633" i="165"/>
  <c r="K633" i="165"/>
  <c r="I633" i="165"/>
  <c r="G633" i="165"/>
  <c r="E633" i="165"/>
  <c r="C633" i="165"/>
  <c r="AA632" i="165"/>
  <c r="Y632" i="165"/>
  <c r="W632" i="165"/>
  <c r="U632" i="165"/>
  <c r="S632" i="165"/>
  <c r="O632" i="165"/>
  <c r="M632" i="165"/>
  <c r="K632" i="165"/>
  <c r="I632" i="165"/>
  <c r="G632" i="165"/>
  <c r="E632" i="165"/>
  <c r="C632" i="165"/>
  <c r="AA631" i="165"/>
  <c r="Y631" i="165"/>
  <c r="W631" i="165"/>
  <c r="U631" i="165"/>
  <c r="S631" i="165"/>
  <c r="O631" i="165"/>
  <c r="M631" i="165"/>
  <c r="K631" i="165"/>
  <c r="I631" i="165"/>
  <c r="G631" i="165"/>
  <c r="E631" i="165"/>
  <c r="C631" i="165"/>
  <c r="AA630" i="165"/>
  <c r="Y630" i="165"/>
  <c r="W630" i="165"/>
  <c r="U630" i="165"/>
  <c r="S630" i="165"/>
  <c r="O630" i="165"/>
  <c r="M630" i="165"/>
  <c r="K630" i="165"/>
  <c r="I630" i="165"/>
  <c r="G630" i="165"/>
  <c r="E630" i="165"/>
  <c r="C630" i="165"/>
  <c r="AA629" i="165"/>
  <c r="Y629" i="165"/>
  <c r="W629" i="165"/>
  <c r="U629" i="165"/>
  <c r="S629" i="165"/>
  <c r="O629" i="165"/>
  <c r="M629" i="165"/>
  <c r="K629" i="165"/>
  <c r="I629" i="165"/>
  <c r="G629" i="165"/>
  <c r="E629" i="165"/>
  <c r="C629" i="165"/>
  <c r="AA628" i="165"/>
  <c r="Y628" i="165"/>
  <c r="W628" i="165"/>
  <c r="U628" i="165"/>
  <c r="S628" i="165"/>
  <c r="O628" i="165"/>
  <c r="M628" i="165"/>
  <c r="K628" i="165"/>
  <c r="I628" i="165"/>
  <c r="G628" i="165"/>
  <c r="E628" i="165"/>
  <c r="C628" i="165"/>
  <c r="AA627" i="165"/>
  <c r="Y627" i="165"/>
  <c r="W627" i="165"/>
  <c r="U627" i="165"/>
  <c r="S627" i="165"/>
  <c r="O627" i="165"/>
  <c r="M627" i="165"/>
  <c r="K627" i="165"/>
  <c r="I627" i="165"/>
  <c r="P627" i="165" s="1"/>
  <c r="G627" i="165"/>
  <c r="E627" i="165"/>
  <c r="C627" i="165"/>
  <c r="AA626" i="165"/>
  <c r="Y626" i="165"/>
  <c r="W626" i="165"/>
  <c r="U626" i="165"/>
  <c r="S626" i="165"/>
  <c r="O626" i="165"/>
  <c r="M626" i="165"/>
  <c r="K626" i="165"/>
  <c r="P626" i="165" s="1"/>
  <c r="I626" i="165"/>
  <c r="G626" i="165"/>
  <c r="E626" i="165"/>
  <c r="C626" i="165"/>
  <c r="AA625" i="165"/>
  <c r="Y625" i="165"/>
  <c r="W625" i="165"/>
  <c r="U625" i="165"/>
  <c r="S625" i="165"/>
  <c r="O625" i="165"/>
  <c r="M625" i="165"/>
  <c r="K625" i="165"/>
  <c r="I625" i="165"/>
  <c r="G625" i="165"/>
  <c r="E625" i="165"/>
  <c r="C625" i="165"/>
  <c r="AA624" i="165"/>
  <c r="Y624" i="165"/>
  <c r="W624" i="165"/>
  <c r="U624" i="165"/>
  <c r="S624" i="165"/>
  <c r="O624" i="165"/>
  <c r="M624" i="165"/>
  <c r="K624" i="165"/>
  <c r="I624" i="165"/>
  <c r="G624" i="165"/>
  <c r="E624" i="165"/>
  <c r="C624" i="165"/>
  <c r="AA623" i="165"/>
  <c r="Y623" i="165"/>
  <c r="W623" i="165"/>
  <c r="U623" i="165"/>
  <c r="S623" i="165"/>
  <c r="O623" i="165"/>
  <c r="M623" i="165"/>
  <c r="P623" i="165" s="1"/>
  <c r="K623" i="165"/>
  <c r="I623" i="165"/>
  <c r="G623" i="165"/>
  <c r="E623" i="165"/>
  <c r="C623" i="165"/>
  <c r="AA622" i="165"/>
  <c r="Y622" i="165"/>
  <c r="W622" i="165"/>
  <c r="U622" i="165"/>
  <c r="S622" i="165"/>
  <c r="O622" i="165"/>
  <c r="P622" i="165" s="1"/>
  <c r="M622" i="165"/>
  <c r="K622" i="165"/>
  <c r="I622" i="165"/>
  <c r="G622" i="165"/>
  <c r="E622" i="165"/>
  <c r="C622" i="165"/>
  <c r="AA621" i="165"/>
  <c r="Y621" i="165"/>
  <c r="W621" i="165"/>
  <c r="U621" i="165"/>
  <c r="S621" i="165"/>
  <c r="P621" i="165"/>
  <c r="O621" i="165"/>
  <c r="M621" i="165"/>
  <c r="K621" i="165"/>
  <c r="I621" i="165"/>
  <c r="G621" i="165"/>
  <c r="E621" i="165"/>
  <c r="C621" i="165"/>
  <c r="AA620" i="165"/>
  <c r="Y620" i="165"/>
  <c r="W620" i="165"/>
  <c r="U620" i="165"/>
  <c r="S620" i="165"/>
  <c r="O620" i="165"/>
  <c r="M620" i="165"/>
  <c r="K620" i="165"/>
  <c r="I620" i="165"/>
  <c r="G620" i="165"/>
  <c r="E620" i="165"/>
  <c r="C620" i="165"/>
  <c r="AA619" i="165"/>
  <c r="Y619" i="165"/>
  <c r="W619" i="165"/>
  <c r="U619" i="165"/>
  <c r="S619" i="165"/>
  <c r="O619" i="165"/>
  <c r="M619" i="165"/>
  <c r="K619" i="165"/>
  <c r="I619" i="165"/>
  <c r="G619" i="165"/>
  <c r="E619" i="165"/>
  <c r="C619" i="165"/>
  <c r="AA618" i="165"/>
  <c r="Y618" i="165"/>
  <c r="W618" i="165"/>
  <c r="U618" i="165"/>
  <c r="S618" i="165"/>
  <c r="O618" i="165"/>
  <c r="M618" i="165"/>
  <c r="K618" i="165"/>
  <c r="I618" i="165"/>
  <c r="G618" i="165"/>
  <c r="E618" i="165"/>
  <c r="C618" i="165"/>
  <c r="AA617" i="165"/>
  <c r="Y617" i="165"/>
  <c r="W617" i="165"/>
  <c r="U617" i="165"/>
  <c r="S617" i="165"/>
  <c r="O617" i="165"/>
  <c r="P617" i="165" s="1"/>
  <c r="M617" i="165"/>
  <c r="K617" i="165"/>
  <c r="I617" i="165"/>
  <c r="G617" i="165"/>
  <c r="E617" i="165"/>
  <c r="C617" i="165"/>
  <c r="AA616" i="165"/>
  <c r="Y616" i="165"/>
  <c r="W616" i="165"/>
  <c r="U616" i="165"/>
  <c r="S616" i="165"/>
  <c r="P616" i="165"/>
  <c r="O616" i="165"/>
  <c r="M616" i="165"/>
  <c r="K616" i="165"/>
  <c r="I616" i="165"/>
  <c r="G616" i="165"/>
  <c r="E616" i="165"/>
  <c r="C616" i="165"/>
  <c r="AA615" i="165"/>
  <c r="Y615" i="165"/>
  <c r="W615" i="165"/>
  <c r="U615" i="165"/>
  <c r="S615" i="165"/>
  <c r="P615" i="165"/>
  <c r="O615" i="165"/>
  <c r="M615" i="165"/>
  <c r="K615" i="165"/>
  <c r="I615" i="165"/>
  <c r="G615" i="165"/>
  <c r="E615" i="165"/>
  <c r="C615" i="165"/>
  <c r="AA614" i="165"/>
  <c r="Y614" i="165"/>
  <c r="W614" i="165"/>
  <c r="U614" i="165"/>
  <c r="S614" i="165"/>
  <c r="O614" i="165"/>
  <c r="M614" i="165"/>
  <c r="K614" i="165"/>
  <c r="I614" i="165"/>
  <c r="G614" i="165"/>
  <c r="E614" i="165"/>
  <c r="C614" i="165"/>
  <c r="AA613" i="165"/>
  <c r="Y613" i="165"/>
  <c r="W613" i="165"/>
  <c r="U613" i="165"/>
  <c r="S613" i="165"/>
  <c r="O613" i="165"/>
  <c r="M613" i="165"/>
  <c r="K613" i="165"/>
  <c r="I613" i="165"/>
  <c r="G613" i="165"/>
  <c r="E613" i="165"/>
  <c r="C613" i="165"/>
  <c r="AA612" i="165"/>
  <c r="Y612" i="165"/>
  <c r="W612" i="165"/>
  <c r="U612" i="165"/>
  <c r="S612" i="165"/>
  <c r="O612" i="165"/>
  <c r="M612" i="165"/>
  <c r="K612" i="165"/>
  <c r="I612" i="165"/>
  <c r="G612" i="165"/>
  <c r="E612" i="165"/>
  <c r="C612" i="165"/>
  <c r="AA611" i="165"/>
  <c r="Y611" i="165"/>
  <c r="W611" i="165"/>
  <c r="U611" i="165"/>
  <c r="S611" i="165"/>
  <c r="O611" i="165"/>
  <c r="M611" i="165"/>
  <c r="K611" i="165"/>
  <c r="I611" i="165"/>
  <c r="G611" i="165"/>
  <c r="E611" i="165"/>
  <c r="C611" i="165"/>
  <c r="AA610" i="165"/>
  <c r="Y610" i="165"/>
  <c r="W610" i="165"/>
  <c r="U610" i="165"/>
  <c r="S610" i="165"/>
  <c r="O610" i="165"/>
  <c r="M610" i="165"/>
  <c r="K610" i="165"/>
  <c r="I610" i="165"/>
  <c r="G610" i="165"/>
  <c r="E610" i="165"/>
  <c r="C610" i="165"/>
  <c r="AA609" i="165"/>
  <c r="Y609" i="165"/>
  <c r="W609" i="165"/>
  <c r="U609" i="165"/>
  <c r="S609" i="165"/>
  <c r="P609" i="165"/>
  <c r="O609" i="165"/>
  <c r="M609" i="165"/>
  <c r="K609" i="165"/>
  <c r="I609" i="165"/>
  <c r="G609" i="165"/>
  <c r="E609" i="165"/>
  <c r="C609" i="165"/>
  <c r="AA608" i="165"/>
  <c r="Y608" i="165"/>
  <c r="W608" i="165"/>
  <c r="U608" i="165"/>
  <c r="S608" i="165"/>
  <c r="O608" i="165"/>
  <c r="M608" i="165"/>
  <c r="K608" i="165"/>
  <c r="I608" i="165"/>
  <c r="G608" i="165"/>
  <c r="E608" i="165"/>
  <c r="C608" i="165"/>
  <c r="P608" i="165" s="1"/>
  <c r="AA607" i="165"/>
  <c r="Y607" i="165"/>
  <c r="W607" i="165"/>
  <c r="U607" i="165"/>
  <c r="S607" i="165"/>
  <c r="O607" i="165"/>
  <c r="M607" i="165"/>
  <c r="K607" i="165"/>
  <c r="I607" i="165"/>
  <c r="G607" i="165"/>
  <c r="E607" i="165"/>
  <c r="P607" i="165" s="1"/>
  <c r="C607" i="165"/>
  <c r="AA606" i="165"/>
  <c r="Y606" i="165"/>
  <c r="W606" i="165"/>
  <c r="U606" i="165"/>
  <c r="S606" i="165"/>
  <c r="O606" i="165"/>
  <c r="M606" i="165"/>
  <c r="K606" i="165"/>
  <c r="I606" i="165"/>
  <c r="G606" i="165"/>
  <c r="E606" i="165"/>
  <c r="C606" i="165"/>
  <c r="AA605" i="165"/>
  <c r="Y605" i="165"/>
  <c r="W605" i="165"/>
  <c r="U605" i="165"/>
  <c r="S605" i="165"/>
  <c r="O605" i="165"/>
  <c r="M605" i="165"/>
  <c r="K605" i="165"/>
  <c r="I605" i="165"/>
  <c r="G605" i="165"/>
  <c r="E605" i="165"/>
  <c r="C605" i="165"/>
  <c r="AA604" i="165"/>
  <c r="Y604" i="165"/>
  <c r="W604" i="165"/>
  <c r="U604" i="165"/>
  <c r="S604" i="165"/>
  <c r="O604" i="165"/>
  <c r="M604" i="165"/>
  <c r="K604" i="165"/>
  <c r="I604" i="165"/>
  <c r="G604" i="165"/>
  <c r="E604" i="165"/>
  <c r="C604" i="165"/>
  <c r="AA603" i="165"/>
  <c r="Y603" i="165"/>
  <c r="W603" i="165"/>
  <c r="U603" i="165"/>
  <c r="S603" i="165"/>
  <c r="O603" i="165"/>
  <c r="M603" i="165"/>
  <c r="K603" i="165"/>
  <c r="I603" i="165"/>
  <c r="G603" i="165"/>
  <c r="P603" i="165" s="1"/>
  <c r="E603" i="165"/>
  <c r="C603" i="165"/>
  <c r="AA602" i="165"/>
  <c r="Y602" i="165"/>
  <c r="W602" i="165"/>
  <c r="U602" i="165"/>
  <c r="S602" i="165"/>
  <c r="O602" i="165"/>
  <c r="M602" i="165"/>
  <c r="K602" i="165"/>
  <c r="I602" i="165"/>
  <c r="P602" i="165" s="1"/>
  <c r="G602" i="165"/>
  <c r="E602" i="165"/>
  <c r="C602" i="165"/>
  <c r="AA601" i="165"/>
  <c r="Y601" i="165"/>
  <c r="W601" i="165"/>
  <c r="U601" i="165"/>
  <c r="S601" i="165"/>
  <c r="O601" i="165"/>
  <c r="M601" i="165"/>
  <c r="K601" i="165"/>
  <c r="P601" i="165" s="1"/>
  <c r="I601" i="165"/>
  <c r="G601" i="165"/>
  <c r="E601" i="165"/>
  <c r="C601" i="165"/>
  <c r="AA600" i="165"/>
  <c r="Y600" i="165"/>
  <c r="W600" i="165"/>
  <c r="U600" i="165"/>
  <c r="S600" i="165"/>
  <c r="O600" i="165"/>
  <c r="M600" i="165"/>
  <c r="K600" i="165"/>
  <c r="I600" i="165"/>
  <c r="G600" i="165"/>
  <c r="E600" i="165"/>
  <c r="C600" i="165"/>
  <c r="AA599" i="165"/>
  <c r="Y599" i="165"/>
  <c r="W599" i="165"/>
  <c r="U599" i="165"/>
  <c r="S599" i="165"/>
  <c r="O599" i="165"/>
  <c r="M599" i="165"/>
  <c r="P599" i="165" s="1"/>
  <c r="K599" i="165"/>
  <c r="I599" i="165"/>
  <c r="G599" i="165"/>
  <c r="E599" i="165"/>
  <c r="C599" i="165"/>
  <c r="AA598" i="165"/>
  <c r="Y598" i="165"/>
  <c r="W598" i="165"/>
  <c r="U598" i="165"/>
  <c r="S598" i="165"/>
  <c r="O598" i="165"/>
  <c r="M598" i="165"/>
  <c r="K598" i="165"/>
  <c r="I598" i="165"/>
  <c r="G598" i="165"/>
  <c r="E598" i="165"/>
  <c r="C598" i="165"/>
  <c r="AA597" i="165"/>
  <c r="Y597" i="165"/>
  <c r="W597" i="165"/>
  <c r="U597" i="165"/>
  <c r="S597" i="165"/>
  <c r="O597" i="165"/>
  <c r="P597" i="165" s="1"/>
  <c r="M597" i="165"/>
  <c r="K597" i="165"/>
  <c r="I597" i="165"/>
  <c r="G597" i="165"/>
  <c r="E597" i="165"/>
  <c r="C597" i="165"/>
  <c r="AA596" i="165"/>
  <c r="Y596" i="165"/>
  <c r="W596" i="165"/>
  <c r="U596" i="165"/>
  <c r="S596" i="165"/>
  <c r="P596" i="165"/>
  <c r="O596" i="165"/>
  <c r="M596" i="165"/>
  <c r="K596" i="165"/>
  <c r="I596" i="165"/>
  <c r="G596" i="165"/>
  <c r="E596" i="165"/>
  <c r="C596" i="165"/>
  <c r="AA595" i="165"/>
  <c r="Y595" i="165"/>
  <c r="W595" i="165"/>
  <c r="U595" i="165"/>
  <c r="S595" i="165"/>
  <c r="O595" i="165"/>
  <c r="M595" i="165"/>
  <c r="K595" i="165"/>
  <c r="I595" i="165"/>
  <c r="G595" i="165"/>
  <c r="E595" i="165"/>
  <c r="P595" i="165" s="1"/>
  <c r="C595" i="165"/>
  <c r="AA594" i="165"/>
  <c r="Y594" i="165"/>
  <c r="W594" i="165"/>
  <c r="U594" i="165"/>
  <c r="S594" i="165"/>
  <c r="O594" i="165"/>
  <c r="M594" i="165"/>
  <c r="K594" i="165"/>
  <c r="I594" i="165"/>
  <c r="G594" i="165"/>
  <c r="E594" i="165"/>
  <c r="C594" i="165"/>
  <c r="AA593" i="165"/>
  <c r="Y593" i="165"/>
  <c r="W593" i="165"/>
  <c r="U593" i="165"/>
  <c r="S593" i="165"/>
  <c r="O593" i="165"/>
  <c r="M593" i="165"/>
  <c r="K593" i="165"/>
  <c r="I593" i="165"/>
  <c r="G593" i="165"/>
  <c r="E593" i="165"/>
  <c r="P593" i="165" s="1"/>
  <c r="C593" i="165"/>
  <c r="AA592" i="165"/>
  <c r="Y592" i="165"/>
  <c r="W592" i="165"/>
  <c r="U592" i="165"/>
  <c r="S592" i="165"/>
  <c r="O592" i="165"/>
  <c r="M592" i="165"/>
  <c r="K592" i="165"/>
  <c r="I592" i="165"/>
  <c r="G592" i="165"/>
  <c r="E592" i="165"/>
  <c r="C592" i="165"/>
  <c r="AA591" i="165"/>
  <c r="Y591" i="165"/>
  <c r="W591" i="165"/>
  <c r="U591" i="165"/>
  <c r="S591" i="165"/>
  <c r="O591" i="165"/>
  <c r="M591" i="165"/>
  <c r="K591" i="165"/>
  <c r="I591" i="165"/>
  <c r="G591" i="165"/>
  <c r="E591" i="165"/>
  <c r="C591" i="165"/>
  <c r="AA590" i="165"/>
  <c r="Y590" i="165"/>
  <c r="W590" i="165"/>
  <c r="U590" i="165"/>
  <c r="S590" i="165"/>
  <c r="O590" i="165"/>
  <c r="M590" i="165"/>
  <c r="K590" i="165"/>
  <c r="I590" i="165"/>
  <c r="G590" i="165"/>
  <c r="E590" i="165"/>
  <c r="C590" i="165"/>
  <c r="AA589" i="165"/>
  <c r="Y589" i="165"/>
  <c r="W589" i="165"/>
  <c r="U589" i="165"/>
  <c r="S589" i="165"/>
  <c r="O589" i="165"/>
  <c r="M589" i="165"/>
  <c r="K589" i="165"/>
  <c r="I589" i="165"/>
  <c r="G589" i="165"/>
  <c r="P589" i="165" s="1"/>
  <c r="E589" i="165"/>
  <c r="C589" i="165"/>
  <c r="AA588" i="165"/>
  <c r="Y588" i="165"/>
  <c r="W588" i="165"/>
  <c r="U588" i="165"/>
  <c r="S588" i="165"/>
  <c r="O588" i="165"/>
  <c r="M588" i="165"/>
  <c r="K588" i="165"/>
  <c r="I588" i="165"/>
  <c r="G588" i="165"/>
  <c r="E588" i="165"/>
  <c r="C588" i="165"/>
  <c r="AA587" i="165"/>
  <c r="Y587" i="165"/>
  <c r="W587" i="165"/>
  <c r="U587" i="165"/>
  <c r="S587" i="165"/>
  <c r="O587" i="165"/>
  <c r="M587" i="165"/>
  <c r="K587" i="165"/>
  <c r="I587" i="165"/>
  <c r="P587" i="165" s="1"/>
  <c r="G587" i="165"/>
  <c r="E587" i="165"/>
  <c r="C587" i="165"/>
  <c r="AA586" i="165"/>
  <c r="Y586" i="165"/>
  <c r="W586" i="165"/>
  <c r="U586" i="165"/>
  <c r="S586" i="165"/>
  <c r="O586" i="165"/>
  <c r="M586" i="165"/>
  <c r="P586" i="165" s="1"/>
  <c r="K586" i="165"/>
  <c r="I586" i="165"/>
  <c r="G586" i="165"/>
  <c r="E586" i="165"/>
  <c r="C586" i="165"/>
  <c r="AA585" i="165"/>
  <c r="Y585" i="165"/>
  <c r="W585" i="165"/>
  <c r="U585" i="165"/>
  <c r="S585" i="165"/>
  <c r="O585" i="165"/>
  <c r="M585" i="165"/>
  <c r="K585" i="165"/>
  <c r="I585" i="165"/>
  <c r="G585" i="165"/>
  <c r="E585" i="165"/>
  <c r="C585" i="165"/>
  <c r="AA584" i="165"/>
  <c r="Y584" i="165"/>
  <c r="W584" i="165"/>
  <c r="U584" i="165"/>
  <c r="S584" i="165"/>
  <c r="O584" i="165"/>
  <c r="M584" i="165"/>
  <c r="P584" i="165" s="1"/>
  <c r="K584" i="165"/>
  <c r="I584" i="165"/>
  <c r="G584" i="165"/>
  <c r="E584" i="165"/>
  <c r="C584" i="165"/>
  <c r="AA583" i="165"/>
  <c r="Y583" i="165"/>
  <c r="W583" i="165"/>
  <c r="U583" i="165"/>
  <c r="S583" i="165"/>
  <c r="O583" i="165"/>
  <c r="P583" i="165" s="1"/>
  <c r="M583" i="165"/>
  <c r="K583" i="165"/>
  <c r="I583" i="165"/>
  <c r="G583" i="165"/>
  <c r="E583" i="165"/>
  <c r="C583" i="165"/>
  <c r="AA582" i="165"/>
  <c r="Y582" i="165"/>
  <c r="W582" i="165"/>
  <c r="U582" i="165"/>
  <c r="S582" i="165"/>
  <c r="P582" i="165"/>
  <c r="O582" i="165"/>
  <c r="M582" i="165"/>
  <c r="K582" i="165"/>
  <c r="I582" i="165"/>
  <c r="G582" i="165"/>
  <c r="E582" i="165"/>
  <c r="C582" i="165"/>
  <c r="AA581" i="165"/>
  <c r="Y581" i="165"/>
  <c r="W581" i="165"/>
  <c r="U581" i="165"/>
  <c r="S581" i="165"/>
  <c r="O581" i="165"/>
  <c r="M581" i="165"/>
  <c r="K581" i="165"/>
  <c r="I581" i="165"/>
  <c r="G581" i="165"/>
  <c r="E581" i="165"/>
  <c r="C581" i="165"/>
  <c r="AA580" i="165"/>
  <c r="Y580" i="165"/>
  <c r="W580" i="165"/>
  <c r="U580" i="165"/>
  <c r="S580" i="165"/>
  <c r="O580" i="165"/>
  <c r="M580" i="165"/>
  <c r="K580" i="165"/>
  <c r="I580" i="165"/>
  <c r="G580" i="165"/>
  <c r="E580" i="165"/>
  <c r="C580" i="165"/>
  <c r="AA579" i="165"/>
  <c r="Y579" i="165"/>
  <c r="W579" i="165"/>
  <c r="U579" i="165"/>
  <c r="S579" i="165"/>
  <c r="P579" i="165"/>
  <c r="O579" i="165"/>
  <c r="M579" i="165"/>
  <c r="K579" i="165"/>
  <c r="I579" i="165"/>
  <c r="G579" i="165"/>
  <c r="E579" i="165"/>
  <c r="C579" i="165"/>
  <c r="AA578" i="165"/>
  <c r="Y578" i="165"/>
  <c r="W578" i="165"/>
  <c r="U578" i="165"/>
  <c r="S578" i="165"/>
  <c r="O578" i="165"/>
  <c r="M578" i="165"/>
  <c r="K578" i="165"/>
  <c r="I578" i="165"/>
  <c r="G578" i="165"/>
  <c r="E578" i="165"/>
  <c r="C578" i="165"/>
  <c r="P578" i="165" s="1"/>
  <c r="AA577" i="165"/>
  <c r="Y577" i="165"/>
  <c r="W577" i="165"/>
  <c r="U577" i="165"/>
  <c r="S577" i="165"/>
  <c r="O577" i="165"/>
  <c r="M577" i="165"/>
  <c r="K577" i="165"/>
  <c r="I577" i="165"/>
  <c r="G577" i="165"/>
  <c r="E577" i="165"/>
  <c r="C577" i="165"/>
  <c r="P577" i="165" s="1"/>
  <c r="AA576" i="165"/>
  <c r="Y576" i="165"/>
  <c r="W576" i="165"/>
  <c r="U576" i="165"/>
  <c r="S576" i="165"/>
  <c r="O576" i="165"/>
  <c r="M576" i="165"/>
  <c r="K576" i="165"/>
  <c r="I576" i="165"/>
  <c r="G576" i="165"/>
  <c r="E576" i="165"/>
  <c r="C576" i="165"/>
  <c r="P576" i="165" s="1"/>
  <c r="AA575" i="165"/>
  <c r="Y575" i="165"/>
  <c r="W575" i="165"/>
  <c r="U575" i="165"/>
  <c r="S575" i="165"/>
  <c r="O575" i="165"/>
  <c r="M575" i="165"/>
  <c r="K575" i="165"/>
  <c r="I575" i="165"/>
  <c r="G575" i="165"/>
  <c r="E575" i="165"/>
  <c r="C575" i="165"/>
  <c r="P575" i="165" s="1"/>
  <c r="AA574" i="165"/>
  <c r="Y574" i="165"/>
  <c r="W574" i="165"/>
  <c r="U574" i="165"/>
  <c r="S574" i="165"/>
  <c r="O574" i="165"/>
  <c r="M574" i="165"/>
  <c r="K574" i="165"/>
  <c r="I574" i="165"/>
  <c r="G574" i="165"/>
  <c r="E574" i="165"/>
  <c r="C574" i="165"/>
  <c r="P574" i="165" s="1"/>
  <c r="AA573" i="165"/>
  <c r="Y573" i="165"/>
  <c r="W573" i="165"/>
  <c r="U573" i="165"/>
  <c r="S573" i="165"/>
  <c r="O573" i="165"/>
  <c r="M573" i="165"/>
  <c r="K573" i="165"/>
  <c r="I573" i="165"/>
  <c r="G573" i="165"/>
  <c r="E573" i="165"/>
  <c r="C573" i="165"/>
  <c r="P573" i="165" s="1"/>
  <c r="AA572" i="165"/>
  <c r="Y572" i="165"/>
  <c r="W572" i="165"/>
  <c r="U572" i="165"/>
  <c r="S572" i="165"/>
  <c r="O572" i="165"/>
  <c r="M572" i="165"/>
  <c r="K572" i="165"/>
  <c r="I572" i="165"/>
  <c r="G572" i="165"/>
  <c r="E572" i="165"/>
  <c r="C572" i="165"/>
  <c r="P572" i="165" s="1"/>
  <c r="AA571" i="165"/>
  <c r="Y571" i="165"/>
  <c r="W571" i="165"/>
  <c r="U571" i="165"/>
  <c r="S571" i="165"/>
  <c r="O571" i="165"/>
  <c r="M571" i="165"/>
  <c r="K571" i="165"/>
  <c r="I571" i="165"/>
  <c r="G571" i="165"/>
  <c r="E571" i="165"/>
  <c r="C571" i="165"/>
  <c r="AA570" i="165"/>
  <c r="Y570" i="165"/>
  <c r="W570" i="165"/>
  <c r="U570" i="165"/>
  <c r="S570" i="165"/>
  <c r="P570" i="165"/>
  <c r="O570" i="165"/>
  <c r="M570" i="165"/>
  <c r="K570" i="165"/>
  <c r="I570" i="165"/>
  <c r="G570" i="165"/>
  <c r="E570" i="165"/>
  <c r="C570" i="165"/>
  <c r="AA569" i="165"/>
  <c r="Y569" i="165"/>
  <c r="W569" i="165"/>
  <c r="U569" i="165"/>
  <c r="S569" i="165"/>
  <c r="O569" i="165"/>
  <c r="M569" i="165"/>
  <c r="K569" i="165"/>
  <c r="I569" i="165"/>
  <c r="P569" i="165" s="1"/>
  <c r="G569" i="165"/>
  <c r="E569" i="165"/>
  <c r="C569" i="165"/>
  <c r="AA568" i="165"/>
  <c r="Y568" i="165"/>
  <c r="W568" i="165"/>
  <c r="U568" i="165"/>
  <c r="S568" i="165"/>
  <c r="O568" i="165"/>
  <c r="M568" i="165"/>
  <c r="P568" i="165" s="1"/>
  <c r="K568" i="165"/>
  <c r="I568" i="165"/>
  <c r="G568" i="165"/>
  <c r="E568" i="165"/>
  <c r="C568" i="165"/>
  <c r="AA567" i="165"/>
  <c r="Y567" i="165"/>
  <c r="W567" i="165"/>
  <c r="U567" i="165"/>
  <c r="S567" i="165"/>
  <c r="O567" i="165"/>
  <c r="M567" i="165"/>
  <c r="P567" i="165" s="1"/>
  <c r="K567" i="165"/>
  <c r="I567" i="165"/>
  <c r="G567" i="165"/>
  <c r="E567" i="165"/>
  <c r="C567" i="165"/>
  <c r="AA566" i="165"/>
  <c r="Y566" i="165"/>
  <c r="W566" i="165"/>
  <c r="U566" i="165"/>
  <c r="S566" i="165"/>
  <c r="O566" i="165"/>
  <c r="P566" i="165" s="1"/>
  <c r="M566" i="165"/>
  <c r="K566" i="165"/>
  <c r="I566" i="165"/>
  <c r="G566" i="165"/>
  <c r="E566" i="165"/>
  <c r="C566" i="165"/>
  <c r="AA565" i="165"/>
  <c r="Y565" i="165"/>
  <c r="W565" i="165"/>
  <c r="U565" i="165"/>
  <c r="S565" i="165"/>
  <c r="O565" i="165"/>
  <c r="M565" i="165"/>
  <c r="K565" i="165"/>
  <c r="I565" i="165"/>
  <c r="G565" i="165"/>
  <c r="E565" i="165"/>
  <c r="C565" i="165"/>
  <c r="P565" i="165" s="1"/>
  <c r="AA564" i="165"/>
  <c r="Y564" i="165"/>
  <c r="W564" i="165"/>
  <c r="U564" i="165"/>
  <c r="S564" i="165"/>
  <c r="O564" i="165"/>
  <c r="M564" i="165"/>
  <c r="K564" i="165"/>
  <c r="I564" i="165"/>
  <c r="G564" i="165"/>
  <c r="E564" i="165"/>
  <c r="C564" i="165"/>
  <c r="P564" i="165" s="1"/>
  <c r="AA563" i="165"/>
  <c r="Y563" i="165"/>
  <c r="W563" i="165"/>
  <c r="U563" i="165"/>
  <c r="S563" i="165"/>
  <c r="O563" i="165"/>
  <c r="M563" i="165"/>
  <c r="K563" i="165"/>
  <c r="I563" i="165"/>
  <c r="G563" i="165"/>
  <c r="E563" i="165"/>
  <c r="C563" i="165"/>
  <c r="AA562" i="165"/>
  <c r="Y562" i="165"/>
  <c r="W562" i="165"/>
  <c r="U562" i="165"/>
  <c r="S562" i="165"/>
  <c r="O562" i="165"/>
  <c r="M562" i="165"/>
  <c r="K562" i="165"/>
  <c r="I562" i="165"/>
  <c r="G562" i="165"/>
  <c r="E562" i="165"/>
  <c r="C562" i="165"/>
  <c r="AA561" i="165"/>
  <c r="Y561" i="165"/>
  <c r="W561" i="165"/>
  <c r="U561" i="165"/>
  <c r="S561" i="165"/>
  <c r="O561" i="165"/>
  <c r="M561" i="165"/>
  <c r="K561" i="165"/>
  <c r="I561" i="165"/>
  <c r="G561" i="165"/>
  <c r="E561" i="165"/>
  <c r="C561" i="165"/>
  <c r="AA560" i="165"/>
  <c r="Y560" i="165"/>
  <c r="W560" i="165"/>
  <c r="U560" i="165"/>
  <c r="S560" i="165"/>
  <c r="O560" i="165"/>
  <c r="M560" i="165"/>
  <c r="K560" i="165"/>
  <c r="I560" i="165"/>
  <c r="G560" i="165"/>
  <c r="E560" i="165"/>
  <c r="C560" i="165"/>
  <c r="AA559" i="165"/>
  <c r="Y559" i="165"/>
  <c r="W559" i="165"/>
  <c r="U559" i="165"/>
  <c r="S559" i="165"/>
  <c r="O559" i="165"/>
  <c r="M559" i="165"/>
  <c r="K559" i="165"/>
  <c r="I559" i="165"/>
  <c r="G559" i="165"/>
  <c r="E559" i="165"/>
  <c r="C559" i="165"/>
  <c r="AA558" i="165"/>
  <c r="Y558" i="165"/>
  <c r="W558" i="165"/>
  <c r="U558" i="165"/>
  <c r="S558" i="165"/>
  <c r="P558" i="165"/>
  <c r="O558" i="165"/>
  <c r="M558" i="165"/>
  <c r="K558" i="165"/>
  <c r="I558" i="165"/>
  <c r="G558" i="165"/>
  <c r="E558" i="165"/>
  <c r="C558" i="165"/>
  <c r="AA557" i="165"/>
  <c r="Y557" i="165"/>
  <c r="W557" i="165"/>
  <c r="U557" i="165"/>
  <c r="S557" i="165"/>
  <c r="P557" i="165"/>
  <c r="O557" i="165"/>
  <c r="M557" i="165"/>
  <c r="K557" i="165"/>
  <c r="I557" i="165"/>
  <c r="G557" i="165"/>
  <c r="E557" i="165"/>
  <c r="C557" i="165"/>
  <c r="AA556" i="165"/>
  <c r="Y556" i="165"/>
  <c r="W556" i="165"/>
  <c r="U556" i="165"/>
  <c r="S556" i="165"/>
  <c r="O556" i="165"/>
  <c r="M556" i="165"/>
  <c r="K556" i="165"/>
  <c r="I556" i="165"/>
  <c r="G556" i="165"/>
  <c r="E556" i="165"/>
  <c r="C556" i="165"/>
  <c r="AA555" i="165"/>
  <c r="Y555" i="165"/>
  <c r="W555" i="165"/>
  <c r="U555" i="165"/>
  <c r="S555" i="165"/>
  <c r="O555" i="165"/>
  <c r="M555" i="165"/>
  <c r="K555" i="165"/>
  <c r="I555" i="165"/>
  <c r="P555" i="165" s="1"/>
  <c r="G555" i="165"/>
  <c r="E555" i="165"/>
  <c r="C555" i="165"/>
  <c r="AA554" i="165"/>
  <c r="Y554" i="165"/>
  <c r="W554" i="165"/>
  <c r="U554" i="165"/>
  <c r="S554" i="165"/>
  <c r="O554" i="165"/>
  <c r="M554" i="165"/>
  <c r="K554" i="165"/>
  <c r="P554" i="165" s="1"/>
  <c r="I554" i="165"/>
  <c r="G554" i="165"/>
  <c r="E554" i="165"/>
  <c r="C554" i="165"/>
  <c r="AA553" i="165"/>
  <c r="Y553" i="165"/>
  <c r="W553" i="165"/>
  <c r="U553" i="165"/>
  <c r="S553" i="165"/>
  <c r="O553" i="165"/>
  <c r="M553" i="165"/>
  <c r="K553" i="165"/>
  <c r="I553" i="165"/>
  <c r="G553" i="165"/>
  <c r="E553" i="165"/>
  <c r="C553" i="165"/>
  <c r="AA552" i="165"/>
  <c r="Y552" i="165"/>
  <c r="W552" i="165"/>
  <c r="U552" i="165"/>
  <c r="S552" i="165"/>
  <c r="O552" i="165"/>
  <c r="M552" i="165"/>
  <c r="K552" i="165"/>
  <c r="I552" i="165"/>
  <c r="G552" i="165"/>
  <c r="E552" i="165"/>
  <c r="C552" i="165"/>
  <c r="AA551" i="165"/>
  <c r="Y551" i="165"/>
  <c r="W551" i="165"/>
  <c r="U551" i="165"/>
  <c r="S551" i="165"/>
  <c r="O551" i="165"/>
  <c r="M551" i="165"/>
  <c r="K551" i="165"/>
  <c r="I551" i="165"/>
  <c r="G551" i="165"/>
  <c r="E551" i="165"/>
  <c r="C551" i="165"/>
  <c r="AA550" i="165"/>
  <c r="Y550" i="165"/>
  <c r="W550" i="165"/>
  <c r="U550" i="165"/>
  <c r="S550" i="165"/>
  <c r="P550" i="165"/>
  <c r="O550" i="165"/>
  <c r="M550" i="165"/>
  <c r="K550" i="165"/>
  <c r="I550" i="165"/>
  <c r="G550" i="165"/>
  <c r="E550" i="165"/>
  <c r="C550" i="165"/>
  <c r="AA549" i="165"/>
  <c r="Y549" i="165"/>
  <c r="W549" i="165"/>
  <c r="U549" i="165"/>
  <c r="S549" i="165"/>
  <c r="O549" i="165"/>
  <c r="M549" i="165"/>
  <c r="K549" i="165"/>
  <c r="I549" i="165"/>
  <c r="G549" i="165"/>
  <c r="E549" i="165"/>
  <c r="C549" i="165"/>
  <c r="AA548" i="165"/>
  <c r="Y548" i="165"/>
  <c r="W548" i="165"/>
  <c r="U548" i="165"/>
  <c r="S548" i="165"/>
  <c r="O548" i="165"/>
  <c r="M548" i="165"/>
  <c r="K548" i="165"/>
  <c r="I548" i="165"/>
  <c r="G548" i="165"/>
  <c r="E548" i="165"/>
  <c r="C548" i="165"/>
  <c r="AA547" i="165"/>
  <c r="Y547" i="165"/>
  <c r="W547" i="165"/>
  <c r="U547" i="165"/>
  <c r="S547" i="165"/>
  <c r="O547" i="165"/>
  <c r="M547" i="165"/>
  <c r="K547" i="165"/>
  <c r="I547" i="165"/>
  <c r="G547" i="165"/>
  <c r="E547" i="165"/>
  <c r="C547" i="165"/>
  <c r="AA546" i="165"/>
  <c r="Y546" i="165"/>
  <c r="W546" i="165"/>
  <c r="U546" i="165"/>
  <c r="S546" i="165"/>
  <c r="O546" i="165"/>
  <c r="M546" i="165"/>
  <c r="K546" i="165"/>
  <c r="I546" i="165"/>
  <c r="G546" i="165"/>
  <c r="E546" i="165"/>
  <c r="C546" i="165"/>
  <c r="AA545" i="165"/>
  <c r="Y545" i="165"/>
  <c r="W545" i="165"/>
  <c r="U545" i="165"/>
  <c r="S545" i="165"/>
  <c r="O545" i="165"/>
  <c r="M545" i="165"/>
  <c r="K545" i="165"/>
  <c r="P545" i="165" s="1"/>
  <c r="I545" i="165"/>
  <c r="G545" i="165"/>
  <c r="E545" i="165"/>
  <c r="C545" i="165"/>
  <c r="AA544" i="165"/>
  <c r="Y544" i="165"/>
  <c r="W544" i="165"/>
  <c r="U544" i="165"/>
  <c r="S544" i="165"/>
  <c r="O544" i="165"/>
  <c r="M544" i="165"/>
  <c r="K544" i="165"/>
  <c r="I544" i="165"/>
  <c r="G544" i="165"/>
  <c r="E544" i="165"/>
  <c r="C544" i="165"/>
  <c r="AA543" i="165"/>
  <c r="Y543" i="165"/>
  <c r="W543" i="165"/>
  <c r="U543" i="165"/>
  <c r="S543" i="165"/>
  <c r="P543" i="165"/>
  <c r="O543" i="165"/>
  <c r="M543" i="165"/>
  <c r="K543" i="165"/>
  <c r="I543" i="165"/>
  <c r="G543" i="165"/>
  <c r="E543" i="165"/>
  <c r="C543" i="165"/>
  <c r="AA542" i="165"/>
  <c r="Y542" i="165"/>
  <c r="W542" i="165"/>
  <c r="U542" i="165"/>
  <c r="S542" i="165"/>
  <c r="O542" i="165"/>
  <c r="P542" i="165" s="1"/>
  <c r="M542" i="165"/>
  <c r="K542" i="165"/>
  <c r="I542" i="165"/>
  <c r="G542" i="165"/>
  <c r="E542" i="165"/>
  <c r="C542" i="165"/>
  <c r="AA541" i="165"/>
  <c r="Y541" i="165"/>
  <c r="W541" i="165"/>
  <c r="U541" i="165"/>
  <c r="S541" i="165"/>
  <c r="P541" i="165"/>
  <c r="O541" i="165"/>
  <c r="M541" i="165"/>
  <c r="K541" i="165"/>
  <c r="I541" i="165"/>
  <c r="G541" i="165"/>
  <c r="E541" i="165"/>
  <c r="C541" i="165"/>
  <c r="AA540" i="165"/>
  <c r="Y540" i="165"/>
  <c r="W540" i="165"/>
  <c r="U540" i="165"/>
  <c r="S540" i="165"/>
  <c r="O540" i="165"/>
  <c r="M540" i="165"/>
  <c r="K540" i="165"/>
  <c r="I540" i="165"/>
  <c r="G540" i="165"/>
  <c r="E540" i="165"/>
  <c r="C540" i="165"/>
  <c r="AA539" i="165"/>
  <c r="Y539" i="165"/>
  <c r="W539" i="165"/>
  <c r="U539" i="165"/>
  <c r="S539" i="165"/>
  <c r="O539" i="165"/>
  <c r="M539" i="165"/>
  <c r="K539" i="165"/>
  <c r="I539" i="165"/>
  <c r="G539" i="165"/>
  <c r="E539" i="165"/>
  <c r="C539" i="165"/>
  <c r="P539" i="165" s="1"/>
  <c r="AA538" i="165"/>
  <c r="Y538" i="165"/>
  <c r="W538" i="165"/>
  <c r="U538" i="165"/>
  <c r="S538" i="165"/>
  <c r="O538" i="165"/>
  <c r="M538" i="165"/>
  <c r="K538" i="165"/>
  <c r="I538" i="165"/>
  <c r="G538" i="165"/>
  <c r="E538" i="165"/>
  <c r="C538" i="165"/>
  <c r="AA537" i="165"/>
  <c r="Y537" i="165"/>
  <c r="W537" i="165"/>
  <c r="U537" i="165"/>
  <c r="S537" i="165"/>
  <c r="O537" i="165"/>
  <c r="M537" i="165"/>
  <c r="K537" i="165"/>
  <c r="I537" i="165"/>
  <c r="G537" i="165"/>
  <c r="E537" i="165"/>
  <c r="C537" i="165"/>
  <c r="AA536" i="165"/>
  <c r="Y536" i="165"/>
  <c r="W536" i="165"/>
  <c r="U536" i="165"/>
  <c r="S536" i="165"/>
  <c r="O536" i="165"/>
  <c r="M536" i="165"/>
  <c r="K536" i="165"/>
  <c r="I536" i="165"/>
  <c r="G536" i="165"/>
  <c r="E536" i="165"/>
  <c r="C536" i="165"/>
  <c r="AA535" i="165"/>
  <c r="Y535" i="165"/>
  <c r="W535" i="165"/>
  <c r="U535" i="165"/>
  <c r="S535" i="165"/>
  <c r="O535" i="165"/>
  <c r="M535" i="165"/>
  <c r="K535" i="165"/>
  <c r="I535" i="165"/>
  <c r="G535" i="165"/>
  <c r="E535" i="165"/>
  <c r="P535" i="165" s="1"/>
  <c r="C535" i="165"/>
  <c r="AA534" i="165"/>
  <c r="Y534" i="165"/>
  <c r="W534" i="165"/>
  <c r="U534" i="165"/>
  <c r="S534" i="165"/>
  <c r="O534" i="165"/>
  <c r="M534" i="165"/>
  <c r="K534" i="165"/>
  <c r="I534" i="165"/>
  <c r="G534" i="165"/>
  <c r="E534" i="165"/>
  <c r="C534" i="165"/>
  <c r="P534" i="165" s="1"/>
  <c r="AA533" i="165"/>
  <c r="Y533" i="165"/>
  <c r="W533" i="165"/>
  <c r="U533" i="165"/>
  <c r="S533" i="165"/>
  <c r="O533" i="165"/>
  <c r="M533" i="165"/>
  <c r="K533" i="165"/>
  <c r="I533" i="165"/>
  <c r="G533" i="165"/>
  <c r="E533" i="165"/>
  <c r="C533" i="165"/>
  <c r="AA532" i="165"/>
  <c r="Y532" i="165"/>
  <c r="W532" i="165"/>
  <c r="U532" i="165"/>
  <c r="S532" i="165"/>
  <c r="O532" i="165"/>
  <c r="M532" i="165"/>
  <c r="K532" i="165"/>
  <c r="I532" i="165"/>
  <c r="G532" i="165"/>
  <c r="E532" i="165"/>
  <c r="C532" i="165"/>
  <c r="AA531" i="165"/>
  <c r="Y531" i="165"/>
  <c r="W531" i="165"/>
  <c r="U531" i="165"/>
  <c r="S531" i="165"/>
  <c r="O531" i="165"/>
  <c r="M531" i="165"/>
  <c r="K531" i="165"/>
  <c r="I531" i="165"/>
  <c r="G531" i="165"/>
  <c r="E531" i="165"/>
  <c r="P531" i="165" s="1"/>
  <c r="C531" i="165"/>
  <c r="AA530" i="165"/>
  <c r="Y530" i="165"/>
  <c r="W530" i="165"/>
  <c r="U530" i="165"/>
  <c r="S530" i="165"/>
  <c r="O530" i="165"/>
  <c r="M530" i="165"/>
  <c r="K530" i="165"/>
  <c r="I530" i="165"/>
  <c r="G530" i="165"/>
  <c r="E530" i="165"/>
  <c r="C530" i="165"/>
  <c r="AA529" i="165"/>
  <c r="Y529" i="165"/>
  <c r="W529" i="165"/>
  <c r="U529" i="165"/>
  <c r="S529" i="165"/>
  <c r="O529" i="165"/>
  <c r="M529" i="165"/>
  <c r="K529" i="165"/>
  <c r="I529" i="165"/>
  <c r="G529" i="165"/>
  <c r="E529" i="165"/>
  <c r="P529" i="165" s="1"/>
  <c r="C529" i="165"/>
  <c r="AA528" i="165"/>
  <c r="Y528" i="165"/>
  <c r="W528" i="165"/>
  <c r="U528" i="165"/>
  <c r="S528" i="165"/>
  <c r="O528" i="165"/>
  <c r="M528" i="165"/>
  <c r="K528" i="165"/>
  <c r="I528" i="165"/>
  <c r="G528" i="165"/>
  <c r="E528" i="165"/>
  <c r="C528" i="165"/>
  <c r="AA527" i="165"/>
  <c r="Y527" i="165"/>
  <c r="W527" i="165"/>
  <c r="U527" i="165"/>
  <c r="S527" i="165"/>
  <c r="O527" i="165"/>
  <c r="M527" i="165"/>
  <c r="K527" i="165"/>
  <c r="I527" i="165"/>
  <c r="G527" i="165"/>
  <c r="P527" i="165" s="1"/>
  <c r="E527" i="165"/>
  <c r="C527" i="165"/>
  <c r="AA526" i="165"/>
  <c r="Y526" i="165"/>
  <c r="W526" i="165"/>
  <c r="U526" i="165"/>
  <c r="S526" i="165"/>
  <c r="O526" i="165"/>
  <c r="M526" i="165"/>
  <c r="K526" i="165"/>
  <c r="I526" i="165"/>
  <c r="P526" i="165" s="1"/>
  <c r="G526" i="165"/>
  <c r="E526" i="165"/>
  <c r="C526" i="165"/>
  <c r="AA525" i="165"/>
  <c r="Y525" i="165"/>
  <c r="W525" i="165"/>
  <c r="U525" i="165"/>
  <c r="S525" i="165"/>
  <c r="O525" i="165"/>
  <c r="M525" i="165"/>
  <c r="K525" i="165"/>
  <c r="I525" i="165"/>
  <c r="G525" i="165"/>
  <c r="E525" i="165"/>
  <c r="C525" i="165"/>
  <c r="AA524" i="165"/>
  <c r="Y524" i="165"/>
  <c r="W524" i="165"/>
  <c r="U524" i="165"/>
  <c r="S524" i="165"/>
  <c r="O524" i="165"/>
  <c r="M524" i="165"/>
  <c r="P524" i="165" s="1"/>
  <c r="K524" i="165"/>
  <c r="I524" i="165"/>
  <c r="G524" i="165"/>
  <c r="E524" i="165"/>
  <c r="C524" i="165"/>
  <c r="AA523" i="165"/>
  <c r="Y523" i="165"/>
  <c r="W523" i="165"/>
  <c r="U523" i="165"/>
  <c r="S523" i="165"/>
  <c r="O523" i="165"/>
  <c r="M523" i="165"/>
  <c r="K523" i="165"/>
  <c r="I523" i="165"/>
  <c r="G523" i="165"/>
  <c r="E523" i="165"/>
  <c r="C523" i="165"/>
  <c r="AA522" i="165"/>
  <c r="Y522" i="165"/>
  <c r="W522" i="165"/>
  <c r="U522" i="165"/>
  <c r="S522" i="165"/>
  <c r="O522" i="165"/>
  <c r="M522" i="165"/>
  <c r="K522" i="165"/>
  <c r="I522" i="165"/>
  <c r="P522" i="165" s="1"/>
  <c r="G522" i="165"/>
  <c r="E522" i="165"/>
  <c r="C522" i="165"/>
  <c r="AA521" i="165"/>
  <c r="Y521" i="165"/>
  <c r="W521" i="165"/>
  <c r="U521" i="165"/>
  <c r="S521" i="165"/>
  <c r="O521" i="165"/>
  <c r="M521" i="165"/>
  <c r="K521" i="165"/>
  <c r="I521" i="165"/>
  <c r="G521" i="165"/>
  <c r="E521" i="165"/>
  <c r="C521" i="165"/>
  <c r="AA520" i="165"/>
  <c r="Y520" i="165"/>
  <c r="W520" i="165"/>
  <c r="U520" i="165"/>
  <c r="S520" i="165"/>
  <c r="O520" i="165"/>
  <c r="M520" i="165"/>
  <c r="K520" i="165"/>
  <c r="I520" i="165"/>
  <c r="G520" i="165"/>
  <c r="E520" i="165"/>
  <c r="C520" i="165"/>
  <c r="AA519" i="165"/>
  <c r="Y519" i="165"/>
  <c r="W519" i="165"/>
  <c r="U519" i="165"/>
  <c r="S519" i="165"/>
  <c r="O519" i="165"/>
  <c r="M519" i="165"/>
  <c r="K519" i="165"/>
  <c r="I519" i="165"/>
  <c r="G519" i="165"/>
  <c r="E519" i="165"/>
  <c r="C519" i="165"/>
  <c r="AA518" i="165"/>
  <c r="Y518" i="165"/>
  <c r="W518" i="165"/>
  <c r="U518" i="165"/>
  <c r="S518" i="165"/>
  <c r="O518" i="165"/>
  <c r="M518" i="165"/>
  <c r="K518" i="165"/>
  <c r="I518" i="165"/>
  <c r="G518" i="165"/>
  <c r="E518" i="165"/>
  <c r="C518" i="165"/>
  <c r="AA517" i="165"/>
  <c r="Y517" i="165"/>
  <c r="W517" i="165"/>
  <c r="U517" i="165"/>
  <c r="S517" i="165"/>
  <c r="O517" i="165"/>
  <c r="M517" i="165"/>
  <c r="K517" i="165"/>
  <c r="I517" i="165"/>
  <c r="G517" i="165"/>
  <c r="E517" i="165"/>
  <c r="C517" i="165"/>
  <c r="AA516" i="165"/>
  <c r="Y516" i="165"/>
  <c r="W516" i="165"/>
  <c r="U516" i="165"/>
  <c r="S516" i="165"/>
  <c r="O516" i="165"/>
  <c r="M516" i="165"/>
  <c r="K516" i="165"/>
  <c r="I516" i="165"/>
  <c r="G516" i="165"/>
  <c r="E516" i="165"/>
  <c r="C516" i="165"/>
  <c r="AA515" i="165"/>
  <c r="Y515" i="165"/>
  <c r="W515" i="165"/>
  <c r="U515" i="165"/>
  <c r="S515" i="165"/>
  <c r="O515" i="165"/>
  <c r="M515" i="165"/>
  <c r="K515" i="165"/>
  <c r="I515" i="165"/>
  <c r="G515" i="165"/>
  <c r="E515" i="165"/>
  <c r="C515" i="165"/>
  <c r="AA514" i="165"/>
  <c r="Y514" i="165"/>
  <c r="W514" i="165"/>
  <c r="U514" i="165"/>
  <c r="S514" i="165"/>
  <c r="O514" i="165"/>
  <c r="M514" i="165"/>
  <c r="K514" i="165"/>
  <c r="I514" i="165"/>
  <c r="G514" i="165"/>
  <c r="E514" i="165"/>
  <c r="C514" i="165"/>
  <c r="AA513" i="165"/>
  <c r="Y513" i="165"/>
  <c r="W513" i="165"/>
  <c r="U513" i="165"/>
  <c r="S513" i="165"/>
  <c r="O513" i="165"/>
  <c r="M513" i="165"/>
  <c r="P513" i="165" s="1"/>
  <c r="K513" i="165"/>
  <c r="I513" i="165"/>
  <c r="G513" i="165"/>
  <c r="E513" i="165"/>
  <c r="C513" i="165"/>
  <c r="AA512" i="165"/>
  <c r="Y512" i="165"/>
  <c r="W512" i="165"/>
  <c r="U512" i="165"/>
  <c r="S512" i="165"/>
  <c r="O512" i="165"/>
  <c r="M512" i="165"/>
  <c r="P512" i="165" s="1"/>
  <c r="K512" i="165"/>
  <c r="I512" i="165"/>
  <c r="G512" i="165"/>
  <c r="E512" i="165"/>
  <c r="C512" i="165"/>
  <c r="AA511" i="165"/>
  <c r="Y511" i="165"/>
  <c r="W511" i="165"/>
  <c r="U511" i="165"/>
  <c r="S511" i="165"/>
  <c r="O511" i="165"/>
  <c r="P511" i="165" s="1"/>
  <c r="M511" i="165"/>
  <c r="K511" i="165"/>
  <c r="I511" i="165"/>
  <c r="G511" i="165"/>
  <c r="E511" i="165"/>
  <c r="C511" i="165"/>
  <c r="AA510" i="165"/>
  <c r="Y510" i="165"/>
  <c r="W510" i="165"/>
  <c r="U510" i="165"/>
  <c r="S510" i="165"/>
  <c r="P510" i="165"/>
  <c r="O510" i="165"/>
  <c r="M510" i="165"/>
  <c r="K510" i="165"/>
  <c r="I510" i="165"/>
  <c r="G510" i="165"/>
  <c r="E510" i="165"/>
  <c r="C510" i="165"/>
  <c r="AA509" i="165"/>
  <c r="Y509" i="165"/>
  <c r="W509" i="165"/>
  <c r="U509" i="165"/>
  <c r="S509" i="165"/>
  <c r="P509" i="165"/>
  <c r="O509" i="165"/>
  <c r="M509" i="165"/>
  <c r="K509" i="165"/>
  <c r="I509" i="165"/>
  <c r="G509" i="165"/>
  <c r="E509" i="165"/>
  <c r="C509" i="165"/>
  <c r="AA508" i="165"/>
  <c r="Y508" i="165"/>
  <c r="W508" i="165"/>
  <c r="U508" i="165"/>
  <c r="S508" i="165"/>
  <c r="O508" i="165"/>
  <c r="M508" i="165"/>
  <c r="K508" i="165"/>
  <c r="I508" i="165"/>
  <c r="G508" i="165"/>
  <c r="E508" i="165"/>
  <c r="C508" i="165"/>
  <c r="P508" i="165" s="1"/>
  <c r="AA507" i="165"/>
  <c r="Y507" i="165"/>
  <c r="W507" i="165"/>
  <c r="U507" i="165"/>
  <c r="S507" i="165"/>
  <c r="O507" i="165"/>
  <c r="M507" i="165"/>
  <c r="K507" i="165"/>
  <c r="I507" i="165"/>
  <c r="G507" i="165"/>
  <c r="E507" i="165"/>
  <c r="C507" i="165"/>
  <c r="P507" i="165" s="1"/>
  <c r="AA506" i="165"/>
  <c r="Y506" i="165"/>
  <c r="W506" i="165"/>
  <c r="U506" i="165"/>
  <c r="S506" i="165"/>
  <c r="O506" i="165"/>
  <c r="M506" i="165"/>
  <c r="K506" i="165"/>
  <c r="I506" i="165"/>
  <c r="G506" i="165"/>
  <c r="E506" i="165"/>
  <c r="C506" i="165"/>
  <c r="P506" i="165" s="1"/>
  <c r="AA505" i="165"/>
  <c r="Y505" i="165"/>
  <c r="W505" i="165"/>
  <c r="U505" i="165"/>
  <c r="S505" i="165"/>
  <c r="O505" i="165"/>
  <c r="M505" i="165"/>
  <c r="K505" i="165"/>
  <c r="I505" i="165"/>
  <c r="G505" i="165"/>
  <c r="E505" i="165"/>
  <c r="C505" i="165"/>
  <c r="P505" i="165" s="1"/>
  <c r="AA504" i="165"/>
  <c r="Y504" i="165"/>
  <c r="W504" i="165"/>
  <c r="U504" i="165"/>
  <c r="S504" i="165"/>
  <c r="O504" i="165"/>
  <c r="M504" i="165"/>
  <c r="K504" i="165"/>
  <c r="I504" i="165"/>
  <c r="G504" i="165"/>
  <c r="E504" i="165"/>
  <c r="C504" i="165"/>
  <c r="P504" i="165" s="1"/>
  <c r="AA503" i="165"/>
  <c r="Y503" i="165"/>
  <c r="W503" i="165"/>
  <c r="U503" i="165"/>
  <c r="S503" i="165"/>
  <c r="O503" i="165"/>
  <c r="M503" i="165"/>
  <c r="K503" i="165"/>
  <c r="I503" i="165"/>
  <c r="G503" i="165"/>
  <c r="E503" i="165"/>
  <c r="C503" i="165"/>
  <c r="P503" i="165" s="1"/>
  <c r="AA502" i="165"/>
  <c r="Y502" i="165"/>
  <c r="W502" i="165"/>
  <c r="U502" i="165"/>
  <c r="S502" i="165"/>
  <c r="O502" i="165"/>
  <c r="M502" i="165"/>
  <c r="K502" i="165"/>
  <c r="I502" i="165"/>
  <c r="G502" i="165"/>
  <c r="E502" i="165"/>
  <c r="C502" i="165"/>
  <c r="P502" i="165" s="1"/>
  <c r="AA501" i="165"/>
  <c r="Y501" i="165"/>
  <c r="W501" i="165"/>
  <c r="U501" i="165"/>
  <c r="S501" i="165"/>
  <c r="O501" i="165"/>
  <c r="M501" i="165"/>
  <c r="K501" i="165"/>
  <c r="I501" i="165"/>
  <c r="G501" i="165"/>
  <c r="E501" i="165"/>
  <c r="P501" i="165" s="1"/>
  <c r="C501" i="165"/>
  <c r="AA500" i="165"/>
  <c r="Y500" i="165"/>
  <c r="W500" i="165"/>
  <c r="U500" i="165"/>
  <c r="S500" i="165"/>
  <c r="O500" i="165"/>
  <c r="M500" i="165"/>
  <c r="K500" i="165"/>
  <c r="I500" i="165"/>
  <c r="G500" i="165"/>
  <c r="P500" i="165" s="1"/>
  <c r="E500" i="165"/>
  <c r="C500" i="165"/>
  <c r="AA499" i="165"/>
  <c r="Y499" i="165"/>
  <c r="W499" i="165"/>
  <c r="U499" i="165"/>
  <c r="S499" i="165"/>
  <c r="O499" i="165"/>
  <c r="M499" i="165"/>
  <c r="K499" i="165"/>
  <c r="I499" i="165"/>
  <c r="P499" i="165" s="1"/>
  <c r="G499" i="165"/>
  <c r="E499" i="165"/>
  <c r="C499" i="165"/>
  <c r="AA498" i="165"/>
  <c r="Y498" i="165"/>
  <c r="W498" i="165"/>
  <c r="U498" i="165"/>
  <c r="S498" i="165"/>
  <c r="O498" i="165"/>
  <c r="M498" i="165"/>
  <c r="K498" i="165"/>
  <c r="I498" i="165"/>
  <c r="G498" i="165"/>
  <c r="E498" i="165"/>
  <c r="C498" i="165"/>
  <c r="AA497" i="165"/>
  <c r="Y497" i="165"/>
  <c r="W497" i="165"/>
  <c r="U497" i="165"/>
  <c r="S497" i="165"/>
  <c r="O497" i="165"/>
  <c r="M497" i="165"/>
  <c r="K497" i="165"/>
  <c r="I497" i="165"/>
  <c r="G497" i="165"/>
  <c r="E497" i="165"/>
  <c r="C497" i="165"/>
  <c r="P497" i="165" s="1"/>
  <c r="AA496" i="165"/>
  <c r="Y496" i="165"/>
  <c r="W496" i="165"/>
  <c r="U496" i="165"/>
  <c r="S496" i="165"/>
  <c r="O496" i="165"/>
  <c r="M496" i="165"/>
  <c r="K496" i="165"/>
  <c r="I496" i="165"/>
  <c r="G496" i="165"/>
  <c r="E496" i="165"/>
  <c r="C496" i="165"/>
  <c r="P496" i="165" s="1"/>
  <c r="AA495" i="165"/>
  <c r="Y495" i="165"/>
  <c r="W495" i="165"/>
  <c r="U495" i="165"/>
  <c r="S495" i="165"/>
  <c r="O495" i="165"/>
  <c r="M495" i="165"/>
  <c r="K495" i="165"/>
  <c r="I495" i="165"/>
  <c r="G495" i="165"/>
  <c r="E495" i="165"/>
  <c r="C495" i="165"/>
  <c r="P495" i="165" s="1"/>
  <c r="AA494" i="165"/>
  <c r="Y494" i="165"/>
  <c r="W494" i="165"/>
  <c r="U494" i="165"/>
  <c r="S494" i="165"/>
  <c r="O494" i="165"/>
  <c r="M494" i="165"/>
  <c r="K494" i="165"/>
  <c r="I494" i="165"/>
  <c r="G494" i="165"/>
  <c r="E494" i="165"/>
  <c r="C494" i="165"/>
  <c r="P494" i="165" s="1"/>
  <c r="AA493" i="165"/>
  <c r="Y493" i="165"/>
  <c r="W493" i="165"/>
  <c r="U493" i="165"/>
  <c r="S493" i="165"/>
  <c r="O493" i="165"/>
  <c r="M493" i="165"/>
  <c r="K493" i="165"/>
  <c r="I493" i="165"/>
  <c r="G493" i="165"/>
  <c r="E493" i="165"/>
  <c r="P493" i="165" s="1"/>
  <c r="C493" i="165"/>
  <c r="AA492" i="165"/>
  <c r="Y492" i="165"/>
  <c r="W492" i="165"/>
  <c r="U492" i="165"/>
  <c r="S492" i="165"/>
  <c r="O492" i="165"/>
  <c r="M492" i="165"/>
  <c r="K492" i="165"/>
  <c r="I492" i="165"/>
  <c r="G492" i="165"/>
  <c r="E492" i="165"/>
  <c r="C492" i="165"/>
  <c r="AA491" i="165"/>
  <c r="Y491" i="165"/>
  <c r="W491" i="165"/>
  <c r="U491" i="165"/>
  <c r="S491" i="165"/>
  <c r="O491" i="165"/>
  <c r="M491" i="165"/>
  <c r="K491" i="165"/>
  <c r="I491" i="165"/>
  <c r="G491" i="165"/>
  <c r="E491" i="165"/>
  <c r="C491" i="165"/>
  <c r="AA490" i="165"/>
  <c r="Y490" i="165"/>
  <c r="W490" i="165"/>
  <c r="U490" i="165"/>
  <c r="S490" i="165"/>
  <c r="O490" i="165"/>
  <c r="M490" i="165"/>
  <c r="K490" i="165"/>
  <c r="I490" i="165"/>
  <c r="G490" i="165"/>
  <c r="E490" i="165"/>
  <c r="C490" i="165"/>
  <c r="AA489" i="165"/>
  <c r="Y489" i="165"/>
  <c r="W489" i="165"/>
  <c r="U489" i="165"/>
  <c r="S489" i="165"/>
  <c r="O489" i="165"/>
  <c r="M489" i="165"/>
  <c r="K489" i="165"/>
  <c r="I489" i="165"/>
  <c r="G489" i="165"/>
  <c r="E489" i="165"/>
  <c r="C489" i="165"/>
  <c r="AA488" i="165"/>
  <c r="Y488" i="165"/>
  <c r="W488" i="165"/>
  <c r="U488" i="165"/>
  <c r="S488" i="165"/>
  <c r="O488" i="165"/>
  <c r="M488" i="165"/>
  <c r="K488" i="165"/>
  <c r="I488" i="165"/>
  <c r="G488" i="165"/>
  <c r="E488" i="165"/>
  <c r="C488" i="165"/>
  <c r="AA487" i="165"/>
  <c r="Y487" i="165"/>
  <c r="W487" i="165"/>
  <c r="U487" i="165"/>
  <c r="S487" i="165"/>
  <c r="P487" i="165"/>
  <c r="O487" i="165"/>
  <c r="M487" i="165"/>
  <c r="K487" i="165"/>
  <c r="I487" i="165"/>
  <c r="G487" i="165"/>
  <c r="E487" i="165"/>
  <c r="C487" i="165"/>
  <c r="AA486" i="165"/>
  <c r="Y486" i="165"/>
  <c r="W486" i="165"/>
  <c r="U486" i="165"/>
  <c r="S486" i="165"/>
  <c r="O486" i="165"/>
  <c r="M486" i="165"/>
  <c r="K486" i="165"/>
  <c r="P486" i="165" s="1"/>
  <c r="I486" i="165"/>
  <c r="G486" i="165"/>
  <c r="E486" i="165"/>
  <c r="C486" i="165"/>
  <c r="AA485" i="165"/>
  <c r="Y485" i="165"/>
  <c r="W485" i="165"/>
  <c r="U485" i="165"/>
  <c r="S485" i="165"/>
  <c r="P485" i="165"/>
  <c r="O485" i="165"/>
  <c r="M485" i="165"/>
  <c r="K485" i="165"/>
  <c r="I485" i="165"/>
  <c r="G485" i="165"/>
  <c r="E485" i="165"/>
  <c r="C485" i="165"/>
  <c r="AA484" i="165"/>
  <c r="Y484" i="165"/>
  <c r="W484" i="165"/>
  <c r="U484" i="165"/>
  <c r="S484" i="165"/>
  <c r="O484" i="165"/>
  <c r="P484" i="165" s="1"/>
  <c r="M484" i="165"/>
  <c r="K484" i="165"/>
  <c r="I484" i="165"/>
  <c r="G484" i="165"/>
  <c r="E484" i="165"/>
  <c r="C484" i="165"/>
  <c r="AA483" i="165"/>
  <c r="Y483" i="165"/>
  <c r="W483" i="165"/>
  <c r="U483" i="165"/>
  <c r="S483" i="165"/>
  <c r="P483" i="165"/>
  <c r="O483" i="165"/>
  <c r="M483" i="165"/>
  <c r="K483" i="165"/>
  <c r="I483" i="165"/>
  <c r="G483" i="165"/>
  <c r="E483" i="165"/>
  <c r="C483" i="165"/>
  <c r="AA482" i="165"/>
  <c r="Y482" i="165"/>
  <c r="W482" i="165"/>
  <c r="U482" i="165"/>
  <c r="S482" i="165"/>
  <c r="O482" i="165"/>
  <c r="M482" i="165"/>
  <c r="K482" i="165"/>
  <c r="I482" i="165"/>
  <c r="G482" i="165"/>
  <c r="E482" i="165"/>
  <c r="C482" i="165"/>
  <c r="P482" i="165" s="1"/>
  <c r="AA481" i="165"/>
  <c r="Y481" i="165"/>
  <c r="W481" i="165"/>
  <c r="U481" i="165"/>
  <c r="S481" i="165"/>
  <c r="O481" i="165"/>
  <c r="M481" i="165"/>
  <c r="K481" i="165"/>
  <c r="I481" i="165"/>
  <c r="G481" i="165"/>
  <c r="E481" i="165"/>
  <c r="C481" i="165"/>
  <c r="P481" i="165" s="1"/>
  <c r="AA480" i="165"/>
  <c r="Y480" i="165"/>
  <c r="W480" i="165"/>
  <c r="U480" i="165"/>
  <c r="S480" i="165"/>
  <c r="O480" i="165"/>
  <c r="M480" i="165"/>
  <c r="K480" i="165"/>
  <c r="I480" i="165"/>
  <c r="G480" i="165"/>
  <c r="E480" i="165"/>
  <c r="C480" i="165"/>
  <c r="P480" i="165" s="1"/>
  <c r="AA479" i="165"/>
  <c r="Y479" i="165"/>
  <c r="W479" i="165"/>
  <c r="U479" i="165"/>
  <c r="S479" i="165"/>
  <c r="O479" i="165"/>
  <c r="M479" i="165"/>
  <c r="K479" i="165"/>
  <c r="I479" i="165"/>
  <c r="G479" i="165"/>
  <c r="E479" i="165"/>
  <c r="C479" i="165"/>
  <c r="P479" i="165" s="1"/>
  <c r="AA478" i="165"/>
  <c r="Y478" i="165"/>
  <c r="W478" i="165"/>
  <c r="U478" i="165"/>
  <c r="S478" i="165"/>
  <c r="O478" i="165"/>
  <c r="M478" i="165"/>
  <c r="K478" i="165"/>
  <c r="I478" i="165"/>
  <c r="G478" i="165"/>
  <c r="E478" i="165"/>
  <c r="C478" i="165"/>
  <c r="P478" i="165" s="1"/>
  <c r="AA477" i="165"/>
  <c r="Y477" i="165"/>
  <c r="W477" i="165"/>
  <c r="U477" i="165"/>
  <c r="S477" i="165"/>
  <c r="O477" i="165"/>
  <c r="M477" i="165"/>
  <c r="K477" i="165"/>
  <c r="I477" i="165"/>
  <c r="G477" i="165"/>
  <c r="E477" i="165"/>
  <c r="C477" i="165"/>
  <c r="P477" i="165" s="1"/>
  <c r="AA476" i="165"/>
  <c r="Y476" i="165"/>
  <c r="W476" i="165"/>
  <c r="U476" i="165"/>
  <c r="S476" i="165"/>
  <c r="O476" i="165"/>
  <c r="M476" i="165"/>
  <c r="K476" i="165"/>
  <c r="I476" i="165"/>
  <c r="G476" i="165"/>
  <c r="E476" i="165"/>
  <c r="C476" i="165"/>
  <c r="P476" i="165" s="1"/>
  <c r="AA475" i="165"/>
  <c r="Y475" i="165"/>
  <c r="W475" i="165"/>
  <c r="U475" i="165"/>
  <c r="S475" i="165"/>
  <c r="O475" i="165"/>
  <c r="M475" i="165"/>
  <c r="K475" i="165"/>
  <c r="I475" i="165"/>
  <c r="G475" i="165"/>
  <c r="E475" i="165"/>
  <c r="P475" i="165" s="1"/>
  <c r="C475" i="165"/>
  <c r="AA474" i="165"/>
  <c r="Y474" i="165"/>
  <c r="W474" i="165"/>
  <c r="U474" i="165"/>
  <c r="S474" i="165"/>
  <c r="O474" i="165"/>
  <c r="M474" i="165"/>
  <c r="K474" i="165"/>
  <c r="I474" i="165"/>
  <c r="G474" i="165"/>
  <c r="E474" i="165"/>
  <c r="C474" i="165"/>
  <c r="AA473" i="165"/>
  <c r="Y473" i="165"/>
  <c r="W473" i="165"/>
  <c r="U473" i="165"/>
  <c r="S473" i="165"/>
  <c r="O473" i="165"/>
  <c r="M473" i="165"/>
  <c r="K473" i="165"/>
  <c r="I473" i="165"/>
  <c r="G473" i="165"/>
  <c r="E473" i="165"/>
  <c r="C473" i="165"/>
  <c r="AA472" i="165"/>
  <c r="Y472" i="165"/>
  <c r="W472" i="165"/>
  <c r="U472" i="165"/>
  <c r="S472" i="165"/>
  <c r="O472" i="165"/>
  <c r="P472" i="165" s="1"/>
  <c r="M472" i="165"/>
  <c r="K472" i="165"/>
  <c r="I472" i="165"/>
  <c r="G472" i="165"/>
  <c r="E472" i="165"/>
  <c r="C472" i="165"/>
  <c r="AA471" i="165"/>
  <c r="Y471" i="165"/>
  <c r="W471" i="165"/>
  <c r="U471" i="165"/>
  <c r="S471" i="165"/>
  <c r="P471" i="165"/>
  <c r="O471" i="165"/>
  <c r="M471" i="165"/>
  <c r="K471" i="165"/>
  <c r="I471" i="165"/>
  <c r="G471" i="165"/>
  <c r="E471" i="165"/>
  <c r="C471" i="165"/>
  <c r="AA470" i="165"/>
  <c r="Y470" i="165"/>
  <c r="W470" i="165"/>
  <c r="U470" i="165"/>
  <c r="S470" i="165"/>
  <c r="O470" i="165"/>
  <c r="M470" i="165"/>
  <c r="K470" i="165"/>
  <c r="I470" i="165"/>
  <c r="P470" i="165" s="1"/>
  <c r="G470" i="165"/>
  <c r="E470" i="165"/>
  <c r="C470" i="165"/>
  <c r="AA469" i="165"/>
  <c r="Y469" i="165"/>
  <c r="W469" i="165"/>
  <c r="U469" i="165"/>
  <c r="S469" i="165"/>
  <c r="O469" i="165"/>
  <c r="M469" i="165"/>
  <c r="P469" i="165" s="1"/>
  <c r="K469" i="165"/>
  <c r="I469" i="165"/>
  <c r="G469" i="165"/>
  <c r="E469" i="165"/>
  <c r="C469" i="165"/>
  <c r="AA468" i="165"/>
  <c r="Y468" i="165"/>
  <c r="W468" i="165"/>
  <c r="U468" i="165"/>
  <c r="S468" i="165"/>
  <c r="O468" i="165"/>
  <c r="M468" i="165"/>
  <c r="K468" i="165"/>
  <c r="I468" i="165"/>
  <c r="G468" i="165"/>
  <c r="E468" i="165"/>
  <c r="C468" i="165"/>
  <c r="AA467" i="165"/>
  <c r="Y467" i="165"/>
  <c r="W467" i="165"/>
  <c r="U467" i="165"/>
  <c r="S467" i="165"/>
  <c r="O467" i="165"/>
  <c r="M467" i="165"/>
  <c r="K467" i="165"/>
  <c r="I467" i="165"/>
  <c r="G467" i="165"/>
  <c r="E467" i="165"/>
  <c r="C467" i="165"/>
  <c r="AA466" i="165"/>
  <c r="Y466" i="165"/>
  <c r="W466" i="165"/>
  <c r="U466" i="165"/>
  <c r="S466" i="165"/>
  <c r="O466" i="165"/>
  <c r="M466" i="165"/>
  <c r="P466" i="165" s="1"/>
  <c r="K466" i="165"/>
  <c r="I466" i="165"/>
  <c r="G466" i="165"/>
  <c r="E466" i="165"/>
  <c r="C466" i="165"/>
  <c r="AA465" i="165"/>
  <c r="Y465" i="165"/>
  <c r="W465" i="165"/>
  <c r="U465" i="165"/>
  <c r="S465" i="165"/>
  <c r="O465" i="165"/>
  <c r="M465" i="165"/>
  <c r="K465" i="165"/>
  <c r="I465" i="165"/>
  <c r="G465" i="165"/>
  <c r="E465" i="165"/>
  <c r="C465" i="165"/>
  <c r="P465" i="165" s="1"/>
  <c r="AA464" i="165"/>
  <c r="Y464" i="165"/>
  <c r="W464" i="165"/>
  <c r="U464" i="165"/>
  <c r="S464" i="165"/>
  <c r="O464" i="165"/>
  <c r="M464" i="165"/>
  <c r="K464" i="165"/>
  <c r="I464" i="165"/>
  <c r="G464" i="165"/>
  <c r="E464" i="165"/>
  <c r="C464" i="165"/>
  <c r="AA463" i="165"/>
  <c r="Y463" i="165"/>
  <c r="W463" i="165"/>
  <c r="U463" i="165"/>
  <c r="S463" i="165"/>
  <c r="O463" i="165"/>
  <c r="M463" i="165"/>
  <c r="K463" i="165"/>
  <c r="I463" i="165"/>
  <c r="G463" i="165"/>
  <c r="E463" i="165"/>
  <c r="P463" i="165" s="1"/>
  <c r="C463" i="165"/>
  <c r="AA462" i="165"/>
  <c r="Y462" i="165"/>
  <c r="W462" i="165"/>
  <c r="U462" i="165"/>
  <c r="S462" i="165"/>
  <c r="O462" i="165"/>
  <c r="M462" i="165"/>
  <c r="K462" i="165"/>
  <c r="I462" i="165"/>
  <c r="G462" i="165"/>
  <c r="E462" i="165"/>
  <c r="C462" i="165"/>
  <c r="AA461" i="165"/>
  <c r="Y461" i="165"/>
  <c r="W461" i="165"/>
  <c r="U461" i="165"/>
  <c r="S461" i="165"/>
  <c r="O461" i="165"/>
  <c r="M461" i="165"/>
  <c r="K461" i="165"/>
  <c r="I461" i="165"/>
  <c r="G461" i="165"/>
  <c r="E461" i="165"/>
  <c r="C461" i="165"/>
  <c r="P461" i="165" s="1"/>
  <c r="AA460" i="165"/>
  <c r="Y460" i="165"/>
  <c r="W460" i="165"/>
  <c r="U460" i="165"/>
  <c r="S460" i="165"/>
  <c r="O460" i="165"/>
  <c r="M460" i="165"/>
  <c r="K460" i="165"/>
  <c r="I460" i="165"/>
  <c r="G460" i="165"/>
  <c r="E460" i="165"/>
  <c r="C460" i="165"/>
  <c r="AA459" i="165"/>
  <c r="Y459" i="165"/>
  <c r="W459" i="165"/>
  <c r="U459" i="165"/>
  <c r="S459" i="165"/>
  <c r="O459" i="165"/>
  <c r="M459" i="165"/>
  <c r="K459" i="165"/>
  <c r="I459" i="165"/>
  <c r="G459" i="165"/>
  <c r="E459" i="165"/>
  <c r="C459" i="165"/>
  <c r="AA458" i="165"/>
  <c r="Y458" i="165"/>
  <c r="W458" i="165"/>
  <c r="U458" i="165"/>
  <c r="S458" i="165"/>
  <c r="O458" i="165"/>
  <c r="M458" i="165"/>
  <c r="K458" i="165"/>
  <c r="I458" i="165"/>
  <c r="G458" i="165"/>
  <c r="E458" i="165"/>
  <c r="P458" i="165" s="1"/>
  <c r="C458" i="165"/>
  <c r="AA457" i="165"/>
  <c r="Y457" i="165"/>
  <c r="W457" i="165"/>
  <c r="U457" i="165"/>
  <c r="S457" i="165"/>
  <c r="O457" i="165"/>
  <c r="M457" i="165"/>
  <c r="K457" i="165"/>
  <c r="I457" i="165"/>
  <c r="G457" i="165"/>
  <c r="P457" i="165" s="1"/>
  <c r="E457" i="165"/>
  <c r="C457" i="165"/>
  <c r="AA456" i="165"/>
  <c r="Y456" i="165"/>
  <c r="W456" i="165"/>
  <c r="U456" i="165"/>
  <c r="S456" i="165"/>
  <c r="O456" i="165"/>
  <c r="M456" i="165"/>
  <c r="K456" i="165"/>
  <c r="I456" i="165"/>
  <c r="G456" i="165"/>
  <c r="E456" i="165"/>
  <c r="C456" i="165"/>
  <c r="AA455" i="165"/>
  <c r="Y455" i="165"/>
  <c r="W455" i="165"/>
  <c r="U455" i="165"/>
  <c r="S455" i="165"/>
  <c r="P455" i="165"/>
  <c r="O455" i="165"/>
  <c r="M455" i="165"/>
  <c r="K455" i="165"/>
  <c r="I455" i="165"/>
  <c r="G455" i="165"/>
  <c r="E455" i="165"/>
  <c r="C455" i="165"/>
  <c r="AA454" i="165"/>
  <c r="Y454" i="165"/>
  <c r="W454" i="165"/>
  <c r="U454" i="165"/>
  <c r="S454" i="165"/>
  <c r="O454" i="165"/>
  <c r="M454" i="165"/>
  <c r="K454" i="165"/>
  <c r="I454" i="165"/>
  <c r="G454" i="165"/>
  <c r="E454" i="165"/>
  <c r="C454" i="165"/>
  <c r="AA453" i="165"/>
  <c r="Y453" i="165"/>
  <c r="W453" i="165"/>
  <c r="U453" i="165"/>
  <c r="S453" i="165"/>
  <c r="P453" i="165"/>
  <c r="O453" i="165"/>
  <c r="M453" i="165"/>
  <c r="K453" i="165"/>
  <c r="I453" i="165"/>
  <c r="G453" i="165"/>
  <c r="E453" i="165"/>
  <c r="C453" i="165"/>
  <c r="AA452" i="165"/>
  <c r="Y452" i="165"/>
  <c r="W452" i="165"/>
  <c r="U452" i="165"/>
  <c r="S452" i="165"/>
  <c r="O452" i="165"/>
  <c r="M452" i="165"/>
  <c r="P452" i="165" s="1"/>
  <c r="K452" i="165"/>
  <c r="I452" i="165"/>
  <c r="G452" i="165"/>
  <c r="E452" i="165"/>
  <c r="C452" i="165"/>
  <c r="AA451" i="165"/>
  <c r="Y451" i="165"/>
  <c r="W451" i="165"/>
  <c r="U451" i="165"/>
  <c r="S451" i="165"/>
  <c r="O451" i="165"/>
  <c r="P451" i="165" s="1"/>
  <c r="M451" i="165"/>
  <c r="K451" i="165"/>
  <c r="I451" i="165"/>
  <c r="G451" i="165"/>
  <c r="E451" i="165"/>
  <c r="C451" i="165"/>
  <c r="AA450" i="165"/>
  <c r="Y450" i="165"/>
  <c r="W450" i="165"/>
  <c r="U450" i="165"/>
  <c r="S450" i="165"/>
  <c r="P450" i="165"/>
  <c r="O450" i="165"/>
  <c r="M450" i="165"/>
  <c r="K450" i="165"/>
  <c r="I450" i="165"/>
  <c r="G450" i="165"/>
  <c r="E450" i="165"/>
  <c r="C450" i="165"/>
  <c r="AA449" i="165"/>
  <c r="Y449" i="165"/>
  <c r="W449" i="165"/>
  <c r="U449" i="165"/>
  <c r="S449" i="165"/>
  <c r="O449" i="165"/>
  <c r="M449" i="165"/>
  <c r="K449" i="165"/>
  <c r="I449" i="165"/>
  <c r="G449" i="165"/>
  <c r="E449" i="165"/>
  <c r="C449" i="165"/>
  <c r="AA448" i="165"/>
  <c r="Y448" i="165"/>
  <c r="W448" i="165"/>
  <c r="U448" i="165"/>
  <c r="S448" i="165"/>
  <c r="O448" i="165"/>
  <c r="M448" i="165"/>
  <c r="K448" i="165"/>
  <c r="I448" i="165"/>
  <c r="G448" i="165"/>
  <c r="E448" i="165"/>
  <c r="C448" i="165"/>
  <c r="AA447" i="165"/>
  <c r="Y447" i="165"/>
  <c r="W447" i="165"/>
  <c r="U447" i="165"/>
  <c r="S447" i="165"/>
  <c r="O447" i="165"/>
  <c r="M447" i="165"/>
  <c r="K447" i="165"/>
  <c r="I447" i="165"/>
  <c r="G447" i="165"/>
  <c r="E447" i="165"/>
  <c r="C447" i="165"/>
  <c r="AA446" i="165"/>
  <c r="Y446" i="165"/>
  <c r="W446" i="165"/>
  <c r="U446" i="165"/>
  <c r="S446" i="165"/>
  <c r="P446" i="165"/>
  <c r="O446" i="165"/>
  <c r="M446" i="165"/>
  <c r="K446" i="165"/>
  <c r="I446" i="165"/>
  <c r="G446" i="165"/>
  <c r="E446" i="165"/>
  <c r="C446" i="165"/>
  <c r="AA445" i="165"/>
  <c r="Y445" i="165"/>
  <c r="W445" i="165"/>
  <c r="U445" i="165"/>
  <c r="S445" i="165"/>
  <c r="O445" i="165"/>
  <c r="M445" i="165"/>
  <c r="K445" i="165"/>
  <c r="I445" i="165"/>
  <c r="G445" i="165"/>
  <c r="E445" i="165"/>
  <c r="C445" i="165"/>
  <c r="P445" i="165" s="1"/>
  <c r="AA444" i="165"/>
  <c r="Y444" i="165"/>
  <c r="W444" i="165"/>
  <c r="U444" i="165"/>
  <c r="S444" i="165"/>
  <c r="O444" i="165"/>
  <c r="M444" i="165"/>
  <c r="K444" i="165"/>
  <c r="I444" i="165"/>
  <c r="G444" i="165"/>
  <c r="E444" i="165"/>
  <c r="C444" i="165"/>
  <c r="AA443" i="165"/>
  <c r="Y443" i="165"/>
  <c r="W443" i="165"/>
  <c r="U443" i="165"/>
  <c r="S443" i="165"/>
  <c r="P443" i="165"/>
  <c r="O443" i="165"/>
  <c r="M443" i="165"/>
  <c r="K443" i="165"/>
  <c r="I443" i="165"/>
  <c r="G443" i="165"/>
  <c r="E443" i="165"/>
  <c r="C443" i="165"/>
  <c r="AA442" i="165"/>
  <c r="Y442" i="165"/>
  <c r="W442" i="165"/>
  <c r="U442" i="165"/>
  <c r="S442" i="165"/>
  <c r="O442" i="165"/>
  <c r="M442" i="165"/>
  <c r="K442" i="165"/>
  <c r="I442" i="165"/>
  <c r="G442" i="165"/>
  <c r="P442" i="165" s="1"/>
  <c r="E442" i="165"/>
  <c r="C442" i="165"/>
  <c r="AA441" i="165"/>
  <c r="Y441" i="165"/>
  <c r="W441" i="165"/>
  <c r="U441" i="165"/>
  <c r="S441" i="165"/>
  <c r="O441" i="165"/>
  <c r="M441" i="165"/>
  <c r="K441" i="165"/>
  <c r="I441" i="165"/>
  <c r="G441" i="165"/>
  <c r="E441" i="165"/>
  <c r="C441" i="165"/>
  <c r="AA440" i="165"/>
  <c r="Y440" i="165"/>
  <c r="W440" i="165"/>
  <c r="U440" i="165"/>
  <c r="S440" i="165"/>
  <c r="O440" i="165"/>
  <c r="M440" i="165"/>
  <c r="K440" i="165"/>
  <c r="I440" i="165"/>
  <c r="G440" i="165"/>
  <c r="E440" i="165"/>
  <c r="C440" i="165"/>
  <c r="AA439" i="165"/>
  <c r="Y439" i="165"/>
  <c r="W439" i="165"/>
  <c r="U439" i="165"/>
  <c r="S439" i="165"/>
  <c r="O439" i="165"/>
  <c r="M439" i="165"/>
  <c r="K439" i="165"/>
  <c r="I439" i="165"/>
  <c r="G439" i="165"/>
  <c r="E439" i="165"/>
  <c r="C439" i="165"/>
  <c r="AA438" i="165"/>
  <c r="Y438" i="165"/>
  <c r="W438" i="165"/>
  <c r="U438" i="165"/>
  <c r="S438" i="165"/>
  <c r="P438" i="165"/>
  <c r="O438" i="165"/>
  <c r="M438" i="165"/>
  <c r="K438" i="165"/>
  <c r="I438" i="165"/>
  <c r="G438" i="165"/>
  <c r="E438" i="165"/>
  <c r="C438" i="165"/>
  <c r="AA437" i="165"/>
  <c r="Y437" i="165"/>
  <c r="W437" i="165"/>
  <c r="U437" i="165"/>
  <c r="S437" i="165"/>
  <c r="O437" i="165"/>
  <c r="M437" i="165"/>
  <c r="K437" i="165"/>
  <c r="I437" i="165"/>
  <c r="G437" i="165"/>
  <c r="E437" i="165"/>
  <c r="C437" i="165"/>
  <c r="P437" i="165" s="1"/>
  <c r="AA436" i="165"/>
  <c r="Y436" i="165"/>
  <c r="W436" i="165"/>
  <c r="U436" i="165"/>
  <c r="S436" i="165"/>
  <c r="O436" i="165"/>
  <c r="M436" i="165"/>
  <c r="K436" i="165"/>
  <c r="I436" i="165"/>
  <c r="G436" i="165"/>
  <c r="E436" i="165"/>
  <c r="P436" i="165" s="1"/>
  <c r="C436" i="165"/>
  <c r="AA435" i="165"/>
  <c r="Y435" i="165"/>
  <c r="W435" i="165"/>
  <c r="U435" i="165"/>
  <c r="S435" i="165"/>
  <c r="O435" i="165"/>
  <c r="M435" i="165"/>
  <c r="K435" i="165"/>
  <c r="I435" i="165"/>
  <c r="G435" i="165"/>
  <c r="E435" i="165"/>
  <c r="C435" i="165"/>
  <c r="AA434" i="165"/>
  <c r="Y434" i="165"/>
  <c r="W434" i="165"/>
  <c r="U434" i="165"/>
  <c r="S434" i="165"/>
  <c r="O434" i="165"/>
  <c r="M434" i="165"/>
  <c r="K434" i="165"/>
  <c r="I434" i="165"/>
  <c r="G434" i="165"/>
  <c r="E434" i="165"/>
  <c r="C434" i="165"/>
  <c r="AA433" i="165"/>
  <c r="Y433" i="165"/>
  <c r="W433" i="165"/>
  <c r="U433" i="165"/>
  <c r="S433" i="165"/>
  <c r="O433" i="165"/>
  <c r="M433" i="165"/>
  <c r="K433" i="165"/>
  <c r="I433" i="165"/>
  <c r="G433" i="165"/>
  <c r="E433" i="165"/>
  <c r="C433" i="165"/>
  <c r="AA432" i="165"/>
  <c r="Y432" i="165"/>
  <c r="W432" i="165"/>
  <c r="U432" i="165"/>
  <c r="S432" i="165"/>
  <c r="O432" i="165"/>
  <c r="M432" i="165"/>
  <c r="K432" i="165"/>
  <c r="I432" i="165"/>
  <c r="G432" i="165"/>
  <c r="E432" i="165"/>
  <c r="C432" i="165"/>
  <c r="AA431" i="165"/>
  <c r="Y431" i="165"/>
  <c r="W431" i="165"/>
  <c r="U431" i="165"/>
  <c r="S431" i="165"/>
  <c r="O431" i="165"/>
  <c r="M431" i="165"/>
  <c r="K431" i="165"/>
  <c r="I431" i="165"/>
  <c r="G431" i="165"/>
  <c r="P431" i="165" s="1"/>
  <c r="E431" i="165"/>
  <c r="C431" i="165"/>
  <c r="AA430" i="165"/>
  <c r="Y430" i="165"/>
  <c r="W430" i="165"/>
  <c r="U430" i="165"/>
  <c r="S430" i="165"/>
  <c r="O430" i="165"/>
  <c r="M430" i="165"/>
  <c r="K430" i="165"/>
  <c r="I430" i="165"/>
  <c r="P430" i="165" s="1"/>
  <c r="G430" i="165"/>
  <c r="E430" i="165"/>
  <c r="C430" i="165"/>
  <c r="AA429" i="165"/>
  <c r="Y429" i="165"/>
  <c r="W429" i="165"/>
  <c r="U429" i="165"/>
  <c r="S429" i="165"/>
  <c r="O429" i="165"/>
  <c r="M429" i="165"/>
  <c r="K429" i="165"/>
  <c r="P429" i="165" s="1"/>
  <c r="I429" i="165"/>
  <c r="G429" i="165"/>
  <c r="E429" i="165"/>
  <c r="C429" i="165"/>
  <c r="AA428" i="165"/>
  <c r="Y428" i="165"/>
  <c r="W428" i="165"/>
  <c r="U428" i="165"/>
  <c r="S428" i="165"/>
  <c r="O428" i="165"/>
  <c r="M428" i="165"/>
  <c r="K428" i="165"/>
  <c r="I428" i="165"/>
  <c r="G428" i="165"/>
  <c r="E428" i="165"/>
  <c r="C428" i="165"/>
  <c r="AA427" i="165"/>
  <c r="Y427" i="165"/>
  <c r="W427" i="165"/>
  <c r="U427" i="165"/>
  <c r="S427" i="165"/>
  <c r="O427" i="165"/>
  <c r="M427" i="165"/>
  <c r="P427" i="165" s="1"/>
  <c r="K427" i="165"/>
  <c r="I427" i="165"/>
  <c r="G427" i="165"/>
  <c r="E427" i="165"/>
  <c r="C427" i="165"/>
  <c r="AA426" i="165"/>
  <c r="Y426" i="165"/>
  <c r="W426" i="165"/>
  <c r="U426" i="165"/>
  <c r="S426" i="165"/>
  <c r="O426" i="165"/>
  <c r="P426" i="165" s="1"/>
  <c r="M426" i="165"/>
  <c r="K426" i="165"/>
  <c r="I426" i="165"/>
  <c r="G426" i="165"/>
  <c r="E426" i="165"/>
  <c r="C426" i="165"/>
  <c r="AA425" i="165"/>
  <c r="Y425" i="165"/>
  <c r="W425" i="165"/>
  <c r="U425" i="165"/>
  <c r="S425" i="165"/>
  <c r="O425" i="165"/>
  <c r="M425" i="165"/>
  <c r="K425" i="165"/>
  <c r="I425" i="165"/>
  <c r="G425" i="165"/>
  <c r="E425" i="165"/>
  <c r="C425" i="165"/>
  <c r="P425" i="165" s="1"/>
  <c r="AA424" i="165"/>
  <c r="Y424" i="165"/>
  <c r="W424" i="165"/>
  <c r="U424" i="165"/>
  <c r="S424" i="165"/>
  <c r="O424" i="165"/>
  <c r="M424" i="165"/>
  <c r="K424" i="165"/>
  <c r="I424" i="165"/>
  <c r="G424" i="165"/>
  <c r="E424" i="165"/>
  <c r="C424" i="165"/>
  <c r="P424" i="165" s="1"/>
  <c r="AA423" i="165"/>
  <c r="Y423" i="165"/>
  <c r="W423" i="165"/>
  <c r="U423" i="165"/>
  <c r="S423" i="165"/>
  <c r="O423" i="165"/>
  <c r="M423" i="165"/>
  <c r="K423" i="165"/>
  <c r="I423" i="165"/>
  <c r="G423" i="165"/>
  <c r="E423" i="165"/>
  <c r="P423" i="165" s="1"/>
  <c r="C423" i="165"/>
  <c r="AA422" i="165"/>
  <c r="Y422" i="165"/>
  <c r="W422" i="165"/>
  <c r="U422" i="165"/>
  <c r="S422" i="165"/>
  <c r="O422" i="165"/>
  <c r="M422" i="165"/>
  <c r="K422" i="165"/>
  <c r="I422" i="165"/>
  <c r="G422" i="165"/>
  <c r="E422" i="165"/>
  <c r="C422" i="165"/>
  <c r="P422" i="165" s="1"/>
  <c r="AA421" i="165"/>
  <c r="Y421" i="165"/>
  <c r="W421" i="165"/>
  <c r="U421" i="165"/>
  <c r="S421" i="165"/>
  <c r="O421" i="165"/>
  <c r="M421" i="165"/>
  <c r="K421" i="165"/>
  <c r="I421" i="165"/>
  <c r="G421" i="165"/>
  <c r="E421" i="165"/>
  <c r="C421" i="165"/>
  <c r="P421" i="165" s="1"/>
  <c r="AA420" i="165"/>
  <c r="Y420" i="165"/>
  <c r="W420" i="165"/>
  <c r="U420" i="165"/>
  <c r="S420" i="165"/>
  <c r="O420" i="165"/>
  <c r="M420" i="165"/>
  <c r="K420" i="165"/>
  <c r="I420" i="165"/>
  <c r="G420" i="165"/>
  <c r="E420" i="165"/>
  <c r="C420" i="165"/>
  <c r="P420" i="165" s="1"/>
  <c r="AA419" i="165"/>
  <c r="Y419" i="165"/>
  <c r="W419" i="165"/>
  <c r="U419" i="165"/>
  <c r="S419" i="165"/>
  <c r="O419" i="165"/>
  <c r="M419" i="165"/>
  <c r="K419" i="165"/>
  <c r="I419" i="165"/>
  <c r="G419" i="165"/>
  <c r="E419" i="165"/>
  <c r="C419" i="165"/>
  <c r="P419" i="165" s="1"/>
  <c r="AA418" i="165"/>
  <c r="Y418" i="165"/>
  <c r="W418" i="165"/>
  <c r="U418" i="165"/>
  <c r="S418" i="165"/>
  <c r="O418" i="165"/>
  <c r="M418" i="165"/>
  <c r="K418" i="165"/>
  <c r="I418" i="165"/>
  <c r="G418" i="165"/>
  <c r="E418" i="165"/>
  <c r="C418" i="165"/>
  <c r="P418" i="165" s="1"/>
  <c r="AA417" i="165"/>
  <c r="Y417" i="165"/>
  <c r="W417" i="165"/>
  <c r="U417" i="165"/>
  <c r="S417" i="165"/>
  <c r="O417" i="165"/>
  <c r="M417" i="165"/>
  <c r="K417" i="165"/>
  <c r="I417" i="165"/>
  <c r="G417" i="165"/>
  <c r="E417" i="165"/>
  <c r="P417" i="165" s="1"/>
  <c r="C417" i="165"/>
  <c r="AA416" i="165"/>
  <c r="Y416" i="165"/>
  <c r="W416" i="165"/>
  <c r="U416" i="165"/>
  <c r="S416" i="165"/>
  <c r="O416" i="165"/>
  <c r="M416" i="165"/>
  <c r="K416" i="165"/>
  <c r="I416" i="165"/>
  <c r="G416" i="165"/>
  <c r="E416" i="165"/>
  <c r="C416" i="165"/>
  <c r="AA415" i="165"/>
  <c r="Y415" i="165"/>
  <c r="W415" i="165"/>
  <c r="U415" i="165"/>
  <c r="S415" i="165"/>
  <c r="O415" i="165"/>
  <c r="M415" i="165"/>
  <c r="K415" i="165"/>
  <c r="I415" i="165"/>
  <c r="G415" i="165"/>
  <c r="E415" i="165"/>
  <c r="P415" i="165" s="1"/>
  <c r="C415" i="165"/>
  <c r="AA414" i="165"/>
  <c r="Y414" i="165"/>
  <c r="W414" i="165"/>
  <c r="U414" i="165"/>
  <c r="S414" i="165"/>
  <c r="O414" i="165"/>
  <c r="M414" i="165"/>
  <c r="K414" i="165"/>
  <c r="I414" i="165"/>
  <c r="G414" i="165"/>
  <c r="P414" i="165" s="1"/>
  <c r="E414" i="165"/>
  <c r="C414" i="165"/>
  <c r="AA413" i="165"/>
  <c r="Y413" i="165"/>
  <c r="W413" i="165"/>
  <c r="U413" i="165"/>
  <c r="S413" i="165"/>
  <c r="O413" i="165"/>
  <c r="M413" i="165"/>
  <c r="K413" i="165"/>
  <c r="I413" i="165"/>
  <c r="P413" i="165" s="1"/>
  <c r="G413" i="165"/>
  <c r="E413" i="165"/>
  <c r="C413" i="165"/>
  <c r="AA412" i="165"/>
  <c r="Y412" i="165"/>
  <c r="W412" i="165"/>
  <c r="U412" i="165"/>
  <c r="S412" i="165"/>
  <c r="O412" i="165"/>
  <c r="M412" i="165"/>
  <c r="P412" i="165" s="1"/>
  <c r="K412" i="165"/>
  <c r="I412" i="165"/>
  <c r="G412" i="165"/>
  <c r="E412" i="165"/>
  <c r="C412" i="165"/>
  <c r="AA411" i="165"/>
  <c r="Y411" i="165"/>
  <c r="W411" i="165"/>
  <c r="U411" i="165"/>
  <c r="S411" i="165"/>
  <c r="O411" i="165"/>
  <c r="M411" i="165"/>
  <c r="P411" i="165" s="1"/>
  <c r="K411" i="165"/>
  <c r="I411" i="165"/>
  <c r="G411" i="165"/>
  <c r="E411" i="165"/>
  <c r="C411" i="165"/>
  <c r="AA410" i="165"/>
  <c r="Y410" i="165"/>
  <c r="W410" i="165"/>
  <c r="U410" i="165"/>
  <c r="S410" i="165"/>
  <c r="O410" i="165"/>
  <c r="P410" i="165" s="1"/>
  <c r="M410" i="165"/>
  <c r="K410" i="165"/>
  <c r="I410" i="165"/>
  <c r="G410" i="165"/>
  <c r="E410" i="165"/>
  <c r="C410" i="165"/>
  <c r="AA409" i="165"/>
  <c r="Y409" i="165"/>
  <c r="W409" i="165"/>
  <c r="U409" i="165"/>
  <c r="S409" i="165"/>
  <c r="P409" i="165"/>
  <c r="O409" i="165"/>
  <c r="M409" i="165"/>
  <c r="K409" i="165"/>
  <c r="I409" i="165"/>
  <c r="G409" i="165"/>
  <c r="E409" i="165"/>
  <c r="C409" i="165"/>
  <c r="AA408" i="165"/>
  <c r="Y408" i="165"/>
  <c r="W408" i="165"/>
  <c r="U408" i="165"/>
  <c r="S408" i="165"/>
  <c r="O408" i="165"/>
  <c r="M408" i="165"/>
  <c r="K408" i="165"/>
  <c r="I408" i="165"/>
  <c r="G408" i="165"/>
  <c r="E408" i="165"/>
  <c r="C408" i="165"/>
  <c r="P408" i="165" s="1"/>
  <c r="AA407" i="165"/>
  <c r="Y407" i="165"/>
  <c r="W407" i="165"/>
  <c r="U407" i="165"/>
  <c r="S407" i="165"/>
  <c r="O407" i="165"/>
  <c r="M407" i="165"/>
  <c r="K407" i="165"/>
  <c r="I407" i="165"/>
  <c r="G407" i="165"/>
  <c r="E407" i="165"/>
  <c r="C407" i="165"/>
  <c r="AA406" i="165"/>
  <c r="Y406" i="165"/>
  <c r="W406" i="165"/>
  <c r="U406" i="165"/>
  <c r="S406" i="165"/>
  <c r="O406" i="165"/>
  <c r="M406" i="165"/>
  <c r="K406" i="165"/>
  <c r="I406" i="165"/>
  <c r="G406" i="165"/>
  <c r="E406" i="165"/>
  <c r="C406" i="165"/>
  <c r="AA405" i="165"/>
  <c r="Y405" i="165"/>
  <c r="W405" i="165"/>
  <c r="U405" i="165"/>
  <c r="S405" i="165"/>
  <c r="O405" i="165"/>
  <c r="M405" i="165"/>
  <c r="K405" i="165"/>
  <c r="I405" i="165"/>
  <c r="G405" i="165"/>
  <c r="E405" i="165"/>
  <c r="C405" i="165"/>
  <c r="AA404" i="165"/>
  <c r="Y404" i="165"/>
  <c r="W404" i="165"/>
  <c r="U404" i="165"/>
  <c r="S404" i="165"/>
  <c r="O404" i="165"/>
  <c r="M404" i="165"/>
  <c r="K404" i="165"/>
  <c r="I404" i="165"/>
  <c r="G404" i="165"/>
  <c r="E404" i="165"/>
  <c r="C404" i="165"/>
  <c r="AA403" i="165"/>
  <c r="Y403" i="165"/>
  <c r="W403" i="165"/>
  <c r="U403" i="165"/>
  <c r="S403" i="165"/>
  <c r="O403" i="165"/>
  <c r="M403" i="165"/>
  <c r="K403" i="165"/>
  <c r="I403" i="165"/>
  <c r="G403" i="165"/>
  <c r="E403" i="165"/>
  <c r="P403" i="165" s="1"/>
  <c r="C403" i="165"/>
  <c r="AA402" i="165"/>
  <c r="Y402" i="165"/>
  <c r="W402" i="165"/>
  <c r="U402" i="165"/>
  <c r="S402" i="165"/>
  <c r="O402" i="165"/>
  <c r="M402" i="165"/>
  <c r="K402" i="165"/>
  <c r="I402" i="165"/>
  <c r="G402" i="165"/>
  <c r="E402" i="165"/>
  <c r="C402" i="165"/>
  <c r="P402" i="165" s="1"/>
  <c r="AA401" i="165"/>
  <c r="Y401" i="165"/>
  <c r="W401" i="165"/>
  <c r="U401" i="165"/>
  <c r="S401" i="165"/>
  <c r="O401" i="165"/>
  <c r="M401" i="165"/>
  <c r="K401" i="165"/>
  <c r="I401" i="165"/>
  <c r="G401" i="165"/>
  <c r="E401" i="165"/>
  <c r="C401" i="165"/>
  <c r="AA400" i="165"/>
  <c r="Y400" i="165"/>
  <c r="W400" i="165"/>
  <c r="U400" i="165"/>
  <c r="S400" i="165"/>
  <c r="O400" i="165"/>
  <c r="M400" i="165"/>
  <c r="K400" i="165"/>
  <c r="I400" i="165"/>
  <c r="G400" i="165"/>
  <c r="E400" i="165"/>
  <c r="P400" i="165" s="1"/>
  <c r="C400" i="165"/>
  <c r="AA399" i="165"/>
  <c r="Y399" i="165"/>
  <c r="W399" i="165"/>
  <c r="U399" i="165"/>
  <c r="S399" i="165"/>
  <c r="O399" i="165"/>
  <c r="M399" i="165"/>
  <c r="K399" i="165"/>
  <c r="I399" i="165"/>
  <c r="G399" i="165"/>
  <c r="P399" i="165" s="1"/>
  <c r="E399" i="165"/>
  <c r="C399" i="165"/>
  <c r="AA398" i="165"/>
  <c r="Y398" i="165"/>
  <c r="W398" i="165"/>
  <c r="U398" i="165"/>
  <c r="S398" i="165"/>
  <c r="O398" i="165"/>
  <c r="M398" i="165"/>
  <c r="K398" i="165"/>
  <c r="I398" i="165"/>
  <c r="P398" i="165" s="1"/>
  <c r="G398" i="165"/>
  <c r="E398" i="165"/>
  <c r="C398" i="165"/>
  <c r="AA397" i="165"/>
  <c r="Y397" i="165"/>
  <c r="W397" i="165"/>
  <c r="U397" i="165"/>
  <c r="S397" i="165"/>
  <c r="O397" i="165"/>
  <c r="M397" i="165"/>
  <c r="K397" i="165"/>
  <c r="P397" i="165" s="1"/>
  <c r="I397" i="165"/>
  <c r="G397" i="165"/>
  <c r="E397" i="165"/>
  <c r="C397" i="165"/>
  <c r="AA396" i="165"/>
  <c r="Y396" i="165"/>
  <c r="W396" i="165"/>
  <c r="U396" i="165"/>
  <c r="S396" i="165"/>
  <c r="O396" i="165"/>
  <c r="M396" i="165"/>
  <c r="K396" i="165"/>
  <c r="I396" i="165"/>
  <c r="G396" i="165"/>
  <c r="E396" i="165"/>
  <c r="C396" i="165"/>
  <c r="AA395" i="165"/>
  <c r="Y395" i="165"/>
  <c r="W395" i="165"/>
  <c r="U395" i="165"/>
  <c r="S395" i="165"/>
  <c r="O395" i="165"/>
  <c r="M395" i="165"/>
  <c r="P395" i="165" s="1"/>
  <c r="K395" i="165"/>
  <c r="I395" i="165"/>
  <c r="G395" i="165"/>
  <c r="E395" i="165"/>
  <c r="C395" i="165"/>
  <c r="AA394" i="165"/>
  <c r="Y394" i="165"/>
  <c r="W394" i="165"/>
  <c r="U394" i="165"/>
  <c r="S394" i="165"/>
  <c r="O394" i="165"/>
  <c r="P394" i="165" s="1"/>
  <c r="M394" i="165"/>
  <c r="K394" i="165"/>
  <c r="I394" i="165"/>
  <c r="G394" i="165"/>
  <c r="E394" i="165"/>
  <c r="C394" i="165"/>
  <c r="AA393" i="165"/>
  <c r="Y393" i="165"/>
  <c r="W393" i="165"/>
  <c r="U393" i="165"/>
  <c r="S393" i="165"/>
  <c r="P393" i="165"/>
  <c r="O393" i="165"/>
  <c r="M393" i="165"/>
  <c r="K393" i="165"/>
  <c r="I393" i="165"/>
  <c r="G393" i="165"/>
  <c r="E393" i="165"/>
  <c r="C393" i="165"/>
  <c r="AA392" i="165"/>
  <c r="Y392" i="165"/>
  <c r="W392" i="165"/>
  <c r="U392" i="165"/>
  <c r="S392" i="165"/>
  <c r="O392" i="165"/>
  <c r="M392" i="165"/>
  <c r="K392" i="165"/>
  <c r="I392" i="165"/>
  <c r="G392" i="165"/>
  <c r="E392" i="165"/>
  <c r="C392" i="165"/>
  <c r="P392" i="165" s="1"/>
  <c r="AA391" i="165"/>
  <c r="Y391" i="165"/>
  <c r="W391" i="165"/>
  <c r="U391" i="165"/>
  <c r="S391" i="165"/>
  <c r="O391" i="165"/>
  <c r="M391" i="165"/>
  <c r="K391" i="165"/>
  <c r="I391" i="165"/>
  <c r="G391" i="165"/>
  <c r="E391" i="165"/>
  <c r="C391" i="165"/>
  <c r="AA390" i="165"/>
  <c r="Y390" i="165"/>
  <c r="W390" i="165"/>
  <c r="U390" i="165"/>
  <c r="S390" i="165"/>
  <c r="O390" i="165"/>
  <c r="M390" i="165"/>
  <c r="K390" i="165"/>
  <c r="I390" i="165"/>
  <c r="G390" i="165"/>
  <c r="E390" i="165"/>
  <c r="C390" i="165"/>
  <c r="AA389" i="165"/>
  <c r="Y389" i="165"/>
  <c r="W389" i="165"/>
  <c r="U389" i="165"/>
  <c r="S389" i="165"/>
  <c r="O389" i="165"/>
  <c r="M389" i="165"/>
  <c r="K389" i="165"/>
  <c r="I389" i="165"/>
  <c r="G389" i="165"/>
  <c r="E389" i="165"/>
  <c r="C389" i="165"/>
  <c r="AA388" i="165"/>
  <c r="Y388" i="165"/>
  <c r="W388" i="165"/>
  <c r="U388" i="165"/>
  <c r="S388" i="165"/>
  <c r="O388" i="165"/>
  <c r="M388" i="165"/>
  <c r="K388" i="165"/>
  <c r="I388" i="165"/>
  <c r="G388" i="165"/>
  <c r="E388" i="165"/>
  <c r="C388" i="165"/>
  <c r="AA387" i="165"/>
  <c r="Y387" i="165"/>
  <c r="W387" i="165"/>
  <c r="U387" i="165"/>
  <c r="S387" i="165"/>
  <c r="P387" i="165"/>
  <c r="O387" i="165"/>
  <c r="M387" i="165"/>
  <c r="K387" i="165"/>
  <c r="I387" i="165"/>
  <c r="G387" i="165"/>
  <c r="E387" i="165"/>
  <c r="C387" i="165"/>
  <c r="AA386" i="165"/>
  <c r="Y386" i="165"/>
  <c r="W386" i="165"/>
  <c r="U386" i="165"/>
  <c r="S386" i="165"/>
  <c r="P386" i="165"/>
  <c r="O386" i="165"/>
  <c r="M386" i="165"/>
  <c r="K386" i="165"/>
  <c r="I386" i="165"/>
  <c r="G386" i="165"/>
  <c r="E386" i="165"/>
  <c r="C386" i="165"/>
  <c r="AA385" i="165"/>
  <c r="Y385" i="165"/>
  <c r="W385" i="165"/>
  <c r="U385" i="165"/>
  <c r="S385" i="165"/>
  <c r="O385" i="165"/>
  <c r="M385" i="165"/>
  <c r="K385" i="165"/>
  <c r="I385" i="165"/>
  <c r="G385" i="165"/>
  <c r="E385" i="165"/>
  <c r="C385" i="165"/>
  <c r="AA384" i="165"/>
  <c r="Y384" i="165"/>
  <c r="W384" i="165"/>
  <c r="U384" i="165"/>
  <c r="S384" i="165"/>
  <c r="O384" i="165"/>
  <c r="M384" i="165"/>
  <c r="K384" i="165"/>
  <c r="I384" i="165"/>
  <c r="G384" i="165"/>
  <c r="E384" i="165"/>
  <c r="C384" i="165"/>
  <c r="AA383" i="165"/>
  <c r="Y383" i="165"/>
  <c r="W383" i="165"/>
  <c r="U383" i="165"/>
  <c r="S383" i="165"/>
  <c r="O383" i="165"/>
  <c r="M383" i="165"/>
  <c r="K383" i="165"/>
  <c r="I383" i="165"/>
  <c r="G383" i="165"/>
  <c r="E383" i="165"/>
  <c r="C383" i="165"/>
  <c r="AA382" i="165"/>
  <c r="Y382" i="165"/>
  <c r="W382" i="165"/>
  <c r="U382" i="165"/>
  <c r="S382" i="165"/>
  <c r="O382" i="165"/>
  <c r="M382" i="165"/>
  <c r="K382" i="165"/>
  <c r="I382" i="165"/>
  <c r="G382" i="165"/>
  <c r="E382" i="165"/>
  <c r="C382" i="165"/>
  <c r="AA381" i="165"/>
  <c r="Y381" i="165"/>
  <c r="W381" i="165"/>
  <c r="U381" i="165"/>
  <c r="S381" i="165"/>
  <c r="P381" i="165"/>
  <c r="O381" i="165"/>
  <c r="M381" i="165"/>
  <c r="K381" i="165"/>
  <c r="I381" i="165"/>
  <c r="G381" i="165"/>
  <c r="E381" i="165"/>
  <c r="C381" i="165"/>
  <c r="AA380" i="165"/>
  <c r="Y380" i="165"/>
  <c r="W380" i="165"/>
  <c r="U380" i="165"/>
  <c r="S380" i="165"/>
  <c r="O380" i="165"/>
  <c r="P380" i="165" s="1"/>
  <c r="M380" i="165"/>
  <c r="K380" i="165"/>
  <c r="I380" i="165"/>
  <c r="G380" i="165"/>
  <c r="E380" i="165"/>
  <c r="C380" i="165"/>
  <c r="AA379" i="165"/>
  <c r="Y379" i="165"/>
  <c r="W379" i="165"/>
  <c r="U379" i="165"/>
  <c r="S379" i="165"/>
  <c r="P379" i="165"/>
  <c r="O379" i="165"/>
  <c r="M379" i="165"/>
  <c r="K379" i="165"/>
  <c r="I379" i="165"/>
  <c r="G379" i="165"/>
  <c r="E379" i="165"/>
  <c r="C379" i="165"/>
  <c r="AA378" i="165"/>
  <c r="Y378" i="165"/>
  <c r="W378" i="165"/>
  <c r="U378" i="165"/>
  <c r="S378" i="165"/>
  <c r="O378" i="165"/>
  <c r="M378" i="165"/>
  <c r="K378" i="165"/>
  <c r="I378" i="165"/>
  <c r="G378" i="165"/>
  <c r="E378" i="165"/>
  <c r="C378" i="165"/>
  <c r="AA377" i="165"/>
  <c r="Y377" i="165"/>
  <c r="W377" i="165"/>
  <c r="U377" i="165"/>
  <c r="S377" i="165"/>
  <c r="O377" i="165"/>
  <c r="M377" i="165"/>
  <c r="K377" i="165"/>
  <c r="I377" i="165"/>
  <c r="G377" i="165"/>
  <c r="E377" i="165"/>
  <c r="C377" i="165"/>
  <c r="AA376" i="165"/>
  <c r="Y376" i="165"/>
  <c r="W376" i="165"/>
  <c r="U376" i="165"/>
  <c r="S376" i="165"/>
  <c r="O376" i="165"/>
  <c r="M376" i="165"/>
  <c r="K376" i="165"/>
  <c r="I376" i="165"/>
  <c r="G376" i="165"/>
  <c r="E376" i="165"/>
  <c r="C376" i="165"/>
  <c r="AA375" i="165"/>
  <c r="Y375" i="165"/>
  <c r="W375" i="165"/>
  <c r="U375" i="165"/>
  <c r="S375" i="165"/>
  <c r="O375" i="165"/>
  <c r="M375" i="165"/>
  <c r="K375" i="165"/>
  <c r="I375" i="165"/>
  <c r="G375" i="165"/>
  <c r="E375" i="165"/>
  <c r="C375" i="165"/>
  <c r="AA374" i="165"/>
  <c r="Y374" i="165"/>
  <c r="W374" i="165"/>
  <c r="U374" i="165"/>
  <c r="S374" i="165"/>
  <c r="O374" i="165"/>
  <c r="M374" i="165"/>
  <c r="K374" i="165"/>
  <c r="I374" i="165"/>
  <c r="G374" i="165"/>
  <c r="P374" i="165" s="1"/>
  <c r="E374" i="165"/>
  <c r="C374" i="165"/>
  <c r="AA373" i="165"/>
  <c r="Y373" i="165"/>
  <c r="W373" i="165"/>
  <c r="U373" i="165"/>
  <c r="S373" i="165"/>
  <c r="O373" i="165"/>
  <c r="M373" i="165"/>
  <c r="K373" i="165"/>
  <c r="I373" i="165"/>
  <c r="G373" i="165"/>
  <c r="E373" i="165"/>
  <c r="C373" i="165"/>
  <c r="AA372" i="165"/>
  <c r="Y372" i="165"/>
  <c r="W372" i="165"/>
  <c r="U372" i="165"/>
  <c r="S372" i="165"/>
  <c r="O372" i="165"/>
  <c r="M372" i="165"/>
  <c r="K372" i="165"/>
  <c r="I372" i="165"/>
  <c r="G372" i="165"/>
  <c r="E372" i="165"/>
  <c r="C372" i="165"/>
  <c r="AA371" i="165"/>
  <c r="Y371" i="165"/>
  <c r="W371" i="165"/>
  <c r="U371" i="165"/>
  <c r="S371" i="165"/>
  <c r="O371" i="165"/>
  <c r="P371" i="165" s="1"/>
  <c r="M371" i="165"/>
  <c r="K371" i="165"/>
  <c r="I371" i="165"/>
  <c r="G371" i="165"/>
  <c r="E371" i="165"/>
  <c r="C371" i="165"/>
  <c r="AA370" i="165"/>
  <c r="Y370" i="165"/>
  <c r="W370" i="165"/>
  <c r="U370" i="165"/>
  <c r="S370" i="165"/>
  <c r="P370" i="165"/>
  <c r="O370" i="165"/>
  <c r="M370" i="165"/>
  <c r="K370" i="165"/>
  <c r="I370" i="165"/>
  <c r="G370" i="165"/>
  <c r="E370" i="165"/>
  <c r="C370" i="165"/>
  <c r="AA369" i="165"/>
  <c r="Y369" i="165"/>
  <c r="W369" i="165"/>
  <c r="U369" i="165"/>
  <c r="S369" i="165"/>
  <c r="O369" i="165"/>
  <c r="P369" i="165" s="1"/>
  <c r="M369" i="165"/>
  <c r="K369" i="165"/>
  <c r="I369" i="165"/>
  <c r="G369" i="165"/>
  <c r="E369" i="165"/>
  <c r="C369" i="165"/>
  <c r="AA368" i="165"/>
  <c r="Y368" i="165"/>
  <c r="W368" i="165"/>
  <c r="U368" i="165"/>
  <c r="S368" i="165"/>
  <c r="P368" i="165"/>
  <c r="O368" i="165"/>
  <c r="M368" i="165"/>
  <c r="K368" i="165"/>
  <c r="I368" i="165"/>
  <c r="G368" i="165"/>
  <c r="E368" i="165"/>
  <c r="C368" i="165"/>
  <c r="AA367" i="165"/>
  <c r="Y367" i="165"/>
  <c r="W367" i="165"/>
  <c r="U367" i="165"/>
  <c r="S367" i="165"/>
  <c r="O367" i="165"/>
  <c r="M367" i="165"/>
  <c r="K367" i="165"/>
  <c r="I367" i="165"/>
  <c r="G367" i="165"/>
  <c r="E367" i="165"/>
  <c r="P367" i="165" s="1"/>
  <c r="C367" i="165"/>
  <c r="AA366" i="165"/>
  <c r="Y366" i="165"/>
  <c r="W366" i="165"/>
  <c r="U366" i="165"/>
  <c r="S366" i="165"/>
  <c r="O366" i="165"/>
  <c r="M366" i="165"/>
  <c r="K366" i="165"/>
  <c r="I366" i="165"/>
  <c r="G366" i="165"/>
  <c r="E366" i="165"/>
  <c r="C366" i="165"/>
  <c r="AA365" i="165"/>
  <c r="Y365" i="165"/>
  <c r="W365" i="165"/>
  <c r="U365" i="165"/>
  <c r="S365" i="165"/>
  <c r="O365" i="165"/>
  <c r="M365" i="165"/>
  <c r="K365" i="165"/>
  <c r="I365" i="165"/>
  <c r="G365" i="165"/>
  <c r="E365" i="165"/>
  <c r="C365" i="165"/>
  <c r="AA364" i="165"/>
  <c r="Y364" i="165"/>
  <c r="W364" i="165"/>
  <c r="U364" i="165"/>
  <c r="S364" i="165"/>
  <c r="O364" i="165"/>
  <c r="M364" i="165"/>
  <c r="K364" i="165"/>
  <c r="I364" i="165"/>
  <c r="G364" i="165"/>
  <c r="E364" i="165"/>
  <c r="C364" i="165"/>
  <c r="AA363" i="165"/>
  <c r="Y363" i="165"/>
  <c r="W363" i="165"/>
  <c r="U363" i="165"/>
  <c r="S363" i="165"/>
  <c r="O363" i="165"/>
  <c r="M363" i="165"/>
  <c r="K363" i="165"/>
  <c r="I363" i="165"/>
  <c r="G363" i="165"/>
  <c r="E363" i="165"/>
  <c r="C363" i="165"/>
  <c r="AA362" i="165"/>
  <c r="Y362" i="165"/>
  <c r="W362" i="165"/>
  <c r="U362" i="165"/>
  <c r="S362" i="165"/>
  <c r="O362" i="165"/>
  <c r="M362" i="165"/>
  <c r="K362" i="165"/>
  <c r="I362" i="165"/>
  <c r="G362" i="165"/>
  <c r="E362" i="165"/>
  <c r="C362" i="165"/>
  <c r="AA361" i="165"/>
  <c r="Y361" i="165"/>
  <c r="W361" i="165"/>
  <c r="U361" i="165"/>
  <c r="S361" i="165"/>
  <c r="O361" i="165"/>
  <c r="M361" i="165"/>
  <c r="K361" i="165"/>
  <c r="I361" i="165"/>
  <c r="G361" i="165"/>
  <c r="E361" i="165"/>
  <c r="C361" i="165"/>
  <c r="AA360" i="165"/>
  <c r="Y360" i="165"/>
  <c r="W360" i="165"/>
  <c r="U360" i="165"/>
  <c r="S360" i="165"/>
  <c r="O360" i="165"/>
  <c r="M360" i="165"/>
  <c r="K360" i="165"/>
  <c r="I360" i="165"/>
  <c r="G360" i="165"/>
  <c r="E360" i="165"/>
  <c r="C360" i="165"/>
  <c r="AA359" i="165"/>
  <c r="Y359" i="165"/>
  <c r="W359" i="165"/>
  <c r="U359" i="165"/>
  <c r="S359" i="165"/>
  <c r="O359" i="165"/>
  <c r="M359" i="165"/>
  <c r="K359" i="165"/>
  <c r="I359" i="165"/>
  <c r="G359" i="165"/>
  <c r="P359" i="165" s="1"/>
  <c r="E359" i="165"/>
  <c r="C359" i="165"/>
  <c r="AA358" i="165"/>
  <c r="Y358" i="165"/>
  <c r="W358" i="165"/>
  <c r="U358" i="165"/>
  <c r="S358" i="165"/>
  <c r="O358" i="165"/>
  <c r="M358" i="165"/>
  <c r="K358" i="165"/>
  <c r="I358" i="165"/>
  <c r="G358" i="165"/>
  <c r="E358" i="165"/>
  <c r="C358" i="165"/>
  <c r="AA357" i="165"/>
  <c r="Y357" i="165"/>
  <c r="W357" i="165"/>
  <c r="U357" i="165"/>
  <c r="S357" i="165"/>
  <c r="O357" i="165"/>
  <c r="M357" i="165"/>
  <c r="K357" i="165"/>
  <c r="I357" i="165"/>
  <c r="G357" i="165"/>
  <c r="E357" i="165"/>
  <c r="C357" i="165"/>
  <c r="AA356" i="165"/>
  <c r="Y356" i="165"/>
  <c r="W356" i="165"/>
  <c r="U356" i="165"/>
  <c r="S356" i="165"/>
  <c r="O356" i="165"/>
  <c r="M356" i="165"/>
  <c r="K356" i="165"/>
  <c r="I356" i="165"/>
  <c r="G356" i="165"/>
  <c r="P356" i="165" s="1"/>
  <c r="E356" i="165"/>
  <c r="C356" i="165"/>
  <c r="AA355" i="165"/>
  <c r="Y355" i="165"/>
  <c r="W355" i="165"/>
  <c r="U355" i="165"/>
  <c r="S355" i="165"/>
  <c r="O355" i="165"/>
  <c r="M355" i="165"/>
  <c r="K355" i="165"/>
  <c r="I355" i="165"/>
  <c r="P355" i="165" s="1"/>
  <c r="G355" i="165"/>
  <c r="E355" i="165"/>
  <c r="C355" i="165"/>
  <c r="AA354" i="165"/>
  <c r="Y354" i="165"/>
  <c r="W354" i="165"/>
  <c r="U354" i="165"/>
  <c r="S354" i="165"/>
  <c r="O354" i="165"/>
  <c r="M354" i="165"/>
  <c r="K354" i="165"/>
  <c r="P354" i="165" s="1"/>
  <c r="I354" i="165"/>
  <c r="G354" i="165"/>
  <c r="E354" i="165"/>
  <c r="C354" i="165"/>
  <c r="AA353" i="165"/>
  <c r="Y353" i="165"/>
  <c r="W353" i="165"/>
  <c r="U353" i="165"/>
  <c r="S353" i="165"/>
  <c r="O353" i="165"/>
  <c r="M353" i="165"/>
  <c r="K353" i="165"/>
  <c r="I353" i="165"/>
  <c r="G353" i="165"/>
  <c r="E353" i="165"/>
  <c r="C353" i="165"/>
  <c r="AA352" i="165"/>
  <c r="Y352" i="165"/>
  <c r="W352" i="165"/>
  <c r="U352" i="165"/>
  <c r="S352" i="165"/>
  <c r="O352" i="165"/>
  <c r="M352" i="165"/>
  <c r="K352" i="165"/>
  <c r="I352" i="165"/>
  <c r="G352" i="165"/>
  <c r="E352" i="165"/>
  <c r="C352" i="165"/>
  <c r="AA351" i="165"/>
  <c r="Y351" i="165"/>
  <c r="W351" i="165"/>
  <c r="U351" i="165"/>
  <c r="S351" i="165"/>
  <c r="P351" i="165"/>
  <c r="O351" i="165"/>
  <c r="M351" i="165"/>
  <c r="K351" i="165"/>
  <c r="I351" i="165"/>
  <c r="G351" i="165"/>
  <c r="E351" i="165"/>
  <c r="C351" i="165"/>
  <c r="AA350" i="165"/>
  <c r="Y350" i="165"/>
  <c r="W350" i="165"/>
  <c r="U350" i="165"/>
  <c r="S350" i="165"/>
  <c r="O350" i="165"/>
  <c r="M350" i="165"/>
  <c r="K350" i="165"/>
  <c r="I350" i="165"/>
  <c r="G350" i="165"/>
  <c r="E350" i="165"/>
  <c r="C350" i="165"/>
  <c r="AA349" i="165"/>
  <c r="Y349" i="165"/>
  <c r="W349" i="165"/>
  <c r="U349" i="165"/>
  <c r="S349" i="165"/>
  <c r="O349" i="165"/>
  <c r="M349" i="165"/>
  <c r="K349" i="165"/>
  <c r="I349" i="165"/>
  <c r="G349" i="165"/>
  <c r="E349" i="165"/>
  <c r="C349" i="165"/>
  <c r="AA348" i="165"/>
  <c r="Y348" i="165"/>
  <c r="W348" i="165"/>
  <c r="U348" i="165"/>
  <c r="S348" i="165"/>
  <c r="O348" i="165"/>
  <c r="M348" i="165"/>
  <c r="K348" i="165"/>
  <c r="I348" i="165"/>
  <c r="G348" i="165"/>
  <c r="E348" i="165"/>
  <c r="C348" i="165"/>
  <c r="AA347" i="165"/>
  <c r="Y347" i="165"/>
  <c r="W347" i="165"/>
  <c r="U347" i="165"/>
  <c r="S347" i="165"/>
  <c r="O347" i="165"/>
  <c r="M347" i="165"/>
  <c r="K347" i="165"/>
  <c r="I347" i="165"/>
  <c r="G347" i="165"/>
  <c r="E347" i="165"/>
  <c r="C347" i="165"/>
  <c r="AA346" i="165"/>
  <c r="Y346" i="165"/>
  <c r="W346" i="165"/>
  <c r="U346" i="165"/>
  <c r="S346" i="165"/>
  <c r="O346" i="165"/>
  <c r="M346" i="165"/>
  <c r="K346" i="165"/>
  <c r="I346" i="165"/>
  <c r="G346" i="165"/>
  <c r="E346" i="165"/>
  <c r="C346" i="165"/>
  <c r="AA345" i="165"/>
  <c r="Y345" i="165"/>
  <c r="W345" i="165"/>
  <c r="U345" i="165"/>
  <c r="S345" i="165"/>
  <c r="O345" i="165"/>
  <c r="M345" i="165"/>
  <c r="K345" i="165"/>
  <c r="I345" i="165"/>
  <c r="G345" i="165"/>
  <c r="E345" i="165"/>
  <c r="C345" i="165"/>
  <c r="AA344" i="165"/>
  <c r="Y344" i="165"/>
  <c r="W344" i="165"/>
  <c r="U344" i="165"/>
  <c r="S344" i="165"/>
  <c r="O344" i="165"/>
  <c r="M344" i="165"/>
  <c r="K344" i="165"/>
  <c r="I344" i="165"/>
  <c r="G344" i="165"/>
  <c r="E344" i="165"/>
  <c r="C344" i="165"/>
  <c r="AA343" i="165"/>
  <c r="Y343" i="165"/>
  <c r="W343" i="165"/>
  <c r="U343" i="165"/>
  <c r="S343" i="165"/>
  <c r="O343" i="165"/>
  <c r="M343" i="165"/>
  <c r="K343" i="165"/>
  <c r="I343" i="165"/>
  <c r="G343" i="165"/>
  <c r="E343" i="165"/>
  <c r="C343" i="165"/>
  <c r="AA342" i="165"/>
  <c r="Y342" i="165"/>
  <c r="W342" i="165"/>
  <c r="U342" i="165"/>
  <c r="S342" i="165"/>
  <c r="P342" i="165"/>
  <c r="O342" i="165"/>
  <c r="M342" i="165"/>
  <c r="K342" i="165"/>
  <c r="I342" i="165"/>
  <c r="G342" i="165"/>
  <c r="E342" i="165"/>
  <c r="C342" i="165"/>
  <c r="AA341" i="165"/>
  <c r="Y341" i="165"/>
  <c r="W341" i="165"/>
  <c r="U341" i="165"/>
  <c r="S341" i="165"/>
  <c r="O341" i="165"/>
  <c r="M341" i="165"/>
  <c r="K341" i="165"/>
  <c r="I341" i="165"/>
  <c r="G341" i="165"/>
  <c r="E341" i="165"/>
  <c r="C341" i="165"/>
  <c r="AA340" i="165"/>
  <c r="Y340" i="165"/>
  <c r="W340" i="165"/>
  <c r="U340" i="165"/>
  <c r="S340" i="165"/>
  <c r="P340" i="165"/>
  <c r="O340" i="165"/>
  <c r="M340" i="165"/>
  <c r="K340" i="165"/>
  <c r="I340" i="165"/>
  <c r="G340" i="165"/>
  <c r="E340" i="165"/>
  <c r="C340" i="165"/>
  <c r="AA339" i="165"/>
  <c r="Y339" i="165"/>
  <c r="W339" i="165"/>
  <c r="U339" i="165"/>
  <c r="S339" i="165"/>
  <c r="O339" i="165"/>
  <c r="P339" i="165" s="1"/>
  <c r="M339" i="165"/>
  <c r="K339" i="165"/>
  <c r="I339" i="165"/>
  <c r="G339" i="165"/>
  <c r="E339" i="165"/>
  <c r="C339" i="165"/>
  <c r="AA338" i="165"/>
  <c r="Y338" i="165"/>
  <c r="W338" i="165"/>
  <c r="U338" i="165"/>
  <c r="S338" i="165"/>
  <c r="P338" i="165"/>
  <c r="O338" i="165"/>
  <c r="M338" i="165"/>
  <c r="K338" i="165"/>
  <c r="I338" i="165"/>
  <c r="G338" i="165"/>
  <c r="E338" i="165"/>
  <c r="C338" i="165"/>
  <c r="AA337" i="165"/>
  <c r="Y337" i="165"/>
  <c r="W337" i="165"/>
  <c r="U337" i="165"/>
  <c r="S337" i="165"/>
  <c r="O337" i="165"/>
  <c r="M337" i="165"/>
  <c r="K337" i="165"/>
  <c r="I337" i="165"/>
  <c r="G337" i="165"/>
  <c r="E337" i="165"/>
  <c r="C337" i="165"/>
  <c r="P337" i="165" s="1"/>
  <c r="AA336" i="165"/>
  <c r="Y336" i="165"/>
  <c r="W336" i="165"/>
  <c r="U336" i="165"/>
  <c r="S336" i="165"/>
  <c r="O336" i="165"/>
  <c r="M336" i="165"/>
  <c r="K336" i="165"/>
  <c r="I336" i="165"/>
  <c r="G336" i="165"/>
  <c r="E336" i="165"/>
  <c r="C336" i="165"/>
  <c r="P336" i="165" s="1"/>
  <c r="AA335" i="165"/>
  <c r="Y335" i="165"/>
  <c r="W335" i="165"/>
  <c r="U335" i="165"/>
  <c r="S335" i="165"/>
  <c r="O335" i="165"/>
  <c r="M335" i="165"/>
  <c r="K335" i="165"/>
  <c r="I335" i="165"/>
  <c r="G335" i="165"/>
  <c r="E335" i="165"/>
  <c r="C335" i="165"/>
  <c r="P335" i="165" s="1"/>
  <c r="AA334" i="165"/>
  <c r="Y334" i="165"/>
  <c r="W334" i="165"/>
  <c r="U334" i="165"/>
  <c r="S334" i="165"/>
  <c r="O334" i="165"/>
  <c r="M334" i="165"/>
  <c r="K334" i="165"/>
  <c r="I334" i="165"/>
  <c r="G334" i="165"/>
  <c r="E334" i="165"/>
  <c r="C334" i="165"/>
  <c r="P334" i="165" s="1"/>
  <c r="AA333" i="165"/>
  <c r="Y333" i="165"/>
  <c r="W333" i="165"/>
  <c r="U333" i="165"/>
  <c r="S333" i="165"/>
  <c r="O333" i="165"/>
  <c r="M333" i="165"/>
  <c r="K333" i="165"/>
  <c r="I333" i="165"/>
  <c r="G333" i="165"/>
  <c r="E333" i="165"/>
  <c r="C333" i="165"/>
  <c r="P333" i="165" s="1"/>
  <c r="AA332" i="165"/>
  <c r="Y332" i="165"/>
  <c r="W332" i="165"/>
  <c r="U332" i="165"/>
  <c r="S332" i="165"/>
  <c r="O332" i="165"/>
  <c r="M332" i="165"/>
  <c r="K332" i="165"/>
  <c r="I332" i="165"/>
  <c r="G332" i="165"/>
  <c r="E332" i="165"/>
  <c r="P332" i="165" s="1"/>
  <c r="C332" i="165"/>
  <c r="AA331" i="165"/>
  <c r="Y331" i="165"/>
  <c r="W331" i="165"/>
  <c r="U331" i="165"/>
  <c r="S331" i="165"/>
  <c r="O331" i="165"/>
  <c r="M331" i="165"/>
  <c r="K331" i="165"/>
  <c r="I331" i="165"/>
  <c r="G331" i="165"/>
  <c r="P331" i="165" s="1"/>
  <c r="E331" i="165"/>
  <c r="C331" i="165"/>
  <c r="AA330" i="165"/>
  <c r="Y330" i="165"/>
  <c r="W330" i="165"/>
  <c r="U330" i="165"/>
  <c r="S330" i="165"/>
  <c r="O330" i="165"/>
  <c r="M330" i="165"/>
  <c r="K330" i="165"/>
  <c r="I330" i="165"/>
  <c r="P330" i="165" s="1"/>
  <c r="G330" i="165"/>
  <c r="E330" i="165"/>
  <c r="C330" i="165"/>
  <c r="AA329" i="165"/>
  <c r="Y329" i="165"/>
  <c r="W329" i="165"/>
  <c r="U329" i="165"/>
  <c r="S329" i="165"/>
  <c r="O329" i="165"/>
  <c r="M329" i="165"/>
  <c r="K329" i="165"/>
  <c r="I329" i="165"/>
  <c r="P329" i="165" s="1"/>
  <c r="G329" i="165"/>
  <c r="E329" i="165"/>
  <c r="C329" i="165"/>
  <c r="AA328" i="165"/>
  <c r="Y328" i="165"/>
  <c r="W328" i="165"/>
  <c r="U328" i="165"/>
  <c r="S328" i="165"/>
  <c r="O328" i="165"/>
  <c r="M328" i="165"/>
  <c r="K328" i="165"/>
  <c r="I328" i="165"/>
  <c r="G328" i="165"/>
  <c r="E328" i="165"/>
  <c r="C328" i="165"/>
  <c r="AA327" i="165"/>
  <c r="Y327" i="165"/>
  <c r="W327" i="165"/>
  <c r="U327" i="165"/>
  <c r="S327" i="165"/>
  <c r="O327" i="165"/>
  <c r="M327" i="165"/>
  <c r="K327" i="165"/>
  <c r="I327" i="165"/>
  <c r="G327" i="165"/>
  <c r="E327" i="165"/>
  <c r="C327" i="165"/>
  <c r="P327" i="165" s="1"/>
  <c r="AA326" i="165"/>
  <c r="Y326" i="165"/>
  <c r="W326" i="165"/>
  <c r="U326" i="165"/>
  <c r="S326" i="165"/>
  <c r="O326" i="165"/>
  <c r="M326" i="165"/>
  <c r="K326" i="165"/>
  <c r="I326" i="165"/>
  <c r="G326" i="165"/>
  <c r="E326" i="165"/>
  <c r="C326" i="165"/>
  <c r="P326" i="165" s="1"/>
  <c r="AA325" i="165"/>
  <c r="Y325" i="165"/>
  <c r="W325" i="165"/>
  <c r="U325" i="165"/>
  <c r="S325" i="165"/>
  <c r="O325" i="165"/>
  <c r="M325" i="165"/>
  <c r="K325" i="165"/>
  <c r="I325" i="165"/>
  <c r="G325" i="165"/>
  <c r="E325" i="165"/>
  <c r="C325" i="165"/>
  <c r="P325" i="165" s="1"/>
  <c r="AA324" i="165"/>
  <c r="Y324" i="165"/>
  <c r="W324" i="165"/>
  <c r="U324" i="165"/>
  <c r="S324" i="165"/>
  <c r="O324" i="165"/>
  <c r="M324" i="165"/>
  <c r="K324" i="165"/>
  <c r="I324" i="165"/>
  <c r="G324" i="165"/>
  <c r="E324" i="165"/>
  <c r="C324" i="165"/>
  <c r="P324" i="165" s="1"/>
  <c r="AA323" i="165"/>
  <c r="Y323" i="165"/>
  <c r="W323" i="165"/>
  <c r="U323" i="165"/>
  <c r="S323" i="165"/>
  <c r="O323" i="165"/>
  <c r="M323" i="165"/>
  <c r="K323" i="165"/>
  <c r="I323" i="165"/>
  <c r="G323" i="165"/>
  <c r="E323" i="165"/>
  <c r="P323" i="165" s="1"/>
  <c r="C323" i="165"/>
  <c r="AA322" i="165"/>
  <c r="Y322" i="165"/>
  <c r="W322" i="165"/>
  <c r="U322" i="165"/>
  <c r="S322" i="165"/>
  <c r="O322" i="165"/>
  <c r="M322" i="165"/>
  <c r="K322" i="165"/>
  <c r="I322" i="165"/>
  <c r="G322" i="165"/>
  <c r="E322" i="165"/>
  <c r="C322" i="165"/>
  <c r="AA321" i="165"/>
  <c r="Y321" i="165"/>
  <c r="W321" i="165"/>
  <c r="U321" i="165"/>
  <c r="S321" i="165"/>
  <c r="O321" i="165"/>
  <c r="M321" i="165"/>
  <c r="K321" i="165"/>
  <c r="I321" i="165"/>
  <c r="G321" i="165"/>
  <c r="E321" i="165"/>
  <c r="C321" i="165"/>
  <c r="AA320" i="165"/>
  <c r="Y320" i="165"/>
  <c r="W320" i="165"/>
  <c r="U320" i="165"/>
  <c r="S320" i="165"/>
  <c r="O320" i="165"/>
  <c r="M320" i="165"/>
  <c r="K320" i="165"/>
  <c r="I320" i="165"/>
  <c r="G320" i="165"/>
  <c r="E320" i="165"/>
  <c r="C320" i="165"/>
  <c r="AA319" i="165"/>
  <c r="Y319" i="165"/>
  <c r="W319" i="165"/>
  <c r="U319" i="165"/>
  <c r="S319" i="165"/>
  <c r="O319" i="165"/>
  <c r="M319" i="165"/>
  <c r="K319" i="165"/>
  <c r="I319" i="165"/>
  <c r="G319" i="165"/>
  <c r="P319" i="165" s="1"/>
  <c r="E319" i="165"/>
  <c r="C319" i="165"/>
  <c r="AA318" i="165"/>
  <c r="Y318" i="165"/>
  <c r="W318" i="165"/>
  <c r="U318" i="165"/>
  <c r="S318" i="165"/>
  <c r="O318" i="165"/>
  <c r="M318" i="165"/>
  <c r="K318" i="165"/>
  <c r="I318" i="165"/>
  <c r="P318" i="165" s="1"/>
  <c r="G318" i="165"/>
  <c r="E318" i="165"/>
  <c r="C318" i="165"/>
  <c r="AA317" i="165"/>
  <c r="Y317" i="165"/>
  <c r="W317" i="165"/>
  <c r="U317" i="165"/>
  <c r="S317" i="165"/>
  <c r="O317" i="165"/>
  <c r="M317" i="165"/>
  <c r="K317" i="165"/>
  <c r="P317" i="165" s="1"/>
  <c r="I317" i="165"/>
  <c r="G317" i="165"/>
  <c r="E317" i="165"/>
  <c r="C317" i="165"/>
  <c r="AA316" i="165"/>
  <c r="Y316" i="165"/>
  <c r="W316" i="165"/>
  <c r="U316" i="165"/>
  <c r="S316" i="165"/>
  <c r="O316" i="165"/>
  <c r="M316" i="165"/>
  <c r="P316" i="165" s="1"/>
  <c r="K316" i="165"/>
  <c r="I316" i="165"/>
  <c r="G316" i="165"/>
  <c r="E316" i="165"/>
  <c r="C316" i="165"/>
  <c r="AA315" i="165"/>
  <c r="Y315" i="165"/>
  <c r="W315" i="165"/>
  <c r="U315" i="165"/>
  <c r="S315" i="165"/>
  <c r="O315" i="165"/>
  <c r="P315" i="165" s="1"/>
  <c r="M315" i="165"/>
  <c r="K315" i="165"/>
  <c r="I315" i="165"/>
  <c r="G315" i="165"/>
  <c r="E315" i="165"/>
  <c r="C315" i="165"/>
  <c r="AA314" i="165"/>
  <c r="Y314" i="165"/>
  <c r="W314" i="165"/>
  <c r="U314" i="165"/>
  <c r="S314" i="165"/>
  <c r="O314" i="165"/>
  <c r="M314" i="165"/>
  <c r="K314" i="165"/>
  <c r="I314" i="165"/>
  <c r="G314" i="165"/>
  <c r="E314" i="165"/>
  <c r="C314" i="165"/>
  <c r="P314" i="165" s="1"/>
  <c r="AA313" i="165"/>
  <c r="Y313" i="165"/>
  <c r="W313" i="165"/>
  <c r="U313" i="165"/>
  <c r="S313" i="165"/>
  <c r="O313" i="165"/>
  <c r="M313" i="165"/>
  <c r="K313" i="165"/>
  <c r="I313" i="165"/>
  <c r="G313" i="165"/>
  <c r="E313" i="165"/>
  <c r="C313" i="165"/>
  <c r="P313" i="165" s="1"/>
  <c r="AA312" i="165"/>
  <c r="Y312" i="165"/>
  <c r="W312" i="165"/>
  <c r="U312" i="165"/>
  <c r="S312" i="165"/>
  <c r="O312" i="165"/>
  <c r="M312" i="165"/>
  <c r="K312" i="165"/>
  <c r="I312" i="165"/>
  <c r="G312" i="165"/>
  <c r="E312" i="165"/>
  <c r="C312" i="165"/>
  <c r="P312" i="165" s="1"/>
  <c r="AA311" i="165"/>
  <c r="Y311" i="165"/>
  <c r="W311" i="165"/>
  <c r="U311" i="165"/>
  <c r="S311" i="165"/>
  <c r="O311" i="165"/>
  <c r="M311" i="165"/>
  <c r="K311" i="165"/>
  <c r="I311" i="165"/>
  <c r="G311" i="165"/>
  <c r="E311" i="165"/>
  <c r="C311" i="165"/>
  <c r="P311" i="165" s="1"/>
  <c r="AA310" i="165"/>
  <c r="Y310" i="165"/>
  <c r="W310" i="165"/>
  <c r="U310" i="165"/>
  <c r="S310" i="165"/>
  <c r="O310" i="165"/>
  <c r="M310" i="165"/>
  <c r="K310" i="165"/>
  <c r="I310" i="165"/>
  <c r="G310" i="165"/>
  <c r="E310" i="165"/>
  <c r="C310" i="165"/>
  <c r="P310" i="165" s="1"/>
  <c r="AA309" i="165"/>
  <c r="Y309" i="165"/>
  <c r="W309" i="165"/>
  <c r="U309" i="165"/>
  <c r="S309" i="165"/>
  <c r="O309" i="165"/>
  <c r="M309" i="165"/>
  <c r="K309" i="165"/>
  <c r="I309" i="165"/>
  <c r="G309" i="165"/>
  <c r="E309" i="165"/>
  <c r="C309" i="165"/>
  <c r="P309" i="165" s="1"/>
  <c r="AA308" i="165"/>
  <c r="Y308" i="165"/>
  <c r="W308" i="165"/>
  <c r="U308" i="165"/>
  <c r="S308" i="165"/>
  <c r="O308" i="165"/>
  <c r="M308" i="165"/>
  <c r="K308" i="165"/>
  <c r="I308" i="165"/>
  <c r="G308" i="165"/>
  <c r="E308" i="165"/>
  <c r="C308" i="165"/>
  <c r="AA307" i="165"/>
  <c r="Y307" i="165"/>
  <c r="W307" i="165"/>
  <c r="U307" i="165"/>
  <c r="S307" i="165"/>
  <c r="O307" i="165"/>
  <c r="M307" i="165"/>
  <c r="K307" i="165"/>
  <c r="I307" i="165"/>
  <c r="G307" i="165"/>
  <c r="E307" i="165"/>
  <c r="C307" i="165"/>
  <c r="AA306" i="165"/>
  <c r="Y306" i="165"/>
  <c r="W306" i="165"/>
  <c r="U306" i="165"/>
  <c r="S306" i="165"/>
  <c r="O306" i="165"/>
  <c r="P306" i="165" s="1"/>
  <c r="M306" i="165"/>
  <c r="K306" i="165"/>
  <c r="I306" i="165"/>
  <c r="G306" i="165"/>
  <c r="E306" i="165"/>
  <c r="C306" i="165"/>
  <c r="AA305" i="165"/>
  <c r="Y305" i="165"/>
  <c r="W305" i="165"/>
  <c r="U305" i="165"/>
  <c r="S305" i="165"/>
  <c r="P305" i="165"/>
  <c r="O305" i="165"/>
  <c r="M305" i="165"/>
  <c r="K305" i="165"/>
  <c r="I305" i="165"/>
  <c r="G305" i="165"/>
  <c r="E305" i="165"/>
  <c r="C305" i="165"/>
  <c r="AA304" i="165"/>
  <c r="Y304" i="165"/>
  <c r="W304" i="165"/>
  <c r="U304" i="165"/>
  <c r="S304" i="165"/>
  <c r="O304" i="165"/>
  <c r="M304" i="165"/>
  <c r="K304" i="165"/>
  <c r="I304" i="165"/>
  <c r="G304" i="165"/>
  <c r="E304" i="165"/>
  <c r="P304" i="165" s="1"/>
  <c r="C304" i="165"/>
  <c r="AA303" i="165"/>
  <c r="Y303" i="165"/>
  <c r="W303" i="165"/>
  <c r="U303" i="165"/>
  <c r="S303" i="165"/>
  <c r="O303" i="165"/>
  <c r="M303" i="165"/>
  <c r="K303" i="165"/>
  <c r="I303" i="165"/>
  <c r="G303" i="165"/>
  <c r="P303" i="165" s="1"/>
  <c r="E303" i="165"/>
  <c r="C303" i="165"/>
  <c r="AA302" i="165"/>
  <c r="Y302" i="165"/>
  <c r="W302" i="165"/>
  <c r="U302" i="165"/>
  <c r="S302" i="165"/>
  <c r="O302" i="165"/>
  <c r="M302" i="165"/>
  <c r="K302" i="165"/>
  <c r="I302" i="165"/>
  <c r="P302" i="165" s="1"/>
  <c r="G302" i="165"/>
  <c r="E302" i="165"/>
  <c r="C302" i="165"/>
  <c r="AA301" i="165"/>
  <c r="Y301" i="165"/>
  <c r="W301" i="165"/>
  <c r="U301" i="165"/>
  <c r="S301" i="165"/>
  <c r="O301" i="165"/>
  <c r="M301" i="165"/>
  <c r="K301" i="165"/>
  <c r="I301" i="165"/>
  <c r="G301" i="165"/>
  <c r="E301" i="165"/>
  <c r="C301" i="165"/>
  <c r="AA300" i="165"/>
  <c r="Y300" i="165"/>
  <c r="W300" i="165"/>
  <c r="U300" i="165"/>
  <c r="S300" i="165"/>
  <c r="O300" i="165"/>
  <c r="M300" i="165"/>
  <c r="K300" i="165"/>
  <c r="I300" i="165"/>
  <c r="G300" i="165"/>
  <c r="E300" i="165"/>
  <c r="C300" i="165"/>
  <c r="AA299" i="165"/>
  <c r="Y299" i="165"/>
  <c r="W299" i="165"/>
  <c r="U299" i="165"/>
  <c r="S299" i="165"/>
  <c r="O299" i="165"/>
  <c r="M299" i="165"/>
  <c r="K299" i="165"/>
  <c r="I299" i="165"/>
  <c r="G299" i="165"/>
  <c r="E299" i="165"/>
  <c r="C299" i="165"/>
  <c r="AA298" i="165"/>
  <c r="Y298" i="165"/>
  <c r="W298" i="165"/>
  <c r="U298" i="165"/>
  <c r="S298" i="165"/>
  <c r="O298" i="165"/>
  <c r="M298" i="165"/>
  <c r="K298" i="165"/>
  <c r="I298" i="165"/>
  <c r="G298" i="165"/>
  <c r="E298" i="165"/>
  <c r="C298" i="165"/>
  <c r="AA297" i="165"/>
  <c r="Y297" i="165"/>
  <c r="W297" i="165"/>
  <c r="U297" i="165"/>
  <c r="S297" i="165"/>
  <c r="O297" i="165"/>
  <c r="M297" i="165"/>
  <c r="K297" i="165"/>
  <c r="I297" i="165"/>
  <c r="G297" i="165"/>
  <c r="E297" i="165"/>
  <c r="C297" i="165"/>
  <c r="AA296" i="165"/>
  <c r="Y296" i="165"/>
  <c r="W296" i="165"/>
  <c r="U296" i="165"/>
  <c r="S296" i="165"/>
  <c r="O296" i="165"/>
  <c r="M296" i="165"/>
  <c r="K296" i="165"/>
  <c r="I296" i="165"/>
  <c r="G296" i="165"/>
  <c r="E296" i="165"/>
  <c r="C296" i="165"/>
  <c r="AA295" i="165"/>
  <c r="Y295" i="165"/>
  <c r="W295" i="165"/>
  <c r="U295" i="165"/>
  <c r="S295" i="165"/>
  <c r="O295" i="165"/>
  <c r="M295" i="165"/>
  <c r="K295" i="165"/>
  <c r="I295" i="165"/>
  <c r="G295" i="165"/>
  <c r="E295" i="165"/>
  <c r="C295" i="165"/>
  <c r="AA294" i="165"/>
  <c r="Y294" i="165"/>
  <c r="W294" i="165"/>
  <c r="U294" i="165"/>
  <c r="S294" i="165"/>
  <c r="O294" i="165"/>
  <c r="M294" i="165"/>
  <c r="K294" i="165"/>
  <c r="I294" i="165"/>
  <c r="G294" i="165"/>
  <c r="E294" i="165"/>
  <c r="C294" i="165"/>
  <c r="AA293" i="165"/>
  <c r="Y293" i="165"/>
  <c r="W293" i="165"/>
  <c r="U293" i="165"/>
  <c r="S293" i="165"/>
  <c r="O293" i="165"/>
  <c r="M293" i="165"/>
  <c r="K293" i="165"/>
  <c r="I293" i="165"/>
  <c r="G293" i="165"/>
  <c r="E293" i="165"/>
  <c r="C293" i="165"/>
  <c r="AA292" i="165"/>
  <c r="Y292" i="165"/>
  <c r="W292" i="165"/>
  <c r="U292" i="165"/>
  <c r="S292" i="165"/>
  <c r="O292" i="165"/>
  <c r="M292" i="165"/>
  <c r="K292" i="165"/>
  <c r="I292" i="165"/>
  <c r="G292" i="165"/>
  <c r="E292" i="165"/>
  <c r="C292" i="165"/>
  <c r="AA291" i="165"/>
  <c r="Y291" i="165"/>
  <c r="W291" i="165"/>
  <c r="U291" i="165"/>
  <c r="S291" i="165"/>
  <c r="O291" i="165"/>
  <c r="M291" i="165"/>
  <c r="K291" i="165"/>
  <c r="I291" i="165"/>
  <c r="G291" i="165"/>
  <c r="E291" i="165"/>
  <c r="C291" i="165"/>
  <c r="AA290" i="165"/>
  <c r="Y290" i="165"/>
  <c r="W290" i="165"/>
  <c r="U290" i="165"/>
  <c r="S290" i="165"/>
  <c r="O290" i="165"/>
  <c r="M290" i="165"/>
  <c r="P290" i="165" s="1"/>
  <c r="K290" i="165"/>
  <c r="I290" i="165"/>
  <c r="G290" i="165"/>
  <c r="E290" i="165"/>
  <c r="C290" i="165"/>
  <c r="AA289" i="165"/>
  <c r="Y289" i="165"/>
  <c r="W289" i="165"/>
  <c r="U289" i="165"/>
  <c r="S289" i="165"/>
  <c r="O289" i="165"/>
  <c r="P289" i="165" s="1"/>
  <c r="M289" i="165"/>
  <c r="K289" i="165"/>
  <c r="I289" i="165"/>
  <c r="G289" i="165"/>
  <c r="E289" i="165"/>
  <c r="C289" i="165"/>
  <c r="AA288" i="165"/>
  <c r="Y288" i="165"/>
  <c r="W288" i="165"/>
  <c r="U288" i="165"/>
  <c r="S288" i="165"/>
  <c r="P288" i="165"/>
  <c r="O288" i="165"/>
  <c r="M288" i="165"/>
  <c r="K288" i="165"/>
  <c r="I288" i="165"/>
  <c r="G288" i="165"/>
  <c r="E288" i="165"/>
  <c r="C288" i="165"/>
  <c r="AA287" i="165"/>
  <c r="Y287" i="165"/>
  <c r="W287" i="165"/>
  <c r="U287" i="165"/>
  <c r="S287" i="165"/>
  <c r="O287" i="165"/>
  <c r="P287" i="165" s="1"/>
  <c r="M287" i="165"/>
  <c r="K287" i="165"/>
  <c r="I287" i="165"/>
  <c r="G287" i="165"/>
  <c r="E287" i="165"/>
  <c r="C287" i="165"/>
  <c r="AA286" i="165"/>
  <c r="Y286" i="165"/>
  <c r="W286" i="165"/>
  <c r="U286" i="165"/>
  <c r="S286" i="165"/>
  <c r="P286" i="165"/>
  <c r="O286" i="165"/>
  <c r="M286" i="165"/>
  <c r="K286" i="165"/>
  <c r="I286" i="165"/>
  <c r="G286" i="165"/>
  <c r="E286" i="165"/>
  <c r="C286" i="165"/>
  <c r="AA285" i="165"/>
  <c r="Y285" i="165"/>
  <c r="W285" i="165"/>
  <c r="U285" i="165"/>
  <c r="S285" i="165"/>
  <c r="O285" i="165"/>
  <c r="M285" i="165"/>
  <c r="K285" i="165"/>
  <c r="I285" i="165"/>
  <c r="G285" i="165"/>
  <c r="E285" i="165"/>
  <c r="C285" i="165"/>
  <c r="P285" i="165" s="1"/>
  <c r="AA284" i="165"/>
  <c r="Y284" i="165"/>
  <c r="W284" i="165"/>
  <c r="U284" i="165"/>
  <c r="S284" i="165"/>
  <c r="O284" i="165"/>
  <c r="M284" i="165"/>
  <c r="K284" i="165"/>
  <c r="I284" i="165"/>
  <c r="G284" i="165"/>
  <c r="E284" i="165"/>
  <c r="C284" i="165"/>
  <c r="P284" i="165" s="1"/>
  <c r="AA283" i="165"/>
  <c r="Y283" i="165"/>
  <c r="W283" i="165"/>
  <c r="U283" i="165"/>
  <c r="S283" i="165"/>
  <c r="O283" i="165"/>
  <c r="M283" i="165"/>
  <c r="K283" i="165"/>
  <c r="I283" i="165"/>
  <c r="G283" i="165"/>
  <c r="E283" i="165"/>
  <c r="C283" i="165"/>
  <c r="P283" i="165" s="1"/>
  <c r="AA282" i="165"/>
  <c r="Y282" i="165"/>
  <c r="W282" i="165"/>
  <c r="U282" i="165"/>
  <c r="S282" i="165"/>
  <c r="O282" i="165"/>
  <c r="M282" i="165"/>
  <c r="K282" i="165"/>
  <c r="I282" i="165"/>
  <c r="G282" i="165"/>
  <c r="E282" i="165"/>
  <c r="C282" i="165"/>
  <c r="P282" i="165" s="1"/>
  <c r="AA281" i="165"/>
  <c r="Y281" i="165"/>
  <c r="W281" i="165"/>
  <c r="U281" i="165"/>
  <c r="S281" i="165"/>
  <c r="O281" i="165"/>
  <c r="M281" i="165"/>
  <c r="K281" i="165"/>
  <c r="I281" i="165"/>
  <c r="G281" i="165"/>
  <c r="E281" i="165"/>
  <c r="C281" i="165"/>
  <c r="P281" i="165" s="1"/>
  <c r="AA280" i="165"/>
  <c r="Y280" i="165"/>
  <c r="W280" i="165"/>
  <c r="U280" i="165"/>
  <c r="S280" i="165"/>
  <c r="O280" i="165"/>
  <c r="M280" i="165"/>
  <c r="K280" i="165"/>
  <c r="I280" i="165"/>
  <c r="G280" i="165"/>
  <c r="E280" i="165"/>
  <c r="C280" i="165"/>
  <c r="P280" i="165" s="1"/>
  <c r="AA279" i="165"/>
  <c r="Y279" i="165"/>
  <c r="W279" i="165"/>
  <c r="U279" i="165"/>
  <c r="S279" i="165"/>
  <c r="O279" i="165"/>
  <c r="M279" i="165"/>
  <c r="K279" i="165"/>
  <c r="I279" i="165"/>
  <c r="G279" i="165"/>
  <c r="E279" i="165"/>
  <c r="P279" i="165" s="1"/>
  <c r="C279" i="165"/>
  <c r="AA278" i="165"/>
  <c r="Y278" i="165"/>
  <c r="W278" i="165"/>
  <c r="U278" i="165"/>
  <c r="S278" i="165"/>
  <c r="O278" i="165"/>
  <c r="M278" i="165"/>
  <c r="K278" i="165"/>
  <c r="I278" i="165"/>
  <c r="G278" i="165"/>
  <c r="P278" i="165" s="1"/>
  <c r="E278" i="165"/>
  <c r="C278" i="165"/>
  <c r="AA277" i="165"/>
  <c r="Y277" i="165"/>
  <c r="W277" i="165"/>
  <c r="U277" i="165"/>
  <c r="S277" i="165"/>
  <c r="O277" i="165"/>
  <c r="M277" i="165"/>
  <c r="K277" i="165"/>
  <c r="I277" i="165"/>
  <c r="P277" i="165" s="1"/>
  <c r="G277" i="165"/>
  <c r="E277" i="165"/>
  <c r="C277" i="165"/>
  <c r="AA276" i="165"/>
  <c r="Y276" i="165"/>
  <c r="W276" i="165"/>
  <c r="U276" i="165"/>
  <c r="S276" i="165"/>
  <c r="O276" i="165"/>
  <c r="M276" i="165"/>
  <c r="K276" i="165"/>
  <c r="I276" i="165"/>
  <c r="G276" i="165"/>
  <c r="E276" i="165"/>
  <c r="C276" i="165"/>
  <c r="P276" i="165" s="1"/>
  <c r="AA275" i="165"/>
  <c r="Y275" i="165"/>
  <c r="W275" i="165"/>
  <c r="U275" i="165"/>
  <c r="S275" i="165"/>
  <c r="O275" i="165"/>
  <c r="M275" i="165"/>
  <c r="K275" i="165"/>
  <c r="I275" i="165"/>
  <c r="G275" i="165"/>
  <c r="E275" i="165"/>
  <c r="C275" i="165"/>
  <c r="P275" i="165" s="1"/>
  <c r="AA274" i="165"/>
  <c r="Y274" i="165"/>
  <c r="W274" i="165"/>
  <c r="U274" i="165"/>
  <c r="S274" i="165"/>
  <c r="O274" i="165"/>
  <c r="M274" i="165"/>
  <c r="K274" i="165"/>
  <c r="I274" i="165"/>
  <c r="G274" i="165"/>
  <c r="E274" i="165"/>
  <c r="C274" i="165"/>
  <c r="P274" i="165" s="1"/>
  <c r="AA273" i="165"/>
  <c r="Y273" i="165"/>
  <c r="W273" i="165"/>
  <c r="U273" i="165"/>
  <c r="S273" i="165"/>
  <c r="O273" i="165"/>
  <c r="M273" i="165"/>
  <c r="K273" i="165"/>
  <c r="I273" i="165"/>
  <c r="G273" i="165"/>
  <c r="E273" i="165"/>
  <c r="P273" i="165" s="1"/>
  <c r="C273" i="165"/>
  <c r="AA272" i="165"/>
  <c r="Y272" i="165"/>
  <c r="W272" i="165"/>
  <c r="U272" i="165"/>
  <c r="S272" i="165"/>
  <c r="O272" i="165"/>
  <c r="M272" i="165"/>
  <c r="K272" i="165"/>
  <c r="I272" i="165"/>
  <c r="G272" i="165"/>
  <c r="E272" i="165"/>
  <c r="C272" i="165"/>
  <c r="AA271" i="165"/>
  <c r="Y271" i="165"/>
  <c r="W271" i="165"/>
  <c r="U271" i="165"/>
  <c r="S271" i="165"/>
  <c r="O271" i="165"/>
  <c r="M271" i="165"/>
  <c r="K271" i="165"/>
  <c r="I271" i="165"/>
  <c r="G271" i="165"/>
  <c r="E271" i="165"/>
  <c r="C271" i="165"/>
  <c r="AA270" i="165"/>
  <c r="Y270" i="165"/>
  <c r="W270" i="165"/>
  <c r="U270" i="165"/>
  <c r="S270" i="165"/>
  <c r="O270" i="165"/>
  <c r="M270" i="165"/>
  <c r="K270" i="165"/>
  <c r="I270" i="165"/>
  <c r="G270" i="165"/>
  <c r="E270" i="165"/>
  <c r="C270" i="165"/>
  <c r="AA269" i="165"/>
  <c r="Y269" i="165"/>
  <c r="W269" i="165"/>
  <c r="U269" i="165"/>
  <c r="S269" i="165"/>
  <c r="O269" i="165"/>
  <c r="M269" i="165"/>
  <c r="K269" i="165"/>
  <c r="I269" i="165"/>
  <c r="G269" i="165"/>
  <c r="P269" i="165" s="1"/>
  <c r="E269" i="165"/>
  <c r="C269" i="165"/>
  <c r="AA268" i="165"/>
  <c r="Y268" i="165"/>
  <c r="W268" i="165"/>
  <c r="U268" i="165"/>
  <c r="S268" i="165"/>
  <c r="O268" i="165"/>
  <c r="M268" i="165"/>
  <c r="K268" i="165"/>
  <c r="I268" i="165"/>
  <c r="P268" i="165" s="1"/>
  <c r="G268" i="165"/>
  <c r="E268" i="165"/>
  <c r="C268" i="165"/>
  <c r="AA267" i="165"/>
  <c r="Y267" i="165"/>
  <c r="W267" i="165"/>
  <c r="U267" i="165"/>
  <c r="S267" i="165"/>
  <c r="O267" i="165"/>
  <c r="M267" i="165"/>
  <c r="K267" i="165"/>
  <c r="I267" i="165"/>
  <c r="G267" i="165"/>
  <c r="E267" i="165"/>
  <c r="C267" i="165"/>
  <c r="AA266" i="165"/>
  <c r="Y266" i="165"/>
  <c r="W266" i="165"/>
  <c r="U266" i="165"/>
  <c r="S266" i="165"/>
  <c r="O266" i="165"/>
  <c r="M266" i="165"/>
  <c r="P266" i="165" s="1"/>
  <c r="K266" i="165"/>
  <c r="I266" i="165"/>
  <c r="G266" i="165"/>
  <c r="E266" i="165"/>
  <c r="C266" i="165"/>
  <c r="AA265" i="165"/>
  <c r="Y265" i="165"/>
  <c r="W265" i="165"/>
  <c r="U265" i="165"/>
  <c r="S265" i="165"/>
  <c r="O265" i="165"/>
  <c r="P265" i="165" s="1"/>
  <c r="M265" i="165"/>
  <c r="K265" i="165"/>
  <c r="I265" i="165"/>
  <c r="G265" i="165"/>
  <c r="E265" i="165"/>
  <c r="C265" i="165"/>
  <c r="AA264" i="165"/>
  <c r="Y264" i="165"/>
  <c r="W264" i="165"/>
  <c r="U264" i="165"/>
  <c r="S264" i="165"/>
  <c r="P264" i="165"/>
  <c r="O264" i="165"/>
  <c r="M264" i="165"/>
  <c r="K264" i="165"/>
  <c r="I264" i="165"/>
  <c r="G264" i="165"/>
  <c r="E264" i="165"/>
  <c r="C264" i="165"/>
  <c r="AA263" i="165"/>
  <c r="Y263" i="165"/>
  <c r="W263" i="165"/>
  <c r="U263" i="165"/>
  <c r="S263" i="165"/>
  <c r="O263" i="165"/>
  <c r="M263" i="165"/>
  <c r="K263" i="165"/>
  <c r="I263" i="165"/>
  <c r="G263" i="165"/>
  <c r="E263" i="165"/>
  <c r="C263" i="165"/>
  <c r="AA262" i="165"/>
  <c r="Y262" i="165"/>
  <c r="W262" i="165"/>
  <c r="U262" i="165"/>
  <c r="S262" i="165"/>
  <c r="O262" i="165"/>
  <c r="M262" i="165"/>
  <c r="K262" i="165"/>
  <c r="I262" i="165"/>
  <c r="G262" i="165"/>
  <c r="E262" i="165"/>
  <c r="C262" i="165"/>
  <c r="AA261" i="165"/>
  <c r="Y261" i="165"/>
  <c r="W261" i="165"/>
  <c r="U261" i="165"/>
  <c r="S261" i="165"/>
  <c r="O261" i="165"/>
  <c r="M261" i="165"/>
  <c r="K261" i="165"/>
  <c r="I261" i="165"/>
  <c r="G261" i="165"/>
  <c r="E261" i="165"/>
  <c r="C261" i="165"/>
  <c r="AA260" i="165"/>
  <c r="Y260" i="165"/>
  <c r="W260" i="165"/>
  <c r="U260" i="165"/>
  <c r="S260" i="165"/>
  <c r="O260" i="165"/>
  <c r="M260" i="165"/>
  <c r="K260" i="165"/>
  <c r="I260" i="165"/>
  <c r="G260" i="165"/>
  <c r="E260" i="165"/>
  <c r="C260" i="165"/>
  <c r="AA259" i="165"/>
  <c r="Y259" i="165"/>
  <c r="W259" i="165"/>
  <c r="U259" i="165"/>
  <c r="S259" i="165"/>
  <c r="O259" i="165"/>
  <c r="M259" i="165"/>
  <c r="K259" i="165"/>
  <c r="I259" i="165"/>
  <c r="G259" i="165"/>
  <c r="E259" i="165"/>
  <c r="C259" i="165"/>
  <c r="AA258" i="165"/>
  <c r="Y258" i="165"/>
  <c r="W258" i="165"/>
  <c r="U258" i="165"/>
  <c r="S258" i="165"/>
  <c r="O258" i="165"/>
  <c r="M258" i="165"/>
  <c r="K258" i="165"/>
  <c r="I258" i="165"/>
  <c r="G258" i="165"/>
  <c r="E258" i="165"/>
  <c r="C258" i="165"/>
  <c r="AA257" i="165"/>
  <c r="Y257" i="165"/>
  <c r="W257" i="165"/>
  <c r="U257" i="165"/>
  <c r="S257" i="165"/>
  <c r="O257" i="165"/>
  <c r="M257" i="165"/>
  <c r="P257" i="165" s="1"/>
  <c r="K257" i="165"/>
  <c r="I257" i="165"/>
  <c r="G257" i="165"/>
  <c r="E257" i="165"/>
  <c r="C257" i="165"/>
  <c r="AA256" i="165"/>
  <c r="Y256" i="165"/>
  <c r="W256" i="165"/>
  <c r="U256" i="165"/>
  <c r="S256" i="165"/>
  <c r="O256" i="165"/>
  <c r="M256" i="165"/>
  <c r="K256" i="165"/>
  <c r="I256" i="165"/>
  <c r="G256" i="165"/>
  <c r="E256" i="165"/>
  <c r="C256" i="165"/>
  <c r="AA255" i="165"/>
  <c r="Y255" i="165"/>
  <c r="W255" i="165"/>
  <c r="U255" i="165"/>
  <c r="S255" i="165"/>
  <c r="O255" i="165"/>
  <c r="P255" i="165" s="1"/>
  <c r="M255" i="165"/>
  <c r="K255" i="165"/>
  <c r="I255" i="165"/>
  <c r="G255" i="165"/>
  <c r="E255" i="165"/>
  <c r="C255" i="165"/>
  <c r="AA254" i="165"/>
  <c r="Y254" i="165"/>
  <c r="W254" i="165"/>
  <c r="U254" i="165"/>
  <c r="S254" i="165"/>
  <c r="P254" i="165"/>
  <c r="O254" i="165"/>
  <c r="M254" i="165"/>
  <c r="K254" i="165"/>
  <c r="I254" i="165"/>
  <c r="G254" i="165"/>
  <c r="E254" i="165"/>
  <c r="C254" i="165"/>
  <c r="AA253" i="165"/>
  <c r="Y253" i="165"/>
  <c r="W253" i="165"/>
  <c r="U253" i="165"/>
  <c r="S253" i="165"/>
  <c r="O253" i="165"/>
  <c r="M253" i="165"/>
  <c r="K253" i="165"/>
  <c r="I253" i="165"/>
  <c r="G253" i="165"/>
  <c r="E253" i="165"/>
  <c r="C253" i="165"/>
  <c r="AA252" i="165"/>
  <c r="Y252" i="165"/>
  <c r="W252" i="165"/>
  <c r="U252" i="165"/>
  <c r="S252" i="165"/>
  <c r="P252" i="165"/>
  <c r="O252" i="165"/>
  <c r="M252" i="165"/>
  <c r="K252" i="165"/>
  <c r="I252" i="165"/>
  <c r="G252" i="165"/>
  <c r="E252" i="165"/>
  <c r="C252" i="165"/>
  <c r="AA251" i="165"/>
  <c r="Y251" i="165"/>
  <c r="W251" i="165"/>
  <c r="U251" i="165"/>
  <c r="S251" i="165"/>
  <c r="O251" i="165"/>
  <c r="M251" i="165"/>
  <c r="K251" i="165"/>
  <c r="I251" i="165"/>
  <c r="G251" i="165"/>
  <c r="E251" i="165"/>
  <c r="P251" i="165" s="1"/>
  <c r="C251" i="165"/>
  <c r="AA250" i="165"/>
  <c r="Y250" i="165"/>
  <c r="W250" i="165"/>
  <c r="U250" i="165"/>
  <c r="S250" i="165"/>
  <c r="O250" i="165"/>
  <c r="M250" i="165"/>
  <c r="K250" i="165"/>
  <c r="I250" i="165"/>
  <c r="G250" i="165"/>
  <c r="E250" i="165"/>
  <c r="C250" i="165"/>
  <c r="P250" i="165" s="1"/>
  <c r="AA249" i="165"/>
  <c r="Y249" i="165"/>
  <c r="W249" i="165"/>
  <c r="U249" i="165"/>
  <c r="S249" i="165"/>
  <c r="O249" i="165"/>
  <c r="M249" i="165"/>
  <c r="K249" i="165"/>
  <c r="I249" i="165"/>
  <c r="G249" i="165"/>
  <c r="E249" i="165"/>
  <c r="C249" i="165"/>
  <c r="P249" i="165" s="1"/>
  <c r="AA248" i="165"/>
  <c r="Y248" i="165"/>
  <c r="W248" i="165"/>
  <c r="U248" i="165"/>
  <c r="S248" i="165"/>
  <c r="O248" i="165"/>
  <c r="M248" i="165"/>
  <c r="K248" i="165"/>
  <c r="I248" i="165"/>
  <c r="G248" i="165"/>
  <c r="E248" i="165"/>
  <c r="C248" i="165"/>
  <c r="P248" i="165" s="1"/>
  <c r="AA247" i="165"/>
  <c r="Y247" i="165"/>
  <c r="W247" i="165"/>
  <c r="U247" i="165"/>
  <c r="S247" i="165"/>
  <c r="O247" i="165"/>
  <c r="M247" i="165"/>
  <c r="K247" i="165"/>
  <c r="I247" i="165"/>
  <c r="G247" i="165"/>
  <c r="E247" i="165"/>
  <c r="C247" i="165"/>
  <c r="P247" i="165" s="1"/>
  <c r="AA246" i="165"/>
  <c r="Y246" i="165"/>
  <c r="W246" i="165"/>
  <c r="U246" i="165"/>
  <c r="S246" i="165"/>
  <c r="O246" i="165"/>
  <c r="M246" i="165"/>
  <c r="K246" i="165"/>
  <c r="I246" i="165"/>
  <c r="G246" i="165"/>
  <c r="E246" i="165"/>
  <c r="C246" i="165"/>
  <c r="P246" i="165" s="1"/>
  <c r="AA245" i="165"/>
  <c r="Y245" i="165"/>
  <c r="W245" i="165"/>
  <c r="U245" i="165"/>
  <c r="S245" i="165"/>
  <c r="O245" i="165"/>
  <c r="M245" i="165"/>
  <c r="K245" i="165"/>
  <c r="I245" i="165"/>
  <c r="G245" i="165"/>
  <c r="E245" i="165"/>
  <c r="C245" i="165"/>
  <c r="P245" i="165" s="1"/>
  <c r="AA244" i="165"/>
  <c r="Y244" i="165"/>
  <c r="W244" i="165"/>
  <c r="U244" i="165"/>
  <c r="S244" i="165"/>
  <c r="O244" i="165"/>
  <c r="M244" i="165"/>
  <c r="K244" i="165"/>
  <c r="I244" i="165"/>
  <c r="G244" i="165"/>
  <c r="E244" i="165"/>
  <c r="C244" i="165"/>
  <c r="P244" i="165" s="1"/>
  <c r="AA243" i="165"/>
  <c r="Y243" i="165"/>
  <c r="W243" i="165"/>
  <c r="U243" i="165"/>
  <c r="S243" i="165"/>
  <c r="O243" i="165"/>
  <c r="M243" i="165"/>
  <c r="K243" i="165"/>
  <c r="I243" i="165"/>
  <c r="G243" i="165"/>
  <c r="E243" i="165"/>
  <c r="P243" i="165" s="1"/>
  <c r="C243" i="165"/>
  <c r="AA242" i="165"/>
  <c r="Y242" i="165"/>
  <c r="W242" i="165"/>
  <c r="U242" i="165"/>
  <c r="S242" i="165"/>
  <c r="O242" i="165"/>
  <c r="M242" i="165"/>
  <c r="K242" i="165"/>
  <c r="I242" i="165"/>
  <c r="G242" i="165"/>
  <c r="E242" i="165"/>
  <c r="C242" i="165"/>
  <c r="AA241" i="165"/>
  <c r="Y241" i="165"/>
  <c r="W241" i="165"/>
  <c r="U241" i="165"/>
  <c r="S241" i="165"/>
  <c r="P241" i="165"/>
  <c r="O241" i="165"/>
  <c r="M241" i="165"/>
  <c r="K241" i="165"/>
  <c r="I241" i="165"/>
  <c r="G241" i="165"/>
  <c r="E241" i="165"/>
  <c r="C241" i="165"/>
  <c r="AA240" i="165"/>
  <c r="Y240" i="165"/>
  <c r="W240" i="165"/>
  <c r="U240" i="165"/>
  <c r="S240" i="165"/>
  <c r="O240" i="165"/>
  <c r="M240" i="165"/>
  <c r="K240" i="165"/>
  <c r="P240" i="165" s="1"/>
  <c r="I240" i="165"/>
  <c r="G240" i="165"/>
  <c r="E240" i="165"/>
  <c r="C240" i="165"/>
  <c r="AA239" i="165"/>
  <c r="Y239" i="165"/>
  <c r="W239" i="165"/>
  <c r="U239" i="165"/>
  <c r="S239" i="165"/>
  <c r="O239" i="165"/>
  <c r="M239" i="165"/>
  <c r="K239" i="165"/>
  <c r="I239" i="165"/>
  <c r="G239" i="165"/>
  <c r="E239" i="165"/>
  <c r="C239" i="165"/>
  <c r="AA238" i="165"/>
  <c r="Y238" i="165"/>
  <c r="W238" i="165"/>
  <c r="U238" i="165"/>
  <c r="S238" i="165"/>
  <c r="P238" i="165"/>
  <c r="O238" i="165"/>
  <c r="M238" i="165"/>
  <c r="K238" i="165"/>
  <c r="I238" i="165"/>
  <c r="G238" i="165"/>
  <c r="E238" i="165"/>
  <c r="C238" i="165"/>
  <c r="AA237" i="165"/>
  <c r="Y237" i="165"/>
  <c r="W237" i="165"/>
  <c r="U237" i="165"/>
  <c r="S237" i="165"/>
  <c r="P237" i="165"/>
  <c r="O237" i="165"/>
  <c r="M237" i="165"/>
  <c r="K237" i="165"/>
  <c r="I237" i="165"/>
  <c r="G237" i="165"/>
  <c r="E237" i="165"/>
  <c r="C237" i="165"/>
  <c r="AA236" i="165"/>
  <c r="Y236" i="165"/>
  <c r="W236" i="165"/>
  <c r="U236" i="165"/>
  <c r="S236" i="165"/>
  <c r="O236" i="165"/>
  <c r="M236" i="165"/>
  <c r="K236" i="165"/>
  <c r="I236" i="165"/>
  <c r="G236" i="165"/>
  <c r="E236" i="165"/>
  <c r="C236" i="165"/>
  <c r="AA235" i="165"/>
  <c r="Y235" i="165"/>
  <c r="W235" i="165"/>
  <c r="U235" i="165"/>
  <c r="S235" i="165"/>
  <c r="O235" i="165"/>
  <c r="M235" i="165"/>
  <c r="K235" i="165"/>
  <c r="I235" i="165"/>
  <c r="G235" i="165"/>
  <c r="E235" i="165"/>
  <c r="C235" i="165"/>
  <c r="AA234" i="165"/>
  <c r="Y234" i="165"/>
  <c r="W234" i="165"/>
  <c r="U234" i="165"/>
  <c r="S234" i="165"/>
  <c r="O234" i="165"/>
  <c r="M234" i="165"/>
  <c r="K234" i="165"/>
  <c r="I234" i="165"/>
  <c r="G234" i="165"/>
  <c r="E234" i="165"/>
  <c r="C234" i="165"/>
  <c r="AA233" i="165"/>
  <c r="Y233" i="165"/>
  <c r="W233" i="165"/>
  <c r="U233" i="165"/>
  <c r="S233" i="165"/>
  <c r="P233" i="165"/>
  <c r="O233" i="165"/>
  <c r="M233" i="165"/>
  <c r="K233" i="165"/>
  <c r="I233" i="165"/>
  <c r="G233" i="165"/>
  <c r="E233" i="165"/>
  <c r="C233" i="165"/>
  <c r="AA232" i="165"/>
  <c r="Y232" i="165"/>
  <c r="W232" i="165"/>
  <c r="U232" i="165"/>
  <c r="S232" i="165"/>
  <c r="O232" i="165"/>
  <c r="M232" i="165"/>
  <c r="K232" i="165"/>
  <c r="I232" i="165"/>
  <c r="G232" i="165"/>
  <c r="E232" i="165"/>
  <c r="C232" i="165"/>
  <c r="AA231" i="165"/>
  <c r="Y231" i="165"/>
  <c r="W231" i="165"/>
  <c r="U231" i="165"/>
  <c r="S231" i="165"/>
  <c r="O231" i="165"/>
  <c r="M231" i="165"/>
  <c r="K231" i="165"/>
  <c r="I231" i="165"/>
  <c r="G231" i="165"/>
  <c r="E231" i="165"/>
  <c r="C231" i="165"/>
  <c r="AA230" i="165"/>
  <c r="Y230" i="165"/>
  <c r="W230" i="165"/>
  <c r="U230" i="165"/>
  <c r="S230" i="165"/>
  <c r="O230" i="165"/>
  <c r="M230" i="165"/>
  <c r="K230" i="165"/>
  <c r="I230" i="165"/>
  <c r="G230" i="165"/>
  <c r="E230" i="165"/>
  <c r="C230" i="165"/>
  <c r="AA229" i="165"/>
  <c r="Y229" i="165"/>
  <c r="W229" i="165"/>
  <c r="U229" i="165"/>
  <c r="S229" i="165"/>
  <c r="O229" i="165"/>
  <c r="M229" i="165"/>
  <c r="P229" i="165" s="1"/>
  <c r="K229" i="165"/>
  <c r="I229" i="165"/>
  <c r="G229" i="165"/>
  <c r="E229" i="165"/>
  <c r="C229" i="165"/>
  <c r="AA228" i="165"/>
  <c r="Y228" i="165"/>
  <c r="W228" i="165"/>
  <c r="U228" i="165"/>
  <c r="S228" i="165"/>
  <c r="O228" i="165"/>
  <c r="P228" i="165" s="1"/>
  <c r="M228" i="165"/>
  <c r="K228" i="165"/>
  <c r="I228" i="165"/>
  <c r="G228" i="165"/>
  <c r="E228" i="165"/>
  <c r="C228" i="165"/>
  <c r="AA227" i="165"/>
  <c r="Y227" i="165"/>
  <c r="W227" i="165"/>
  <c r="U227" i="165"/>
  <c r="S227" i="165"/>
  <c r="P227" i="165"/>
  <c r="O227" i="165"/>
  <c r="M227" i="165"/>
  <c r="K227" i="165"/>
  <c r="I227" i="165"/>
  <c r="G227" i="165"/>
  <c r="E227" i="165"/>
  <c r="C227" i="165"/>
  <c r="AA226" i="165"/>
  <c r="Y226" i="165"/>
  <c r="W226" i="165"/>
  <c r="U226" i="165"/>
  <c r="S226" i="165"/>
  <c r="O226" i="165"/>
  <c r="M226" i="165"/>
  <c r="K226" i="165"/>
  <c r="I226" i="165"/>
  <c r="G226" i="165"/>
  <c r="P226" i="165" s="1"/>
  <c r="E226" i="165"/>
  <c r="C226" i="165"/>
  <c r="AA225" i="165"/>
  <c r="Y225" i="165"/>
  <c r="W225" i="165"/>
  <c r="U225" i="165"/>
  <c r="S225" i="165"/>
  <c r="O225" i="165"/>
  <c r="M225" i="165"/>
  <c r="K225" i="165"/>
  <c r="I225" i="165"/>
  <c r="P225" i="165" s="1"/>
  <c r="G225" i="165"/>
  <c r="E225" i="165"/>
  <c r="C225" i="165"/>
  <c r="AA224" i="165"/>
  <c r="Y224" i="165"/>
  <c r="W224" i="165"/>
  <c r="U224" i="165"/>
  <c r="S224" i="165"/>
  <c r="O224" i="165"/>
  <c r="M224" i="165"/>
  <c r="K224" i="165"/>
  <c r="I224" i="165"/>
  <c r="G224" i="165"/>
  <c r="E224" i="165"/>
  <c r="C224" i="165"/>
  <c r="AA223" i="165"/>
  <c r="Y223" i="165"/>
  <c r="W223" i="165"/>
  <c r="U223" i="165"/>
  <c r="S223" i="165"/>
  <c r="O223" i="165"/>
  <c r="M223" i="165"/>
  <c r="K223" i="165"/>
  <c r="I223" i="165"/>
  <c r="G223" i="165"/>
  <c r="E223" i="165"/>
  <c r="C223" i="165"/>
  <c r="AA222" i="165"/>
  <c r="Y222" i="165"/>
  <c r="W222" i="165"/>
  <c r="U222" i="165"/>
  <c r="S222" i="165"/>
  <c r="O222" i="165"/>
  <c r="M222" i="165"/>
  <c r="K222" i="165"/>
  <c r="I222" i="165"/>
  <c r="G222" i="165"/>
  <c r="E222" i="165"/>
  <c r="C222" i="165"/>
  <c r="AA221" i="165"/>
  <c r="Y221" i="165"/>
  <c r="W221" i="165"/>
  <c r="U221" i="165"/>
  <c r="S221" i="165"/>
  <c r="O221" i="165"/>
  <c r="M221" i="165"/>
  <c r="K221" i="165"/>
  <c r="I221" i="165"/>
  <c r="G221" i="165"/>
  <c r="E221" i="165"/>
  <c r="C221" i="165"/>
  <c r="AA220" i="165"/>
  <c r="Y220" i="165"/>
  <c r="W220" i="165"/>
  <c r="U220" i="165"/>
  <c r="S220" i="165"/>
  <c r="O220" i="165"/>
  <c r="M220" i="165"/>
  <c r="K220" i="165"/>
  <c r="I220" i="165"/>
  <c r="G220" i="165"/>
  <c r="E220" i="165"/>
  <c r="C220" i="165"/>
  <c r="AA219" i="165"/>
  <c r="Y219" i="165"/>
  <c r="W219" i="165"/>
  <c r="U219" i="165"/>
  <c r="S219" i="165"/>
  <c r="P219" i="165"/>
  <c r="O219" i="165"/>
  <c r="M219" i="165"/>
  <c r="K219" i="165"/>
  <c r="I219" i="165"/>
  <c r="G219" i="165"/>
  <c r="E219" i="165"/>
  <c r="C219" i="165"/>
  <c r="AA218" i="165"/>
  <c r="Y218" i="165"/>
  <c r="W218" i="165"/>
  <c r="U218" i="165"/>
  <c r="S218" i="165"/>
  <c r="O218" i="165"/>
  <c r="M218" i="165"/>
  <c r="K218" i="165"/>
  <c r="I218" i="165"/>
  <c r="G218" i="165"/>
  <c r="E218" i="165"/>
  <c r="C218" i="165"/>
  <c r="AA217" i="165"/>
  <c r="Y217" i="165"/>
  <c r="W217" i="165"/>
  <c r="U217" i="165"/>
  <c r="S217" i="165"/>
  <c r="O217" i="165"/>
  <c r="M217" i="165"/>
  <c r="K217" i="165"/>
  <c r="I217" i="165"/>
  <c r="G217" i="165"/>
  <c r="E217" i="165"/>
  <c r="C217" i="165"/>
  <c r="AA216" i="165"/>
  <c r="Y216" i="165"/>
  <c r="W216" i="165"/>
  <c r="U216" i="165"/>
  <c r="S216" i="165"/>
  <c r="O216" i="165"/>
  <c r="M216" i="165"/>
  <c r="K216" i="165"/>
  <c r="I216" i="165"/>
  <c r="G216" i="165"/>
  <c r="E216" i="165"/>
  <c r="C216" i="165"/>
  <c r="AA215" i="165"/>
  <c r="Y215" i="165"/>
  <c r="W215" i="165"/>
  <c r="U215" i="165"/>
  <c r="S215" i="165"/>
  <c r="O215" i="165"/>
  <c r="P215" i="165" s="1"/>
  <c r="M215" i="165"/>
  <c r="K215" i="165"/>
  <c r="I215" i="165"/>
  <c r="G215" i="165"/>
  <c r="E215" i="165"/>
  <c r="C215" i="165"/>
  <c r="AA214" i="165"/>
  <c r="Y214" i="165"/>
  <c r="W214" i="165"/>
  <c r="U214" i="165"/>
  <c r="S214" i="165"/>
  <c r="P214" i="165"/>
  <c r="O214" i="165"/>
  <c r="M214" i="165"/>
  <c r="K214" i="165"/>
  <c r="I214" i="165"/>
  <c r="G214" i="165"/>
  <c r="E214" i="165"/>
  <c r="C214" i="165"/>
  <c r="AA213" i="165"/>
  <c r="Y213" i="165"/>
  <c r="W213" i="165"/>
  <c r="U213" i="165"/>
  <c r="S213" i="165"/>
  <c r="P213" i="165"/>
  <c r="O213" i="165"/>
  <c r="M213" i="165"/>
  <c r="K213" i="165"/>
  <c r="I213" i="165"/>
  <c r="G213" i="165"/>
  <c r="E213" i="165"/>
  <c r="C213" i="165"/>
  <c r="AA212" i="165"/>
  <c r="Y212" i="165"/>
  <c r="W212" i="165"/>
  <c r="U212" i="165"/>
  <c r="S212" i="165"/>
  <c r="O212" i="165"/>
  <c r="M212" i="165"/>
  <c r="K212" i="165"/>
  <c r="I212" i="165"/>
  <c r="G212" i="165"/>
  <c r="E212" i="165"/>
  <c r="C212" i="165"/>
  <c r="AA211" i="165"/>
  <c r="Y211" i="165"/>
  <c r="W211" i="165"/>
  <c r="U211" i="165"/>
  <c r="S211" i="165"/>
  <c r="O211" i="165"/>
  <c r="M211" i="165"/>
  <c r="K211" i="165"/>
  <c r="I211" i="165"/>
  <c r="G211" i="165"/>
  <c r="E211" i="165"/>
  <c r="C211" i="165"/>
  <c r="AA210" i="165"/>
  <c r="Y210" i="165"/>
  <c r="W210" i="165"/>
  <c r="U210" i="165"/>
  <c r="S210" i="165"/>
  <c r="P210" i="165"/>
  <c r="O210" i="165"/>
  <c r="M210" i="165"/>
  <c r="K210" i="165"/>
  <c r="I210" i="165"/>
  <c r="G210" i="165"/>
  <c r="E210" i="165"/>
  <c r="C210" i="165"/>
  <c r="AA209" i="165"/>
  <c r="Y209" i="165"/>
  <c r="W209" i="165"/>
  <c r="U209" i="165"/>
  <c r="S209" i="165"/>
  <c r="O209" i="165"/>
  <c r="P209" i="165" s="1"/>
  <c r="M209" i="165"/>
  <c r="K209" i="165"/>
  <c r="I209" i="165"/>
  <c r="G209" i="165"/>
  <c r="E209" i="165"/>
  <c r="C209" i="165"/>
  <c r="AA208" i="165"/>
  <c r="Y208" i="165"/>
  <c r="W208" i="165"/>
  <c r="U208" i="165"/>
  <c r="S208" i="165"/>
  <c r="O208" i="165"/>
  <c r="M208" i="165"/>
  <c r="K208" i="165"/>
  <c r="I208" i="165"/>
  <c r="G208" i="165"/>
  <c r="E208" i="165"/>
  <c r="C208" i="165"/>
  <c r="P208" i="165" s="1"/>
  <c r="AA207" i="165"/>
  <c r="Y207" i="165"/>
  <c r="W207" i="165"/>
  <c r="U207" i="165"/>
  <c r="S207" i="165"/>
  <c r="O207" i="165"/>
  <c r="M207" i="165"/>
  <c r="K207" i="165"/>
  <c r="I207" i="165"/>
  <c r="G207" i="165"/>
  <c r="E207" i="165"/>
  <c r="P207" i="165" s="1"/>
  <c r="C207" i="165"/>
  <c r="AA206" i="165"/>
  <c r="Y206" i="165"/>
  <c r="W206" i="165"/>
  <c r="U206" i="165"/>
  <c r="S206" i="165"/>
  <c r="O206" i="165"/>
  <c r="M206" i="165"/>
  <c r="K206" i="165"/>
  <c r="I206" i="165"/>
  <c r="G206" i="165"/>
  <c r="P206" i="165" s="1"/>
  <c r="E206" i="165"/>
  <c r="C206" i="165"/>
  <c r="AA205" i="165"/>
  <c r="Y205" i="165"/>
  <c r="W205" i="165"/>
  <c r="U205" i="165"/>
  <c r="S205" i="165"/>
  <c r="O205" i="165"/>
  <c r="M205" i="165"/>
  <c r="K205" i="165"/>
  <c r="I205" i="165"/>
  <c r="G205" i="165"/>
  <c r="E205" i="165"/>
  <c r="C205" i="165"/>
  <c r="P205" i="165" s="1"/>
  <c r="AA204" i="165"/>
  <c r="Y204" i="165"/>
  <c r="W204" i="165"/>
  <c r="U204" i="165"/>
  <c r="S204" i="165"/>
  <c r="O204" i="165"/>
  <c r="M204" i="165"/>
  <c r="K204" i="165"/>
  <c r="I204" i="165"/>
  <c r="G204" i="165"/>
  <c r="E204" i="165"/>
  <c r="C204" i="165"/>
  <c r="P204" i="165" s="1"/>
  <c r="AA203" i="165"/>
  <c r="Y203" i="165"/>
  <c r="W203" i="165"/>
  <c r="U203" i="165"/>
  <c r="S203" i="165"/>
  <c r="O203" i="165"/>
  <c r="M203" i="165"/>
  <c r="K203" i="165"/>
  <c r="I203" i="165"/>
  <c r="G203" i="165"/>
  <c r="E203" i="165"/>
  <c r="C203" i="165"/>
  <c r="P203" i="165" s="1"/>
  <c r="AA202" i="165"/>
  <c r="Y202" i="165"/>
  <c r="W202" i="165"/>
  <c r="U202" i="165"/>
  <c r="S202" i="165"/>
  <c r="O202" i="165"/>
  <c r="M202" i="165"/>
  <c r="K202" i="165"/>
  <c r="I202" i="165"/>
  <c r="G202" i="165"/>
  <c r="E202" i="165"/>
  <c r="C202" i="165"/>
  <c r="P202" i="165" s="1"/>
  <c r="AA201" i="165"/>
  <c r="Y201" i="165"/>
  <c r="W201" i="165"/>
  <c r="U201" i="165"/>
  <c r="S201" i="165"/>
  <c r="O201" i="165"/>
  <c r="M201" i="165"/>
  <c r="K201" i="165"/>
  <c r="I201" i="165"/>
  <c r="G201" i="165"/>
  <c r="E201" i="165"/>
  <c r="C201" i="165"/>
  <c r="P201" i="165" s="1"/>
  <c r="AA200" i="165"/>
  <c r="Y200" i="165"/>
  <c r="W200" i="165"/>
  <c r="U200" i="165"/>
  <c r="S200" i="165"/>
  <c r="O200" i="165"/>
  <c r="M200" i="165"/>
  <c r="K200" i="165"/>
  <c r="I200" i="165"/>
  <c r="G200" i="165"/>
  <c r="E200" i="165"/>
  <c r="C200" i="165"/>
  <c r="P200" i="165" s="1"/>
  <c r="AA199" i="165"/>
  <c r="Y199" i="165"/>
  <c r="W199" i="165"/>
  <c r="U199" i="165"/>
  <c r="S199" i="165"/>
  <c r="O199" i="165"/>
  <c r="M199" i="165"/>
  <c r="K199" i="165"/>
  <c r="I199" i="165"/>
  <c r="G199" i="165"/>
  <c r="E199" i="165"/>
  <c r="C199" i="165"/>
  <c r="P199" i="165" s="1"/>
  <c r="AA198" i="165"/>
  <c r="Y198" i="165"/>
  <c r="W198" i="165"/>
  <c r="U198" i="165"/>
  <c r="S198" i="165"/>
  <c r="O198" i="165"/>
  <c r="M198" i="165"/>
  <c r="K198" i="165"/>
  <c r="I198" i="165"/>
  <c r="G198" i="165"/>
  <c r="E198" i="165"/>
  <c r="C198" i="165"/>
  <c r="P198" i="165" s="1"/>
  <c r="AA197" i="165"/>
  <c r="Y197" i="165"/>
  <c r="W197" i="165"/>
  <c r="U197" i="165"/>
  <c r="S197" i="165"/>
  <c r="O197" i="165"/>
  <c r="M197" i="165"/>
  <c r="K197" i="165"/>
  <c r="I197" i="165"/>
  <c r="G197" i="165"/>
  <c r="E197" i="165"/>
  <c r="P197" i="165" s="1"/>
  <c r="C197" i="165"/>
  <c r="AA196" i="165"/>
  <c r="Y196" i="165"/>
  <c r="W196" i="165"/>
  <c r="U196" i="165"/>
  <c r="S196" i="165"/>
  <c r="O196" i="165"/>
  <c r="M196" i="165"/>
  <c r="K196" i="165"/>
  <c r="I196" i="165"/>
  <c r="G196" i="165"/>
  <c r="P196" i="165" s="1"/>
  <c r="E196" i="165"/>
  <c r="C196" i="165"/>
  <c r="AA195" i="165"/>
  <c r="Y195" i="165"/>
  <c r="W195" i="165"/>
  <c r="U195" i="165"/>
  <c r="S195" i="165"/>
  <c r="O195" i="165"/>
  <c r="M195" i="165"/>
  <c r="K195" i="165"/>
  <c r="I195" i="165"/>
  <c r="P195" i="165" s="1"/>
  <c r="G195" i="165"/>
  <c r="E195" i="165"/>
  <c r="C195" i="165"/>
  <c r="AA194" i="165"/>
  <c r="Y194" i="165"/>
  <c r="W194" i="165"/>
  <c r="U194" i="165"/>
  <c r="S194" i="165"/>
  <c r="O194" i="165"/>
  <c r="M194" i="165"/>
  <c r="P194" i="165" s="1"/>
  <c r="K194" i="165"/>
  <c r="I194" i="165"/>
  <c r="G194" i="165"/>
  <c r="E194" i="165"/>
  <c r="C194" i="165"/>
  <c r="AA193" i="165"/>
  <c r="Y193" i="165"/>
  <c r="W193" i="165"/>
  <c r="U193" i="165"/>
  <c r="S193" i="165"/>
  <c r="O193" i="165"/>
  <c r="M193" i="165"/>
  <c r="P193" i="165" s="1"/>
  <c r="K193" i="165"/>
  <c r="I193" i="165"/>
  <c r="G193" i="165"/>
  <c r="E193" i="165"/>
  <c r="C193" i="165"/>
  <c r="AA192" i="165"/>
  <c r="Y192" i="165"/>
  <c r="W192" i="165"/>
  <c r="U192" i="165"/>
  <c r="S192" i="165"/>
  <c r="O192" i="165"/>
  <c r="P192" i="165" s="1"/>
  <c r="M192" i="165"/>
  <c r="K192" i="165"/>
  <c r="I192" i="165"/>
  <c r="G192" i="165"/>
  <c r="E192" i="165"/>
  <c r="C192" i="165"/>
  <c r="AA191" i="165"/>
  <c r="Y191" i="165"/>
  <c r="W191" i="165"/>
  <c r="U191" i="165"/>
  <c r="S191" i="165"/>
  <c r="P191" i="165"/>
  <c r="O191" i="165"/>
  <c r="M191" i="165"/>
  <c r="K191" i="165"/>
  <c r="I191" i="165"/>
  <c r="G191" i="165"/>
  <c r="E191" i="165"/>
  <c r="C191" i="165"/>
  <c r="AA190" i="165"/>
  <c r="Y190" i="165"/>
  <c r="W190" i="165"/>
  <c r="U190" i="165"/>
  <c r="S190" i="165"/>
  <c r="O190" i="165"/>
  <c r="M190" i="165"/>
  <c r="K190" i="165"/>
  <c r="I190" i="165"/>
  <c r="G190" i="165"/>
  <c r="E190" i="165"/>
  <c r="C190" i="165"/>
  <c r="P190" i="165" s="1"/>
  <c r="AA189" i="165"/>
  <c r="Y189" i="165"/>
  <c r="W189" i="165"/>
  <c r="U189" i="165"/>
  <c r="S189" i="165"/>
  <c r="O189" i="165"/>
  <c r="M189" i="165"/>
  <c r="K189" i="165"/>
  <c r="I189" i="165"/>
  <c r="G189" i="165"/>
  <c r="E189" i="165"/>
  <c r="C189" i="165"/>
  <c r="P189" i="165" s="1"/>
  <c r="AA188" i="165"/>
  <c r="Y188" i="165"/>
  <c r="W188" i="165"/>
  <c r="U188" i="165"/>
  <c r="S188" i="165"/>
  <c r="O188" i="165"/>
  <c r="M188" i="165"/>
  <c r="K188" i="165"/>
  <c r="I188" i="165"/>
  <c r="G188" i="165"/>
  <c r="E188" i="165"/>
  <c r="C188" i="165"/>
  <c r="AA187" i="165"/>
  <c r="Y187" i="165"/>
  <c r="W187" i="165"/>
  <c r="U187" i="165"/>
  <c r="S187" i="165"/>
  <c r="O187" i="165"/>
  <c r="M187" i="165"/>
  <c r="K187" i="165"/>
  <c r="I187" i="165"/>
  <c r="G187" i="165"/>
  <c r="E187" i="165"/>
  <c r="C187" i="165"/>
  <c r="AA186" i="165"/>
  <c r="Y186" i="165"/>
  <c r="W186" i="165"/>
  <c r="U186" i="165"/>
  <c r="S186" i="165"/>
  <c r="O186" i="165"/>
  <c r="M186" i="165"/>
  <c r="K186" i="165"/>
  <c r="I186" i="165"/>
  <c r="G186" i="165"/>
  <c r="E186" i="165"/>
  <c r="C186" i="165"/>
  <c r="AA185" i="165"/>
  <c r="Y185" i="165"/>
  <c r="W185" i="165"/>
  <c r="U185" i="165"/>
  <c r="S185" i="165"/>
  <c r="P185" i="165"/>
  <c r="O185" i="165"/>
  <c r="M185" i="165"/>
  <c r="K185" i="165"/>
  <c r="I185" i="165"/>
  <c r="G185" i="165"/>
  <c r="E185" i="165"/>
  <c r="C185" i="165"/>
  <c r="AA184" i="165"/>
  <c r="Y184" i="165"/>
  <c r="W184" i="165"/>
  <c r="U184" i="165"/>
  <c r="S184" i="165"/>
  <c r="O184" i="165"/>
  <c r="M184" i="165"/>
  <c r="K184" i="165"/>
  <c r="I184" i="165"/>
  <c r="G184" i="165"/>
  <c r="E184" i="165"/>
  <c r="C184" i="165"/>
  <c r="P184" i="165" s="1"/>
  <c r="AA183" i="165"/>
  <c r="Y183" i="165"/>
  <c r="W183" i="165"/>
  <c r="U183" i="165"/>
  <c r="S183" i="165"/>
  <c r="O183" i="165"/>
  <c r="M183" i="165"/>
  <c r="K183" i="165"/>
  <c r="I183" i="165"/>
  <c r="G183" i="165"/>
  <c r="E183" i="165"/>
  <c r="P183" i="165" s="1"/>
  <c r="C183" i="165"/>
  <c r="AA182" i="165"/>
  <c r="Y182" i="165"/>
  <c r="W182" i="165"/>
  <c r="U182" i="165"/>
  <c r="S182" i="165"/>
  <c r="O182" i="165"/>
  <c r="M182" i="165"/>
  <c r="K182" i="165"/>
  <c r="I182" i="165"/>
  <c r="G182" i="165"/>
  <c r="E182" i="165"/>
  <c r="C182" i="165"/>
  <c r="AA181" i="165"/>
  <c r="Y181" i="165"/>
  <c r="W181" i="165"/>
  <c r="U181" i="165"/>
  <c r="S181" i="165"/>
  <c r="O181" i="165"/>
  <c r="M181" i="165"/>
  <c r="K181" i="165"/>
  <c r="I181" i="165"/>
  <c r="G181" i="165"/>
  <c r="E181" i="165"/>
  <c r="C181" i="165"/>
  <c r="AA180" i="165"/>
  <c r="Y180" i="165"/>
  <c r="W180" i="165"/>
  <c r="U180" i="165"/>
  <c r="S180" i="165"/>
  <c r="O180" i="165"/>
  <c r="M180" i="165"/>
  <c r="K180" i="165"/>
  <c r="I180" i="165"/>
  <c r="G180" i="165"/>
  <c r="E180" i="165"/>
  <c r="C180" i="165"/>
  <c r="P180" i="165" s="1"/>
  <c r="AA179" i="165"/>
  <c r="Y179" i="165"/>
  <c r="W179" i="165"/>
  <c r="U179" i="165"/>
  <c r="S179" i="165"/>
  <c r="O179" i="165"/>
  <c r="M179" i="165"/>
  <c r="K179" i="165"/>
  <c r="I179" i="165"/>
  <c r="G179" i="165"/>
  <c r="E179" i="165"/>
  <c r="C179" i="165"/>
  <c r="P179" i="165" s="1"/>
  <c r="AA178" i="165"/>
  <c r="Y178" i="165"/>
  <c r="W178" i="165"/>
  <c r="U178" i="165"/>
  <c r="S178" i="165"/>
  <c r="O178" i="165"/>
  <c r="M178" i="165"/>
  <c r="K178" i="165"/>
  <c r="I178" i="165"/>
  <c r="G178" i="165"/>
  <c r="E178" i="165"/>
  <c r="C178" i="165"/>
  <c r="P178" i="165" s="1"/>
  <c r="AA177" i="165"/>
  <c r="Y177" i="165"/>
  <c r="W177" i="165"/>
  <c r="U177" i="165"/>
  <c r="S177" i="165"/>
  <c r="O177" i="165"/>
  <c r="M177" i="165"/>
  <c r="K177" i="165"/>
  <c r="I177" i="165"/>
  <c r="G177" i="165"/>
  <c r="E177" i="165"/>
  <c r="P177" i="165" s="1"/>
  <c r="C177" i="165"/>
  <c r="AA176" i="165"/>
  <c r="Y176" i="165"/>
  <c r="W176" i="165"/>
  <c r="U176" i="165"/>
  <c r="S176" i="165"/>
  <c r="O176" i="165"/>
  <c r="M176" i="165"/>
  <c r="K176" i="165"/>
  <c r="I176" i="165"/>
  <c r="G176" i="165"/>
  <c r="E176" i="165"/>
  <c r="C176" i="165"/>
  <c r="AA175" i="165"/>
  <c r="Y175" i="165"/>
  <c r="W175" i="165"/>
  <c r="U175" i="165"/>
  <c r="S175" i="165"/>
  <c r="O175" i="165"/>
  <c r="M175" i="165"/>
  <c r="K175" i="165"/>
  <c r="I175" i="165"/>
  <c r="G175" i="165"/>
  <c r="E175" i="165"/>
  <c r="C175" i="165"/>
  <c r="AA174" i="165"/>
  <c r="Y174" i="165"/>
  <c r="W174" i="165"/>
  <c r="U174" i="165"/>
  <c r="S174" i="165"/>
  <c r="O174" i="165"/>
  <c r="M174" i="165"/>
  <c r="K174" i="165"/>
  <c r="I174" i="165"/>
  <c r="G174" i="165"/>
  <c r="E174" i="165"/>
  <c r="C174" i="165"/>
  <c r="AA173" i="165"/>
  <c r="Y173" i="165"/>
  <c r="W173" i="165"/>
  <c r="U173" i="165"/>
  <c r="S173" i="165"/>
  <c r="O173" i="165"/>
  <c r="M173" i="165"/>
  <c r="K173" i="165"/>
  <c r="I173" i="165"/>
  <c r="G173" i="165"/>
  <c r="E173" i="165"/>
  <c r="C173" i="165"/>
  <c r="AA172" i="165"/>
  <c r="Y172" i="165"/>
  <c r="W172" i="165"/>
  <c r="U172" i="165"/>
  <c r="S172" i="165"/>
  <c r="O172" i="165"/>
  <c r="M172" i="165"/>
  <c r="K172" i="165"/>
  <c r="I172" i="165"/>
  <c r="G172" i="165"/>
  <c r="E172" i="165"/>
  <c r="C172" i="165"/>
  <c r="AA171" i="165"/>
  <c r="Y171" i="165"/>
  <c r="W171" i="165"/>
  <c r="U171" i="165"/>
  <c r="S171" i="165"/>
  <c r="O171" i="165"/>
  <c r="M171" i="165"/>
  <c r="K171" i="165"/>
  <c r="I171" i="165"/>
  <c r="G171" i="165"/>
  <c r="P171" i="165" s="1"/>
  <c r="E171" i="165"/>
  <c r="C171" i="165"/>
  <c r="AA170" i="165"/>
  <c r="Y170" i="165"/>
  <c r="W170" i="165"/>
  <c r="U170" i="165"/>
  <c r="S170" i="165"/>
  <c r="O170" i="165"/>
  <c r="M170" i="165"/>
  <c r="K170" i="165"/>
  <c r="I170" i="165"/>
  <c r="P170" i="165" s="1"/>
  <c r="G170" i="165"/>
  <c r="E170" i="165"/>
  <c r="C170" i="165"/>
  <c r="AA169" i="165"/>
  <c r="Y169" i="165"/>
  <c r="W169" i="165"/>
  <c r="U169" i="165"/>
  <c r="S169" i="165"/>
  <c r="O169" i="165"/>
  <c r="M169" i="165"/>
  <c r="P169" i="165" s="1"/>
  <c r="K169" i="165"/>
  <c r="I169" i="165"/>
  <c r="G169" i="165"/>
  <c r="E169" i="165"/>
  <c r="C169" i="165"/>
  <c r="AA168" i="165"/>
  <c r="Y168" i="165"/>
  <c r="W168" i="165"/>
  <c r="U168" i="165"/>
  <c r="S168" i="165"/>
  <c r="O168" i="165"/>
  <c r="M168" i="165"/>
  <c r="P168" i="165" s="1"/>
  <c r="K168" i="165"/>
  <c r="I168" i="165"/>
  <c r="G168" i="165"/>
  <c r="E168" i="165"/>
  <c r="C168" i="165"/>
  <c r="AA167" i="165"/>
  <c r="Y167" i="165"/>
  <c r="W167" i="165"/>
  <c r="U167" i="165"/>
  <c r="S167" i="165"/>
  <c r="O167" i="165"/>
  <c r="P167" i="165" s="1"/>
  <c r="M167" i="165"/>
  <c r="K167" i="165"/>
  <c r="I167" i="165"/>
  <c r="G167" i="165"/>
  <c r="E167" i="165"/>
  <c r="C167" i="165"/>
  <c r="AA166" i="165"/>
  <c r="Y166" i="165"/>
  <c r="W166" i="165"/>
  <c r="U166" i="165"/>
  <c r="S166" i="165"/>
  <c r="P166" i="165"/>
  <c r="O166" i="165"/>
  <c r="M166" i="165"/>
  <c r="K166" i="165"/>
  <c r="I166" i="165"/>
  <c r="G166" i="165"/>
  <c r="E166" i="165"/>
  <c r="C166" i="165"/>
  <c r="AA165" i="165"/>
  <c r="Y165" i="165"/>
  <c r="W165" i="165"/>
  <c r="U165" i="165"/>
  <c r="S165" i="165"/>
  <c r="O165" i="165"/>
  <c r="M165" i="165"/>
  <c r="K165" i="165"/>
  <c r="I165" i="165"/>
  <c r="G165" i="165"/>
  <c r="E165" i="165"/>
  <c r="C165" i="165"/>
  <c r="P165" i="165" s="1"/>
  <c r="AA164" i="165"/>
  <c r="Y164" i="165"/>
  <c r="W164" i="165"/>
  <c r="U164" i="165"/>
  <c r="S164" i="165"/>
  <c r="O164" i="165"/>
  <c r="M164" i="165"/>
  <c r="K164" i="165"/>
  <c r="I164" i="165"/>
  <c r="G164" i="165"/>
  <c r="E164" i="165"/>
  <c r="C164" i="165"/>
  <c r="P164" i="165" s="1"/>
  <c r="AA163" i="165"/>
  <c r="Y163" i="165"/>
  <c r="W163" i="165"/>
  <c r="U163" i="165"/>
  <c r="S163" i="165"/>
  <c r="O163" i="165"/>
  <c r="M163" i="165"/>
  <c r="K163" i="165"/>
  <c r="I163" i="165"/>
  <c r="G163" i="165"/>
  <c r="E163" i="165"/>
  <c r="C163" i="165"/>
  <c r="P163" i="165" s="1"/>
  <c r="AA162" i="165"/>
  <c r="Y162" i="165"/>
  <c r="W162" i="165"/>
  <c r="U162" i="165"/>
  <c r="S162" i="165"/>
  <c r="O162" i="165"/>
  <c r="M162" i="165"/>
  <c r="K162" i="165"/>
  <c r="I162" i="165"/>
  <c r="G162" i="165"/>
  <c r="E162" i="165"/>
  <c r="C162" i="165"/>
  <c r="AA161" i="165"/>
  <c r="Y161" i="165"/>
  <c r="W161" i="165"/>
  <c r="U161" i="165"/>
  <c r="S161" i="165"/>
  <c r="O161" i="165"/>
  <c r="M161" i="165"/>
  <c r="K161" i="165"/>
  <c r="I161" i="165"/>
  <c r="G161" i="165"/>
  <c r="E161" i="165"/>
  <c r="C161" i="165"/>
  <c r="AA160" i="165"/>
  <c r="Y160" i="165"/>
  <c r="W160" i="165"/>
  <c r="U160" i="165"/>
  <c r="S160" i="165"/>
  <c r="O160" i="165"/>
  <c r="M160" i="165"/>
  <c r="K160" i="165"/>
  <c r="I160" i="165"/>
  <c r="G160" i="165"/>
  <c r="E160" i="165"/>
  <c r="C160" i="165"/>
  <c r="AA159" i="165"/>
  <c r="Y159" i="165"/>
  <c r="W159" i="165"/>
  <c r="U159" i="165"/>
  <c r="S159" i="165"/>
  <c r="O159" i="165"/>
  <c r="M159" i="165"/>
  <c r="K159" i="165"/>
  <c r="I159" i="165"/>
  <c r="G159" i="165"/>
  <c r="E159" i="165"/>
  <c r="C159" i="165"/>
  <c r="AA158" i="165"/>
  <c r="Y158" i="165"/>
  <c r="W158" i="165"/>
  <c r="U158" i="165"/>
  <c r="S158" i="165"/>
  <c r="O158" i="165"/>
  <c r="M158" i="165"/>
  <c r="K158" i="165"/>
  <c r="I158" i="165"/>
  <c r="G158" i="165"/>
  <c r="E158" i="165"/>
  <c r="C158" i="165"/>
  <c r="AA157" i="165"/>
  <c r="Y157" i="165"/>
  <c r="W157" i="165"/>
  <c r="U157" i="165"/>
  <c r="S157" i="165"/>
  <c r="O157" i="165"/>
  <c r="M157" i="165"/>
  <c r="K157" i="165"/>
  <c r="I157" i="165"/>
  <c r="G157" i="165"/>
  <c r="E157" i="165"/>
  <c r="C157" i="165"/>
  <c r="AA156" i="165"/>
  <c r="Y156" i="165"/>
  <c r="W156" i="165"/>
  <c r="U156" i="165"/>
  <c r="S156" i="165"/>
  <c r="O156" i="165"/>
  <c r="M156" i="165"/>
  <c r="K156" i="165"/>
  <c r="I156" i="165"/>
  <c r="G156" i="165"/>
  <c r="E156" i="165"/>
  <c r="C156" i="165"/>
  <c r="AA155" i="165"/>
  <c r="Y155" i="165"/>
  <c r="W155" i="165"/>
  <c r="U155" i="165"/>
  <c r="S155" i="165"/>
  <c r="O155" i="165"/>
  <c r="M155" i="165"/>
  <c r="P155" i="165" s="1"/>
  <c r="K155" i="165"/>
  <c r="I155" i="165"/>
  <c r="G155" i="165"/>
  <c r="E155" i="165"/>
  <c r="C155" i="165"/>
  <c r="AA154" i="165"/>
  <c r="Y154" i="165"/>
  <c r="W154" i="165"/>
  <c r="U154" i="165"/>
  <c r="S154" i="165"/>
  <c r="O154" i="165"/>
  <c r="P154" i="165" s="1"/>
  <c r="M154" i="165"/>
  <c r="K154" i="165"/>
  <c r="I154" i="165"/>
  <c r="G154" i="165"/>
  <c r="E154" i="165"/>
  <c r="C154" i="165"/>
  <c r="AA153" i="165"/>
  <c r="Y153" i="165"/>
  <c r="W153" i="165"/>
  <c r="U153" i="165"/>
  <c r="S153" i="165"/>
  <c r="P153" i="165"/>
  <c r="O153" i="165"/>
  <c r="M153" i="165"/>
  <c r="K153" i="165"/>
  <c r="I153" i="165"/>
  <c r="G153" i="165"/>
  <c r="E153" i="165"/>
  <c r="C153" i="165"/>
  <c r="AA152" i="165"/>
  <c r="Y152" i="165"/>
  <c r="W152" i="165"/>
  <c r="U152" i="165"/>
  <c r="S152" i="165"/>
  <c r="O152" i="165"/>
  <c r="M152" i="165"/>
  <c r="K152" i="165"/>
  <c r="I152" i="165"/>
  <c r="G152" i="165"/>
  <c r="E152" i="165"/>
  <c r="C152" i="165"/>
  <c r="AA151" i="165"/>
  <c r="Y151" i="165"/>
  <c r="W151" i="165"/>
  <c r="U151" i="165"/>
  <c r="S151" i="165"/>
  <c r="O151" i="165"/>
  <c r="M151" i="165"/>
  <c r="K151" i="165"/>
  <c r="I151" i="165"/>
  <c r="G151" i="165"/>
  <c r="E151" i="165"/>
  <c r="C151" i="165"/>
  <c r="AA150" i="165"/>
  <c r="Y150" i="165"/>
  <c r="W150" i="165"/>
  <c r="U150" i="165"/>
  <c r="S150" i="165"/>
  <c r="O150" i="165"/>
  <c r="P150" i="165" s="1"/>
  <c r="M150" i="165"/>
  <c r="K150" i="165"/>
  <c r="I150" i="165"/>
  <c r="G150" i="165"/>
  <c r="E150" i="165"/>
  <c r="C150" i="165"/>
  <c r="AA149" i="165"/>
  <c r="Y149" i="165"/>
  <c r="W149" i="165"/>
  <c r="U149" i="165"/>
  <c r="S149" i="165"/>
  <c r="P149" i="165"/>
  <c r="O149" i="165"/>
  <c r="M149" i="165"/>
  <c r="K149" i="165"/>
  <c r="I149" i="165"/>
  <c r="G149" i="165"/>
  <c r="E149" i="165"/>
  <c r="C149" i="165"/>
  <c r="AA148" i="165"/>
  <c r="Y148" i="165"/>
  <c r="W148" i="165"/>
  <c r="U148" i="165"/>
  <c r="S148" i="165"/>
  <c r="O148" i="165"/>
  <c r="M148" i="165"/>
  <c r="K148" i="165"/>
  <c r="I148" i="165"/>
  <c r="G148" i="165"/>
  <c r="E148" i="165"/>
  <c r="C148" i="165"/>
  <c r="P148" i="165" s="1"/>
  <c r="AA147" i="165"/>
  <c r="Y147" i="165"/>
  <c r="W147" i="165"/>
  <c r="U147" i="165"/>
  <c r="S147" i="165"/>
  <c r="O147" i="165"/>
  <c r="M147" i="165"/>
  <c r="K147" i="165"/>
  <c r="I147" i="165"/>
  <c r="G147" i="165"/>
  <c r="E147" i="165"/>
  <c r="P147" i="165" s="1"/>
  <c r="C147" i="165"/>
  <c r="AA146" i="165"/>
  <c r="Y146" i="165"/>
  <c r="W146" i="165"/>
  <c r="U146" i="165"/>
  <c r="S146" i="165"/>
  <c r="O146" i="165"/>
  <c r="M146" i="165"/>
  <c r="K146" i="165"/>
  <c r="I146" i="165"/>
  <c r="G146" i="165"/>
  <c r="P146" i="165" s="1"/>
  <c r="E146" i="165"/>
  <c r="C146" i="165"/>
  <c r="AA145" i="165"/>
  <c r="Y145" i="165"/>
  <c r="W145" i="165"/>
  <c r="U145" i="165"/>
  <c r="S145" i="165"/>
  <c r="O145" i="165"/>
  <c r="M145" i="165"/>
  <c r="K145" i="165"/>
  <c r="I145" i="165"/>
  <c r="G145" i="165"/>
  <c r="E145" i="165"/>
  <c r="C145" i="165"/>
  <c r="P145" i="165" s="1"/>
  <c r="AA144" i="165"/>
  <c r="Y144" i="165"/>
  <c r="W144" i="165"/>
  <c r="U144" i="165"/>
  <c r="S144" i="165"/>
  <c r="O144" i="165"/>
  <c r="M144" i="165"/>
  <c r="K144" i="165"/>
  <c r="I144" i="165"/>
  <c r="G144" i="165"/>
  <c r="E144" i="165"/>
  <c r="C144" i="165"/>
  <c r="P144" i="165" s="1"/>
  <c r="AA143" i="165"/>
  <c r="Y143" i="165"/>
  <c r="W143" i="165"/>
  <c r="U143" i="165"/>
  <c r="S143" i="165"/>
  <c r="O143" i="165"/>
  <c r="M143" i="165"/>
  <c r="K143" i="165"/>
  <c r="I143" i="165"/>
  <c r="G143" i="165"/>
  <c r="E143" i="165"/>
  <c r="C143" i="165"/>
  <c r="P143" i="165" s="1"/>
  <c r="AA142" i="165"/>
  <c r="Y142" i="165"/>
  <c r="W142" i="165"/>
  <c r="U142" i="165"/>
  <c r="S142" i="165"/>
  <c r="O142" i="165"/>
  <c r="M142" i="165"/>
  <c r="K142" i="165"/>
  <c r="I142" i="165"/>
  <c r="G142" i="165"/>
  <c r="E142" i="165"/>
  <c r="C142" i="165"/>
  <c r="P142" i="165" s="1"/>
  <c r="AA141" i="165"/>
  <c r="Y141" i="165"/>
  <c r="W141" i="165"/>
  <c r="U141" i="165"/>
  <c r="S141" i="165"/>
  <c r="O141" i="165"/>
  <c r="M141" i="165"/>
  <c r="K141" i="165"/>
  <c r="I141" i="165"/>
  <c r="G141" i="165"/>
  <c r="E141" i="165"/>
  <c r="P141" i="165" s="1"/>
  <c r="C141" i="165"/>
  <c r="AA140" i="165"/>
  <c r="Y140" i="165"/>
  <c r="W140" i="165"/>
  <c r="U140" i="165"/>
  <c r="S140" i="165"/>
  <c r="O140" i="165"/>
  <c r="M140" i="165"/>
  <c r="K140" i="165"/>
  <c r="I140" i="165"/>
  <c r="G140" i="165"/>
  <c r="E140" i="165"/>
  <c r="C140" i="165"/>
  <c r="AA139" i="165"/>
  <c r="Y139" i="165"/>
  <c r="W139" i="165"/>
  <c r="U139" i="165"/>
  <c r="S139" i="165"/>
  <c r="O139" i="165"/>
  <c r="M139" i="165"/>
  <c r="K139" i="165"/>
  <c r="I139" i="165"/>
  <c r="G139" i="165"/>
  <c r="E139" i="165"/>
  <c r="C139" i="165"/>
  <c r="AA138" i="165"/>
  <c r="Y138" i="165"/>
  <c r="W138" i="165"/>
  <c r="U138" i="165"/>
  <c r="S138" i="165"/>
  <c r="O138" i="165"/>
  <c r="M138" i="165"/>
  <c r="K138" i="165"/>
  <c r="I138" i="165"/>
  <c r="G138" i="165"/>
  <c r="P138" i="165" s="1"/>
  <c r="E138" i="165"/>
  <c r="C138" i="165"/>
  <c r="AA137" i="165"/>
  <c r="Y137" i="165"/>
  <c r="W137" i="165"/>
  <c r="U137" i="165"/>
  <c r="S137" i="165"/>
  <c r="O137" i="165"/>
  <c r="M137" i="165"/>
  <c r="K137" i="165"/>
  <c r="I137" i="165"/>
  <c r="P137" i="165" s="1"/>
  <c r="G137" i="165"/>
  <c r="E137" i="165"/>
  <c r="C137" i="165"/>
  <c r="AA136" i="165"/>
  <c r="Y136" i="165"/>
  <c r="W136" i="165"/>
  <c r="U136" i="165"/>
  <c r="S136" i="165"/>
  <c r="O136" i="165"/>
  <c r="M136" i="165"/>
  <c r="K136" i="165"/>
  <c r="I136" i="165"/>
  <c r="G136" i="165"/>
  <c r="E136" i="165"/>
  <c r="C136" i="165"/>
  <c r="P136" i="165" s="1"/>
  <c r="AA135" i="165"/>
  <c r="Y135" i="165"/>
  <c r="W135" i="165"/>
  <c r="U135" i="165"/>
  <c r="S135" i="165"/>
  <c r="O135" i="165"/>
  <c r="M135" i="165"/>
  <c r="K135" i="165"/>
  <c r="I135" i="165"/>
  <c r="G135" i="165"/>
  <c r="E135" i="165"/>
  <c r="P135" i="165" s="1"/>
  <c r="C135" i="165"/>
  <c r="AA134" i="165"/>
  <c r="Y134" i="165"/>
  <c r="W134" i="165"/>
  <c r="U134" i="165"/>
  <c r="S134" i="165"/>
  <c r="O134" i="165"/>
  <c r="M134" i="165"/>
  <c r="K134" i="165"/>
  <c r="I134" i="165"/>
  <c r="G134" i="165"/>
  <c r="P134" i="165" s="1"/>
  <c r="E134" i="165"/>
  <c r="C134" i="165"/>
  <c r="AA133" i="165"/>
  <c r="Y133" i="165"/>
  <c r="W133" i="165"/>
  <c r="U133" i="165"/>
  <c r="S133" i="165"/>
  <c r="O133" i="165"/>
  <c r="M133" i="165"/>
  <c r="K133" i="165"/>
  <c r="I133" i="165"/>
  <c r="P133" i="165" s="1"/>
  <c r="G133" i="165"/>
  <c r="E133" i="165"/>
  <c r="C133" i="165"/>
  <c r="AA132" i="165"/>
  <c r="Y132" i="165"/>
  <c r="W132" i="165"/>
  <c r="U132" i="165"/>
  <c r="S132" i="165"/>
  <c r="O132" i="165"/>
  <c r="M132" i="165"/>
  <c r="K132" i="165"/>
  <c r="I132" i="165"/>
  <c r="G132" i="165"/>
  <c r="E132" i="165"/>
  <c r="C132" i="165"/>
  <c r="AA131" i="165"/>
  <c r="Y131" i="165"/>
  <c r="W131" i="165"/>
  <c r="U131" i="165"/>
  <c r="S131" i="165"/>
  <c r="O131" i="165"/>
  <c r="M131" i="165"/>
  <c r="K131" i="165"/>
  <c r="I131" i="165"/>
  <c r="G131" i="165"/>
  <c r="E131" i="165"/>
  <c r="C131" i="165"/>
  <c r="AA130" i="165"/>
  <c r="Y130" i="165"/>
  <c r="W130" i="165"/>
  <c r="U130" i="165"/>
  <c r="S130" i="165"/>
  <c r="O130" i="165"/>
  <c r="M130" i="165"/>
  <c r="K130" i="165"/>
  <c r="I130" i="165"/>
  <c r="G130" i="165"/>
  <c r="E130" i="165"/>
  <c r="C130" i="165"/>
  <c r="AA129" i="165"/>
  <c r="Y129" i="165"/>
  <c r="W129" i="165"/>
  <c r="U129" i="165"/>
  <c r="S129" i="165"/>
  <c r="O129" i="165"/>
  <c r="M129" i="165"/>
  <c r="K129" i="165"/>
  <c r="P129" i="165" s="1"/>
  <c r="I129" i="165"/>
  <c r="G129" i="165"/>
  <c r="E129" i="165"/>
  <c r="C129" i="165"/>
  <c r="AA128" i="165"/>
  <c r="Y128" i="165"/>
  <c r="W128" i="165"/>
  <c r="U128" i="165"/>
  <c r="S128" i="165"/>
  <c r="O128" i="165"/>
  <c r="M128" i="165"/>
  <c r="K128" i="165"/>
  <c r="I128" i="165"/>
  <c r="G128" i="165"/>
  <c r="E128" i="165"/>
  <c r="C128" i="165"/>
  <c r="AA127" i="165"/>
  <c r="Y127" i="165"/>
  <c r="W127" i="165"/>
  <c r="U127" i="165"/>
  <c r="S127" i="165"/>
  <c r="O127" i="165"/>
  <c r="M127" i="165"/>
  <c r="K127" i="165"/>
  <c r="I127" i="165"/>
  <c r="G127" i="165"/>
  <c r="E127" i="165"/>
  <c r="C127" i="165"/>
  <c r="AA126" i="165"/>
  <c r="Y126" i="165"/>
  <c r="W126" i="165"/>
  <c r="U126" i="165"/>
  <c r="S126" i="165"/>
  <c r="O126" i="165"/>
  <c r="M126" i="165"/>
  <c r="P126" i="165" s="1"/>
  <c r="K126" i="165"/>
  <c r="I126" i="165"/>
  <c r="G126" i="165"/>
  <c r="E126" i="165"/>
  <c r="C126" i="165"/>
  <c r="AA125" i="165"/>
  <c r="Y125" i="165"/>
  <c r="W125" i="165"/>
  <c r="U125" i="165"/>
  <c r="S125" i="165"/>
  <c r="O125" i="165"/>
  <c r="P125" i="165" s="1"/>
  <c r="M125" i="165"/>
  <c r="K125" i="165"/>
  <c r="I125" i="165"/>
  <c r="G125" i="165"/>
  <c r="E125" i="165"/>
  <c r="C125" i="165"/>
  <c r="AA124" i="165"/>
  <c r="Y124" i="165"/>
  <c r="W124" i="165"/>
  <c r="U124" i="165"/>
  <c r="S124" i="165"/>
  <c r="P124" i="165"/>
  <c r="O124" i="165"/>
  <c r="M124" i="165"/>
  <c r="K124" i="165"/>
  <c r="I124" i="165"/>
  <c r="G124" i="165"/>
  <c r="E124" i="165"/>
  <c r="C124" i="165"/>
  <c r="AA123" i="165"/>
  <c r="Y123" i="165"/>
  <c r="W123" i="165"/>
  <c r="U123" i="165"/>
  <c r="S123" i="165"/>
  <c r="O123" i="165"/>
  <c r="M123" i="165"/>
  <c r="K123" i="165"/>
  <c r="I123" i="165"/>
  <c r="G123" i="165"/>
  <c r="E123" i="165"/>
  <c r="C123" i="165"/>
  <c r="AA122" i="165"/>
  <c r="Y122" i="165"/>
  <c r="W122" i="165"/>
  <c r="U122" i="165"/>
  <c r="S122" i="165"/>
  <c r="P122" i="165"/>
  <c r="O122" i="165"/>
  <c r="M122" i="165"/>
  <c r="K122" i="165"/>
  <c r="I122" i="165"/>
  <c r="G122" i="165"/>
  <c r="E122" i="165"/>
  <c r="C122" i="165"/>
  <c r="AA121" i="165"/>
  <c r="Y121" i="165"/>
  <c r="W121" i="165"/>
  <c r="U121" i="165"/>
  <c r="S121" i="165"/>
  <c r="O121" i="165"/>
  <c r="M121" i="165"/>
  <c r="K121" i="165"/>
  <c r="I121" i="165"/>
  <c r="G121" i="165"/>
  <c r="E121" i="165"/>
  <c r="C121" i="165"/>
  <c r="P121" i="165" s="1"/>
  <c r="AA120" i="165"/>
  <c r="Y120" i="165"/>
  <c r="W120" i="165"/>
  <c r="U120" i="165"/>
  <c r="S120" i="165"/>
  <c r="O120" i="165"/>
  <c r="M120" i="165"/>
  <c r="K120" i="165"/>
  <c r="I120" i="165"/>
  <c r="G120" i="165"/>
  <c r="E120" i="165"/>
  <c r="C120" i="165"/>
  <c r="P120" i="165" s="1"/>
  <c r="AA119" i="165"/>
  <c r="Y119" i="165"/>
  <c r="W119" i="165"/>
  <c r="U119" i="165"/>
  <c r="S119" i="165"/>
  <c r="O119" i="165"/>
  <c r="M119" i="165"/>
  <c r="K119" i="165"/>
  <c r="I119" i="165"/>
  <c r="G119" i="165"/>
  <c r="E119" i="165"/>
  <c r="C119" i="165"/>
  <c r="P119" i="165" s="1"/>
  <c r="AA118" i="165"/>
  <c r="Y118" i="165"/>
  <c r="W118" i="165"/>
  <c r="U118" i="165"/>
  <c r="S118" i="165"/>
  <c r="O118" i="165"/>
  <c r="M118" i="165"/>
  <c r="K118" i="165"/>
  <c r="I118" i="165"/>
  <c r="G118" i="165"/>
  <c r="E118" i="165"/>
  <c r="C118" i="165"/>
  <c r="P118" i="165" s="1"/>
  <c r="AA117" i="165"/>
  <c r="Y117" i="165"/>
  <c r="W117" i="165"/>
  <c r="U117" i="165"/>
  <c r="S117" i="165"/>
  <c r="O117" i="165"/>
  <c r="M117" i="165"/>
  <c r="K117" i="165"/>
  <c r="I117" i="165"/>
  <c r="G117" i="165"/>
  <c r="E117" i="165"/>
  <c r="C117" i="165"/>
  <c r="P117" i="165" s="1"/>
  <c r="AA116" i="165"/>
  <c r="Y116" i="165"/>
  <c r="W116" i="165"/>
  <c r="U116" i="165"/>
  <c r="S116" i="165"/>
  <c r="O116" i="165"/>
  <c r="M116" i="165"/>
  <c r="K116" i="165"/>
  <c r="I116" i="165"/>
  <c r="G116" i="165"/>
  <c r="E116" i="165"/>
  <c r="C116" i="165"/>
  <c r="P116" i="165" s="1"/>
  <c r="AA115" i="165"/>
  <c r="Y115" i="165"/>
  <c r="W115" i="165"/>
  <c r="U115" i="165"/>
  <c r="S115" i="165"/>
  <c r="O115" i="165"/>
  <c r="M115" i="165"/>
  <c r="K115" i="165"/>
  <c r="I115" i="165"/>
  <c r="G115" i="165"/>
  <c r="E115" i="165"/>
  <c r="C115" i="165"/>
  <c r="P115" i="165" s="1"/>
  <c r="AA114" i="165"/>
  <c r="Y114" i="165"/>
  <c r="W114" i="165"/>
  <c r="U114" i="165"/>
  <c r="S114" i="165"/>
  <c r="O114" i="165"/>
  <c r="M114" i="165"/>
  <c r="K114" i="165"/>
  <c r="I114" i="165"/>
  <c r="G114" i="165"/>
  <c r="E114" i="165"/>
  <c r="C114" i="165"/>
  <c r="P114" i="165" s="1"/>
  <c r="AA113" i="165"/>
  <c r="Y113" i="165"/>
  <c r="W113" i="165"/>
  <c r="U113" i="165"/>
  <c r="S113" i="165"/>
  <c r="O113" i="165"/>
  <c r="M113" i="165"/>
  <c r="K113" i="165"/>
  <c r="I113" i="165"/>
  <c r="G113" i="165"/>
  <c r="E113" i="165"/>
  <c r="C113" i="165"/>
  <c r="AA112" i="165"/>
  <c r="Y112" i="165"/>
  <c r="W112" i="165"/>
  <c r="U112" i="165"/>
  <c r="S112" i="165"/>
  <c r="O112" i="165"/>
  <c r="M112" i="165"/>
  <c r="K112" i="165"/>
  <c r="I112" i="165"/>
  <c r="G112" i="165"/>
  <c r="E112" i="165"/>
  <c r="C112" i="165"/>
  <c r="P112" i="165" s="1"/>
  <c r="AA111" i="165"/>
  <c r="Y111" i="165"/>
  <c r="W111" i="165"/>
  <c r="U111" i="165"/>
  <c r="S111" i="165"/>
  <c r="O111" i="165"/>
  <c r="M111" i="165"/>
  <c r="K111" i="165"/>
  <c r="I111" i="165"/>
  <c r="G111" i="165"/>
  <c r="E111" i="165"/>
  <c r="P111" i="165" s="1"/>
  <c r="C111" i="165"/>
  <c r="AA110" i="165"/>
  <c r="Y110" i="165"/>
  <c r="W110" i="165"/>
  <c r="U110" i="165"/>
  <c r="S110" i="165"/>
  <c r="O110" i="165"/>
  <c r="M110" i="165"/>
  <c r="K110" i="165"/>
  <c r="I110" i="165"/>
  <c r="G110" i="165"/>
  <c r="P110" i="165" s="1"/>
  <c r="E110" i="165"/>
  <c r="C110" i="165"/>
  <c r="AA109" i="165"/>
  <c r="Y109" i="165"/>
  <c r="W109" i="165"/>
  <c r="U109" i="165"/>
  <c r="S109" i="165"/>
  <c r="O109" i="165"/>
  <c r="M109" i="165"/>
  <c r="K109" i="165"/>
  <c r="I109" i="165"/>
  <c r="P109" i="165" s="1"/>
  <c r="G109" i="165"/>
  <c r="E109" i="165"/>
  <c r="C109" i="165"/>
  <c r="AA108" i="165"/>
  <c r="Y108" i="165"/>
  <c r="W108" i="165"/>
  <c r="U108" i="165"/>
  <c r="S108" i="165"/>
  <c r="O108" i="165"/>
  <c r="M108" i="165"/>
  <c r="K108" i="165"/>
  <c r="P108" i="165" s="1"/>
  <c r="I108" i="165"/>
  <c r="G108" i="165"/>
  <c r="E108" i="165"/>
  <c r="C108" i="165"/>
  <c r="AA107" i="165"/>
  <c r="Y107" i="165"/>
  <c r="W107" i="165"/>
  <c r="U107" i="165"/>
  <c r="S107" i="165"/>
  <c r="O107" i="165"/>
  <c r="M107" i="165"/>
  <c r="K107" i="165"/>
  <c r="I107" i="165"/>
  <c r="G107" i="165"/>
  <c r="E107" i="165"/>
  <c r="C107" i="165"/>
  <c r="P107" i="165" s="1"/>
  <c r="AA106" i="165"/>
  <c r="Y106" i="165"/>
  <c r="W106" i="165"/>
  <c r="U106" i="165"/>
  <c r="S106" i="165"/>
  <c r="O106" i="165"/>
  <c r="M106" i="165"/>
  <c r="K106" i="165"/>
  <c r="I106" i="165"/>
  <c r="G106" i="165"/>
  <c r="E106" i="165"/>
  <c r="C106" i="165"/>
  <c r="AA105" i="165"/>
  <c r="Y105" i="165"/>
  <c r="W105" i="165"/>
  <c r="U105" i="165"/>
  <c r="S105" i="165"/>
  <c r="P105" i="165"/>
  <c r="O105" i="165"/>
  <c r="M105" i="165"/>
  <c r="K105" i="165"/>
  <c r="I105" i="165"/>
  <c r="G105" i="165"/>
  <c r="E105" i="165"/>
  <c r="C105" i="165"/>
  <c r="AA104" i="165"/>
  <c r="Y104" i="165"/>
  <c r="W104" i="165"/>
  <c r="U104" i="165"/>
  <c r="S104" i="165"/>
  <c r="O104" i="165"/>
  <c r="M104" i="165"/>
  <c r="K104" i="165"/>
  <c r="I104" i="165"/>
  <c r="G104" i="165"/>
  <c r="E104" i="165"/>
  <c r="C104" i="165"/>
  <c r="AA103" i="165"/>
  <c r="Y103" i="165"/>
  <c r="W103" i="165"/>
  <c r="U103" i="165"/>
  <c r="S103" i="165"/>
  <c r="O103" i="165"/>
  <c r="M103" i="165"/>
  <c r="K103" i="165"/>
  <c r="I103" i="165"/>
  <c r="G103" i="165"/>
  <c r="E103" i="165"/>
  <c r="C103" i="165"/>
  <c r="AA102" i="165"/>
  <c r="Y102" i="165"/>
  <c r="W102" i="165"/>
  <c r="U102" i="165"/>
  <c r="S102" i="165"/>
  <c r="O102" i="165"/>
  <c r="M102" i="165"/>
  <c r="K102" i="165"/>
  <c r="I102" i="165"/>
  <c r="G102" i="165"/>
  <c r="E102" i="165"/>
  <c r="C102" i="165"/>
  <c r="AA101" i="165"/>
  <c r="Y101" i="165"/>
  <c r="W101" i="165"/>
  <c r="U101" i="165"/>
  <c r="S101" i="165"/>
  <c r="O101" i="165"/>
  <c r="M101" i="165"/>
  <c r="K101" i="165"/>
  <c r="I101" i="165"/>
  <c r="G101" i="165"/>
  <c r="E101" i="165"/>
  <c r="C101" i="165"/>
  <c r="AA100" i="165"/>
  <c r="Y100" i="165"/>
  <c r="W100" i="165"/>
  <c r="U100" i="165"/>
  <c r="S100" i="165"/>
  <c r="O100" i="165"/>
  <c r="M100" i="165"/>
  <c r="K100" i="165"/>
  <c r="I100" i="165"/>
  <c r="G100" i="165"/>
  <c r="E100" i="165"/>
  <c r="C100" i="165"/>
  <c r="AA99" i="165"/>
  <c r="Y99" i="165"/>
  <c r="W99" i="165"/>
  <c r="U99" i="165"/>
  <c r="S99" i="165"/>
  <c r="P99" i="165"/>
  <c r="O99" i="165"/>
  <c r="M99" i="165"/>
  <c r="K99" i="165"/>
  <c r="I99" i="165"/>
  <c r="G99" i="165"/>
  <c r="E99" i="165"/>
  <c r="C99" i="165"/>
  <c r="AA98" i="165"/>
  <c r="Y98" i="165"/>
  <c r="W98" i="165"/>
  <c r="U98" i="165"/>
  <c r="S98" i="165"/>
  <c r="O98" i="165"/>
  <c r="M98" i="165"/>
  <c r="K98" i="165"/>
  <c r="I98" i="165"/>
  <c r="G98" i="165"/>
  <c r="P98" i="165" s="1"/>
  <c r="E98" i="165"/>
  <c r="C98" i="165"/>
  <c r="AA97" i="165"/>
  <c r="Y97" i="165"/>
  <c r="W97" i="165"/>
  <c r="U97" i="165"/>
  <c r="S97" i="165"/>
  <c r="O97" i="165"/>
  <c r="M97" i="165"/>
  <c r="K97" i="165"/>
  <c r="I97" i="165"/>
  <c r="G97" i="165"/>
  <c r="E97" i="165"/>
  <c r="C97" i="165"/>
  <c r="AA96" i="165"/>
  <c r="Y96" i="165"/>
  <c r="W96" i="165"/>
  <c r="U96" i="165"/>
  <c r="S96" i="165"/>
  <c r="O96" i="165"/>
  <c r="M96" i="165"/>
  <c r="K96" i="165"/>
  <c r="I96" i="165"/>
  <c r="G96" i="165"/>
  <c r="E96" i="165"/>
  <c r="C96" i="165"/>
  <c r="AA95" i="165"/>
  <c r="Y95" i="165"/>
  <c r="W95" i="165"/>
  <c r="U95" i="165"/>
  <c r="S95" i="165"/>
  <c r="O95" i="165"/>
  <c r="M95" i="165"/>
  <c r="P95" i="165" s="1"/>
  <c r="K95" i="165"/>
  <c r="I95" i="165"/>
  <c r="G95" i="165"/>
  <c r="E95" i="165"/>
  <c r="C95" i="165"/>
  <c r="AA94" i="165"/>
  <c r="Y94" i="165"/>
  <c r="W94" i="165"/>
  <c r="U94" i="165"/>
  <c r="S94" i="165"/>
  <c r="O94" i="165"/>
  <c r="P94" i="165" s="1"/>
  <c r="M94" i="165"/>
  <c r="K94" i="165"/>
  <c r="I94" i="165"/>
  <c r="G94" i="165"/>
  <c r="E94" i="165"/>
  <c r="C94" i="165"/>
  <c r="AA93" i="165"/>
  <c r="Y93" i="165"/>
  <c r="W93" i="165"/>
  <c r="U93" i="165"/>
  <c r="S93" i="165"/>
  <c r="P93" i="165"/>
  <c r="O93" i="165"/>
  <c r="M93" i="165"/>
  <c r="K93" i="165"/>
  <c r="I93" i="165"/>
  <c r="G93" i="165"/>
  <c r="E93" i="165"/>
  <c r="C93" i="165"/>
  <c r="AA92" i="165"/>
  <c r="Y92" i="165"/>
  <c r="W92" i="165"/>
  <c r="U92" i="165"/>
  <c r="S92" i="165"/>
  <c r="O92" i="165"/>
  <c r="M92" i="165"/>
  <c r="K92" i="165"/>
  <c r="I92" i="165"/>
  <c r="G92" i="165"/>
  <c r="E92" i="165"/>
  <c r="C92" i="165"/>
  <c r="AA91" i="165"/>
  <c r="Y91" i="165"/>
  <c r="W91" i="165"/>
  <c r="U91" i="165"/>
  <c r="S91" i="165"/>
  <c r="O91" i="165"/>
  <c r="M91" i="165"/>
  <c r="K91" i="165"/>
  <c r="I91" i="165"/>
  <c r="G91" i="165"/>
  <c r="E91" i="165"/>
  <c r="C91" i="165"/>
  <c r="AA90" i="165"/>
  <c r="Y90" i="165"/>
  <c r="W90" i="165"/>
  <c r="U90" i="165"/>
  <c r="S90" i="165"/>
  <c r="P90" i="165"/>
  <c r="O90" i="165"/>
  <c r="M90" i="165"/>
  <c r="K90" i="165"/>
  <c r="I90" i="165"/>
  <c r="G90" i="165"/>
  <c r="E90" i="165"/>
  <c r="C90" i="165"/>
  <c r="AA89" i="165"/>
  <c r="Y89" i="165"/>
  <c r="W89" i="165"/>
  <c r="U89" i="165"/>
  <c r="S89" i="165"/>
  <c r="P89" i="165"/>
  <c r="O89" i="165"/>
  <c r="M89" i="165"/>
  <c r="K89" i="165"/>
  <c r="I89" i="165"/>
  <c r="G89" i="165"/>
  <c r="E89" i="165"/>
  <c r="C89" i="165"/>
  <c r="AA88" i="165"/>
  <c r="Y88" i="165"/>
  <c r="W88" i="165"/>
  <c r="U88" i="165"/>
  <c r="S88" i="165"/>
  <c r="O88" i="165"/>
  <c r="M88" i="165"/>
  <c r="K88" i="165"/>
  <c r="I88" i="165"/>
  <c r="G88" i="165"/>
  <c r="E88" i="165"/>
  <c r="C88" i="165"/>
  <c r="AA87" i="165"/>
  <c r="Y87" i="165"/>
  <c r="W87" i="165"/>
  <c r="U87" i="165"/>
  <c r="S87" i="165"/>
  <c r="O87" i="165"/>
  <c r="M87" i="165"/>
  <c r="K87" i="165"/>
  <c r="I87" i="165"/>
  <c r="G87" i="165"/>
  <c r="E87" i="165"/>
  <c r="C87" i="165"/>
  <c r="AA86" i="165"/>
  <c r="Y86" i="165"/>
  <c r="W86" i="165"/>
  <c r="U86" i="165"/>
  <c r="S86" i="165"/>
  <c r="O86" i="165"/>
  <c r="M86" i="165"/>
  <c r="K86" i="165"/>
  <c r="I86" i="165"/>
  <c r="G86" i="165"/>
  <c r="E86" i="165"/>
  <c r="C86" i="165"/>
  <c r="AA85" i="165"/>
  <c r="Y85" i="165"/>
  <c r="W85" i="165"/>
  <c r="U85" i="165"/>
  <c r="S85" i="165"/>
  <c r="P85" i="165"/>
  <c r="O85" i="165"/>
  <c r="M85" i="165"/>
  <c r="K85" i="165"/>
  <c r="I85" i="165"/>
  <c r="G85" i="165"/>
  <c r="E85" i="165"/>
  <c r="C85" i="165"/>
  <c r="AA84" i="165"/>
  <c r="Y84" i="165"/>
  <c r="W84" i="165"/>
  <c r="U84" i="165"/>
  <c r="S84" i="165"/>
  <c r="O84" i="165"/>
  <c r="M84" i="165"/>
  <c r="K84" i="165"/>
  <c r="I84" i="165"/>
  <c r="G84" i="165"/>
  <c r="E84" i="165"/>
  <c r="C84" i="165"/>
  <c r="AA83" i="165"/>
  <c r="Y83" i="165"/>
  <c r="W83" i="165"/>
  <c r="U83" i="165"/>
  <c r="S83" i="165"/>
  <c r="O83" i="165"/>
  <c r="P83" i="165" s="1"/>
  <c r="M83" i="165"/>
  <c r="K83" i="165"/>
  <c r="I83" i="165"/>
  <c r="G83" i="165"/>
  <c r="E83" i="165"/>
  <c r="C83" i="165"/>
  <c r="AA82" i="165"/>
  <c r="Y82" i="165"/>
  <c r="W82" i="165"/>
  <c r="U82" i="165"/>
  <c r="S82" i="165"/>
  <c r="P82" i="165"/>
  <c r="O82" i="165"/>
  <c r="M82" i="165"/>
  <c r="K82" i="165"/>
  <c r="I82" i="165"/>
  <c r="G82" i="165"/>
  <c r="E82" i="165"/>
  <c r="C82" i="165"/>
  <c r="AA81" i="165"/>
  <c r="Y81" i="165"/>
  <c r="W81" i="165"/>
  <c r="U81" i="165"/>
  <c r="S81" i="165"/>
  <c r="P81" i="165"/>
  <c r="O81" i="165"/>
  <c r="M81" i="165"/>
  <c r="K81" i="165"/>
  <c r="I81" i="165"/>
  <c r="G81" i="165"/>
  <c r="E81" i="165"/>
  <c r="C81" i="165"/>
  <c r="AA80" i="165"/>
  <c r="Y80" i="165"/>
  <c r="W80" i="165"/>
  <c r="U80" i="165"/>
  <c r="S80" i="165"/>
  <c r="O80" i="165"/>
  <c r="M80" i="165"/>
  <c r="K80" i="165"/>
  <c r="I80" i="165"/>
  <c r="G80" i="165"/>
  <c r="E80" i="165"/>
  <c r="C80" i="165"/>
  <c r="AA79" i="165"/>
  <c r="Y79" i="165"/>
  <c r="W79" i="165"/>
  <c r="U79" i="165"/>
  <c r="S79" i="165"/>
  <c r="O79" i="165"/>
  <c r="M79" i="165"/>
  <c r="K79" i="165"/>
  <c r="I79" i="165"/>
  <c r="G79" i="165"/>
  <c r="E79" i="165"/>
  <c r="C79" i="165"/>
  <c r="AA78" i="165"/>
  <c r="Y78" i="165"/>
  <c r="W78" i="165"/>
  <c r="U78" i="165"/>
  <c r="S78" i="165"/>
  <c r="O78" i="165"/>
  <c r="M78" i="165"/>
  <c r="K78" i="165"/>
  <c r="I78" i="165"/>
  <c r="G78" i="165"/>
  <c r="E78" i="165"/>
  <c r="C78" i="165"/>
  <c r="P78" i="165" s="1"/>
  <c r="AA77" i="165"/>
  <c r="Y77" i="165"/>
  <c r="W77" i="165"/>
  <c r="U77" i="165"/>
  <c r="S77" i="165"/>
  <c r="O77" i="165"/>
  <c r="M77" i="165"/>
  <c r="K77" i="165"/>
  <c r="I77" i="165"/>
  <c r="G77" i="165"/>
  <c r="E77" i="165"/>
  <c r="P77" i="165" s="1"/>
  <c r="C77" i="165"/>
  <c r="AA76" i="165"/>
  <c r="Y76" i="165"/>
  <c r="W76" i="165"/>
  <c r="U76" i="165"/>
  <c r="S76" i="165"/>
  <c r="O76" i="165"/>
  <c r="M76" i="165"/>
  <c r="K76" i="165"/>
  <c r="I76" i="165"/>
  <c r="G76" i="165"/>
  <c r="E76" i="165"/>
  <c r="C76" i="165"/>
  <c r="P76" i="165" s="1"/>
  <c r="AA75" i="165"/>
  <c r="Y75" i="165"/>
  <c r="W75" i="165"/>
  <c r="U75" i="165"/>
  <c r="S75" i="165"/>
  <c r="O75" i="165"/>
  <c r="M75" i="165"/>
  <c r="K75" i="165"/>
  <c r="I75" i="165"/>
  <c r="G75" i="165"/>
  <c r="E75" i="165"/>
  <c r="P75" i="165" s="1"/>
  <c r="C75" i="165"/>
  <c r="AA74" i="165"/>
  <c r="Y74" i="165"/>
  <c r="W74" i="165"/>
  <c r="U74" i="165"/>
  <c r="S74" i="165"/>
  <c r="O74" i="165"/>
  <c r="M74" i="165"/>
  <c r="K74" i="165"/>
  <c r="I74" i="165"/>
  <c r="G74" i="165"/>
  <c r="E74" i="165"/>
  <c r="C74" i="165"/>
  <c r="AA73" i="165"/>
  <c r="Y73" i="165"/>
  <c r="W73" i="165"/>
  <c r="U73" i="165"/>
  <c r="S73" i="165"/>
  <c r="O73" i="165"/>
  <c r="M73" i="165"/>
  <c r="K73" i="165"/>
  <c r="I73" i="165"/>
  <c r="G73" i="165"/>
  <c r="E73" i="165"/>
  <c r="C73" i="165"/>
  <c r="P73" i="165" s="1"/>
  <c r="AA72" i="165"/>
  <c r="Y72" i="165"/>
  <c r="W72" i="165"/>
  <c r="U72" i="165"/>
  <c r="S72" i="165"/>
  <c r="O72" i="165"/>
  <c r="M72" i="165"/>
  <c r="K72" i="165"/>
  <c r="I72" i="165"/>
  <c r="G72" i="165"/>
  <c r="E72" i="165"/>
  <c r="C72" i="165"/>
  <c r="P72" i="165" s="1"/>
  <c r="AA71" i="165"/>
  <c r="Y71" i="165"/>
  <c r="W71" i="165"/>
  <c r="U71" i="165"/>
  <c r="S71" i="165"/>
  <c r="O71" i="165"/>
  <c r="M71" i="165"/>
  <c r="K71" i="165"/>
  <c r="I71" i="165"/>
  <c r="G71" i="165"/>
  <c r="E71" i="165"/>
  <c r="C71" i="165"/>
  <c r="P71" i="165" s="1"/>
  <c r="AA70" i="165"/>
  <c r="Y70" i="165"/>
  <c r="W70" i="165"/>
  <c r="U70" i="165"/>
  <c r="S70" i="165"/>
  <c r="O70" i="165"/>
  <c r="M70" i="165"/>
  <c r="K70" i="165"/>
  <c r="I70" i="165"/>
  <c r="G70" i="165"/>
  <c r="P70" i="165" s="1"/>
  <c r="E70" i="165"/>
  <c r="C70" i="165"/>
  <c r="AA69" i="165"/>
  <c r="Y69" i="165"/>
  <c r="W69" i="165"/>
  <c r="U69" i="165"/>
  <c r="S69" i="165"/>
  <c r="O69" i="165"/>
  <c r="M69" i="165"/>
  <c r="K69" i="165"/>
  <c r="I69" i="165"/>
  <c r="P69" i="165" s="1"/>
  <c r="G69" i="165"/>
  <c r="E69" i="165"/>
  <c r="C69" i="165"/>
  <c r="AA68" i="165"/>
  <c r="Y68" i="165"/>
  <c r="W68" i="165"/>
  <c r="U68" i="165"/>
  <c r="S68" i="165"/>
  <c r="O68" i="165"/>
  <c r="M68" i="165"/>
  <c r="K68" i="165"/>
  <c r="I68" i="165"/>
  <c r="G68" i="165"/>
  <c r="E68" i="165"/>
  <c r="C68" i="165"/>
  <c r="AA67" i="165"/>
  <c r="Y67" i="165"/>
  <c r="W67" i="165"/>
  <c r="U67" i="165"/>
  <c r="S67" i="165"/>
  <c r="O67" i="165"/>
  <c r="M67" i="165"/>
  <c r="K67" i="165"/>
  <c r="I67" i="165"/>
  <c r="G67" i="165"/>
  <c r="E67" i="165"/>
  <c r="C67" i="165"/>
  <c r="AA66" i="165"/>
  <c r="Y66" i="165"/>
  <c r="W66" i="165"/>
  <c r="U66" i="165"/>
  <c r="S66" i="165"/>
  <c r="O66" i="165"/>
  <c r="M66" i="165"/>
  <c r="P66" i="165" s="1"/>
  <c r="K66" i="165"/>
  <c r="I66" i="165"/>
  <c r="G66" i="165"/>
  <c r="E66" i="165"/>
  <c r="C66" i="165"/>
  <c r="AA65" i="165"/>
  <c r="Y65" i="165"/>
  <c r="W65" i="165"/>
  <c r="U65" i="165"/>
  <c r="S65" i="165"/>
  <c r="O65" i="165"/>
  <c r="M65" i="165"/>
  <c r="K65" i="165"/>
  <c r="I65" i="165"/>
  <c r="G65" i="165"/>
  <c r="E65" i="165"/>
  <c r="C65" i="165"/>
  <c r="AA64" i="165"/>
  <c r="Y64" i="165"/>
  <c r="W64" i="165"/>
  <c r="U64" i="165"/>
  <c r="S64" i="165"/>
  <c r="O64" i="165"/>
  <c r="M64" i="165"/>
  <c r="P64" i="165" s="1"/>
  <c r="K64" i="165"/>
  <c r="I64" i="165"/>
  <c r="G64" i="165"/>
  <c r="E64" i="165"/>
  <c r="C64" i="165"/>
  <c r="AA63" i="165"/>
  <c r="Y63" i="165"/>
  <c r="W63" i="165"/>
  <c r="U63" i="165"/>
  <c r="S63" i="165"/>
  <c r="O63" i="165"/>
  <c r="P63" i="165" s="1"/>
  <c r="M63" i="165"/>
  <c r="K63" i="165"/>
  <c r="I63" i="165"/>
  <c r="G63" i="165"/>
  <c r="E63" i="165"/>
  <c r="C63" i="165"/>
  <c r="AA62" i="165"/>
  <c r="Y62" i="165"/>
  <c r="W62" i="165"/>
  <c r="U62" i="165"/>
  <c r="S62" i="165"/>
  <c r="P62" i="165"/>
  <c r="O62" i="165"/>
  <c r="M62" i="165"/>
  <c r="K62" i="165"/>
  <c r="I62" i="165"/>
  <c r="G62" i="165"/>
  <c r="E62" i="165"/>
  <c r="C62" i="165"/>
  <c r="AA61" i="165"/>
  <c r="Y61" i="165"/>
  <c r="W61" i="165"/>
  <c r="U61" i="165"/>
  <c r="S61" i="165"/>
  <c r="O61" i="165"/>
  <c r="M61" i="165"/>
  <c r="K61" i="165"/>
  <c r="I61" i="165"/>
  <c r="G61" i="165"/>
  <c r="E61" i="165"/>
  <c r="C61" i="165"/>
  <c r="P61" i="165" s="1"/>
  <c r="AA60" i="165"/>
  <c r="Y60" i="165"/>
  <c r="W60" i="165"/>
  <c r="U60" i="165"/>
  <c r="S60" i="165"/>
  <c r="O60" i="165"/>
  <c r="M60" i="165"/>
  <c r="K60" i="165"/>
  <c r="I60" i="165"/>
  <c r="G60" i="165"/>
  <c r="E60" i="165"/>
  <c r="C60" i="165"/>
  <c r="P60" i="165" s="1"/>
  <c r="AA59" i="165"/>
  <c r="Y59" i="165"/>
  <c r="W59" i="165"/>
  <c r="U59" i="165"/>
  <c r="S59" i="165"/>
  <c r="O59" i="165"/>
  <c r="M59" i="165"/>
  <c r="K59" i="165"/>
  <c r="I59" i="165"/>
  <c r="G59" i="165"/>
  <c r="E59" i="165"/>
  <c r="C59" i="165"/>
  <c r="P59" i="165" s="1"/>
  <c r="AA58" i="165"/>
  <c r="Y58" i="165"/>
  <c r="W58" i="165"/>
  <c r="U58" i="165"/>
  <c r="S58" i="165"/>
  <c r="O58" i="165"/>
  <c r="M58" i="165"/>
  <c r="K58" i="165"/>
  <c r="I58" i="165"/>
  <c r="G58" i="165"/>
  <c r="E58" i="165"/>
  <c r="C58" i="165"/>
  <c r="P58" i="165" s="1"/>
  <c r="AA57" i="165"/>
  <c r="Y57" i="165"/>
  <c r="W57" i="165"/>
  <c r="U57" i="165"/>
  <c r="S57" i="165"/>
  <c r="O57" i="165"/>
  <c r="M57" i="165"/>
  <c r="K57" i="165"/>
  <c r="I57" i="165"/>
  <c r="G57" i="165"/>
  <c r="E57" i="165"/>
  <c r="P57" i="165" s="1"/>
  <c r="C57" i="165"/>
  <c r="AA56" i="165"/>
  <c r="Y56" i="165"/>
  <c r="W56" i="165"/>
  <c r="U56" i="165"/>
  <c r="S56" i="165"/>
  <c r="O56" i="165"/>
  <c r="M56" i="165"/>
  <c r="K56" i="165"/>
  <c r="I56" i="165"/>
  <c r="G56" i="165"/>
  <c r="E56" i="165"/>
  <c r="C56" i="165"/>
  <c r="AA55" i="165"/>
  <c r="Y55" i="165"/>
  <c r="W55" i="165"/>
  <c r="U55" i="165"/>
  <c r="S55" i="165"/>
  <c r="O55" i="165"/>
  <c r="M55" i="165"/>
  <c r="K55" i="165"/>
  <c r="I55" i="165"/>
  <c r="G55" i="165"/>
  <c r="E55" i="165"/>
  <c r="C55" i="165"/>
  <c r="AA54" i="165"/>
  <c r="Y54" i="165"/>
  <c r="W54" i="165"/>
  <c r="U54" i="165"/>
  <c r="S54" i="165"/>
  <c r="O54" i="165"/>
  <c r="M54" i="165"/>
  <c r="K54" i="165"/>
  <c r="I54" i="165"/>
  <c r="G54" i="165"/>
  <c r="E54" i="165"/>
  <c r="C54" i="165"/>
  <c r="P54" i="165" s="1"/>
  <c r="AA53" i="165"/>
  <c r="Y53" i="165"/>
  <c r="W53" i="165"/>
  <c r="U53" i="165"/>
  <c r="S53" i="165"/>
  <c r="O53" i="165"/>
  <c r="M53" i="165"/>
  <c r="K53" i="165"/>
  <c r="I53" i="165"/>
  <c r="G53" i="165"/>
  <c r="E53" i="165"/>
  <c r="P53" i="165" s="1"/>
  <c r="C53" i="165"/>
  <c r="AA52" i="165"/>
  <c r="Y52" i="165"/>
  <c r="W52" i="165"/>
  <c r="U52" i="165"/>
  <c r="S52" i="165"/>
  <c r="O52" i="165"/>
  <c r="M52" i="165"/>
  <c r="K52" i="165"/>
  <c r="I52" i="165"/>
  <c r="G52" i="165"/>
  <c r="E52" i="165"/>
  <c r="C52" i="165"/>
  <c r="AA51" i="165"/>
  <c r="Y51" i="165"/>
  <c r="W51" i="165"/>
  <c r="U51" i="165"/>
  <c r="S51" i="165"/>
  <c r="P51" i="165"/>
  <c r="O51" i="165"/>
  <c r="M51" i="165"/>
  <c r="K51" i="165"/>
  <c r="I51" i="165"/>
  <c r="G51" i="165"/>
  <c r="E51" i="165"/>
  <c r="C51" i="165"/>
  <c r="AA50" i="165"/>
  <c r="Y50" i="165"/>
  <c r="W50" i="165"/>
  <c r="U50" i="165"/>
  <c r="S50" i="165"/>
  <c r="O50" i="165"/>
  <c r="M50" i="165"/>
  <c r="K50" i="165"/>
  <c r="P50" i="165" s="1"/>
  <c r="I50" i="165"/>
  <c r="G50" i="165"/>
  <c r="E50" i="165"/>
  <c r="C50" i="165"/>
  <c r="AA49" i="165"/>
  <c r="Y49" i="165"/>
  <c r="W49" i="165"/>
  <c r="U49" i="165"/>
  <c r="S49" i="165"/>
  <c r="P49" i="165"/>
  <c r="O49" i="165"/>
  <c r="M49" i="165"/>
  <c r="K49" i="165"/>
  <c r="I49" i="165"/>
  <c r="G49" i="165"/>
  <c r="E49" i="165"/>
  <c r="C49" i="165"/>
  <c r="AA48" i="165"/>
  <c r="Y48" i="165"/>
  <c r="W48" i="165"/>
  <c r="U48" i="165"/>
  <c r="S48" i="165"/>
  <c r="O48" i="165"/>
  <c r="M48" i="165"/>
  <c r="K48" i="165"/>
  <c r="I48" i="165"/>
  <c r="G48" i="165"/>
  <c r="E48" i="165"/>
  <c r="C48" i="165"/>
  <c r="AA47" i="165"/>
  <c r="Y47" i="165"/>
  <c r="W47" i="165"/>
  <c r="U47" i="165"/>
  <c r="S47" i="165"/>
  <c r="P47" i="165"/>
  <c r="O47" i="165"/>
  <c r="M47" i="165"/>
  <c r="K47" i="165"/>
  <c r="I47" i="165"/>
  <c r="G47" i="165"/>
  <c r="E47" i="165"/>
  <c r="C47" i="165"/>
  <c r="AA46" i="165"/>
  <c r="Y46" i="165"/>
  <c r="W46" i="165"/>
  <c r="U46" i="165"/>
  <c r="S46" i="165"/>
  <c r="O46" i="165"/>
  <c r="M46" i="165"/>
  <c r="K46" i="165"/>
  <c r="I46" i="165"/>
  <c r="G46" i="165"/>
  <c r="E46" i="165"/>
  <c r="C46" i="165"/>
  <c r="AA45" i="165"/>
  <c r="Y45" i="165"/>
  <c r="W45" i="165"/>
  <c r="U45" i="165"/>
  <c r="S45" i="165"/>
  <c r="O45" i="165"/>
  <c r="M45" i="165"/>
  <c r="K45" i="165"/>
  <c r="I45" i="165"/>
  <c r="G45" i="165"/>
  <c r="E45" i="165"/>
  <c r="C45" i="165"/>
  <c r="AA44" i="165"/>
  <c r="Y44" i="165"/>
  <c r="W44" i="165"/>
  <c r="U44" i="165"/>
  <c r="S44" i="165"/>
  <c r="O44" i="165"/>
  <c r="M44" i="165"/>
  <c r="K44" i="165"/>
  <c r="I44" i="165"/>
  <c r="G44" i="165"/>
  <c r="E44" i="165"/>
  <c r="C44" i="165"/>
  <c r="AA43" i="165"/>
  <c r="Y43" i="165"/>
  <c r="W43" i="165"/>
  <c r="U43" i="165"/>
  <c r="S43" i="165"/>
  <c r="O43" i="165"/>
  <c r="M43" i="165"/>
  <c r="K43" i="165"/>
  <c r="I43" i="165"/>
  <c r="G43" i="165"/>
  <c r="E43" i="165"/>
  <c r="C43" i="165"/>
  <c r="AA42" i="165"/>
  <c r="Y42" i="165"/>
  <c r="W42" i="165"/>
  <c r="U42" i="165"/>
  <c r="S42" i="165"/>
  <c r="O42" i="165"/>
  <c r="M42" i="165"/>
  <c r="K42" i="165"/>
  <c r="I42" i="165"/>
  <c r="G42" i="165"/>
  <c r="E42" i="165"/>
  <c r="C42" i="165"/>
  <c r="AA41" i="165"/>
  <c r="Y41" i="165"/>
  <c r="W41" i="165"/>
  <c r="U41" i="165"/>
  <c r="S41" i="165"/>
  <c r="O41" i="165"/>
  <c r="M41" i="165"/>
  <c r="P41" i="165" s="1"/>
  <c r="K41" i="165"/>
  <c r="I41" i="165"/>
  <c r="G41" i="165"/>
  <c r="E41" i="165"/>
  <c r="C41" i="165"/>
  <c r="AA40" i="165"/>
  <c r="Y40" i="165"/>
  <c r="W40" i="165"/>
  <c r="U40" i="165"/>
  <c r="S40" i="165"/>
  <c r="O40" i="165"/>
  <c r="M40" i="165"/>
  <c r="K40" i="165"/>
  <c r="I40" i="165"/>
  <c r="G40" i="165"/>
  <c r="E40" i="165"/>
  <c r="C40" i="165"/>
  <c r="P40" i="165" s="1"/>
  <c r="AA39" i="165"/>
  <c r="Y39" i="165"/>
  <c r="W39" i="165"/>
  <c r="U39" i="165"/>
  <c r="S39" i="165"/>
  <c r="O39" i="165"/>
  <c r="P39" i="165" s="1"/>
  <c r="M39" i="165"/>
  <c r="K39" i="165"/>
  <c r="I39" i="165"/>
  <c r="G39" i="165"/>
  <c r="E39" i="165"/>
  <c r="C39" i="165"/>
  <c r="AA38" i="165"/>
  <c r="Y38" i="165"/>
  <c r="W38" i="165"/>
  <c r="U38" i="165"/>
  <c r="S38" i="165"/>
  <c r="P38" i="165"/>
  <c r="O38" i="165"/>
  <c r="M38" i="165"/>
  <c r="K38" i="165"/>
  <c r="I38" i="165"/>
  <c r="G38" i="165"/>
  <c r="E38" i="165"/>
  <c r="C38" i="165"/>
  <c r="AA37" i="165"/>
  <c r="Y37" i="165"/>
  <c r="W37" i="165"/>
  <c r="U37" i="165"/>
  <c r="S37" i="165"/>
  <c r="O37" i="165"/>
  <c r="M37" i="165"/>
  <c r="K37" i="165"/>
  <c r="I37" i="165"/>
  <c r="P37" i="165" s="1"/>
  <c r="G37" i="165"/>
  <c r="E37" i="165"/>
  <c r="C37" i="165"/>
  <c r="AA36" i="165"/>
  <c r="Y36" i="165"/>
  <c r="W36" i="165"/>
  <c r="U36" i="165"/>
  <c r="S36" i="165"/>
  <c r="O36" i="165"/>
  <c r="M36" i="165"/>
  <c r="K36" i="165"/>
  <c r="I36" i="165"/>
  <c r="G36" i="165"/>
  <c r="E36" i="165"/>
  <c r="C36" i="165"/>
  <c r="AA35" i="165"/>
  <c r="Y35" i="165"/>
  <c r="W35" i="165"/>
  <c r="U35" i="165"/>
  <c r="S35" i="165"/>
  <c r="O35" i="165"/>
  <c r="M35" i="165"/>
  <c r="K35" i="165"/>
  <c r="I35" i="165"/>
  <c r="G35" i="165"/>
  <c r="E35" i="165"/>
  <c r="C35" i="165"/>
  <c r="AA34" i="165"/>
  <c r="Y34" i="165"/>
  <c r="W34" i="165"/>
  <c r="U34" i="165"/>
  <c r="S34" i="165"/>
  <c r="O34" i="165"/>
  <c r="M34" i="165"/>
  <c r="K34" i="165"/>
  <c r="I34" i="165"/>
  <c r="G34" i="165"/>
  <c r="E34" i="165"/>
  <c r="C34" i="165"/>
  <c r="AA33" i="165"/>
  <c r="Y33" i="165"/>
  <c r="W33" i="165"/>
  <c r="U33" i="165"/>
  <c r="S33" i="165"/>
  <c r="P33" i="165"/>
  <c r="O33" i="165"/>
  <c r="M33" i="165"/>
  <c r="K33" i="165"/>
  <c r="I33" i="165"/>
  <c r="G33" i="165"/>
  <c r="E33" i="165"/>
  <c r="C33" i="165"/>
  <c r="AA32" i="165"/>
  <c r="Y32" i="165"/>
  <c r="W32" i="165"/>
  <c r="U32" i="165"/>
  <c r="S32" i="165"/>
  <c r="O32" i="165"/>
  <c r="M32" i="165"/>
  <c r="K32" i="165"/>
  <c r="I32" i="165"/>
  <c r="G32" i="165"/>
  <c r="E32" i="165"/>
  <c r="C32" i="165"/>
  <c r="AA31" i="165"/>
  <c r="Y31" i="165"/>
  <c r="W31" i="165"/>
  <c r="U31" i="165"/>
  <c r="S31" i="165"/>
  <c r="O31" i="165"/>
  <c r="M31" i="165"/>
  <c r="K31" i="165"/>
  <c r="I31" i="165"/>
  <c r="G31" i="165"/>
  <c r="E31" i="165"/>
  <c r="C31" i="165"/>
  <c r="AA30" i="165"/>
  <c r="Y30" i="165"/>
  <c r="W30" i="165"/>
  <c r="U30" i="165"/>
  <c r="S30" i="165"/>
  <c r="O30" i="165"/>
  <c r="M30" i="165"/>
  <c r="K30" i="165"/>
  <c r="I30" i="165"/>
  <c r="G30" i="165"/>
  <c r="E30" i="165"/>
  <c r="C30" i="165"/>
  <c r="AA29" i="165"/>
  <c r="Y29" i="165"/>
  <c r="W29" i="165"/>
  <c r="U29" i="165"/>
  <c r="S29" i="165"/>
  <c r="O29" i="165"/>
  <c r="M29" i="165"/>
  <c r="K29" i="165"/>
  <c r="I29" i="165"/>
  <c r="G29" i="165"/>
  <c r="E29" i="165"/>
  <c r="C29" i="165"/>
  <c r="AA28" i="165"/>
  <c r="Y28" i="165"/>
  <c r="W28" i="165"/>
  <c r="U28" i="165"/>
  <c r="S28" i="165"/>
  <c r="O28" i="165"/>
  <c r="M28" i="165"/>
  <c r="K28" i="165"/>
  <c r="I28" i="165"/>
  <c r="G28" i="165"/>
  <c r="E28" i="165"/>
  <c r="C28" i="165"/>
  <c r="AA27" i="165"/>
  <c r="Y27" i="165"/>
  <c r="W27" i="165"/>
  <c r="U27" i="165"/>
  <c r="S27" i="165"/>
  <c r="P27" i="165"/>
  <c r="O27" i="165"/>
  <c r="M27" i="165"/>
  <c r="K27" i="165"/>
  <c r="I27" i="165"/>
  <c r="G27" i="165"/>
  <c r="E27" i="165"/>
  <c r="C27" i="165"/>
  <c r="AA26" i="165"/>
  <c r="Y26" i="165"/>
  <c r="W26" i="165"/>
  <c r="U26" i="165"/>
  <c r="S26" i="165"/>
  <c r="P26" i="165"/>
  <c r="O26" i="165"/>
  <c r="M26" i="165"/>
  <c r="K26" i="165"/>
  <c r="I26" i="165"/>
  <c r="G26" i="165"/>
  <c r="E26" i="165"/>
  <c r="C26" i="165"/>
  <c r="AA25" i="165"/>
  <c r="Y25" i="165"/>
  <c r="W25" i="165"/>
  <c r="U25" i="165"/>
  <c r="S25" i="165"/>
  <c r="O25" i="165"/>
  <c r="P25" i="165" s="1"/>
  <c r="M25" i="165"/>
  <c r="K25" i="165"/>
  <c r="I25" i="165"/>
  <c r="G25" i="165"/>
  <c r="E25" i="165"/>
  <c r="C25" i="165"/>
  <c r="AG24" i="165"/>
  <c r="AA24" i="165"/>
  <c r="Y24" i="165"/>
  <c r="W24" i="165"/>
  <c r="U24" i="165"/>
  <c r="S24" i="165"/>
  <c r="O24" i="165"/>
  <c r="M24" i="165"/>
  <c r="K24" i="165"/>
  <c r="I24" i="165"/>
  <c r="G24" i="165"/>
  <c r="E24" i="165"/>
  <c r="C24" i="165"/>
  <c r="P24" i="165" s="1"/>
  <c r="AA23" i="165"/>
  <c r="Y23" i="165"/>
  <c r="W23" i="165"/>
  <c r="U23" i="165"/>
  <c r="S23" i="165"/>
  <c r="O23" i="165"/>
  <c r="M23" i="165"/>
  <c r="K23" i="165"/>
  <c r="I23" i="165"/>
  <c r="G23" i="165"/>
  <c r="E23" i="165"/>
  <c r="C23" i="165"/>
  <c r="P23" i="165" s="1"/>
  <c r="AA22" i="165"/>
  <c r="Y22" i="165"/>
  <c r="W22" i="165"/>
  <c r="U22" i="165"/>
  <c r="S22" i="165"/>
  <c r="O22" i="165"/>
  <c r="M22" i="165"/>
  <c r="K22" i="165"/>
  <c r="I22" i="165"/>
  <c r="G22" i="165"/>
  <c r="E22" i="165"/>
  <c r="C22" i="165"/>
  <c r="P22" i="165" s="1"/>
  <c r="AA21" i="165"/>
  <c r="Y21" i="165"/>
  <c r="W21" i="165"/>
  <c r="U21" i="165"/>
  <c r="S21" i="165"/>
  <c r="O21" i="165"/>
  <c r="M21" i="165"/>
  <c r="K21" i="165"/>
  <c r="I21" i="165"/>
  <c r="G21" i="165"/>
  <c r="E21" i="165"/>
  <c r="C21" i="165"/>
  <c r="AG20" i="165"/>
  <c r="AA20" i="165"/>
  <c r="Y20" i="165"/>
  <c r="W20" i="165"/>
  <c r="U20" i="165"/>
  <c r="S20" i="165"/>
  <c r="O20" i="165"/>
  <c r="M20" i="165"/>
  <c r="K20" i="165"/>
  <c r="I20" i="165"/>
  <c r="G20" i="165"/>
  <c r="E20" i="165"/>
  <c r="C20" i="165"/>
  <c r="P20" i="165" s="1"/>
  <c r="AA19" i="165"/>
  <c r="Y19" i="165"/>
  <c r="W19" i="165"/>
  <c r="U19" i="165"/>
  <c r="S19" i="165"/>
  <c r="O19" i="165"/>
  <c r="M19" i="165"/>
  <c r="K19" i="165"/>
  <c r="I19" i="165"/>
  <c r="G19" i="165"/>
  <c r="E19" i="165"/>
  <c r="C19" i="165"/>
  <c r="P19" i="165" s="1"/>
  <c r="AA18" i="165"/>
  <c r="Y18" i="165"/>
  <c r="W18" i="165"/>
  <c r="U18" i="165"/>
  <c r="S18" i="165"/>
  <c r="O18" i="165"/>
  <c r="M18" i="165"/>
  <c r="K18" i="165"/>
  <c r="I18" i="165"/>
  <c r="G18" i="165"/>
  <c r="E18" i="165"/>
  <c r="C18" i="165"/>
  <c r="AA17" i="165"/>
  <c r="Y17" i="165"/>
  <c r="W17" i="165"/>
  <c r="U17" i="165"/>
  <c r="S17" i="165"/>
  <c r="O17" i="165"/>
  <c r="M17" i="165"/>
  <c r="K17" i="165"/>
  <c r="I17" i="165"/>
  <c r="G17" i="165"/>
  <c r="E17" i="165"/>
  <c r="C17" i="165"/>
  <c r="AA16" i="165"/>
  <c r="Y16" i="165"/>
  <c r="W16" i="165"/>
  <c r="U16" i="165"/>
  <c r="S16" i="165"/>
  <c r="O16" i="165"/>
  <c r="M16" i="165"/>
  <c r="K16" i="165"/>
  <c r="I16" i="165"/>
  <c r="G16" i="165"/>
  <c r="P16" i="165" s="1"/>
  <c r="E16" i="165"/>
  <c r="C16" i="165"/>
  <c r="AA15" i="165"/>
  <c r="Y15" i="165"/>
  <c r="W15" i="165"/>
  <c r="U15" i="165"/>
  <c r="S15" i="165"/>
  <c r="O15" i="165"/>
  <c r="M15" i="165"/>
  <c r="K15" i="165"/>
  <c r="I15" i="165"/>
  <c r="G15" i="165"/>
  <c r="E15" i="165"/>
  <c r="C15" i="165"/>
  <c r="AA14" i="165"/>
  <c r="Y14" i="165"/>
  <c r="W14" i="165"/>
  <c r="U14" i="165"/>
  <c r="S14" i="165"/>
  <c r="O14" i="165"/>
  <c r="P14" i="165" s="1"/>
  <c r="M14" i="165"/>
  <c r="K14" i="165"/>
  <c r="I14" i="165"/>
  <c r="G14" i="165"/>
  <c r="E14" i="165"/>
  <c r="C14" i="165"/>
  <c r="AA13" i="165"/>
  <c r="Y13" i="165"/>
  <c r="W13" i="165"/>
  <c r="U13" i="165"/>
  <c r="S13" i="165"/>
  <c r="O13" i="165"/>
  <c r="M13" i="165"/>
  <c r="K13" i="165"/>
  <c r="I13" i="165"/>
  <c r="G13" i="165"/>
  <c r="E13" i="165"/>
  <c r="C13" i="165"/>
  <c r="AA12" i="165"/>
  <c r="Y12" i="165"/>
  <c r="W12" i="165"/>
  <c r="U12" i="165"/>
  <c r="S12" i="165"/>
  <c r="O12" i="165"/>
  <c r="M12" i="165"/>
  <c r="K12" i="165"/>
  <c r="I12" i="165"/>
  <c r="G12" i="165"/>
  <c r="E12" i="165"/>
  <c r="C12" i="165"/>
  <c r="AA11" i="165"/>
  <c r="Y11" i="165"/>
  <c r="W11" i="165"/>
  <c r="U11" i="165"/>
  <c r="S11" i="165"/>
  <c r="O11" i="165"/>
  <c r="P11" i="165" s="1"/>
  <c r="M11" i="165"/>
  <c r="K11" i="165"/>
  <c r="I11" i="165"/>
  <c r="G11" i="165"/>
  <c r="E11" i="165"/>
  <c r="C11" i="165"/>
  <c r="AA10" i="165"/>
  <c r="Y10" i="165"/>
  <c r="W10" i="165"/>
  <c r="U10" i="165"/>
  <c r="S10" i="165"/>
  <c r="P10" i="165"/>
  <c r="O10" i="165"/>
  <c r="M10" i="165"/>
  <c r="K10" i="165"/>
  <c r="I10" i="165"/>
  <c r="G10" i="165"/>
  <c r="E10" i="165"/>
  <c r="C10" i="165"/>
  <c r="AG9" i="165"/>
  <c r="AA9" i="165"/>
  <c r="Y9" i="165"/>
  <c r="W9" i="165"/>
  <c r="U9" i="165"/>
  <c r="S9" i="165"/>
  <c r="O9" i="165"/>
  <c r="M9" i="165"/>
  <c r="K9" i="165"/>
  <c r="I9" i="165"/>
  <c r="G9" i="165"/>
  <c r="E9" i="165"/>
  <c r="C9" i="165"/>
  <c r="P9" i="165" s="1"/>
  <c r="AG8" i="165"/>
  <c r="AA8" i="165"/>
  <c r="Y8" i="165"/>
  <c r="W8" i="165"/>
  <c r="U8" i="165"/>
  <c r="S8" i="165"/>
  <c r="O8" i="165"/>
  <c r="M8" i="165"/>
  <c r="K8" i="165"/>
  <c r="I8" i="165"/>
  <c r="G8" i="165"/>
  <c r="E8" i="165"/>
  <c r="C8" i="165"/>
  <c r="C1275" i="165" l="1"/>
  <c r="P8" i="165"/>
  <c r="P106" i="165"/>
  <c r="P158" i="165"/>
  <c r="P308" i="165"/>
  <c r="P358" i="165"/>
  <c r="P629" i="165"/>
  <c r="P632" i="165"/>
  <c r="P1087" i="165"/>
  <c r="W1275" i="165"/>
  <c r="W1276" i="165" s="1"/>
  <c r="AI22" i="165" s="1"/>
  <c r="P15" i="165"/>
  <c r="P65" i="165"/>
  <c r="P97" i="165"/>
  <c r="P357" i="165"/>
  <c r="P388" i="165"/>
  <c r="P523" i="165"/>
  <c r="P525" i="165"/>
  <c r="P530" i="165"/>
  <c r="P532" i="165"/>
  <c r="P533" i="165"/>
  <c r="P536" i="165"/>
  <c r="P537" i="165"/>
  <c r="P538" i="165"/>
  <c r="P628" i="165"/>
  <c r="P701" i="165"/>
  <c r="P702" i="165"/>
  <c r="P704" i="165"/>
  <c r="P705" i="165"/>
  <c r="P706" i="165"/>
  <c r="P707" i="165"/>
  <c r="P708" i="165"/>
  <c r="P709" i="165"/>
  <c r="P1086" i="165"/>
  <c r="P1214" i="165"/>
  <c r="P1219" i="165"/>
  <c r="P1220" i="165"/>
  <c r="E1275" i="165"/>
  <c r="E1276" i="165" s="1"/>
  <c r="AI8" i="165" s="1"/>
  <c r="G1275" i="165"/>
  <c r="G1276" i="165" s="1"/>
  <c r="AI9" i="165" s="1"/>
  <c r="P697" i="165"/>
  <c r="Z1272" i="165"/>
  <c r="P113" i="165"/>
  <c r="P267" i="165"/>
  <c r="P182" i="165"/>
  <c r="P186" i="165"/>
  <c r="P187" i="165"/>
  <c r="P188" i="165"/>
  <c r="P242" i="165"/>
  <c r="P488" i="165"/>
  <c r="P561" i="165"/>
  <c r="P562" i="165"/>
  <c r="P563" i="165"/>
  <c r="P659" i="165"/>
  <c r="P881" i="165"/>
  <c r="P1003" i="165"/>
  <c r="I1275" i="165"/>
  <c r="I1276" i="165" s="1"/>
  <c r="P1040" i="165"/>
  <c r="K1275" i="165"/>
  <c r="K1276" i="165" s="1"/>
  <c r="AI11" i="165" s="1"/>
  <c r="P52" i="165"/>
  <c r="M1275" i="165"/>
  <c r="M1276" i="165" s="1"/>
  <c r="AI12" i="165" s="1"/>
  <c r="P28" i="165"/>
  <c r="P29" i="165"/>
  <c r="P30" i="165"/>
  <c r="P31" i="165"/>
  <c r="P32" i="165"/>
  <c r="P181" i="165"/>
  <c r="P216" i="165"/>
  <c r="P217" i="165"/>
  <c r="P239" i="165"/>
  <c r="P401" i="165"/>
  <c r="P404" i="165"/>
  <c r="P405" i="165"/>
  <c r="P406" i="165"/>
  <c r="P407" i="165"/>
  <c r="P544" i="165"/>
  <c r="P559" i="165"/>
  <c r="P560" i="165"/>
  <c r="P729" i="165"/>
  <c r="P730" i="165"/>
  <c r="P852" i="165"/>
  <c r="P853" i="165"/>
  <c r="P1002" i="165"/>
  <c r="P1142" i="165"/>
  <c r="P1147" i="165"/>
  <c r="P1150" i="165"/>
  <c r="P96" i="165"/>
  <c r="AG26" i="165"/>
  <c r="P34" i="165"/>
  <c r="P36" i="165"/>
  <c r="P156" i="165"/>
  <c r="P157" i="165"/>
  <c r="P160" i="165"/>
  <c r="P161" i="165"/>
  <c r="P162" i="165"/>
  <c r="P220" i="165"/>
  <c r="P221" i="165"/>
  <c r="P222" i="165"/>
  <c r="P298" i="165"/>
  <c r="P299" i="165"/>
  <c r="P300" i="165"/>
  <c r="P301" i="165"/>
  <c r="P724" i="165"/>
  <c r="P955" i="165"/>
  <c r="P1091" i="165"/>
  <c r="P1092" i="165"/>
  <c r="P1093" i="165"/>
  <c r="P1094" i="165"/>
  <c r="AG7" i="165"/>
  <c r="P35" i="165"/>
  <c r="P100" i="165"/>
  <c r="P101" i="165"/>
  <c r="P102" i="165"/>
  <c r="P103" i="165"/>
  <c r="P104" i="165"/>
  <c r="P159" i="165"/>
  <c r="P218" i="165"/>
  <c r="P291" i="165"/>
  <c r="P297" i="165"/>
  <c r="P439" i="165"/>
  <c r="P459" i="165"/>
  <c r="P460" i="165"/>
  <c r="P464" i="165"/>
  <c r="P630" i="165"/>
  <c r="P633" i="165"/>
  <c r="P634" i="165"/>
  <c r="P635" i="165"/>
  <c r="P636" i="165"/>
  <c r="P637" i="165"/>
  <c r="P727" i="165"/>
  <c r="P850" i="165"/>
  <c r="P954" i="165"/>
  <c r="P1090" i="165"/>
  <c r="P1099" i="165"/>
  <c r="P581" i="165"/>
  <c r="P821" i="165"/>
  <c r="P987" i="165"/>
  <c r="P1232" i="165"/>
  <c r="P232" i="165"/>
  <c r="P580" i="165"/>
  <c r="P1024" i="165"/>
  <c r="P1051" i="165"/>
  <c r="P1231" i="165"/>
  <c r="P13" i="165"/>
  <c r="P42" i="165"/>
  <c r="P45" i="165"/>
  <c r="P88" i="165"/>
  <c r="P123" i="165"/>
  <c r="P127" i="165"/>
  <c r="P231" i="165"/>
  <c r="P235" i="165"/>
  <c r="P236" i="165"/>
  <c r="P256" i="165"/>
  <c r="P344" i="165"/>
  <c r="P345" i="165"/>
  <c r="P346" i="165"/>
  <c r="P347" i="165"/>
  <c r="P348" i="165"/>
  <c r="P349" i="165"/>
  <c r="P447" i="165"/>
  <c r="P448" i="165"/>
  <c r="P646" i="165"/>
  <c r="P647" i="165"/>
  <c r="P648" i="165"/>
  <c r="P649" i="165"/>
  <c r="P650" i="165"/>
  <c r="P876" i="165"/>
  <c r="P1072" i="165"/>
  <c r="P1230" i="165"/>
  <c r="AG11" i="165"/>
  <c r="AG12" i="165"/>
  <c r="L1272" i="165"/>
  <c r="P474" i="165"/>
  <c r="P571" i="165"/>
  <c r="P610" i="165"/>
  <c r="P825" i="165"/>
  <c r="P988" i="165"/>
  <c r="P1195" i="165"/>
  <c r="P43" i="165"/>
  <c r="P44" i="165"/>
  <c r="P46" i="165"/>
  <c r="P128" i="165"/>
  <c r="P234" i="165"/>
  <c r="P350" i="165"/>
  <c r="Y1275" i="165"/>
  <c r="Y1276" i="165" s="1"/>
  <c r="P48" i="165"/>
  <c r="P87" i="165"/>
  <c r="P130" i="165"/>
  <c r="P131" i="165"/>
  <c r="P132" i="165"/>
  <c r="P230" i="165"/>
  <c r="P253" i="165"/>
  <c r="P258" i="165"/>
  <c r="P259" i="165"/>
  <c r="P260" i="165"/>
  <c r="P261" i="165"/>
  <c r="P262" i="165"/>
  <c r="P263" i="165"/>
  <c r="P343" i="165"/>
  <c r="P352" i="165"/>
  <c r="P353" i="165"/>
  <c r="P373" i="165"/>
  <c r="P382" i="165"/>
  <c r="P440" i="165"/>
  <c r="P547" i="165"/>
  <c r="P551" i="165"/>
  <c r="P552" i="165"/>
  <c r="P553" i="165"/>
  <c r="P686" i="165"/>
  <c r="P691" i="165"/>
  <c r="P1026" i="165"/>
  <c r="P1071" i="165"/>
  <c r="P1160" i="165"/>
  <c r="P1161" i="165"/>
  <c r="P1162" i="165"/>
  <c r="P1163" i="165"/>
  <c r="P1164" i="165"/>
  <c r="P1165" i="165"/>
  <c r="P1166" i="165"/>
  <c r="P1167" i="165"/>
  <c r="P473" i="165"/>
  <c r="P822" i="165"/>
  <c r="P989" i="165"/>
  <c r="P1233" i="165"/>
  <c r="P84" i="165"/>
  <c r="P307" i="165"/>
  <c r="P444" i="165"/>
  <c r="P644" i="165"/>
  <c r="AA1275" i="165"/>
  <c r="AA1276" i="165" s="1"/>
  <c r="AI26" i="165" s="1"/>
  <c r="O1275" i="165"/>
  <c r="O1276" i="165" s="1"/>
  <c r="AI13" i="165" s="1"/>
  <c r="P86" i="165"/>
  <c r="P91" i="165"/>
  <c r="P92" i="165"/>
  <c r="P172" i="165"/>
  <c r="P173" i="165"/>
  <c r="P174" i="165"/>
  <c r="P175" i="165"/>
  <c r="P176" i="165"/>
  <c r="P341" i="165"/>
  <c r="P416" i="165"/>
  <c r="P514" i="165"/>
  <c r="P685" i="165"/>
  <c r="P956" i="165"/>
  <c r="P957" i="165"/>
  <c r="P958" i="165"/>
  <c r="P959" i="165"/>
  <c r="P960" i="165"/>
  <c r="P961" i="165"/>
  <c r="P962" i="165"/>
  <c r="P963" i="165"/>
  <c r="P964" i="165"/>
  <c r="P1025" i="165"/>
  <c r="P1157" i="165"/>
  <c r="R1272" i="165"/>
  <c r="AG18" i="165" s="1"/>
  <c r="P498" i="165"/>
  <c r="P556" i="165"/>
  <c r="P606" i="165"/>
  <c r="P631" i="165"/>
  <c r="P638" i="165"/>
  <c r="P687" i="165"/>
  <c r="P688" i="165"/>
  <c r="P689" i="165"/>
  <c r="P690" i="165"/>
  <c r="P692" i="165"/>
  <c r="P744" i="165"/>
  <c r="P745" i="165"/>
  <c r="P746" i="165"/>
  <c r="P747" i="165"/>
  <c r="P748" i="165"/>
  <c r="P804" i="165"/>
  <c r="P805" i="165"/>
  <c r="P806" i="165"/>
  <c r="P807" i="165"/>
  <c r="P808" i="165"/>
  <c r="P809" i="165"/>
  <c r="P810" i="165"/>
  <c r="P870" i="165"/>
  <c r="P872" i="165"/>
  <c r="P873" i="165"/>
  <c r="P874" i="165"/>
  <c r="P935" i="165"/>
  <c r="P936" i="165"/>
  <c r="P937" i="165"/>
  <c r="P1005" i="165"/>
  <c r="P1006" i="165"/>
  <c r="P1007" i="165"/>
  <c r="P1008" i="165"/>
  <c r="P1009" i="165"/>
  <c r="P1076" i="165"/>
  <c r="P1077" i="165"/>
  <c r="P1078" i="165"/>
  <c r="P1079" i="165"/>
  <c r="P1080" i="165"/>
  <c r="P1081" i="165"/>
  <c r="P1143" i="165"/>
  <c r="P1144" i="165"/>
  <c r="P1148" i="165"/>
  <c r="P1149" i="165"/>
  <c r="P1215" i="165"/>
  <c r="P1216" i="165"/>
  <c r="N1272" i="165"/>
  <c r="AG13" i="165" s="1"/>
  <c r="P12" i="165"/>
  <c r="P21" i="165"/>
  <c r="P55" i="165"/>
  <c r="P56" i="165"/>
  <c r="P74" i="165"/>
  <c r="P328" i="165"/>
  <c r="P385" i="165"/>
  <c r="P462" i="165"/>
  <c r="P588" i="165"/>
  <c r="P614" i="165"/>
  <c r="P777" i="165"/>
  <c r="P780" i="165"/>
  <c r="P867" i="165"/>
  <c r="P907" i="165"/>
  <c r="P1001" i="165"/>
  <c r="P1112" i="165"/>
  <c r="P1115" i="165"/>
  <c r="P1116" i="165"/>
  <c r="P1210" i="165"/>
  <c r="AI20" i="165"/>
  <c r="AI10" i="165"/>
  <c r="AI24" i="165"/>
  <c r="P292" i="165"/>
  <c r="P293" i="165"/>
  <c r="P294" i="165"/>
  <c r="P295" i="165"/>
  <c r="P296" i="165"/>
  <c r="P360" i="165"/>
  <c r="P361" i="165"/>
  <c r="P362" i="165"/>
  <c r="P363" i="165"/>
  <c r="P364" i="165"/>
  <c r="P365" i="165"/>
  <c r="P366" i="165"/>
  <c r="P383" i="165"/>
  <c r="P389" i="165"/>
  <c r="P390" i="165"/>
  <c r="P467" i="165"/>
  <c r="P468" i="165"/>
  <c r="P515" i="165"/>
  <c r="P516" i="165"/>
  <c r="P517" i="165"/>
  <c r="P518" i="165"/>
  <c r="P519" i="165"/>
  <c r="P520" i="165"/>
  <c r="P521" i="165"/>
  <c r="P590" i="165"/>
  <c r="P591" i="165"/>
  <c r="P592" i="165"/>
  <c r="P594" i="165"/>
  <c r="P613" i="165"/>
  <c r="P618" i="165"/>
  <c r="P620" i="165"/>
  <c r="P668" i="165"/>
  <c r="P725" i="165"/>
  <c r="P776" i="165"/>
  <c r="P782" i="165"/>
  <c r="P783" i="165"/>
  <c r="P784" i="165"/>
  <c r="P842" i="165"/>
  <c r="P845" i="165"/>
  <c r="P846" i="165"/>
  <c r="P866" i="165"/>
  <c r="P906" i="165"/>
  <c r="P911" i="165"/>
  <c r="P912" i="165"/>
  <c r="P913" i="165"/>
  <c r="P980" i="165"/>
  <c r="P1111" i="165"/>
  <c r="P1118" i="165"/>
  <c r="P1119" i="165"/>
  <c r="P1120" i="165"/>
  <c r="P1183" i="165"/>
  <c r="P1186" i="165"/>
  <c r="P1187" i="165"/>
  <c r="P1188" i="165"/>
  <c r="P1189" i="165"/>
  <c r="P1257" i="165"/>
  <c r="P696" i="165"/>
  <c r="P792" i="165"/>
  <c r="P922" i="165"/>
  <c r="P992" i="165"/>
  <c r="P1059" i="165"/>
  <c r="P1129" i="165"/>
  <c r="P1199" i="165"/>
  <c r="P80" i="165"/>
  <c r="P151" i="165"/>
  <c r="P223" i="165"/>
  <c r="P449" i="165"/>
  <c r="P856" i="165"/>
  <c r="P732" i="165"/>
  <c r="P734" i="165"/>
  <c r="P793" i="165"/>
  <c r="P857" i="165"/>
  <c r="P921" i="165"/>
  <c r="P1060" i="165"/>
  <c r="P1127" i="165"/>
  <c r="P1201" i="165"/>
  <c r="P1224" i="165"/>
  <c r="P79" i="165"/>
  <c r="P152" i="165"/>
  <c r="P224" i="165"/>
  <c r="P372" i="165"/>
  <c r="P391" i="165"/>
  <c r="P619" i="165"/>
  <c r="P835" i="165"/>
  <c r="P899" i="165"/>
  <c r="P900" i="165"/>
  <c r="P991" i="165"/>
  <c r="P1198" i="165"/>
  <c r="AG10" i="165"/>
  <c r="S1275" i="165"/>
  <c r="S1276" i="165" s="1"/>
  <c r="AI18" i="165" s="1"/>
  <c r="P716" i="165"/>
  <c r="P855" i="165"/>
  <c r="P860" i="165"/>
  <c r="P861" i="165"/>
  <c r="P902" i="165"/>
  <c r="P903" i="165"/>
  <c r="P925" i="165"/>
  <c r="P1062" i="165"/>
  <c r="P1197" i="165"/>
  <c r="P1204" i="165"/>
  <c r="P1205" i="165"/>
  <c r="P1246" i="165"/>
  <c r="P1247" i="165"/>
  <c r="P1248" i="165"/>
  <c r="P1249" i="165"/>
  <c r="P733" i="165"/>
  <c r="P791" i="165"/>
  <c r="P794" i="165"/>
  <c r="P947" i="165"/>
  <c r="P993" i="165"/>
  <c r="P1061" i="165"/>
  <c r="P1128" i="165"/>
  <c r="P1200" i="165"/>
  <c r="P1223" i="165"/>
  <c r="U1275" i="165"/>
  <c r="U1276" i="165" s="1"/>
  <c r="P17" i="165"/>
  <c r="P18" i="165"/>
  <c r="P67" i="165"/>
  <c r="P68" i="165"/>
  <c r="P139" i="165"/>
  <c r="P140" i="165"/>
  <c r="P211" i="165"/>
  <c r="P212" i="165"/>
  <c r="P270" i="165"/>
  <c r="P271" i="165"/>
  <c r="P272" i="165"/>
  <c r="P320" i="165"/>
  <c r="P321" i="165"/>
  <c r="P322" i="165"/>
  <c r="P375" i="165"/>
  <c r="P376" i="165"/>
  <c r="P377" i="165"/>
  <c r="P378" i="165"/>
  <c r="P432" i="165"/>
  <c r="P433" i="165"/>
  <c r="P434" i="165"/>
  <c r="P435" i="165"/>
  <c r="P489" i="165"/>
  <c r="P490" i="165"/>
  <c r="P491" i="165"/>
  <c r="P492" i="165"/>
  <c r="P546" i="165"/>
  <c r="P548" i="165"/>
  <c r="P549" i="165"/>
  <c r="P604" i="165"/>
  <c r="P605" i="165"/>
  <c r="P624" i="165"/>
  <c r="P625" i="165"/>
  <c r="P660" i="165"/>
  <c r="P661" i="165"/>
  <c r="P662" i="165"/>
  <c r="P663" i="165"/>
  <c r="P664" i="165"/>
  <c r="P718" i="165"/>
  <c r="P719" i="165"/>
  <c r="P720" i="165"/>
  <c r="P721" i="165"/>
  <c r="P778" i="165"/>
  <c r="P839" i="165"/>
  <c r="P840" i="165"/>
  <c r="P841" i="165"/>
  <c r="P905" i="165"/>
  <c r="P971" i="165"/>
  <c r="P972" i="165"/>
  <c r="P973" i="165"/>
  <c r="P974" i="165"/>
  <c r="P975" i="165"/>
  <c r="P976" i="165"/>
  <c r="P977" i="165"/>
  <c r="P1041" i="165"/>
  <c r="P1042" i="165"/>
  <c r="P1043" i="165"/>
  <c r="P1044" i="165"/>
  <c r="P1045" i="165"/>
  <c r="P1046" i="165"/>
  <c r="P1047" i="165"/>
  <c r="P1113" i="165"/>
  <c r="P1181" i="165"/>
  <c r="P1251" i="165"/>
  <c r="P1252" i="165"/>
  <c r="P1253" i="165"/>
  <c r="P612" i="165"/>
  <c r="P769" i="165"/>
  <c r="P1016" i="165"/>
  <c r="P1102" i="165"/>
  <c r="P1104" i="165"/>
  <c r="P1191" i="165"/>
  <c r="P384" i="165"/>
  <c r="P441" i="165"/>
  <c r="P456" i="165"/>
  <c r="P598" i="165"/>
  <c r="P755" i="165"/>
  <c r="P756" i="165"/>
  <c r="P847" i="165"/>
  <c r="P931" i="165"/>
  <c r="P983" i="165"/>
  <c r="P984" i="165"/>
  <c r="P1019" i="165"/>
  <c r="P1020" i="165"/>
  <c r="P1259" i="165"/>
  <c r="P1260" i="165"/>
  <c r="P454" i="165"/>
  <c r="P611" i="165"/>
  <c r="P768" i="165"/>
  <c r="P770" i="165"/>
  <c r="P848" i="165"/>
  <c r="P864" i="165"/>
  <c r="P1017" i="165"/>
  <c r="P1103" i="165"/>
  <c r="P1105" i="165"/>
  <c r="P1190" i="165"/>
  <c r="P428" i="165"/>
  <c r="P528" i="165"/>
  <c r="P585" i="165"/>
  <c r="P600" i="165"/>
  <c r="P742" i="165"/>
  <c r="P834" i="165"/>
  <c r="P916" i="165"/>
  <c r="P917" i="165"/>
  <c r="P930" i="165"/>
  <c r="P1088" i="165"/>
  <c r="P1089" i="165"/>
  <c r="P1174" i="165"/>
  <c r="P1175" i="165"/>
  <c r="P1176" i="165"/>
  <c r="P1177" i="165"/>
  <c r="P1262" i="165"/>
  <c r="P1263" i="165"/>
  <c r="P396" i="165"/>
  <c r="P540" i="165"/>
  <c r="P684" i="165"/>
  <c r="P828" i="165"/>
  <c r="P923" i="165"/>
  <c r="P924" i="165"/>
  <c r="P995" i="165"/>
  <c r="P996" i="165"/>
  <c r="P1067" i="165"/>
  <c r="P1068" i="165"/>
  <c r="P1139" i="165"/>
  <c r="P1140" i="165"/>
  <c r="P1211" i="165"/>
  <c r="P1212" i="165"/>
  <c r="P816" i="165"/>
  <c r="AG15" i="165" l="1"/>
  <c r="P1272" i="165"/>
  <c r="C1276" i="165"/>
  <c r="Q1275" i="165"/>
  <c r="Q1276" i="165" l="1"/>
  <c r="AI7" i="165"/>
  <c r="AI15" i="165" s="1"/>
  <c r="D106" i="164" l="1"/>
  <c r="B108" i="164"/>
  <c r="C108" i="164"/>
  <c r="D105" i="164"/>
  <c r="D104" i="164"/>
  <c r="D103" i="164"/>
  <c r="D102" i="164"/>
  <c r="D101" i="164"/>
  <c r="D100" i="164"/>
  <c r="D99" i="164"/>
  <c r="D98" i="164"/>
  <c r="D97" i="164"/>
  <c r="D96" i="164"/>
  <c r="D95" i="164"/>
  <c r="D94" i="164"/>
  <c r="D93" i="164"/>
  <c r="D92" i="164"/>
  <c r="D91" i="164"/>
  <c r="D90" i="164"/>
  <c r="D89" i="164"/>
  <c r="D88" i="164"/>
  <c r="D87" i="164"/>
  <c r="D86" i="164"/>
  <c r="D85" i="164"/>
  <c r="D84" i="164"/>
  <c r="D83" i="164"/>
  <c r="D82" i="164"/>
  <c r="D81" i="164"/>
  <c r="D80" i="164"/>
  <c r="D79" i="164"/>
  <c r="D78" i="164"/>
  <c r="D77" i="164"/>
  <c r="D76" i="164"/>
  <c r="D75" i="164"/>
  <c r="D74" i="164"/>
  <c r="D73" i="164"/>
  <c r="D72" i="164"/>
  <c r="D71" i="164"/>
  <c r="D70" i="164"/>
  <c r="D69" i="164"/>
  <c r="D68" i="164"/>
  <c r="D67" i="164"/>
  <c r="D66" i="164"/>
  <c r="D65" i="164"/>
  <c r="D64" i="164"/>
  <c r="D63" i="164"/>
  <c r="D62" i="164"/>
  <c r="D61" i="164"/>
  <c r="D60" i="164"/>
  <c r="D59" i="164"/>
  <c r="D58" i="164"/>
  <c r="D57" i="164"/>
  <c r="D56" i="164"/>
  <c r="D55" i="164"/>
  <c r="D54" i="164"/>
  <c r="D53" i="164"/>
  <c r="D52" i="164"/>
  <c r="D51" i="164"/>
  <c r="D50" i="164"/>
  <c r="D49" i="164"/>
  <c r="D48" i="164"/>
  <c r="D47" i="164"/>
  <c r="D46" i="164"/>
  <c r="D45" i="164"/>
  <c r="D44" i="164"/>
  <c r="D43" i="164"/>
  <c r="D42" i="164"/>
  <c r="D41" i="164"/>
  <c r="D40" i="164"/>
  <c r="D39" i="164"/>
  <c r="D38" i="164"/>
  <c r="D37" i="164"/>
  <c r="D36" i="164"/>
  <c r="D35" i="164"/>
  <c r="D34" i="164"/>
  <c r="D33" i="164"/>
  <c r="D32" i="164"/>
  <c r="D31" i="164"/>
  <c r="D30" i="164"/>
  <c r="D29" i="164"/>
  <c r="D28" i="164"/>
  <c r="D27" i="164"/>
  <c r="D26" i="164"/>
  <c r="D25" i="164"/>
  <c r="D24" i="164"/>
  <c r="D23" i="164"/>
  <c r="D22" i="164"/>
  <c r="D21" i="164"/>
  <c r="D20" i="164"/>
  <c r="D19" i="164"/>
  <c r="D18" i="164"/>
  <c r="D17" i="164"/>
  <c r="D16" i="164"/>
  <c r="D15" i="164"/>
  <c r="D14" i="164"/>
  <c r="D13" i="164"/>
  <c r="D12" i="164"/>
  <c r="D10" i="163"/>
  <c r="D9" i="163"/>
  <c r="D6" i="163"/>
  <c r="D5" i="163"/>
  <c r="D108" i="164" l="1"/>
  <c r="D118" i="162"/>
  <c r="E106" i="162" s="1"/>
  <c r="D106" i="162"/>
  <c r="D105" i="162"/>
  <c r="D104" i="162"/>
  <c r="D103" i="162"/>
  <c r="D102" i="162"/>
  <c r="D101" i="162"/>
  <c r="D100" i="162"/>
  <c r="D99" i="162"/>
  <c r="D98" i="162"/>
  <c r="D97" i="162"/>
  <c r="D96" i="162"/>
  <c r="D95" i="162"/>
  <c r="D94" i="162"/>
  <c r="D93" i="162"/>
  <c r="D92" i="162"/>
  <c r="D91" i="162"/>
  <c r="D90" i="162"/>
  <c r="D89" i="162"/>
  <c r="D88" i="162"/>
  <c r="D87" i="162"/>
  <c r="D86" i="162"/>
  <c r="D85" i="162"/>
  <c r="D84" i="162"/>
  <c r="D83" i="162"/>
  <c r="D82" i="162"/>
  <c r="D81" i="162"/>
  <c r="D80" i="162"/>
  <c r="D79" i="162"/>
  <c r="D78" i="162"/>
  <c r="D77" i="162"/>
  <c r="D76" i="162"/>
  <c r="D75" i="162"/>
  <c r="D74" i="162"/>
  <c r="D73" i="162"/>
  <c r="D72" i="162"/>
  <c r="D71" i="162"/>
  <c r="D70" i="162"/>
  <c r="D69" i="162"/>
  <c r="D68" i="162"/>
  <c r="D67" i="162"/>
  <c r="D66" i="162"/>
  <c r="D65" i="162"/>
  <c r="D64" i="162"/>
  <c r="D63" i="162"/>
  <c r="D62" i="162"/>
  <c r="D61" i="162"/>
  <c r="D60" i="162"/>
  <c r="D59" i="162"/>
  <c r="D58" i="162"/>
  <c r="D57" i="162"/>
  <c r="D56" i="162"/>
  <c r="D55" i="162"/>
  <c r="D54" i="162"/>
  <c r="D53" i="162"/>
  <c r="D52" i="162"/>
  <c r="D51" i="162"/>
  <c r="D50" i="162"/>
  <c r="D49" i="162"/>
  <c r="D48" i="162"/>
  <c r="D47" i="162"/>
  <c r="D46" i="162"/>
  <c r="D45" i="162"/>
  <c r="D44" i="162"/>
  <c r="D43" i="162"/>
  <c r="D42" i="162"/>
  <c r="D41" i="162"/>
  <c r="D40" i="162"/>
  <c r="D39" i="162"/>
  <c r="D38" i="162"/>
  <c r="D37" i="162"/>
  <c r="D36" i="162"/>
  <c r="D35" i="162"/>
  <c r="D34" i="162"/>
  <c r="D33" i="162"/>
  <c r="D32" i="162"/>
  <c r="D31" i="162"/>
  <c r="D30" i="162"/>
  <c r="D29" i="162"/>
  <c r="D28" i="162"/>
  <c r="D27" i="162"/>
  <c r="D26" i="162"/>
  <c r="D25" i="162"/>
  <c r="D24" i="162"/>
  <c r="D23" i="162"/>
  <c r="D22" i="162"/>
  <c r="D21" i="162"/>
  <c r="D20" i="162"/>
  <c r="D19" i="162"/>
  <c r="D18" i="162"/>
  <c r="D17" i="162"/>
  <c r="D16" i="162"/>
  <c r="D15" i="162"/>
  <c r="D14" i="162"/>
  <c r="D13" i="162"/>
  <c r="D12" i="162"/>
  <c r="L17" i="162" s="1"/>
  <c r="E142" i="161" l="1"/>
  <c r="D130" i="161" s="1"/>
  <c r="E130" i="161"/>
  <c r="E131" i="161" s="1"/>
  <c r="G129" i="161"/>
  <c r="G128" i="161"/>
  <c r="G127" i="161"/>
  <c r="G126" i="161"/>
  <c r="G125" i="161"/>
  <c r="G124" i="161"/>
  <c r="G123" i="161"/>
  <c r="G122" i="161"/>
  <c r="G121" i="161"/>
  <c r="G120" i="161"/>
  <c r="G119" i="161"/>
  <c r="G118" i="161"/>
  <c r="G117" i="161"/>
  <c r="G116" i="161"/>
  <c r="G115" i="161"/>
  <c r="G114" i="161"/>
  <c r="G113" i="161"/>
  <c r="G112" i="161"/>
  <c r="G111" i="161"/>
  <c r="G110" i="161"/>
  <c r="G109" i="161"/>
  <c r="G108" i="161"/>
  <c r="G107" i="161"/>
  <c r="G106" i="161"/>
  <c r="G105" i="161"/>
  <c r="G104" i="161"/>
  <c r="G103" i="161"/>
  <c r="G102" i="161"/>
  <c r="G101" i="161"/>
  <c r="G100" i="161"/>
  <c r="G99" i="161"/>
  <c r="G98" i="161"/>
  <c r="G97" i="161"/>
  <c r="G96" i="161"/>
  <c r="G95" i="161"/>
  <c r="G94" i="161"/>
  <c r="G93" i="161"/>
  <c r="G92" i="161"/>
  <c r="G91" i="161"/>
  <c r="G90" i="161"/>
  <c r="G89" i="161"/>
  <c r="G88" i="161"/>
  <c r="G87" i="161"/>
  <c r="G86" i="161"/>
  <c r="G85" i="161"/>
  <c r="G84" i="161"/>
  <c r="G83" i="161"/>
  <c r="G82" i="161"/>
  <c r="G81" i="161"/>
  <c r="G80" i="161"/>
  <c r="G79" i="161"/>
  <c r="G78" i="161"/>
  <c r="G77" i="161"/>
  <c r="G76" i="161"/>
  <c r="G75" i="161"/>
  <c r="G74" i="161"/>
  <c r="G73" i="161"/>
  <c r="G72" i="161"/>
  <c r="G71" i="161"/>
  <c r="G70" i="161"/>
  <c r="G69" i="161"/>
  <c r="G68" i="161"/>
  <c r="G67" i="161"/>
  <c r="G66" i="161"/>
  <c r="G65" i="161"/>
  <c r="G64" i="161"/>
  <c r="G63" i="161"/>
  <c r="G62" i="161"/>
  <c r="G61" i="161"/>
  <c r="G60" i="161"/>
  <c r="G59" i="161"/>
  <c r="G58" i="161"/>
  <c r="G57" i="161"/>
  <c r="G56" i="161"/>
  <c r="G55" i="161"/>
  <c r="G54" i="161"/>
  <c r="G53" i="161"/>
  <c r="G52" i="161"/>
  <c r="G51" i="161"/>
  <c r="G50" i="161"/>
  <c r="G49" i="161"/>
  <c r="G48" i="161"/>
  <c r="G47" i="161"/>
  <c r="G46" i="161"/>
  <c r="G45" i="161"/>
  <c r="G44" i="161"/>
  <c r="G43" i="161"/>
  <c r="G42" i="161"/>
  <c r="G41" i="161"/>
  <c r="G40" i="161"/>
  <c r="G39" i="161"/>
  <c r="G38" i="161"/>
  <c r="G37" i="161"/>
  <c r="G36" i="161"/>
  <c r="G35" i="161"/>
  <c r="G34" i="161"/>
  <c r="G33" i="161"/>
  <c r="G32" i="161"/>
  <c r="D131" i="161" l="1"/>
  <c r="D132" i="161"/>
  <c r="G130" i="161"/>
  <c r="J34" i="161" s="1" a="1"/>
  <c r="E132" i="161"/>
  <c r="K84" i="161" l="1"/>
  <c r="E21" i="161" s="1"/>
  <c r="J58" i="161"/>
  <c r="J67" i="161"/>
  <c r="J41" i="161"/>
  <c r="J54" i="161"/>
  <c r="J53" i="161"/>
  <c r="J72" i="161"/>
  <c r="J60" i="161"/>
  <c r="J48" i="161"/>
  <c r="J36" i="161"/>
  <c r="J71" i="161"/>
  <c r="J59" i="161"/>
  <c r="J47" i="161"/>
  <c r="J35" i="161"/>
  <c r="J34" i="161"/>
  <c r="J45" i="161"/>
  <c r="J68" i="161"/>
  <c r="J55" i="161"/>
  <c r="J66" i="161"/>
  <c r="J65" i="161"/>
  <c r="J64" i="161"/>
  <c r="J52" i="161"/>
  <c r="J40" i="161"/>
  <c r="J73" i="161"/>
  <c r="J49" i="161"/>
  <c r="J37" i="161"/>
  <c r="J46" i="161"/>
  <c r="J69" i="161"/>
  <c r="J56" i="161"/>
  <c r="J43" i="161"/>
  <c r="J75" i="161"/>
  <c r="J63" i="161"/>
  <c r="J51" i="161"/>
  <c r="J39" i="161"/>
  <c r="J74" i="161"/>
  <c r="J62" i="161"/>
  <c r="J50" i="161"/>
  <c r="J38" i="161"/>
  <c r="J61" i="161"/>
  <c r="J70" i="161"/>
  <c r="J57" i="161"/>
  <c r="J44" i="161"/>
  <c r="J42" i="161"/>
  <c r="G132" i="161"/>
  <c r="G131" i="161"/>
  <c r="K87" i="161"/>
  <c r="E24" i="161" s="1"/>
  <c r="K90" i="161"/>
  <c r="E27" i="161" s="1"/>
  <c r="J77" i="161" l="1"/>
  <c r="K35" i="161" l="1"/>
  <c r="K63" i="161"/>
  <c r="K47" i="161"/>
  <c r="K73" i="161"/>
  <c r="K69" i="161"/>
  <c r="K65" i="161"/>
  <c r="K61" i="161"/>
  <c r="K57" i="161"/>
  <c r="K53" i="161"/>
  <c r="K49" i="161"/>
  <c r="K45" i="161"/>
  <c r="K41" i="161"/>
  <c r="K37" i="161"/>
  <c r="K60" i="161"/>
  <c r="K48" i="161"/>
  <c r="K75" i="161"/>
  <c r="K67" i="161"/>
  <c r="K51" i="161"/>
  <c r="K68" i="161"/>
  <c r="K40" i="161"/>
  <c r="K34" i="161"/>
  <c r="K72" i="161"/>
  <c r="K64" i="161"/>
  <c r="K52" i="161"/>
  <c r="K36" i="161"/>
  <c r="K59" i="161"/>
  <c r="K39" i="161"/>
  <c r="K74" i="161"/>
  <c r="K70" i="161"/>
  <c r="K66" i="161"/>
  <c r="K62" i="161"/>
  <c r="K58" i="161"/>
  <c r="K54" i="161"/>
  <c r="K50" i="161"/>
  <c r="K46" i="161"/>
  <c r="K42" i="161"/>
  <c r="K38" i="161"/>
  <c r="K56" i="161"/>
  <c r="K44" i="161"/>
  <c r="K71" i="161"/>
  <c r="K55" i="161"/>
  <c r="K43" i="161"/>
  <c r="D136" i="160" l="1"/>
  <c r="C136" i="160"/>
  <c r="E134" i="160"/>
  <c r="E133" i="160"/>
  <c r="E132" i="160"/>
  <c r="E131" i="160"/>
  <c r="E130" i="160"/>
  <c r="E129" i="160"/>
  <c r="E128" i="160"/>
  <c r="E127" i="160"/>
  <c r="E126" i="160"/>
  <c r="E125" i="160"/>
  <c r="E124" i="160"/>
  <c r="E123" i="160"/>
  <c r="E122" i="160"/>
  <c r="E121" i="160"/>
  <c r="E120" i="160"/>
  <c r="E119" i="160"/>
  <c r="E118" i="160"/>
  <c r="E117" i="160"/>
  <c r="E116" i="160"/>
  <c r="E115" i="160"/>
  <c r="E114" i="160"/>
  <c r="E113" i="160"/>
  <c r="E112" i="160"/>
  <c r="E111" i="160"/>
  <c r="E110" i="160"/>
  <c r="E109" i="160"/>
  <c r="E108" i="160"/>
  <c r="E107" i="160"/>
  <c r="E106" i="160"/>
  <c r="E105" i="160"/>
  <c r="E104" i="160"/>
  <c r="E103" i="160"/>
  <c r="E102" i="160"/>
  <c r="E101" i="160"/>
  <c r="E100" i="160"/>
  <c r="E99" i="160"/>
  <c r="E98" i="160"/>
  <c r="E97" i="160"/>
  <c r="E96" i="160"/>
  <c r="E95" i="160"/>
  <c r="E94" i="160"/>
  <c r="E93" i="160"/>
  <c r="E92" i="160"/>
  <c r="E91" i="160"/>
  <c r="E90" i="160"/>
  <c r="E89" i="160"/>
  <c r="E88" i="160"/>
  <c r="E87" i="160"/>
  <c r="E86" i="160"/>
  <c r="E85" i="160"/>
  <c r="E84" i="160"/>
  <c r="E83" i="160"/>
  <c r="E82" i="160"/>
  <c r="E81" i="160"/>
  <c r="E80" i="160"/>
  <c r="E79" i="160"/>
  <c r="E78" i="160"/>
  <c r="E77" i="160"/>
  <c r="E76" i="160"/>
  <c r="E75" i="160"/>
  <c r="E74" i="160"/>
  <c r="E73" i="160"/>
  <c r="E72" i="160"/>
  <c r="E71" i="160"/>
  <c r="E70" i="160"/>
  <c r="E69" i="160"/>
  <c r="E68" i="160"/>
  <c r="E67" i="160"/>
  <c r="E66" i="160"/>
  <c r="E65" i="160"/>
  <c r="E64" i="160"/>
  <c r="E63" i="160"/>
  <c r="E62" i="160"/>
  <c r="H38" i="160"/>
  <c r="H39" i="160" s="1"/>
  <c r="H40" i="160" s="1"/>
  <c r="E61" i="160"/>
  <c r="E60" i="160"/>
  <c r="E59" i="160"/>
  <c r="E58" i="160"/>
  <c r="E57" i="160"/>
  <c r="E56" i="160"/>
  <c r="E55" i="160"/>
  <c r="E54" i="160"/>
  <c r="E53" i="160"/>
  <c r="E52" i="160"/>
  <c r="E51" i="160"/>
  <c r="E50" i="160"/>
  <c r="E49" i="160"/>
  <c r="E48" i="160"/>
  <c r="E47" i="160"/>
  <c r="E46" i="160"/>
  <c r="E45" i="160"/>
  <c r="E44" i="160"/>
  <c r="E43" i="160"/>
  <c r="E42" i="160"/>
  <c r="E41" i="160"/>
  <c r="I37" i="160" s="1"/>
  <c r="E40" i="160"/>
  <c r="E39" i="160"/>
  <c r="B39" i="160"/>
  <c r="B40" i="160" s="1"/>
  <c r="B41" i="160" s="1"/>
  <c r="B42" i="160" s="1"/>
  <c r="B43" i="160" s="1"/>
  <c r="B44" i="160" s="1"/>
  <c r="B45" i="160" s="1"/>
  <c r="B46" i="160" s="1"/>
  <c r="B47" i="160" s="1"/>
  <c r="B48" i="160" s="1"/>
  <c r="B49" i="160" s="1"/>
  <c r="B50" i="160" s="1"/>
  <c r="B51" i="160" s="1"/>
  <c r="B52" i="160" s="1"/>
  <c r="B53" i="160" s="1"/>
  <c r="B54" i="160" s="1"/>
  <c r="B55" i="160" s="1"/>
  <c r="B56" i="160" s="1"/>
  <c r="B57" i="160" s="1"/>
  <c r="B58" i="160" s="1"/>
  <c r="B59" i="160" s="1"/>
  <c r="B60" i="160" s="1"/>
  <c r="B61" i="160" s="1"/>
  <c r="B62" i="160" s="1"/>
  <c r="B63" i="160" s="1"/>
  <c r="B64" i="160" s="1"/>
  <c r="B65" i="160" s="1"/>
  <c r="B66" i="160" s="1"/>
  <c r="B67" i="160" s="1"/>
  <c r="B68" i="160" s="1"/>
  <c r="B69" i="160" s="1"/>
  <c r="B70" i="160" s="1"/>
  <c r="B71" i="160" s="1"/>
  <c r="B72" i="160" s="1"/>
  <c r="B73" i="160" s="1"/>
  <c r="B74" i="160" s="1"/>
  <c r="B75" i="160" s="1"/>
  <c r="B76" i="160" s="1"/>
  <c r="B77" i="160" s="1"/>
  <c r="B78" i="160" s="1"/>
  <c r="B79" i="160" s="1"/>
  <c r="B80" i="160" s="1"/>
  <c r="B81" i="160" s="1"/>
  <c r="B82" i="160" s="1"/>
  <c r="B83" i="160" s="1"/>
  <c r="B84" i="160" s="1"/>
  <c r="B85" i="160" s="1"/>
  <c r="B86" i="160" s="1"/>
  <c r="B87" i="160" s="1"/>
  <c r="B88" i="160" s="1"/>
  <c r="B89" i="160" s="1"/>
  <c r="B90" i="160" s="1"/>
  <c r="B91" i="160" s="1"/>
  <c r="B92" i="160" s="1"/>
  <c r="B93" i="160" s="1"/>
  <c r="B94" i="160" s="1"/>
  <c r="B95" i="160" s="1"/>
  <c r="B96" i="160" s="1"/>
  <c r="B97" i="160" s="1"/>
  <c r="B98" i="160" s="1"/>
  <c r="B99" i="160" s="1"/>
  <c r="B100" i="160" s="1"/>
  <c r="B101" i="160" s="1"/>
  <c r="B102" i="160" s="1"/>
  <c r="B103" i="160" s="1"/>
  <c r="B104" i="160" s="1"/>
  <c r="B105" i="160" s="1"/>
  <c r="B106" i="160" s="1"/>
  <c r="B107" i="160" s="1"/>
  <c r="B108" i="160" s="1"/>
  <c r="B109" i="160" s="1"/>
  <c r="B110" i="160" s="1"/>
  <c r="B111" i="160" s="1"/>
  <c r="B112" i="160" s="1"/>
  <c r="B113" i="160" s="1"/>
  <c r="B114" i="160" s="1"/>
  <c r="B115" i="160" s="1"/>
  <c r="B116" i="160" s="1"/>
  <c r="B117" i="160" s="1"/>
  <c r="B118" i="160" s="1"/>
  <c r="B119" i="160" s="1"/>
  <c r="B120" i="160" s="1"/>
  <c r="B121" i="160" s="1"/>
  <c r="B122" i="160" s="1"/>
  <c r="B123" i="160" s="1"/>
  <c r="B124" i="160" s="1"/>
  <c r="B125" i="160" s="1"/>
  <c r="B126" i="160" s="1"/>
  <c r="B127" i="160" s="1"/>
  <c r="B128" i="160" s="1"/>
  <c r="B129" i="160" s="1"/>
  <c r="B130" i="160" s="1"/>
  <c r="B131" i="160" s="1"/>
  <c r="B132" i="160" s="1"/>
  <c r="B133" i="160" s="1"/>
  <c r="B134" i="160" s="1"/>
  <c r="E38" i="160"/>
  <c r="E136" i="160" l="1"/>
  <c r="D21" i="160"/>
  <c r="I38" i="160"/>
  <c r="H41" i="160"/>
  <c r="D24" i="160"/>
  <c r="D27" i="160"/>
  <c r="D30" i="160"/>
  <c r="I39" i="160"/>
  <c r="H42" i="160" l="1"/>
  <c r="I41" i="160" s="1"/>
  <c r="I40" i="160"/>
  <c r="H43" i="160" l="1"/>
  <c r="H44" i="160" l="1"/>
  <c r="I43" i="160"/>
  <c r="I42" i="160"/>
  <c r="H45" i="160" l="1"/>
  <c r="I44" i="160" s="1"/>
  <c r="H46" i="160" l="1"/>
  <c r="H47" i="160" l="1"/>
  <c r="I45" i="160"/>
  <c r="H48" i="160" l="1"/>
  <c r="I46" i="160"/>
  <c r="H49" i="160" l="1"/>
  <c r="I48" i="160"/>
  <c r="I47" i="160"/>
  <c r="H50" i="160" l="1"/>
  <c r="I49" i="160" s="1"/>
  <c r="H51" i="160" l="1"/>
  <c r="I50" i="160"/>
  <c r="H52" i="160" l="1"/>
  <c r="I51" i="160" s="1"/>
  <c r="H53" i="160" l="1"/>
  <c r="H54" i="160" l="1"/>
  <c r="I53" i="160" s="1"/>
  <c r="I52" i="160"/>
  <c r="H55" i="160" l="1"/>
  <c r="I54" i="160" s="1"/>
  <c r="H56" i="160" l="1"/>
  <c r="I55" i="160"/>
  <c r="H57" i="160" l="1"/>
  <c r="I56" i="160"/>
  <c r="H58" i="160" l="1"/>
  <c r="H59" i="160" l="1"/>
  <c r="I57" i="160"/>
  <c r="H60" i="160" l="1"/>
  <c r="I58" i="160"/>
  <c r="H61" i="160" l="1"/>
  <c r="I60" i="160" s="1"/>
  <c r="I59" i="160"/>
  <c r="H62" i="160" l="1"/>
  <c r="I62" i="160" s="1"/>
  <c r="I61" i="160" l="1"/>
  <c r="I64" i="160" s="1"/>
  <c r="J52" i="160" l="1"/>
  <c r="J40" i="160"/>
  <c r="J59" i="160"/>
  <c r="J47" i="160"/>
  <c r="J54" i="160"/>
  <c r="J42" i="160"/>
  <c r="J39" i="160"/>
  <c r="J58" i="160"/>
  <c r="J46" i="160"/>
  <c r="J53" i="160"/>
  <c r="J60" i="160"/>
  <c r="J48" i="160"/>
  <c r="J45" i="160"/>
  <c r="J51" i="160"/>
  <c r="J41" i="160"/>
  <c r="J57" i="160"/>
  <c r="J61" i="160"/>
  <c r="J49" i="160"/>
  <c r="J37" i="160"/>
  <c r="J56" i="160"/>
  <c r="J44" i="160"/>
  <c r="J55" i="160"/>
  <c r="J43" i="160"/>
  <c r="J62" i="160"/>
  <c r="J50" i="160"/>
  <c r="J38" i="160"/>
  <c r="C65" i="159" l="1"/>
  <c r="B65" i="159"/>
  <c r="C64" i="159"/>
  <c r="B64" i="159"/>
  <c r="C63" i="159"/>
  <c r="B63" i="159"/>
  <c r="C62" i="159"/>
  <c r="B62" i="159"/>
  <c r="C61" i="159"/>
  <c r="G20" i="155" s="1"/>
  <c r="B61" i="159"/>
  <c r="C60" i="159"/>
  <c r="B60" i="159"/>
  <c r="C59" i="159"/>
  <c r="B59" i="159"/>
  <c r="C58" i="159"/>
  <c r="B58" i="159"/>
  <c r="C57" i="159"/>
  <c r="B57" i="159"/>
  <c r="C56" i="159"/>
  <c r="B56" i="159"/>
  <c r="C55" i="159"/>
  <c r="B55" i="159"/>
  <c r="C54" i="159"/>
  <c r="G13" i="155" s="1"/>
  <c r="B54" i="159"/>
  <c r="C53" i="159"/>
  <c r="B53" i="159"/>
  <c r="C52" i="159"/>
  <c r="B52" i="159"/>
  <c r="C51" i="159"/>
  <c r="B51" i="159"/>
  <c r="C50" i="159"/>
  <c r="B50" i="159"/>
  <c r="C49" i="159"/>
  <c r="G8" i="155" s="1"/>
  <c r="B49" i="159"/>
  <c r="C48" i="159"/>
  <c r="B48" i="159"/>
  <c r="C47" i="159"/>
  <c r="B47" i="159"/>
  <c r="C46" i="159"/>
  <c r="B46" i="159"/>
  <c r="C45" i="159"/>
  <c r="B45" i="159"/>
  <c r="C44" i="159"/>
  <c r="B44" i="159"/>
  <c r="C43" i="159"/>
  <c r="B43" i="159"/>
  <c r="C42" i="159"/>
  <c r="B42" i="159"/>
  <c r="C41" i="159"/>
  <c r="B41" i="159"/>
  <c r="C40" i="159"/>
  <c r="B40" i="159"/>
  <c r="C39" i="159"/>
  <c r="B39" i="159"/>
  <c r="C38" i="159"/>
  <c r="B38" i="159"/>
  <c r="C37" i="159"/>
  <c r="B37" i="159"/>
  <c r="C36" i="159"/>
  <c r="B36" i="159"/>
  <c r="C35" i="159"/>
  <c r="B35" i="159"/>
  <c r="C34" i="159"/>
  <c r="B34" i="159"/>
  <c r="C33" i="159"/>
  <c r="B33" i="159"/>
  <c r="C32" i="159"/>
  <c r="B32" i="159"/>
  <c r="C31" i="159"/>
  <c r="B31" i="159"/>
  <c r="C30" i="159"/>
  <c r="B30" i="159"/>
  <c r="C29" i="159"/>
  <c r="B29" i="159"/>
  <c r="C28" i="159"/>
  <c r="B28" i="159"/>
  <c r="C27" i="159"/>
  <c r="B27" i="159"/>
  <c r="C26" i="159"/>
  <c r="B26" i="159"/>
  <c r="C25" i="159"/>
  <c r="B25" i="159"/>
  <c r="C24" i="159"/>
  <c r="B24" i="159"/>
  <c r="C23" i="159"/>
  <c r="B23" i="159"/>
  <c r="C22" i="159"/>
  <c r="B22" i="159"/>
  <c r="C21" i="159"/>
  <c r="B21" i="159"/>
  <c r="C20" i="159"/>
  <c r="B20" i="159"/>
  <c r="C19" i="159"/>
  <c r="B19" i="159"/>
  <c r="C18" i="159"/>
  <c r="B18" i="159"/>
  <c r="C17" i="159"/>
  <c r="B17" i="159"/>
  <c r="C16" i="159"/>
  <c r="B16" i="159"/>
  <c r="C15" i="159"/>
  <c r="B15" i="159"/>
  <c r="C14" i="159"/>
  <c r="B14" i="159"/>
  <c r="C13" i="159"/>
  <c r="B13" i="159"/>
  <c r="C12" i="159"/>
  <c r="B12" i="159"/>
  <c r="C11" i="159"/>
  <c r="B11" i="159"/>
  <c r="C10" i="159"/>
  <c r="B10" i="159"/>
  <c r="C9" i="159"/>
  <c r="B9" i="159"/>
  <c r="C8" i="159"/>
  <c r="B8" i="159"/>
  <c r="C7" i="159"/>
  <c r="B7" i="159"/>
  <c r="C6" i="159"/>
  <c r="B6" i="159"/>
  <c r="C5" i="159"/>
  <c r="B5" i="159"/>
  <c r="C4" i="159"/>
  <c r="B4" i="159"/>
  <c r="C3" i="159"/>
  <c r="B3" i="159"/>
  <c r="C2" i="159"/>
  <c r="B2" i="159"/>
  <c r="E17" i="158"/>
  <c r="A17" i="158"/>
  <c r="E16" i="158"/>
  <c r="A16" i="158"/>
  <c r="E15" i="158"/>
  <c r="E14" i="158"/>
  <c r="E13" i="158"/>
  <c r="E12" i="158"/>
  <c r="E11" i="158"/>
  <c r="E10" i="158"/>
  <c r="E9" i="158"/>
  <c r="B9" i="158"/>
  <c r="B10" i="158" s="1"/>
  <c r="A9" i="158"/>
  <c r="E8" i="158"/>
  <c r="A8" i="158"/>
  <c r="E7" i="158"/>
  <c r="A7" i="158"/>
  <c r="E6" i="158"/>
  <c r="A6" i="158"/>
  <c r="E5" i="158"/>
  <c r="A5" i="158"/>
  <c r="E4" i="158"/>
  <c r="A4" i="158"/>
  <c r="E3" i="158"/>
  <c r="A3" i="158"/>
  <c r="E2" i="158"/>
  <c r="A2" i="158"/>
  <c r="G90" i="157" s="1"/>
  <c r="F13" i="155" s="1"/>
  <c r="E100" i="157"/>
  <c r="D100" i="157"/>
  <c r="E99" i="157"/>
  <c r="D99" i="157"/>
  <c r="E98" i="157"/>
  <c r="D98" i="157"/>
  <c r="E97" i="157"/>
  <c r="D97" i="157"/>
  <c r="E96" i="157"/>
  <c r="D96" i="157"/>
  <c r="E95" i="157"/>
  <c r="D18" i="155" s="1"/>
  <c r="D95" i="157"/>
  <c r="E94" i="157"/>
  <c r="D94" i="157"/>
  <c r="E93" i="157"/>
  <c r="D93" i="157"/>
  <c r="E92" i="157"/>
  <c r="D92" i="157"/>
  <c r="G91" i="157"/>
  <c r="F14" i="155" s="1"/>
  <c r="F91" i="157"/>
  <c r="E91" i="157"/>
  <c r="D91" i="157"/>
  <c r="F90" i="157"/>
  <c r="E90" i="157"/>
  <c r="D90" i="157"/>
  <c r="F89" i="157"/>
  <c r="E89" i="157"/>
  <c r="D89" i="157"/>
  <c r="G88" i="157"/>
  <c r="F88" i="157"/>
  <c r="E88" i="157"/>
  <c r="D11" i="155" s="1"/>
  <c r="D88" i="157"/>
  <c r="F87" i="157"/>
  <c r="E87" i="157"/>
  <c r="D87" i="157"/>
  <c r="F86" i="157"/>
  <c r="E86" i="157"/>
  <c r="D86" i="157"/>
  <c r="G85" i="157"/>
  <c r="F8" i="155" s="1"/>
  <c r="F85" i="157"/>
  <c r="E85" i="157"/>
  <c r="D85" i="157"/>
  <c r="E84" i="157"/>
  <c r="D84" i="157"/>
  <c r="E83" i="157"/>
  <c r="D83" i="157"/>
  <c r="E82" i="157"/>
  <c r="D82" i="157"/>
  <c r="E81" i="157"/>
  <c r="D81" i="157"/>
  <c r="E80" i="157"/>
  <c r="D80" i="157"/>
  <c r="E79" i="157"/>
  <c r="D79" i="157"/>
  <c r="E78" i="157"/>
  <c r="D78" i="157"/>
  <c r="E77" i="157"/>
  <c r="D77" i="157"/>
  <c r="E76" i="157"/>
  <c r="D76" i="157"/>
  <c r="E75" i="157"/>
  <c r="D75" i="157"/>
  <c r="E74" i="157"/>
  <c r="D74" i="157"/>
  <c r="E73" i="157"/>
  <c r="D73" i="157"/>
  <c r="E72" i="157"/>
  <c r="D72" i="157"/>
  <c r="E71" i="157"/>
  <c r="D71" i="157"/>
  <c r="E70" i="157"/>
  <c r="D70" i="157"/>
  <c r="E69" i="157"/>
  <c r="D69" i="157"/>
  <c r="E68" i="157"/>
  <c r="D68" i="157"/>
  <c r="E67" i="157"/>
  <c r="D67" i="157"/>
  <c r="E66" i="157"/>
  <c r="D66" i="157"/>
  <c r="E65" i="157"/>
  <c r="D65" i="157"/>
  <c r="E64" i="157"/>
  <c r="D64" i="157"/>
  <c r="E63" i="157"/>
  <c r="D63" i="157"/>
  <c r="E62" i="157"/>
  <c r="D62" i="157"/>
  <c r="E61" i="157"/>
  <c r="D61" i="157"/>
  <c r="E60" i="157"/>
  <c r="D60" i="157"/>
  <c r="E59" i="157"/>
  <c r="D59" i="157"/>
  <c r="E58" i="157"/>
  <c r="D58" i="157"/>
  <c r="E57" i="157"/>
  <c r="D57" i="157"/>
  <c r="E56" i="157"/>
  <c r="D56" i="157"/>
  <c r="E55" i="157"/>
  <c r="D55" i="157"/>
  <c r="E54" i="157"/>
  <c r="D54" i="157"/>
  <c r="E53" i="157"/>
  <c r="D53" i="157"/>
  <c r="E52" i="157"/>
  <c r="D52" i="157"/>
  <c r="E51" i="157"/>
  <c r="D51" i="157"/>
  <c r="E50" i="157"/>
  <c r="D50" i="157"/>
  <c r="E49" i="157"/>
  <c r="D49" i="157"/>
  <c r="E48" i="157"/>
  <c r="D48" i="157"/>
  <c r="E47" i="157"/>
  <c r="D47" i="157"/>
  <c r="E46" i="157"/>
  <c r="D46" i="157"/>
  <c r="E45" i="157"/>
  <c r="D45" i="157"/>
  <c r="E44" i="157"/>
  <c r="D44" i="157"/>
  <c r="E43" i="157"/>
  <c r="D43" i="157"/>
  <c r="E42" i="157"/>
  <c r="D42" i="157"/>
  <c r="E41" i="157"/>
  <c r="D41" i="157"/>
  <c r="E40" i="157"/>
  <c r="D40" i="157"/>
  <c r="E39" i="157"/>
  <c r="D39" i="157"/>
  <c r="E38" i="157"/>
  <c r="D38" i="157"/>
  <c r="E37" i="157"/>
  <c r="D37" i="157"/>
  <c r="E36" i="157"/>
  <c r="D36" i="157"/>
  <c r="E35" i="157"/>
  <c r="D35" i="157"/>
  <c r="E34" i="157"/>
  <c r="D34" i="157"/>
  <c r="E33" i="157"/>
  <c r="D33" i="157"/>
  <c r="E32" i="157"/>
  <c r="D32" i="157"/>
  <c r="E31" i="157"/>
  <c r="D31" i="157"/>
  <c r="E30" i="157"/>
  <c r="D30" i="157"/>
  <c r="E29" i="157"/>
  <c r="D29" i="157"/>
  <c r="E28" i="157"/>
  <c r="D28" i="157"/>
  <c r="E27" i="157"/>
  <c r="D27" i="157"/>
  <c r="E26" i="157"/>
  <c r="D26" i="157"/>
  <c r="E25" i="157"/>
  <c r="D25" i="157"/>
  <c r="E24" i="157"/>
  <c r="D24" i="157"/>
  <c r="E23" i="157"/>
  <c r="D23" i="157"/>
  <c r="E22" i="157"/>
  <c r="D22" i="157"/>
  <c r="E21" i="157"/>
  <c r="D21" i="157"/>
  <c r="E20" i="157"/>
  <c r="D20" i="157"/>
  <c r="E19" i="157"/>
  <c r="D19" i="157"/>
  <c r="E18" i="157"/>
  <c r="D18" i="157"/>
  <c r="E17" i="157"/>
  <c r="D17" i="157"/>
  <c r="E16" i="157"/>
  <c r="D16" i="157"/>
  <c r="E15" i="157"/>
  <c r="D15" i="157"/>
  <c r="E14" i="157"/>
  <c r="D14" i="157"/>
  <c r="E13" i="157"/>
  <c r="D13" i="157"/>
  <c r="E12" i="157"/>
  <c r="D12" i="157"/>
  <c r="E11" i="157"/>
  <c r="D11" i="157"/>
  <c r="E10" i="157"/>
  <c r="D10" i="157"/>
  <c r="E9" i="157"/>
  <c r="D9" i="157"/>
  <c r="E8" i="157"/>
  <c r="D8" i="157"/>
  <c r="E7" i="157"/>
  <c r="D7" i="157"/>
  <c r="E6" i="157"/>
  <c r="D6" i="157"/>
  <c r="E5" i="157"/>
  <c r="D5" i="157"/>
  <c r="E4" i="157"/>
  <c r="D4" i="157"/>
  <c r="E3" i="157"/>
  <c r="D3" i="157"/>
  <c r="D2" i="157"/>
  <c r="E16" i="156"/>
  <c r="E22" i="155" s="1"/>
  <c r="A16" i="156"/>
  <c r="E15" i="156"/>
  <c r="E14" i="156"/>
  <c r="E20" i="155" s="1"/>
  <c r="E13" i="156"/>
  <c r="E12" i="156"/>
  <c r="E18" i="155" s="1"/>
  <c r="E11" i="156"/>
  <c r="E10" i="156"/>
  <c r="E16" i="155" s="1"/>
  <c r="E9" i="156"/>
  <c r="E8" i="156"/>
  <c r="E14" i="155" s="1"/>
  <c r="A8" i="156"/>
  <c r="A9" i="156" s="1"/>
  <c r="E7" i="156"/>
  <c r="E6" i="156"/>
  <c r="E5" i="156"/>
  <c r="E11" i="155" s="1"/>
  <c r="E4" i="156"/>
  <c r="E3" i="156"/>
  <c r="E2" i="156"/>
  <c r="E8" i="155" s="1"/>
  <c r="G22" i="155"/>
  <c r="D22" i="155"/>
  <c r="C22" i="155"/>
  <c r="G21" i="155"/>
  <c r="E21" i="155"/>
  <c r="D21" i="155"/>
  <c r="C21" i="155"/>
  <c r="D20" i="155"/>
  <c r="C20" i="155"/>
  <c r="G19" i="155"/>
  <c r="E19" i="155"/>
  <c r="D19" i="155"/>
  <c r="C19" i="155"/>
  <c r="G18" i="155"/>
  <c r="C18" i="155"/>
  <c r="G17" i="155"/>
  <c r="E17" i="155"/>
  <c r="D17" i="155"/>
  <c r="C17" i="155"/>
  <c r="G16" i="155"/>
  <c r="D16" i="155"/>
  <c r="C16" i="155"/>
  <c r="G15" i="155"/>
  <c r="E15" i="155"/>
  <c r="D15" i="155"/>
  <c r="C15" i="155"/>
  <c r="G14" i="155"/>
  <c r="D14" i="155"/>
  <c r="C14" i="155"/>
  <c r="E13" i="155"/>
  <c r="D13" i="155"/>
  <c r="C13" i="155"/>
  <c r="G12" i="155"/>
  <c r="E12" i="155"/>
  <c r="D12" i="155"/>
  <c r="C12" i="155"/>
  <c r="G11" i="155"/>
  <c r="F11" i="155"/>
  <c r="C11" i="155"/>
  <c r="G10" i="155"/>
  <c r="E10" i="155"/>
  <c r="D10" i="155"/>
  <c r="C10" i="155"/>
  <c r="G9" i="155"/>
  <c r="E9" i="155"/>
  <c r="D9" i="155"/>
  <c r="C9" i="155"/>
  <c r="D8" i="155"/>
  <c r="C8" i="155"/>
  <c r="C24" i="155" s="1"/>
  <c r="G24" i="155" l="1"/>
  <c r="G26" i="155" s="1"/>
  <c r="B11" i="158"/>
  <c r="A10" i="158"/>
  <c r="D24" i="155"/>
  <c r="D26" i="155" s="1"/>
  <c r="E24" i="155"/>
  <c r="E26" i="155" s="1"/>
  <c r="A10" i="156"/>
  <c r="A11" i="156" s="1"/>
  <c r="A12" i="156" s="1"/>
  <c r="A13" i="156" s="1"/>
  <c r="A14" i="156" s="1"/>
  <c r="F92" i="157"/>
  <c r="F95" i="157"/>
  <c r="F98" i="157"/>
  <c r="G86" i="157"/>
  <c r="F9" i="155" s="1"/>
  <c r="G89" i="157"/>
  <c r="F12" i="155" s="1"/>
  <c r="G92" i="157"/>
  <c r="F15" i="155" s="1"/>
  <c r="G87" i="157"/>
  <c r="F10" i="155" s="1"/>
  <c r="G94" i="157" l="1"/>
  <c r="F17" i="155" s="1"/>
  <c r="G93" i="157"/>
  <c r="F16" i="155" s="1"/>
  <c r="F99" i="157"/>
  <c r="F97" i="157"/>
  <c r="F96" i="157"/>
  <c r="F94" i="157"/>
  <c r="F93" i="157"/>
  <c r="A11" i="158"/>
  <c r="B12" i="158"/>
  <c r="B13" i="158" l="1"/>
  <c r="A12" i="158"/>
  <c r="G95" i="157"/>
  <c r="F18" i="155" s="1"/>
  <c r="B14" i="158" l="1"/>
  <c r="A13" i="158"/>
  <c r="B15" i="158" l="1"/>
  <c r="A14" i="158"/>
  <c r="G97" i="157" s="1"/>
  <c r="F20" i="155" s="1"/>
  <c r="A15" i="158" l="1"/>
  <c r="G96" i="157"/>
  <c r="F19" i="155" s="1"/>
  <c r="G98" i="157" l="1"/>
  <c r="F21" i="155" s="1"/>
  <c r="G99" i="157"/>
  <c r="F22" i="155" s="1"/>
  <c r="G100" i="157"/>
  <c r="F24" i="155" l="1"/>
  <c r="F26" i="155" s="1"/>
  <c r="I96" i="154" l="1"/>
  <c r="G72" i="154"/>
  <c r="D51" i="154"/>
  <c r="D53" i="154" s="1"/>
  <c r="I11" i="154" s="1"/>
  <c r="I42" i="154"/>
  <c r="I41" i="154"/>
  <c r="D40" i="154"/>
  <c r="L39" i="154"/>
  <c r="H39" i="154"/>
  <c r="L38" i="154"/>
  <c r="H38" i="154"/>
  <c r="L37" i="154"/>
  <c r="H37" i="154" s="1"/>
  <c r="H42" i="154" s="1"/>
  <c r="L36" i="154"/>
  <c r="H36" i="154"/>
  <c r="L35" i="154"/>
  <c r="H35" i="154"/>
  <c r="L34" i="154"/>
  <c r="H34" i="154"/>
  <c r="L33" i="154"/>
  <c r="H33" i="154"/>
  <c r="A15" i="154"/>
  <c r="A16" i="154" s="1"/>
  <c r="A18" i="154" s="1"/>
  <c r="A20" i="154" s="1"/>
  <c r="A21" i="154" s="1"/>
  <c r="A23" i="154" s="1"/>
  <c r="A24" i="154" s="1"/>
  <c r="A26" i="154" s="1"/>
  <c r="A27" i="154" s="1"/>
  <c r="I13" i="154"/>
  <c r="F102" i="154" s="1"/>
  <c r="C18" i="153"/>
  <c r="C30" i="153" s="1"/>
  <c r="C16" i="153"/>
  <c r="C14" i="153"/>
  <c r="G102" i="154" l="1"/>
  <c r="H41" i="154"/>
  <c r="I45" i="154"/>
  <c r="I44" i="154"/>
  <c r="I16" i="154"/>
  <c r="E14" i="153"/>
  <c r="E18" i="153" s="1"/>
  <c r="E30" i="153" s="1"/>
  <c r="G78" i="154"/>
  <c r="E16" i="153"/>
  <c r="G16" i="153" l="1"/>
  <c r="C24" i="153"/>
  <c r="H78" i="154"/>
  <c r="I18" i="154"/>
  <c r="C20" i="153" s="1"/>
  <c r="G74" i="154"/>
  <c r="H102" i="154"/>
  <c r="I102" i="154" l="1"/>
  <c r="H98" i="154"/>
  <c r="G76" i="154"/>
  <c r="G80" i="154" s="1"/>
  <c r="H74" i="154"/>
  <c r="G20" i="153"/>
  <c r="E20" i="153"/>
  <c r="C22" i="153"/>
  <c r="C32" i="153"/>
  <c r="C34" i="153" s="1"/>
  <c r="I21" i="154"/>
  <c r="C36" i="153"/>
  <c r="C26" i="153"/>
  <c r="E24" i="153"/>
  <c r="I78" i="154"/>
  <c r="C38" i="153" l="1"/>
  <c r="G36" i="153"/>
  <c r="E36" i="153"/>
  <c r="G32" i="153"/>
  <c r="I80" i="154"/>
  <c r="I104" i="154"/>
  <c r="I26" i="154"/>
  <c r="I24" i="154"/>
  <c r="E32" i="153"/>
  <c r="E34" i="153" s="1"/>
  <c r="E22" i="153"/>
  <c r="E26" i="153" s="1"/>
  <c r="I74" i="154"/>
  <c r="I76" i="154" s="1"/>
  <c r="H76" i="154"/>
  <c r="H80" i="154" s="1"/>
  <c r="C47" i="153" s="1"/>
  <c r="G47" i="153" s="1"/>
  <c r="G14" i="153" s="1"/>
  <c r="G18" i="153" s="1"/>
  <c r="G22" i="153" s="1"/>
  <c r="G98" i="154"/>
  <c r="H100" i="154"/>
  <c r="H104" i="154" s="1"/>
  <c r="I98" i="154"/>
  <c r="I100" i="154" s="1"/>
  <c r="G24" i="153"/>
  <c r="G26" i="153" l="1"/>
  <c r="I26" i="153" s="1"/>
  <c r="G30" i="153"/>
  <c r="I18" i="153"/>
  <c r="G34" i="153"/>
  <c r="G38" i="153" s="1"/>
  <c r="E38" i="153"/>
  <c r="I38" i="153" s="1"/>
  <c r="F98" i="154"/>
  <c r="F100" i="154" s="1"/>
  <c r="F104" i="154" s="1"/>
  <c r="G100" i="154"/>
  <c r="G104" i="154" s="1"/>
  <c r="O17" i="152"/>
  <c r="O20" i="152" s="1"/>
  <c r="E40" i="151" s="1"/>
  <c r="N17" i="152"/>
  <c r="N20" i="152" s="1"/>
  <c r="M17" i="152"/>
  <c r="M20" i="152" s="1"/>
  <c r="L17" i="152"/>
  <c r="L20" i="152" s="1"/>
  <c r="O16" i="152"/>
  <c r="N16" i="152"/>
  <c r="M16" i="152"/>
  <c r="L16" i="152"/>
  <c r="O15" i="152"/>
  <c r="N15" i="152"/>
  <c r="M15" i="152"/>
  <c r="L15" i="152"/>
  <c r="O14" i="152"/>
  <c r="N14" i="152"/>
  <c r="M14" i="152"/>
  <c r="L14" i="152"/>
  <c r="O13" i="152"/>
  <c r="N13" i="152"/>
  <c r="M13" i="152"/>
  <c r="L13" i="152"/>
  <c r="L19" i="152" s="1"/>
  <c r="B13" i="152"/>
  <c r="B14" i="152" s="1"/>
  <c r="B15" i="152" s="1"/>
  <c r="B16" i="152" s="1"/>
  <c r="B17" i="152" s="1"/>
  <c r="O12" i="152"/>
  <c r="N12" i="152"/>
  <c r="M12" i="152"/>
  <c r="M19" i="152" s="1"/>
  <c r="L12" i="152"/>
  <c r="B12" i="152"/>
  <c r="O11" i="152"/>
  <c r="O19" i="152" s="1"/>
  <c r="N11" i="152"/>
  <c r="N19" i="152" s="1"/>
  <c r="M11" i="152"/>
  <c r="L11" i="152"/>
  <c r="H42" i="151"/>
  <c r="G42" i="151"/>
  <c r="H20" i="151"/>
  <c r="H53" i="151" s="1"/>
  <c r="G20" i="151"/>
  <c r="G53" i="151" s="1"/>
  <c r="F20" i="151"/>
  <c r="F53" i="151" s="1"/>
  <c r="I53" i="151" s="1"/>
  <c r="H19" i="151"/>
  <c r="G19" i="151"/>
  <c r="F19" i="151"/>
  <c r="F42" i="151" s="1"/>
  <c r="I42" i="151" s="1"/>
  <c r="B14" i="151"/>
  <c r="B15" i="151" s="1"/>
  <c r="B16" i="151" s="1"/>
  <c r="B17" i="151" s="1"/>
  <c r="E44" i="151" l="1"/>
  <c r="E51" i="151"/>
  <c r="F40" i="151"/>
  <c r="F44" i="151" l="1"/>
  <c r="F46" i="151" s="1"/>
  <c r="G40" i="151"/>
  <c r="F51" i="151"/>
  <c r="F55" i="151" s="1"/>
  <c r="F57" i="151" s="1"/>
  <c r="E55" i="151"/>
  <c r="I40" i="151"/>
  <c r="I44" i="151" s="1"/>
  <c r="I46" i="151" s="1"/>
  <c r="G44" i="151" l="1"/>
  <c r="G46" i="151" s="1"/>
  <c r="G51" i="151"/>
  <c r="H40" i="151"/>
  <c r="H44" i="151" s="1"/>
  <c r="H46" i="151" s="1"/>
  <c r="G55" i="151" l="1"/>
  <c r="G57" i="151" s="1"/>
  <c r="H51" i="151"/>
  <c r="H55" i="151" s="1"/>
  <c r="H57" i="151" s="1"/>
  <c r="I51" i="151"/>
  <c r="I55" i="151" s="1"/>
  <c r="I57" i="151" s="1"/>
  <c r="C95" i="147" l="1"/>
  <c r="C94" i="147"/>
  <c r="C93" i="147"/>
  <c r="C92" i="147"/>
  <c r="C91" i="147"/>
  <c r="C90" i="147"/>
  <c r="C89" i="147"/>
  <c r="C88" i="147"/>
  <c r="C87" i="147"/>
  <c r="C86" i="147"/>
  <c r="C85" i="147"/>
  <c r="C84" i="147"/>
  <c r="C83" i="147"/>
  <c r="C82" i="147"/>
  <c r="C81" i="147"/>
  <c r="C80" i="147"/>
  <c r="E3" i="147" s="1"/>
  <c r="C79" i="147"/>
  <c r="C78" i="147"/>
  <c r="C77" i="147"/>
  <c r="C76" i="147"/>
  <c r="C75" i="147"/>
  <c r="C74" i="147"/>
  <c r="C73" i="147"/>
  <c r="C72" i="147"/>
  <c r="C71" i="147"/>
  <c r="C70" i="147"/>
  <c r="C69" i="147"/>
  <c r="C68" i="147"/>
  <c r="C67" i="147"/>
  <c r="C66" i="147"/>
  <c r="C65" i="147"/>
  <c r="C64" i="147"/>
  <c r="C63" i="147"/>
  <c r="C62" i="147"/>
  <c r="C61" i="147"/>
  <c r="C60" i="147"/>
  <c r="C59" i="147"/>
  <c r="C58" i="147"/>
  <c r="C57" i="147"/>
  <c r="C56" i="147"/>
  <c r="C55" i="147"/>
  <c r="C54" i="147"/>
  <c r="C53" i="147"/>
  <c r="C52" i="147"/>
  <c r="C51" i="147"/>
  <c r="C50" i="147"/>
  <c r="C49" i="147"/>
  <c r="C48" i="147"/>
  <c r="C47" i="147"/>
  <c r="C46" i="147"/>
  <c r="C45" i="147"/>
  <c r="C44" i="147"/>
  <c r="C43" i="147"/>
  <c r="C42" i="147"/>
  <c r="C41" i="147"/>
  <c r="C40" i="147"/>
  <c r="C39" i="147"/>
  <c r="C38" i="147"/>
  <c r="C37" i="147"/>
  <c r="C36" i="147"/>
  <c r="C35" i="147"/>
  <c r="C34" i="147"/>
  <c r="C33" i="147"/>
  <c r="C32" i="147"/>
  <c r="C31" i="147"/>
  <c r="C30" i="147"/>
  <c r="C29" i="147"/>
  <c r="C28" i="147"/>
  <c r="C27" i="147"/>
  <c r="C26" i="147"/>
  <c r="C25" i="147"/>
  <c r="C24" i="147"/>
  <c r="C23" i="147"/>
  <c r="C22" i="147"/>
  <c r="C21" i="147"/>
  <c r="C20" i="147"/>
  <c r="C19" i="147"/>
  <c r="C18" i="147"/>
  <c r="C17" i="147"/>
  <c r="C16" i="147"/>
  <c r="C15" i="147"/>
  <c r="C14" i="147"/>
  <c r="C13" i="147"/>
  <c r="C12" i="147"/>
  <c r="C11" i="147"/>
  <c r="C10" i="147"/>
  <c r="C9" i="147"/>
  <c r="C8" i="147"/>
  <c r="C7" i="147"/>
  <c r="C6" i="147"/>
  <c r="C5" i="147"/>
  <c r="C4" i="147"/>
  <c r="C3" i="147"/>
  <c r="AA37" i="144" l="1"/>
  <c r="X37" i="144"/>
  <c r="D11522" i="146" l="1"/>
  <c r="A11522" i="146"/>
  <c r="D11521" i="146"/>
  <c r="A11521" i="146"/>
  <c r="D11520" i="146"/>
  <c r="A11520" i="146"/>
  <c r="D11519" i="146"/>
  <c r="A11519" i="146"/>
  <c r="D11518" i="146"/>
  <c r="A11518" i="146"/>
  <c r="D11517" i="146"/>
  <c r="A11517" i="146"/>
  <c r="D11516" i="146"/>
  <c r="A11516" i="146"/>
  <c r="D11515" i="146"/>
  <c r="A11515" i="146"/>
  <c r="D11514" i="146"/>
  <c r="A11514" i="146"/>
  <c r="D11513" i="146"/>
  <c r="A11513" i="146"/>
  <c r="D11512" i="146"/>
  <c r="A11512" i="146"/>
  <c r="D11511" i="146"/>
  <c r="A11511" i="146"/>
  <c r="D11510" i="146"/>
  <c r="A11510" i="146"/>
  <c r="D11509" i="146"/>
  <c r="A11509" i="146"/>
  <c r="D11508" i="146"/>
  <c r="A11508" i="146"/>
  <c r="D11507" i="146"/>
  <c r="A11507" i="146"/>
  <c r="D11506" i="146"/>
  <c r="A11506" i="146"/>
  <c r="D11505" i="146"/>
  <c r="A11505" i="146"/>
  <c r="D11504" i="146"/>
  <c r="A11504" i="146"/>
  <c r="D11503" i="146"/>
  <c r="A11503" i="146"/>
  <c r="D11502" i="146"/>
  <c r="A11502" i="146"/>
  <c r="D11501" i="146"/>
  <c r="A11501" i="146"/>
  <c r="D11500" i="146"/>
  <c r="A11500" i="146"/>
  <c r="D11499" i="146"/>
  <c r="A11499" i="146"/>
  <c r="D11498" i="146"/>
  <c r="A11498" i="146"/>
  <c r="D11497" i="146"/>
  <c r="A11497" i="146"/>
  <c r="D11496" i="146"/>
  <c r="A11496" i="146"/>
  <c r="D11495" i="146"/>
  <c r="A11495" i="146"/>
  <c r="D11494" i="146"/>
  <c r="A11494" i="146"/>
  <c r="D11493" i="146"/>
  <c r="A11493" i="146"/>
  <c r="D11492" i="146"/>
  <c r="A11492" i="146"/>
  <c r="D11491" i="146"/>
  <c r="A11491" i="146"/>
  <c r="D11490" i="146"/>
  <c r="A11490" i="146"/>
  <c r="D11489" i="146"/>
  <c r="A11489" i="146"/>
  <c r="D11488" i="146"/>
  <c r="A11488" i="146"/>
  <c r="D11487" i="146"/>
  <c r="A11487" i="146"/>
  <c r="D11486" i="146"/>
  <c r="A11486" i="146"/>
  <c r="D11485" i="146"/>
  <c r="A11485" i="146"/>
  <c r="D11484" i="146"/>
  <c r="A11484" i="146"/>
  <c r="D11483" i="146"/>
  <c r="A11483" i="146"/>
  <c r="D11482" i="146"/>
  <c r="A11482" i="146"/>
  <c r="D11481" i="146"/>
  <c r="A11481" i="146"/>
  <c r="D11480" i="146"/>
  <c r="A11480" i="146"/>
  <c r="D11479" i="146"/>
  <c r="A11479" i="146"/>
  <c r="D11478" i="146"/>
  <c r="A11478" i="146"/>
  <c r="D11477" i="146"/>
  <c r="A11477" i="146"/>
  <c r="D11476" i="146"/>
  <c r="A11476" i="146"/>
  <c r="D11475" i="146"/>
  <c r="A11475" i="146"/>
  <c r="D11474" i="146"/>
  <c r="A11474" i="146"/>
  <c r="D11473" i="146"/>
  <c r="A11473" i="146"/>
  <c r="D11472" i="146"/>
  <c r="A11472" i="146"/>
  <c r="D11471" i="146"/>
  <c r="A11471" i="146"/>
  <c r="D11470" i="146"/>
  <c r="A11470" i="146"/>
  <c r="D11469" i="146"/>
  <c r="A11469" i="146"/>
  <c r="D11468" i="146"/>
  <c r="A11468" i="146"/>
  <c r="D11467" i="146"/>
  <c r="A11467" i="146"/>
  <c r="D11466" i="146"/>
  <c r="A11466" i="146"/>
  <c r="D11465" i="146"/>
  <c r="A11465" i="146"/>
  <c r="D11464" i="146"/>
  <c r="A11464" i="146"/>
  <c r="D11463" i="146"/>
  <c r="A11463" i="146"/>
  <c r="D11462" i="146"/>
  <c r="A11462" i="146"/>
  <c r="D11461" i="146"/>
  <c r="A11461" i="146"/>
  <c r="D11460" i="146"/>
  <c r="A11460" i="146"/>
  <c r="D11459" i="146"/>
  <c r="A11459" i="146"/>
  <c r="D11458" i="146"/>
  <c r="A11458" i="146"/>
  <c r="D11457" i="146"/>
  <c r="A11457" i="146"/>
  <c r="D11456" i="146"/>
  <c r="A11456" i="146"/>
  <c r="D11455" i="146"/>
  <c r="A11455" i="146"/>
  <c r="D11454" i="146"/>
  <c r="A11454" i="146"/>
  <c r="D11453" i="146"/>
  <c r="A11453" i="146"/>
  <c r="D11452" i="146"/>
  <c r="A11452" i="146"/>
  <c r="D11451" i="146"/>
  <c r="A11451" i="146"/>
  <c r="D11450" i="146"/>
  <c r="A11450" i="146"/>
  <c r="D11449" i="146"/>
  <c r="A11449" i="146"/>
  <c r="D11448" i="146"/>
  <c r="A11448" i="146"/>
  <c r="D11447" i="146"/>
  <c r="A11447" i="146"/>
  <c r="D11446" i="146"/>
  <c r="A11446" i="146"/>
  <c r="D11445" i="146"/>
  <c r="A11445" i="146"/>
  <c r="D11444" i="146"/>
  <c r="A11444" i="146"/>
  <c r="D11443" i="146"/>
  <c r="A11443" i="146"/>
  <c r="D11442" i="146"/>
  <c r="A11442" i="146"/>
  <c r="D11441" i="146"/>
  <c r="A11441" i="146"/>
  <c r="D11440" i="146"/>
  <c r="A11440" i="146"/>
  <c r="D11439" i="146"/>
  <c r="A11439" i="146"/>
  <c r="D11438" i="146"/>
  <c r="A11438" i="146"/>
  <c r="D11437" i="146"/>
  <c r="A11437" i="146"/>
  <c r="D11436" i="146"/>
  <c r="A11436" i="146"/>
  <c r="D11435" i="146"/>
  <c r="A11435" i="146"/>
  <c r="D11434" i="146"/>
  <c r="A11434" i="146"/>
  <c r="D11433" i="146"/>
  <c r="A11433" i="146"/>
  <c r="D11432" i="146"/>
  <c r="A11432" i="146"/>
  <c r="D11431" i="146"/>
  <c r="A11431" i="146"/>
  <c r="D11430" i="146"/>
  <c r="A11430" i="146"/>
  <c r="D11429" i="146"/>
  <c r="A11429" i="146"/>
  <c r="D11428" i="146"/>
  <c r="A11428" i="146"/>
  <c r="D11427" i="146"/>
  <c r="A11427" i="146"/>
  <c r="D11426" i="146"/>
  <c r="A11426" i="146"/>
  <c r="D11425" i="146"/>
  <c r="A11425" i="146"/>
  <c r="D11424" i="146"/>
  <c r="A11424" i="146"/>
  <c r="D11423" i="146"/>
  <c r="A11423" i="146"/>
  <c r="D11422" i="146"/>
  <c r="A11422" i="146"/>
  <c r="D11421" i="146"/>
  <c r="A11421" i="146"/>
  <c r="D11420" i="146"/>
  <c r="A11420" i="146"/>
  <c r="D11419" i="146"/>
  <c r="A11419" i="146"/>
  <c r="D11418" i="146"/>
  <c r="A11418" i="146"/>
  <c r="D11417" i="146"/>
  <c r="A11417" i="146"/>
  <c r="D11416" i="146"/>
  <c r="A11416" i="146"/>
  <c r="D11415" i="146"/>
  <c r="A11415" i="146"/>
  <c r="D11414" i="146"/>
  <c r="A11414" i="146"/>
  <c r="D11413" i="146"/>
  <c r="A11413" i="146"/>
  <c r="D11412" i="146"/>
  <c r="A11412" i="146"/>
  <c r="D11411" i="146"/>
  <c r="A11411" i="146"/>
  <c r="D11410" i="146"/>
  <c r="A11410" i="146"/>
  <c r="D11409" i="146"/>
  <c r="A11409" i="146"/>
  <c r="D11408" i="146"/>
  <c r="A11408" i="146"/>
  <c r="D11407" i="146"/>
  <c r="A11407" i="146"/>
  <c r="D11406" i="146"/>
  <c r="A11406" i="146"/>
  <c r="D11405" i="146"/>
  <c r="A11405" i="146"/>
  <c r="D11404" i="146"/>
  <c r="A11404" i="146"/>
  <c r="D11403" i="146"/>
  <c r="A11403" i="146"/>
  <c r="D11402" i="146"/>
  <c r="A11402" i="146"/>
  <c r="D11401" i="146"/>
  <c r="A11401" i="146"/>
  <c r="D11400" i="146"/>
  <c r="A11400" i="146"/>
  <c r="D11399" i="146"/>
  <c r="A11399" i="146"/>
  <c r="D11398" i="146"/>
  <c r="A11398" i="146"/>
  <c r="D11397" i="146"/>
  <c r="A11397" i="146"/>
  <c r="D11396" i="146"/>
  <c r="A11396" i="146"/>
  <c r="D11395" i="146"/>
  <c r="A11395" i="146"/>
  <c r="D11394" i="146"/>
  <c r="A11394" i="146"/>
  <c r="D11393" i="146"/>
  <c r="A11393" i="146"/>
  <c r="D11392" i="146"/>
  <c r="A11392" i="146"/>
  <c r="D11391" i="146"/>
  <c r="A11391" i="146"/>
  <c r="D11390" i="146"/>
  <c r="A11390" i="146"/>
  <c r="D11389" i="146"/>
  <c r="A11389" i="146"/>
  <c r="D11388" i="146"/>
  <c r="A11388" i="146"/>
  <c r="D11387" i="146"/>
  <c r="A11387" i="146"/>
  <c r="D11386" i="146"/>
  <c r="A11386" i="146"/>
  <c r="D11385" i="146"/>
  <c r="A11385" i="146"/>
  <c r="D11384" i="146"/>
  <c r="A11384" i="146"/>
  <c r="D11383" i="146"/>
  <c r="A11383" i="146"/>
  <c r="D11382" i="146"/>
  <c r="A11382" i="146"/>
  <c r="D11381" i="146"/>
  <c r="A11381" i="146"/>
  <c r="D11380" i="146"/>
  <c r="A11380" i="146"/>
  <c r="D11379" i="146"/>
  <c r="A11379" i="146"/>
  <c r="D11378" i="146"/>
  <c r="A11378" i="146"/>
  <c r="D11377" i="146"/>
  <c r="A11377" i="146"/>
  <c r="D11376" i="146"/>
  <c r="A11376" i="146"/>
  <c r="D11375" i="146"/>
  <c r="A11375" i="146"/>
  <c r="D11374" i="146"/>
  <c r="A11374" i="146"/>
  <c r="D11373" i="146"/>
  <c r="A11373" i="146"/>
  <c r="D11372" i="146"/>
  <c r="A11372" i="146"/>
  <c r="D11371" i="146"/>
  <c r="A11371" i="146"/>
  <c r="D11370" i="146"/>
  <c r="A11370" i="146"/>
  <c r="D11369" i="146"/>
  <c r="A11369" i="146"/>
  <c r="D11368" i="146"/>
  <c r="A11368" i="146"/>
  <c r="D11367" i="146"/>
  <c r="A11367" i="146"/>
  <c r="D11366" i="146"/>
  <c r="A11366" i="146"/>
  <c r="D11365" i="146"/>
  <c r="A11365" i="146"/>
  <c r="D11364" i="146"/>
  <c r="A11364" i="146"/>
  <c r="D11363" i="146"/>
  <c r="A11363" i="146"/>
  <c r="D11362" i="146"/>
  <c r="A11362" i="146"/>
  <c r="D11361" i="146"/>
  <c r="A11361" i="146"/>
  <c r="D11360" i="146"/>
  <c r="A11360" i="146"/>
  <c r="D11359" i="146"/>
  <c r="A11359" i="146"/>
  <c r="D11358" i="146"/>
  <c r="A11358" i="146"/>
  <c r="D11357" i="146"/>
  <c r="A11357" i="146"/>
  <c r="D11356" i="146"/>
  <c r="A11356" i="146"/>
  <c r="D11355" i="146"/>
  <c r="A11355" i="146"/>
  <c r="D11354" i="146"/>
  <c r="A11354" i="146"/>
  <c r="D11353" i="146"/>
  <c r="A11353" i="146"/>
  <c r="D11352" i="146"/>
  <c r="A11352" i="146"/>
  <c r="D11351" i="146"/>
  <c r="A11351" i="146"/>
  <c r="D11350" i="146"/>
  <c r="A11350" i="146"/>
  <c r="D11349" i="146"/>
  <c r="A11349" i="146"/>
  <c r="D11348" i="146"/>
  <c r="A11348" i="146"/>
  <c r="D11347" i="146"/>
  <c r="A11347" i="146"/>
  <c r="D11346" i="146"/>
  <c r="A11346" i="146"/>
  <c r="D11345" i="146"/>
  <c r="A11345" i="146"/>
  <c r="D11344" i="146"/>
  <c r="A11344" i="146"/>
  <c r="D11343" i="146"/>
  <c r="A11343" i="146"/>
  <c r="D11342" i="146"/>
  <c r="A11342" i="146"/>
  <c r="D11341" i="146"/>
  <c r="A11341" i="146"/>
  <c r="D11340" i="146"/>
  <c r="A11340" i="146"/>
  <c r="D11339" i="146"/>
  <c r="A11339" i="146"/>
  <c r="D11338" i="146"/>
  <c r="A11338" i="146"/>
  <c r="D11337" i="146"/>
  <c r="A11337" i="146"/>
  <c r="D11336" i="146"/>
  <c r="A11336" i="146"/>
  <c r="D11335" i="146"/>
  <c r="A11335" i="146"/>
  <c r="D11334" i="146"/>
  <c r="A11334" i="146"/>
  <c r="D11333" i="146"/>
  <c r="A11333" i="146"/>
  <c r="D11332" i="146"/>
  <c r="A11332" i="146"/>
  <c r="D11331" i="146"/>
  <c r="A11331" i="146"/>
  <c r="D11330" i="146"/>
  <c r="A11330" i="146"/>
  <c r="D11329" i="146"/>
  <c r="A11329" i="146"/>
  <c r="D11328" i="146"/>
  <c r="A11328" i="146"/>
  <c r="D11327" i="146"/>
  <c r="A11327" i="146"/>
  <c r="D11326" i="146"/>
  <c r="A11326" i="146"/>
  <c r="D11325" i="146"/>
  <c r="A11325" i="146"/>
  <c r="D11324" i="146"/>
  <c r="A11324" i="146"/>
  <c r="D11323" i="146"/>
  <c r="A11323" i="146"/>
  <c r="D11322" i="146"/>
  <c r="A11322" i="146"/>
  <c r="D11321" i="146"/>
  <c r="A11321" i="146"/>
  <c r="D11320" i="146"/>
  <c r="A11320" i="146"/>
  <c r="D11319" i="146"/>
  <c r="A11319" i="146"/>
  <c r="D11318" i="146"/>
  <c r="A11318" i="146"/>
  <c r="D11317" i="146"/>
  <c r="A11317" i="146"/>
  <c r="D11316" i="146"/>
  <c r="A11316" i="146"/>
  <c r="D11315" i="146"/>
  <c r="A11315" i="146"/>
  <c r="D11314" i="146"/>
  <c r="A11314" i="146"/>
  <c r="D11313" i="146"/>
  <c r="A11313" i="146"/>
  <c r="D11312" i="146"/>
  <c r="A11312" i="146"/>
  <c r="D11311" i="146"/>
  <c r="A11311" i="146"/>
  <c r="D11310" i="146"/>
  <c r="A11310" i="146"/>
  <c r="D11309" i="146"/>
  <c r="A11309" i="146"/>
  <c r="D11308" i="146"/>
  <c r="A11308" i="146"/>
  <c r="D11307" i="146"/>
  <c r="A11307" i="146"/>
  <c r="D11306" i="146"/>
  <c r="A11306" i="146"/>
  <c r="D11305" i="146"/>
  <c r="A11305" i="146"/>
  <c r="D11304" i="146"/>
  <c r="A11304" i="146"/>
  <c r="D11303" i="146"/>
  <c r="A11303" i="146"/>
  <c r="D11302" i="146"/>
  <c r="A11302" i="146"/>
  <c r="D11301" i="146"/>
  <c r="A11301" i="146"/>
  <c r="D11300" i="146"/>
  <c r="A11300" i="146"/>
  <c r="D11299" i="146"/>
  <c r="A11299" i="146"/>
  <c r="D11298" i="146"/>
  <c r="A11298" i="146"/>
  <c r="D11297" i="146"/>
  <c r="A11297" i="146"/>
  <c r="D11296" i="146"/>
  <c r="A11296" i="146"/>
  <c r="D11295" i="146"/>
  <c r="A11295" i="146"/>
  <c r="D11294" i="146"/>
  <c r="A11294" i="146"/>
  <c r="D11293" i="146"/>
  <c r="A11293" i="146"/>
  <c r="D11292" i="146"/>
  <c r="A11292" i="146"/>
  <c r="D11291" i="146"/>
  <c r="A11291" i="146"/>
  <c r="D11290" i="146"/>
  <c r="A11290" i="146"/>
  <c r="D11289" i="146"/>
  <c r="A11289" i="146"/>
  <c r="D11288" i="146"/>
  <c r="A11288" i="146"/>
  <c r="D11287" i="146"/>
  <c r="A11287" i="146"/>
  <c r="D11286" i="146"/>
  <c r="A11286" i="146"/>
  <c r="D11285" i="146"/>
  <c r="A11285" i="146"/>
  <c r="D11284" i="146"/>
  <c r="A11284" i="146"/>
  <c r="D11283" i="146"/>
  <c r="A11283" i="146"/>
  <c r="D11282" i="146"/>
  <c r="A11282" i="146"/>
  <c r="D11281" i="146"/>
  <c r="A11281" i="146"/>
  <c r="D11280" i="146"/>
  <c r="A11280" i="146"/>
  <c r="D11279" i="146"/>
  <c r="A11279" i="146"/>
  <c r="D11278" i="146"/>
  <c r="A11278" i="146"/>
  <c r="D11277" i="146"/>
  <c r="A11277" i="146"/>
  <c r="D11276" i="146"/>
  <c r="A11276" i="146"/>
  <c r="D11275" i="146"/>
  <c r="A11275" i="146"/>
  <c r="D11274" i="146"/>
  <c r="A11274" i="146"/>
  <c r="D11273" i="146"/>
  <c r="A11273" i="146"/>
  <c r="D11272" i="146"/>
  <c r="A11272" i="146"/>
  <c r="D11271" i="146"/>
  <c r="A11271" i="146"/>
  <c r="D11270" i="146"/>
  <c r="A11270" i="146"/>
  <c r="D11269" i="146"/>
  <c r="A11269" i="146"/>
  <c r="D11268" i="146"/>
  <c r="A11268" i="146"/>
  <c r="D11267" i="146"/>
  <c r="A11267" i="146"/>
  <c r="D11266" i="146"/>
  <c r="A11266" i="146"/>
  <c r="D11265" i="146"/>
  <c r="A11265" i="146"/>
  <c r="D11264" i="146"/>
  <c r="A11264" i="146"/>
  <c r="D11263" i="146"/>
  <c r="A11263" i="146"/>
  <c r="D11262" i="146"/>
  <c r="A11262" i="146"/>
  <c r="D11261" i="146"/>
  <c r="A11261" i="146"/>
  <c r="D11260" i="146"/>
  <c r="A11260" i="146"/>
  <c r="D11259" i="146"/>
  <c r="A11259" i="146"/>
  <c r="D11258" i="146"/>
  <c r="A11258" i="146"/>
  <c r="D11257" i="146"/>
  <c r="A11257" i="146"/>
  <c r="D11256" i="146"/>
  <c r="A11256" i="146"/>
  <c r="D11255" i="146"/>
  <c r="A11255" i="146"/>
  <c r="D11254" i="146"/>
  <c r="A11254" i="146"/>
  <c r="D11253" i="146"/>
  <c r="A11253" i="146"/>
  <c r="D11252" i="146"/>
  <c r="A11252" i="146"/>
  <c r="D11251" i="146"/>
  <c r="A11251" i="146"/>
  <c r="D11250" i="146"/>
  <c r="A11250" i="146"/>
  <c r="D11249" i="146"/>
  <c r="A11249" i="146"/>
  <c r="D11248" i="146"/>
  <c r="A11248" i="146"/>
  <c r="D11247" i="146"/>
  <c r="A11247" i="146"/>
  <c r="D11246" i="146"/>
  <c r="A11246" i="146"/>
  <c r="D11245" i="146"/>
  <c r="A11245" i="146"/>
  <c r="D11244" i="146"/>
  <c r="A11244" i="146"/>
  <c r="D11243" i="146"/>
  <c r="A11243" i="146"/>
  <c r="D11242" i="146"/>
  <c r="A11242" i="146"/>
  <c r="D11241" i="146"/>
  <c r="A11241" i="146"/>
  <c r="D11240" i="146"/>
  <c r="A11240" i="146"/>
  <c r="D11239" i="146"/>
  <c r="A11239" i="146"/>
  <c r="D11238" i="146"/>
  <c r="A11238" i="146"/>
  <c r="D11237" i="146"/>
  <c r="A11237" i="146"/>
  <c r="D11236" i="146"/>
  <c r="A11236" i="146"/>
  <c r="D11235" i="146"/>
  <c r="A11235" i="146"/>
  <c r="D11234" i="146"/>
  <c r="A11234" i="146"/>
  <c r="D11233" i="146"/>
  <c r="A11233" i="146"/>
  <c r="D11232" i="146"/>
  <c r="A11232" i="146"/>
  <c r="D11231" i="146"/>
  <c r="A11231" i="146"/>
  <c r="D11230" i="146"/>
  <c r="A11230" i="146"/>
  <c r="D11229" i="146"/>
  <c r="A11229" i="146"/>
  <c r="D11228" i="146"/>
  <c r="A11228" i="146"/>
  <c r="D11227" i="146"/>
  <c r="A11227" i="146"/>
  <c r="D11226" i="146"/>
  <c r="A11226" i="146"/>
  <c r="D11225" i="146"/>
  <c r="A11225" i="146"/>
  <c r="D11224" i="146"/>
  <c r="A11224" i="146"/>
  <c r="D11223" i="146"/>
  <c r="A11223" i="146"/>
  <c r="D11222" i="146"/>
  <c r="A11222" i="146"/>
  <c r="D11221" i="146"/>
  <c r="A11221" i="146"/>
  <c r="D11220" i="146"/>
  <c r="A11220" i="146"/>
  <c r="D11219" i="146"/>
  <c r="A11219" i="146"/>
  <c r="D11218" i="146"/>
  <c r="A11218" i="146"/>
  <c r="D11217" i="146"/>
  <c r="A11217" i="146"/>
  <c r="D11216" i="146"/>
  <c r="A11216" i="146"/>
  <c r="D11215" i="146"/>
  <c r="A11215" i="146"/>
  <c r="D11214" i="146"/>
  <c r="A11214" i="146"/>
  <c r="D11213" i="146"/>
  <c r="A11213" i="146"/>
  <c r="D11212" i="146"/>
  <c r="A11212" i="146"/>
  <c r="D11211" i="146"/>
  <c r="A11211" i="146"/>
  <c r="D11210" i="146"/>
  <c r="A11210" i="146"/>
  <c r="D11209" i="146"/>
  <c r="A11209" i="146"/>
  <c r="D11208" i="146"/>
  <c r="A11208" i="146"/>
  <c r="D11207" i="146"/>
  <c r="A11207" i="146"/>
  <c r="D11206" i="146"/>
  <c r="A11206" i="146"/>
  <c r="D11205" i="146"/>
  <c r="A11205" i="146"/>
  <c r="D11204" i="146"/>
  <c r="A11204" i="146"/>
  <c r="D11203" i="146"/>
  <c r="A11203" i="146"/>
  <c r="D11202" i="146"/>
  <c r="A11202" i="146"/>
  <c r="D11201" i="146"/>
  <c r="A11201" i="146"/>
  <c r="D11200" i="146"/>
  <c r="A11200" i="146"/>
  <c r="D11199" i="146"/>
  <c r="A11199" i="146"/>
  <c r="D11198" i="146"/>
  <c r="A11198" i="146"/>
  <c r="D11197" i="146"/>
  <c r="A11197" i="146"/>
  <c r="D11196" i="146"/>
  <c r="A11196" i="146"/>
  <c r="D11195" i="146"/>
  <c r="A11195" i="146"/>
  <c r="D11194" i="146"/>
  <c r="A11194" i="146"/>
  <c r="D11193" i="146"/>
  <c r="A11193" i="146"/>
  <c r="D11192" i="146"/>
  <c r="A11192" i="146"/>
  <c r="D11191" i="146"/>
  <c r="A11191" i="146"/>
  <c r="D11190" i="146"/>
  <c r="A11190" i="146"/>
  <c r="D11189" i="146"/>
  <c r="A11189" i="146"/>
  <c r="D11188" i="146"/>
  <c r="A11188" i="146"/>
  <c r="D11187" i="146"/>
  <c r="A11187" i="146"/>
  <c r="D11186" i="146"/>
  <c r="A11186" i="146"/>
  <c r="D11185" i="146"/>
  <c r="A11185" i="146"/>
  <c r="D11184" i="146"/>
  <c r="A11184" i="146"/>
  <c r="D11183" i="146"/>
  <c r="A11183" i="146"/>
  <c r="D11182" i="146"/>
  <c r="A11182" i="146"/>
  <c r="D11181" i="146"/>
  <c r="A11181" i="146"/>
  <c r="D11180" i="146"/>
  <c r="A11180" i="146"/>
  <c r="D11179" i="146"/>
  <c r="A11179" i="146"/>
  <c r="D11178" i="146"/>
  <c r="A11178" i="146"/>
  <c r="D11177" i="146"/>
  <c r="A11177" i="146"/>
  <c r="D11176" i="146"/>
  <c r="A11176" i="146"/>
  <c r="D11175" i="146"/>
  <c r="A11175" i="146"/>
  <c r="D11174" i="146"/>
  <c r="A11174" i="146"/>
  <c r="D11173" i="146"/>
  <c r="A11173" i="146"/>
  <c r="D11172" i="146"/>
  <c r="A11172" i="146"/>
  <c r="D11171" i="146"/>
  <c r="A11171" i="146"/>
  <c r="D11170" i="146"/>
  <c r="A11170" i="146"/>
  <c r="D11169" i="146"/>
  <c r="A11169" i="146"/>
  <c r="D11168" i="146"/>
  <c r="A11168" i="146"/>
  <c r="D11167" i="146"/>
  <c r="A11167" i="146"/>
  <c r="D11166" i="146"/>
  <c r="A11166" i="146"/>
  <c r="D11165" i="146"/>
  <c r="A11165" i="146"/>
  <c r="D11164" i="146"/>
  <c r="A11164" i="146"/>
  <c r="D11163" i="146"/>
  <c r="A11163" i="146"/>
  <c r="D11162" i="146"/>
  <c r="A11162" i="146"/>
  <c r="D11161" i="146"/>
  <c r="A11161" i="146"/>
  <c r="D11160" i="146"/>
  <c r="A11160" i="146"/>
  <c r="D11159" i="146"/>
  <c r="A11159" i="146"/>
  <c r="D11158" i="146"/>
  <c r="A11158" i="146"/>
  <c r="D11157" i="146"/>
  <c r="A11157" i="146"/>
  <c r="D11156" i="146"/>
  <c r="A11156" i="146"/>
  <c r="D11155" i="146"/>
  <c r="A11155" i="146"/>
  <c r="D11154" i="146"/>
  <c r="A11154" i="146"/>
  <c r="D11153" i="146"/>
  <c r="A11153" i="146"/>
  <c r="D11152" i="146"/>
  <c r="A11152" i="146"/>
  <c r="D11151" i="146"/>
  <c r="A11151" i="146"/>
  <c r="D11150" i="146"/>
  <c r="A11150" i="146"/>
  <c r="D11149" i="146"/>
  <c r="A11149" i="146"/>
  <c r="D11148" i="146"/>
  <c r="A11148" i="146"/>
  <c r="D11147" i="146"/>
  <c r="A11147" i="146"/>
  <c r="D11146" i="146"/>
  <c r="A11146" i="146"/>
  <c r="D11145" i="146"/>
  <c r="A11145" i="146"/>
  <c r="D11144" i="146"/>
  <c r="A11144" i="146"/>
  <c r="D11143" i="146"/>
  <c r="A11143" i="146"/>
  <c r="D11142" i="146"/>
  <c r="A11142" i="146"/>
  <c r="D11141" i="146"/>
  <c r="A11141" i="146"/>
  <c r="D11140" i="146"/>
  <c r="A11140" i="146"/>
  <c r="D11139" i="146"/>
  <c r="A11139" i="146"/>
  <c r="D11138" i="146"/>
  <c r="A11138" i="146"/>
  <c r="D11137" i="146"/>
  <c r="A11137" i="146"/>
  <c r="D11136" i="146"/>
  <c r="A11136" i="146"/>
  <c r="D11135" i="146"/>
  <c r="A11135" i="146"/>
  <c r="D11134" i="146"/>
  <c r="A11134" i="146"/>
  <c r="D11133" i="146"/>
  <c r="A11133" i="146"/>
  <c r="D11132" i="146"/>
  <c r="A11132" i="146"/>
  <c r="D11131" i="146"/>
  <c r="A11131" i="146"/>
  <c r="D11130" i="146"/>
  <c r="A11130" i="146"/>
  <c r="D11129" i="146"/>
  <c r="A11129" i="146"/>
  <c r="D11128" i="146"/>
  <c r="A11128" i="146"/>
  <c r="D11127" i="146"/>
  <c r="A11127" i="146"/>
  <c r="D11126" i="146"/>
  <c r="A11126" i="146"/>
  <c r="D11125" i="146"/>
  <c r="A11125" i="146"/>
  <c r="D11124" i="146"/>
  <c r="A11124" i="146"/>
  <c r="D11123" i="146"/>
  <c r="A11123" i="146"/>
  <c r="D11122" i="146"/>
  <c r="A11122" i="146"/>
  <c r="D11121" i="146"/>
  <c r="A11121" i="146"/>
  <c r="D11120" i="146"/>
  <c r="A11120" i="146"/>
  <c r="D11119" i="146"/>
  <c r="A11119" i="146"/>
  <c r="D11118" i="146"/>
  <c r="A11118" i="146"/>
  <c r="D11117" i="146"/>
  <c r="A11117" i="146"/>
  <c r="D11116" i="146"/>
  <c r="A11116" i="146"/>
  <c r="D11115" i="146"/>
  <c r="A11115" i="146"/>
  <c r="D11114" i="146"/>
  <c r="A11114" i="146"/>
  <c r="D11113" i="146"/>
  <c r="A11113" i="146"/>
  <c r="D11112" i="146"/>
  <c r="A11112" i="146"/>
  <c r="D11111" i="146"/>
  <c r="A11111" i="146"/>
  <c r="D11110" i="146"/>
  <c r="A11110" i="146"/>
  <c r="D11109" i="146"/>
  <c r="A11109" i="146"/>
  <c r="D11108" i="146"/>
  <c r="A11108" i="146"/>
  <c r="D11107" i="146"/>
  <c r="A11107" i="146"/>
  <c r="D11106" i="146"/>
  <c r="A11106" i="146"/>
  <c r="D11105" i="146"/>
  <c r="A11105" i="146"/>
  <c r="D11104" i="146"/>
  <c r="A11104" i="146"/>
  <c r="D11103" i="146"/>
  <c r="A11103" i="146"/>
  <c r="D11102" i="146"/>
  <c r="A11102" i="146"/>
  <c r="D11101" i="146"/>
  <c r="A11101" i="146"/>
  <c r="D11100" i="146"/>
  <c r="A11100" i="146"/>
  <c r="D11099" i="146"/>
  <c r="A11099" i="146"/>
  <c r="D11098" i="146"/>
  <c r="A11098" i="146"/>
  <c r="D11097" i="146"/>
  <c r="A11097" i="146"/>
  <c r="D11096" i="146"/>
  <c r="A11096" i="146"/>
  <c r="D11095" i="146"/>
  <c r="A11095" i="146"/>
  <c r="D11094" i="146"/>
  <c r="A11094" i="146"/>
  <c r="D11093" i="146"/>
  <c r="A11093" i="146"/>
  <c r="D11092" i="146"/>
  <c r="A11092" i="146"/>
  <c r="D11091" i="146"/>
  <c r="A11091" i="146"/>
  <c r="D11090" i="146"/>
  <c r="A11090" i="146"/>
  <c r="D11089" i="146"/>
  <c r="A11089" i="146"/>
  <c r="D11088" i="146"/>
  <c r="A11088" i="146"/>
  <c r="D11087" i="146"/>
  <c r="A11087" i="146"/>
  <c r="D11086" i="146"/>
  <c r="A11086" i="146"/>
  <c r="D11085" i="146"/>
  <c r="A11085" i="146"/>
  <c r="D11084" i="146"/>
  <c r="A11084" i="146"/>
  <c r="D11083" i="146"/>
  <c r="A11083" i="146"/>
  <c r="D11082" i="146"/>
  <c r="A11082" i="146"/>
  <c r="D11081" i="146"/>
  <c r="A11081" i="146"/>
  <c r="D11080" i="146"/>
  <c r="A11080" i="146"/>
  <c r="D11079" i="146"/>
  <c r="A11079" i="146"/>
  <c r="D11078" i="146"/>
  <c r="A11078" i="146"/>
  <c r="D11077" i="146"/>
  <c r="A11077" i="146"/>
  <c r="D11076" i="146"/>
  <c r="A11076" i="146"/>
  <c r="D11075" i="146"/>
  <c r="A11075" i="146"/>
  <c r="D11074" i="146"/>
  <c r="A11074" i="146"/>
  <c r="D11073" i="146"/>
  <c r="A11073" i="146"/>
  <c r="D11072" i="146"/>
  <c r="A11072" i="146"/>
  <c r="D11071" i="146"/>
  <c r="A11071" i="146"/>
  <c r="D11070" i="146"/>
  <c r="A11070" i="146"/>
  <c r="D11069" i="146"/>
  <c r="A11069" i="146"/>
  <c r="D11068" i="146"/>
  <c r="A11068" i="146"/>
  <c r="D11067" i="146"/>
  <c r="A11067" i="146"/>
  <c r="D11066" i="146"/>
  <c r="A11066" i="146"/>
  <c r="D11065" i="146"/>
  <c r="A11065" i="146"/>
  <c r="D11064" i="146"/>
  <c r="A11064" i="146"/>
  <c r="D11063" i="146"/>
  <c r="A11063" i="146"/>
  <c r="D11062" i="146"/>
  <c r="A11062" i="146"/>
  <c r="D11061" i="146"/>
  <c r="A11061" i="146"/>
  <c r="D11060" i="146"/>
  <c r="A11060" i="146"/>
  <c r="D11059" i="146"/>
  <c r="A11059" i="146"/>
  <c r="D11058" i="146"/>
  <c r="A11058" i="146"/>
  <c r="D11057" i="146"/>
  <c r="A11057" i="146"/>
  <c r="D11056" i="146"/>
  <c r="A11056" i="146"/>
  <c r="D11055" i="146"/>
  <c r="A11055" i="146"/>
  <c r="D11054" i="146"/>
  <c r="A11054" i="146"/>
  <c r="D11053" i="146"/>
  <c r="A11053" i="146"/>
  <c r="D11052" i="146"/>
  <c r="A11052" i="146"/>
  <c r="D11051" i="146"/>
  <c r="A11051" i="146"/>
  <c r="D11050" i="146"/>
  <c r="A11050" i="146"/>
  <c r="D11049" i="146"/>
  <c r="A11049" i="146"/>
  <c r="D11048" i="146"/>
  <c r="A11048" i="146"/>
  <c r="D11047" i="146"/>
  <c r="A11047" i="146"/>
  <c r="D11046" i="146"/>
  <c r="A11046" i="146"/>
  <c r="D11045" i="146"/>
  <c r="A11045" i="146"/>
  <c r="D11044" i="146"/>
  <c r="A11044" i="146"/>
  <c r="D11043" i="146"/>
  <c r="A11043" i="146"/>
  <c r="D11042" i="146"/>
  <c r="A11042" i="146"/>
  <c r="D11041" i="146"/>
  <c r="A11041" i="146"/>
  <c r="D11040" i="146"/>
  <c r="A11040" i="146"/>
  <c r="D11039" i="146"/>
  <c r="A11039" i="146"/>
  <c r="D11038" i="146"/>
  <c r="A11038" i="146"/>
  <c r="D11037" i="146"/>
  <c r="A11037" i="146"/>
  <c r="D11036" i="146"/>
  <c r="A11036" i="146"/>
  <c r="D11035" i="146"/>
  <c r="A11035" i="146"/>
  <c r="D11034" i="146"/>
  <c r="A11034" i="146"/>
  <c r="D11033" i="146"/>
  <c r="A11033" i="146"/>
  <c r="D11032" i="146"/>
  <c r="A11032" i="146"/>
  <c r="D11031" i="146"/>
  <c r="A11031" i="146"/>
  <c r="D11030" i="146"/>
  <c r="A11030" i="146"/>
  <c r="D11029" i="146"/>
  <c r="A11029" i="146"/>
  <c r="D11028" i="146"/>
  <c r="A11028" i="146"/>
  <c r="D11027" i="146"/>
  <c r="A11027" i="146"/>
  <c r="D11026" i="146"/>
  <c r="A11026" i="146"/>
  <c r="D11025" i="146"/>
  <c r="A11025" i="146"/>
  <c r="D11024" i="146"/>
  <c r="A11024" i="146"/>
  <c r="D11023" i="146"/>
  <c r="A11023" i="146"/>
  <c r="D11022" i="146"/>
  <c r="A11022" i="146"/>
  <c r="D11021" i="146"/>
  <c r="A11021" i="146"/>
  <c r="D11020" i="146"/>
  <c r="A11020" i="146"/>
  <c r="D11019" i="146"/>
  <c r="A11019" i="146"/>
  <c r="D11018" i="146"/>
  <c r="A11018" i="146"/>
  <c r="D11017" i="146"/>
  <c r="A11017" i="146"/>
  <c r="D11016" i="146"/>
  <c r="A11016" i="146"/>
  <c r="D11015" i="146"/>
  <c r="A11015" i="146"/>
  <c r="D11014" i="146"/>
  <c r="A11014" i="146"/>
  <c r="D11013" i="146"/>
  <c r="A11013" i="146"/>
  <c r="D11012" i="146"/>
  <c r="A11012" i="146"/>
  <c r="D11011" i="146"/>
  <c r="A11011" i="146"/>
  <c r="D11010" i="146"/>
  <c r="A11010" i="146"/>
  <c r="D11009" i="146"/>
  <c r="A11009" i="146"/>
  <c r="D11008" i="146"/>
  <c r="A11008" i="146"/>
  <c r="D11007" i="146"/>
  <c r="A11007" i="146"/>
  <c r="D11006" i="146"/>
  <c r="A11006" i="146"/>
  <c r="D11005" i="146"/>
  <c r="A11005" i="146"/>
  <c r="D11004" i="146"/>
  <c r="A11004" i="146"/>
  <c r="D11003" i="146"/>
  <c r="A11003" i="146"/>
  <c r="D11002" i="146"/>
  <c r="A11002" i="146"/>
  <c r="D11001" i="146"/>
  <c r="A11001" i="146"/>
  <c r="D11000" i="146"/>
  <c r="A11000" i="146"/>
  <c r="D10999" i="146"/>
  <c r="A10999" i="146"/>
  <c r="D10998" i="146"/>
  <c r="A10998" i="146"/>
  <c r="D10997" i="146"/>
  <c r="A10997" i="146"/>
  <c r="D10996" i="146"/>
  <c r="A10996" i="146"/>
  <c r="D10995" i="146"/>
  <c r="A10995" i="146"/>
  <c r="D10994" i="146"/>
  <c r="A10994" i="146"/>
  <c r="D10993" i="146"/>
  <c r="A10993" i="146"/>
  <c r="D10992" i="146"/>
  <c r="A10992" i="146"/>
  <c r="D10991" i="146"/>
  <c r="A10991" i="146"/>
  <c r="D10990" i="146"/>
  <c r="A10990" i="146"/>
  <c r="D10989" i="146"/>
  <c r="A10989" i="146"/>
  <c r="D10988" i="146"/>
  <c r="A10988" i="146"/>
  <c r="D10987" i="146"/>
  <c r="A10987" i="146"/>
  <c r="D10986" i="146"/>
  <c r="A10986" i="146"/>
  <c r="D10985" i="146"/>
  <c r="A10985" i="146"/>
  <c r="D10984" i="146"/>
  <c r="A10984" i="146"/>
  <c r="D10983" i="146"/>
  <c r="A10983" i="146"/>
  <c r="D10982" i="146"/>
  <c r="A10982" i="146"/>
  <c r="D10981" i="146"/>
  <c r="A10981" i="146"/>
  <c r="D10980" i="146"/>
  <c r="A10980" i="146"/>
  <c r="D10979" i="146"/>
  <c r="A10979" i="146"/>
  <c r="D10978" i="146"/>
  <c r="A10978" i="146"/>
  <c r="D10977" i="146"/>
  <c r="A10977" i="146"/>
  <c r="D10976" i="146"/>
  <c r="A10976" i="146"/>
  <c r="D10975" i="146"/>
  <c r="A10975" i="146"/>
  <c r="D10974" i="146"/>
  <c r="A10974" i="146"/>
  <c r="D10973" i="146"/>
  <c r="A10973" i="146"/>
  <c r="D10972" i="146"/>
  <c r="A10972" i="146"/>
  <c r="D10971" i="146"/>
  <c r="A10971" i="146"/>
  <c r="D10970" i="146"/>
  <c r="A10970" i="146"/>
  <c r="D10969" i="146"/>
  <c r="A10969" i="146"/>
  <c r="D10968" i="146"/>
  <c r="A10968" i="146"/>
  <c r="D10967" i="146"/>
  <c r="A10967" i="146"/>
  <c r="D10966" i="146"/>
  <c r="A10966" i="146"/>
  <c r="D10965" i="146"/>
  <c r="A10965" i="146"/>
  <c r="D10964" i="146"/>
  <c r="A10964" i="146"/>
  <c r="D10963" i="146"/>
  <c r="A10963" i="146"/>
  <c r="D10962" i="146"/>
  <c r="A10962" i="146"/>
  <c r="D10961" i="146"/>
  <c r="A10961" i="146"/>
  <c r="D10960" i="146"/>
  <c r="A10960" i="146"/>
  <c r="D10959" i="146"/>
  <c r="A10959" i="146"/>
  <c r="D10958" i="146"/>
  <c r="A10958" i="146"/>
  <c r="D10957" i="146"/>
  <c r="A10957" i="146"/>
  <c r="D10956" i="146"/>
  <c r="A10956" i="146"/>
  <c r="D10955" i="146"/>
  <c r="A10955" i="146"/>
  <c r="D10954" i="146"/>
  <c r="A10954" i="146"/>
  <c r="D10953" i="146"/>
  <c r="A10953" i="146"/>
  <c r="D10952" i="146"/>
  <c r="A10952" i="146"/>
  <c r="D10951" i="146"/>
  <c r="A10951" i="146"/>
  <c r="D10950" i="146"/>
  <c r="A10950" i="146"/>
  <c r="D10949" i="146"/>
  <c r="A10949" i="146"/>
  <c r="D10948" i="146"/>
  <c r="A10948" i="146"/>
  <c r="D10947" i="146"/>
  <c r="A10947" i="146"/>
  <c r="D10946" i="146"/>
  <c r="A10946" i="146"/>
  <c r="D10945" i="146"/>
  <c r="A10945" i="146"/>
  <c r="D10944" i="146"/>
  <c r="A10944" i="146"/>
  <c r="D10943" i="146"/>
  <c r="A10943" i="146"/>
  <c r="D10942" i="146"/>
  <c r="A10942" i="146"/>
  <c r="D10941" i="146"/>
  <c r="A10941" i="146"/>
  <c r="D10940" i="146"/>
  <c r="A10940" i="146"/>
  <c r="D10939" i="146"/>
  <c r="A10939" i="146"/>
  <c r="D10938" i="146"/>
  <c r="A10938" i="146"/>
  <c r="D10937" i="146"/>
  <c r="A10937" i="146"/>
  <c r="D10936" i="146"/>
  <c r="A10936" i="146"/>
  <c r="D10935" i="146"/>
  <c r="A10935" i="146"/>
  <c r="D10934" i="146"/>
  <c r="A10934" i="146"/>
  <c r="D10933" i="146"/>
  <c r="A10933" i="146"/>
  <c r="D10932" i="146"/>
  <c r="A10932" i="146"/>
  <c r="D10931" i="146"/>
  <c r="A10931" i="146"/>
  <c r="D10930" i="146"/>
  <c r="A10930" i="146"/>
  <c r="D10929" i="146"/>
  <c r="A10929" i="146"/>
  <c r="D10928" i="146"/>
  <c r="A10928" i="146"/>
  <c r="D10927" i="146"/>
  <c r="A10927" i="146"/>
  <c r="D10926" i="146"/>
  <c r="A10926" i="146"/>
  <c r="D10925" i="146"/>
  <c r="A10925" i="146"/>
  <c r="D10924" i="146"/>
  <c r="A10924" i="146"/>
  <c r="D10923" i="146"/>
  <c r="A10923" i="146"/>
  <c r="D10922" i="146"/>
  <c r="A10922" i="146"/>
  <c r="D10921" i="146"/>
  <c r="A10921" i="146"/>
  <c r="D10920" i="146"/>
  <c r="A10920" i="146"/>
  <c r="D10919" i="146"/>
  <c r="A10919" i="146"/>
  <c r="D10918" i="146"/>
  <c r="A10918" i="146"/>
  <c r="D10917" i="146"/>
  <c r="A10917" i="146"/>
  <c r="D10916" i="146"/>
  <c r="A10916" i="146"/>
  <c r="D10915" i="146"/>
  <c r="A10915" i="146"/>
  <c r="D10914" i="146"/>
  <c r="A10914" i="146"/>
  <c r="D10913" i="146"/>
  <c r="A10913" i="146"/>
  <c r="D10912" i="146"/>
  <c r="A10912" i="146"/>
  <c r="D10911" i="146"/>
  <c r="A10911" i="146"/>
  <c r="D10910" i="146"/>
  <c r="A10910" i="146"/>
  <c r="D10909" i="146"/>
  <c r="A10909" i="146"/>
  <c r="D10908" i="146"/>
  <c r="A10908" i="146"/>
  <c r="D10907" i="146"/>
  <c r="A10907" i="146"/>
  <c r="D10906" i="146"/>
  <c r="A10906" i="146"/>
  <c r="D10905" i="146"/>
  <c r="A10905" i="146"/>
  <c r="D10904" i="146"/>
  <c r="A10904" i="146"/>
  <c r="D10903" i="146"/>
  <c r="A10903" i="146"/>
  <c r="D10902" i="146"/>
  <c r="A10902" i="146"/>
  <c r="D10901" i="146"/>
  <c r="A10901" i="146"/>
  <c r="D10900" i="146"/>
  <c r="A10900" i="146"/>
  <c r="D10899" i="146"/>
  <c r="A10899" i="146"/>
  <c r="D10898" i="146"/>
  <c r="A10898" i="146"/>
  <c r="D10897" i="146"/>
  <c r="A10897" i="146"/>
  <c r="D10896" i="146"/>
  <c r="A10896" i="146"/>
  <c r="D10895" i="146"/>
  <c r="A10895" i="146"/>
  <c r="D10894" i="146"/>
  <c r="A10894" i="146"/>
  <c r="D10893" i="146"/>
  <c r="A10893" i="146"/>
  <c r="D10892" i="146"/>
  <c r="A10892" i="146"/>
  <c r="D10891" i="146"/>
  <c r="A10891" i="146"/>
  <c r="D10890" i="146"/>
  <c r="A10890" i="146"/>
  <c r="D10889" i="146"/>
  <c r="A10889" i="146"/>
  <c r="D10888" i="146"/>
  <c r="A10888" i="146"/>
  <c r="D10887" i="146"/>
  <c r="A10887" i="146"/>
  <c r="D10886" i="146"/>
  <c r="A10886" i="146"/>
  <c r="D10885" i="146"/>
  <c r="A10885" i="146"/>
  <c r="D10884" i="146"/>
  <c r="A10884" i="146"/>
  <c r="D10883" i="146"/>
  <c r="A10883" i="146"/>
  <c r="D10882" i="146"/>
  <c r="A10882" i="146"/>
  <c r="D10881" i="146"/>
  <c r="A10881" i="146"/>
  <c r="D10880" i="146"/>
  <c r="A10880" i="146"/>
  <c r="D10879" i="146"/>
  <c r="A10879" i="146"/>
  <c r="D10878" i="146"/>
  <c r="A10878" i="146"/>
  <c r="D10877" i="146"/>
  <c r="A10877" i="146"/>
  <c r="D10876" i="146"/>
  <c r="A10876" i="146"/>
  <c r="D10875" i="146"/>
  <c r="A10875" i="146"/>
  <c r="D10874" i="146"/>
  <c r="A10874" i="146"/>
  <c r="D10873" i="146"/>
  <c r="A10873" i="146"/>
  <c r="D10872" i="146"/>
  <c r="A10872" i="146"/>
  <c r="D10871" i="146"/>
  <c r="A10871" i="146"/>
  <c r="D10870" i="146"/>
  <c r="A10870" i="146"/>
  <c r="D10869" i="146"/>
  <c r="A10869" i="146"/>
  <c r="D10868" i="146"/>
  <c r="A10868" i="146"/>
  <c r="D10867" i="146"/>
  <c r="A10867" i="146"/>
  <c r="D10866" i="146"/>
  <c r="A10866" i="146"/>
  <c r="D10865" i="146"/>
  <c r="A10865" i="146"/>
  <c r="D10864" i="146"/>
  <c r="A10864" i="146"/>
  <c r="D10863" i="146"/>
  <c r="A10863" i="146"/>
  <c r="D10862" i="146"/>
  <c r="A10862" i="146"/>
  <c r="D10861" i="146"/>
  <c r="A10861" i="146"/>
  <c r="D10860" i="146"/>
  <c r="A10860" i="146"/>
  <c r="D10859" i="146"/>
  <c r="A10859" i="146"/>
  <c r="D10858" i="146"/>
  <c r="A10858" i="146"/>
  <c r="D10857" i="146"/>
  <c r="A10857" i="146"/>
  <c r="D10856" i="146"/>
  <c r="A10856" i="146"/>
  <c r="D10855" i="146"/>
  <c r="A10855" i="146"/>
  <c r="D10854" i="146"/>
  <c r="A10854" i="146"/>
  <c r="D10853" i="146"/>
  <c r="A10853" i="146"/>
  <c r="D10852" i="146"/>
  <c r="A10852" i="146"/>
  <c r="D10851" i="146"/>
  <c r="A10851" i="146"/>
  <c r="D10850" i="146"/>
  <c r="A10850" i="146"/>
  <c r="D10849" i="146"/>
  <c r="A10849" i="146"/>
  <c r="D10848" i="146"/>
  <c r="A10848" i="146"/>
  <c r="D10847" i="146"/>
  <c r="A10847" i="146"/>
  <c r="D10846" i="146"/>
  <c r="A10846" i="146"/>
  <c r="D10845" i="146"/>
  <c r="A10845" i="146"/>
  <c r="D10844" i="146"/>
  <c r="A10844" i="146"/>
  <c r="D10843" i="146"/>
  <c r="A10843" i="146"/>
  <c r="D10842" i="146"/>
  <c r="A10842" i="146"/>
  <c r="D10841" i="146"/>
  <c r="A10841" i="146"/>
  <c r="D10840" i="146"/>
  <c r="A10840" i="146"/>
  <c r="D10839" i="146"/>
  <c r="A10839" i="146"/>
  <c r="D10838" i="146"/>
  <c r="A10838" i="146"/>
  <c r="D10837" i="146"/>
  <c r="A10837" i="146"/>
  <c r="D10836" i="146"/>
  <c r="A10836" i="146"/>
  <c r="D10835" i="146"/>
  <c r="A10835" i="146"/>
  <c r="D10834" i="146"/>
  <c r="A10834" i="146"/>
  <c r="D10833" i="146"/>
  <c r="A10833" i="146"/>
  <c r="D10832" i="146"/>
  <c r="A10832" i="146"/>
  <c r="D10831" i="146"/>
  <c r="A10831" i="146"/>
  <c r="D10830" i="146"/>
  <c r="A10830" i="146"/>
  <c r="D10829" i="146"/>
  <c r="A10829" i="146"/>
  <c r="D10828" i="146"/>
  <c r="A10828" i="146"/>
  <c r="D10827" i="146"/>
  <c r="A10827" i="146"/>
  <c r="D10826" i="146"/>
  <c r="A10826" i="146"/>
  <c r="D10825" i="146"/>
  <c r="A10825" i="146"/>
  <c r="D10824" i="146"/>
  <c r="A10824" i="146"/>
  <c r="D10823" i="146"/>
  <c r="A10823" i="146"/>
  <c r="D10822" i="146"/>
  <c r="A10822" i="146"/>
  <c r="D10821" i="146"/>
  <c r="A10821" i="146"/>
  <c r="D10820" i="146"/>
  <c r="A10820" i="146"/>
  <c r="D10819" i="146"/>
  <c r="A10819" i="146"/>
  <c r="D10818" i="146"/>
  <c r="A10818" i="146"/>
  <c r="D10817" i="146"/>
  <c r="A10817" i="146"/>
  <c r="D10816" i="146"/>
  <c r="A10816" i="146"/>
  <c r="D10815" i="146"/>
  <c r="A10815" i="146"/>
  <c r="D10814" i="146"/>
  <c r="A10814" i="146"/>
  <c r="D10813" i="146"/>
  <c r="A10813" i="146"/>
  <c r="D10812" i="146"/>
  <c r="A10812" i="146"/>
  <c r="D10811" i="146"/>
  <c r="A10811" i="146"/>
  <c r="D10810" i="146"/>
  <c r="A10810" i="146"/>
  <c r="D10809" i="146"/>
  <c r="A10809" i="146"/>
  <c r="D10808" i="146"/>
  <c r="A10808" i="146"/>
  <c r="D10807" i="146"/>
  <c r="A10807" i="146"/>
  <c r="D10806" i="146"/>
  <c r="A10806" i="146"/>
  <c r="D10805" i="146"/>
  <c r="A10805" i="146"/>
  <c r="D10804" i="146"/>
  <c r="A10804" i="146"/>
  <c r="D10803" i="146"/>
  <c r="A10803" i="146"/>
  <c r="D10802" i="146"/>
  <c r="A10802" i="146"/>
  <c r="D10801" i="146"/>
  <c r="A10801" i="146"/>
  <c r="D10800" i="146"/>
  <c r="A10800" i="146"/>
  <c r="D10799" i="146"/>
  <c r="A10799" i="146"/>
  <c r="D10798" i="146"/>
  <c r="A10798" i="146"/>
  <c r="D10797" i="146"/>
  <c r="A10797" i="146"/>
  <c r="D10796" i="146"/>
  <c r="A10796" i="146"/>
  <c r="D10795" i="146"/>
  <c r="A10795" i="146"/>
  <c r="D10794" i="146"/>
  <c r="A10794" i="146"/>
  <c r="D10793" i="146"/>
  <c r="A10793" i="146"/>
  <c r="D10792" i="146"/>
  <c r="A10792" i="146"/>
  <c r="D10791" i="146"/>
  <c r="A10791" i="146"/>
  <c r="D10790" i="146"/>
  <c r="A10790" i="146"/>
  <c r="D10789" i="146"/>
  <c r="A10789" i="146"/>
  <c r="D10788" i="146"/>
  <c r="A10788" i="146"/>
  <c r="D10787" i="146"/>
  <c r="A10787" i="146"/>
  <c r="D10786" i="146"/>
  <c r="A10786" i="146"/>
  <c r="D10785" i="146"/>
  <c r="A10785" i="146"/>
  <c r="D10784" i="146"/>
  <c r="A10784" i="146"/>
  <c r="D10783" i="146"/>
  <c r="A10783" i="146"/>
  <c r="D10782" i="146"/>
  <c r="A10782" i="146"/>
  <c r="D10781" i="146"/>
  <c r="A10781" i="146"/>
  <c r="D10780" i="146"/>
  <c r="A10780" i="146"/>
  <c r="D10779" i="146"/>
  <c r="A10779" i="146"/>
  <c r="D10778" i="146"/>
  <c r="A10778" i="146"/>
  <c r="D10777" i="146"/>
  <c r="A10777" i="146"/>
  <c r="D10776" i="146"/>
  <c r="A10776" i="146"/>
  <c r="D10775" i="146"/>
  <c r="A10775" i="146"/>
  <c r="D10774" i="146"/>
  <c r="A10774" i="146"/>
  <c r="D10773" i="146"/>
  <c r="A10773" i="146"/>
  <c r="D10772" i="146"/>
  <c r="A10772" i="146"/>
  <c r="D10771" i="146"/>
  <c r="A10771" i="146"/>
  <c r="D10770" i="146"/>
  <c r="A10770" i="146"/>
  <c r="D10769" i="146"/>
  <c r="A10769" i="146"/>
  <c r="D10768" i="146"/>
  <c r="A10768" i="146"/>
  <c r="D10767" i="146"/>
  <c r="A10767" i="146"/>
  <c r="D10766" i="146"/>
  <c r="A10766" i="146"/>
  <c r="D10765" i="146"/>
  <c r="A10765" i="146"/>
  <c r="D10764" i="146"/>
  <c r="A10764" i="146"/>
  <c r="D10763" i="146"/>
  <c r="A10763" i="146"/>
  <c r="D10762" i="146"/>
  <c r="A10762" i="146"/>
  <c r="D10761" i="146"/>
  <c r="A10761" i="146"/>
  <c r="D10760" i="146"/>
  <c r="A10760" i="146"/>
  <c r="D10759" i="146"/>
  <c r="A10759" i="146"/>
  <c r="D10758" i="146"/>
  <c r="A10758" i="146"/>
  <c r="D10757" i="146"/>
  <c r="A10757" i="146"/>
  <c r="D10756" i="146"/>
  <c r="A10756" i="146"/>
  <c r="D10755" i="146"/>
  <c r="A10755" i="146"/>
  <c r="D10754" i="146"/>
  <c r="A10754" i="146"/>
  <c r="D10753" i="146"/>
  <c r="A10753" i="146"/>
  <c r="D10752" i="146"/>
  <c r="A10752" i="146"/>
  <c r="D10751" i="146"/>
  <c r="A10751" i="146"/>
  <c r="D10750" i="146"/>
  <c r="A10750" i="146"/>
  <c r="D10749" i="146"/>
  <c r="A10749" i="146"/>
  <c r="D10748" i="146"/>
  <c r="A10748" i="146"/>
  <c r="D10747" i="146"/>
  <c r="A10747" i="146"/>
  <c r="D10746" i="146"/>
  <c r="A10746" i="146"/>
  <c r="D10745" i="146"/>
  <c r="A10745" i="146"/>
  <c r="D10744" i="146"/>
  <c r="A10744" i="146"/>
  <c r="D10743" i="146"/>
  <c r="A10743" i="146"/>
  <c r="D10742" i="146"/>
  <c r="A10742" i="146"/>
  <c r="D10741" i="146"/>
  <c r="A10741" i="146"/>
  <c r="D10740" i="146"/>
  <c r="A10740" i="146"/>
  <c r="D10739" i="146"/>
  <c r="A10739" i="146"/>
  <c r="D10738" i="146"/>
  <c r="A10738" i="146"/>
  <c r="D10737" i="146"/>
  <c r="A10737" i="146"/>
  <c r="D10736" i="146"/>
  <c r="A10736" i="146"/>
  <c r="D10735" i="146"/>
  <c r="A10735" i="146"/>
  <c r="D10734" i="146"/>
  <c r="A10734" i="146"/>
  <c r="D10733" i="146"/>
  <c r="A10733" i="146"/>
  <c r="D10732" i="146"/>
  <c r="A10732" i="146"/>
  <c r="D10731" i="146"/>
  <c r="A10731" i="146"/>
  <c r="D10730" i="146"/>
  <c r="A10730" i="146"/>
  <c r="D10729" i="146"/>
  <c r="A10729" i="146"/>
  <c r="D10728" i="146"/>
  <c r="A10728" i="146"/>
  <c r="D10727" i="146"/>
  <c r="A10727" i="146"/>
  <c r="D10726" i="146"/>
  <c r="A10726" i="146"/>
  <c r="D10725" i="146"/>
  <c r="A10725" i="146"/>
  <c r="D10724" i="146"/>
  <c r="A10724" i="146"/>
  <c r="D10723" i="146"/>
  <c r="A10723" i="146"/>
  <c r="D10722" i="146"/>
  <c r="A10722" i="146"/>
  <c r="D10721" i="146"/>
  <c r="A10721" i="146"/>
  <c r="D10720" i="146"/>
  <c r="A10720" i="146"/>
  <c r="D10719" i="146"/>
  <c r="A10719" i="146"/>
  <c r="D10718" i="146"/>
  <c r="A10718" i="146"/>
  <c r="D10717" i="146"/>
  <c r="A10717" i="146"/>
  <c r="D10716" i="146"/>
  <c r="A10716" i="146"/>
  <c r="D10715" i="146"/>
  <c r="A10715" i="146"/>
  <c r="D10714" i="146"/>
  <c r="A10714" i="146"/>
  <c r="D10713" i="146"/>
  <c r="A10713" i="146"/>
  <c r="D10712" i="146"/>
  <c r="A10712" i="146"/>
  <c r="D10711" i="146"/>
  <c r="A10711" i="146"/>
  <c r="D10710" i="146"/>
  <c r="A10710" i="146"/>
  <c r="D10709" i="146"/>
  <c r="A10709" i="146"/>
  <c r="D10708" i="146"/>
  <c r="A10708" i="146"/>
  <c r="D10707" i="146"/>
  <c r="A10707" i="146"/>
  <c r="D10706" i="146"/>
  <c r="A10706" i="146"/>
  <c r="D10705" i="146"/>
  <c r="A10705" i="146"/>
  <c r="D10704" i="146"/>
  <c r="A10704" i="146"/>
  <c r="D10703" i="146"/>
  <c r="A10703" i="146"/>
  <c r="D10702" i="146"/>
  <c r="A10702" i="146"/>
  <c r="D10701" i="146"/>
  <c r="A10701" i="146"/>
  <c r="D10700" i="146"/>
  <c r="A10700" i="146"/>
  <c r="D10699" i="146"/>
  <c r="A10699" i="146"/>
  <c r="D10698" i="146"/>
  <c r="A10698" i="146"/>
  <c r="D10697" i="146"/>
  <c r="A10697" i="146"/>
  <c r="D10696" i="146"/>
  <c r="A10696" i="146"/>
  <c r="D10695" i="146"/>
  <c r="A10695" i="146"/>
  <c r="D10694" i="146"/>
  <c r="A10694" i="146"/>
  <c r="D10693" i="146"/>
  <c r="A10693" i="146"/>
  <c r="D10692" i="146"/>
  <c r="A10692" i="146"/>
  <c r="D10691" i="146"/>
  <c r="A10691" i="146"/>
  <c r="D10690" i="146"/>
  <c r="A10690" i="146"/>
  <c r="D10689" i="146"/>
  <c r="A10689" i="146"/>
  <c r="D10688" i="146"/>
  <c r="A10688" i="146"/>
  <c r="D10687" i="146"/>
  <c r="A10687" i="146"/>
  <c r="D10686" i="146"/>
  <c r="A10686" i="146"/>
  <c r="D10685" i="146"/>
  <c r="A10685" i="146"/>
  <c r="D10684" i="146"/>
  <c r="A10684" i="146"/>
  <c r="D10683" i="146"/>
  <c r="A10683" i="146"/>
  <c r="D10682" i="146"/>
  <c r="A10682" i="146"/>
  <c r="D10681" i="146"/>
  <c r="A10681" i="146"/>
  <c r="D10680" i="146"/>
  <c r="A10680" i="146"/>
  <c r="D10679" i="146"/>
  <c r="A10679" i="146"/>
  <c r="D10678" i="146"/>
  <c r="A10678" i="146"/>
  <c r="D10677" i="146"/>
  <c r="A10677" i="146"/>
  <c r="D10676" i="146"/>
  <c r="A10676" i="146"/>
  <c r="D10675" i="146"/>
  <c r="A10675" i="146"/>
  <c r="D10674" i="146"/>
  <c r="A10674" i="146"/>
  <c r="D10673" i="146"/>
  <c r="A10673" i="146"/>
  <c r="D10672" i="146"/>
  <c r="A10672" i="146"/>
  <c r="D10671" i="146"/>
  <c r="A10671" i="146"/>
  <c r="D10670" i="146"/>
  <c r="A10670" i="146"/>
  <c r="D10669" i="146"/>
  <c r="A10669" i="146"/>
  <c r="D10668" i="146"/>
  <c r="A10668" i="146"/>
  <c r="D10667" i="146"/>
  <c r="A10667" i="146"/>
  <c r="D10666" i="146"/>
  <c r="A10666" i="146"/>
  <c r="D10665" i="146"/>
  <c r="A10665" i="146"/>
  <c r="D10664" i="146"/>
  <c r="A10664" i="146"/>
  <c r="D10663" i="146"/>
  <c r="A10663" i="146"/>
  <c r="D10662" i="146"/>
  <c r="A10662" i="146"/>
  <c r="D10661" i="146"/>
  <c r="A10661" i="146"/>
  <c r="D10660" i="146"/>
  <c r="A10660" i="146"/>
  <c r="D10659" i="146"/>
  <c r="A10659" i="146"/>
  <c r="D10658" i="146"/>
  <c r="A10658" i="146"/>
  <c r="D10657" i="146"/>
  <c r="A10657" i="146"/>
  <c r="D10656" i="146"/>
  <c r="A10656" i="146"/>
  <c r="D10655" i="146"/>
  <c r="A10655" i="146"/>
  <c r="D10654" i="146"/>
  <c r="A10654" i="146"/>
  <c r="D10653" i="146"/>
  <c r="A10653" i="146"/>
  <c r="D10652" i="146"/>
  <c r="A10652" i="146"/>
  <c r="D10651" i="146"/>
  <c r="A10651" i="146"/>
  <c r="D10650" i="146"/>
  <c r="A10650" i="146"/>
  <c r="D10649" i="146"/>
  <c r="A10649" i="146"/>
  <c r="D10648" i="146"/>
  <c r="A10648" i="146"/>
  <c r="D10647" i="146"/>
  <c r="A10647" i="146"/>
  <c r="D10646" i="146"/>
  <c r="A10646" i="146"/>
  <c r="D10645" i="146"/>
  <c r="A10645" i="146"/>
  <c r="D10644" i="146"/>
  <c r="A10644" i="146"/>
  <c r="D10643" i="146"/>
  <c r="A10643" i="146"/>
  <c r="D10642" i="146"/>
  <c r="A10642" i="146"/>
  <c r="D10641" i="146"/>
  <c r="A10641" i="146"/>
  <c r="D10640" i="146"/>
  <c r="A10640" i="146"/>
  <c r="D10639" i="146"/>
  <c r="A10639" i="146"/>
  <c r="D10638" i="146"/>
  <c r="A10638" i="146"/>
  <c r="D10637" i="146"/>
  <c r="A10637" i="146"/>
  <c r="D10636" i="146"/>
  <c r="A10636" i="146"/>
  <c r="D10635" i="146"/>
  <c r="A10635" i="146"/>
  <c r="D10634" i="146"/>
  <c r="A10634" i="146"/>
  <c r="D10633" i="146"/>
  <c r="A10633" i="146"/>
  <c r="D10632" i="146"/>
  <c r="A10632" i="146"/>
  <c r="D10631" i="146"/>
  <c r="A10631" i="146"/>
  <c r="D10630" i="146"/>
  <c r="A10630" i="146"/>
  <c r="D10629" i="146"/>
  <c r="A10629" i="146"/>
  <c r="D10628" i="146"/>
  <c r="A10628" i="146"/>
  <c r="D10627" i="146"/>
  <c r="A10627" i="146"/>
  <c r="D10626" i="146"/>
  <c r="A10626" i="146"/>
  <c r="D10625" i="146"/>
  <c r="A10625" i="146"/>
  <c r="D10624" i="146"/>
  <c r="A10624" i="146"/>
  <c r="D10623" i="146"/>
  <c r="A10623" i="146"/>
  <c r="D10622" i="146"/>
  <c r="A10622" i="146"/>
  <c r="D10621" i="146"/>
  <c r="A10621" i="146"/>
  <c r="D10620" i="146"/>
  <c r="A10620" i="146"/>
  <c r="D10619" i="146"/>
  <c r="A10619" i="146"/>
  <c r="D10618" i="146"/>
  <c r="A10618" i="146"/>
  <c r="D10617" i="146"/>
  <c r="A10617" i="146"/>
  <c r="D10616" i="146"/>
  <c r="A10616" i="146"/>
  <c r="D10615" i="146"/>
  <c r="A10615" i="146"/>
  <c r="D10614" i="146"/>
  <c r="A10614" i="146"/>
  <c r="D10613" i="146"/>
  <c r="A10613" i="146"/>
  <c r="D10612" i="146"/>
  <c r="A10612" i="146"/>
  <c r="D10611" i="146"/>
  <c r="A10611" i="146"/>
  <c r="D10610" i="146"/>
  <c r="A10610" i="146"/>
  <c r="D10609" i="146"/>
  <c r="A10609" i="146"/>
  <c r="D10608" i="146"/>
  <c r="A10608" i="146"/>
  <c r="D10607" i="146"/>
  <c r="A10607" i="146"/>
  <c r="D10606" i="146"/>
  <c r="A10606" i="146"/>
  <c r="D10605" i="146"/>
  <c r="A10605" i="146"/>
  <c r="D10604" i="146"/>
  <c r="A10604" i="146"/>
  <c r="D10603" i="146"/>
  <c r="A10603" i="146"/>
  <c r="D10602" i="146"/>
  <c r="A10602" i="146"/>
  <c r="D10601" i="146"/>
  <c r="A10601" i="146"/>
  <c r="D10600" i="146"/>
  <c r="A10600" i="146"/>
  <c r="D10599" i="146"/>
  <c r="A10599" i="146"/>
  <c r="D10598" i="146"/>
  <c r="A10598" i="146"/>
  <c r="D10597" i="146"/>
  <c r="A10597" i="146"/>
  <c r="D10596" i="146"/>
  <c r="A10596" i="146"/>
  <c r="D10595" i="146"/>
  <c r="A10595" i="146"/>
  <c r="D10594" i="146"/>
  <c r="A10594" i="146"/>
  <c r="D10593" i="146"/>
  <c r="A10593" i="146"/>
  <c r="D10592" i="146"/>
  <c r="A10592" i="146"/>
  <c r="D10591" i="146"/>
  <c r="A10591" i="146"/>
  <c r="D10590" i="146"/>
  <c r="A10590" i="146"/>
  <c r="D10589" i="146"/>
  <c r="A10589" i="146"/>
  <c r="D10588" i="146"/>
  <c r="A10588" i="146"/>
  <c r="D10587" i="146"/>
  <c r="A10587" i="146"/>
  <c r="D10586" i="146"/>
  <c r="A10586" i="146"/>
  <c r="D10585" i="146"/>
  <c r="A10585" i="146"/>
  <c r="D10584" i="146"/>
  <c r="A10584" i="146"/>
  <c r="D10583" i="146"/>
  <c r="A10583" i="146"/>
  <c r="D10582" i="146"/>
  <c r="A10582" i="146"/>
  <c r="D10581" i="146"/>
  <c r="A10581" i="146"/>
  <c r="D10580" i="146"/>
  <c r="A10580" i="146"/>
  <c r="D10579" i="146"/>
  <c r="A10579" i="146"/>
  <c r="D10578" i="146"/>
  <c r="A10578" i="146"/>
  <c r="D10577" i="146"/>
  <c r="A10577" i="146"/>
  <c r="D10576" i="146"/>
  <c r="A10576" i="146"/>
  <c r="D10575" i="146"/>
  <c r="A10575" i="146"/>
  <c r="D10574" i="146"/>
  <c r="A10574" i="146"/>
  <c r="D10573" i="146"/>
  <c r="A10573" i="146"/>
  <c r="D10572" i="146"/>
  <c r="A10572" i="146"/>
  <c r="D10571" i="146"/>
  <c r="A10571" i="146"/>
  <c r="D10570" i="146"/>
  <c r="A10570" i="146"/>
  <c r="D10569" i="146"/>
  <c r="A10569" i="146"/>
  <c r="D10568" i="146"/>
  <c r="A10568" i="146"/>
  <c r="D10567" i="146"/>
  <c r="A10567" i="146"/>
  <c r="D10566" i="146"/>
  <c r="A10566" i="146"/>
  <c r="D10565" i="146"/>
  <c r="A10565" i="146"/>
  <c r="D10564" i="146"/>
  <c r="A10564" i="146"/>
  <c r="D10563" i="146"/>
  <c r="A10563" i="146"/>
  <c r="D10562" i="146"/>
  <c r="A10562" i="146"/>
  <c r="D10561" i="146"/>
  <c r="A10561" i="146"/>
  <c r="D10560" i="146"/>
  <c r="A10560" i="146"/>
  <c r="D10559" i="146"/>
  <c r="A10559" i="146"/>
  <c r="D10558" i="146"/>
  <c r="A10558" i="146"/>
  <c r="D10557" i="146"/>
  <c r="A10557" i="146"/>
  <c r="D10556" i="146"/>
  <c r="A10556" i="146"/>
  <c r="D10555" i="146"/>
  <c r="A10555" i="146"/>
  <c r="D10554" i="146"/>
  <c r="A10554" i="146"/>
  <c r="D10553" i="146"/>
  <c r="A10553" i="146"/>
  <c r="D10552" i="146"/>
  <c r="A10552" i="146"/>
  <c r="D10551" i="146"/>
  <c r="A10551" i="146"/>
  <c r="D10550" i="146"/>
  <c r="A10550" i="146"/>
  <c r="D10549" i="146"/>
  <c r="A10549" i="146"/>
  <c r="D10548" i="146"/>
  <c r="A10548" i="146"/>
  <c r="D10547" i="146"/>
  <c r="A10547" i="146"/>
  <c r="D10546" i="146"/>
  <c r="A10546" i="146"/>
  <c r="D10545" i="146"/>
  <c r="A10545" i="146"/>
  <c r="D10544" i="146"/>
  <c r="A10544" i="146"/>
  <c r="D10543" i="146"/>
  <c r="A10543" i="146"/>
  <c r="D10542" i="146"/>
  <c r="A10542" i="146"/>
  <c r="D10541" i="146"/>
  <c r="A10541" i="146"/>
  <c r="D10540" i="146"/>
  <c r="A10540" i="146"/>
  <c r="D10539" i="146"/>
  <c r="A10539" i="146"/>
  <c r="D10538" i="146"/>
  <c r="A10538" i="146"/>
  <c r="D10537" i="146"/>
  <c r="A10537" i="146"/>
  <c r="D10536" i="146"/>
  <c r="A10536" i="146"/>
  <c r="D10535" i="146"/>
  <c r="A10535" i="146"/>
  <c r="D10534" i="146"/>
  <c r="A10534" i="146"/>
  <c r="D10533" i="146"/>
  <c r="A10533" i="146"/>
  <c r="D10532" i="146"/>
  <c r="A10532" i="146"/>
  <c r="D10531" i="146"/>
  <c r="A10531" i="146"/>
  <c r="D10530" i="146"/>
  <c r="A10530" i="146"/>
  <c r="D10529" i="146"/>
  <c r="A10529" i="146"/>
  <c r="D10528" i="146"/>
  <c r="A10528" i="146"/>
  <c r="D10527" i="146"/>
  <c r="A10527" i="146"/>
  <c r="D10526" i="146"/>
  <c r="A10526" i="146"/>
  <c r="D10525" i="146"/>
  <c r="A10525" i="146"/>
  <c r="D10524" i="146"/>
  <c r="A10524" i="146"/>
  <c r="D10523" i="146"/>
  <c r="A10523" i="146"/>
  <c r="D10522" i="146"/>
  <c r="A10522" i="146"/>
  <c r="D10521" i="146"/>
  <c r="A10521" i="146"/>
  <c r="D10520" i="146"/>
  <c r="A10520" i="146"/>
  <c r="D10519" i="146"/>
  <c r="A10519" i="146"/>
  <c r="D10518" i="146"/>
  <c r="A10518" i="146"/>
  <c r="D10517" i="146"/>
  <c r="A10517" i="146"/>
  <c r="D10516" i="146"/>
  <c r="A10516" i="146"/>
  <c r="D10515" i="146"/>
  <c r="A10515" i="146"/>
  <c r="D10514" i="146"/>
  <c r="A10514" i="146"/>
  <c r="D10513" i="146"/>
  <c r="A10513" i="146"/>
  <c r="D10512" i="146"/>
  <c r="A10512" i="146"/>
  <c r="D10511" i="146"/>
  <c r="A10511" i="146"/>
  <c r="D10510" i="146"/>
  <c r="A10510" i="146"/>
  <c r="D10509" i="146"/>
  <c r="A10509" i="146"/>
  <c r="D10508" i="146"/>
  <c r="A10508" i="146"/>
  <c r="D10507" i="146"/>
  <c r="A10507" i="146"/>
  <c r="D10506" i="146"/>
  <c r="A10506" i="146"/>
  <c r="D10505" i="146"/>
  <c r="A10505" i="146"/>
  <c r="D10504" i="146"/>
  <c r="A10504" i="146"/>
  <c r="D10503" i="146"/>
  <c r="A10503" i="146"/>
  <c r="D10502" i="146"/>
  <c r="A10502" i="146"/>
  <c r="D10501" i="146"/>
  <c r="A10501" i="146"/>
  <c r="D10500" i="146"/>
  <c r="A10500" i="146"/>
  <c r="D10499" i="146"/>
  <c r="A10499" i="146"/>
  <c r="D10498" i="146"/>
  <c r="A10498" i="146"/>
  <c r="D10497" i="146"/>
  <c r="A10497" i="146"/>
  <c r="D10496" i="146"/>
  <c r="A10496" i="146"/>
  <c r="D10495" i="146"/>
  <c r="A10495" i="146"/>
  <c r="D10494" i="146"/>
  <c r="A10494" i="146"/>
  <c r="D10493" i="146"/>
  <c r="A10493" i="146"/>
  <c r="D10492" i="146"/>
  <c r="A10492" i="146"/>
  <c r="D10491" i="146"/>
  <c r="A10491" i="146"/>
  <c r="D10490" i="146"/>
  <c r="A10490" i="146"/>
  <c r="D10489" i="146"/>
  <c r="A10489" i="146"/>
  <c r="D10488" i="146"/>
  <c r="A10488" i="146"/>
  <c r="D10487" i="146"/>
  <c r="A10487" i="146"/>
  <c r="D10486" i="146"/>
  <c r="A10486" i="146"/>
  <c r="D10485" i="146"/>
  <c r="A10485" i="146"/>
  <c r="D10484" i="146"/>
  <c r="A10484" i="146"/>
  <c r="D10483" i="146"/>
  <c r="A10483" i="146"/>
  <c r="D10482" i="146"/>
  <c r="A10482" i="146"/>
  <c r="D10481" i="146"/>
  <c r="A10481" i="146"/>
  <c r="D10480" i="146"/>
  <c r="A10480" i="146"/>
  <c r="D10479" i="146"/>
  <c r="A10479" i="146"/>
  <c r="D10478" i="146"/>
  <c r="A10478" i="146"/>
  <c r="D10477" i="146"/>
  <c r="A10477" i="146"/>
  <c r="D10476" i="146"/>
  <c r="A10476" i="146"/>
  <c r="D10475" i="146"/>
  <c r="A10475" i="146"/>
  <c r="D10474" i="146"/>
  <c r="A10474" i="146"/>
  <c r="D10473" i="146"/>
  <c r="A10473" i="146"/>
  <c r="D10472" i="146"/>
  <c r="A10472" i="146"/>
  <c r="D10471" i="146"/>
  <c r="A10471" i="146"/>
  <c r="D10470" i="146"/>
  <c r="A10470" i="146"/>
  <c r="D10469" i="146"/>
  <c r="A10469" i="146"/>
  <c r="D10468" i="146"/>
  <c r="A10468" i="146"/>
  <c r="D10467" i="146"/>
  <c r="A10467" i="146"/>
  <c r="D10466" i="146"/>
  <c r="A10466" i="146"/>
  <c r="D10465" i="146"/>
  <c r="A10465" i="146"/>
  <c r="D10464" i="146"/>
  <c r="A10464" i="146"/>
  <c r="D10463" i="146"/>
  <c r="A10463" i="146"/>
  <c r="D10462" i="146"/>
  <c r="A10462" i="146"/>
  <c r="D10461" i="146"/>
  <c r="A10461" i="146"/>
  <c r="D10460" i="146"/>
  <c r="A10460" i="146"/>
  <c r="D10459" i="146"/>
  <c r="A10459" i="146"/>
  <c r="D10458" i="146"/>
  <c r="A10458" i="146"/>
  <c r="D10457" i="146"/>
  <c r="A10457" i="146"/>
  <c r="D10456" i="146"/>
  <c r="A10456" i="146"/>
  <c r="D10455" i="146"/>
  <c r="A10455" i="146"/>
  <c r="D10454" i="146"/>
  <c r="A10454" i="146"/>
  <c r="D10453" i="146"/>
  <c r="A10453" i="146"/>
  <c r="D10452" i="146"/>
  <c r="A10452" i="146"/>
  <c r="D10451" i="146"/>
  <c r="A10451" i="146"/>
  <c r="D10450" i="146"/>
  <c r="A10450" i="146"/>
  <c r="D10449" i="146"/>
  <c r="A10449" i="146"/>
  <c r="D10448" i="146"/>
  <c r="A10448" i="146"/>
  <c r="D10447" i="146"/>
  <c r="A10447" i="146"/>
  <c r="D10446" i="146"/>
  <c r="A10446" i="146"/>
  <c r="D10445" i="146"/>
  <c r="A10445" i="146"/>
  <c r="D10444" i="146"/>
  <c r="A10444" i="146"/>
  <c r="D10443" i="146"/>
  <c r="A10443" i="146"/>
  <c r="D10442" i="146"/>
  <c r="A10442" i="146"/>
  <c r="D10441" i="146"/>
  <c r="A10441" i="146"/>
  <c r="D10440" i="146"/>
  <c r="A10440" i="146"/>
  <c r="D10439" i="146"/>
  <c r="A10439" i="146"/>
  <c r="D10438" i="146"/>
  <c r="A10438" i="146"/>
  <c r="D10437" i="146"/>
  <c r="A10437" i="146"/>
  <c r="D10436" i="146"/>
  <c r="A10436" i="146"/>
  <c r="D10435" i="146"/>
  <c r="A10435" i="146"/>
  <c r="D10434" i="146"/>
  <c r="A10434" i="146"/>
  <c r="D10433" i="146"/>
  <c r="A10433" i="146"/>
  <c r="D10432" i="146"/>
  <c r="A10432" i="146"/>
  <c r="D10431" i="146"/>
  <c r="A10431" i="146"/>
  <c r="D10430" i="146"/>
  <c r="A10430" i="146"/>
  <c r="D10429" i="146"/>
  <c r="A10429" i="146"/>
  <c r="D10428" i="146"/>
  <c r="A10428" i="146"/>
  <c r="D10427" i="146"/>
  <c r="A10427" i="146"/>
  <c r="D10426" i="146"/>
  <c r="A10426" i="146"/>
  <c r="D10425" i="146"/>
  <c r="A10425" i="146"/>
  <c r="D10424" i="146"/>
  <c r="A10424" i="146"/>
  <c r="D10423" i="146"/>
  <c r="A10423" i="146"/>
  <c r="D10422" i="146"/>
  <c r="A10422" i="146"/>
  <c r="D10421" i="146"/>
  <c r="A10421" i="146"/>
  <c r="D10420" i="146"/>
  <c r="A10420" i="146"/>
  <c r="D10419" i="146"/>
  <c r="A10419" i="146"/>
  <c r="D10418" i="146"/>
  <c r="A10418" i="146"/>
  <c r="D10417" i="146"/>
  <c r="A10417" i="146"/>
  <c r="D10416" i="146"/>
  <c r="A10416" i="146"/>
  <c r="D10415" i="146"/>
  <c r="A10415" i="146"/>
  <c r="D10414" i="146"/>
  <c r="A10414" i="146"/>
  <c r="D10413" i="146"/>
  <c r="A10413" i="146"/>
  <c r="D10412" i="146"/>
  <c r="A10412" i="146"/>
  <c r="D10411" i="146"/>
  <c r="A10411" i="146"/>
  <c r="D10410" i="146"/>
  <c r="A10410" i="146"/>
  <c r="D10409" i="146"/>
  <c r="A10409" i="146"/>
  <c r="D10408" i="146"/>
  <c r="A10408" i="146"/>
  <c r="D10407" i="146"/>
  <c r="A10407" i="146"/>
  <c r="D10406" i="146"/>
  <c r="A10406" i="146"/>
  <c r="D10405" i="146"/>
  <c r="A10405" i="146"/>
  <c r="D10404" i="146"/>
  <c r="A10404" i="146"/>
  <c r="D10403" i="146"/>
  <c r="A10403" i="146"/>
  <c r="D10402" i="146"/>
  <c r="A10402" i="146"/>
  <c r="D10401" i="146"/>
  <c r="A10401" i="146"/>
  <c r="D10400" i="146"/>
  <c r="A10400" i="146"/>
  <c r="D10399" i="146"/>
  <c r="A10399" i="146"/>
  <c r="D10398" i="146"/>
  <c r="A10398" i="146"/>
  <c r="D10397" i="146"/>
  <c r="A10397" i="146"/>
  <c r="D10396" i="146"/>
  <c r="A10396" i="146"/>
  <c r="D10395" i="146"/>
  <c r="A10395" i="146"/>
  <c r="D10394" i="146"/>
  <c r="A10394" i="146"/>
  <c r="D10393" i="146"/>
  <c r="A10393" i="146"/>
  <c r="D10392" i="146"/>
  <c r="A10392" i="146"/>
  <c r="D10391" i="146"/>
  <c r="A10391" i="146"/>
  <c r="D10390" i="146"/>
  <c r="A10390" i="146"/>
  <c r="D10389" i="146"/>
  <c r="A10389" i="146"/>
  <c r="D10388" i="146"/>
  <c r="A10388" i="146"/>
  <c r="D10387" i="146"/>
  <c r="A10387" i="146"/>
  <c r="D10386" i="146"/>
  <c r="A10386" i="146"/>
  <c r="D10385" i="146"/>
  <c r="A10385" i="146"/>
  <c r="D10384" i="146"/>
  <c r="A10384" i="146"/>
  <c r="D10383" i="146"/>
  <c r="A10383" i="146"/>
  <c r="D10382" i="146"/>
  <c r="A10382" i="146"/>
  <c r="D10381" i="146"/>
  <c r="A10381" i="146"/>
  <c r="D10380" i="146"/>
  <c r="A10380" i="146"/>
  <c r="D10379" i="146"/>
  <c r="A10379" i="146"/>
  <c r="D10378" i="146"/>
  <c r="A10378" i="146"/>
  <c r="D10377" i="146"/>
  <c r="A10377" i="146"/>
  <c r="D10376" i="146"/>
  <c r="A10376" i="146"/>
  <c r="D10375" i="146"/>
  <c r="A10375" i="146"/>
  <c r="D10374" i="146"/>
  <c r="A10374" i="146"/>
  <c r="D10373" i="146"/>
  <c r="A10373" i="146"/>
  <c r="D10372" i="146"/>
  <c r="A10372" i="146"/>
  <c r="D10371" i="146"/>
  <c r="A10371" i="146"/>
  <c r="D10370" i="146"/>
  <c r="A10370" i="146"/>
  <c r="D10369" i="146"/>
  <c r="A10369" i="146"/>
  <c r="D10368" i="146"/>
  <c r="A10368" i="146"/>
  <c r="D10367" i="146"/>
  <c r="A10367" i="146"/>
  <c r="D10366" i="146"/>
  <c r="A10366" i="146"/>
  <c r="D10365" i="146"/>
  <c r="A10365" i="146"/>
  <c r="D10364" i="146"/>
  <c r="A10364" i="146"/>
  <c r="D10363" i="146"/>
  <c r="A10363" i="146"/>
  <c r="D10362" i="146"/>
  <c r="A10362" i="146"/>
  <c r="D10361" i="146"/>
  <c r="A10361" i="146"/>
  <c r="D10360" i="146"/>
  <c r="A10360" i="146"/>
  <c r="D10359" i="146"/>
  <c r="A10359" i="146"/>
  <c r="D10358" i="146"/>
  <c r="A10358" i="146"/>
  <c r="D10357" i="146"/>
  <c r="A10357" i="146"/>
  <c r="D10356" i="146"/>
  <c r="A10356" i="146"/>
  <c r="D10355" i="146"/>
  <c r="A10355" i="146"/>
  <c r="D10354" i="146"/>
  <c r="A10354" i="146"/>
  <c r="D10353" i="146"/>
  <c r="A10353" i="146"/>
  <c r="D10352" i="146"/>
  <c r="A10352" i="146"/>
  <c r="D10351" i="146"/>
  <c r="A10351" i="146"/>
  <c r="D10350" i="146"/>
  <c r="A10350" i="146"/>
  <c r="D10349" i="146"/>
  <c r="A10349" i="146"/>
  <c r="D10348" i="146"/>
  <c r="A10348" i="146"/>
  <c r="D10347" i="146"/>
  <c r="A10347" i="146"/>
  <c r="D10346" i="146"/>
  <c r="A10346" i="146"/>
  <c r="D10345" i="146"/>
  <c r="A10345" i="146"/>
  <c r="D10344" i="146"/>
  <c r="A10344" i="146"/>
  <c r="D10343" i="146"/>
  <c r="A10343" i="146"/>
  <c r="D10342" i="146"/>
  <c r="A10342" i="146"/>
  <c r="D10341" i="146"/>
  <c r="A10341" i="146"/>
  <c r="D10340" i="146"/>
  <c r="A10340" i="146"/>
  <c r="D10339" i="146"/>
  <c r="A10339" i="146"/>
  <c r="D10338" i="146"/>
  <c r="A10338" i="146"/>
  <c r="D10337" i="146"/>
  <c r="A10337" i="146"/>
  <c r="D10336" i="146"/>
  <c r="A10336" i="146"/>
  <c r="D10335" i="146"/>
  <c r="A10335" i="146"/>
  <c r="D10334" i="146"/>
  <c r="A10334" i="146"/>
  <c r="D10333" i="146"/>
  <c r="A10333" i="146"/>
  <c r="D10332" i="146"/>
  <c r="A10332" i="146"/>
  <c r="D10331" i="146"/>
  <c r="A10331" i="146"/>
  <c r="D10330" i="146"/>
  <c r="A10330" i="146"/>
  <c r="D10329" i="146"/>
  <c r="A10329" i="146"/>
  <c r="D10328" i="146"/>
  <c r="A10328" i="146"/>
  <c r="D10327" i="146"/>
  <c r="A10327" i="146"/>
  <c r="D10326" i="146"/>
  <c r="A10326" i="146"/>
  <c r="D10325" i="146"/>
  <c r="A10325" i="146"/>
  <c r="D10324" i="146"/>
  <c r="A10324" i="146"/>
  <c r="D10323" i="146"/>
  <c r="A10323" i="146"/>
  <c r="D10322" i="146"/>
  <c r="A10322" i="146"/>
  <c r="D10321" i="146"/>
  <c r="A10321" i="146"/>
  <c r="D10320" i="146"/>
  <c r="A10320" i="146"/>
  <c r="D10319" i="146"/>
  <c r="A10319" i="146"/>
  <c r="D10318" i="146"/>
  <c r="A10318" i="146"/>
  <c r="D10317" i="146"/>
  <c r="A10317" i="146"/>
  <c r="D10316" i="146"/>
  <c r="A10316" i="146"/>
  <c r="D10315" i="146"/>
  <c r="A10315" i="146"/>
  <c r="D10314" i="146"/>
  <c r="A10314" i="146"/>
  <c r="D10313" i="146"/>
  <c r="A10313" i="146"/>
  <c r="D10312" i="146"/>
  <c r="A10312" i="146"/>
  <c r="D10311" i="146"/>
  <c r="A10311" i="146"/>
  <c r="D10310" i="146"/>
  <c r="A10310" i="146"/>
  <c r="D10309" i="146"/>
  <c r="A10309" i="146"/>
  <c r="D10308" i="146"/>
  <c r="A10308" i="146"/>
  <c r="D10307" i="146"/>
  <c r="A10307" i="146"/>
  <c r="D10306" i="146"/>
  <c r="A10306" i="146"/>
  <c r="D10305" i="146"/>
  <c r="A10305" i="146"/>
  <c r="D10304" i="146"/>
  <c r="A10304" i="146"/>
  <c r="D10303" i="146"/>
  <c r="A10303" i="146"/>
  <c r="D10302" i="146"/>
  <c r="A10302" i="146"/>
  <c r="D10301" i="146"/>
  <c r="A10301" i="146"/>
  <c r="D10300" i="146"/>
  <c r="A10300" i="146"/>
  <c r="D10299" i="146"/>
  <c r="A10299" i="146"/>
  <c r="D10298" i="146"/>
  <c r="A10298" i="146"/>
  <c r="D10297" i="146"/>
  <c r="A10297" i="146"/>
  <c r="D10296" i="146"/>
  <c r="A10296" i="146"/>
  <c r="D10295" i="146"/>
  <c r="A10295" i="146"/>
  <c r="D10294" i="146"/>
  <c r="A10294" i="146"/>
  <c r="D10293" i="146"/>
  <c r="A10293" i="146"/>
  <c r="D10292" i="146"/>
  <c r="A10292" i="146"/>
  <c r="D10291" i="146"/>
  <c r="A10291" i="146"/>
  <c r="D10290" i="146"/>
  <c r="A10290" i="146"/>
  <c r="D10289" i="146"/>
  <c r="A10289" i="146"/>
  <c r="D10288" i="146"/>
  <c r="A10288" i="146"/>
  <c r="D10287" i="146"/>
  <c r="A10287" i="146"/>
  <c r="D10286" i="146"/>
  <c r="A10286" i="146"/>
  <c r="D10285" i="146"/>
  <c r="A10285" i="146"/>
  <c r="D10284" i="146"/>
  <c r="A10284" i="146"/>
  <c r="D10283" i="146"/>
  <c r="A10283" i="146"/>
  <c r="D10282" i="146"/>
  <c r="A10282" i="146"/>
  <c r="D10281" i="146"/>
  <c r="A10281" i="146"/>
  <c r="D10280" i="146"/>
  <c r="A10280" i="146"/>
  <c r="D10279" i="146"/>
  <c r="A10279" i="146"/>
  <c r="D10278" i="146"/>
  <c r="A10278" i="146"/>
  <c r="D10277" i="146"/>
  <c r="A10277" i="146"/>
  <c r="D10276" i="146"/>
  <c r="A10276" i="146"/>
  <c r="D10275" i="146"/>
  <c r="A10275" i="146"/>
  <c r="D10274" i="146"/>
  <c r="A10274" i="146"/>
  <c r="D10273" i="146"/>
  <c r="A10273" i="146"/>
  <c r="D10272" i="146"/>
  <c r="A10272" i="146"/>
  <c r="D10271" i="146"/>
  <c r="A10271" i="146"/>
  <c r="D10270" i="146"/>
  <c r="A10270" i="146"/>
  <c r="D10269" i="146"/>
  <c r="A10269" i="146"/>
  <c r="D10268" i="146"/>
  <c r="A10268" i="146"/>
  <c r="D10267" i="146"/>
  <c r="A10267" i="146"/>
  <c r="D10266" i="146"/>
  <c r="A10266" i="146"/>
  <c r="D10265" i="146"/>
  <c r="A10265" i="146"/>
  <c r="D10264" i="146"/>
  <c r="A10264" i="146"/>
  <c r="D10263" i="146"/>
  <c r="A10263" i="146"/>
  <c r="D10262" i="146"/>
  <c r="A10262" i="146"/>
  <c r="D10261" i="146"/>
  <c r="A10261" i="146"/>
  <c r="D10260" i="146"/>
  <c r="A10260" i="146"/>
  <c r="D10259" i="146"/>
  <c r="A10259" i="146"/>
  <c r="D10258" i="146"/>
  <c r="A10258" i="146"/>
  <c r="D10257" i="146"/>
  <c r="A10257" i="146"/>
  <c r="D10256" i="146"/>
  <c r="A10256" i="146"/>
  <c r="D10255" i="146"/>
  <c r="A10255" i="146"/>
  <c r="D10254" i="146"/>
  <c r="A10254" i="146"/>
  <c r="D10253" i="146"/>
  <c r="A10253" i="146"/>
  <c r="D10252" i="146"/>
  <c r="A10252" i="146"/>
  <c r="D10251" i="146"/>
  <c r="A10251" i="146"/>
  <c r="D10250" i="146"/>
  <c r="A10250" i="146"/>
  <c r="D10249" i="146"/>
  <c r="A10249" i="146"/>
  <c r="D10248" i="146"/>
  <c r="A10248" i="146"/>
  <c r="D10247" i="146"/>
  <c r="A10247" i="146"/>
  <c r="D10246" i="146"/>
  <c r="A10246" i="146"/>
  <c r="D10245" i="146"/>
  <c r="A10245" i="146"/>
  <c r="D10244" i="146"/>
  <c r="A10244" i="146"/>
  <c r="D10243" i="146"/>
  <c r="A10243" i="146"/>
  <c r="D10242" i="146"/>
  <c r="A10242" i="146"/>
  <c r="D10241" i="146"/>
  <c r="A10241" i="146"/>
  <c r="D10240" i="146"/>
  <c r="A10240" i="146"/>
  <c r="D10239" i="146"/>
  <c r="A10239" i="146"/>
  <c r="D10238" i="146"/>
  <c r="A10238" i="146"/>
  <c r="D10237" i="146"/>
  <c r="A10237" i="146"/>
  <c r="D10236" i="146"/>
  <c r="A10236" i="146"/>
  <c r="D10235" i="146"/>
  <c r="A10235" i="146"/>
  <c r="D10234" i="146"/>
  <c r="A10234" i="146"/>
  <c r="D10233" i="146"/>
  <c r="A10233" i="146"/>
  <c r="D10232" i="146"/>
  <c r="A10232" i="146"/>
  <c r="D10231" i="146"/>
  <c r="A10231" i="146"/>
  <c r="D10230" i="146"/>
  <c r="A10230" i="146"/>
  <c r="D10229" i="146"/>
  <c r="A10229" i="146"/>
  <c r="D10228" i="146"/>
  <c r="A10228" i="146"/>
  <c r="D10227" i="146"/>
  <c r="A10227" i="146"/>
  <c r="D10226" i="146"/>
  <c r="A10226" i="146"/>
  <c r="D10225" i="146"/>
  <c r="A10225" i="146"/>
  <c r="D10224" i="146"/>
  <c r="A10224" i="146"/>
  <c r="D10223" i="146"/>
  <c r="A10223" i="146"/>
  <c r="D10222" i="146"/>
  <c r="A10222" i="146"/>
  <c r="D10221" i="146"/>
  <c r="A10221" i="146"/>
  <c r="D10220" i="146"/>
  <c r="A10220" i="146"/>
  <c r="D10219" i="146"/>
  <c r="A10219" i="146"/>
  <c r="D10218" i="146"/>
  <c r="A10218" i="146"/>
  <c r="D10217" i="146"/>
  <c r="A10217" i="146"/>
  <c r="D10216" i="146"/>
  <c r="A10216" i="146"/>
  <c r="D10215" i="146"/>
  <c r="A10215" i="146"/>
  <c r="D10214" i="146"/>
  <c r="A10214" i="146"/>
  <c r="D10213" i="146"/>
  <c r="A10213" i="146"/>
  <c r="D10212" i="146"/>
  <c r="A10212" i="146"/>
  <c r="D10211" i="146"/>
  <c r="A10211" i="146"/>
  <c r="D10210" i="146"/>
  <c r="A10210" i="146"/>
  <c r="D10209" i="146"/>
  <c r="A10209" i="146"/>
  <c r="D10208" i="146"/>
  <c r="A10208" i="146"/>
  <c r="D10207" i="146"/>
  <c r="A10207" i="146"/>
  <c r="D10206" i="146"/>
  <c r="A10206" i="146"/>
  <c r="D10205" i="146"/>
  <c r="A10205" i="146"/>
  <c r="D10204" i="146"/>
  <c r="A10204" i="146"/>
  <c r="D10203" i="146"/>
  <c r="A10203" i="146"/>
  <c r="D10202" i="146"/>
  <c r="A10202" i="146"/>
  <c r="D10201" i="146"/>
  <c r="A10201" i="146"/>
  <c r="D10200" i="146"/>
  <c r="A10200" i="146"/>
  <c r="D10199" i="146"/>
  <c r="A10199" i="146"/>
  <c r="D10198" i="146"/>
  <c r="A10198" i="146"/>
  <c r="D10197" i="146"/>
  <c r="A10197" i="146"/>
  <c r="D10196" i="146"/>
  <c r="A10196" i="146"/>
  <c r="D10195" i="146"/>
  <c r="A10195" i="146"/>
  <c r="D10194" i="146"/>
  <c r="A10194" i="146"/>
  <c r="D10193" i="146"/>
  <c r="A10193" i="146"/>
  <c r="D10192" i="146"/>
  <c r="A10192" i="146"/>
  <c r="D10191" i="146"/>
  <c r="A10191" i="146"/>
  <c r="D10190" i="146"/>
  <c r="A10190" i="146"/>
  <c r="D10189" i="146"/>
  <c r="A10189" i="146"/>
  <c r="D10188" i="146"/>
  <c r="A10188" i="146"/>
  <c r="D10187" i="146"/>
  <c r="A10187" i="146"/>
  <c r="D10186" i="146"/>
  <c r="A10186" i="146"/>
  <c r="D10185" i="146"/>
  <c r="A10185" i="146"/>
  <c r="D10184" i="146"/>
  <c r="A10184" i="146"/>
  <c r="D10183" i="146"/>
  <c r="A10183" i="146"/>
  <c r="D10182" i="146"/>
  <c r="A10182" i="146"/>
  <c r="D10181" i="146"/>
  <c r="A10181" i="146"/>
  <c r="D10180" i="146"/>
  <c r="A10180" i="146"/>
  <c r="D10179" i="146"/>
  <c r="A10179" i="146"/>
  <c r="D10178" i="146"/>
  <c r="A10178" i="146"/>
  <c r="D10177" i="146"/>
  <c r="A10177" i="146"/>
  <c r="D10176" i="146"/>
  <c r="A10176" i="146"/>
  <c r="D10175" i="146"/>
  <c r="A10175" i="146"/>
  <c r="D10174" i="146"/>
  <c r="A10174" i="146"/>
  <c r="D10173" i="146"/>
  <c r="A10173" i="146"/>
  <c r="D10172" i="146"/>
  <c r="A10172" i="146"/>
  <c r="D10171" i="146"/>
  <c r="A10171" i="146"/>
  <c r="D10170" i="146"/>
  <c r="A10170" i="146"/>
  <c r="D10169" i="146"/>
  <c r="A10169" i="146"/>
  <c r="D10168" i="146"/>
  <c r="A10168" i="146"/>
  <c r="D10167" i="146"/>
  <c r="A10167" i="146"/>
  <c r="D10166" i="146"/>
  <c r="A10166" i="146"/>
  <c r="D10165" i="146"/>
  <c r="A10165" i="146"/>
  <c r="D10164" i="146"/>
  <c r="A10164" i="146"/>
  <c r="D10163" i="146"/>
  <c r="A10163" i="146"/>
  <c r="D10162" i="146"/>
  <c r="A10162" i="146"/>
  <c r="D10161" i="146"/>
  <c r="A10161" i="146"/>
  <c r="D10160" i="146"/>
  <c r="A10160" i="146"/>
  <c r="D10159" i="146"/>
  <c r="A10159" i="146"/>
  <c r="D10158" i="146"/>
  <c r="A10158" i="146"/>
  <c r="D10157" i="146"/>
  <c r="A10157" i="146"/>
  <c r="D10156" i="146"/>
  <c r="A10156" i="146"/>
  <c r="D10155" i="146"/>
  <c r="A10155" i="146"/>
  <c r="D10154" i="146"/>
  <c r="A10154" i="146"/>
  <c r="D10153" i="146"/>
  <c r="A10153" i="146"/>
  <c r="D10152" i="146"/>
  <c r="A10152" i="146"/>
  <c r="D10151" i="146"/>
  <c r="A10151" i="146"/>
  <c r="D10150" i="146"/>
  <c r="A10150" i="146"/>
  <c r="D10149" i="146"/>
  <c r="A10149" i="146"/>
  <c r="D10148" i="146"/>
  <c r="A10148" i="146"/>
  <c r="D10147" i="146"/>
  <c r="A10147" i="146"/>
  <c r="D10146" i="146"/>
  <c r="A10146" i="146"/>
  <c r="D10145" i="146"/>
  <c r="A10145" i="146"/>
  <c r="D10144" i="146"/>
  <c r="A10144" i="146"/>
  <c r="D10143" i="146"/>
  <c r="A10143" i="146"/>
  <c r="D10142" i="146"/>
  <c r="A10142" i="146"/>
  <c r="D10141" i="146"/>
  <c r="A10141" i="146"/>
  <c r="D10140" i="146"/>
  <c r="A10140" i="146"/>
  <c r="D10139" i="146"/>
  <c r="A10139" i="146"/>
  <c r="D10138" i="146"/>
  <c r="A10138" i="146"/>
  <c r="D10137" i="146"/>
  <c r="A10137" i="146"/>
  <c r="D10136" i="146"/>
  <c r="A10136" i="146"/>
  <c r="D10135" i="146"/>
  <c r="A10135" i="146"/>
  <c r="D10134" i="146"/>
  <c r="A10134" i="146"/>
  <c r="D10133" i="146"/>
  <c r="A10133" i="146"/>
  <c r="D10132" i="146"/>
  <c r="A10132" i="146"/>
  <c r="D10131" i="146"/>
  <c r="A10131" i="146"/>
  <c r="D10130" i="146"/>
  <c r="A10130" i="146"/>
  <c r="D10129" i="146"/>
  <c r="A10129" i="146"/>
  <c r="D10128" i="146"/>
  <c r="A10128" i="146"/>
  <c r="D10127" i="146"/>
  <c r="A10127" i="146"/>
  <c r="D10126" i="146"/>
  <c r="A10126" i="146"/>
  <c r="D10125" i="146"/>
  <c r="A10125" i="146"/>
  <c r="D10124" i="146"/>
  <c r="A10124" i="146"/>
  <c r="D10123" i="146"/>
  <c r="A10123" i="146"/>
  <c r="D10122" i="146"/>
  <c r="A10122" i="146"/>
  <c r="D10121" i="146"/>
  <c r="A10121" i="146"/>
  <c r="D10120" i="146"/>
  <c r="A10120" i="146"/>
  <c r="D10119" i="146"/>
  <c r="A10119" i="146"/>
  <c r="D10118" i="146"/>
  <c r="A10118" i="146"/>
  <c r="D10117" i="146"/>
  <c r="A10117" i="146"/>
  <c r="D10116" i="146"/>
  <c r="A10116" i="146"/>
  <c r="D10115" i="146"/>
  <c r="A10115" i="146"/>
  <c r="D10114" i="146"/>
  <c r="A10114" i="146"/>
  <c r="D10113" i="146"/>
  <c r="A10113" i="146"/>
  <c r="D10112" i="146"/>
  <c r="A10112" i="146"/>
  <c r="D10111" i="146"/>
  <c r="A10111" i="146"/>
  <c r="D10110" i="146"/>
  <c r="A10110" i="146"/>
  <c r="D10109" i="146"/>
  <c r="A10109" i="146"/>
  <c r="D10108" i="146"/>
  <c r="A10108" i="146"/>
  <c r="D10107" i="146"/>
  <c r="A10107" i="146"/>
  <c r="D10106" i="146"/>
  <c r="A10106" i="146"/>
  <c r="D10105" i="146"/>
  <c r="A10105" i="146"/>
  <c r="D10104" i="146"/>
  <c r="A10104" i="146"/>
  <c r="D10103" i="146"/>
  <c r="A10103" i="146"/>
  <c r="D10102" i="146"/>
  <c r="A10102" i="146"/>
  <c r="D10101" i="146"/>
  <c r="A10101" i="146"/>
  <c r="D10100" i="146"/>
  <c r="A10100" i="146"/>
  <c r="D10099" i="146"/>
  <c r="A10099" i="146"/>
  <c r="D10098" i="146"/>
  <c r="A10098" i="146"/>
  <c r="D10097" i="146"/>
  <c r="A10097" i="146"/>
  <c r="D10096" i="146"/>
  <c r="A10096" i="146"/>
  <c r="D10095" i="146"/>
  <c r="A10095" i="146"/>
  <c r="D10094" i="146"/>
  <c r="A10094" i="146"/>
  <c r="D10093" i="146"/>
  <c r="A10093" i="146"/>
  <c r="D10092" i="146"/>
  <c r="A10092" i="146"/>
  <c r="D10091" i="146"/>
  <c r="A10091" i="146"/>
  <c r="D10090" i="146"/>
  <c r="A10090" i="146"/>
  <c r="D10089" i="146"/>
  <c r="A10089" i="146"/>
  <c r="D10088" i="146"/>
  <c r="A10088" i="146"/>
  <c r="D10087" i="146"/>
  <c r="A10087" i="146"/>
  <c r="D10086" i="146"/>
  <c r="A10086" i="146"/>
  <c r="D10085" i="146"/>
  <c r="A10085" i="146"/>
  <c r="D10084" i="146"/>
  <c r="A10084" i="146"/>
  <c r="D10083" i="146"/>
  <c r="A10083" i="146"/>
  <c r="D10082" i="146"/>
  <c r="A10082" i="146"/>
  <c r="D10081" i="146"/>
  <c r="A10081" i="146"/>
  <c r="D10080" i="146"/>
  <c r="A10080" i="146"/>
  <c r="D10079" i="146"/>
  <c r="A10079" i="146"/>
  <c r="D10078" i="146"/>
  <c r="A10078" i="146"/>
  <c r="D10077" i="146"/>
  <c r="A10077" i="146"/>
  <c r="D10076" i="146"/>
  <c r="A10076" i="146"/>
  <c r="D10075" i="146"/>
  <c r="A10075" i="146"/>
  <c r="D10074" i="146"/>
  <c r="A10074" i="146"/>
  <c r="D10073" i="146"/>
  <c r="A10073" i="146"/>
  <c r="D10072" i="146"/>
  <c r="A10072" i="146"/>
  <c r="D10071" i="146"/>
  <c r="A10071" i="146"/>
  <c r="D10070" i="146"/>
  <c r="A10070" i="146"/>
  <c r="D10069" i="146"/>
  <c r="A10069" i="146"/>
  <c r="D10068" i="146"/>
  <c r="A10068" i="146"/>
  <c r="D10067" i="146"/>
  <c r="A10067" i="146"/>
  <c r="D10066" i="146"/>
  <c r="A10066" i="146"/>
  <c r="D10065" i="146"/>
  <c r="A10065" i="146"/>
  <c r="D10064" i="146"/>
  <c r="A10064" i="146"/>
  <c r="D10063" i="146"/>
  <c r="A10063" i="146"/>
  <c r="D10062" i="146"/>
  <c r="A10062" i="146"/>
  <c r="D10061" i="146"/>
  <c r="A10061" i="146"/>
  <c r="D10060" i="146"/>
  <c r="A10060" i="146"/>
  <c r="D10059" i="146"/>
  <c r="A10059" i="146"/>
  <c r="D10058" i="146"/>
  <c r="A10058" i="146"/>
  <c r="D10057" i="146"/>
  <c r="A10057" i="146"/>
  <c r="D10056" i="146"/>
  <c r="A10056" i="146"/>
  <c r="D10055" i="146"/>
  <c r="A10055" i="146"/>
  <c r="D10054" i="146"/>
  <c r="A10054" i="146"/>
  <c r="D10053" i="146"/>
  <c r="A10053" i="146"/>
  <c r="D10052" i="146"/>
  <c r="A10052" i="146"/>
  <c r="D10051" i="146"/>
  <c r="A10051" i="146"/>
  <c r="D10050" i="146"/>
  <c r="A10050" i="146"/>
  <c r="D10049" i="146"/>
  <c r="A10049" i="146"/>
  <c r="D10048" i="146"/>
  <c r="A10048" i="146"/>
  <c r="D10047" i="146"/>
  <c r="A10047" i="146"/>
  <c r="D10046" i="146"/>
  <c r="A10046" i="146"/>
  <c r="D10045" i="146"/>
  <c r="A10045" i="146"/>
  <c r="D10044" i="146"/>
  <c r="A10044" i="146"/>
  <c r="D10043" i="146"/>
  <c r="A10043" i="146"/>
  <c r="D10042" i="146"/>
  <c r="A10042" i="146"/>
  <c r="D10041" i="146"/>
  <c r="A10041" i="146"/>
  <c r="D10040" i="146"/>
  <c r="A10040" i="146"/>
  <c r="D10039" i="146"/>
  <c r="A10039" i="146"/>
  <c r="D10038" i="146"/>
  <c r="A10038" i="146"/>
  <c r="D10037" i="146"/>
  <c r="A10037" i="146"/>
  <c r="D10036" i="146"/>
  <c r="A10036" i="146"/>
  <c r="D10035" i="146"/>
  <c r="A10035" i="146"/>
  <c r="D10034" i="146"/>
  <c r="A10034" i="146"/>
  <c r="D10033" i="146"/>
  <c r="A10033" i="146"/>
  <c r="D10032" i="146"/>
  <c r="A10032" i="146"/>
  <c r="D10031" i="146"/>
  <c r="A10031" i="146"/>
  <c r="D10030" i="146"/>
  <c r="A10030" i="146"/>
  <c r="D10029" i="146"/>
  <c r="A10029" i="146"/>
  <c r="D10028" i="146"/>
  <c r="A10028" i="146"/>
  <c r="D10027" i="146"/>
  <c r="A10027" i="146"/>
  <c r="D10026" i="146"/>
  <c r="A10026" i="146"/>
  <c r="D10025" i="146"/>
  <c r="A10025" i="146"/>
  <c r="D10024" i="146"/>
  <c r="A10024" i="146"/>
  <c r="D10023" i="146"/>
  <c r="A10023" i="146"/>
  <c r="D10022" i="146"/>
  <c r="A10022" i="146"/>
  <c r="D10021" i="146"/>
  <c r="A10021" i="146"/>
  <c r="D10020" i="146"/>
  <c r="A10020" i="146"/>
  <c r="D10019" i="146"/>
  <c r="A10019" i="146"/>
  <c r="D10018" i="146"/>
  <c r="A10018" i="146"/>
  <c r="D10017" i="146"/>
  <c r="A10017" i="146"/>
  <c r="D10016" i="146"/>
  <c r="A10016" i="146"/>
  <c r="D10015" i="146"/>
  <c r="A10015" i="146"/>
  <c r="D10014" i="146"/>
  <c r="A10014" i="146"/>
  <c r="D10013" i="146"/>
  <c r="A10013" i="146"/>
  <c r="D10012" i="146"/>
  <c r="A10012" i="146"/>
  <c r="D10011" i="146"/>
  <c r="A10011" i="146"/>
  <c r="D10010" i="146"/>
  <c r="A10010" i="146"/>
  <c r="D10009" i="146"/>
  <c r="A10009" i="146"/>
  <c r="D10008" i="146"/>
  <c r="A10008" i="146"/>
  <c r="D10007" i="146"/>
  <c r="A10007" i="146"/>
  <c r="D10006" i="146"/>
  <c r="A10006" i="146"/>
  <c r="D10005" i="146"/>
  <c r="A10005" i="146"/>
  <c r="D10004" i="146"/>
  <c r="A10004" i="146"/>
  <c r="D10003" i="146"/>
  <c r="A10003" i="146"/>
  <c r="D10002" i="146"/>
  <c r="A10002" i="146"/>
  <c r="D10001" i="146"/>
  <c r="A10001" i="146"/>
  <c r="D10000" i="146"/>
  <c r="A10000" i="146"/>
  <c r="D9999" i="146"/>
  <c r="A9999" i="146"/>
  <c r="D9998" i="146"/>
  <c r="A9998" i="146"/>
  <c r="D9997" i="146"/>
  <c r="A9997" i="146"/>
  <c r="D9996" i="146"/>
  <c r="A9996" i="146"/>
  <c r="D9995" i="146"/>
  <c r="A9995" i="146"/>
  <c r="D9994" i="146"/>
  <c r="A9994" i="146"/>
  <c r="D9993" i="146"/>
  <c r="A9993" i="146"/>
  <c r="D9992" i="146"/>
  <c r="A9992" i="146"/>
  <c r="D9991" i="146"/>
  <c r="A9991" i="146"/>
  <c r="D9990" i="146"/>
  <c r="A9990" i="146"/>
  <c r="D9989" i="146"/>
  <c r="A9989" i="146"/>
  <c r="D9988" i="146"/>
  <c r="A9988" i="146"/>
  <c r="D9987" i="146"/>
  <c r="A9987" i="146"/>
  <c r="D9986" i="146"/>
  <c r="A9986" i="146"/>
  <c r="D9985" i="146"/>
  <c r="A9985" i="146"/>
  <c r="D9984" i="146"/>
  <c r="A9984" i="146"/>
  <c r="D9983" i="146"/>
  <c r="A9983" i="146"/>
  <c r="D9982" i="146"/>
  <c r="A9982" i="146"/>
  <c r="D9981" i="146"/>
  <c r="A9981" i="146"/>
  <c r="D9980" i="146"/>
  <c r="A9980" i="146"/>
  <c r="D9979" i="146"/>
  <c r="A9979" i="146"/>
  <c r="D9978" i="146"/>
  <c r="A9978" i="146"/>
  <c r="D9977" i="146"/>
  <c r="A9977" i="146"/>
  <c r="D9976" i="146"/>
  <c r="A9976" i="146"/>
  <c r="D9975" i="146"/>
  <c r="A9975" i="146"/>
  <c r="D9974" i="146"/>
  <c r="A9974" i="146"/>
  <c r="D9973" i="146"/>
  <c r="A9973" i="146"/>
  <c r="D9972" i="146"/>
  <c r="A9972" i="146"/>
  <c r="D9971" i="146"/>
  <c r="A9971" i="146"/>
  <c r="D9970" i="146"/>
  <c r="A9970" i="146"/>
  <c r="D9969" i="146"/>
  <c r="A9969" i="146"/>
  <c r="D9968" i="146"/>
  <c r="A9968" i="146"/>
  <c r="D9967" i="146"/>
  <c r="A9967" i="146"/>
  <c r="D9966" i="146"/>
  <c r="A9966" i="146"/>
  <c r="D9965" i="146"/>
  <c r="A9965" i="146"/>
  <c r="D9964" i="146"/>
  <c r="A9964" i="146"/>
  <c r="D9963" i="146"/>
  <c r="A9963" i="146"/>
  <c r="D9962" i="146"/>
  <c r="A9962" i="146"/>
  <c r="D9961" i="146"/>
  <c r="A9961" i="146"/>
  <c r="D9960" i="146"/>
  <c r="A9960" i="146"/>
  <c r="D9959" i="146"/>
  <c r="A9959" i="146"/>
  <c r="D9958" i="146"/>
  <c r="A9958" i="146"/>
  <c r="D9957" i="146"/>
  <c r="A9957" i="146"/>
  <c r="D9956" i="146"/>
  <c r="A9956" i="146"/>
  <c r="D9955" i="146"/>
  <c r="A9955" i="146"/>
  <c r="D9954" i="146"/>
  <c r="A9954" i="146"/>
  <c r="D9953" i="146"/>
  <c r="A9953" i="146"/>
  <c r="D9952" i="146"/>
  <c r="A9952" i="146"/>
  <c r="D9951" i="146"/>
  <c r="A9951" i="146"/>
  <c r="D9950" i="146"/>
  <c r="A9950" i="146"/>
  <c r="D9949" i="146"/>
  <c r="A9949" i="146"/>
  <c r="D9948" i="146"/>
  <c r="A9948" i="146"/>
  <c r="D9947" i="146"/>
  <c r="A9947" i="146"/>
  <c r="D9946" i="146"/>
  <c r="A9946" i="146"/>
  <c r="D9945" i="146"/>
  <c r="A9945" i="146"/>
  <c r="D9944" i="146"/>
  <c r="A9944" i="146"/>
  <c r="D9943" i="146"/>
  <c r="A9943" i="146"/>
  <c r="D9942" i="146"/>
  <c r="A9942" i="146"/>
  <c r="D9941" i="146"/>
  <c r="A9941" i="146"/>
  <c r="D9940" i="146"/>
  <c r="A9940" i="146"/>
  <c r="D9939" i="146"/>
  <c r="A9939" i="146"/>
  <c r="D9938" i="146"/>
  <c r="A9938" i="146"/>
  <c r="D9937" i="146"/>
  <c r="A9937" i="146"/>
  <c r="D9936" i="146"/>
  <c r="A9936" i="146"/>
  <c r="D9935" i="146"/>
  <c r="A9935" i="146"/>
  <c r="D9934" i="146"/>
  <c r="A9934" i="146"/>
  <c r="D9933" i="146"/>
  <c r="A9933" i="146"/>
  <c r="D9932" i="146"/>
  <c r="A9932" i="146"/>
  <c r="D9931" i="146"/>
  <c r="A9931" i="146"/>
  <c r="D9930" i="146"/>
  <c r="A9930" i="146"/>
  <c r="D9929" i="146"/>
  <c r="A9929" i="146"/>
  <c r="D9928" i="146"/>
  <c r="A9928" i="146"/>
  <c r="D9927" i="146"/>
  <c r="A9927" i="146"/>
  <c r="D9926" i="146"/>
  <c r="A9926" i="146"/>
  <c r="D9925" i="146"/>
  <c r="A9925" i="146"/>
  <c r="D9924" i="146"/>
  <c r="A9924" i="146"/>
  <c r="D9923" i="146"/>
  <c r="A9923" i="146"/>
  <c r="D9922" i="146"/>
  <c r="A9922" i="146"/>
  <c r="D9921" i="146"/>
  <c r="A9921" i="146"/>
  <c r="D9920" i="146"/>
  <c r="A9920" i="146"/>
  <c r="D9919" i="146"/>
  <c r="A9919" i="146"/>
  <c r="D9918" i="146"/>
  <c r="A9918" i="146"/>
  <c r="D9917" i="146"/>
  <c r="A9917" i="146"/>
  <c r="D9916" i="146"/>
  <c r="A9916" i="146"/>
  <c r="D9915" i="146"/>
  <c r="A9915" i="146"/>
  <c r="D9914" i="146"/>
  <c r="A9914" i="146"/>
  <c r="D9913" i="146"/>
  <c r="A9913" i="146"/>
  <c r="D9912" i="146"/>
  <c r="A9912" i="146"/>
  <c r="D9911" i="146"/>
  <c r="A9911" i="146"/>
  <c r="D9910" i="146"/>
  <c r="A9910" i="146"/>
  <c r="D9909" i="146"/>
  <c r="A9909" i="146"/>
  <c r="D9908" i="146"/>
  <c r="A9908" i="146"/>
  <c r="D9907" i="146"/>
  <c r="A9907" i="146"/>
  <c r="D9906" i="146"/>
  <c r="A9906" i="146"/>
  <c r="D9905" i="146"/>
  <c r="A9905" i="146"/>
  <c r="D9904" i="146"/>
  <c r="A9904" i="146"/>
  <c r="D9903" i="146"/>
  <c r="A9903" i="146"/>
  <c r="D9902" i="146"/>
  <c r="A9902" i="146"/>
  <c r="D9901" i="146"/>
  <c r="A9901" i="146"/>
  <c r="D9900" i="146"/>
  <c r="A9900" i="146"/>
  <c r="D9899" i="146"/>
  <c r="A9899" i="146"/>
  <c r="D9898" i="146"/>
  <c r="A9898" i="146"/>
  <c r="D9897" i="146"/>
  <c r="A9897" i="146"/>
  <c r="D9896" i="146"/>
  <c r="A9896" i="146"/>
  <c r="D9895" i="146"/>
  <c r="A9895" i="146"/>
  <c r="D9894" i="146"/>
  <c r="A9894" i="146"/>
  <c r="D9893" i="146"/>
  <c r="A9893" i="146"/>
  <c r="D9892" i="146"/>
  <c r="A9892" i="146"/>
  <c r="D9891" i="146"/>
  <c r="A9891" i="146"/>
  <c r="D9890" i="146"/>
  <c r="A9890" i="146"/>
  <c r="D9889" i="146"/>
  <c r="A9889" i="146"/>
  <c r="D9888" i="146"/>
  <c r="A9888" i="146"/>
  <c r="D9887" i="146"/>
  <c r="A9887" i="146"/>
  <c r="D9886" i="146"/>
  <c r="A9886" i="146"/>
  <c r="D9885" i="146"/>
  <c r="A9885" i="146"/>
  <c r="D9884" i="146"/>
  <c r="A9884" i="146"/>
  <c r="D9883" i="146"/>
  <c r="A9883" i="146"/>
  <c r="D9882" i="146"/>
  <c r="A9882" i="146"/>
  <c r="D9881" i="146"/>
  <c r="A9881" i="146"/>
  <c r="D9880" i="146"/>
  <c r="A9880" i="146"/>
  <c r="D9879" i="146"/>
  <c r="A9879" i="146"/>
  <c r="D9878" i="146"/>
  <c r="A9878" i="146"/>
  <c r="D9877" i="146"/>
  <c r="A9877" i="146"/>
  <c r="D9876" i="146"/>
  <c r="A9876" i="146"/>
  <c r="D9875" i="146"/>
  <c r="A9875" i="146"/>
  <c r="D9874" i="146"/>
  <c r="A9874" i="146"/>
  <c r="D9873" i="146"/>
  <c r="A9873" i="146"/>
  <c r="D9872" i="146"/>
  <c r="A9872" i="146"/>
  <c r="D9871" i="146"/>
  <c r="A9871" i="146"/>
  <c r="D9870" i="146"/>
  <c r="A9870" i="146"/>
  <c r="D9869" i="146"/>
  <c r="A9869" i="146"/>
  <c r="D9868" i="146"/>
  <c r="A9868" i="146"/>
  <c r="D9867" i="146"/>
  <c r="A9867" i="146"/>
  <c r="D9866" i="146"/>
  <c r="A9866" i="146"/>
  <c r="D9865" i="146"/>
  <c r="A9865" i="146"/>
  <c r="D9864" i="146"/>
  <c r="A9864" i="146"/>
  <c r="D9863" i="146"/>
  <c r="A9863" i="146"/>
  <c r="D9862" i="146"/>
  <c r="A9862" i="146"/>
  <c r="D9861" i="146"/>
  <c r="A9861" i="146"/>
  <c r="D9860" i="146"/>
  <c r="A9860" i="146"/>
  <c r="D9859" i="146"/>
  <c r="A9859" i="146"/>
  <c r="D9858" i="146"/>
  <c r="A9858" i="146"/>
  <c r="D9857" i="146"/>
  <c r="A9857" i="146"/>
  <c r="D9856" i="146"/>
  <c r="A9856" i="146"/>
  <c r="D9855" i="146"/>
  <c r="A9855" i="146"/>
  <c r="D9854" i="146"/>
  <c r="A9854" i="146"/>
  <c r="D9853" i="146"/>
  <c r="A9853" i="146"/>
  <c r="D9852" i="146"/>
  <c r="A9852" i="146"/>
  <c r="D9851" i="146"/>
  <c r="A9851" i="146"/>
  <c r="D9850" i="146"/>
  <c r="A9850" i="146"/>
  <c r="D9849" i="146"/>
  <c r="A9849" i="146"/>
  <c r="D9848" i="146"/>
  <c r="A9848" i="146"/>
  <c r="D9847" i="146"/>
  <c r="A9847" i="146"/>
  <c r="D9846" i="146"/>
  <c r="A9846" i="146"/>
  <c r="D9845" i="146"/>
  <c r="A9845" i="146"/>
  <c r="D9844" i="146"/>
  <c r="A9844" i="146"/>
  <c r="D9843" i="146"/>
  <c r="A9843" i="146"/>
  <c r="D9842" i="146"/>
  <c r="A9842" i="146"/>
  <c r="D9841" i="146"/>
  <c r="A9841" i="146"/>
  <c r="D9840" i="146"/>
  <c r="A9840" i="146"/>
  <c r="D9839" i="146"/>
  <c r="A9839" i="146"/>
  <c r="D9838" i="146"/>
  <c r="A9838" i="146"/>
  <c r="D9837" i="146"/>
  <c r="A9837" i="146"/>
  <c r="D9836" i="146"/>
  <c r="A9836" i="146"/>
  <c r="D9835" i="146"/>
  <c r="A9835" i="146"/>
  <c r="D9834" i="146"/>
  <c r="A9834" i="146"/>
  <c r="D9833" i="146"/>
  <c r="A9833" i="146"/>
  <c r="D9832" i="146"/>
  <c r="A9832" i="146"/>
  <c r="D9831" i="146"/>
  <c r="A9831" i="146"/>
  <c r="D9830" i="146"/>
  <c r="A9830" i="146"/>
  <c r="D9829" i="146"/>
  <c r="A9829" i="146"/>
  <c r="D9828" i="146"/>
  <c r="A9828" i="146"/>
  <c r="D9827" i="146"/>
  <c r="A9827" i="146"/>
  <c r="D9826" i="146"/>
  <c r="A9826" i="146"/>
  <c r="D9825" i="146"/>
  <c r="A9825" i="146"/>
  <c r="D9824" i="146"/>
  <c r="A9824" i="146"/>
  <c r="D9823" i="146"/>
  <c r="A9823" i="146"/>
  <c r="D9822" i="146"/>
  <c r="A9822" i="146"/>
  <c r="D9821" i="146"/>
  <c r="A9821" i="146"/>
  <c r="D9820" i="146"/>
  <c r="A9820" i="146"/>
  <c r="D9819" i="146"/>
  <c r="A9819" i="146"/>
  <c r="D9818" i="146"/>
  <c r="A9818" i="146"/>
  <c r="D9817" i="146"/>
  <c r="A9817" i="146"/>
  <c r="D9816" i="146"/>
  <c r="A9816" i="146"/>
  <c r="D9815" i="146"/>
  <c r="A9815" i="146"/>
  <c r="D9814" i="146"/>
  <c r="A9814" i="146"/>
  <c r="D9813" i="146"/>
  <c r="A9813" i="146"/>
  <c r="D9812" i="146"/>
  <c r="A9812" i="146"/>
  <c r="D9811" i="146"/>
  <c r="A9811" i="146"/>
  <c r="D9810" i="146"/>
  <c r="A9810" i="146"/>
  <c r="D9809" i="146"/>
  <c r="A9809" i="146"/>
  <c r="D9808" i="146"/>
  <c r="A9808" i="146"/>
  <c r="D9807" i="146"/>
  <c r="A9807" i="146"/>
  <c r="D9806" i="146"/>
  <c r="A9806" i="146"/>
  <c r="D9805" i="146"/>
  <c r="A9805" i="146"/>
  <c r="D9804" i="146"/>
  <c r="A9804" i="146"/>
  <c r="D9803" i="146"/>
  <c r="A9803" i="146"/>
  <c r="D9802" i="146"/>
  <c r="A9802" i="146"/>
  <c r="D9801" i="146"/>
  <c r="A9801" i="146"/>
  <c r="D9800" i="146"/>
  <c r="A9800" i="146"/>
  <c r="D9799" i="146"/>
  <c r="A9799" i="146"/>
  <c r="D9798" i="146"/>
  <c r="A9798" i="146"/>
  <c r="D9797" i="146"/>
  <c r="A9797" i="146"/>
  <c r="D9796" i="146"/>
  <c r="A9796" i="146"/>
  <c r="D9795" i="146"/>
  <c r="A9795" i="146"/>
  <c r="D9794" i="146"/>
  <c r="A9794" i="146"/>
  <c r="D9793" i="146"/>
  <c r="A9793" i="146"/>
  <c r="D9792" i="146"/>
  <c r="A9792" i="146"/>
  <c r="D9791" i="146"/>
  <c r="A9791" i="146"/>
  <c r="D9790" i="146"/>
  <c r="A9790" i="146"/>
  <c r="D9789" i="146"/>
  <c r="A9789" i="146"/>
  <c r="D9788" i="146"/>
  <c r="A9788" i="146"/>
  <c r="D9787" i="146"/>
  <c r="A9787" i="146"/>
  <c r="D9786" i="146"/>
  <c r="A9786" i="146"/>
  <c r="D9785" i="146"/>
  <c r="A9785" i="146"/>
  <c r="D9784" i="146"/>
  <c r="A9784" i="146"/>
  <c r="D9783" i="146"/>
  <c r="A9783" i="146"/>
  <c r="D9782" i="146"/>
  <c r="A9782" i="146"/>
  <c r="D9781" i="146"/>
  <c r="A9781" i="146"/>
  <c r="D9780" i="146"/>
  <c r="A9780" i="146"/>
  <c r="D9779" i="146"/>
  <c r="A9779" i="146"/>
  <c r="D9778" i="146"/>
  <c r="A9778" i="146"/>
  <c r="D9777" i="146"/>
  <c r="A9777" i="146"/>
  <c r="D9776" i="146"/>
  <c r="A9776" i="146"/>
  <c r="D9775" i="146"/>
  <c r="A9775" i="146"/>
  <c r="D9774" i="146"/>
  <c r="A9774" i="146"/>
  <c r="D9773" i="146"/>
  <c r="A9773" i="146"/>
  <c r="D9772" i="146"/>
  <c r="A9772" i="146"/>
  <c r="D9771" i="146"/>
  <c r="A9771" i="146"/>
  <c r="D9770" i="146"/>
  <c r="A9770" i="146"/>
  <c r="D9769" i="146"/>
  <c r="A9769" i="146"/>
  <c r="D9768" i="146"/>
  <c r="A9768" i="146"/>
  <c r="D9767" i="146"/>
  <c r="A9767" i="146"/>
  <c r="D9766" i="146"/>
  <c r="A9766" i="146"/>
  <c r="D9765" i="146"/>
  <c r="A9765" i="146"/>
  <c r="D9764" i="146"/>
  <c r="A9764" i="146"/>
  <c r="D9763" i="146"/>
  <c r="A9763" i="146"/>
  <c r="D9762" i="146"/>
  <c r="A9762" i="146"/>
  <c r="D9761" i="146"/>
  <c r="A9761" i="146"/>
  <c r="D9760" i="146"/>
  <c r="A9760" i="146"/>
  <c r="D9759" i="146"/>
  <c r="A9759" i="146"/>
  <c r="D9758" i="146"/>
  <c r="A9758" i="146"/>
  <c r="D9757" i="146"/>
  <c r="A9757" i="146"/>
  <c r="D9756" i="146"/>
  <c r="A9756" i="146"/>
  <c r="D9755" i="146"/>
  <c r="A9755" i="146"/>
  <c r="D9754" i="146"/>
  <c r="A9754" i="146"/>
  <c r="D9753" i="146"/>
  <c r="A9753" i="146"/>
  <c r="D9752" i="146"/>
  <c r="A9752" i="146"/>
  <c r="D9751" i="146"/>
  <c r="A9751" i="146"/>
  <c r="D9750" i="146"/>
  <c r="A9750" i="146"/>
  <c r="D9749" i="146"/>
  <c r="A9749" i="146"/>
  <c r="D9748" i="146"/>
  <c r="A9748" i="146"/>
  <c r="D9747" i="146"/>
  <c r="A9747" i="146"/>
  <c r="D9746" i="146"/>
  <c r="A9746" i="146"/>
  <c r="D9745" i="146"/>
  <c r="A9745" i="146"/>
  <c r="D9744" i="146"/>
  <c r="A9744" i="146"/>
  <c r="D9743" i="146"/>
  <c r="A9743" i="146"/>
  <c r="D9742" i="146"/>
  <c r="A9742" i="146"/>
  <c r="D9741" i="146"/>
  <c r="A9741" i="146"/>
  <c r="D9740" i="146"/>
  <c r="A9740" i="146"/>
  <c r="D9739" i="146"/>
  <c r="A9739" i="146"/>
  <c r="D9738" i="146"/>
  <c r="A9738" i="146"/>
  <c r="D9737" i="146"/>
  <c r="A9737" i="146"/>
  <c r="D9736" i="146"/>
  <c r="A9736" i="146"/>
  <c r="D9735" i="146"/>
  <c r="A9735" i="146"/>
  <c r="D9734" i="146"/>
  <c r="A9734" i="146"/>
  <c r="D9733" i="146"/>
  <c r="A9733" i="146"/>
  <c r="D9732" i="146"/>
  <c r="A9732" i="146"/>
  <c r="D9731" i="146"/>
  <c r="A9731" i="146"/>
  <c r="D9730" i="146"/>
  <c r="A9730" i="146"/>
  <c r="D9729" i="146"/>
  <c r="A9729" i="146"/>
  <c r="D9728" i="146"/>
  <c r="A9728" i="146"/>
  <c r="D9727" i="146"/>
  <c r="A9727" i="146"/>
  <c r="D9726" i="146"/>
  <c r="A9726" i="146"/>
  <c r="D9725" i="146"/>
  <c r="A9725" i="146"/>
  <c r="D9724" i="146"/>
  <c r="A9724" i="146"/>
  <c r="D9723" i="146"/>
  <c r="A9723" i="146"/>
  <c r="D9722" i="146"/>
  <c r="A9722" i="146"/>
  <c r="D9721" i="146"/>
  <c r="A9721" i="146"/>
  <c r="D9720" i="146"/>
  <c r="A9720" i="146"/>
  <c r="D9719" i="146"/>
  <c r="A9719" i="146"/>
  <c r="D9718" i="146"/>
  <c r="A9718" i="146"/>
  <c r="D9717" i="146"/>
  <c r="A9717" i="146"/>
  <c r="D9716" i="146"/>
  <c r="A9716" i="146"/>
  <c r="D9715" i="146"/>
  <c r="A9715" i="146"/>
  <c r="D9714" i="146"/>
  <c r="A9714" i="146"/>
  <c r="D9713" i="146"/>
  <c r="A9713" i="146"/>
  <c r="D9712" i="146"/>
  <c r="A9712" i="146"/>
  <c r="D9711" i="146"/>
  <c r="A9711" i="146"/>
  <c r="D9710" i="146"/>
  <c r="A9710" i="146"/>
  <c r="D9709" i="146"/>
  <c r="A9709" i="146"/>
  <c r="D9708" i="146"/>
  <c r="A9708" i="146"/>
  <c r="D9707" i="146"/>
  <c r="A9707" i="146"/>
  <c r="D9706" i="146"/>
  <c r="A9706" i="146"/>
  <c r="D9705" i="146"/>
  <c r="A9705" i="146"/>
  <c r="D9704" i="146"/>
  <c r="A9704" i="146"/>
  <c r="D9703" i="146"/>
  <c r="A9703" i="146"/>
  <c r="D9702" i="146"/>
  <c r="A9702" i="146"/>
  <c r="D9701" i="146"/>
  <c r="A9701" i="146"/>
  <c r="D9700" i="146"/>
  <c r="A9700" i="146"/>
  <c r="D9699" i="146"/>
  <c r="A9699" i="146"/>
  <c r="D9698" i="146"/>
  <c r="A9698" i="146"/>
  <c r="D9697" i="146"/>
  <c r="A9697" i="146"/>
  <c r="D9696" i="146"/>
  <c r="A9696" i="146"/>
  <c r="D9695" i="146"/>
  <c r="A9695" i="146"/>
  <c r="D9694" i="146"/>
  <c r="A9694" i="146"/>
  <c r="D9693" i="146"/>
  <c r="A9693" i="146"/>
  <c r="D9692" i="146"/>
  <c r="A9692" i="146"/>
  <c r="D9691" i="146"/>
  <c r="A9691" i="146"/>
  <c r="D9690" i="146"/>
  <c r="A9690" i="146"/>
  <c r="D9689" i="146"/>
  <c r="A9689" i="146"/>
  <c r="D9688" i="146"/>
  <c r="A9688" i="146"/>
  <c r="D9687" i="146"/>
  <c r="A9687" i="146"/>
  <c r="D9686" i="146"/>
  <c r="A9686" i="146"/>
  <c r="D9685" i="146"/>
  <c r="A9685" i="146"/>
  <c r="D9684" i="146"/>
  <c r="A9684" i="146"/>
  <c r="D9683" i="146"/>
  <c r="A9683" i="146"/>
  <c r="D9682" i="146"/>
  <c r="A9682" i="146"/>
  <c r="D9681" i="146"/>
  <c r="A9681" i="146"/>
  <c r="D9680" i="146"/>
  <c r="A9680" i="146"/>
  <c r="D9679" i="146"/>
  <c r="A9679" i="146"/>
  <c r="D9678" i="146"/>
  <c r="A9678" i="146"/>
  <c r="D9677" i="146"/>
  <c r="A9677" i="146"/>
  <c r="D9676" i="146"/>
  <c r="A9676" i="146"/>
  <c r="D9675" i="146"/>
  <c r="A9675" i="146"/>
  <c r="D9674" i="146"/>
  <c r="A9674" i="146"/>
  <c r="D9673" i="146"/>
  <c r="A9673" i="146"/>
  <c r="D9672" i="146"/>
  <c r="A9672" i="146"/>
  <c r="D9671" i="146"/>
  <c r="A9671" i="146"/>
  <c r="D9670" i="146"/>
  <c r="A9670" i="146"/>
  <c r="D9669" i="146"/>
  <c r="A9669" i="146"/>
  <c r="D9668" i="146"/>
  <c r="A9668" i="146"/>
  <c r="D9667" i="146"/>
  <c r="A9667" i="146"/>
  <c r="D9666" i="146"/>
  <c r="A9666" i="146"/>
  <c r="D9665" i="146"/>
  <c r="A9665" i="146"/>
  <c r="D9664" i="146"/>
  <c r="A9664" i="146"/>
  <c r="D9663" i="146"/>
  <c r="A9663" i="146"/>
  <c r="D9662" i="146"/>
  <c r="A9662" i="146"/>
  <c r="D9661" i="146"/>
  <c r="A9661" i="146"/>
  <c r="D9660" i="146"/>
  <c r="A9660" i="146"/>
  <c r="D9659" i="146"/>
  <c r="A9659" i="146"/>
  <c r="D9658" i="146"/>
  <c r="A9658" i="146"/>
  <c r="D9657" i="146"/>
  <c r="A9657" i="146"/>
  <c r="D9656" i="146"/>
  <c r="A9656" i="146"/>
  <c r="D9655" i="146"/>
  <c r="A9655" i="146"/>
  <c r="D9654" i="146"/>
  <c r="A9654" i="146"/>
  <c r="D9653" i="146"/>
  <c r="A9653" i="146"/>
  <c r="D9652" i="146"/>
  <c r="A9652" i="146"/>
  <c r="D9651" i="146"/>
  <c r="A9651" i="146"/>
  <c r="D9650" i="146"/>
  <c r="A9650" i="146"/>
  <c r="D9649" i="146"/>
  <c r="A9649" i="146"/>
  <c r="D9648" i="146"/>
  <c r="A9648" i="146"/>
  <c r="D9647" i="146"/>
  <c r="A9647" i="146"/>
  <c r="D9646" i="146"/>
  <c r="A9646" i="146"/>
  <c r="D9645" i="146"/>
  <c r="A9645" i="146"/>
  <c r="D9644" i="146"/>
  <c r="A9644" i="146"/>
  <c r="D9643" i="146"/>
  <c r="A9643" i="146"/>
  <c r="D9642" i="146"/>
  <c r="A9642" i="146"/>
  <c r="D9641" i="146"/>
  <c r="A9641" i="146"/>
  <c r="D9640" i="146"/>
  <c r="A9640" i="146"/>
  <c r="D9639" i="146"/>
  <c r="A9639" i="146"/>
  <c r="D9638" i="146"/>
  <c r="A9638" i="146"/>
  <c r="D9637" i="146"/>
  <c r="A9637" i="146"/>
  <c r="D9636" i="146"/>
  <c r="A9636" i="146"/>
  <c r="D9635" i="146"/>
  <c r="A9635" i="146"/>
  <c r="D9634" i="146"/>
  <c r="A9634" i="146"/>
  <c r="D9633" i="146"/>
  <c r="A9633" i="146"/>
  <c r="D9632" i="146"/>
  <c r="A9632" i="146"/>
  <c r="D9631" i="146"/>
  <c r="A9631" i="146"/>
  <c r="D9630" i="146"/>
  <c r="A9630" i="146"/>
  <c r="D9629" i="146"/>
  <c r="A9629" i="146"/>
  <c r="D9628" i="146"/>
  <c r="A9628" i="146"/>
  <c r="D9627" i="146"/>
  <c r="A9627" i="146"/>
  <c r="D9626" i="146"/>
  <c r="A9626" i="146"/>
  <c r="D9625" i="146"/>
  <c r="A9625" i="146"/>
  <c r="D9624" i="146"/>
  <c r="A9624" i="146"/>
  <c r="D9623" i="146"/>
  <c r="A9623" i="146"/>
  <c r="D9622" i="146"/>
  <c r="A9622" i="146"/>
  <c r="D9621" i="146"/>
  <c r="A9621" i="146"/>
  <c r="D9620" i="146"/>
  <c r="A9620" i="146"/>
  <c r="D9619" i="146"/>
  <c r="A9619" i="146"/>
  <c r="D9618" i="146"/>
  <c r="A9618" i="146"/>
  <c r="D9617" i="146"/>
  <c r="A9617" i="146"/>
  <c r="D9616" i="146"/>
  <c r="A9616" i="146"/>
  <c r="D9615" i="146"/>
  <c r="A9615" i="146"/>
  <c r="D9614" i="146"/>
  <c r="A9614" i="146"/>
  <c r="D9613" i="146"/>
  <c r="A9613" i="146"/>
  <c r="D9612" i="146"/>
  <c r="A9612" i="146"/>
  <c r="D9611" i="146"/>
  <c r="A9611" i="146"/>
  <c r="D9610" i="146"/>
  <c r="A9610" i="146"/>
  <c r="D9609" i="146"/>
  <c r="A9609" i="146"/>
  <c r="D9608" i="146"/>
  <c r="A9608" i="146"/>
  <c r="D9607" i="146"/>
  <c r="A9607" i="146"/>
  <c r="D9606" i="146"/>
  <c r="A9606" i="146"/>
  <c r="D9605" i="146"/>
  <c r="A9605" i="146"/>
  <c r="D9604" i="146"/>
  <c r="A9604" i="146"/>
  <c r="D9603" i="146"/>
  <c r="A9603" i="146"/>
  <c r="D9602" i="146"/>
  <c r="A9602" i="146"/>
  <c r="D9601" i="146"/>
  <c r="A9601" i="146"/>
  <c r="D9600" i="146"/>
  <c r="A9600" i="146"/>
  <c r="D9599" i="146"/>
  <c r="A9599" i="146"/>
  <c r="D9598" i="146"/>
  <c r="A9598" i="146"/>
  <c r="D9597" i="146"/>
  <c r="A9597" i="146"/>
  <c r="D9596" i="146"/>
  <c r="A9596" i="146"/>
  <c r="D9595" i="146"/>
  <c r="A9595" i="146"/>
  <c r="D9594" i="146"/>
  <c r="A9594" i="146"/>
  <c r="D9593" i="146"/>
  <c r="A9593" i="146"/>
  <c r="D9592" i="146"/>
  <c r="A9592" i="146"/>
  <c r="D9591" i="146"/>
  <c r="A9591" i="146"/>
  <c r="D9590" i="146"/>
  <c r="A9590" i="146"/>
  <c r="D9589" i="146"/>
  <c r="A9589" i="146"/>
  <c r="D9588" i="146"/>
  <c r="A9588" i="146"/>
  <c r="D9587" i="146"/>
  <c r="A9587" i="146"/>
  <c r="D9586" i="146"/>
  <c r="A9586" i="146"/>
  <c r="D9585" i="146"/>
  <c r="A9585" i="146"/>
  <c r="D9584" i="146"/>
  <c r="A9584" i="146"/>
  <c r="D9583" i="146"/>
  <c r="A9583" i="146"/>
  <c r="D9582" i="146"/>
  <c r="A9582" i="146"/>
  <c r="D9581" i="146"/>
  <c r="A9581" i="146"/>
  <c r="D9580" i="146"/>
  <c r="A9580" i="146"/>
  <c r="D9579" i="146"/>
  <c r="A9579" i="146"/>
  <c r="D9578" i="146"/>
  <c r="A9578" i="146"/>
  <c r="D9577" i="146"/>
  <c r="A9577" i="146"/>
  <c r="D9576" i="146"/>
  <c r="A9576" i="146"/>
  <c r="D9575" i="146"/>
  <c r="A9575" i="146"/>
  <c r="D9574" i="146"/>
  <c r="A9574" i="146"/>
  <c r="D9573" i="146"/>
  <c r="A9573" i="146"/>
  <c r="D9572" i="146"/>
  <c r="A9572" i="146"/>
  <c r="D9571" i="146"/>
  <c r="A9571" i="146"/>
  <c r="D9570" i="146"/>
  <c r="A9570" i="146"/>
  <c r="D9569" i="146"/>
  <c r="A9569" i="146"/>
  <c r="D9568" i="146"/>
  <c r="A9568" i="146"/>
  <c r="D9567" i="146"/>
  <c r="A9567" i="146"/>
  <c r="D9566" i="146"/>
  <c r="A9566" i="146"/>
  <c r="D9565" i="146"/>
  <c r="A9565" i="146"/>
  <c r="D9564" i="146"/>
  <c r="A9564" i="146"/>
  <c r="D9563" i="146"/>
  <c r="A9563" i="146"/>
  <c r="D9562" i="146"/>
  <c r="A9562" i="146"/>
  <c r="D9561" i="146"/>
  <c r="A9561" i="146"/>
  <c r="D9560" i="146"/>
  <c r="A9560" i="146"/>
  <c r="D9559" i="146"/>
  <c r="A9559" i="146"/>
  <c r="D9558" i="146"/>
  <c r="A9558" i="146"/>
  <c r="D9557" i="146"/>
  <c r="A9557" i="146"/>
  <c r="D9556" i="146"/>
  <c r="A9556" i="146"/>
  <c r="D9555" i="146"/>
  <c r="A9555" i="146"/>
  <c r="D9554" i="146"/>
  <c r="A9554" i="146"/>
  <c r="D9553" i="146"/>
  <c r="A9553" i="146"/>
  <c r="D9552" i="146"/>
  <c r="A9552" i="146"/>
  <c r="D9551" i="146"/>
  <c r="A9551" i="146"/>
  <c r="D9550" i="146"/>
  <c r="A9550" i="146"/>
  <c r="D9549" i="146"/>
  <c r="A9549" i="146"/>
  <c r="D9548" i="146"/>
  <c r="A9548" i="146"/>
  <c r="D9547" i="146"/>
  <c r="A9547" i="146"/>
  <c r="D9546" i="146"/>
  <c r="A9546" i="146"/>
  <c r="D9545" i="146"/>
  <c r="A9545" i="146"/>
  <c r="D9544" i="146"/>
  <c r="A9544" i="146"/>
  <c r="D9543" i="146"/>
  <c r="A9543" i="146"/>
  <c r="D9542" i="146"/>
  <c r="A9542" i="146"/>
  <c r="D9541" i="146"/>
  <c r="A9541" i="146"/>
  <c r="D9540" i="146"/>
  <c r="A9540" i="146"/>
  <c r="D9539" i="146"/>
  <c r="A9539" i="146"/>
  <c r="D9538" i="146"/>
  <c r="A9538" i="146"/>
  <c r="D9537" i="146"/>
  <c r="A9537" i="146"/>
  <c r="D9536" i="146"/>
  <c r="A9536" i="146"/>
  <c r="D9535" i="146"/>
  <c r="A9535" i="146"/>
  <c r="D9534" i="146"/>
  <c r="A9534" i="146"/>
  <c r="D9533" i="146"/>
  <c r="A9533" i="146"/>
  <c r="D9532" i="146"/>
  <c r="A9532" i="146"/>
  <c r="D9531" i="146"/>
  <c r="A9531" i="146"/>
  <c r="D9530" i="146"/>
  <c r="A9530" i="146"/>
  <c r="D9529" i="146"/>
  <c r="A9529" i="146"/>
  <c r="D9528" i="146"/>
  <c r="A9528" i="146"/>
  <c r="D9527" i="146"/>
  <c r="A9527" i="146"/>
  <c r="D9526" i="146"/>
  <c r="A9526" i="146"/>
  <c r="D9525" i="146"/>
  <c r="A9525" i="146"/>
  <c r="D9524" i="146"/>
  <c r="A9524" i="146"/>
  <c r="D9523" i="146"/>
  <c r="A9523" i="146"/>
  <c r="D9522" i="146"/>
  <c r="A9522" i="146"/>
  <c r="D9521" i="146"/>
  <c r="A9521" i="146"/>
  <c r="D9520" i="146"/>
  <c r="A9520" i="146"/>
  <c r="D9519" i="146"/>
  <c r="A9519" i="146"/>
  <c r="D9518" i="146"/>
  <c r="A9518" i="146"/>
  <c r="D9517" i="146"/>
  <c r="A9517" i="146"/>
  <c r="D9516" i="146"/>
  <c r="A9516" i="146"/>
  <c r="D9515" i="146"/>
  <c r="A9515" i="146"/>
  <c r="D9514" i="146"/>
  <c r="A9514" i="146"/>
  <c r="D9513" i="146"/>
  <c r="A9513" i="146"/>
  <c r="D9512" i="146"/>
  <c r="A9512" i="146"/>
  <c r="D9511" i="146"/>
  <c r="A9511" i="146"/>
  <c r="D9510" i="146"/>
  <c r="A9510" i="146"/>
  <c r="D9509" i="146"/>
  <c r="A9509" i="146"/>
  <c r="D9508" i="146"/>
  <c r="A9508" i="146"/>
  <c r="D9507" i="146"/>
  <c r="A9507" i="146"/>
  <c r="D9506" i="146"/>
  <c r="A9506" i="146"/>
  <c r="D9505" i="146"/>
  <c r="A9505" i="146"/>
  <c r="D9504" i="146"/>
  <c r="A9504" i="146"/>
  <c r="D9503" i="146"/>
  <c r="A9503" i="146"/>
  <c r="D9502" i="146"/>
  <c r="A9502" i="146"/>
  <c r="D9501" i="146"/>
  <c r="A9501" i="146"/>
  <c r="D9500" i="146"/>
  <c r="A9500" i="146"/>
  <c r="D9499" i="146"/>
  <c r="A9499" i="146"/>
  <c r="D9498" i="146"/>
  <c r="A9498" i="146"/>
  <c r="D9497" i="146"/>
  <c r="A9497" i="146"/>
  <c r="D9496" i="146"/>
  <c r="A9496" i="146"/>
  <c r="D9495" i="146"/>
  <c r="A9495" i="146"/>
  <c r="D9494" i="146"/>
  <c r="A9494" i="146"/>
  <c r="D9493" i="146"/>
  <c r="A9493" i="146"/>
  <c r="D9492" i="146"/>
  <c r="A9492" i="146"/>
  <c r="D9491" i="146"/>
  <c r="A9491" i="146"/>
  <c r="D9490" i="146"/>
  <c r="A9490" i="146"/>
  <c r="D9489" i="146"/>
  <c r="A9489" i="146"/>
  <c r="D9488" i="146"/>
  <c r="A9488" i="146"/>
  <c r="D9487" i="146"/>
  <c r="A9487" i="146"/>
  <c r="D9486" i="146"/>
  <c r="A9486" i="146"/>
  <c r="D9485" i="146"/>
  <c r="A9485" i="146"/>
  <c r="D9484" i="146"/>
  <c r="A9484" i="146"/>
  <c r="D9483" i="146"/>
  <c r="A9483" i="146"/>
  <c r="D9482" i="146"/>
  <c r="A9482" i="146"/>
  <c r="D9481" i="146"/>
  <c r="A9481" i="146"/>
  <c r="D9480" i="146"/>
  <c r="A9480" i="146"/>
  <c r="D9479" i="146"/>
  <c r="A9479" i="146"/>
  <c r="D9478" i="146"/>
  <c r="A9478" i="146"/>
  <c r="D9477" i="146"/>
  <c r="A9477" i="146"/>
  <c r="D9476" i="146"/>
  <c r="A9476" i="146"/>
  <c r="D9475" i="146"/>
  <c r="A9475" i="146"/>
  <c r="D9474" i="146"/>
  <c r="A9474" i="146"/>
  <c r="D9473" i="146"/>
  <c r="A9473" i="146"/>
  <c r="D9472" i="146"/>
  <c r="A9472" i="146"/>
  <c r="D9471" i="146"/>
  <c r="A9471" i="146"/>
  <c r="D9470" i="146"/>
  <c r="A9470" i="146"/>
  <c r="D9469" i="146"/>
  <c r="A9469" i="146"/>
  <c r="D9468" i="146"/>
  <c r="A9468" i="146"/>
  <c r="D9467" i="146"/>
  <c r="A9467" i="146"/>
  <c r="D9466" i="146"/>
  <c r="A9466" i="146"/>
  <c r="D9465" i="146"/>
  <c r="A9465" i="146"/>
  <c r="D9464" i="146"/>
  <c r="A9464" i="146"/>
  <c r="D9463" i="146"/>
  <c r="A9463" i="146"/>
  <c r="D9462" i="146"/>
  <c r="A9462" i="146"/>
  <c r="D9461" i="146"/>
  <c r="A9461" i="146"/>
  <c r="D9460" i="146"/>
  <c r="A9460" i="146"/>
  <c r="D9459" i="146"/>
  <c r="A9459" i="146"/>
  <c r="D9458" i="146"/>
  <c r="A9458" i="146"/>
  <c r="D9457" i="146"/>
  <c r="A9457" i="146"/>
  <c r="D9456" i="146"/>
  <c r="A9456" i="146"/>
  <c r="D9455" i="146"/>
  <c r="A9455" i="146"/>
  <c r="D9454" i="146"/>
  <c r="A9454" i="146"/>
  <c r="D9453" i="146"/>
  <c r="A9453" i="146"/>
  <c r="D9452" i="146"/>
  <c r="A9452" i="146"/>
  <c r="D9451" i="146"/>
  <c r="A9451" i="146"/>
  <c r="D9450" i="146"/>
  <c r="A9450" i="146"/>
  <c r="D9449" i="146"/>
  <c r="A9449" i="146"/>
  <c r="D9448" i="146"/>
  <c r="A9448" i="146"/>
  <c r="D9447" i="146"/>
  <c r="A9447" i="146"/>
  <c r="D9446" i="146"/>
  <c r="A9446" i="146"/>
  <c r="D9445" i="146"/>
  <c r="A9445" i="146"/>
  <c r="D9444" i="146"/>
  <c r="A9444" i="146"/>
  <c r="D9443" i="146"/>
  <c r="A9443" i="146"/>
  <c r="D9442" i="146"/>
  <c r="A9442" i="146"/>
  <c r="D9441" i="146"/>
  <c r="A9441" i="146"/>
  <c r="D9440" i="146"/>
  <c r="A9440" i="146"/>
  <c r="D9439" i="146"/>
  <c r="A9439" i="146"/>
  <c r="D9438" i="146"/>
  <c r="A9438" i="146"/>
  <c r="D9437" i="146"/>
  <c r="A9437" i="146"/>
  <c r="D9436" i="146"/>
  <c r="A9436" i="146"/>
  <c r="D9435" i="146"/>
  <c r="A9435" i="146"/>
  <c r="D9434" i="146"/>
  <c r="A9434" i="146"/>
  <c r="D9433" i="146"/>
  <c r="A9433" i="146"/>
  <c r="D9432" i="146"/>
  <c r="A9432" i="146"/>
  <c r="D9431" i="146"/>
  <c r="A9431" i="146"/>
  <c r="D9430" i="146"/>
  <c r="A9430" i="146"/>
  <c r="D9429" i="146"/>
  <c r="A9429" i="146"/>
  <c r="D9428" i="146"/>
  <c r="A9428" i="146"/>
  <c r="D9427" i="146"/>
  <c r="A9427" i="146"/>
  <c r="D9426" i="146"/>
  <c r="A9426" i="146"/>
  <c r="D9425" i="146"/>
  <c r="A9425" i="146"/>
  <c r="D9424" i="146"/>
  <c r="A9424" i="146"/>
  <c r="D9423" i="146"/>
  <c r="A9423" i="146"/>
  <c r="D9422" i="146"/>
  <c r="A9422" i="146"/>
  <c r="D9421" i="146"/>
  <c r="A9421" i="146"/>
  <c r="D9420" i="146"/>
  <c r="A9420" i="146"/>
  <c r="D9419" i="146"/>
  <c r="A9419" i="146"/>
  <c r="D9418" i="146"/>
  <c r="A9418" i="146"/>
  <c r="D9417" i="146"/>
  <c r="A9417" i="146"/>
  <c r="D9416" i="146"/>
  <c r="A9416" i="146"/>
  <c r="D9415" i="146"/>
  <c r="A9415" i="146"/>
  <c r="D9414" i="146"/>
  <c r="A9414" i="146"/>
  <c r="D9413" i="146"/>
  <c r="A9413" i="146"/>
  <c r="D9412" i="146"/>
  <c r="A9412" i="146"/>
  <c r="D9411" i="146"/>
  <c r="A9411" i="146"/>
  <c r="D9410" i="146"/>
  <c r="A9410" i="146"/>
  <c r="D9409" i="146"/>
  <c r="A9409" i="146"/>
  <c r="D9408" i="146"/>
  <c r="A9408" i="146"/>
  <c r="D9407" i="146"/>
  <c r="A9407" i="146"/>
  <c r="D9406" i="146"/>
  <c r="A9406" i="146"/>
  <c r="D9405" i="146"/>
  <c r="A9405" i="146"/>
  <c r="D9404" i="146"/>
  <c r="A9404" i="146"/>
  <c r="D9403" i="146"/>
  <c r="A9403" i="146"/>
  <c r="D9402" i="146"/>
  <c r="A9402" i="146"/>
  <c r="D9401" i="146"/>
  <c r="A9401" i="146"/>
  <c r="D9400" i="146"/>
  <c r="A9400" i="146"/>
  <c r="D9399" i="146"/>
  <c r="A9399" i="146"/>
  <c r="D9398" i="146"/>
  <c r="A9398" i="146"/>
  <c r="D9397" i="146"/>
  <c r="A9397" i="146"/>
  <c r="D9396" i="146"/>
  <c r="A9396" i="146"/>
  <c r="D9395" i="146"/>
  <c r="A9395" i="146"/>
  <c r="D9394" i="146"/>
  <c r="A9394" i="146"/>
  <c r="D9393" i="146"/>
  <c r="A9393" i="146"/>
  <c r="D9392" i="146"/>
  <c r="A9392" i="146"/>
  <c r="D9391" i="146"/>
  <c r="A9391" i="146"/>
  <c r="D9390" i="146"/>
  <c r="A9390" i="146"/>
  <c r="D9389" i="146"/>
  <c r="A9389" i="146"/>
  <c r="D9388" i="146"/>
  <c r="A9388" i="146"/>
  <c r="D9387" i="146"/>
  <c r="A9387" i="146"/>
  <c r="D9386" i="146"/>
  <c r="A9386" i="146"/>
  <c r="D9385" i="146"/>
  <c r="A9385" i="146"/>
  <c r="D9384" i="146"/>
  <c r="A9384" i="146"/>
  <c r="D9383" i="146"/>
  <c r="A9383" i="146"/>
  <c r="D9382" i="146"/>
  <c r="A9382" i="146"/>
  <c r="D9381" i="146"/>
  <c r="A9381" i="146"/>
  <c r="D9380" i="146"/>
  <c r="A9380" i="146"/>
  <c r="D9379" i="146"/>
  <c r="A9379" i="146"/>
  <c r="D9378" i="146"/>
  <c r="A9378" i="146"/>
  <c r="D9377" i="146"/>
  <c r="A9377" i="146"/>
  <c r="D9376" i="146"/>
  <c r="A9376" i="146"/>
  <c r="D9375" i="146"/>
  <c r="A9375" i="146"/>
  <c r="D9374" i="146"/>
  <c r="A9374" i="146"/>
  <c r="D9373" i="146"/>
  <c r="A9373" i="146"/>
  <c r="D9372" i="146"/>
  <c r="A9372" i="146"/>
  <c r="D9371" i="146"/>
  <c r="A9371" i="146"/>
  <c r="D9370" i="146"/>
  <c r="A9370" i="146"/>
  <c r="D9369" i="146"/>
  <c r="A9369" i="146"/>
  <c r="D9368" i="146"/>
  <c r="A9368" i="146"/>
  <c r="D9367" i="146"/>
  <c r="A9367" i="146"/>
  <c r="D9366" i="146"/>
  <c r="A9366" i="146"/>
  <c r="D9365" i="146"/>
  <c r="A9365" i="146"/>
  <c r="D9364" i="146"/>
  <c r="A9364" i="146"/>
  <c r="D9363" i="146"/>
  <c r="A9363" i="146"/>
  <c r="D9362" i="146"/>
  <c r="A9362" i="146"/>
  <c r="D9361" i="146"/>
  <c r="A9361" i="146"/>
  <c r="D9360" i="146"/>
  <c r="A9360" i="146"/>
  <c r="D9359" i="146"/>
  <c r="A9359" i="146"/>
  <c r="D9358" i="146"/>
  <c r="A9358" i="146"/>
  <c r="D9357" i="146"/>
  <c r="A9357" i="146"/>
  <c r="D9356" i="146"/>
  <c r="A9356" i="146"/>
  <c r="D9355" i="146"/>
  <c r="A9355" i="146"/>
  <c r="D9354" i="146"/>
  <c r="A9354" i="146"/>
  <c r="D9353" i="146"/>
  <c r="A9353" i="146"/>
  <c r="D9352" i="146"/>
  <c r="A9352" i="146"/>
  <c r="D9351" i="146"/>
  <c r="A9351" i="146"/>
  <c r="D9350" i="146"/>
  <c r="A9350" i="146"/>
  <c r="D9349" i="146"/>
  <c r="A9349" i="146"/>
  <c r="D9348" i="146"/>
  <c r="A9348" i="146"/>
  <c r="D9347" i="146"/>
  <c r="A9347" i="146"/>
  <c r="D9346" i="146"/>
  <c r="A9346" i="146"/>
  <c r="D9345" i="146"/>
  <c r="A9345" i="146"/>
  <c r="D9344" i="146"/>
  <c r="A9344" i="146"/>
  <c r="D9343" i="146"/>
  <c r="A9343" i="146"/>
  <c r="D9342" i="146"/>
  <c r="A9342" i="146"/>
  <c r="D9341" i="146"/>
  <c r="A9341" i="146"/>
  <c r="D9340" i="146"/>
  <c r="A9340" i="146"/>
  <c r="D9339" i="146"/>
  <c r="A9339" i="146"/>
  <c r="D9338" i="146"/>
  <c r="A9338" i="146"/>
  <c r="D9337" i="146"/>
  <c r="A9337" i="146"/>
  <c r="D9336" i="146"/>
  <c r="A9336" i="146"/>
  <c r="D9335" i="146"/>
  <c r="A9335" i="146"/>
  <c r="D9334" i="146"/>
  <c r="A9334" i="146"/>
  <c r="D9333" i="146"/>
  <c r="A9333" i="146"/>
  <c r="D9332" i="146"/>
  <c r="A9332" i="146"/>
  <c r="D9331" i="146"/>
  <c r="A9331" i="146"/>
  <c r="D9330" i="146"/>
  <c r="A9330" i="146"/>
  <c r="D9329" i="146"/>
  <c r="A9329" i="146"/>
  <c r="D9328" i="146"/>
  <c r="A9328" i="146"/>
  <c r="D9327" i="146"/>
  <c r="A9327" i="146"/>
  <c r="D9326" i="146"/>
  <c r="A9326" i="146"/>
  <c r="D9325" i="146"/>
  <c r="A9325" i="146"/>
  <c r="D9324" i="146"/>
  <c r="A9324" i="146"/>
  <c r="D9323" i="146"/>
  <c r="A9323" i="146"/>
  <c r="D9322" i="146"/>
  <c r="A9322" i="146"/>
  <c r="D9321" i="146"/>
  <c r="A9321" i="146"/>
  <c r="D9320" i="146"/>
  <c r="A9320" i="146"/>
  <c r="D9319" i="146"/>
  <c r="A9319" i="146"/>
  <c r="D9318" i="146"/>
  <c r="A9318" i="146"/>
  <c r="D9317" i="146"/>
  <c r="A9317" i="146"/>
  <c r="D9316" i="146"/>
  <c r="A9316" i="146"/>
  <c r="D9315" i="146"/>
  <c r="A9315" i="146"/>
  <c r="D9314" i="146"/>
  <c r="A9314" i="146"/>
  <c r="D9313" i="146"/>
  <c r="A9313" i="146"/>
  <c r="D9312" i="146"/>
  <c r="A9312" i="146"/>
  <c r="D9311" i="146"/>
  <c r="A9311" i="146"/>
  <c r="D9310" i="146"/>
  <c r="A9310" i="146"/>
  <c r="D9309" i="146"/>
  <c r="A9309" i="146"/>
  <c r="D9308" i="146"/>
  <c r="A9308" i="146"/>
  <c r="D9307" i="146"/>
  <c r="A9307" i="146"/>
  <c r="D9306" i="146"/>
  <c r="A9306" i="146"/>
  <c r="D9305" i="146"/>
  <c r="A9305" i="146"/>
  <c r="D9304" i="146"/>
  <c r="A9304" i="146"/>
  <c r="D9303" i="146"/>
  <c r="A9303" i="146"/>
  <c r="D9302" i="146"/>
  <c r="A9302" i="146"/>
  <c r="D9301" i="146"/>
  <c r="A9301" i="146"/>
  <c r="D9300" i="146"/>
  <c r="A9300" i="146"/>
  <c r="D9299" i="146"/>
  <c r="A9299" i="146"/>
  <c r="D9298" i="146"/>
  <c r="A9298" i="146"/>
  <c r="D9297" i="146"/>
  <c r="A9297" i="146"/>
  <c r="D9296" i="146"/>
  <c r="A9296" i="146"/>
  <c r="D9295" i="146"/>
  <c r="A9295" i="146"/>
  <c r="D9294" i="146"/>
  <c r="A9294" i="146"/>
  <c r="D9293" i="146"/>
  <c r="A9293" i="146"/>
  <c r="D9292" i="146"/>
  <c r="A9292" i="146"/>
  <c r="D9291" i="146"/>
  <c r="A9291" i="146"/>
  <c r="D9290" i="146"/>
  <c r="A9290" i="146"/>
  <c r="D9289" i="146"/>
  <c r="A9289" i="146"/>
  <c r="D9288" i="146"/>
  <c r="A9288" i="146"/>
  <c r="D9287" i="146"/>
  <c r="A9287" i="146"/>
  <c r="D9286" i="146"/>
  <c r="A9286" i="146"/>
  <c r="D9285" i="146"/>
  <c r="A9285" i="146"/>
  <c r="D9284" i="146"/>
  <c r="A9284" i="146"/>
  <c r="D9283" i="146"/>
  <c r="A9283" i="146"/>
  <c r="D9282" i="146"/>
  <c r="A9282" i="146"/>
  <c r="D9281" i="146"/>
  <c r="A9281" i="146"/>
  <c r="D9280" i="146"/>
  <c r="A9280" i="146"/>
  <c r="D9279" i="146"/>
  <c r="A9279" i="146"/>
  <c r="D9278" i="146"/>
  <c r="A9278" i="146"/>
  <c r="D9277" i="146"/>
  <c r="A9277" i="146"/>
  <c r="D9276" i="146"/>
  <c r="A9276" i="146"/>
  <c r="D9275" i="146"/>
  <c r="A9275" i="146"/>
  <c r="D9274" i="146"/>
  <c r="A9274" i="146"/>
  <c r="D9273" i="146"/>
  <c r="A9273" i="146"/>
  <c r="D9272" i="146"/>
  <c r="A9272" i="146"/>
  <c r="D9271" i="146"/>
  <c r="A9271" i="146"/>
  <c r="D9270" i="146"/>
  <c r="A9270" i="146"/>
  <c r="D9269" i="146"/>
  <c r="A9269" i="146"/>
  <c r="D9268" i="146"/>
  <c r="A9268" i="146"/>
  <c r="D9267" i="146"/>
  <c r="A9267" i="146"/>
  <c r="D9266" i="146"/>
  <c r="A9266" i="146"/>
  <c r="D9265" i="146"/>
  <c r="A9265" i="146"/>
  <c r="D9264" i="146"/>
  <c r="A9264" i="146"/>
  <c r="D9263" i="146"/>
  <c r="A9263" i="146"/>
  <c r="D9262" i="146"/>
  <c r="A9262" i="146"/>
  <c r="D9261" i="146"/>
  <c r="A9261" i="146"/>
  <c r="D9260" i="146"/>
  <c r="A9260" i="146"/>
  <c r="D9259" i="146"/>
  <c r="A9259" i="146"/>
  <c r="D9258" i="146"/>
  <c r="A9258" i="146"/>
  <c r="D9257" i="146"/>
  <c r="A9257" i="146"/>
  <c r="D9256" i="146"/>
  <c r="A9256" i="146"/>
  <c r="D9255" i="146"/>
  <c r="A9255" i="146"/>
  <c r="D9254" i="146"/>
  <c r="A9254" i="146"/>
  <c r="D9253" i="146"/>
  <c r="A9253" i="146"/>
  <c r="D9252" i="146"/>
  <c r="A9252" i="146"/>
  <c r="D9251" i="146"/>
  <c r="A9251" i="146"/>
  <c r="D9250" i="146"/>
  <c r="A9250" i="146"/>
  <c r="D9249" i="146"/>
  <c r="A9249" i="146"/>
  <c r="D9248" i="146"/>
  <c r="A9248" i="146"/>
  <c r="D9247" i="146"/>
  <c r="A9247" i="146"/>
  <c r="D9246" i="146"/>
  <c r="A9246" i="146"/>
  <c r="D9245" i="146"/>
  <c r="A9245" i="146"/>
  <c r="D9244" i="146"/>
  <c r="A9244" i="146"/>
  <c r="D9243" i="146"/>
  <c r="A9243" i="146"/>
  <c r="D9242" i="146"/>
  <c r="A9242" i="146"/>
  <c r="D9241" i="146"/>
  <c r="A9241" i="146"/>
  <c r="D9240" i="146"/>
  <c r="A9240" i="146"/>
  <c r="D9239" i="146"/>
  <c r="A9239" i="146"/>
  <c r="D9238" i="146"/>
  <c r="A9238" i="146"/>
  <c r="D9237" i="146"/>
  <c r="A9237" i="146"/>
  <c r="D9236" i="146"/>
  <c r="A9236" i="146"/>
  <c r="D9235" i="146"/>
  <c r="A9235" i="146"/>
  <c r="D9234" i="146"/>
  <c r="A9234" i="146"/>
  <c r="D9233" i="146"/>
  <c r="A9233" i="146"/>
  <c r="D9232" i="146"/>
  <c r="A9232" i="146"/>
  <c r="D9231" i="146"/>
  <c r="A9231" i="146"/>
  <c r="D9230" i="146"/>
  <c r="A9230" i="146"/>
  <c r="D9229" i="146"/>
  <c r="A9229" i="146"/>
  <c r="D9228" i="146"/>
  <c r="A9228" i="146"/>
  <c r="D9227" i="146"/>
  <c r="A9227" i="146"/>
  <c r="D9226" i="146"/>
  <c r="A9226" i="146"/>
  <c r="D9225" i="146"/>
  <c r="A9225" i="146"/>
  <c r="D9224" i="146"/>
  <c r="A9224" i="146"/>
  <c r="D9223" i="146"/>
  <c r="A9223" i="146"/>
  <c r="D9222" i="146"/>
  <c r="A9222" i="146"/>
  <c r="D9221" i="146"/>
  <c r="A9221" i="146"/>
  <c r="D9220" i="146"/>
  <c r="A9220" i="146"/>
  <c r="D9219" i="146"/>
  <c r="A9219" i="146"/>
  <c r="D9218" i="146"/>
  <c r="A9218" i="146"/>
  <c r="D9217" i="146"/>
  <c r="A9217" i="146"/>
  <c r="D9216" i="146"/>
  <c r="A9216" i="146"/>
  <c r="D9215" i="146"/>
  <c r="A9215" i="146"/>
  <c r="D9214" i="146"/>
  <c r="A9214" i="146"/>
  <c r="D9213" i="146"/>
  <c r="A9213" i="146"/>
  <c r="D9212" i="146"/>
  <c r="A9212" i="146"/>
  <c r="D9211" i="146"/>
  <c r="A9211" i="146"/>
  <c r="D9210" i="146"/>
  <c r="A9210" i="146"/>
  <c r="D9209" i="146"/>
  <c r="A9209" i="146"/>
  <c r="D9208" i="146"/>
  <c r="A9208" i="146"/>
  <c r="D9207" i="146"/>
  <c r="A9207" i="146"/>
  <c r="D9206" i="146"/>
  <c r="A9206" i="146"/>
  <c r="D9205" i="146"/>
  <c r="A9205" i="146"/>
  <c r="D9204" i="146"/>
  <c r="A9204" i="146"/>
  <c r="D9203" i="146"/>
  <c r="A9203" i="146"/>
  <c r="D9202" i="146"/>
  <c r="A9202" i="146"/>
  <c r="D9201" i="146"/>
  <c r="A9201" i="146"/>
  <c r="D9200" i="146"/>
  <c r="A9200" i="146"/>
  <c r="D9199" i="146"/>
  <c r="A9199" i="146"/>
  <c r="D9198" i="146"/>
  <c r="A9198" i="146"/>
  <c r="D9197" i="146"/>
  <c r="A9197" i="146"/>
  <c r="D9196" i="146"/>
  <c r="A9196" i="146"/>
  <c r="D9195" i="146"/>
  <c r="A9195" i="146"/>
  <c r="D9194" i="146"/>
  <c r="A9194" i="146"/>
  <c r="D9193" i="146"/>
  <c r="A9193" i="146"/>
  <c r="D9192" i="146"/>
  <c r="A9192" i="146"/>
  <c r="D9191" i="146"/>
  <c r="A9191" i="146"/>
  <c r="D9190" i="146"/>
  <c r="A9190" i="146"/>
  <c r="D9189" i="146"/>
  <c r="A9189" i="146"/>
  <c r="D9188" i="146"/>
  <c r="A9188" i="146"/>
  <c r="D9187" i="146"/>
  <c r="A9187" i="146"/>
  <c r="D9186" i="146"/>
  <c r="A9186" i="146"/>
  <c r="D9185" i="146"/>
  <c r="A9185" i="146"/>
  <c r="D9184" i="146"/>
  <c r="A9184" i="146"/>
  <c r="D9183" i="146"/>
  <c r="A9183" i="146"/>
  <c r="D9182" i="146"/>
  <c r="A9182" i="146"/>
  <c r="D9181" i="146"/>
  <c r="A9181" i="146"/>
  <c r="D9180" i="146"/>
  <c r="A9180" i="146"/>
  <c r="D9179" i="146"/>
  <c r="A9179" i="146"/>
  <c r="D9178" i="146"/>
  <c r="A9178" i="146"/>
  <c r="D9177" i="146"/>
  <c r="A9177" i="146"/>
  <c r="D9176" i="146"/>
  <c r="A9176" i="146"/>
  <c r="D9175" i="146"/>
  <c r="A9175" i="146"/>
  <c r="D9174" i="146"/>
  <c r="A9174" i="146"/>
  <c r="D9173" i="146"/>
  <c r="A9173" i="146"/>
  <c r="D9172" i="146"/>
  <c r="A9172" i="146"/>
  <c r="D9171" i="146"/>
  <c r="A9171" i="146"/>
  <c r="D9170" i="146"/>
  <c r="A9170" i="146"/>
  <c r="D9169" i="146"/>
  <c r="A9169" i="146"/>
  <c r="D9168" i="146"/>
  <c r="A9168" i="146"/>
  <c r="D9167" i="146"/>
  <c r="A9167" i="146"/>
  <c r="D9166" i="146"/>
  <c r="A9166" i="146"/>
  <c r="D9165" i="146"/>
  <c r="A9165" i="146"/>
  <c r="D9164" i="146"/>
  <c r="A9164" i="146"/>
  <c r="D9163" i="146"/>
  <c r="A9163" i="146"/>
  <c r="D9162" i="146"/>
  <c r="A9162" i="146"/>
  <c r="D9161" i="146"/>
  <c r="A9161" i="146"/>
  <c r="D9160" i="146"/>
  <c r="A9160" i="146"/>
  <c r="D9159" i="146"/>
  <c r="A9159" i="146"/>
  <c r="D9158" i="146"/>
  <c r="A9158" i="146"/>
  <c r="D9157" i="146"/>
  <c r="A9157" i="146"/>
  <c r="D9156" i="146"/>
  <c r="A9156" i="146"/>
  <c r="D9155" i="146"/>
  <c r="A9155" i="146"/>
  <c r="D9154" i="146"/>
  <c r="A9154" i="146"/>
  <c r="D9153" i="146"/>
  <c r="A9153" i="146"/>
  <c r="D9152" i="146"/>
  <c r="A9152" i="146"/>
  <c r="D9151" i="146"/>
  <c r="A9151" i="146"/>
  <c r="D9150" i="146"/>
  <c r="A9150" i="146"/>
  <c r="D9149" i="146"/>
  <c r="A9149" i="146"/>
  <c r="D9148" i="146"/>
  <c r="A9148" i="146"/>
  <c r="D9147" i="146"/>
  <c r="A9147" i="146"/>
  <c r="D9146" i="146"/>
  <c r="A9146" i="146"/>
  <c r="D9145" i="146"/>
  <c r="A9145" i="146"/>
  <c r="D9144" i="146"/>
  <c r="A9144" i="146"/>
  <c r="D9143" i="146"/>
  <c r="A9143" i="146"/>
  <c r="D9142" i="146"/>
  <c r="A9142" i="146"/>
  <c r="D9141" i="146"/>
  <c r="A9141" i="146"/>
  <c r="D9140" i="146"/>
  <c r="A9140" i="146"/>
  <c r="D9139" i="146"/>
  <c r="A9139" i="146"/>
  <c r="D9138" i="146"/>
  <c r="A9138" i="146"/>
  <c r="D9137" i="146"/>
  <c r="A9137" i="146"/>
  <c r="D9136" i="146"/>
  <c r="A9136" i="146"/>
  <c r="D9135" i="146"/>
  <c r="A9135" i="146"/>
  <c r="D9134" i="146"/>
  <c r="A9134" i="146"/>
  <c r="D9133" i="146"/>
  <c r="A9133" i="146"/>
  <c r="D9132" i="146"/>
  <c r="A9132" i="146"/>
  <c r="D9131" i="146"/>
  <c r="A9131" i="146"/>
  <c r="D9130" i="146"/>
  <c r="A9130" i="146"/>
  <c r="D9129" i="146"/>
  <c r="A9129" i="146"/>
  <c r="D9128" i="146"/>
  <c r="A9128" i="146"/>
  <c r="D9127" i="146"/>
  <c r="A9127" i="146"/>
  <c r="D9126" i="146"/>
  <c r="A9126" i="146"/>
  <c r="D9125" i="146"/>
  <c r="A9125" i="146"/>
  <c r="D9124" i="146"/>
  <c r="A9124" i="146"/>
  <c r="D9123" i="146"/>
  <c r="A9123" i="146"/>
  <c r="D9122" i="146"/>
  <c r="A9122" i="146"/>
  <c r="D9121" i="146"/>
  <c r="A9121" i="146"/>
  <c r="D9120" i="146"/>
  <c r="A9120" i="146"/>
  <c r="D9119" i="146"/>
  <c r="A9119" i="146"/>
  <c r="D9118" i="146"/>
  <c r="A9118" i="146"/>
  <c r="D9117" i="146"/>
  <c r="A9117" i="146"/>
  <c r="D9116" i="146"/>
  <c r="A9116" i="146"/>
  <c r="D9115" i="146"/>
  <c r="A9115" i="146"/>
  <c r="D9114" i="146"/>
  <c r="A9114" i="146"/>
  <c r="D9113" i="146"/>
  <c r="A9113" i="146"/>
  <c r="D9112" i="146"/>
  <c r="A9112" i="146"/>
  <c r="D9111" i="146"/>
  <c r="A9111" i="146"/>
  <c r="D9110" i="146"/>
  <c r="A9110" i="146"/>
  <c r="D9109" i="146"/>
  <c r="A9109" i="146"/>
  <c r="D9108" i="146"/>
  <c r="A9108" i="146"/>
  <c r="D9107" i="146"/>
  <c r="A9107" i="146"/>
  <c r="D9106" i="146"/>
  <c r="A9106" i="146"/>
  <c r="D9105" i="146"/>
  <c r="A9105" i="146"/>
  <c r="D9104" i="146"/>
  <c r="A9104" i="146"/>
  <c r="D9103" i="146"/>
  <c r="A9103" i="146"/>
  <c r="D9102" i="146"/>
  <c r="A9102" i="146"/>
  <c r="D9101" i="146"/>
  <c r="A9101" i="146"/>
  <c r="D9100" i="146"/>
  <c r="A9100" i="146"/>
  <c r="D9099" i="146"/>
  <c r="A9099" i="146"/>
  <c r="D9098" i="146"/>
  <c r="A9098" i="146"/>
  <c r="D9097" i="146"/>
  <c r="A9097" i="146"/>
  <c r="D9096" i="146"/>
  <c r="A9096" i="146"/>
  <c r="D9095" i="146"/>
  <c r="A9095" i="146"/>
  <c r="D9094" i="146"/>
  <c r="A9094" i="146"/>
  <c r="D9093" i="146"/>
  <c r="A9093" i="146"/>
  <c r="D9092" i="146"/>
  <c r="A9092" i="146"/>
  <c r="D9091" i="146"/>
  <c r="A9091" i="146"/>
  <c r="D9090" i="146"/>
  <c r="A9090" i="146"/>
  <c r="D9089" i="146"/>
  <c r="A9089" i="146"/>
  <c r="D9088" i="146"/>
  <c r="A9088" i="146"/>
  <c r="D9087" i="146"/>
  <c r="A9087" i="146"/>
  <c r="D9086" i="146"/>
  <c r="A9086" i="146"/>
  <c r="D9085" i="146"/>
  <c r="A9085" i="146"/>
  <c r="D9084" i="146"/>
  <c r="A9084" i="146"/>
  <c r="D9083" i="146"/>
  <c r="A9083" i="146"/>
  <c r="D9082" i="146"/>
  <c r="A9082" i="146"/>
  <c r="D9081" i="146"/>
  <c r="A9081" i="146"/>
  <c r="D9080" i="146"/>
  <c r="A9080" i="146"/>
  <c r="D9079" i="146"/>
  <c r="A9079" i="146"/>
  <c r="D9078" i="146"/>
  <c r="A9078" i="146"/>
  <c r="D9077" i="146"/>
  <c r="A9077" i="146"/>
  <c r="D9076" i="146"/>
  <c r="A9076" i="146"/>
  <c r="D9075" i="146"/>
  <c r="A9075" i="146"/>
  <c r="D9074" i="146"/>
  <c r="A9074" i="146"/>
  <c r="D9073" i="146"/>
  <c r="A9073" i="146"/>
  <c r="D9072" i="146"/>
  <c r="A9072" i="146"/>
  <c r="D9071" i="146"/>
  <c r="A9071" i="146"/>
  <c r="D9070" i="146"/>
  <c r="A9070" i="146"/>
  <c r="D9069" i="146"/>
  <c r="A9069" i="146"/>
  <c r="D9068" i="146"/>
  <c r="A9068" i="146"/>
  <c r="D9067" i="146"/>
  <c r="A9067" i="146"/>
  <c r="D9066" i="146"/>
  <c r="A9066" i="146"/>
  <c r="D9065" i="146"/>
  <c r="A9065" i="146"/>
  <c r="D9064" i="146"/>
  <c r="A9064" i="146"/>
  <c r="D9063" i="146"/>
  <c r="A9063" i="146"/>
  <c r="D9062" i="146"/>
  <c r="A9062" i="146"/>
  <c r="D9061" i="146"/>
  <c r="A9061" i="146"/>
  <c r="D9060" i="146"/>
  <c r="A9060" i="146"/>
  <c r="D9059" i="146"/>
  <c r="A9059" i="146"/>
  <c r="D9058" i="146"/>
  <c r="A9058" i="146"/>
  <c r="D9057" i="146"/>
  <c r="A9057" i="146"/>
  <c r="D9056" i="146"/>
  <c r="A9056" i="146"/>
  <c r="D9055" i="146"/>
  <c r="A9055" i="146"/>
  <c r="D9054" i="146"/>
  <c r="A9054" i="146"/>
  <c r="D9053" i="146"/>
  <c r="A9053" i="146"/>
  <c r="D9052" i="146"/>
  <c r="A9052" i="146"/>
  <c r="D9051" i="146"/>
  <c r="A9051" i="146"/>
  <c r="D9050" i="146"/>
  <c r="A9050" i="146"/>
  <c r="D9049" i="146"/>
  <c r="A9049" i="146"/>
  <c r="D9048" i="146"/>
  <c r="A9048" i="146"/>
  <c r="D9047" i="146"/>
  <c r="A9047" i="146"/>
  <c r="D9046" i="146"/>
  <c r="A9046" i="146"/>
  <c r="D9045" i="146"/>
  <c r="A9045" i="146"/>
  <c r="D9044" i="146"/>
  <c r="A9044" i="146"/>
  <c r="D9043" i="146"/>
  <c r="A9043" i="146"/>
  <c r="D9042" i="146"/>
  <c r="A9042" i="146"/>
  <c r="D9041" i="146"/>
  <c r="A9041" i="146"/>
  <c r="D9040" i="146"/>
  <c r="A9040" i="146"/>
  <c r="D9039" i="146"/>
  <c r="A9039" i="146"/>
  <c r="D9038" i="146"/>
  <c r="A9038" i="146"/>
  <c r="D9037" i="146"/>
  <c r="A9037" i="146"/>
  <c r="D9036" i="146"/>
  <c r="A9036" i="146"/>
  <c r="D9035" i="146"/>
  <c r="A9035" i="146"/>
  <c r="D9034" i="146"/>
  <c r="A9034" i="146"/>
  <c r="D9033" i="146"/>
  <c r="A9033" i="146"/>
  <c r="D9032" i="146"/>
  <c r="A9032" i="146"/>
  <c r="D9031" i="146"/>
  <c r="A9031" i="146"/>
  <c r="D9030" i="146"/>
  <c r="A9030" i="146"/>
  <c r="D9029" i="146"/>
  <c r="A9029" i="146"/>
  <c r="D9028" i="146"/>
  <c r="A9028" i="146"/>
  <c r="D9027" i="146"/>
  <c r="A9027" i="146"/>
  <c r="D9026" i="146"/>
  <c r="A9026" i="146"/>
  <c r="D9025" i="146"/>
  <c r="A9025" i="146"/>
  <c r="D9024" i="146"/>
  <c r="A9024" i="146"/>
  <c r="D9023" i="146"/>
  <c r="A9023" i="146"/>
  <c r="D9022" i="146"/>
  <c r="A9022" i="146"/>
  <c r="D9021" i="146"/>
  <c r="A9021" i="146"/>
  <c r="D9020" i="146"/>
  <c r="A9020" i="146"/>
  <c r="D9019" i="146"/>
  <c r="A9019" i="146"/>
  <c r="D9018" i="146"/>
  <c r="A9018" i="146"/>
  <c r="D9017" i="146"/>
  <c r="A9017" i="146"/>
  <c r="D9016" i="146"/>
  <c r="A9016" i="146"/>
  <c r="D9015" i="146"/>
  <c r="A9015" i="146"/>
  <c r="D9014" i="146"/>
  <c r="A9014" i="146"/>
  <c r="D9013" i="146"/>
  <c r="A9013" i="146"/>
  <c r="D9012" i="146"/>
  <c r="A9012" i="146"/>
  <c r="D9011" i="146"/>
  <c r="A9011" i="146"/>
  <c r="D9010" i="146"/>
  <c r="A9010" i="146"/>
  <c r="D9009" i="146"/>
  <c r="A9009" i="146"/>
  <c r="D9008" i="146"/>
  <c r="A9008" i="146"/>
  <c r="D9007" i="146"/>
  <c r="A9007" i="146"/>
  <c r="D9006" i="146"/>
  <c r="A9006" i="146"/>
  <c r="D9005" i="146"/>
  <c r="A9005" i="146"/>
  <c r="D9004" i="146"/>
  <c r="A9004" i="146"/>
  <c r="D9003" i="146"/>
  <c r="A9003" i="146"/>
  <c r="D9002" i="146"/>
  <c r="A9002" i="146"/>
  <c r="D9001" i="146"/>
  <c r="A9001" i="146"/>
  <c r="D9000" i="146"/>
  <c r="A9000" i="146"/>
  <c r="D8999" i="146"/>
  <c r="A8999" i="146"/>
  <c r="D8998" i="146"/>
  <c r="A8998" i="146"/>
  <c r="D8997" i="146"/>
  <c r="A8997" i="146"/>
  <c r="D8996" i="146"/>
  <c r="A8996" i="146"/>
  <c r="D8995" i="146"/>
  <c r="A8995" i="146"/>
  <c r="D8994" i="146"/>
  <c r="A8994" i="146"/>
  <c r="D8993" i="146"/>
  <c r="A8993" i="146"/>
  <c r="D8992" i="146"/>
  <c r="A8992" i="146"/>
  <c r="D8991" i="146"/>
  <c r="A8991" i="146"/>
  <c r="D8990" i="146"/>
  <c r="A8990" i="146"/>
  <c r="D8989" i="146"/>
  <c r="A8989" i="146"/>
  <c r="D8988" i="146"/>
  <c r="A8988" i="146"/>
  <c r="D8987" i="146"/>
  <c r="A8987" i="146"/>
  <c r="D8986" i="146"/>
  <c r="A8986" i="146"/>
  <c r="D8985" i="146"/>
  <c r="A8985" i="146"/>
  <c r="D8984" i="146"/>
  <c r="A8984" i="146"/>
  <c r="D8983" i="146"/>
  <c r="A8983" i="146"/>
  <c r="D8982" i="146"/>
  <c r="A8982" i="146"/>
  <c r="D8981" i="146"/>
  <c r="A8981" i="146"/>
  <c r="D8980" i="146"/>
  <c r="A8980" i="146"/>
  <c r="D8979" i="146"/>
  <c r="A8979" i="146"/>
  <c r="D8978" i="146"/>
  <c r="A8978" i="146"/>
  <c r="D8977" i="146"/>
  <c r="A8977" i="146"/>
  <c r="D8976" i="146"/>
  <c r="A8976" i="146"/>
  <c r="D8975" i="146"/>
  <c r="A8975" i="146"/>
  <c r="D8974" i="146"/>
  <c r="A8974" i="146"/>
  <c r="D8973" i="146"/>
  <c r="A8973" i="146"/>
  <c r="D8972" i="146"/>
  <c r="A8972" i="146"/>
  <c r="D8971" i="146"/>
  <c r="A8971" i="146"/>
  <c r="D8970" i="146"/>
  <c r="A8970" i="146"/>
  <c r="D8969" i="146"/>
  <c r="A8969" i="146"/>
  <c r="D8968" i="146"/>
  <c r="A8968" i="146"/>
  <c r="D8967" i="146"/>
  <c r="A8967" i="146"/>
  <c r="D8966" i="146"/>
  <c r="A8966" i="146"/>
  <c r="D8965" i="146"/>
  <c r="A8965" i="146"/>
  <c r="D8964" i="146"/>
  <c r="A8964" i="146"/>
  <c r="D8963" i="146"/>
  <c r="A8963" i="146"/>
  <c r="D8962" i="146"/>
  <c r="A8962" i="146"/>
  <c r="D8961" i="146"/>
  <c r="A8961" i="146"/>
  <c r="D8960" i="146"/>
  <c r="A8960" i="146"/>
  <c r="D8959" i="146"/>
  <c r="A8959" i="146"/>
  <c r="D8958" i="146"/>
  <c r="A8958" i="146"/>
  <c r="D8957" i="146"/>
  <c r="A8957" i="146"/>
  <c r="D8956" i="146"/>
  <c r="A8956" i="146"/>
  <c r="D8955" i="146"/>
  <c r="A8955" i="146"/>
  <c r="D8954" i="146"/>
  <c r="A8954" i="146"/>
  <c r="D8953" i="146"/>
  <c r="A8953" i="146"/>
  <c r="D8952" i="146"/>
  <c r="A8952" i="146"/>
  <c r="D8951" i="146"/>
  <c r="A8951" i="146"/>
  <c r="D8950" i="146"/>
  <c r="A8950" i="146"/>
  <c r="D8949" i="146"/>
  <c r="A8949" i="146"/>
  <c r="D8948" i="146"/>
  <c r="A8948" i="146"/>
  <c r="D8947" i="146"/>
  <c r="A8947" i="146"/>
  <c r="D8946" i="146"/>
  <c r="A8946" i="146"/>
  <c r="D8945" i="146"/>
  <c r="A8945" i="146"/>
  <c r="D8944" i="146"/>
  <c r="A8944" i="146"/>
  <c r="D8943" i="146"/>
  <c r="A8943" i="146"/>
  <c r="D8942" i="146"/>
  <c r="A8942" i="146"/>
  <c r="D8941" i="146"/>
  <c r="A8941" i="146"/>
  <c r="D8940" i="146"/>
  <c r="A8940" i="146"/>
  <c r="D8939" i="146"/>
  <c r="A8939" i="146"/>
  <c r="D8938" i="146"/>
  <c r="A8938" i="146"/>
  <c r="D8937" i="146"/>
  <c r="A8937" i="146"/>
  <c r="D8936" i="146"/>
  <c r="A8936" i="146"/>
  <c r="D8935" i="146"/>
  <c r="A8935" i="146"/>
  <c r="D8934" i="146"/>
  <c r="A8934" i="146"/>
  <c r="D8933" i="146"/>
  <c r="A8933" i="146"/>
  <c r="D8932" i="146"/>
  <c r="A8932" i="146"/>
  <c r="D8931" i="146"/>
  <c r="A8931" i="146"/>
  <c r="D8930" i="146"/>
  <c r="A8930" i="146"/>
  <c r="D8929" i="146"/>
  <c r="A8929" i="146"/>
  <c r="D8928" i="146"/>
  <c r="A8928" i="146"/>
  <c r="D8927" i="146"/>
  <c r="A8927" i="146"/>
  <c r="D8926" i="146"/>
  <c r="A8926" i="146"/>
  <c r="D8925" i="146"/>
  <c r="A8925" i="146"/>
  <c r="D8924" i="146"/>
  <c r="A8924" i="146"/>
  <c r="D8923" i="146"/>
  <c r="A8923" i="146"/>
  <c r="D8922" i="146"/>
  <c r="A8922" i="146"/>
  <c r="D8921" i="146"/>
  <c r="A8921" i="146"/>
  <c r="D8920" i="146"/>
  <c r="A8920" i="146"/>
  <c r="D8919" i="146"/>
  <c r="A8919" i="146"/>
  <c r="D8918" i="146"/>
  <c r="A8918" i="146"/>
  <c r="D8917" i="146"/>
  <c r="A8917" i="146"/>
  <c r="D8916" i="146"/>
  <c r="A8916" i="146"/>
  <c r="D8915" i="146"/>
  <c r="A8915" i="146"/>
  <c r="D8914" i="146"/>
  <c r="A8914" i="146"/>
  <c r="D8913" i="146"/>
  <c r="A8913" i="146"/>
  <c r="D8912" i="146"/>
  <c r="A8912" i="146"/>
  <c r="D8911" i="146"/>
  <c r="A8911" i="146"/>
  <c r="D8910" i="146"/>
  <c r="A8910" i="146"/>
  <c r="D8909" i="146"/>
  <c r="A8909" i="146"/>
  <c r="D8908" i="146"/>
  <c r="A8908" i="146"/>
  <c r="D8907" i="146"/>
  <c r="A8907" i="146"/>
  <c r="D8906" i="146"/>
  <c r="A8906" i="146"/>
  <c r="D8905" i="146"/>
  <c r="A8905" i="146"/>
  <c r="D8904" i="146"/>
  <c r="A8904" i="146"/>
  <c r="D8903" i="146"/>
  <c r="A8903" i="146"/>
  <c r="D8902" i="146"/>
  <c r="A8902" i="146"/>
  <c r="D8901" i="146"/>
  <c r="A8901" i="146"/>
  <c r="D8900" i="146"/>
  <c r="A8900" i="146"/>
  <c r="D8899" i="146"/>
  <c r="A8899" i="146"/>
  <c r="D8898" i="146"/>
  <c r="A8898" i="146"/>
  <c r="D8897" i="146"/>
  <c r="A8897" i="146"/>
  <c r="D8896" i="146"/>
  <c r="A8896" i="146"/>
  <c r="D8895" i="146"/>
  <c r="A8895" i="146"/>
  <c r="D8894" i="146"/>
  <c r="A8894" i="146"/>
  <c r="D8893" i="146"/>
  <c r="A8893" i="146"/>
  <c r="D8892" i="146"/>
  <c r="A8892" i="146"/>
  <c r="D8891" i="146"/>
  <c r="A8891" i="146"/>
  <c r="D8890" i="146"/>
  <c r="A8890" i="146"/>
  <c r="D8889" i="146"/>
  <c r="A8889" i="146"/>
  <c r="D8888" i="146"/>
  <c r="A8888" i="146"/>
  <c r="D8887" i="146"/>
  <c r="A8887" i="146"/>
  <c r="D8886" i="146"/>
  <c r="A8886" i="146"/>
  <c r="D8885" i="146"/>
  <c r="A8885" i="146"/>
  <c r="D8884" i="146"/>
  <c r="A8884" i="146"/>
  <c r="D8883" i="146"/>
  <c r="A8883" i="146"/>
  <c r="D8882" i="146"/>
  <c r="A8882" i="146"/>
  <c r="D8881" i="146"/>
  <c r="A8881" i="146"/>
  <c r="D8880" i="146"/>
  <c r="A8880" i="146"/>
  <c r="D8879" i="146"/>
  <c r="A8879" i="146"/>
  <c r="D8878" i="146"/>
  <c r="A8878" i="146"/>
  <c r="D8877" i="146"/>
  <c r="A8877" i="146"/>
  <c r="D8876" i="146"/>
  <c r="A8876" i="146"/>
  <c r="D8875" i="146"/>
  <c r="A8875" i="146"/>
  <c r="D8874" i="146"/>
  <c r="A8874" i="146"/>
  <c r="D8873" i="146"/>
  <c r="A8873" i="146"/>
  <c r="D8872" i="146"/>
  <c r="A8872" i="146"/>
  <c r="D8871" i="146"/>
  <c r="A8871" i="146"/>
  <c r="D8870" i="146"/>
  <c r="A8870" i="146"/>
  <c r="D8869" i="146"/>
  <c r="A8869" i="146"/>
  <c r="D8868" i="146"/>
  <c r="A8868" i="146"/>
  <c r="D8867" i="146"/>
  <c r="A8867" i="146"/>
  <c r="D8866" i="146"/>
  <c r="A8866" i="146"/>
  <c r="D8865" i="146"/>
  <c r="A8865" i="146"/>
  <c r="D8864" i="146"/>
  <c r="A8864" i="146"/>
  <c r="D8863" i="146"/>
  <c r="A8863" i="146"/>
  <c r="D8862" i="146"/>
  <c r="A8862" i="146"/>
  <c r="D8861" i="146"/>
  <c r="A8861" i="146"/>
  <c r="D8860" i="146"/>
  <c r="A8860" i="146"/>
  <c r="D8859" i="146"/>
  <c r="A8859" i="146"/>
  <c r="D8858" i="146"/>
  <c r="A8858" i="146"/>
  <c r="D8857" i="146"/>
  <c r="A8857" i="146"/>
  <c r="D8856" i="146"/>
  <c r="A8856" i="146"/>
  <c r="D8855" i="146"/>
  <c r="A8855" i="146"/>
  <c r="D8854" i="146"/>
  <c r="A8854" i="146"/>
  <c r="D8853" i="146"/>
  <c r="A8853" i="146"/>
  <c r="D8852" i="146"/>
  <c r="A8852" i="146"/>
  <c r="D8851" i="146"/>
  <c r="A8851" i="146"/>
  <c r="D8850" i="146"/>
  <c r="A8850" i="146"/>
  <c r="D8849" i="146"/>
  <c r="A8849" i="146"/>
  <c r="D8848" i="146"/>
  <c r="A8848" i="146"/>
  <c r="D8847" i="146"/>
  <c r="A8847" i="146"/>
  <c r="D8846" i="146"/>
  <c r="A8846" i="146"/>
  <c r="D8845" i="146"/>
  <c r="A8845" i="146"/>
  <c r="D8844" i="146"/>
  <c r="A8844" i="146"/>
  <c r="D8843" i="146"/>
  <c r="A8843" i="146"/>
  <c r="D8842" i="146"/>
  <c r="A8842" i="146"/>
  <c r="D8841" i="146"/>
  <c r="A8841" i="146"/>
  <c r="D8840" i="146"/>
  <c r="A8840" i="146"/>
  <c r="D8839" i="146"/>
  <c r="A8839" i="146"/>
  <c r="D8838" i="146"/>
  <c r="A8838" i="146"/>
  <c r="D8837" i="146"/>
  <c r="A8837" i="146"/>
  <c r="D8836" i="146"/>
  <c r="A8836" i="146"/>
  <c r="D8835" i="146"/>
  <c r="A8835" i="146"/>
  <c r="D8834" i="146"/>
  <c r="A8834" i="146"/>
  <c r="D8833" i="146"/>
  <c r="A8833" i="146"/>
  <c r="D8832" i="146"/>
  <c r="A8832" i="146"/>
  <c r="D8831" i="146"/>
  <c r="A8831" i="146"/>
  <c r="D8830" i="146"/>
  <c r="A8830" i="146"/>
  <c r="D8829" i="146"/>
  <c r="A8829" i="146"/>
  <c r="D8828" i="146"/>
  <c r="A8828" i="146"/>
  <c r="D8827" i="146"/>
  <c r="A8827" i="146"/>
  <c r="D8826" i="146"/>
  <c r="A8826" i="146"/>
  <c r="D8825" i="146"/>
  <c r="A8825" i="146"/>
  <c r="D8824" i="146"/>
  <c r="A8824" i="146"/>
  <c r="D8823" i="146"/>
  <c r="A8823" i="146"/>
  <c r="D8822" i="146"/>
  <c r="A8822" i="146"/>
  <c r="D8821" i="146"/>
  <c r="A8821" i="146"/>
  <c r="D8820" i="146"/>
  <c r="A8820" i="146"/>
  <c r="D8819" i="146"/>
  <c r="A8819" i="146"/>
  <c r="D8818" i="146"/>
  <c r="A8818" i="146"/>
  <c r="D8817" i="146"/>
  <c r="A8817" i="146"/>
  <c r="D8816" i="146"/>
  <c r="A8816" i="146"/>
  <c r="D8815" i="146"/>
  <c r="A8815" i="146"/>
  <c r="D8814" i="146"/>
  <c r="A8814" i="146"/>
  <c r="D8813" i="146"/>
  <c r="A8813" i="146"/>
  <c r="D8812" i="146"/>
  <c r="A8812" i="146"/>
  <c r="D8811" i="146"/>
  <c r="A8811" i="146"/>
  <c r="D8810" i="146"/>
  <c r="A8810" i="146"/>
  <c r="D8809" i="146"/>
  <c r="A8809" i="146"/>
  <c r="D8808" i="146"/>
  <c r="A8808" i="146"/>
  <c r="D8807" i="146"/>
  <c r="A8807" i="146"/>
  <c r="D8806" i="146"/>
  <c r="A8806" i="146"/>
  <c r="D8805" i="146"/>
  <c r="A8805" i="146"/>
  <c r="D8804" i="146"/>
  <c r="A8804" i="146"/>
  <c r="D8803" i="146"/>
  <c r="A8803" i="146"/>
  <c r="D8802" i="146"/>
  <c r="A8802" i="146"/>
  <c r="D8801" i="146"/>
  <c r="A8801" i="146"/>
  <c r="D8800" i="146"/>
  <c r="A8800" i="146"/>
  <c r="D8799" i="146"/>
  <c r="A8799" i="146"/>
  <c r="D8798" i="146"/>
  <c r="A8798" i="146"/>
  <c r="D8797" i="146"/>
  <c r="A8797" i="146"/>
  <c r="D8796" i="146"/>
  <c r="A8796" i="146"/>
  <c r="D8795" i="146"/>
  <c r="A8795" i="146"/>
  <c r="D8794" i="146"/>
  <c r="A8794" i="146"/>
  <c r="D8793" i="146"/>
  <c r="A8793" i="146"/>
  <c r="D8792" i="146"/>
  <c r="A8792" i="146"/>
  <c r="D8791" i="146"/>
  <c r="A8791" i="146"/>
  <c r="D8790" i="146"/>
  <c r="A8790" i="146"/>
  <c r="D8789" i="146"/>
  <c r="A8789" i="146"/>
  <c r="D8788" i="146"/>
  <c r="A8788" i="146"/>
  <c r="D8787" i="146"/>
  <c r="A8787" i="146"/>
  <c r="D8786" i="146"/>
  <c r="A8786" i="146"/>
  <c r="D8785" i="146"/>
  <c r="A8785" i="146"/>
  <c r="D8784" i="146"/>
  <c r="A8784" i="146"/>
  <c r="D8783" i="146"/>
  <c r="A8783" i="146"/>
  <c r="D8782" i="146"/>
  <c r="A8782" i="146"/>
  <c r="D8781" i="146"/>
  <c r="A8781" i="146"/>
  <c r="D8780" i="146"/>
  <c r="A8780" i="146"/>
  <c r="D8779" i="146"/>
  <c r="A8779" i="146"/>
  <c r="D8778" i="146"/>
  <c r="A8778" i="146"/>
  <c r="D8777" i="146"/>
  <c r="A8777" i="146"/>
  <c r="D8776" i="146"/>
  <c r="A8776" i="146"/>
  <c r="D8775" i="146"/>
  <c r="A8775" i="146"/>
  <c r="D8774" i="146"/>
  <c r="A8774" i="146"/>
  <c r="D8773" i="146"/>
  <c r="A8773" i="146"/>
  <c r="D8772" i="146"/>
  <c r="A8772" i="146"/>
  <c r="D8771" i="146"/>
  <c r="A8771" i="146"/>
  <c r="D8770" i="146"/>
  <c r="A8770" i="146"/>
  <c r="D8769" i="146"/>
  <c r="A8769" i="146"/>
  <c r="D8768" i="146"/>
  <c r="A8768" i="146"/>
  <c r="D8767" i="146"/>
  <c r="A8767" i="146"/>
  <c r="D8766" i="146"/>
  <c r="A8766" i="146"/>
  <c r="D8765" i="146"/>
  <c r="A8765" i="146"/>
  <c r="D8764" i="146"/>
  <c r="A8764" i="146"/>
  <c r="D8763" i="146"/>
  <c r="A8763" i="146"/>
  <c r="D8762" i="146"/>
  <c r="A8762" i="146"/>
  <c r="D8761" i="146"/>
  <c r="A8761" i="146"/>
  <c r="D8760" i="146"/>
  <c r="A8760" i="146"/>
  <c r="D8759" i="146"/>
  <c r="A8759" i="146"/>
  <c r="D8758" i="146"/>
  <c r="A8758" i="146"/>
  <c r="D8757" i="146"/>
  <c r="A8757" i="146"/>
  <c r="D8756" i="146"/>
  <c r="A8756" i="146"/>
  <c r="D8755" i="146"/>
  <c r="A8755" i="146"/>
  <c r="D8754" i="146"/>
  <c r="A8754" i="146"/>
  <c r="D8753" i="146"/>
  <c r="A8753" i="146"/>
  <c r="D8752" i="146"/>
  <c r="A8752" i="146"/>
  <c r="D8751" i="146"/>
  <c r="A8751" i="146"/>
  <c r="D8750" i="146"/>
  <c r="A8750" i="146"/>
  <c r="D8749" i="146"/>
  <c r="A8749" i="146"/>
  <c r="D8748" i="146"/>
  <c r="A8748" i="146"/>
  <c r="D8747" i="146"/>
  <c r="A8747" i="146"/>
  <c r="D8746" i="146"/>
  <c r="A8746" i="146"/>
  <c r="D8745" i="146"/>
  <c r="A8745" i="146"/>
  <c r="D8744" i="146"/>
  <c r="A8744" i="146"/>
  <c r="D8743" i="146"/>
  <c r="A8743" i="146"/>
  <c r="D8742" i="146"/>
  <c r="A8742" i="146"/>
  <c r="D8741" i="146"/>
  <c r="A8741" i="146"/>
  <c r="D8740" i="146"/>
  <c r="A8740" i="146"/>
  <c r="D8739" i="146"/>
  <c r="A8739" i="146"/>
  <c r="D8738" i="146"/>
  <c r="A8738" i="146"/>
  <c r="D8737" i="146"/>
  <c r="A8737" i="146"/>
  <c r="D8736" i="146"/>
  <c r="A8736" i="146"/>
  <c r="D8735" i="146"/>
  <c r="A8735" i="146"/>
  <c r="D8734" i="146"/>
  <c r="A8734" i="146"/>
  <c r="D8733" i="146"/>
  <c r="A8733" i="146"/>
  <c r="D8732" i="146"/>
  <c r="A8732" i="146"/>
  <c r="D8731" i="146"/>
  <c r="A8731" i="146"/>
  <c r="D8730" i="146"/>
  <c r="A8730" i="146"/>
  <c r="D8729" i="146"/>
  <c r="A8729" i="146"/>
  <c r="D8728" i="146"/>
  <c r="A8728" i="146"/>
  <c r="D8727" i="146"/>
  <c r="A8727" i="146"/>
  <c r="D8726" i="146"/>
  <c r="A8726" i="146"/>
  <c r="D8725" i="146"/>
  <c r="A8725" i="146"/>
  <c r="D8724" i="146"/>
  <c r="A8724" i="146"/>
  <c r="D8723" i="146"/>
  <c r="A8723" i="146"/>
  <c r="D8722" i="146"/>
  <c r="A8722" i="146"/>
  <c r="D8721" i="146"/>
  <c r="A8721" i="146"/>
  <c r="D8720" i="146"/>
  <c r="A8720" i="146"/>
  <c r="D8719" i="146"/>
  <c r="A8719" i="146"/>
  <c r="D8718" i="146"/>
  <c r="A8718" i="146"/>
  <c r="D8717" i="146"/>
  <c r="A8717" i="146"/>
  <c r="D8716" i="146"/>
  <c r="A8716" i="146"/>
  <c r="D8715" i="146"/>
  <c r="A8715" i="146"/>
  <c r="D8714" i="146"/>
  <c r="A8714" i="146"/>
  <c r="D8713" i="146"/>
  <c r="A8713" i="146"/>
  <c r="D8712" i="146"/>
  <c r="A8712" i="146"/>
  <c r="D8711" i="146"/>
  <c r="A8711" i="146"/>
  <c r="D8710" i="146"/>
  <c r="A8710" i="146"/>
  <c r="D8709" i="146"/>
  <c r="A8709" i="146"/>
  <c r="D8708" i="146"/>
  <c r="A8708" i="146"/>
  <c r="D8707" i="146"/>
  <c r="A8707" i="146"/>
  <c r="D8706" i="146"/>
  <c r="A8706" i="146"/>
  <c r="D8705" i="146"/>
  <c r="A8705" i="146"/>
  <c r="D8704" i="146"/>
  <c r="A8704" i="146"/>
  <c r="D8703" i="146"/>
  <c r="A8703" i="146"/>
  <c r="D8702" i="146"/>
  <c r="A8702" i="146"/>
  <c r="D8701" i="146"/>
  <c r="A8701" i="146"/>
  <c r="D8700" i="146"/>
  <c r="A8700" i="146"/>
  <c r="D8699" i="146"/>
  <c r="A8699" i="146"/>
  <c r="D8698" i="146"/>
  <c r="A8698" i="146"/>
  <c r="D8697" i="146"/>
  <c r="A8697" i="146"/>
  <c r="D8696" i="146"/>
  <c r="A8696" i="146"/>
  <c r="D8695" i="146"/>
  <c r="A8695" i="146"/>
  <c r="D8694" i="146"/>
  <c r="A8694" i="146"/>
  <c r="D8693" i="146"/>
  <c r="A8693" i="146"/>
  <c r="D8692" i="146"/>
  <c r="A8692" i="146"/>
  <c r="D8691" i="146"/>
  <c r="A8691" i="146"/>
  <c r="D8690" i="146"/>
  <c r="A8690" i="146"/>
  <c r="D8689" i="146"/>
  <c r="A8689" i="146"/>
  <c r="D8688" i="146"/>
  <c r="A8688" i="146"/>
  <c r="D8687" i="146"/>
  <c r="A8687" i="146"/>
  <c r="D8686" i="146"/>
  <c r="A8686" i="146"/>
  <c r="D8685" i="146"/>
  <c r="A8685" i="146"/>
  <c r="D8684" i="146"/>
  <c r="A8684" i="146"/>
  <c r="D8683" i="146"/>
  <c r="A8683" i="146"/>
  <c r="D8682" i="146"/>
  <c r="A8682" i="146"/>
  <c r="D8681" i="146"/>
  <c r="A8681" i="146"/>
  <c r="D8680" i="146"/>
  <c r="A8680" i="146"/>
  <c r="D8679" i="146"/>
  <c r="A8679" i="146"/>
  <c r="D8678" i="146"/>
  <c r="A8678" i="146"/>
  <c r="D8677" i="146"/>
  <c r="A8677" i="146"/>
  <c r="D8676" i="146"/>
  <c r="A8676" i="146"/>
  <c r="D8675" i="146"/>
  <c r="A8675" i="146"/>
  <c r="D8674" i="146"/>
  <c r="A8674" i="146"/>
  <c r="D8673" i="146"/>
  <c r="A8673" i="146"/>
  <c r="D8672" i="146"/>
  <c r="A8672" i="146"/>
  <c r="D8671" i="146"/>
  <c r="A8671" i="146"/>
  <c r="D8670" i="146"/>
  <c r="A8670" i="146"/>
  <c r="D8669" i="146"/>
  <c r="A8669" i="146"/>
  <c r="D8668" i="146"/>
  <c r="A8668" i="146"/>
  <c r="D8667" i="146"/>
  <c r="A8667" i="146"/>
  <c r="D8666" i="146"/>
  <c r="A8666" i="146"/>
  <c r="D8665" i="146"/>
  <c r="A8665" i="146"/>
  <c r="D8664" i="146"/>
  <c r="A8664" i="146"/>
  <c r="D8663" i="146"/>
  <c r="A8663" i="146"/>
  <c r="D8662" i="146"/>
  <c r="A8662" i="146"/>
  <c r="D8661" i="146"/>
  <c r="A8661" i="146"/>
  <c r="D8660" i="146"/>
  <c r="A8660" i="146"/>
  <c r="D8659" i="146"/>
  <c r="A8659" i="146"/>
  <c r="D8658" i="146"/>
  <c r="A8658" i="146"/>
  <c r="D8657" i="146"/>
  <c r="A8657" i="146"/>
  <c r="D8656" i="146"/>
  <c r="A8656" i="146"/>
  <c r="D8655" i="146"/>
  <c r="A8655" i="146"/>
  <c r="D8654" i="146"/>
  <c r="A8654" i="146"/>
  <c r="D8653" i="146"/>
  <c r="A8653" i="146"/>
  <c r="D8652" i="146"/>
  <c r="A8652" i="146"/>
  <c r="D8651" i="146"/>
  <c r="A8651" i="146"/>
  <c r="D8650" i="146"/>
  <c r="A8650" i="146"/>
  <c r="D8649" i="146"/>
  <c r="A8649" i="146"/>
  <c r="D8648" i="146"/>
  <c r="A8648" i="146"/>
  <c r="D8647" i="146"/>
  <c r="A8647" i="146"/>
  <c r="D8646" i="146"/>
  <c r="A8646" i="146"/>
  <c r="D8645" i="146"/>
  <c r="A8645" i="146"/>
  <c r="D8644" i="146"/>
  <c r="A8644" i="146"/>
  <c r="D8643" i="146"/>
  <c r="A8643" i="146"/>
  <c r="D8642" i="146"/>
  <c r="A8642" i="146"/>
  <c r="D8641" i="146"/>
  <c r="A8641" i="146"/>
  <c r="D8640" i="146"/>
  <c r="A8640" i="146"/>
  <c r="D8639" i="146"/>
  <c r="A8639" i="146"/>
  <c r="D8638" i="146"/>
  <c r="A8638" i="146"/>
  <c r="D8637" i="146"/>
  <c r="A8637" i="146"/>
  <c r="D8636" i="146"/>
  <c r="A8636" i="146"/>
  <c r="D8635" i="146"/>
  <c r="A8635" i="146"/>
  <c r="D8634" i="146"/>
  <c r="A8634" i="146"/>
  <c r="D8633" i="146"/>
  <c r="A8633" i="146"/>
  <c r="D8632" i="146"/>
  <c r="A8632" i="146"/>
  <c r="D8631" i="146"/>
  <c r="A8631" i="146"/>
  <c r="D8630" i="146"/>
  <c r="A8630" i="146"/>
  <c r="D8629" i="146"/>
  <c r="A8629" i="146"/>
  <c r="D8628" i="146"/>
  <c r="A8628" i="146"/>
  <c r="D8627" i="146"/>
  <c r="A8627" i="146"/>
  <c r="D8626" i="146"/>
  <c r="A8626" i="146"/>
  <c r="D8625" i="146"/>
  <c r="A8625" i="146"/>
  <c r="D8624" i="146"/>
  <c r="A8624" i="146"/>
  <c r="D8623" i="146"/>
  <c r="A8623" i="146"/>
  <c r="D8622" i="146"/>
  <c r="A8622" i="146"/>
  <c r="D8621" i="146"/>
  <c r="A8621" i="146"/>
  <c r="D8620" i="146"/>
  <c r="A8620" i="146"/>
  <c r="D8619" i="146"/>
  <c r="A8619" i="146"/>
  <c r="D8618" i="146"/>
  <c r="A8618" i="146"/>
  <c r="D8617" i="146"/>
  <c r="A8617" i="146"/>
  <c r="D8616" i="146"/>
  <c r="A8616" i="146"/>
  <c r="D8615" i="146"/>
  <c r="A8615" i="146"/>
  <c r="D8614" i="146"/>
  <c r="A8614" i="146"/>
  <c r="D8613" i="146"/>
  <c r="A8613" i="146"/>
  <c r="D8612" i="146"/>
  <c r="A8612" i="146"/>
  <c r="D8611" i="146"/>
  <c r="A8611" i="146"/>
  <c r="D8610" i="146"/>
  <c r="A8610" i="146"/>
  <c r="D8609" i="146"/>
  <c r="A8609" i="146"/>
  <c r="D8608" i="146"/>
  <c r="A8608" i="146"/>
  <c r="D8607" i="146"/>
  <c r="A8607" i="146"/>
  <c r="D8606" i="146"/>
  <c r="A8606" i="146"/>
  <c r="D8605" i="146"/>
  <c r="A8605" i="146"/>
  <c r="D8604" i="146"/>
  <c r="A8604" i="146"/>
  <c r="D8603" i="146"/>
  <c r="A8603" i="146"/>
  <c r="D8602" i="146"/>
  <c r="A8602" i="146"/>
  <c r="D8601" i="146"/>
  <c r="A8601" i="146"/>
  <c r="D8600" i="146"/>
  <c r="A8600" i="146"/>
  <c r="D8599" i="146"/>
  <c r="A8599" i="146"/>
  <c r="D8598" i="146"/>
  <c r="A8598" i="146"/>
  <c r="D8597" i="146"/>
  <c r="A8597" i="146"/>
  <c r="D8596" i="146"/>
  <c r="A8596" i="146"/>
  <c r="D8595" i="146"/>
  <c r="A8595" i="146"/>
  <c r="D8594" i="146"/>
  <c r="A8594" i="146"/>
  <c r="D8593" i="146"/>
  <c r="A8593" i="146"/>
  <c r="D8592" i="146"/>
  <c r="A8592" i="146"/>
  <c r="D8591" i="146"/>
  <c r="A8591" i="146"/>
  <c r="D8590" i="146"/>
  <c r="A8590" i="146"/>
  <c r="D8589" i="146"/>
  <c r="A8589" i="146"/>
  <c r="D8588" i="146"/>
  <c r="A8588" i="146"/>
  <c r="D8587" i="146"/>
  <c r="A8587" i="146"/>
  <c r="D8586" i="146"/>
  <c r="A8586" i="146"/>
  <c r="D8585" i="146"/>
  <c r="A8585" i="146"/>
  <c r="D8584" i="146"/>
  <c r="A8584" i="146"/>
  <c r="D8583" i="146"/>
  <c r="A8583" i="146"/>
  <c r="D8582" i="146"/>
  <c r="A8582" i="146"/>
  <c r="D8581" i="146"/>
  <c r="A8581" i="146"/>
  <c r="D8580" i="146"/>
  <c r="A8580" i="146"/>
  <c r="D8579" i="146"/>
  <c r="A8579" i="146"/>
  <c r="D8578" i="146"/>
  <c r="A8578" i="146"/>
  <c r="D8577" i="146"/>
  <c r="A8577" i="146"/>
  <c r="D8576" i="146"/>
  <c r="A8576" i="146"/>
  <c r="D8575" i="146"/>
  <c r="A8575" i="146"/>
  <c r="D8574" i="146"/>
  <c r="A8574" i="146"/>
  <c r="D8573" i="146"/>
  <c r="A8573" i="146"/>
  <c r="D8572" i="146"/>
  <c r="A8572" i="146"/>
  <c r="D8571" i="146"/>
  <c r="A8571" i="146"/>
  <c r="D8570" i="146"/>
  <c r="A8570" i="146"/>
  <c r="D8569" i="146"/>
  <c r="A8569" i="146"/>
  <c r="D8568" i="146"/>
  <c r="A8568" i="146"/>
  <c r="D8567" i="146"/>
  <c r="A8567" i="146"/>
  <c r="D8566" i="146"/>
  <c r="A8566" i="146"/>
  <c r="D8565" i="146"/>
  <c r="A8565" i="146"/>
  <c r="D8564" i="146"/>
  <c r="A8564" i="146"/>
  <c r="D8563" i="146"/>
  <c r="A8563" i="146"/>
  <c r="D8562" i="146"/>
  <c r="A8562" i="146"/>
  <c r="D8561" i="146"/>
  <c r="A8561" i="146"/>
  <c r="D8560" i="146"/>
  <c r="A8560" i="146"/>
  <c r="D8559" i="146"/>
  <c r="A8559" i="146"/>
  <c r="D8558" i="146"/>
  <c r="A8558" i="146"/>
  <c r="D8557" i="146"/>
  <c r="A8557" i="146"/>
  <c r="D8556" i="146"/>
  <c r="A8556" i="146"/>
  <c r="D8555" i="146"/>
  <c r="A8555" i="146"/>
  <c r="D8554" i="146"/>
  <c r="A8554" i="146"/>
  <c r="D8553" i="146"/>
  <c r="A8553" i="146"/>
  <c r="D8552" i="146"/>
  <c r="A8552" i="146"/>
  <c r="D8551" i="146"/>
  <c r="A8551" i="146"/>
  <c r="D8550" i="146"/>
  <c r="A8550" i="146"/>
  <c r="D8549" i="146"/>
  <c r="A8549" i="146"/>
  <c r="D8548" i="146"/>
  <c r="A8548" i="146"/>
  <c r="D8547" i="146"/>
  <c r="A8547" i="146"/>
  <c r="D8546" i="146"/>
  <c r="A8546" i="146"/>
  <c r="D8545" i="146"/>
  <c r="A8545" i="146"/>
  <c r="D8544" i="146"/>
  <c r="A8544" i="146"/>
  <c r="D8543" i="146"/>
  <c r="A8543" i="146"/>
  <c r="D8542" i="146"/>
  <c r="A8542" i="146"/>
  <c r="D8541" i="146"/>
  <c r="A8541" i="146"/>
  <c r="D8540" i="146"/>
  <c r="A8540" i="146"/>
  <c r="D8539" i="146"/>
  <c r="A8539" i="146"/>
  <c r="D8538" i="146"/>
  <c r="A8538" i="146"/>
  <c r="D8537" i="146"/>
  <c r="A8537" i="146"/>
  <c r="D8536" i="146"/>
  <c r="A8536" i="146"/>
  <c r="D8535" i="146"/>
  <c r="A8535" i="146"/>
  <c r="D8534" i="146"/>
  <c r="A8534" i="146"/>
  <c r="D8533" i="146"/>
  <c r="A8533" i="146"/>
  <c r="D8532" i="146"/>
  <c r="A8532" i="146"/>
  <c r="D8531" i="146"/>
  <c r="A8531" i="146"/>
  <c r="D8530" i="146"/>
  <c r="A8530" i="146"/>
  <c r="D8529" i="146"/>
  <c r="A8529" i="146"/>
  <c r="D8528" i="146"/>
  <c r="A8528" i="146"/>
  <c r="D8527" i="146"/>
  <c r="A8527" i="146"/>
  <c r="D8526" i="146"/>
  <c r="A8526" i="146"/>
  <c r="D8525" i="146"/>
  <c r="A8525" i="146"/>
  <c r="D8524" i="146"/>
  <c r="A8524" i="146"/>
  <c r="D8523" i="146"/>
  <c r="A8523" i="146"/>
  <c r="D8522" i="146"/>
  <c r="A8522" i="146"/>
  <c r="D8521" i="146"/>
  <c r="A8521" i="146"/>
  <c r="D8520" i="146"/>
  <c r="A8520" i="146"/>
  <c r="D8519" i="146"/>
  <c r="A8519" i="146"/>
  <c r="D8518" i="146"/>
  <c r="A8518" i="146"/>
  <c r="D8517" i="146"/>
  <c r="A8517" i="146"/>
  <c r="D8516" i="146"/>
  <c r="A8516" i="146"/>
  <c r="D8515" i="146"/>
  <c r="A8515" i="146"/>
  <c r="D8514" i="146"/>
  <c r="A8514" i="146"/>
  <c r="D8513" i="146"/>
  <c r="A8513" i="146"/>
  <c r="D8512" i="146"/>
  <c r="A8512" i="146"/>
  <c r="D8511" i="146"/>
  <c r="A8511" i="146"/>
  <c r="D8510" i="146"/>
  <c r="A8510" i="146"/>
  <c r="D8509" i="146"/>
  <c r="A8509" i="146"/>
  <c r="D8508" i="146"/>
  <c r="A8508" i="146"/>
  <c r="D8507" i="146"/>
  <c r="A8507" i="146"/>
  <c r="D8506" i="146"/>
  <c r="A8506" i="146"/>
  <c r="D8505" i="146"/>
  <c r="A8505" i="146"/>
  <c r="D8504" i="146"/>
  <c r="A8504" i="146"/>
  <c r="D8503" i="146"/>
  <c r="A8503" i="146"/>
  <c r="D8502" i="146"/>
  <c r="A8502" i="146"/>
  <c r="D8501" i="146"/>
  <c r="A8501" i="146"/>
  <c r="D8500" i="146"/>
  <c r="A8500" i="146"/>
  <c r="D8499" i="146"/>
  <c r="A8499" i="146"/>
  <c r="D8498" i="146"/>
  <c r="A8498" i="146"/>
  <c r="D8497" i="146"/>
  <c r="A8497" i="146"/>
  <c r="D8496" i="146"/>
  <c r="A8496" i="146"/>
  <c r="D8495" i="146"/>
  <c r="A8495" i="146"/>
  <c r="D8494" i="146"/>
  <c r="A8494" i="146"/>
  <c r="D8493" i="146"/>
  <c r="A8493" i="146"/>
  <c r="D8492" i="146"/>
  <c r="A8492" i="146"/>
  <c r="D8491" i="146"/>
  <c r="A8491" i="146"/>
  <c r="D8490" i="146"/>
  <c r="A8490" i="146"/>
  <c r="D8489" i="146"/>
  <c r="A8489" i="146"/>
  <c r="D8488" i="146"/>
  <c r="A8488" i="146"/>
  <c r="D8487" i="146"/>
  <c r="A8487" i="146"/>
  <c r="D8486" i="146"/>
  <c r="A8486" i="146"/>
  <c r="D8485" i="146"/>
  <c r="A8485" i="146"/>
  <c r="D8484" i="146"/>
  <c r="A8484" i="146"/>
  <c r="D8483" i="146"/>
  <c r="A8483" i="146"/>
  <c r="D8482" i="146"/>
  <c r="A8482" i="146"/>
  <c r="D8481" i="146"/>
  <c r="A8481" i="146"/>
  <c r="D8480" i="146"/>
  <c r="A8480" i="146"/>
  <c r="D8479" i="146"/>
  <c r="A8479" i="146"/>
  <c r="D8478" i="146"/>
  <c r="A8478" i="146"/>
  <c r="D8477" i="146"/>
  <c r="A8477" i="146"/>
  <c r="D8476" i="146"/>
  <c r="A8476" i="146"/>
  <c r="D8475" i="146"/>
  <c r="A8475" i="146"/>
  <c r="D8474" i="146"/>
  <c r="A8474" i="146"/>
  <c r="D8473" i="146"/>
  <c r="A8473" i="146"/>
  <c r="D8472" i="146"/>
  <c r="A8472" i="146"/>
  <c r="D8471" i="146"/>
  <c r="A8471" i="146"/>
  <c r="D8470" i="146"/>
  <c r="A8470" i="146"/>
  <c r="D8469" i="146"/>
  <c r="A8469" i="146"/>
  <c r="D8468" i="146"/>
  <c r="A8468" i="146"/>
  <c r="D8467" i="146"/>
  <c r="A8467" i="146"/>
  <c r="D8466" i="146"/>
  <c r="A8466" i="146"/>
  <c r="D8465" i="146"/>
  <c r="A8465" i="146"/>
  <c r="D8464" i="146"/>
  <c r="A8464" i="146"/>
  <c r="D8463" i="146"/>
  <c r="A8463" i="146"/>
  <c r="D8462" i="146"/>
  <c r="A8462" i="146"/>
  <c r="D8461" i="146"/>
  <c r="A8461" i="146"/>
  <c r="D8460" i="146"/>
  <c r="A8460" i="146"/>
  <c r="D8459" i="146"/>
  <c r="A8459" i="146"/>
  <c r="D8458" i="146"/>
  <c r="A8458" i="146"/>
  <c r="D8457" i="146"/>
  <c r="A8457" i="146"/>
  <c r="D8456" i="146"/>
  <c r="A8456" i="146"/>
  <c r="D8455" i="146"/>
  <c r="A8455" i="146"/>
  <c r="D8454" i="146"/>
  <c r="A8454" i="146"/>
  <c r="D8453" i="146"/>
  <c r="A8453" i="146"/>
  <c r="D8452" i="146"/>
  <c r="A8452" i="146"/>
  <c r="D8451" i="146"/>
  <c r="A8451" i="146"/>
  <c r="D8450" i="146"/>
  <c r="A8450" i="146"/>
  <c r="D8449" i="146"/>
  <c r="A8449" i="146"/>
  <c r="D8448" i="146"/>
  <c r="A8448" i="146"/>
  <c r="D8447" i="146"/>
  <c r="A8447" i="146"/>
  <c r="D8446" i="146"/>
  <c r="A8446" i="146"/>
  <c r="D8445" i="146"/>
  <c r="A8445" i="146"/>
  <c r="D8444" i="146"/>
  <c r="A8444" i="146"/>
  <c r="D8443" i="146"/>
  <c r="A8443" i="146"/>
  <c r="D8442" i="146"/>
  <c r="A8442" i="146"/>
  <c r="D8441" i="146"/>
  <c r="A8441" i="146"/>
  <c r="D8440" i="146"/>
  <c r="A8440" i="146"/>
  <c r="D8439" i="146"/>
  <c r="A8439" i="146"/>
  <c r="D8438" i="146"/>
  <c r="A8438" i="146"/>
  <c r="D8437" i="146"/>
  <c r="A8437" i="146"/>
  <c r="D8436" i="146"/>
  <c r="A8436" i="146"/>
  <c r="D8435" i="146"/>
  <c r="A8435" i="146"/>
  <c r="D8434" i="146"/>
  <c r="A8434" i="146"/>
  <c r="D8433" i="146"/>
  <c r="A8433" i="146"/>
  <c r="D8432" i="146"/>
  <c r="A8432" i="146"/>
  <c r="D8431" i="146"/>
  <c r="A8431" i="146"/>
  <c r="D8430" i="146"/>
  <c r="A8430" i="146"/>
  <c r="D8429" i="146"/>
  <c r="A8429" i="146"/>
  <c r="D8428" i="146"/>
  <c r="A8428" i="146"/>
  <c r="D8427" i="146"/>
  <c r="A8427" i="146"/>
  <c r="D8426" i="146"/>
  <c r="A8426" i="146"/>
  <c r="D8425" i="146"/>
  <c r="A8425" i="146"/>
  <c r="D8424" i="146"/>
  <c r="A8424" i="146"/>
  <c r="D8423" i="146"/>
  <c r="A8423" i="146"/>
  <c r="D8422" i="146"/>
  <c r="A8422" i="146"/>
  <c r="D8421" i="146"/>
  <c r="A8421" i="146"/>
  <c r="D8420" i="146"/>
  <c r="A8420" i="146"/>
  <c r="D8419" i="146"/>
  <c r="A8419" i="146"/>
  <c r="D8418" i="146"/>
  <c r="A8418" i="146"/>
  <c r="D8417" i="146"/>
  <c r="A8417" i="146"/>
  <c r="D8416" i="146"/>
  <c r="A8416" i="146"/>
  <c r="D8415" i="146"/>
  <c r="A8415" i="146"/>
  <c r="D8414" i="146"/>
  <c r="A8414" i="146"/>
  <c r="D8413" i="146"/>
  <c r="A8413" i="146"/>
  <c r="D8412" i="146"/>
  <c r="A8412" i="146"/>
  <c r="D8411" i="146"/>
  <c r="A8411" i="146"/>
  <c r="D8410" i="146"/>
  <c r="A8410" i="146"/>
  <c r="D8409" i="146"/>
  <c r="A8409" i="146"/>
  <c r="D8408" i="146"/>
  <c r="A8408" i="146"/>
  <c r="D8407" i="146"/>
  <c r="A8407" i="146"/>
  <c r="D8406" i="146"/>
  <c r="A8406" i="146"/>
  <c r="D8405" i="146"/>
  <c r="A8405" i="146"/>
  <c r="D8404" i="146"/>
  <c r="A8404" i="146"/>
  <c r="D8403" i="146"/>
  <c r="A8403" i="146"/>
  <c r="D8402" i="146"/>
  <c r="A8402" i="146"/>
  <c r="D8401" i="146"/>
  <c r="A8401" i="146"/>
  <c r="D8400" i="146"/>
  <c r="A8400" i="146"/>
  <c r="D8399" i="146"/>
  <c r="A8399" i="146"/>
  <c r="D8398" i="146"/>
  <c r="A8398" i="146"/>
  <c r="D8397" i="146"/>
  <c r="A8397" i="146"/>
  <c r="D8396" i="146"/>
  <c r="A8396" i="146"/>
  <c r="D8395" i="146"/>
  <c r="A8395" i="146"/>
  <c r="D8394" i="146"/>
  <c r="A8394" i="146"/>
  <c r="D8393" i="146"/>
  <c r="A8393" i="146"/>
  <c r="D8392" i="146"/>
  <c r="A8392" i="146"/>
  <c r="D8391" i="146"/>
  <c r="A8391" i="146"/>
  <c r="D8390" i="146"/>
  <c r="A8390" i="146"/>
  <c r="D8389" i="146"/>
  <c r="A8389" i="146"/>
  <c r="D8388" i="146"/>
  <c r="A8388" i="146"/>
  <c r="D8387" i="146"/>
  <c r="A8387" i="146"/>
  <c r="D8386" i="146"/>
  <c r="A8386" i="146"/>
  <c r="D8385" i="146"/>
  <c r="A8385" i="146"/>
  <c r="D8384" i="146"/>
  <c r="A8384" i="146"/>
  <c r="D8383" i="146"/>
  <c r="A8383" i="146"/>
  <c r="D8382" i="146"/>
  <c r="A8382" i="146"/>
  <c r="D8381" i="146"/>
  <c r="A8381" i="146"/>
  <c r="D8380" i="146"/>
  <c r="A8380" i="146"/>
  <c r="D8379" i="146"/>
  <c r="A8379" i="146"/>
  <c r="D8378" i="146"/>
  <c r="A8378" i="146"/>
  <c r="D8377" i="146"/>
  <c r="A8377" i="146"/>
  <c r="D8376" i="146"/>
  <c r="A8376" i="146"/>
  <c r="D8375" i="146"/>
  <c r="A8375" i="146"/>
  <c r="D8374" i="146"/>
  <c r="A8374" i="146"/>
  <c r="D8373" i="146"/>
  <c r="A8373" i="146"/>
  <c r="D8372" i="146"/>
  <c r="A8372" i="146"/>
  <c r="D8371" i="146"/>
  <c r="A8371" i="146"/>
  <c r="D8370" i="146"/>
  <c r="A8370" i="146"/>
  <c r="D8369" i="146"/>
  <c r="A8369" i="146"/>
  <c r="D8368" i="146"/>
  <c r="A8368" i="146"/>
  <c r="D8367" i="146"/>
  <c r="A8367" i="146"/>
  <c r="D8366" i="146"/>
  <c r="A8366" i="146"/>
  <c r="D8365" i="146"/>
  <c r="A8365" i="146"/>
  <c r="D8364" i="146"/>
  <c r="A8364" i="146"/>
  <c r="D8363" i="146"/>
  <c r="A8363" i="146"/>
  <c r="D8362" i="146"/>
  <c r="A8362" i="146"/>
  <c r="D8361" i="146"/>
  <c r="A8361" i="146"/>
  <c r="D8360" i="146"/>
  <c r="A8360" i="146"/>
  <c r="D8359" i="146"/>
  <c r="A8359" i="146"/>
  <c r="D8358" i="146"/>
  <c r="A8358" i="146"/>
  <c r="D8357" i="146"/>
  <c r="A8357" i="146"/>
  <c r="D8356" i="146"/>
  <c r="A8356" i="146"/>
  <c r="D8355" i="146"/>
  <c r="A8355" i="146"/>
  <c r="D8354" i="146"/>
  <c r="A8354" i="146"/>
  <c r="D8353" i="146"/>
  <c r="A8353" i="146"/>
  <c r="D8352" i="146"/>
  <c r="A8352" i="146"/>
  <c r="D8351" i="146"/>
  <c r="A8351" i="146"/>
  <c r="D8350" i="146"/>
  <c r="A8350" i="146"/>
  <c r="D8349" i="146"/>
  <c r="A8349" i="146"/>
  <c r="D8348" i="146"/>
  <c r="A8348" i="146"/>
  <c r="D8347" i="146"/>
  <c r="A8347" i="146"/>
  <c r="D8346" i="146"/>
  <c r="A8346" i="146"/>
  <c r="D8345" i="146"/>
  <c r="A8345" i="146"/>
  <c r="D8344" i="146"/>
  <c r="A8344" i="146"/>
  <c r="D8343" i="146"/>
  <c r="A8343" i="146"/>
  <c r="D8342" i="146"/>
  <c r="A8342" i="146"/>
  <c r="D8341" i="146"/>
  <c r="A8341" i="146"/>
  <c r="D8340" i="146"/>
  <c r="A8340" i="146"/>
  <c r="D8339" i="146"/>
  <c r="A8339" i="146"/>
  <c r="D8338" i="146"/>
  <c r="A8338" i="146"/>
  <c r="D8337" i="146"/>
  <c r="A8337" i="146"/>
  <c r="D8336" i="146"/>
  <c r="A8336" i="146"/>
  <c r="D8335" i="146"/>
  <c r="A8335" i="146"/>
  <c r="D8334" i="146"/>
  <c r="A8334" i="146"/>
  <c r="D8333" i="146"/>
  <c r="A8333" i="146"/>
  <c r="D8332" i="146"/>
  <c r="A8332" i="146"/>
  <c r="D8331" i="146"/>
  <c r="A8331" i="146"/>
  <c r="D8330" i="146"/>
  <c r="A8330" i="146"/>
  <c r="D8329" i="146"/>
  <c r="A8329" i="146"/>
  <c r="D8328" i="146"/>
  <c r="A8328" i="146"/>
  <c r="D8327" i="146"/>
  <c r="A8327" i="146"/>
  <c r="D8326" i="146"/>
  <c r="A8326" i="146"/>
  <c r="D8325" i="146"/>
  <c r="A8325" i="146"/>
  <c r="D8324" i="146"/>
  <c r="A8324" i="146"/>
  <c r="D8323" i="146"/>
  <c r="A8323" i="146"/>
  <c r="D8322" i="146"/>
  <c r="A8322" i="146"/>
  <c r="D8321" i="146"/>
  <c r="A8321" i="146"/>
  <c r="D8320" i="146"/>
  <c r="A8320" i="146"/>
  <c r="D8319" i="146"/>
  <c r="A8319" i="146"/>
  <c r="D8318" i="146"/>
  <c r="A8318" i="146"/>
  <c r="D8317" i="146"/>
  <c r="A8317" i="146"/>
  <c r="D8316" i="146"/>
  <c r="A8316" i="146"/>
  <c r="D8315" i="146"/>
  <c r="A8315" i="146"/>
  <c r="D8314" i="146"/>
  <c r="A8314" i="146"/>
  <c r="D8313" i="146"/>
  <c r="A8313" i="146"/>
  <c r="D8312" i="146"/>
  <c r="A8312" i="146"/>
  <c r="D8311" i="146"/>
  <c r="A8311" i="146"/>
  <c r="D8310" i="146"/>
  <c r="A8310" i="146"/>
  <c r="D8309" i="146"/>
  <c r="A8309" i="146"/>
  <c r="D8308" i="146"/>
  <c r="A8308" i="146"/>
  <c r="D8307" i="146"/>
  <c r="A8307" i="146"/>
  <c r="D8306" i="146"/>
  <c r="A8306" i="146"/>
  <c r="D8305" i="146"/>
  <c r="A8305" i="146"/>
  <c r="D8304" i="146"/>
  <c r="A8304" i="146"/>
  <c r="D8303" i="146"/>
  <c r="A8303" i="146"/>
  <c r="D8302" i="146"/>
  <c r="A8302" i="146"/>
  <c r="D8301" i="146"/>
  <c r="A8301" i="146"/>
  <c r="D8300" i="146"/>
  <c r="A8300" i="146"/>
  <c r="D8299" i="146"/>
  <c r="A8299" i="146"/>
  <c r="D8298" i="146"/>
  <c r="A8298" i="146"/>
  <c r="D8297" i="146"/>
  <c r="A8297" i="146"/>
  <c r="D8296" i="146"/>
  <c r="A8296" i="146"/>
  <c r="D8295" i="146"/>
  <c r="A8295" i="146"/>
  <c r="D8294" i="146"/>
  <c r="A8294" i="146"/>
  <c r="D8293" i="146"/>
  <c r="A8293" i="146"/>
  <c r="D8292" i="146"/>
  <c r="A8292" i="146"/>
  <c r="D8291" i="146"/>
  <c r="A8291" i="146"/>
  <c r="D8290" i="146"/>
  <c r="A8290" i="146"/>
  <c r="D8289" i="146"/>
  <c r="A8289" i="146"/>
  <c r="D8288" i="146"/>
  <c r="A8288" i="146"/>
  <c r="D8287" i="146"/>
  <c r="A8287" i="146"/>
  <c r="D8286" i="146"/>
  <c r="A8286" i="146"/>
  <c r="D8285" i="146"/>
  <c r="A8285" i="146"/>
  <c r="D8284" i="146"/>
  <c r="A8284" i="146"/>
  <c r="D8283" i="146"/>
  <c r="A8283" i="146"/>
  <c r="D8282" i="146"/>
  <c r="A8282" i="146"/>
  <c r="D8281" i="146"/>
  <c r="A8281" i="146"/>
  <c r="D8280" i="146"/>
  <c r="A8280" i="146"/>
  <c r="D8279" i="146"/>
  <c r="A8279" i="146"/>
  <c r="D8278" i="146"/>
  <c r="A8278" i="146"/>
  <c r="D8277" i="146"/>
  <c r="A8277" i="146"/>
  <c r="D8276" i="146"/>
  <c r="A8276" i="146"/>
  <c r="D8275" i="146"/>
  <c r="A8275" i="146"/>
  <c r="D8274" i="146"/>
  <c r="A8274" i="146"/>
  <c r="D8273" i="146"/>
  <c r="A8273" i="146"/>
  <c r="D8272" i="146"/>
  <c r="A8272" i="146"/>
  <c r="D8271" i="146"/>
  <c r="A8271" i="146"/>
  <c r="D8270" i="146"/>
  <c r="A8270" i="146"/>
  <c r="D8269" i="146"/>
  <c r="A8269" i="146"/>
  <c r="D8268" i="146"/>
  <c r="A8268" i="146"/>
  <c r="D8267" i="146"/>
  <c r="A8267" i="146"/>
  <c r="D8266" i="146"/>
  <c r="A8266" i="146"/>
  <c r="D8265" i="146"/>
  <c r="A8265" i="146"/>
  <c r="D8264" i="146"/>
  <c r="A8264" i="146"/>
  <c r="D8263" i="146"/>
  <c r="A8263" i="146"/>
  <c r="D8262" i="146"/>
  <c r="A8262" i="146"/>
  <c r="D8261" i="146"/>
  <c r="A8261" i="146"/>
  <c r="D8260" i="146"/>
  <c r="A8260" i="146"/>
  <c r="D8259" i="146"/>
  <c r="A8259" i="146"/>
  <c r="D8258" i="146"/>
  <c r="A8258" i="146"/>
  <c r="D8257" i="146"/>
  <c r="A8257" i="146"/>
  <c r="D8256" i="146"/>
  <c r="A8256" i="146"/>
  <c r="D8255" i="146"/>
  <c r="A8255" i="146"/>
  <c r="D8254" i="146"/>
  <c r="A8254" i="146"/>
  <c r="D8253" i="146"/>
  <c r="A8253" i="146"/>
  <c r="D8252" i="146"/>
  <c r="A8252" i="146"/>
  <c r="D8251" i="146"/>
  <c r="A8251" i="146"/>
  <c r="D8250" i="146"/>
  <c r="A8250" i="146"/>
  <c r="D8249" i="146"/>
  <c r="A8249" i="146"/>
  <c r="D8248" i="146"/>
  <c r="A8248" i="146"/>
  <c r="D8247" i="146"/>
  <c r="A8247" i="146"/>
  <c r="D8246" i="146"/>
  <c r="A8246" i="146"/>
  <c r="D8245" i="146"/>
  <c r="A8245" i="146"/>
  <c r="D8244" i="146"/>
  <c r="A8244" i="146"/>
  <c r="D8243" i="146"/>
  <c r="A8243" i="146"/>
  <c r="D8242" i="146"/>
  <c r="A8242" i="146"/>
  <c r="D8241" i="146"/>
  <c r="A8241" i="146"/>
  <c r="D8240" i="146"/>
  <c r="A8240" i="146"/>
  <c r="D8239" i="146"/>
  <c r="A8239" i="146"/>
  <c r="D8238" i="146"/>
  <c r="A8238" i="146"/>
  <c r="D8237" i="146"/>
  <c r="A8237" i="146"/>
  <c r="D8236" i="146"/>
  <c r="A8236" i="146"/>
  <c r="D8235" i="146"/>
  <c r="A8235" i="146"/>
  <c r="D8234" i="146"/>
  <c r="A8234" i="146"/>
  <c r="D8233" i="146"/>
  <c r="A8233" i="146"/>
  <c r="D8232" i="146"/>
  <c r="A8232" i="146"/>
  <c r="D8231" i="146"/>
  <c r="A8231" i="146"/>
  <c r="D8230" i="146"/>
  <c r="A8230" i="146"/>
  <c r="D8229" i="146"/>
  <c r="A8229" i="146"/>
  <c r="D8228" i="146"/>
  <c r="A8228" i="146"/>
  <c r="D8227" i="146"/>
  <c r="A8227" i="146"/>
  <c r="D8226" i="146"/>
  <c r="A8226" i="146"/>
  <c r="D8225" i="146"/>
  <c r="A8225" i="146"/>
  <c r="D8224" i="146"/>
  <c r="A8224" i="146"/>
  <c r="D8223" i="146"/>
  <c r="A8223" i="146"/>
  <c r="D8222" i="146"/>
  <c r="A8222" i="146"/>
  <c r="D8221" i="146"/>
  <c r="A8221" i="146"/>
  <c r="D8220" i="146"/>
  <c r="A8220" i="146"/>
  <c r="D8219" i="146"/>
  <c r="A8219" i="146"/>
  <c r="D8218" i="146"/>
  <c r="A8218" i="146"/>
  <c r="D8217" i="146"/>
  <c r="A8217" i="146"/>
  <c r="D8216" i="146"/>
  <c r="A8216" i="146"/>
  <c r="D8215" i="146"/>
  <c r="A8215" i="146"/>
  <c r="D8214" i="146"/>
  <c r="A8214" i="146"/>
  <c r="D8213" i="146"/>
  <c r="A8213" i="146"/>
  <c r="D8212" i="146"/>
  <c r="A8212" i="146"/>
  <c r="D8211" i="146"/>
  <c r="A8211" i="146"/>
  <c r="D8210" i="146"/>
  <c r="A8210" i="146"/>
  <c r="D8209" i="146"/>
  <c r="A8209" i="146"/>
  <c r="D8208" i="146"/>
  <c r="A8208" i="146"/>
  <c r="D8207" i="146"/>
  <c r="A8207" i="146"/>
  <c r="D8206" i="146"/>
  <c r="A8206" i="146"/>
  <c r="D8205" i="146"/>
  <c r="A8205" i="146"/>
  <c r="D8204" i="146"/>
  <c r="A8204" i="146"/>
  <c r="D8203" i="146"/>
  <c r="A8203" i="146"/>
  <c r="D8202" i="146"/>
  <c r="A8202" i="146"/>
  <c r="D8201" i="146"/>
  <c r="A8201" i="146"/>
  <c r="D8200" i="146"/>
  <c r="A8200" i="146"/>
  <c r="D8199" i="146"/>
  <c r="A8199" i="146"/>
  <c r="D8198" i="146"/>
  <c r="A8198" i="146"/>
  <c r="D8197" i="146"/>
  <c r="A8197" i="146"/>
  <c r="D8196" i="146"/>
  <c r="A8196" i="146"/>
  <c r="D8195" i="146"/>
  <c r="A8195" i="146"/>
  <c r="D8194" i="146"/>
  <c r="A8194" i="146"/>
  <c r="D8193" i="146"/>
  <c r="A8193" i="146"/>
  <c r="D8192" i="146"/>
  <c r="A8192" i="146"/>
  <c r="D8191" i="146"/>
  <c r="A8191" i="146"/>
  <c r="D8190" i="146"/>
  <c r="A8190" i="146"/>
  <c r="D8189" i="146"/>
  <c r="A8189" i="146"/>
  <c r="D8188" i="146"/>
  <c r="A8188" i="146"/>
  <c r="D8187" i="146"/>
  <c r="A8187" i="146"/>
  <c r="D8186" i="146"/>
  <c r="A8186" i="146"/>
  <c r="D8185" i="146"/>
  <c r="A8185" i="146"/>
  <c r="D8184" i="146"/>
  <c r="A8184" i="146"/>
  <c r="D8183" i="146"/>
  <c r="A8183" i="146"/>
  <c r="D8182" i="146"/>
  <c r="A8182" i="146"/>
  <c r="D8181" i="146"/>
  <c r="A8181" i="146"/>
  <c r="D8180" i="146"/>
  <c r="A8180" i="146"/>
  <c r="D8179" i="146"/>
  <c r="A8179" i="146"/>
  <c r="D8178" i="146"/>
  <c r="A8178" i="146"/>
  <c r="D8177" i="146"/>
  <c r="A8177" i="146"/>
  <c r="D8176" i="146"/>
  <c r="A8176" i="146"/>
  <c r="D8175" i="146"/>
  <c r="A8175" i="146"/>
  <c r="D8174" i="146"/>
  <c r="A8174" i="146"/>
  <c r="D8173" i="146"/>
  <c r="A8173" i="146"/>
  <c r="D8172" i="146"/>
  <c r="A8172" i="146"/>
  <c r="D8171" i="146"/>
  <c r="A8171" i="146"/>
  <c r="D8170" i="146"/>
  <c r="A8170" i="146"/>
  <c r="D8169" i="146"/>
  <c r="A8169" i="146"/>
  <c r="D8168" i="146"/>
  <c r="A8168" i="146"/>
  <c r="D8167" i="146"/>
  <c r="A8167" i="146"/>
  <c r="D8166" i="146"/>
  <c r="A8166" i="146"/>
  <c r="D8165" i="146"/>
  <c r="A8165" i="146"/>
  <c r="D8164" i="146"/>
  <c r="A8164" i="146"/>
  <c r="D8163" i="146"/>
  <c r="A8163" i="146"/>
  <c r="D8162" i="146"/>
  <c r="A8162" i="146"/>
  <c r="D8161" i="146"/>
  <c r="A8161" i="146"/>
  <c r="D8160" i="146"/>
  <c r="A8160" i="146"/>
  <c r="D8159" i="146"/>
  <c r="A8159" i="146"/>
  <c r="D8158" i="146"/>
  <c r="A8158" i="146"/>
  <c r="D8157" i="146"/>
  <c r="A8157" i="146"/>
  <c r="D8156" i="146"/>
  <c r="A8156" i="146"/>
  <c r="D8155" i="146"/>
  <c r="A8155" i="146"/>
  <c r="D8154" i="146"/>
  <c r="A8154" i="146"/>
  <c r="D8153" i="146"/>
  <c r="A8153" i="146"/>
  <c r="D8152" i="146"/>
  <c r="A8152" i="146"/>
  <c r="D8151" i="146"/>
  <c r="A8151" i="146"/>
  <c r="D8150" i="146"/>
  <c r="A8150" i="146"/>
  <c r="D8149" i="146"/>
  <c r="A8149" i="146"/>
  <c r="D8148" i="146"/>
  <c r="A8148" i="146"/>
  <c r="D8147" i="146"/>
  <c r="A8147" i="146"/>
  <c r="D8146" i="146"/>
  <c r="A8146" i="146"/>
  <c r="D8145" i="146"/>
  <c r="A8145" i="146"/>
  <c r="D8144" i="146"/>
  <c r="A8144" i="146"/>
  <c r="D8143" i="146"/>
  <c r="A8143" i="146"/>
  <c r="D8142" i="146"/>
  <c r="A8142" i="146"/>
  <c r="D8141" i="146"/>
  <c r="A8141" i="146"/>
  <c r="D8140" i="146"/>
  <c r="A8140" i="146"/>
  <c r="D8139" i="146"/>
  <c r="A8139" i="146"/>
  <c r="D8138" i="146"/>
  <c r="A8138" i="146"/>
  <c r="D8137" i="146"/>
  <c r="A8137" i="146"/>
  <c r="D8136" i="146"/>
  <c r="A8136" i="146"/>
  <c r="D8135" i="146"/>
  <c r="A8135" i="146"/>
  <c r="D8134" i="146"/>
  <c r="A8134" i="146"/>
  <c r="D8133" i="146"/>
  <c r="A8133" i="146"/>
  <c r="D8132" i="146"/>
  <c r="A8132" i="146"/>
  <c r="D8131" i="146"/>
  <c r="A8131" i="146"/>
  <c r="D8130" i="146"/>
  <c r="A8130" i="146"/>
  <c r="D8129" i="146"/>
  <c r="A8129" i="146"/>
  <c r="D8128" i="146"/>
  <c r="A8128" i="146"/>
  <c r="D8127" i="146"/>
  <c r="A8127" i="146"/>
  <c r="D8126" i="146"/>
  <c r="A8126" i="146"/>
  <c r="D8125" i="146"/>
  <c r="A8125" i="146"/>
  <c r="D8124" i="146"/>
  <c r="A8124" i="146"/>
  <c r="D8123" i="146"/>
  <c r="A8123" i="146"/>
  <c r="D8122" i="146"/>
  <c r="A8122" i="146"/>
  <c r="D8121" i="146"/>
  <c r="A8121" i="146"/>
  <c r="D8120" i="146"/>
  <c r="A8120" i="146"/>
  <c r="D8119" i="146"/>
  <c r="A8119" i="146"/>
  <c r="D8118" i="146"/>
  <c r="A8118" i="146"/>
  <c r="D8117" i="146"/>
  <c r="A8117" i="146"/>
  <c r="D8116" i="146"/>
  <c r="A8116" i="146"/>
  <c r="D8115" i="146"/>
  <c r="A8115" i="146"/>
  <c r="D8114" i="146"/>
  <c r="A8114" i="146"/>
  <c r="D8113" i="146"/>
  <c r="A8113" i="146"/>
  <c r="D8112" i="146"/>
  <c r="A8112" i="146"/>
  <c r="D8111" i="146"/>
  <c r="A8111" i="146"/>
  <c r="D8110" i="146"/>
  <c r="A8110" i="146"/>
  <c r="D8109" i="146"/>
  <c r="A8109" i="146"/>
  <c r="D8108" i="146"/>
  <c r="A8108" i="146"/>
  <c r="D8107" i="146"/>
  <c r="A8107" i="146"/>
  <c r="D8106" i="146"/>
  <c r="A8106" i="146"/>
  <c r="D8105" i="146"/>
  <c r="A8105" i="146"/>
  <c r="D8104" i="146"/>
  <c r="A8104" i="146"/>
  <c r="D8103" i="146"/>
  <c r="A8103" i="146"/>
  <c r="D8102" i="146"/>
  <c r="A8102" i="146"/>
  <c r="D8101" i="146"/>
  <c r="A8101" i="146"/>
  <c r="D8100" i="146"/>
  <c r="A8100" i="146"/>
  <c r="D8099" i="146"/>
  <c r="A8099" i="146"/>
  <c r="D8098" i="146"/>
  <c r="A8098" i="146"/>
  <c r="D8097" i="146"/>
  <c r="A8097" i="146"/>
  <c r="D8096" i="146"/>
  <c r="A8096" i="146"/>
  <c r="D8095" i="146"/>
  <c r="A8095" i="146"/>
  <c r="D8094" i="146"/>
  <c r="A8094" i="146"/>
  <c r="D8093" i="146"/>
  <c r="A8093" i="146"/>
  <c r="D8092" i="146"/>
  <c r="A8092" i="146"/>
  <c r="D8091" i="146"/>
  <c r="A8091" i="146"/>
  <c r="D8090" i="146"/>
  <c r="A8090" i="146"/>
  <c r="D8089" i="146"/>
  <c r="A8089" i="146"/>
  <c r="D8088" i="146"/>
  <c r="A8088" i="146"/>
  <c r="D8087" i="146"/>
  <c r="A8087" i="146"/>
  <c r="D8086" i="146"/>
  <c r="A8086" i="146"/>
  <c r="D8085" i="146"/>
  <c r="A8085" i="146"/>
  <c r="D8084" i="146"/>
  <c r="A8084" i="146"/>
  <c r="D8083" i="146"/>
  <c r="A8083" i="146"/>
  <c r="D8082" i="146"/>
  <c r="A8082" i="146"/>
  <c r="D8081" i="146"/>
  <c r="A8081" i="146"/>
  <c r="D8080" i="146"/>
  <c r="A8080" i="146"/>
  <c r="D8079" i="146"/>
  <c r="A8079" i="146"/>
  <c r="D8078" i="146"/>
  <c r="A8078" i="146"/>
  <c r="D8077" i="146"/>
  <c r="A8077" i="146"/>
  <c r="D8076" i="146"/>
  <c r="A8076" i="146"/>
  <c r="D8075" i="146"/>
  <c r="A8075" i="146"/>
  <c r="D8074" i="146"/>
  <c r="A8074" i="146"/>
  <c r="D8073" i="146"/>
  <c r="A8073" i="146"/>
  <c r="D8072" i="146"/>
  <c r="A8072" i="146"/>
  <c r="D8071" i="146"/>
  <c r="A8071" i="146"/>
  <c r="D8070" i="146"/>
  <c r="A8070" i="146"/>
  <c r="D8069" i="146"/>
  <c r="A8069" i="146"/>
  <c r="D8068" i="146"/>
  <c r="A8068" i="146"/>
  <c r="D8067" i="146"/>
  <c r="A8067" i="146"/>
  <c r="D8066" i="146"/>
  <c r="A8066" i="146"/>
  <c r="D8065" i="146"/>
  <c r="A8065" i="146"/>
  <c r="D8064" i="146"/>
  <c r="A8064" i="146"/>
  <c r="D8063" i="146"/>
  <c r="A8063" i="146"/>
  <c r="D8062" i="146"/>
  <c r="A8062" i="146"/>
  <c r="D8061" i="146"/>
  <c r="A8061" i="146"/>
  <c r="D8060" i="146"/>
  <c r="A8060" i="146"/>
  <c r="D8059" i="146"/>
  <c r="A8059" i="146"/>
  <c r="D8058" i="146"/>
  <c r="A8058" i="146"/>
  <c r="D8057" i="146"/>
  <c r="A8057" i="146"/>
  <c r="D8056" i="146"/>
  <c r="A8056" i="146"/>
  <c r="D8055" i="146"/>
  <c r="A8055" i="146"/>
  <c r="D8054" i="146"/>
  <c r="A8054" i="146"/>
  <c r="D8053" i="146"/>
  <c r="A8053" i="146"/>
  <c r="D8052" i="146"/>
  <c r="A8052" i="146"/>
  <c r="D8051" i="146"/>
  <c r="A8051" i="146"/>
  <c r="D8050" i="146"/>
  <c r="A8050" i="146"/>
  <c r="D8049" i="146"/>
  <c r="A8049" i="146"/>
  <c r="D8048" i="146"/>
  <c r="A8048" i="146"/>
  <c r="D8047" i="146"/>
  <c r="A8047" i="146"/>
  <c r="D8046" i="146"/>
  <c r="A8046" i="146"/>
  <c r="D8045" i="146"/>
  <c r="A8045" i="146"/>
  <c r="D8044" i="146"/>
  <c r="A8044" i="146"/>
  <c r="D8043" i="146"/>
  <c r="A8043" i="146"/>
  <c r="D8042" i="146"/>
  <c r="A8042" i="146"/>
  <c r="D8041" i="146"/>
  <c r="A8041" i="146"/>
  <c r="D8040" i="146"/>
  <c r="A8040" i="146"/>
  <c r="D8039" i="146"/>
  <c r="A8039" i="146"/>
  <c r="D8038" i="146"/>
  <c r="A8038" i="146"/>
  <c r="D8037" i="146"/>
  <c r="A8037" i="146"/>
  <c r="D8036" i="146"/>
  <c r="A8036" i="146"/>
  <c r="D8035" i="146"/>
  <c r="A8035" i="146"/>
  <c r="D8034" i="146"/>
  <c r="A8034" i="146"/>
  <c r="D8033" i="146"/>
  <c r="A8033" i="146"/>
  <c r="D8032" i="146"/>
  <c r="A8032" i="146"/>
  <c r="D8031" i="146"/>
  <c r="A8031" i="146"/>
  <c r="D8030" i="146"/>
  <c r="A8030" i="146"/>
  <c r="D8029" i="146"/>
  <c r="A8029" i="146"/>
  <c r="D8028" i="146"/>
  <c r="A8028" i="146"/>
  <c r="D8027" i="146"/>
  <c r="A8027" i="146"/>
  <c r="D8026" i="146"/>
  <c r="A8026" i="146"/>
  <c r="D8025" i="146"/>
  <c r="A8025" i="146"/>
  <c r="D8024" i="146"/>
  <c r="A8024" i="146"/>
  <c r="D8023" i="146"/>
  <c r="A8023" i="146"/>
  <c r="D8022" i="146"/>
  <c r="A8022" i="146"/>
  <c r="D8021" i="146"/>
  <c r="A8021" i="146"/>
  <c r="D8020" i="146"/>
  <c r="A8020" i="146"/>
  <c r="D8019" i="146"/>
  <c r="A8019" i="146"/>
  <c r="D8018" i="146"/>
  <c r="A8018" i="146"/>
  <c r="D8017" i="146"/>
  <c r="A8017" i="146"/>
  <c r="D8016" i="146"/>
  <c r="A8016" i="146"/>
  <c r="D8015" i="146"/>
  <c r="A8015" i="146"/>
  <c r="D8014" i="146"/>
  <c r="A8014" i="146"/>
  <c r="D8013" i="146"/>
  <c r="A8013" i="146"/>
  <c r="D8012" i="146"/>
  <c r="A8012" i="146"/>
  <c r="D8011" i="146"/>
  <c r="A8011" i="146"/>
  <c r="D8010" i="146"/>
  <c r="A8010" i="146"/>
  <c r="D8009" i="146"/>
  <c r="A8009" i="146"/>
  <c r="D8008" i="146"/>
  <c r="A8008" i="146"/>
  <c r="D8007" i="146"/>
  <c r="A8007" i="146"/>
  <c r="D8006" i="146"/>
  <c r="A8006" i="146"/>
  <c r="D8005" i="146"/>
  <c r="A8005" i="146"/>
  <c r="D8004" i="146"/>
  <c r="A8004" i="146"/>
  <c r="D8003" i="146"/>
  <c r="A8003" i="146"/>
  <c r="D8002" i="146"/>
  <c r="A8002" i="146"/>
  <c r="D8001" i="146"/>
  <c r="A8001" i="146"/>
  <c r="D8000" i="146"/>
  <c r="A8000" i="146"/>
  <c r="D7999" i="146"/>
  <c r="A7999" i="146"/>
  <c r="D7998" i="146"/>
  <c r="A7998" i="146"/>
  <c r="D7997" i="146"/>
  <c r="A7997" i="146"/>
  <c r="D7996" i="146"/>
  <c r="A7996" i="146"/>
  <c r="D7995" i="146"/>
  <c r="A7995" i="146"/>
  <c r="D7994" i="146"/>
  <c r="A7994" i="146"/>
  <c r="D7993" i="146"/>
  <c r="A7993" i="146"/>
  <c r="D7992" i="146"/>
  <c r="A7992" i="146"/>
  <c r="D7991" i="146"/>
  <c r="A7991" i="146"/>
  <c r="D7990" i="146"/>
  <c r="A7990" i="146"/>
  <c r="D7989" i="146"/>
  <c r="A7989" i="146"/>
  <c r="D7988" i="146"/>
  <c r="A7988" i="146"/>
  <c r="D7987" i="146"/>
  <c r="A7987" i="146"/>
  <c r="D7986" i="146"/>
  <c r="A7986" i="146"/>
  <c r="D7985" i="146"/>
  <c r="A7985" i="146"/>
  <c r="D7984" i="146"/>
  <c r="A7984" i="146"/>
  <c r="D7983" i="146"/>
  <c r="A7983" i="146"/>
  <c r="D7982" i="146"/>
  <c r="A7982" i="146"/>
  <c r="D7981" i="146"/>
  <c r="A7981" i="146"/>
  <c r="D7980" i="146"/>
  <c r="A7980" i="146"/>
  <c r="D7979" i="146"/>
  <c r="A7979" i="146"/>
  <c r="D7978" i="146"/>
  <c r="A7978" i="146"/>
  <c r="D7977" i="146"/>
  <c r="A7977" i="146"/>
  <c r="D7976" i="146"/>
  <c r="A7976" i="146"/>
  <c r="D7975" i="146"/>
  <c r="A7975" i="146"/>
  <c r="D7974" i="146"/>
  <c r="A7974" i="146"/>
  <c r="D7973" i="146"/>
  <c r="A7973" i="146"/>
  <c r="D7972" i="146"/>
  <c r="A7972" i="146"/>
  <c r="D7971" i="146"/>
  <c r="A7971" i="146"/>
  <c r="D7970" i="146"/>
  <c r="A7970" i="146"/>
  <c r="D7969" i="146"/>
  <c r="A7969" i="146"/>
  <c r="D7968" i="146"/>
  <c r="A7968" i="146"/>
  <c r="D7967" i="146"/>
  <c r="A7967" i="146"/>
  <c r="D7966" i="146"/>
  <c r="A7966" i="146"/>
  <c r="D7965" i="146"/>
  <c r="A7965" i="146"/>
  <c r="D7964" i="146"/>
  <c r="A7964" i="146"/>
  <c r="D7963" i="146"/>
  <c r="A7963" i="146"/>
  <c r="D7962" i="146"/>
  <c r="A7962" i="146"/>
  <c r="D7961" i="146"/>
  <c r="A7961" i="146"/>
  <c r="D7960" i="146"/>
  <c r="A7960" i="146"/>
  <c r="D7959" i="146"/>
  <c r="A7959" i="146"/>
  <c r="D7958" i="146"/>
  <c r="A7958" i="146"/>
  <c r="D7957" i="146"/>
  <c r="A7957" i="146"/>
  <c r="D7956" i="146"/>
  <c r="A7956" i="146"/>
  <c r="D7955" i="146"/>
  <c r="A7955" i="146"/>
  <c r="D7954" i="146"/>
  <c r="A7954" i="146"/>
  <c r="D7953" i="146"/>
  <c r="A7953" i="146"/>
  <c r="D7952" i="146"/>
  <c r="A7952" i="146"/>
  <c r="D7951" i="146"/>
  <c r="A7951" i="146"/>
  <c r="D7950" i="146"/>
  <c r="A7950" i="146"/>
  <c r="D7949" i="146"/>
  <c r="A7949" i="146"/>
  <c r="D7948" i="146"/>
  <c r="A7948" i="146"/>
  <c r="D7947" i="146"/>
  <c r="A7947" i="146"/>
  <c r="D7946" i="146"/>
  <c r="A7946" i="146"/>
  <c r="D7945" i="146"/>
  <c r="A7945" i="146"/>
  <c r="D7944" i="146"/>
  <c r="A7944" i="146"/>
  <c r="D7943" i="146"/>
  <c r="A7943" i="146"/>
  <c r="D7942" i="146"/>
  <c r="A7942" i="146"/>
  <c r="D7941" i="146"/>
  <c r="A7941" i="146"/>
  <c r="D7940" i="146"/>
  <c r="A7940" i="146"/>
  <c r="D7939" i="146"/>
  <c r="A7939" i="146"/>
  <c r="D7938" i="146"/>
  <c r="A7938" i="146"/>
  <c r="D7937" i="146"/>
  <c r="A7937" i="146"/>
  <c r="D7936" i="146"/>
  <c r="A7936" i="146"/>
  <c r="D7935" i="146"/>
  <c r="A7935" i="146"/>
  <c r="D7934" i="146"/>
  <c r="A7934" i="146"/>
  <c r="D7933" i="146"/>
  <c r="A7933" i="146"/>
  <c r="D7932" i="146"/>
  <c r="A7932" i="146"/>
  <c r="D7931" i="146"/>
  <c r="A7931" i="146"/>
  <c r="D7930" i="146"/>
  <c r="A7930" i="146"/>
  <c r="D7929" i="146"/>
  <c r="A7929" i="146"/>
  <c r="D7928" i="146"/>
  <c r="A7928" i="146"/>
  <c r="D7927" i="146"/>
  <c r="A7927" i="146"/>
  <c r="D7926" i="146"/>
  <c r="A7926" i="146"/>
  <c r="D7925" i="146"/>
  <c r="A7925" i="146"/>
  <c r="D7924" i="146"/>
  <c r="A7924" i="146"/>
  <c r="D7923" i="146"/>
  <c r="A7923" i="146"/>
  <c r="D7922" i="146"/>
  <c r="A7922" i="146"/>
  <c r="D7921" i="146"/>
  <c r="A7921" i="146"/>
  <c r="D7920" i="146"/>
  <c r="A7920" i="146"/>
  <c r="D7919" i="146"/>
  <c r="A7919" i="146"/>
  <c r="D7918" i="146"/>
  <c r="A7918" i="146"/>
  <c r="D7917" i="146"/>
  <c r="A7917" i="146"/>
  <c r="D7916" i="146"/>
  <c r="A7916" i="146"/>
  <c r="D7915" i="146"/>
  <c r="A7915" i="146"/>
  <c r="D7914" i="146"/>
  <c r="A7914" i="146"/>
  <c r="D7913" i="146"/>
  <c r="A7913" i="146"/>
  <c r="D7912" i="146"/>
  <c r="A7912" i="146"/>
  <c r="D7911" i="146"/>
  <c r="A7911" i="146"/>
  <c r="D7910" i="146"/>
  <c r="A7910" i="146"/>
  <c r="D7909" i="146"/>
  <c r="A7909" i="146"/>
  <c r="D7908" i="146"/>
  <c r="A7908" i="146"/>
  <c r="D7907" i="146"/>
  <c r="A7907" i="146"/>
  <c r="D7906" i="146"/>
  <c r="A7906" i="146"/>
  <c r="D7905" i="146"/>
  <c r="A7905" i="146"/>
  <c r="D7904" i="146"/>
  <c r="A7904" i="146"/>
  <c r="D7903" i="146"/>
  <c r="A7903" i="146"/>
  <c r="D7902" i="146"/>
  <c r="A7902" i="146"/>
  <c r="D7901" i="146"/>
  <c r="A7901" i="146"/>
  <c r="D7900" i="146"/>
  <c r="A7900" i="146"/>
  <c r="D7899" i="146"/>
  <c r="A7899" i="146"/>
  <c r="D7898" i="146"/>
  <c r="A7898" i="146"/>
  <c r="D7897" i="146"/>
  <c r="A7897" i="146"/>
  <c r="D7896" i="146"/>
  <c r="A7896" i="146"/>
  <c r="D7895" i="146"/>
  <c r="A7895" i="146"/>
  <c r="D7894" i="146"/>
  <c r="A7894" i="146"/>
  <c r="D7893" i="146"/>
  <c r="A7893" i="146"/>
  <c r="D7892" i="146"/>
  <c r="A7892" i="146"/>
  <c r="D7891" i="146"/>
  <c r="A7891" i="146"/>
  <c r="D7890" i="146"/>
  <c r="A7890" i="146"/>
  <c r="D7889" i="146"/>
  <c r="A7889" i="146"/>
  <c r="D7888" i="146"/>
  <c r="A7888" i="146"/>
  <c r="D7887" i="146"/>
  <c r="A7887" i="146"/>
  <c r="D7886" i="146"/>
  <c r="A7886" i="146"/>
  <c r="D7885" i="146"/>
  <c r="A7885" i="146"/>
  <c r="D7884" i="146"/>
  <c r="A7884" i="146"/>
  <c r="D7883" i="146"/>
  <c r="A7883" i="146"/>
  <c r="D7882" i="146"/>
  <c r="A7882" i="146"/>
  <c r="D7881" i="146"/>
  <c r="A7881" i="146"/>
  <c r="D7880" i="146"/>
  <c r="A7880" i="146"/>
  <c r="D7879" i="146"/>
  <c r="A7879" i="146"/>
  <c r="D7878" i="146"/>
  <c r="A7878" i="146"/>
  <c r="D7877" i="146"/>
  <c r="A7877" i="146"/>
  <c r="D7876" i="146"/>
  <c r="A7876" i="146"/>
  <c r="D7875" i="146"/>
  <c r="A7875" i="146"/>
  <c r="D7874" i="146"/>
  <c r="A7874" i="146"/>
  <c r="D7873" i="146"/>
  <c r="A7873" i="146"/>
  <c r="D7872" i="146"/>
  <c r="A7872" i="146"/>
  <c r="D7871" i="146"/>
  <c r="A7871" i="146"/>
  <c r="D7870" i="146"/>
  <c r="A7870" i="146"/>
  <c r="D7869" i="146"/>
  <c r="A7869" i="146"/>
  <c r="D7868" i="146"/>
  <c r="A7868" i="146"/>
  <c r="D7867" i="146"/>
  <c r="A7867" i="146"/>
  <c r="D7866" i="146"/>
  <c r="A7866" i="146"/>
  <c r="D7865" i="146"/>
  <c r="A7865" i="146"/>
  <c r="D7864" i="146"/>
  <c r="A7864" i="146"/>
  <c r="D7863" i="146"/>
  <c r="A7863" i="146"/>
  <c r="D7862" i="146"/>
  <c r="A7862" i="146"/>
  <c r="D7861" i="146"/>
  <c r="A7861" i="146"/>
  <c r="D7860" i="146"/>
  <c r="A7860" i="146"/>
  <c r="D7859" i="146"/>
  <c r="A7859" i="146"/>
  <c r="D7858" i="146"/>
  <c r="A7858" i="146"/>
  <c r="D7857" i="146"/>
  <c r="A7857" i="146"/>
  <c r="D7856" i="146"/>
  <c r="A7856" i="146"/>
  <c r="D7855" i="146"/>
  <c r="A7855" i="146"/>
  <c r="D7854" i="146"/>
  <c r="A7854" i="146"/>
  <c r="D7853" i="146"/>
  <c r="A7853" i="146"/>
  <c r="D7852" i="146"/>
  <c r="A7852" i="146"/>
  <c r="D7851" i="146"/>
  <c r="A7851" i="146"/>
  <c r="D7850" i="146"/>
  <c r="A7850" i="146"/>
  <c r="D7849" i="146"/>
  <c r="A7849" i="146"/>
  <c r="D7848" i="146"/>
  <c r="A7848" i="146"/>
  <c r="D7847" i="146"/>
  <c r="A7847" i="146"/>
  <c r="D7846" i="146"/>
  <c r="A7846" i="146"/>
  <c r="D7845" i="146"/>
  <c r="A7845" i="146"/>
  <c r="D7844" i="146"/>
  <c r="A7844" i="146"/>
  <c r="D7843" i="146"/>
  <c r="A7843" i="146"/>
  <c r="D7842" i="146"/>
  <c r="A7842" i="146"/>
  <c r="D7841" i="146"/>
  <c r="A7841" i="146"/>
  <c r="D7840" i="146"/>
  <c r="A7840" i="146"/>
  <c r="D7839" i="146"/>
  <c r="A7839" i="146"/>
  <c r="D7838" i="146"/>
  <c r="A7838" i="146"/>
  <c r="D7837" i="146"/>
  <c r="A7837" i="146"/>
  <c r="D7836" i="146"/>
  <c r="A7836" i="146"/>
  <c r="D7835" i="146"/>
  <c r="A7835" i="146"/>
  <c r="D7834" i="146"/>
  <c r="A7834" i="146"/>
  <c r="D7833" i="146"/>
  <c r="A7833" i="146"/>
  <c r="D7832" i="146"/>
  <c r="A7832" i="146"/>
  <c r="D7831" i="146"/>
  <c r="A7831" i="146"/>
  <c r="D7830" i="146"/>
  <c r="A7830" i="146"/>
  <c r="D7829" i="146"/>
  <c r="A7829" i="146"/>
  <c r="D7828" i="146"/>
  <c r="A7828" i="146"/>
  <c r="D7827" i="146"/>
  <c r="A7827" i="146"/>
  <c r="D7826" i="146"/>
  <c r="A7826" i="146"/>
  <c r="D7825" i="146"/>
  <c r="A7825" i="146"/>
  <c r="D7824" i="146"/>
  <c r="A7824" i="146"/>
  <c r="D7823" i="146"/>
  <c r="A7823" i="146"/>
  <c r="D7822" i="146"/>
  <c r="A7822" i="146"/>
  <c r="D7821" i="146"/>
  <c r="A7821" i="146"/>
  <c r="D7820" i="146"/>
  <c r="A7820" i="146"/>
  <c r="D7819" i="146"/>
  <c r="A7819" i="146"/>
  <c r="D7818" i="146"/>
  <c r="A7818" i="146"/>
  <c r="D7817" i="146"/>
  <c r="A7817" i="146"/>
  <c r="D7816" i="146"/>
  <c r="A7816" i="146"/>
  <c r="D7815" i="146"/>
  <c r="A7815" i="146"/>
  <c r="D7814" i="146"/>
  <c r="A7814" i="146"/>
  <c r="D7813" i="146"/>
  <c r="A7813" i="146"/>
  <c r="D7812" i="146"/>
  <c r="A7812" i="146"/>
  <c r="D7811" i="146"/>
  <c r="A7811" i="146"/>
  <c r="D7810" i="146"/>
  <c r="A7810" i="146"/>
  <c r="D7809" i="146"/>
  <c r="A7809" i="146"/>
  <c r="D7808" i="146"/>
  <c r="A7808" i="146"/>
  <c r="D7807" i="146"/>
  <c r="A7807" i="146"/>
  <c r="D7806" i="146"/>
  <c r="A7806" i="146"/>
  <c r="D7805" i="146"/>
  <c r="A7805" i="146"/>
  <c r="D7804" i="146"/>
  <c r="A7804" i="146"/>
  <c r="D7803" i="146"/>
  <c r="A7803" i="146"/>
  <c r="D7802" i="146"/>
  <c r="A7802" i="146"/>
  <c r="D7801" i="146"/>
  <c r="A7801" i="146"/>
  <c r="D7800" i="146"/>
  <c r="A7800" i="146"/>
  <c r="D7799" i="146"/>
  <c r="A7799" i="146"/>
  <c r="D7798" i="146"/>
  <c r="A7798" i="146"/>
  <c r="D7797" i="146"/>
  <c r="A7797" i="146"/>
  <c r="D7796" i="146"/>
  <c r="A7796" i="146"/>
  <c r="D7795" i="146"/>
  <c r="A7795" i="146"/>
  <c r="D7794" i="146"/>
  <c r="A7794" i="146"/>
  <c r="D7793" i="146"/>
  <c r="A7793" i="146"/>
  <c r="D7792" i="146"/>
  <c r="A7792" i="146"/>
  <c r="D7791" i="146"/>
  <c r="A7791" i="146"/>
  <c r="D7790" i="146"/>
  <c r="A7790" i="146"/>
  <c r="D7789" i="146"/>
  <c r="A7789" i="146"/>
  <c r="D7788" i="146"/>
  <c r="A7788" i="146"/>
  <c r="D7787" i="146"/>
  <c r="A7787" i="146"/>
  <c r="D7786" i="146"/>
  <c r="A7786" i="146"/>
  <c r="D7785" i="146"/>
  <c r="A7785" i="146"/>
  <c r="D7784" i="146"/>
  <c r="A7784" i="146"/>
  <c r="D7783" i="146"/>
  <c r="A7783" i="146"/>
  <c r="D7782" i="146"/>
  <c r="A7782" i="146"/>
  <c r="D7781" i="146"/>
  <c r="A7781" i="146"/>
  <c r="D7780" i="146"/>
  <c r="A7780" i="146"/>
  <c r="D7779" i="146"/>
  <c r="A7779" i="146"/>
  <c r="D7778" i="146"/>
  <c r="A7778" i="146"/>
  <c r="D7777" i="146"/>
  <c r="A7777" i="146"/>
  <c r="D7776" i="146"/>
  <c r="A7776" i="146"/>
  <c r="D7775" i="146"/>
  <c r="A7775" i="146"/>
  <c r="D7774" i="146"/>
  <c r="A7774" i="146"/>
  <c r="D7773" i="146"/>
  <c r="A7773" i="146"/>
  <c r="D7772" i="146"/>
  <c r="A7772" i="146"/>
  <c r="D7771" i="146"/>
  <c r="A7771" i="146"/>
  <c r="D7770" i="146"/>
  <c r="A7770" i="146"/>
  <c r="D7769" i="146"/>
  <c r="A7769" i="146"/>
  <c r="D7768" i="146"/>
  <c r="A7768" i="146"/>
  <c r="D7767" i="146"/>
  <c r="A7767" i="146"/>
  <c r="D7766" i="146"/>
  <c r="A7766" i="146"/>
  <c r="D7765" i="146"/>
  <c r="A7765" i="146"/>
  <c r="D7764" i="146"/>
  <c r="A7764" i="146"/>
  <c r="D7763" i="146"/>
  <c r="A7763" i="146"/>
  <c r="D7762" i="146"/>
  <c r="A7762" i="146"/>
  <c r="D7761" i="146"/>
  <c r="A7761" i="146"/>
  <c r="D7760" i="146"/>
  <c r="A7760" i="146"/>
  <c r="D7759" i="146"/>
  <c r="A7759" i="146"/>
  <c r="D7758" i="146"/>
  <c r="A7758" i="146"/>
  <c r="D7757" i="146"/>
  <c r="A7757" i="146"/>
  <c r="D7756" i="146"/>
  <c r="A7756" i="146"/>
  <c r="D7755" i="146"/>
  <c r="A7755" i="146"/>
  <c r="D7754" i="146"/>
  <c r="A7754" i="146"/>
  <c r="D7753" i="146"/>
  <c r="A7753" i="146"/>
  <c r="D7752" i="146"/>
  <c r="A7752" i="146"/>
  <c r="D7751" i="146"/>
  <c r="A7751" i="146"/>
  <c r="D7750" i="146"/>
  <c r="A7750" i="146"/>
  <c r="D7749" i="146"/>
  <c r="A7749" i="146"/>
  <c r="D7748" i="146"/>
  <c r="A7748" i="146"/>
  <c r="D7747" i="146"/>
  <c r="A7747" i="146"/>
  <c r="D7746" i="146"/>
  <c r="A7746" i="146"/>
  <c r="D7745" i="146"/>
  <c r="A7745" i="146"/>
  <c r="D7744" i="146"/>
  <c r="A7744" i="146"/>
  <c r="D7743" i="146"/>
  <c r="A7743" i="146"/>
  <c r="D7742" i="146"/>
  <c r="A7742" i="146"/>
  <c r="D7741" i="146"/>
  <c r="A7741" i="146"/>
  <c r="D7740" i="146"/>
  <c r="A7740" i="146"/>
  <c r="D7739" i="146"/>
  <c r="A7739" i="146"/>
  <c r="D7738" i="146"/>
  <c r="A7738" i="146"/>
  <c r="D7737" i="146"/>
  <c r="A7737" i="146"/>
  <c r="D7736" i="146"/>
  <c r="A7736" i="146"/>
  <c r="D7735" i="146"/>
  <c r="A7735" i="146"/>
  <c r="D7734" i="146"/>
  <c r="A7734" i="146"/>
  <c r="D7733" i="146"/>
  <c r="A7733" i="146"/>
  <c r="D7732" i="146"/>
  <c r="A7732" i="146"/>
  <c r="D7731" i="146"/>
  <c r="A7731" i="146"/>
  <c r="D7730" i="146"/>
  <c r="A7730" i="146"/>
  <c r="D7729" i="146"/>
  <c r="A7729" i="146"/>
  <c r="D7728" i="146"/>
  <c r="A7728" i="146"/>
  <c r="D7727" i="146"/>
  <c r="A7727" i="146"/>
  <c r="D7726" i="146"/>
  <c r="A7726" i="146"/>
  <c r="D7725" i="146"/>
  <c r="A7725" i="146"/>
  <c r="D7724" i="146"/>
  <c r="A7724" i="146"/>
  <c r="D7723" i="146"/>
  <c r="A7723" i="146"/>
  <c r="D7722" i="146"/>
  <c r="A7722" i="146"/>
  <c r="D7721" i="146"/>
  <c r="A7721" i="146"/>
  <c r="D7720" i="146"/>
  <c r="A7720" i="146"/>
  <c r="D7719" i="146"/>
  <c r="A7719" i="146"/>
  <c r="D7718" i="146"/>
  <c r="A7718" i="146"/>
  <c r="D7717" i="146"/>
  <c r="A7717" i="146"/>
  <c r="D7716" i="146"/>
  <c r="A7716" i="146"/>
  <c r="D7715" i="146"/>
  <c r="A7715" i="146"/>
  <c r="D7714" i="146"/>
  <c r="A7714" i="146"/>
  <c r="D7713" i="146"/>
  <c r="A7713" i="146"/>
  <c r="D7712" i="146"/>
  <c r="A7712" i="146"/>
  <c r="D7711" i="146"/>
  <c r="A7711" i="146"/>
  <c r="D7710" i="146"/>
  <c r="A7710" i="146"/>
  <c r="D7709" i="146"/>
  <c r="A7709" i="146"/>
  <c r="D7708" i="146"/>
  <c r="A7708" i="146"/>
  <c r="D7707" i="146"/>
  <c r="A7707" i="146"/>
  <c r="D7706" i="146"/>
  <c r="A7706" i="146"/>
  <c r="D7705" i="146"/>
  <c r="A7705" i="146"/>
  <c r="D7704" i="146"/>
  <c r="A7704" i="146"/>
  <c r="D7703" i="146"/>
  <c r="A7703" i="146"/>
  <c r="D7702" i="146"/>
  <c r="A7702" i="146"/>
  <c r="D7701" i="146"/>
  <c r="A7701" i="146"/>
  <c r="D7700" i="146"/>
  <c r="A7700" i="146"/>
  <c r="D7699" i="146"/>
  <c r="A7699" i="146"/>
  <c r="D7698" i="146"/>
  <c r="A7698" i="146"/>
  <c r="D7697" i="146"/>
  <c r="A7697" i="146"/>
  <c r="D7696" i="146"/>
  <c r="A7696" i="146"/>
  <c r="D7695" i="146"/>
  <c r="A7695" i="146"/>
  <c r="D7694" i="146"/>
  <c r="A7694" i="146"/>
  <c r="D7693" i="146"/>
  <c r="A7693" i="146"/>
  <c r="D7692" i="146"/>
  <c r="A7692" i="146"/>
  <c r="D7691" i="146"/>
  <c r="A7691" i="146"/>
  <c r="D7690" i="146"/>
  <c r="A7690" i="146"/>
  <c r="D7689" i="146"/>
  <c r="A7689" i="146"/>
  <c r="D7688" i="146"/>
  <c r="A7688" i="146"/>
  <c r="D7687" i="146"/>
  <c r="A7687" i="146"/>
  <c r="D7686" i="146"/>
  <c r="A7686" i="146"/>
  <c r="D7685" i="146"/>
  <c r="A7685" i="146"/>
  <c r="D7684" i="146"/>
  <c r="A7684" i="146"/>
  <c r="D7683" i="146"/>
  <c r="A7683" i="146"/>
  <c r="D7682" i="146"/>
  <c r="A7682" i="146"/>
  <c r="D7681" i="146"/>
  <c r="A7681" i="146"/>
  <c r="D7680" i="146"/>
  <c r="A7680" i="146"/>
  <c r="D7679" i="146"/>
  <c r="A7679" i="146"/>
  <c r="D7678" i="146"/>
  <c r="A7678" i="146"/>
  <c r="D7677" i="146"/>
  <c r="A7677" i="146"/>
  <c r="D7676" i="146"/>
  <c r="A7676" i="146"/>
  <c r="D7675" i="146"/>
  <c r="A7675" i="146"/>
  <c r="D7674" i="146"/>
  <c r="A7674" i="146"/>
  <c r="D7673" i="146"/>
  <c r="A7673" i="146"/>
  <c r="D7672" i="146"/>
  <c r="A7672" i="146"/>
  <c r="D7671" i="146"/>
  <c r="A7671" i="146"/>
  <c r="D7670" i="146"/>
  <c r="A7670" i="146"/>
  <c r="D7669" i="146"/>
  <c r="A7669" i="146"/>
  <c r="D7668" i="146"/>
  <c r="A7668" i="146"/>
  <c r="D7667" i="146"/>
  <c r="A7667" i="146"/>
  <c r="D7666" i="146"/>
  <c r="A7666" i="146"/>
  <c r="D7665" i="146"/>
  <c r="A7665" i="146"/>
  <c r="D7664" i="146"/>
  <c r="A7664" i="146"/>
  <c r="D7663" i="146"/>
  <c r="A7663" i="146"/>
  <c r="D7662" i="146"/>
  <c r="A7662" i="146"/>
  <c r="D7661" i="146"/>
  <c r="A7661" i="146"/>
  <c r="D7660" i="146"/>
  <c r="A7660" i="146"/>
  <c r="D7659" i="146"/>
  <c r="A7659" i="146"/>
  <c r="D7658" i="146"/>
  <c r="A7658" i="146"/>
  <c r="D7657" i="146"/>
  <c r="A7657" i="146"/>
  <c r="D7656" i="146"/>
  <c r="A7656" i="146"/>
  <c r="D7655" i="146"/>
  <c r="A7655" i="146"/>
  <c r="D7654" i="146"/>
  <c r="A7654" i="146"/>
  <c r="D7653" i="146"/>
  <c r="A7653" i="146"/>
  <c r="D7652" i="146"/>
  <c r="A7652" i="146"/>
  <c r="D7651" i="146"/>
  <c r="A7651" i="146"/>
  <c r="D7650" i="146"/>
  <c r="A7650" i="146"/>
  <c r="D7649" i="146"/>
  <c r="A7649" i="146"/>
  <c r="D7648" i="146"/>
  <c r="A7648" i="146"/>
  <c r="D7647" i="146"/>
  <c r="A7647" i="146"/>
  <c r="D7646" i="146"/>
  <c r="A7646" i="146"/>
  <c r="D7645" i="146"/>
  <c r="A7645" i="146"/>
  <c r="D7644" i="146"/>
  <c r="A7644" i="146"/>
  <c r="D7643" i="146"/>
  <c r="A7643" i="146"/>
  <c r="D7642" i="146"/>
  <c r="A7642" i="146"/>
  <c r="D7641" i="146"/>
  <c r="A7641" i="146"/>
  <c r="D7640" i="146"/>
  <c r="A7640" i="146"/>
  <c r="D7639" i="146"/>
  <c r="A7639" i="146"/>
  <c r="D7638" i="146"/>
  <c r="A7638" i="146"/>
  <c r="D7637" i="146"/>
  <c r="A7637" i="146"/>
  <c r="D7636" i="146"/>
  <c r="A7636" i="146"/>
  <c r="D7635" i="146"/>
  <c r="A7635" i="146"/>
  <c r="D7634" i="146"/>
  <c r="A7634" i="146"/>
  <c r="D7633" i="146"/>
  <c r="A7633" i="146"/>
  <c r="D7632" i="146"/>
  <c r="A7632" i="146"/>
  <c r="D7631" i="146"/>
  <c r="A7631" i="146"/>
  <c r="D7630" i="146"/>
  <c r="A7630" i="146"/>
  <c r="D7629" i="146"/>
  <c r="A7629" i="146"/>
  <c r="D7628" i="146"/>
  <c r="A7628" i="146"/>
  <c r="D7627" i="146"/>
  <c r="A7627" i="146"/>
  <c r="D7626" i="146"/>
  <c r="A7626" i="146"/>
  <c r="D7625" i="146"/>
  <c r="A7625" i="146"/>
  <c r="D7624" i="146"/>
  <c r="A7624" i="146"/>
  <c r="D7623" i="146"/>
  <c r="A7623" i="146"/>
  <c r="D7622" i="146"/>
  <c r="A7622" i="146"/>
  <c r="D7621" i="146"/>
  <c r="A7621" i="146"/>
  <c r="D7620" i="146"/>
  <c r="A7620" i="146"/>
  <c r="D7619" i="146"/>
  <c r="A7619" i="146"/>
  <c r="D7618" i="146"/>
  <c r="A7618" i="146"/>
  <c r="D7617" i="146"/>
  <c r="A7617" i="146"/>
  <c r="D7616" i="146"/>
  <c r="A7616" i="146"/>
  <c r="D7615" i="146"/>
  <c r="A7615" i="146"/>
  <c r="D7614" i="146"/>
  <c r="A7614" i="146"/>
  <c r="D7613" i="146"/>
  <c r="A7613" i="146"/>
  <c r="D7612" i="146"/>
  <c r="A7612" i="146"/>
  <c r="D7611" i="146"/>
  <c r="A7611" i="146"/>
  <c r="D7610" i="146"/>
  <c r="A7610" i="146"/>
  <c r="D7609" i="146"/>
  <c r="A7609" i="146"/>
  <c r="D7608" i="146"/>
  <c r="A7608" i="146"/>
  <c r="D7607" i="146"/>
  <c r="A7607" i="146"/>
  <c r="D7606" i="146"/>
  <c r="A7606" i="146"/>
  <c r="D7605" i="146"/>
  <c r="A7605" i="146"/>
  <c r="D7604" i="146"/>
  <c r="A7604" i="146"/>
  <c r="D7603" i="146"/>
  <c r="A7603" i="146"/>
  <c r="D7602" i="146"/>
  <c r="A7602" i="146"/>
  <c r="D7601" i="146"/>
  <c r="A7601" i="146"/>
  <c r="D7600" i="146"/>
  <c r="A7600" i="146"/>
  <c r="D7599" i="146"/>
  <c r="A7599" i="146"/>
  <c r="D7598" i="146"/>
  <c r="A7598" i="146"/>
  <c r="D7597" i="146"/>
  <c r="A7597" i="146"/>
  <c r="D7596" i="146"/>
  <c r="A7596" i="146"/>
  <c r="D7595" i="146"/>
  <c r="A7595" i="146"/>
  <c r="D7594" i="146"/>
  <c r="A7594" i="146"/>
  <c r="D7593" i="146"/>
  <c r="A7593" i="146"/>
  <c r="D7592" i="146"/>
  <c r="A7592" i="146"/>
  <c r="D7591" i="146"/>
  <c r="A7591" i="146"/>
  <c r="D7590" i="146"/>
  <c r="A7590" i="146"/>
  <c r="D7589" i="146"/>
  <c r="A7589" i="146"/>
  <c r="D7588" i="146"/>
  <c r="A7588" i="146"/>
  <c r="D7587" i="146"/>
  <c r="A7587" i="146"/>
  <c r="D7586" i="146"/>
  <c r="A7586" i="146"/>
  <c r="D7585" i="146"/>
  <c r="A7585" i="146"/>
  <c r="D7584" i="146"/>
  <c r="A7584" i="146"/>
  <c r="D7583" i="146"/>
  <c r="A7583" i="146"/>
  <c r="D7582" i="146"/>
  <c r="A7582" i="146"/>
  <c r="D7581" i="146"/>
  <c r="A7581" i="146"/>
  <c r="D7580" i="146"/>
  <c r="A7580" i="146"/>
  <c r="D7579" i="146"/>
  <c r="A7579" i="146"/>
  <c r="D7578" i="146"/>
  <c r="A7578" i="146"/>
  <c r="D7577" i="146"/>
  <c r="A7577" i="146"/>
  <c r="D7576" i="146"/>
  <c r="A7576" i="146"/>
  <c r="D7575" i="146"/>
  <c r="A7575" i="146"/>
  <c r="D7574" i="146"/>
  <c r="A7574" i="146"/>
  <c r="D7573" i="146"/>
  <c r="A7573" i="146"/>
  <c r="D7572" i="146"/>
  <c r="A7572" i="146"/>
  <c r="D7571" i="146"/>
  <c r="A7571" i="146"/>
  <c r="D7570" i="146"/>
  <c r="A7570" i="146"/>
  <c r="D7569" i="146"/>
  <c r="A7569" i="146"/>
  <c r="D7568" i="146"/>
  <c r="A7568" i="146"/>
  <c r="D7567" i="146"/>
  <c r="A7567" i="146"/>
  <c r="D7566" i="146"/>
  <c r="A7566" i="146"/>
  <c r="D7565" i="146"/>
  <c r="A7565" i="146"/>
  <c r="D7564" i="146"/>
  <c r="A7564" i="146"/>
  <c r="D7563" i="146"/>
  <c r="A7563" i="146"/>
  <c r="D7562" i="146"/>
  <c r="A7562" i="146"/>
  <c r="D7561" i="146"/>
  <c r="A7561" i="146"/>
  <c r="D7560" i="146"/>
  <c r="A7560" i="146"/>
  <c r="D7559" i="146"/>
  <c r="A7559" i="146"/>
  <c r="D7558" i="146"/>
  <c r="A7558" i="146"/>
  <c r="D7557" i="146"/>
  <c r="A7557" i="146"/>
  <c r="D7556" i="146"/>
  <c r="A7556" i="146"/>
  <c r="D7555" i="146"/>
  <c r="A7555" i="146"/>
  <c r="D7554" i="146"/>
  <c r="A7554" i="146"/>
  <c r="D7553" i="146"/>
  <c r="A7553" i="146"/>
  <c r="D7552" i="146"/>
  <c r="A7552" i="146"/>
  <c r="D7551" i="146"/>
  <c r="A7551" i="146"/>
  <c r="D7550" i="146"/>
  <c r="A7550" i="146"/>
  <c r="D7549" i="146"/>
  <c r="A7549" i="146"/>
  <c r="D7548" i="146"/>
  <c r="A7548" i="146"/>
  <c r="D7547" i="146"/>
  <c r="A7547" i="146"/>
  <c r="D7546" i="146"/>
  <c r="A7546" i="146"/>
  <c r="D7545" i="146"/>
  <c r="A7545" i="146"/>
  <c r="D7544" i="146"/>
  <c r="A7544" i="146"/>
  <c r="D7543" i="146"/>
  <c r="A7543" i="146"/>
  <c r="D7542" i="146"/>
  <c r="A7542" i="146"/>
  <c r="D7541" i="146"/>
  <c r="A7541" i="146"/>
  <c r="D7540" i="146"/>
  <c r="A7540" i="146"/>
  <c r="D7539" i="146"/>
  <c r="A7539" i="146"/>
  <c r="D7538" i="146"/>
  <c r="A7538" i="146"/>
  <c r="D7537" i="146"/>
  <c r="A7537" i="146"/>
  <c r="D7536" i="146"/>
  <c r="A7536" i="146"/>
  <c r="D7535" i="146"/>
  <c r="A7535" i="146"/>
  <c r="D7534" i="146"/>
  <c r="A7534" i="146"/>
  <c r="D7533" i="146"/>
  <c r="A7533" i="146"/>
  <c r="D7532" i="146"/>
  <c r="A7532" i="146"/>
  <c r="D7531" i="146"/>
  <c r="A7531" i="146"/>
  <c r="D7530" i="146"/>
  <c r="A7530" i="146"/>
  <c r="D7529" i="146"/>
  <c r="A7529" i="146"/>
  <c r="D7528" i="146"/>
  <c r="A7528" i="146"/>
  <c r="D7527" i="146"/>
  <c r="A7527" i="146"/>
  <c r="D7526" i="146"/>
  <c r="A7526" i="146"/>
  <c r="D7525" i="146"/>
  <c r="A7525" i="146"/>
  <c r="D7524" i="146"/>
  <c r="A7524" i="146"/>
  <c r="D7523" i="146"/>
  <c r="A7523" i="146"/>
  <c r="D7522" i="146"/>
  <c r="A7522" i="146"/>
  <c r="D7521" i="146"/>
  <c r="A7521" i="146"/>
  <c r="D7520" i="146"/>
  <c r="A7520" i="146"/>
  <c r="D7519" i="146"/>
  <c r="A7519" i="146"/>
  <c r="D7518" i="146"/>
  <c r="A7518" i="146"/>
  <c r="D7517" i="146"/>
  <c r="A7517" i="146"/>
  <c r="D7516" i="146"/>
  <c r="A7516" i="146"/>
  <c r="D7515" i="146"/>
  <c r="A7515" i="146"/>
  <c r="D7514" i="146"/>
  <c r="A7514" i="146"/>
  <c r="D7513" i="146"/>
  <c r="A7513" i="146"/>
  <c r="D7512" i="146"/>
  <c r="A7512" i="146"/>
  <c r="D7511" i="146"/>
  <c r="A7511" i="146"/>
  <c r="D7510" i="146"/>
  <c r="A7510" i="146"/>
  <c r="D7509" i="146"/>
  <c r="A7509" i="146"/>
  <c r="D7508" i="146"/>
  <c r="A7508" i="146"/>
  <c r="D7507" i="146"/>
  <c r="A7507" i="146"/>
  <c r="D7506" i="146"/>
  <c r="A7506" i="146"/>
  <c r="D7505" i="146"/>
  <c r="A7505" i="146"/>
  <c r="D7504" i="146"/>
  <c r="A7504" i="146"/>
  <c r="D7503" i="146"/>
  <c r="A7503" i="146"/>
  <c r="D7502" i="146"/>
  <c r="A7502" i="146"/>
  <c r="D7501" i="146"/>
  <c r="A7501" i="146"/>
  <c r="D7500" i="146"/>
  <c r="A7500" i="146"/>
  <c r="D7499" i="146"/>
  <c r="A7499" i="146"/>
  <c r="D7498" i="146"/>
  <c r="A7498" i="146"/>
  <c r="D7497" i="146"/>
  <c r="A7497" i="146"/>
  <c r="D7496" i="146"/>
  <c r="A7496" i="146"/>
  <c r="D7495" i="146"/>
  <c r="A7495" i="146"/>
  <c r="D7494" i="146"/>
  <c r="A7494" i="146"/>
  <c r="D7493" i="146"/>
  <c r="A7493" i="146"/>
  <c r="D7492" i="146"/>
  <c r="A7492" i="146"/>
  <c r="D7491" i="146"/>
  <c r="A7491" i="146"/>
  <c r="D7490" i="146"/>
  <c r="A7490" i="146"/>
  <c r="D7489" i="146"/>
  <c r="A7489" i="146"/>
  <c r="D7488" i="146"/>
  <c r="A7488" i="146"/>
  <c r="D7487" i="146"/>
  <c r="A7487" i="146"/>
  <c r="D7486" i="146"/>
  <c r="A7486" i="146"/>
  <c r="D7485" i="146"/>
  <c r="A7485" i="146"/>
  <c r="D7484" i="146"/>
  <c r="A7484" i="146"/>
  <c r="D7483" i="146"/>
  <c r="A7483" i="146"/>
  <c r="D7482" i="146"/>
  <c r="A7482" i="146"/>
  <c r="D7481" i="146"/>
  <c r="A7481" i="146"/>
  <c r="D7480" i="146"/>
  <c r="A7480" i="146"/>
  <c r="D7479" i="146"/>
  <c r="A7479" i="146"/>
  <c r="D7478" i="146"/>
  <c r="A7478" i="146"/>
  <c r="D7477" i="146"/>
  <c r="A7477" i="146"/>
  <c r="D7476" i="146"/>
  <c r="A7476" i="146"/>
  <c r="D7475" i="146"/>
  <c r="A7475" i="146"/>
  <c r="D7474" i="146"/>
  <c r="A7474" i="146"/>
  <c r="D7473" i="146"/>
  <c r="A7473" i="146"/>
  <c r="D7472" i="146"/>
  <c r="A7472" i="146"/>
  <c r="D7471" i="146"/>
  <c r="A7471" i="146"/>
  <c r="D7470" i="146"/>
  <c r="A7470" i="146"/>
  <c r="D7469" i="146"/>
  <c r="A7469" i="146"/>
  <c r="D7468" i="146"/>
  <c r="A7468" i="146"/>
  <c r="D7467" i="146"/>
  <c r="A7467" i="146"/>
  <c r="D7466" i="146"/>
  <c r="A7466" i="146"/>
  <c r="D7465" i="146"/>
  <c r="A7465" i="146"/>
  <c r="D7464" i="146"/>
  <c r="A7464" i="146"/>
  <c r="D7463" i="146"/>
  <c r="A7463" i="146"/>
  <c r="D7462" i="146"/>
  <c r="A7462" i="146"/>
  <c r="D7461" i="146"/>
  <c r="A7461" i="146"/>
  <c r="D7460" i="146"/>
  <c r="A7460" i="146"/>
  <c r="D7459" i="146"/>
  <c r="A7459" i="146"/>
  <c r="D7458" i="146"/>
  <c r="A7458" i="146"/>
  <c r="D7457" i="146"/>
  <c r="A7457" i="146"/>
  <c r="D7456" i="146"/>
  <c r="A7456" i="146"/>
  <c r="D7455" i="146"/>
  <c r="A7455" i="146"/>
  <c r="D7454" i="146"/>
  <c r="A7454" i="146"/>
  <c r="D7453" i="146"/>
  <c r="A7453" i="146"/>
  <c r="D7452" i="146"/>
  <c r="A7452" i="146"/>
  <c r="D7451" i="146"/>
  <c r="A7451" i="146"/>
  <c r="D7450" i="146"/>
  <c r="A7450" i="146"/>
  <c r="D7449" i="146"/>
  <c r="A7449" i="146"/>
  <c r="D7448" i="146"/>
  <c r="A7448" i="146"/>
  <c r="D7447" i="146"/>
  <c r="A7447" i="146"/>
  <c r="D7446" i="146"/>
  <c r="A7446" i="146"/>
  <c r="D7445" i="146"/>
  <c r="A7445" i="146"/>
  <c r="D7444" i="146"/>
  <c r="A7444" i="146"/>
  <c r="D7443" i="146"/>
  <c r="A7443" i="146"/>
  <c r="D7442" i="146"/>
  <c r="A7442" i="146"/>
  <c r="D7441" i="146"/>
  <c r="A7441" i="146"/>
  <c r="D7440" i="146"/>
  <c r="A7440" i="146"/>
  <c r="D7439" i="146"/>
  <c r="A7439" i="146"/>
  <c r="D7438" i="146"/>
  <c r="A7438" i="146"/>
  <c r="D7437" i="146"/>
  <c r="A7437" i="146"/>
  <c r="D7436" i="146"/>
  <c r="A7436" i="146"/>
  <c r="D7435" i="146"/>
  <c r="A7435" i="146"/>
  <c r="D7434" i="146"/>
  <c r="A7434" i="146"/>
  <c r="D7433" i="146"/>
  <c r="A7433" i="146"/>
  <c r="D7432" i="146"/>
  <c r="A7432" i="146"/>
  <c r="D7431" i="146"/>
  <c r="A7431" i="146"/>
  <c r="D7430" i="146"/>
  <c r="A7430" i="146"/>
  <c r="D7429" i="146"/>
  <c r="A7429" i="146"/>
  <c r="D7428" i="146"/>
  <c r="A7428" i="146"/>
  <c r="D7427" i="146"/>
  <c r="A7427" i="146"/>
  <c r="D7426" i="146"/>
  <c r="A7426" i="146"/>
  <c r="D7425" i="146"/>
  <c r="A7425" i="146"/>
  <c r="D7424" i="146"/>
  <c r="A7424" i="146"/>
  <c r="D7423" i="146"/>
  <c r="A7423" i="146"/>
  <c r="D7422" i="146"/>
  <c r="A7422" i="146"/>
  <c r="D7421" i="146"/>
  <c r="A7421" i="146"/>
  <c r="D7420" i="146"/>
  <c r="A7420" i="146"/>
  <c r="D7419" i="146"/>
  <c r="A7419" i="146"/>
  <c r="D7418" i="146"/>
  <c r="A7418" i="146"/>
  <c r="D7417" i="146"/>
  <c r="A7417" i="146"/>
  <c r="D7416" i="146"/>
  <c r="A7416" i="146"/>
  <c r="D7415" i="146"/>
  <c r="A7415" i="146"/>
  <c r="D7414" i="146"/>
  <c r="A7414" i="146"/>
  <c r="D7413" i="146"/>
  <c r="A7413" i="146"/>
  <c r="D7412" i="146"/>
  <c r="A7412" i="146"/>
  <c r="D7411" i="146"/>
  <c r="A7411" i="146"/>
  <c r="D7410" i="146"/>
  <c r="A7410" i="146"/>
  <c r="D7409" i="146"/>
  <c r="A7409" i="146"/>
  <c r="D7408" i="146"/>
  <c r="A7408" i="146"/>
  <c r="D7407" i="146"/>
  <c r="A7407" i="146"/>
  <c r="D7406" i="146"/>
  <c r="A7406" i="146"/>
  <c r="D7405" i="146"/>
  <c r="A7405" i="146"/>
  <c r="D7404" i="146"/>
  <c r="A7404" i="146"/>
  <c r="D7403" i="146"/>
  <c r="A7403" i="146"/>
  <c r="D7402" i="146"/>
  <c r="A7402" i="146"/>
  <c r="D7401" i="146"/>
  <c r="A7401" i="146"/>
  <c r="D7400" i="146"/>
  <c r="A7400" i="146"/>
  <c r="D7399" i="146"/>
  <c r="A7399" i="146"/>
  <c r="D7398" i="146"/>
  <c r="A7398" i="146"/>
  <c r="D7397" i="146"/>
  <c r="A7397" i="146"/>
  <c r="D7396" i="146"/>
  <c r="A7396" i="146"/>
  <c r="D7395" i="146"/>
  <c r="A7395" i="146"/>
  <c r="D7394" i="146"/>
  <c r="A7394" i="146"/>
  <c r="D7393" i="146"/>
  <c r="A7393" i="146"/>
  <c r="D7392" i="146"/>
  <c r="A7392" i="146"/>
  <c r="D7391" i="146"/>
  <c r="A7391" i="146"/>
  <c r="D7390" i="146"/>
  <c r="A7390" i="146"/>
  <c r="D7389" i="146"/>
  <c r="A7389" i="146"/>
  <c r="D7388" i="146"/>
  <c r="A7388" i="146"/>
  <c r="D7387" i="146"/>
  <c r="A7387" i="146"/>
  <c r="D7386" i="146"/>
  <c r="A7386" i="146"/>
  <c r="D7385" i="146"/>
  <c r="A7385" i="146"/>
  <c r="D7384" i="146"/>
  <c r="A7384" i="146"/>
  <c r="D7383" i="146"/>
  <c r="A7383" i="146"/>
  <c r="D7382" i="146"/>
  <c r="A7382" i="146"/>
  <c r="D7381" i="146"/>
  <c r="A7381" i="146"/>
  <c r="D7380" i="146"/>
  <c r="A7380" i="146"/>
  <c r="D7379" i="146"/>
  <c r="A7379" i="146"/>
  <c r="D7378" i="146"/>
  <c r="A7378" i="146"/>
  <c r="D7377" i="146"/>
  <c r="A7377" i="146"/>
  <c r="D7376" i="146"/>
  <c r="A7376" i="146"/>
  <c r="D7375" i="146"/>
  <c r="A7375" i="146"/>
  <c r="D7374" i="146"/>
  <c r="A7374" i="146"/>
  <c r="D7373" i="146"/>
  <c r="A7373" i="146"/>
  <c r="D7372" i="146"/>
  <c r="A7372" i="146"/>
  <c r="D7371" i="146"/>
  <c r="A7371" i="146"/>
  <c r="D7370" i="146"/>
  <c r="A7370" i="146"/>
  <c r="D7369" i="146"/>
  <c r="A7369" i="146"/>
  <c r="D7368" i="146"/>
  <c r="A7368" i="146"/>
  <c r="D7367" i="146"/>
  <c r="A7367" i="146"/>
  <c r="D7366" i="146"/>
  <c r="A7366" i="146"/>
  <c r="D7365" i="146"/>
  <c r="A7365" i="146"/>
  <c r="D7364" i="146"/>
  <c r="A7364" i="146"/>
  <c r="D7363" i="146"/>
  <c r="A7363" i="146"/>
  <c r="D7362" i="146"/>
  <c r="A7362" i="146"/>
  <c r="D7361" i="146"/>
  <c r="A7361" i="146"/>
  <c r="D7360" i="146"/>
  <c r="A7360" i="146"/>
  <c r="D7359" i="146"/>
  <c r="A7359" i="146"/>
  <c r="D7358" i="146"/>
  <c r="A7358" i="146"/>
  <c r="D7357" i="146"/>
  <c r="A7357" i="146"/>
  <c r="D7356" i="146"/>
  <c r="A7356" i="146"/>
  <c r="D7355" i="146"/>
  <c r="A7355" i="146"/>
  <c r="D7354" i="146"/>
  <c r="A7354" i="146"/>
  <c r="D7353" i="146"/>
  <c r="A7353" i="146"/>
  <c r="D7352" i="146"/>
  <c r="A7352" i="146"/>
  <c r="D7351" i="146"/>
  <c r="A7351" i="146"/>
  <c r="D7350" i="146"/>
  <c r="A7350" i="146"/>
  <c r="D7349" i="146"/>
  <c r="A7349" i="146"/>
  <c r="D7348" i="146"/>
  <c r="A7348" i="146"/>
  <c r="D7347" i="146"/>
  <c r="A7347" i="146"/>
  <c r="D7346" i="146"/>
  <c r="A7346" i="146"/>
  <c r="D7345" i="146"/>
  <c r="A7345" i="146"/>
  <c r="D7344" i="146"/>
  <c r="A7344" i="146"/>
  <c r="D7343" i="146"/>
  <c r="A7343" i="146"/>
  <c r="D7342" i="146"/>
  <c r="A7342" i="146"/>
  <c r="D7341" i="146"/>
  <c r="A7341" i="146"/>
  <c r="D7340" i="146"/>
  <c r="A7340" i="146"/>
  <c r="D7339" i="146"/>
  <c r="A7339" i="146"/>
  <c r="D7338" i="146"/>
  <c r="A7338" i="146"/>
  <c r="D7337" i="146"/>
  <c r="A7337" i="146"/>
  <c r="D7336" i="146"/>
  <c r="A7336" i="146"/>
  <c r="D7335" i="146"/>
  <c r="A7335" i="146"/>
  <c r="D7334" i="146"/>
  <c r="A7334" i="146"/>
  <c r="D7333" i="146"/>
  <c r="A7333" i="146"/>
  <c r="D7332" i="146"/>
  <c r="A7332" i="146"/>
  <c r="D7331" i="146"/>
  <c r="A7331" i="146"/>
  <c r="D7330" i="146"/>
  <c r="A7330" i="146"/>
  <c r="D7329" i="146"/>
  <c r="A7329" i="146"/>
  <c r="D7328" i="146"/>
  <c r="A7328" i="146"/>
  <c r="D7327" i="146"/>
  <c r="A7327" i="146"/>
  <c r="D7326" i="146"/>
  <c r="A7326" i="146"/>
  <c r="D7325" i="146"/>
  <c r="A7325" i="146"/>
  <c r="D7324" i="146"/>
  <c r="A7324" i="146"/>
  <c r="D7323" i="146"/>
  <c r="A7323" i="146"/>
  <c r="D7322" i="146"/>
  <c r="A7322" i="146"/>
  <c r="D7321" i="146"/>
  <c r="A7321" i="146"/>
  <c r="D7320" i="146"/>
  <c r="A7320" i="146"/>
  <c r="D7319" i="146"/>
  <c r="A7319" i="146"/>
  <c r="D7318" i="146"/>
  <c r="A7318" i="146"/>
  <c r="D7317" i="146"/>
  <c r="A7317" i="146"/>
  <c r="D7316" i="146"/>
  <c r="A7316" i="146"/>
  <c r="D7315" i="146"/>
  <c r="A7315" i="146"/>
  <c r="D7314" i="146"/>
  <c r="A7314" i="146"/>
  <c r="D7313" i="146"/>
  <c r="A7313" i="146"/>
  <c r="D7312" i="146"/>
  <c r="A7312" i="146"/>
  <c r="D7311" i="146"/>
  <c r="A7311" i="146"/>
  <c r="D7310" i="146"/>
  <c r="A7310" i="146"/>
  <c r="D7309" i="146"/>
  <c r="A7309" i="146"/>
  <c r="D7308" i="146"/>
  <c r="A7308" i="146"/>
  <c r="D7307" i="146"/>
  <c r="A7307" i="146"/>
  <c r="D7306" i="146"/>
  <c r="A7306" i="146"/>
  <c r="D7305" i="146"/>
  <c r="A7305" i="146"/>
  <c r="D7304" i="146"/>
  <c r="A7304" i="146"/>
  <c r="D7303" i="146"/>
  <c r="A7303" i="146"/>
  <c r="D7302" i="146"/>
  <c r="A7302" i="146"/>
  <c r="D7301" i="146"/>
  <c r="A7301" i="146"/>
  <c r="D7300" i="146"/>
  <c r="A7300" i="146"/>
  <c r="D7299" i="146"/>
  <c r="A7299" i="146"/>
  <c r="D7298" i="146"/>
  <c r="A7298" i="146"/>
  <c r="D7297" i="146"/>
  <c r="A7297" i="146"/>
  <c r="D7296" i="146"/>
  <c r="A7296" i="146"/>
  <c r="D7295" i="146"/>
  <c r="A7295" i="146"/>
  <c r="D7294" i="146"/>
  <c r="A7294" i="146"/>
  <c r="D7293" i="146"/>
  <c r="A7293" i="146"/>
  <c r="D7292" i="146"/>
  <c r="A7292" i="146"/>
  <c r="D7291" i="146"/>
  <c r="A7291" i="146"/>
  <c r="D7290" i="146"/>
  <c r="A7290" i="146"/>
  <c r="D7289" i="146"/>
  <c r="A7289" i="146"/>
  <c r="D7288" i="146"/>
  <c r="A7288" i="146"/>
  <c r="D7287" i="146"/>
  <c r="A7287" i="146"/>
  <c r="D7286" i="146"/>
  <c r="A7286" i="146"/>
  <c r="D7285" i="146"/>
  <c r="A7285" i="146"/>
  <c r="D7284" i="146"/>
  <c r="A7284" i="146"/>
  <c r="D7283" i="146"/>
  <c r="A7283" i="146"/>
  <c r="D7282" i="146"/>
  <c r="A7282" i="146"/>
  <c r="D7281" i="146"/>
  <c r="A7281" i="146"/>
  <c r="D7280" i="146"/>
  <c r="A7280" i="146"/>
  <c r="D7279" i="146"/>
  <c r="A7279" i="146"/>
  <c r="D7278" i="146"/>
  <c r="A7278" i="146"/>
  <c r="D7277" i="146"/>
  <c r="A7277" i="146"/>
  <c r="D7276" i="146"/>
  <c r="A7276" i="146"/>
  <c r="D7275" i="146"/>
  <c r="A7275" i="146"/>
  <c r="D7274" i="146"/>
  <c r="A7274" i="146"/>
  <c r="D7273" i="146"/>
  <c r="A7273" i="146"/>
  <c r="D7272" i="146"/>
  <c r="A7272" i="146"/>
  <c r="D7271" i="146"/>
  <c r="A7271" i="146"/>
  <c r="D7270" i="146"/>
  <c r="A7270" i="146"/>
  <c r="D7269" i="146"/>
  <c r="A7269" i="146"/>
  <c r="D7268" i="146"/>
  <c r="A7268" i="146"/>
  <c r="D7267" i="146"/>
  <c r="A7267" i="146"/>
  <c r="D7266" i="146"/>
  <c r="A7266" i="146"/>
  <c r="D7265" i="146"/>
  <c r="A7265" i="146"/>
  <c r="D7264" i="146"/>
  <c r="A7264" i="146"/>
  <c r="D7263" i="146"/>
  <c r="A7263" i="146"/>
  <c r="D7262" i="146"/>
  <c r="A7262" i="146"/>
  <c r="D7261" i="146"/>
  <c r="A7261" i="146"/>
  <c r="D7260" i="146"/>
  <c r="A7260" i="146"/>
  <c r="D7259" i="146"/>
  <c r="A7259" i="146"/>
  <c r="D7258" i="146"/>
  <c r="A7258" i="146"/>
  <c r="D7257" i="146"/>
  <c r="A7257" i="146"/>
  <c r="D7256" i="146"/>
  <c r="A7256" i="146"/>
  <c r="D7255" i="146"/>
  <c r="A7255" i="146"/>
  <c r="D7254" i="146"/>
  <c r="A7254" i="146"/>
  <c r="D7253" i="146"/>
  <c r="A7253" i="146"/>
  <c r="D7252" i="146"/>
  <c r="A7252" i="146"/>
  <c r="D7251" i="146"/>
  <c r="A7251" i="146"/>
  <c r="D7250" i="146"/>
  <c r="A7250" i="146"/>
  <c r="D7249" i="146"/>
  <c r="A7249" i="146"/>
  <c r="D7248" i="146"/>
  <c r="A7248" i="146"/>
  <c r="D7247" i="146"/>
  <c r="A7247" i="146"/>
  <c r="D7246" i="146"/>
  <c r="A7246" i="146"/>
  <c r="D7245" i="146"/>
  <c r="A7245" i="146"/>
  <c r="D7244" i="146"/>
  <c r="A7244" i="146"/>
  <c r="D7243" i="146"/>
  <c r="A7243" i="146"/>
  <c r="D7242" i="146"/>
  <c r="A7242" i="146"/>
  <c r="D7241" i="146"/>
  <c r="A7241" i="146"/>
  <c r="D7240" i="146"/>
  <c r="A7240" i="146"/>
  <c r="D7239" i="146"/>
  <c r="A7239" i="146"/>
  <c r="D7238" i="146"/>
  <c r="A7238" i="146"/>
  <c r="D7237" i="146"/>
  <c r="A7237" i="146"/>
  <c r="D7236" i="146"/>
  <c r="A7236" i="146"/>
  <c r="D7235" i="146"/>
  <c r="A7235" i="146"/>
  <c r="D7234" i="146"/>
  <c r="A7234" i="146"/>
  <c r="D7233" i="146"/>
  <c r="A7233" i="146"/>
  <c r="D7232" i="146"/>
  <c r="A7232" i="146"/>
  <c r="D7231" i="146"/>
  <c r="A7231" i="146"/>
  <c r="D7230" i="146"/>
  <c r="A7230" i="146"/>
  <c r="D7229" i="146"/>
  <c r="A7229" i="146"/>
  <c r="D7228" i="146"/>
  <c r="A7228" i="146"/>
  <c r="D7227" i="146"/>
  <c r="A7227" i="146"/>
  <c r="D7226" i="146"/>
  <c r="A7226" i="146"/>
  <c r="D7225" i="146"/>
  <c r="A7225" i="146"/>
  <c r="D7224" i="146"/>
  <c r="A7224" i="146"/>
  <c r="D7223" i="146"/>
  <c r="A7223" i="146"/>
  <c r="D7222" i="146"/>
  <c r="A7222" i="146"/>
  <c r="D7221" i="146"/>
  <c r="A7221" i="146"/>
  <c r="D7220" i="146"/>
  <c r="A7220" i="146"/>
  <c r="D7219" i="146"/>
  <c r="A7219" i="146"/>
  <c r="D7218" i="146"/>
  <c r="A7218" i="146"/>
  <c r="D7217" i="146"/>
  <c r="A7217" i="146"/>
  <c r="D7216" i="146"/>
  <c r="A7216" i="146"/>
  <c r="D7215" i="146"/>
  <c r="A7215" i="146"/>
  <c r="D7214" i="146"/>
  <c r="A7214" i="146"/>
  <c r="D7213" i="146"/>
  <c r="A7213" i="146"/>
  <c r="D7212" i="146"/>
  <c r="A7212" i="146"/>
  <c r="D7211" i="146"/>
  <c r="A7211" i="146"/>
  <c r="D7210" i="146"/>
  <c r="A7210" i="146"/>
  <c r="D7209" i="146"/>
  <c r="A7209" i="146"/>
  <c r="D7208" i="146"/>
  <c r="A7208" i="146"/>
  <c r="D7207" i="146"/>
  <c r="A7207" i="146"/>
  <c r="D7206" i="146"/>
  <c r="A7206" i="146"/>
  <c r="D7205" i="146"/>
  <c r="A7205" i="146"/>
  <c r="D7204" i="146"/>
  <c r="A7204" i="146"/>
  <c r="D7203" i="146"/>
  <c r="A7203" i="146"/>
  <c r="D7202" i="146"/>
  <c r="A7202" i="146"/>
  <c r="D7201" i="146"/>
  <c r="A7201" i="146"/>
  <c r="D7200" i="146"/>
  <c r="A7200" i="146"/>
  <c r="D7199" i="146"/>
  <c r="A7199" i="146"/>
  <c r="D7198" i="146"/>
  <c r="A7198" i="146"/>
  <c r="D7197" i="146"/>
  <c r="A7197" i="146"/>
  <c r="D7196" i="146"/>
  <c r="A7196" i="146"/>
  <c r="D7195" i="146"/>
  <c r="A7195" i="146"/>
  <c r="D7194" i="146"/>
  <c r="A7194" i="146"/>
  <c r="D7193" i="146"/>
  <c r="A7193" i="146"/>
  <c r="D7192" i="146"/>
  <c r="A7192" i="146"/>
  <c r="D7191" i="146"/>
  <c r="A7191" i="146"/>
  <c r="D7190" i="146"/>
  <c r="A7190" i="146"/>
  <c r="D7189" i="146"/>
  <c r="A7189" i="146"/>
  <c r="D7188" i="146"/>
  <c r="A7188" i="146"/>
  <c r="D7187" i="146"/>
  <c r="A7187" i="146"/>
  <c r="D7186" i="146"/>
  <c r="A7186" i="146"/>
  <c r="D7185" i="146"/>
  <c r="A7185" i="146"/>
  <c r="D7184" i="146"/>
  <c r="A7184" i="146"/>
  <c r="D7183" i="146"/>
  <c r="A7183" i="146"/>
  <c r="D7182" i="146"/>
  <c r="A7182" i="146"/>
  <c r="D7181" i="146"/>
  <c r="A7181" i="146"/>
  <c r="D7180" i="146"/>
  <c r="A7180" i="146"/>
  <c r="D7179" i="146"/>
  <c r="A7179" i="146"/>
  <c r="D7178" i="146"/>
  <c r="A7178" i="146"/>
  <c r="D7177" i="146"/>
  <c r="A7177" i="146"/>
  <c r="D7176" i="146"/>
  <c r="A7176" i="146"/>
  <c r="D7175" i="146"/>
  <c r="A7175" i="146"/>
  <c r="D7174" i="146"/>
  <c r="A7174" i="146"/>
  <c r="D7173" i="146"/>
  <c r="A7173" i="146"/>
  <c r="D7172" i="146"/>
  <c r="A7172" i="146"/>
  <c r="D7171" i="146"/>
  <c r="A7171" i="146"/>
  <c r="D7170" i="146"/>
  <c r="A7170" i="146"/>
  <c r="D7169" i="146"/>
  <c r="A7169" i="146"/>
  <c r="D7168" i="146"/>
  <c r="A7168" i="146"/>
  <c r="D7167" i="146"/>
  <c r="A7167" i="146"/>
  <c r="D7166" i="146"/>
  <c r="A7166" i="146"/>
  <c r="D7165" i="146"/>
  <c r="A7165" i="146"/>
  <c r="D7164" i="146"/>
  <c r="A7164" i="146"/>
  <c r="D7163" i="146"/>
  <c r="A7163" i="146"/>
  <c r="D7162" i="146"/>
  <c r="A7162" i="146"/>
  <c r="D7161" i="146"/>
  <c r="A7161" i="146"/>
  <c r="D7160" i="146"/>
  <c r="A7160" i="146"/>
  <c r="D7159" i="146"/>
  <c r="A7159" i="146"/>
  <c r="D7158" i="146"/>
  <c r="A7158" i="146"/>
  <c r="D7157" i="146"/>
  <c r="A7157" i="146"/>
  <c r="D7156" i="146"/>
  <c r="A7156" i="146"/>
  <c r="D7155" i="146"/>
  <c r="A7155" i="146"/>
  <c r="D7154" i="146"/>
  <c r="A7154" i="146"/>
  <c r="D7153" i="146"/>
  <c r="A7153" i="146"/>
  <c r="D7152" i="146"/>
  <c r="A7152" i="146"/>
  <c r="D7151" i="146"/>
  <c r="A7151" i="146"/>
  <c r="D7150" i="146"/>
  <c r="A7150" i="146"/>
  <c r="D7149" i="146"/>
  <c r="A7149" i="146"/>
  <c r="D7148" i="146"/>
  <c r="A7148" i="146"/>
  <c r="D7147" i="146"/>
  <c r="A7147" i="146"/>
  <c r="D7146" i="146"/>
  <c r="A7146" i="146"/>
  <c r="D7145" i="146"/>
  <c r="A7145" i="146"/>
  <c r="D7144" i="146"/>
  <c r="A7144" i="146"/>
  <c r="D7143" i="146"/>
  <c r="A7143" i="146"/>
  <c r="D7142" i="146"/>
  <c r="A7142" i="146"/>
  <c r="D7141" i="146"/>
  <c r="A7141" i="146"/>
  <c r="D7140" i="146"/>
  <c r="A7140" i="146"/>
  <c r="D7139" i="146"/>
  <c r="A7139" i="146"/>
  <c r="D7138" i="146"/>
  <c r="A7138" i="146"/>
  <c r="D7137" i="146"/>
  <c r="A7137" i="146"/>
  <c r="D7136" i="146"/>
  <c r="A7136" i="146"/>
  <c r="D7135" i="146"/>
  <c r="A7135" i="146"/>
  <c r="D7134" i="146"/>
  <c r="A7134" i="146"/>
  <c r="D7133" i="146"/>
  <c r="A7133" i="146"/>
  <c r="D7132" i="146"/>
  <c r="A7132" i="146"/>
  <c r="D7131" i="146"/>
  <c r="A7131" i="146"/>
  <c r="D7130" i="146"/>
  <c r="A7130" i="146"/>
  <c r="D7129" i="146"/>
  <c r="A7129" i="146"/>
  <c r="D7128" i="146"/>
  <c r="A7128" i="146"/>
  <c r="D7127" i="146"/>
  <c r="A7127" i="146"/>
  <c r="D7126" i="146"/>
  <c r="A7126" i="146"/>
  <c r="D7125" i="146"/>
  <c r="A7125" i="146"/>
  <c r="D7124" i="146"/>
  <c r="A7124" i="146"/>
  <c r="D7123" i="146"/>
  <c r="A7123" i="146"/>
  <c r="D7122" i="146"/>
  <c r="A7122" i="146"/>
  <c r="D7121" i="146"/>
  <c r="A7121" i="146"/>
  <c r="D7120" i="146"/>
  <c r="A7120" i="146"/>
  <c r="D7119" i="146"/>
  <c r="A7119" i="146"/>
  <c r="D7118" i="146"/>
  <c r="A7118" i="146"/>
  <c r="D7117" i="146"/>
  <c r="A7117" i="146"/>
  <c r="D7116" i="146"/>
  <c r="A7116" i="146"/>
  <c r="D7115" i="146"/>
  <c r="A7115" i="146"/>
  <c r="D7114" i="146"/>
  <c r="A7114" i="146"/>
  <c r="D7113" i="146"/>
  <c r="A7113" i="146"/>
  <c r="D7112" i="146"/>
  <c r="A7112" i="146"/>
  <c r="D7111" i="146"/>
  <c r="A7111" i="146"/>
  <c r="D7110" i="146"/>
  <c r="A7110" i="146"/>
  <c r="D7109" i="146"/>
  <c r="A7109" i="146"/>
  <c r="D7108" i="146"/>
  <c r="A7108" i="146"/>
  <c r="D7107" i="146"/>
  <c r="A7107" i="146"/>
  <c r="D7106" i="146"/>
  <c r="A7106" i="146"/>
  <c r="D7105" i="146"/>
  <c r="A7105" i="146"/>
  <c r="D7104" i="146"/>
  <c r="A7104" i="146"/>
  <c r="D7103" i="146"/>
  <c r="A7103" i="146"/>
  <c r="D7102" i="146"/>
  <c r="A7102" i="146"/>
  <c r="D7101" i="146"/>
  <c r="A7101" i="146"/>
  <c r="D7100" i="146"/>
  <c r="A7100" i="146"/>
  <c r="D7099" i="146"/>
  <c r="A7099" i="146"/>
  <c r="D7098" i="146"/>
  <c r="A7098" i="146"/>
  <c r="D7097" i="146"/>
  <c r="A7097" i="146"/>
  <c r="D7096" i="146"/>
  <c r="A7096" i="146"/>
  <c r="D7095" i="146"/>
  <c r="A7095" i="146"/>
  <c r="D7094" i="146"/>
  <c r="A7094" i="146"/>
  <c r="D7093" i="146"/>
  <c r="A7093" i="146"/>
  <c r="D7092" i="146"/>
  <c r="A7092" i="146"/>
  <c r="D7091" i="146"/>
  <c r="A7091" i="146"/>
  <c r="D7090" i="146"/>
  <c r="A7090" i="146"/>
  <c r="D7089" i="146"/>
  <c r="A7089" i="146"/>
  <c r="D7088" i="146"/>
  <c r="A7088" i="146"/>
  <c r="D7087" i="146"/>
  <c r="A7087" i="146"/>
  <c r="D7086" i="146"/>
  <c r="A7086" i="146"/>
  <c r="D7085" i="146"/>
  <c r="A7085" i="146"/>
  <c r="D7084" i="146"/>
  <c r="A7084" i="146"/>
  <c r="D7083" i="146"/>
  <c r="A7083" i="146"/>
  <c r="D7082" i="146"/>
  <c r="A7082" i="146"/>
  <c r="D7081" i="146"/>
  <c r="A7081" i="146"/>
  <c r="D7080" i="146"/>
  <c r="A7080" i="146"/>
  <c r="D7079" i="146"/>
  <c r="A7079" i="146"/>
  <c r="D7078" i="146"/>
  <c r="A7078" i="146"/>
  <c r="D7077" i="146"/>
  <c r="A7077" i="146"/>
  <c r="D7076" i="146"/>
  <c r="A7076" i="146"/>
  <c r="D7075" i="146"/>
  <c r="A7075" i="146"/>
  <c r="D7074" i="146"/>
  <c r="A7074" i="146"/>
  <c r="D7073" i="146"/>
  <c r="A7073" i="146"/>
  <c r="D7072" i="146"/>
  <c r="A7072" i="146"/>
  <c r="D7071" i="146"/>
  <c r="A7071" i="146"/>
  <c r="D7070" i="146"/>
  <c r="A7070" i="146"/>
  <c r="D7069" i="146"/>
  <c r="A7069" i="146"/>
  <c r="D7068" i="146"/>
  <c r="A7068" i="146"/>
  <c r="D7067" i="146"/>
  <c r="A7067" i="146"/>
  <c r="D7066" i="146"/>
  <c r="A7066" i="146"/>
  <c r="D7065" i="146"/>
  <c r="A7065" i="146"/>
  <c r="D7064" i="146"/>
  <c r="A7064" i="146"/>
  <c r="D7063" i="146"/>
  <c r="A7063" i="146"/>
  <c r="D7062" i="146"/>
  <c r="A7062" i="146"/>
  <c r="D7061" i="146"/>
  <c r="A7061" i="146"/>
  <c r="D7060" i="146"/>
  <c r="A7060" i="146"/>
  <c r="D7059" i="146"/>
  <c r="A7059" i="146"/>
  <c r="D7058" i="146"/>
  <c r="A7058" i="146"/>
  <c r="D7057" i="146"/>
  <c r="A7057" i="146"/>
  <c r="D7056" i="146"/>
  <c r="A7056" i="146"/>
  <c r="D7055" i="146"/>
  <c r="A7055" i="146"/>
  <c r="D7054" i="146"/>
  <c r="A7054" i="146"/>
  <c r="D7053" i="146"/>
  <c r="A7053" i="146"/>
  <c r="D7052" i="146"/>
  <c r="A7052" i="146"/>
  <c r="D7051" i="146"/>
  <c r="A7051" i="146"/>
  <c r="D7050" i="146"/>
  <c r="A7050" i="146"/>
  <c r="D7049" i="146"/>
  <c r="A7049" i="146"/>
  <c r="D7048" i="146"/>
  <c r="A7048" i="146"/>
  <c r="D7047" i="146"/>
  <c r="A7047" i="146"/>
  <c r="D7046" i="146"/>
  <c r="A7046" i="146"/>
  <c r="D7045" i="146"/>
  <c r="A7045" i="146"/>
  <c r="D7044" i="146"/>
  <c r="A7044" i="146"/>
  <c r="D7043" i="146"/>
  <c r="A7043" i="146"/>
  <c r="D7042" i="146"/>
  <c r="A7042" i="146"/>
  <c r="D7041" i="146"/>
  <c r="A7041" i="146"/>
  <c r="D7040" i="146"/>
  <c r="A7040" i="146"/>
  <c r="D7039" i="146"/>
  <c r="A7039" i="146"/>
  <c r="D7038" i="146"/>
  <c r="A7038" i="146"/>
  <c r="D7037" i="146"/>
  <c r="A7037" i="146"/>
  <c r="D7036" i="146"/>
  <c r="A7036" i="146"/>
  <c r="D7035" i="146"/>
  <c r="A7035" i="146"/>
  <c r="D7034" i="146"/>
  <c r="A7034" i="146"/>
  <c r="D7033" i="146"/>
  <c r="A7033" i="146"/>
  <c r="D7032" i="146"/>
  <c r="A7032" i="146"/>
  <c r="D7031" i="146"/>
  <c r="A7031" i="146"/>
  <c r="D7030" i="146"/>
  <c r="A7030" i="146"/>
  <c r="D7029" i="146"/>
  <c r="A7029" i="146"/>
  <c r="D7028" i="146"/>
  <c r="A7028" i="146"/>
  <c r="D7027" i="146"/>
  <c r="A7027" i="146"/>
  <c r="D7026" i="146"/>
  <c r="A7026" i="146"/>
  <c r="D7025" i="146"/>
  <c r="A7025" i="146"/>
  <c r="D7024" i="146"/>
  <c r="A7024" i="146"/>
  <c r="D7023" i="146"/>
  <c r="A7023" i="146"/>
  <c r="D7022" i="146"/>
  <c r="A7022" i="146"/>
  <c r="D7021" i="146"/>
  <c r="A7021" i="146"/>
  <c r="D7020" i="146"/>
  <c r="A7020" i="146"/>
  <c r="D7019" i="146"/>
  <c r="A7019" i="146"/>
  <c r="D7018" i="146"/>
  <c r="A7018" i="146"/>
  <c r="D7017" i="146"/>
  <c r="A7017" i="146"/>
  <c r="D7016" i="146"/>
  <c r="A7016" i="146"/>
  <c r="D7015" i="146"/>
  <c r="A7015" i="146"/>
  <c r="D7014" i="146"/>
  <c r="A7014" i="146"/>
  <c r="D7013" i="146"/>
  <c r="A7013" i="146"/>
  <c r="D7012" i="146"/>
  <c r="A7012" i="146"/>
  <c r="D7011" i="146"/>
  <c r="A7011" i="146"/>
  <c r="D7010" i="146"/>
  <c r="A7010" i="146"/>
  <c r="D7009" i="146"/>
  <c r="A7009" i="146"/>
  <c r="D7008" i="146"/>
  <c r="A7008" i="146"/>
  <c r="D7007" i="146"/>
  <c r="A7007" i="146"/>
  <c r="D7006" i="146"/>
  <c r="A7006" i="146"/>
  <c r="D7005" i="146"/>
  <c r="A7005" i="146"/>
  <c r="D7004" i="146"/>
  <c r="A7004" i="146"/>
  <c r="D7003" i="146"/>
  <c r="A7003" i="146"/>
  <c r="D7002" i="146"/>
  <c r="A7002" i="146"/>
  <c r="D7001" i="146"/>
  <c r="A7001" i="146"/>
  <c r="D7000" i="146"/>
  <c r="A7000" i="146"/>
  <c r="D6999" i="146"/>
  <c r="A6999" i="146"/>
  <c r="D6998" i="146"/>
  <c r="A6998" i="146"/>
  <c r="D6997" i="146"/>
  <c r="A6997" i="146"/>
  <c r="D6996" i="146"/>
  <c r="A6996" i="146"/>
  <c r="D6995" i="146"/>
  <c r="A6995" i="146"/>
  <c r="D6994" i="146"/>
  <c r="A6994" i="146"/>
  <c r="D6993" i="146"/>
  <c r="A6993" i="146"/>
  <c r="D6992" i="146"/>
  <c r="A6992" i="146"/>
  <c r="D6991" i="146"/>
  <c r="A6991" i="146"/>
  <c r="D6990" i="146"/>
  <c r="A6990" i="146"/>
  <c r="D6989" i="146"/>
  <c r="A6989" i="146"/>
  <c r="D6988" i="146"/>
  <c r="A6988" i="146"/>
  <c r="D6987" i="146"/>
  <c r="A6987" i="146"/>
  <c r="D6986" i="146"/>
  <c r="A6986" i="146"/>
  <c r="D6985" i="146"/>
  <c r="A6985" i="146"/>
  <c r="D6984" i="146"/>
  <c r="A6984" i="146"/>
  <c r="D6983" i="146"/>
  <c r="A6983" i="146"/>
  <c r="D6982" i="146"/>
  <c r="A6982" i="146"/>
  <c r="D6981" i="146"/>
  <c r="A6981" i="146"/>
  <c r="D6980" i="146"/>
  <c r="A6980" i="146"/>
  <c r="D6979" i="146"/>
  <c r="A6979" i="146"/>
  <c r="D6978" i="146"/>
  <c r="A6978" i="146"/>
  <c r="D6977" i="146"/>
  <c r="A6977" i="146"/>
  <c r="D6976" i="146"/>
  <c r="A6976" i="146"/>
  <c r="D6975" i="146"/>
  <c r="A6975" i="146"/>
  <c r="D6974" i="146"/>
  <c r="A6974" i="146"/>
  <c r="D6973" i="146"/>
  <c r="A6973" i="146"/>
  <c r="D6972" i="146"/>
  <c r="A6972" i="146"/>
  <c r="D6971" i="146"/>
  <c r="A6971" i="146"/>
  <c r="D6970" i="146"/>
  <c r="A6970" i="146"/>
  <c r="D6969" i="146"/>
  <c r="A6969" i="146"/>
  <c r="D6968" i="146"/>
  <c r="A6968" i="146"/>
  <c r="D6967" i="146"/>
  <c r="A6967" i="146"/>
  <c r="D6966" i="146"/>
  <c r="A6966" i="146"/>
  <c r="D6965" i="146"/>
  <c r="A6965" i="146"/>
  <c r="D6964" i="146"/>
  <c r="A6964" i="146"/>
  <c r="D6963" i="146"/>
  <c r="A6963" i="146"/>
  <c r="D6962" i="146"/>
  <c r="A6962" i="146"/>
  <c r="D6961" i="146"/>
  <c r="A6961" i="146"/>
  <c r="D6960" i="146"/>
  <c r="A6960" i="146"/>
  <c r="D6959" i="146"/>
  <c r="A6959" i="146"/>
  <c r="D6958" i="146"/>
  <c r="A6958" i="146"/>
  <c r="D6957" i="146"/>
  <c r="A6957" i="146"/>
  <c r="D6956" i="146"/>
  <c r="A6956" i="146"/>
  <c r="D6955" i="146"/>
  <c r="A6955" i="146"/>
  <c r="D6954" i="146"/>
  <c r="A6954" i="146"/>
  <c r="D6953" i="146"/>
  <c r="A6953" i="146"/>
  <c r="D6952" i="146"/>
  <c r="A6952" i="146"/>
  <c r="D6951" i="146"/>
  <c r="A6951" i="146"/>
  <c r="D6950" i="146"/>
  <c r="A6950" i="146"/>
  <c r="D6949" i="146"/>
  <c r="A6949" i="146"/>
  <c r="D6948" i="146"/>
  <c r="A6948" i="146"/>
  <c r="D6947" i="146"/>
  <c r="A6947" i="146"/>
  <c r="D6946" i="146"/>
  <c r="A6946" i="146"/>
  <c r="D6945" i="146"/>
  <c r="A6945" i="146"/>
  <c r="D6944" i="146"/>
  <c r="A6944" i="146"/>
  <c r="D6943" i="146"/>
  <c r="A6943" i="146"/>
  <c r="D6942" i="146"/>
  <c r="A6942" i="146"/>
  <c r="D6941" i="146"/>
  <c r="A6941" i="146"/>
  <c r="D6940" i="146"/>
  <c r="A6940" i="146"/>
  <c r="D6939" i="146"/>
  <c r="A6939" i="146"/>
  <c r="D6938" i="146"/>
  <c r="A6938" i="146"/>
  <c r="D6937" i="146"/>
  <c r="A6937" i="146"/>
  <c r="D6936" i="146"/>
  <c r="A6936" i="146"/>
  <c r="D6935" i="146"/>
  <c r="A6935" i="146"/>
  <c r="D6934" i="146"/>
  <c r="A6934" i="146"/>
  <c r="D6933" i="146"/>
  <c r="A6933" i="146"/>
  <c r="D6932" i="146"/>
  <c r="A6932" i="146"/>
  <c r="D6931" i="146"/>
  <c r="A6931" i="146"/>
  <c r="D6930" i="146"/>
  <c r="A6930" i="146"/>
  <c r="D6929" i="146"/>
  <c r="A6929" i="146"/>
  <c r="D6928" i="146"/>
  <c r="A6928" i="146"/>
  <c r="D6927" i="146"/>
  <c r="A6927" i="146"/>
  <c r="D6926" i="146"/>
  <c r="A6926" i="146"/>
  <c r="D6925" i="146"/>
  <c r="A6925" i="146"/>
  <c r="D6924" i="146"/>
  <c r="A6924" i="146"/>
  <c r="D6923" i="146"/>
  <c r="A6923" i="146"/>
  <c r="D6922" i="146"/>
  <c r="A6922" i="146"/>
  <c r="D6921" i="146"/>
  <c r="A6921" i="146"/>
  <c r="D6920" i="146"/>
  <c r="A6920" i="146"/>
  <c r="D6919" i="146"/>
  <c r="A6919" i="146"/>
  <c r="D6918" i="146"/>
  <c r="A6918" i="146"/>
  <c r="D6917" i="146"/>
  <c r="A6917" i="146"/>
  <c r="D6916" i="146"/>
  <c r="A6916" i="146"/>
  <c r="D6915" i="146"/>
  <c r="A6915" i="146"/>
  <c r="D6914" i="146"/>
  <c r="A6914" i="146"/>
  <c r="D6913" i="146"/>
  <c r="A6913" i="146"/>
  <c r="D6912" i="146"/>
  <c r="A6912" i="146"/>
  <c r="D6911" i="146"/>
  <c r="A6911" i="146"/>
  <c r="D6910" i="146"/>
  <c r="A6910" i="146"/>
  <c r="D6909" i="146"/>
  <c r="A6909" i="146"/>
  <c r="D6908" i="146"/>
  <c r="A6908" i="146"/>
  <c r="D6907" i="146"/>
  <c r="A6907" i="146"/>
  <c r="D6906" i="146"/>
  <c r="A6906" i="146"/>
  <c r="D6905" i="146"/>
  <c r="A6905" i="146"/>
  <c r="D6904" i="146"/>
  <c r="A6904" i="146"/>
  <c r="D6903" i="146"/>
  <c r="A6903" i="146"/>
  <c r="D6902" i="146"/>
  <c r="A6902" i="146"/>
  <c r="D6901" i="146"/>
  <c r="A6901" i="146"/>
  <c r="D6900" i="146"/>
  <c r="A6900" i="146"/>
  <c r="D6899" i="146"/>
  <c r="A6899" i="146"/>
  <c r="D6898" i="146"/>
  <c r="A6898" i="146"/>
  <c r="D6897" i="146"/>
  <c r="A6897" i="146"/>
  <c r="D6896" i="146"/>
  <c r="A6896" i="146"/>
  <c r="D6895" i="146"/>
  <c r="A6895" i="146"/>
  <c r="D6894" i="146"/>
  <c r="A6894" i="146"/>
  <c r="D6893" i="146"/>
  <c r="A6893" i="146"/>
  <c r="D6892" i="146"/>
  <c r="A6892" i="146"/>
  <c r="D6891" i="146"/>
  <c r="A6891" i="146"/>
  <c r="D6890" i="146"/>
  <c r="A6890" i="146"/>
  <c r="D6889" i="146"/>
  <c r="A6889" i="146"/>
  <c r="D6888" i="146"/>
  <c r="A6888" i="146"/>
  <c r="D6887" i="146"/>
  <c r="A6887" i="146"/>
  <c r="D6886" i="146"/>
  <c r="A6886" i="146"/>
  <c r="D6885" i="146"/>
  <c r="A6885" i="146"/>
  <c r="D6884" i="146"/>
  <c r="A6884" i="146"/>
  <c r="D6883" i="146"/>
  <c r="A6883" i="146"/>
  <c r="D6882" i="146"/>
  <c r="A6882" i="146"/>
  <c r="D6881" i="146"/>
  <c r="A6881" i="146"/>
  <c r="D6880" i="146"/>
  <c r="A6880" i="146"/>
  <c r="D6879" i="146"/>
  <c r="A6879" i="146"/>
  <c r="D6878" i="146"/>
  <c r="A6878" i="146"/>
  <c r="D6877" i="146"/>
  <c r="A6877" i="146"/>
  <c r="D6876" i="146"/>
  <c r="A6876" i="146"/>
  <c r="D6875" i="146"/>
  <c r="A6875" i="146"/>
  <c r="D6874" i="146"/>
  <c r="A6874" i="146"/>
  <c r="D6873" i="146"/>
  <c r="A6873" i="146"/>
  <c r="D6872" i="146"/>
  <c r="A6872" i="146"/>
  <c r="D6871" i="146"/>
  <c r="A6871" i="146"/>
  <c r="D6870" i="146"/>
  <c r="A6870" i="146"/>
  <c r="D6869" i="146"/>
  <c r="A6869" i="146"/>
  <c r="D6868" i="146"/>
  <c r="A6868" i="146"/>
  <c r="D6867" i="146"/>
  <c r="A6867" i="146"/>
  <c r="D6866" i="146"/>
  <c r="A6866" i="146"/>
  <c r="D6865" i="146"/>
  <c r="A6865" i="146"/>
  <c r="D6864" i="146"/>
  <c r="A6864" i="146"/>
  <c r="D6863" i="146"/>
  <c r="A6863" i="146"/>
  <c r="D6862" i="146"/>
  <c r="A6862" i="146"/>
  <c r="D6861" i="146"/>
  <c r="A6861" i="146"/>
  <c r="D6860" i="146"/>
  <c r="A6860" i="146"/>
  <c r="D6859" i="146"/>
  <c r="A6859" i="146"/>
  <c r="D6858" i="146"/>
  <c r="A6858" i="146"/>
  <c r="D6857" i="146"/>
  <c r="A6857" i="146"/>
  <c r="D6856" i="146"/>
  <c r="A6856" i="146"/>
  <c r="D6855" i="146"/>
  <c r="A6855" i="146"/>
  <c r="D6854" i="146"/>
  <c r="A6854" i="146"/>
  <c r="D6853" i="146"/>
  <c r="A6853" i="146"/>
  <c r="D6852" i="146"/>
  <c r="A6852" i="146"/>
  <c r="D6851" i="146"/>
  <c r="A6851" i="146"/>
  <c r="D6850" i="146"/>
  <c r="A6850" i="146"/>
  <c r="D6849" i="146"/>
  <c r="A6849" i="146"/>
  <c r="D6848" i="146"/>
  <c r="A6848" i="146"/>
  <c r="D6847" i="146"/>
  <c r="A6847" i="146"/>
  <c r="D6846" i="146"/>
  <c r="A6846" i="146"/>
  <c r="D6845" i="146"/>
  <c r="A6845" i="146"/>
  <c r="D6844" i="146"/>
  <c r="A6844" i="146"/>
  <c r="D6843" i="146"/>
  <c r="A6843" i="146"/>
  <c r="D6842" i="146"/>
  <c r="A6842" i="146"/>
  <c r="D6841" i="146"/>
  <c r="A6841" i="146"/>
  <c r="D6840" i="146"/>
  <c r="A6840" i="146"/>
  <c r="D6839" i="146"/>
  <c r="A6839" i="146"/>
  <c r="D6838" i="146"/>
  <c r="A6838" i="146"/>
  <c r="D6837" i="146"/>
  <c r="A6837" i="146"/>
  <c r="D6836" i="146"/>
  <c r="A6836" i="146"/>
  <c r="D6835" i="146"/>
  <c r="A6835" i="146"/>
  <c r="D6834" i="146"/>
  <c r="A6834" i="146"/>
  <c r="D6833" i="146"/>
  <c r="A6833" i="146"/>
  <c r="D6832" i="146"/>
  <c r="A6832" i="146"/>
  <c r="D6831" i="146"/>
  <c r="A6831" i="146"/>
  <c r="D6830" i="146"/>
  <c r="A6830" i="146"/>
  <c r="D6829" i="146"/>
  <c r="A6829" i="146"/>
  <c r="D6828" i="146"/>
  <c r="A6828" i="146"/>
  <c r="D6827" i="146"/>
  <c r="A6827" i="146"/>
  <c r="D6826" i="146"/>
  <c r="A6826" i="146"/>
  <c r="D6825" i="146"/>
  <c r="A6825" i="146"/>
  <c r="D6824" i="146"/>
  <c r="A6824" i="146"/>
  <c r="D6823" i="146"/>
  <c r="A6823" i="146"/>
  <c r="D6822" i="146"/>
  <c r="A6822" i="146"/>
  <c r="D6821" i="146"/>
  <c r="A6821" i="146"/>
  <c r="D6820" i="146"/>
  <c r="A6820" i="146"/>
  <c r="D6819" i="146"/>
  <c r="A6819" i="146"/>
  <c r="D6818" i="146"/>
  <c r="A6818" i="146"/>
  <c r="D6817" i="146"/>
  <c r="A6817" i="146"/>
  <c r="D6816" i="146"/>
  <c r="A6816" i="146"/>
  <c r="D6815" i="146"/>
  <c r="A6815" i="146"/>
  <c r="D6814" i="146"/>
  <c r="A6814" i="146"/>
  <c r="D6813" i="146"/>
  <c r="A6813" i="146"/>
  <c r="D6812" i="146"/>
  <c r="A6812" i="146"/>
  <c r="D6811" i="146"/>
  <c r="A6811" i="146"/>
  <c r="D6810" i="146"/>
  <c r="A6810" i="146"/>
  <c r="D6809" i="146"/>
  <c r="A6809" i="146"/>
  <c r="D6808" i="146"/>
  <c r="A6808" i="146"/>
  <c r="D6807" i="146"/>
  <c r="A6807" i="146"/>
  <c r="D6806" i="146"/>
  <c r="A6806" i="146"/>
  <c r="D6805" i="146"/>
  <c r="A6805" i="146"/>
  <c r="D6804" i="146"/>
  <c r="A6804" i="146"/>
  <c r="D6803" i="146"/>
  <c r="A6803" i="146"/>
  <c r="D6802" i="146"/>
  <c r="A6802" i="146"/>
  <c r="D6801" i="146"/>
  <c r="A6801" i="146"/>
  <c r="D6800" i="146"/>
  <c r="A6800" i="146"/>
  <c r="D6799" i="146"/>
  <c r="A6799" i="146"/>
  <c r="D6798" i="146"/>
  <c r="A6798" i="146"/>
  <c r="D6797" i="146"/>
  <c r="A6797" i="146"/>
  <c r="D6796" i="146"/>
  <c r="A6796" i="146"/>
  <c r="D6795" i="146"/>
  <c r="A6795" i="146"/>
  <c r="D6794" i="146"/>
  <c r="A6794" i="146"/>
  <c r="D6793" i="146"/>
  <c r="A6793" i="146"/>
  <c r="D6792" i="146"/>
  <c r="A6792" i="146"/>
  <c r="D6791" i="146"/>
  <c r="A6791" i="146"/>
  <c r="D6790" i="146"/>
  <c r="A6790" i="146"/>
  <c r="D6789" i="146"/>
  <c r="A6789" i="146"/>
  <c r="D6788" i="146"/>
  <c r="A6788" i="146"/>
  <c r="D6787" i="146"/>
  <c r="A6787" i="146"/>
  <c r="D6786" i="146"/>
  <c r="A6786" i="146"/>
  <c r="D6785" i="146"/>
  <c r="A6785" i="146"/>
  <c r="D6784" i="146"/>
  <c r="A6784" i="146"/>
  <c r="D6783" i="146"/>
  <c r="A6783" i="146"/>
  <c r="D6782" i="146"/>
  <c r="A6782" i="146"/>
  <c r="D6781" i="146"/>
  <c r="A6781" i="146"/>
  <c r="D6780" i="146"/>
  <c r="A6780" i="146"/>
  <c r="D6779" i="146"/>
  <c r="A6779" i="146"/>
  <c r="D6778" i="146"/>
  <c r="A6778" i="146"/>
  <c r="D6777" i="146"/>
  <c r="A6777" i="146"/>
  <c r="D6776" i="146"/>
  <c r="A6776" i="146"/>
  <c r="D6775" i="146"/>
  <c r="A6775" i="146"/>
  <c r="D6774" i="146"/>
  <c r="A6774" i="146"/>
  <c r="D6773" i="146"/>
  <c r="A6773" i="146"/>
  <c r="D6772" i="146"/>
  <c r="A6772" i="146"/>
  <c r="D6771" i="146"/>
  <c r="A6771" i="146"/>
  <c r="D6770" i="146"/>
  <c r="A6770" i="146"/>
  <c r="D6769" i="146"/>
  <c r="A6769" i="146"/>
  <c r="D6768" i="146"/>
  <c r="A6768" i="146"/>
  <c r="D6767" i="146"/>
  <c r="A6767" i="146"/>
  <c r="D6766" i="146"/>
  <c r="A6766" i="146"/>
  <c r="D6765" i="146"/>
  <c r="A6765" i="146"/>
  <c r="D6764" i="146"/>
  <c r="A6764" i="146"/>
  <c r="D6763" i="146"/>
  <c r="A6763" i="146"/>
  <c r="D6762" i="146"/>
  <c r="A6762" i="146"/>
  <c r="D6761" i="146"/>
  <c r="A6761" i="146"/>
  <c r="D6760" i="146"/>
  <c r="A6760" i="146"/>
  <c r="D6759" i="146"/>
  <c r="A6759" i="146"/>
  <c r="D6758" i="146"/>
  <c r="A6758" i="146"/>
  <c r="D6757" i="146"/>
  <c r="A6757" i="146"/>
  <c r="D6756" i="146"/>
  <c r="A6756" i="146"/>
  <c r="D6755" i="146"/>
  <c r="A6755" i="146"/>
  <c r="D6754" i="146"/>
  <c r="A6754" i="146"/>
  <c r="D6753" i="146"/>
  <c r="A6753" i="146"/>
  <c r="D6752" i="146"/>
  <c r="A6752" i="146"/>
  <c r="D6751" i="146"/>
  <c r="A6751" i="146"/>
  <c r="D6750" i="146"/>
  <c r="A6750" i="146"/>
  <c r="D6749" i="146"/>
  <c r="A6749" i="146"/>
  <c r="D6748" i="146"/>
  <c r="A6748" i="146"/>
  <c r="D6747" i="146"/>
  <c r="A6747" i="146"/>
  <c r="D6746" i="146"/>
  <c r="A6746" i="146"/>
  <c r="D6745" i="146"/>
  <c r="A6745" i="146"/>
  <c r="D6744" i="146"/>
  <c r="A6744" i="146"/>
  <c r="D6743" i="146"/>
  <c r="A6743" i="146"/>
  <c r="D6742" i="146"/>
  <c r="A6742" i="146"/>
  <c r="D6741" i="146"/>
  <c r="A6741" i="146"/>
  <c r="D6740" i="146"/>
  <c r="A6740" i="146"/>
  <c r="D6739" i="146"/>
  <c r="A6739" i="146"/>
  <c r="D6738" i="146"/>
  <c r="A6738" i="146"/>
  <c r="D6737" i="146"/>
  <c r="A6737" i="146"/>
  <c r="D6736" i="146"/>
  <c r="A6736" i="146"/>
  <c r="D6735" i="146"/>
  <c r="A6735" i="146"/>
  <c r="D6734" i="146"/>
  <c r="A6734" i="146"/>
  <c r="D6733" i="146"/>
  <c r="A6733" i="146"/>
  <c r="D6732" i="146"/>
  <c r="A6732" i="146"/>
  <c r="D6731" i="146"/>
  <c r="A6731" i="146"/>
  <c r="D6730" i="146"/>
  <c r="A6730" i="146"/>
  <c r="D6729" i="146"/>
  <c r="A6729" i="146"/>
  <c r="D6728" i="146"/>
  <c r="A6728" i="146"/>
  <c r="D6727" i="146"/>
  <c r="A6727" i="146"/>
  <c r="D6726" i="146"/>
  <c r="A6726" i="146"/>
  <c r="D6725" i="146"/>
  <c r="A6725" i="146"/>
  <c r="D6724" i="146"/>
  <c r="A6724" i="146"/>
  <c r="D6723" i="146"/>
  <c r="A6723" i="146"/>
  <c r="D6722" i="146"/>
  <c r="A6722" i="146"/>
  <c r="D6721" i="146"/>
  <c r="A6721" i="146"/>
  <c r="D6720" i="146"/>
  <c r="A6720" i="146"/>
  <c r="D6719" i="146"/>
  <c r="A6719" i="146"/>
  <c r="D6718" i="146"/>
  <c r="A6718" i="146"/>
  <c r="D6717" i="146"/>
  <c r="A6717" i="146"/>
  <c r="D6716" i="146"/>
  <c r="A6716" i="146"/>
  <c r="D6715" i="146"/>
  <c r="A6715" i="146"/>
  <c r="D6714" i="146"/>
  <c r="A6714" i="146"/>
  <c r="D6713" i="146"/>
  <c r="A6713" i="146"/>
  <c r="D6712" i="146"/>
  <c r="A6712" i="146"/>
  <c r="D6711" i="146"/>
  <c r="A6711" i="146"/>
  <c r="D6710" i="146"/>
  <c r="A6710" i="146"/>
  <c r="D6709" i="146"/>
  <c r="A6709" i="146"/>
  <c r="D6708" i="146"/>
  <c r="A6708" i="146"/>
  <c r="D6707" i="146"/>
  <c r="A6707" i="146"/>
  <c r="D6706" i="146"/>
  <c r="A6706" i="146"/>
  <c r="D6705" i="146"/>
  <c r="A6705" i="146"/>
  <c r="D6704" i="146"/>
  <c r="A6704" i="146"/>
  <c r="D6703" i="146"/>
  <c r="A6703" i="146"/>
  <c r="D6702" i="146"/>
  <c r="A6702" i="146"/>
  <c r="D6701" i="146"/>
  <c r="A6701" i="146"/>
  <c r="D6700" i="146"/>
  <c r="A6700" i="146"/>
  <c r="D6699" i="146"/>
  <c r="A6699" i="146"/>
  <c r="D6698" i="146"/>
  <c r="A6698" i="146"/>
  <c r="D6697" i="146"/>
  <c r="A6697" i="146"/>
  <c r="D6696" i="146"/>
  <c r="A6696" i="146"/>
  <c r="D6695" i="146"/>
  <c r="A6695" i="146"/>
  <c r="D6694" i="146"/>
  <c r="A6694" i="146"/>
  <c r="D6693" i="146"/>
  <c r="A6693" i="146"/>
  <c r="D6692" i="146"/>
  <c r="A6692" i="146"/>
  <c r="D6691" i="146"/>
  <c r="A6691" i="146"/>
  <c r="D6690" i="146"/>
  <c r="A6690" i="146"/>
  <c r="D6689" i="146"/>
  <c r="A6689" i="146"/>
  <c r="D6688" i="146"/>
  <c r="A6688" i="146"/>
  <c r="D6687" i="146"/>
  <c r="A6687" i="146"/>
  <c r="D6686" i="146"/>
  <c r="A6686" i="146"/>
  <c r="D6685" i="146"/>
  <c r="A6685" i="146"/>
  <c r="D6684" i="146"/>
  <c r="A6684" i="146"/>
  <c r="D6683" i="146"/>
  <c r="A6683" i="146"/>
  <c r="D6682" i="146"/>
  <c r="A6682" i="146"/>
  <c r="D6681" i="146"/>
  <c r="A6681" i="146"/>
  <c r="D6680" i="146"/>
  <c r="A6680" i="146"/>
  <c r="D6679" i="146"/>
  <c r="A6679" i="146"/>
  <c r="D6678" i="146"/>
  <c r="A6678" i="146"/>
  <c r="D6677" i="146"/>
  <c r="A6677" i="146"/>
  <c r="D6676" i="146"/>
  <c r="A6676" i="146"/>
  <c r="D6675" i="146"/>
  <c r="A6675" i="146"/>
  <c r="D6674" i="146"/>
  <c r="A6674" i="146"/>
  <c r="D6673" i="146"/>
  <c r="A6673" i="146"/>
  <c r="D6672" i="146"/>
  <c r="A6672" i="146"/>
  <c r="D6671" i="146"/>
  <c r="A6671" i="146"/>
  <c r="D6670" i="146"/>
  <c r="A6670" i="146"/>
  <c r="D6669" i="146"/>
  <c r="A6669" i="146"/>
  <c r="D6668" i="146"/>
  <c r="A6668" i="146"/>
  <c r="D6667" i="146"/>
  <c r="A6667" i="146"/>
  <c r="D6666" i="146"/>
  <c r="A6666" i="146"/>
  <c r="D6665" i="146"/>
  <c r="A6665" i="146"/>
  <c r="D6664" i="146"/>
  <c r="A6664" i="146"/>
  <c r="D6663" i="146"/>
  <c r="A6663" i="146"/>
  <c r="D6662" i="146"/>
  <c r="A6662" i="146"/>
  <c r="D6661" i="146"/>
  <c r="A6661" i="146"/>
  <c r="D6660" i="146"/>
  <c r="A6660" i="146"/>
  <c r="D6659" i="146"/>
  <c r="A6659" i="146"/>
  <c r="D6658" i="146"/>
  <c r="A6658" i="146"/>
  <c r="D6657" i="146"/>
  <c r="A6657" i="146"/>
  <c r="D6656" i="146"/>
  <c r="A6656" i="146"/>
  <c r="D6655" i="146"/>
  <c r="A6655" i="146"/>
  <c r="D6654" i="146"/>
  <c r="A6654" i="146"/>
  <c r="D6653" i="146"/>
  <c r="A6653" i="146"/>
  <c r="D6652" i="146"/>
  <c r="A6652" i="146"/>
  <c r="D6651" i="146"/>
  <c r="A6651" i="146"/>
  <c r="D6650" i="146"/>
  <c r="A6650" i="146"/>
  <c r="D6649" i="146"/>
  <c r="A6649" i="146"/>
  <c r="D6648" i="146"/>
  <c r="A6648" i="146"/>
  <c r="D6647" i="146"/>
  <c r="A6647" i="146"/>
  <c r="D6646" i="146"/>
  <c r="A6646" i="146"/>
  <c r="D6645" i="146"/>
  <c r="A6645" i="146"/>
  <c r="D6644" i="146"/>
  <c r="A6644" i="146"/>
  <c r="D6643" i="146"/>
  <c r="A6643" i="146"/>
  <c r="D6642" i="146"/>
  <c r="A6642" i="146"/>
  <c r="D6641" i="146"/>
  <c r="A6641" i="146"/>
  <c r="D6640" i="146"/>
  <c r="A6640" i="146"/>
  <c r="D6639" i="146"/>
  <c r="A6639" i="146"/>
  <c r="D6638" i="146"/>
  <c r="A6638" i="146"/>
  <c r="D6637" i="146"/>
  <c r="A6637" i="146"/>
  <c r="D6636" i="146"/>
  <c r="A6636" i="146"/>
  <c r="D6635" i="146"/>
  <c r="A6635" i="146"/>
  <c r="D6634" i="146"/>
  <c r="A6634" i="146"/>
  <c r="D6633" i="146"/>
  <c r="A6633" i="146"/>
  <c r="D6632" i="146"/>
  <c r="A6632" i="146"/>
  <c r="D6631" i="146"/>
  <c r="A6631" i="146"/>
  <c r="D6630" i="146"/>
  <c r="A6630" i="146"/>
  <c r="D6629" i="146"/>
  <c r="A6629" i="146"/>
  <c r="D6628" i="146"/>
  <c r="A6628" i="146"/>
  <c r="D6627" i="146"/>
  <c r="A6627" i="146"/>
  <c r="D6626" i="146"/>
  <c r="A6626" i="146"/>
  <c r="D6625" i="146"/>
  <c r="A6625" i="146"/>
  <c r="D6624" i="146"/>
  <c r="A6624" i="146"/>
  <c r="D6623" i="146"/>
  <c r="A6623" i="146"/>
  <c r="D6622" i="146"/>
  <c r="A6622" i="146"/>
  <c r="D6621" i="146"/>
  <c r="A6621" i="146"/>
  <c r="D6620" i="146"/>
  <c r="A6620" i="146"/>
  <c r="D6619" i="146"/>
  <c r="A6619" i="146"/>
  <c r="D6618" i="146"/>
  <c r="A6618" i="146"/>
  <c r="D6617" i="146"/>
  <c r="A6617" i="146"/>
  <c r="D6616" i="146"/>
  <c r="A6616" i="146"/>
  <c r="D6615" i="146"/>
  <c r="A6615" i="146"/>
  <c r="D6614" i="146"/>
  <c r="A6614" i="146"/>
  <c r="D6613" i="146"/>
  <c r="A6613" i="146"/>
  <c r="D6612" i="146"/>
  <c r="A6612" i="146"/>
  <c r="D6611" i="146"/>
  <c r="A6611" i="146"/>
  <c r="D6610" i="146"/>
  <c r="A6610" i="146"/>
  <c r="D6609" i="146"/>
  <c r="A6609" i="146"/>
  <c r="D6608" i="146"/>
  <c r="A6608" i="146"/>
  <c r="D6607" i="146"/>
  <c r="A6607" i="146"/>
  <c r="D6606" i="146"/>
  <c r="A6606" i="146"/>
  <c r="D6605" i="146"/>
  <c r="A6605" i="146"/>
  <c r="D6604" i="146"/>
  <c r="A6604" i="146"/>
  <c r="D6603" i="146"/>
  <c r="A6603" i="146"/>
  <c r="D6602" i="146"/>
  <c r="A6602" i="146"/>
  <c r="D6601" i="146"/>
  <c r="A6601" i="146"/>
  <c r="D6600" i="146"/>
  <c r="A6600" i="146"/>
  <c r="D6599" i="146"/>
  <c r="A6599" i="146"/>
  <c r="D6598" i="146"/>
  <c r="A6598" i="146"/>
  <c r="D6597" i="146"/>
  <c r="A6597" i="146"/>
  <c r="D6596" i="146"/>
  <c r="A6596" i="146"/>
  <c r="D6595" i="146"/>
  <c r="A6595" i="146"/>
  <c r="D6594" i="146"/>
  <c r="A6594" i="146"/>
  <c r="D6593" i="146"/>
  <c r="A6593" i="146"/>
  <c r="D6592" i="146"/>
  <c r="A6592" i="146"/>
  <c r="D6591" i="146"/>
  <c r="A6591" i="146"/>
  <c r="D6590" i="146"/>
  <c r="A6590" i="146"/>
  <c r="D6589" i="146"/>
  <c r="A6589" i="146"/>
  <c r="D6588" i="146"/>
  <c r="A6588" i="146"/>
  <c r="D6587" i="146"/>
  <c r="A6587" i="146"/>
  <c r="D6586" i="146"/>
  <c r="A6586" i="146"/>
  <c r="D6585" i="146"/>
  <c r="A6585" i="146"/>
  <c r="D6584" i="146"/>
  <c r="A6584" i="146"/>
  <c r="D6583" i="146"/>
  <c r="A6583" i="146"/>
  <c r="D6582" i="146"/>
  <c r="A6582" i="146"/>
  <c r="D6581" i="146"/>
  <c r="A6581" i="146"/>
  <c r="D6580" i="146"/>
  <c r="A6580" i="146"/>
  <c r="D6579" i="146"/>
  <c r="A6579" i="146"/>
  <c r="D6578" i="146"/>
  <c r="A6578" i="146"/>
  <c r="D6577" i="146"/>
  <c r="A6577" i="146"/>
  <c r="D6576" i="146"/>
  <c r="A6576" i="146"/>
  <c r="D6575" i="146"/>
  <c r="A6575" i="146"/>
  <c r="D6574" i="146"/>
  <c r="A6574" i="146"/>
  <c r="D6573" i="146"/>
  <c r="A6573" i="146"/>
  <c r="D6572" i="146"/>
  <c r="A6572" i="146"/>
  <c r="D6571" i="146"/>
  <c r="A6571" i="146"/>
  <c r="D6570" i="146"/>
  <c r="A6570" i="146"/>
  <c r="D6569" i="146"/>
  <c r="A6569" i="146"/>
  <c r="D6568" i="146"/>
  <c r="A6568" i="146"/>
  <c r="D6567" i="146"/>
  <c r="A6567" i="146"/>
  <c r="D6566" i="146"/>
  <c r="A6566" i="146"/>
  <c r="D6565" i="146"/>
  <c r="A6565" i="146"/>
  <c r="D6564" i="146"/>
  <c r="A6564" i="146"/>
  <c r="D6563" i="146"/>
  <c r="A6563" i="146"/>
  <c r="D6562" i="146"/>
  <c r="A6562" i="146"/>
  <c r="D6561" i="146"/>
  <c r="A6561" i="146"/>
  <c r="D6560" i="146"/>
  <c r="A6560" i="146"/>
  <c r="D6559" i="146"/>
  <c r="A6559" i="146"/>
  <c r="D6558" i="146"/>
  <c r="A6558" i="146"/>
  <c r="D6557" i="146"/>
  <c r="A6557" i="146"/>
  <c r="D6556" i="146"/>
  <c r="A6556" i="146"/>
  <c r="D6555" i="146"/>
  <c r="A6555" i="146"/>
  <c r="D6554" i="146"/>
  <c r="A6554" i="146"/>
  <c r="D6553" i="146"/>
  <c r="A6553" i="146"/>
  <c r="D6552" i="146"/>
  <c r="A6552" i="146"/>
  <c r="D6551" i="146"/>
  <c r="A6551" i="146"/>
  <c r="D6550" i="146"/>
  <c r="A6550" i="146"/>
  <c r="D6549" i="146"/>
  <c r="A6549" i="146"/>
  <c r="D6548" i="146"/>
  <c r="A6548" i="146"/>
  <c r="D6547" i="146"/>
  <c r="A6547" i="146"/>
  <c r="D6546" i="146"/>
  <c r="A6546" i="146"/>
  <c r="D6545" i="146"/>
  <c r="A6545" i="146"/>
  <c r="D6544" i="146"/>
  <c r="A6544" i="146"/>
  <c r="D6543" i="146"/>
  <c r="A6543" i="146"/>
  <c r="D6542" i="146"/>
  <c r="A6542" i="146"/>
  <c r="D6541" i="146"/>
  <c r="A6541" i="146"/>
  <c r="D6540" i="146"/>
  <c r="A6540" i="146"/>
  <c r="D6539" i="146"/>
  <c r="A6539" i="146"/>
  <c r="D6538" i="146"/>
  <c r="A6538" i="146"/>
  <c r="D6537" i="146"/>
  <c r="A6537" i="146"/>
  <c r="D6536" i="146"/>
  <c r="A6536" i="146"/>
  <c r="D6535" i="146"/>
  <c r="A6535" i="146"/>
  <c r="D6534" i="146"/>
  <c r="A6534" i="146"/>
  <c r="D6533" i="146"/>
  <c r="A6533" i="146"/>
  <c r="D6532" i="146"/>
  <c r="A6532" i="146"/>
  <c r="D6531" i="146"/>
  <c r="A6531" i="146"/>
  <c r="D6530" i="146"/>
  <c r="A6530" i="146"/>
  <c r="D6529" i="146"/>
  <c r="A6529" i="146"/>
  <c r="D6528" i="146"/>
  <c r="A6528" i="146"/>
  <c r="D6527" i="146"/>
  <c r="A6527" i="146"/>
  <c r="D6526" i="146"/>
  <c r="A6526" i="146"/>
  <c r="D6525" i="146"/>
  <c r="A6525" i="146"/>
  <c r="D6524" i="146"/>
  <c r="A6524" i="146"/>
  <c r="D6523" i="146"/>
  <c r="A6523" i="146"/>
  <c r="D6522" i="146"/>
  <c r="A6522" i="146"/>
  <c r="D6521" i="146"/>
  <c r="A6521" i="146"/>
  <c r="D6520" i="146"/>
  <c r="A6520" i="146"/>
  <c r="D6519" i="146"/>
  <c r="A6519" i="146"/>
  <c r="D6518" i="146"/>
  <c r="A6518" i="146"/>
  <c r="D6517" i="146"/>
  <c r="A6517" i="146"/>
  <c r="D6516" i="146"/>
  <c r="A6516" i="146"/>
  <c r="D6515" i="146"/>
  <c r="A6515" i="146"/>
  <c r="D6514" i="146"/>
  <c r="A6514" i="146"/>
  <c r="D6513" i="146"/>
  <c r="A6513" i="146"/>
  <c r="D6512" i="146"/>
  <c r="A6512" i="146"/>
  <c r="D6511" i="146"/>
  <c r="A6511" i="146"/>
  <c r="D6510" i="146"/>
  <c r="A6510" i="146"/>
  <c r="D6509" i="146"/>
  <c r="A6509" i="146"/>
  <c r="D6508" i="146"/>
  <c r="A6508" i="146"/>
  <c r="D6507" i="146"/>
  <c r="A6507" i="146"/>
  <c r="D6506" i="146"/>
  <c r="A6506" i="146"/>
  <c r="D6505" i="146"/>
  <c r="A6505" i="146"/>
  <c r="D6504" i="146"/>
  <c r="A6504" i="146"/>
  <c r="D6503" i="146"/>
  <c r="A6503" i="146"/>
  <c r="D6502" i="146"/>
  <c r="A6502" i="146"/>
  <c r="D6501" i="146"/>
  <c r="A6501" i="146"/>
  <c r="D6500" i="146"/>
  <c r="A6500" i="146"/>
  <c r="D6499" i="146"/>
  <c r="A6499" i="146"/>
  <c r="D6498" i="146"/>
  <c r="A6498" i="146"/>
  <c r="D6497" i="146"/>
  <c r="A6497" i="146"/>
  <c r="D6496" i="146"/>
  <c r="A6496" i="146"/>
  <c r="D6495" i="146"/>
  <c r="A6495" i="146"/>
  <c r="D6494" i="146"/>
  <c r="A6494" i="146"/>
  <c r="D6493" i="146"/>
  <c r="A6493" i="146"/>
  <c r="D6492" i="146"/>
  <c r="A6492" i="146"/>
  <c r="D6491" i="146"/>
  <c r="A6491" i="146"/>
  <c r="D6490" i="146"/>
  <c r="A6490" i="146"/>
  <c r="D6489" i="146"/>
  <c r="A6489" i="146"/>
  <c r="D6488" i="146"/>
  <c r="A6488" i="146"/>
  <c r="D6487" i="146"/>
  <c r="A6487" i="146"/>
  <c r="D6486" i="146"/>
  <c r="A6486" i="146"/>
  <c r="D6485" i="146"/>
  <c r="A6485" i="146"/>
  <c r="D6484" i="146"/>
  <c r="A6484" i="146"/>
  <c r="D6483" i="146"/>
  <c r="A6483" i="146"/>
  <c r="D6482" i="146"/>
  <c r="A6482" i="146"/>
  <c r="D6481" i="146"/>
  <c r="A6481" i="146"/>
  <c r="D6480" i="146"/>
  <c r="A6480" i="146"/>
  <c r="D6479" i="146"/>
  <c r="A6479" i="146"/>
  <c r="D6478" i="146"/>
  <c r="A6478" i="146"/>
  <c r="D6477" i="146"/>
  <c r="A6477" i="146"/>
  <c r="D6476" i="146"/>
  <c r="A6476" i="146"/>
  <c r="D6475" i="146"/>
  <c r="A6475" i="146"/>
  <c r="D6474" i="146"/>
  <c r="A6474" i="146"/>
  <c r="D6473" i="146"/>
  <c r="A6473" i="146"/>
  <c r="D6472" i="146"/>
  <c r="A6472" i="146"/>
  <c r="D6471" i="146"/>
  <c r="A6471" i="146"/>
  <c r="D6470" i="146"/>
  <c r="A6470" i="146"/>
  <c r="D6469" i="146"/>
  <c r="A6469" i="146"/>
  <c r="D6468" i="146"/>
  <c r="A6468" i="146"/>
  <c r="D6467" i="146"/>
  <c r="A6467" i="146"/>
  <c r="D6466" i="146"/>
  <c r="A6466" i="146"/>
  <c r="D6465" i="146"/>
  <c r="A6465" i="146"/>
  <c r="D6464" i="146"/>
  <c r="A6464" i="146"/>
  <c r="D6463" i="146"/>
  <c r="A6463" i="146"/>
  <c r="D6462" i="146"/>
  <c r="A6462" i="146"/>
  <c r="D6461" i="146"/>
  <c r="A6461" i="146"/>
  <c r="D6460" i="146"/>
  <c r="A6460" i="146"/>
  <c r="D6459" i="146"/>
  <c r="A6459" i="146"/>
  <c r="D6458" i="146"/>
  <c r="A6458" i="146"/>
  <c r="D6457" i="146"/>
  <c r="A6457" i="146"/>
  <c r="D6456" i="146"/>
  <c r="A6456" i="146"/>
  <c r="D6455" i="146"/>
  <c r="A6455" i="146"/>
  <c r="D6454" i="146"/>
  <c r="A6454" i="146"/>
  <c r="D6453" i="146"/>
  <c r="A6453" i="146"/>
  <c r="D6452" i="146"/>
  <c r="A6452" i="146"/>
  <c r="D6451" i="146"/>
  <c r="A6451" i="146"/>
  <c r="D6450" i="146"/>
  <c r="A6450" i="146"/>
  <c r="D6449" i="146"/>
  <c r="A6449" i="146"/>
  <c r="D6448" i="146"/>
  <c r="A6448" i="146"/>
  <c r="D6447" i="146"/>
  <c r="A6447" i="146"/>
  <c r="D6446" i="146"/>
  <c r="A6446" i="146"/>
  <c r="D6445" i="146"/>
  <c r="A6445" i="146"/>
  <c r="D6444" i="146"/>
  <c r="A6444" i="146"/>
  <c r="D6443" i="146"/>
  <c r="A6443" i="146"/>
  <c r="D6442" i="146"/>
  <c r="A6442" i="146"/>
  <c r="D6441" i="146"/>
  <c r="A6441" i="146"/>
  <c r="D6440" i="146"/>
  <c r="A6440" i="146"/>
  <c r="D6439" i="146"/>
  <c r="A6439" i="146"/>
  <c r="D6438" i="146"/>
  <c r="A6438" i="146"/>
  <c r="D6437" i="146"/>
  <c r="A6437" i="146"/>
  <c r="D6436" i="146"/>
  <c r="A6436" i="146"/>
  <c r="D6435" i="146"/>
  <c r="A6435" i="146"/>
  <c r="D6434" i="146"/>
  <c r="A6434" i="146"/>
  <c r="D6433" i="146"/>
  <c r="A6433" i="146"/>
  <c r="D6432" i="146"/>
  <c r="A6432" i="146"/>
  <c r="D6431" i="146"/>
  <c r="A6431" i="146"/>
  <c r="D6430" i="146"/>
  <c r="A6430" i="146"/>
  <c r="D6429" i="146"/>
  <c r="A6429" i="146"/>
  <c r="D6428" i="146"/>
  <c r="A6428" i="146"/>
  <c r="D6427" i="146"/>
  <c r="A6427" i="146"/>
  <c r="D6426" i="146"/>
  <c r="A6426" i="146"/>
  <c r="D6425" i="146"/>
  <c r="A6425" i="146"/>
  <c r="D6424" i="146"/>
  <c r="A6424" i="146"/>
  <c r="D6423" i="146"/>
  <c r="A6423" i="146"/>
  <c r="D6422" i="146"/>
  <c r="A6422" i="146"/>
  <c r="D6421" i="146"/>
  <c r="A6421" i="146"/>
  <c r="D6420" i="146"/>
  <c r="A6420" i="146"/>
  <c r="D6419" i="146"/>
  <c r="A6419" i="146"/>
  <c r="D6418" i="146"/>
  <c r="A6418" i="146"/>
  <c r="D6417" i="146"/>
  <c r="A6417" i="146"/>
  <c r="D6416" i="146"/>
  <c r="A6416" i="146"/>
  <c r="D6415" i="146"/>
  <c r="A6415" i="146"/>
  <c r="D6414" i="146"/>
  <c r="A6414" i="146"/>
  <c r="D6413" i="146"/>
  <c r="A6413" i="146"/>
  <c r="D6412" i="146"/>
  <c r="A6412" i="146"/>
  <c r="D6411" i="146"/>
  <c r="A6411" i="146"/>
  <c r="D6410" i="146"/>
  <c r="A6410" i="146"/>
  <c r="D6409" i="146"/>
  <c r="A6409" i="146"/>
  <c r="D6408" i="146"/>
  <c r="A6408" i="146"/>
  <c r="D6407" i="146"/>
  <c r="A6407" i="146"/>
  <c r="D6406" i="146"/>
  <c r="A6406" i="146"/>
  <c r="D6405" i="146"/>
  <c r="A6405" i="146"/>
  <c r="D6404" i="146"/>
  <c r="A6404" i="146"/>
  <c r="D6403" i="146"/>
  <c r="A6403" i="146"/>
  <c r="D6402" i="146"/>
  <c r="A6402" i="146"/>
  <c r="D6401" i="146"/>
  <c r="A6401" i="146"/>
  <c r="D6400" i="146"/>
  <c r="A6400" i="146"/>
  <c r="D6399" i="146"/>
  <c r="A6399" i="146"/>
  <c r="D6398" i="146"/>
  <c r="A6398" i="146"/>
  <c r="D6397" i="146"/>
  <c r="A6397" i="146"/>
  <c r="D6396" i="146"/>
  <c r="A6396" i="146"/>
  <c r="D6395" i="146"/>
  <c r="A6395" i="146"/>
  <c r="D6394" i="146"/>
  <c r="A6394" i="146"/>
  <c r="D6393" i="146"/>
  <c r="A6393" i="146"/>
  <c r="D6392" i="146"/>
  <c r="A6392" i="146"/>
  <c r="D6391" i="146"/>
  <c r="A6391" i="146"/>
  <c r="D6390" i="146"/>
  <c r="A6390" i="146"/>
  <c r="D6389" i="146"/>
  <c r="A6389" i="146"/>
  <c r="D6388" i="146"/>
  <c r="A6388" i="146"/>
  <c r="D6387" i="146"/>
  <c r="A6387" i="146"/>
  <c r="D6386" i="146"/>
  <c r="A6386" i="146"/>
  <c r="D6385" i="146"/>
  <c r="A6385" i="146"/>
  <c r="D6384" i="146"/>
  <c r="A6384" i="146"/>
  <c r="D6383" i="146"/>
  <c r="A6383" i="146"/>
  <c r="D6382" i="146"/>
  <c r="A6382" i="146"/>
  <c r="D6381" i="146"/>
  <c r="A6381" i="146"/>
  <c r="D6380" i="146"/>
  <c r="A6380" i="146"/>
  <c r="D6379" i="146"/>
  <c r="A6379" i="146"/>
  <c r="D6378" i="146"/>
  <c r="A6378" i="146"/>
  <c r="D6377" i="146"/>
  <c r="A6377" i="146"/>
  <c r="D6376" i="146"/>
  <c r="A6376" i="146"/>
  <c r="D6375" i="146"/>
  <c r="A6375" i="146"/>
  <c r="D6374" i="146"/>
  <c r="A6374" i="146"/>
  <c r="D6373" i="146"/>
  <c r="A6373" i="146"/>
  <c r="D6372" i="146"/>
  <c r="A6372" i="146"/>
  <c r="D6371" i="146"/>
  <c r="A6371" i="146"/>
  <c r="D6370" i="146"/>
  <c r="A6370" i="146"/>
  <c r="D6369" i="146"/>
  <c r="A6369" i="146"/>
  <c r="D6368" i="146"/>
  <c r="A6368" i="146"/>
  <c r="D6367" i="146"/>
  <c r="A6367" i="146"/>
  <c r="D6366" i="146"/>
  <c r="A6366" i="146"/>
  <c r="D6365" i="146"/>
  <c r="A6365" i="146"/>
  <c r="D6364" i="146"/>
  <c r="A6364" i="146"/>
  <c r="D6363" i="146"/>
  <c r="A6363" i="146"/>
  <c r="D6362" i="146"/>
  <c r="A6362" i="146"/>
  <c r="D6361" i="146"/>
  <c r="A6361" i="146"/>
  <c r="D6360" i="146"/>
  <c r="A6360" i="146"/>
  <c r="D6359" i="146"/>
  <c r="A6359" i="146"/>
  <c r="D6358" i="146"/>
  <c r="A6358" i="146"/>
  <c r="D6357" i="146"/>
  <c r="A6357" i="146"/>
  <c r="D6356" i="146"/>
  <c r="A6356" i="146"/>
  <c r="D6355" i="146"/>
  <c r="A6355" i="146"/>
  <c r="D6354" i="146"/>
  <c r="A6354" i="146"/>
  <c r="D6353" i="146"/>
  <c r="A6353" i="146"/>
  <c r="D6352" i="146"/>
  <c r="A6352" i="146"/>
  <c r="D6351" i="146"/>
  <c r="A6351" i="146"/>
  <c r="D6350" i="146"/>
  <c r="A6350" i="146"/>
  <c r="D6349" i="146"/>
  <c r="A6349" i="146"/>
  <c r="D6348" i="146"/>
  <c r="A6348" i="146"/>
  <c r="D6347" i="146"/>
  <c r="A6347" i="146"/>
  <c r="D6346" i="146"/>
  <c r="A6346" i="146"/>
  <c r="D6345" i="146"/>
  <c r="A6345" i="146"/>
  <c r="D6344" i="146"/>
  <c r="A6344" i="146"/>
  <c r="D6343" i="146"/>
  <c r="A6343" i="146"/>
  <c r="D6342" i="146"/>
  <c r="A6342" i="146"/>
  <c r="D6341" i="146"/>
  <c r="A6341" i="146"/>
  <c r="D6340" i="146"/>
  <c r="A6340" i="146"/>
  <c r="D6339" i="146"/>
  <c r="A6339" i="146"/>
  <c r="D6338" i="146"/>
  <c r="A6338" i="146"/>
  <c r="D6337" i="146"/>
  <c r="A6337" i="146"/>
  <c r="D6336" i="146"/>
  <c r="A6336" i="146"/>
  <c r="D6335" i="146"/>
  <c r="A6335" i="146"/>
  <c r="D6334" i="146"/>
  <c r="A6334" i="146"/>
  <c r="D6333" i="146"/>
  <c r="A6333" i="146"/>
  <c r="D6332" i="146"/>
  <c r="A6332" i="146"/>
  <c r="D6331" i="146"/>
  <c r="A6331" i="146"/>
  <c r="D6330" i="146"/>
  <c r="A6330" i="146"/>
  <c r="D6329" i="146"/>
  <c r="A6329" i="146"/>
  <c r="D6328" i="146"/>
  <c r="A6328" i="146"/>
  <c r="D6327" i="146"/>
  <c r="A6327" i="146"/>
  <c r="D6326" i="146"/>
  <c r="A6326" i="146"/>
  <c r="D6325" i="146"/>
  <c r="A6325" i="146"/>
  <c r="D6324" i="146"/>
  <c r="A6324" i="146"/>
  <c r="D6323" i="146"/>
  <c r="A6323" i="146"/>
  <c r="D6322" i="146"/>
  <c r="A6322" i="146"/>
  <c r="D6321" i="146"/>
  <c r="A6321" i="146"/>
  <c r="D6320" i="146"/>
  <c r="A6320" i="146"/>
  <c r="D6319" i="146"/>
  <c r="A6319" i="146"/>
  <c r="D6318" i="146"/>
  <c r="A6318" i="146"/>
  <c r="D6317" i="146"/>
  <c r="A6317" i="146"/>
  <c r="D6316" i="146"/>
  <c r="A6316" i="146"/>
  <c r="D6315" i="146"/>
  <c r="A6315" i="146"/>
  <c r="D6314" i="146"/>
  <c r="A6314" i="146"/>
  <c r="D6313" i="146"/>
  <c r="A6313" i="146"/>
  <c r="D6312" i="146"/>
  <c r="A6312" i="146"/>
  <c r="D6311" i="146"/>
  <c r="A6311" i="146"/>
  <c r="D6310" i="146"/>
  <c r="A6310" i="146"/>
  <c r="D6309" i="146"/>
  <c r="A6309" i="146"/>
  <c r="D6308" i="146"/>
  <c r="A6308" i="146"/>
  <c r="D6307" i="146"/>
  <c r="A6307" i="146"/>
  <c r="D6306" i="146"/>
  <c r="A6306" i="146"/>
  <c r="D6305" i="146"/>
  <c r="A6305" i="146"/>
  <c r="D6304" i="146"/>
  <c r="A6304" i="146"/>
  <c r="D6303" i="146"/>
  <c r="A6303" i="146"/>
  <c r="D6302" i="146"/>
  <c r="A6302" i="146"/>
  <c r="D6301" i="146"/>
  <c r="A6301" i="146"/>
  <c r="D6300" i="146"/>
  <c r="A6300" i="146"/>
  <c r="D6299" i="146"/>
  <c r="A6299" i="146"/>
  <c r="D6298" i="146"/>
  <c r="A6298" i="146"/>
  <c r="D6297" i="146"/>
  <c r="A6297" i="146"/>
  <c r="D6296" i="146"/>
  <c r="A6296" i="146"/>
  <c r="D6295" i="146"/>
  <c r="A6295" i="146"/>
  <c r="D6294" i="146"/>
  <c r="A6294" i="146"/>
  <c r="D6293" i="146"/>
  <c r="A6293" i="146"/>
  <c r="D6292" i="146"/>
  <c r="A6292" i="146"/>
  <c r="D6291" i="146"/>
  <c r="A6291" i="146"/>
  <c r="D6290" i="146"/>
  <c r="A6290" i="146"/>
  <c r="D6289" i="146"/>
  <c r="A6289" i="146"/>
  <c r="D6288" i="146"/>
  <c r="A6288" i="146"/>
  <c r="D6287" i="146"/>
  <c r="A6287" i="146"/>
  <c r="D6286" i="146"/>
  <c r="A6286" i="146"/>
  <c r="D6285" i="146"/>
  <c r="A6285" i="146"/>
  <c r="D6284" i="146"/>
  <c r="A6284" i="146"/>
  <c r="D6283" i="146"/>
  <c r="A6283" i="146"/>
  <c r="D6282" i="146"/>
  <c r="A6282" i="146"/>
  <c r="D6281" i="146"/>
  <c r="A6281" i="146"/>
  <c r="D6280" i="146"/>
  <c r="A6280" i="146"/>
  <c r="D6279" i="146"/>
  <c r="A6279" i="146"/>
  <c r="D6278" i="146"/>
  <c r="A6278" i="146"/>
  <c r="D6277" i="146"/>
  <c r="A6277" i="146"/>
  <c r="D6276" i="146"/>
  <c r="A6276" i="146"/>
  <c r="D6275" i="146"/>
  <c r="A6275" i="146"/>
  <c r="D6274" i="146"/>
  <c r="A6274" i="146"/>
  <c r="D6273" i="146"/>
  <c r="A6273" i="146"/>
  <c r="D6272" i="146"/>
  <c r="A6272" i="146"/>
  <c r="D6271" i="146"/>
  <c r="A6271" i="146"/>
  <c r="D6270" i="146"/>
  <c r="A6270" i="146"/>
  <c r="D6269" i="146"/>
  <c r="A6269" i="146"/>
  <c r="D6268" i="146"/>
  <c r="A6268" i="146"/>
  <c r="D6267" i="146"/>
  <c r="A6267" i="146"/>
  <c r="D6266" i="146"/>
  <c r="A6266" i="146"/>
  <c r="D6265" i="146"/>
  <c r="A6265" i="146"/>
  <c r="D6264" i="146"/>
  <c r="A6264" i="146"/>
  <c r="D6263" i="146"/>
  <c r="A6263" i="146"/>
  <c r="D6262" i="146"/>
  <c r="A6262" i="146"/>
  <c r="D6261" i="146"/>
  <c r="A6261" i="146"/>
  <c r="D6260" i="146"/>
  <c r="A6260" i="146"/>
  <c r="D6259" i="146"/>
  <c r="A6259" i="146"/>
  <c r="D6258" i="146"/>
  <c r="A6258" i="146"/>
  <c r="D6257" i="146"/>
  <c r="A6257" i="146"/>
  <c r="D6256" i="146"/>
  <c r="A6256" i="146"/>
  <c r="D6255" i="146"/>
  <c r="A6255" i="146"/>
  <c r="D6254" i="146"/>
  <c r="A6254" i="146"/>
  <c r="D6253" i="146"/>
  <c r="A6253" i="146"/>
  <c r="D6252" i="146"/>
  <c r="A6252" i="146"/>
  <c r="D6251" i="146"/>
  <c r="A6251" i="146"/>
  <c r="D6250" i="146"/>
  <c r="A6250" i="146"/>
  <c r="D6249" i="146"/>
  <c r="A6249" i="146"/>
  <c r="D6248" i="146"/>
  <c r="A6248" i="146"/>
  <c r="D6247" i="146"/>
  <c r="A6247" i="146"/>
  <c r="D6246" i="146"/>
  <c r="A6246" i="146"/>
  <c r="D6245" i="146"/>
  <c r="A6245" i="146"/>
  <c r="D6244" i="146"/>
  <c r="A6244" i="146"/>
  <c r="D6243" i="146"/>
  <c r="A6243" i="146"/>
  <c r="D6242" i="146"/>
  <c r="A6242" i="146"/>
  <c r="D6241" i="146"/>
  <c r="A6241" i="146"/>
  <c r="D6240" i="146"/>
  <c r="A6240" i="146"/>
  <c r="D6239" i="146"/>
  <c r="A6239" i="146"/>
  <c r="D6238" i="146"/>
  <c r="A6238" i="146"/>
  <c r="D6237" i="146"/>
  <c r="A6237" i="146"/>
  <c r="D6236" i="146"/>
  <c r="A6236" i="146"/>
  <c r="D6235" i="146"/>
  <c r="A6235" i="146"/>
  <c r="D6234" i="146"/>
  <c r="A6234" i="146"/>
  <c r="D6233" i="146"/>
  <c r="A6233" i="146"/>
  <c r="D6232" i="146"/>
  <c r="A6232" i="146"/>
  <c r="D6231" i="146"/>
  <c r="A6231" i="146"/>
  <c r="D6230" i="146"/>
  <c r="A6230" i="146"/>
  <c r="D6229" i="146"/>
  <c r="A6229" i="146"/>
  <c r="D6228" i="146"/>
  <c r="A6228" i="146"/>
  <c r="D6227" i="146"/>
  <c r="A6227" i="146"/>
  <c r="D6226" i="146"/>
  <c r="A6226" i="146"/>
  <c r="D6225" i="146"/>
  <c r="A6225" i="146"/>
  <c r="D6224" i="146"/>
  <c r="A6224" i="146"/>
  <c r="D6223" i="146"/>
  <c r="A6223" i="146"/>
  <c r="D6222" i="146"/>
  <c r="A6222" i="146"/>
  <c r="D6221" i="146"/>
  <c r="A6221" i="146"/>
  <c r="D6220" i="146"/>
  <c r="A6220" i="146"/>
  <c r="D6219" i="146"/>
  <c r="A6219" i="146"/>
  <c r="D6218" i="146"/>
  <c r="A6218" i="146"/>
  <c r="D6217" i="146"/>
  <c r="A6217" i="146"/>
  <c r="D6216" i="146"/>
  <c r="A6216" i="146"/>
  <c r="D6215" i="146"/>
  <c r="A6215" i="146"/>
  <c r="D6214" i="146"/>
  <c r="A6214" i="146"/>
  <c r="D6213" i="146"/>
  <c r="A6213" i="146"/>
  <c r="D6212" i="146"/>
  <c r="A6212" i="146"/>
  <c r="D6211" i="146"/>
  <c r="A6211" i="146"/>
  <c r="D6210" i="146"/>
  <c r="A6210" i="146"/>
  <c r="D6209" i="146"/>
  <c r="A6209" i="146"/>
  <c r="D6208" i="146"/>
  <c r="A6208" i="146"/>
  <c r="D6207" i="146"/>
  <c r="A6207" i="146"/>
  <c r="D6206" i="146"/>
  <c r="A6206" i="146"/>
  <c r="D6205" i="146"/>
  <c r="A6205" i="146"/>
  <c r="D6204" i="146"/>
  <c r="A6204" i="146"/>
  <c r="D6203" i="146"/>
  <c r="A6203" i="146"/>
  <c r="D6202" i="146"/>
  <c r="A6202" i="146"/>
  <c r="D6201" i="146"/>
  <c r="A6201" i="146"/>
  <c r="D6200" i="146"/>
  <c r="A6200" i="146"/>
  <c r="D6199" i="146"/>
  <c r="A6199" i="146"/>
  <c r="D6198" i="146"/>
  <c r="A6198" i="146"/>
  <c r="D6197" i="146"/>
  <c r="A6197" i="146"/>
  <c r="D6196" i="146"/>
  <c r="A6196" i="146"/>
  <c r="D6195" i="146"/>
  <c r="A6195" i="146"/>
  <c r="D6194" i="146"/>
  <c r="A6194" i="146"/>
  <c r="D6193" i="146"/>
  <c r="A6193" i="146"/>
  <c r="D6192" i="146"/>
  <c r="A6192" i="146"/>
  <c r="D6191" i="146"/>
  <c r="A6191" i="146"/>
  <c r="D6190" i="146"/>
  <c r="A6190" i="146"/>
  <c r="D6189" i="146"/>
  <c r="A6189" i="146"/>
  <c r="D6188" i="146"/>
  <c r="A6188" i="146"/>
  <c r="D6187" i="146"/>
  <c r="A6187" i="146"/>
  <c r="D6186" i="146"/>
  <c r="A6186" i="146"/>
  <c r="D6185" i="146"/>
  <c r="A6185" i="146"/>
  <c r="D6184" i="146"/>
  <c r="A6184" i="146"/>
  <c r="D6183" i="146"/>
  <c r="A6183" i="146"/>
  <c r="D6182" i="146"/>
  <c r="A6182" i="146"/>
  <c r="D6181" i="146"/>
  <c r="A6181" i="146"/>
  <c r="D6180" i="146"/>
  <c r="A6180" i="146"/>
  <c r="D6179" i="146"/>
  <c r="A6179" i="146"/>
  <c r="D6178" i="146"/>
  <c r="A6178" i="146"/>
  <c r="D6177" i="146"/>
  <c r="A6177" i="146"/>
  <c r="D6176" i="146"/>
  <c r="A6176" i="146"/>
  <c r="D6175" i="146"/>
  <c r="A6175" i="146"/>
  <c r="D6174" i="146"/>
  <c r="A6174" i="146"/>
  <c r="D6173" i="146"/>
  <c r="A6173" i="146"/>
  <c r="D6172" i="146"/>
  <c r="A6172" i="146"/>
  <c r="D6171" i="146"/>
  <c r="A6171" i="146"/>
  <c r="D6170" i="146"/>
  <c r="A6170" i="146"/>
  <c r="D6169" i="146"/>
  <c r="A6169" i="146"/>
  <c r="D6168" i="146"/>
  <c r="A6168" i="146"/>
  <c r="D6167" i="146"/>
  <c r="A6167" i="146"/>
  <c r="D6166" i="146"/>
  <c r="A6166" i="146"/>
  <c r="D6165" i="146"/>
  <c r="A6165" i="146"/>
  <c r="D6164" i="146"/>
  <c r="A6164" i="146"/>
  <c r="D6163" i="146"/>
  <c r="A6163" i="146"/>
  <c r="D6162" i="146"/>
  <c r="A6162" i="146"/>
  <c r="D6161" i="146"/>
  <c r="A6161" i="146"/>
  <c r="D6160" i="146"/>
  <c r="A6160" i="146"/>
  <c r="D6159" i="146"/>
  <c r="A6159" i="146"/>
  <c r="D6158" i="146"/>
  <c r="A6158" i="146"/>
  <c r="D6157" i="146"/>
  <c r="A6157" i="146"/>
  <c r="D6156" i="146"/>
  <c r="A6156" i="146"/>
  <c r="D6155" i="146"/>
  <c r="A6155" i="146"/>
  <c r="D6154" i="146"/>
  <c r="A6154" i="146"/>
  <c r="D6153" i="146"/>
  <c r="A6153" i="146"/>
  <c r="D6152" i="146"/>
  <c r="A6152" i="146"/>
  <c r="D6151" i="146"/>
  <c r="A6151" i="146"/>
  <c r="D6150" i="146"/>
  <c r="A6150" i="146"/>
  <c r="D6149" i="146"/>
  <c r="A6149" i="146"/>
  <c r="D6148" i="146"/>
  <c r="A6148" i="146"/>
  <c r="D6147" i="146"/>
  <c r="A6147" i="146"/>
  <c r="D6146" i="146"/>
  <c r="A6146" i="146"/>
  <c r="D6145" i="146"/>
  <c r="A6145" i="146"/>
  <c r="D6144" i="146"/>
  <c r="A6144" i="146"/>
  <c r="D6143" i="146"/>
  <c r="A6143" i="146"/>
  <c r="D6142" i="146"/>
  <c r="A6142" i="146"/>
  <c r="D6141" i="146"/>
  <c r="A6141" i="146"/>
  <c r="D6140" i="146"/>
  <c r="A6140" i="146"/>
  <c r="D6139" i="146"/>
  <c r="A6139" i="146"/>
  <c r="D6138" i="146"/>
  <c r="A6138" i="146"/>
  <c r="D6137" i="146"/>
  <c r="A6137" i="146"/>
  <c r="D6136" i="146"/>
  <c r="A6136" i="146"/>
  <c r="D6135" i="146"/>
  <c r="A6135" i="146"/>
  <c r="D6134" i="146"/>
  <c r="A6134" i="146"/>
  <c r="D6133" i="146"/>
  <c r="A6133" i="146"/>
  <c r="D6132" i="146"/>
  <c r="A6132" i="146"/>
  <c r="D6131" i="146"/>
  <c r="A6131" i="146"/>
  <c r="D6130" i="146"/>
  <c r="A6130" i="146"/>
  <c r="D6129" i="146"/>
  <c r="A6129" i="146"/>
  <c r="D6128" i="146"/>
  <c r="A6128" i="146"/>
  <c r="D6127" i="146"/>
  <c r="A6127" i="146"/>
  <c r="D6126" i="146"/>
  <c r="A6126" i="146"/>
  <c r="D6125" i="146"/>
  <c r="A6125" i="146"/>
  <c r="D6124" i="146"/>
  <c r="A6124" i="146"/>
  <c r="D6123" i="146"/>
  <c r="A6123" i="146"/>
  <c r="D6122" i="146"/>
  <c r="A6122" i="146"/>
  <c r="D6121" i="146"/>
  <c r="A6121" i="146"/>
  <c r="D6120" i="146"/>
  <c r="A6120" i="146"/>
  <c r="D6119" i="146"/>
  <c r="A6119" i="146"/>
  <c r="D6118" i="146"/>
  <c r="A6118" i="146"/>
  <c r="D6117" i="146"/>
  <c r="A6117" i="146"/>
  <c r="D6116" i="146"/>
  <c r="A6116" i="146"/>
  <c r="D6115" i="146"/>
  <c r="A6115" i="146"/>
  <c r="D6114" i="146"/>
  <c r="A6114" i="146"/>
  <c r="D6113" i="146"/>
  <c r="A6113" i="146"/>
  <c r="D6112" i="146"/>
  <c r="A6112" i="146"/>
  <c r="D6111" i="146"/>
  <c r="A6111" i="146"/>
  <c r="D6110" i="146"/>
  <c r="A6110" i="146"/>
  <c r="D6109" i="146"/>
  <c r="A6109" i="146"/>
  <c r="D6108" i="146"/>
  <c r="A6108" i="146"/>
  <c r="D6107" i="146"/>
  <c r="A6107" i="146"/>
  <c r="D6106" i="146"/>
  <c r="A6106" i="146"/>
  <c r="D6105" i="146"/>
  <c r="A6105" i="146"/>
  <c r="D6104" i="146"/>
  <c r="A6104" i="146"/>
  <c r="D6103" i="146"/>
  <c r="A6103" i="146"/>
  <c r="D6102" i="146"/>
  <c r="A6102" i="146"/>
  <c r="D6101" i="146"/>
  <c r="A6101" i="146"/>
  <c r="D6100" i="146"/>
  <c r="A6100" i="146"/>
  <c r="D6099" i="146"/>
  <c r="A6099" i="146"/>
  <c r="D6098" i="146"/>
  <c r="A6098" i="146"/>
  <c r="D6097" i="146"/>
  <c r="A6097" i="146"/>
  <c r="D6096" i="146"/>
  <c r="A6096" i="146"/>
  <c r="D6095" i="146"/>
  <c r="A6095" i="146"/>
  <c r="D6094" i="146"/>
  <c r="A6094" i="146"/>
  <c r="D6093" i="146"/>
  <c r="A6093" i="146"/>
  <c r="D6092" i="146"/>
  <c r="A6092" i="146"/>
  <c r="D6091" i="146"/>
  <c r="A6091" i="146"/>
  <c r="D6090" i="146"/>
  <c r="A6090" i="146"/>
  <c r="D6089" i="146"/>
  <c r="A6089" i="146"/>
  <c r="D6088" i="146"/>
  <c r="A6088" i="146"/>
  <c r="D6087" i="146"/>
  <c r="A6087" i="146"/>
  <c r="D6086" i="146"/>
  <c r="A6086" i="146"/>
  <c r="D6085" i="146"/>
  <c r="A6085" i="146"/>
  <c r="D6084" i="146"/>
  <c r="A6084" i="146"/>
  <c r="D6083" i="146"/>
  <c r="A6083" i="146"/>
  <c r="D6082" i="146"/>
  <c r="A6082" i="146"/>
  <c r="D6081" i="146"/>
  <c r="A6081" i="146"/>
  <c r="D6080" i="146"/>
  <c r="A6080" i="146"/>
  <c r="D6079" i="146"/>
  <c r="A6079" i="146"/>
  <c r="D6078" i="146"/>
  <c r="A6078" i="146"/>
  <c r="D6077" i="146"/>
  <c r="A6077" i="146"/>
  <c r="D6076" i="146"/>
  <c r="A6076" i="146"/>
  <c r="D6075" i="146"/>
  <c r="A6075" i="146"/>
  <c r="D6074" i="146"/>
  <c r="A6074" i="146"/>
  <c r="D6073" i="146"/>
  <c r="A6073" i="146"/>
  <c r="D6072" i="146"/>
  <c r="A6072" i="146"/>
  <c r="D6071" i="146"/>
  <c r="A6071" i="146"/>
  <c r="D6070" i="146"/>
  <c r="A6070" i="146"/>
  <c r="D6069" i="146"/>
  <c r="A6069" i="146"/>
  <c r="D6068" i="146"/>
  <c r="A6068" i="146"/>
  <c r="D6067" i="146"/>
  <c r="A6067" i="146"/>
  <c r="D6066" i="146"/>
  <c r="A6066" i="146"/>
  <c r="D6065" i="146"/>
  <c r="A6065" i="146"/>
  <c r="D6064" i="146"/>
  <c r="A6064" i="146"/>
  <c r="D6063" i="146"/>
  <c r="A6063" i="146"/>
  <c r="D6062" i="146"/>
  <c r="A6062" i="146"/>
  <c r="D6061" i="146"/>
  <c r="A6061" i="146"/>
  <c r="D6060" i="146"/>
  <c r="A6060" i="146"/>
  <c r="D6059" i="146"/>
  <c r="A6059" i="146"/>
  <c r="D6058" i="146"/>
  <c r="A6058" i="146"/>
  <c r="D6057" i="146"/>
  <c r="A6057" i="146"/>
  <c r="D6056" i="146"/>
  <c r="A6056" i="146"/>
  <c r="D6055" i="146"/>
  <c r="A6055" i="146"/>
  <c r="D6054" i="146"/>
  <c r="A6054" i="146"/>
  <c r="D6053" i="146"/>
  <c r="A6053" i="146"/>
  <c r="D6052" i="146"/>
  <c r="A6052" i="146"/>
  <c r="D6051" i="146"/>
  <c r="A6051" i="146"/>
  <c r="D6050" i="146"/>
  <c r="A6050" i="146"/>
  <c r="D6049" i="146"/>
  <c r="A6049" i="146"/>
  <c r="D6048" i="146"/>
  <c r="A6048" i="146"/>
  <c r="D6047" i="146"/>
  <c r="A6047" i="146"/>
  <c r="D6046" i="146"/>
  <c r="A6046" i="146"/>
  <c r="D6045" i="146"/>
  <c r="A6045" i="146"/>
  <c r="D6044" i="146"/>
  <c r="A6044" i="146"/>
  <c r="D6043" i="146"/>
  <c r="A6043" i="146"/>
  <c r="D6042" i="146"/>
  <c r="A6042" i="146"/>
  <c r="D6041" i="146"/>
  <c r="A6041" i="146"/>
  <c r="D6040" i="146"/>
  <c r="A6040" i="146"/>
  <c r="D6039" i="146"/>
  <c r="A6039" i="146"/>
  <c r="D6038" i="146"/>
  <c r="A6038" i="146"/>
  <c r="D6037" i="146"/>
  <c r="A6037" i="146"/>
  <c r="D6036" i="146"/>
  <c r="A6036" i="146"/>
  <c r="D6035" i="146"/>
  <c r="A6035" i="146"/>
  <c r="D6034" i="146"/>
  <c r="A6034" i="146"/>
  <c r="D6033" i="146"/>
  <c r="A6033" i="146"/>
  <c r="D6032" i="146"/>
  <c r="A6032" i="146"/>
  <c r="D6031" i="146"/>
  <c r="A6031" i="146"/>
  <c r="D6030" i="146"/>
  <c r="A6030" i="146"/>
  <c r="D6029" i="146"/>
  <c r="A6029" i="146"/>
  <c r="D6028" i="146"/>
  <c r="A6028" i="146"/>
  <c r="D6027" i="146"/>
  <c r="A6027" i="146"/>
  <c r="D6026" i="146"/>
  <c r="A6026" i="146"/>
  <c r="D6025" i="146"/>
  <c r="A6025" i="146"/>
  <c r="D6024" i="146"/>
  <c r="A6024" i="146"/>
  <c r="D6023" i="146"/>
  <c r="A6023" i="146"/>
  <c r="D6022" i="146"/>
  <c r="A6022" i="146"/>
  <c r="D6021" i="146"/>
  <c r="A6021" i="146"/>
  <c r="D6020" i="146"/>
  <c r="A6020" i="146"/>
  <c r="D6019" i="146"/>
  <c r="A6019" i="146"/>
  <c r="D6018" i="146"/>
  <c r="A6018" i="146"/>
  <c r="D6017" i="146"/>
  <c r="A6017" i="146"/>
  <c r="D6016" i="146"/>
  <c r="A6016" i="146"/>
  <c r="D6015" i="146"/>
  <c r="A6015" i="146"/>
  <c r="D6014" i="146"/>
  <c r="A6014" i="146"/>
  <c r="D6013" i="146"/>
  <c r="A6013" i="146"/>
  <c r="D6012" i="146"/>
  <c r="A6012" i="146"/>
  <c r="D6011" i="146"/>
  <c r="A6011" i="146"/>
  <c r="D6010" i="146"/>
  <c r="A6010" i="146"/>
  <c r="D6009" i="146"/>
  <c r="A6009" i="146"/>
  <c r="D6008" i="146"/>
  <c r="A6008" i="146"/>
  <c r="D6007" i="146"/>
  <c r="A6007" i="146"/>
  <c r="D6006" i="146"/>
  <c r="A6006" i="146"/>
  <c r="D6005" i="146"/>
  <c r="A6005" i="146"/>
  <c r="D6004" i="146"/>
  <c r="A6004" i="146"/>
  <c r="D6003" i="146"/>
  <c r="A6003" i="146"/>
  <c r="D6002" i="146"/>
  <c r="A6002" i="146"/>
  <c r="D6001" i="146"/>
  <c r="A6001" i="146"/>
  <c r="D6000" i="146"/>
  <c r="A6000" i="146"/>
  <c r="D5999" i="146"/>
  <c r="A5999" i="146"/>
  <c r="D5998" i="146"/>
  <c r="A5998" i="146"/>
  <c r="D5997" i="146"/>
  <c r="A5997" i="146"/>
  <c r="D5996" i="146"/>
  <c r="A5996" i="146"/>
  <c r="D5995" i="146"/>
  <c r="A5995" i="146"/>
  <c r="D5994" i="146"/>
  <c r="A5994" i="146"/>
  <c r="D5993" i="146"/>
  <c r="A5993" i="146"/>
  <c r="D5992" i="146"/>
  <c r="A5992" i="146"/>
  <c r="D5991" i="146"/>
  <c r="A5991" i="146"/>
  <c r="D5990" i="146"/>
  <c r="A5990" i="146"/>
  <c r="D5989" i="146"/>
  <c r="A5989" i="146"/>
  <c r="D5988" i="146"/>
  <c r="A5988" i="146"/>
  <c r="D5987" i="146"/>
  <c r="A5987" i="146"/>
  <c r="D5986" i="146"/>
  <c r="A5986" i="146"/>
  <c r="D5985" i="146"/>
  <c r="A5985" i="146"/>
  <c r="D5984" i="146"/>
  <c r="A5984" i="146"/>
  <c r="D5983" i="146"/>
  <c r="A5983" i="146"/>
  <c r="D5982" i="146"/>
  <c r="A5982" i="146"/>
  <c r="D5981" i="146"/>
  <c r="A5981" i="146"/>
  <c r="D5980" i="146"/>
  <c r="A5980" i="146"/>
  <c r="D5979" i="146"/>
  <c r="A5979" i="146"/>
  <c r="D5978" i="146"/>
  <c r="A5978" i="146"/>
  <c r="D5977" i="146"/>
  <c r="A5977" i="146"/>
  <c r="D5976" i="146"/>
  <c r="A5976" i="146"/>
  <c r="D5975" i="146"/>
  <c r="A5975" i="146"/>
  <c r="D5974" i="146"/>
  <c r="A5974" i="146"/>
  <c r="D5973" i="146"/>
  <c r="A5973" i="146"/>
  <c r="D5972" i="146"/>
  <c r="A5972" i="146"/>
  <c r="D5971" i="146"/>
  <c r="A5971" i="146"/>
  <c r="D5970" i="146"/>
  <c r="A5970" i="146"/>
  <c r="D5969" i="146"/>
  <c r="A5969" i="146"/>
  <c r="D5968" i="146"/>
  <c r="A5968" i="146"/>
  <c r="D5967" i="146"/>
  <c r="A5967" i="146"/>
  <c r="D5966" i="146"/>
  <c r="A5966" i="146"/>
  <c r="D5965" i="146"/>
  <c r="A5965" i="146"/>
  <c r="D5964" i="146"/>
  <c r="A5964" i="146"/>
  <c r="D5963" i="146"/>
  <c r="A5963" i="146"/>
  <c r="D5962" i="146"/>
  <c r="A5962" i="146"/>
  <c r="D5961" i="146"/>
  <c r="A5961" i="146"/>
  <c r="D5960" i="146"/>
  <c r="A5960" i="146"/>
  <c r="D5959" i="146"/>
  <c r="A5959" i="146"/>
  <c r="D5958" i="146"/>
  <c r="A5958" i="146"/>
  <c r="D5957" i="146"/>
  <c r="A5957" i="146"/>
  <c r="D5956" i="146"/>
  <c r="A5956" i="146"/>
  <c r="D5955" i="146"/>
  <c r="A5955" i="146"/>
  <c r="D5954" i="146"/>
  <c r="A5954" i="146"/>
  <c r="D5953" i="146"/>
  <c r="A5953" i="146"/>
  <c r="D5952" i="146"/>
  <c r="A5952" i="146"/>
  <c r="D5951" i="146"/>
  <c r="A5951" i="146"/>
  <c r="D5950" i="146"/>
  <c r="A5950" i="146"/>
  <c r="D5949" i="146"/>
  <c r="A5949" i="146"/>
  <c r="D5948" i="146"/>
  <c r="A5948" i="146"/>
  <c r="D5947" i="146"/>
  <c r="A5947" i="146"/>
  <c r="D5946" i="146"/>
  <c r="A5946" i="146"/>
  <c r="D5945" i="146"/>
  <c r="A5945" i="146"/>
  <c r="D5944" i="146"/>
  <c r="A5944" i="146"/>
  <c r="D5943" i="146"/>
  <c r="A5943" i="146"/>
  <c r="D5942" i="146"/>
  <c r="A5942" i="146"/>
  <c r="D5941" i="146"/>
  <c r="A5941" i="146"/>
  <c r="D5940" i="146"/>
  <c r="A5940" i="146"/>
  <c r="D5939" i="146"/>
  <c r="A5939" i="146"/>
  <c r="D5938" i="146"/>
  <c r="A5938" i="146"/>
  <c r="D5937" i="146"/>
  <c r="A5937" i="146"/>
  <c r="D5936" i="146"/>
  <c r="A5936" i="146"/>
  <c r="D5935" i="146"/>
  <c r="A5935" i="146"/>
  <c r="D5934" i="146"/>
  <c r="A5934" i="146"/>
  <c r="D5933" i="146"/>
  <c r="A5933" i="146"/>
  <c r="D5932" i="146"/>
  <c r="A5932" i="146"/>
  <c r="D5931" i="146"/>
  <c r="A5931" i="146"/>
  <c r="D5930" i="146"/>
  <c r="A5930" i="146"/>
  <c r="D5929" i="146"/>
  <c r="A5929" i="146"/>
  <c r="D5928" i="146"/>
  <c r="A5928" i="146"/>
  <c r="D5927" i="146"/>
  <c r="A5927" i="146"/>
  <c r="D5926" i="146"/>
  <c r="A5926" i="146"/>
  <c r="D5925" i="146"/>
  <c r="A5925" i="146"/>
  <c r="D5924" i="146"/>
  <c r="A5924" i="146"/>
  <c r="D5923" i="146"/>
  <c r="A5923" i="146"/>
  <c r="D5922" i="146"/>
  <c r="A5922" i="146"/>
  <c r="D5921" i="146"/>
  <c r="A5921" i="146"/>
  <c r="D5920" i="146"/>
  <c r="A5920" i="146"/>
  <c r="D5919" i="146"/>
  <c r="A5919" i="146"/>
  <c r="D5918" i="146"/>
  <c r="A5918" i="146"/>
  <c r="D5917" i="146"/>
  <c r="A5917" i="146"/>
  <c r="D5916" i="146"/>
  <c r="A5916" i="146"/>
  <c r="D5915" i="146"/>
  <c r="A5915" i="146"/>
  <c r="D5914" i="146"/>
  <c r="A5914" i="146"/>
  <c r="D5913" i="146"/>
  <c r="A5913" i="146"/>
  <c r="D5912" i="146"/>
  <c r="A5912" i="146"/>
  <c r="D5911" i="146"/>
  <c r="A5911" i="146"/>
  <c r="D5910" i="146"/>
  <c r="A5910" i="146"/>
  <c r="D5909" i="146"/>
  <c r="A5909" i="146"/>
  <c r="D5908" i="146"/>
  <c r="A5908" i="146"/>
  <c r="D5907" i="146"/>
  <c r="A5907" i="146"/>
  <c r="D5906" i="146"/>
  <c r="A5906" i="146"/>
  <c r="D5905" i="146"/>
  <c r="A5905" i="146"/>
  <c r="D5904" i="146"/>
  <c r="A5904" i="146"/>
  <c r="D5903" i="146"/>
  <c r="A5903" i="146"/>
  <c r="D5902" i="146"/>
  <c r="A5902" i="146"/>
  <c r="D5901" i="146"/>
  <c r="A5901" i="146"/>
  <c r="D5900" i="146"/>
  <c r="A5900" i="146"/>
  <c r="D5899" i="146"/>
  <c r="A5899" i="146"/>
  <c r="D5898" i="146"/>
  <c r="A5898" i="146"/>
  <c r="D5897" i="146"/>
  <c r="A5897" i="146"/>
  <c r="D5896" i="146"/>
  <c r="A5896" i="146"/>
  <c r="D5895" i="146"/>
  <c r="A5895" i="146"/>
  <c r="D5894" i="146"/>
  <c r="A5894" i="146"/>
  <c r="D5893" i="146"/>
  <c r="A5893" i="146"/>
  <c r="D5892" i="146"/>
  <c r="A5892" i="146"/>
  <c r="D5891" i="146"/>
  <c r="A5891" i="146"/>
  <c r="D5890" i="146"/>
  <c r="A5890" i="146"/>
  <c r="D5889" i="146"/>
  <c r="A5889" i="146"/>
  <c r="D5888" i="146"/>
  <c r="A5888" i="146"/>
  <c r="D5887" i="146"/>
  <c r="A5887" i="146"/>
  <c r="D5886" i="146"/>
  <c r="A5886" i="146"/>
  <c r="D5885" i="146"/>
  <c r="A5885" i="146"/>
  <c r="D5884" i="146"/>
  <c r="A5884" i="146"/>
  <c r="D5883" i="146"/>
  <c r="A5883" i="146"/>
  <c r="D5882" i="146"/>
  <c r="A5882" i="146"/>
  <c r="D5881" i="146"/>
  <c r="A5881" i="146"/>
  <c r="D5880" i="146"/>
  <c r="A5880" i="146"/>
  <c r="D5879" i="146"/>
  <c r="A5879" i="146"/>
  <c r="D5878" i="146"/>
  <c r="A5878" i="146"/>
  <c r="D5877" i="146"/>
  <c r="A5877" i="146"/>
  <c r="D5876" i="146"/>
  <c r="A5876" i="146"/>
  <c r="D5875" i="146"/>
  <c r="A5875" i="146"/>
  <c r="D5874" i="146"/>
  <c r="A5874" i="146"/>
  <c r="D5873" i="146"/>
  <c r="A5873" i="146"/>
  <c r="D5872" i="146"/>
  <c r="A5872" i="146"/>
  <c r="D5871" i="146"/>
  <c r="A5871" i="146"/>
  <c r="D5870" i="146"/>
  <c r="A5870" i="146"/>
  <c r="D5869" i="146"/>
  <c r="A5869" i="146"/>
  <c r="D5868" i="146"/>
  <c r="A5868" i="146"/>
  <c r="D5867" i="146"/>
  <c r="A5867" i="146"/>
  <c r="D5866" i="146"/>
  <c r="A5866" i="146"/>
  <c r="D5865" i="146"/>
  <c r="A5865" i="146"/>
  <c r="D5864" i="146"/>
  <c r="A5864" i="146"/>
  <c r="D5863" i="146"/>
  <c r="A5863" i="146"/>
  <c r="D5862" i="146"/>
  <c r="A5862" i="146"/>
  <c r="D5861" i="146"/>
  <c r="A5861" i="146"/>
  <c r="D5860" i="146"/>
  <c r="A5860" i="146"/>
  <c r="D5859" i="146"/>
  <c r="A5859" i="146"/>
  <c r="D5858" i="146"/>
  <c r="A5858" i="146"/>
  <c r="D5857" i="146"/>
  <c r="A5857" i="146"/>
  <c r="D5856" i="146"/>
  <c r="A5856" i="146"/>
  <c r="D5855" i="146"/>
  <c r="A5855" i="146"/>
  <c r="D5854" i="146"/>
  <c r="A5854" i="146"/>
  <c r="D5853" i="146"/>
  <c r="A5853" i="146"/>
  <c r="D5852" i="146"/>
  <c r="A5852" i="146"/>
  <c r="D5851" i="146"/>
  <c r="A5851" i="146"/>
  <c r="D5850" i="146"/>
  <c r="A5850" i="146"/>
  <c r="D5849" i="146"/>
  <c r="A5849" i="146"/>
  <c r="D5848" i="146"/>
  <c r="A5848" i="146"/>
  <c r="D5847" i="146"/>
  <c r="A5847" i="146"/>
  <c r="D5846" i="146"/>
  <c r="A5846" i="146"/>
  <c r="D5845" i="146"/>
  <c r="A5845" i="146"/>
  <c r="D5844" i="146"/>
  <c r="A5844" i="146"/>
  <c r="D5843" i="146"/>
  <c r="A5843" i="146"/>
  <c r="D5842" i="146"/>
  <c r="A5842" i="146"/>
  <c r="D5841" i="146"/>
  <c r="A5841" i="146"/>
  <c r="D5840" i="146"/>
  <c r="A5840" i="146"/>
  <c r="D5839" i="146"/>
  <c r="A5839" i="146"/>
  <c r="D5838" i="146"/>
  <c r="A5838" i="146"/>
  <c r="D5837" i="146"/>
  <c r="A5837" i="146"/>
  <c r="D5836" i="146"/>
  <c r="A5836" i="146"/>
  <c r="D5835" i="146"/>
  <c r="A5835" i="146"/>
  <c r="D5834" i="146"/>
  <c r="A5834" i="146"/>
  <c r="D5833" i="146"/>
  <c r="A5833" i="146"/>
  <c r="D5832" i="146"/>
  <c r="A5832" i="146"/>
  <c r="D5831" i="146"/>
  <c r="A5831" i="146"/>
  <c r="D5830" i="146"/>
  <c r="A5830" i="146"/>
  <c r="D5829" i="146"/>
  <c r="A5829" i="146"/>
  <c r="D5828" i="146"/>
  <c r="A5828" i="146"/>
  <c r="D5827" i="146"/>
  <c r="A5827" i="146"/>
  <c r="D5826" i="146"/>
  <c r="A5826" i="146"/>
  <c r="D5825" i="146"/>
  <c r="A5825" i="146"/>
  <c r="D5824" i="146"/>
  <c r="A5824" i="146"/>
  <c r="D5823" i="146"/>
  <c r="A5823" i="146"/>
  <c r="D5822" i="146"/>
  <c r="A5822" i="146"/>
  <c r="D5821" i="146"/>
  <c r="A5821" i="146"/>
  <c r="D5820" i="146"/>
  <c r="A5820" i="146"/>
  <c r="D5819" i="146"/>
  <c r="A5819" i="146"/>
  <c r="D5818" i="146"/>
  <c r="A5818" i="146"/>
  <c r="D5817" i="146"/>
  <c r="A5817" i="146"/>
  <c r="D5816" i="146"/>
  <c r="A5816" i="146"/>
  <c r="D5815" i="146"/>
  <c r="A5815" i="146"/>
  <c r="D5814" i="146"/>
  <c r="A5814" i="146"/>
  <c r="D5813" i="146"/>
  <c r="A5813" i="146"/>
  <c r="D5812" i="146"/>
  <c r="A5812" i="146"/>
  <c r="D5811" i="146"/>
  <c r="A5811" i="146"/>
  <c r="D5810" i="146"/>
  <c r="A5810" i="146"/>
  <c r="D5809" i="146"/>
  <c r="A5809" i="146"/>
  <c r="D5808" i="146"/>
  <c r="A5808" i="146"/>
  <c r="D5807" i="146"/>
  <c r="A5807" i="146"/>
  <c r="D5806" i="146"/>
  <c r="A5806" i="146"/>
  <c r="D5805" i="146"/>
  <c r="A5805" i="146"/>
  <c r="D5804" i="146"/>
  <c r="A5804" i="146"/>
  <c r="D5803" i="146"/>
  <c r="A5803" i="146"/>
  <c r="D5802" i="146"/>
  <c r="A5802" i="146"/>
  <c r="D5801" i="146"/>
  <c r="A5801" i="146"/>
  <c r="D5800" i="146"/>
  <c r="A5800" i="146"/>
  <c r="D5799" i="146"/>
  <c r="A5799" i="146"/>
  <c r="D5798" i="146"/>
  <c r="A5798" i="146"/>
  <c r="D5797" i="146"/>
  <c r="A5797" i="146"/>
  <c r="D5796" i="146"/>
  <c r="A5796" i="146"/>
  <c r="D5795" i="146"/>
  <c r="A5795" i="146"/>
  <c r="D5794" i="146"/>
  <c r="A5794" i="146"/>
  <c r="D5793" i="146"/>
  <c r="A5793" i="146"/>
  <c r="D5792" i="146"/>
  <c r="A5792" i="146"/>
  <c r="D5791" i="146"/>
  <c r="A5791" i="146"/>
  <c r="D5790" i="146"/>
  <c r="A5790" i="146"/>
  <c r="D5789" i="146"/>
  <c r="A5789" i="146"/>
  <c r="D5788" i="146"/>
  <c r="A5788" i="146"/>
  <c r="D5787" i="146"/>
  <c r="A5787" i="146"/>
  <c r="D5786" i="146"/>
  <c r="A5786" i="146"/>
  <c r="D5785" i="146"/>
  <c r="A5785" i="146"/>
  <c r="D5784" i="146"/>
  <c r="A5784" i="146"/>
  <c r="D5783" i="146"/>
  <c r="A5783" i="146"/>
  <c r="D5782" i="146"/>
  <c r="A5782" i="146"/>
  <c r="D5781" i="146"/>
  <c r="A5781" i="146"/>
  <c r="D5780" i="146"/>
  <c r="A5780" i="146"/>
  <c r="D5779" i="146"/>
  <c r="A5779" i="146"/>
  <c r="D5778" i="146"/>
  <c r="A5778" i="146"/>
  <c r="D5777" i="146"/>
  <c r="A5777" i="146"/>
  <c r="D5776" i="146"/>
  <c r="A5776" i="146"/>
  <c r="D5775" i="146"/>
  <c r="A5775" i="146"/>
  <c r="D5774" i="146"/>
  <c r="A5774" i="146"/>
  <c r="D5773" i="146"/>
  <c r="A5773" i="146"/>
  <c r="D5772" i="146"/>
  <c r="A5772" i="146"/>
  <c r="D5771" i="146"/>
  <c r="A5771" i="146"/>
  <c r="D5770" i="146"/>
  <c r="A5770" i="146"/>
  <c r="D5769" i="146"/>
  <c r="A5769" i="146"/>
  <c r="D5768" i="146"/>
  <c r="A5768" i="146"/>
  <c r="D5767" i="146"/>
  <c r="A5767" i="146"/>
  <c r="D5766" i="146"/>
  <c r="A5766" i="146"/>
  <c r="D5765" i="146"/>
  <c r="A5765" i="146"/>
  <c r="D5764" i="146"/>
  <c r="A5764" i="146"/>
  <c r="D5763" i="146"/>
  <c r="A5763" i="146"/>
  <c r="D5762" i="146"/>
  <c r="A5762" i="146"/>
  <c r="D5761" i="146"/>
  <c r="A5761" i="146"/>
  <c r="D5760" i="146"/>
  <c r="A5760" i="146"/>
  <c r="D5759" i="146"/>
  <c r="A5759" i="146"/>
  <c r="D5758" i="146"/>
  <c r="A5758" i="146"/>
  <c r="D5757" i="146"/>
  <c r="A5757" i="146"/>
  <c r="D5756" i="146"/>
  <c r="A5756" i="146"/>
  <c r="D5755" i="146"/>
  <c r="A5755" i="146"/>
  <c r="D5754" i="146"/>
  <c r="A5754" i="146"/>
  <c r="D5753" i="146"/>
  <c r="A5753" i="146"/>
  <c r="D5752" i="146"/>
  <c r="A5752" i="146"/>
  <c r="D5751" i="146"/>
  <c r="A5751" i="146"/>
  <c r="D5750" i="146"/>
  <c r="A5750" i="146"/>
  <c r="D5749" i="146"/>
  <c r="A5749" i="146"/>
  <c r="D5748" i="146"/>
  <c r="A5748" i="146"/>
  <c r="D5747" i="146"/>
  <c r="A5747" i="146"/>
  <c r="D5746" i="146"/>
  <c r="A5746" i="146"/>
  <c r="D5745" i="146"/>
  <c r="A5745" i="146"/>
  <c r="D5744" i="146"/>
  <c r="A5744" i="146"/>
  <c r="D5743" i="146"/>
  <c r="A5743" i="146"/>
  <c r="D5742" i="146"/>
  <c r="A5742" i="146"/>
  <c r="D5741" i="146"/>
  <c r="A5741" i="146"/>
  <c r="D5740" i="146"/>
  <c r="A5740" i="146"/>
  <c r="D5739" i="146"/>
  <c r="A5739" i="146"/>
  <c r="D5738" i="146"/>
  <c r="A5738" i="146"/>
  <c r="D5737" i="146"/>
  <c r="A5737" i="146"/>
  <c r="D5736" i="146"/>
  <c r="A5736" i="146"/>
  <c r="D5735" i="146"/>
  <c r="A5735" i="146"/>
  <c r="D5734" i="146"/>
  <c r="A5734" i="146"/>
  <c r="D5733" i="146"/>
  <c r="A5733" i="146"/>
  <c r="D5732" i="146"/>
  <c r="A5732" i="146"/>
  <c r="D5731" i="146"/>
  <c r="A5731" i="146"/>
  <c r="D5730" i="146"/>
  <c r="A5730" i="146"/>
  <c r="D5729" i="146"/>
  <c r="A5729" i="146"/>
  <c r="D5728" i="146"/>
  <c r="A5728" i="146"/>
  <c r="D5727" i="146"/>
  <c r="A5727" i="146"/>
  <c r="D5726" i="146"/>
  <c r="A5726" i="146"/>
  <c r="D5725" i="146"/>
  <c r="A5725" i="146"/>
  <c r="D5724" i="146"/>
  <c r="A5724" i="146"/>
  <c r="D5723" i="146"/>
  <c r="A5723" i="146"/>
  <c r="D5722" i="146"/>
  <c r="A5722" i="146"/>
  <c r="D5721" i="146"/>
  <c r="A5721" i="146"/>
  <c r="D5720" i="146"/>
  <c r="A5720" i="146"/>
  <c r="D5719" i="146"/>
  <c r="A5719" i="146"/>
  <c r="D5718" i="146"/>
  <c r="A5718" i="146"/>
  <c r="D5717" i="146"/>
  <c r="A5717" i="146"/>
  <c r="D5716" i="146"/>
  <c r="A5716" i="146"/>
  <c r="D5715" i="146"/>
  <c r="A5715" i="146"/>
  <c r="D5714" i="146"/>
  <c r="A5714" i="146"/>
  <c r="D5713" i="146"/>
  <c r="A5713" i="146"/>
  <c r="D5712" i="146"/>
  <c r="A5712" i="146"/>
  <c r="D5711" i="146"/>
  <c r="A5711" i="146"/>
  <c r="D5710" i="146"/>
  <c r="A5710" i="146"/>
  <c r="D5709" i="146"/>
  <c r="A5709" i="146"/>
  <c r="D5708" i="146"/>
  <c r="A5708" i="146"/>
  <c r="D5707" i="146"/>
  <c r="A5707" i="146"/>
  <c r="D5706" i="146"/>
  <c r="A5706" i="146"/>
  <c r="D5705" i="146"/>
  <c r="A5705" i="146"/>
  <c r="D5704" i="146"/>
  <c r="A5704" i="146"/>
  <c r="D5703" i="146"/>
  <c r="A5703" i="146"/>
  <c r="D5702" i="146"/>
  <c r="A5702" i="146"/>
  <c r="D5701" i="146"/>
  <c r="A5701" i="146"/>
  <c r="D5700" i="146"/>
  <c r="A5700" i="146"/>
  <c r="D5699" i="146"/>
  <c r="A5699" i="146"/>
  <c r="D5698" i="146"/>
  <c r="A5698" i="146"/>
  <c r="D5697" i="146"/>
  <c r="A5697" i="146"/>
  <c r="D5696" i="146"/>
  <c r="A5696" i="146"/>
  <c r="D5695" i="146"/>
  <c r="A5695" i="146"/>
  <c r="D5694" i="146"/>
  <c r="A5694" i="146"/>
  <c r="D5693" i="146"/>
  <c r="A5693" i="146"/>
  <c r="D5692" i="146"/>
  <c r="A5692" i="146"/>
  <c r="D5691" i="146"/>
  <c r="A5691" i="146"/>
  <c r="D5690" i="146"/>
  <c r="A5690" i="146"/>
  <c r="D5689" i="146"/>
  <c r="A5689" i="146"/>
  <c r="D5688" i="146"/>
  <c r="A5688" i="146"/>
  <c r="D5687" i="146"/>
  <c r="A5687" i="146"/>
  <c r="D5686" i="146"/>
  <c r="A5686" i="146"/>
  <c r="D5685" i="146"/>
  <c r="A5685" i="146"/>
  <c r="D5684" i="146"/>
  <c r="A5684" i="146"/>
  <c r="D5683" i="146"/>
  <c r="A5683" i="146"/>
  <c r="D5682" i="146"/>
  <c r="A5682" i="146"/>
  <c r="D5681" i="146"/>
  <c r="A5681" i="146"/>
  <c r="D5680" i="146"/>
  <c r="A5680" i="146"/>
  <c r="D5679" i="146"/>
  <c r="A5679" i="146"/>
  <c r="D5678" i="146"/>
  <c r="A5678" i="146"/>
  <c r="D5677" i="146"/>
  <c r="A5677" i="146"/>
  <c r="D5676" i="146"/>
  <c r="A5676" i="146"/>
  <c r="D5675" i="146"/>
  <c r="A5675" i="146"/>
  <c r="D5674" i="146"/>
  <c r="A5674" i="146"/>
  <c r="D5673" i="146"/>
  <c r="A5673" i="146"/>
  <c r="D5672" i="146"/>
  <c r="A5672" i="146"/>
  <c r="D5671" i="146"/>
  <c r="A5671" i="146"/>
  <c r="D5670" i="146"/>
  <c r="A5670" i="146"/>
  <c r="D5669" i="146"/>
  <c r="A5669" i="146"/>
  <c r="D5668" i="146"/>
  <c r="A5668" i="146"/>
  <c r="D5667" i="146"/>
  <c r="A5667" i="146"/>
  <c r="D5666" i="146"/>
  <c r="A5666" i="146"/>
  <c r="D5665" i="146"/>
  <c r="A5665" i="146"/>
  <c r="D5664" i="146"/>
  <c r="A5664" i="146"/>
  <c r="D5663" i="146"/>
  <c r="A5663" i="146"/>
  <c r="D5662" i="146"/>
  <c r="A5662" i="146"/>
  <c r="D5661" i="146"/>
  <c r="A5661" i="146"/>
  <c r="D5660" i="146"/>
  <c r="A5660" i="146"/>
  <c r="D5659" i="146"/>
  <c r="A5659" i="146"/>
  <c r="D5658" i="146"/>
  <c r="A5658" i="146"/>
  <c r="D5657" i="146"/>
  <c r="A5657" i="146"/>
  <c r="D5656" i="146"/>
  <c r="A5656" i="146"/>
  <c r="D5655" i="146"/>
  <c r="A5655" i="146"/>
  <c r="D5654" i="146"/>
  <c r="A5654" i="146"/>
  <c r="D5653" i="146"/>
  <c r="A5653" i="146"/>
  <c r="D5652" i="146"/>
  <c r="A5652" i="146"/>
  <c r="D5651" i="146"/>
  <c r="A5651" i="146"/>
  <c r="D5650" i="146"/>
  <c r="A5650" i="146"/>
  <c r="D5649" i="146"/>
  <c r="A5649" i="146"/>
  <c r="D5648" i="146"/>
  <c r="A5648" i="146"/>
  <c r="D5647" i="146"/>
  <c r="A5647" i="146"/>
  <c r="D5646" i="146"/>
  <c r="A5646" i="146"/>
  <c r="D5645" i="146"/>
  <c r="A5645" i="146"/>
  <c r="D5644" i="146"/>
  <c r="A5644" i="146"/>
  <c r="D5643" i="146"/>
  <c r="A5643" i="146"/>
  <c r="D5642" i="146"/>
  <c r="A5642" i="146"/>
  <c r="D5641" i="146"/>
  <c r="A5641" i="146"/>
  <c r="D5640" i="146"/>
  <c r="A5640" i="146"/>
  <c r="D5639" i="146"/>
  <c r="A5639" i="146"/>
  <c r="D5638" i="146"/>
  <c r="A5638" i="146"/>
  <c r="D5637" i="146"/>
  <c r="A5637" i="146"/>
  <c r="D5636" i="146"/>
  <c r="A5636" i="146"/>
  <c r="D5635" i="146"/>
  <c r="A5635" i="146"/>
  <c r="D5634" i="146"/>
  <c r="A5634" i="146"/>
  <c r="D5633" i="146"/>
  <c r="A5633" i="146"/>
  <c r="D5632" i="146"/>
  <c r="A5632" i="146"/>
  <c r="D5631" i="146"/>
  <c r="A5631" i="146"/>
  <c r="D5630" i="146"/>
  <c r="A5630" i="146"/>
  <c r="D5629" i="146"/>
  <c r="A5629" i="146"/>
  <c r="D5628" i="146"/>
  <c r="A5628" i="146"/>
  <c r="D5627" i="146"/>
  <c r="A5627" i="146"/>
  <c r="D5626" i="146"/>
  <c r="A5626" i="146"/>
  <c r="D5625" i="146"/>
  <c r="A5625" i="146"/>
  <c r="D5624" i="146"/>
  <c r="A5624" i="146"/>
  <c r="D5623" i="146"/>
  <c r="A5623" i="146"/>
  <c r="D5622" i="146"/>
  <c r="A5622" i="146"/>
  <c r="D5621" i="146"/>
  <c r="A5621" i="146"/>
  <c r="D5620" i="146"/>
  <c r="A5620" i="146"/>
  <c r="D5619" i="146"/>
  <c r="A5619" i="146"/>
  <c r="D5618" i="146"/>
  <c r="A5618" i="146"/>
  <c r="D5617" i="146"/>
  <c r="A5617" i="146"/>
  <c r="D5616" i="146"/>
  <c r="A5616" i="146"/>
  <c r="D5615" i="146"/>
  <c r="A5615" i="146"/>
  <c r="D5614" i="146"/>
  <c r="A5614" i="146"/>
  <c r="D5613" i="146"/>
  <c r="A5613" i="146"/>
  <c r="D5612" i="146"/>
  <c r="A5612" i="146"/>
  <c r="D5611" i="146"/>
  <c r="A5611" i="146"/>
  <c r="D5610" i="146"/>
  <c r="A5610" i="146"/>
  <c r="D5609" i="146"/>
  <c r="A5609" i="146"/>
  <c r="D5608" i="146"/>
  <c r="A5608" i="146"/>
  <c r="D5607" i="146"/>
  <c r="A5607" i="146"/>
  <c r="D5606" i="146"/>
  <c r="A5606" i="146"/>
  <c r="D5605" i="146"/>
  <c r="A5605" i="146"/>
  <c r="D5604" i="146"/>
  <c r="A5604" i="146"/>
  <c r="D5603" i="146"/>
  <c r="A5603" i="146"/>
  <c r="D5602" i="146"/>
  <c r="A5602" i="146"/>
  <c r="D5601" i="146"/>
  <c r="A5601" i="146"/>
  <c r="D5600" i="146"/>
  <c r="A5600" i="146"/>
  <c r="D5599" i="146"/>
  <c r="A5599" i="146"/>
  <c r="D5598" i="146"/>
  <c r="A5598" i="146"/>
  <c r="D5597" i="146"/>
  <c r="A5597" i="146"/>
  <c r="D5596" i="146"/>
  <c r="A5596" i="146"/>
  <c r="D5595" i="146"/>
  <c r="A5595" i="146"/>
  <c r="D5594" i="146"/>
  <c r="A5594" i="146"/>
  <c r="D5593" i="146"/>
  <c r="A5593" i="146"/>
  <c r="D5592" i="146"/>
  <c r="A5592" i="146"/>
  <c r="D5591" i="146"/>
  <c r="A5591" i="146"/>
  <c r="D5590" i="146"/>
  <c r="A5590" i="146"/>
  <c r="D5589" i="146"/>
  <c r="A5589" i="146"/>
  <c r="D5588" i="146"/>
  <c r="A5588" i="146"/>
  <c r="D5587" i="146"/>
  <c r="A5587" i="146"/>
  <c r="D5586" i="146"/>
  <c r="A5586" i="146"/>
  <c r="D5585" i="146"/>
  <c r="A5585" i="146"/>
  <c r="D5584" i="146"/>
  <c r="A5584" i="146"/>
  <c r="D5583" i="146"/>
  <c r="A5583" i="146"/>
  <c r="D5582" i="146"/>
  <c r="A5582" i="146"/>
  <c r="D5581" i="146"/>
  <c r="A5581" i="146"/>
  <c r="D5580" i="146"/>
  <c r="A5580" i="146"/>
  <c r="D5579" i="146"/>
  <c r="A5579" i="146"/>
  <c r="D5578" i="146"/>
  <c r="A5578" i="146"/>
  <c r="D5577" i="146"/>
  <c r="A5577" i="146"/>
  <c r="D5576" i="146"/>
  <c r="A5576" i="146"/>
  <c r="D5575" i="146"/>
  <c r="A5575" i="146"/>
  <c r="D5574" i="146"/>
  <c r="A5574" i="146"/>
  <c r="D5573" i="146"/>
  <c r="A5573" i="146"/>
  <c r="D5572" i="146"/>
  <c r="A5572" i="146"/>
  <c r="D5571" i="146"/>
  <c r="A5571" i="146"/>
  <c r="D5570" i="146"/>
  <c r="A5570" i="146"/>
  <c r="D5569" i="146"/>
  <c r="A5569" i="146"/>
  <c r="D5568" i="146"/>
  <c r="A5568" i="146"/>
  <c r="D5567" i="146"/>
  <c r="A5567" i="146"/>
  <c r="D5566" i="146"/>
  <c r="A5566" i="146"/>
  <c r="D5565" i="146"/>
  <c r="A5565" i="146"/>
  <c r="D5564" i="146"/>
  <c r="A5564" i="146"/>
  <c r="D5563" i="146"/>
  <c r="A5563" i="146"/>
  <c r="D5562" i="146"/>
  <c r="A5562" i="146"/>
  <c r="D5561" i="146"/>
  <c r="A5561" i="146"/>
  <c r="D5560" i="146"/>
  <c r="A5560" i="146"/>
  <c r="D5559" i="146"/>
  <c r="A5559" i="146"/>
  <c r="D5558" i="146"/>
  <c r="A5558" i="146"/>
  <c r="D5557" i="146"/>
  <c r="A5557" i="146"/>
  <c r="D5556" i="146"/>
  <c r="A5556" i="146"/>
  <c r="D5555" i="146"/>
  <c r="A5555" i="146"/>
  <c r="D5554" i="146"/>
  <c r="A5554" i="146"/>
  <c r="D5553" i="146"/>
  <c r="A5553" i="146"/>
  <c r="D5552" i="146"/>
  <c r="A5552" i="146"/>
  <c r="D5551" i="146"/>
  <c r="A5551" i="146"/>
  <c r="D5550" i="146"/>
  <c r="A5550" i="146"/>
  <c r="D5549" i="146"/>
  <c r="A5549" i="146"/>
  <c r="D5548" i="146"/>
  <c r="A5548" i="146"/>
  <c r="D5547" i="146"/>
  <c r="A5547" i="146"/>
  <c r="D5546" i="146"/>
  <c r="A5546" i="146"/>
  <c r="D5545" i="146"/>
  <c r="A5545" i="146"/>
  <c r="D5544" i="146"/>
  <c r="A5544" i="146"/>
  <c r="D5543" i="146"/>
  <c r="A5543" i="146"/>
  <c r="D5542" i="146"/>
  <c r="A5542" i="146"/>
  <c r="D5541" i="146"/>
  <c r="A5541" i="146"/>
  <c r="D5540" i="146"/>
  <c r="A5540" i="146"/>
  <c r="D5539" i="146"/>
  <c r="A5539" i="146"/>
  <c r="D5538" i="146"/>
  <c r="A5538" i="146"/>
  <c r="D5537" i="146"/>
  <c r="A5537" i="146"/>
  <c r="D5536" i="146"/>
  <c r="A5536" i="146"/>
  <c r="D5535" i="146"/>
  <c r="A5535" i="146"/>
  <c r="D5534" i="146"/>
  <c r="A5534" i="146"/>
  <c r="D5533" i="146"/>
  <c r="A5533" i="146"/>
  <c r="D5532" i="146"/>
  <c r="A5532" i="146"/>
  <c r="D5531" i="146"/>
  <c r="A5531" i="146"/>
  <c r="D5530" i="146"/>
  <c r="A5530" i="146"/>
  <c r="D5529" i="146"/>
  <c r="A5529" i="146"/>
  <c r="D5528" i="146"/>
  <c r="A5528" i="146"/>
  <c r="D5527" i="146"/>
  <c r="A5527" i="146"/>
  <c r="D5526" i="146"/>
  <c r="A5526" i="146"/>
  <c r="D5525" i="146"/>
  <c r="A5525" i="146"/>
  <c r="D5524" i="146"/>
  <c r="A5524" i="146"/>
  <c r="D5523" i="146"/>
  <c r="A5523" i="146"/>
  <c r="D5522" i="146"/>
  <c r="A5522" i="146"/>
  <c r="D5521" i="146"/>
  <c r="A5521" i="146"/>
  <c r="D5520" i="146"/>
  <c r="A5520" i="146"/>
  <c r="D5519" i="146"/>
  <c r="A5519" i="146"/>
  <c r="D5518" i="146"/>
  <c r="A5518" i="146"/>
  <c r="D5517" i="146"/>
  <c r="A5517" i="146"/>
  <c r="D5516" i="146"/>
  <c r="A5516" i="146"/>
  <c r="D5515" i="146"/>
  <c r="A5515" i="146"/>
  <c r="D5514" i="146"/>
  <c r="A5514" i="146"/>
  <c r="D5513" i="146"/>
  <c r="A5513" i="146"/>
  <c r="D5512" i="146"/>
  <c r="A5512" i="146"/>
  <c r="D5511" i="146"/>
  <c r="A5511" i="146"/>
  <c r="D5510" i="146"/>
  <c r="A5510" i="146"/>
  <c r="D5509" i="146"/>
  <c r="A5509" i="146"/>
  <c r="D5508" i="146"/>
  <c r="A5508" i="146"/>
  <c r="D5507" i="146"/>
  <c r="A5507" i="146"/>
  <c r="D5506" i="146"/>
  <c r="A5506" i="146"/>
  <c r="D5505" i="146"/>
  <c r="A5505" i="146"/>
  <c r="D5504" i="146"/>
  <c r="A5504" i="146"/>
  <c r="D5503" i="146"/>
  <c r="A5503" i="146"/>
  <c r="D5502" i="146"/>
  <c r="A5502" i="146"/>
  <c r="D5501" i="146"/>
  <c r="A5501" i="146"/>
  <c r="D5500" i="146"/>
  <c r="A5500" i="146"/>
  <c r="D5499" i="146"/>
  <c r="A5499" i="146"/>
  <c r="D5498" i="146"/>
  <c r="A5498" i="146"/>
  <c r="D5497" i="146"/>
  <c r="A5497" i="146"/>
  <c r="D5496" i="146"/>
  <c r="A5496" i="146"/>
  <c r="D5495" i="146"/>
  <c r="A5495" i="146"/>
  <c r="D5494" i="146"/>
  <c r="A5494" i="146"/>
  <c r="D5493" i="146"/>
  <c r="A5493" i="146"/>
  <c r="D5492" i="146"/>
  <c r="A5492" i="146"/>
  <c r="D5491" i="146"/>
  <c r="A5491" i="146"/>
  <c r="D5490" i="146"/>
  <c r="A5490" i="146"/>
  <c r="D5489" i="146"/>
  <c r="A5489" i="146"/>
  <c r="D5488" i="146"/>
  <c r="A5488" i="146"/>
  <c r="D5487" i="146"/>
  <c r="A5487" i="146"/>
  <c r="D5486" i="146"/>
  <c r="A5486" i="146"/>
  <c r="D5485" i="146"/>
  <c r="A5485" i="146"/>
  <c r="D5484" i="146"/>
  <c r="A5484" i="146"/>
  <c r="D5483" i="146"/>
  <c r="A5483" i="146"/>
  <c r="D5482" i="146"/>
  <c r="A5482" i="146"/>
  <c r="D5481" i="146"/>
  <c r="A5481" i="146"/>
  <c r="D5480" i="146"/>
  <c r="A5480" i="146"/>
  <c r="D5479" i="146"/>
  <c r="A5479" i="146"/>
  <c r="D5478" i="146"/>
  <c r="A5478" i="146"/>
  <c r="D5477" i="146"/>
  <c r="A5477" i="146"/>
  <c r="D5476" i="146"/>
  <c r="A5476" i="146"/>
  <c r="D5475" i="146"/>
  <c r="A5475" i="146"/>
  <c r="D5474" i="146"/>
  <c r="A5474" i="146"/>
  <c r="D5473" i="146"/>
  <c r="A5473" i="146"/>
  <c r="D5472" i="146"/>
  <c r="A5472" i="146"/>
  <c r="D5471" i="146"/>
  <c r="A5471" i="146"/>
  <c r="D5470" i="146"/>
  <c r="A5470" i="146"/>
  <c r="D5469" i="146"/>
  <c r="A5469" i="146"/>
  <c r="D5468" i="146"/>
  <c r="A5468" i="146"/>
  <c r="D5467" i="146"/>
  <c r="A5467" i="146"/>
  <c r="D5466" i="146"/>
  <c r="A5466" i="146"/>
  <c r="D5465" i="146"/>
  <c r="A5465" i="146"/>
  <c r="D5464" i="146"/>
  <c r="A5464" i="146"/>
  <c r="D5463" i="146"/>
  <c r="A5463" i="146"/>
  <c r="D5462" i="146"/>
  <c r="A5462" i="146"/>
  <c r="D5461" i="146"/>
  <c r="A5461" i="146"/>
  <c r="D5460" i="146"/>
  <c r="A5460" i="146"/>
  <c r="D5459" i="146"/>
  <c r="A5459" i="146"/>
  <c r="D5458" i="146"/>
  <c r="A5458" i="146"/>
  <c r="D5457" i="146"/>
  <c r="A5457" i="146"/>
  <c r="D5456" i="146"/>
  <c r="A5456" i="146"/>
  <c r="D5455" i="146"/>
  <c r="A5455" i="146"/>
  <c r="D5454" i="146"/>
  <c r="A5454" i="146"/>
  <c r="D5453" i="146"/>
  <c r="A5453" i="146"/>
  <c r="D5452" i="146"/>
  <c r="A5452" i="146"/>
  <c r="D5451" i="146"/>
  <c r="A5451" i="146"/>
  <c r="D5450" i="146"/>
  <c r="A5450" i="146"/>
  <c r="D5449" i="146"/>
  <c r="A5449" i="146"/>
  <c r="D5448" i="146"/>
  <c r="A5448" i="146"/>
  <c r="D5447" i="146"/>
  <c r="A5447" i="146"/>
  <c r="D5446" i="146"/>
  <c r="A5446" i="146"/>
  <c r="D5445" i="146"/>
  <c r="A5445" i="146"/>
  <c r="D5444" i="146"/>
  <c r="A5444" i="146"/>
  <c r="D5443" i="146"/>
  <c r="A5443" i="146"/>
  <c r="D5442" i="146"/>
  <c r="A5442" i="146"/>
  <c r="D5441" i="146"/>
  <c r="A5441" i="146"/>
  <c r="D5440" i="146"/>
  <c r="A5440" i="146"/>
  <c r="D5439" i="146"/>
  <c r="A5439" i="146"/>
  <c r="D5438" i="146"/>
  <c r="A5438" i="146"/>
  <c r="D5437" i="146"/>
  <c r="A5437" i="146"/>
  <c r="D5436" i="146"/>
  <c r="A5436" i="146"/>
  <c r="D5435" i="146"/>
  <c r="A5435" i="146"/>
  <c r="D5434" i="146"/>
  <c r="A5434" i="146"/>
  <c r="D5433" i="146"/>
  <c r="A5433" i="146"/>
  <c r="D5432" i="146"/>
  <c r="A5432" i="146"/>
  <c r="D5431" i="146"/>
  <c r="A5431" i="146"/>
  <c r="D5430" i="146"/>
  <c r="A5430" i="146"/>
  <c r="D5429" i="146"/>
  <c r="A5429" i="146"/>
  <c r="D5428" i="146"/>
  <c r="A5428" i="146"/>
  <c r="D5427" i="146"/>
  <c r="A5427" i="146"/>
  <c r="D5426" i="146"/>
  <c r="A5426" i="146"/>
  <c r="D5425" i="146"/>
  <c r="A5425" i="146"/>
  <c r="D5424" i="146"/>
  <c r="A5424" i="146"/>
  <c r="D5423" i="146"/>
  <c r="A5423" i="146"/>
  <c r="D5422" i="146"/>
  <c r="A5422" i="146"/>
  <c r="D5421" i="146"/>
  <c r="A5421" i="146"/>
  <c r="D5420" i="146"/>
  <c r="A5420" i="146"/>
  <c r="D5419" i="146"/>
  <c r="A5419" i="146"/>
  <c r="D5418" i="146"/>
  <c r="A5418" i="146"/>
  <c r="D5417" i="146"/>
  <c r="A5417" i="146"/>
  <c r="D5416" i="146"/>
  <c r="A5416" i="146"/>
  <c r="D5415" i="146"/>
  <c r="A5415" i="146"/>
  <c r="D5414" i="146"/>
  <c r="A5414" i="146"/>
  <c r="D5413" i="146"/>
  <c r="A5413" i="146"/>
  <c r="D5412" i="146"/>
  <c r="A5412" i="146"/>
  <c r="D5411" i="146"/>
  <c r="A5411" i="146"/>
  <c r="D5410" i="146"/>
  <c r="A5410" i="146"/>
  <c r="D5409" i="146"/>
  <c r="A5409" i="146"/>
  <c r="D5408" i="146"/>
  <c r="A5408" i="146"/>
  <c r="D5407" i="146"/>
  <c r="A5407" i="146"/>
  <c r="D5406" i="146"/>
  <c r="A5406" i="146"/>
  <c r="D5405" i="146"/>
  <c r="A5405" i="146"/>
  <c r="D5404" i="146"/>
  <c r="A5404" i="146"/>
  <c r="D5403" i="146"/>
  <c r="A5403" i="146"/>
  <c r="D5402" i="146"/>
  <c r="A5402" i="146"/>
  <c r="D5401" i="146"/>
  <c r="A5401" i="146"/>
  <c r="D5400" i="146"/>
  <c r="A5400" i="146"/>
  <c r="D5399" i="146"/>
  <c r="A5399" i="146"/>
  <c r="D5398" i="146"/>
  <c r="A5398" i="146"/>
  <c r="D5397" i="146"/>
  <c r="A5397" i="146"/>
  <c r="D5396" i="146"/>
  <c r="A5396" i="146"/>
  <c r="D5395" i="146"/>
  <c r="A5395" i="146"/>
  <c r="D5394" i="146"/>
  <c r="A5394" i="146"/>
  <c r="D5393" i="146"/>
  <c r="A5393" i="146"/>
  <c r="D5392" i="146"/>
  <c r="A5392" i="146"/>
  <c r="D5391" i="146"/>
  <c r="A5391" i="146"/>
  <c r="D5390" i="146"/>
  <c r="A5390" i="146"/>
  <c r="D5389" i="146"/>
  <c r="A5389" i="146"/>
  <c r="D5388" i="146"/>
  <c r="A5388" i="146"/>
  <c r="D5387" i="146"/>
  <c r="A5387" i="146"/>
  <c r="D5386" i="146"/>
  <c r="A5386" i="146"/>
  <c r="D5385" i="146"/>
  <c r="A5385" i="146"/>
  <c r="D5384" i="146"/>
  <c r="A5384" i="146"/>
  <c r="D5383" i="146"/>
  <c r="A5383" i="146"/>
  <c r="D5382" i="146"/>
  <c r="A5382" i="146"/>
  <c r="D5381" i="146"/>
  <c r="A5381" i="146"/>
  <c r="D5380" i="146"/>
  <c r="A5380" i="146"/>
  <c r="D5379" i="146"/>
  <c r="A5379" i="146"/>
  <c r="D5378" i="146"/>
  <c r="A5378" i="146"/>
  <c r="D5377" i="146"/>
  <c r="A5377" i="146"/>
  <c r="D5376" i="146"/>
  <c r="A5376" i="146"/>
  <c r="D5375" i="146"/>
  <c r="A5375" i="146"/>
  <c r="D5374" i="146"/>
  <c r="A5374" i="146"/>
  <c r="D5373" i="146"/>
  <c r="A5373" i="146"/>
  <c r="D5372" i="146"/>
  <c r="A5372" i="146"/>
  <c r="D5371" i="146"/>
  <c r="A5371" i="146"/>
  <c r="D5370" i="146"/>
  <c r="A5370" i="146"/>
  <c r="D5369" i="146"/>
  <c r="A5369" i="146"/>
  <c r="D5368" i="146"/>
  <c r="A5368" i="146"/>
  <c r="D5367" i="146"/>
  <c r="A5367" i="146"/>
  <c r="D5366" i="146"/>
  <c r="A5366" i="146"/>
  <c r="D5365" i="146"/>
  <c r="A5365" i="146"/>
  <c r="D5364" i="146"/>
  <c r="A5364" i="146"/>
  <c r="D5363" i="146"/>
  <c r="A5363" i="146"/>
  <c r="D5362" i="146"/>
  <c r="A5362" i="146"/>
  <c r="D5361" i="146"/>
  <c r="A5361" i="146"/>
  <c r="D5360" i="146"/>
  <c r="A5360" i="146"/>
  <c r="D5359" i="146"/>
  <c r="A5359" i="146"/>
  <c r="D5358" i="146"/>
  <c r="A5358" i="146"/>
  <c r="D5357" i="146"/>
  <c r="A5357" i="146"/>
  <c r="D5356" i="146"/>
  <c r="A5356" i="146"/>
  <c r="D5355" i="146"/>
  <c r="A5355" i="146"/>
  <c r="D5354" i="146"/>
  <c r="A5354" i="146"/>
  <c r="D5353" i="146"/>
  <c r="A5353" i="146"/>
  <c r="D5352" i="146"/>
  <c r="A5352" i="146"/>
  <c r="D5351" i="146"/>
  <c r="A5351" i="146"/>
  <c r="D5350" i="146"/>
  <c r="A5350" i="146"/>
  <c r="D5349" i="146"/>
  <c r="A5349" i="146"/>
  <c r="D5348" i="146"/>
  <c r="A5348" i="146"/>
  <c r="D5347" i="146"/>
  <c r="A5347" i="146"/>
  <c r="D5346" i="146"/>
  <c r="A5346" i="146"/>
  <c r="D5345" i="146"/>
  <c r="A5345" i="146"/>
  <c r="D5344" i="146"/>
  <c r="A5344" i="146"/>
  <c r="D5343" i="146"/>
  <c r="A5343" i="146"/>
  <c r="D5342" i="146"/>
  <c r="A5342" i="146"/>
  <c r="D5341" i="146"/>
  <c r="A5341" i="146"/>
  <c r="D5340" i="146"/>
  <c r="A5340" i="146"/>
  <c r="D5339" i="146"/>
  <c r="A5339" i="146"/>
  <c r="D5338" i="146"/>
  <c r="A5338" i="146"/>
  <c r="D5337" i="146"/>
  <c r="A5337" i="146"/>
  <c r="D5336" i="146"/>
  <c r="A5336" i="146"/>
  <c r="D5335" i="146"/>
  <c r="A5335" i="146"/>
  <c r="D5334" i="146"/>
  <c r="A5334" i="146"/>
  <c r="D5333" i="146"/>
  <c r="A5333" i="146"/>
  <c r="D5332" i="146"/>
  <c r="A5332" i="146"/>
  <c r="D5331" i="146"/>
  <c r="A5331" i="146"/>
  <c r="D5330" i="146"/>
  <c r="A5330" i="146"/>
  <c r="D5329" i="146"/>
  <c r="A5329" i="146"/>
  <c r="D5328" i="146"/>
  <c r="A5328" i="146"/>
  <c r="D5327" i="146"/>
  <c r="A5327" i="146"/>
  <c r="D5326" i="146"/>
  <c r="A5326" i="146"/>
  <c r="D5325" i="146"/>
  <c r="A5325" i="146"/>
  <c r="D5324" i="146"/>
  <c r="A5324" i="146"/>
  <c r="D5323" i="146"/>
  <c r="A5323" i="146"/>
  <c r="D5322" i="146"/>
  <c r="A5322" i="146"/>
  <c r="D5321" i="146"/>
  <c r="A5321" i="146"/>
  <c r="D5320" i="146"/>
  <c r="A5320" i="146"/>
  <c r="D5319" i="146"/>
  <c r="A5319" i="146"/>
  <c r="D5318" i="146"/>
  <c r="A5318" i="146"/>
  <c r="D5317" i="146"/>
  <c r="A5317" i="146"/>
  <c r="D5316" i="146"/>
  <c r="A5316" i="146"/>
  <c r="D5315" i="146"/>
  <c r="A5315" i="146"/>
  <c r="D5314" i="146"/>
  <c r="A5314" i="146"/>
  <c r="D5313" i="146"/>
  <c r="A5313" i="146"/>
  <c r="D5312" i="146"/>
  <c r="A5312" i="146"/>
  <c r="D5311" i="146"/>
  <c r="A5311" i="146"/>
  <c r="D5310" i="146"/>
  <c r="A5310" i="146"/>
  <c r="D5309" i="146"/>
  <c r="A5309" i="146"/>
  <c r="D5308" i="146"/>
  <c r="A5308" i="146"/>
  <c r="D5307" i="146"/>
  <c r="A5307" i="146"/>
  <c r="D5306" i="146"/>
  <c r="A5306" i="146"/>
  <c r="D5305" i="146"/>
  <c r="A5305" i="146"/>
  <c r="D5304" i="146"/>
  <c r="A5304" i="146"/>
  <c r="D5303" i="146"/>
  <c r="A5303" i="146"/>
  <c r="D5302" i="146"/>
  <c r="A5302" i="146"/>
  <c r="D5301" i="146"/>
  <c r="A5301" i="146"/>
  <c r="D5300" i="146"/>
  <c r="A5300" i="146"/>
  <c r="D5299" i="146"/>
  <c r="A5299" i="146"/>
  <c r="D5298" i="146"/>
  <c r="A5298" i="146"/>
  <c r="D5297" i="146"/>
  <c r="A5297" i="146"/>
  <c r="D5296" i="146"/>
  <c r="A5296" i="146"/>
  <c r="D5295" i="146"/>
  <c r="A5295" i="146"/>
  <c r="D5294" i="146"/>
  <c r="A5294" i="146"/>
  <c r="D5293" i="146"/>
  <c r="A5293" i="146"/>
  <c r="D5292" i="146"/>
  <c r="A5292" i="146"/>
  <c r="D5291" i="146"/>
  <c r="A5291" i="146"/>
  <c r="D5290" i="146"/>
  <c r="A5290" i="146"/>
  <c r="D5289" i="146"/>
  <c r="A5289" i="146"/>
  <c r="D5288" i="146"/>
  <c r="A5288" i="146"/>
  <c r="D5287" i="146"/>
  <c r="A5287" i="146"/>
  <c r="D5286" i="146"/>
  <c r="A5286" i="146"/>
  <c r="D5285" i="146"/>
  <c r="A5285" i="146"/>
  <c r="D5284" i="146"/>
  <c r="A5284" i="146"/>
  <c r="D5283" i="146"/>
  <c r="A5283" i="146"/>
  <c r="D5282" i="146"/>
  <c r="A5282" i="146"/>
  <c r="D5281" i="146"/>
  <c r="A5281" i="146"/>
  <c r="D5280" i="146"/>
  <c r="A5280" i="146"/>
  <c r="D5279" i="146"/>
  <c r="A5279" i="146"/>
  <c r="D5278" i="146"/>
  <c r="A5278" i="146"/>
  <c r="D5277" i="146"/>
  <c r="A5277" i="146"/>
  <c r="D5276" i="146"/>
  <c r="A5276" i="146"/>
  <c r="D5275" i="146"/>
  <c r="A5275" i="146"/>
  <c r="D5274" i="146"/>
  <c r="A5274" i="146"/>
  <c r="D5273" i="146"/>
  <c r="A5273" i="146"/>
  <c r="D5272" i="146"/>
  <c r="A5272" i="146"/>
  <c r="D5271" i="146"/>
  <c r="A5271" i="146"/>
  <c r="D5270" i="146"/>
  <c r="A5270" i="146"/>
  <c r="D5269" i="146"/>
  <c r="A5269" i="146"/>
  <c r="D5268" i="146"/>
  <c r="A5268" i="146"/>
  <c r="D5267" i="146"/>
  <c r="A5267" i="146"/>
  <c r="D5266" i="146"/>
  <c r="A5266" i="146"/>
  <c r="D5265" i="146"/>
  <c r="A5265" i="146"/>
  <c r="D5264" i="146"/>
  <c r="A5264" i="146"/>
  <c r="D5263" i="146"/>
  <c r="A5263" i="146"/>
  <c r="D5262" i="146"/>
  <c r="A5262" i="146"/>
  <c r="D5261" i="146"/>
  <c r="A5261" i="146"/>
  <c r="D5260" i="146"/>
  <c r="A5260" i="146"/>
  <c r="D5259" i="146"/>
  <c r="A5259" i="146"/>
  <c r="D5258" i="146"/>
  <c r="A5258" i="146"/>
  <c r="D5257" i="146"/>
  <c r="A5257" i="146"/>
  <c r="D5256" i="146"/>
  <c r="A5256" i="146"/>
  <c r="D5255" i="146"/>
  <c r="A5255" i="146"/>
  <c r="D5254" i="146"/>
  <c r="A5254" i="146"/>
  <c r="D5253" i="146"/>
  <c r="A5253" i="146"/>
  <c r="D5252" i="146"/>
  <c r="A5252" i="146"/>
  <c r="D5251" i="146"/>
  <c r="A5251" i="146"/>
  <c r="D5250" i="146"/>
  <c r="A5250" i="146"/>
  <c r="D5249" i="146"/>
  <c r="A5249" i="146"/>
  <c r="D5248" i="146"/>
  <c r="A5248" i="146"/>
  <c r="D5247" i="146"/>
  <c r="A5247" i="146"/>
  <c r="D5246" i="146"/>
  <c r="A5246" i="146"/>
  <c r="D5245" i="146"/>
  <c r="A5245" i="146"/>
  <c r="D5244" i="146"/>
  <c r="A5244" i="146"/>
  <c r="D5243" i="146"/>
  <c r="A5243" i="146"/>
  <c r="D5242" i="146"/>
  <c r="A5242" i="146"/>
  <c r="D5241" i="146"/>
  <c r="A5241" i="146"/>
  <c r="D5240" i="146"/>
  <c r="A5240" i="146"/>
  <c r="D5239" i="146"/>
  <c r="A5239" i="146"/>
  <c r="D5238" i="146"/>
  <c r="A5238" i="146"/>
  <c r="D5237" i="146"/>
  <c r="A5237" i="146"/>
  <c r="D5236" i="146"/>
  <c r="A5236" i="146"/>
  <c r="D5235" i="146"/>
  <c r="A5235" i="146"/>
  <c r="D5234" i="146"/>
  <c r="A5234" i="146"/>
  <c r="D5233" i="146"/>
  <c r="A5233" i="146"/>
  <c r="D5232" i="146"/>
  <c r="A5232" i="146"/>
  <c r="D5231" i="146"/>
  <c r="A5231" i="146"/>
  <c r="D5230" i="146"/>
  <c r="A5230" i="146"/>
  <c r="D5229" i="146"/>
  <c r="A5229" i="146"/>
  <c r="D5228" i="146"/>
  <c r="A5228" i="146"/>
  <c r="D5227" i="146"/>
  <c r="A5227" i="146"/>
  <c r="D5226" i="146"/>
  <c r="A5226" i="146"/>
  <c r="D5225" i="146"/>
  <c r="A5225" i="146"/>
  <c r="D5224" i="146"/>
  <c r="A5224" i="146"/>
  <c r="D5223" i="146"/>
  <c r="A5223" i="146"/>
  <c r="D5222" i="146"/>
  <c r="A5222" i="146"/>
  <c r="D5221" i="146"/>
  <c r="A5221" i="146"/>
  <c r="D5220" i="146"/>
  <c r="A5220" i="146"/>
  <c r="D5219" i="146"/>
  <c r="A5219" i="146"/>
  <c r="D5218" i="146"/>
  <c r="A5218" i="146"/>
  <c r="D5217" i="146"/>
  <c r="A5217" i="146"/>
  <c r="D5216" i="146"/>
  <c r="A5216" i="146"/>
  <c r="D5215" i="146"/>
  <c r="A5215" i="146"/>
  <c r="D5214" i="146"/>
  <c r="A5214" i="146"/>
  <c r="D5213" i="146"/>
  <c r="A5213" i="146"/>
  <c r="D5212" i="146"/>
  <c r="A5212" i="146"/>
  <c r="D5211" i="146"/>
  <c r="A5211" i="146"/>
  <c r="D5210" i="146"/>
  <c r="A5210" i="146"/>
  <c r="D5209" i="146"/>
  <c r="A5209" i="146"/>
  <c r="D5208" i="146"/>
  <c r="A5208" i="146"/>
  <c r="D5207" i="146"/>
  <c r="A5207" i="146"/>
  <c r="D5206" i="146"/>
  <c r="A5206" i="146"/>
  <c r="D5205" i="146"/>
  <c r="A5205" i="146"/>
  <c r="D5204" i="146"/>
  <c r="A5204" i="146"/>
  <c r="D5203" i="146"/>
  <c r="A5203" i="146"/>
  <c r="D5202" i="146"/>
  <c r="A5202" i="146"/>
  <c r="D5201" i="146"/>
  <c r="A5201" i="146"/>
  <c r="D5200" i="146"/>
  <c r="A5200" i="146"/>
  <c r="D5199" i="146"/>
  <c r="A5199" i="146"/>
  <c r="D5198" i="146"/>
  <c r="A5198" i="146"/>
  <c r="D5197" i="146"/>
  <c r="A5197" i="146"/>
  <c r="D5196" i="146"/>
  <c r="A5196" i="146"/>
  <c r="D5195" i="146"/>
  <c r="A5195" i="146"/>
  <c r="D5194" i="146"/>
  <c r="A5194" i="146"/>
  <c r="D5193" i="146"/>
  <c r="A5193" i="146"/>
  <c r="D5192" i="146"/>
  <c r="A5192" i="146"/>
  <c r="D5191" i="146"/>
  <c r="A5191" i="146"/>
  <c r="D5190" i="146"/>
  <c r="A5190" i="146"/>
  <c r="D5189" i="146"/>
  <c r="A5189" i="146"/>
  <c r="D5188" i="146"/>
  <c r="A5188" i="146"/>
  <c r="D5187" i="146"/>
  <c r="A5187" i="146"/>
  <c r="D5186" i="146"/>
  <c r="A5186" i="146"/>
  <c r="D5185" i="146"/>
  <c r="A5185" i="146"/>
  <c r="D5184" i="146"/>
  <c r="A5184" i="146"/>
  <c r="D5183" i="146"/>
  <c r="A5183" i="146"/>
  <c r="D5182" i="146"/>
  <c r="A5182" i="146"/>
  <c r="D5181" i="146"/>
  <c r="A5181" i="146"/>
  <c r="D5180" i="146"/>
  <c r="A5180" i="146"/>
  <c r="D5179" i="146"/>
  <c r="A5179" i="146"/>
  <c r="D5178" i="146"/>
  <c r="A5178" i="146"/>
  <c r="D5177" i="146"/>
  <c r="A5177" i="146"/>
  <c r="D5176" i="146"/>
  <c r="A5176" i="146"/>
  <c r="D5175" i="146"/>
  <c r="A5175" i="146"/>
  <c r="D5174" i="146"/>
  <c r="A5174" i="146"/>
  <c r="D5173" i="146"/>
  <c r="A5173" i="146"/>
  <c r="D5172" i="146"/>
  <c r="A5172" i="146"/>
  <c r="D5171" i="146"/>
  <c r="A5171" i="146"/>
  <c r="D5170" i="146"/>
  <c r="A5170" i="146"/>
  <c r="D5169" i="146"/>
  <c r="A5169" i="146"/>
  <c r="D5168" i="146"/>
  <c r="A5168" i="146"/>
  <c r="D5167" i="146"/>
  <c r="A5167" i="146"/>
  <c r="D5166" i="146"/>
  <c r="A5166" i="146"/>
  <c r="D5165" i="146"/>
  <c r="A5165" i="146"/>
  <c r="D5164" i="146"/>
  <c r="A5164" i="146"/>
  <c r="D5163" i="146"/>
  <c r="A5163" i="146"/>
  <c r="D5162" i="146"/>
  <c r="A5162" i="146"/>
  <c r="D5161" i="146"/>
  <c r="A5161" i="146"/>
  <c r="D5160" i="146"/>
  <c r="A5160" i="146"/>
  <c r="D5159" i="146"/>
  <c r="A5159" i="146"/>
  <c r="D5158" i="146"/>
  <c r="A5158" i="146"/>
  <c r="D5157" i="146"/>
  <c r="A5157" i="146"/>
  <c r="D5156" i="146"/>
  <c r="A5156" i="146"/>
  <c r="D5155" i="146"/>
  <c r="A5155" i="146"/>
  <c r="D5154" i="146"/>
  <c r="A5154" i="146"/>
  <c r="D5153" i="146"/>
  <c r="A5153" i="146"/>
  <c r="D5152" i="146"/>
  <c r="A5152" i="146"/>
  <c r="D5151" i="146"/>
  <c r="A5151" i="146"/>
  <c r="D5150" i="146"/>
  <c r="A5150" i="146"/>
  <c r="D5149" i="146"/>
  <c r="A5149" i="146"/>
  <c r="D5148" i="146"/>
  <c r="A5148" i="146"/>
  <c r="D5147" i="146"/>
  <c r="A5147" i="146"/>
  <c r="D5146" i="146"/>
  <c r="A5146" i="146"/>
  <c r="D5145" i="146"/>
  <c r="A5145" i="146"/>
  <c r="D5144" i="146"/>
  <c r="A5144" i="146"/>
  <c r="D5143" i="146"/>
  <c r="A5143" i="146"/>
  <c r="D5142" i="146"/>
  <c r="A5142" i="146"/>
  <c r="D5141" i="146"/>
  <c r="A5141" i="146"/>
  <c r="D5140" i="146"/>
  <c r="A5140" i="146"/>
  <c r="D5139" i="146"/>
  <c r="A5139" i="146"/>
  <c r="D5138" i="146"/>
  <c r="A5138" i="146"/>
  <c r="D5137" i="146"/>
  <c r="A5137" i="146"/>
  <c r="D5136" i="146"/>
  <c r="A5136" i="146"/>
  <c r="D5135" i="146"/>
  <c r="A5135" i="146"/>
  <c r="D5134" i="146"/>
  <c r="A5134" i="146"/>
  <c r="D5133" i="146"/>
  <c r="A5133" i="146"/>
  <c r="D5132" i="146"/>
  <c r="A5132" i="146"/>
  <c r="D5131" i="146"/>
  <c r="A5131" i="146"/>
  <c r="D5130" i="146"/>
  <c r="A5130" i="146"/>
  <c r="D5129" i="146"/>
  <c r="A5129" i="146"/>
  <c r="D5128" i="146"/>
  <c r="A5128" i="146"/>
  <c r="D5127" i="146"/>
  <c r="A5127" i="146"/>
  <c r="D5126" i="146"/>
  <c r="A5126" i="146"/>
  <c r="D5125" i="146"/>
  <c r="A5125" i="146"/>
  <c r="D5124" i="146"/>
  <c r="A5124" i="146"/>
  <c r="D5123" i="146"/>
  <c r="A5123" i="146"/>
  <c r="D5122" i="146"/>
  <c r="A5122" i="146"/>
  <c r="D5121" i="146"/>
  <c r="A5121" i="146"/>
  <c r="D5120" i="146"/>
  <c r="A5120" i="146"/>
  <c r="D5119" i="146"/>
  <c r="A5119" i="146"/>
  <c r="D5118" i="146"/>
  <c r="A5118" i="146"/>
  <c r="D5117" i="146"/>
  <c r="A5117" i="146"/>
  <c r="D5116" i="146"/>
  <c r="A5116" i="146"/>
  <c r="D5115" i="146"/>
  <c r="A5115" i="146"/>
  <c r="D5114" i="146"/>
  <c r="A5114" i="146"/>
  <c r="D5113" i="146"/>
  <c r="A5113" i="146"/>
  <c r="D5112" i="146"/>
  <c r="A5112" i="146"/>
  <c r="D5111" i="146"/>
  <c r="A5111" i="146"/>
  <c r="D5110" i="146"/>
  <c r="A5110" i="146"/>
  <c r="D5109" i="146"/>
  <c r="A5109" i="146"/>
  <c r="D5108" i="146"/>
  <c r="A5108" i="146"/>
  <c r="D5107" i="146"/>
  <c r="A5107" i="146"/>
  <c r="D5106" i="146"/>
  <c r="A5106" i="146"/>
  <c r="D5105" i="146"/>
  <c r="A5105" i="146"/>
  <c r="D5104" i="146"/>
  <c r="A5104" i="146"/>
  <c r="D5103" i="146"/>
  <c r="A5103" i="146"/>
  <c r="D5102" i="146"/>
  <c r="A5102" i="146"/>
  <c r="D5101" i="146"/>
  <c r="A5101" i="146"/>
  <c r="D5100" i="146"/>
  <c r="A5100" i="146"/>
  <c r="D5099" i="146"/>
  <c r="A5099" i="146"/>
  <c r="D5098" i="146"/>
  <c r="A5098" i="146"/>
  <c r="D5097" i="146"/>
  <c r="A5097" i="146"/>
  <c r="D5096" i="146"/>
  <c r="A5096" i="146"/>
  <c r="D5095" i="146"/>
  <c r="A5095" i="146"/>
  <c r="D5094" i="146"/>
  <c r="A5094" i="146"/>
  <c r="D5093" i="146"/>
  <c r="A5093" i="146"/>
  <c r="D5092" i="146"/>
  <c r="A5092" i="146"/>
  <c r="D5091" i="146"/>
  <c r="A5091" i="146"/>
  <c r="D5090" i="146"/>
  <c r="A5090" i="146"/>
  <c r="D5089" i="146"/>
  <c r="A5089" i="146"/>
  <c r="D5088" i="146"/>
  <c r="A5088" i="146"/>
  <c r="D5087" i="146"/>
  <c r="A5087" i="146"/>
  <c r="D5086" i="146"/>
  <c r="A5086" i="146"/>
  <c r="D5085" i="146"/>
  <c r="A5085" i="146"/>
  <c r="D5084" i="146"/>
  <c r="A5084" i="146"/>
  <c r="D5083" i="146"/>
  <c r="A5083" i="146"/>
  <c r="D5082" i="146"/>
  <c r="A5082" i="146"/>
  <c r="D5081" i="146"/>
  <c r="A5081" i="146"/>
  <c r="D5080" i="146"/>
  <c r="A5080" i="146"/>
  <c r="D5079" i="146"/>
  <c r="A5079" i="146"/>
  <c r="D5078" i="146"/>
  <c r="A5078" i="146"/>
  <c r="D5077" i="146"/>
  <c r="A5077" i="146"/>
  <c r="D5076" i="146"/>
  <c r="A5076" i="146"/>
  <c r="D5075" i="146"/>
  <c r="A5075" i="146"/>
  <c r="D5074" i="146"/>
  <c r="A5074" i="146"/>
  <c r="D5073" i="146"/>
  <c r="A5073" i="146"/>
  <c r="D5072" i="146"/>
  <c r="A5072" i="146"/>
  <c r="D5071" i="146"/>
  <c r="A5071" i="146"/>
  <c r="D5070" i="146"/>
  <c r="A5070" i="146"/>
  <c r="D5069" i="146"/>
  <c r="A5069" i="146"/>
  <c r="D5068" i="146"/>
  <c r="A5068" i="146"/>
  <c r="D5067" i="146"/>
  <c r="A5067" i="146"/>
  <c r="D5066" i="146"/>
  <c r="A5066" i="146"/>
  <c r="D5065" i="146"/>
  <c r="A5065" i="146"/>
  <c r="D5064" i="146"/>
  <c r="A5064" i="146"/>
  <c r="D5063" i="146"/>
  <c r="A5063" i="146"/>
  <c r="D5062" i="146"/>
  <c r="A5062" i="146"/>
  <c r="D5061" i="146"/>
  <c r="A5061" i="146"/>
  <c r="D5060" i="146"/>
  <c r="A5060" i="146"/>
  <c r="D5059" i="146"/>
  <c r="A5059" i="146"/>
  <c r="D5058" i="146"/>
  <c r="A5058" i="146"/>
  <c r="D5057" i="146"/>
  <c r="A5057" i="146"/>
  <c r="D5056" i="146"/>
  <c r="A5056" i="146"/>
  <c r="D5055" i="146"/>
  <c r="A5055" i="146"/>
  <c r="D5054" i="146"/>
  <c r="A5054" i="146"/>
  <c r="D5053" i="146"/>
  <c r="A5053" i="146"/>
  <c r="D5052" i="146"/>
  <c r="A5052" i="146"/>
  <c r="D5051" i="146"/>
  <c r="A5051" i="146"/>
  <c r="D5050" i="146"/>
  <c r="A5050" i="146"/>
  <c r="D5049" i="146"/>
  <c r="A5049" i="146"/>
  <c r="D5048" i="146"/>
  <c r="A5048" i="146"/>
  <c r="D5047" i="146"/>
  <c r="A5047" i="146"/>
  <c r="D5046" i="146"/>
  <c r="A5046" i="146"/>
  <c r="D5045" i="146"/>
  <c r="A5045" i="146"/>
  <c r="D5044" i="146"/>
  <c r="A5044" i="146"/>
  <c r="D5043" i="146"/>
  <c r="A5043" i="146"/>
  <c r="D5042" i="146"/>
  <c r="A5042" i="146"/>
  <c r="D5041" i="146"/>
  <c r="A5041" i="146"/>
  <c r="D5040" i="146"/>
  <c r="A5040" i="146"/>
  <c r="D5039" i="146"/>
  <c r="A5039" i="146"/>
  <c r="D5038" i="146"/>
  <c r="A5038" i="146"/>
  <c r="D5037" i="146"/>
  <c r="A5037" i="146"/>
  <c r="D5036" i="146"/>
  <c r="A5036" i="146"/>
  <c r="D5035" i="146"/>
  <c r="A5035" i="146"/>
  <c r="D5034" i="146"/>
  <c r="A5034" i="146"/>
  <c r="D5033" i="146"/>
  <c r="A5033" i="146"/>
  <c r="D5032" i="146"/>
  <c r="A5032" i="146"/>
  <c r="D5031" i="146"/>
  <c r="A5031" i="146"/>
  <c r="D5030" i="146"/>
  <c r="A5030" i="146"/>
  <c r="D5029" i="146"/>
  <c r="A5029" i="146"/>
  <c r="D5028" i="146"/>
  <c r="A5028" i="146"/>
  <c r="D5027" i="146"/>
  <c r="A5027" i="146"/>
  <c r="D5026" i="146"/>
  <c r="A5026" i="146"/>
  <c r="D5025" i="146"/>
  <c r="A5025" i="146"/>
  <c r="D5024" i="146"/>
  <c r="A5024" i="146"/>
  <c r="D5023" i="146"/>
  <c r="A5023" i="146"/>
  <c r="D5022" i="146"/>
  <c r="A5022" i="146"/>
  <c r="D5021" i="146"/>
  <c r="A5021" i="146"/>
  <c r="D5020" i="146"/>
  <c r="A5020" i="146"/>
  <c r="D5019" i="146"/>
  <c r="A5019" i="146"/>
  <c r="D5018" i="146"/>
  <c r="A5018" i="146"/>
  <c r="D5017" i="146"/>
  <c r="A5017" i="146"/>
  <c r="D5016" i="146"/>
  <c r="A5016" i="146"/>
  <c r="D5015" i="146"/>
  <c r="A5015" i="146"/>
  <c r="D5014" i="146"/>
  <c r="A5014" i="146"/>
  <c r="D5013" i="146"/>
  <c r="A5013" i="146"/>
  <c r="D5012" i="146"/>
  <c r="A5012" i="146"/>
  <c r="D5011" i="146"/>
  <c r="A5011" i="146"/>
  <c r="D5010" i="146"/>
  <c r="A5010" i="146"/>
  <c r="D5009" i="146"/>
  <c r="A5009" i="146"/>
  <c r="D5008" i="146"/>
  <c r="A5008" i="146"/>
  <c r="D5007" i="146"/>
  <c r="A5007" i="146"/>
  <c r="D5006" i="146"/>
  <c r="A5006" i="146"/>
  <c r="D5005" i="146"/>
  <c r="A5005" i="146"/>
  <c r="D5004" i="146"/>
  <c r="A5004" i="146"/>
  <c r="D5003" i="146"/>
  <c r="A5003" i="146"/>
  <c r="D5002" i="146"/>
  <c r="A5002" i="146"/>
  <c r="D5001" i="146"/>
  <c r="A5001" i="146"/>
  <c r="D5000" i="146"/>
  <c r="A5000" i="146"/>
  <c r="D4999" i="146"/>
  <c r="A4999" i="146"/>
  <c r="D4998" i="146"/>
  <c r="A4998" i="146"/>
  <c r="D4997" i="146"/>
  <c r="A4997" i="146"/>
  <c r="D4996" i="146"/>
  <c r="A4996" i="146"/>
  <c r="D4995" i="146"/>
  <c r="A4995" i="146"/>
  <c r="D4994" i="146"/>
  <c r="A4994" i="146"/>
  <c r="D4993" i="146"/>
  <c r="A4993" i="146"/>
  <c r="D4992" i="146"/>
  <c r="A4992" i="146"/>
  <c r="D4991" i="146"/>
  <c r="A4991" i="146"/>
  <c r="D4990" i="146"/>
  <c r="A4990" i="146"/>
  <c r="D4989" i="146"/>
  <c r="A4989" i="146"/>
  <c r="D4988" i="146"/>
  <c r="A4988" i="146"/>
  <c r="D4987" i="146"/>
  <c r="A4987" i="146"/>
  <c r="D4986" i="146"/>
  <c r="A4986" i="146"/>
  <c r="D4985" i="146"/>
  <c r="A4985" i="146"/>
  <c r="D4984" i="146"/>
  <c r="A4984" i="146"/>
  <c r="D4983" i="146"/>
  <c r="A4983" i="146"/>
  <c r="D4982" i="146"/>
  <c r="A4982" i="146"/>
  <c r="D4981" i="146"/>
  <c r="A4981" i="146"/>
  <c r="D4980" i="146"/>
  <c r="A4980" i="146"/>
  <c r="D4979" i="146"/>
  <c r="A4979" i="146"/>
  <c r="D4978" i="146"/>
  <c r="A4978" i="146"/>
  <c r="D4977" i="146"/>
  <c r="A4977" i="146"/>
  <c r="D4976" i="146"/>
  <c r="A4976" i="146"/>
  <c r="D4975" i="146"/>
  <c r="A4975" i="146"/>
  <c r="D4974" i="146"/>
  <c r="A4974" i="146"/>
  <c r="D4973" i="146"/>
  <c r="A4973" i="146"/>
  <c r="D4972" i="146"/>
  <c r="A4972" i="146"/>
  <c r="D4971" i="146"/>
  <c r="A4971" i="146"/>
  <c r="D4970" i="146"/>
  <c r="A4970" i="146"/>
  <c r="D4969" i="146"/>
  <c r="A4969" i="146"/>
  <c r="D4968" i="146"/>
  <c r="A4968" i="146"/>
  <c r="D4967" i="146"/>
  <c r="A4967" i="146"/>
  <c r="D4966" i="146"/>
  <c r="A4966" i="146"/>
  <c r="D4965" i="146"/>
  <c r="A4965" i="146"/>
  <c r="D4964" i="146"/>
  <c r="A4964" i="146"/>
  <c r="D4963" i="146"/>
  <c r="A4963" i="146"/>
  <c r="D4962" i="146"/>
  <c r="A4962" i="146"/>
  <c r="D4961" i="146"/>
  <c r="A4961" i="146"/>
  <c r="D4960" i="146"/>
  <c r="A4960" i="146"/>
  <c r="D4959" i="146"/>
  <c r="A4959" i="146"/>
  <c r="D4958" i="146"/>
  <c r="A4958" i="146"/>
  <c r="D4957" i="146"/>
  <c r="A4957" i="146"/>
  <c r="D4956" i="146"/>
  <c r="A4956" i="146"/>
  <c r="D4955" i="146"/>
  <c r="A4955" i="146"/>
  <c r="D4954" i="146"/>
  <c r="A4954" i="146"/>
  <c r="D4953" i="146"/>
  <c r="A4953" i="146"/>
  <c r="D4952" i="146"/>
  <c r="A4952" i="146"/>
  <c r="D4951" i="146"/>
  <c r="A4951" i="146"/>
  <c r="D4950" i="146"/>
  <c r="A4950" i="146"/>
  <c r="D4949" i="146"/>
  <c r="A4949" i="146"/>
  <c r="D4948" i="146"/>
  <c r="A4948" i="146"/>
  <c r="D4947" i="146"/>
  <c r="A4947" i="146"/>
  <c r="D4946" i="146"/>
  <c r="A4946" i="146"/>
  <c r="D4945" i="146"/>
  <c r="A4945" i="146"/>
  <c r="D4944" i="146"/>
  <c r="A4944" i="146"/>
  <c r="D4943" i="146"/>
  <c r="A4943" i="146"/>
  <c r="D4942" i="146"/>
  <c r="A4942" i="146"/>
  <c r="D4941" i="146"/>
  <c r="A4941" i="146"/>
  <c r="D4940" i="146"/>
  <c r="A4940" i="146"/>
  <c r="D4939" i="146"/>
  <c r="A4939" i="146"/>
  <c r="D4938" i="146"/>
  <c r="A4938" i="146"/>
  <c r="D4937" i="146"/>
  <c r="A4937" i="146"/>
  <c r="D4936" i="146"/>
  <c r="A4936" i="146"/>
  <c r="D4935" i="146"/>
  <c r="A4935" i="146"/>
  <c r="D4934" i="146"/>
  <c r="A4934" i="146"/>
  <c r="D4933" i="146"/>
  <c r="A4933" i="146"/>
  <c r="D4932" i="146"/>
  <c r="A4932" i="146"/>
  <c r="D4931" i="146"/>
  <c r="A4931" i="146"/>
  <c r="D4930" i="146"/>
  <c r="A4930" i="146"/>
  <c r="D4929" i="146"/>
  <c r="A4929" i="146"/>
  <c r="D4928" i="146"/>
  <c r="A4928" i="146"/>
  <c r="D4927" i="146"/>
  <c r="A4927" i="146"/>
  <c r="D4926" i="146"/>
  <c r="A4926" i="146"/>
  <c r="D4925" i="146"/>
  <c r="A4925" i="146"/>
  <c r="D4924" i="146"/>
  <c r="A4924" i="146"/>
  <c r="D4923" i="146"/>
  <c r="A4923" i="146"/>
  <c r="D4922" i="146"/>
  <c r="A4922" i="146"/>
  <c r="D4921" i="146"/>
  <c r="A4921" i="146"/>
  <c r="D4920" i="146"/>
  <c r="A4920" i="146"/>
  <c r="D4919" i="146"/>
  <c r="A4919" i="146"/>
  <c r="D4918" i="146"/>
  <c r="A4918" i="146"/>
  <c r="D4917" i="146"/>
  <c r="A4917" i="146"/>
  <c r="D4916" i="146"/>
  <c r="A4916" i="146"/>
  <c r="D4915" i="146"/>
  <c r="A4915" i="146"/>
  <c r="D4914" i="146"/>
  <c r="A4914" i="146"/>
  <c r="D4913" i="146"/>
  <c r="A4913" i="146"/>
  <c r="D4912" i="146"/>
  <c r="A4912" i="146"/>
  <c r="D4911" i="146"/>
  <c r="A4911" i="146"/>
  <c r="D4910" i="146"/>
  <c r="A4910" i="146"/>
  <c r="D4909" i="146"/>
  <c r="A4909" i="146"/>
  <c r="D4908" i="146"/>
  <c r="A4908" i="146"/>
  <c r="D4907" i="146"/>
  <c r="A4907" i="146"/>
  <c r="D4906" i="146"/>
  <c r="A4906" i="146"/>
  <c r="D4905" i="146"/>
  <c r="A4905" i="146"/>
  <c r="D4904" i="146"/>
  <c r="A4904" i="146"/>
  <c r="D4903" i="146"/>
  <c r="A4903" i="146"/>
  <c r="D4902" i="146"/>
  <c r="A4902" i="146"/>
  <c r="D4901" i="146"/>
  <c r="A4901" i="146"/>
  <c r="D4900" i="146"/>
  <c r="A4900" i="146"/>
  <c r="D4899" i="146"/>
  <c r="A4899" i="146"/>
  <c r="D4898" i="146"/>
  <c r="A4898" i="146"/>
  <c r="D4897" i="146"/>
  <c r="A4897" i="146"/>
  <c r="D4896" i="146"/>
  <c r="A4896" i="146"/>
  <c r="D4895" i="146"/>
  <c r="A4895" i="146"/>
  <c r="D4894" i="146"/>
  <c r="A4894" i="146"/>
  <c r="D4893" i="146"/>
  <c r="A4893" i="146"/>
  <c r="D4892" i="146"/>
  <c r="A4892" i="146"/>
  <c r="D4891" i="146"/>
  <c r="A4891" i="146"/>
  <c r="D4890" i="146"/>
  <c r="A4890" i="146"/>
  <c r="D4889" i="146"/>
  <c r="A4889" i="146"/>
  <c r="D4888" i="146"/>
  <c r="A4888" i="146"/>
  <c r="D4887" i="146"/>
  <c r="A4887" i="146"/>
  <c r="D4886" i="146"/>
  <c r="A4886" i="146"/>
  <c r="D4885" i="146"/>
  <c r="A4885" i="146"/>
  <c r="D4884" i="146"/>
  <c r="A4884" i="146"/>
  <c r="D4883" i="146"/>
  <c r="A4883" i="146"/>
  <c r="D4882" i="146"/>
  <c r="A4882" i="146"/>
  <c r="D4881" i="146"/>
  <c r="A4881" i="146"/>
  <c r="D4880" i="146"/>
  <c r="A4880" i="146"/>
  <c r="D4879" i="146"/>
  <c r="A4879" i="146"/>
  <c r="D4878" i="146"/>
  <c r="A4878" i="146"/>
  <c r="D4877" i="146"/>
  <c r="A4877" i="146"/>
  <c r="D4876" i="146"/>
  <c r="A4876" i="146"/>
  <c r="D4875" i="146"/>
  <c r="A4875" i="146"/>
  <c r="D4874" i="146"/>
  <c r="A4874" i="146"/>
  <c r="D4873" i="146"/>
  <c r="A4873" i="146"/>
  <c r="D4872" i="146"/>
  <c r="A4872" i="146"/>
  <c r="D4871" i="146"/>
  <c r="A4871" i="146"/>
  <c r="D4870" i="146"/>
  <c r="A4870" i="146"/>
  <c r="D4869" i="146"/>
  <c r="A4869" i="146"/>
  <c r="D4868" i="146"/>
  <c r="A4868" i="146"/>
  <c r="D4867" i="146"/>
  <c r="A4867" i="146"/>
  <c r="D4866" i="146"/>
  <c r="A4866" i="146"/>
  <c r="D4865" i="146"/>
  <c r="A4865" i="146"/>
  <c r="D4864" i="146"/>
  <c r="A4864" i="146"/>
  <c r="D4863" i="146"/>
  <c r="A4863" i="146"/>
  <c r="D4862" i="146"/>
  <c r="A4862" i="146"/>
  <c r="D4861" i="146"/>
  <c r="A4861" i="146"/>
  <c r="D4860" i="146"/>
  <c r="A4860" i="146"/>
  <c r="D4859" i="146"/>
  <c r="A4859" i="146"/>
  <c r="D4858" i="146"/>
  <c r="A4858" i="146"/>
  <c r="D4857" i="146"/>
  <c r="A4857" i="146"/>
  <c r="D4856" i="146"/>
  <c r="A4856" i="146"/>
  <c r="D4855" i="146"/>
  <c r="A4855" i="146"/>
  <c r="D4854" i="146"/>
  <c r="A4854" i="146"/>
  <c r="D4853" i="146"/>
  <c r="A4853" i="146"/>
  <c r="D4852" i="146"/>
  <c r="A4852" i="146"/>
  <c r="D4851" i="146"/>
  <c r="A4851" i="146"/>
  <c r="D4850" i="146"/>
  <c r="A4850" i="146"/>
  <c r="D4849" i="146"/>
  <c r="A4849" i="146"/>
  <c r="D4848" i="146"/>
  <c r="A4848" i="146"/>
  <c r="D4847" i="146"/>
  <c r="A4847" i="146"/>
  <c r="D4846" i="146"/>
  <c r="A4846" i="146"/>
  <c r="D4845" i="146"/>
  <c r="A4845" i="146"/>
  <c r="D4844" i="146"/>
  <c r="A4844" i="146"/>
  <c r="D4843" i="146"/>
  <c r="A4843" i="146"/>
  <c r="D4842" i="146"/>
  <c r="A4842" i="146"/>
  <c r="D4841" i="146"/>
  <c r="A4841" i="146"/>
  <c r="D4840" i="146"/>
  <c r="A4840" i="146"/>
  <c r="D4839" i="146"/>
  <c r="A4839" i="146"/>
  <c r="D4838" i="146"/>
  <c r="A4838" i="146"/>
  <c r="D4837" i="146"/>
  <c r="A4837" i="146"/>
  <c r="D4836" i="146"/>
  <c r="A4836" i="146"/>
  <c r="D4835" i="146"/>
  <c r="A4835" i="146"/>
  <c r="D4834" i="146"/>
  <c r="A4834" i="146"/>
  <c r="D4833" i="146"/>
  <c r="A4833" i="146"/>
  <c r="D4832" i="146"/>
  <c r="A4832" i="146"/>
  <c r="D4831" i="146"/>
  <c r="A4831" i="146"/>
  <c r="D4830" i="146"/>
  <c r="A4830" i="146"/>
  <c r="D4829" i="146"/>
  <c r="A4829" i="146"/>
  <c r="D4828" i="146"/>
  <c r="A4828" i="146"/>
  <c r="D4827" i="146"/>
  <c r="A4827" i="146"/>
  <c r="D4826" i="146"/>
  <c r="A4826" i="146"/>
  <c r="D4825" i="146"/>
  <c r="A4825" i="146"/>
  <c r="D4824" i="146"/>
  <c r="A4824" i="146"/>
  <c r="D4823" i="146"/>
  <c r="A4823" i="146"/>
  <c r="D4822" i="146"/>
  <c r="A4822" i="146"/>
  <c r="D4821" i="146"/>
  <c r="A4821" i="146"/>
  <c r="D4820" i="146"/>
  <c r="A4820" i="146"/>
  <c r="D4819" i="146"/>
  <c r="A4819" i="146"/>
  <c r="D4818" i="146"/>
  <c r="A4818" i="146"/>
  <c r="D4817" i="146"/>
  <c r="A4817" i="146"/>
  <c r="D4816" i="146"/>
  <c r="A4816" i="146"/>
  <c r="D4815" i="146"/>
  <c r="A4815" i="146"/>
  <c r="D4814" i="146"/>
  <c r="A4814" i="146"/>
  <c r="D4813" i="146"/>
  <c r="A4813" i="146"/>
  <c r="D4812" i="146"/>
  <c r="A4812" i="146"/>
  <c r="D4811" i="146"/>
  <c r="A4811" i="146"/>
  <c r="D4810" i="146"/>
  <c r="A4810" i="146"/>
  <c r="D4809" i="146"/>
  <c r="A4809" i="146"/>
  <c r="D4808" i="146"/>
  <c r="A4808" i="146"/>
  <c r="D4807" i="146"/>
  <c r="A4807" i="146"/>
  <c r="D4806" i="146"/>
  <c r="A4806" i="146"/>
  <c r="D4805" i="146"/>
  <c r="A4805" i="146"/>
  <c r="D4804" i="146"/>
  <c r="A4804" i="146"/>
  <c r="D4803" i="146"/>
  <c r="A4803" i="146"/>
  <c r="D4802" i="146"/>
  <c r="A4802" i="146"/>
  <c r="D4801" i="146"/>
  <c r="A4801" i="146"/>
  <c r="D4800" i="146"/>
  <c r="A4800" i="146"/>
  <c r="D4799" i="146"/>
  <c r="A4799" i="146"/>
  <c r="D4798" i="146"/>
  <c r="A4798" i="146"/>
  <c r="D4797" i="146"/>
  <c r="A4797" i="146"/>
  <c r="D4796" i="146"/>
  <c r="A4796" i="146"/>
  <c r="D4795" i="146"/>
  <c r="A4795" i="146"/>
  <c r="D4794" i="146"/>
  <c r="A4794" i="146"/>
  <c r="D4793" i="146"/>
  <c r="A4793" i="146"/>
  <c r="D4792" i="146"/>
  <c r="A4792" i="146"/>
  <c r="D4791" i="146"/>
  <c r="A4791" i="146"/>
  <c r="D4790" i="146"/>
  <c r="A4790" i="146"/>
  <c r="D4789" i="146"/>
  <c r="A4789" i="146"/>
  <c r="D4788" i="146"/>
  <c r="A4788" i="146"/>
  <c r="D4787" i="146"/>
  <c r="A4787" i="146"/>
  <c r="D4786" i="146"/>
  <c r="A4786" i="146"/>
  <c r="D4785" i="146"/>
  <c r="A4785" i="146"/>
  <c r="D4784" i="146"/>
  <c r="A4784" i="146"/>
  <c r="D4783" i="146"/>
  <c r="A4783" i="146"/>
  <c r="D4782" i="146"/>
  <c r="A4782" i="146"/>
  <c r="D4781" i="146"/>
  <c r="A4781" i="146"/>
  <c r="D4780" i="146"/>
  <c r="A4780" i="146"/>
  <c r="D4779" i="146"/>
  <c r="A4779" i="146"/>
  <c r="D4778" i="146"/>
  <c r="A4778" i="146"/>
  <c r="D4777" i="146"/>
  <c r="A4777" i="146"/>
  <c r="D4776" i="146"/>
  <c r="A4776" i="146"/>
  <c r="D4775" i="146"/>
  <c r="A4775" i="146"/>
  <c r="D4774" i="146"/>
  <c r="A4774" i="146"/>
  <c r="D4773" i="146"/>
  <c r="A4773" i="146"/>
  <c r="D4772" i="146"/>
  <c r="A4772" i="146"/>
  <c r="D4771" i="146"/>
  <c r="A4771" i="146"/>
  <c r="D4770" i="146"/>
  <c r="A4770" i="146"/>
  <c r="D4769" i="146"/>
  <c r="A4769" i="146"/>
  <c r="D4768" i="146"/>
  <c r="A4768" i="146"/>
  <c r="D4767" i="146"/>
  <c r="A4767" i="146"/>
  <c r="D4766" i="146"/>
  <c r="A4766" i="146"/>
  <c r="D4765" i="146"/>
  <c r="A4765" i="146"/>
  <c r="D4764" i="146"/>
  <c r="A4764" i="146"/>
  <c r="D4763" i="146"/>
  <c r="A4763" i="146"/>
  <c r="D4762" i="146"/>
  <c r="A4762" i="146"/>
  <c r="D4761" i="146"/>
  <c r="A4761" i="146"/>
  <c r="D4760" i="146"/>
  <c r="A4760" i="146"/>
  <c r="D4759" i="146"/>
  <c r="A4759" i="146"/>
  <c r="D4758" i="146"/>
  <c r="A4758" i="146"/>
  <c r="D4757" i="146"/>
  <c r="A4757" i="146"/>
  <c r="D4756" i="146"/>
  <c r="A4756" i="146"/>
  <c r="D4755" i="146"/>
  <c r="A4755" i="146"/>
  <c r="D4754" i="146"/>
  <c r="A4754" i="146"/>
  <c r="D4753" i="146"/>
  <c r="A4753" i="146"/>
  <c r="D4752" i="146"/>
  <c r="A4752" i="146"/>
  <c r="D4751" i="146"/>
  <c r="A4751" i="146"/>
  <c r="D4750" i="146"/>
  <c r="A4750" i="146"/>
  <c r="D4749" i="146"/>
  <c r="A4749" i="146"/>
  <c r="D4748" i="146"/>
  <c r="A4748" i="146"/>
  <c r="D4747" i="146"/>
  <c r="A4747" i="146"/>
  <c r="D4746" i="146"/>
  <c r="A4746" i="146"/>
  <c r="D4745" i="146"/>
  <c r="A4745" i="146"/>
  <c r="D4744" i="146"/>
  <c r="A4744" i="146"/>
  <c r="D4743" i="146"/>
  <c r="A4743" i="146"/>
  <c r="D4742" i="146"/>
  <c r="A4742" i="146"/>
  <c r="D4741" i="146"/>
  <c r="A4741" i="146"/>
  <c r="D4740" i="146"/>
  <c r="A4740" i="146"/>
  <c r="D4739" i="146"/>
  <c r="A4739" i="146"/>
  <c r="D4738" i="146"/>
  <c r="A4738" i="146"/>
  <c r="D4737" i="146"/>
  <c r="A4737" i="146"/>
  <c r="D4736" i="146"/>
  <c r="A4736" i="146"/>
  <c r="D4735" i="146"/>
  <c r="A4735" i="146"/>
  <c r="D4734" i="146"/>
  <c r="A4734" i="146"/>
  <c r="D4733" i="146"/>
  <c r="A4733" i="146"/>
  <c r="D4732" i="146"/>
  <c r="A4732" i="146"/>
  <c r="D4731" i="146"/>
  <c r="A4731" i="146"/>
  <c r="D4730" i="146"/>
  <c r="A4730" i="146"/>
  <c r="D4729" i="146"/>
  <c r="A4729" i="146"/>
  <c r="D4728" i="146"/>
  <c r="A4728" i="146"/>
  <c r="D4727" i="146"/>
  <c r="A4727" i="146"/>
  <c r="D4726" i="146"/>
  <c r="A4726" i="146"/>
  <c r="D4725" i="146"/>
  <c r="A4725" i="146"/>
  <c r="D4724" i="146"/>
  <c r="A4724" i="146"/>
  <c r="D4723" i="146"/>
  <c r="A4723" i="146"/>
  <c r="D4722" i="146"/>
  <c r="A4722" i="146"/>
  <c r="D4721" i="146"/>
  <c r="A4721" i="146"/>
  <c r="D4720" i="146"/>
  <c r="A4720" i="146"/>
  <c r="D4719" i="146"/>
  <c r="A4719" i="146"/>
  <c r="D4718" i="146"/>
  <c r="A4718" i="146"/>
  <c r="D4717" i="146"/>
  <c r="A4717" i="146"/>
  <c r="D4716" i="146"/>
  <c r="A4716" i="146"/>
  <c r="D4715" i="146"/>
  <c r="A4715" i="146"/>
  <c r="D4714" i="146"/>
  <c r="A4714" i="146"/>
  <c r="D4713" i="146"/>
  <c r="A4713" i="146"/>
  <c r="D4712" i="146"/>
  <c r="A4712" i="146"/>
  <c r="D4711" i="146"/>
  <c r="A4711" i="146"/>
  <c r="D4710" i="146"/>
  <c r="A4710" i="146"/>
  <c r="D4709" i="146"/>
  <c r="A4709" i="146"/>
  <c r="D4708" i="146"/>
  <c r="A4708" i="146"/>
  <c r="D4707" i="146"/>
  <c r="A4707" i="146"/>
  <c r="D4706" i="146"/>
  <c r="A4706" i="146"/>
  <c r="D4705" i="146"/>
  <c r="A4705" i="146"/>
  <c r="D4704" i="146"/>
  <c r="A4704" i="146"/>
  <c r="D4703" i="146"/>
  <c r="A4703" i="146"/>
  <c r="D4702" i="146"/>
  <c r="A4702" i="146"/>
  <c r="D4701" i="146"/>
  <c r="A4701" i="146"/>
  <c r="D4700" i="146"/>
  <c r="A4700" i="146"/>
  <c r="D4699" i="146"/>
  <c r="A4699" i="146"/>
  <c r="D4698" i="146"/>
  <c r="A4698" i="146"/>
  <c r="D4697" i="146"/>
  <c r="A4697" i="146"/>
  <c r="D4696" i="146"/>
  <c r="A4696" i="146"/>
  <c r="D4695" i="146"/>
  <c r="A4695" i="146"/>
  <c r="D4694" i="146"/>
  <c r="A4694" i="146"/>
  <c r="D4693" i="146"/>
  <c r="A4693" i="146"/>
  <c r="D4692" i="146"/>
  <c r="A4692" i="146"/>
  <c r="D4691" i="146"/>
  <c r="A4691" i="146"/>
  <c r="D4690" i="146"/>
  <c r="A4690" i="146"/>
  <c r="D4689" i="146"/>
  <c r="A4689" i="146"/>
  <c r="D4688" i="146"/>
  <c r="A4688" i="146"/>
  <c r="D4687" i="146"/>
  <c r="A4687" i="146"/>
  <c r="D4686" i="146"/>
  <c r="A4686" i="146"/>
  <c r="D4685" i="146"/>
  <c r="A4685" i="146"/>
  <c r="D4684" i="146"/>
  <c r="A4684" i="146"/>
  <c r="D4683" i="146"/>
  <c r="A4683" i="146"/>
  <c r="D4682" i="146"/>
  <c r="A4682" i="146"/>
  <c r="D4681" i="146"/>
  <c r="A4681" i="146"/>
  <c r="D4680" i="146"/>
  <c r="A4680" i="146"/>
  <c r="D4679" i="146"/>
  <c r="A4679" i="146"/>
  <c r="D4678" i="146"/>
  <c r="A4678" i="146"/>
  <c r="D4677" i="146"/>
  <c r="A4677" i="146"/>
  <c r="D4676" i="146"/>
  <c r="A4676" i="146"/>
  <c r="D4675" i="146"/>
  <c r="A4675" i="146"/>
  <c r="D4674" i="146"/>
  <c r="A4674" i="146"/>
  <c r="D4673" i="146"/>
  <c r="A4673" i="146"/>
  <c r="D4672" i="146"/>
  <c r="A4672" i="146"/>
  <c r="D4671" i="146"/>
  <c r="A4671" i="146"/>
  <c r="D4670" i="146"/>
  <c r="A4670" i="146"/>
  <c r="D4669" i="146"/>
  <c r="A4669" i="146"/>
  <c r="D4668" i="146"/>
  <c r="A4668" i="146"/>
  <c r="D4667" i="146"/>
  <c r="A4667" i="146"/>
  <c r="D4666" i="146"/>
  <c r="A4666" i="146"/>
  <c r="D4665" i="146"/>
  <c r="A4665" i="146"/>
  <c r="D4664" i="146"/>
  <c r="A4664" i="146"/>
  <c r="D4663" i="146"/>
  <c r="A4663" i="146"/>
  <c r="D4662" i="146"/>
  <c r="A4662" i="146"/>
  <c r="D4661" i="146"/>
  <c r="A4661" i="146"/>
  <c r="D4660" i="146"/>
  <c r="A4660" i="146"/>
  <c r="D4659" i="146"/>
  <c r="A4659" i="146"/>
  <c r="D4658" i="146"/>
  <c r="A4658" i="146"/>
  <c r="D4657" i="146"/>
  <c r="A4657" i="146"/>
  <c r="D4656" i="146"/>
  <c r="A4656" i="146"/>
  <c r="D4655" i="146"/>
  <c r="A4655" i="146"/>
  <c r="D4654" i="146"/>
  <c r="A4654" i="146"/>
  <c r="D4653" i="146"/>
  <c r="A4653" i="146"/>
  <c r="D4652" i="146"/>
  <c r="A4652" i="146"/>
  <c r="D4651" i="146"/>
  <c r="A4651" i="146"/>
  <c r="D4650" i="146"/>
  <c r="A4650" i="146"/>
  <c r="D4649" i="146"/>
  <c r="A4649" i="146"/>
  <c r="D4648" i="146"/>
  <c r="A4648" i="146"/>
  <c r="D4647" i="146"/>
  <c r="A4647" i="146"/>
  <c r="D4646" i="146"/>
  <c r="A4646" i="146"/>
  <c r="D4645" i="146"/>
  <c r="A4645" i="146"/>
  <c r="D4644" i="146"/>
  <c r="A4644" i="146"/>
  <c r="D4643" i="146"/>
  <c r="A4643" i="146"/>
  <c r="D4642" i="146"/>
  <c r="A4642" i="146"/>
  <c r="D4641" i="146"/>
  <c r="A4641" i="146"/>
  <c r="D4640" i="146"/>
  <c r="A4640" i="146"/>
  <c r="D4639" i="146"/>
  <c r="A4639" i="146"/>
  <c r="D4638" i="146"/>
  <c r="A4638" i="146"/>
  <c r="D4637" i="146"/>
  <c r="A4637" i="146"/>
  <c r="D4636" i="146"/>
  <c r="A4636" i="146"/>
  <c r="D4635" i="146"/>
  <c r="A4635" i="146"/>
  <c r="D4634" i="146"/>
  <c r="A4634" i="146"/>
  <c r="D4633" i="146"/>
  <c r="A4633" i="146"/>
  <c r="D4632" i="146"/>
  <c r="A4632" i="146"/>
  <c r="D4631" i="146"/>
  <c r="A4631" i="146"/>
  <c r="D4630" i="146"/>
  <c r="A4630" i="146"/>
  <c r="D4629" i="146"/>
  <c r="A4629" i="146"/>
  <c r="D4628" i="146"/>
  <c r="A4628" i="146"/>
  <c r="D4627" i="146"/>
  <c r="A4627" i="146"/>
  <c r="D4626" i="146"/>
  <c r="A4626" i="146"/>
  <c r="D4625" i="146"/>
  <c r="A4625" i="146"/>
  <c r="D4624" i="146"/>
  <c r="A4624" i="146"/>
  <c r="D4623" i="146"/>
  <c r="A4623" i="146"/>
  <c r="D4622" i="146"/>
  <c r="A4622" i="146"/>
  <c r="D4621" i="146"/>
  <c r="A4621" i="146"/>
  <c r="D4620" i="146"/>
  <c r="A4620" i="146"/>
  <c r="D4619" i="146"/>
  <c r="A4619" i="146"/>
  <c r="D4618" i="146"/>
  <c r="A4618" i="146"/>
  <c r="D4617" i="146"/>
  <c r="A4617" i="146"/>
  <c r="D4616" i="146"/>
  <c r="A4616" i="146"/>
  <c r="D4615" i="146"/>
  <c r="A4615" i="146"/>
  <c r="D4614" i="146"/>
  <c r="A4614" i="146"/>
  <c r="D4613" i="146"/>
  <c r="A4613" i="146"/>
  <c r="D4612" i="146"/>
  <c r="A4612" i="146"/>
  <c r="D4611" i="146"/>
  <c r="A4611" i="146"/>
  <c r="D4610" i="146"/>
  <c r="A4610" i="146"/>
  <c r="D4609" i="146"/>
  <c r="A4609" i="146"/>
  <c r="D4608" i="146"/>
  <c r="A4608" i="146"/>
  <c r="D4607" i="146"/>
  <c r="A4607" i="146"/>
  <c r="D4606" i="146"/>
  <c r="A4606" i="146"/>
  <c r="D4605" i="146"/>
  <c r="A4605" i="146"/>
  <c r="D4604" i="146"/>
  <c r="A4604" i="146"/>
  <c r="D4603" i="146"/>
  <c r="A4603" i="146"/>
  <c r="D4602" i="146"/>
  <c r="A4602" i="146"/>
  <c r="D4601" i="146"/>
  <c r="A4601" i="146"/>
  <c r="D4600" i="146"/>
  <c r="A4600" i="146"/>
  <c r="D4599" i="146"/>
  <c r="A4599" i="146"/>
  <c r="D4598" i="146"/>
  <c r="A4598" i="146"/>
  <c r="D4597" i="146"/>
  <c r="A4597" i="146"/>
  <c r="D4596" i="146"/>
  <c r="A4596" i="146"/>
  <c r="D4595" i="146"/>
  <c r="A4595" i="146"/>
  <c r="D4594" i="146"/>
  <c r="A4594" i="146"/>
  <c r="D4593" i="146"/>
  <c r="A4593" i="146"/>
  <c r="D4592" i="146"/>
  <c r="A4592" i="146"/>
  <c r="D4591" i="146"/>
  <c r="A4591" i="146"/>
  <c r="D4590" i="146"/>
  <c r="A4590" i="146"/>
  <c r="D4589" i="146"/>
  <c r="A4589" i="146"/>
  <c r="D4588" i="146"/>
  <c r="A4588" i="146"/>
  <c r="D4587" i="146"/>
  <c r="A4587" i="146"/>
  <c r="D4586" i="146"/>
  <c r="A4586" i="146"/>
  <c r="D4585" i="146"/>
  <c r="A4585" i="146"/>
  <c r="D4584" i="146"/>
  <c r="A4584" i="146"/>
  <c r="D4583" i="146"/>
  <c r="A4583" i="146"/>
  <c r="D4582" i="146"/>
  <c r="A4582" i="146"/>
  <c r="D4581" i="146"/>
  <c r="A4581" i="146"/>
  <c r="D4580" i="146"/>
  <c r="A4580" i="146"/>
  <c r="D4579" i="146"/>
  <c r="A4579" i="146"/>
  <c r="D4578" i="146"/>
  <c r="A4578" i="146"/>
  <c r="D4577" i="146"/>
  <c r="A4577" i="146"/>
  <c r="D4576" i="146"/>
  <c r="A4576" i="146"/>
  <c r="D4575" i="146"/>
  <c r="A4575" i="146"/>
  <c r="D4574" i="146"/>
  <c r="A4574" i="146"/>
  <c r="D4573" i="146"/>
  <c r="A4573" i="146"/>
  <c r="D4572" i="146"/>
  <c r="A4572" i="146"/>
  <c r="D4571" i="146"/>
  <c r="A4571" i="146"/>
  <c r="D4570" i="146"/>
  <c r="A4570" i="146"/>
  <c r="D4569" i="146"/>
  <c r="A4569" i="146"/>
  <c r="D4568" i="146"/>
  <c r="A4568" i="146"/>
  <c r="D4567" i="146"/>
  <c r="A4567" i="146"/>
  <c r="D4566" i="146"/>
  <c r="A4566" i="146"/>
  <c r="D4565" i="146"/>
  <c r="A4565" i="146"/>
  <c r="D4564" i="146"/>
  <c r="A4564" i="146"/>
  <c r="D4563" i="146"/>
  <c r="A4563" i="146"/>
  <c r="D4562" i="146"/>
  <c r="A4562" i="146"/>
  <c r="D4561" i="146"/>
  <c r="A4561" i="146"/>
  <c r="D4560" i="146"/>
  <c r="A4560" i="146"/>
  <c r="D4559" i="146"/>
  <c r="A4559" i="146"/>
  <c r="D4558" i="146"/>
  <c r="A4558" i="146"/>
  <c r="D4557" i="146"/>
  <c r="A4557" i="146"/>
  <c r="D4556" i="146"/>
  <c r="A4556" i="146"/>
  <c r="D4555" i="146"/>
  <c r="A4555" i="146"/>
  <c r="D4554" i="146"/>
  <c r="A4554" i="146"/>
  <c r="D4553" i="146"/>
  <c r="A4553" i="146"/>
  <c r="D4552" i="146"/>
  <c r="A4552" i="146"/>
  <c r="D4551" i="146"/>
  <c r="A4551" i="146"/>
  <c r="D4550" i="146"/>
  <c r="A4550" i="146"/>
  <c r="D4549" i="146"/>
  <c r="A4549" i="146"/>
  <c r="D4548" i="146"/>
  <c r="A4548" i="146"/>
  <c r="D4547" i="146"/>
  <c r="A4547" i="146"/>
  <c r="D4546" i="146"/>
  <c r="A4546" i="146"/>
  <c r="D4545" i="146"/>
  <c r="A4545" i="146"/>
  <c r="D4544" i="146"/>
  <c r="A4544" i="146"/>
  <c r="D4543" i="146"/>
  <c r="A4543" i="146"/>
  <c r="D4542" i="146"/>
  <c r="A4542" i="146"/>
  <c r="D4541" i="146"/>
  <c r="A4541" i="146"/>
  <c r="D4540" i="146"/>
  <c r="A4540" i="146"/>
  <c r="D4539" i="146"/>
  <c r="A4539" i="146"/>
  <c r="D4538" i="146"/>
  <c r="A4538" i="146"/>
  <c r="D4537" i="146"/>
  <c r="A4537" i="146"/>
  <c r="D4536" i="146"/>
  <c r="A4536" i="146"/>
  <c r="D4535" i="146"/>
  <c r="A4535" i="146"/>
  <c r="D4534" i="146"/>
  <c r="A4534" i="146"/>
  <c r="D4533" i="146"/>
  <c r="A4533" i="146"/>
  <c r="D4532" i="146"/>
  <c r="A4532" i="146"/>
  <c r="D4531" i="146"/>
  <c r="A4531" i="146"/>
  <c r="D4530" i="146"/>
  <c r="A4530" i="146"/>
  <c r="D4529" i="146"/>
  <c r="A4529" i="146"/>
  <c r="D4528" i="146"/>
  <c r="A4528" i="146"/>
  <c r="D4527" i="146"/>
  <c r="A4527" i="146"/>
  <c r="D4526" i="146"/>
  <c r="A4526" i="146"/>
  <c r="D4525" i="146"/>
  <c r="A4525" i="146"/>
  <c r="D4524" i="146"/>
  <c r="A4524" i="146"/>
  <c r="D4523" i="146"/>
  <c r="A4523" i="146"/>
  <c r="D4522" i="146"/>
  <c r="A4522" i="146"/>
  <c r="D4521" i="146"/>
  <c r="A4521" i="146"/>
  <c r="D4520" i="146"/>
  <c r="A4520" i="146"/>
  <c r="D4519" i="146"/>
  <c r="A4519" i="146"/>
  <c r="D4518" i="146"/>
  <c r="A4518" i="146"/>
  <c r="D4517" i="146"/>
  <c r="A4517" i="146"/>
  <c r="D4516" i="146"/>
  <c r="A4516" i="146"/>
  <c r="D4515" i="146"/>
  <c r="A4515" i="146"/>
  <c r="D4514" i="146"/>
  <c r="A4514" i="146"/>
  <c r="D4513" i="146"/>
  <c r="A4513" i="146"/>
  <c r="D4512" i="146"/>
  <c r="A4512" i="146"/>
  <c r="D4511" i="146"/>
  <c r="A4511" i="146"/>
  <c r="D4510" i="146"/>
  <c r="A4510" i="146"/>
  <c r="D4509" i="146"/>
  <c r="A4509" i="146"/>
  <c r="D4508" i="146"/>
  <c r="A4508" i="146"/>
  <c r="D4507" i="146"/>
  <c r="A4507" i="146"/>
  <c r="D4506" i="146"/>
  <c r="A4506" i="146"/>
  <c r="D4505" i="146"/>
  <c r="A4505" i="146"/>
  <c r="D4504" i="146"/>
  <c r="A4504" i="146"/>
  <c r="D4503" i="146"/>
  <c r="A4503" i="146"/>
  <c r="D4502" i="146"/>
  <c r="A4502" i="146"/>
  <c r="D4501" i="146"/>
  <c r="A4501" i="146"/>
  <c r="D4500" i="146"/>
  <c r="A4500" i="146"/>
  <c r="D4499" i="146"/>
  <c r="A4499" i="146"/>
  <c r="D4498" i="146"/>
  <c r="A4498" i="146"/>
  <c r="D4497" i="146"/>
  <c r="A4497" i="146"/>
  <c r="D4496" i="146"/>
  <c r="A4496" i="146"/>
  <c r="D4495" i="146"/>
  <c r="A4495" i="146"/>
  <c r="D4494" i="146"/>
  <c r="A4494" i="146"/>
  <c r="D4493" i="146"/>
  <c r="A4493" i="146"/>
  <c r="D4492" i="146"/>
  <c r="A4492" i="146"/>
  <c r="D4491" i="146"/>
  <c r="A4491" i="146"/>
  <c r="D4490" i="146"/>
  <c r="A4490" i="146"/>
  <c r="D4489" i="146"/>
  <c r="A4489" i="146"/>
  <c r="D4488" i="146"/>
  <c r="A4488" i="146"/>
  <c r="D4487" i="146"/>
  <c r="A4487" i="146"/>
  <c r="D4486" i="146"/>
  <c r="A4486" i="146"/>
  <c r="D4485" i="146"/>
  <c r="A4485" i="146"/>
  <c r="D4484" i="146"/>
  <c r="A4484" i="146"/>
  <c r="D4483" i="146"/>
  <c r="A4483" i="146"/>
  <c r="D4482" i="146"/>
  <c r="A4482" i="146"/>
  <c r="D4481" i="146"/>
  <c r="A4481" i="146"/>
  <c r="D4480" i="146"/>
  <c r="A4480" i="146"/>
  <c r="D4479" i="146"/>
  <c r="A4479" i="146"/>
  <c r="D4478" i="146"/>
  <c r="A4478" i="146"/>
  <c r="D4477" i="146"/>
  <c r="A4477" i="146"/>
  <c r="D4476" i="146"/>
  <c r="A4476" i="146"/>
  <c r="D4475" i="146"/>
  <c r="A4475" i="146"/>
  <c r="D4474" i="146"/>
  <c r="A4474" i="146"/>
  <c r="D4473" i="146"/>
  <c r="A4473" i="146"/>
  <c r="D4472" i="146"/>
  <c r="A4472" i="146"/>
  <c r="D4471" i="146"/>
  <c r="A4471" i="146"/>
  <c r="D4470" i="146"/>
  <c r="A4470" i="146"/>
  <c r="D4469" i="146"/>
  <c r="A4469" i="146"/>
  <c r="D4468" i="146"/>
  <c r="A4468" i="146"/>
  <c r="D4467" i="146"/>
  <c r="A4467" i="146"/>
  <c r="D4466" i="146"/>
  <c r="A4466" i="146"/>
  <c r="D4465" i="146"/>
  <c r="A4465" i="146"/>
  <c r="D4464" i="146"/>
  <c r="A4464" i="146"/>
  <c r="D4463" i="146"/>
  <c r="A4463" i="146"/>
  <c r="D4462" i="146"/>
  <c r="A4462" i="146"/>
  <c r="D4461" i="146"/>
  <c r="A4461" i="146"/>
  <c r="D4460" i="146"/>
  <c r="A4460" i="146"/>
  <c r="D4459" i="146"/>
  <c r="A4459" i="146"/>
  <c r="D4458" i="146"/>
  <c r="A4458" i="146"/>
  <c r="D4457" i="146"/>
  <c r="A4457" i="146"/>
  <c r="D4456" i="146"/>
  <c r="A4456" i="146"/>
  <c r="D4455" i="146"/>
  <c r="A4455" i="146"/>
  <c r="D4454" i="146"/>
  <c r="A4454" i="146"/>
  <c r="D4453" i="146"/>
  <c r="A4453" i="146"/>
  <c r="D4452" i="146"/>
  <c r="A4452" i="146"/>
  <c r="D4451" i="146"/>
  <c r="A4451" i="146"/>
  <c r="D4450" i="146"/>
  <c r="A4450" i="146"/>
  <c r="D4449" i="146"/>
  <c r="A4449" i="146"/>
  <c r="D4448" i="146"/>
  <c r="A4448" i="146"/>
  <c r="D4447" i="146"/>
  <c r="A4447" i="146"/>
  <c r="D4446" i="146"/>
  <c r="A4446" i="146"/>
  <c r="D4445" i="146"/>
  <c r="A4445" i="146"/>
  <c r="D4444" i="146"/>
  <c r="A4444" i="146"/>
  <c r="D4443" i="146"/>
  <c r="A4443" i="146"/>
  <c r="D4442" i="146"/>
  <c r="A4442" i="146"/>
  <c r="D4441" i="146"/>
  <c r="A4441" i="146"/>
  <c r="D4440" i="146"/>
  <c r="A4440" i="146"/>
  <c r="D4439" i="146"/>
  <c r="A4439" i="146"/>
  <c r="D4438" i="146"/>
  <c r="A4438" i="146"/>
  <c r="D4437" i="146"/>
  <c r="A4437" i="146"/>
  <c r="D4436" i="146"/>
  <c r="A4436" i="146"/>
  <c r="D4435" i="146"/>
  <c r="A4435" i="146"/>
  <c r="D4434" i="146"/>
  <c r="A4434" i="146"/>
  <c r="D4433" i="146"/>
  <c r="A4433" i="146"/>
  <c r="D4432" i="146"/>
  <c r="A4432" i="146"/>
  <c r="D4431" i="146"/>
  <c r="A4431" i="146"/>
  <c r="D4430" i="146"/>
  <c r="A4430" i="146"/>
  <c r="D4429" i="146"/>
  <c r="A4429" i="146"/>
  <c r="D4428" i="146"/>
  <c r="A4428" i="146"/>
  <c r="D4427" i="146"/>
  <c r="A4427" i="146"/>
  <c r="D4426" i="146"/>
  <c r="A4426" i="146"/>
  <c r="D4425" i="146"/>
  <c r="A4425" i="146"/>
  <c r="D4424" i="146"/>
  <c r="A4424" i="146"/>
  <c r="D4423" i="146"/>
  <c r="A4423" i="146"/>
  <c r="D4422" i="146"/>
  <c r="A4422" i="146"/>
  <c r="D4421" i="146"/>
  <c r="A4421" i="146"/>
  <c r="D4420" i="146"/>
  <c r="A4420" i="146"/>
  <c r="D4419" i="146"/>
  <c r="A4419" i="146"/>
  <c r="D4418" i="146"/>
  <c r="A4418" i="146"/>
  <c r="D4417" i="146"/>
  <c r="A4417" i="146"/>
  <c r="D4416" i="146"/>
  <c r="A4416" i="146"/>
  <c r="D4415" i="146"/>
  <c r="A4415" i="146"/>
  <c r="D4414" i="146"/>
  <c r="A4414" i="146"/>
  <c r="D4413" i="146"/>
  <c r="A4413" i="146"/>
  <c r="D4412" i="146"/>
  <c r="A4412" i="146"/>
  <c r="D4411" i="146"/>
  <c r="A4411" i="146"/>
  <c r="D4410" i="146"/>
  <c r="A4410" i="146"/>
  <c r="D4409" i="146"/>
  <c r="A4409" i="146"/>
  <c r="D4408" i="146"/>
  <c r="A4408" i="146"/>
  <c r="D4407" i="146"/>
  <c r="A4407" i="146"/>
  <c r="D4406" i="146"/>
  <c r="A4406" i="146"/>
  <c r="D4405" i="146"/>
  <c r="A4405" i="146"/>
  <c r="D4404" i="146"/>
  <c r="A4404" i="146"/>
  <c r="D4403" i="146"/>
  <c r="A4403" i="146"/>
  <c r="D4402" i="146"/>
  <c r="A4402" i="146"/>
  <c r="D4401" i="146"/>
  <c r="A4401" i="146"/>
  <c r="D4400" i="146"/>
  <c r="A4400" i="146"/>
  <c r="D4399" i="146"/>
  <c r="A4399" i="146"/>
  <c r="D4398" i="146"/>
  <c r="A4398" i="146"/>
  <c r="D4397" i="146"/>
  <c r="A4397" i="146"/>
  <c r="D4396" i="146"/>
  <c r="A4396" i="146"/>
  <c r="D4395" i="146"/>
  <c r="A4395" i="146"/>
  <c r="D4394" i="146"/>
  <c r="A4394" i="146"/>
  <c r="D4393" i="146"/>
  <c r="A4393" i="146"/>
  <c r="D4392" i="146"/>
  <c r="A4392" i="146"/>
  <c r="D4391" i="146"/>
  <c r="A4391" i="146"/>
  <c r="D4390" i="146"/>
  <c r="A4390" i="146"/>
  <c r="D4389" i="146"/>
  <c r="A4389" i="146"/>
  <c r="D4388" i="146"/>
  <c r="A4388" i="146"/>
  <c r="D4387" i="146"/>
  <c r="A4387" i="146"/>
  <c r="D4386" i="146"/>
  <c r="A4386" i="146"/>
  <c r="D4385" i="146"/>
  <c r="A4385" i="146"/>
  <c r="D4384" i="146"/>
  <c r="A4384" i="146"/>
  <c r="D4383" i="146"/>
  <c r="A4383" i="146"/>
  <c r="D4382" i="146"/>
  <c r="A4382" i="146"/>
  <c r="D4381" i="146"/>
  <c r="A4381" i="146"/>
  <c r="D4380" i="146"/>
  <c r="A4380" i="146"/>
  <c r="D4379" i="146"/>
  <c r="A4379" i="146"/>
  <c r="D4378" i="146"/>
  <c r="A4378" i="146"/>
  <c r="D4377" i="146"/>
  <c r="A4377" i="146"/>
  <c r="D4376" i="146"/>
  <c r="A4376" i="146"/>
  <c r="D4375" i="146"/>
  <c r="A4375" i="146"/>
  <c r="D4374" i="146"/>
  <c r="A4374" i="146"/>
  <c r="D4373" i="146"/>
  <c r="A4373" i="146"/>
  <c r="D4372" i="146"/>
  <c r="A4372" i="146"/>
  <c r="D4371" i="146"/>
  <c r="A4371" i="146"/>
  <c r="D4370" i="146"/>
  <c r="A4370" i="146"/>
  <c r="D4369" i="146"/>
  <c r="A4369" i="146"/>
  <c r="D4368" i="146"/>
  <c r="A4368" i="146"/>
  <c r="D4367" i="146"/>
  <c r="A4367" i="146"/>
  <c r="D4366" i="146"/>
  <c r="A4366" i="146"/>
  <c r="D4365" i="146"/>
  <c r="A4365" i="146"/>
  <c r="D4364" i="146"/>
  <c r="A4364" i="146"/>
  <c r="D4363" i="146"/>
  <c r="A4363" i="146"/>
  <c r="D4362" i="146"/>
  <c r="A4362" i="146"/>
  <c r="D4361" i="146"/>
  <c r="A4361" i="146"/>
  <c r="D4360" i="146"/>
  <c r="A4360" i="146"/>
  <c r="D4359" i="146"/>
  <c r="A4359" i="146"/>
  <c r="D4358" i="146"/>
  <c r="A4358" i="146"/>
  <c r="D4357" i="146"/>
  <c r="A4357" i="146"/>
  <c r="D4356" i="146"/>
  <c r="A4356" i="146"/>
  <c r="D4355" i="146"/>
  <c r="A4355" i="146"/>
  <c r="D4354" i="146"/>
  <c r="A4354" i="146"/>
  <c r="D4353" i="146"/>
  <c r="A4353" i="146"/>
  <c r="D4352" i="146"/>
  <c r="A4352" i="146"/>
  <c r="D4351" i="146"/>
  <c r="A4351" i="146"/>
  <c r="D4350" i="146"/>
  <c r="A4350" i="146"/>
  <c r="D4349" i="146"/>
  <c r="A4349" i="146"/>
  <c r="D4348" i="146"/>
  <c r="A4348" i="146"/>
  <c r="D4347" i="146"/>
  <c r="A4347" i="146"/>
  <c r="D4346" i="146"/>
  <c r="A4346" i="146"/>
  <c r="D4345" i="146"/>
  <c r="A4345" i="146"/>
  <c r="D4344" i="146"/>
  <c r="A4344" i="146"/>
  <c r="D4343" i="146"/>
  <c r="A4343" i="146"/>
  <c r="D4342" i="146"/>
  <c r="A4342" i="146"/>
  <c r="D4341" i="146"/>
  <c r="A4341" i="146"/>
  <c r="D4340" i="146"/>
  <c r="A4340" i="146"/>
  <c r="D4339" i="146"/>
  <c r="A4339" i="146"/>
  <c r="D4338" i="146"/>
  <c r="A4338" i="146"/>
  <c r="D4337" i="146"/>
  <c r="A4337" i="146"/>
  <c r="D4336" i="146"/>
  <c r="A4336" i="146"/>
  <c r="D4335" i="146"/>
  <c r="A4335" i="146"/>
  <c r="D4334" i="146"/>
  <c r="A4334" i="146"/>
  <c r="D4333" i="146"/>
  <c r="A4333" i="146"/>
  <c r="D4332" i="146"/>
  <c r="A4332" i="146"/>
  <c r="D4331" i="146"/>
  <c r="A4331" i="146"/>
  <c r="D4330" i="146"/>
  <c r="A4330" i="146"/>
  <c r="D4329" i="146"/>
  <c r="A4329" i="146"/>
  <c r="D4328" i="146"/>
  <c r="A4328" i="146"/>
  <c r="D4327" i="146"/>
  <c r="A4327" i="146"/>
  <c r="D4326" i="146"/>
  <c r="A4326" i="146"/>
  <c r="D4325" i="146"/>
  <c r="A4325" i="146"/>
  <c r="D4324" i="146"/>
  <c r="A4324" i="146"/>
  <c r="D4323" i="146"/>
  <c r="A4323" i="146"/>
  <c r="D4322" i="146"/>
  <c r="A4322" i="146"/>
  <c r="D4321" i="146"/>
  <c r="A4321" i="146"/>
  <c r="D4320" i="146"/>
  <c r="A4320" i="146"/>
  <c r="D4319" i="146"/>
  <c r="A4319" i="146"/>
  <c r="D4318" i="146"/>
  <c r="A4318" i="146"/>
  <c r="D4317" i="146"/>
  <c r="A4317" i="146"/>
  <c r="D4316" i="146"/>
  <c r="A4316" i="146"/>
  <c r="D4315" i="146"/>
  <c r="A4315" i="146"/>
  <c r="D4314" i="146"/>
  <c r="A4314" i="146"/>
  <c r="D4313" i="146"/>
  <c r="A4313" i="146"/>
  <c r="D4312" i="146"/>
  <c r="A4312" i="146"/>
  <c r="D4311" i="146"/>
  <c r="A4311" i="146"/>
  <c r="D4310" i="146"/>
  <c r="A4310" i="146"/>
  <c r="D4309" i="146"/>
  <c r="A4309" i="146"/>
  <c r="D4308" i="146"/>
  <c r="A4308" i="146"/>
  <c r="D4307" i="146"/>
  <c r="A4307" i="146"/>
  <c r="D4306" i="146"/>
  <c r="A4306" i="146"/>
  <c r="D4305" i="146"/>
  <c r="A4305" i="146"/>
  <c r="D4304" i="146"/>
  <c r="A4304" i="146"/>
  <c r="D4303" i="146"/>
  <c r="A4303" i="146"/>
  <c r="D4302" i="146"/>
  <c r="A4302" i="146"/>
  <c r="D4301" i="146"/>
  <c r="A4301" i="146"/>
  <c r="D4300" i="146"/>
  <c r="A4300" i="146"/>
  <c r="D4299" i="146"/>
  <c r="A4299" i="146"/>
  <c r="D4298" i="146"/>
  <c r="A4298" i="146"/>
  <c r="D4297" i="146"/>
  <c r="A4297" i="146"/>
  <c r="D4296" i="146"/>
  <c r="A4296" i="146"/>
  <c r="D4295" i="146"/>
  <c r="A4295" i="146"/>
  <c r="D4294" i="146"/>
  <c r="A4294" i="146"/>
  <c r="D4293" i="146"/>
  <c r="A4293" i="146"/>
  <c r="D4292" i="146"/>
  <c r="A4292" i="146"/>
  <c r="D4291" i="146"/>
  <c r="A4291" i="146"/>
  <c r="D4290" i="146"/>
  <c r="A4290" i="146"/>
  <c r="D4289" i="146"/>
  <c r="A4289" i="146"/>
  <c r="D4288" i="146"/>
  <c r="A4288" i="146"/>
  <c r="D4287" i="146"/>
  <c r="A4287" i="146"/>
  <c r="D4286" i="146"/>
  <c r="A4286" i="146"/>
  <c r="D4285" i="146"/>
  <c r="A4285" i="146"/>
  <c r="D4284" i="146"/>
  <c r="A4284" i="146"/>
  <c r="D4283" i="146"/>
  <c r="A4283" i="146"/>
  <c r="D4282" i="146"/>
  <c r="A4282" i="146"/>
  <c r="D4281" i="146"/>
  <c r="A4281" i="146"/>
  <c r="D4280" i="146"/>
  <c r="A4280" i="146"/>
  <c r="D4279" i="146"/>
  <c r="A4279" i="146"/>
  <c r="D4278" i="146"/>
  <c r="A4278" i="146"/>
  <c r="D4277" i="146"/>
  <c r="A4277" i="146"/>
  <c r="D4276" i="146"/>
  <c r="A4276" i="146"/>
  <c r="D4275" i="146"/>
  <c r="A4275" i="146"/>
  <c r="D4274" i="146"/>
  <c r="A4274" i="146"/>
  <c r="D4273" i="146"/>
  <c r="A4273" i="146"/>
  <c r="D4272" i="146"/>
  <c r="A4272" i="146"/>
  <c r="D4271" i="146"/>
  <c r="A4271" i="146"/>
  <c r="D4270" i="146"/>
  <c r="A4270" i="146"/>
  <c r="D4269" i="146"/>
  <c r="A4269" i="146"/>
  <c r="D4268" i="146"/>
  <c r="A4268" i="146"/>
  <c r="D4267" i="146"/>
  <c r="A4267" i="146"/>
  <c r="D4266" i="146"/>
  <c r="A4266" i="146"/>
  <c r="D4265" i="146"/>
  <c r="A4265" i="146"/>
  <c r="D4264" i="146"/>
  <c r="A4264" i="146"/>
  <c r="D4263" i="146"/>
  <c r="A4263" i="146"/>
  <c r="D4262" i="146"/>
  <c r="A4262" i="146"/>
  <c r="D4261" i="146"/>
  <c r="A4261" i="146"/>
  <c r="D4260" i="146"/>
  <c r="A4260" i="146"/>
  <c r="D4259" i="146"/>
  <c r="A4259" i="146"/>
  <c r="D4258" i="146"/>
  <c r="A4258" i="146"/>
  <c r="D4257" i="146"/>
  <c r="A4257" i="146"/>
  <c r="D4256" i="146"/>
  <c r="A4256" i="146"/>
  <c r="D4255" i="146"/>
  <c r="A4255" i="146"/>
  <c r="D4254" i="146"/>
  <c r="A4254" i="146"/>
  <c r="D4253" i="146"/>
  <c r="A4253" i="146"/>
  <c r="D4252" i="146"/>
  <c r="A4252" i="146"/>
  <c r="D4251" i="146"/>
  <c r="A4251" i="146"/>
  <c r="D4250" i="146"/>
  <c r="A4250" i="146"/>
  <c r="D4249" i="146"/>
  <c r="A4249" i="146"/>
  <c r="D4248" i="146"/>
  <c r="A4248" i="146"/>
  <c r="D4247" i="146"/>
  <c r="A4247" i="146"/>
  <c r="D4246" i="146"/>
  <c r="A4246" i="146"/>
  <c r="D4245" i="146"/>
  <c r="A4245" i="146"/>
  <c r="D4244" i="146"/>
  <c r="A4244" i="146"/>
  <c r="D4243" i="146"/>
  <c r="A4243" i="146"/>
  <c r="D4242" i="146"/>
  <c r="A4242" i="146"/>
  <c r="D4241" i="146"/>
  <c r="A4241" i="146"/>
  <c r="D4240" i="146"/>
  <c r="A4240" i="146"/>
  <c r="D4239" i="146"/>
  <c r="A4239" i="146"/>
  <c r="D4238" i="146"/>
  <c r="A4238" i="146"/>
  <c r="D4237" i="146"/>
  <c r="A4237" i="146"/>
  <c r="D4236" i="146"/>
  <c r="A4236" i="146"/>
  <c r="D4235" i="146"/>
  <c r="A4235" i="146"/>
  <c r="D4234" i="146"/>
  <c r="A4234" i="146"/>
  <c r="D4233" i="146"/>
  <c r="A4233" i="146"/>
  <c r="D4232" i="146"/>
  <c r="A4232" i="146"/>
  <c r="D4231" i="146"/>
  <c r="A4231" i="146"/>
  <c r="D4230" i="146"/>
  <c r="A4230" i="146"/>
  <c r="D4229" i="146"/>
  <c r="A4229" i="146"/>
  <c r="D4228" i="146"/>
  <c r="A4228" i="146"/>
  <c r="D4227" i="146"/>
  <c r="A4227" i="146"/>
  <c r="D4226" i="146"/>
  <c r="A4226" i="146"/>
  <c r="D4225" i="146"/>
  <c r="A4225" i="146"/>
  <c r="D4224" i="146"/>
  <c r="A4224" i="146"/>
  <c r="D4223" i="146"/>
  <c r="A4223" i="146"/>
  <c r="D4222" i="146"/>
  <c r="A4222" i="146"/>
  <c r="D4221" i="146"/>
  <c r="A4221" i="146"/>
  <c r="D4220" i="146"/>
  <c r="A4220" i="146"/>
  <c r="D4219" i="146"/>
  <c r="A4219" i="146"/>
  <c r="D4218" i="146"/>
  <c r="A4218" i="146"/>
  <c r="D4217" i="146"/>
  <c r="A4217" i="146"/>
  <c r="D4216" i="146"/>
  <c r="A4216" i="146"/>
  <c r="D4215" i="146"/>
  <c r="A4215" i="146"/>
  <c r="D4214" i="146"/>
  <c r="A4214" i="146"/>
  <c r="D4213" i="146"/>
  <c r="A4213" i="146"/>
  <c r="D4212" i="146"/>
  <c r="A4212" i="146"/>
  <c r="D4211" i="146"/>
  <c r="A4211" i="146"/>
  <c r="D4210" i="146"/>
  <c r="A4210" i="146"/>
  <c r="D4209" i="146"/>
  <c r="A4209" i="146"/>
  <c r="D4208" i="146"/>
  <c r="A4208" i="146"/>
  <c r="D4207" i="146"/>
  <c r="A4207" i="146"/>
  <c r="D4206" i="146"/>
  <c r="A4206" i="146"/>
  <c r="D4205" i="146"/>
  <c r="A4205" i="146"/>
  <c r="D4204" i="146"/>
  <c r="A4204" i="146"/>
  <c r="D4203" i="146"/>
  <c r="A4203" i="146"/>
  <c r="D4202" i="146"/>
  <c r="A4202" i="146"/>
  <c r="D4201" i="146"/>
  <c r="A4201" i="146"/>
  <c r="D4200" i="146"/>
  <c r="A4200" i="146"/>
  <c r="D4199" i="146"/>
  <c r="A4199" i="146"/>
  <c r="D4198" i="146"/>
  <c r="A4198" i="146"/>
  <c r="D4197" i="146"/>
  <c r="A4197" i="146"/>
  <c r="D4196" i="146"/>
  <c r="A4196" i="146"/>
  <c r="D4195" i="146"/>
  <c r="A4195" i="146"/>
  <c r="D4194" i="146"/>
  <c r="A4194" i="146"/>
  <c r="D4193" i="146"/>
  <c r="A4193" i="146"/>
  <c r="D4192" i="146"/>
  <c r="A4192" i="146"/>
  <c r="D4191" i="146"/>
  <c r="A4191" i="146"/>
  <c r="D4190" i="146"/>
  <c r="A4190" i="146"/>
  <c r="D4189" i="146"/>
  <c r="A4189" i="146"/>
  <c r="D4188" i="146"/>
  <c r="A4188" i="146"/>
  <c r="D4187" i="146"/>
  <c r="A4187" i="146"/>
  <c r="D4186" i="146"/>
  <c r="A4186" i="146"/>
  <c r="D4185" i="146"/>
  <c r="A4185" i="146"/>
  <c r="D4184" i="146"/>
  <c r="A4184" i="146"/>
  <c r="D4183" i="146"/>
  <c r="A4183" i="146"/>
  <c r="D4182" i="146"/>
  <c r="A4182" i="146"/>
  <c r="D4181" i="146"/>
  <c r="A4181" i="146"/>
  <c r="D4180" i="146"/>
  <c r="A4180" i="146"/>
  <c r="D4179" i="146"/>
  <c r="A4179" i="146"/>
  <c r="D4178" i="146"/>
  <c r="A4178" i="146"/>
  <c r="D4177" i="146"/>
  <c r="A4177" i="146"/>
  <c r="D4176" i="146"/>
  <c r="A4176" i="146"/>
  <c r="D4175" i="146"/>
  <c r="A4175" i="146"/>
  <c r="D4174" i="146"/>
  <c r="A4174" i="146"/>
  <c r="D4173" i="146"/>
  <c r="A4173" i="146"/>
  <c r="D4172" i="146"/>
  <c r="A4172" i="146"/>
  <c r="D4171" i="146"/>
  <c r="A4171" i="146"/>
  <c r="D4170" i="146"/>
  <c r="A4170" i="146"/>
  <c r="D4169" i="146"/>
  <c r="A4169" i="146"/>
  <c r="D4168" i="146"/>
  <c r="A4168" i="146"/>
  <c r="D4167" i="146"/>
  <c r="A4167" i="146"/>
  <c r="D4166" i="146"/>
  <c r="A4166" i="146"/>
  <c r="D4165" i="146"/>
  <c r="A4165" i="146"/>
  <c r="D4164" i="146"/>
  <c r="A4164" i="146"/>
  <c r="D4163" i="146"/>
  <c r="A4163" i="146"/>
  <c r="D4162" i="146"/>
  <c r="A4162" i="146"/>
  <c r="D4161" i="146"/>
  <c r="A4161" i="146"/>
  <c r="D4160" i="146"/>
  <c r="A4160" i="146"/>
  <c r="D4159" i="146"/>
  <c r="A4159" i="146"/>
  <c r="D4158" i="146"/>
  <c r="A4158" i="146"/>
  <c r="D4157" i="146"/>
  <c r="A4157" i="146"/>
  <c r="D4156" i="146"/>
  <c r="A4156" i="146"/>
  <c r="D4155" i="146"/>
  <c r="A4155" i="146"/>
  <c r="D4154" i="146"/>
  <c r="A4154" i="146"/>
  <c r="D4153" i="146"/>
  <c r="A4153" i="146"/>
  <c r="D4152" i="146"/>
  <c r="A4152" i="146"/>
  <c r="D4151" i="146"/>
  <c r="A4151" i="146"/>
  <c r="D4150" i="146"/>
  <c r="A4150" i="146"/>
  <c r="D4149" i="146"/>
  <c r="A4149" i="146"/>
  <c r="D4148" i="146"/>
  <c r="A4148" i="146"/>
  <c r="D4147" i="146"/>
  <c r="A4147" i="146"/>
  <c r="D4146" i="146"/>
  <c r="A4146" i="146"/>
  <c r="D4145" i="146"/>
  <c r="A4145" i="146"/>
  <c r="D4144" i="146"/>
  <c r="A4144" i="146"/>
  <c r="D4143" i="146"/>
  <c r="A4143" i="146"/>
  <c r="D4142" i="146"/>
  <c r="A4142" i="146"/>
  <c r="D4141" i="146"/>
  <c r="A4141" i="146"/>
  <c r="D4140" i="146"/>
  <c r="A4140" i="146"/>
  <c r="D4139" i="146"/>
  <c r="A4139" i="146"/>
  <c r="D4138" i="146"/>
  <c r="A4138" i="146"/>
  <c r="D4137" i="146"/>
  <c r="A4137" i="146"/>
  <c r="D4136" i="146"/>
  <c r="A4136" i="146"/>
  <c r="D4135" i="146"/>
  <c r="A4135" i="146"/>
  <c r="D4134" i="146"/>
  <c r="A4134" i="146"/>
  <c r="D4133" i="146"/>
  <c r="A4133" i="146"/>
  <c r="D4132" i="146"/>
  <c r="A4132" i="146"/>
  <c r="D4131" i="146"/>
  <c r="A4131" i="146"/>
  <c r="D4130" i="146"/>
  <c r="A4130" i="146"/>
  <c r="D4129" i="146"/>
  <c r="A4129" i="146"/>
  <c r="D4128" i="146"/>
  <c r="A4128" i="146"/>
  <c r="D4127" i="146"/>
  <c r="A4127" i="146"/>
  <c r="D4126" i="146"/>
  <c r="A4126" i="146"/>
  <c r="D4125" i="146"/>
  <c r="A4125" i="146"/>
  <c r="D4124" i="146"/>
  <c r="A4124" i="146"/>
  <c r="D4123" i="146"/>
  <c r="A4123" i="146"/>
  <c r="D4122" i="146"/>
  <c r="A4122" i="146"/>
  <c r="D4121" i="146"/>
  <c r="A4121" i="146"/>
  <c r="D4120" i="146"/>
  <c r="A4120" i="146"/>
  <c r="D4119" i="146"/>
  <c r="A4119" i="146"/>
  <c r="D4118" i="146"/>
  <c r="A4118" i="146"/>
  <c r="D4117" i="146"/>
  <c r="A4117" i="146"/>
  <c r="D4116" i="146"/>
  <c r="A4116" i="146"/>
  <c r="D4115" i="146"/>
  <c r="A4115" i="146"/>
  <c r="D4114" i="146"/>
  <c r="A4114" i="146"/>
  <c r="D4113" i="146"/>
  <c r="A4113" i="146"/>
  <c r="D4112" i="146"/>
  <c r="A4112" i="146"/>
  <c r="D4111" i="146"/>
  <c r="A4111" i="146"/>
  <c r="D4110" i="146"/>
  <c r="A4110" i="146"/>
  <c r="D4109" i="146"/>
  <c r="A4109" i="146"/>
  <c r="D4108" i="146"/>
  <c r="A4108" i="146"/>
  <c r="D4107" i="146"/>
  <c r="A4107" i="146"/>
  <c r="D4106" i="146"/>
  <c r="A4106" i="146"/>
  <c r="D4105" i="146"/>
  <c r="A4105" i="146"/>
  <c r="D4104" i="146"/>
  <c r="A4104" i="146"/>
  <c r="D4103" i="146"/>
  <c r="A4103" i="146"/>
  <c r="D4102" i="146"/>
  <c r="A4102" i="146"/>
  <c r="D4101" i="146"/>
  <c r="A4101" i="146"/>
  <c r="D4100" i="146"/>
  <c r="A4100" i="146"/>
  <c r="D4099" i="146"/>
  <c r="A4099" i="146"/>
  <c r="D4098" i="146"/>
  <c r="A4098" i="146"/>
  <c r="D4097" i="146"/>
  <c r="A4097" i="146"/>
  <c r="D4096" i="146"/>
  <c r="A4096" i="146"/>
  <c r="D4095" i="146"/>
  <c r="A4095" i="146"/>
  <c r="D4094" i="146"/>
  <c r="A4094" i="146"/>
  <c r="D4093" i="146"/>
  <c r="A4093" i="146"/>
  <c r="D4092" i="146"/>
  <c r="A4092" i="146"/>
  <c r="D4091" i="146"/>
  <c r="A4091" i="146"/>
  <c r="D4090" i="146"/>
  <c r="A4090" i="146"/>
  <c r="D4089" i="146"/>
  <c r="A4089" i="146"/>
  <c r="D4088" i="146"/>
  <c r="A4088" i="146"/>
  <c r="D4087" i="146"/>
  <c r="A4087" i="146"/>
  <c r="D4086" i="146"/>
  <c r="A4086" i="146"/>
  <c r="D4085" i="146"/>
  <c r="A4085" i="146"/>
  <c r="D4084" i="146"/>
  <c r="A4084" i="146"/>
  <c r="D4083" i="146"/>
  <c r="A4083" i="146"/>
  <c r="D4082" i="146"/>
  <c r="A4082" i="146"/>
  <c r="D4081" i="146"/>
  <c r="A4081" i="146"/>
  <c r="D4080" i="146"/>
  <c r="A4080" i="146"/>
  <c r="D4079" i="146"/>
  <c r="A4079" i="146"/>
  <c r="D4078" i="146"/>
  <c r="A4078" i="146"/>
  <c r="D4077" i="146"/>
  <c r="A4077" i="146"/>
  <c r="D4076" i="146"/>
  <c r="A4076" i="146"/>
  <c r="D4075" i="146"/>
  <c r="A4075" i="146"/>
  <c r="D4074" i="146"/>
  <c r="A4074" i="146"/>
  <c r="D4073" i="146"/>
  <c r="A4073" i="146"/>
  <c r="D4072" i="146"/>
  <c r="A4072" i="146"/>
  <c r="D4071" i="146"/>
  <c r="A4071" i="146"/>
  <c r="D4070" i="146"/>
  <c r="A4070" i="146"/>
  <c r="D4069" i="146"/>
  <c r="A4069" i="146"/>
  <c r="D4068" i="146"/>
  <c r="A4068" i="146"/>
  <c r="D4067" i="146"/>
  <c r="A4067" i="146"/>
  <c r="D4066" i="146"/>
  <c r="A4066" i="146"/>
  <c r="D4065" i="146"/>
  <c r="A4065" i="146"/>
  <c r="D4064" i="146"/>
  <c r="A4064" i="146"/>
  <c r="D4063" i="146"/>
  <c r="A4063" i="146"/>
  <c r="D4062" i="146"/>
  <c r="A4062" i="146"/>
  <c r="D4061" i="146"/>
  <c r="A4061" i="146"/>
  <c r="D4060" i="146"/>
  <c r="A4060" i="146"/>
  <c r="D4059" i="146"/>
  <c r="A4059" i="146"/>
  <c r="D4058" i="146"/>
  <c r="A4058" i="146"/>
  <c r="D4057" i="146"/>
  <c r="A4057" i="146"/>
  <c r="D4056" i="146"/>
  <c r="A4056" i="146"/>
  <c r="D4055" i="146"/>
  <c r="A4055" i="146"/>
  <c r="D4054" i="146"/>
  <c r="A4054" i="146"/>
  <c r="D4053" i="146"/>
  <c r="A4053" i="146"/>
  <c r="D4052" i="146"/>
  <c r="A4052" i="146"/>
  <c r="D4051" i="146"/>
  <c r="A4051" i="146"/>
  <c r="D4050" i="146"/>
  <c r="A4050" i="146"/>
  <c r="D4049" i="146"/>
  <c r="A4049" i="146"/>
  <c r="D4048" i="146"/>
  <c r="A4048" i="146"/>
  <c r="D4047" i="146"/>
  <c r="A4047" i="146"/>
  <c r="D4046" i="146"/>
  <c r="A4046" i="146"/>
  <c r="D4045" i="146"/>
  <c r="A4045" i="146"/>
  <c r="D4044" i="146"/>
  <c r="A4044" i="146"/>
  <c r="D4043" i="146"/>
  <c r="A4043" i="146"/>
  <c r="D4042" i="146"/>
  <c r="A4042" i="146"/>
  <c r="D4041" i="146"/>
  <c r="A4041" i="146"/>
  <c r="D4040" i="146"/>
  <c r="A4040" i="146"/>
  <c r="D4039" i="146"/>
  <c r="A4039" i="146"/>
  <c r="D4038" i="146"/>
  <c r="A4038" i="146"/>
  <c r="D4037" i="146"/>
  <c r="A4037" i="146"/>
  <c r="D4036" i="146"/>
  <c r="A4036" i="146"/>
  <c r="D4035" i="146"/>
  <c r="A4035" i="146"/>
  <c r="D4034" i="146"/>
  <c r="A4034" i="146"/>
  <c r="D4033" i="146"/>
  <c r="A4033" i="146"/>
  <c r="D4032" i="146"/>
  <c r="A4032" i="146"/>
  <c r="D4031" i="146"/>
  <c r="A4031" i="146"/>
  <c r="D4030" i="146"/>
  <c r="A4030" i="146"/>
  <c r="D4029" i="146"/>
  <c r="A4029" i="146"/>
  <c r="D4028" i="146"/>
  <c r="A4028" i="146"/>
  <c r="D4027" i="146"/>
  <c r="A4027" i="146"/>
  <c r="D4026" i="146"/>
  <c r="A4026" i="146"/>
  <c r="D4025" i="146"/>
  <c r="A4025" i="146"/>
  <c r="D4024" i="146"/>
  <c r="A4024" i="146"/>
  <c r="D4023" i="146"/>
  <c r="A4023" i="146"/>
  <c r="D4022" i="146"/>
  <c r="A4022" i="146"/>
  <c r="D4021" i="146"/>
  <c r="A4021" i="146"/>
  <c r="D4020" i="146"/>
  <c r="A4020" i="146"/>
  <c r="D4019" i="146"/>
  <c r="A4019" i="146"/>
  <c r="D4018" i="146"/>
  <c r="A4018" i="146"/>
  <c r="D4017" i="146"/>
  <c r="A4017" i="146"/>
  <c r="D4016" i="146"/>
  <c r="A4016" i="146"/>
  <c r="D4015" i="146"/>
  <c r="A4015" i="146"/>
  <c r="D4014" i="146"/>
  <c r="A4014" i="146"/>
  <c r="D4013" i="146"/>
  <c r="A4013" i="146"/>
  <c r="D4012" i="146"/>
  <c r="A4012" i="146"/>
  <c r="D4011" i="146"/>
  <c r="A4011" i="146"/>
  <c r="D4010" i="146"/>
  <c r="A4010" i="146"/>
  <c r="D4009" i="146"/>
  <c r="A4009" i="146"/>
  <c r="D4008" i="146"/>
  <c r="A4008" i="146"/>
  <c r="D4007" i="146"/>
  <c r="A4007" i="146"/>
  <c r="D4006" i="146"/>
  <c r="A4006" i="146"/>
  <c r="D4005" i="146"/>
  <c r="A4005" i="146"/>
  <c r="D4004" i="146"/>
  <c r="A4004" i="146"/>
  <c r="D4003" i="146"/>
  <c r="A4003" i="146"/>
  <c r="D4002" i="146"/>
  <c r="A4002" i="146"/>
  <c r="D4001" i="146"/>
  <c r="A4001" i="146"/>
  <c r="D4000" i="146"/>
  <c r="A4000" i="146"/>
  <c r="D3999" i="146"/>
  <c r="A3999" i="146"/>
  <c r="D3998" i="146"/>
  <c r="A3998" i="146"/>
  <c r="D3997" i="146"/>
  <c r="A3997" i="146"/>
  <c r="D3996" i="146"/>
  <c r="A3996" i="146"/>
  <c r="D3995" i="146"/>
  <c r="A3995" i="146"/>
  <c r="D3994" i="146"/>
  <c r="A3994" i="146"/>
  <c r="D3993" i="146"/>
  <c r="A3993" i="146"/>
  <c r="D3992" i="146"/>
  <c r="A3992" i="146"/>
  <c r="D3991" i="146"/>
  <c r="A3991" i="146"/>
  <c r="D3990" i="146"/>
  <c r="A3990" i="146"/>
  <c r="D3989" i="146"/>
  <c r="A3989" i="146"/>
  <c r="D3988" i="146"/>
  <c r="A3988" i="146"/>
  <c r="D3987" i="146"/>
  <c r="A3987" i="146"/>
  <c r="D3986" i="146"/>
  <c r="A3986" i="146"/>
  <c r="D3985" i="146"/>
  <c r="A3985" i="146"/>
  <c r="D3984" i="146"/>
  <c r="A3984" i="146"/>
  <c r="D3983" i="146"/>
  <c r="A3983" i="146"/>
  <c r="D3982" i="146"/>
  <c r="A3982" i="146"/>
  <c r="D3981" i="146"/>
  <c r="A3981" i="146"/>
  <c r="D3980" i="146"/>
  <c r="A3980" i="146"/>
  <c r="D3979" i="146"/>
  <c r="A3979" i="146"/>
  <c r="D3978" i="146"/>
  <c r="A3978" i="146"/>
  <c r="D3977" i="146"/>
  <c r="A3977" i="146"/>
  <c r="D3976" i="146"/>
  <c r="A3976" i="146"/>
  <c r="D3975" i="146"/>
  <c r="A3975" i="146"/>
  <c r="D3974" i="146"/>
  <c r="A3974" i="146"/>
  <c r="D3973" i="146"/>
  <c r="A3973" i="146"/>
  <c r="D3972" i="146"/>
  <c r="A3972" i="146"/>
  <c r="D3971" i="146"/>
  <c r="A3971" i="146"/>
  <c r="D3970" i="146"/>
  <c r="A3970" i="146"/>
  <c r="D3969" i="146"/>
  <c r="A3969" i="146"/>
  <c r="D3968" i="146"/>
  <c r="A3968" i="146"/>
  <c r="D3967" i="146"/>
  <c r="A3967" i="146"/>
  <c r="D3966" i="146"/>
  <c r="A3966" i="146"/>
  <c r="D3965" i="146"/>
  <c r="A3965" i="146"/>
  <c r="D3964" i="146"/>
  <c r="A3964" i="146"/>
  <c r="D3963" i="146"/>
  <c r="A3963" i="146"/>
  <c r="D3962" i="146"/>
  <c r="A3962" i="146"/>
  <c r="D3961" i="146"/>
  <c r="A3961" i="146"/>
  <c r="D3960" i="146"/>
  <c r="A3960" i="146"/>
  <c r="D3959" i="146"/>
  <c r="A3959" i="146"/>
  <c r="D3958" i="146"/>
  <c r="A3958" i="146"/>
  <c r="D3957" i="146"/>
  <c r="A3957" i="146"/>
  <c r="D3956" i="146"/>
  <c r="A3956" i="146"/>
  <c r="D3955" i="146"/>
  <c r="A3955" i="146"/>
  <c r="D3954" i="146"/>
  <c r="A3954" i="146"/>
  <c r="D3953" i="146"/>
  <c r="A3953" i="146"/>
  <c r="D3952" i="146"/>
  <c r="A3952" i="146"/>
  <c r="D3951" i="146"/>
  <c r="A3951" i="146"/>
  <c r="D3950" i="146"/>
  <c r="A3950" i="146"/>
  <c r="D3949" i="146"/>
  <c r="A3949" i="146"/>
  <c r="D3948" i="146"/>
  <c r="A3948" i="146"/>
  <c r="D3947" i="146"/>
  <c r="A3947" i="146"/>
  <c r="D3946" i="146"/>
  <c r="A3946" i="146"/>
  <c r="D3945" i="146"/>
  <c r="A3945" i="146"/>
  <c r="D3944" i="146"/>
  <c r="A3944" i="146"/>
  <c r="D3943" i="146"/>
  <c r="A3943" i="146"/>
  <c r="D3942" i="146"/>
  <c r="A3942" i="146"/>
  <c r="D3941" i="146"/>
  <c r="A3941" i="146"/>
  <c r="D3940" i="146"/>
  <c r="A3940" i="146"/>
  <c r="D3939" i="146"/>
  <c r="A3939" i="146"/>
  <c r="D3938" i="146"/>
  <c r="A3938" i="146"/>
  <c r="D3937" i="146"/>
  <c r="A3937" i="146"/>
  <c r="D3936" i="146"/>
  <c r="A3936" i="146"/>
  <c r="D3935" i="146"/>
  <c r="A3935" i="146"/>
  <c r="D3934" i="146"/>
  <c r="A3934" i="146"/>
  <c r="D3933" i="146"/>
  <c r="A3933" i="146"/>
  <c r="D3932" i="146"/>
  <c r="A3932" i="146"/>
  <c r="D3931" i="146"/>
  <c r="A3931" i="146"/>
  <c r="D3930" i="146"/>
  <c r="A3930" i="146"/>
  <c r="D3929" i="146"/>
  <c r="A3929" i="146"/>
  <c r="D3928" i="146"/>
  <c r="A3928" i="146"/>
  <c r="D3927" i="146"/>
  <c r="A3927" i="146"/>
  <c r="D3926" i="146"/>
  <c r="A3926" i="146"/>
  <c r="D3925" i="146"/>
  <c r="A3925" i="146"/>
  <c r="D3924" i="146"/>
  <c r="A3924" i="146"/>
  <c r="D3923" i="146"/>
  <c r="A3923" i="146"/>
  <c r="D3922" i="146"/>
  <c r="A3922" i="146"/>
  <c r="D3921" i="146"/>
  <c r="A3921" i="146"/>
  <c r="D3920" i="146"/>
  <c r="A3920" i="146"/>
  <c r="D3919" i="146"/>
  <c r="A3919" i="146"/>
  <c r="D3918" i="146"/>
  <c r="A3918" i="146"/>
  <c r="D3917" i="146"/>
  <c r="A3917" i="146"/>
  <c r="D3916" i="146"/>
  <c r="A3916" i="146"/>
  <c r="D3915" i="146"/>
  <c r="A3915" i="146"/>
  <c r="D3914" i="146"/>
  <c r="A3914" i="146"/>
  <c r="D3913" i="146"/>
  <c r="A3913" i="146"/>
  <c r="D3912" i="146"/>
  <c r="A3912" i="146"/>
  <c r="D3911" i="146"/>
  <c r="A3911" i="146"/>
  <c r="D3910" i="146"/>
  <c r="A3910" i="146"/>
  <c r="D3909" i="146"/>
  <c r="A3909" i="146"/>
  <c r="D3908" i="146"/>
  <c r="A3908" i="146"/>
  <c r="D3907" i="146"/>
  <c r="A3907" i="146"/>
  <c r="D3906" i="146"/>
  <c r="A3906" i="146"/>
  <c r="D3905" i="146"/>
  <c r="A3905" i="146"/>
  <c r="D3904" i="146"/>
  <c r="A3904" i="146"/>
  <c r="D3903" i="146"/>
  <c r="A3903" i="146"/>
  <c r="D3902" i="146"/>
  <c r="A3902" i="146"/>
  <c r="D3901" i="146"/>
  <c r="A3901" i="146"/>
  <c r="D3900" i="146"/>
  <c r="A3900" i="146"/>
  <c r="D3899" i="146"/>
  <c r="A3899" i="146"/>
  <c r="D3898" i="146"/>
  <c r="A3898" i="146"/>
  <c r="D3897" i="146"/>
  <c r="A3897" i="146"/>
  <c r="D3896" i="146"/>
  <c r="A3896" i="146"/>
  <c r="D3895" i="146"/>
  <c r="A3895" i="146"/>
  <c r="D3894" i="146"/>
  <c r="A3894" i="146"/>
  <c r="D3893" i="146"/>
  <c r="A3893" i="146"/>
  <c r="D3892" i="146"/>
  <c r="A3892" i="146"/>
  <c r="D3891" i="146"/>
  <c r="A3891" i="146"/>
  <c r="D3890" i="146"/>
  <c r="A3890" i="146"/>
  <c r="D3889" i="146"/>
  <c r="A3889" i="146"/>
  <c r="D3888" i="146"/>
  <c r="A3888" i="146"/>
  <c r="D3887" i="146"/>
  <c r="A3887" i="146"/>
  <c r="D3886" i="146"/>
  <c r="A3886" i="146"/>
  <c r="D3885" i="146"/>
  <c r="A3885" i="146"/>
  <c r="D3884" i="146"/>
  <c r="A3884" i="146"/>
  <c r="D3883" i="146"/>
  <c r="A3883" i="146"/>
  <c r="D3882" i="146"/>
  <c r="A3882" i="146"/>
  <c r="D3881" i="146"/>
  <c r="A3881" i="146"/>
  <c r="D3880" i="146"/>
  <c r="A3880" i="146"/>
  <c r="D3879" i="146"/>
  <c r="A3879" i="146"/>
  <c r="D3878" i="146"/>
  <c r="A3878" i="146"/>
  <c r="D3877" i="146"/>
  <c r="A3877" i="146"/>
  <c r="D3876" i="146"/>
  <c r="A3876" i="146"/>
  <c r="D3875" i="146"/>
  <c r="A3875" i="146"/>
  <c r="D3874" i="146"/>
  <c r="A3874" i="146"/>
  <c r="D3873" i="146"/>
  <c r="A3873" i="146"/>
  <c r="D3872" i="146"/>
  <c r="A3872" i="146"/>
  <c r="D3871" i="146"/>
  <c r="A3871" i="146"/>
  <c r="D3870" i="146"/>
  <c r="A3870" i="146"/>
  <c r="D3869" i="146"/>
  <c r="A3869" i="146"/>
  <c r="D3868" i="146"/>
  <c r="A3868" i="146"/>
  <c r="D3867" i="146"/>
  <c r="A3867" i="146"/>
  <c r="D3866" i="146"/>
  <c r="A3866" i="146"/>
  <c r="D3865" i="146"/>
  <c r="A3865" i="146"/>
  <c r="D3864" i="146"/>
  <c r="A3864" i="146"/>
  <c r="D3863" i="146"/>
  <c r="A3863" i="146"/>
  <c r="D3862" i="146"/>
  <c r="A3862" i="146"/>
  <c r="D3861" i="146"/>
  <c r="A3861" i="146"/>
  <c r="D3860" i="146"/>
  <c r="A3860" i="146"/>
  <c r="D3859" i="146"/>
  <c r="A3859" i="146"/>
  <c r="D3858" i="146"/>
  <c r="A3858" i="146"/>
  <c r="D3857" i="146"/>
  <c r="A3857" i="146"/>
  <c r="D3856" i="146"/>
  <c r="A3856" i="146"/>
  <c r="D3855" i="146"/>
  <c r="A3855" i="146"/>
  <c r="D3854" i="146"/>
  <c r="A3854" i="146"/>
  <c r="D3853" i="146"/>
  <c r="A3853" i="146"/>
  <c r="D3852" i="146"/>
  <c r="A3852" i="146"/>
  <c r="D3851" i="146"/>
  <c r="A3851" i="146"/>
  <c r="D3850" i="146"/>
  <c r="A3850" i="146"/>
  <c r="D3849" i="146"/>
  <c r="A3849" i="146"/>
  <c r="D3848" i="146"/>
  <c r="A3848" i="146"/>
  <c r="D3847" i="146"/>
  <c r="A3847" i="146"/>
  <c r="D3846" i="146"/>
  <c r="A3846" i="146"/>
  <c r="D3845" i="146"/>
  <c r="A3845" i="146"/>
  <c r="D3844" i="146"/>
  <c r="A3844" i="146"/>
  <c r="D3843" i="146"/>
  <c r="A3843" i="146"/>
  <c r="D3842" i="146"/>
  <c r="A3842" i="146"/>
  <c r="D3841" i="146"/>
  <c r="A3841" i="146"/>
  <c r="D3840" i="146"/>
  <c r="A3840" i="146"/>
  <c r="D3839" i="146"/>
  <c r="A3839" i="146"/>
  <c r="D3838" i="146"/>
  <c r="A3838" i="146"/>
  <c r="D3837" i="146"/>
  <c r="A3837" i="146"/>
  <c r="D3836" i="146"/>
  <c r="A3836" i="146"/>
  <c r="D3835" i="146"/>
  <c r="A3835" i="146"/>
  <c r="D3834" i="146"/>
  <c r="A3834" i="146"/>
  <c r="D3833" i="146"/>
  <c r="A3833" i="146"/>
  <c r="D3832" i="146"/>
  <c r="A3832" i="146"/>
  <c r="D3831" i="146"/>
  <c r="A3831" i="146"/>
  <c r="D3830" i="146"/>
  <c r="A3830" i="146"/>
  <c r="D3829" i="146"/>
  <c r="A3829" i="146"/>
  <c r="D3828" i="146"/>
  <c r="A3828" i="146"/>
  <c r="D3827" i="146"/>
  <c r="A3827" i="146"/>
  <c r="D3826" i="146"/>
  <c r="A3826" i="146"/>
  <c r="D3825" i="146"/>
  <c r="A3825" i="146"/>
  <c r="D3824" i="146"/>
  <c r="A3824" i="146"/>
  <c r="D3823" i="146"/>
  <c r="A3823" i="146"/>
  <c r="D3822" i="146"/>
  <c r="A3822" i="146"/>
  <c r="D3821" i="146"/>
  <c r="A3821" i="146"/>
  <c r="D3820" i="146"/>
  <c r="A3820" i="146"/>
  <c r="D3819" i="146"/>
  <c r="A3819" i="146"/>
  <c r="D3818" i="146"/>
  <c r="A3818" i="146"/>
  <c r="D3817" i="146"/>
  <c r="A3817" i="146"/>
  <c r="D3816" i="146"/>
  <c r="A3816" i="146"/>
  <c r="D3815" i="146"/>
  <c r="A3815" i="146"/>
  <c r="D3814" i="146"/>
  <c r="A3814" i="146"/>
  <c r="D3813" i="146"/>
  <c r="A3813" i="146"/>
  <c r="D3812" i="146"/>
  <c r="A3812" i="146"/>
  <c r="D3811" i="146"/>
  <c r="A3811" i="146"/>
  <c r="D3810" i="146"/>
  <c r="A3810" i="146"/>
  <c r="D3809" i="146"/>
  <c r="A3809" i="146"/>
  <c r="D3808" i="146"/>
  <c r="A3808" i="146"/>
  <c r="D3807" i="146"/>
  <c r="A3807" i="146"/>
  <c r="D3806" i="146"/>
  <c r="A3806" i="146"/>
  <c r="D3805" i="146"/>
  <c r="A3805" i="146"/>
  <c r="D3804" i="146"/>
  <c r="A3804" i="146"/>
  <c r="D3803" i="146"/>
  <c r="A3803" i="146"/>
  <c r="D3802" i="146"/>
  <c r="A3802" i="146"/>
  <c r="D3801" i="146"/>
  <c r="A3801" i="146"/>
  <c r="D3800" i="146"/>
  <c r="A3800" i="146"/>
  <c r="D3799" i="146"/>
  <c r="A3799" i="146"/>
  <c r="D3798" i="146"/>
  <c r="A3798" i="146"/>
  <c r="D3797" i="146"/>
  <c r="A3797" i="146"/>
  <c r="D3796" i="146"/>
  <c r="A3796" i="146"/>
  <c r="D3795" i="146"/>
  <c r="A3795" i="146"/>
  <c r="D3794" i="146"/>
  <c r="A3794" i="146"/>
  <c r="D3793" i="146"/>
  <c r="A3793" i="146"/>
  <c r="D3792" i="146"/>
  <c r="A3792" i="146"/>
  <c r="D3791" i="146"/>
  <c r="A3791" i="146"/>
  <c r="D3790" i="146"/>
  <c r="A3790" i="146"/>
  <c r="D3789" i="146"/>
  <c r="A3789" i="146"/>
  <c r="D3788" i="146"/>
  <c r="A3788" i="146"/>
  <c r="D3787" i="146"/>
  <c r="A3787" i="146"/>
  <c r="D3786" i="146"/>
  <c r="A3786" i="146"/>
  <c r="D3785" i="146"/>
  <c r="A3785" i="146"/>
  <c r="D3784" i="146"/>
  <c r="A3784" i="146"/>
  <c r="D3783" i="146"/>
  <c r="A3783" i="146"/>
  <c r="D3782" i="146"/>
  <c r="A3782" i="146"/>
  <c r="D3781" i="146"/>
  <c r="A3781" i="146"/>
  <c r="D3780" i="146"/>
  <c r="A3780" i="146"/>
  <c r="D3779" i="146"/>
  <c r="A3779" i="146"/>
  <c r="D3778" i="146"/>
  <c r="A3778" i="146"/>
  <c r="D3777" i="146"/>
  <c r="A3777" i="146"/>
  <c r="D3776" i="146"/>
  <c r="A3776" i="146"/>
  <c r="D3775" i="146"/>
  <c r="A3775" i="146"/>
  <c r="D3774" i="146"/>
  <c r="A3774" i="146"/>
  <c r="D3773" i="146"/>
  <c r="A3773" i="146"/>
  <c r="D3772" i="146"/>
  <c r="A3772" i="146"/>
  <c r="D3771" i="146"/>
  <c r="A3771" i="146"/>
  <c r="D3770" i="146"/>
  <c r="A3770" i="146"/>
  <c r="D3769" i="146"/>
  <c r="A3769" i="146"/>
  <c r="D3768" i="146"/>
  <c r="A3768" i="146"/>
  <c r="D3767" i="146"/>
  <c r="A3767" i="146"/>
  <c r="D3766" i="146"/>
  <c r="A3766" i="146"/>
  <c r="D3765" i="146"/>
  <c r="A3765" i="146"/>
  <c r="D3764" i="146"/>
  <c r="A3764" i="146"/>
  <c r="D3763" i="146"/>
  <c r="A3763" i="146"/>
  <c r="D3762" i="146"/>
  <c r="A3762" i="146"/>
  <c r="D3761" i="146"/>
  <c r="A3761" i="146"/>
  <c r="D3760" i="146"/>
  <c r="A3760" i="146"/>
  <c r="D3759" i="146"/>
  <c r="A3759" i="146"/>
  <c r="D3758" i="146"/>
  <c r="A3758" i="146"/>
  <c r="D3757" i="146"/>
  <c r="A3757" i="146"/>
  <c r="D3756" i="146"/>
  <c r="A3756" i="146"/>
  <c r="D3755" i="146"/>
  <c r="A3755" i="146"/>
  <c r="D3754" i="146"/>
  <c r="A3754" i="146"/>
  <c r="D3753" i="146"/>
  <c r="A3753" i="146"/>
  <c r="D3752" i="146"/>
  <c r="A3752" i="146"/>
  <c r="D3751" i="146"/>
  <c r="A3751" i="146"/>
  <c r="D3750" i="146"/>
  <c r="A3750" i="146"/>
  <c r="D3749" i="146"/>
  <c r="A3749" i="146"/>
  <c r="D3748" i="146"/>
  <c r="A3748" i="146"/>
  <c r="D3747" i="146"/>
  <c r="A3747" i="146"/>
  <c r="D3746" i="146"/>
  <c r="A3746" i="146"/>
  <c r="D3745" i="146"/>
  <c r="A3745" i="146"/>
  <c r="D3744" i="146"/>
  <c r="A3744" i="146"/>
  <c r="D3743" i="146"/>
  <c r="A3743" i="146"/>
  <c r="D3742" i="146"/>
  <c r="A3742" i="146"/>
  <c r="D3741" i="146"/>
  <c r="A3741" i="146"/>
  <c r="D3740" i="146"/>
  <c r="A3740" i="146"/>
  <c r="D3739" i="146"/>
  <c r="A3739" i="146"/>
  <c r="D3738" i="146"/>
  <c r="A3738" i="146"/>
  <c r="D3737" i="146"/>
  <c r="A3737" i="146"/>
  <c r="D3736" i="146"/>
  <c r="A3736" i="146"/>
  <c r="D3735" i="146"/>
  <c r="A3735" i="146"/>
  <c r="D3734" i="146"/>
  <c r="A3734" i="146"/>
  <c r="D3733" i="146"/>
  <c r="A3733" i="146"/>
  <c r="D3732" i="146"/>
  <c r="A3732" i="146"/>
  <c r="D3731" i="146"/>
  <c r="A3731" i="146"/>
  <c r="D3730" i="146"/>
  <c r="A3730" i="146"/>
  <c r="D3729" i="146"/>
  <c r="A3729" i="146"/>
  <c r="D3728" i="146"/>
  <c r="A3728" i="146"/>
  <c r="D3727" i="146"/>
  <c r="A3727" i="146"/>
  <c r="D3726" i="146"/>
  <c r="A3726" i="146"/>
  <c r="D3725" i="146"/>
  <c r="A3725" i="146"/>
  <c r="D3724" i="146"/>
  <c r="A3724" i="146"/>
  <c r="D3723" i="146"/>
  <c r="A3723" i="146"/>
  <c r="D3722" i="146"/>
  <c r="A3722" i="146"/>
  <c r="D3721" i="146"/>
  <c r="A3721" i="146"/>
  <c r="D3720" i="146"/>
  <c r="A3720" i="146"/>
  <c r="D3719" i="146"/>
  <c r="A3719" i="146"/>
  <c r="D3718" i="146"/>
  <c r="A3718" i="146"/>
  <c r="D3717" i="146"/>
  <c r="A3717" i="146"/>
  <c r="D3716" i="146"/>
  <c r="A3716" i="146"/>
  <c r="D3715" i="146"/>
  <c r="A3715" i="146"/>
  <c r="D3714" i="146"/>
  <c r="A3714" i="146"/>
  <c r="D3713" i="146"/>
  <c r="A3713" i="146"/>
  <c r="D3712" i="146"/>
  <c r="A3712" i="146"/>
  <c r="D3711" i="146"/>
  <c r="A3711" i="146"/>
  <c r="D3710" i="146"/>
  <c r="A3710" i="146"/>
  <c r="D3709" i="146"/>
  <c r="A3709" i="146"/>
  <c r="D3708" i="146"/>
  <c r="A3708" i="146"/>
  <c r="D3707" i="146"/>
  <c r="A3707" i="146"/>
  <c r="D3706" i="146"/>
  <c r="A3706" i="146"/>
  <c r="D3705" i="146"/>
  <c r="A3705" i="146"/>
  <c r="D3704" i="146"/>
  <c r="A3704" i="146"/>
  <c r="D3703" i="146"/>
  <c r="A3703" i="146"/>
  <c r="D3702" i="146"/>
  <c r="A3702" i="146"/>
  <c r="D3701" i="146"/>
  <c r="A3701" i="146"/>
  <c r="D3700" i="146"/>
  <c r="A3700" i="146"/>
  <c r="D3699" i="146"/>
  <c r="A3699" i="146"/>
  <c r="D3698" i="146"/>
  <c r="A3698" i="146"/>
  <c r="D3697" i="146"/>
  <c r="A3697" i="146"/>
  <c r="D3696" i="146"/>
  <c r="A3696" i="146"/>
  <c r="D3695" i="146"/>
  <c r="A3695" i="146"/>
  <c r="D3694" i="146"/>
  <c r="A3694" i="146"/>
  <c r="D3693" i="146"/>
  <c r="A3693" i="146"/>
  <c r="D3692" i="146"/>
  <c r="A3692" i="146"/>
  <c r="D3691" i="146"/>
  <c r="A3691" i="146"/>
  <c r="D3690" i="146"/>
  <c r="A3690" i="146"/>
  <c r="D3689" i="146"/>
  <c r="A3689" i="146"/>
  <c r="D3688" i="146"/>
  <c r="A3688" i="146"/>
  <c r="D3687" i="146"/>
  <c r="A3687" i="146"/>
  <c r="D3686" i="146"/>
  <c r="A3686" i="146"/>
  <c r="D3685" i="146"/>
  <c r="A3685" i="146"/>
  <c r="D3684" i="146"/>
  <c r="A3684" i="146"/>
  <c r="D3683" i="146"/>
  <c r="A3683" i="146"/>
  <c r="D3682" i="146"/>
  <c r="A3682" i="146"/>
  <c r="D3681" i="146"/>
  <c r="A3681" i="146"/>
  <c r="D3680" i="146"/>
  <c r="A3680" i="146"/>
  <c r="D3679" i="146"/>
  <c r="A3679" i="146"/>
  <c r="D3678" i="146"/>
  <c r="A3678" i="146"/>
  <c r="D3677" i="146"/>
  <c r="A3677" i="146"/>
  <c r="D3676" i="146"/>
  <c r="A3676" i="146"/>
  <c r="D3675" i="146"/>
  <c r="A3675" i="146"/>
  <c r="D3674" i="146"/>
  <c r="A3674" i="146"/>
  <c r="D3673" i="146"/>
  <c r="A3673" i="146"/>
  <c r="D3672" i="146"/>
  <c r="A3672" i="146"/>
  <c r="D3671" i="146"/>
  <c r="A3671" i="146"/>
  <c r="D3670" i="146"/>
  <c r="A3670" i="146"/>
  <c r="D3669" i="146"/>
  <c r="A3669" i="146"/>
  <c r="D3668" i="146"/>
  <c r="A3668" i="146"/>
  <c r="D3667" i="146"/>
  <c r="A3667" i="146"/>
  <c r="D3666" i="146"/>
  <c r="A3666" i="146"/>
  <c r="D3665" i="146"/>
  <c r="A3665" i="146"/>
  <c r="D3664" i="146"/>
  <c r="A3664" i="146"/>
  <c r="D3663" i="146"/>
  <c r="A3663" i="146"/>
  <c r="D3662" i="146"/>
  <c r="A3662" i="146"/>
  <c r="D3661" i="146"/>
  <c r="A3661" i="146"/>
  <c r="D3660" i="146"/>
  <c r="A3660" i="146"/>
  <c r="D3659" i="146"/>
  <c r="A3659" i="146"/>
  <c r="D3658" i="146"/>
  <c r="A3658" i="146"/>
  <c r="D3657" i="146"/>
  <c r="A3657" i="146"/>
  <c r="D3656" i="146"/>
  <c r="A3656" i="146"/>
  <c r="D3655" i="146"/>
  <c r="A3655" i="146"/>
  <c r="D3654" i="146"/>
  <c r="A3654" i="146"/>
  <c r="D3653" i="146"/>
  <c r="A3653" i="146"/>
  <c r="D3652" i="146"/>
  <c r="A3652" i="146"/>
  <c r="D3651" i="146"/>
  <c r="A3651" i="146"/>
  <c r="D3650" i="146"/>
  <c r="A3650" i="146"/>
  <c r="D3649" i="146"/>
  <c r="A3649" i="146"/>
  <c r="D3648" i="146"/>
  <c r="A3648" i="146"/>
  <c r="D3647" i="146"/>
  <c r="A3647" i="146"/>
  <c r="D3646" i="146"/>
  <c r="A3646" i="146"/>
  <c r="D3645" i="146"/>
  <c r="A3645" i="146"/>
  <c r="D3644" i="146"/>
  <c r="A3644" i="146"/>
  <c r="D3643" i="146"/>
  <c r="A3643" i="146"/>
  <c r="D3642" i="146"/>
  <c r="A3642" i="146"/>
  <c r="D3641" i="146"/>
  <c r="A3641" i="146"/>
  <c r="D3640" i="146"/>
  <c r="A3640" i="146"/>
  <c r="D3639" i="146"/>
  <c r="A3639" i="146"/>
  <c r="D3638" i="146"/>
  <c r="A3638" i="146"/>
  <c r="D3637" i="146"/>
  <c r="A3637" i="146"/>
  <c r="D3636" i="146"/>
  <c r="A3636" i="146"/>
  <c r="D3635" i="146"/>
  <c r="A3635" i="146"/>
  <c r="D3634" i="146"/>
  <c r="A3634" i="146"/>
  <c r="D3633" i="146"/>
  <c r="A3633" i="146"/>
  <c r="D3632" i="146"/>
  <c r="A3632" i="146"/>
  <c r="D3631" i="146"/>
  <c r="A3631" i="146"/>
  <c r="D3630" i="146"/>
  <c r="A3630" i="146"/>
  <c r="D3629" i="146"/>
  <c r="A3629" i="146"/>
  <c r="D3628" i="146"/>
  <c r="A3628" i="146"/>
  <c r="D3627" i="146"/>
  <c r="A3627" i="146"/>
  <c r="D3626" i="146"/>
  <c r="A3626" i="146"/>
  <c r="D3625" i="146"/>
  <c r="A3625" i="146"/>
  <c r="D3624" i="146"/>
  <c r="A3624" i="146"/>
  <c r="D3623" i="146"/>
  <c r="A3623" i="146"/>
  <c r="D3622" i="146"/>
  <c r="A3622" i="146"/>
  <c r="D3621" i="146"/>
  <c r="A3621" i="146"/>
  <c r="D3620" i="146"/>
  <c r="A3620" i="146"/>
  <c r="D3619" i="146"/>
  <c r="A3619" i="146"/>
  <c r="D3618" i="146"/>
  <c r="A3618" i="146"/>
  <c r="D3617" i="146"/>
  <c r="A3617" i="146"/>
  <c r="D3616" i="146"/>
  <c r="A3616" i="146"/>
  <c r="D3615" i="146"/>
  <c r="A3615" i="146"/>
  <c r="D3614" i="146"/>
  <c r="A3614" i="146"/>
  <c r="D3613" i="146"/>
  <c r="A3613" i="146"/>
  <c r="D3612" i="146"/>
  <c r="A3612" i="146"/>
  <c r="D3611" i="146"/>
  <c r="A3611" i="146"/>
  <c r="D3610" i="146"/>
  <c r="A3610" i="146"/>
  <c r="D3609" i="146"/>
  <c r="A3609" i="146"/>
  <c r="D3608" i="146"/>
  <c r="A3608" i="146"/>
  <c r="D3607" i="146"/>
  <c r="A3607" i="146"/>
  <c r="D3606" i="146"/>
  <c r="A3606" i="146"/>
  <c r="D3605" i="146"/>
  <c r="A3605" i="146"/>
  <c r="D3604" i="146"/>
  <c r="A3604" i="146"/>
  <c r="D3603" i="146"/>
  <c r="A3603" i="146"/>
  <c r="D3602" i="146"/>
  <c r="A3602" i="146"/>
  <c r="D3601" i="146"/>
  <c r="A3601" i="146"/>
  <c r="D3600" i="146"/>
  <c r="A3600" i="146"/>
  <c r="D3599" i="146"/>
  <c r="A3599" i="146"/>
  <c r="D3598" i="146"/>
  <c r="A3598" i="146"/>
  <c r="D3597" i="146"/>
  <c r="A3597" i="146"/>
  <c r="D3596" i="146"/>
  <c r="A3596" i="146"/>
  <c r="D3595" i="146"/>
  <c r="A3595" i="146"/>
  <c r="D3594" i="146"/>
  <c r="A3594" i="146"/>
  <c r="D3593" i="146"/>
  <c r="A3593" i="146"/>
  <c r="D3592" i="146"/>
  <c r="A3592" i="146"/>
  <c r="D3591" i="146"/>
  <c r="A3591" i="146"/>
  <c r="D3590" i="146"/>
  <c r="A3590" i="146"/>
  <c r="D3589" i="146"/>
  <c r="A3589" i="146"/>
  <c r="D3588" i="146"/>
  <c r="A3588" i="146"/>
  <c r="D3587" i="146"/>
  <c r="A3587" i="146"/>
  <c r="D3586" i="146"/>
  <c r="A3586" i="146"/>
  <c r="D3585" i="146"/>
  <c r="A3585" i="146"/>
  <c r="D3584" i="146"/>
  <c r="A3584" i="146"/>
  <c r="D3583" i="146"/>
  <c r="A3583" i="146"/>
  <c r="D3582" i="146"/>
  <c r="A3582" i="146"/>
  <c r="D3581" i="146"/>
  <c r="A3581" i="146"/>
  <c r="D3580" i="146"/>
  <c r="A3580" i="146"/>
  <c r="D3579" i="146"/>
  <c r="A3579" i="146"/>
  <c r="D3578" i="146"/>
  <c r="A3578" i="146"/>
  <c r="D3577" i="146"/>
  <c r="A3577" i="146"/>
  <c r="D3576" i="146"/>
  <c r="A3576" i="146"/>
  <c r="D3575" i="146"/>
  <c r="A3575" i="146"/>
  <c r="D3574" i="146"/>
  <c r="A3574" i="146"/>
  <c r="D3573" i="146"/>
  <c r="A3573" i="146"/>
  <c r="D3572" i="146"/>
  <c r="A3572" i="146"/>
  <c r="D3571" i="146"/>
  <c r="A3571" i="146"/>
  <c r="D3570" i="146"/>
  <c r="A3570" i="146"/>
  <c r="D3569" i="146"/>
  <c r="A3569" i="146"/>
  <c r="D3568" i="146"/>
  <c r="A3568" i="146"/>
  <c r="D3567" i="146"/>
  <c r="A3567" i="146"/>
  <c r="D3566" i="146"/>
  <c r="A3566" i="146"/>
  <c r="D3565" i="146"/>
  <c r="A3565" i="146"/>
  <c r="D3564" i="146"/>
  <c r="A3564" i="146"/>
  <c r="D3563" i="146"/>
  <c r="A3563" i="146"/>
  <c r="D3562" i="146"/>
  <c r="A3562" i="146"/>
  <c r="D3561" i="146"/>
  <c r="A3561" i="146"/>
  <c r="D3560" i="146"/>
  <c r="A3560" i="146"/>
  <c r="D3559" i="146"/>
  <c r="A3559" i="146"/>
  <c r="D3558" i="146"/>
  <c r="A3558" i="146"/>
  <c r="D3557" i="146"/>
  <c r="A3557" i="146"/>
  <c r="D3556" i="146"/>
  <c r="A3556" i="146"/>
  <c r="D3555" i="146"/>
  <c r="A3555" i="146"/>
  <c r="D3554" i="146"/>
  <c r="A3554" i="146"/>
  <c r="D3553" i="146"/>
  <c r="A3553" i="146"/>
  <c r="D3552" i="146"/>
  <c r="A3552" i="146"/>
  <c r="D3551" i="146"/>
  <c r="A3551" i="146"/>
  <c r="D3550" i="146"/>
  <c r="A3550" i="146"/>
  <c r="D3549" i="146"/>
  <c r="A3549" i="146"/>
  <c r="D3548" i="146"/>
  <c r="A3548" i="146"/>
  <c r="D3547" i="146"/>
  <c r="A3547" i="146"/>
  <c r="D3546" i="146"/>
  <c r="A3546" i="146"/>
  <c r="D3545" i="146"/>
  <c r="A3545" i="146"/>
  <c r="D3544" i="146"/>
  <c r="A3544" i="146"/>
  <c r="D3543" i="146"/>
  <c r="A3543" i="146"/>
  <c r="D3542" i="146"/>
  <c r="A3542" i="146"/>
  <c r="D3541" i="146"/>
  <c r="A3541" i="146"/>
  <c r="D3540" i="146"/>
  <c r="A3540" i="146"/>
  <c r="D3539" i="146"/>
  <c r="A3539" i="146"/>
  <c r="D3538" i="146"/>
  <c r="A3538" i="146"/>
  <c r="D3537" i="146"/>
  <c r="A3537" i="146"/>
  <c r="D3536" i="146"/>
  <c r="A3536" i="146"/>
  <c r="D3535" i="146"/>
  <c r="A3535" i="146"/>
  <c r="D3534" i="146"/>
  <c r="A3534" i="146"/>
  <c r="D3533" i="146"/>
  <c r="A3533" i="146"/>
  <c r="D3532" i="146"/>
  <c r="A3532" i="146"/>
  <c r="D3531" i="146"/>
  <c r="A3531" i="146"/>
  <c r="D3530" i="146"/>
  <c r="A3530" i="146"/>
  <c r="D3529" i="146"/>
  <c r="A3529" i="146"/>
  <c r="D3528" i="146"/>
  <c r="A3528" i="146"/>
  <c r="D3527" i="146"/>
  <c r="A3527" i="146"/>
  <c r="D3526" i="146"/>
  <c r="A3526" i="146"/>
  <c r="D3525" i="146"/>
  <c r="A3525" i="146"/>
  <c r="D3524" i="146"/>
  <c r="A3524" i="146"/>
  <c r="D3523" i="146"/>
  <c r="A3523" i="146"/>
  <c r="D3522" i="146"/>
  <c r="A3522" i="146"/>
  <c r="D3521" i="146"/>
  <c r="A3521" i="146"/>
  <c r="D3520" i="146"/>
  <c r="A3520" i="146"/>
  <c r="D3519" i="146"/>
  <c r="A3519" i="146"/>
  <c r="D3518" i="146"/>
  <c r="A3518" i="146"/>
  <c r="D3517" i="146"/>
  <c r="A3517" i="146"/>
  <c r="D3516" i="146"/>
  <c r="A3516" i="146"/>
  <c r="D3515" i="146"/>
  <c r="A3515" i="146"/>
  <c r="D3514" i="146"/>
  <c r="A3514" i="146"/>
  <c r="D3513" i="146"/>
  <c r="A3513" i="146"/>
  <c r="D3512" i="146"/>
  <c r="A3512" i="146"/>
  <c r="D3511" i="146"/>
  <c r="A3511" i="146"/>
  <c r="D3510" i="146"/>
  <c r="A3510" i="146"/>
  <c r="D3509" i="146"/>
  <c r="A3509" i="146"/>
  <c r="D3508" i="146"/>
  <c r="A3508" i="146"/>
  <c r="D3507" i="146"/>
  <c r="A3507" i="146"/>
  <c r="D3506" i="146"/>
  <c r="A3506" i="146"/>
  <c r="D3505" i="146"/>
  <c r="A3505" i="146"/>
  <c r="D3504" i="146"/>
  <c r="A3504" i="146"/>
  <c r="D3503" i="146"/>
  <c r="A3503" i="146"/>
  <c r="D3502" i="146"/>
  <c r="A3502" i="146"/>
  <c r="D3501" i="146"/>
  <c r="A3501" i="146"/>
  <c r="D3500" i="146"/>
  <c r="A3500" i="146"/>
  <c r="D3499" i="146"/>
  <c r="A3499" i="146"/>
  <c r="D3498" i="146"/>
  <c r="A3498" i="146"/>
  <c r="D3497" i="146"/>
  <c r="A3497" i="146"/>
  <c r="D3496" i="146"/>
  <c r="A3496" i="146"/>
  <c r="D3495" i="146"/>
  <c r="A3495" i="146"/>
  <c r="D3494" i="146"/>
  <c r="A3494" i="146"/>
  <c r="D3493" i="146"/>
  <c r="A3493" i="146"/>
  <c r="D3492" i="146"/>
  <c r="A3492" i="146"/>
  <c r="D3491" i="146"/>
  <c r="A3491" i="146"/>
  <c r="D3490" i="146"/>
  <c r="A3490" i="146"/>
  <c r="D3489" i="146"/>
  <c r="A3489" i="146"/>
  <c r="D3488" i="146"/>
  <c r="A3488" i="146"/>
  <c r="D3487" i="146"/>
  <c r="A3487" i="146"/>
  <c r="D3486" i="146"/>
  <c r="A3486" i="146"/>
  <c r="D3485" i="146"/>
  <c r="A3485" i="146"/>
  <c r="D3484" i="146"/>
  <c r="A3484" i="146"/>
  <c r="D3483" i="146"/>
  <c r="A3483" i="146"/>
  <c r="D3482" i="146"/>
  <c r="A3482" i="146"/>
  <c r="D3481" i="146"/>
  <c r="A3481" i="146"/>
  <c r="D3480" i="146"/>
  <c r="A3480" i="146"/>
  <c r="D3479" i="146"/>
  <c r="A3479" i="146"/>
  <c r="D3478" i="146"/>
  <c r="A3478" i="146"/>
  <c r="D3477" i="146"/>
  <c r="A3477" i="146"/>
  <c r="D3476" i="146"/>
  <c r="A3476" i="146"/>
  <c r="D3475" i="146"/>
  <c r="A3475" i="146"/>
  <c r="D3474" i="146"/>
  <c r="A3474" i="146"/>
  <c r="D3473" i="146"/>
  <c r="A3473" i="146"/>
  <c r="D3472" i="146"/>
  <c r="A3472" i="146"/>
  <c r="D3471" i="146"/>
  <c r="A3471" i="146"/>
  <c r="D3470" i="146"/>
  <c r="A3470" i="146"/>
  <c r="D3469" i="146"/>
  <c r="A3469" i="146"/>
  <c r="D3468" i="146"/>
  <c r="A3468" i="146"/>
  <c r="D3467" i="146"/>
  <c r="A3467" i="146"/>
  <c r="D3466" i="146"/>
  <c r="A3466" i="146"/>
  <c r="D3465" i="146"/>
  <c r="A3465" i="146"/>
  <c r="D3464" i="146"/>
  <c r="A3464" i="146"/>
  <c r="D3463" i="146"/>
  <c r="A3463" i="146"/>
  <c r="D3462" i="146"/>
  <c r="A3462" i="146"/>
  <c r="D3461" i="146"/>
  <c r="A3461" i="146"/>
  <c r="D3460" i="146"/>
  <c r="A3460" i="146"/>
  <c r="D3459" i="146"/>
  <c r="A3459" i="146"/>
  <c r="D3458" i="146"/>
  <c r="A3458" i="146"/>
  <c r="D3457" i="146"/>
  <c r="A3457" i="146"/>
  <c r="D3456" i="146"/>
  <c r="A3456" i="146"/>
  <c r="D3455" i="146"/>
  <c r="A3455" i="146"/>
  <c r="D3454" i="146"/>
  <c r="A3454" i="146"/>
  <c r="D3453" i="146"/>
  <c r="A3453" i="146"/>
  <c r="D3452" i="146"/>
  <c r="A3452" i="146"/>
  <c r="D3451" i="146"/>
  <c r="A3451" i="146"/>
  <c r="D3450" i="146"/>
  <c r="A3450" i="146"/>
  <c r="D3449" i="146"/>
  <c r="A3449" i="146"/>
  <c r="D3448" i="146"/>
  <c r="A3448" i="146"/>
  <c r="D3447" i="146"/>
  <c r="A3447" i="146"/>
  <c r="D3446" i="146"/>
  <c r="A3446" i="146"/>
  <c r="D3445" i="146"/>
  <c r="A3445" i="146"/>
  <c r="D3444" i="146"/>
  <c r="A3444" i="146"/>
  <c r="D3443" i="146"/>
  <c r="A3443" i="146"/>
  <c r="D3442" i="146"/>
  <c r="A3442" i="146"/>
  <c r="D3441" i="146"/>
  <c r="A3441" i="146"/>
  <c r="D3440" i="146"/>
  <c r="A3440" i="146"/>
  <c r="D3439" i="146"/>
  <c r="A3439" i="146"/>
  <c r="D3438" i="146"/>
  <c r="A3438" i="146"/>
  <c r="D3437" i="146"/>
  <c r="A3437" i="146"/>
  <c r="D3436" i="146"/>
  <c r="A3436" i="146"/>
  <c r="D3435" i="146"/>
  <c r="A3435" i="146"/>
  <c r="D3434" i="146"/>
  <c r="A3434" i="146"/>
  <c r="D3433" i="146"/>
  <c r="A3433" i="146"/>
  <c r="D3432" i="146"/>
  <c r="A3432" i="146"/>
  <c r="D3431" i="146"/>
  <c r="A3431" i="146"/>
  <c r="D3430" i="146"/>
  <c r="A3430" i="146"/>
  <c r="D3429" i="146"/>
  <c r="A3429" i="146"/>
  <c r="D3428" i="146"/>
  <c r="A3428" i="146"/>
  <c r="D3427" i="146"/>
  <c r="A3427" i="146"/>
  <c r="D3426" i="146"/>
  <c r="A3426" i="146"/>
  <c r="D3425" i="146"/>
  <c r="A3425" i="146"/>
  <c r="D3424" i="146"/>
  <c r="A3424" i="146"/>
  <c r="D3423" i="146"/>
  <c r="A3423" i="146"/>
  <c r="D3422" i="146"/>
  <c r="A3422" i="146"/>
  <c r="D3421" i="146"/>
  <c r="A3421" i="146"/>
  <c r="D3420" i="146"/>
  <c r="A3420" i="146"/>
  <c r="D3419" i="146"/>
  <c r="A3419" i="146"/>
  <c r="D3418" i="146"/>
  <c r="A3418" i="146"/>
  <c r="D3417" i="146"/>
  <c r="A3417" i="146"/>
  <c r="D3416" i="146"/>
  <c r="A3416" i="146"/>
  <c r="D3415" i="146"/>
  <c r="A3415" i="146"/>
  <c r="D3414" i="146"/>
  <c r="A3414" i="146"/>
  <c r="D3413" i="146"/>
  <c r="A3413" i="146"/>
  <c r="D3412" i="146"/>
  <c r="A3412" i="146"/>
  <c r="D3411" i="146"/>
  <c r="A3411" i="146"/>
  <c r="D3410" i="146"/>
  <c r="A3410" i="146"/>
  <c r="D3409" i="146"/>
  <c r="A3409" i="146"/>
  <c r="D3408" i="146"/>
  <c r="A3408" i="146"/>
  <c r="D3407" i="146"/>
  <c r="A3407" i="146"/>
  <c r="D3406" i="146"/>
  <c r="A3406" i="146"/>
  <c r="D3405" i="146"/>
  <c r="A3405" i="146"/>
  <c r="D3404" i="146"/>
  <c r="A3404" i="146"/>
  <c r="D3403" i="146"/>
  <c r="A3403" i="146"/>
  <c r="D3402" i="146"/>
  <c r="A3402" i="146"/>
  <c r="D3401" i="146"/>
  <c r="A3401" i="146"/>
  <c r="D3400" i="146"/>
  <c r="A3400" i="146"/>
  <c r="D3399" i="146"/>
  <c r="A3399" i="146"/>
  <c r="D3398" i="146"/>
  <c r="A3398" i="146"/>
  <c r="D3397" i="146"/>
  <c r="A3397" i="146"/>
  <c r="D3396" i="146"/>
  <c r="A3396" i="146"/>
  <c r="D3395" i="146"/>
  <c r="A3395" i="146"/>
  <c r="D3394" i="146"/>
  <c r="A3394" i="146"/>
  <c r="D3393" i="146"/>
  <c r="A3393" i="146"/>
  <c r="D3392" i="146"/>
  <c r="A3392" i="146"/>
  <c r="D3391" i="146"/>
  <c r="A3391" i="146"/>
  <c r="D3390" i="146"/>
  <c r="A3390" i="146"/>
  <c r="D3389" i="146"/>
  <c r="A3389" i="146"/>
  <c r="D3388" i="146"/>
  <c r="A3388" i="146"/>
  <c r="D3387" i="146"/>
  <c r="A3387" i="146"/>
  <c r="D3386" i="146"/>
  <c r="A3386" i="146"/>
  <c r="D3385" i="146"/>
  <c r="A3385" i="146"/>
  <c r="D3384" i="146"/>
  <c r="A3384" i="146"/>
  <c r="D3383" i="146"/>
  <c r="A3383" i="146"/>
  <c r="D3382" i="146"/>
  <c r="A3382" i="146"/>
  <c r="D3381" i="146"/>
  <c r="A3381" i="146"/>
  <c r="D3380" i="146"/>
  <c r="A3380" i="146"/>
  <c r="D3379" i="146"/>
  <c r="A3379" i="146"/>
  <c r="D3378" i="146"/>
  <c r="A3378" i="146"/>
  <c r="D3377" i="146"/>
  <c r="A3377" i="146"/>
  <c r="D3376" i="146"/>
  <c r="A3376" i="146"/>
  <c r="D3375" i="146"/>
  <c r="A3375" i="146"/>
  <c r="D3374" i="146"/>
  <c r="A3374" i="146"/>
  <c r="D3373" i="146"/>
  <c r="A3373" i="146"/>
  <c r="D3372" i="146"/>
  <c r="A3372" i="146"/>
  <c r="D3371" i="146"/>
  <c r="A3371" i="146"/>
  <c r="D3370" i="146"/>
  <c r="A3370" i="146"/>
  <c r="D3369" i="146"/>
  <c r="A3369" i="146"/>
  <c r="D3368" i="146"/>
  <c r="A3368" i="146"/>
  <c r="D3367" i="146"/>
  <c r="A3367" i="146"/>
  <c r="D3366" i="146"/>
  <c r="A3366" i="146"/>
  <c r="D3365" i="146"/>
  <c r="A3365" i="146"/>
  <c r="D3364" i="146"/>
  <c r="A3364" i="146"/>
  <c r="D3363" i="146"/>
  <c r="A3363" i="146"/>
  <c r="D3362" i="146"/>
  <c r="A3362" i="146"/>
  <c r="D3361" i="146"/>
  <c r="A3361" i="146"/>
  <c r="D3360" i="146"/>
  <c r="A3360" i="146"/>
  <c r="D3359" i="146"/>
  <c r="A3359" i="146"/>
  <c r="D3358" i="146"/>
  <c r="A3358" i="146"/>
  <c r="D3357" i="146"/>
  <c r="A3357" i="146"/>
  <c r="D3356" i="146"/>
  <c r="A3356" i="146"/>
  <c r="D3355" i="146"/>
  <c r="A3355" i="146"/>
  <c r="D3354" i="146"/>
  <c r="A3354" i="146"/>
  <c r="D3353" i="146"/>
  <c r="A3353" i="146"/>
  <c r="D3352" i="146"/>
  <c r="A3352" i="146"/>
  <c r="D3351" i="146"/>
  <c r="A3351" i="146"/>
  <c r="D3350" i="146"/>
  <c r="A3350" i="146"/>
  <c r="D3349" i="146"/>
  <c r="A3349" i="146"/>
  <c r="D3348" i="146"/>
  <c r="A3348" i="146"/>
  <c r="D3347" i="146"/>
  <c r="A3347" i="146"/>
  <c r="D3346" i="146"/>
  <c r="A3346" i="146"/>
  <c r="D3345" i="146"/>
  <c r="A3345" i="146"/>
  <c r="D3344" i="146"/>
  <c r="A3344" i="146"/>
  <c r="D3343" i="146"/>
  <c r="A3343" i="146"/>
  <c r="D3342" i="146"/>
  <c r="A3342" i="146"/>
  <c r="D3341" i="146"/>
  <c r="A3341" i="146"/>
  <c r="D3340" i="146"/>
  <c r="A3340" i="146"/>
  <c r="D3339" i="146"/>
  <c r="A3339" i="146"/>
  <c r="D3338" i="146"/>
  <c r="A3338" i="146"/>
  <c r="D3337" i="146"/>
  <c r="A3337" i="146"/>
  <c r="D3336" i="146"/>
  <c r="A3336" i="146"/>
  <c r="D3335" i="146"/>
  <c r="A3335" i="146"/>
  <c r="D3334" i="146"/>
  <c r="A3334" i="146"/>
  <c r="D3333" i="146"/>
  <c r="A3333" i="146"/>
  <c r="D3332" i="146"/>
  <c r="A3332" i="146"/>
  <c r="D3331" i="146"/>
  <c r="A3331" i="146"/>
  <c r="D3330" i="146"/>
  <c r="A3330" i="146"/>
  <c r="D3329" i="146"/>
  <c r="A3329" i="146"/>
  <c r="D3328" i="146"/>
  <c r="A3328" i="146"/>
  <c r="D3327" i="146"/>
  <c r="A3327" i="146"/>
  <c r="D3326" i="146"/>
  <c r="A3326" i="146"/>
  <c r="D3325" i="146"/>
  <c r="A3325" i="146"/>
  <c r="D3324" i="146"/>
  <c r="A3324" i="146"/>
  <c r="D3323" i="146"/>
  <c r="A3323" i="146"/>
  <c r="D3322" i="146"/>
  <c r="A3322" i="146"/>
  <c r="D3321" i="146"/>
  <c r="A3321" i="146"/>
  <c r="D3320" i="146"/>
  <c r="A3320" i="146"/>
  <c r="D3319" i="146"/>
  <c r="A3319" i="146"/>
  <c r="D3318" i="146"/>
  <c r="A3318" i="146"/>
  <c r="D3317" i="146"/>
  <c r="A3317" i="146"/>
  <c r="D3316" i="146"/>
  <c r="A3316" i="146"/>
  <c r="D3315" i="146"/>
  <c r="A3315" i="146"/>
  <c r="D3314" i="146"/>
  <c r="A3314" i="146"/>
  <c r="D3313" i="146"/>
  <c r="A3313" i="146"/>
  <c r="D3312" i="146"/>
  <c r="A3312" i="146"/>
  <c r="D3311" i="146"/>
  <c r="A3311" i="146"/>
  <c r="D3310" i="146"/>
  <c r="A3310" i="146"/>
  <c r="D3309" i="146"/>
  <c r="A3309" i="146"/>
  <c r="D3308" i="146"/>
  <c r="A3308" i="146"/>
  <c r="D3307" i="146"/>
  <c r="A3307" i="146"/>
  <c r="D3306" i="146"/>
  <c r="A3306" i="146"/>
  <c r="D3305" i="146"/>
  <c r="A3305" i="146"/>
  <c r="D3304" i="146"/>
  <c r="A3304" i="146"/>
  <c r="D3303" i="146"/>
  <c r="A3303" i="146"/>
  <c r="D3302" i="146"/>
  <c r="A3302" i="146"/>
  <c r="D3301" i="146"/>
  <c r="A3301" i="146"/>
  <c r="D3300" i="146"/>
  <c r="A3300" i="146"/>
  <c r="D3299" i="146"/>
  <c r="A3299" i="146"/>
  <c r="D3298" i="146"/>
  <c r="A3298" i="146"/>
  <c r="D3297" i="146"/>
  <c r="A3297" i="146"/>
  <c r="D3296" i="146"/>
  <c r="A3296" i="146"/>
  <c r="D3295" i="146"/>
  <c r="A3295" i="146"/>
  <c r="D3294" i="146"/>
  <c r="A3294" i="146"/>
  <c r="D3293" i="146"/>
  <c r="A3293" i="146"/>
  <c r="D3292" i="146"/>
  <c r="A3292" i="146"/>
  <c r="D3291" i="146"/>
  <c r="A3291" i="146"/>
  <c r="D3290" i="146"/>
  <c r="A3290" i="146"/>
  <c r="D3289" i="146"/>
  <c r="A3289" i="146"/>
  <c r="D3288" i="146"/>
  <c r="A3288" i="146"/>
  <c r="D3287" i="146"/>
  <c r="A3287" i="146"/>
  <c r="D3286" i="146"/>
  <c r="A3286" i="146"/>
  <c r="D3285" i="146"/>
  <c r="A3285" i="146"/>
  <c r="D3284" i="146"/>
  <c r="A3284" i="146"/>
  <c r="D3283" i="146"/>
  <c r="A3283" i="146"/>
  <c r="D3282" i="146"/>
  <c r="A3282" i="146"/>
  <c r="D3281" i="146"/>
  <c r="A3281" i="146"/>
  <c r="D3280" i="146"/>
  <c r="A3280" i="146"/>
  <c r="D3279" i="146"/>
  <c r="A3279" i="146"/>
  <c r="D3278" i="146"/>
  <c r="A3278" i="146"/>
  <c r="D3277" i="146"/>
  <c r="A3277" i="146"/>
  <c r="D3276" i="146"/>
  <c r="A3276" i="146"/>
  <c r="D3275" i="146"/>
  <c r="A3275" i="146"/>
  <c r="D3274" i="146"/>
  <c r="A3274" i="146"/>
  <c r="D3273" i="146"/>
  <c r="A3273" i="146"/>
  <c r="D3272" i="146"/>
  <c r="A3272" i="146"/>
  <c r="D3271" i="146"/>
  <c r="A3271" i="146"/>
  <c r="D3270" i="146"/>
  <c r="A3270" i="146"/>
  <c r="D3269" i="146"/>
  <c r="A3269" i="146"/>
  <c r="D3268" i="146"/>
  <c r="A3268" i="146"/>
  <c r="D3267" i="146"/>
  <c r="A3267" i="146"/>
  <c r="D3266" i="146"/>
  <c r="A3266" i="146"/>
  <c r="D3265" i="146"/>
  <c r="A3265" i="146"/>
  <c r="D3264" i="146"/>
  <c r="A3264" i="146"/>
  <c r="D3263" i="146"/>
  <c r="A3263" i="146"/>
  <c r="D3262" i="146"/>
  <c r="A3262" i="146"/>
  <c r="D3261" i="146"/>
  <c r="A3261" i="146"/>
  <c r="D3260" i="146"/>
  <c r="A3260" i="146"/>
  <c r="D3259" i="146"/>
  <c r="A3259" i="146"/>
  <c r="D3258" i="146"/>
  <c r="A3258" i="146"/>
  <c r="D3257" i="146"/>
  <c r="A3257" i="146"/>
  <c r="D3256" i="146"/>
  <c r="A3256" i="146"/>
  <c r="D3255" i="146"/>
  <c r="A3255" i="146"/>
  <c r="D3254" i="146"/>
  <c r="A3254" i="146"/>
  <c r="D3253" i="146"/>
  <c r="A3253" i="146"/>
  <c r="D3252" i="146"/>
  <c r="A3252" i="146"/>
  <c r="D3251" i="146"/>
  <c r="A3251" i="146"/>
  <c r="D3250" i="146"/>
  <c r="A3250" i="146"/>
  <c r="D3249" i="146"/>
  <c r="A3249" i="146"/>
  <c r="D3248" i="146"/>
  <c r="A3248" i="146"/>
  <c r="D3247" i="146"/>
  <c r="A3247" i="146"/>
  <c r="D3246" i="146"/>
  <c r="A3246" i="146"/>
  <c r="D3245" i="146"/>
  <c r="A3245" i="146"/>
  <c r="D3244" i="146"/>
  <c r="A3244" i="146"/>
  <c r="D3243" i="146"/>
  <c r="A3243" i="146"/>
  <c r="D3242" i="146"/>
  <c r="A3242" i="146"/>
  <c r="D3241" i="146"/>
  <c r="A3241" i="146"/>
  <c r="D3240" i="146"/>
  <c r="A3240" i="146"/>
  <c r="D3239" i="146"/>
  <c r="A3239" i="146"/>
  <c r="D3238" i="146"/>
  <c r="A3238" i="146"/>
  <c r="D3237" i="146"/>
  <c r="A3237" i="146"/>
  <c r="D3236" i="146"/>
  <c r="A3236" i="146"/>
  <c r="D3235" i="146"/>
  <c r="A3235" i="146"/>
  <c r="D3234" i="146"/>
  <c r="A3234" i="146"/>
  <c r="D3233" i="146"/>
  <c r="A3233" i="146"/>
  <c r="D3232" i="146"/>
  <c r="A3232" i="146"/>
  <c r="D3231" i="146"/>
  <c r="A3231" i="146"/>
  <c r="D3230" i="146"/>
  <c r="A3230" i="146"/>
  <c r="D3229" i="146"/>
  <c r="A3229" i="146"/>
  <c r="D3228" i="146"/>
  <c r="A3228" i="146"/>
  <c r="D3227" i="146"/>
  <c r="A3227" i="146"/>
  <c r="D3226" i="146"/>
  <c r="A3226" i="146"/>
  <c r="D3225" i="146"/>
  <c r="A3225" i="146"/>
  <c r="D3224" i="146"/>
  <c r="A3224" i="146"/>
  <c r="D3223" i="146"/>
  <c r="A3223" i="146"/>
  <c r="D3222" i="146"/>
  <c r="A3222" i="146"/>
  <c r="D3221" i="146"/>
  <c r="A3221" i="146"/>
  <c r="D3220" i="146"/>
  <c r="A3220" i="146"/>
  <c r="D3219" i="146"/>
  <c r="A3219" i="146"/>
  <c r="D3218" i="146"/>
  <c r="A3218" i="146"/>
  <c r="D3217" i="146"/>
  <c r="A3217" i="146"/>
  <c r="D3216" i="146"/>
  <c r="A3216" i="146"/>
  <c r="D3215" i="146"/>
  <c r="A3215" i="146"/>
  <c r="D3214" i="146"/>
  <c r="A3214" i="146"/>
  <c r="D3213" i="146"/>
  <c r="A3213" i="146"/>
  <c r="D3212" i="146"/>
  <c r="A3212" i="146"/>
  <c r="D3211" i="146"/>
  <c r="A3211" i="146"/>
  <c r="D3210" i="146"/>
  <c r="A3210" i="146"/>
  <c r="D3209" i="146"/>
  <c r="A3209" i="146"/>
  <c r="D3208" i="146"/>
  <c r="A3208" i="146"/>
  <c r="D3207" i="146"/>
  <c r="A3207" i="146"/>
  <c r="D3206" i="146"/>
  <c r="A3206" i="146"/>
  <c r="D3205" i="146"/>
  <c r="A3205" i="146"/>
  <c r="D3204" i="146"/>
  <c r="A3204" i="146"/>
  <c r="D3203" i="146"/>
  <c r="A3203" i="146"/>
  <c r="D3202" i="146"/>
  <c r="A3202" i="146"/>
  <c r="D3201" i="146"/>
  <c r="A3201" i="146"/>
  <c r="D3200" i="146"/>
  <c r="A3200" i="146"/>
  <c r="D3199" i="146"/>
  <c r="A3199" i="146"/>
  <c r="D3198" i="146"/>
  <c r="A3198" i="146"/>
  <c r="D3197" i="146"/>
  <c r="A3197" i="146"/>
  <c r="D3196" i="146"/>
  <c r="A3196" i="146"/>
  <c r="D3195" i="146"/>
  <c r="A3195" i="146"/>
  <c r="D3194" i="146"/>
  <c r="A3194" i="146"/>
  <c r="D3193" i="146"/>
  <c r="A3193" i="146"/>
  <c r="D3192" i="146"/>
  <c r="A3192" i="146"/>
  <c r="D3191" i="146"/>
  <c r="A3191" i="146"/>
  <c r="D3190" i="146"/>
  <c r="A3190" i="146"/>
  <c r="D3189" i="146"/>
  <c r="A3189" i="146"/>
  <c r="D3188" i="146"/>
  <c r="A3188" i="146"/>
  <c r="D3187" i="146"/>
  <c r="A3187" i="146"/>
  <c r="D3186" i="146"/>
  <c r="A3186" i="146"/>
  <c r="D3185" i="146"/>
  <c r="A3185" i="146"/>
  <c r="D3184" i="146"/>
  <c r="A3184" i="146"/>
  <c r="D3183" i="146"/>
  <c r="A3183" i="146"/>
  <c r="D3182" i="146"/>
  <c r="A3182" i="146"/>
  <c r="D3181" i="146"/>
  <c r="A3181" i="146"/>
  <c r="D3180" i="146"/>
  <c r="A3180" i="146"/>
  <c r="D3179" i="146"/>
  <c r="A3179" i="146"/>
  <c r="D3178" i="146"/>
  <c r="A3178" i="146"/>
  <c r="D3177" i="146"/>
  <c r="A3177" i="146"/>
  <c r="D3176" i="146"/>
  <c r="A3176" i="146"/>
  <c r="D3175" i="146"/>
  <c r="A3175" i="146"/>
  <c r="D3174" i="146"/>
  <c r="A3174" i="146"/>
  <c r="D3173" i="146"/>
  <c r="A3173" i="146"/>
  <c r="D3172" i="146"/>
  <c r="A3172" i="146"/>
  <c r="D3171" i="146"/>
  <c r="A3171" i="146"/>
  <c r="D3170" i="146"/>
  <c r="A3170" i="146"/>
  <c r="D3169" i="146"/>
  <c r="A3169" i="146"/>
  <c r="D3168" i="146"/>
  <c r="A3168" i="146"/>
  <c r="D3167" i="146"/>
  <c r="A3167" i="146"/>
  <c r="D3166" i="146"/>
  <c r="A3166" i="146"/>
  <c r="D3165" i="146"/>
  <c r="A3165" i="146"/>
  <c r="D3164" i="146"/>
  <c r="A3164" i="146"/>
  <c r="D3163" i="146"/>
  <c r="A3163" i="146"/>
  <c r="D3162" i="146"/>
  <c r="A3162" i="146"/>
  <c r="D3161" i="146"/>
  <c r="A3161" i="146"/>
  <c r="D3160" i="146"/>
  <c r="A3160" i="146"/>
  <c r="D3159" i="146"/>
  <c r="A3159" i="146"/>
  <c r="D3158" i="146"/>
  <c r="A3158" i="146"/>
  <c r="D3157" i="146"/>
  <c r="A3157" i="146"/>
  <c r="D3156" i="146"/>
  <c r="A3156" i="146"/>
  <c r="D3155" i="146"/>
  <c r="A3155" i="146"/>
  <c r="D3154" i="146"/>
  <c r="A3154" i="146"/>
  <c r="D3153" i="146"/>
  <c r="A3153" i="146"/>
  <c r="D3152" i="146"/>
  <c r="A3152" i="146"/>
  <c r="D3151" i="146"/>
  <c r="A3151" i="146"/>
  <c r="D3150" i="146"/>
  <c r="A3150" i="146"/>
  <c r="D3149" i="146"/>
  <c r="A3149" i="146"/>
  <c r="D3148" i="146"/>
  <c r="A3148" i="146"/>
  <c r="D3147" i="146"/>
  <c r="A3147" i="146"/>
  <c r="D3146" i="146"/>
  <c r="A3146" i="146"/>
  <c r="D3145" i="146"/>
  <c r="A3145" i="146"/>
  <c r="D3144" i="146"/>
  <c r="A3144" i="146"/>
  <c r="D3143" i="146"/>
  <c r="A3143" i="146"/>
  <c r="D3142" i="146"/>
  <c r="A3142" i="146"/>
  <c r="D3141" i="146"/>
  <c r="A3141" i="146"/>
  <c r="D3140" i="146"/>
  <c r="A3140" i="146"/>
  <c r="D3139" i="146"/>
  <c r="A3139" i="146"/>
  <c r="D3138" i="146"/>
  <c r="A3138" i="146"/>
  <c r="D3137" i="146"/>
  <c r="A3137" i="146"/>
  <c r="D3136" i="146"/>
  <c r="A3136" i="146"/>
  <c r="D3135" i="146"/>
  <c r="A3135" i="146"/>
  <c r="D3134" i="146"/>
  <c r="A3134" i="146"/>
  <c r="D3133" i="146"/>
  <c r="A3133" i="146"/>
  <c r="D3132" i="146"/>
  <c r="A3132" i="146"/>
  <c r="D3131" i="146"/>
  <c r="A3131" i="146"/>
  <c r="D3130" i="146"/>
  <c r="A3130" i="146"/>
  <c r="D3129" i="146"/>
  <c r="A3129" i="146"/>
  <c r="D3128" i="146"/>
  <c r="A3128" i="146"/>
  <c r="D3127" i="146"/>
  <c r="A3127" i="146"/>
  <c r="D3126" i="146"/>
  <c r="A3126" i="146"/>
  <c r="D3125" i="146"/>
  <c r="A3125" i="146"/>
  <c r="D3124" i="146"/>
  <c r="A3124" i="146"/>
  <c r="D3123" i="146"/>
  <c r="A3123" i="146"/>
  <c r="D3122" i="146"/>
  <c r="A3122" i="146"/>
  <c r="D3121" i="146"/>
  <c r="A3121" i="146"/>
  <c r="D3120" i="146"/>
  <c r="A3120" i="146"/>
  <c r="D3119" i="146"/>
  <c r="A3119" i="146"/>
  <c r="D3118" i="146"/>
  <c r="A3118" i="146"/>
  <c r="D3117" i="146"/>
  <c r="A3117" i="146"/>
  <c r="D3116" i="146"/>
  <c r="A3116" i="146"/>
  <c r="D3115" i="146"/>
  <c r="A3115" i="146"/>
  <c r="D3114" i="146"/>
  <c r="A3114" i="146"/>
  <c r="D3113" i="146"/>
  <c r="A3113" i="146"/>
  <c r="D3112" i="146"/>
  <c r="A3112" i="146"/>
  <c r="D3111" i="146"/>
  <c r="A3111" i="146"/>
  <c r="D3110" i="146"/>
  <c r="A3110" i="146"/>
  <c r="D3109" i="146"/>
  <c r="A3109" i="146"/>
  <c r="D3108" i="146"/>
  <c r="A3108" i="146"/>
  <c r="D3107" i="146"/>
  <c r="A3107" i="146"/>
  <c r="D3106" i="146"/>
  <c r="A3106" i="146"/>
  <c r="D3105" i="146"/>
  <c r="A3105" i="146"/>
  <c r="D3104" i="146"/>
  <c r="A3104" i="146"/>
  <c r="D3103" i="146"/>
  <c r="A3103" i="146"/>
  <c r="D3102" i="146"/>
  <c r="A3102" i="146"/>
  <c r="D3101" i="146"/>
  <c r="A3101" i="146"/>
  <c r="D3100" i="146"/>
  <c r="A3100" i="146"/>
  <c r="D3099" i="146"/>
  <c r="A3099" i="146"/>
  <c r="D3098" i="146"/>
  <c r="A3098" i="146"/>
  <c r="D3097" i="146"/>
  <c r="A3097" i="146"/>
  <c r="D3096" i="146"/>
  <c r="A3096" i="146"/>
  <c r="D3095" i="146"/>
  <c r="A3095" i="146"/>
  <c r="D3094" i="146"/>
  <c r="A3094" i="146"/>
  <c r="D3093" i="146"/>
  <c r="A3093" i="146"/>
  <c r="D3092" i="146"/>
  <c r="A3092" i="146"/>
  <c r="D3091" i="146"/>
  <c r="A3091" i="146"/>
  <c r="D3090" i="146"/>
  <c r="A3090" i="146"/>
  <c r="D3089" i="146"/>
  <c r="A3089" i="146"/>
  <c r="D3088" i="146"/>
  <c r="A3088" i="146"/>
  <c r="D3087" i="146"/>
  <c r="A3087" i="146"/>
  <c r="D3086" i="146"/>
  <c r="A3086" i="146"/>
  <c r="D3085" i="146"/>
  <c r="A3085" i="146"/>
  <c r="D3084" i="146"/>
  <c r="A3084" i="146"/>
  <c r="D3083" i="146"/>
  <c r="A3083" i="146"/>
  <c r="D3082" i="146"/>
  <c r="A3082" i="146"/>
  <c r="D3081" i="146"/>
  <c r="A3081" i="146"/>
  <c r="D3080" i="146"/>
  <c r="A3080" i="146"/>
  <c r="D3079" i="146"/>
  <c r="A3079" i="146"/>
  <c r="D3078" i="146"/>
  <c r="A3078" i="146"/>
  <c r="D3077" i="146"/>
  <c r="A3077" i="146"/>
  <c r="D3076" i="146"/>
  <c r="A3076" i="146"/>
  <c r="D3075" i="146"/>
  <c r="A3075" i="146"/>
  <c r="D3074" i="146"/>
  <c r="A3074" i="146"/>
  <c r="D3073" i="146"/>
  <c r="A3073" i="146"/>
  <c r="D3072" i="146"/>
  <c r="A3072" i="146"/>
  <c r="D3071" i="146"/>
  <c r="A3071" i="146"/>
  <c r="D3070" i="146"/>
  <c r="A3070" i="146"/>
  <c r="D3069" i="146"/>
  <c r="A3069" i="146"/>
  <c r="D3068" i="146"/>
  <c r="A3068" i="146"/>
  <c r="D3067" i="146"/>
  <c r="A3067" i="146"/>
  <c r="D3066" i="146"/>
  <c r="A3066" i="146"/>
  <c r="D3065" i="146"/>
  <c r="A3065" i="146"/>
  <c r="D3064" i="146"/>
  <c r="A3064" i="146"/>
  <c r="D3063" i="146"/>
  <c r="A3063" i="146"/>
  <c r="D3062" i="146"/>
  <c r="A3062" i="146"/>
  <c r="D3061" i="146"/>
  <c r="A3061" i="146"/>
  <c r="D3060" i="146"/>
  <c r="A3060" i="146"/>
  <c r="D3059" i="146"/>
  <c r="A3059" i="146"/>
  <c r="D3058" i="146"/>
  <c r="A3058" i="146"/>
  <c r="D3057" i="146"/>
  <c r="A3057" i="146"/>
  <c r="D3056" i="146"/>
  <c r="A3056" i="146"/>
  <c r="D3055" i="146"/>
  <c r="A3055" i="146"/>
  <c r="D3054" i="146"/>
  <c r="A3054" i="146"/>
  <c r="D3053" i="146"/>
  <c r="A3053" i="146"/>
  <c r="D3052" i="146"/>
  <c r="A3052" i="146"/>
  <c r="D3051" i="146"/>
  <c r="A3051" i="146"/>
  <c r="D3050" i="146"/>
  <c r="A3050" i="146"/>
  <c r="D3049" i="146"/>
  <c r="A3049" i="146"/>
  <c r="D3048" i="146"/>
  <c r="A3048" i="146"/>
  <c r="D3047" i="146"/>
  <c r="A3047" i="146"/>
  <c r="D3046" i="146"/>
  <c r="A3046" i="146"/>
  <c r="D3045" i="146"/>
  <c r="A3045" i="146"/>
  <c r="D3044" i="146"/>
  <c r="A3044" i="146"/>
  <c r="D3043" i="146"/>
  <c r="A3043" i="146"/>
  <c r="D3042" i="146"/>
  <c r="A3042" i="146"/>
  <c r="D3041" i="146"/>
  <c r="A3041" i="146"/>
  <c r="D3040" i="146"/>
  <c r="A3040" i="146"/>
  <c r="D3039" i="146"/>
  <c r="A3039" i="146"/>
  <c r="D3038" i="146"/>
  <c r="A3038" i="146"/>
  <c r="D3037" i="146"/>
  <c r="A3037" i="146"/>
  <c r="D3036" i="146"/>
  <c r="A3036" i="146"/>
  <c r="D3035" i="146"/>
  <c r="A3035" i="146"/>
  <c r="D3034" i="146"/>
  <c r="A3034" i="146"/>
  <c r="D3033" i="146"/>
  <c r="A3033" i="146"/>
  <c r="D3032" i="146"/>
  <c r="A3032" i="146"/>
  <c r="D3031" i="146"/>
  <c r="A3031" i="146"/>
  <c r="D3030" i="146"/>
  <c r="A3030" i="146"/>
  <c r="D3029" i="146"/>
  <c r="A3029" i="146"/>
  <c r="D3028" i="146"/>
  <c r="A3028" i="146"/>
  <c r="D3027" i="146"/>
  <c r="A3027" i="146"/>
  <c r="D3026" i="146"/>
  <c r="A3026" i="146"/>
  <c r="D3025" i="146"/>
  <c r="A3025" i="146"/>
  <c r="D3024" i="146"/>
  <c r="A3024" i="146"/>
  <c r="D3023" i="146"/>
  <c r="A3023" i="146"/>
  <c r="D3022" i="146"/>
  <c r="A3022" i="146"/>
  <c r="D3021" i="146"/>
  <c r="A3021" i="146"/>
  <c r="D3020" i="146"/>
  <c r="A3020" i="146"/>
  <c r="D3019" i="146"/>
  <c r="A3019" i="146"/>
  <c r="D3018" i="146"/>
  <c r="A3018" i="146"/>
  <c r="D3017" i="146"/>
  <c r="A3017" i="146"/>
  <c r="D3016" i="146"/>
  <c r="A3016" i="146"/>
  <c r="D3015" i="146"/>
  <c r="A3015" i="146"/>
  <c r="D3014" i="146"/>
  <c r="A3014" i="146"/>
  <c r="D3013" i="146"/>
  <c r="A3013" i="146"/>
  <c r="D3012" i="146"/>
  <c r="A3012" i="146"/>
  <c r="D3011" i="146"/>
  <c r="A3011" i="146"/>
  <c r="D3010" i="146"/>
  <c r="A3010" i="146"/>
  <c r="D3009" i="146"/>
  <c r="A3009" i="146"/>
  <c r="D3008" i="146"/>
  <c r="A3008" i="146"/>
  <c r="D3007" i="146"/>
  <c r="A3007" i="146"/>
  <c r="D3006" i="146"/>
  <c r="A3006" i="146"/>
  <c r="D3005" i="146"/>
  <c r="A3005" i="146"/>
  <c r="D3004" i="146"/>
  <c r="A3004" i="146"/>
  <c r="D3003" i="146"/>
  <c r="A3003" i="146"/>
  <c r="D3002" i="146"/>
  <c r="A3002" i="146"/>
  <c r="D3001" i="146"/>
  <c r="A3001" i="146"/>
  <c r="D3000" i="146"/>
  <c r="A3000" i="146"/>
  <c r="D2999" i="146"/>
  <c r="A2999" i="146"/>
  <c r="D2998" i="146"/>
  <c r="A2998" i="146"/>
  <c r="D2997" i="146"/>
  <c r="A2997" i="146"/>
  <c r="D2996" i="146"/>
  <c r="A2996" i="146"/>
  <c r="D2995" i="146"/>
  <c r="A2995" i="146"/>
  <c r="D2994" i="146"/>
  <c r="A2994" i="146"/>
  <c r="D2993" i="146"/>
  <c r="A2993" i="146"/>
  <c r="D2992" i="146"/>
  <c r="A2992" i="146"/>
  <c r="D2991" i="146"/>
  <c r="A2991" i="146"/>
  <c r="D2990" i="146"/>
  <c r="A2990" i="146"/>
  <c r="D2989" i="146"/>
  <c r="A2989" i="146"/>
  <c r="D2988" i="146"/>
  <c r="A2988" i="146"/>
  <c r="D2987" i="146"/>
  <c r="A2987" i="146"/>
  <c r="D2986" i="146"/>
  <c r="A2986" i="146"/>
  <c r="D2985" i="146"/>
  <c r="A2985" i="146"/>
  <c r="D2984" i="146"/>
  <c r="A2984" i="146"/>
  <c r="D2983" i="146"/>
  <c r="A2983" i="146"/>
  <c r="D2982" i="146"/>
  <c r="A2982" i="146"/>
  <c r="D2981" i="146"/>
  <c r="A2981" i="146"/>
  <c r="D2980" i="146"/>
  <c r="A2980" i="146"/>
  <c r="D2979" i="146"/>
  <c r="A2979" i="146"/>
  <c r="D2978" i="146"/>
  <c r="A2978" i="146"/>
  <c r="D2977" i="146"/>
  <c r="A2977" i="146"/>
  <c r="D2976" i="146"/>
  <c r="A2976" i="146"/>
  <c r="D2975" i="146"/>
  <c r="A2975" i="146"/>
  <c r="D2974" i="146"/>
  <c r="A2974" i="146"/>
  <c r="D2973" i="146"/>
  <c r="A2973" i="146"/>
  <c r="D2972" i="146"/>
  <c r="A2972" i="146"/>
  <c r="D2971" i="146"/>
  <c r="A2971" i="146"/>
  <c r="D2970" i="146"/>
  <c r="A2970" i="146"/>
  <c r="D2969" i="146"/>
  <c r="A2969" i="146"/>
  <c r="D2968" i="146"/>
  <c r="A2968" i="146"/>
  <c r="D2967" i="146"/>
  <c r="A2967" i="146"/>
  <c r="D2966" i="146"/>
  <c r="A2966" i="146"/>
  <c r="D2965" i="146"/>
  <c r="A2965" i="146"/>
  <c r="D2964" i="146"/>
  <c r="A2964" i="146"/>
  <c r="D2963" i="146"/>
  <c r="A2963" i="146"/>
  <c r="D2962" i="146"/>
  <c r="A2962" i="146"/>
  <c r="D2961" i="146"/>
  <c r="A2961" i="146"/>
  <c r="D2960" i="146"/>
  <c r="A2960" i="146"/>
  <c r="D2959" i="146"/>
  <c r="A2959" i="146"/>
  <c r="D2958" i="146"/>
  <c r="A2958" i="146"/>
  <c r="D2957" i="146"/>
  <c r="A2957" i="146"/>
  <c r="D2956" i="146"/>
  <c r="A2956" i="146"/>
  <c r="D2955" i="146"/>
  <c r="A2955" i="146"/>
  <c r="D2954" i="146"/>
  <c r="A2954" i="146"/>
  <c r="D2953" i="146"/>
  <c r="A2953" i="146"/>
  <c r="D2952" i="146"/>
  <c r="A2952" i="146"/>
  <c r="D2951" i="146"/>
  <c r="A2951" i="146"/>
  <c r="D2950" i="146"/>
  <c r="A2950" i="146"/>
  <c r="D2949" i="146"/>
  <c r="A2949" i="146"/>
  <c r="D2948" i="146"/>
  <c r="A2948" i="146"/>
  <c r="D2947" i="146"/>
  <c r="A2947" i="146"/>
  <c r="D2946" i="146"/>
  <c r="A2946" i="146"/>
  <c r="D2945" i="146"/>
  <c r="A2945" i="146"/>
  <c r="D2944" i="146"/>
  <c r="A2944" i="146"/>
  <c r="D2943" i="146"/>
  <c r="A2943" i="146"/>
  <c r="D2942" i="146"/>
  <c r="A2942" i="146"/>
  <c r="D2941" i="146"/>
  <c r="A2941" i="146"/>
  <c r="D2940" i="146"/>
  <c r="A2940" i="146"/>
  <c r="D2939" i="146"/>
  <c r="A2939" i="146"/>
  <c r="D2938" i="146"/>
  <c r="A2938" i="146"/>
  <c r="D2937" i="146"/>
  <c r="A2937" i="146"/>
  <c r="D2936" i="146"/>
  <c r="A2936" i="146"/>
  <c r="D2935" i="146"/>
  <c r="A2935" i="146"/>
  <c r="D2934" i="146"/>
  <c r="A2934" i="146"/>
  <c r="D2933" i="146"/>
  <c r="A2933" i="146"/>
  <c r="D2932" i="146"/>
  <c r="A2932" i="146"/>
  <c r="D2931" i="146"/>
  <c r="A2931" i="146"/>
  <c r="D2930" i="146"/>
  <c r="A2930" i="146"/>
  <c r="D2929" i="146"/>
  <c r="A2929" i="146"/>
  <c r="D2928" i="146"/>
  <c r="A2928" i="146"/>
  <c r="D2927" i="146"/>
  <c r="A2927" i="146"/>
  <c r="D2926" i="146"/>
  <c r="A2926" i="146"/>
  <c r="D2925" i="146"/>
  <c r="A2925" i="146"/>
  <c r="D2924" i="146"/>
  <c r="A2924" i="146"/>
  <c r="D2923" i="146"/>
  <c r="A2923" i="146"/>
  <c r="D2922" i="146"/>
  <c r="A2922" i="146"/>
  <c r="D2921" i="146"/>
  <c r="A2921" i="146"/>
  <c r="D2920" i="146"/>
  <c r="A2920" i="146"/>
  <c r="D2919" i="146"/>
  <c r="A2919" i="146"/>
  <c r="D2918" i="146"/>
  <c r="A2918" i="146"/>
  <c r="D2917" i="146"/>
  <c r="A2917" i="146"/>
  <c r="D2916" i="146"/>
  <c r="A2916" i="146"/>
  <c r="D2915" i="146"/>
  <c r="A2915" i="146"/>
  <c r="D2914" i="146"/>
  <c r="A2914" i="146"/>
  <c r="D2913" i="146"/>
  <c r="A2913" i="146"/>
  <c r="D2912" i="146"/>
  <c r="A2912" i="146"/>
  <c r="D2911" i="146"/>
  <c r="A2911" i="146"/>
  <c r="D2910" i="146"/>
  <c r="A2910" i="146"/>
  <c r="D2909" i="146"/>
  <c r="A2909" i="146"/>
  <c r="D2908" i="146"/>
  <c r="A2908" i="146"/>
  <c r="D2907" i="146"/>
  <c r="A2907" i="146"/>
  <c r="D2906" i="146"/>
  <c r="A2906" i="146"/>
  <c r="D2905" i="146"/>
  <c r="A2905" i="146"/>
  <c r="D2904" i="146"/>
  <c r="A2904" i="146"/>
  <c r="D2903" i="146"/>
  <c r="A2903" i="146"/>
  <c r="D2902" i="146"/>
  <c r="A2902" i="146"/>
  <c r="D2901" i="146"/>
  <c r="A2901" i="146"/>
  <c r="D2900" i="146"/>
  <c r="A2900" i="146"/>
  <c r="D2899" i="146"/>
  <c r="A2899" i="146"/>
  <c r="D2898" i="146"/>
  <c r="A2898" i="146"/>
  <c r="D2897" i="146"/>
  <c r="A2897" i="146"/>
  <c r="D2896" i="146"/>
  <c r="A2896" i="146"/>
  <c r="D2895" i="146"/>
  <c r="A2895" i="146"/>
  <c r="D2894" i="146"/>
  <c r="A2894" i="146"/>
  <c r="D2893" i="146"/>
  <c r="A2893" i="146"/>
  <c r="D2892" i="146"/>
  <c r="A2892" i="146"/>
  <c r="D2891" i="146"/>
  <c r="A2891" i="146"/>
  <c r="D2890" i="146"/>
  <c r="A2890" i="146"/>
  <c r="D2889" i="146"/>
  <c r="A2889" i="146"/>
  <c r="D2888" i="146"/>
  <c r="A2888" i="146"/>
  <c r="D2887" i="146"/>
  <c r="A2887" i="146"/>
  <c r="D2886" i="146"/>
  <c r="A2886" i="146"/>
  <c r="D2885" i="146"/>
  <c r="A2885" i="146"/>
  <c r="D2884" i="146"/>
  <c r="A2884" i="146"/>
  <c r="D2883" i="146"/>
  <c r="A2883" i="146"/>
  <c r="D2882" i="146"/>
  <c r="A2882" i="146"/>
  <c r="D2881" i="146"/>
  <c r="A2881" i="146"/>
  <c r="D2880" i="146"/>
  <c r="A2880" i="146"/>
  <c r="D2879" i="146"/>
  <c r="A2879" i="146"/>
  <c r="D2878" i="146"/>
  <c r="A2878" i="146"/>
  <c r="D2877" i="146"/>
  <c r="A2877" i="146"/>
  <c r="D2876" i="146"/>
  <c r="A2876" i="146"/>
  <c r="D2875" i="146"/>
  <c r="A2875" i="146"/>
  <c r="D2874" i="146"/>
  <c r="A2874" i="146"/>
  <c r="D2873" i="146"/>
  <c r="A2873" i="146"/>
  <c r="D2872" i="146"/>
  <c r="A2872" i="146"/>
  <c r="D2871" i="146"/>
  <c r="A2871" i="146"/>
  <c r="D2870" i="146"/>
  <c r="A2870" i="146"/>
  <c r="D2869" i="146"/>
  <c r="A2869" i="146"/>
  <c r="D2868" i="146"/>
  <c r="A2868" i="146"/>
  <c r="D2867" i="146"/>
  <c r="A2867" i="146"/>
  <c r="D2866" i="146"/>
  <c r="A2866" i="146"/>
  <c r="D2865" i="146"/>
  <c r="A2865" i="146"/>
  <c r="D2864" i="146"/>
  <c r="A2864" i="146"/>
  <c r="D2863" i="146"/>
  <c r="A2863" i="146"/>
  <c r="D2862" i="146"/>
  <c r="A2862" i="146"/>
  <c r="D2861" i="146"/>
  <c r="A2861" i="146"/>
  <c r="D2860" i="146"/>
  <c r="A2860" i="146"/>
  <c r="D2859" i="146"/>
  <c r="A2859" i="146"/>
  <c r="D2858" i="146"/>
  <c r="A2858" i="146"/>
  <c r="D2857" i="146"/>
  <c r="A2857" i="146"/>
  <c r="D2856" i="146"/>
  <c r="A2856" i="146"/>
  <c r="D2855" i="146"/>
  <c r="A2855" i="146"/>
  <c r="D2854" i="146"/>
  <c r="A2854" i="146"/>
  <c r="D2853" i="146"/>
  <c r="A2853" i="146"/>
  <c r="D2852" i="146"/>
  <c r="A2852" i="146"/>
  <c r="D2851" i="146"/>
  <c r="A2851" i="146"/>
  <c r="D2850" i="146"/>
  <c r="A2850" i="146"/>
  <c r="D2849" i="146"/>
  <c r="A2849" i="146"/>
  <c r="D2848" i="146"/>
  <c r="A2848" i="146"/>
  <c r="D2847" i="146"/>
  <c r="A2847" i="146"/>
  <c r="D2846" i="146"/>
  <c r="A2846" i="146"/>
  <c r="D2845" i="146"/>
  <c r="A2845" i="146"/>
  <c r="D2844" i="146"/>
  <c r="A2844" i="146"/>
  <c r="D2843" i="146"/>
  <c r="A2843" i="146"/>
  <c r="D2842" i="146"/>
  <c r="A2842" i="146"/>
  <c r="D2841" i="146"/>
  <c r="A2841" i="146"/>
  <c r="D2840" i="146"/>
  <c r="A2840" i="146"/>
  <c r="D2839" i="146"/>
  <c r="A2839" i="146"/>
  <c r="D2838" i="146"/>
  <c r="A2838" i="146"/>
  <c r="D2837" i="146"/>
  <c r="A2837" i="146"/>
  <c r="D2836" i="146"/>
  <c r="A2836" i="146"/>
  <c r="D2835" i="146"/>
  <c r="A2835" i="146"/>
  <c r="D2834" i="146"/>
  <c r="A2834" i="146"/>
  <c r="D2833" i="146"/>
  <c r="A2833" i="146"/>
  <c r="D2832" i="146"/>
  <c r="A2832" i="146"/>
  <c r="D2831" i="146"/>
  <c r="A2831" i="146"/>
  <c r="D2830" i="146"/>
  <c r="A2830" i="146"/>
  <c r="D2829" i="146"/>
  <c r="A2829" i="146"/>
  <c r="D2828" i="146"/>
  <c r="A2828" i="146"/>
  <c r="D2827" i="146"/>
  <c r="A2827" i="146"/>
  <c r="D2826" i="146"/>
  <c r="A2826" i="146"/>
  <c r="D2825" i="146"/>
  <c r="A2825" i="146"/>
  <c r="D2824" i="146"/>
  <c r="A2824" i="146"/>
  <c r="D2823" i="146"/>
  <c r="A2823" i="146"/>
  <c r="D2822" i="146"/>
  <c r="A2822" i="146"/>
  <c r="D2821" i="146"/>
  <c r="A2821" i="146"/>
  <c r="D2820" i="146"/>
  <c r="A2820" i="146"/>
  <c r="D2819" i="146"/>
  <c r="A2819" i="146"/>
  <c r="D2818" i="146"/>
  <c r="A2818" i="146"/>
  <c r="D2817" i="146"/>
  <c r="A2817" i="146"/>
  <c r="D2816" i="146"/>
  <c r="A2816" i="146"/>
  <c r="D2815" i="146"/>
  <c r="A2815" i="146"/>
  <c r="D2814" i="146"/>
  <c r="A2814" i="146"/>
  <c r="D2813" i="146"/>
  <c r="A2813" i="146"/>
  <c r="D2812" i="146"/>
  <c r="A2812" i="146"/>
  <c r="D2811" i="146"/>
  <c r="A2811" i="146"/>
  <c r="D2810" i="146"/>
  <c r="A2810" i="146"/>
  <c r="D2809" i="146"/>
  <c r="A2809" i="146"/>
  <c r="D2808" i="146"/>
  <c r="A2808" i="146"/>
  <c r="D2807" i="146"/>
  <c r="A2807" i="146"/>
  <c r="D2806" i="146"/>
  <c r="A2806" i="146"/>
  <c r="D2805" i="146"/>
  <c r="A2805" i="146"/>
  <c r="D2804" i="146"/>
  <c r="A2804" i="146"/>
  <c r="D2803" i="146"/>
  <c r="A2803" i="146"/>
  <c r="D2802" i="146"/>
  <c r="A2802" i="146"/>
  <c r="D2801" i="146"/>
  <c r="A2801" i="146"/>
  <c r="D2800" i="146"/>
  <c r="A2800" i="146"/>
  <c r="D2799" i="146"/>
  <c r="A2799" i="146"/>
  <c r="D2798" i="146"/>
  <c r="A2798" i="146"/>
  <c r="D2797" i="146"/>
  <c r="A2797" i="146"/>
  <c r="D2796" i="146"/>
  <c r="A2796" i="146"/>
  <c r="D2795" i="146"/>
  <c r="A2795" i="146"/>
  <c r="D2794" i="146"/>
  <c r="A2794" i="146"/>
  <c r="D2793" i="146"/>
  <c r="A2793" i="146"/>
  <c r="D2792" i="146"/>
  <c r="A2792" i="146"/>
  <c r="D2791" i="146"/>
  <c r="A2791" i="146"/>
  <c r="D2790" i="146"/>
  <c r="A2790" i="146"/>
  <c r="D2789" i="146"/>
  <c r="A2789" i="146"/>
  <c r="D2788" i="146"/>
  <c r="A2788" i="146"/>
  <c r="D2787" i="146"/>
  <c r="A2787" i="146"/>
  <c r="D2786" i="146"/>
  <c r="A2786" i="146"/>
  <c r="D2785" i="146"/>
  <c r="A2785" i="146"/>
  <c r="D2784" i="146"/>
  <c r="A2784" i="146"/>
  <c r="D2783" i="146"/>
  <c r="A2783" i="146"/>
  <c r="D2782" i="146"/>
  <c r="A2782" i="146"/>
  <c r="D2781" i="146"/>
  <c r="A2781" i="146"/>
  <c r="D2780" i="146"/>
  <c r="A2780" i="146"/>
  <c r="D2779" i="146"/>
  <c r="A2779" i="146"/>
  <c r="D2778" i="146"/>
  <c r="A2778" i="146"/>
  <c r="D2777" i="146"/>
  <c r="A2777" i="146"/>
  <c r="D2776" i="146"/>
  <c r="A2776" i="146"/>
  <c r="D2775" i="146"/>
  <c r="A2775" i="146"/>
  <c r="D2774" i="146"/>
  <c r="A2774" i="146"/>
  <c r="D2773" i="146"/>
  <c r="A2773" i="146"/>
  <c r="D2772" i="146"/>
  <c r="A2772" i="146"/>
  <c r="D2771" i="146"/>
  <c r="A2771" i="146"/>
  <c r="D2770" i="146"/>
  <c r="A2770" i="146"/>
  <c r="D2769" i="146"/>
  <c r="A2769" i="146"/>
  <c r="D2768" i="146"/>
  <c r="A2768" i="146"/>
  <c r="D2767" i="146"/>
  <c r="A2767" i="146"/>
  <c r="D2766" i="146"/>
  <c r="A2766" i="146"/>
  <c r="D2765" i="146"/>
  <c r="A2765" i="146"/>
  <c r="D2764" i="146"/>
  <c r="A2764" i="146"/>
  <c r="D2763" i="146"/>
  <c r="A2763" i="146"/>
  <c r="D2762" i="146"/>
  <c r="A2762" i="146"/>
  <c r="D2761" i="146"/>
  <c r="A2761" i="146"/>
  <c r="D2760" i="146"/>
  <c r="A2760" i="146"/>
  <c r="D2759" i="146"/>
  <c r="A2759" i="146"/>
  <c r="D2758" i="146"/>
  <c r="A2758" i="146"/>
  <c r="D2757" i="146"/>
  <c r="A2757" i="146"/>
  <c r="D2756" i="146"/>
  <c r="A2756" i="146"/>
  <c r="D2755" i="146"/>
  <c r="A2755" i="146"/>
  <c r="D2754" i="146"/>
  <c r="A2754" i="146"/>
  <c r="D2753" i="146"/>
  <c r="A2753" i="146"/>
  <c r="D2752" i="146"/>
  <c r="A2752" i="146"/>
  <c r="D2751" i="146"/>
  <c r="A2751" i="146"/>
  <c r="D2750" i="146"/>
  <c r="A2750" i="146"/>
  <c r="D2749" i="146"/>
  <c r="A2749" i="146"/>
  <c r="D2748" i="146"/>
  <c r="A2748" i="146"/>
  <c r="D2747" i="146"/>
  <c r="A2747" i="146"/>
  <c r="D2746" i="146"/>
  <c r="A2746" i="146"/>
  <c r="D2745" i="146"/>
  <c r="A2745" i="146"/>
  <c r="D2744" i="146"/>
  <c r="A2744" i="146"/>
  <c r="D2743" i="146"/>
  <c r="A2743" i="146"/>
  <c r="D2742" i="146"/>
  <c r="A2742" i="146"/>
  <c r="D2741" i="146"/>
  <c r="A2741" i="146"/>
  <c r="D2740" i="146"/>
  <c r="A2740" i="146"/>
  <c r="D2739" i="146"/>
  <c r="A2739" i="146"/>
  <c r="D2738" i="146"/>
  <c r="A2738" i="146"/>
  <c r="D2737" i="146"/>
  <c r="A2737" i="146"/>
  <c r="D2736" i="146"/>
  <c r="A2736" i="146"/>
  <c r="D2735" i="146"/>
  <c r="A2735" i="146"/>
  <c r="D2734" i="146"/>
  <c r="A2734" i="146"/>
  <c r="D2733" i="146"/>
  <c r="A2733" i="146"/>
  <c r="D2732" i="146"/>
  <c r="A2732" i="146"/>
  <c r="D2731" i="146"/>
  <c r="A2731" i="146"/>
  <c r="D2730" i="146"/>
  <c r="A2730" i="146"/>
  <c r="D2729" i="146"/>
  <c r="A2729" i="146"/>
  <c r="D2728" i="146"/>
  <c r="A2728" i="146"/>
  <c r="D2727" i="146"/>
  <c r="A2727" i="146"/>
  <c r="D2726" i="146"/>
  <c r="A2726" i="146"/>
  <c r="D2725" i="146"/>
  <c r="A2725" i="146"/>
  <c r="D2724" i="146"/>
  <c r="A2724" i="146"/>
  <c r="D2723" i="146"/>
  <c r="A2723" i="146"/>
  <c r="D2722" i="146"/>
  <c r="A2722" i="146"/>
  <c r="D2721" i="146"/>
  <c r="A2721" i="146"/>
  <c r="D2720" i="146"/>
  <c r="A2720" i="146"/>
  <c r="D2719" i="146"/>
  <c r="A2719" i="146"/>
  <c r="D2718" i="146"/>
  <c r="A2718" i="146"/>
  <c r="D2717" i="146"/>
  <c r="A2717" i="146"/>
  <c r="D2716" i="146"/>
  <c r="A2716" i="146"/>
  <c r="D2715" i="146"/>
  <c r="A2715" i="146"/>
  <c r="D2714" i="146"/>
  <c r="A2714" i="146"/>
  <c r="D2713" i="146"/>
  <c r="A2713" i="146"/>
  <c r="D2712" i="146"/>
  <c r="A2712" i="146"/>
  <c r="D2711" i="146"/>
  <c r="A2711" i="146"/>
  <c r="D2710" i="146"/>
  <c r="A2710" i="146"/>
  <c r="D2709" i="146"/>
  <c r="A2709" i="146"/>
  <c r="D2708" i="146"/>
  <c r="A2708" i="146"/>
  <c r="D2707" i="146"/>
  <c r="A2707" i="146"/>
  <c r="D2706" i="146"/>
  <c r="A2706" i="146"/>
  <c r="D2705" i="146"/>
  <c r="A2705" i="146"/>
  <c r="D2704" i="146"/>
  <c r="A2704" i="146"/>
  <c r="D2703" i="146"/>
  <c r="A2703" i="146"/>
  <c r="D2702" i="146"/>
  <c r="A2702" i="146"/>
  <c r="D2701" i="146"/>
  <c r="A2701" i="146"/>
  <c r="D2700" i="146"/>
  <c r="A2700" i="146"/>
  <c r="D2699" i="146"/>
  <c r="A2699" i="146"/>
  <c r="D2698" i="146"/>
  <c r="A2698" i="146"/>
  <c r="D2697" i="146"/>
  <c r="A2697" i="146"/>
  <c r="D2696" i="146"/>
  <c r="A2696" i="146"/>
  <c r="D2695" i="146"/>
  <c r="A2695" i="146"/>
  <c r="D2694" i="146"/>
  <c r="A2694" i="146"/>
  <c r="D2693" i="146"/>
  <c r="A2693" i="146"/>
  <c r="D2692" i="146"/>
  <c r="A2692" i="146"/>
  <c r="D2691" i="146"/>
  <c r="A2691" i="146"/>
  <c r="D2690" i="146"/>
  <c r="A2690" i="146"/>
  <c r="D2689" i="146"/>
  <c r="A2689" i="146"/>
  <c r="D2688" i="146"/>
  <c r="A2688" i="146"/>
  <c r="D2687" i="146"/>
  <c r="A2687" i="146"/>
  <c r="D2686" i="146"/>
  <c r="A2686" i="146"/>
  <c r="D2685" i="146"/>
  <c r="A2685" i="146"/>
  <c r="D2684" i="146"/>
  <c r="A2684" i="146"/>
  <c r="D2683" i="146"/>
  <c r="A2683" i="146"/>
  <c r="D2682" i="146"/>
  <c r="A2682" i="146"/>
  <c r="D2681" i="146"/>
  <c r="A2681" i="146"/>
  <c r="D2680" i="146"/>
  <c r="A2680" i="146"/>
  <c r="D2679" i="146"/>
  <c r="A2679" i="146"/>
  <c r="D2678" i="146"/>
  <c r="A2678" i="146"/>
  <c r="D2677" i="146"/>
  <c r="A2677" i="146"/>
  <c r="D2676" i="146"/>
  <c r="A2676" i="146"/>
  <c r="D2675" i="146"/>
  <c r="A2675" i="146"/>
  <c r="D2674" i="146"/>
  <c r="A2674" i="146"/>
  <c r="D2673" i="146"/>
  <c r="A2673" i="146"/>
  <c r="D2672" i="146"/>
  <c r="A2672" i="146"/>
  <c r="D2671" i="146"/>
  <c r="A2671" i="146"/>
  <c r="D2670" i="146"/>
  <c r="A2670" i="146"/>
  <c r="D2669" i="146"/>
  <c r="A2669" i="146"/>
  <c r="D2668" i="146"/>
  <c r="A2668" i="146"/>
  <c r="D2667" i="146"/>
  <c r="A2667" i="146"/>
  <c r="D2666" i="146"/>
  <c r="A2666" i="146"/>
  <c r="D2665" i="146"/>
  <c r="A2665" i="146"/>
  <c r="D2664" i="146"/>
  <c r="A2664" i="146"/>
  <c r="D2663" i="146"/>
  <c r="A2663" i="146"/>
  <c r="D2662" i="146"/>
  <c r="A2662" i="146"/>
  <c r="D2661" i="146"/>
  <c r="A2661" i="146"/>
  <c r="D2660" i="146"/>
  <c r="A2660" i="146"/>
  <c r="D2659" i="146"/>
  <c r="A2659" i="146"/>
  <c r="D2658" i="146"/>
  <c r="A2658" i="146"/>
  <c r="D2657" i="146"/>
  <c r="A2657" i="146"/>
  <c r="D2656" i="146"/>
  <c r="A2656" i="146"/>
  <c r="D2655" i="146"/>
  <c r="A2655" i="146"/>
  <c r="D2654" i="146"/>
  <c r="A2654" i="146"/>
  <c r="D2653" i="146"/>
  <c r="A2653" i="146"/>
  <c r="D2652" i="146"/>
  <c r="A2652" i="146"/>
  <c r="D2651" i="146"/>
  <c r="A2651" i="146"/>
  <c r="D2650" i="146"/>
  <c r="A2650" i="146"/>
  <c r="D2649" i="146"/>
  <c r="A2649" i="146"/>
  <c r="D2648" i="146"/>
  <c r="A2648" i="146"/>
  <c r="D2647" i="146"/>
  <c r="A2647" i="146"/>
  <c r="D2646" i="146"/>
  <c r="A2646" i="146"/>
  <c r="D2645" i="146"/>
  <c r="A2645" i="146"/>
  <c r="D2644" i="146"/>
  <c r="A2644" i="146"/>
  <c r="D2643" i="146"/>
  <c r="A2643" i="146"/>
  <c r="D2642" i="146"/>
  <c r="A2642" i="146"/>
  <c r="D2641" i="146"/>
  <c r="A2641" i="146"/>
  <c r="D2640" i="146"/>
  <c r="A2640" i="146"/>
  <c r="D2639" i="146"/>
  <c r="A2639" i="146"/>
  <c r="D2638" i="146"/>
  <c r="A2638" i="146"/>
  <c r="D2637" i="146"/>
  <c r="A2637" i="146"/>
  <c r="D2636" i="146"/>
  <c r="A2636" i="146"/>
  <c r="D2635" i="146"/>
  <c r="A2635" i="146"/>
  <c r="D2634" i="146"/>
  <c r="A2634" i="146"/>
  <c r="D2633" i="146"/>
  <c r="A2633" i="146"/>
  <c r="D2632" i="146"/>
  <c r="A2632" i="146"/>
  <c r="D2631" i="146"/>
  <c r="A2631" i="146"/>
  <c r="D2630" i="146"/>
  <c r="A2630" i="146"/>
  <c r="D2629" i="146"/>
  <c r="A2629" i="146"/>
  <c r="D2628" i="146"/>
  <c r="A2628" i="146"/>
  <c r="D2627" i="146"/>
  <c r="A2627" i="146"/>
  <c r="D2626" i="146"/>
  <c r="A2626" i="146"/>
  <c r="D2625" i="146"/>
  <c r="A2625" i="146"/>
  <c r="D2624" i="146"/>
  <c r="A2624" i="146"/>
  <c r="D2623" i="146"/>
  <c r="A2623" i="146"/>
  <c r="D2622" i="146"/>
  <c r="A2622" i="146"/>
  <c r="D2621" i="146"/>
  <c r="A2621" i="146"/>
  <c r="D2620" i="146"/>
  <c r="A2620" i="146"/>
  <c r="D2619" i="146"/>
  <c r="A2619" i="146"/>
  <c r="D2618" i="146"/>
  <c r="A2618" i="146"/>
  <c r="D2617" i="146"/>
  <c r="A2617" i="146"/>
  <c r="D2616" i="146"/>
  <c r="A2616" i="146"/>
  <c r="D2615" i="146"/>
  <c r="A2615" i="146"/>
  <c r="D2614" i="146"/>
  <c r="A2614" i="146"/>
  <c r="D2613" i="146"/>
  <c r="A2613" i="146"/>
  <c r="D2612" i="146"/>
  <c r="A2612" i="146"/>
  <c r="D2611" i="146"/>
  <c r="A2611" i="146"/>
  <c r="D2610" i="146"/>
  <c r="A2610" i="146"/>
  <c r="D2609" i="146"/>
  <c r="A2609" i="146"/>
  <c r="D2608" i="146"/>
  <c r="A2608" i="146"/>
  <c r="D2607" i="146"/>
  <c r="A2607" i="146"/>
  <c r="D2606" i="146"/>
  <c r="A2606" i="146"/>
  <c r="D2605" i="146"/>
  <c r="A2605" i="146"/>
  <c r="D2604" i="146"/>
  <c r="A2604" i="146"/>
  <c r="D2603" i="146"/>
  <c r="A2603" i="146"/>
  <c r="D2602" i="146"/>
  <c r="A2602" i="146"/>
  <c r="D2601" i="146"/>
  <c r="A2601" i="146"/>
  <c r="D2600" i="146"/>
  <c r="A2600" i="146"/>
  <c r="D2599" i="146"/>
  <c r="A2599" i="146"/>
  <c r="D2598" i="146"/>
  <c r="A2598" i="146"/>
  <c r="D2597" i="146"/>
  <c r="A2597" i="146"/>
  <c r="D2596" i="146"/>
  <c r="A2596" i="146"/>
  <c r="D2595" i="146"/>
  <c r="A2595" i="146"/>
  <c r="D2594" i="146"/>
  <c r="A2594" i="146"/>
  <c r="D2593" i="146"/>
  <c r="A2593" i="146"/>
  <c r="D2592" i="146"/>
  <c r="A2592" i="146"/>
  <c r="D2591" i="146"/>
  <c r="A2591" i="146"/>
  <c r="D2590" i="146"/>
  <c r="A2590" i="146"/>
  <c r="D2589" i="146"/>
  <c r="A2589" i="146"/>
  <c r="D2588" i="146"/>
  <c r="A2588" i="146"/>
  <c r="D2587" i="146"/>
  <c r="A2587" i="146"/>
  <c r="D2586" i="146"/>
  <c r="A2586" i="146"/>
  <c r="D2585" i="146"/>
  <c r="A2585" i="146"/>
  <c r="D2584" i="146"/>
  <c r="A2584" i="146"/>
  <c r="D2583" i="146"/>
  <c r="A2583" i="146"/>
  <c r="D2582" i="146"/>
  <c r="A2582" i="146"/>
  <c r="D2581" i="146"/>
  <c r="A2581" i="146"/>
  <c r="D2580" i="146"/>
  <c r="A2580" i="146"/>
  <c r="D2579" i="146"/>
  <c r="A2579" i="146"/>
  <c r="D2578" i="146"/>
  <c r="A2578" i="146"/>
  <c r="D2577" i="146"/>
  <c r="A2577" i="146"/>
  <c r="D2576" i="146"/>
  <c r="A2576" i="146"/>
  <c r="D2575" i="146"/>
  <c r="A2575" i="146"/>
  <c r="D2574" i="146"/>
  <c r="A2574" i="146"/>
  <c r="D2573" i="146"/>
  <c r="A2573" i="146"/>
  <c r="D2572" i="146"/>
  <c r="A2572" i="146"/>
  <c r="D2571" i="146"/>
  <c r="A2571" i="146"/>
  <c r="D2570" i="146"/>
  <c r="A2570" i="146"/>
  <c r="D2569" i="146"/>
  <c r="A2569" i="146"/>
  <c r="D2568" i="146"/>
  <c r="A2568" i="146"/>
  <c r="D2567" i="146"/>
  <c r="A2567" i="146"/>
  <c r="D2566" i="146"/>
  <c r="A2566" i="146"/>
  <c r="D2565" i="146"/>
  <c r="A2565" i="146"/>
  <c r="D2564" i="146"/>
  <c r="A2564" i="146"/>
  <c r="D2563" i="146"/>
  <c r="A2563" i="146"/>
  <c r="D2562" i="146"/>
  <c r="A2562" i="146"/>
  <c r="D2561" i="146"/>
  <c r="A2561" i="146"/>
  <c r="D2560" i="146"/>
  <c r="A2560" i="146"/>
  <c r="D2559" i="146"/>
  <c r="A2559" i="146"/>
  <c r="D2558" i="146"/>
  <c r="A2558" i="146"/>
  <c r="D2557" i="146"/>
  <c r="A2557" i="146"/>
  <c r="D2556" i="146"/>
  <c r="A2556" i="146"/>
  <c r="D2555" i="146"/>
  <c r="A2555" i="146"/>
  <c r="D2554" i="146"/>
  <c r="A2554" i="146"/>
  <c r="D2553" i="146"/>
  <c r="A2553" i="146"/>
  <c r="D2552" i="146"/>
  <c r="A2552" i="146"/>
  <c r="D2551" i="146"/>
  <c r="A2551" i="146"/>
  <c r="D2550" i="146"/>
  <c r="A2550" i="146"/>
  <c r="D2549" i="146"/>
  <c r="A2549" i="146"/>
  <c r="D2548" i="146"/>
  <c r="A2548" i="146"/>
  <c r="D2547" i="146"/>
  <c r="A2547" i="146"/>
  <c r="D2546" i="146"/>
  <c r="A2546" i="146"/>
  <c r="D2545" i="146"/>
  <c r="A2545" i="146"/>
  <c r="D2544" i="146"/>
  <c r="A2544" i="146"/>
  <c r="D2543" i="146"/>
  <c r="A2543" i="146"/>
  <c r="D2542" i="146"/>
  <c r="A2542" i="146"/>
  <c r="D2541" i="146"/>
  <c r="A2541" i="146"/>
  <c r="D2540" i="146"/>
  <c r="A2540" i="146"/>
  <c r="D2539" i="146"/>
  <c r="A2539" i="146"/>
  <c r="D2538" i="146"/>
  <c r="A2538" i="146"/>
  <c r="D2537" i="146"/>
  <c r="A2537" i="146"/>
  <c r="D2536" i="146"/>
  <c r="A2536" i="146"/>
  <c r="D2535" i="146"/>
  <c r="A2535" i="146"/>
  <c r="D2534" i="146"/>
  <c r="A2534" i="146"/>
  <c r="D2533" i="146"/>
  <c r="A2533" i="146"/>
  <c r="D2532" i="146"/>
  <c r="A2532" i="146"/>
  <c r="D2531" i="146"/>
  <c r="A2531" i="146"/>
  <c r="D2530" i="146"/>
  <c r="A2530" i="146"/>
  <c r="D2529" i="146"/>
  <c r="A2529" i="146"/>
  <c r="D2528" i="146"/>
  <c r="A2528" i="146"/>
  <c r="D2527" i="146"/>
  <c r="A2527" i="146"/>
  <c r="D2526" i="146"/>
  <c r="A2526" i="146"/>
  <c r="D2525" i="146"/>
  <c r="A2525" i="146"/>
  <c r="D2524" i="146"/>
  <c r="A2524" i="146"/>
  <c r="D2523" i="146"/>
  <c r="A2523" i="146"/>
  <c r="D2522" i="146"/>
  <c r="A2522" i="146"/>
  <c r="D2521" i="146"/>
  <c r="A2521" i="146"/>
  <c r="D2520" i="146"/>
  <c r="A2520" i="146"/>
  <c r="D2519" i="146"/>
  <c r="A2519" i="146"/>
  <c r="D2518" i="146"/>
  <c r="A2518" i="146"/>
  <c r="D2517" i="146"/>
  <c r="A2517" i="146"/>
  <c r="D2516" i="146"/>
  <c r="A2516" i="146"/>
  <c r="D2515" i="146"/>
  <c r="A2515" i="146"/>
  <c r="D2514" i="146"/>
  <c r="A2514" i="146"/>
  <c r="D2513" i="146"/>
  <c r="A2513" i="146"/>
  <c r="D2512" i="146"/>
  <c r="A2512" i="146"/>
  <c r="D2511" i="146"/>
  <c r="A2511" i="146"/>
  <c r="D2510" i="146"/>
  <c r="A2510" i="146"/>
  <c r="D2509" i="146"/>
  <c r="A2509" i="146"/>
  <c r="D2508" i="146"/>
  <c r="A2508" i="146"/>
  <c r="D2507" i="146"/>
  <c r="A2507" i="146"/>
  <c r="D2506" i="146"/>
  <c r="A2506" i="146"/>
  <c r="D2505" i="146"/>
  <c r="A2505" i="146"/>
  <c r="D2504" i="146"/>
  <c r="A2504" i="146"/>
  <c r="D2503" i="146"/>
  <c r="A2503" i="146"/>
  <c r="D2502" i="146"/>
  <c r="A2502" i="146"/>
  <c r="D2501" i="146"/>
  <c r="A2501" i="146"/>
  <c r="D2500" i="146"/>
  <c r="A2500" i="146"/>
  <c r="D2499" i="146"/>
  <c r="A2499" i="146"/>
  <c r="D2498" i="146"/>
  <c r="A2498" i="146"/>
  <c r="D2497" i="146"/>
  <c r="A2497" i="146"/>
  <c r="D2496" i="146"/>
  <c r="A2496" i="146"/>
  <c r="D2495" i="146"/>
  <c r="A2495" i="146"/>
  <c r="D2494" i="146"/>
  <c r="A2494" i="146"/>
  <c r="D2493" i="146"/>
  <c r="A2493" i="146"/>
  <c r="D2492" i="146"/>
  <c r="A2492" i="146"/>
  <c r="D2491" i="146"/>
  <c r="A2491" i="146"/>
  <c r="D2490" i="146"/>
  <c r="A2490" i="146"/>
  <c r="D2489" i="146"/>
  <c r="A2489" i="146"/>
  <c r="D2488" i="146"/>
  <c r="A2488" i="146"/>
  <c r="D2487" i="146"/>
  <c r="A2487" i="146"/>
  <c r="D2486" i="146"/>
  <c r="A2486" i="146"/>
  <c r="D2485" i="146"/>
  <c r="A2485" i="146"/>
  <c r="D2484" i="146"/>
  <c r="A2484" i="146"/>
  <c r="D2483" i="146"/>
  <c r="A2483" i="146"/>
  <c r="D2482" i="146"/>
  <c r="A2482" i="146"/>
  <c r="D2481" i="146"/>
  <c r="A2481" i="146"/>
  <c r="D2480" i="146"/>
  <c r="A2480" i="146"/>
  <c r="D2479" i="146"/>
  <c r="A2479" i="146"/>
  <c r="D2478" i="146"/>
  <c r="A2478" i="146"/>
  <c r="D2477" i="146"/>
  <c r="A2477" i="146"/>
  <c r="D2476" i="146"/>
  <c r="A2476" i="146"/>
  <c r="D2475" i="146"/>
  <c r="A2475" i="146"/>
  <c r="D2474" i="146"/>
  <c r="A2474" i="146"/>
  <c r="D2473" i="146"/>
  <c r="A2473" i="146"/>
  <c r="D2472" i="146"/>
  <c r="A2472" i="146"/>
  <c r="D2471" i="146"/>
  <c r="A2471" i="146"/>
  <c r="D2470" i="146"/>
  <c r="A2470" i="146"/>
  <c r="D2469" i="146"/>
  <c r="A2469" i="146"/>
  <c r="D2468" i="146"/>
  <c r="A2468" i="146"/>
  <c r="D2467" i="146"/>
  <c r="A2467" i="146"/>
  <c r="D2466" i="146"/>
  <c r="A2466" i="146"/>
  <c r="D2465" i="146"/>
  <c r="A2465" i="146"/>
  <c r="D2464" i="146"/>
  <c r="A2464" i="146"/>
  <c r="D2463" i="146"/>
  <c r="A2463" i="146"/>
  <c r="D2462" i="146"/>
  <c r="A2462" i="146"/>
  <c r="D2461" i="146"/>
  <c r="A2461" i="146"/>
  <c r="D2460" i="146"/>
  <c r="A2460" i="146"/>
  <c r="D2459" i="146"/>
  <c r="A2459" i="146"/>
  <c r="D2458" i="146"/>
  <c r="A2458" i="146"/>
  <c r="D2457" i="146"/>
  <c r="A2457" i="146"/>
  <c r="D2456" i="146"/>
  <c r="A2456" i="146"/>
  <c r="D2455" i="146"/>
  <c r="A2455" i="146"/>
  <c r="D2454" i="146"/>
  <c r="A2454" i="146"/>
  <c r="D2453" i="146"/>
  <c r="A2453" i="146"/>
  <c r="D2452" i="146"/>
  <c r="A2452" i="146"/>
  <c r="D2451" i="146"/>
  <c r="A2451" i="146"/>
  <c r="D2450" i="146"/>
  <c r="A2450" i="146"/>
  <c r="D2449" i="146"/>
  <c r="A2449" i="146"/>
  <c r="D2448" i="146"/>
  <c r="A2448" i="146"/>
  <c r="D2447" i="146"/>
  <c r="A2447" i="146"/>
  <c r="D2446" i="146"/>
  <c r="A2446" i="146"/>
  <c r="D2445" i="146"/>
  <c r="A2445" i="146"/>
  <c r="D2444" i="146"/>
  <c r="A2444" i="146"/>
  <c r="D2443" i="146"/>
  <c r="A2443" i="146"/>
  <c r="D2442" i="146"/>
  <c r="A2442" i="146"/>
  <c r="D2441" i="146"/>
  <c r="A2441" i="146"/>
  <c r="D2440" i="146"/>
  <c r="A2440" i="146"/>
  <c r="D2439" i="146"/>
  <c r="A2439" i="146"/>
  <c r="D2438" i="146"/>
  <c r="A2438" i="146"/>
  <c r="D2437" i="146"/>
  <c r="A2437" i="146"/>
  <c r="D2436" i="146"/>
  <c r="A2436" i="146"/>
  <c r="D2435" i="146"/>
  <c r="A2435" i="146"/>
  <c r="D2434" i="146"/>
  <c r="A2434" i="146"/>
  <c r="D2433" i="146"/>
  <c r="A2433" i="146"/>
  <c r="D2432" i="146"/>
  <c r="A2432" i="146"/>
  <c r="D2431" i="146"/>
  <c r="A2431" i="146"/>
  <c r="D2430" i="146"/>
  <c r="A2430" i="146"/>
  <c r="D2429" i="146"/>
  <c r="A2429" i="146"/>
  <c r="D2428" i="146"/>
  <c r="A2428" i="146"/>
  <c r="D2427" i="146"/>
  <c r="A2427" i="146"/>
  <c r="D2426" i="146"/>
  <c r="A2426" i="146"/>
  <c r="D2425" i="146"/>
  <c r="A2425" i="146"/>
  <c r="D2424" i="146"/>
  <c r="A2424" i="146"/>
  <c r="D2423" i="146"/>
  <c r="A2423" i="146"/>
  <c r="D2422" i="146"/>
  <c r="A2422" i="146"/>
  <c r="D2421" i="146"/>
  <c r="A2421" i="146"/>
  <c r="D2420" i="146"/>
  <c r="A2420" i="146"/>
  <c r="D2419" i="146"/>
  <c r="A2419" i="146"/>
  <c r="D2418" i="146"/>
  <c r="A2418" i="146"/>
  <c r="D2417" i="146"/>
  <c r="A2417" i="146"/>
  <c r="D2416" i="146"/>
  <c r="A2416" i="146"/>
  <c r="D2415" i="146"/>
  <c r="A2415" i="146"/>
  <c r="D2414" i="146"/>
  <c r="A2414" i="146"/>
  <c r="D2413" i="146"/>
  <c r="A2413" i="146"/>
  <c r="D2412" i="146"/>
  <c r="A2412" i="146"/>
  <c r="D2411" i="146"/>
  <c r="A2411" i="146"/>
  <c r="D2410" i="146"/>
  <c r="A2410" i="146"/>
  <c r="D2409" i="146"/>
  <c r="A2409" i="146"/>
  <c r="D2408" i="146"/>
  <c r="A2408" i="146"/>
  <c r="D2407" i="146"/>
  <c r="A2407" i="146"/>
  <c r="D2406" i="146"/>
  <c r="A2406" i="146"/>
  <c r="D2405" i="146"/>
  <c r="A2405" i="146"/>
  <c r="D2404" i="146"/>
  <c r="A2404" i="146"/>
  <c r="D2403" i="146"/>
  <c r="A2403" i="146"/>
  <c r="D2402" i="146"/>
  <c r="A2402" i="146"/>
  <c r="D2401" i="146"/>
  <c r="A2401" i="146"/>
  <c r="D2400" i="146"/>
  <c r="A2400" i="146"/>
  <c r="D2399" i="146"/>
  <c r="A2399" i="146"/>
  <c r="D2398" i="146"/>
  <c r="A2398" i="146"/>
  <c r="D2397" i="146"/>
  <c r="A2397" i="146"/>
  <c r="D2396" i="146"/>
  <c r="A2396" i="146"/>
  <c r="D2395" i="146"/>
  <c r="A2395" i="146"/>
  <c r="D2394" i="146"/>
  <c r="A2394" i="146"/>
  <c r="D2393" i="146"/>
  <c r="A2393" i="146"/>
  <c r="D2392" i="146"/>
  <c r="A2392" i="146"/>
  <c r="D2391" i="146"/>
  <c r="A2391" i="146"/>
  <c r="D2390" i="146"/>
  <c r="A2390" i="146"/>
  <c r="D2389" i="146"/>
  <c r="A2389" i="146"/>
  <c r="D2388" i="146"/>
  <c r="A2388" i="146"/>
  <c r="D2387" i="146"/>
  <c r="A2387" i="146"/>
  <c r="D2386" i="146"/>
  <c r="A2386" i="146"/>
  <c r="D2385" i="146"/>
  <c r="A2385" i="146"/>
  <c r="D2384" i="146"/>
  <c r="A2384" i="146"/>
  <c r="D2383" i="146"/>
  <c r="A2383" i="146"/>
  <c r="D2382" i="146"/>
  <c r="A2382" i="146"/>
  <c r="D2381" i="146"/>
  <c r="A2381" i="146"/>
  <c r="D2380" i="146"/>
  <c r="A2380" i="146"/>
  <c r="D2379" i="146"/>
  <c r="A2379" i="146"/>
  <c r="D2378" i="146"/>
  <c r="A2378" i="146"/>
  <c r="D2377" i="146"/>
  <c r="A2377" i="146"/>
  <c r="D2376" i="146"/>
  <c r="A2376" i="146"/>
  <c r="D2375" i="146"/>
  <c r="A2375" i="146"/>
  <c r="D2374" i="146"/>
  <c r="A2374" i="146"/>
  <c r="D2373" i="146"/>
  <c r="A2373" i="146"/>
  <c r="D2372" i="146"/>
  <c r="A2372" i="146"/>
  <c r="D2371" i="146"/>
  <c r="A2371" i="146"/>
  <c r="D2370" i="146"/>
  <c r="A2370" i="146"/>
  <c r="D2369" i="146"/>
  <c r="A2369" i="146"/>
  <c r="D2368" i="146"/>
  <c r="A2368" i="146"/>
  <c r="D2367" i="146"/>
  <c r="A2367" i="146"/>
  <c r="D2366" i="146"/>
  <c r="A2366" i="146"/>
  <c r="D2365" i="146"/>
  <c r="A2365" i="146"/>
  <c r="D2364" i="146"/>
  <c r="A2364" i="146"/>
  <c r="D2363" i="146"/>
  <c r="A2363" i="146"/>
  <c r="D2362" i="146"/>
  <c r="A2362" i="146"/>
  <c r="D2361" i="146"/>
  <c r="A2361" i="146"/>
  <c r="D2360" i="146"/>
  <c r="A2360" i="146"/>
  <c r="D2359" i="146"/>
  <c r="A2359" i="146"/>
  <c r="D2358" i="146"/>
  <c r="A2358" i="146"/>
  <c r="D2357" i="146"/>
  <c r="A2357" i="146"/>
  <c r="D2356" i="146"/>
  <c r="A2356" i="146"/>
  <c r="D2355" i="146"/>
  <c r="A2355" i="146"/>
  <c r="D2354" i="146"/>
  <c r="A2354" i="146"/>
  <c r="D2353" i="146"/>
  <c r="A2353" i="146"/>
  <c r="D2352" i="146"/>
  <c r="A2352" i="146"/>
  <c r="D2351" i="146"/>
  <c r="A2351" i="146"/>
  <c r="D2350" i="146"/>
  <c r="A2350" i="146"/>
  <c r="D2349" i="146"/>
  <c r="A2349" i="146"/>
  <c r="D2348" i="146"/>
  <c r="A2348" i="146"/>
  <c r="D2347" i="146"/>
  <c r="A2347" i="146"/>
  <c r="D2346" i="146"/>
  <c r="A2346" i="146"/>
  <c r="D2345" i="146"/>
  <c r="A2345" i="146"/>
  <c r="D2344" i="146"/>
  <c r="A2344" i="146"/>
  <c r="D2343" i="146"/>
  <c r="A2343" i="146"/>
  <c r="D2342" i="146"/>
  <c r="A2342" i="146"/>
  <c r="D2341" i="146"/>
  <c r="A2341" i="146"/>
  <c r="D2340" i="146"/>
  <c r="A2340" i="146"/>
  <c r="D2339" i="146"/>
  <c r="A2339" i="146"/>
  <c r="D2338" i="146"/>
  <c r="A2338" i="146"/>
  <c r="D2337" i="146"/>
  <c r="A2337" i="146"/>
  <c r="D2336" i="146"/>
  <c r="A2336" i="146"/>
  <c r="D2335" i="146"/>
  <c r="A2335" i="146"/>
  <c r="D2334" i="146"/>
  <c r="A2334" i="146"/>
  <c r="D2333" i="146"/>
  <c r="A2333" i="146"/>
  <c r="D2332" i="146"/>
  <c r="A2332" i="146"/>
  <c r="D2331" i="146"/>
  <c r="A2331" i="146"/>
  <c r="D2330" i="146"/>
  <c r="A2330" i="146"/>
  <c r="D2329" i="146"/>
  <c r="A2329" i="146"/>
  <c r="D2328" i="146"/>
  <c r="A2328" i="146"/>
  <c r="D2327" i="146"/>
  <c r="A2327" i="146"/>
  <c r="D2326" i="146"/>
  <c r="A2326" i="146"/>
  <c r="D2325" i="146"/>
  <c r="A2325" i="146"/>
  <c r="D2324" i="146"/>
  <c r="A2324" i="146"/>
  <c r="D2323" i="146"/>
  <c r="A2323" i="146"/>
  <c r="D2322" i="146"/>
  <c r="A2322" i="146"/>
  <c r="D2321" i="146"/>
  <c r="A2321" i="146"/>
  <c r="D2320" i="146"/>
  <c r="A2320" i="146"/>
  <c r="D2319" i="146"/>
  <c r="A2319" i="146"/>
  <c r="D2318" i="146"/>
  <c r="A2318" i="146"/>
  <c r="D2317" i="146"/>
  <c r="A2317" i="146"/>
  <c r="D2316" i="146"/>
  <c r="A2316" i="146"/>
  <c r="D2315" i="146"/>
  <c r="A2315" i="146"/>
  <c r="D2314" i="146"/>
  <c r="A2314" i="146"/>
  <c r="D2313" i="146"/>
  <c r="A2313" i="146"/>
  <c r="D2312" i="146"/>
  <c r="A2312" i="146"/>
  <c r="D2311" i="146"/>
  <c r="A2311" i="146"/>
  <c r="D2310" i="146"/>
  <c r="A2310" i="146"/>
  <c r="D2309" i="146"/>
  <c r="A2309" i="146"/>
  <c r="D2308" i="146"/>
  <c r="A2308" i="146"/>
  <c r="D2307" i="146"/>
  <c r="A2307" i="146"/>
  <c r="D2306" i="146"/>
  <c r="A2306" i="146"/>
  <c r="D2305" i="146"/>
  <c r="A2305" i="146"/>
  <c r="D2304" i="146"/>
  <c r="A2304" i="146"/>
  <c r="D2303" i="146"/>
  <c r="A2303" i="146"/>
  <c r="D2302" i="146"/>
  <c r="A2302" i="146"/>
  <c r="D2301" i="146"/>
  <c r="A2301" i="146"/>
  <c r="D2300" i="146"/>
  <c r="A2300" i="146"/>
  <c r="D2299" i="146"/>
  <c r="A2299" i="146"/>
  <c r="D2298" i="146"/>
  <c r="A2298" i="146"/>
  <c r="D2297" i="146"/>
  <c r="A2297" i="146"/>
  <c r="D2296" i="146"/>
  <c r="A2296" i="146"/>
  <c r="D2295" i="146"/>
  <c r="A2295" i="146"/>
  <c r="D2294" i="146"/>
  <c r="A2294" i="146"/>
  <c r="D2293" i="146"/>
  <c r="A2293" i="146"/>
  <c r="D2292" i="146"/>
  <c r="A2292" i="146"/>
  <c r="D2291" i="146"/>
  <c r="A2291" i="146"/>
  <c r="D2290" i="146"/>
  <c r="A2290" i="146"/>
  <c r="D2289" i="146"/>
  <c r="A2289" i="146"/>
  <c r="D2288" i="146"/>
  <c r="A2288" i="146"/>
  <c r="D2287" i="146"/>
  <c r="A2287" i="146"/>
  <c r="D2286" i="146"/>
  <c r="A2286" i="146"/>
  <c r="D2285" i="146"/>
  <c r="A2285" i="146"/>
  <c r="D2284" i="146"/>
  <c r="A2284" i="146"/>
  <c r="D2283" i="146"/>
  <c r="A2283" i="146"/>
  <c r="D2282" i="146"/>
  <c r="A2282" i="146"/>
  <c r="D2281" i="146"/>
  <c r="A2281" i="146"/>
  <c r="D2280" i="146"/>
  <c r="A2280" i="146"/>
  <c r="D2279" i="146"/>
  <c r="A2279" i="146"/>
  <c r="D2278" i="146"/>
  <c r="A2278" i="146"/>
  <c r="D2277" i="146"/>
  <c r="A2277" i="146"/>
  <c r="D2276" i="146"/>
  <c r="A2276" i="146"/>
  <c r="D2275" i="146"/>
  <c r="A2275" i="146"/>
  <c r="D2274" i="146"/>
  <c r="A2274" i="146"/>
  <c r="D2273" i="146"/>
  <c r="A2273" i="146"/>
  <c r="D2272" i="146"/>
  <c r="A2272" i="146"/>
  <c r="D2271" i="146"/>
  <c r="A2271" i="146"/>
  <c r="D2270" i="146"/>
  <c r="A2270" i="146"/>
  <c r="D2269" i="146"/>
  <c r="A2269" i="146"/>
  <c r="D2268" i="146"/>
  <c r="A2268" i="146"/>
  <c r="D2267" i="146"/>
  <c r="A2267" i="146"/>
  <c r="D2266" i="146"/>
  <c r="A2266" i="146"/>
  <c r="D2265" i="146"/>
  <c r="A2265" i="146"/>
  <c r="D2264" i="146"/>
  <c r="A2264" i="146"/>
  <c r="D2263" i="146"/>
  <c r="A2263" i="146"/>
  <c r="D2262" i="146"/>
  <c r="A2262" i="146"/>
  <c r="D2261" i="146"/>
  <c r="A2261" i="146"/>
  <c r="D2260" i="146"/>
  <c r="A2260" i="146"/>
  <c r="D2259" i="146"/>
  <c r="A2259" i="146"/>
  <c r="D2258" i="146"/>
  <c r="A2258" i="146"/>
  <c r="D2257" i="146"/>
  <c r="A2257" i="146"/>
  <c r="D2256" i="146"/>
  <c r="A2256" i="146"/>
  <c r="D2255" i="146"/>
  <c r="A2255" i="146"/>
  <c r="D2254" i="146"/>
  <c r="A2254" i="146"/>
  <c r="D2253" i="146"/>
  <c r="A2253" i="146"/>
  <c r="D2252" i="146"/>
  <c r="A2252" i="146"/>
  <c r="D2251" i="146"/>
  <c r="A2251" i="146"/>
  <c r="D2250" i="146"/>
  <c r="A2250" i="146"/>
  <c r="D2249" i="146"/>
  <c r="A2249" i="146"/>
  <c r="D2248" i="146"/>
  <c r="A2248" i="146"/>
  <c r="D2247" i="146"/>
  <c r="A2247" i="146"/>
  <c r="D2246" i="146"/>
  <c r="A2246" i="146"/>
  <c r="D2245" i="146"/>
  <c r="A2245" i="146"/>
  <c r="D2244" i="146"/>
  <c r="A2244" i="146"/>
  <c r="D2243" i="146"/>
  <c r="A2243" i="146"/>
  <c r="D2242" i="146"/>
  <c r="A2242" i="146"/>
  <c r="D2241" i="146"/>
  <c r="A2241" i="146"/>
  <c r="D2240" i="146"/>
  <c r="A2240" i="146"/>
  <c r="D2239" i="146"/>
  <c r="A2239" i="146"/>
  <c r="D2238" i="146"/>
  <c r="A2238" i="146"/>
  <c r="D2237" i="146"/>
  <c r="A2237" i="146"/>
  <c r="D2236" i="146"/>
  <c r="A2236" i="146"/>
  <c r="D2235" i="146"/>
  <c r="A2235" i="146"/>
  <c r="D2234" i="146"/>
  <c r="A2234" i="146"/>
  <c r="D2233" i="146"/>
  <c r="A2233" i="146"/>
  <c r="D2232" i="146"/>
  <c r="A2232" i="146"/>
  <c r="D2231" i="146"/>
  <c r="A2231" i="146"/>
  <c r="D2230" i="146"/>
  <c r="A2230" i="146"/>
  <c r="D2229" i="146"/>
  <c r="A2229" i="146"/>
  <c r="D2228" i="146"/>
  <c r="A2228" i="146"/>
  <c r="D2227" i="146"/>
  <c r="A2227" i="146"/>
  <c r="D2226" i="146"/>
  <c r="A2226" i="146"/>
  <c r="D2225" i="146"/>
  <c r="A2225" i="146"/>
  <c r="D2224" i="146"/>
  <c r="A2224" i="146"/>
  <c r="D2223" i="146"/>
  <c r="A2223" i="146"/>
  <c r="D2222" i="146"/>
  <c r="A2222" i="146"/>
  <c r="D2221" i="146"/>
  <c r="A2221" i="146"/>
  <c r="D2220" i="146"/>
  <c r="A2220" i="146"/>
  <c r="D2219" i="146"/>
  <c r="A2219" i="146"/>
  <c r="D2218" i="146"/>
  <c r="A2218" i="146"/>
  <c r="D2217" i="146"/>
  <c r="A2217" i="146"/>
  <c r="D2216" i="146"/>
  <c r="A2216" i="146"/>
  <c r="D2215" i="146"/>
  <c r="A2215" i="146"/>
  <c r="D2214" i="146"/>
  <c r="A2214" i="146"/>
  <c r="D2213" i="146"/>
  <c r="A2213" i="146"/>
  <c r="D2212" i="146"/>
  <c r="A2212" i="146"/>
  <c r="D2211" i="146"/>
  <c r="A2211" i="146"/>
  <c r="D2210" i="146"/>
  <c r="A2210" i="146"/>
  <c r="D2209" i="146"/>
  <c r="A2209" i="146"/>
  <c r="D2208" i="146"/>
  <c r="A2208" i="146"/>
  <c r="D2207" i="146"/>
  <c r="A2207" i="146"/>
  <c r="D2206" i="146"/>
  <c r="A2206" i="146"/>
  <c r="D2205" i="146"/>
  <c r="A2205" i="146"/>
  <c r="D2204" i="146"/>
  <c r="A2204" i="146"/>
  <c r="D2203" i="146"/>
  <c r="A2203" i="146"/>
  <c r="D2202" i="146"/>
  <c r="A2202" i="146"/>
  <c r="D2201" i="146"/>
  <c r="A2201" i="146"/>
  <c r="D2200" i="146"/>
  <c r="A2200" i="146"/>
  <c r="D2199" i="146"/>
  <c r="A2199" i="146"/>
  <c r="D2198" i="146"/>
  <c r="A2198" i="146"/>
  <c r="D2197" i="146"/>
  <c r="A2197" i="146"/>
  <c r="D2196" i="146"/>
  <c r="A2196" i="146"/>
  <c r="D2195" i="146"/>
  <c r="A2195" i="146"/>
  <c r="D2194" i="146"/>
  <c r="A2194" i="146"/>
  <c r="D2193" i="146"/>
  <c r="A2193" i="146"/>
  <c r="D2192" i="146"/>
  <c r="A2192" i="146"/>
  <c r="D2191" i="146"/>
  <c r="A2191" i="146"/>
  <c r="D2190" i="146"/>
  <c r="A2190" i="146"/>
  <c r="D2189" i="146"/>
  <c r="A2189" i="146"/>
  <c r="D2188" i="146"/>
  <c r="A2188" i="146"/>
  <c r="D2187" i="146"/>
  <c r="A2187" i="146"/>
  <c r="D2186" i="146"/>
  <c r="A2186" i="146"/>
  <c r="D2185" i="146"/>
  <c r="A2185" i="146"/>
  <c r="D2184" i="146"/>
  <c r="A2184" i="146"/>
  <c r="D2183" i="146"/>
  <c r="A2183" i="146"/>
  <c r="D2182" i="146"/>
  <c r="A2182" i="146"/>
  <c r="D2181" i="146"/>
  <c r="A2181" i="146"/>
  <c r="D2180" i="146"/>
  <c r="A2180" i="146"/>
  <c r="D2179" i="146"/>
  <c r="A2179" i="146"/>
  <c r="D2178" i="146"/>
  <c r="A2178" i="146"/>
  <c r="D2177" i="146"/>
  <c r="A2177" i="146"/>
  <c r="D2176" i="146"/>
  <c r="A2176" i="146"/>
  <c r="D2175" i="146"/>
  <c r="A2175" i="146"/>
  <c r="D2174" i="146"/>
  <c r="A2174" i="146"/>
  <c r="D2173" i="146"/>
  <c r="A2173" i="146"/>
  <c r="D2172" i="146"/>
  <c r="A2172" i="146"/>
  <c r="D2171" i="146"/>
  <c r="A2171" i="146"/>
  <c r="D2170" i="146"/>
  <c r="A2170" i="146"/>
  <c r="D2169" i="146"/>
  <c r="A2169" i="146"/>
  <c r="D2168" i="146"/>
  <c r="A2168" i="146"/>
  <c r="D2167" i="146"/>
  <c r="A2167" i="146"/>
  <c r="D2166" i="146"/>
  <c r="A2166" i="146"/>
  <c r="D2165" i="146"/>
  <c r="A2165" i="146"/>
  <c r="D2164" i="146"/>
  <c r="A2164" i="146"/>
  <c r="D2163" i="146"/>
  <c r="A2163" i="146"/>
  <c r="D2162" i="146"/>
  <c r="A2162" i="146"/>
  <c r="D2161" i="146"/>
  <c r="A2161" i="146"/>
  <c r="D2160" i="146"/>
  <c r="A2160" i="146"/>
  <c r="D2159" i="146"/>
  <c r="A2159" i="146"/>
  <c r="D2158" i="146"/>
  <c r="A2158" i="146"/>
  <c r="D2157" i="146"/>
  <c r="A2157" i="146"/>
  <c r="D2156" i="146"/>
  <c r="A2156" i="146"/>
  <c r="D2155" i="146"/>
  <c r="A2155" i="146"/>
  <c r="D2154" i="146"/>
  <c r="A2154" i="146"/>
  <c r="D2153" i="146"/>
  <c r="A2153" i="146"/>
  <c r="D2152" i="146"/>
  <c r="A2152" i="146"/>
  <c r="D2151" i="146"/>
  <c r="A2151" i="146"/>
  <c r="D2150" i="146"/>
  <c r="A2150" i="146"/>
  <c r="D2149" i="146"/>
  <c r="A2149" i="146"/>
  <c r="D2148" i="146"/>
  <c r="A2148" i="146"/>
  <c r="D2147" i="146"/>
  <c r="A2147" i="146"/>
  <c r="D2146" i="146"/>
  <c r="A2146" i="146"/>
  <c r="D2145" i="146"/>
  <c r="A2145" i="146"/>
  <c r="D2144" i="146"/>
  <c r="A2144" i="146"/>
  <c r="D2143" i="146"/>
  <c r="A2143" i="146"/>
  <c r="D2142" i="146"/>
  <c r="A2142" i="146"/>
  <c r="D2141" i="146"/>
  <c r="A2141" i="146"/>
  <c r="D2140" i="146"/>
  <c r="A2140" i="146"/>
  <c r="D2139" i="146"/>
  <c r="A2139" i="146"/>
  <c r="D2138" i="146"/>
  <c r="A2138" i="146"/>
  <c r="D2137" i="146"/>
  <c r="A2137" i="146"/>
  <c r="D2136" i="146"/>
  <c r="A2136" i="146"/>
  <c r="D2135" i="146"/>
  <c r="A2135" i="146"/>
  <c r="D2134" i="146"/>
  <c r="A2134" i="146"/>
  <c r="D2133" i="146"/>
  <c r="A2133" i="146"/>
  <c r="D2132" i="146"/>
  <c r="A2132" i="146"/>
  <c r="D2131" i="146"/>
  <c r="A2131" i="146"/>
  <c r="D2130" i="146"/>
  <c r="A2130" i="146"/>
  <c r="D2129" i="146"/>
  <c r="A2129" i="146"/>
  <c r="D2128" i="146"/>
  <c r="A2128" i="146"/>
  <c r="D2127" i="146"/>
  <c r="A2127" i="146"/>
  <c r="D2126" i="146"/>
  <c r="A2126" i="146"/>
  <c r="D2125" i="146"/>
  <c r="A2125" i="146"/>
  <c r="D2124" i="146"/>
  <c r="A2124" i="146"/>
  <c r="D2123" i="146"/>
  <c r="A2123" i="146"/>
  <c r="D2122" i="146"/>
  <c r="A2122" i="146"/>
  <c r="D2121" i="146"/>
  <c r="A2121" i="146"/>
  <c r="D2120" i="146"/>
  <c r="A2120" i="146"/>
  <c r="D2119" i="146"/>
  <c r="A2119" i="146"/>
  <c r="D2118" i="146"/>
  <c r="A2118" i="146"/>
  <c r="D2117" i="146"/>
  <c r="A2117" i="146"/>
  <c r="D2116" i="146"/>
  <c r="A2116" i="146"/>
  <c r="D2115" i="146"/>
  <c r="A2115" i="146"/>
  <c r="D2114" i="146"/>
  <c r="A2114" i="146"/>
  <c r="D2113" i="146"/>
  <c r="A2113" i="146"/>
  <c r="D2112" i="146"/>
  <c r="A2112" i="146"/>
  <c r="D2111" i="146"/>
  <c r="A2111" i="146"/>
  <c r="D2110" i="146"/>
  <c r="A2110" i="146"/>
  <c r="D2109" i="146"/>
  <c r="A2109" i="146"/>
  <c r="D2108" i="146"/>
  <c r="A2108" i="146"/>
  <c r="D2107" i="146"/>
  <c r="A2107" i="146"/>
  <c r="D2106" i="146"/>
  <c r="A2106" i="146"/>
  <c r="D2105" i="146"/>
  <c r="A2105" i="146"/>
  <c r="D2104" i="146"/>
  <c r="A2104" i="146"/>
  <c r="D2103" i="146"/>
  <c r="A2103" i="146"/>
  <c r="D2102" i="146"/>
  <c r="A2102" i="146"/>
  <c r="D2101" i="146"/>
  <c r="A2101" i="146"/>
  <c r="D2100" i="146"/>
  <c r="A2100" i="146"/>
  <c r="D2099" i="146"/>
  <c r="A2099" i="146"/>
  <c r="D2098" i="146"/>
  <c r="A2098" i="146"/>
  <c r="D2097" i="146"/>
  <c r="A2097" i="146"/>
  <c r="D2096" i="146"/>
  <c r="A2096" i="146"/>
  <c r="D2095" i="146"/>
  <c r="A2095" i="146"/>
  <c r="D2094" i="146"/>
  <c r="A2094" i="146"/>
  <c r="D2093" i="146"/>
  <c r="A2093" i="146"/>
  <c r="D2092" i="146"/>
  <c r="A2092" i="146"/>
  <c r="D2091" i="146"/>
  <c r="A2091" i="146"/>
  <c r="D2090" i="146"/>
  <c r="A2090" i="146"/>
  <c r="D2089" i="146"/>
  <c r="A2089" i="146"/>
  <c r="D2088" i="146"/>
  <c r="A2088" i="146"/>
  <c r="D2087" i="146"/>
  <c r="A2087" i="146"/>
  <c r="D2086" i="146"/>
  <c r="A2086" i="146"/>
  <c r="D2085" i="146"/>
  <c r="A2085" i="146"/>
  <c r="D2084" i="146"/>
  <c r="A2084" i="146"/>
  <c r="D2083" i="146"/>
  <c r="A2083" i="146"/>
  <c r="D2082" i="146"/>
  <c r="A2082" i="146"/>
  <c r="D2081" i="146"/>
  <c r="A2081" i="146"/>
  <c r="D2080" i="146"/>
  <c r="A2080" i="146"/>
  <c r="D2079" i="146"/>
  <c r="A2079" i="146"/>
  <c r="D2078" i="146"/>
  <c r="A2078" i="146"/>
  <c r="D2077" i="146"/>
  <c r="A2077" i="146"/>
  <c r="D2076" i="146"/>
  <c r="A2076" i="146"/>
  <c r="D2075" i="146"/>
  <c r="A2075" i="146"/>
  <c r="D2074" i="146"/>
  <c r="A2074" i="146"/>
  <c r="D2073" i="146"/>
  <c r="A2073" i="146"/>
  <c r="D2072" i="146"/>
  <c r="A2072" i="146"/>
  <c r="D2071" i="146"/>
  <c r="A2071" i="146"/>
  <c r="D2070" i="146"/>
  <c r="A2070" i="146"/>
  <c r="D2069" i="146"/>
  <c r="A2069" i="146"/>
  <c r="D2068" i="146"/>
  <c r="A2068" i="146"/>
  <c r="D2067" i="146"/>
  <c r="A2067" i="146"/>
  <c r="D2066" i="146"/>
  <c r="A2066" i="146"/>
  <c r="D2065" i="146"/>
  <c r="A2065" i="146"/>
  <c r="D2064" i="146"/>
  <c r="A2064" i="146"/>
  <c r="D2063" i="146"/>
  <c r="A2063" i="146"/>
  <c r="D2062" i="146"/>
  <c r="A2062" i="146"/>
  <c r="D2061" i="146"/>
  <c r="A2061" i="146"/>
  <c r="D2060" i="146"/>
  <c r="A2060" i="146"/>
  <c r="D2059" i="146"/>
  <c r="A2059" i="146"/>
  <c r="D2058" i="146"/>
  <c r="A2058" i="146"/>
  <c r="D2057" i="146"/>
  <c r="A2057" i="146"/>
  <c r="D2056" i="146"/>
  <c r="A2056" i="146"/>
  <c r="D2055" i="146"/>
  <c r="A2055" i="146"/>
  <c r="D2054" i="146"/>
  <c r="A2054" i="146"/>
  <c r="D2053" i="146"/>
  <c r="A2053" i="146"/>
  <c r="D2052" i="146"/>
  <c r="A2052" i="146"/>
  <c r="D2051" i="146"/>
  <c r="A2051" i="146"/>
  <c r="D2050" i="146"/>
  <c r="A2050" i="146"/>
  <c r="D2049" i="146"/>
  <c r="A2049" i="146"/>
  <c r="D2048" i="146"/>
  <c r="A2048" i="146"/>
  <c r="D2047" i="146"/>
  <c r="A2047" i="146"/>
  <c r="D2046" i="146"/>
  <c r="A2046" i="146"/>
  <c r="D2045" i="146"/>
  <c r="A2045" i="146"/>
  <c r="D2044" i="146"/>
  <c r="A2044" i="146"/>
  <c r="D2043" i="146"/>
  <c r="A2043" i="146"/>
  <c r="D2042" i="146"/>
  <c r="A2042" i="146"/>
  <c r="D2041" i="146"/>
  <c r="A2041" i="146"/>
  <c r="D2040" i="146"/>
  <c r="A2040" i="146"/>
  <c r="D2039" i="146"/>
  <c r="A2039" i="146"/>
  <c r="D2038" i="146"/>
  <c r="A2038" i="146"/>
  <c r="D2037" i="146"/>
  <c r="A2037" i="146"/>
  <c r="D2036" i="146"/>
  <c r="A2036" i="146"/>
  <c r="D2035" i="146"/>
  <c r="A2035" i="146"/>
  <c r="D2034" i="146"/>
  <c r="A2034" i="146"/>
  <c r="D2033" i="146"/>
  <c r="A2033" i="146"/>
  <c r="D2032" i="146"/>
  <c r="A2032" i="146"/>
  <c r="D2031" i="146"/>
  <c r="A2031" i="146"/>
  <c r="D2030" i="146"/>
  <c r="A2030" i="146"/>
  <c r="D2029" i="146"/>
  <c r="A2029" i="146"/>
  <c r="D2028" i="146"/>
  <c r="A2028" i="146"/>
  <c r="D2027" i="146"/>
  <c r="A2027" i="146"/>
  <c r="D2026" i="146"/>
  <c r="A2026" i="146"/>
  <c r="D2025" i="146"/>
  <c r="A2025" i="146"/>
  <c r="D2024" i="146"/>
  <c r="A2024" i="146"/>
  <c r="D2023" i="146"/>
  <c r="A2023" i="146"/>
  <c r="D2022" i="146"/>
  <c r="A2022" i="146"/>
  <c r="D2021" i="146"/>
  <c r="A2021" i="146"/>
  <c r="D2020" i="146"/>
  <c r="A2020" i="146"/>
  <c r="D2019" i="146"/>
  <c r="A2019" i="146"/>
  <c r="D2018" i="146"/>
  <c r="A2018" i="146"/>
  <c r="D2017" i="146"/>
  <c r="A2017" i="146"/>
  <c r="D2016" i="146"/>
  <c r="A2016" i="146"/>
  <c r="D2015" i="146"/>
  <c r="A2015" i="146"/>
  <c r="D2014" i="146"/>
  <c r="A2014" i="146"/>
  <c r="D2013" i="146"/>
  <c r="A2013" i="146"/>
  <c r="D2012" i="146"/>
  <c r="A2012" i="146"/>
  <c r="D2011" i="146"/>
  <c r="A2011" i="146"/>
  <c r="D2010" i="146"/>
  <c r="A2010" i="146"/>
  <c r="D2009" i="146"/>
  <c r="A2009" i="146"/>
  <c r="D2008" i="146"/>
  <c r="A2008" i="146"/>
  <c r="D2007" i="146"/>
  <c r="A2007" i="146"/>
  <c r="D2006" i="146"/>
  <c r="A2006" i="146"/>
  <c r="D2005" i="146"/>
  <c r="A2005" i="146"/>
  <c r="D2004" i="146"/>
  <c r="A2004" i="146"/>
  <c r="D2003" i="146"/>
  <c r="A2003" i="146"/>
  <c r="D2002" i="146"/>
  <c r="A2002" i="146"/>
  <c r="D2001" i="146"/>
  <c r="A2001" i="146"/>
  <c r="D2000" i="146"/>
  <c r="A2000" i="146"/>
  <c r="D1999" i="146"/>
  <c r="A1999" i="146"/>
  <c r="D1998" i="146"/>
  <c r="A1998" i="146"/>
  <c r="D1997" i="146"/>
  <c r="A1997" i="146"/>
  <c r="D1996" i="146"/>
  <c r="A1996" i="146"/>
  <c r="D1995" i="146"/>
  <c r="A1995" i="146"/>
  <c r="D1994" i="146"/>
  <c r="A1994" i="146"/>
  <c r="D1993" i="146"/>
  <c r="A1993" i="146"/>
  <c r="D1992" i="146"/>
  <c r="A1992" i="146"/>
  <c r="D1991" i="146"/>
  <c r="A1991" i="146"/>
  <c r="D1990" i="146"/>
  <c r="A1990" i="146"/>
  <c r="D1989" i="146"/>
  <c r="A1989" i="146"/>
  <c r="D1988" i="146"/>
  <c r="A1988" i="146"/>
  <c r="D1987" i="146"/>
  <c r="A1987" i="146"/>
  <c r="D1986" i="146"/>
  <c r="A1986" i="146"/>
  <c r="D1985" i="146"/>
  <c r="A1985" i="146"/>
  <c r="D1984" i="146"/>
  <c r="A1984" i="146"/>
  <c r="D1983" i="146"/>
  <c r="A1983" i="146"/>
  <c r="D1982" i="146"/>
  <c r="A1982" i="146"/>
  <c r="D1981" i="146"/>
  <c r="A1981" i="146"/>
  <c r="D1980" i="146"/>
  <c r="A1980" i="146"/>
  <c r="D1979" i="146"/>
  <c r="A1979" i="146"/>
  <c r="D1978" i="146"/>
  <c r="A1978" i="146"/>
  <c r="D1977" i="146"/>
  <c r="A1977" i="146"/>
  <c r="D1976" i="146"/>
  <c r="A1976" i="146"/>
  <c r="D1975" i="146"/>
  <c r="A1975" i="146"/>
  <c r="D1974" i="146"/>
  <c r="A1974" i="146"/>
  <c r="D1973" i="146"/>
  <c r="A1973" i="146"/>
  <c r="D1972" i="146"/>
  <c r="A1972" i="146"/>
  <c r="D1971" i="146"/>
  <c r="A1971" i="146"/>
  <c r="D1970" i="146"/>
  <c r="A1970" i="146"/>
  <c r="D1969" i="146"/>
  <c r="A1969" i="146"/>
  <c r="D1968" i="146"/>
  <c r="A1968" i="146"/>
  <c r="D1967" i="146"/>
  <c r="A1967" i="146"/>
  <c r="D1966" i="146"/>
  <c r="A1966" i="146"/>
  <c r="D1965" i="146"/>
  <c r="A1965" i="146"/>
  <c r="D1964" i="146"/>
  <c r="A1964" i="146"/>
  <c r="D1963" i="146"/>
  <c r="A1963" i="146"/>
  <c r="D1962" i="146"/>
  <c r="A1962" i="146"/>
  <c r="D1961" i="146"/>
  <c r="A1961" i="146"/>
  <c r="D1960" i="146"/>
  <c r="A1960" i="146"/>
  <c r="D1959" i="146"/>
  <c r="A1959" i="146"/>
  <c r="D1958" i="146"/>
  <c r="A1958" i="146"/>
  <c r="D1957" i="146"/>
  <c r="A1957" i="146"/>
  <c r="D1956" i="146"/>
  <c r="A1956" i="146"/>
  <c r="D1955" i="146"/>
  <c r="A1955" i="146"/>
  <c r="D1954" i="146"/>
  <c r="A1954" i="146"/>
  <c r="D1953" i="146"/>
  <c r="A1953" i="146"/>
  <c r="D1952" i="146"/>
  <c r="A1952" i="146"/>
  <c r="D1951" i="146"/>
  <c r="A1951" i="146"/>
  <c r="D1950" i="146"/>
  <c r="A1950" i="146"/>
  <c r="D1949" i="146"/>
  <c r="A1949" i="146"/>
  <c r="D1948" i="146"/>
  <c r="A1948" i="146"/>
  <c r="D1947" i="146"/>
  <c r="A1947" i="146"/>
  <c r="D1946" i="146"/>
  <c r="A1946" i="146"/>
  <c r="D1945" i="146"/>
  <c r="A1945" i="146"/>
  <c r="D1944" i="146"/>
  <c r="A1944" i="146"/>
  <c r="D1943" i="146"/>
  <c r="A1943" i="146"/>
  <c r="D1942" i="146"/>
  <c r="A1942" i="146"/>
  <c r="D1941" i="146"/>
  <c r="A1941" i="146"/>
  <c r="D1940" i="146"/>
  <c r="A1940" i="146"/>
  <c r="D1939" i="146"/>
  <c r="A1939" i="146"/>
  <c r="D1938" i="146"/>
  <c r="A1938" i="146"/>
  <c r="D1937" i="146"/>
  <c r="A1937" i="146"/>
  <c r="D1936" i="146"/>
  <c r="A1936" i="146"/>
  <c r="D1935" i="146"/>
  <c r="A1935" i="146"/>
  <c r="D1934" i="146"/>
  <c r="A1934" i="146"/>
  <c r="D1933" i="146"/>
  <c r="A1933" i="146"/>
  <c r="D1932" i="146"/>
  <c r="A1932" i="146"/>
  <c r="D1931" i="146"/>
  <c r="A1931" i="146"/>
  <c r="D1930" i="146"/>
  <c r="A1930" i="146"/>
  <c r="D1929" i="146"/>
  <c r="A1929" i="146"/>
  <c r="D1928" i="146"/>
  <c r="A1928" i="146"/>
  <c r="D1927" i="146"/>
  <c r="A1927" i="146"/>
  <c r="D1926" i="146"/>
  <c r="A1926" i="146"/>
  <c r="D1925" i="146"/>
  <c r="A1925" i="146"/>
  <c r="D1924" i="146"/>
  <c r="A1924" i="146"/>
  <c r="D1923" i="146"/>
  <c r="A1923" i="146"/>
  <c r="D1922" i="146"/>
  <c r="A1922" i="146"/>
  <c r="D1921" i="146"/>
  <c r="A1921" i="146"/>
  <c r="D1920" i="146"/>
  <c r="A1920" i="146"/>
  <c r="D1919" i="146"/>
  <c r="A1919" i="146"/>
  <c r="D1918" i="146"/>
  <c r="A1918" i="146"/>
  <c r="D1917" i="146"/>
  <c r="A1917" i="146"/>
  <c r="D1916" i="146"/>
  <c r="A1916" i="146"/>
  <c r="D1915" i="146"/>
  <c r="A1915" i="146"/>
  <c r="D1914" i="146"/>
  <c r="A1914" i="146"/>
  <c r="D1913" i="146"/>
  <c r="A1913" i="146"/>
  <c r="D1912" i="146"/>
  <c r="A1912" i="146"/>
  <c r="D1911" i="146"/>
  <c r="A1911" i="146"/>
  <c r="D1910" i="146"/>
  <c r="A1910" i="146"/>
  <c r="D1909" i="146"/>
  <c r="A1909" i="146"/>
  <c r="D1908" i="146"/>
  <c r="A1908" i="146"/>
  <c r="D1907" i="146"/>
  <c r="A1907" i="146"/>
  <c r="D1906" i="146"/>
  <c r="A1906" i="146"/>
  <c r="D1905" i="146"/>
  <c r="A1905" i="146"/>
  <c r="D1904" i="146"/>
  <c r="A1904" i="146"/>
  <c r="D1903" i="146"/>
  <c r="A1903" i="146"/>
  <c r="D1902" i="146"/>
  <c r="A1902" i="146"/>
  <c r="D1901" i="146"/>
  <c r="A1901" i="146"/>
  <c r="D1900" i="146"/>
  <c r="A1900" i="146"/>
  <c r="D1899" i="146"/>
  <c r="A1899" i="146"/>
  <c r="D1898" i="146"/>
  <c r="A1898" i="146"/>
  <c r="D1897" i="146"/>
  <c r="A1897" i="146"/>
  <c r="D1896" i="146"/>
  <c r="A1896" i="146"/>
  <c r="D1895" i="146"/>
  <c r="A1895" i="146"/>
  <c r="D1894" i="146"/>
  <c r="A1894" i="146"/>
  <c r="D1893" i="146"/>
  <c r="A1893" i="146"/>
  <c r="D1892" i="146"/>
  <c r="A1892" i="146"/>
  <c r="D1891" i="146"/>
  <c r="A1891" i="146"/>
  <c r="D1890" i="146"/>
  <c r="A1890" i="146"/>
  <c r="D1889" i="146"/>
  <c r="A1889" i="146"/>
  <c r="D1888" i="146"/>
  <c r="A1888" i="146"/>
  <c r="D1887" i="146"/>
  <c r="A1887" i="146"/>
  <c r="D1886" i="146"/>
  <c r="A1886" i="146"/>
  <c r="D1885" i="146"/>
  <c r="A1885" i="146"/>
  <c r="D1884" i="146"/>
  <c r="A1884" i="146"/>
  <c r="D1883" i="146"/>
  <c r="A1883" i="146"/>
  <c r="D1882" i="146"/>
  <c r="A1882" i="146"/>
  <c r="D1881" i="146"/>
  <c r="A1881" i="146"/>
  <c r="D1880" i="146"/>
  <c r="A1880" i="146"/>
  <c r="D1879" i="146"/>
  <c r="A1879" i="146"/>
  <c r="D1878" i="146"/>
  <c r="A1878" i="146"/>
  <c r="D1877" i="146"/>
  <c r="A1877" i="146"/>
  <c r="D1876" i="146"/>
  <c r="A1876" i="146"/>
  <c r="D1875" i="146"/>
  <c r="A1875" i="146"/>
  <c r="D1874" i="146"/>
  <c r="A1874" i="146"/>
  <c r="D1873" i="146"/>
  <c r="A1873" i="146"/>
  <c r="D1872" i="146"/>
  <c r="A1872" i="146"/>
  <c r="D1871" i="146"/>
  <c r="A1871" i="146"/>
  <c r="D1870" i="146"/>
  <c r="A1870" i="146"/>
  <c r="D1869" i="146"/>
  <c r="A1869" i="146"/>
  <c r="D1868" i="146"/>
  <c r="A1868" i="146"/>
  <c r="D1867" i="146"/>
  <c r="A1867" i="146"/>
  <c r="D1866" i="146"/>
  <c r="A1866" i="146"/>
  <c r="D1865" i="146"/>
  <c r="A1865" i="146"/>
  <c r="D1864" i="146"/>
  <c r="A1864" i="146"/>
  <c r="D1863" i="146"/>
  <c r="A1863" i="146"/>
  <c r="D1862" i="146"/>
  <c r="A1862" i="146"/>
  <c r="D1861" i="146"/>
  <c r="A1861" i="146"/>
  <c r="D1860" i="146"/>
  <c r="A1860" i="146"/>
  <c r="D1859" i="146"/>
  <c r="A1859" i="146"/>
  <c r="D1858" i="146"/>
  <c r="A1858" i="146"/>
  <c r="D1857" i="146"/>
  <c r="A1857" i="146"/>
  <c r="D1856" i="146"/>
  <c r="A1856" i="146"/>
  <c r="D1855" i="146"/>
  <c r="A1855" i="146"/>
  <c r="D1854" i="146"/>
  <c r="A1854" i="146"/>
  <c r="D1853" i="146"/>
  <c r="A1853" i="146"/>
  <c r="D1852" i="146"/>
  <c r="A1852" i="146"/>
  <c r="D1851" i="146"/>
  <c r="A1851" i="146"/>
  <c r="D1850" i="146"/>
  <c r="A1850" i="146"/>
  <c r="D1849" i="146"/>
  <c r="A1849" i="146"/>
  <c r="D1848" i="146"/>
  <c r="A1848" i="146"/>
  <c r="D1847" i="146"/>
  <c r="A1847" i="146"/>
  <c r="D1846" i="146"/>
  <c r="A1846" i="146"/>
  <c r="D1845" i="146"/>
  <c r="A1845" i="146"/>
  <c r="D1844" i="146"/>
  <c r="A1844" i="146"/>
  <c r="D1843" i="146"/>
  <c r="A1843" i="146"/>
  <c r="D1842" i="146"/>
  <c r="A1842" i="146"/>
  <c r="D1841" i="146"/>
  <c r="A1841" i="146"/>
  <c r="D1840" i="146"/>
  <c r="A1840" i="146"/>
  <c r="D1839" i="146"/>
  <c r="A1839" i="146"/>
  <c r="D1838" i="146"/>
  <c r="A1838" i="146"/>
  <c r="D1837" i="146"/>
  <c r="A1837" i="146"/>
  <c r="D1836" i="146"/>
  <c r="A1836" i="146"/>
  <c r="D1835" i="146"/>
  <c r="A1835" i="146"/>
  <c r="D1834" i="146"/>
  <c r="A1834" i="146"/>
  <c r="D1833" i="146"/>
  <c r="A1833" i="146"/>
  <c r="D1832" i="146"/>
  <c r="A1832" i="146"/>
  <c r="D1831" i="146"/>
  <c r="A1831" i="146"/>
  <c r="D1830" i="146"/>
  <c r="A1830" i="146"/>
  <c r="D1829" i="146"/>
  <c r="A1829" i="146"/>
  <c r="D1828" i="146"/>
  <c r="A1828" i="146"/>
  <c r="D1827" i="146"/>
  <c r="A1827" i="146"/>
  <c r="D1826" i="146"/>
  <c r="A1826" i="146"/>
  <c r="D1825" i="146"/>
  <c r="A1825" i="146"/>
  <c r="D1824" i="146"/>
  <c r="A1824" i="146"/>
  <c r="D1823" i="146"/>
  <c r="A1823" i="146"/>
  <c r="D1822" i="146"/>
  <c r="A1822" i="146"/>
  <c r="D1821" i="146"/>
  <c r="A1821" i="146"/>
  <c r="D1820" i="146"/>
  <c r="A1820" i="146"/>
  <c r="D1819" i="146"/>
  <c r="A1819" i="146"/>
  <c r="D1818" i="146"/>
  <c r="A1818" i="146"/>
  <c r="D1817" i="146"/>
  <c r="A1817" i="146"/>
  <c r="D1816" i="146"/>
  <c r="A1816" i="146"/>
  <c r="D1815" i="146"/>
  <c r="A1815" i="146"/>
  <c r="D1814" i="146"/>
  <c r="A1814" i="146"/>
  <c r="D1813" i="146"/>
  <c r="A1813" i="146"/>
  <c r="D1812" i="146"/>
  <c r="A1812" i="146"/>
  <c r="D1811" i="146"/>
  <c r="A1811" i="146"/>
  <c r="D1810" i="146"/>
  <c r="A1810" i="146"/>
  <c r="D1809" i="146"/>
  <c r="A1809" i="146"/>
  <c r="D1808" i="146"/>
  <c r="A1808" i="146"/>
  <c r="D1807" i="146"/>
  <c r="A1807" i="146"/>
  <c r="D1806" i="146"/>
  <c r="A1806" i="146"/>
  <c r="D1805" i="146"/>
  <c r="A1805" i="146"/>
  <c r="D1804" i="146"/>
  <c r="A1804" i="146"/>
  <c r="D1803" i="146"/>
  <c r="A1803" i="146"/>
  <c r="D1802" i="146"/>
  <c r="A1802" i="146"/>
  <c r="D1801" i="146"/>
  <c r="A1801" i="146"/>
  <c r="D1800" i="146"/>
  <c r="A1800" i="146"/>
  <c r="D1799" i="146"/>
  <c r="A1799" i="146"/>
  <c r="D1798" i="146"/>
  <c r="A1798" i="146"/>
  <c r="D1797" i="146"/>
  <c r="A1797" i="146"/>
  <c r="D1796" i="146"/>
  <c r="A1796" i="146"/>
  <c r="D1795" i="146"/>
  <c r="A1795" i="146"/>
  <c r="D1794" i="146"/>
  <c r="A1794" i="146"/>
  <c r="D1793" i="146"/>
  <c r="A1793" i="146"/>
  <c r="D1792" i="146"/>
  <c r="A1792" i="146"/>
  <c r="D1791" i="146"/>
  <c r="A1791" i="146"/>
  <c r="D1790" i="146"/>
  <c r="A1790" i="146"/>
  <c r="D1789" i="146"/>
  <c r="A1789" i="146"/>
  <c r="D1788" i="146"/>
  <c r="A1788" i="146"/>
  <c r="D1787" i="146"/>
  <c r="A1787" i="146"/>
  <c r="D1786" i="146"/>
  <c r="A1786" i="146"/>
  <c r="D1785" i="146"/>
  <c r="A1785" i="146"/>
  <c r="D1784" i="146"/>
  <c r="A1784" i="146"/>
  <c r="D1783" i="146"/>
  <c r="A1783" i="146"/>
  <c r="D1782" i="146"/>
  <c r="A1782" i="146"/>
  <c r="D1781" i="146"/>
  <c r="A1781" i="146"/>
  <c r="D1780" i="146"/>
  <c r="A1780" i="146"/>
  <c r="D1779" i="146"/>
  <c r="A1779" i="146"/>
  <c r="D1778" i="146"/>
  <c r="A1778" i="146"/>
  <c r="D1777" i="146"/>
  <c r="A1777" i="146"/>
  <c r="D1776" i="146"/>
  <c r="A1776" i="146"/>
  <c r="D1775" i="146"/>
  <c r="A1775" i="146"/>
  <c r="D1774" i="146"/>
  <c r="A1774" i="146"/>
  <c r="D1773" i="146"/>
  <c r="A1773" i="146"/>
  <c r="D1772" i="146"/>
  <c r="A1772" i="146"/>
  <c r="D1771" i="146"/>
  <c r="A1771" i="146"/>
  <c r="D1770" i="146"/>
  <c r="A1770" i="146"/>
  <c r="D1769" i="146"/>
  <c r="A1769" i="146"/>
  <c r="D1768" i="146"/>
  <c r="A1768" i="146"/>
  <c r="D1767" i="146"/>
  <c r="A1767" i="146"/>
  <c r="D1766" i="146"/>
  <c r="A1766" i="146"/>
  <c r="D1765" i="146"/>
  <c r="A1765" i="146"/>
  <c r="D1764" i="146"/>
  <c r="A1764" i="146"/>
  <c r="D1763" i="146"/>
  <c r="A1763" i="146"/>
  <c r="D1762" i="146"/>
  <c r="A1762" i="146"/>
  <c r="D1761" i="146"/>
  <c r="A1761" i="146"/>
  <c r="D1760" i="146"/>
  <c r="A1760" i="146"/>
  <c r="D1759" i="146"/>
  <c r="A1759" i="146"/>
  <c r="D1758" i="146"/>
  <c r="A1758" i="146"/>
  <c r="D1757" i="146"/>
  <c r="A1757" i="146"/>
  <c r="D1756" i="146"/>
  <c r="A1756" i="146"/>
  <c r="D1755" i="146"/>
  <c r="A1755" i="146"/>
  <c r="D1754" i="146"/>
  <c r="A1754" i="146"/>
  <c r="D1753" i="146"/>
  <c r="A1753" i="146"/>
  <c r="D1752" i="146"/>
  <c r="A1752" i="146"/>
  <c r="D1751" i="146"/>
  <c r="A1751" i="146"/>
  <c r="D1750" i="146"/>
  <c r="A1750" i="146"/>
  <c r="D1749" i="146"/>
  <c r="A1749" i="146"/>
  <c r="D1748" i="146"/>
  <c r="A1748" i="146"/>
  <c r="D1747" i="146"/>
  <c r="A1747" i="146"/>
  <c r="D1746" i="146"/>
  <c r="A1746" i="146"/>
  <c r="D1745" i="146"/>
  <c r="A1745" i="146"/>
  <c r="D1744" i="146"/>
  <c r="A1744" i="146"/>
  <c r="D1743" i="146"/>
  <c r="A1743" i="146"/>
  <c r="D1742" i="146"/>
  <c r="A1742" i="146"/>
  <c r="D1741" i="146"/>
  <c r="A1741" i="146"/>
  <c r="D1740" i="146"/>
  <c r="A1740" i="146"/>
  <c r="D1739" i="146"/>
  <c r="A1739" i="146"/>
  <c r="D1738" i="146"/>
  <c r="A1738" i="146"/>
  <c r="D1737" i="146"/>
  <c r="A1737" i="146"/>
  <c r="D1736" i="146"/>
  <c r="A1736" i="146"/>
  <c r="D1735" i="146"/>
  <c r="A1735" i="146"/>
  <c r="D1734" i="146"/>
  <c r="A1734" i="146"/>
  <c r="D1733" i="146"/>
  <c r="A1733" i="146"/>
  <c r="D1732" i="146"/>
  <c r="A1732" i="146"/>
  <c r="D1731" i="146"/>
  <c r="A1731" i="146"/>
  <c r="D1730" i="146"/>
  <c r="A1730" i="146"/>
  <c r="D1729" i="146"/>
  <c r="A1729" i="146"/>
  <c r="D1728" i="146"/>
  <c r="A1728" i="146"/>
  <c r="D1727" i="146"/>
  <c r="A1727" i="146"/>
  <c r="D1726" i="146"/>
  <c r="A1726" i="146"/>
  <c r="D1725" i="146"/>
  <c r="A1725" i="146"/>
  <c r="D1724" i="146"/>
  <c r="A1724" i="146"/>
  <c r="D1723" i="146"/>
  <c r="A1723" i="146"/>
  <c r="D1722" i="146"/>
  <c r="A1722" i="146"/>
  <c r="D1721" i="146"/>
  <c r="A1721" i="146"/>
  <c r="D1720" i="146"/>
  <c r="A1720" i="146"/>
  <c r="D1719" i="146"/>
  <c r="A1719" i="146"/>
  <c r="D1718" i="146"/>
  <c r="A1718" i="146"/>
  <c r="D1717" i="146"/>
  <c r="A1717" i="146"/>
  <c r="D1716" i="146"/>
  <c r="A1716" i="146"/>
  <c r="D1715" i="146"/>
  <c r="A1715" i="146"/>
  <c r="D1714" i="146"/>
  <c r="A1714" i="146"/>
  <c r="D1713" i="146"/>
  <c r="A1713" i="146"/>
  <c r="D1712" i="146"/>
  <c r="A1712" i="146"/>
  <c r="D1711" i="146"/>
  <c r="A1711" i="146"/>
  <c r="D1710" i="146"/>
  <c r="A1710" i="146"/>
  <c r="D1709" i="146"/>
  <c r="A1709" i="146"/>
  <c r="D1708" i="146"/>
  <c r="A1708" i="146"/>
  <c r="D1707" i="146"/>
  <c r="A1707" i="146"/>
  <c r="D1706" i="146"/>
  <c r="A1706" i="146"/>
  <c r="D1705" i="146"/>
  <c r="A1705" i="146"/>
  <c r="D1704" i="146"/>
  <c r="A1704" i="146"/>
  <c r="D1703" i="146"/>
  <c r="A1703" i="146"/>
  <c r="D1702" i="146"/>
  <c r="A1702" i="146"/>
  <c r="D1701" i="146"/>
  <c r="A1701" i="146"/>
  <c r="D1700" i="146"/>
  <c r="A1700" i="146"/>
  <c r="D1699" i="146"/>
  <c r="A1699" i="146"/>
  <c r="D1698" i="146"/>
  <c r="A1698" i="146"/>
  <c r="D1697" i="146"/>
  <c r="A1697" i="146"/>
  <c r="D1696" i="146"/>
  <c r="A1696" i="146"/>
  <c r="D1695" i="146"/>
  <c r="A1695" i="146"/>
  <c r="D1694" i="146"/>
  <c r="A1694" i="146"/>
  <c r="D1693" i="146"/>
  <c r="A1693" i="146"/>
  <c r="D1692" i="146"/>
  <c r="A1692" i="146"/>
  <c r="D1691" i="146"/>
  <c r="A1691" i="146"/>
  <c r="D1690" i="146"/>
  <c r="A1690" i="146"/>
  <c r="D1689" i="146"/>
  <c r="A1689" i="146"/>
  <c r="D1688" i="146"/>
  <c r="A1688" i="146"/>
  <c r="D1687" i="146"/>
  <c r="A1687" i="146"/>
  <c r="D1686" i="146"/>
  <c r="A1686" i="146"/>
  <c r="D1685" i="146"/>
  <c r="A1685" i="146"/>
  <c r="D1684" i="146"/>
  <c r="A1684" i="146"/>
  <c r="D1683" i="146"/>
  <c r="A1683" i="146"/>
  <c r="D1682" i="146"/>
  <c r="A1682" i="146"/>
  <c r="D1681" i="146"/>
  <c r="A1681" i="146"/>
  <c r="D1680" i="146"/>
  <c r="A1680" i="146"/>
  <c r="D1679" i="146"/>
  <c r="A1679" i="146"/>
  <c r="D1678" i="146"/>
  <c r="A1678" i="146"/>
  <c r="D1677" i="146"/>
  <c r="A1677" i="146"/>
  <c r="D1676" i="146"/>
  <c r="A1676" i="146"/>
  <c r="D1675" i="146"/>
  <c r="A1675" i="146"/>
  <c r="D1674" i="146"/>
  <c r="A1674" i="146"/>
  <c r="D1673" i="146"/>
  <c r="A1673" i="146"/>
  <c r="D1672" i="146"/>
  <c r="A1672" i="146"/>
  <c r="D1671" i="146"/>
  <c r="A1671" i="146"/>
  <c r="D1670" i="146"/>
  <c r="A1670" i="146"/>
  <c r="D1669" i="146"/>
  <c r="A1669" i="146"/>
  <c r="D1668" i="146"/>
  <c r="A1668" i="146"/>
  <c r="D1667" i="146"/>
  <c r="A1667" i="146"/>
  <c r="D1666" i="146"/>
  <c r="A1666" i="146"/>
  <c r="D1665" i="146"/>
  <c r="A1665" i="146"/>
  <c r="D1664" i="146"/>
  <c r="A1664" i="146"/>
  <c r="D1663" i="146"/>
  <c r="A1663" i="146"/>
  <c r="D1662" i="146"/>
  <c r="A1662" i="146"/>
  <c r="D1661" i="146"/>
  <c r="A1661" i="146"/>
  <c r="D1660" i="146"/>
  <c r="A1660" i="146"/>
  <c r="D1659" i="146"/>
  <c r="A1659" i="146"/>
  <c r="D1658" i="146"/>
  <c r="A1658" i="146"/>
  <c r="D1657" i="146"/>
  <c r="A1657" i="146"/>
  <c r="D1656" i="146"/>
  <c r="A1656" i="146"/>
  <c r="D1655" i="146"/>
  <c r="A1655" i="146"/>
  <c r="D1654" i="146"/>
  <c r="A1654" i="146"/>
  <c r="D1653" i="146"/>
  <c r="A1653" i="146"/>
  <c r="D1652" i="146"/>
  <c r="A1652" i="146"/>
  <c r="D1651" i="146"/>
  <c r="A1651" i="146"/>
  <c r="D1650" i="146"/>
  <c r="A1650" i="146"/>
  <c r="D1649" i="146"/>
  <c r="A1649" i="146"/>
  <c r="D1648" i="146"/>
  <c r="A1648" i="146"/>
  <c r="D1647" i="146"/>
  <c r="A1647" i="146"/>
  <c r="D1646" i="146"/>
  <c r="A1646" i="146"/>
  <c r="D1645" i="146"/>
  <c r="A1645" i="146"/>
  <c r="D1644" i="146"/>
  <c r="A1644" i="146"/>
  <c r="D1643" i="146"/>
  <c r="A1643" i="146"/>
  <c r="D1642" i="146"/>
  <c r="A1642" i="146"/>
  <c r="D1641" i="146"/>
  <c r="A1641" i="146"/>
  <c r="D1640" i="146"/>
  <c r="A1640" i="146"/>
  <c r="D1639" i="146"/>
  <c r="A1639" i="146"/>
  <c r="D1638" i="146"/>
  <c r="A1638" i="146"/>
  <c r="D1637" i="146"/>
  <c r="A1637" i="146"/>
  <c r="D1636" i="146"/>
  <c r="A1636" i="146"/>
  <c r="D1635" i="146"/>
  <c r="A1635" i="146"/>
  <c r="D1634" i="146"/>
  <c r="A1634" i="146"/>
  <c r="D1633" i="146"/>
  <c r="A1633" i="146"/>
  <c r="D1632" i="146"/>
  <c r="A1632" i="146"/>
  <c r="D1631" i="146"/>
  <c r="A1631" i="146"/>
  <c r="D1630" i="146"/>
  <c r="A1630" i="146"/>
  <c r="D1629" i="146"/>
  <c r="A1629" i="146"/>
  <c r="D1628" i="146"/>
  <c r="A1628" i="146"/>
  <c r="D1627" i="146"/>
  <c r="A1627" i="146"/>
  <c r="D1626" i="146"/>
  <c r="A1626" i="146"/>
  <c r="D1625" i="146"/>
  <c r="A1625" i="146"/>
  <c r="D1624" i="146"/>
  <c r="A1624" i="146"/>
  <c r="D1623" i="146"/>
  <c r="A1623" i="146"/>
  <c r="D1622" i="146"/>
  <c r="A1622" i="146"/>
  <c r="D1621" i="146"/>
  <c r="A1621" i="146"/>
  <c r="D1620" i="146"/>
  <c r="A1620" i="146"/>
  <c r="D1619" i="146"/>
  <c r="A1619" i="146"/>
  <c r="D1618" i="146"/>
  <c r="A1618" i="146"/>
  <c r="D1617" i="146"/>
  <c r="A1617" i="146"/>
  <c r="D1616" i="146"/>
  <c r="A1616" i="146"/>
  <c r="D1615" i="146"/>
  <c r="A1615" i="146"/>
  <c r="D1614" i="146"/>
  <c r="A1614" i="146"/>
  <c r="D1613" i="146"/>
  <c r="A1613" i="146"/>
  <c r="D1612" i="146"/>
  <c r="A1612" i="146"/>
  <c r="D1611" i="146"/>
  <c r="A1611" i="146"/>
  <c r="D1610" i="146"/>
  <c r="A1610" i="146"/>
  <c r="D1609" i="146"/>
  <c r="A1609" i="146"/>
  <c r="D1608" i="146"/>
  <c r="A1608" i="146"/>
  <c r="D1607" i="146"/>
  <c r="A1607" i="146"/>
  <c r="D1606" i="146"/>
  <c r="A1606" i="146"/>
  <c r="D1605" i="146"/>
  <c r="A1605" i="146"/>
  <c r="D1604" i="146"/>
  <c r="A1604" i="146"/>
  <c r="D1603" i="146"/>
  <c r="A1603" i="146"/>
  <c r="D1602" i="146"/>
  <c r="A1602" i="146"/>
  <c r="D1601" i="146"/>
  <c r="A1601" i="146"/>
  <c r="D1600" i="146"/>
  <c r="A1600" i="146"/>
  <c r="D1599" i="146"/>
  <c r="A1599" i="146"/>
  <c r="D1598" i="146"/>
  <c r="A1598" i="146"/>
  <c r="D1597" i="146"/>
  <c r="A1597" i="146"/>
  <c r="D1596" i="146"/>
  <c r="A1596" i="146"/>
  <c r="D1595" i="146"/>
  <c r="A1595" i="146"/>
  <c r="D1594" i="146"/>
  <c r="A1594" i="146"/>
  <c r="D1593" i="146"/>
  <c r="A1593" i="146"/>
  <c r="D1592" i="146"/>
  <c r="A1592" i="146"/>
  <c r="D1591" i="146"/>
  <c r="A1591" i="146"/>
  <c r="D1590" i="146"/>
  <c r="A1590" i="146"/>
  <c r="D1589" i="146"/>
  <c r="A1589" i="146"/>
  <c r="D1588" i="146"/>
  <c r="A1588" i="146"/>
  <c r="D1587" i="146"/>
  <c r="A1587" i="146"/>
  <c r="D1586" i="146"/>
  <c r="A1586" i="146"/>
  <c r="D1585" i="146"/>
  <c r="A1585" i="146"/>
  <c r="D1584" i="146"/>
  <c r="A1584" i="146"/>
  <c r="D1583" i="146"/>
  <c r="A1583" i="146"/>
  <c r="D1582" i="146"/>
  <c r="A1582" i="146"/>
  <c r="D1581" i="146"/>
  <c r="A1581" i="146"/>
  <c r="D1580" i="146"/>
  <c r="A1580" i="146"/>
  <c r="D1579" i="146"/>
  <c r="A1579" i="146"/>
  <c r="D1578" i="146"/>
  <c r="A1578" i="146"/>
  <c r="D1577" i="146"/>
  <c r="A1577" i="146"/>
  <c r="D1576" i="146"/>
  <c r="A1576" i="146"/>
  <c r="D1575" i="146"/>
  <c r="A1575" i="146"/>
  <c r="D1574" i="146"/>
  <c r="A1574" i="146"/>
  <c r="D1573" i="146"/>
  <c r="A1573" i="146"/>
  <c r="D1572" i="146"/>
  <c r="A1572" i="146"/>
  <c r="D1571" i="146"/>
  <c r="A1571" i="146"/>
  <c r="D1570" i="146"/>
  <c r="A1570" i="146"/>
  <c r="D1569" i="146"/>
  <c r="A1569" i="146"/>
  <c r="D1568" i="146"/>
  <c r="A1568" i="146"/>
  <c r="D1567" i="146"/>
  <c r="A1567" i="146"/>
  <c r="D1566" i="146"/>
  <c r="A1566" i="146"/>
  <c r="D1565" i="146"/>
  <c r="A1565" i="146"/>
  <c r="D1564" i="146"/>
  <c r="A1564" i="146"/>
  <c r="D1563" i="146"/>
  <c r="A1563" i="146"/>
  <c r="D1562" i="146"/>
  <c r="A1562" i="146"/>
  <c r="D1561" i="146"/>
  <c r="A1561" i="146"/>
  <c r="D1560" i="146"/>
  <c r="A1560" i="146"/>
  <c r="D1559" i="146"/>
  <c r="A1559" i="146"/>
  <c r="D1558" i="146"/>
  <c r="A1558" i="146"/>
  <c r="D1557" i="146"/>
  <c r="A1557" i="146"/>
  <c r="D1556" i="146"/>
  <c r="A1556" i="146"/>
  <c r="D1555" i="146"/>
  <c r="A1555" i="146"/>
  <c r="D1554" i="146"/>
  <c r="A1554" i="146"/>
  <c r="D1553" i="146"/>
  <c r="A1553" i="146"/>
  <c r="D1552" i="146"/>
  <c r="A1552" i="146"/>
  <c r="D1551" i="146"/>
  <c r="A1551" i="146"/>
  <c r="D1550" i="146"/>
  <c r="A1550" i="146"/>
  <c r="D1549" i="146"/>
  <c r="A1549" i="146"/>
  <c r="D1548" i="146"/>
  <c r="A1548" i="146"/>
  <c r="D1547" i="146"/>
  <c r="A1547" i="146"/>
  <c r="D1546" i="146"/>
  <c r="A1546" i="146"/>
  <c r="D1545" i="146"/>
  <c r="A1545" i="146"/>
  <c r="D1544" i="146"/>
  <c r="A1544" i="146"/>
  <c r="D1543" i="146"/>
  <c r="A1543" i="146"/>
  <c r="D1542" i="146"/>
  <c r="A1542" i="146"/>
  <c r="D1541" i="146"/>
  <c r="A1541" i="146"/>
  <c r="D1540" i="146"/>
  <c r="A1540" i="146"/>
  <c r="D1539" i="146"/>
  <c r="A1539" i="146"/>
  <c r="D1538" i="146"/>
  <c r="A1538" i="146"/>
  <c r="D1537" i="146"/>
  <c r="A1537" i="146"/>
  <c r="D1536" i="146"/>
  <c r="A1536" i="146"/>
  <c r="D1535" i="146"/>
  <c r="A1535" i="146"/>
  <c r="D1534" i="146"/>
  <c r="A1534" i="146"/>
  <c r="D1533" i="146"/>
  <c r="A1533" i="146"/>
  <c r="D1532" i="146"/>
  <c r="A1532" i="146"/>
  <c r="D1531" i="146"/>
  <c r="A1531" i="146"/>
  <c r="D1530" i="146"/>
  <c r="A1530" i="146"/>
  <c r="D1529" i="146"/>
  <c r="A1529" i="146"/>
  <c r="D1528" i="146"/>
  <c r="A1528" i="146"/>
  <c r="D1527" i="146"/>
  <c r="A1527" i="146"/>
  <c r="D1526" i="146"/>
  <c r="A1526" i="146"/>
  <c r="D1525" i="146"/>
  <c r="A1525" i="146"/>
  <c r="D1524" i="146"/>
  <c r="A1524" i="146"/>
  <c r="D1523" i="146"/>
  <c r="A1523" i="146"/>
  <c r="D1522" i="146"/>
  <c r="A1522" i="146"/>
  <c r="D1521" i="146"/>
  <c r="A1521" i="146"/>
  <c r="D1520" i="146"/>
  <c r="A1520" i="146"/>
  <c r="D1519" i="146"/>
  <c r="A1519" i="146"/>
  <c r="D1518" i="146"/>
  <c r="A1518" i="146"/>
  <c r="D1517" i="146"/>
  <c r="A1517" i="146"/>
  <c r="D1516" i="146"/>
  <c r="A1516" i="146"/>
  <c r="D1515" i="146"/>
  <c r="A1515" i="146"/>
  <c r="D1514" i="146"/>
  <c r="A1514" i="146"/>
  <c r="D1513" i="146"/>
  <c r="A1513" i="146"/>
  <c r="D1512" i="146"/>
  <c r="A1512" i="146"/>
  <c r="D1511" i="146"/>
  <c r="A1511" i="146"/>
  <c r="D1510" i="146"/>
  <c r="A1510" i="146"/>
  <c r="D1509" i="146"/>
  <c r="A1509" i="146"/>
  <c r="D1508" i="146"/>
  <c r="A1508" i="146"/>
  <c r="D1507" i="146"/>
  <c r="A1507" i="146"/>
  <c r="D1506" i="146"/>
  <c r="A1506" i="146"/>
  <c r="D1505" i="146"/>
  <c r="A1505" i="146"/>
  <c r="D1504" i="146"/>
  <c r="A1504" i="146"/>
  <c r="D1503" i="146"/>
  <c r="A1503" i="146"/>
  <c r="D1502" i="146"/>
  <c r="A1502" i="146"/>
  <c r="D1501" i="146"/>
  <c r="A1501" i="146"/>
  <c r="D1500" i="146"/>
  <c r="A1500" i="146"/>
  <c r="D1499" i="146"/>
  <c r="A1499" i="146"/>
  <c r="D1498" i="146"/>
  <c r="A1498" i="146"/>
  <c r="D1497" i="146"/>
  <c r="A1497" i="146"/>
  <c r="D1496" i="146"/>
  <c r="A1496" i="146"/>
  <c r="D1495" i="146"/>
  <c r="A1495" i="146"/>
  <c r="D1494" i="146"/>
  <c r="A1494" i="146"/>
  <c r="D1493" i="146"/>
  <c r="A1493" i="146"/>
  <c r="D1492" i="146"/>
  <c r="A1492" i="146"/>
  <c r="D1491" i="146"/>
  <c r="A1491" i="146"/>
  <c r="D1490" i="146"/>
  <c r="A1490" i="146"/>
  <c r="D1489" i="146"/>
  <c r="A1489" i="146"/>
  <c r="D1488" i="146"/>
  <c r="A1488" i="146"/>
  <c r="D1487" i="146"/>
  <c r="A1487" i="146"/>
  <c r="D1486" i="146"/>
  <c r="A1486" i="146"/>
  <c r="D1485" i="146"/>
  <c r="A1485" i="146"/>
  <c r="D1484" i="146"/>
  <c r="A1484" i="146"/>
  <c r="D1483" i="146"/>
  <c r="A1483" i="146"/>
  <c r="D1482" i="146"/>
  <c r="A1482" i="146"/>
  <c r="D1481" i="146"/>
  <c r="A1481" i="146"/>
  <c r="D1480" i="146"/>
  <c r="A1480" i="146"/>
  <c r="D1479" i="146"/>
  <c r="A1479" i="146"/>
  <c r="D1478" i="146"/>
  <c r="A1478" i="146"/>
  <c r="D1477" i="146"/>
  <c r="A1477" i="146"/>
  <c r="D1476" i="146"/>
  <c r="A1476" i="146"/>
  <c r="D1475" i="146"/>
  <c r="A1475" i="146"/>
  <c r="D1474" i="146"/>
  <c r="A1474" i="146"/>
  <c r="D1473" i="146"/>
  <c r="A1473" i="146"/>
  <c r="D1472" i="146"/>
  <c r="A1472" i="146"/>
  <c r="D1471" i="146"/>
  <c r="A1471" i="146"/>
  <c r="D1470" i="146"/>
  <c r="A1470" i="146"/>
  <c r="D1469" i="146"/>
  <c r="A1469" i="146"/>
  <c r="D1468" i="146"/>
  <c r="A1468" i="146"/>
  <c r="D1467" i="146"/>
  <c r="A1467" i="146"/>
  <c r="D1466" i="146"/>
  <c r="A1466" i="146"/>
  <c r="D1465" i="146"/>
  <c r="A1465" i="146"/>
  <c r="D1464" i="146"/>
  <c r="A1464" i="146"/>
  <c r="D1463" i="146"/>
  <c r="A1463" i="146"/>
  <c r="D1462" i="146"/>
  <c r="A1462" i="146"/>
  <c r="D1461" i="146"/>
  <c r="A1461" i="146"/>
  <c r="D1460" i="146"/>
  <c r="A1460" i="146"/>
  <c r="D1459" i="146"/>
  <c r="A1459" i="146"/>
  <c r="D1458" i="146"/>
  <c r="A1458" i="146"/>
  <c r="D1457" i="146"/>
  <c r="A1457" i="146"/>
  <c r="D1456" i="146"/>
  <c r="A1456" i="146"/>
  <c r="D1455" i="146"/>
  <c r="A1455" i="146"/>
  <c r="D1454" i="146"/>
  <c r="A1454" i="146"/>
  <c r="D1453" i="146"/>
  <c r="A1453" i="146"/>
  <c r="D1452" i="146"/>
  <c r="A1452" i="146"/>
  <c r="D1451" i="146"/>
  <c r="A1451" i="146"/>
  <c r="D1450" i="146"/>
  <c r="A1450" i="146"/>
  <c r="D1449" i="146"/>
  <c r="A1449" i="146"/>
  <c r="D1448" i="146"/>
  <c r="A1448" i="146"/>
  <c r="D1447" i="146"/>
  <c r="A1447" i="146"/>
  <c r="D1446" i="146"/>
  <c r="A1446" i="146"/>
  <c r="D1445" i="146"/>
  <c r="A1445" i="146"/>
  <c r="D1444" i="146"/>
  <c r="A1444" i="146"/>
  <c r="D1443" i="146"/>
  <c r="A1443" i="146"/>
  <c r="D1442" i="146"/>
  <c r="A1442" i="146"/>
  <c r="D1441" i="146"/>
  <c r="A1441" i="146"/>
  <c r="D1440" i="146"/>
  <c r="A1440" i="146"/>
  <c r="D1439" i="146"/>
  <c r="A1439" i="146"/>
  <c r="D1438" i="146"/>
  <c r="A1438" i="146"/>
  <c r="D1437" i="146"/>
  <c r="A1437" i="146"/>
  <c r="D1436" i="146"/>
  <c r="A1436" i="146"/>
  <c r="D1435" i="146"/>
  <c r="A1435" i="146"/>
  <c r="D1434" i="146"/>
  <c r="A1434" i="146"/>
  <c r="D1433" i="146"/>
  <c r="A1433" i="146"/>
  <c r="D1432" i="146"/>
  <c r="A1432" i="146"/>
  <c r="D1431" i="146"/>
  <c r="A1431" i="146"/>
  <c r="D1430" i="146"/>
  <c r="A1430" i="146"/>
  <c r="D1429" i="146"/>
  <c r="A1429" i="146"/>
  <c r="D1428" i="146"/>
  <c r="A1428" i="146"/>
  <c r="D1427" i="146"/>
  <c r="A1427" i="146"/>
  <c r="D1426" i="146"/>
  <c r="A1426" i="146"/>
  <c r="D1425" i="146"/>
  <c r="A1425" i="146"/>
  <c r="D1424" i="146"/>
  <c r="A1424" i="146"/>
  <c r="D1423" i="146"/>
  <c r="A1423" i="146"/>
  <c r="D1422" i="146"/>
  <c r="A1422" i="146"/>
  <c r="D1421" i="146"/>
  <c r="A1421" i="146"/>
  <c r="D1420" i="146"/>
  <c r="A1420" i="146"/>
  <c r="D1419" i="146"/>
  <c r="A1419" i="146"/>
  <c r="D1418" i="146"/>
  <c r="A1418" i="146"/>
  <c r="D1417" i="146"/>
  <c r="A1417" i="146"/>
  <c r="D1416" i="146"/>
  <c r="A1416" i="146"/>
  <c r="D1415" i="146"/>
  <c r="A1415" i="146"/>
  <c r="D1414" i="146"/>
  <c r="A1414" i="146"/>
  <c r="D1413" i="146"/>
  <c r="A1413" i="146"/>
  <c r="D1412" i="146"/>
  <c r="A1412" i="146"/>
  <c r="D1411" i="146"/>
  <c r="A1411" i="146"/>
  <c r="D1410" i="146"/>
  <c r="A1410" i="146"/>
  <c r="D1409" i="146"/>
  <c r="A1409" i="146"/>
  <c r="D1408" i="146"/>
  <c r="A1408" i="146"/>
  <c r="D1407" i="146"/>
  <c r="A1407" i="146"/>
  <c r="D1406" i="146"/>
  <c r="A1406" i="146"/>
  <c r="D1405" i="146"/>
  <c r="A1405" i="146"/>
  <c r="D1404" i="146"/>
  <c r="A1404" i="146"/>
  <c r="D1403" i="146"/>
  <c r="A1403" i="146"/>
  <c r="D1402" i="146"/>
  <c r="A1402" i="146"/>
  <c r="D1401" i="146"/>
  <c r="A1401" i="146"/>
  <c r="D1400" i="146"/>
  <c r="A1400" i="146"/>
  <c r="D1399" i="146"/>
  <c r="A1399" i="146"/>
  <c r="D1398" i="146"/>
  <c r="A1398" i="146"/>
  <c r="D1397" i="146"/>
  <c r="A1397" i="146"/>
  <c r="D1396" i="146"/>
  <c r="A1396" i="146"/>
  <c r="D1395" i="146"/>
  <c r="A1395" i="146"/>
  <c r="D1394" i="146"/>
  <c r="A1394" i="146"/>
  <c r="D1393" i="146"/>
  <c r="A1393" i="146"/>
  <c r="D1392" i="146"/>
  <c r="A1392" i="146"/>
  <c r="D1391" i="146"/>
  <c r="A1391" i="146"/>
  <c r="D1390" i="146"/>
  <c r="A1390" i="146"/>
  <c r="D1389" i="146"/>
  <c r="A1389" i="146"/>
  <c r="D1388" i="146"/>
  <c r="A1388" i="146"/>
  <c r="D1387" i="146"/>
  <c r="A1387" i="146"/>
  <c r="D1386" i="146"/>
  <c r="A1386" i="146"/>
  <c r="D1385" i="146"/>
  <c r="A1385" i="146"/>
  <c r="D1384" i="146"/>
  <c r="A1384" i="146"/>
  <c r="D1383" i="146"/>
  <c r="A1383" i="146"/>
  <c r="D1382" i="146"/>
  <c r="A1382" i="146"/>
  <c r="D1381" i="146"/>
  <c r="A1381" i="146"/>
  <c r="D1380" i="146"/>
  <c r="A1380" i="146"/>
  <c r="D1379" i="146"/>
  <c r="A1379" i="146"/>
  <c r="D1378" i="146"/>
  <c r="A1378" i="146"/>
  <c r="D1377" i="146"/>
  <c r="A1377" i="146"/>
  <c r="D1376" i="146"/>
  <c r="A1376" i="146"/>
  <c r="D1375" i="146"/>
  <c r="A1375" i="146"/>
  <c r="D1374" i="146"/>
  <c r="A1374" i="146"/>
  <c r="D1373" i="146"/>
  <c r="A1373" i="146"/>
  <c r="D1372" i="146"/>
  <c r="A1372" i="146"/>
  <c r="D1371" i="146"/>
  <c r="A1371" i="146"/>
  <c r="D1370" i="146"/>
  <c r="A1370" i="146"/>
  <c r="D1369" i="146"/>
  <c r="A1369" i="146"/>
  <c r="D1368" i="146"/>
  <c r="A1368" i="146"/>
  <c r="D1367" i="146"/>
  <c r="A1367" i="146"/>
  <c r="D1366" i="146"/>
  <c r="A1366" i="146"/>
  <c r="D1365" i="146"/>
  <c r="A1365" i="146"/>
  <c r="D1364" i="146"/>
  <c r="A1364" i="146"/>
  <c r="D1363" i="146"/>
  <c r="A1363" i="146"/>
  <c r="D1362" i="146"/>
  <c r="A1362" i="146"/>
  <c r="D1361" i="146"/>
  <c r="A1361" i="146"/>
  <c r="D1360" i="146"/>
  <c r="A1360" i="146"/>
  <c r="D1359" i="146"/>
  <c r="A1359" i="146"/>
  <c r="D1358" i="146"/>
  <c r="A1358" i="146"/>
  <c r="D1357" i="146"/>
  <c r="A1357" i="146"/>
  <c r="D1356" i="146"/>
  <c r="A1356" i="146"/>
  <c r="D1355" i="146"/>
  <c r="A1355" i="146"/>
  <c r="D1354" i="146"/>
  <c r="A1354" i="146"/>
  <c r="D1353" i="146"/>
  <c r="A1353" i="146"/>
  <c r="D1352" i="146"/>
  <c r="A1352" i="146"/>
  <c r="D1351" i="146"/>
  <c r="A1351" i="146"/>
  <c r="D1350" i="146"/>
  <c r="A1350" i="146"/>
  <c r="D1349" i="146"/>
  <c r="A1349" i="146"/>
  <c r="D1348" i="146"/>
  <c r="A1348" i="146"/>
  <c r="D1347" i="146"/>
  <c r="A1347" i="146"/>
  <c r="D1346" i="146"/>
  <c r="A1346" i="146"/>
  <c r="D1345" i="146"/>
  <c r="A1345" i="146"/>
  <c r="D1344" i="146"/>
  <c r="A1344" i="146"/>
  <c r="D1343" i="146"/>
  <c r="A1343" i="146"/>
  <c r="D1342" i="146"/>
  <c r="A1342" i="146"/>
  <c r="D1341" i="146"/>
  <c r="A1341" i="146"/>
  <c r="D1340" i="146"/>
  <c r="A1340" i="146"/>
  <c r="D1339" i="146"/>
  <c r="A1339" i="146"/>
  <c r="D1338" i="146"/>
  <c r="A1338" i="146"/>
  <c r="D1337" i="146"/>
  <c r="A1337" i="146"/>
  <c r="D1336" i="146"/>
  <c r="A1336" i="146"/>
  <c r="D1335" i="146"/>
  <c r="A1335" i="146"/>
  <c r="D1334" i="146"/>
  <c r="A1334" i="146"/>
  <c r="D1333" i="146"/>
  <c r="A1333" i="146"/>
  <c r="D1332" i="146"/>
  <c r="A1332" i="146"/>
  <c r="D1331" i="146"/>
  <c r="A1331" i="146"/>
  <c r="D1330" i="146"/>
  <c r="A1330" i="146"/>
  <c r="D1329" i="146"/>
  <c r="A1329" i="146"/>
  <c r="D1328" i="146"/>
  <c r="A1328" i="146"/>
  <c r="D1327" i="146"/>
  <c r="A1327" i="146"/>
  <c r="D1326" i="146"/>
  <c r="A1326" i="146"/>
  <c r="D1325" i="146"/>
  <c r="A1325" i="146"/>
  <c r="D1324" i="146"/>
  <c r="A1324" i="146"/>
  <c r="D1323" i="146"/>
  <c r="A1323" i="146"/>
  <c r="D1322" i="146"/>
  <c r="A1322" i="146"/>
  <c r="D1321" i="146"/>
  <c r="A1321" i="146"/>
  <c r="D1320" i="146"/>
  <c r="A1320" i="146"/>
  <c r="D1319" i="146"/>
  <c r="A1319" i="146"/>
  <c r="D1318" i="146"/>
  <c r="A1318" i="146"/>
  <c r="D1317" i="146"/>
  <c r="A1317" i="146"/>
  <c r="D1316" i="146"/>
  <c r="A1316" i="146"/>
  <c r="D1315" i="146"/>
  <c r="A1315" i="146"/>
  <c r="D1314" i="146"/>
  <c r="A1314" i="146"/>
  <c r="D1313" i="146"/>
  <c r="A1313" i="146"/>
  <c r="D1312" i="146"/>
  <c r="A1312" i="146"/>
  <c r="D1311" i="146"/>
  <c r="A1311" i="146"/>
  <c r="D1310" i="146"/>
  <c r="A1310" i="146"/>
  <c r="D1309" i="146"/>
  <c r="A1309" i="146"/>
  <c r="D1308" i="146"/>
  <c r="A1308" i="146"/>
  <c r="D1307" i="146"/>
  <c r="A1307" i="146"/>
  <c r="D1306" i="146"/>
  <c r="A1306" i="146"/>
  <c r="D1305" i="146"/>
  <c r="A1305" i="146"/>
  <c r="D1304" i="146"/>
  <c r="A1304" i="146"/>
  <c r="D1303" i="146"/>
  <c r="A1303" i="146"/>
  <c r="D1302" i="146"/>
  <c r="A1302" i="146"/>
  <c r="D1301" i="146"/>
  <c r="A1301" i="146"/>
  <c r="D1300" i="146"/>
  <c r="A1300" i="146"/>
  <c r="D1299" i="146"/>
  <c r="A1299" i="146"/>
  <c r="D1298" i="146"/>
  <c r="A1298" i="146"/>
  <c r="D1297" i="146"/>
  <c r="A1297" i="146"/>
  <c r="D1296" i="146"/>
  <c r="A1296" i="146"/>
  <c r="D1295" i="146"/>
  <c r="A1295" i="146"/>
  <c r="D1294" i="146"/>
  <c r="A1294" i="146"/>
  <c r="D1293" i="146"/>
  <c r="A1293" i="146"/>
  <c r="D1292" i="146"/>
  <c r="A1292" i="146"/>
  <c r="D1291" i="146"/>
  <c r="A1291" i="146"/>
  <c r="D1290" i="146"/>
  <c r="A1290" i="146"/>
  <c r="D1289" i="146"/>
  <c r="A1289" i="146"/>
  <c r="D1288" i="146"/>
  <c r="A1288" i="146"/>
  <c r="D1287" i="146"/>
  <c r="A1287" i="146"/>
  <c r="D1286" i="146"/>
  <c r="A1286" i="146"/>
  <c r="D1285" i="146"/>
  <c r="A1285" i="146"/>
  <c r="D1284" i="146"/>
  <c r="A1284" i="146"/>
  <c r="D1283" i="146"/>
  <c r="A1283" i="146"/>
  <c r="D1282" i="146"/>
  <c r="A1282" i="146"/>
  <c r="D1281" i="146"/>
  <c r="A1281" i="146"/>
  <c r="D1280" i="146"/>
  <c r="A1280" i="146"/>
  <c r="D1279" i="146"/>
  <c r="A1279" i="146"/>
  <c r="D1278" i="146"/>
  <c r="A1278" i="146"/>
  <c r="D1277" i="146"/>
  <c r="A1277" i="146"/>
  <c r="D1276" i="146"/>
  <c r="A1276" i="146"/>
  <c r="D1275" i="146"/>
  <c r="A1275" i="146"/>
  <c r="D1274" i="146"/>
  <c r="A1274" i="146"/>
  <c r="D1273" i="146"/>
  <c r="A1273" i="146"/>
  <c r="D1272" i="146"/>
  <c r="A1272" i="146"/>
  <c r="D1271" i="146"/>
  <c r="A1271" i="146"/>
  <c r="D1270" i="146"/>
  <c r="A1270" i="146"/>
  <c r="D1269" i="146"/>
  <c r="A1269" i="146"/>
  <c r="D1268" i="146"/>
  <c r="A1268" i="146"/>
  <c r="D1267" i="146"/>
  <c r="A1267" i="146"/>
  <c r="D1266" i="146"/>
  <c r="A1266" i="146"/>
  <c r="D1265" i="146"/>
  <c r="A1265" i="146"/>
  <c r="D1264" i="146"/>
  <c r="A1264" i="146"/>
  <c r="D1263" i="146"/>
  <c r="A1263" i="146"/>
  <c r="D1262" i="146"/>
  <c r="A1262" i="146"/>
  <c r="D1261" i="146"/>
  <c r="A1261" i="146"/>
  <c r="D1260" i="146"/>
  <c r="A1260" i="146"/>
  <c r="D1259" i="146"/>
  <c r="A1259" i="146"/>
  <c r="D1258" i="146"/>
  <c r="A1258" i="146"/>
  <c r="D1257" i="146"/>
  <c r="A1257" i="146"/>
  <c r="D1256" i="146"/>
  <c r="A1256" i="146"/>
  <c r="D1255" i="146"/>
  <c r="A1255" i="146"/>
  <c r="D1254" i="146"/>
  <c r="A1254" i="146"/>
  <c r="D1253" i="146"/>
  <c r="A1253" i="146"/>
  <c r="D1252" i="146"/>
  <c r="A1252" i="146"/>
  <c r="D1251" i="146"/>
  <c r="A1251" i="146"/>
  <c r="D1250" i="146"/>
  <c r="A1250" i="146"/>
  <c r="D1249" i="146"/>
  <c r="A1249" i="146"/>
  <c r="D1248" i="146"/>
  <c r="A1248" i="146"/>
  <c r="D1247" i="146"/>
  <c r="A1247" i="146"/>
  <c r="D1246" i="146"/>
  <c r="A1246" i="146"/>
  <c r="D1245" i="146"/>
  <c r="A1245" i="146"/>
  <c r="D1244" i="146"/>
  <c r="A1244" i="146"/>
  <c r="D1243" i="146"/>
  <c r="A1243" i="146"/>
  <c r="D1242" i="146"/>
  <c r="A1242" i="146"/>
  <c r="D1241" i="146"/>
  <c r="A1241" i="146"/>
  <c r="D1240" i="146"/>
  <c r="A1240" i="146"/>
  <c r="D1239" i="146"/>
  <c r="A1239" i="146"/>
  <c r="D1238" i="146"/>
  <c r="A1238" i="146"/>
  <c r="D1237" i="146"/>
  <c r="A1237" i="146"/>
  <c r="D1236" i="146"/>
  <c r="A1236" i="146"/>
  <c r="D1235" i="146"/>
  <c r="A1235" i="146"/>
  <c r="D1234" i="146"/>
  <c r="A1234" i="146"/>
  <c r="D1233" i="146"/>
  <c r="A1233" i="146"/>
  <c r="D1232" i="146"/>
  <c r="A1232" i="146"/>
  <c r="D1231" i="146"/>
  <c r="A1231" i="146"/>
  <c r="D1230" i="146"/>
  <c r="A1230" i="146"/>
  <c r="D1229" i="146"/>
  <c r="A1229" i="146"/>
  <c r="D1228" i="146"/>
  <c r="A1228" i="146"/>
  <c r="D1227" i="146"/>
  <c r="A1227" i="146"/>
  <c r="D1226" i="146"/>
  <c r="A1226" i="146"/>
  <c r="D1225" i="146"/>
  <c r="A1225" i="146"/>
  <c r="D1224" i="146"/>
  <c r="A1224" i="146"/>
  <c r="D1223" i="146"/>
  <c r="A1223" i="146"/>
  <c r="D1222" i="146"/>
  <c r="A1222" i="146"/>
  <c r="D1221" i="146"/>
  <c r="A1221" i="146"/>
  <c r="D1220" i="146"/>
  <c r="A1220" i="146"/>
  <c r="D1219" i="146"/>
  <c r="A1219" i="146"/>
  <c r="D1218" i="146"/>
  <c r="A1218" i="146"/>
  <c r="D1217" i="146"/>
  <c r="A1217" i="146"/>
  <c r="D1216" i="146"/>
  <c r="A1216" i="146"/>
  <c r="D1215" i="146"/>
  <c r="A1215" i="146"/>
  <c r="D1214" i="146"/>
  <c r="A1214" i="146"/>
  <c r="D1213" i="146"/>
  <c r="A1213" i="146"/>
  <c r="D1212" i="146"/>
  <c r="A1212" i="146"/>
  <c r="D1211" i="146"/>
  <c r="A1211" i="146"/>
  <c r="D1210" i="146"/>
  <c r="A1210" i="146"/>
  <c r="D1209" i="146"/>
  <c r="A1209" i="146"/>
  <c r="D1208" i="146"/>
  <c r="A1208" i="146"/>
  <c r="D1207" i="146"/>
  <c r="A1207" i="146"/>
  <c r="D1206" i="146"/>
  <c r="A1206" i="146"/>
  <c r="D1205" i="146"/>
  <c r="A1205" i="146"/>
  <c r="D1204" i="146"/>
  <c r="A1204" i="146"/>
  <c r="D1203" i="146"/>
  <c r="A1203" i="146"/>
  <c r="D1202" i="146"/>
  <c r="A1202" i="146"/>
  <c r="D1201" i="146"/>
  <c r="A1201" i="146"/>
  <c r="D1200" i="146"/>
  <c r="A1200" i="146"/>
  <c r="D1199" i="146"/>
  <c r="A1199" i="146"/>
  <c r="D1198" i="146"/>
  <c r="A1198" i="146"/>
  <c r="D1197" i="146"/>
  <c r="A1197" i="146"/>
  <c r="D1196" i="146"/>
  <c r="A1196" i="146"/>
  <c r="D1195" i="146"/>
  <c r="A1195" i="146"/>
  <c r="D1194" i="146"/>
  <c r="A1194" i="146"/>
  <c r="D1193" i="146"/>
  <c r="A1193" i="146"/>
  <c r="D1192" i="146"/>
  <c r="A1192" i="146"/>
  <c r="D1191" i="146"/>
  <c r="A1191" i="146"/>
  <c r="D1190" i="146"/>
  <c r="A1190" i="146"/>
  <c r="D1189" i="146"/>
  <c r="A1189" i="146"/>
  <c r="D1188" i="146"/>
  <c r="A1188" i="146"/>
  <c r="D1187" i="146"/>
  <c r="A1187" i="146"/>
  <c r="D1186" i="146"/>
  <c r="A1186" i="146"/>
  <c r="D1185" i="146"/>
  <c r="A1185" i="146"/>
  <c r="D1184" i="146"/>
  <c r="A1184" i="146"/>
  <c r="D1183" i="146"/>
  <c r="A1183" i="146"/>
  <c r="D1182" i="146"/>
  <c r="A1182" i="146"/>
  <c r="D1181" i="146"/>
  <c r="A1181" i="146"/>
  <c r="D1180" i="146"/>
  <c r="A1180" i="146"/>
  <c r="D1179" i="146"/>
  <c r="A1179" i="146"/>
  <c r="D1178" i="146"/>
  <c r="A1178" i="146"/>
  <c r="D1177" i="146"/>
  <c r="A1177" i="146"/>
  <c r="D1176" i="146"/>
  <c r="A1176" i="146"/>
  <c r="D1175" i="146"/>
  <c r="A1175" i="146"/>
  <c r="D1174" i="146"/>
  <c r="A1174" i="146"/>
  <c r="D1173" i="146"/>
  <c r="A1173" i="146"/>
  <c r="D1172" i="146"/>
  <c r="A1172" i="146"/>
  <c r="D1171" i="146"/>
  <c r="A1171" i="146"/>
  <c r="D1170" i="146"/>
  <c r="A1170" i="146"/>
  <c r="D1169" i="146"/>
  <c r="A1169" i="146"/>
  <c r="D1168" i="146"/>
  <c r="A1168" i="146"/>
  <c r="D1167" i="146"/>
  <c r="A1167" i="146"/>
  <c r="D1166" i="146"/>
  <c r="A1166" i="146"/>
  <c r="D1165" i="146"/>
  <c r="A1165" i="146"/>
  <c r="D1164" i="146"/>
  <c r="A1164" i="146"/>
  <c r="D1163" i="146"/>
  <c r="A1163" i="146"/>
  <c r="D1162" i="146"/>
  <c r="A1162" i="146"/>
  <c r="D1161" i="146"/>
  <c r="A1161" i="146"/>
  <c r="D1160" i="146"/>
  <c r="A1160" i="146"/>
  <c r="D1159" i="146"/>
  <c r="A1159" i="146"/>
  <c r="D1158" i="146"/>
  <c r="A1158" i="146"/>
  <c r="D1157" i="146"/>
  <c r="A1157" i="146"/>
  <c r="D1156" i="146"/>
  <c r="A1156" i="146"/>
  <c r="D1155" i="146"/>
  <c r="A1155" i="146"/>
  <c r="D1154" i="146"/>
  <c r="A1154" i="146"/>
  <c r="D1153" i="146"/>
  <c r="A1153" i="146"/>
  <c r="D1152" i="146"/>
  <c r="A1152" i="146"/>
  <c r="D1151" i="146"/>
  <c r="A1151" i="146"/>
  <c r="D1150" i="146"/>
  <c r="A1150" i="146"/>
  <c r="D1149" i="146"/>
  <c r="A1149" i="146"/>
  <c r="D1148" i="146"/>
  <c r="A1148" i="146"/>
  <c r="D1147" i="146"/>
  <c r="A1147" i="146"/>
  <c r="D1146" i="146"/>
  <c r="A1146" i="146"/>
  <c r="D1145" i="146"/>
  <c r="A1145" i="146"/>
  <c r="D1144" i="146"/>
  <c r="A1144" i="146"/>
  <c r="D1143" i="146"/>
  <c r="A1143" i="146"/>
  <c r="D1142" i="146"/>
  <c r="A1142" i="146"/>
  <c r="D1141" i="146"/>
  <c r="A1141" i="146"/>
  <c r="D1140" i="146"/>
  <c r="A1140" i="146"/>
  <c r="D1139" i="146"/>
  <c r="A1139" i="146"/>
  <c r="D1138" i="146"/>
  <c r="A1138" i="146"/>
  <c r="D1137" i="146"/>
  <c r="A1137" i="146"/>
  <c r="D1136" i="146"/>
  <c r="A1136" i="146"/>
  <c r="D1135" i="146"/>
  <c r="A1135" i="146"/>
  <c r="D1134" i="146"/>
  <c r="A1134" i="146"/>
  <c r="D1133" i="146"/>
  <c r="A1133" i="146"/>
  <c r="D1132" i="146"/>
  <c r="A1132" i="146"/>
  <c r="D1131" i="146"/>
  <c r="A1131" i="146"/>
  <c r="D1130" i="146"/>
  <c r="A1130" i="146"/>
  <c r="D1129" i="146"/>
  <c r="A1129" i="146"/>
  <c r="D1128" i="146"/>
  <c r="A1128" i="146"/>
  <c r="D1127" i="146"/>
  <c r="A1127" i="146"/>
  <c r="D1126" i="146"/>
  <c r="A1126" i="146"/>
  <c r="D1125" i="146"/>
  <c r="A1125" i="146"/>
  <c r="D1124" i="146"/>
  <c r="A1124" i="146"/>
  <c r="D1123" i="146"/>
  <c r="A1123" i="146"/>
  <c r="D1122" i="146"/>
  <c r="A1122" i="146"/>
  <c r="D1121" i="146"/>
  <c r="A1121" i="146"/>
  <c r="D1120" i="146"/>
  <c r="A1120" i="146"/>
  <c r="D1119" i="146"/>
  <c r="A1119" i="146"/>
  <c r="D1118" i="146"/>
  <c r="A1118" i="146"/>
  <c r="D1117" i="146"/>
  <c r="A1117" i="146"/>
  <c r="D1116" i="146"/>
  <c r="A1116" i="146"/>
  <c r="D1115" i="146"/>
  <c r="A1115" i="146"/>
  <c r="D1114" i="146"/>
  <c r="A1114" i="146"/>
  <c r="D1113" i="146"/>
  <c r="A1113" i="146"/>
  <c r="D1112" i="146"/>
  <c r="A1112" i="146"/>
  <c r="D1111" i="146"/>
  <c r="A1111" i="146"/>
  <c r="D1110" i="146"/>
  <c r="A1110" i="146"/>
  <c r="D1109" i="146"/>
  <c r="A1109" i="146"/>
  <c r="D1108" i="146"/>
  <c r="A1108" i="146"/>
  <c r="D1107" i="146"/>
  <c r="A1107" i="146"/>
  <c r="D1106" i="146"/>
  <c r="A1106" i="146"/>
  <c r="D1105" i="146"/>
  <c r="A1105" i="146"/>
  <c r="D1104" i="146"/>
  <c r="A1104" i="146"/>
  <c r="D1103" i="146"/>
  <c r="A1103" i="146"/>
  <c r="D1102" i="146"/>
  <c r="A1102" i="146"/>
  <c r="D1101" i="146"/>
  <c r="A1101" i="146"/>
  <c r="D1100" i="146"/>
  <c r="A1100" i="146"/>
  <c r="D1099" i="146"/>
  <c r="A1099" i="146"/>
  <c r="D1098" i="146"/>
  <c r="A1098" i="146"/>
  <c r="D1097" i="146"/>
  <c r="A1097" i="146"/>
  <c r="D1096" i="146"/>
  <c r="A1096" i="146"/>
  <c r="D1095" i="146"/>
  <c r="A1095" i="146"/>
  <c r="D1094" i="146"/>
  <c r="A1094" i="146"/>
  <c r="D1093" i="146"/>
  <c r="A1093" i="146"/>
  <c r="D1092" i="146"/>
  <c r="A1092" i="146"/>
  <c r="D1091" i="146"/>
  <c r="A1091" i="146"/>
  <c r="D1090" i="146"/>
  <c r="A1090" i="146"/>
  <c r="D1089" i="146"/>
  <c r="A1089" i="146"/>
  <c r="D1088" i="146"/>
  <c r="A1088" i="146"/>
  <c r="D1087" i="146"/>
  <c r="A1087" i="146"/>
  <c r="D1086" i="146"/>
  <c r="A1086" i="146"/>
  <c r="D1085" i="146"/>
  <c r="A1085" i="146"/>
  <c r="D1084" i="146"/>
  <c r="A1084" i="146"/>
  <c r="D1083" i="146"/>
  <c r="A1083" i="146"/>
  <c r="D1082" i="146"/>
  <c r="A1082" i="146"/>
  <c r="D1081" i="146"/>
  <c r="A1081" i="146"/>
  <c r="D1080" i="146"/>
  <c r="A1080" i="146"/>
  <c r="D1079" i="146"/>
  <c r="A1079" i="146"/>
  <c r="D1078" i="146"/>
  <c r="A1078" i="146"/>
  <c r="D1077" i="146"/>
  <c r="A1077" i="146"/>
  <c r="D1076" i="146"/>
  <c r="A1076" i="146"/>
  <c r="D1075" i="146"/>
  <c r="A1075" i="146"/>
  <c r="D1074" i="146"/>
  <c r="A1074" i="146"/>
  <c r="D1073" i="146"/>
  <c r="A1073" i="146"/>
  <c r="D1072" i="146"/>
  <c r="A1072" i="146"/>
  <c r="D1071" i="146"/>
  <c r="A1071" i="146"/>
  <c r="D1070" i="146"/>
  <c r="A1070" i="146"/>
  <c r="D1069" i="146"/>
  <c r="A1069" i="146"/>
  <c r="D1068" i="146"/>
  <c r="A1068" i="146"/>
  <c r="D1067" i="146"/>
  <c r="A1067" i="146"/>
  <c r="D1066" i="146"/>
  <c r="A1066" i="146"/>
  <c r="D1065" i="146"/>
  <c r="A1065" i="146"/>
  <c r="D1064" i="146"/>
  <c r="A1064" i="146"/>
  <c r="D1063" i="146"/>
  <c r="A1063" i="146"/>
  <c r="D1062" i="146"/>
  <c r="A1062" i="146"/>
  <c r="D1061" i="146"/>
  <c r="A1061" i="146"/>
  <c r="D1060" i="146"/>
  <c r="A1060" i="146"/>
  <c r="D1059" i="146"/>
  <c r="A1059" i="146"/>
  <c r="D1058" i="146"/>
  <c r="A1058" i="146"/>
  <c r="D1057" i="146"/>
  <c r="A1057" i="146"/>
  <c r="D1056" i="146"/>
  <c r="A1056" i="146"/>
  <c r="D1055" i="146"/>
  <c r="A1055" i="146"/>
  <c r="D1054" i="146"/>
  <c r="A1054" i="146"/>
  <c r="D1053" i="146"/>
  <c r="A1053" i="146"/>
  <c r="D1052" i="146"/>
  <c r="A1052" i="146"/>
  <c r="D1051" i="146"/>
  <c r="A1051" i="146"/>
  <c r="D1050" i="146"/>
  <c r="A1050" i="146"/>
  <c r="D1049" i="146"/>
  <c r="A1049" i="146"/>
  <c r="D1048" i="146"/>
  <c r="A1048" i="146"/>
  <c r="D1047" i="146"/>
  <c r="A1047" i="146"/>
  <c r="D1046" i="146"/>
  <c r="A1046" i="146"/>
  <c r="D1045" i="146"/>
  <c r="A1045" i="146"/>
  <c r="D1044" i="146"/>
  <c r="A1044" i="146"/>
  <c r="D1043" i="146"/>
  <c r="A1043" i="146"/>
  <c r="D1042" i="146"/>
  <c r="A1042" i="146"/>
  <c r="D1041" i="146"/>
  <c r="A1041" i="146"/>
  <c r="D1040" i="146"/>
  <c r="A1040" i="146"/>
  <c r="D1039" i="146"/>
  <c r="A1039" i="146"/>
  <c r="D1038" i="146"/>
  <c r="A1038" i="146"/>
  <c r="D1037" i="146"/>
  <c r="A1037" i="146"/>
  <c r="D1036" i="146"/>
  <c r="A1036" i="146"/>
  <c r="D1035" i="146"/>
  <c r="A1035" i="146"/>
  <c r="D1034" i="146"/>
  <c r="A1034" i="146"/>
  <c r="D1033" i="146"/>
  <c r="A1033" i="146"/>
  <c r="D1032" i="146"/>
  <c r="A1032" i="146"/>
  <c r="D1031" i="146"/>
  <c r="A1031" i="146"/>
  <c r="D1030" i="146"/>
  <c r="A1030" i="146"/>
  <c r="D1029" i="146"/>
  <c r="A1029" i="146"/>
  <c r="D1028" i="146"/>
  <c r="A1028" i="146"/>
  <c r="D1027" i="146"/>
  <c r="A1027" i="146"/>
  <c r="D1026" i="146"/>
  <c r="A1026" i="146"/>
  <c r="D1025" i="146"/>
  <c r="A1025" i="146"/>
  <c r="D1024" i="146"/>
  <c r="A1024" i="146"/>
  <c r="D1023" i="146"/>
  <c r="A1023" i="146"/>
  <c r="D1022" i="146"/>
  <c r="A1022" i="146"/>
  <c r="D1021" i="146"/>
  <c r="A1021" i="146"/>
  <c r="D1020" i="146"/>
  <c r="A1020" i="146"/>
  <c r="D1019" i="146"/>
  <c r="A1019" i="146"/>
  <c r="D1018" i="146"/>
  <c r="A1018" i="146"/>
  <c r="D1017" i="146"/>
  <c r="A1017" i="146"/>
  <c r="D1016" i="146"/>
  <c r="A1016" i="146"/>
  <c r="D1015" i="146"/>
  <c r="A1015" i="146"/>
  <c r="D1014" i="146"/>
  <c r="A1014" i="146"/>
  <c r="D1013" i="146"/>
  <c r="A1013" i="146"/>
  <c r="D1012" i="146"/>
  <c r="A1012" i="146"/>
  <c r="D1011" i="146"/>
  <c r="A1011" i="146"/>
  <c r="D1010" i="146"/>
  <c r="A1010" i="146"/>
  <c r="D1009" i="146"/>
  <c r="A1009" i="146"/>
  <c r="D1008" i="146"/>
  <c r="A1008" i="146"/>
  <c r="D1007" i="146"/>
  <c r="A1007" i="146"/>
  <c r="D1006" i="146"/>
  <c r="A1006" i="146"/>
  <c r="D1005" i="146"/>
  <c r="A1005" i="146"/>
  <c r="D1004" i="146"/>
  <c r="A1004" i="146"/>
  <c r="D1003" i="146"/>
  <c r="A1003" i="146"/>
  <c r="D1002" i="146"/>
  <c r="A1002" i="146"/>
  <c r="D1001" i="146"/>
  <c r="A1001" i="146"/>
  <c r="D1000" i="146"/>
  <c r="A1000" i="146"/>
  <c r="D999" i="146"/>
  <c r="A999" i="146"/>
  <c r="D998" i="146"/>
  <c r="A998" i="146"/>
  <c r="D997" i="146"/>
  <c r="A997" i="146"/>
  <c r="D996" i="146"/>
  <c r="A996" i="146"/>
  <c r="D995" i="146"/>
  <c r="A995" i="146"/>
  <c r="D994" i="146"/>
  <c r="A994" i="146"/>
  <c r="D993" i="146"/>
  <c r="A993" i="146"/>
  <c r="D992" i="146"/>
  <c r="A992" i="146"/>
  <c r="D991" i="146"/>
  <c r="A991" i="146"/>
  <c r="D990" i="146"/>
  <c r="A990" i="146"/>
  <c r="D989" i="146"/>
  <c r="A989" i="146"/>
  <c r="D988" i="146"/>
  <c r="A988" i="146"/>
  <c r="D987" i="146"/>
  <c r="A987" i="146"/>
  <c r="D986" i="146"/>
  <c r="A986" i="146"/>
  <c r="D985" i="146"/>
  <c r="A985" i="146"/>
  <c r="D984" i="146"/>
  <c r="A984" i="146"/>
  <c r="D983" i="146"/>
  <c r="A983" i="146"/>
  <c r="D982" i="146"/>
  <c r="A982" i="146"/>
  <c r="D981" i="146"/>
  <c r="A981" i="146"/>
  <c r="D980" i="146"/>
  <c r="A980" i="146"/>
  <c r="D979" i="146"/>
  <c r="A979" i="146"/>
  <c r="D978" i="146"/>
  <c r="A978" i="146"/>
  <c r="D977" i="146"/>
  <c r="A977" i="146"/>
  <c r="D976" i="146"/>
  <c r="A976" i="146"/>
  <c r="D975" i="146"/>
  <c r="A975" i="146"/>
  <c r="D974" i="146"/>
  <c r="A974" i="146"/>
  <c r="D973" i="146"/>
  <c r="A973" i="146"/>
  <c r="D972" i="146"/>
  <c r="A972" i="146"/>
  <c r="D971" i="146"/>
  <c r="A971" i="146"/>
  <c r="D970" i="146"/>
  <c r="A970" i="146"/>
  <c r="D969" i="146"/>
  <c r="A969" i="146"/>
  <c r="D968" i="146"/>
  <c r="A968" i="146"/>
  <c r="D967" i="146"/>
  <c r="A967" i="146"/>
  <c r="D966" i="146"/>
  <c r="A966" i="146"/>
  <c r="D965" i="146"/>
  <c r="A965" i="146"/>
  <c r="D964" i="146"/>
  <c r="A964" i="146"/>
  <c r="D963" i="146"/>
  <c r="A963" i="146"/>
  <c r="D962" i="146"/>
  <c r="A962" i="146"/>
  <c r="D961" i="146"/>
  <c r="A961" i="146"/>
  <c r="D960" i="146"/>
  <c r="A960" i="146"/>
  <c r="D959" i="146"/>
  <c r="A959" i="146"/>
  <c r="D958" i="146"/>
  <c r="A958" i="146"/>
  <c r="D957" i="146"/>
  <c r="A957" i="146"/>
  <c r="D956" i="146"/>
  <c r="A956" i="146"/>
  <c r="D955" i="146"/>
  <c r="A955" i="146"/>
  <c r="D954" i="146"/>
  <c r="A954" i="146"/>
  <c r="D953" i="146"/>
  <c r="A953" i="146"/>
  <c r="D952" i="146"/>
  <c r="A952" i="146"/>
  <c r="D951" i="146"/>
  <c r="A951" i="146"/>
  <c r="D950" i="146"/>
  <c r="A950" i="146"/>
  <c r="D949" i="146"/>
  <c r="A949" i="146"/>
  <c r="D948" i="146"/>
  <c r="A948" i="146"/>
  <c r="D947" i="146"/>
  <c r="A947" i="146"/>
  <c r="D946" i="146"/>
  <c r="A946" i="146"/>
  <c r="D945" i="146"/>
  <c r="A945" i="146"/>
  <c r="D944" i="146"/>
  <c r="A944" i="146"/>
  <c r="D943" i="146"/>
  <c r="A943" i="146"/>
  <c r="D942" i="146"/>
  <c r="A942" i="146"/>
  <c r="D941" i="146"/>
  <c r="A941" i="146"/>
  <c r="D940" i="146"/>
  <c r="A940" i="146"/>
  <c r="D939" i="146"/>
  <c r="A939" i="146"/>
  <c r="D938" i="146"/>
  <c r="A938" i="146"/>
  <c r="D937" i="146"/>
  <c r="A937" i="146"/>
  <c r="D936" i="146"/>
  <c r="A936" i="146"/>
  <c r="D935" i="146"/>
  <c r="A935" i="146"/>
  <c r="D934" i="146"/>
  <c r="A934" i="146"/>
  <c r="D933" i="146"/>
  <c r="A933" i="146"/>
  <c r="D932" i="146"/>
  <c r="A932" i="146"/>
  <c r="D931" i="146"/>
  <c r="A931" i="146"/>
  <c r="D930" i="146"/>
  <c r="A930" i="146"/>
  <c r="D929" i="146"/>
  <c r="A929" i="146"/>
  <c r="D928" i="146"/>
  <c r="A928" i="146"/>
  <c r="D927" i="146"/>
  <c r="A927" i="146"/>
  <c r="D926" i="146"/>
  <c r="A926" i="146"/>
  <c r="D925" i="146"/>
  <c r="A925" i="146"/>
  <c r="D924" i="146"/>
  <c r="A924" i="146"/>
  <c r="D923" i="146"/>
  <c r="A923" i="146"/>
  <c r="D922" i="146"/>
  <c r="A922" i="146"/>
  <c r="D921" i="146"/>
  <c r="A921" i="146"/>
  <c r="D920" i="146"/>
  <c r="A920" i="146"/>
  <c r="D919" i="146"/>
  <c r="A919" i="146"/>
  <c r="D918" i="146"/>
  <c r="A918" i="146"/>
  <c r="D917" i="146"/>
  <c r="A917" i="146"/>
  <c r="D916" i="146"/>
  <c r="A916" i="146"/>
  <c r="D915" i="146"/>
  <c r="A915" i="146"/>
  <c r="D914" i="146"/>
  <c r="A914" i="146"/>
  <c r="D913" i="146"/>
  <c r="A913" i="146"/>
  <c r="D912" i="146"/>
  <c r="A912" i="146"/>
  <c r="D911" i="146"/>
  <c r="A911" i="146"/>
  <c r="D910" i="146"/>
  <c r="A910" i="146"/>
  <c r="D909" i="146"/>
  <c r="A909" i="146"/>
  <c r="D908" i="146"/>
  <c r="A908" i="146"/>
  <c r="D907" i="146"/>
  <c r="A907" i="146"/>
  <c r="D906" i="146"/>
  <c r="A906" i="146"/>
  <c r="D905" i="146"/>
  <c r="A905" i="146"/>
  <c r="D904" i="146"/>
  <c r="A904" i="146"/>
  <c r="D903" i="146"/>
  <c r="A903" i="146"/>
  <c r="D902" i="146"/>
  <c r="A902" i="146"/>
  <c r="D901" i="146"/>
  <c r="A901" i="146"/>
  <c r="D900" i="146"/>
  <c r="A900" i="146"/>
  <c r="D899" i="146"/>
  <c r="A899" i="146"/>
  <c r="D898" i="146"/>
  <c r="A898" i="146"/>
  <c r="D897" i="146"/>
  <c r="A897" i="146"/>
  <c r="D896" i="146"/>
  <c r="A896" i="146"/>
  <c r="D895" i="146"/>
  <c r="A895" i="146"/>
  <c r="D894" i="146"/>
  <c r="A894" i="146"/>
  <c r="D893" i="146"/>
  <c r="A893" i="146"/>
  <c r="D892" i="146"/>
  <c r="A892" i="146"/>
  <c r="D891" i="146"/>
  <c r="A891" i="146"/>
  <c r="D890" i="146"/>
  <c r="A890" i="146"/>
  <c r="D889" i="146"/>
  <c r="A889" i="146"/>
  <c r="D888" i="146"/>
  <c r="A888" i="146"/>
  <c r="D887" i="146"/>
  <c r="A887" i="146"/>
  <c r="D886" i="146"/>
  <c r="A886" i="146"/>
  <c r="D885" i="146"/>
  <c r="A885" i="146"/>
  <c r="D884" i="146"/>
  <c r="A884" i="146"/>
  <c r="D883" i="146"/>
  <c r="A883" i="146"/>
  <c r="D882" i="146"/>
  <c r="A882" i="146"/>
  <c r="D881" i="146"/>
  <c r="A881" i="146"/>
  <c r="D880" i="146"/>
  <c r="A880" i="146"/>
  <c r="D879" i="146"/>
  <c r="A879" i="146"/>
  <c r="D878" i="146"/>
  <c r="A878" i="146"/>
  <c r="D877" i="146"/>
  <c r="A877" i="146"/>
  <c r="D876" i="146"/>
  <c r="A876" i="146"/>
  <c r="D875" i="146"/>
  <c r="A875" i="146"/>
  <c r="D874" i="146"/>
  <c r="A874" i="146"/>
  <c r="D873" i="146"/>
  <c r="A873" i="146"/>
  <c r="D872" i="146"/>
  <c r="A872" i="146"/>
  <c r="D871" i="146"/>
  <c r="A871" i="146"/>
  <c r="D870" i="146"/>
  <c r="A870" i="146"/>
  <c r="D869" i="146"/>
  <c r="A869" i="146"/>
  <c r="D868" i="146"/>
  <c r="A868" i="146"/>
  <c r="D867" i="146"/>
  <c r="A867" i="146"/>
  <c r="D866" i="146"/>
  <c r="A866" i="146"/>
  <c r="D865" i="146"/>
  <c r="A865" i="146"/>
  <c r="D864" i="146"/>
  <c r="A864" i="146"/>
  <c r="D863" i="146"/>
  <c r="A863" i="146"/>
  <c r="D862" i="146"/>
  <c r="A862" i="146"/>
  <c r="D861" i="146"/>
  <c r="A861" i="146"/>
  <c r="D860" i="146"/>
  <c r="A860" i="146"/>
  <c r="D859" i="146"/>
  <c r="A859" i="146"/>
  <c r="D858" i="146"/>
  <c r="A858" i="146"/>
  <c r="D857" i="146"/>
  <c r="A857" i="146"/>
  <c r="D856" i="146"/>
  <c r="A856" i="146"/>
  <c r="D855" i="146"/>
  <c r="A855" i="146"/>
  <c r="D854" i="146"/>
  <c r="A854" i="146"/>
  <c r="D853" i="146"/>
  <c r="A853" i="146"/>
  <c r="D852" i="146"/>
  <c r="A852" i="146"/>
  <c r="D851" i="146"/>
  <c r="A851" i="146"/>
  <c r="D850" i="146"/>
  <c r="A850" i="146"/>
  <c r="D849" i="146"/>
  <c r="A849" i="146"/>
  <c r="D848" i="146"/>
  <c r="A848" i="146"/>
  <c r="D847" i="146"/>
  <c r="A847" i="146"/>
  <c r="D846" i="146"/>
  <c r="A846" i="146"/>
  <c r="D845" i="146"/>
  <c r="A845" i="146"/>
  <c r="D844" i="146"/>
  <c r="A844" i="146"/>
  <c r="D843" i="146"/>
  <c r="A843" i="146"/>
  <c r="D842" i="146"/>
  <c r="A842" i="146"/>
  <c r="D841" i="146"/>
  <c r="A841" i="146"/>
  <c r="D840" i="146"/>
  <c r="A840" i="146"/>
  <c r="D839" i="146"/>
  <c r="A839" i="146"/>
  <c r="D838" i="146"/>
  <c r="A838" i="146"/>
  <c r="D837" i="146"/>
  <c r="A837" i="146"/>
  <c r="D836" i="146"/>
  <c r="A836" i="146"/>
  <c r="D835" i="146"/>
  <c r="A835" i="146"/>
  <c r="D834" i="146"/>
  <c r="A834" i="146"/>
  <c r="D833" i="146"/>
  <c r="A833" i="146"/>
  <c r="D832" i="146"/>
  <c r="A832" i="146"/>
  <c r="D831" i="146"/>
  <c r="A831" i="146"/>
  <c r="D830" i="146"/>
  <c r="A830" i="146"/>
  <c r="D829" i="146"/>
  <c r="A829" i="146"/>
  <c r="D828" i="146"/>
  <c r="A828" i="146"/>
  <c r="D827" i="146"/>
  <c r="A827" i="146"/>
  <c r="D826" i="146"/>
  <c r="A826" i="146"/>
  <c r="D825" i="146"/>
  <c r="A825" i="146"/>
  <c r="D824" i="146"/>
  <c r="A824" i="146"/>
  <c r="D823" i="146"/>
  <c r="A823" i="146"/>
  <c r="D822" i="146"/>
  <c r="A822" i="146"/>
  <c r="D821" i="146"/>
  <c r="A821" i="146"/>
  <c r="D820" i="146"/>
  <c r="A820" i="146"/>
  <c r="D819" i="146"/>
  <c r="A819" i="146"/>
  <c r="D818" i="146"/>
  <c r="A818" i="146"/>
  <c r="D817" i="146"/>
  <c r="A817" i="146"/>
  <c r="D816" i="146"/>
  <c r="A816" i="146"/>
  <c r="D815" i="146"/>
  <c r="A815" i="146"/>
  <c r="D814" i="146"/>
  <c r="A814" i="146"/>
  <c r="D813" i="146"/>
  <c r="A813" i="146"/>
  <c r="D812" i="146"/>
  <c r="A812" i="146"/>
  <c r="D811" i="146"/>
  <c r="A811" i="146"/>
  <c r="D810" i="146"/>
  <c r="A810" i="146"/>
  <c r="D809" i="146"/>
  <c r="A809" i="146"/>
  <c r="D808" i="146"/>
  <c r="A808" i="146"/>
  <c r="D807" i="146"/>
  <c r="A807" i="146"/>
  <c r="D806" i="146"/>
  <c r="A806" i="146"/>
  <c r="D805" i="146"/>
  <c r="A805" i="146"/>
  <c r="D804" i="146"/>
  <c r="A804" i="146"/>
  <c r="D803" i="146"/>
  <c r="A803" i="146"/>
  <c r="D802" i="146"/>
  <c r="A802" i="146"/>
  <c r="D801" i="146"/>
  <c r="A801" i="146"/>
  <c r="D800" i="146"/>
  <c r="A800" i="146"/>
  <c r="D799" i="146"/>
  <c r="A799" i="146"/>
  <c r="D798" i="146"/>
  <c r="A798" i="146"/>
  <c r="D797" i="146"/>
  <c r="A797" i="146"/>
  <c r="D796" i="146"/>
  <c r="A796" i="146"/>
  <c r="D795" i="146"/>
  <c r="A795" i="146"/>
  <c r="D794" i="146"/>
  <c r="A794" i="146"/>
  <c r="D793" i="146"/>
  <c r="A793" i="146"/>
  <c r="D792" i="146"/>
  <c r="A792" i="146"/>
  <c r="D791" i="146"/>
  <c r="A791" i="146"/>
  <c r="D790" i="146"/>
  <c r="A790" i="146"/>
  <c r="D789" i="146"/>
  <c r="A789" i="146"/>
  <c r="D788" i="146"/>
  <c r="A788" i="146"/>
  <c r="D787" i="146"/>
  <c r="A787" i="146"/>
  <c r="D786" i="146"/>
  <c r="A786" i="146"/>
  <c r="D785" i="146"/>
  <c r="A785" i="146"/>
  <c r="D784" i="146"/>
  <c r="A784" i="146"/>
  <c r="D783" i="146"/>
  <c r="A783" i="146"/>
  <c r="D782" i="146"/>
  <c r="A782" i="146"/>
  <c r="D781" i="146"/>
  <c r="A781" i="146"/>
  <c r="D780" i="146"/>
  <c r="A780" i="146"/>
  <c r="D779" i="146"/>
  <c r="A779" i="146"/>
  <c r="D778" i="146"/>
  <c r="A778" i="146"/>
  <c r="D777" i="146"/>
  <c r="A777" i="146"/>
  <c r="D776" i="146"/>
  <c r="A776" i="146"/>
  <c r="D775" i="146"/>
  <c r="A775" i="146"/>
  <c r="D774" i="146"/>
  <c r="A774" i="146"/>
  <c r="D773" i="146"/>
  <c r="A773" i="146"/>
  <c r="D772" i="146"/>
  <c r="A772" i="146"/>
  <c r="D771" i="146"/>
  <c r="A771" i="146"/>
  <c r="D770" i="146"/>
  <c r="A770" i="146"/>
  <c r="D769" i="146"/>
  <c r="A769" i="146"/>
  <c r="D768" i="146"/>
  <c r="A768" i="146"/>
  <c r="D767" i="146"/>
  <c r="A767" i="146"/>
  <c r="D766" i="146"/>
  <c r="A766" i="146"/>
  <c r="D765" i="146"/>
  <c r="A765" i="146"/>
  <c r="D764" i="146"/>
  <c r="A764" i="146"/>
  <c r="D763" i="146"/>
  <c r="A763" i="146"/>
  <c r="D762" i="146"/>
  <c r="A762" i="146"/>
  <c r="D761" i="146"/>
  <c r="A761" i="146"/>
  <c r="D760" i="146"/>
  <c r="A760" i="146"/>
  <c r="D759" i="146"/>
  <c r="A759" i="146"/>
  <c r="D758" i="146"/>
  <c r="A758" i="146"/>
  <c r="D757" i="146"/>
  <c r="A757" i="146"/>
  <c r="D756" i="146"/>
  <c r="A756" i="146"/>
  <c r="D755" i="146"/>
  <c r="A755" i="146"/>
  <c r="D754" i="146"/>
  <c r="A754" i="146"/>
  <c r="D753" i="146"/>
  <c r="A753" i="146"/>
  <c r="D752" i="146"/>
  <c r="A752" i="146"/>
  <c r="D751" i="146"/>
  <c r="A751" i="146"/>
  <c r="D750" i="146"/>
  <c r="A750" i="146"/>
  <c r="D749" i="146"/>
  <c r="A749" i="146"/>
  <c r="D748" i="146"/>
  <c r="A748" i="146"/>
  <c r="D747" i="146"/>
  <c r="A747" i="146"/>
  <c r="D746" i="146"/>
  <c r="A746" i="146"/>
  <c r="D745" i="146"/>
  <c r="A745" i="146"/>
  <c r="D744" i="146"/>
  <c r="A744" i="146"/>
  <c r="D743" i="146"/>
  <c r="A743" i="146"/>
  <c r="D742" i="146"/>
  <c r="A742" i="146"/>
  <c r="D741" i="146"/>
  <c r="A741" i="146"/>
  <c r="D740" i="146"/>
  <c r="A740" i="146"/>
  <c r="D739" i="146"/>
  <c r="A739" i="146"/>
  <c r="D738" i="146"/>
  <c r="A738" i="146"/>
  <c r="D737" i="146"/>
  <c r="A737" i="146"/>
  <c r="D736" i="146"/>
  <c r="A736" i="146"/>
  <c r="D735" i="146"/>
  <c r="A735" i="146"/>
  <c r="D734" i="146"/>
  <c r="A734" i="146"/>
  <c r="D733" i="146"/>
  <c r="A733" i="146"/>
  <c r="D732" i="146"/>
  <c r="A732" i="146"/>
  <c r="D731" i="146"/>
  <c r="A731" i="146"/>
  <c r="D730" i="146"/>
  <c r="A730" i="146"/>
  <c r="D729" i="146"/>
  <c r="A729" i="146"/>
  <c r="D728" i="146"/>
  <c r="A728" i="146"/>
  <c r="D727" i="146"/>
  <c r="A727" i="146"/>
  <c r="D726" i="146"/>
  <c r="A726" i="146"/>
  <c r="D725" i="146"/>
  <c r="A725" i="146"/>
  <c r="D724" i="146"/>
  <c r="A724" i="146"/>
  <c r="D723" i="146"/>
  <c r="A723" i="146"/>
  <c r="D722" i="146"/>
  <c r="A722" i="146"/>
  <c r="D721" i="146"/>
  <c r="A721" i="146"/>
  <c r="D720" i="146"/>
  <c r="A720" i="146"/>
  <c r="D719" i="146"/>
  <c r="A719" i="146"/>
  <c r="D718" i="146"/>
  <c r="A718" i="146"/>
  <c r="D717" i="146"/>
  <c r="A717" i="146"/>
  <c r="D716" i="146"/>
  <c r="A716" i="146"/>
  <c r="D715" i="146"/>
  <c r="A715" i="146"/>
  <c r="D714" i="146"/>
  <c r="A714" i="146"/>
  <c r="D713" i="146"/>
  <c r="A713" i="146"/>
  <c r="D712" i="146"/>
  <c r="A712" i="146"/>
  <c r="D711" i="146"/>
  <c r="A711" i="146"/>
  <c r="D710" i="146"/>
  <c r="A710" i="146"/>
  <c r="D709" i="146"/>
  <c r="A709" i="146"/>
  <c r="D708" i="146"/>
  <c r="A708" i="146"/>
  <c r="D707" i="146"/>
  <c r="A707" i="146"/>
  <c r="D706" i="146"/>
  <c r="A706" i="146"/>
  <c r="D705" i="146"/>
  <c r="A705" i="146"/>
  <c r="D704" i="146"/>
  <c r="A704" i="146"/>
  <c r="D703" i="146"/>
  <c r="A703" i="146"/>
  <c r="D702" i="146"/>
  <c r="A702" i="146"/>
  <c r="D701" i="146"/>
  <c r="A701" i="146"/>
  <c r="D700" i="146"/>
  <c r="A700" i="146"/>
  <c r="D699" i="146"/>
  <c r="A699" i="146"/>
  <c r="D698" i="146"/>
  <c r="A698" i="146"/>
  <c r="D697" i="146"/>
  <c r="A697" i="146"/>
  <c r="D696" i="146"/>
  <c r="A696" i="146"/>
  <c r="D695" i="146"/>
  <c r="A695" i="146"/>
  <c r="D694" i="146"/>
  <c r="A694" i="146"/>
  <c r="D693" i="146"/>
  <c r="A693" i="146"/>
  <c r="D692" i="146"/>
  <c r="A692" i="146"/>
  <c r="D691" i="146"/>
  <c r="A691" i="146"/>
  <c r="D690" i="146"/>
  <c r="A690" i="146"/>
  <c r="D689" i="146"/>
  <c r="A689" i="146"/>
  <c r="D688" i="146"/>
  <c r="A688" i="146"/>
  <c r="D687" i="146"/>
  <c r="A687" i="146"/>
  <c r="D686" i="146"/>
  <c r="A686" i="146"/>
  <c r="D685" i="146"/>
  <c r="A685" i="146"/>
  <c r="D684" i="146"/>
  <c r="A684" i="146"/>
  <c r="D683" i="146"/>
  <c r="A683" i="146"/>
  <c r="D682" i="146"/>
  <c r="A682" i="146"/>
  <c r="D681" i="146"/>
  <c r="A681" i="146"/>
  <c r="D680" i="146"/>
  <c r="A680" i="146"/>
  <c r="D679" i="146"/>
  <c r="A679" i="146"/>
  <c r="D678" i="146"/>
  <c r="A678" i="146"/>
  <c r="D677" i="146"/>
  <c r="A677" i="146"/>
  <c r="D676" i="146"/>
  <c r="A676" i="146"/>
  <c r="D675" i="146"/>
  <c r="A675" i="146"/>
  <c r="D674" i="146"/>
  <c r="A674" i="146"/>
  <c r="D673" i="146"/>
  <c r="A673" i="146"/>
  <c r="D672" i="146"/>
  <c r="A672" i="146"/>
  <c r="D671" i="146"/>
  <c r="A671" i="146"/>
  <c r="D670" i="146"/>
  <c r="A670" i="146"/>
  <c r="D669" i="146"/>
  <c r="A669" i="146"/>
  <c r="D668" i="146"/>
  <c r="A668" i="146"/>
  <c r="D667" i="146"/>
  <c r="A667" i="146"/>
  <c r="D666" i="146"/>
  <c r="A666" i="146"/>
  <c r="D665" i="146"/>
  <c r="A665" i="146"/>
  <c r="D664" i="146"/>
  <c r="A664" i="146"/>
  <c r="D663" i="146"/>
  <c r="A663" i="146"/>
  <c r="D662" i="146"/>
  <c r="A662" i="146"/>
  <c r="D661" i="146"/>
  <c r="A661" i="146"/>
  <c r="D660" i="146"/>
  <c r="A660" i="146"/>
  <c r="D659" i="146"/>
  <c r="A659" i="146"/>
  <c r="D658" i="146"/>
  <c r="A658" i="146"/>
  <c r="D657" i="146"/>
  <c r="A657" i="146"/>
  <c r="D656" i="146"/>
  <c r="A656" i="146"/>
  <c r="D655" i="146"/>
  <c r="A655" i="146"/>
  <c r="D654" i="146"/>
  <c r="A654" i="146"/>
  <c r="D653" i="146"/>
  <c r="A653" i="146"/>
  <c r="D652" i="146"/>
  <c r="A652" i="146"/>
  <c r="D651" i="146"/>
  <c r="A651" i="146"/>
  <c r="D650" i="146"/>
  <c r="A650" i="146"/>
  <c r="D649" i="146"/>
  <c r="A649" i="146"/>
  <c r="D648" i="146"/>
  <c r="A648" i="146"/>
  <c r="D647" i="146"/>
  <c r="A647" i="146"/>
  <c r="D646" i="146"/>
  <c r="A646" i="146"/>
  <c r="D645" i="146"/>
  <c r="A645" i="146"/>
  <c r="D644" i="146"/>
  <c r="A644" i="146"/>
  <c r="D643" i="146"/>
  <c r="A643" i="146"/>
  <c r="D642" i="146"/>
  <c r="A642" i="146"/>
  <c r="D641" i="146"/>
  <c r="A641" i="146"/>
  <c r="D640" i="146"/>
  <c r="A640" i="146"/>
  <c r="D639" i="146"/>
  <c r="A639" i="146"/>
  <c r="D638" i="146"/>
  <c r="A638" i="146"/>
  <c r="D637" i="146"/>
  <c r="A637" i="146"/>
  <c r="D636" i="146"/>
  <c r="A636" i="146"/>
  <c r="D635" i="146"/>
  <c r="A635" i="146"/>
  <c r="D634" i="146"/>
  <c r="A634" i="146"/>
  <c r="D633" i="146"/>
  <c r="A633" i="146"/>
  <c r="D632" i="146"/>
  <c r="A632" i="146"/>
  <c r="D631" i="146"/>
  <c r="A631" i="146"/>
  <c r="D630" i="146"/>
  <c r="A630" i="146"/>
  <c r="D629" i="146"/>
  <c r="A629" i="146"/>
  <c r="D628" i="146"/>
  <c r="A628" i="146"/>
  <c r="D627" i="146"/>
  <c r="A627" i="146"/>
  <c r="D626" i="146"/>
  <c r="A626" i="146"/>
  <c r="D625" i="146"/>
  <c r="A625" i="146"/>
  <c r="D624" i="146"/>
  <c r="A624" i="146"/>
  <c r="D623" i="146"/>
  <c r="A623" i="146"/>
  <c r="D622" i="146"/>
  <c r="A622" i="146"/>
  <c r="D621" i="146"/>
  <c r="A621" i="146"/>
  <c r="D620" i="146"/>
  <c r="A620" i="146"/>
  <c r="D619" i="146"/>
  <c r="A619" i="146"/>
  <c r="D618" i="146"/>
  <c r="A618" i="146"/>
  <c r="D617" i="146"/>
  <c r="A617" i="146"/>
  <c r="D616" i="146"/>
  <c r="A616" i="146"/>
  <c r="D615" i="146"/>
  <c r="A615" i="146"/>
  <c r="D614" i="146"/>
  <c r="A614" i="146"/>
  <c r="D613" i="146"/>
  <c r="A613" i="146"/>
  <c r="D612" i="146"/>
  <c r="A612" i="146"/>
  <c r="D611" i="146"/>
  <c r="A611" i="146"/>
  <c r="D610" i="146"/>
  <c r="A610" i="146"/>
  <c r="D609" i="146"/>
  <c r="A609" i="146"/>
  <c r="D608" i="146"/>
  <c r="A608" i="146"/>
  <c r="D607" i="146"/>
  <c r="A607" i="146"/>
  <c r="D606" i="146"/>
  <c r="A606" i="146"/>
  <c r="D605" i="146"/>
  <c r="A605" i="146"/>
  <c r="D604" i="146"/>
  <c r="A604" i="146"/>
  <c r="D603" i="146"/>
  <c r="A603" i="146"/>
  <c r="D602" i="146"/>
  <c r="A602" i="146"/>
  <c r="D601" i="146"/>
  <c r="A601" i="146"/>
  <c r="D600" i="146"/>
  <c r="A600" i="146"/>
  <c r="D599" i="146"/>
  <c r="A599" i="146"/>
  <c r="D598" i="146"/>
  <c r="A598" i="146"/>
  <c r="D597" i="146"/>
  <c r="A597" i="146"/>
  <c r="D596" i="146"/>
  <c r="A596" i="146"/>
  <c r="D595" i="146"/>
  <c r="A595" i="146"/>
  <c r="D594" i="146"/>
  <c r="A594" i="146"/>
  <c r="D593" i="146"/>
  <c r="A593" i="146"/>
  <c r="D592" i="146"/>
  <c r="A592" i="146"/>
  <c r="D591" i="146"/>
  <c r="A591" i="146"/>
  <c r="D590" i="146"/>
  <c r="A590" i="146"/>
  <c r="D589" i="146"/>
  <c r="A589" i="146"/>
  <c r="D588" i="146"/>
  <c r="A588" i="146"/>
  <c r="D587" i="146"/>
  <c r="A587" i="146"/>
  <c r="D586" i="146"/>
  <c r="A586" i="146"/>
  <c r="D585" i="146"/>
  <c r="A585" i="146"/>
  <c r="D584" i="146"/>
  <c r="A584" i="146"/>
  <c r="D583" i="146"/>
  <c r="A583" i="146"/>
  <c r="D582" i="146"/>
  <c r="A582" i="146"/>
  <c r="D581" i="146"/>
  <c r="A581" i="146"/>
  <c r="D580" i="146"/>
  <c r="A580" i="146"/>
  <c r="D579" i="146"/>
  <c r="A579" i="146"/>
  <c r="D578" i="146"/>
  <c r="A578" i="146"/>
  <c r="D577" i="146"/>
  <c r="A577" i="146"/>
  <c r="D576" i="146"/>
  <c r="A576" i="146"/>
  <c r="D575" i="146"/>
  <c r="A575" i="146"/>
  <c r="D574" i="146"/>
  <c r="A574" i="146"/>
  <c r="D573" i="146"/>
  <c r="A573" i="146"/>
  <c r="D572" i="146"/>
  <c r="A572" i="146"/>
  <c r="D571" i="146"/>
  <c r="A571" i="146"/>
  <c r="D570" i="146"/>
  <c r="A570" i="146"/>
  <c r="D569" i="146"/>
  <c r="A569" i="146"/>
  <c r="D568" i="146"/>
  <c r="A568" i="146"/>
  <c r="D567" i="146"/>
  <c r="A567" i="146"/>
  <c r="D566" i="146"/>
  <c r="A566" i="146"/>
  <c r="D565" i="146"/>
  <c r="A565" i="146"/>
  <c r="D564" i="146"/>
  <c r="A564" i="146"/>
  <c r="D563" i="146"/>
  <c r="A563" i="146"/>
  <c r="D562" i="146"/>
  <c r="A562" i="146"/>
  <c r="D561" i="146"/>
  <c r="A561" i="146"/>
  <c r="D560" i="146"/>
  <c r="A560" i="146"/>
  <c r="D559" i="146"/>
  <c r="A559" i="146"/>
  <c r="D558" i="146"/>
  <c r="A558" i="146"/>
  <c r="D557" i="146"/>
  <c r="A557" i="146"/>
  <c r="D556" i="146"/>
  <c r="A556" i="146"/>
  <c r="D555" i="146"/>
  <c r="A555" i="146"/>
  <c r="D554" i="146"/>
  <c r="A554" i="146"/>
  <c r="D553" i="146"/>
  <c r="A553" i="146"/>
  <c r="D552" i="146"/>
  <c r="A552" i="146"/>
  <c r="D551" i="146"/>
  <c r="A551" i="146"/>
  <c r="D550" i="146"/>
  <c r="A550" i="146"/>
  <c r="D549" i="146"/>
  <c r="A549" i="146"/>
  <c r="D548" i="146"/>
  <c r="A548" i="146"/>
  <c r="D547" i="146"/>
  <c r="A547" i="146"/>
  <c r="D546" i="146"/>
  <c r="A546" i="146"/>
  <c r="D545" i="146"/>
  <c r="A545" i="146"/>
  <c r="D544" i="146"/>
  <c r="A544" i="146"/>
  <c r="D543" i="146"/>
  <c r="A543" i="146"/>
  <c r="D542" i="146"/>
  <c r="A542" i="146"/>
  <c r="D541" i="146"/>
  <c r="A541" i="146"/>
  <c r="D540" i="146"/>
  <c r="A540" i="146"/>
  <c r="D539" i="146"/>
  <c r="A539" i="146"/>
  <c r="D538" i="146"/>
  <c r="A538" i="146"/>
  <c r="D537" i="146"/>
  <c r="A537" i="146"/>
  <c r="D536" i="146"/>
  <c r="A536" i="146"/>
  <c r="D535" i="146"/>
  <c r="A535" i="146"/>
  <c r="D534" i="146"/>
  <c r="A534" i="146"/>
  <c r="D533" i="146"/>
  <c r="A533" i="146"/>
  <c r="D532" i="146"/>
  <c r="A532" i="146"/>
  <c r="D531" i="146"/>
  <c r="A531" i="146"/>
  <c r="D530" i="146"/>
  <c r="A530" i="146"/>
  <c r="D529" i="146"/>
  <c r="A529" i="146"/>
  <c r="D528" i="146"/>
  <c r="A528" i="146"/>
  <c r="D527" i="146"/>
  <c r="A527" i="146"/>
  <c r="D526" i="146"/>
  <c r="A526" i="146"/>
  <c r="D525" i="146"/>
  <c r="A525" i="146"/>
  <c r="D524" i="146"/>
  <c r="A524" i="146"/>
  <c r="D523" i="146"/>
  <c r="A523" i="146"/>
  <c r="D522" i="146"/>
  <c r="A522" i="146"/>
  <c r="D521" i="146"/>
  <c r="A521" i="146"/>
  <c r="D520" i="146"/>
  <c r="A520" i="146"/>
  <c r="D519" i="146"/>
  <c r="A519" i="146"/>
  <c r="D518" i="146"/>
  <c r="A518" i="146"/>
  <c r="D517" i="146"/>
  <c r="A517" i="146"/>
  <c r="D516" i="146"/>
  <c r="A516" i="146"/>
  <c r="D515" i="146"/>
  <c r="A515" i="146"/>
  <c r="D514" i="146"/>
  <c r="A514" i="146"/>
  <c r="D513" i="146"/>
  <c r="A513" i="146"/>
  <c r="D512" i="146"/>
  <c r="A512" i="146"/>
  <c r="D511" i="146"/>
  <c r="A511" i="146"/>
  <c r="D510" i="146"/>
  <c r="A510" i="146"/>
  <c r="D509" i="146"/>
  <c r="A509" i="146"/>
  <c r="D508" i="146"/>
  <c r="A508" i="146"/>
  <c r="D507" i="146"/>
  <c r="A507" i="146"/>
  <c r="D506" i="146"/>
  <c r="A506" i="146"/>
  <c r="D505" i="146"/>
  <c r="A505" i="146"/>
  <c r="D504" i="146"/>
  <c r="A504" i="146"/>
  <c r="D503" i="146"/>
  <c r="A503" i="146"/>
  <c r="D502" i="146"/>
  <c r="A502" i="146"/>
  <c r="D501" i="146"/>
  <c r="A501" i="146"/>
  <c r="D500" i="146"/>
  <c r="A500" i="146"/>
  <c r="D499" i="146"/>
  <c r="A499" i="146"/>
  <c r="D498" i="146"/>
  <c r="A498" i="146"/>
  <c r="D497" i="146"/>
  <c r="A497" i="146"/>
  <c r="D496" i="146"/>
  <c r="A496" i="146"/>
  <c r="D495" i="146"/>
  <c r="A495" i="146"/>
  <c r="D494" i="146"/>
  <c r="A494" i="146"/>
  <c r="D493" i="146"/>
  <c r="A493" i="146"/>
  <c r="D492" i="146"/>
  <c r="A492" i="146"/>
  <c r="D491" i="146"/>
  <c r="A491" i="146"/>
  <c r="D490" i="146"/>
  <c r="A490" i="146"/>
  <c r="D489" i="146"/>
  <c r="A489" i="146"/>
  <c r="D488" i="146"/>
  <c r="A488" i="146"/>
  <c r="D487" i="146"/>
  <c r="A487" i="146"/>
  <c r="D486" i="146"/>
  <c r="A486" i="146"/>
  <c r="D485" i="146"/>
  <c r="A485" i="146"/>
  <c r="D484" i="146"/>
  <c r="A484" i="146"/>
  <c r="D483" i="146"/>
  <c r="A483" i="146"/>
  <c r="D482" i="146"/>
  <c r="A482" i="146"/>
  <c r="D481" i="146"/>
  <c r="A481" i="146"/>
  <c r="D480" i="146"/>
  <c r="A480" i="146"/>
  <c r="D479" i="146"/>
  <c r="A479" i="146"/>
  <c r="D478" i="146"/>
  <c r="A478" i="146"/>
  <c r="D477" i="146"/>
  <c r="A477" i="146"/>
  <c r="D476" i="146"/>
  <c r="A476" i="146"/>
  <c r="D475" i="146"/>
  <c r="A475" i="146"/>
  <c r="D474" i="146"/>
  <c r="A474" i="146"/>
  <c r="D473" i="146"/>
  <c r="A473" i="146"/>
  <c r="D472" i="146"/>
  <c r="A472" i="146"/>
  <c r="D471" i="146"/>
  <c r="A471" i="146"/>
  <c r="D470" i="146"/>
  <c r="A470" i="146"/>
  <c r="D469" i="146"/>
  <c r="A469" i="146"/>
  <c r="D468" i="146"/>
  <c r="A468" i="146"/>
  <c r="D467" i="146"/>
  <c r="A467" i="146"/>
  <c r="D466" i="146"/>
  <c r="A466" i="146"/>
  <c r="D465" i="146"/>
  <c r="A465" i="146"/>
  <c r="D464" i="146"/>
  <c r="A464" i="146"/>
  <c r="D463" i="146"/>
  <c r="A463" i="146"/>
  <c r="D462" i="146"/>
  <c r="A462" i="146"/>
  <c r="D461" i="146"/>
  <c r="A461" i="146"/>
  <c r="D460" i="146"/>
  <c r="A460" i="146"/>
  <c r="D459" i="146"/>
  <c r="A459" i="146"/>
  <c r="D458" i="146"/>
  <c r="A458" i="146"/>
  <c r="D457" i="146"/>
  <c r="A457" i="146"/>
  <c r="D456" i="146"/>
  <c r="A456" i="146"/>
  <c r="D455" i="146"/>
  <c r="A455" i="146"/>
  <c r="D454" i="146"/>
  <c r="A454" i="146"/>
  <c r="D453" i="146"/>
  <c r="A453" i="146"/>
  <c r="D452" i="146"/>
  <c r="A452" i="146"/>
  <c r="D451" i="146"/>
  <c r="A451" i="146"/>
  <c r="D450" i="146"/>
  <c r="A450" i="146"/>
  <c r="D449" i="146"/>
  <c r="A449" i="146"/>
  <c r="D448" i="146"/>
  <c r="A448" i="146"/>
  <c r="D447" i="146"/>
  <c r="A447" i="146"/>
  <c r="D446" i="146"/>
  <c r="A446" i="146"/>
  <c r="D445" i="146"/>
  <c r="A445" i="146"/>
  <c r="D444" i="146"/>
  <c r="A444" i="146"/>
  <c r="D443" i="146"/>
  <c r="A443" i="146"/>
  <c r="D442" i="146"/>
  <c r="A442" i="146"/>
  <c r="D441" i="146"/>
  <c r="A441" i="146"/>
  <c r="D440" i="146"/>
  <c r="A440" i="146"/>
  <c r="D439" i="146"/>
  <c r="A439" i="146"/>
  <c r="D438" i="146"/>
  <c r="A438" i="146"/>
  <c r="D437" i="146"/>
  <c r="A437" i="146"/>
  <c r="D436" i="146"/>
  <c r="A436" i="146"/>
  <c r="D435" i="146"/>
  <c r="A435" i="146"/>
  <c r="D434" i="146"/>
  <c r="A434" i="146"/>
  <c r="D433" i="146"/>
  <c r="A433" i="146"/>
  <c r="D432" i="146"/>
  <c r="A432" i="146"/>
  <c r="D431" i="146"/>
  <c r="A431" i="146"/>
  <c r="D430" i="146"/>
  <c r="A430" i="146"/>
  <c r="D429" i="146"/>
  <c r="A429" i="146"/>
  <c r="D428" i="146"/>
  <c r="A428" i="146"/>
  <c r="D427" i="146"/>
  <c r="A427" i="146"/>
  <c r="D426" i="146"/>
  <c r="A426" i="146"/>
  <c r="D425" i="146"/>
  <c r="A425" i="146"/>
  <c r="D424" i="146"/>
  <c r="A424" i="146"/>
  <c r="D423" i="146"/>
  <c r="A423" i="146"/>
  <c r="D422" i="146"/>
  <c r="A422" i="146"/>
  <c r="D421" i="146"/>
  <c r="A421" i="146"/>
  <c r="D420" i="146"/>
  <c r="A420" i="146"/>
  <c r="D419" i="146"/>
  <c r="A419" i="146"/>
  <c r="D418" i="146"/>
  <c r="A418" i="146"/>
  <c r="D417" i="146"/>
  <c r="A417" i="146"/>
  <c r="D416" i="146"/>
  <c r="A416" i="146"/>
  <c r="D415" i="146"/>
  <c r="A415" i="146"/>
  <c r="D414" i="146"/>
  <c r="A414" i="146"/>
  <c r="D413" i="146"/>
  <c r="A413" i="146"/>
  <c r="D412" i="146"/>
  <c r="A412" i="146"/>
  <c r="D411" i="146"/>
  <c r="A411" i="146"/>
  <c r="D410" i="146"/>
  <c r="A410" i="146"/>
  <c r="D409" i="146"/>
  <c r="A409" i="146"/>
  <c r="D408" i="146"/>
  <c r="A408" i="146"/>
  <c r="D407" i="146"/>
  <c r="A407" i="146"/>
  <c r="D406" i="146"/>
  <c r="A406" i="146"/>
  <c r="D405" i="146"/>
  <c r="A405" i="146"/>
  <c r="D404" i="146"/>
  <c r="A404" i="146"/>
  <c r="D403" i="146"/>
  <c r="A403" i="146"/>
  <c r="D402" i="146"/>
  <c r="A402" i="146"/>
  <c r="D401" i="146"/>
  <c r="A401" i="146"/>
  <c r="D400" i="146"/>
  <c r="A400" i="146"/>
  <c r="D399" i="146"/>
  <c r="A399" i="146"/>
  <c r="D398" i="146"/>
  <c r="A398" i="146"/>
  <c r="D397" i="146"/>
  <c r="A397" i="146"/>
  <c r="D396" i="146"/>
  <c r="A396" i="146"/>
  <c r="D395" i="146"/>
  <c r="A395" i="146"/>
  <c r="D394" i="146"/>
  <c r="A394" i="146"/>
  <c r="D393" i="146"/>
  <c r="A393" i="146"/>
  <c r="D392" i="146"/>
  <c r="A392" i="146"/>
  <c r="D391" i="146"/>
  <c r="A391" i="146"/>
  <c r="D390" i="146"/>
  <c r="A390" i="146"/>
  <c r="D389" i="146"/>
  <c r="A389" i="146"/>
  <c r="D388" i="146"/>
  <c r="A388" i="146"/>
  <c r="D387" i="146"/>
  <c r="A387" i="146"/>
  <c r="D386" i="146"/>
  <c r="A386" i="146"/>
  <c r="D385" i="146"/>
  <c r="A385" i="146"/>
  <c r="D384" i="146"/>
  <c r="A384" i="146"/>
  <c r="D383" i="146"/>
  <c r="A383" i="146"/>
  <c r="D382" i="146"/>
  <c r="A382" i="146"/>
  <c r="D381" i="146"/>
  <c r="A381" i="146"/>
  <c r="D380" i="146"/>
  <c r="A380" i="146"/>
  <c r="D379" i="146"/>
  <c r="A379" i="146"/>
  <c r="D378" i="146"/>
  <c r="A378" i="146"/>
  <c r="D377" i="146"/>
  <c r="A377" i="146"/>
  <c r="D376" i="146"/>
  <c r="A376" i="146"/>
  <c r="D375" i="146"/>
  <c r="A375" i="146"/>
  <c r="D374" i="146"/>
  <c r="A374" i="146"/>
  <c r="D373" i="146"/>
  <c r="A373" i="146"/>
  <c r="D372" i="146"/>
  <c r="A372" i="146"/>
  <c r="D371" i="146"/>
  <c r="A371" i="146"/>
  <c r="D370" i="146"/>
  <c r="A370" i="146"/>
  <c r="D369" i="146"/>
  <c r="A369" i="146"/>
  <c r="D368" i="146"/>
  <c r="A368" i="146"/>
  <c r="D367" i="146"/>
  <c r="A367" i="146"/>
  <c r="D366" i="146"/>
  <c r="A366" i="146"/>
  <c r="D365" i="146"/>
  <c r="A365" i="146"/>
  <c r="D364" i="146"/>
  <c r="A364" i="146"/>
  <c r="D363" i="146"/>
  <c r="A363" i="146"/>
  <c r="D362" i="146"/>
  <c r="A362" i="146"/>
  <c r="D361" i="146"/>
  <c r="A361" i="146"/>
  <c r="D360" i="146"/>
  <c r="A360" i="146"/>
  <c r="D359" i="146"/>
  <c r="A359" i="146"/>
  <c r="D358" i="146"/>
  <c r="A358" i="146"/>
  <c r="D357" i="146"/>
  <c r="A357" i="146"/>
  <c r="D356" i="146"/>
  <c r="A356" i="146"/>
  <c r="D355" i="146"/>
  <c r="A355" i="146"/>
  <c r="D354" i="146"/>
  <c r="A354" i="146"/>
  <c r="D353" i="146"/>
  <c r="A353" i="146"/>
  <c r="D352" i="146"/>
  <c r="A352" i="146"/>
  <c r="D351" i="146"/>
  <c r="A351" i="146"/>
  <c r="D350" i="146"/>
  <c r="A350" i="146"/>
  <c r="D349" i="146"/>
  <c r="A349" i="146"/>
  <c r="D348" i="146"/>
  <c r="A348" i="146"/>
  <c r="D347" i="146"/>
  <c r="A347" i="146"/>
  <c r="D346" i="146"/>
  <c r="A346" i="146"/>
  <c r="D345" i="146"/>
  <c r="A345" i="146"/>
  <c r="D344" i="146"/>
  <c r="A344" i="146"/>
  <c r="D343" i="146"/>
  <c r="A343" i="146"/>
  <c r="D342" i="146"/>
  <c r="A342" i="146"/>
  <c r="D341" i="146"/>
  <c r="A341" i="146"/>
  <c r="D340" i="146"/>
  <c r="A340" i="146"/>
  <c r="D339" i="146"/>
  <c r="A339" i="146"/>
  <c r="D338" i="146"/>
  <c r="A338" i="146"/>
  <c r="D337" i="146"/>
  <c r="A337" i="146"/>
  <c r="D336" i="146"/>
  <c r="A336" i="146"/>
  <c r="D335" i="146"/>
  <c r="A335" i="146"/>
  <c r="D334" i="146"/>
  <c r="A334" i="146"/>
  <c r="D333" i="146"/>
  <c r="A333" i="146"/>
  <c r="D332" i="146"/>
  <c r="A332" i="146"/>
  <c r="D331" i="146"/>
  <c r="A331" i="146"/>
  <c r="D330" i="146"/>
  <c r="A330" i="146"/>
  <c r="D329" i="146"/>
  <c r="A329" i="146"/>
  <c r="D328" i="146"/>
  <c r="A328" i="146"/>
  <c r="D327" i="146"/>
  <c r="A327" i="146"/>
  <c r="D326" i="146"/>
  <c r="A326" i="146"/>
  <c r="D325" i="146"/>
  <c r="A325" i="146"/>
  <c r="D324" i="146"/>
  <c r="A324" i="146"/>
  <c r="D323" i="146"/>
  <c r="A323" i="146"/>
  <c r="D322" i="146"/>
  <c r="A322" i="146"/>
  <c r="D321" i="146"/>
  <c r="A321" i="146"/>
  <c r="D320" i="146"/>
  <c r="A320" i="146"/>
  <c r="D319" i="146"/>
  <c r="A319" i="146"/>
  <c r="D318" i="146"/>
  <c r="A318" i="146"/>
  <c r="D317" i="146"/>
  <c r="A317" i="146"/>
  <c r="D316" i="146"/>
  <c r="A316" i="146"/>
  <c r="D315" i="146"/>
  <c r="A315" i="146"/>
  <c r="D314" i="146"/>
  <c r="A314" i="146"/>
  <c r="D313" i="146"/>
  <c r="A313" i="146"/>
  <c r="D312" i="146"/>
  <c r="A312" i="146"/>
  <c r="D311" i="146"/>
  <c r="A311" i="146"/>
  <c r="D310" i="146"/>
  <c r="A310" i="146"/>
  <c r="D309" i="146"/>
  <c r="A309" i="146"/>
  <c r="D308" i="146"/>
  <c r="A308" i="146"/>
  <c r="D307" i="146"/>
  <c r="A307" i="146"/>
  <c r="D306" i="146"/>
  <c r="A306" i="146"/>
  <c r="D305" i="146"/>
  <c r="A305" i="146"/>
  <c r="D304" i="146"/>
  <c r="A304" i="146"/>
  <c r="D303" i="146"/>
  <c r="A303" i="146"/>
  <c r="D302" i="146"/>
  <c r="A302" i="146"/>
  <c r="D301" i="146"/>
  <c r="A301" i="146"/>
  <c r="D300" i="146"/>
  <c r="A300" i="146"/>
  <c r="D299" i="146"/>
  <c r="A299" i="146"/>
  <c r="D298" i="146"/>
  <c r="A298" i="146"/>
  <c r="D297" i="146"/>
  <c r="A297" i="146"/>
  <c r="D296" i="146"/>
  <c r="A296" i="146"/>
  <c r="D295" i="146"/>
  <c r="A295" i="146"/>
  <c r="D294" i="146"/>
  <c r="A294" i="146"/>
  <c r="D293" i="146"/>
  <c r="A293" i="146"/>
  <c r="D292" i="146"/>
  <c r="A292" i="146"/>
  <c r="D291" i="146"/>
  <c r="A291" i="146"/>
  <c r="D290" i="146"/>
  <c r="A290" i="146"/>
  <c r="D289" i="146"/>
  <c r="A289" i="146"/>
  <c r="D288" i="146"/>
  <c r="A288" i="146"/>
  <c r="D287" i="146"/>
  <c r="A287" i="146"/>
  <c r="D286" i="146"/>
  <c r="A286" i="146"/>
  <c r="D285" i="146"/>
  <c r="A285" i="146"/>
  <c r="D284" i="146"/>
  <c r="A284" i="146"/>
  <c r="D283" i="146"/>
  <c r="A283" i="146"/>
  <c r="D282" i="146"/>
  <c r="A282" i="146"/>
  <c r="D281" i="146"/>
  <c r="A281" i="146"/>
  <c r="D280" i="146"/>
  <c r="A280" i="146"/>
  <c r="D279" i="146"/>
  <c r="A279" i="146"/>
  <c r="D278" i="146"/>
  <c r="A278" i="146"/>
  <c r="D277" i="146"/>
  <c r="A277" i="146"/>
  <c r="D276" i="146"/>
  <c r="A276" i="146"/>
  <c r="D275" i="146"/>
  <c r="A275" i="146"/>
  <c r="D274" i="146"/>
  <c r="A274" i="146"/>
  <c r="D273" i="146"/>
  <c r="A273" i="146"/>
  <c r="D272" i="146"/>
  <c r="A272" i="146"/>
  <c r="D271" i="146"/>
  <c r="A271" i="146"/>
  <c r="D270" i="146"/>
  <c r="A270" i="146"/>
  <c r="D269" i="146"/>
  <c r="A269" i="146"/>
  <c r="D268" i="146"/>
  <c r="A268" i="146"/>
  <c r="D267" i="146"/>
  <c r="A267" i="146"/>
  <c r="D266" i="146"/>
  <c r="A266" i="146"/>
  <c r="D265" i="146"/>
  <c r="A265" i="146"/>
  <c r="D264" i="146"/>
  <c r="A264" i="146"/>
  <c r="D263" i="146"/>
  <c r="A263" i="146"/>
  <c r="D262" i="146"/>
  <c r="A262" i="146"/>
  <c r="D261" i="146"/>
  <c r="A261" i="146"/>
  <c r="D260" i="146"/>
  <c r="A260" i="146"/>
  <c r="D259" i="146"/>
  <c r="A259" i="146"/>
  <c r="D258" i="146"/>
  <c r="A258" i="146"/>
  <c r="D257" i="146"/>
  <c r="A257" i="146"/>
  <c r="D256" i="146"/>
  <c r="A256" i="146"/>
  <c r="D255" i="146"/>
  <c r="A255" i="146"/>
  <c r="D254" i="146"/>
  <c r="A254" i="146"/>
  <c r="D253" i="146"/>
  <c r="A253" i="146"/>
  <c r="D252" i="146"/>
  <c r="A252" i="146"/>
  <c r="D251" i="146"/>
  <c r="A251" i="146"/>
  <c r="D250" i="146"/>
  <c r="A250" i="146"/>
  <c r="D249" i="146"/>
  <c r="A249" i="146"/>
  <c r="D248" i="146"/>
  <c r="A248" i="146"/>
  <c r="D247" i="146"/>
  <c r="A247" i="146"/>
  <c r="D246" i="146"/>
  <c r="A246" i="146"/>
  <c r="D245" i="146"/>
  <c r="A245" i="146"/>
  <c r="D244" i="146"/>
  <c r="A244" i="146"/>
  <c r="D243" i="146"/>
  <c r="A243" i="146"/>
  <c r="D242" i="146"/>
  <c r="A242" i="146"/>
  <c r="D241" i="146"/>
  <c r="A241" i="146"/>
  <c r="D240" i="146"/>
  <c r="A240" i="146"/>
  <c r="D239" i="146"/>
  <c r="A239" i="146"/>
  <c r="D238" i="146"/>
  <c r="A238" i="146"/>
  <c r="D237" i="146"/>
  <c r="A237" i="146"/>
  <c r="D236" i="146"/>
  <c r="A236" i="146"/>
  <c r="D235" i="146"/>
  <c r="A235" i="146"/>
  <c r="D234" i="146"/>
  <c r="A234" i="146"/>
  <c r="D233" i="146"/>
  <c r="A233" i="146"/>
  <c r="D232" i="146"/>
  <c r="A232" i="146"/>
  <c r="D231" i="146"/>
  <c r="A231" i="146"/>
  <c r="D230" i="146"/>
  <c r="A230" i="146"/>
  <c r="D229" i="146"/>
  <c r="A229" i="146"/>
  <c r="D228" i="146"/>
  <c r="A228" i="146"/>
  <c r="D227" i="146"/>
  <c r="A227" i="146"/>
  <c r="D226" i="146"/>
  <c r="A226" i="146"/>
  <c r="D225" i="146"/>
  <c r="A225" i="146"/>
  <c r="D224" i="146"/>
  <c r="A224" i="146"/>
  <c r="D223" i="146"/>
  <c r="A223" i="146"/>
  <c r="D222" i="146"/>
  <c r="A222" i="146"/>
  <c r="D221" i="146"/>
  <c r="A221" i="146"/>
  <c r="D220" i="146"/>
  <c r="A220" i="146"/>
  <c r="D219" i="146"/>
  <c r="A219" i="146"/>
  <c r="D218" i="146"/>
  <c r="A218" i="146"/>
  <c r="D217" i="146"/>
  <c r="A217" i="146"/>
  <c r="D216" i="146"/>
  <c r="A216" i="146"/>
  <c r="D215" i="146"/>
  <c r="A215" i="146"/>
  <c r="D214" i="146"/>
  <c r="A214" i="146"/>
  <c r="D213" i="146"/>
  <c r="A213" i="146"/>
  <c r="D212" i="146"/>
  <c r="A212" i="146"/>
  <c r="D211" i="146"/>
  <c r="A211" i="146"/>
  <c r="D210" i="146"/>
  <c r="A210" i="146"/>
  <c r="D209" i="146"/>
  <c r="A209" i="146"/>
  <c r="D208" i="146"/>
  <c r="A208" i="146"/>
  <c r="D207" i="146"/>
  <c r="A207" i="146"/>
  <c r="D206" i="146"/>
  <c r="A206" i="146"/>
  <c r="D205" i="146"/>
  <c r="A205" i="146"/>
  <c r="D204" i="146"/>
  <c r="A204" i="146"/>
  <c r="D203" i="146"/>
  <c r="A203" i="146"/>
  <c r="D202" i="146"/>
  <c r="A202" i="146"/>
  <c r="D201" i="146"/>
  <c r="A201" i="146"/>
  <c r="D200" i="146"/>
  <c r="A200" i="146"/>
  <c r="D199" i="146"/>
  <c r="A199" i="146"/>
  <c r="D198" i="146"/>
  <c r="A198" i="146"/>
  <c r="D197" i="146"/>
  <c r="A197" i="146"/>
  <c r="D196" i="146"/>
  <c r="A196" i="146"/>
  <c r="D195" i="146"/>
  <c r="A195" i="146"/>
  <c r="D194" i="146"/>
  <c r="A194" i="146"/>
  <c r="D193" i="146"/>
  <c r="A193" i="146"/>
  <c r="D192" i="146"/>
  <c r="A192" i="146"/>
  <c r="D191" i="146"/>
  <c r="A191" i="146"/>
  <c r="D190" i="146"/>
  <c r="A190" i="146"/>
  <c r="D189" i="146"/>
  <c r="A189" i="146"/>
  <c r="D188" i="146"/>
  <c r="A188" i="146"/>
  <c r="D187" i="146"/>
  <c r="A187" i="146"/>
  <c r="D186" i="146"/>
  <c r="A186" i="146"/>
  <c r="D185" i="146"/>
  <c r="A185" i="146"/>
  <c r="D184" i="146"/>
  <c r="A184" i="146"/>
  <c r="D183" i="146"/>
  <c r="A183" i="146"/>
  <c r="D182" i="146"/>
  <c r="A182" i="146"/>
  <c r="D181" i="146"/>
  <c r="A181" i="146"/>
  <c r="D180" i="146"/>
  <c r="A180" i="146"/>
  <c r="D179" i="146"/>
  <c r="A179" i="146"/>
  <c r="D178" i="146"/>
  <c r="A178" i="146"/>
  <c r="D177" i="146"/>
  <c r="A177" i="146"/>
  <c r="D176" i="146"/>
  <c r="A176" i="146"/>
  <c r="D175" i="146"/>
  <c r="A175" i="146"/>
  <c r="D174" i="146"/>
  <c r="A174" i="146"/>
  <c r="D173" i="146"/>
  <c r="A173" i="146"/>
  <c r="D172" i="146"/>
  <c r="A172" i="146"/>
  <c r="D171" i="146"/>
  <c r="A171" i="146"/>
  <c r="D170" i="146"/>
  <c r="A170" i="146"/>
  <c r="D169" i="146"/>
  <c r="A169" i="146"/>
  <c r="D168" i="146"/>
  <c r="A168" i="146"/>
  <c r="D167" i="146"/>
  <c r="A167" i="146"/>
  <c r="D166" i="146"/>
  <c r="A166" i="146"/>
  <c r="D165" i="146"/>
  <c r="A165" i="146"/>
  <c r="D164" i="146"/>
  <c r="A164" i="146"/>
  <c r="D163" i="146"/>
  <c r="A163" i="146"/>
  <c r="D162" i="146"/>
  <c r="A162" i="146"/>
  <c r="D161" i="146"/>
  <c r="A161" i="146"/>
  <c r="D160" i="146"/>
  <c r="A160" i="146"/>
  <c r="D159" i="146"/>
  <c r="A159" i="146"/>
  <c r="D158" i="146"/>
  <c r="A158" i="146"/>
  <c r="D157" i="146"/>
  <c r="A157" i="146"/>
  <c r="D156" i="146"/>
  <c r="A156" i="146"/>
  <c r="D155" i="146"/>
  <c r="A155" i="146"/>
  <c r="D154" i="146"/>
  <c r="A154" i="146"/>
  <c r="D153" i="146"/>
  <c r="A153" i="146"/>
  <c r="D152" i="146"/>
  <c r="A152" i="146"/>
  <c r="D151" i="146"/>
  <c r="A151" i="146"/>
  <c r="D150" i="146"/>
  <c r="A150" i="146"/>
  <c r="D149" i="146"/>
  <c r="A149" i="146"/>
  <c r="D148" i="146"/>
  <c r="A148" i="146"/>
  <c r="D147" i="146"/>
  <c r="A147" i="146"/>
  <c r="D146" i="146"/>
  <c r="A146" i="146"/>
  <c r="D145" i="146"/>
  <c r="A145" i="146"/>
  <c r="D144" i="146"/>
  <c r="A144" i="146"/>
  <c r="D143" i="146"/>
  <c r="A143" i="146"/>
  <c r="D142" i="146"/>
  <c r="A142" i="146"/>
  <c r="D141" i="146"/>
  <c r="A141" i="146"/>
  <c r="D140" i="146"/>
  <c r="A140" i="146"/>
  <c r="D139" i="146"/>
  <c r="A139" i="146"/>
  <c r="D138" i="146"/>
  <c r="A138" i="146"/>
  <c r="D137" i="146"/>
  <c r="A137" i="146"/>
  <c r="D136" i="146"/>
  <c r="A136" i="146"/>
  <c r="D135" i="146"/>
  <c r="A135" i="146"/>
  <c r="D134" i="146"/>
  <c r="A134" i="146"/>
  <c r="D133" i="146"/>
  <c r="A133" i="146"/>
  <c r="D132" i="146"/>
  <c r="A132" i="146"/>
  <c r="D131" i="146"/>
  <c r="A131" i="146"/>
  <c r="D130" i="146"/>
  <c r="A130" i="146"/>
  <c r="D129" i="146"/>
  <c r="A129" i="146"/>
  <c r="D128" i="146"/>
  <c r="A128" i="146"/>
  <c r="D127" i="146"/>
  <c r="A127" i="146"/>
  <c r="D126" i="146"/>
  <c r="A126" i="146"/>
  <c r="D125" i="146"/>
  <c r="A125" i="146"/>
  <c r="D124" i="146"/>
  <c r="A124" i="146"/>
  <c r="D123" i="146"/>
  <c r="A123" i="146"/>
  <c r="D122" i="146"/>
  <c r="A122" i="146"/>
  <c r="D121" i="146"/>
  <c r="A121" i="146"/>
  <c r="D120" i="146"/>
  <c r="A120" i="146"/>
  <c r="D119" i="146"/>
  <c r="A119" i="146"/>
  <c r="D118" i="146"/>
  <c r="A118" i="146"/>
  <c r="D117" i="146"/>
  <c r="A117" i="146"/>
  <c r="D116" i="146"/>
  <c r="A116" i="146"/>
  <c r="D115" i="146"/>
  <c r="A115" i="146"/>
  <c r="D114" i="146"/>
  <c r="A114" i="146"/>
  <c r="D113" i="146"/>
  <c r="A113" i="146"/>
  <c r="D112" i="146"/>
  <c r="A112" i="146"/>
  <c r="D111" i="146"/>
  <c r="A111" i="146"/>
  <c r="D110" i="146"/>
  <c r="A110" i="146"/>
  <c r="D109" i="146"/>
  <c r="A109" i="146"/>
  <c r="D108" i="146"/>
  <c r="A108" i="146"/>
  <c r="D107" i="146"/>
  <c r="A107" i="146"/>
  <c r="D106" i="146"/>
  <c r="A106" i="146"/>
  <c r="D105" i="146"/>
  <c r="A105" i="146"/>
  <c r="D104" i="146"/>
  <c r="A104" i="146"/>
  <c r="D103" i="146"/>
  <c r="A103" i="146"/>
  <c r="D102" i="146"/>
  <c r="A102" i="146"/>
  <c r="D101" i="146"/>
  <c r="A101" i="146"/>
  <c r="D100" i="146"/>
  <c r="A100" i="146"/>
  <c r="D99" i="146"/>
  <c r="A99" i="146"/>
  <c r="D98" i="146"/>
  <c r="A98" i="146"/>
  <c r="D97" i="146"/>
  <c r="A97" i="146"/>
  <c r="D96" i="146"/>
  <c r="A96" i="146"/>
  <c r="D95" i="146"/>
  <c r="A95" i="146"/>
  <c r="D94" i="146"/>
  <c r="A94" i="146"/>
  <c r="D93" i="146"/>
  <c r="A93" i="146"/>
  <c r="D92" i="146"/>
  <c r="A92" i="146"/>
  <c r="D91" i="146"/>
  <c r="A91" i="146"/>
  <c r="D90" i="146"/>
  <c r="A90" i="146"/>
  <c r="D89" i="146"/>
  <c r="A89" i="146"/>
  <c r="D88" i="146"/>
  <c r="A88" i="146"/>
  <c r="D87" i="146"/>
  <c r="A87" i="146"/>
  <c r="D86" i="146"/>
  <c r="A86" i="146"/>
  <c r="D85" i="146"/>
  <c r="A85" i="146"/>
  <c r="D84" i="146"/>
  <c r="A84" i="146"/>
  <c r="D83" i="146"/>
  <c r="A83" i="146"/>
  <c r="D82" i="146"/>
  <c r="A82" i="146"/>
  <c r="D81" i="146"/>
  <c r="A81" i="146"/>
  <c r="D80" i="146"/>
  <c r="A80" i="146"/>
  <c r="D79" i="146"/>
  <c r="A79" i="146"/>
  <c r="D78" i="146"/>
  <c r="A78" i="146"/>
  <c r="D77" i="146"/>
  <c r="A77" i="146"/>
  <c r="D76" i="146"/>
  <c r="A76" i="146"/>
  <c r="D75" i="146"/>
  <c r="A75" i="146"/>
  <c r="D74" i="146"/>
  <c r="A74" i="146"/>
  <c r="D73" i="146"/>
  <c r="A73" i="146"/>
  <c r="D72" i="146"/>
  <c r="A72" i="146"/>
  <c r="D71" i="146"/>
  <c r="A71" i="146"/>
  <c r="D70" i="146"/>
  <c r="A70" i="146"/>
  <c r="D69" i="146"/>
  <c r="A69" i="146"/>
  <c r="D68" i="146"/>
  <c r="A68" i="146"/>
  <c r="D67" i="146"/>
  <c r="A67" i="146"/>
  <c r="D66" i="146"/>
  <c r="A66" i="146"/>
  <c r="D65" i="146"/>
  <c r="A65" i="146"/>
  <c r="D64" i="146"/>
  <c r="A64" i="146"/>
  <c r="D63" i="146"/>
  <c r="A63" i="146"/>
  <c r="D62" i="146"/>
  <c r="A62" i="146"/>
  <c r="D61" i="146"/>
  <c r="A61" i="146"/>
  <c r="D60" i="146"/>
  <c r="A60" i="146"/>
  <c r="D59" i="146"/>
  <c r="A59" i="146"/>
  <c r="D58" i="146"/>
  <c r="A58" i="146"/>
  <c r="D57" i="146"/>
  <c r="A57" i="146"/>
  <c r="D56" i="146"/>
  <c r="A56" i="146"/>
  <c r="D55" i="146"/>
  <c r="A55" i="146"/>
  <c r="D54" i="146"/>
  <c r="A54" i="146"/>
  <c r="D53" i="146"/>
  <c r="A53" i="146"/>
  <c r="D52" i="146"/>
  <c r="A52" i="146"/>
  <c r="D51" i="146"/>
  <c r="A51" i="146"/>
  <c r="D50" i="146"/>
  <c r="A50" i="146"/>
  <c r="D49" i="146"/>
  <c r="A49" i="146"/>
  <c r="D48" i="146"/>
  <c r="A48" i="146"/>
  <c r="D47" i="146"/>
  <c r="A47" i="146"/>
  <c r="D46" i="146"/>
  <c r="A46" i="146"/>
  <c r="D45" i="146"/>
  <c r="A45" i="146"/>
  <c r="D44" i="146"/>
  <c r="A44" i="146"/>
  <c r="D43" i="146"/>
  <c r="A43" i="146"/>
  <c r="D42" i="146"/>
  <c r="A42" i="146"/>
  <c r="D41" i="146"/>
  <c r="A41" i="146"/>
  <c r="D40" i="146"/>
  <c r="A40" i="146"/>
  <c r="D39" i="146"/>
  <c r="A39" i="146"/>
  <c r="D38" i="146"/>
  <c r="A38" i="146"/>
  <c r="D37" i="146"/>
  <c r="A37" i="146"/>
  <c r="D36" i="146"/>
  <c r="A36" i="146"/>
  <c r="D35" i="146"/>
  <c r="A35" i="146"/>
  <c r="D34" i="146"/>
  <c r="A34" i="146"/>
  <c r="D33" i="146"/>
  <c r="A33" i="146"/>
  <c r="D32" i="146"/>
  <c r="A32" i="146"/>
  <c r="D31" i="146"/>
  <c r="A31" i="146"/>
  <c r="D30" i="146"/>
  <c r="A30" i="146"/>
  <c r="D29" i="146"/>
  <c r="A29" i="146"/>
  <c r="D28" i="146"/>
  <c r="A28" i="146"/>
  <c r="D27" i="146"/>
  <c r="A27" i="146"/>
  <c r="G4" i="146" s="1"/>
  <c r="D26" i="146"/>
  <c r="A26" i="146"/>
  <c r="D25" i="146"/>
  <c r="A25" i="146"/>
  <c r="D24" i="146"/>
  <c r="A24" i="146"/>
  <c r="D23" i="146"/>
  <c r="A23" i="146"/>
  <c r="D22" i="146"/>
  <c r="A22" i="146"/>
  <c r="D21" i="146"/>
  <c r="A21" i="146"/>
  <c r="D20" i="146"/>
  <c r="A20" i="146"/>
  <c r="D19" i="146"/>
  <c r="A19" i="146"/>
  <c r="D18" i="146"/>
  <c r="A18" i="146"/>
  <c r="D17" i="146"/>
  <c r="A17" i="146"/>
  <c r="D16" i="146"/>
  <c r="A16" i="146"/>
  <c r="D15" i="146"/>
  <c r="A15" i="146"/>
  <c r="D14" i="146"/>
  <c r="A14" i="146"/>
  <c r="D13" i="146"/>
  <c r="A13" i="146"/>
  <c r="D12" i="146"/>
  <c r="A12" i="146"/>
  <c r="D11" i="146"/>
  <c r="A11" i="146"/>
  <c r="D10" i="146"/>
  <c r="A10" i="146"/>
  <c r="D9" i="146"/>
  <c r="A9" i="146"/>
  <c r="D8" i="146"/>
  <c r="A8" i="146"/>
  <c r="D7" i="146"/>
  <c r="A7" i="146"/>
  <c r="D6" i="146"/>
  <c r="A6" i="146"/>
  <c r="F5" i="146"/>
  <c r="F6" i="146" s="1"/>
  <c r="D5" i="146"/>
  <c r="A5" i="146"/>
  <c r="D4" i="146"/>
  <c r="A4" i="146"/>
  <c r="D3" i="146"/>
  <c r="A3" i="146"/>
  <c r="G6" i="146" l="1"/>
  <c r="F7" i="146"/>
  <c r="G5" i="146"/>
  <c r="C556" i="145"/>
  <c r="C555" i="145"/>
  <c r="C554" i="145"/>
  <c r="C553" i="145"/>
  <c r="C552" i="145"/>
  <c r="C551" i="145"/>
  <c r="C550" i="145"/>
  <c r="C549" i="145"/>
  <c r="C548" i="145"/>
  <c r="C547" i="145"/>
  <c r="C546" i="145"/>
  <c r="C545" i="145"/>
  <c r="C544" i="145"/>
  <c r="C543" i="145"/>
  <c r="C542" i="145"/>
  <c r="C541" i="145"/>
  <c r="C540" i="145"/>
  <c r="C539" i="145"/>
  <c r="C538" i="145"/>
  <c r="C537" i="145"/>
  <c r="C536" i="145"/>
  <c r="C535" i="145"/>
  <c r="C534" i="145"/>
  <c r="C533" i="145"/>
  <c r="C532" i="145"/>
  <c r="C531" i="145"/>
  <c r="C530" i="145"/>
  <c r="C529" i="145"/>
  <c r="C528" i="145"/>
  <c r="C527" i="145"/>
  <c r="C526" i="145"/>
  <c r="C525" i="145"/>
  <c r="C524" i="145"/>
  <c r="C523" i="145"/>
  <c r="C522" i="145"/>
  <c r="C521" i="145"/>
  <c r="C520" i="145"/>
  <c r="C519" i="145"/>
  <c r="C518" i="145"/>
  <c r="C517" i="145"/>
  <c r="C516" i="145"/>
  <c r="C515" i="145"/>
  <c r="C514" i="145"/>
  <c r="C513" i="145"/>
  <c r="C512" i="145"/>
  <c r="C511" i="145"/>
  <c r="C510" i="145"/>
  <c r="C509" i="145"/>
  <c r="C508" i="145"/>
  <c r="C507" i="145"/>
  <c r="C506" i="145"/>
  <c r="C505" i="145"/>
  <c r="C504" i="145"/>
  <c r="C503" i="145"/>
  <c r="C502" i="145"/>
  <c r="C501" i="145"/>
  <c r="C500" i="145"/>
  <c r="C499" i="145"/>
  <c r="C498" i="145"/>
  <c r="C497" i="145"/>
  <c r="C496" i="145"/>
  <c r="C495" i="145"/>
  <c r="C494" i="145"/>
  <c r="C493" i="145"/>
  <c r="C492" i="145"/>
  <c r="C491" i="145"/>
  <c r="C490" i="145"/>
  <c r="C489" i="145"/>
  <c r="C488" i="145"/>
  <c r="C487" i="145"/>
  <c r="C486" i="145"/>
  <c r="C485" i="145"/>
  <c r="C484" i="145"/>
  <c r="C483" i="145"/>
  <c r="C482" i="145"/>
  <c r="C481" i="145"/>
  <c r="C480" i="145"/>
  <c r="C479" i="145"/>
  <c r="C478" i="145"/>
  <c r="C477" i="145"/>
  <c r="C476" i="145"/>
  <c r="C475" i="145"/>
  <c r="C474" i="145"/>
  <c r="C473" i="145"/>
  <c r="C472" i="145"/>
  <c r="C471" i="145"/>
  <c r="C470" i="145"/>
  <c r="C469" i="145"/>
  <c r="C468" i="145"/>
  <c r="C467" i="145"/>
  <c r="C466" i="145"/>
  <c r="C465" i="145"/>
  <c r="C464" i="145"/>
  <c r="C463" i="145"/>
  <c r="C462" i="145"/>
  <c r="C461" i="145"/>
  <c r="C460" i="145"/>
  <c r="C459" i="145"/>
  <c r="C458" i="145"/>
  <c r="C457" i="145"/>
  <c r="C456" i="145"/>
  <c r="C455" i="145"/>
  <c r="C454" i="145"/>
  <c r="C453" i="145"/>
  <c r="C452" i="145"/>
  <c r="C451" i="145"/>
  <c r="C450" i="145"/>
  <c r="C449" i="145"/>
  <c r="C448" i="145"/>
  <c r="C447" i="145"/>
  <c r="C446" i="145"/>
  <c r="C445" i="145"/>
  <c r="C444" i="145"/>
  <c r="C443" i="145"/>
  <c r="C442" i="145"/>
  <c r="C441" i="145"/>
  <c r="C440" i="145"/>
  <c r="C439" i="145"/>
  <c r="C438" i="145"/>
  <c r="C437" i="145"/>
  <c r="C436" i="145"/>
  <c r="C435" i="145"/>
  <c r="C434" i="145"/>
  <c r="C433" i="145"/>
  <c r="C432" i="145"/>
  <c r="C431" i="145"/>
  <c r="C430" i="145"/>
  <c r="C429" i="145"/>
  <c r="C428" i="145"/>
  <c r="C427" i="145"/>
  <c r="C426" i="145"/>
  <c r="C425" i="145"/>
  <c r="C424" i="145"/>
  <c r="C423" i="145"/>
  <c r="C422" i="145"/>
  <c r="C421" i="145"/>
  <c r="C420" i="145"/>
  <c r="C419" i="145"/>
  <c r="C418" i="145"/>
  <c r="C417" i="145"/>
  <c r="C416" i="145"/>
  <c r="C415" i="145"/>
  <c r="C414" i="145"/>
  <c r="C413" i="145"/>
  <c r="C412" i="145"/>
  <c r="C411" i="145"/>
  <c r="C410" i="145"/>
  <c r="C409" i="145"/>
  <c r="C408" i="145"/>
  <c r="C407" i="145"/>
  <c r="C406" i="145"/>
  <c r="C405" i="145"/>
  <c r="C404" i="145"/>
  <c r="C403" i="145"/>
  <c r="C402" i="145"/>
  <c r="C401" i="145"/>
  <c r="C400" i="145"/>
  <c r="C399" i="145"/>
  <c r="C398" i="145"/>
  <c r="C397" i="145"/>
  <c r="C396" i="145"/>
  <c r="C395" i="145"/>
  <c r="C394" i="145"/>
  <c r="C393" i="145"/>
  <c r="C392" i="145"/>
  <c r="C391" i="145"/>
  <c r="C390" i="145"/>
  <c r="C389" i="145"/>
  <c r="C388" i="145"/>
  <c r="C387" i="145"/>
  <c r="C386" i="145"/>
  <c r="C385" i="145"/>
  <c r="C384" i="145"/>
  <c r="C383" i="145"/>
  <c r="C382" i="145"/>
  <c r="C381" i="145"/>
  <c r="C380" i="145"/>
  <c r="C379" i="145"/>
  <c r="C378" i="145"/>
  <c r="C377" i="145"/>
  <c r="C376" i="145"/>
  <c r="C375" i="145"/>
  <c r="C374" i="145"/>
  <c r="C373" i="145"/>
  <c r="C372" i="145"/>
  <c r="C371" i="145"/>
  <c r="C370" i="145"/>
  <c r="C369" i="145"/>
  <c r="C368" i="145"/>
  <c r="C367" i="145"/>
  <c r="C366" i="145"/>
  <c r="C365" i="145"/>
  <c r="C364" i="145"/>
  <c r="C363" i="145"/>
  <c r="C362" i="145"/>
  <c r="C361" i="145"/>
  <c r="C360" i="145"/>
  <c r="C359" i="145"/>
  <c r="C358" i="145"/>
  <c r="C357" i="145"/>
  <c r="C356" i="145"/>
  <c r="C355" i="145"/>
  <c r="C354" i="145"/>
  <c r="C353" i="145"/>
  <c r="C352" i="145"/>
  <c r="C351" i="145"/>
  <c r="C350" i="145"/>
  <c r="C349" i="145"/>
  <c r="C348" i="145"/>
  <c r="C347" i="145"/>
  <c r="C346" i="145"/>
  <c r="C345" i="145"/>
  <c r="C344" i="145"/>
  <c r="C343" i="145"/>
  <c r="C342" i="145"/>
  <c r="C341" i="145"/>
  <c r="C340" i="145"/>
  <c r="C339" i="145"/>
  <c r="C338" i="145"/>
  <c r="C337" i="145"/>
  <c r="C336" i="145"/>
  <c r="C335" i="145"/>
  <c r="C334" i="145"/>
  <c r="C333" i="145"/>
  <c r="C332" i="145"/>
  <c r="C331" i="145"/>
  <c r="C330" i="145"/>
  <c r="C329" i="145"/>
  <c r="C328" i="145"/>
  <c r="C327" i="145"/>
  <c r="C326" i="145"/>
  <c r="C325" i="145"/>
  <c r="C324" i="145"/>
  <c r="C323" i="145"/>
  <c r="C322" i="145"/>
  <c r="C321" i="145"/>
  <c r="C320" i="145"/>
  <c r="C319" i="145"/>
  <c r="C318" i="145"/>
  <c r="C317" i="145"/>
  <c r="C316" i="145"/>
  <c r="C315" i="145"/>
  <c r="C314" i="145"/>
  <c r="C313" i="145"/>
  <c r="C312" i="145"/>
  <c r="C311" i="145"/>
  <c r="C310" i="145"/>
  <c r="C309" i="145"/>
  <c r="C308" i="145"/>
  <c r="C307" i="145"/>
  <c r="C306" i="145"/>
  <c r="C305" i="145"/>
  <c r="C304" i="145"/>
  <c r="C303" i="145"/>
  <c r="C302" i="145"/>
  <c r="C301" i="145"/>
  <c r="C300" i="145"/>
  <c r="C299" i="145"/>
  <c r="C298" i="145"/>
  <c r="C297" i="145"/>
  <c r="C296" i="145"/>
  <c r="C295" i="145"/>
  <c r="C294" i="145"/>
  <c r="C293" i="145"/>
  <c r="C292" i="145"/>
  <c r="C291" i="145"/>
  <c r="C290" i="145"/>
  <c r="C289" i="145"/>
  <c r="C288" i="145"/>
  <c r="C287" i="145"/>
  <c r="C286" i="145"/>
  <c r="C285" i="145"/>
  <c r="C284" i="145"/>
  <c r="C283" i="145"/>
  <c r="C282" i="145"/>
  <c r="C281" i="145"/>
  <c r="C280" i="145"/>
  <c r="C279" i="145"/>
  <c r="C278" i="145"/>
  <c r="C277" i="145"/>
  <c r="C276" i="145"/>
  <c r="C275" i="145"/>
  <c r="C274" i="145"/>
  <c r="C273" i="145"/>
  <c r="C272" i="145"/>
  <c r="C271" i="145"/>
  <c r="C270" i="145"/>
  <c r="C269" i="145"/>
  <c r="C268" i="145"/>
  <c r="C267" i="145"/>
  <c r="C266" i="145"/>
  <c r="C265" i="145"/>
  <c r="C264" i="145"/>
  <c r="C263" i="145"/>
  <c r="C262" i="145"/>
  <c r="C261" i="145"/>
  <c r="C260" i="145"/>
  <c r="C259" i="145"/>
  <c r="C258" i="145"/>
  <c r="C257" i="145"/>
  <c r="C256" i="145"/>
  <c r="C255" i="145"/>
  <c r="C254" i="145"/>
  <c r="C253" i="145"/>
  <c r="C252" i="145"/>
  <c r="C251" i="145"/>
  <c r="C250" i="145"/>
  <c r="C249" i="145"/>
  <c r="C248" i="145"/>
  <c r="C247" i="145"/>
  <c r="C246" i="145"/>
  <c r="C245" i="145"/>
  <c r="C244" i="145"/>
  <c r="C243" i="145"/>
  <c r="C242" i="145"/>
  <c r="C241" i="145"/>
  <c r="C240" i="145"/>
  <c r="C239" i="145"/>
  <c r="C238" i="145"/>
  <c r="C237" i="145"/>
  <c r="C236" i="145"/>
  <c r="C235" i="145"/>
  <c r="C234" i="145"/>
  <c r="C233" i="145"/>
  <c r="C232" i="145"/>
  <c r="C231" i="145"/>
  <c r="C230" i="145"/>
  <c r="C229" i="145"/>
  <c r="C228" i="145"/>
  <c r="C227" i="145"/>
  <c r="C226" i="145"/>
  <c r="C225" i="145"/>
  <c r="C224" i="145"/>
  <c r="C223" i="145"/>
  <c r="C222" i="145"/>
  <c r="C221" i="145"/>
  <c r="C220" i="145"/>
  <c r="C219" i="145"/>
  <c r="C218" i="145"/>
  <c r="C217" i="145"/>
  <c r="C216" i="145"/>
  <c r="C215" i="145"/>
  <c r="C214" i="145"/>
  <c r="C213" i="145"/>
  <c r="C212" i="145"/>
  <c r="C211" i="145"/>
  <c r="C210" i="145"/>
  <c r="C209" i="145"/>
  <c r="C208" i="145"/>
  <c r="C207" i="145"/>
  <c r="C206" i="145"/>
  <c r="C205" i="145"/>
  <c r="C204" i="145"/>
  <c r="C203" i="145"/>
  <c r="C202" i="145"/>
  <c r="C201" i="145"/>
  <c r="C200" i="145"/>
  <c r="C199" i="145"/>
  <c r="C198" i="145"/>
  <c r="C197" i="145"/>
  <c r="C196" i="145"/>
  <c r="C195" i="145"/>
  <c r="C194" i="145"/>
  <c r="C193" i="145"/>
  <c r="C192" i="145"/>
  <c r="C191" i="145"/>
  <c r="C190" i="145"/>
  <c r="C189" i="145"/>
  <c r="C188" i="145"/>
  <c r="C187" i="145"/>
  <c r="C186" i="145"/>
  <c r="C185" i="145"/>
  <c r="C184" i="145"/>
  <c r="C183" i="145"/>
  <c r="C182" i="145"/>
  <c r="C181" i="145"/>
  <c r="C180" i="145"/>
  <c r="C179" i="145"/>
  <c r="C178" i="145"/>
  <c r="C177" i="145"/>
  <c r="C176" i="145"/>
  <c r="C175" i="145"/>
  <c r="C174" i="145"/>
  <c r="C173" i="145"/>
  <c r="C172" i="145"/>
  <c r="C171" i="145"/>
  <c r="C170" i="145"/>
  <c r="C169" i="145"/>
  <c r="C168" i="145"/>
  <c r="C167" i="145"/>
  <c r="C166" i="145"/>
  <c r="C165" i="145"/>
  <c r="C164" i="145"/>
  <c r="C163" i="145"/>
  <c r="C162" i="145"/>
  <c r="C161" i="145"/>
  <c r="C160" i="145"/>
  <c r="C159" i="145"/>
  <c r="C158" i="145"/>
  <c r="C157" i="145"/>
  <c r="C156" i="145"/>
  <c r="C155" i="145"/>
  <c r="C154" i="145"/>
  <c r="C153" i="145"/>
  <c r="C152" i="145"/>
  <c r="C151" i="145"/>
  <c r="C150" i="145"/>
  <c r="C149" i="145"/>
  <c r="C148" i="145"/>
  <c r="C147" i="145"/>
  <c r="C146" i="145"/>
  <c r="C145" i="145"/>
  <c r="C144" i="145"/>
  <c r="C143" i="145"/>
  <c r="C142" i="145"/>
  <c r="C141" i="145"/>
  <c r="C140" i="145"/>
  <c r="C139" i="145"/>
  <c r="C138" i="145"/>
  <c r="C137" i="145"/>
  <c r="C136" i="145"/>
  <c r="C135" i="145"/>
  <c r="C134" i="145"/>
  <c r="C133" i="145"/>
  <c r="C132" i="145"/>
  <c r="C131" i="145"/>
  <c r="C130" i="145"/>
  <c r="C129" i="145"/>
  <c r="C128" i="145"/>
  <c r="C127" i="145"/>
  <c r="C126" i="145"/>
  <c r="C125" i="145"/>
  <c r="C124" i="145"/>
  <c r="C123" i="145"/>
  <c r="C122" i="145"/>
  <c r="C121" i="145"/>
  <c r="C120" i="145"/>
  <c r="C119" i="145"/>
  <c r="C118" i="145"/>
  <c r="C117" i="145"/>
  <c r="C116" i="145"/>
  <c r="C115" i="145"/>
  <c r="C114" i="145"/>
  <c r="C113" i="145"/>
  <c r="C112" i="145"/>
  <c r="C111" i="145"/>
  <c r="C110" i="145"/>
  <c r="C109" i="145"/>
  <c r="C108" i="145"/>
  <c r="C107" i="145"/>
  <c r="C106" i="145"/>
  <c r="C105" i="145"/>
  <c r="C104" i="145"/>
  <c r="C103" i="145"/>
  <c r="C102" i="145"/>
  <c r="C101" i="145"/>
  <c r="C100" i="145"/>
  <c r="C99" i="145"/>
  <c r="C98" i="145"/>
  <c r="C97" i="145"/>
  <c r="C96" i="145"/>
  <c r="C95" i="145"/>
  <c r="C94" i="145"/>
  <c r="C93" i="145"/>
  <c r="C92" i="145"/>
  <c r="C91" i="145"/>
  <c r="C90" i="145"/>
  <c r="C89" i="145"/>
  <c r="C88" i="145"/>
  <c r="C87" i="145"/>
  <c r="C86" i="145"/>
  <c r="C85" i="145"/>
  <c r="C84" i="145"/>
  <c r="C83" i="145"/>
  <c r="C82" i="145"/>
  <c r="C81" i="145"/>
  <c r="C80" i="145"/>
  <c r="C79" i="145"/>
  <c r="C78" i="145"/>
  <c r="C77" i="145"/>
  <c r="C76" i="145"/>
  <c r="C75" i="145"/>
  <c r="C74" i="145"/>
  <c r="C73" i="145"/>
  <c r="C72" i="145"/>
  <c r="C71" i="145"/>
  <c r="C70" i="145"/>
  <c r="C69" i="145"/>
  <c r="C68" i="145"/>
  <c r="C67" i="145"/>
  <c r="C66" i="145"/>
  <c r="C65" i="145"/>
  <c r="C64" i="145"/>
  <c r="C63" i="145"/>
  <c r="C62" i="145"/>
  <c r="C61" i="145"/>
  <c r="C60" i="145"/>
  <c r="C59" i="145"/>
  <c r="C58" i="145"/>
  <c r="C57" i="145"/>
  <c r="C56" i="145"/>
  <c r="C55" i="145"/>
  <c r="C54" i="145"/>
  <c r="C53" i="145"/>
  <c r="C52" i="145"/>
  <c r="C51" i="145"/>
  <c r="C50" i="145"/>
  <c r="C49" i="145"/>
  <c r="C48" i="145"/>
  <c r="C47" i="145"/>
  <c r="C46" i="145"/>
  <c r="C45" i="145"/>
  <c r="C44" i="145"/>
  <c r="C43" i="145"/>
  <c r="C42" i="145"/>
  <c r="C41" i="145"/>
  <c r="C40" i="145"/>
  <c r="C39" i="145"/>
  <c r="C38" i="145"/>
  <c r="C37" i="145"/>
  <c r="C36" i="145"/>
  <c r="C35" i="145"/>
  <c r="C34" i="145"/>
  <c r="C33" i="145"/>
  <c r="C32" i="145"/>
  <c r="C31" i="145"/>
  <c r="C30" i="145"/>
  <c r="C29" i="145"/>
  <c r="C28" i="145"/>
  <c r="C27" i="145"/>
  <c r="C26" i="145"/>
  <c r="C25" i="145"/>
  <c r="C24" i="145"/>
  <c r="C23" i="145"/>
  <c r="C22" i="145"/>
  <c r="C21" i="145"/>
  <c r="C20" i="145"/>
  <c r="C19" i="145"/>
  <c r="C18" i="145"/>
  <c r="C17" i="145"/>
  <c r="C16" i="145"/>
  <c r="C15" i="145"/>
  <c r="C14" i="145"/>
  <c r="C13" i="145"/>
  <c r="C12" i="145"/>
  <c r="C11" i="145"/>
  <c r="C10" i="145"/>
  <c r="C9" i="145"/>
  <c r="C8" i="145"/>
  <c r="C7" i="145"/>
  <c r="C6" i="145"/>
  <c r="C5" i="145"/>
  <c r="C4" i="145"/>
  <c r="I1228" i="144"/>
  <c r="I1116" i="144"/>
  <c r="I1002" i="144"/>
  <c r="I911" i="144"/>
  <c r="I828" i="144"/>
  <c r="I750" i="144"/>
  <c r="I672" i="144"/>
  <c r="I608" i="144"/>
  <c r="I538" i="144"/>
  <c r="I470" i="144"/>
  <c r="I401" i="144"/>
  <c r="I340" i="144"/>
  <c r="I295" i="144"/>
  <c r="I258" i="144"/>
  <c r="I210" i="144"/>
  <c r="I173" i="144"/>
  <c r="I131" i="144"/>
  <c r="I97" i="144"/>
  <c r="I63" i="144"/>
  <c r="Z33" i="144"/>
  <c r="X33" i="144"/>
  <c r="V33" i="144"/>
  <c r="I10" i="144"/>
  <c r="F8" i="146" l="1"/>
  <c r="G7" i="146"/>
  <c r="I1327" i="144"/>
  <c r="I1315" i="144"/>
  <c r="I1303" i="144"/>
  <c r="I1291" i="144"/>
  <c r="I1279" i="144"/>
  <c r="I1267" i="144"/>
  <c r="I1255" i="144"/>
  <c r="I1243" i="144"/>
  <c r="I1231" i="144"/>
  <c r="I1219" i="144"/>
  <c r="I1207" i="144"/>
  <c r="I1195" i="144"/>
  <c r="I1183" i="144"/>
  <c r="I1171" i="144"/>
  <c r="I1159" i="144"/>
  <c r="I1147" i="144"/>
  <c r="I1135" i="144"/>
  <c r="I1123" i="144"/>
  <c r="I1111" i="144"/>
  <c r="I1099" i="144"/>
  <c r="I1087" i="144"/>
  <c r="I1075" i="144"/>
  <c r="I1063" i="144"/>
  <c r="I1051" i="144"/>
  <c r="I1039" i="144"/>
  <c r="I1027" i="144"/>
  <c r="I1015" i="144"/>
  <c r="I1003" i="144"/>
  <c r="I991" i="144"/>
  <c r="I979" i="144"/>
  <c r="I967" i="144"/>
  <c r="I1338" i="144"/>
  <c r="I1326" i="144"/>
  <c r="I1314" i="144"/>
  <c r="I1302" i="144"/>
  <c r="I1290" i="144"/>
  <c r="I1278" i="144"/>
  <c r="I1266" i="144"/>
  <c r="I1254" i="144"/>
  <c r="I1242" i="144"/>
  <c r="I1230" i="144"/>
  <c r="I1218" i="144"/>
  <c r="I1206" i="144"/>
  <c r="I1194" i="144"/>
  <c r="I1182" i="144"/>
  <c r="I1170" i="144"/>
  <c r="I1158" i="144"/>
  <c r="I1146" i="144"/>
  <c r="I1134" i="144"/>
  <c r="I1122" i="144"/>
  <c r="I1110" i="144"/>
  <c r="I1098" i="144"/>
  <c r="I1086" i="144"/>
  <c r="I1074" i="144"/>
  <c r="I1062" i="144"/>
  <c r="I1335" i="144"/>
  <c r="I1323" i="144"/>
  <c r="I1311" i="144"/>
  <c r="I1299" i="144"/>
  <c r="I1287" i="144"/>
  <c r="I1275" i="144"/>
  <c r="I1263" i="144"/>
  <c r="I1251" i="144"/>
  <c r="I1239" i="144"/>
  <c r="I1227" i="144"/>
  <c r="I1215" i="144"/>
  <c r="I1203" i="144"/>
  <c r="I1191" i="144"/>
  <c r="I1179" i="144"/>
  <c r="I1167" i="144"/>
  <c r="I1155" i="144"/>
  <c r="I1143" i="144"/>
  <c r="I1131" i="144"/>
  <c r="I1119" i="144"/>
  <c r="I1107" i="144"/>
  <c r="I1095" i="144"/>
  <c r="I1083" i="144"/>
  <c r="I1071" i="144"/>
  <c r="I1059" i="144"/>
  <c r="I1047" i="144"/>
  <c r="I1035" i="144"/>
  <c r="I1023" i="144"/>
  <c r="I1011" i="144"/>
  <c r="I999" i="144"/>
  <c r="I987" i="144"/>
  <c r="I975" i="144"/>
  <c r="I963" i="144"/>
  <c r="I951" i="144"/>
  <c r="I939" i="144"/>
  <c r="I927" i="144"/>
  <c r="I915" i="144"/>
  <c r="I903" i="144"/>
  <c r="I891" i="144"/>
  <c r="I879" i="144"/>
  <c r="I867" i="144"/>
  <c r="I855" i="144"/>
  <c r="I843" i="144"/>
  <c r="I831" i="144"/>
  <c r="I819" i="144"/>
  <c r="I807" i="144"/>
  <c r="I795" i="144"/>
  <c r="I783" i="144"/>
  <c r="I771" i="144"/>
  <c r="I759" i="144"/>
  <c r="I747" i="144"/>
  <c r="I735" i="144"/>
  <c r="I723" i="144"/>
  <c r="I711" i="144"/>
  <c r="I699" i="144"/>
  <c r="I687" i="144"/>
  <c r="I675" i="144"/>
  <c r="I663" i="144"/>
  <c r="I651" i="144"/>
  <c r="I639" i="144"/>
  <c r="I627" i="144"/>
  <c r="I615" i="144"/>
  <c r="I603" i="144"/>
  <c r="I591" i="144"/>
  <c r="I579" i="144"/>
  <c r="I567" i="144"/>
  <c r="I555" i="144"/>
  <c r="I543" i="144"/>
  <c r="I531" i="144"/>
  <c r="I519" i="144"/>
  <c r="I507" i="144"/>
  <c r="I495" i="144"/>
  <c r="I483" i="144"/>
  <c r="I471" i="144"/>
  <c r="I459" i="144"/>
  <c r="I447" i="144"/>
  <c r="I435" i="144"/>
  <c r="I423" i="144"/>
  <c r="I411" i="144"/>
  <c r="I399" i="144"/>
  <c r="I387" i="144"/>
  <c r="I375" i="144"/>
  <c r="I363" i="144"/>
  <c r="I351" i="144"/>
  <c r="I339" i="144"/>
  <c r="I327" i="144"/>
  <c r="I1322" i="144"/>
  <c r="I1307" i="144"/>
  <c r="I1292" i="144"/>
  <c r="I1274" i="144"/>
  <c r="I1259" i="144"/>
  <c r="I1244" i="144"/>
  <c r="I1226" i="144"/>
  <c r="I1211" i="144"/>
  <c r="I1196" i="144"/>
  <c r="I1178" i="144"/>
  <c r="I1163" i="144"/>
  <c r="I1148" i="144"/>
  <c r="I1130" i="144"/>
  <c r="I1115" i="144"/>
  <c r="I1100" i="144"/>
  <c r="I1082" i="144"/>
  <c r="I1067" i="144"/>
  <c r="I1052" i="144"/>
  <c r="I1037" i="144"/>
  <c r="I1022" i="144"/>
  <c r="I1008" i="144"/>
  <c r="I994" i="144"/>
  <c r="I980" i="144"/>
  <c r="I965" i="144"/>
  <c r="I952" i="144"/>
  <c r="I938" i="144"/>
  <c r="I925" i="144"/>
  <c r="I912" i="144"/>
  <c r="I899" i="144"/>
  <c r="I886" i="144"/>
  <c r="I873" i="144"/>
  <c r="I860" i="144"/>
  <c r="I847" i="144"/>
  <c r="I834" i="144"/>
  <c r="I821" i="144"/>
  <c r="I808" i="144"/>
  <c r="I794" i="144"/>
  <c r="I1336" i="144"/>
  <c r="I1320" i="144"/>
  <c r="I1305" i="144"/>
  <c r="I1288" i="144"/>
  <c r="I1272" i="144"/>
  <c r="I1257" i="144"/>
  <c r="I1240" i="144"/>
  <c r="I1224" i="144"/>
  <c r="I1209" i="144"/>
  <c r="I1192" i="144"/>
  <c r="I1176" i="144"/>
  <c r="I1161" i="144"/>
  <c r="I1144" i="144"/>
  <c r="I1128" i="144"/>
  <c r="I1113" i="144"/>
  <c r="I1096" i="144"/>
  <c r="I1080" i="144"/>
  <c r="I1065" i="144"/>
  <c r="I1049" i="144"/>
  <c r="I1034" i="144"/>
  <c r="I1020" i="144"/>
  <c r="I1006" i="144"/>
  <c r="I992" i="144"/>
  <c r="I977" i="144"/>
  <c r="I962" i="144"/>
  <c r="I949" i="144"/>
  <c r="I936" i="144"/>
  <c r="I923" i="144"/>
  <c r="I910" i="144"/>
  <c r="I897" i="144"/>
  <c r="I884" i="144"/>
  <c r="I871" i="144"/>
  <c r="I858" i="144"/>
  <c r="I845" i="144"/>
  <c r="I832" i="144"/>
  <c r="I818" i="144"/>
  <c r="I805" i="144"/>
  <c r="I792" i="144"/>
  <c r="I779" i="144"/>
  <c r="I766" i="144"/>
  <c r="I753" i="144"/>
  <c r="I740" i="144"/>
  <c r="I727" i="144"/>
  <c r="I714" i="144"/>
  <c r="I701" i="144"/>
  <c r="I688" i="144"/>
  <c r="I674" i="144"/>
  <c r="I661" i="144"/>
  <c r="I648" i="144"/>
  <c r="I635" i="144"/>
  <c r="I622" i="144"/>
  <c r="I609" i="144"/>
  <c r="I596" i="144"/>
  <c r="I583" i="144"/>
  <c r="I570" i="144"/>
  <c r="I557" i="144"/>
  <c r="I544" i="144"/>
  <c r="I530" i="144"/>
  <c r="I517" i="144"/>
  <c r="I504" i="144"/>
  <c r="I491" i="144"/>
  <c r="I478" i="144"/>
  <c r="I465" i="144"/>
  <c r="I452" i="144"/>
  <c r="I439" i="144"/>
  <c r="I426" i="144"/>
  <c r="I413" i="144"/>
  <c r="I400" i="144"/>
  <c r="I386" i="144"/>
  <c r="I373" i="144"/>
  <c r="I360" i="144"/>
  <c r="I347" i="144"/>
  <c r="I334" i="144"/>
  <c r="I321" i="144"/>
  <c r="I309" i="144"/>
  <c r="I297" i="144"/>
  <c r="I285" i="144"/>
  <c r="I273" i="144"/>
  <c r="I261" i="144"/>
  <c r="I249" i="144"/>
  <c r="I237" i="144"/>
  <c r="I225" i="144"/>
  <c r="I213" i="144"/>
  <c r="I201" i="144"/>
  <c r="I189" i="144"/>
  <c r="I1319" i="144"/>
  <c r="I1300" i="144"/>
  <c r="I1282" i="144"/>
  <c r="I1262" i="144"/>
  <c r="I1245" i="144"/>
  <c r="I1223" i="144"/>
  <c r="I1204" i="144"/>
  <c r="I1186" i="144"/>
  <c r="I1166" i="144"/>
  <c r="I1149" i="144"/>
  <c r="I1127" i="144"/>
  <c r="I1108" i="144"/>
  <c r="I1090" i="144"/>
  <c r="I1070" i="144"/>
  <c r="I1053" i="144"/>
  <c r="I1033" i="144"/>
  <c r="I1017" i="144"/>
  <c r="I1000" i="144"/>
  <c r="I983" i="144"/>
  <c r="I966" i="144"/>
  <c r="I948" i="144"/>
  <c r="I933" i="144"/>
  <c r="I918" i="144"/>
  <c r="I902" i="144"/>
  <c r="I887" i="144"/>
  <c r="I870" i="144"/>
  <c r="I854" i="144"/>
  <c r="I839" i="144"/>
  <c r="I824" i="144"/>
  <c r="I809" i="144"/>
  <c r="I791" i="144"/>
  <c r="I777" i="144"/>
  <c r="I763" i="144"/>
  <c r="I749" i="144"/>
  <c r="I734" i="144"/>
  <c r="I720" i="144"/>
  <c r="I706" i="144"/>
  <c r="I692" i="144"/>
  <c r="I678" i="144"/>
  <c r="I664" i="144"/>
  <c r="I649" i="144"/>
  <c r="I634" i="144"/>
  <c r="I620" i="144"/>
  <c r="I606" i="144"/>
  <c r="I592" i="144"/>
  <c r="I577" i="144"/>
  <c r="I563" i="144"/>
  <c r="I549" i="144"/>
  <c r="I535" i="144"/>
  <c r="I521" i="144"/>
  <c r="I506" i="144"/>
  <c r="I492" i="144"/>
  <c r="I477" i="144"/>
  <c r="I463" i="144"/>
  <c r="I449" i="144"/>
  <c r="I434" i="144"/>
  <c r="I420" i="144"/>
  <c r="I406" i="144"/>
  <c r="I392" i="144"/>
  <c r="I378" i="144"/>
  <c r="I364" i="144"/>
  <c r="I349" i="144"/>
  <c r="I335" i="144"/>
  <c r="I320" i="144"/>
  <c r="I307" i="144"/>
  <c r="I294" i="144"/>
  <c r="I281" i="144"/>
  <c r="I268" i="144"/>
  <c r="I255" i="144"/>
  <c r="I242" i="144"/>
  <c r="I229" i="144"/>
  <c r="I216" i="144"/>
  <c r="I203" i="144"/>
  <c r="I190" i="144"/>
  <c r="I177" i="144"/>
  <c r="I165" i="144"/>
  <c r="I153" i="144"/>
  <c r="I141" i="144"/>
  <c r="I129" i="144"/>
  <c r="I117" i="144"/>
  <c r="I105" i="144"/>
  <c r="I93" i="144"/>
  <c r="I81" i="144"/>
  <c r="I69" i="144"/>
  <c r="I57" i="144"/>
  <c r="I1334" i="144"/>
  <c r="I1317" i="144"/>
  <c r="I1297" i="144"/>
  <c r="I1280" i="144"/>
  <c r="I1260" i="144"/>
  <c r="I1238" i="144"/>
  <c r="I1221" i="144"/>
  <c r="I1201" i="144"/>
  <c r="I1184" i="144"/>
  <c r="I1164" i="144"/>
  <c r="I1142" i="144"/>
  <c r="I1125" i="144"/>
  <c r="I1105" i="144"/>
  <c r="I1088" i="144"/>
  <c r="I1068" i="144"/>
  <c r="I1048" i="144"/>
  <c r="I1031" i="144"/>
  <c r="I1014" i="144"/>
  <c r="I997" i="144"/>
  <c r="I981" i="144"/>
  <c r="I961" i="144"/>
  <c r="I946" i="144"/>
  <c r="I931" i="144"/>
  <c r="I916" i="144"/>
  <c r="I900" i="144"/>
  <c r="I883" i="144"/>
  <c r="I868" i="144"/>
  <c r="I852" i="144"/>
  <c r="I837" i="144"/>
  <c r="I822" i="144"/>
  <c r="I804" i="144"/>
  <c r="I789" i="144"/>
  <c r="I775" i="144"/>
  <c r="I761" i="144"/>
  <c r="I746" i="144"/>
  <c r="I732" i="144"/>
  <c r="I718" i="144"/>
  <c r="I704" i="144"/>
  <c r="I690" i="144"/>
  <c r="I676" i="144"/>
  <c r="I660" i="144"/>
  <c r="I646" i="144"/>
  <c r="I632" i="144"/>
  <c r="I618" i="144"/>
  <c r="I604" i="144"/>
  <c r="I589" i="144"/>
  <c r="I575" i="144"/>
  <c r="I561" i="144"/>
  <c r="I547" i="144"/>
  <c r="I533" i="144"/>
  <c r="I518" i="144"/>
  <c r="I503" i="144"/>
  <c r="I489" i="144"/>
  <c r="I475" i="144"/>
  <c r="I461" i="144"/>
  <c r="I446" i="144"/>
  <c r="I432" i="144"/>
  <c r="I418" i="144"/>
  <c r="I404" i="144"/>
  <c r="I390" i="144"/>
  <c r="I376" i="144"/>
  <c r="I361" i="144"/>
  <c r="I346" i="144"/>
  <c r="I332" i="144"/>
  <c r="I318" i="144"/>
  <c r="I305" i="144"/>
  <c r="I292" i="144"/>
  <c r="I279" i="144"/>
  <c r="I266" i="144"/>
  <c r="I253" i="144"/>
  <c r="I240" i="144"/>
  <c r="I227" i="144"/>
  <c r="I214" i="144"/>
  <c r="I200" i="144"/>
  <c r="I187" i="144"/>
  <c r="I175" i="144"/>
  <c r="I163" i="144"/>
  <c r="I151" i="144"/>
  <c r="I139" i="144"/>
  <c r="I127" i="144"/>
  <c r="I115" i="144"/>
  <c r="I103" i="144"/>
  <c r="I91" i="144"/>
  <c r="I79" i="144"/>
  <c r="I67" i="144"/>
  <c r="I55" i="144"/>
  <c r="I44" i="144"/>
  <c r="I25" i="144"/>
  <c r="I13" i="144"/>
  <c r="I1333" i="144"/>
  <c r="I1316" i="144"/>
  <c r="I1296" i="144"/>
  <c r="I1277" i="144"/>
  <c r="I1258" i="144"/>
  <c r="I1237" i="144"/>
  <c r="I1220" i="144"/>
  <c r="I1200" i="144"/>
  <c r="I1181" i="144"/>
  <c r="I1162" i="144"/>
  <c r="I1141" i="144"/>
  <c r="I1124" i="144"/>
  <c r="I1104" i="144"/>
  <c r="I1085" i="144"/>
  <c r="I1066" i="144"/>
  <c r="I1046" i="144"/>
  <c r="I1030" i="144"/>
  <c r="I1013" i="144"/>
  <c r="I996" i="144"/>
  <c r="I978" i="144"/>
  <c r="I960" i="144"/>
  <c r="I945" i="144"/>
  <c r="I930" i="144"/>
  <c r="I914" i="144"/>
  <c r="I898" i="144"/>
  <c r="I882" i="144"/>
  <c r="I851" i="144"/>
  <c r="I836" i="144"/>
  <c r="I820" i="144"/>
  <c r="I803" i="144"/>
  <c r="I788" i="144"/>
  <c r="I774" i="144"/>
  <c r="I760" i="144"/>
  <c r="I745" i="144"/>
  <c r="I731" i="144"/>
  <c r="I717" i="144"/>
  <c r="I703" i="144"/>
  <c r="I689" i="144"/>
  <c r="I673" i="144"/>
  <c r="I659" i="144"/>
  <c r="I645" i="144"/>
  <c r="I631" i="144"/>
  <c r="I617" i="144"/>
  <c r="I602" i="144"/>
  <c r="I588" i="144"/>
  <c r="I574" i="144"/>
  <c r="I560" i="144"/>
  <c r="I546" i="144"/>
  <c r="I532" i="144"/>
  <c r="I516" i="144"/>
  <c r="I502" i="144"/>
  <c r="I474" i="144"/>
  <c r="I460" i="144"/>
  <c r="I445" i="144"/>
  <c r="I431" i="144"/>
  <c r="I417" i="144"/>
  <c r="I403" i="144"/>
  <c r="I389" i="144"/>
  <c r="I374" i="144"/>
  <c r="I345" i="144"/>
  <c r="I331" i="144"/>
  <c r="I866" i="144"/>
  <c r="I488" i="144"/>
  <c r="I359" i="144"/>
  <c r="I1312" i="144"/>
  <c r="I1286" i="144"/>
  <c r="I1264" i="144"/>
  <c r="I1235" i="144"/>
  <c r="I1212" i="144"/>
  <c r="I1187" i="144"/>
  <c r="I1157" i="144"/>
  <c r="I1136" i="144"/>
  <c r="I1109" i="144"/>
  <c r="I1081" i="144"/>
  <c r="I1057" i="144"/>
  <c r="I1036" i="144"/>
  <c r="I1010" i="144"/>
  <c r="I988" i="144"/>
  <c r="I968" i="144"/>
  <c r="I943" i="144"/>
  <c r="I922" i="144"/>
  <c r="I904" i="144"/>
  <c r="I880" i="144"/>
  <c r="I861" i="144"/>
  <c r="I840" i="144"/>
  <c r="I816" i="144"/>
  <c r="I798" i="144"/>
  <c r="I778" i="144"/>
  <c r="I757" i="144"/>
  <c r="I739" i="144"/>
  <c r="I721" i="144"/>
  <c r="I700" i="144"/>
  <c r="I1332" i="144"/>
  <c r="I1309" i="144"/>
  <c r="I1284" i="144"/>
  <c r="I1256" i="144"/>
  <c r="I1233" i="144"/>
  <c r="I1208" i="144"/>
  <c r="I1180" i="144"/>
  <c r="I1154" i="144"/>
  <c r="I1132" i="144"/>
  <c r="I1103" i="144"/>
  <c r="I1078" i="144"/>
  <c r="I1055" i="144"/>
  <c r="I1029" i="144"/>
  <c r="I1007" i="144"/>
  <c r="I985" i="144"/>
  <c r="I959" i="144"/>
  <c r="I941" i="144"/>
  <c r="I920" i="144"/>
  <c r="I896" i="144"/>
  <c r="I877" i="144"/>
  <c r="I857" i="144"/>
  <c r="I835" i="144"/>
  <c r="I814" i="144"/>
  <c r="I796" i="144"/>
  <c r="I773" i="144"/>
  <c r="I755" i="144"/>
  <c r="I737" i="144"/>
  <c r="I716" i="144"/>
  <c r="I697" i="144"/>
  <c r="I680" i="144"/>
  <c r="I658" i="144"/>
  <c r="I641" i="144"/>
  <c r="I623" i="144"/>
  <c r="I601" i="144"/>
  <c r="I584" i="144"/>
  <c r="I565" i="144"/>
  <c r="I545" i="144"/>
  <c r="I526" i="144"/>
  <c r="I509" i="144"/>
  <c r="I487" i="144"/>
  <c r="I469" i="144"/>
  <c r="I451" i="144"/>
  <c r="I430" i="144"/>
  <c r="I412" i="144"/>
  <c r="I394" i="144"/>
  <c r="I372" i="144"/>
  <c r="I355" i="144"/>
  <c r="I337" i="144"/>
  <c r="I317" i="144"/>
  <c r="I302" i="144"/>
  <c r="I1331" i="144"/>
  <c r="I1308" i="144"/>
  <c r="I1283" i="144"/>
  <c r="I1253" i="144"/>
  <c r="I1232" i="144"/>
  <c r="I1205" i="144"/>
  <c r="I1177" i="144"/>
  <c r="I1153" i="144"/>
  <c r="I1129" i="144"/>
  <c r="I1102" i="144"/>
  <c r="I1077" i="144"/>
  <c r="I1054" i="144"/>
  <c r="I1028" i="144"/>
  <c r="I1005" i="144"/>
  <c r="I984" i="144"/>
  <c r="I958" i="144"/>
  <c r="I940" i="144"/>
  <c r="I919" i="144"/>
  <c r="I895" i="144"/>
  <c r="I876" i="144"/>
  <c r="I856" i="144"/>
  <c r="I833" i="144"/>
  <c r="I813" i="144"/>
  <c r="I793" i="144"/>
  <c r="I772" i="144"/>
  <c r="I754" i="144"/>
  <c r="I736" i="144"/>
  <c r="I715" i="144"/>
  <c r="I696" i="144"/>
  <c r="I679" i="144"/>
  <c r="I657" i="144"/>
  <c r="I640" i="144"/>
  <c r="I621" i="144"/>
  <c r="I600" i="144"/>
  <c r="I582" i="144"/>
  <c r="I564" i="144"/>
  <c r="I542" i="144"/>
  <c r="I525" i="144"/>
  <c r="I508" i="144"/>
  <c r="I486" i="144"/>
  <c r="I468" i="144"/>
  <c r="I450" i="144"/>
  <c r="I429" i="144"/>
  <c r="I410" i="144"/>
  <c r="I393" i="144"/>
  <c r="I371" i="144"/>
  <c r="I354" i="144"/>
  <c r="I336" i="144"/>
  <c r="I316" i="144"/>
  <c r="I301" i="144"/>
  <c r="I286" i="144"/>
  <c r="I270" i="144"/>
  <c r="I254" i="144"/>
  <c r="I238" i="144"/>
  <c r="I222" i="144"/>
  <c r="I207" i="144"/>
  <c r="I192" i="144"/>
  <c r="I176" i="144"/>
  <c r="I161" i="144"/>
  <c r="I147" i="144"/>
  <c r="I133" i="144"/>
  <c r="I119" i="144"/>
  <c r="I104" i="144"/>
  <c r="I89" i="144"/>
  <c r="I75" i="144"/>
  <c r="I61" i="144"/>
  <c r="I47" i="144"/>
  <c r="I27" i="144"/>
  <c r="I14" i="144"/>
  <c r="I1330" i="144"/>
  <c r="I1306" i="144"/>
  <c r="I1281" i="144"/>
  <c r="I1252" i="144"/>
  <c r="I1229" i="144"/>
  <c r="I1202" i="144"/>
  <c r="I1175" i="144"/>
  <c r="I1152" i="144"/>
  <c r="I1126" i="144"/>
  <c r="I1101" i="144"/>
  <c r="I1076" i="144"/>
  <c r="I1050" i="144"/>
  <c r="I1026" i="144"/>
  <c r="I1004" i="144"/>
  <c r="I982" i="144"/>
  <c r="I1298" i="144"/>
  <c r="I1265" i="144"/>
  <c r="I1222" i="144"/>
  <c r="I1188" i="144"/>
  <c r="I1145" i="144"/>
  <c r="I1112" i="144"/>
  <c r="I1069" i="144"/>
  <c r="I1038" i="144"/>
  <c r="I998" i="144"/>
  <c r="I969" i="144"/>
  <c r="I935" i="144"/>
  <c r="I908" i="144"/>
  <c r="I881" i="144"/>
  <c r="I850" i="144"/>
  <c r="I826" i="144"/>
  <c r="I799" i="144"/>
  <c r="I769" i="144"/>
  <c r="I744" i="144"/>
  <c r="I722" i="144"/>
  <c r="I694" i="144"/>
  <c r="I670" i="144"/>
  <c r="I650" i="144"/>
  <c r="I626" i="144"/>
  <c r="I605" i="144"/>
  <c r="I580" i="144"/>
  <c r="I556" i="144"/>
  <c r="I536" i="144"/>
  <c r="I512" i="144"/>
  <c r="I490" i="144"/>
  <c r="I466" i="144"/>
  <c r="I442" i="144"/>
  <c r="I421" i="144"/>
  <c r="I397" i="144"/>
  <c r="I377" i="144"/>
  <c r="I352" i="144"/>
  <c r="I328" i="144"/>
  <c r="I310" i="144"/>
  <c r="I290" i="144"/>
  <c r="I274" i="144"/>
  <c r="I257" i="144"/>
  <c r="I239" i="144"/>
  <c r="I221" i="144"/>
  <c r="I205" i="144"/>
  <c r="I186" i="144"/>
  <c r="I171" i="144"/>
  <c r="I156" i="144"/>
  <c r="I140" i="144"/>
  <c r="I124" i="144"/>
  <c r="I109" i="144"/>
  <c r="I94" i="144"/>
  <c r="I77" i="144"/>
  <c r="I62" i="144"/>
  <c r="I34" i="144"/>
  <c r="I23" i="144"/>
  <c r="I9" i="144"/>
  <c r="I1337" i="144"/>
  <c r="I1295" i="144"/>
  <c r="I1261" i="144"/>
  <c r="I1217" i="144"/>
  <c r="I1185" i="144"/>
  <c r="I1140" i="144"/>
  <c r="I1106" i="144"/>
  <c r="I1064" i="144"/>
  <c r="I1032" i="144"/>
  <c r="I995" i="144"/>
  <c r="I964" i="144"/>
  <c r="I934" i="144"/>
  <c r="I907" i="144"/>
  <c r="I878" i="144"/>
  <c r="I849" i="144"/>
  <c r="I825" i="144"/>
  <c r="I797" i="144"/>
  <c r="I768" i="144"/>
  <c r="I743" i="144"/>
  <c r="I719" i="144"/>
  <c r="I693" i="144"/>
  <c r="I669" i="144"/>
  <c r="I647" i="144"/>
  <c r="I625" i="144"/>
  <c r="I599" i="144"/>
  <c r="I578" i="144"/>
  <c r="I554" i="144"/>
  <c r="I534" i="144"/>
  <c r="I511" i="144"/>
  <c r="I485" i="144"/>
  <c r="I464" i="144"/>
  <c r="I441" i="144"/>
  <c r="I419" i="144"/>
  <c r="I396" i="144"/>
  <c r="I370" i="144"/>
  <c r="I350" i="144"/>
  <c r="I326" i="144"/>
  <c r="I308" i="144"/>
  <c r="I289" i="144"/>
  <c r="I272" i="144"/>
  <c r="I256" i="144"/>
  <c r="I236" i="144"/>
  <c r="I220" i="144"/>
  <c r="I204" i="144"/>
  <c r="I185" i="144"/>
  <c r="I170" i="144"/>
  <c r="I155" i="144"/>
  <c r="I138" i="144"/>
  <c r="I123" i="144"/>
  <c r="I108" i="144"/>
  <c r="I92" i="144"/>
  <c r="I76" i="144"/>
  <c r="I60" i="144"/>
  <c r="I46" i="144"/>
  <c r="I22" i="144"/>
  <c r="I8" i="144"/>
  <c r="I1289" i="144"/>
  <c r="I1213" i="144"/>
  <c r="I1137" i="144"/>
  <c r="I1058" i="144"/>
  <c r="I989" i="144"/>
  <c r="I928" i="144"/>
  <c r="I872" i="144"/>
  <c r="I815" i="144"/>
  <c r="I764" i="144"/>
  <c r="I710" i="144"/>
  <c r="I666" i="144"/>
  <c r="I616" i="144"/>
  <c r="I572" i="144"/>
  <c r="I527" i="144"/>
  <c r="I481" i="144"/>
  <c r="I437" i="144"/>
  <c r="I388" i="144"/>
  <c r="I323" i="144"/>
  <c r="I284" i="144"/>
  <c r="I233" i="144"/>
  <c r="I167" i="144"/>
  <c r="I72" i="144"/>
  <c r="I19" i="144"/>
  <c r="I1247" i="144"/>
  <c r="I1056" i="144"/>
  <c r="I894" i="144"/>
  <c r="I733" i="144"/>
  <c r="I594" i="144"/>
  <c r="I456" i="144"/>
  <c r="I300" i="144"/>
  <c r="I197" i="144"/>
  <c r="I134" i="144"/>
  <c r="I41" i="144"/>
  <c r="I1089" i="144"/>
  <c r="I864" i="144"/>
  <c r="I756" i="144"/>
  <c r="I682" i="144"/>
  <c r="I612" i="144"/>
  <c r="I541" i="144"/>
  <c r="I476" i="144"/>
  <c r="I407" i="144"/>
  <c r="I343" i="144"/>
  <c r="I120" i="144"/>
  <c r="I1324" i="144"/>
  <c r="I1092" i="144"/>
  <c r="I842" i="144"/>
  <c r="I684" i="144"/>
  <c r="I550" i="144"/>
  <c r="I436" i="144"/>
  <c r="I322" i="144"/>
  <c r="I215" i="144"/>
  <c r="I86" i="144"/>
  <c r="I4" i="144"/>
  <c r="I1321" i="144"/>
  <c r="I1168" i="144"/>
  <c r="I976" i="144"/>
  <c r="I841" i="144"/>
  <c r="I708" i="144"/>
  <c r="I593" i="144"/>
  <c r="I479" i="144"/>
  <c r="I365" i="144"/>
  <c r="I264" i="144"/>
  <c r="I180" i="144"/>
  <c r="I100" i="144"/>
  <c r="I17" i="144"/>
  <c r="I1273" i="144"/>
  <c r="I1165" i="144"/>
  <c r="I1044" i="144"/>
  <c r="I974" i="144"/>
  <c r="I921" i="144"/>
  <c r="I838" i="144"/>
  <c r="I782" i="144"/>
  <c r="I707" i="144"/>
  <c r="I636" i="144"/>
  <c r="I568" i="144"/>
  <c r="I498" i="144"/>
  <c r="I428" i="144"/>
  <c r="I1329" i="144"/>
  <c r="I1294" i="144"/>
  <c r="I1250" i="144"/>
  <c r="I1216" i="144"/>
  <c r="I1174" i="144"/>
  <c r="I1139" i="144"/>
  <c r="I1097" i="144"/>
  <c r="I1061" i="144"/>
  <c r="I1025" i="144"/>
  <c r="I993" i="144"/>
  <c r="I957" i="144"/>
  <c r="I932" i="144"/>
  <c r="I906" i="144"/>
  <c r="I875" i="144"/>
  <c r="I848" i="144"/>
  <c r="I823" i="144"/>
  <c r="I790" i="144"/>
  <c r="I767" i="144"/>
  <c r="I742" i="144"/>
  <c r="I713" i="144"/>
  <c r="I691" i="144"/>
  <c r="I668" i="144"/>
  <c r="I644" i="144"/>
  <c r="I624" i="144"/>
  <c r="I598" i="144"/>
  <c r="I576" i="144"/>
  <c r="I553" i="144"/>
  <c r="I529" i="144"/>
  <c r="I510" i="144"/>
  <c r="I484" i="144"/>
  <c r="I462" i="144"/>
  <c r="I440" i="144"/>
  <c r="I416" i="144"/>
  <c r="I395" i="144"/>
  <c r="I369" i="144"/>
  <c r="I348" i="144"/>
  <c r="I325" i="144"/>
  <c r="I306" i="144"/>
  <c r="I288" i="144"/>
  <c r="I271" i="144"/>
  <c r="I252" i="144"/>
  <c r="I235" i="144"/>
  <c r="I219" i="144"/>
  <c r="I202" i="144"/>
  <c r="I184" i="144"/>
  <c r="I169" i="144"/>
  <c r="I154" i="144"/>
  <c r="I137" i="144"/>
  <c r="I122" i="144"/>
  <c r="I107" i="144"/>
  <c r="I90" i="144"/>
  <c r="I74" i="144"/>
  <c r="I59" i="144"/>
  <c r="I45" i="144"/>
  <c r="I21" i="144"/>
  <c r="I7" i="144"/>
  <c r="I1328" i="144"/>
  <c r="I1293" i="144"/>
  <c r="I1249" i="144"/>
  <c r="I1214" i="144"/>
  <c r="I1173" i="144"/>
  <c r="I1138" i="144"/>
  <c r="I1094" i="144"/>
  <c r="I1060" i="144"/>
  <c r="I1024" i="144"/>
  <c r="I990" i="144"/>
  <c r="I956" i="144"/>
  <c r="I929" i="144"/>
  <c r="I905" i="144"/>
  <c r="I874" i="144"/>
  <c r="I846" i="144"/>
  <c r="I817" i="144"/>
  <c r="I787" i="144"/>
  <c r="I765" i="144"/>
  <c r="I741" i="144"/>
  <c r="I712" i="144"/>
  <c r="I686" i="144"/>
  <c r="I667" i="144"/>
  <c r="I643" i="144"/>
  <c r="I619" i="144"/>
  <c r="I597" i="144"/>
  <c r="I573" i="144"/>
  <c r="I552" i="144"/>
  <c r="I528" i="144"/>
  <c r="I505" i="144"/>
  <c r="I482" i="144"/>
  <c r="I458" i="144"/>
  <c r="I438" i="144"/>
  <c r="I415" i="144"/>
  <c r="I391" i="144"/>
  <c r="I368" i="144"/>
  <c r="I344" i="144"/>
  <c r="I324" i="144"/>
  <c r="I304" i="144"/>
  <c r="I287" i="144"/>
  <c r="I269" i="144"/>
  <c r="I251" i="144"/>
  <c r="I234" i="144"/>
  <c r="I218" i="144"/>
  <c r="I199" i="144"/>
  <c r="I183" i="144"/>
  <c r="I168" i="144"/>
  <c r="I152" i="144"/>
  <c r="I136" i="144"/>
  <c r="I121" i="144"/>
  <c r="I106" i="144"/>
  <c r="I88" i="144"/>
  <c r="I73" i="144"/>
  <c r="I58" i="144"/>
  <c r="I43" i="144"/>
  <c r="I20" i="144"/>
  <c r="I6" i="144"/>
  <c r="I1325" i="144"/>
  <c r="I1248" i="144"/>
  <c r="I1172" i="144"/>
  <c r="I1093" i="144"/>
  <c r="I1021" i="144"/>
  <c r="I955" i="144"/>
  <c r="I901" i="144"/>
  <c r="I844" i="144"/>
  <c r="I786" i="144"/>
  <c r="I738" i="144"/>
  <c r="I685" i="144"/>
  <c r="I642" i="144"/>
  <c r="I595" i="144"/>
  <c r="I551" i="144"/>
  <c r="I501" i="144"/>
  <c r="I457" i="144"/>
  <c r="I367" i="144"/>
  <c r="I303" i="144"/>
  <c r="I267" i="144"/>
  <c r="I217" i="144"/>
  <c r="I150" i="144"/>
  <c r="I87" i="144"/>
  <c r="I5" i="144"/>
  <c r="I1210" i="144"/>
  <c r="I986" i="144"/>
  <c r="I812" i="144"/>
  <c r="I665" i="144"/>
  <c r="I524" i="144"/>
  <c r="I385" i="144"/>
  <c r="I283" i="144"/>
  <c r="I181" i="144"/>
  <c r="I118" i="144"/>
  <c r="I32" i="144"/>
  <c r="I1276" i="144"/>
  <c r="I1091" i="144"/>
  <c r="I924" i="144"/>
  <c r="I784" i="144"/>
  <c r="I662" i="144"/>
  <c r="I569" i="144"/>
  <c r="I433" i="144"/>
  <c r="I319" i="144"/>
  <c r="I231" i="144"/>
  <c r="I164" i="144"/>
  <c r="I85" i="144"/>
  <c r="I1318" i="144"/>
  <c r="I1241" i="144"/>
  <c r="I1198" i="144"/>
  <c r="I1120" i="144"/>
  <c r="I1016" i="144"/>
  <c r="I950" i="144"/>
  <c r="I892" i="144"/>
  <c r="I810" i="144"/>
  <c r="I729" i="144"/>
  <c r="I656" i="144"/>
  <c r="I590" i="144"/>
  <c r="I522" i="144"/>
  <c r="I454" i="144"/>
  <c r="I414" i="144"/>
  <c r="I250" i="144"/>
  <c r="I198" i="144"/>
  <c r="I182" i="144"/>
  <c r="I135" i="144"/>
  <c r="I102" i="144"/>
  <c r="I56" i="144"/>
  <c r="I42" i="144"/>
  <c r="I33" i="144"/>
  <c r="I1285" i="144"/>
  <c r="I1169" i="144"/>
  <c r="I1133" i="144"/>
  <c r="I1019" i="144"/>
  <c r="I954" i="144"/>
  <c r="I926" i="144"/>
  <c r="I869" i="144"/>
  <c r="I785" i="144"/>
  <c r="I762" i="144"/>
  <c r="I709" i="144"/>
  <c r="I638" i="144"/>
  <c r="I614" i="144"/>
  <c r="I571" i="144"/>
  <c r="I500" i="144"/>
  <c r="I480" i="144"/>
  <c r="I409" i="144"/>
  <c r="I366" i="144"/>
  <c r="I342" i="144"/>
  <c r="I265" i="144"/>
  <c r="I248" i="144"/>
  <c r="I232" i="144"/>
  <c r="I166" i="144"/>
  <c r="I149" i="144"/>
  <c r="I101" i="144"/>
  <c r="I71" i="144"/>
  <c r="I54" i="144"/>
  <c r="I18" i="144"/>
  <c r="I1246" i="144"/>
  <c r="I1199" i="144"/>
  <c r="I1121" i="144"/>
  <c r="I1045" i="144"/>
  <c r="I1018" i="144"/>
  <c r="I953" i="144"/>
  <c r="I893" i="144"/>
  <c r="I865" i="144"/>
  <c r="I811" i="144"/>
  <c r="I758" i="144"/>
  <c r="I730" i="144"/>
  <c r="I683" i="144"/>
  <c r="I637" i="144"/>
  <c r="I613" i="144"/>
  <c r="I548" i="144"/>
  <c r="I523" i="144"/>
  <c r="I499" i="144"/>
  <c r="I455" i="144"/>
  <c r="I408" i="144"/>
  <c r="I384" i="144"/>
  <c r="I341" i="144"/>
  <c r="I299" i="144"/>
  <c r="I282" i="144"/>
  <c r="I247" i="144"/>
  <c r="I212" i="144"/>
  <c r="I196" i="144"/>
  <c r="I148" i="144"/>
  <c r="I132" i="144"/>
  <c r="I116" i="144"/>
  <c r="I70" i="144"/>
  <c r="I53" i="144"/>
  <c r="I40" i="144"/>
  <c r="I31" i="144"/>
  <c r="I35" i="144"/>
  <c r="I142" i="144"/>
  <c r="I211" i="144"/>
  <c r="I402" i="144"/>
  <c r="I539" i="144"/>
  <c r="I677" i="144"/>
  <c r="I1117" i="144"/>
  <c r="I12" i="144"/>
  <c r="I143" i="144"/>
  <c r="I178" i="144"/>
  <c r="I356" i="144"/>
  <c r="I611" i="144"/>
  <c r="I917" i="144"/>
  <c r="I629" i="144"/>
  <c r="I64" i="144"/>
  <c r="I472" i="144"/>
  <c r="I1009" i="144"/>
  <c r="I65" i="144"/>
  <c r="I473" i="144"/>
  <c r="I1236" i="144"/>
  <c r="I179" i="144"/>
  <c r="I493" i="144"/>
  <c r="I937" i="144"/>
  <c r="I16" i="144"/>
  <c r="I145" i="144"/>
  <c r="I312" i="144"/>
  <c r="I776" i="144"/>
  <c r="I39" i="144"/>
  <c r="I191" i="144"/>
  <c r="I362" i="144"/>
  <c r="I562" i="144"/>
  <c r="I862" i="144"/>
  <c r="I1270" i="144"/>
  <c r="I157" i="144"/>
  <c r="I276" i="144"/>
  <c r="I497" i="144"/>
  <c r="I781" i="144"/>
  <c r="I1160" i="144"/>
  <c r="I82" i="144"/>
  <c r="I241" i="144"/>
  <c r="I380" i="144"/>
  <c r="I513" i="144"/>
  <c r="I581" i="144"/>
  <c r="I652" i="144"/>
  <c r="I724" i="144"/>
  <c r="I800" i="144"/>
  <c r="I885" i="144"/>
  <c r="I970" i="144"/>
  <c r="I1072" i="144"/>
  <c r="I1189" i="144"/>
  <c r="I1301" i="144"/>
  <c r="I11" i="144"/>
  <c r="I98" i="144"/>
  <c r="I174" i="144"/>
  <c r="I353" i="144"/>
  <c r="I610" i="144"/>
  <c r="I751" i="144"/>
  <c r="I1234" i="144"/>
  <c r="I99" i="144"/>
  <c r="I223" i="144"/>
  <c r="I298" i="144"/>
  <c r="I540" i="144"/>
  <c r="I681" i="144"/>
  <c r="I752" i="144"/>
  <c r="I1118" i="144"/>
  <c r="I66" i="144"/>
  <c r="I110" i="144"/>
  <c r="I144" i="144"/>
  <c r="I311" i="144"/>
  <c r="I357" i="144"/>
  <c r="I422" i="144"/>
  <c r="I695" i="144"/>
  <c r="I770" i="144"/>
  <c r="I853" i="144"/>
  <c r="I1150" i="144"/>
  <c r="I38" i="144"/>
  <c r="I68" i="144"/>
  <c r="I111" i="144"/>
  <c r="I188" i="144"/>
  <c r="I226" i="144"/>
  <c r="I263" i="144"/>
  <c r="I358" i="144"/>
  <c r="I424" i="144"/>
  <c r="I494" i="144"/>
  <c r="I559" i="144"/>
  <c r="I698" i="144"/>
  <c r="I859" i="144"/>
  <c r="I942" i="144"/>
  <c r="I1041" i="144"/>
  <c r="I1151" i="144"/>
  <c r="I1269" i="144"/>
  <c r="I24" i="144"/>
  <c r="I78" i="144"/>
  <c r="I112" i="144"/>
  <c r="I146" i="144"/>
  <c r="I228" i="144"/>
  <c r="I275" i="144"/>
  <c r="I313" i="144"/>
  <c r="I425" i="144"/>
  <c r="I496" i="144"/>
  <c r="I630" i="144"/>
  <c r="I702" i="144"/>
  <c r="I780" i="144"/>
  <c r="I944" i="144"/>
  <c r="I1042" i="144"/>
  <c r="I1156" i="144"/>
  <c r="I26" i="144"/>
  <c r="I80" i="144"/>
  <c r="I113" i="144"/>
  <c r="I193" i="144"/>
  <c r="I230" i="144"/>
  <c r="I314" i="144"/>
  <c r="I379" i="144"/>
  <c r="I427" i="144"/>
  <c r="I566" i="144"/>
  <c r="I633" i="144"/>
  <c r="I705" i="144"/>
  <c r="I863" i="144"/>
  <c r="I947" i="144"/>
  <c r="I1043" i="144"/>
  <c r="I1271" i="144"/>
  <c r="I28" i="144"/>
  <c r="I48" i="144"/>
  <c r="I114" i="144"/>
  <c r="I158" i="144"/>
  <c r="I194" i="144"/>
  <c r="I277" i="144"/>
  <c r="I315" i="144"/>
  <c r="I443" i="144"/>
  <c r="I29" i="144"/>
  <c r="I49" i="144"/>
  <c r="I83" i="144"/>
  <c r="I125" i="144"/>
  <c r="I159" i="144"/>
  <c r="I195" i="144"/>
  <c r="I243" i="144"/>
  <c r="I278" i="144"/>
  <c r="I329" i="144"/>
  <c r="I381" i="144"/>
  <c r="I444" i="144"/>
  <c r="I514" i="144"/>
  <c r="I585" i="144"/>
  <c r="I653" i="144"/>
  <c r="I725" i="144"/>
  <c r="I801" i="144"/>
  <c r="I888" i="144"/>
  <c r="I971" i="144"/>
  <c r="I1073" i="144"/>
  <c r="I1190" i="144"/>
  <c r="I1304" i="144"/>
  <c r="I259" i="144"/>
  <c r="I829" i="144"/>
  <c r="I260" i="144"/>
  <c r="I830" i="144"/>
  <c r="I37" i="144"/>
  <c r="I262" i="144"/>
  <c r="I558" i="144"/>
  <c r="I1040" i="144"/>
  <c r="I30" i="144"/>
  <c r="I84" i="144"/>
  <c r="I160" i="144"/>
  <c r="I206" i="144"/>
  <c r="I280" i="144"/>
  <c r="I330" i="144"/>
  <c r="I382" i="144"/>
  <c r="I448" i="144"/>
  <c r="I515" i="144"/>
  <c r="I586" i="144"/>
  <c r="I654" i="144"/>
  <c r="I802" i="144"/>
  <c r="I972" i="144"/>
  <c r="I1193" i="144"/>
  <c r="I51" i="144"/>
  <c r="I128" i="144"/>
  <c r="I208" i="144"/>
  <c r="I291" i="144"/>
  <c r="I383" i="144"/>
  <c r="I453" i="144"/>
  <c r="I520" i="144"/>
  <c r="I587" i="144"/>
  <c r="I655" i="144"/>
  <c r="I728" i="144"/>
  <c r="I806" i="144"/>
  <c r="I890" i="144"/>
  <c r="I973" i="144"/>
  <c r="I1084" i="144"/>
  <c r="I1197" i="144"/>
  <c r="I1313" i="144"/>
  <c r="I296" i="144"/>
  <c r="I913" i="144"/>
  <c r="I36" i="144"/>
  <c r="I405" i="144"/>
  <c r="I1012" i="144"/>
  <c r="I15" i="144"/>
  <c r="I224" i="144"/>
  <c r="I628" i="144"/>
  <c r="I1268" i="144"/>
  <c r="I50" i="144"/>
  <c r="I126" i="144"/>
  <c r="I244" i="144"/>
  <c r="I726" i="144"/>
  <c r="I889" i="144"/>
  <c r="I1079" i="144"/>
  <c r="I1310" i="144"/>
  <c r="I95" i="144"/>
  <c r="I162" i="144"/>
  <c r="I245" i="144"/>
  <c r="I333" i="144"/>
  <c r="I52" i="144"/>
  <c r="I96" i="144"/>
  <c r="I130" i="144"/>
  <c r="I172" i="144"/>
  <c r="I209" i="144"/>
  <c r="I246" i="144"/>
  <c r="I293" i="144"/>
  <c r="I338" i="144"/>
  <c r="I398" i="144"/>
  <c r="I467" i="144"/>
  <c r="I537" i="144"/>
  <c r="I607" i="144"/>
  <c r="I671" i="144"/>
  <c r="I748" i="144"/>
  <c r="I827" i="144"/>
  <c r="I909" i="144"/>
  <c r="I1001" i="144"/>
  <c r="I1114" i="144"/>
  <c r="I1225" i="144"/>
  <c r="AB33" i="144"/>
  <c r="F9" i="146" l="1"/>
  <c r="G8" i="146"/>
  <c r="X35" i="144"/>
  <c r="G9" i="146" l="1"/>
  <c r="F10" i="146"/>
  <c r="F11" i="146" l="1"/>
  <c r="G10" i="146"/>
  <c r="G18" i="142"/>
  <c r="E18" i="142"/>
  <c r="C18" i="142"/>
  <c r="G17" i="142"/>
  <c r="E17" i="142"/>
  <c r="C17" i="142"/>
  <c r="J138" i="141"/>
  <c r="I138" i="141"/>
  <c r="H138" i="141"/>
  <c r="G138" i="141"/>
  <c r="F138" i="141"/>
  <c r="E138" i="141"/>
  <c r="D138" i="141"/>
  <c r="C138" i="141"/>
  <c r="L138" i="141" s="1"/>
  <c r="J137" i="141"/>
  <c r="I137" i="141"/>
  <c r="H137" i="141"/>
  <c r="G137" i="141"/>
  <c r="F137" i="141"/>
  <c r="E137" i="141"/>
  <c r="D137" i="141"/>
  <c r="C137" i="141"/>
  <c r="L137" i="141" s="1"/>
  <c r="J136" i="141"/>
  <c r="L136" i="141" s="1"/>
  <c r="I136" i="141"/>
  <c r="H136" i="141"/>
  <c r="G136" i="141"/>
  <c r="F136" i="141"/>
  <c r="E136" i="141"/>
  <c r="D136" i="141"/>
  <c r="C136" i="141"/>
  <c r="J135" i="141"/>
  <c r="I135" i="141"/>
  <c r="H135" i="141"/>
  <c r="G135" i="141"/>
  <c r="L135" i="141" s="1"/>
  <c r="F135" i="141"/>
  <c r="E135" i="141"/>
  <c r="D135" i="141"/>
  <c r="C135" i="141"/>
  <c r="J134" i="141"/>
  <c r="I134" i="141"/>
  <c r="H134" i="141"/>
  <c r="G134" i="141"/>
  <c r="F134" i="141"/>
  <c r="E134" i="141"/>
  <c r="L134" i="141" s="1"/>
  <c r="D134" i="141"/>
  <c r="C134" i="141"/>
  <c r="J133" i="141"/>
  <c r="I133" i="141"/>
  <c r="H133" i="141"/>
  <c r="G133" i="141"/>
  <c r="F133" i="141"/>
  <c r="E133" i="141"/>
  <c r="D133" i="141"/>
  <c r="C133" i="141"/>
  <c r="L133" i="141" s="1"/>
  <c r="J132" i="141"/>
  <c r="I132" i="141"/>
  <c r="H132" i="141"/>
  <c r="G132" i="141"/>
  <c r="F132" i="141"/>
  <c r="E132" i="141"/>
  <c r="D132" i="141"/>
  <c r="C132" i="141"/>
  <c r="L132" i="141" s="1"/>
  <c r="L131" i="141"/>
  <c r="J131" i="141"/>
  <c r="I131" i="141"/>
  <c r="H131" i="141"/>
  <c r="G131" i="141"/>
  <c r="F131" i="141"/>
  <c r="E131" i="141"/>
  <c r="D131" i="141"/>
  <c r="C131" i="141"/>
  <c r="J121" i="141"/>
  <c r="I121" i="141"/>
  <c r="H121" i="141"/>
  <c r="G121" i="141"/>
  <c r="F121" i="141"/>
  <c r="L121" i="141" s="1"/>
  <c r="E121" i="141"/>
  <c r="D121" i="141"/>
  <c r="C121" i="141"/>
  <c r="J120" i="141"/>
  <c r="I120" i="141"/>
  <c r="H120" i="141"/>
  <c r="G120" i="141"/>
  <c r="F120" i="141"/>
  <c r="E120" i="141"/>
  <c r="D120" i="141"/>
  <c r="L120" i="141" s="1"/>
  <c r="C120" i="141"/>
  <c r="J119" i="141"/>
  <c r="I119" i="141"/>
  <c r="H119" i="141"/>
  <c r="G119" i="141"/>
  <c r="F119" i="141"/>
  <c r="E119" i="141"/>
  <c r="D119" i="141"/>
  <c r="C119" i="141"/>
  <c r="L119" i="141" s="1"/>
  <c r="L118" i="141"/>
  <c r="J118" i="141"/>
  <c r="I118" i="141"/>
  <c r="H118" i="141"/>
  <c r="G118" i="141"/>
  <c r="F118" i="141"/>
  <c r="E118" i="141"/>
  <c r="D118" i="141"/>
  <c r="C118" i="141"/>
  <c r="J117" i="141"/>
  <c r="I117" i="141"/>
  <c r="L117" i="141" s="1"/>
  <c r="H117" i="141"/>
  <c r="G117" i="141"/>
  <c r="F117" i="141"/>
  <c r="E117" i="141"/>
  <c r="D117" i="141"/>
  <c r="C117" i="141"/>
  <c r="J116" i="141"/>
  <c r="I116" i="141"/>
  <c r="H116" i="141"/>
  <c r="G116" i="141"/>
  <c r="L116" i="141" s="1"/>
  <c r="F116" i="141"/>
  <c r="E116" i="141"/>
  <c r="D116" i="141"/>
  <c r="C116" i="141"/>
  <c r="J115" i="141"/>
  <c r="I115" i="141"/>
  <c r="H115" i="141"/>
  <c r="G115" i="141"/>
  <c r="F115" i="141"/>
  <c r="E115" i="141"/>
  <c r="L115" i="141" s="1"/>
  <c r="D115" i="141"/>
  <c r="C115" i="141"/>
  <c r="J114" i="141"/>
  <c r="I114" i="141"/>
  <c r="H114" i="141"/>
  <c r="G114" i="141"/>
  <c r="F114" i="141"/>
  <c r="E114" i="141"/>
  <c r="D114" i="141"/>
  <c r="C114" i="141"/>
  <c r="L114" i="141" s="1"/>
  <c r="E112" i="141"/>
  <c r="E129" i="141" s="1"/>
  <c r="J104" i="141"/>
  <c r="L104" i="141" s="1"/>
  <c r="I104" i="141"/>
  <c r="H104" i="141"/>
  <c r="G104" i="141"/>
  <c r="F104" i="141"/>
  <c r="E104" i="141"/>
  <c r="D104" i="141"/>
  <c r="C104" i="141"/>
  <c r="A104" i="141"/>
  <c r="A121" i="141" s="1"/>
  <c r="A138" i="141" s="1"/>
  <c r="J103" i="141"/>
  <c r="I103" i="141"/>
  <c r="H103" i="141"/>
  <c r="L103" i="141" s="1"/>
  <c r="G103" i="141"/>
  <c r="F103" i="141"/>
  <c r="E103" i="141"/>
  <c r="D103" i="141"/>
  <c r="C103" i="141"/>
  <c r="J102" i="141"/>
  <c r="I102" i="141"/>
  <c r="H102" i="141"/>
  <c r="G102" i="141"/>
  <c r="F102" i="141"/>
  <c r="L102" i="141" s="1"/>
  <c r="E102" i="141"/>
  <c r="D102" i="141"/>
  <c r="C102" i="141"/>
  <c r="J101" i="141"/>
  <c r="I101" i="141"/>
  <c r="H101" i="141"/>
  <c r="G101" i="141"/>
  <c r="F101" i="141"/>
  <c r="E101" i="141"/>
  <c r="D101" i="141"/>
  <c r="C101" i="141"/>
  <c r="L101" i="141" s="1"/>
  <c r="J100" i="141"/>
  <c r="I100" i="141"/>
  <c r="H100" i="141"/>
  <c r="G100" i="141"/>
  <c r="F100" i="141"/>
  <c r="E100" i="141"/>
  <c r="D100" i="141"/>
  <c r="C100" i="141"/>
  <c r="L100" i="141" s="1"/>
  <c r="A100" i="141"/>
  <c r="A117" i="141" s="1"/>
  <c r="A134" i="141" s="1"/>
  <c r="L99" i="141"/>
  <c r="J99" i="141"/>
  <c r="I99" i="141"/>
  <c r="H99" i="141"/>
  <c r="G99" i="141"/>
  <c r="F99" i="141"/>
  <c r="E99" i="141"/>
  <c r="D99" i="141"/>
  <c r="C99" i="141"/>
  <c r="A99" i="141"/>
  <c r="A116" i="141" s="1"/>
  <c r="A133" i="141" s="1"/>
  <c r="J98" i="141"/>
  <c r="I98" i="141"/>
  <c r="L98" i="141" s="1"/>
  <c r="H98" i="141"/>
  <c r="G98" i="141"/>
  <c r="F98" i="141"/>
  <c r="E98" i="141"/>
  <c r="D98" i="141"/>
  <c r="C98" i="141"/>
  <c r="J97" i="141"/>
  <c r="I97" i="141"/>
  <c r="H97" i="141"/>
  <c r="G97" i="141"/>
  <c r="L97" i="141" s="1"/>
  <c r="F97" i="141"/>
  <c r="E97" i="141"/>
  <c r="D97" i="141"/>
  <c r="C97" i="141"/>
  <c r="L95" i="141"/>
  <c r="L112" i="141" s="1"/>
  <c r="L129" i="141" s="1"/>
  <c r="K95" i="141"/>
  <c r="J95" i="141"/>
  <c r="J112" i="141" s="1"/>
  <c r="J129" i="141" s="1"/>
  <c r="I95" i="141"/>
  <c r="I112" i="141" s="1"/>
  <c r="I129" i="141" s="1"/>
  <c r="H95" i="141"/>
  <c r="H112" i="141" s="1"/>
  <c r="H129" i="141" s="1"/>
  <c r="G95" i="141"/>
  <c r="G112" i="141" s="1"/>
  <c r="G129" i="141" s="1"/>
  <c r="F95" i="141"/>
  <c r="F112" i="141" s="1"/>
  <c r="F129" i="141" s="1"/>
  <c r="E95" i="141"/>
  <c r="J87" i="141"/>
  <c r="I87" i="141"/>
  <c r="H87" i="141"/>
  <c r="G87" i="141"/>
  <c r="F87" i="141"/>
  <c r="E87" i="141"/>
  <c r="D87" i="141"/>
  <c r="C87" i="141"/>
  <c r="L87" i="141" s="1"/>
  <c r="A87" i="141"/>
  <c r="J86" i="141"/>
  <c r="I86" i="141"/>
  <c r="H86" i="141"/>
  <c r="G86" i="141"/>
  <c r="F86" i="141"/>
  <c r="E86" i="141"/>
  <c r="D86" i="141"/>
  <c r="C86" i="141"/>
  <c r="L86" i="141" s="1"/>
  <c r="A86" i="141"/>
  <c r="A103" i="141" s="1"/>
  <c r="A120" i="141" s="1"/>
  <c r="A137" i="141" s="1"/>
  <c r="L85" i="141"/>
  <c r="J85" i="141"/>
  <c r="I85" i="141"/>
  <c r="H85" i="141"/>
  <c r="G85" i="141"/>
  <c r="F85" i="141"/>
  <c r="E85" i="141"/>
  <c r="D85" i="141"/>
  <c r="C85" i="141"/>
  <c r="J84" i="141"/>
  <c r="I84" i="141"/>
  <c r="H84" i="141"/>
  <c r="L84" i="141" s="1"/>
  <c r="G84" i="141"/>
  <c r="F84" i="141"/>
  <c r="E84" i="141"/>
  <c r="D84" i="141"/>
  <c r="C84" i="141"/>
  <c r="A84" i="141"/>
  <c r="A101" i="141" s="1"/>
  <c r="A118" i="141" s="1"/>
  <c r="A135" i="141" s="1"/>
  <c r="J83" i="141"/>
  <c r="I83" i="141"/>
  <c r="H83" i="141"/>
  <c r="G83" i="141"/>
  <c r="F83" i="141"/>
  <c r="L83" i="141" s="1"/>
  <c r="E83" i="141"/>
  <c r="D83" i="141"/>
  <c r="C83" i="141"/>
  <c r="A83" i="141"/>
  <c r="J82" i="141"/>
  <c r="I82" i="141"/>
  <c r="H82" i="141"/>
  <c r="G82" i="141"/>
  <c r="F82" i="141"/>
  <c r="E82" i="141"/>
  <c r="D82" i="141"/>
  <c r="L82" i="141" s="1"/>
  <c r="C82" i="141"/>
  <c r="A82" i="141"/>
  <c r="J81" i="141"/>
  <c r="I81" i="141"/>
  <c r="H81" i="141"/>
  <c r="G81" i="141"/>
  <c r="F81" i="141"/>
  <c r="E81" i="141"/>
  <c r="D81" i="141"/>
  <c r="C81" i="141"/>
  <c r="L81" i="141" s="1"/>
  <c r="A81" i="141"/>
  <c r="A98" i="141" s="1"/>
  <c r="A115" i="141" s="1"/>
  <c r="A132" i="141" s="1"/>
  <c r="J80" i="141"/>
  <c r="I80" i="141"/>
  <c r="H80" i="141"/>
  <c r="G80" i="141"/>
  <c r="F80" i="141"/>
  <c r="E80" i="141"/>
  <c r="D80" i="141"/>
  <c r="C80" i="141"/>
  <c r="L80" i="141" s="1"/>
  <c r="A80" i="141"/>
  <c r="A97" i="141" s="1"/>
  <c r="A114" i="141" s="1"/>
  <c r="A131" i="141" s="1"/>
  <c r="L78" i="141"/>
  <c r="J78" i="141"/>
  <c r="I78" i="141"/>
  <c r="H78" i="141"/>
  <c r="G78" i="141"/>
  <c r="F78" i="141"/>
  <c r="E78" i="141"/>
  <c r="A72" i="141"/>
  <c r="A71" i="141"/>
  <c r="J64" i="141"/>
  <c r="I64" i="141"/>
  <c r="L64" i="141" s="1"/>
  <c r="H64" i="141"/>
  <c r="G64" i="141"/>
  <c r="F64" i="141"/>
  <c r="E64" i="141"/>
  <c r="D64" i="141"/>
  <c r="C64" i="141"/>
  <c r="J63" i="141"/>
  <c r="I63" i="141"/>
  <c r="H63" i="141"/>
  <c r="G63" i="141"/>
  <c r="L63" i="141" s="1"/>
  <c r="F63" i="141"/>
  <c r="E63" i="141"/>
  <c r="D63" i="141"/>
  <c r="C63" i="141"/>
  <c r="J62" i="141"/>
  <c r="I62" i="141"/>
  <c r="H62" i="141"/>
  <c r="G62" i="141"/>
  <c r="F62" i="141"/>
  <c r="E62" i="141"/>
  <c r="D62" i="141"/>
  <c r="L62" i="141" s="1"/>
  <c r="C62" i="141"/>
  <c r="J61" i="141"/>
  <c r="I61" i="141"/>
  <c r="H61" i="141"/>
  <c r="G61" i="141"/>
  <c r="F61" i="141"/>
  <c r="E61" i="141"/>
  <c r="D61" i="141"/>
  <c r="C61" i="141"/>
  <c r="L61" i="141" s="1"/>
  <c r="A61" i="141"/>
  <c r="J60" i="141"/>
  <c r="I60" i="141"/>
  <c r="H60" i="141"/>
  <c r="G60" i="141"/>
  <c r="F60" i="141"/>
  <c r="E60" i="141"/>
  <c r="D60" i="141"/>
  <c r="C60" i="141"/>
  <c r="L60" i="141" s="1"/>
  <c r="A60" i="141"/>
  <c r="J59" i="141"/>
  <c r="L59" i="141" s="1"/>
  <c r="I59" i="141"/>
  <c r="H59" i="141"/>
  <c r="G59" i="141"/>
  <c r="F59" i="141"/>
  <c r="E59" i="141"/>
  <c r="D59" i="141"/>
  <c r="C59" i="141"/>
  <c r="J58" i="141"/>
  <c r="I58" i="141"/>
  <c r="H58" i="141"/>
  <c r="L58" i="141" s="1"/>
  <c r="G58" i="141"/>
  <c r="F58" i="141"/>
  <c r="E58" i="141"/>
  <c r="D58" i="141"/>
  <c r="C58" i="141"/>
  <c r="L56" i="141"/>
  <c r="J56" i="141"/>
  <c r="J48" i="141"/>
  <c r="I48" i="141"/>
  <c r="H48" i="141"/>
  <c r="G48" i="141"/>
  <c r="F48" i="141"/>
  <c r="E48" i="141"/>
  <c r="D48" i="141"/>
  <c r="C48" i="141"/>
  <c r="L48" i="141" s="1"/>
  <c r="J47" i="141"/>
  <c r="I47" i="141"/>
  <c r="H47" i="141"/>
  <c r="G47" i="141"/>
  <c r="F47" i="141"/>
  <c r="E47" i="141"/>
  <c r="D47" i="141"/>
  <c r="C47" i="141"/>
  <c r="L47" i="141" s="1"/>
  <c r="J46" i="141"/>
  <c r="L46" i="141" s="1"/>
  <c r="I46" i="141"/>
  <c r="H46" i="141"/>
  <c r="G46" i="141"/>
  <c r="F46" i="141"/>
  <c r="E46" i="141"/>
  <c r="D46" i="141"/>
  <c r="C46" i="141"/>
  <c r="A46" i="141"/>
  <c r="A62" i="141" s="1"/>
  <c r="J45" i="141"/>
  <c r="I45" i="141"/>
  <c r="H45" i="141"/>
  <c r="L45" i="141" s="1"/>
  <c r="G45" i="141"/>
  <c r="F45" i="141"/>
  <c r="E45" i="141"/>
  <c r="D45" i="141"/>
  <c r="C45" i="141"/>
  <c r="A45" i="141"/>
  <c r="J44" i="141"/>
  <c r="I44" i="141"/>
  <c r="H44" i="141"/>
  <c r="G44" i="141"/>
  <c r="F44" i="141"/>
  <c r="L44" i="141" s="1"/>
  <c r="E44" i="141"/>
  <c r="D44" i="141"/>
  <c r="C44" i="141"/>
  <c r="A44" i="141"/>
  <c r="J43" i="141"/>
  <c r="I43" i="141"/>
  <c r="H43" i="141"/>
  <c r="G43" i="141"/>
  <c r="F43" i="141"/>
  <c r="E43" i="141"/>
  <c r="D43" i="141"/>
  <c r="L43" i="141" s="1"/>
  <c r="C43" i="141"/>
  <c r="J42" i="141"/>
  <c r="I42" i="141"/>
  <c r="H42" i="141"/>
  <c r="G42" i="141"/>
  <c r="F42" i="141"/>
  <c r="E42" i="141"/>
  <c r="D42" i="141"/>
  <c r="C42" i="141"/>
  <c r="L42" i="141" s="1"/>
  <c r="A42" i="141"/>
  <c r="A58" i="141" s="1"/>
  <c r="L40" i="141"/>
  <c r="J40" i="141"/>
  <c r="K32" i="141"/>
  <c r="J32" i="141"/>
  <c r="L32" i="141" s="1"/>
  <c r="I32" i="141"/>
  <c r="H32" i="141"/>
  <c r="G32" i="141"/>
  <c r="F32" i="141"/>
  <c r="E32" i="141"/>
  <c r="D32" i="141"/>
  <c r="C32" i="141"/>
  <c r="A32" i="141"/>
  <c r="A48" i="141" s="1"/>
  <c r="A64" i="141" s="1"/>
  <c r="K31" i="141"/>
  <c r="J31" i="141"/>
  <c r="I31" i="141"/>
  <c r="L31" i="141" s="1"/>
  <c r="H31" i="141"/>
  <c r="G31" i="141"/>
  <c r="F31" i="141"/>
  <c r="E31" i="141"/>
  <c r="D31" i="141"/>
  <c r="C31" i="141"/>
  <c r="K30" i="141"/>
  <c r="J30" i="141"/>
  <c r="I30" i="141"/>
  <c r="H30" i="141"/>
  <c r="G30" i="141"/>
  <c r="L30" i="141" s="1"/>
  <c r="F30" i="141"/>
  <c r="E30" i="141"/>
  <c r="D30" i="141"/>
  <c r="C30" i="141"/>
  <c r="A30" i="141"/>
  <c r="K29" i="141"/>
  <c r="J29" i="141"/>
  <c r="I29" i="141"/>
  <c r="H29" i="141"/>
  <c r="G29" i="141"/>
  <c r="F29" i="141"/>
  <c r="L29" i="141" s="1"/>
  <c r="E29" i="141"/>
  <c r="D29" i="141"/>
  <c r="C29" i="141"/>
  <c r="A29" i="141"/>
  <c r="K28" i="141"/>
  <c r="J28" i="141"/>
  <c r="I28" i="141"/>
  <c r="H28" i="141"/>
  <c r="G28" i="141"/>
  <c r="F28" i="141"/>
  <c r="E28" i="141"/>
  <c r="L28" i="141" s="1"/>
  <c r="D28" i="141"/>
  <c r="C28" i="141"/>
  <c r="A28" i="141"/>
  <c r="K27" i="141"/>
  <c r="J27" i="141"/>
  <c r="I27" i="141"/>
  <c r="H27" i="141"/>
  <c r="G27" i="141"/>
  <c r="F27" i="141"/>
  <c r="E27" i="141"/>
  <c r="D27" i="141"/>
  <c r="L27" i="141" s="1"/>
  <c r="C27" i="141"/>
  <c r="A27" i="141"/>
  <c r="A43" i="141" s="1"/>
  <c r="A59" i="141" s="1"/>
  <c r="K26" i="141"/>
  <c r="J26" i="141"/>
  <c r="I26" i="141"/>
  <c r="H26" i="141"/>
  <c r="G26" i="141"/>
  <c r="F26" i="141"/>
  <c r="E26" i="141"/>
  <c r="D26" i="141"/>
  <c r="C26" i="141"/>
  <c r="L26" i="141" s="1"/>
  <c r="A26" i="141"/>
  <c r="L24" i="141"/>
  <c r="J24" i="141"/>
  <c r="I24" i="141"/>
  <c r="I40" i="141" s="1"/>
  <c r="I56" i="141" s="1"/>
  <c r="H24" i="141"/>
  <c r="H40" i="141" s="1"/>
  <c r="H56" i="141" s="1"/>
  <c r="G24" i="141"/>
  <c r="G40" i="141" s="1"/>
  <c r="G56" i="141" s="1"/>
  <c r="F24" i="141"/>
  <c r="F40" i="141" s="1"/>
  <c r="F56" i="141" s="1"/>
  <c r="E24" i="141"/>
  <c r="E40" i="141" s="1"/>
  <c r="E56" i="141" s="1"/>
  <c r="J16" i="141"/>
  <c r="L16" i="141" s="1"/>
  <c r="I16" i="141"/>
  <c r="H16" i="141"/>
  <c r="G16" i="141"/>
  <c r="F16" i="141"/>
  <c r="E16" i="141"/>
  <c r="D16" i="141"/>
  <c r="C16" i="141"/>
  <c r="J15" i="141"/>
  <c r="I15" i="141"/>
  <c r="H15" i="141"/>
  <c r="G15" i="141"/>
  <c r="L15" i="141" s="1"/>
  <c r="F15" i="141"/>
  <c r="E15" i="141"/>
  <c r="D15" i="141"/>
  <c r="C15" i="141"/>
  <c r="J14" i="141"/>
  <c r="I14" i="141"/>
  <c r="H14" i="141"/>
  <c r="G14" i="141"/>
  <c r="F14" i="141"/>
  <c r="E14" i="141"/>
  <c r="D14" i="141"/>
  <c r="L14" i="141" s="1"/>
  <c r="C14" i="141"/>
  <c r="J13" i="141"/>
  <c r="I13" i="141"/>
  <c r="H13" i="141"/>
  <c r="G13" i="141"/>
  <c r="F13" i="141"/>
  <c r="E13" i="141"/>
  <c r="D13" i="141"/>
  <c r="C13" i="141"/>
  <c r="L13" i="141" s="1"/>
  <c r="J12" i="141"/>
  <c r="L12" i="141" s="1"/>
  <c r="I12" i="141"/>
  <c r="H12" i="141"/>
  <c r="G12" i="141"/>
  <c r="F12" i="141"/>
  <c r="E12" i="141"/>
  <c r="D12" i="141"/>
  <c r="C12" i="141"/>
  <c r="J11" i="141"/>
  <c r="I11" i="141"/>
  <c r="H11" i="141"/>
  <c r="G11" i="141"/>
  <c r="L11" i="141" s="1"/>
  <c r="F11" i="141"/>
  <c r="E11" i="141"/>
  <c r="D11" i="141"/>
  <c r="C11" i="141"/>
  <c r="J10" i="141"/>
  <c r="I10" i="141"/>
  <c r="H10" i="141"/>
  <c r="G10" i="141"/>
  <c r="F10" i="141"/>
  <c r="E10" i="141"/>
  <c r="D10" i="141"/>
  <c r="L10" i="141" s="1"/>
  <c r="C10" i="141"/>
  <c r="F12" i="146" l="1"/>
  <c r="G11" i="146"/>
  <c r="L51" i="141"/>
  <c r="L50" i="141"/>
  <c r="L35" i="141"/>
  <c r="L34" i="141"/>
  <c r="L124" i="141"/>
  <c r="L123" i="141"/>
  <c r="L141" i="141"/>
  <c r="L67" i="141"/>
  <c r="L66" i="141"/>
  <c r="L106" i="141"/>
  <c r="L107" i="141"/>
  <c r="L90" i="141"/>
  <c r="L89" i="141"/>
  <c r="L18" i="141"/>
  <c r="L19" i="141"/>
  <c r="L140" i="141"/>
  <c r="F13" i="146" l="1"/>
  <c r="G12" i="146"/>
  <c r="F14" i="146" l="1"/>
  <c r="G13" i="146"/>
  <c r="F15" i="146" l="1"/>
  <c r="G14" i="146"/>
  <c r="F16" i="146" l="1"/>
  <c r="G15" i="146"/>
  <c r="F17" i="146" l="1"/>
  <c r="G16" i="146"/>
  <c r="G17" i="146" l="1"/>
  <c r="F18" i="146"/>
  <c r="G18" i="146" l="1"/>
  <c r="F19" i="146"/>
  <c r="F20" i="146" l="1"/>
  <c r="G19" i="146"/>
  <c r="F21" i="146" l="1"/>
  <c r="G20" i="146"/>
  <c r="G21" i="146" l="1"/>
  <c r="F22" i="146"/>
  <c r="F23" i="146" l="1"/>
  <c r="G23" i="146" s="1"/>
  <c r="G22" i="146"/>
  <c r="M11" i="35" l="1"/>
  <c r="L11" i="35"/>
  <c r="J11" i="35"/>
  <c r="I11" i="35"/>
  <c r="M6" i="35"/>
  <c r="J6" i="35"/>
  <c r="D1204" i="58" l="1"/>
  <c r="D1198" i="58"/>
  <c r="C1198" i="58"/>
  <c r="C1204" i="58" s="1"/>
  <c r="B1198" i="58"/>
  <c r="B1204" i="58" s="1"/>
  <c r="D1196" i="58"/>
  <c r="D1202" i="58" s="1"/>
  <c r="D1206" i="58" s="1"/>
  <c r="C1196" i="58"/>
  <c r="C1202" i="58" s="1"/>
  <c r="C1206" i="58" s="1"/>
  <c r="B1196" i="58"/>
  <c r="B1202" i="58" s="1"/>
  <c r="B1206" i="58" l="1"/>
  <c r="S11" i="24" l="1"/>
  <c r="S12" i="24"/>
  <c r="S13" i="24"/>
  <c r="S14" i="24"/>
  <c r="S15" i="24"/>
  <c r="S16" i="24"/>
  <c r="P11" i="24"/>
  <c r="P12" i="24"/>
  <c r="P13" i="24"/>
  <c r="P14" i="24"/>
  <c r="P15" i="24"/>
  <c r="P16" i="24"/>
  <c r="E60" i="70"/>
  <c r="C67" i="8" l="1"/>
  <c r="D67" i="8"/>
  <c r="E67" i="8"/>
  <c r="F67" i="8"/>
  <c r="G67" i="8"/>
  <c r="H67" i="8"/>
  <c r="G16" i="35" l="1"/>
  <c r="F13" i="28"/>
  <c r="F12" i="28"/>
  <c r="F11" i="28"/>
  <c r="F15" i="28" s="1"/>
  <c r="E57" i="139"/>
  <c r="M55" i="139"/>
  <c r="K54" i="139"/>
  <c r="A42" i="139"/>
  <c r="I57" i="139" l="1"/>
  <c r="M57" i="139" s="1"/>
  <c r="K57" i="139"/>
  <c r="Q57" i="139" l="1"/>
  <c r="K55" i="139" s="1"/>
  <c r="O57" i="139"/>
  <c r="Q28" i="139" l="1"/>
  <c r="O28" i="139"/>
  <c r="I28" i="139"/>
  <c r="G28" i="139"/>
  <c r="Q26" i="139"/>
  <c r="O26" i="139"/>
  <c r="I26" i="139"/>
  <c r="G26" i="139"/>
  <c r="Q24" i="139"/>
  <c r="O24" i="139"/>
  <c r="I24" i="139"/>
  <c r="G24" i="139"/>
  <c r="Q22" i="139"/>
  <c r="O22" i="139"/>
  <c r="I22" i="139"/>
  <c r="G22" i="139"/>
  <c r="M20" i="139"/>
  <c r="M31" i="139" s="1"/>
  <c r="K20" i="139"/>
  <c r="E20" i="139"/>
  <c r="Q18" i="139"/>
  <c r="O18" i="139"/>
  <c r="I18" i="139"/>
  <c r="G18" i="139"/>
  <c r="Q16" i="139"/>
  <c r="O16" i="139"/>
  <c r="I16" i="139"/>
  <c r="G16" i="139"/>
  <c r="Q14" i="139"/>
  <c r="O14" i="139"/>
  <c r="I14" i="139"/>
  <c r="G14" i="139"/>
  <c r="Q12" i="139"/>
  <c r="O12" i="139"/>
  <c r="I12" i="139"/>
  <c r="G12" i="139"/>
  <c r="A1" i="139"/>
  <c r="Q20" i="139" l="1"/>
  <c r="K31" i="139"/>
  <c r="O20" i="139"/>
  <c r="O31" i="139" s="1"/>
  <c r="Q31" i="139"/>
  <c r="H9" i="34" l="1"/>
  <c r="B1208" i="58"/>
  <c r="C69" i="8" l="1"/>
  <c r="C71" i="8" s="1"/>
  <c r="D69" i="8"/>
  <c r="D71" i="8" s="1"/>
  <c r="E69" i="8"/>
  <c r="E71" i="8" s="1"/>
  <c r="F69" i="8"/>
  <c r="F71" i="8" s="1"/>
  <c r="G69" i="8"/>
  <c r="G71" i="8" s="1"/>
  <c r="H69" i="8"/>
  <c r="H71" i="8" s="1"/>
  <c r="D68" i="57" l="1"/>
  <c r="E68" i="57"/>
  <c r="F68" i="57"/>
  <c r="G68" i="57"/>
  <c r="H68" i="57"/>
  <c r="I68" i="57"/>
  <c r="J68" i="57"/>
  <c r="J70" i="57" s="1"/>
  <c r="K68" i="57"/>
  <c r="L68" i="57"/>
  <c r="M68" i="57"/>
  <c r="N68" i="57"/>
  <c r="O68" i="57"/>
  <c r="P68" i="57"/>
  <c r="Q68" i="57"/>
  <c r="R68" i="57"/>
  <c r="S68" i="57"/>
  <c r="T68" i="57"/>
  <c r="U68" i="57"/>
  <c r="V68" i="57"/>
  <c r="V70" i="57" s="1"/>
  <c r="W68" i="57"/>
  <c r="X68" i="57"/>
  <c r="Y68" i="57"/>
  <c r="Z68" i="57"/>
  <c r="AA68" i="57"/>
  <c r="AB68" i="57"/>
  <c r="AB70" i="57" s="1"/>
  <c r="AC68" i="57"/>
  <c r="AD68" i="57"/>
  <c r="AE68" i="57"/>
  <c r="AF68" i="57"/>
  <c r="AG68" i="57"/>
  <c r="AH68" i="57"/>
  <c r="AI68" i="57"/>
  <c r="AI70" i="57" s="1"/>
  <c r="AJ68" i="57"/>
  <c r="AK68" i="57"/>
  <c r="AL68" i="57"/>
  <c r="AM68" i="57"/>
  <c r="AN68" i="57"/>
  <c r="AN70" i="57" s="1"/>
  <c r="AO68" i="57"/>
  <c r="AP68" i="57"/>
  <c r="AQ68" i="57"/>
  <c r="AR68" i="57"/>
  <c r="AR70" i="57" s="1"/>
  <c r="AS68" i="57"/>
  <c r="AT68" i="57"/>
  <c r="AU68" i="57"/>
  <c r="AV68" i="57"/>
  <c r="AW68" i="57"/>
  <c r="AX68" i="57"/>
  <c r="AY68" i="57"/>
  <c r="D66" i="57"/>
  <c r="E66" i="57"/>
  <c r="F66" i="57"/>
  <c r="G66" i="57"/>
  <c r="H66" i="57"/>
  <c r="I66" i="57"/>
  <c r="J66" i="57"/>
  <c r="K66" i="57"/>
  <c r="L66" i="57"/>
  <c r="M66" i="57"/>
  <c r="N66" i="57"/>
  <c r="O66" i="57"/>
  <c r="P66" i="57"/>
  <c r="Q66" i="57"/>
  <c r="R66" i="57"/>
  <c r="S66" i="57"/>
  <c r="T66" i="57"/>
  <c r="U66" i="57"/>
  <c r="V66" i="57"/>
  <c r="W66" i="57"/>
  <c r="X66" i="57"/>
  <c r="Y66" i="57"/>
  <c r="Z66" i="57"/>
  <c r="AA66" i="57"/>
  <c r="AB66" i="57"/>
  <c r="AC66" i="57"/>
  <c r="AD66" i="57"/>
  <c r="AE66" i="57"/>
  <c r="AF66" i="57"/>
  <c r="AG66" i="57"/>
  <c r="AH66" i="57"/>
  <c r="AI66" i="57"/>
  <c r="AJ66" i="57"/>
  <c r="AK66" i="57"/>
  <c r="AL66" i="57"/>
  <c r="AM66" i="57"/>
  <c r="AN66" i="57"/>
  <c r="AO66" i="57"/>
  <c r="AP66" i="57"/>
  <c r="AQ66" i="57"/>
  <c r="AR66" i="57"/>
  <c r="AS66" i="57"/>
  <c r="AT66" i="57"/>
  <c r="AU66" i="57"/>
  <c r="AV66" i="57"/>
  <c r="AW66" i="57"/>
  <c r="AX66" i="57"/>
  <c r="AY66" i="57"/>
  <c r="E60" i="1"/>
  <c r="C52" i="1"/>
  <c r="I34" i="1"/>
  <c r="I32" i="1"/>
  <c r="A10" i="1"/>
  <c r="I70" i="57" l="1"/>
  <c r="AX70" i="57"/>
  <c r="AV70" i="57"/>
  <c r="AJ70" i="57"/>
  <c r="X70" i="57"/>
  <c r="L70" i="57"/>
  <c r="K70" i="57"/>
  <c r="AT70" i="57"/>
  <c r="H70" i="57"/>
  <c r="S70" i="57"/>
  <c r="AP70" i="57"/>
  <c r="AD70" i="57"/>
  <c r="R70" i="57"/>
  <c r="F70" i="57"/>
  <c r="AG70" i="57"/>
  <c r="AF70" i="57"/>
  <c r="T70" i="57"/>
  <c r="AQ70" i="57"/>
  <c r="AE70" i="57"/>
  <c r="G70" i="57"/>
  <c r="AO70" i="57"/>
  <c r="AC70" i="57"/>
  <c r="Q70" i="57"/>
  <c r="E70" i="57"/>
  <c r="AU70" i="57"/>
  <c r="P70" i="57"/>
  <c r="D70" i="57"/>
  <c r="AY70" i="57"/>
  <c r="AM70" i="57"/>
  <c r="AA70" i="57"/>
  <c r="O70" i="57"/>
  <c r="W70" i="57"/>
  <c r="AH70" i="57"/>
  <c r="U70" i="57"/>
  <c r="Z70" i="57"/>
  <c r="N70" i="57"/>
  <c r="AS70" i="57"/>
  <c r="AL70" i="57"/>
  <c r="AW70" i="57"/>
  <c r="AK70" i="57"/>
  <c r="Y70" i="57"/>
  <c r="M70" i="57"/>
  <c r="C25" i="32"/>
  <c r="D66" i="63" l="1"/>
  <c r="AD9" i="5"/>
  <c r="C68" i="57" l="1"/>
  <c r="C66" i="57"/>
  <c r="B67" i="8"/>
  <c r="C70" i="57" l="1"/>
  <c r="R1191" i="18" l="1"/>
  <c r="S1191" i="18"/>
  <c r="Q1177" i="18"/>
  <c r="Q1178" i="18"/>
  <c r="Q1179" i="18"/>
  <c r="Q1180" i="18"/>
  <c r="Q1181" i="18"/>
  <c r="Q1182" i="18"/>
  <c r="Q1183" i="18"/>
  <c r="Q1184" i="18"/>
  <c r="Q1185" i="18"/>
  <c r="Q1186" i="18"/>
  <c r="Q1187" i="18"/>
  <c r="Q1188" i="18"/>
  <c r="Q1189" i="18"/>
  <c r="Q1190" i="18"/>
  <c r="Q1191" i="18"/>
  <c r="Q1192" i="18"/>
  <c r="N1181" i="18"/>
  <c r="N1182" i="18"/>
  <c r="N1183" i="18"/>
  <c r="N1184" i="18"/>
  <c r="N1185" i="18"/>
  <c r="N1186" i="18"/>
  <c r="N1187" i="18"/>
  <c r="N1188" i="18"/>
  <c r="N1189" i="18"/>
  <c r="N1190" i="18"/>
  <c r="N1191" i="18"/>
  <c r="N1192" i="18"/>
  <c r="M1180" i="18"/>
  <c r="L1181" i="18"/>
  <c r="L1182" i="18"/>
  <c r="L1183" i="18"/>
  <c r="L1184" i="18"/>
  <c r="L1185" i="18"/>
  <c r="L1186" i="18"/>
  <c r="L1187" i="18"/>
  <c r="L1188" i="18"/>
  <c r="L1189" i="18"/>
  <c r="L1190" i="18"/>
  <c r="L1191" i="18"/>
  <c r="L1192" i="18"/>
  <c r="K1182" i="18"/>
  <c r="K1183" i="18"/>
  <c r="K1184" i="18"/>
  <c r="K1185" i="18"/>
  <c r="K1186" i="18"/>
  <c r="K1187" i="18"/>
  <c r="K1188" i="18"/>
  <c r="K1189" i="18"/>
  <c r="K1190" i="18"/>
  <c r="K1191" i="18"/>
  <c r="K1192" i="18"/>
  <c r="J1182" i="18"/>
  <c r="J1183" i="18"/>
  <c r="J1184" i="18"/>
  <c r="J1185" i="18"/>
  <c r="J1186" i="18"/>
  <c r="J1187" i="18"/>
  <c r="J1188" i="18"/>
  <c r="J1189" i="18"/>
  <c r="J1190" i="18"/>
  <c r="J1191" i="18"/>
  <c r="J1192" i="18"/>
  <c r="I1182" i="18"/>
  <c r="I1183" i="18"/>
  <c r="I1184" i="18"/>
  <c r="I1185" i="18"/>
  <c r="I1186" i="18"/>
  <c r="I1187" i="18"/>
  <c r="I1188" i="18"/>
  <c r="I1189" i="18"/>
  <c r="I1190" i="18"/>
  <c r="I1191" i="18"/>
  <c r="I1192" i="18"/>
  <c r="G1192" i="18"/>
  <c r="G1181" i="18"/>
  <c r="D8" i="9" l="1"/>
  <c r="F8" i="9" s="1"/>
  <c r="D9" i="9"/>
  <c r="F9" i="9" s="1"/>
  <c r="D10" i="9"/>
  <c r="F10" i="9" s="1"/>
  <c r="D11" i="9"/>
  <c r="F11" i="9" s="1"/>
  <c r="D12" i="9"/>
  <c r="F12" i="9" s="1"/>
  <c r="D13" i="9"/>
  <c r="F13" i="9" s="1"/>
  <c r="D14" i="9"/>
  <c r="F14" i="9" s="1"/>
  <c r="D15" i="9"/>
  <c r="F15" i="9" s="1"/>
  <c r="D16" i="9"/>
  <c r="F16" i="9" s="1"/>
  <c r="D17" i="9"/>
  <c r="F17" i="9" s="1"/>
  <c r="D18" i="9"/>
  <c r="F18" i="9" s="1"/>
  <c r="D19" i="9"/>
  <c r="F19" i="9" s="1"/>
  <c r="D7" i="9"/>
  <c r="F7" i="9" s="1"/>
  <c r="S1181" i="18" l="1"/>
  <c r="S1182" i="18"/>
  <c r="S1183" i="18"/>
  <c r="S1184" i="18"/>
  <c r="S1185" i="18"/>
  <c r="S1186" i="18"/>
  <c r="S1187" i="18"/>
  <c r="S1188" i="18"/>
  <c r="S1189" i="18"/>
  <c r="S1190" i="18"/>
  <c r="S1192" i="18"/>
  <c r="R1181" i="18"/>
  <c r="R1182" i="18"/>
  <c r="R1183" i="18"/>
  <c r="R1184" i="18"/>
  <c r="R1185" i="18"/>
  <c r="R1186" i="18"/>
  <c r="R1187" i="18"/>
  <c r="R1188" i="18"/>
  <c r="R1189" i="18"/>
  <c r="R1190" i="18"/>
  <c r="R1192" i="18"/>
  <c r="P1181" i="18"/>
  <c r="P1182" i="18"/>
  <c r="P1183" i="18"/>
  <c r="P1184" i="18"/>
  <c r="P1185" i="18"/>
  <c r="P1186" i="18"/>
  <c r="P1187" i="18"/>
  <c r="P1188" i="18"/>
  <c r="P1189" i="18"/>
  <c r="P1190" i="18"/>
  <c r="P1191" i="18"/>
  <c r="P1192" i="18"/>
  <c r="O1181" i="18"/>
  <c r="O1182" i="18"/>
  <c r="O1183" i="18"/>
  <c r="O1184" i="18"/>
  <c r="O1185" i="18"/>
  <c r="O1186" i="18"/>
  <c r="O1187" i="18"/>
  <c r="O1188" i="18"/>
  <c r="O1189" i="18"/>
  <c r="O1190" i="18"/>
  <c r="O1191" i="18"/>
  <c r="O1192" i="18"/>
  <c r="M1181" i="18"/>
  <c r="M1182" i="18"/>
  <c r="M1183" i="18"/>
  <c r="M1184" i="18"/>
  <c r="M1185" i="18"/>
  <c r="M1186" i="18"/>
  <c r="M1187" i="18"/>
  <c r="M1188" i="18"/>
  <c r="M1189" i="18"/>
  <c r="M1190" i="18"/>
  <c r="M1191" i="18"/>
  <c r="M1192" i="18"/>
  <c r="K1181" i="18"/>
  <c r="J1181" i="18"/>
  <c r="I1181" i="18"/>
  <c r="G1182" i="18"/>
  <c r="G1183" i="18"/>
  <c r="G1184" i="18"/>
  <c r="G1185" i="18"/>
  <c r="G1186" i="18"/>
  <c r="G1187" i="18"/>
  <c r="G1188" i="18"/>
  <c r="G1189" i="18"/>
  <c r="G1190" i="18"/>
  <c r="G1191" i="18"/>
  <c r="K850" i="107" l="1"/>
  <c r="K851" i="107"/>
  <c r="K852" i="107"/>
  <c r="K853" i="107"/>
  <c r="K847" i="107"/>
  <c r="K848" i="107"/>
  <c r="K849" i="107"/>
  <c r="A11" i="70" l="1"/>
  <c r="A12" i="70"/>
  <c r="A13" i="70"/>
  <c r="A14" i="70"/>
  <c r="A15" i="70"/>
  <c r="A16" i="70"/>
  <c r="A17" i="70"/>
  <c r="A18" i="70"/>
  <c r="A19" i="70"/>
  <c r="A20" i="70"/>
  <c r="A21" i="70"/>
  <c r="A22" i="70"/>
  <c r="A23" i="70"/>
  <c r="A24" i="70"/>
  <c r="A25" i="70"/>
  <c r="A26" i="70"/>
  <c r="A27" i="70"/>
  <c r="A28" i="70"/>
  <c r="A29" i="70"/>
  <c r="A30" i="70"/>
  <c r="A31" i="70"/>
  <c r="A32" i="70"/>
  <c r="A33" i="70"/>
  <c r="A34" i="70"/>
  <c r="A35" i="70"/>
  <c r="A36" i="70"/>
  <c r="A37" i="70"/>
  <c r="A38" i="70"/>
  <c r="A39" i="70"/>
  <c r="A40" i="70"/>
  <c r="A41" i="70"/>
  <c r="A42" i="70"/>
  <c r="A43" i="70"/>
  <c r="A44" i="70"/>
  <c r="A45" i="70"/>
  <c r="A46" i="70"/>
  <c r="A47" i="70"/>
  <c r="A48" i="70"/>
  <c r="A49" i="70"/>
  <c r="A50" i="70"/>
  <c r="A51" i="70"/>
  <c r="A52" i="70"/>
  <c r="A53" i="70"/>
  <c r="A54" i="70"/>
  <c r="A55" i="70"/>
  <c r="A56" i="70"/>
  <c r="A57" i="70"/>
  <c r="A58" i="70"/>
  <c r="B1" i="10" l="1"/>
  <c r="AA504" i="10" l="1"/>
  <c r="Z504" i="10"/>
  <c r="AB504" i="10" s="1"/>
  <c r="Y504" i="10"/>
  <c r="B504" i="10"/>
  <c r="A504" i="10"/>
  <c r="AA503" i="10"/>
  <c r="Z503" i="10"/>
  <c r="AB503" i="10" s="1"/>
  <c r="Y503" i="10"/>
  <c r="B503" i="10"/>
  <c r="A503" i="10"/>
  <c r="AB502" i="10"/>
  <c r="AA502" i="10"/>
  <c r="Z502" i="10"/>
  <c r="Y502" i="10"/>
  <c r="E502" i="10"/>
  <c r="H502" i="10" s="1"/>
  <c r="B502" i="10"/>
  <c r="C502" i="10" s="1"/>
  <c r="A502" i="10"/>
  <c r="AA501" i="10"/>
  <c r="Z501" i="10"/>
  <c r="Y501" i="10"/>
  <c r="B501" i="10"/>
  <c r="C501" i="10" s="1"/>
  <c r="A501" i="10"/>
  <c r="AA500" i="10"/>
  <c r="Z500" i="10"/>
  <c r="Y500" i="10"/>
  <c r="B500" i="10"/>
  <c r="E500" i="10" s="1"/>
  <c r="H500" i="10" s="1"/>
  <c r="A500" i="10"/>
  <c r="AA499" i="10"/>
  <c r="Z499" i="10"/>
  <c r="AB499" i="10" s="1"/>
  <c r="Y499" i="10"/>
  <c r="B499" i="10"/>
  <c r="C499" i="10" s="1"/>
  <c r="A499" i="10"/>
  <c r="AA498" i="10"/>
  <c r="Z498" i="10"/>
  <c r="AB498" i="10" s="1"/>
  <c r="Y498" i="10"/>
  <c r="B498" i="10"/>
  <c r="C498" i="10" s="1"/>
  <c r="A498" i="10"/>
  <c r="AA497" i="10"/>
  <c r="Z497" i="10"/>
  <c r="AB497" i="10" s="1"/>
  <c r="Y497" i="10"/>
  <c r="D497" i="10" s="1"/>
  <c r="E497" i="10"/>
  <c r="H497" i="10" s="1"/>
  <c r="C497" i="10"/>
  <c r="I497" i="10" s="1"/>
  <c r="B497" i="10"/>
  <c r="A497" i="10"/>
  <c r="AA496" i="10"/>
  <c r="Z496" i="10"/>
  <c r="Y496" i="10"/>
  <c r="B496" i="10"/>
  <c r="E496" i="10" s="1"/>
  <c r="H496" i="10" s="1"/>
  <c r="A496" i="10"/>
  <c r="AA495" i="10"/>
  <c r="Z495" i="10"/>
  <c r="AB495" i="10" s="1"/>
  <c r="Y495" i="10"/>
  <c r="B495" i="10"/>
  <c r="A495" i="10"/>
  <c r="AA494" i="10"/>
  <c r="Z494" i="10"/>
  <c r="AB494" i="10" s="1"/>
  <c r="Y494" i="10"/>
  <c r="B494" i="10"/>
  <c r="A494" i="10"/>
  <c r="AA493" i="10"/>
  <c r="Z493" i="10"/>
  <c r="Y493" i="10"/>
  <c r="D493" i="10"/>
  <c r="C493" i="10"/>
  <c r="B493" i="10"/>
  <c r="A493" i="10"/>
  <c r="AA492" i="10"/>
  <c r="Z492" i="10"/>
  <c r="Y492" i="10"/>
  <c r="B492" i="10"/>
  <c r="C492" i="10" s="1"/>
  <c r="A492" i="10"/>
  <c r="AA491" i="10"/>
  <c r="Z491" i="10"/>
  <c r="AB491" i="10" s="1"/>
  <c r="Y491" i="10"/>
  <c r="B491" i="10"/>
  <c r="A491" i="10"/>
  <c r="AB490" i="10"/>
  <c r="AA490" i="10"/>
  <c r="Z490" i="10"/>
  <c r="Y490" i="10"/>
  <c r="B490" i="10"/>
  <c r="E490" i="10" s="1"/>
  <c r="H490" i="10" s="1"/>
  <c r="A490" i="10"/>
  <c r="AA489" i="10"/>
  <c r="AB489" i="10" s="1"/>
  <c r="Z489" i="10"/>
  <c r="Y489" i="10"/>
  <c r="C489" i="10"/>
  <c r="B489" i="10"/>
  <c r="E489" i="10" s="1"/>
  <c r="H489" i="10" s="1"/>
  <c r="A489" i="10"/>
  <c r="AA488" i="10"/>
  <c r="Z488" i="10"/>
  <c r="Y488" i="10"/>
  <c r="B488" i="10"/>
  <c r="E488" i="10" s="1"/>
  <c r="H488" i="10" s="1"/>
  <c r="A488" i="10"/>
  <c r="AA487" i="10"/>
  <c r="Z487" i="10"/>
  <c r="Y487" i="10"/>
  <c r="B487" i="10"/>
  <c r="A487" i="10"/>
  <c r="AA486" i="10"/>
  <c r="Z486" i="10"/>
  <c r="AB486" i="10" s="1"/>
  <c r="Y486" i="10"/>
  <c r="B486" i="10"/>
  <c r="C486" i="10" s="1"/>
  <c r="A486" i="10"/>
  <c r="AA485" i="10"/>
  <c r="Z485" i="10"/>
  <c r="Y485" i="10"/>
  <c r="B485" i="10"/>
  <c r="D485" i="10" s="1"/>
  <c r="A485" i="10"/>
  <c r="AA484" i="10"/>
  <c r="Z484" i="10"/>
  <c r="AB484" i="10" s="1"/>
  <c r="Y484" i="10"/>
  <c r="B484" i="10"/>
  <c r="A484" i="10"/>
  <c r="AA483" i="10"/>
  <c r="Z483" i="10"/>
  <c r="Y483" i="10"/>
  <c r="B483" i="10"/>
  <c r="A483" i="10"/>
  <c r="AA482" i="10"/>
  <c r="Z482" i="10"/>
  <c r="AB482" i="10" s="1"/>
  <c r="Y482" i="10"/>
  <c r="B482" i="10"/>
  <c r="A482" i="10"/>
  <c r="AA481" i="10"/>
  <c r="Z481" i="10"/>
  <c r="Y481" i="10"/>
  <c r="B481" i="10"/>
  <c r="C481" i="10" s="1"/>
  <c r="A481" i="10"/>
  <c r="AA480" i="10"/>
  <c r="Z480" i="10"/>
  <c r="Y480" i="10"/>
  <c r="B480" i="10"/>
  <c r="A480" i="10"/>
  <c r="AA479" i="10"/>
  <c r="Z479" i="10"/>
  <c r="AB479" i="10" s="1"/>
  <c r="Y479" i="10"/>
  <c r="B479" i="10"/>
  <c r="A479" i="10"/>
  <c r="AA478" i="10"/>
  <c r="AB478" i="10" s="1"/>
  <c r="Z478" i="10"/>
  <c r="Y478" i="10"/>
  <c r="B478" i="10"/>
  <c r="A478" i="10"/>
  <c r="AA477" i="10"/>
  <c r="E477" i="10" s="1"/>
  <c r="H477" i="10" s="1"/>
  <c r="Z477" i="10"/>
  <c r="Y477" i="10"/>
  <c r="C477" i="10"/>
  <c r="B477" i="10"/>
  <c r="A477" i="10"/>
  <c r="AA476" i="10"/>
  <c r="Z476" i="10"/>
  <c r="AB476" i="10" s="1"/>
  <c r="Y476" i="10"/>
  <c r="D476" i="10" s="1"/>
  <c r="B476" i="10"/>
  <c r="A476" i="10"/>
  <c r="AA475" i="10"/>
  <c r="Z475" i="10"/>
  <c r="AB475" i="10" s="1"/>
  <c r="Y475" i="10"/>
  <c r="B475" i="10"/>
  <c r="E475" i="10" s="1"/>
  <c r="H475" i="10" s="1"/>
  <c r="A475" i="10"/>
  <c r="AA474" i="10"/>
  <c r="Z474" i="10"/>
  <c r="AB474" i="10" s="1"/>
  <c r="Y474" i="10"/>
  <c r="B474" i="10"/>
  <c r="C474" i="10" s="1"/>
  <c r="A474" i="10"/>
  <c r="AA473" i="10"/>
  <c r="Z473" i="10"/>
  <c r="Y473" i="10"/>
  <c r="B473" i="10"/>
  <c r="A473" i="10"/>
  <c r="AA472" i="10"/>
  <c r="Z472" i="10"/>
  <c r="AB472" i="10" s="1"/>
  <c r="Y472" i="10"/>
  <c r="B472" i="10"/>
  <c r="E472" i="10" s="1"/>
  <c r="H472" i="10" s="1"/>
  <c r="A472" i="10"/>
  <c r="AA471" i="10"/>
  <c r="Z471" i="10"/>
  <c r="AB471" i="10" s="1"/>
  <c r="Y471" i="10"/>
  <c r="D471" i="10"/>
  <c r="B471" i="10"/>
  <c r="A471" i="10"/>
  <c r="AB470" i="10"/>
  <c r="AA470" i="10"/>
  <c r="Z470" i="10"/>
  <c r="Y470" i="10"/>
  <c r="B470" i="10"/>
  <c r="A470" i="10"/>
  <c r="AA469" i="10"/>
  <c r="Z469" i="10"/>
  <c r="C468" i="10" s="1"/>
  <c r="Y469" i="10"/>
  <c r="B469" i="10"/>
  <c r="E469" i="10" s="1"/>
  <c r="H469" i="10" s="1"/>
  <c r="A469" i="10"/>
  <c r="AA468" i="10"/>
  <c r="Z468" i="10"/>
  <c r="AB468" i="10" s="1"/>
  <c r="Y468" i="10"/>
  <c r="B468" i="10"/>
  <c r="D468" i="10" s="1"/>
  <c r="A468" i="10"/>
  <c r="AB467" i="10"/>
  <c r="AA467" i="10"/>
  <c r="Z467" i="10"/>
  <c r="Y467" i="10"/>
  <c r="B467" i="10"/>
  <c r="A467" i="10"/>
  <c r="AA466" i="10"/>
  <c r="Z466" i="10"/>
  <c r="Y466" i="10"/>
  <c r="B466" i="10"/>
  <c r="C466" i="10" s="1"/>
  <c r="A466" i="10"/>
  <c r="AA465" i="10"/>
  <c r="Z465" i="10"/>
  <c r="Y465" i="10"/>
  <c r="B465" i="10"/>
  <c r="C465" i="10" s="1"/>
  <c r="A465" i="10"/>
  <c r="AA464" i="10"/>
  <c r="Z464" i="10"/>
  <c r="Y464" i="10"/>
  <c r="B464" i="10"/>
  <c r="E464" i="10" s="1"/>
  <c r="H464" i="10" s="1"/>
  <c r="A464" i="10"/>
  <c r="AA463" i="10"/>
  <c r="Z463" i="10"/>
  <c r="AB463" i="10" s="1"/>
  <c r="Y463" i="10"/>
  <c r="B463" i="10"/>
  <c r="D463" i="10" s="1"/>
  <c r="A463" i="10"/>
  <c r="AA462" i="10"/>
  <c r="Z462" i="10"/>
  <c r="AB462" i="10" s="1"/>
  <c r="Y462" i="10"/>
  <c r="B462" i="10"/>
  <c r="E462" i="10" s="1"/>
  <c r="H462" i="10" s="1"/>
  <c r="A462" i="10"/>
  <c r="AA461" i="10"/>
  <c r="Z461" i="10"/>
  <c r="Y461" i="10"/>
  <c r="C461" i="10"/>
  <c r="B461" i="10"/>
  <c r="A461" i="10"/>
  <c r="AA460" i="10"/>
  <c r="Z460" i="10"/>
  <c r="AB460" i="10" s="1"/>
  <c r="Y460" i="10"/>
  <c r="B460" i="10"/>
  <c r="E460" i="10" s="1"/>
  <c r="H460" i="10" s="1"/>
  <c r="A460" i="10"/>
  <c r="AB459" i="10"/>
  <c r="AA459" i="10"/>
  <c r="Z459" i="10"/>
  <c r="Y459" i="10"/>
  <c r="B459" i="10"/>
  <c r="A459" i="10"/>
  <c r="AA458" i="10"/>
  <c r="Z458" i="10"/>
  <c r="Y458" i="10"/>
  <c r="D457" i="10" s="1"/>
  <c r="B458" i="10"/>
  <c r="A458" i="10"/>
  <c r="AA457" i="10"/>
  <c r="Z457" i="10"/>
  <c r="Y457" i="10"/>
  <c r="B457" i="10"/>
  <c r="A457" i="10"/>
  <c r="AA456" i="10"/>
  <c r="Z456" i="10"/>
  <c r="Y456" i="10"/>
  <c r="B456" i="10"/>
  <c r="E456" i="10" s="1"/>
  <c r="H456" i="10" s="1"/>
  <c r="A456" i="10"/>
  <c r="AA455" i="10"/>
  <c r="Z455" i="10"/>
  <c r="Y455" i="10"/>
  <c r="B455" i="10"/>
  <c r="A455" i="10"/>
  <c r="AA454" i="10"/>
  <c r="AB454" i="10" s="1"/>
  <c r="Z454" i="10"/>
  <c r="Y454" i="10"/>
  <c r="B454" i="10"/>
  <c r="C454" i="10" s="1"/>
  <c r="A454" i="10"/>
  <c r="AA453" i="10"/>
  <c r="Z453" i="10"/>
  <c r="AB453" i="10" s="1"/>
  <c r="Y453" i="10"/>
  <c r="B453" i="10"/>
  <c r="A453" i="10"/>
  <c r="AA452" i="10"/>
  <c r="Z452" i="10"/>
  <c r="C452" i="10" s="1"/>
  <c r="Y452" i="10"/>
  <c r="B452" i="10"/>
  <c r="A452" i="10"/>
  <c r="AA451" i="10"/>
  <c r="Z451" i="10"/>
  <c r="Y451" i="10"/>
  <c r="B451" i="10"/>
  <c r="A451" i="10"/>
  <c r="AA450" i="10"/>
  <c r="Z450" i="10"/>
  <c r="AB450" i="10" s="1"/>
  <c r="Y450" i="10"/>
  <c r="B450" i="10"/>
  <c r="A450" i="10"/>
  <c r="AA449" i="10"/>
  <c r="Z449" i="10"/>
  <c r="C448" i="10" s="1"/>
  <c r="Y449" i="10"/>
  <c r="E449" i="10"/>
  <c r="H449" i="10" s="1"/>
  <c r="D449" i="10"/>
  <c r="C449" i="10"/>
  <c r="I449" i="10" s="1"/>
  <c r="B449" i="10"/>
  <c r="A449" i="10"/>
  <c r="AA448" i="10"/>
  <c r="Z448" i="10"/>
  <c r="Y448" i="10"/>
  <c r="B448" i="10"/>
  <c r="A448" i="10"/>
  <c r="AA447" i="10"/>
  <c r="Z447" i="10"/>
  <c r="Y447" i="10"/>
  <c r="B447" i="10"/>
  <c r="A447" i="10"/>
  <c r="AA446" i="10"/>
  <c r="Z446" i="10"/>
  <c r="AB446" i="10" s="1"/>
  <c r="Y446" i="10"/>
  <c r="E446" i="10"/>
  <c r="H446" i="10" s="1"/>
  <c r="B446" i="10"/>
  <c r="C446" i="10" s="1"/>
  <c r="I446" i="10" s="1"/>
  <c r="A446" i="10"/>
  <c r="AA445" i="10"/>
  <c r="Z445" i="10"/>
  <c r="Y445" i="10"/>
  <c r="E445" i="10"/>
  <c r="H445" i="10" s="1"/>
  <c r="C445" i="10"/>
  <c r="B445" i="10"/>
  <c r="A445" i="10"/>
  <c r="AA444" i="10"/>
  <c r="Z444" i="10"/>
  <c r="Y444" i="10"/>
  <c r="B444" i="10"/>
  <c r="A444" i="10"/>
  <c r="AA443" i="10"/>
  <c r="Z443" i="10"/>
  <c r="AB443" i="10" s="1"/>
  <c r="Y443" i="10"/>
  <c r="B443" i="10"/>
  <c r="A443" i="10"/>
  <c r="AA442" i="10"/>
  <c r="Z442" i="10"/>
  <c r="AB442" i="10" s="1"/>
  <c r="Y442" i="10"/>
  <c r="B442" i="10"/>
  <c r="E442" i="10" s="1"/>
  <c r="H442" i="10" s="1"/>
  <c r="A442" i="10"/>
  <c r="AA441" i="10"/>
  <c r="Z441" i="10"/>
  <c r="Y441" i="10"/>
  <c r="B441" i="10"/>
  <c r="C441" i="10" s="1"/>
  <c r="A441" i="10"/>
  <c r="AA440" i="10"/>
  <c r="AB440" i="10" s="1"/>
  <c r="Z440" i="10"/>
  <c r="Y440" i="10"/>
  <c r="B440" i="10"/>
  <c r="E440" i="10" s="1"/>
  <c r="H440" i="10" s="1"/>
  <c r="A440" i="10"/>
  <c r="AA439" i="10"/>
  <c r="Z439" i="10"/>
  <c r="Y439" i="10"/>
  <c r="B439" i="10"/>
  <c r="D439" i="10" s="1"/>
  <c r="A439" i="10"/>
  <c r="AA438" i="10"/>
  <c r="Z438" i="10"/>
  <c r="Y438" i="10"/>
  <c r="B438" i="10"/>
  <c r="C438" i="10" s="1"/>
  <c r="A438" i="10"/>
  <c r="AA437" i="10"/>
  <c r="Z437" i="10"/>
  <c r="Y437" i="10"/>
  <c r="E437" i="10"/>
  <c r="H437" i="10" s="1"/>
  <c r="B437" i="10"/>
  <c r="A437" i="10"/>
  <c r="AA436" i="10"/>
  <c r="Z436" i="10"/>
  <c r="AB436" i="10" s="1"/>
  <c r="Y436" i="10"/>
  <c r="B436" i="10"/>
  <c r="A436" i="10"/>
  <c r="AA435" i="10"/>
  <c r="Z435" i="10"/>
  <c r="AB435" i="10" s="1"/>
  <c r="Y435" i="10"/>
  <c r="B435" i="10"/>
  <c r="A435" i="10"/>
  <c r="AA434" i="10"/>
  <c r="Z434" i="10"/>
  <c r="Y434" i="10"/>
  <c r="B434" i="10"/>
  <c r="A434" i="10"/>
  <c r="AA433" i="10"/>
  <c r="Z433" i="10"/>
  <c r="Y433" i="10"/>
  <c r="D433" i="10"/>
  <c r="C433" i="10"/>
  <c r="B433" i="10"/>
  <c r="A433" i="10"/>
  <c r="AA432" i="10"/>
  <c r="Z432" i="10"/>
  <c r="AB432" i="10" s="1"/>
  <c r="Y432" i="10"/>
  <c r="B432" i="10"/>
  <c r="E432" i="10" s="1"/>
  <c r="H432" i="10" s="1"/>
  <c r="A432" i="10"/>
  <c r="AA431" i="10"/>
  <c r="Z431" i="10"/>
  <c r="Y431" i="10"/>
  <c r="B431" i="10"/>
  <c r="C431" i="10" s="1"/>
  <c r="A431" i="10"/>
  <c r="AA430" i="10"/>
  <c r="Z430" i="10"/>
  <c r="Y430" i="10"/>
  <c r="B430" i="10"/>
  <c r="A430" i="10"/>
  <c r="AA429" i="10"/>
  <c r="Z429" i="10"/>
  <c r="AB429" i="10" s="1"/>
  <c r="Y429" i="10"/>
  <c r="B429" i="10"/>
  <c r="C429" i="10" s="1"/>
  <c r="A429" i="10"/>
  <c r="AA428" i="10"/>
  <c r="Z428" i="10"/>
  <c r="AB428" i="10" s="1"/>
  <c r="Y428" i="10"/>
  <c r="B428" i="10"/>
  <c r="A428" i="10"/>
  <c r="AA427" i="10"/>
  <c r="Z427" i="10"/>
  <c r="Y427" i="10"/>
  <c r="B427" i="10"/>
  <c r="A427" i="10"/>
  <c r="AA426" i="10"/>
  <c r="AB426" i="10" s="1"/>
  <c r="Z426" i="10"/>
  <c r="Y426" i="10"/>
  <c r="B426" i="10"/>
  <c r="A426" i="10"/>
  <c r="AA425" i="10"/>
  <c r="Z425" i="10"/>
  <c r="Y425" i="10"/>
  <c r="B425" i="10"/>
  <c r="D425" i="10" s="1"/>
  <c r="A425" i="10"/>
  <c r="AA424" i="10"/>
  <c r="AB424" i="10" s="1"/>
  <c r="Z424" i="10"/>
  <c r="Y424" i="10"/>
  <c r="B424" i="10"/>
  <c r="A424" i="10"/>
  <c r="AA423" i="10"/>
  <c r="Z423" i="10"/>
  <c r="Y423" i="10"/>
  <c r="B423" i="10"/>
  <c r="A423" i="10"/>
  <c r="AA422" i="10"/>
  <c r="Z422" i="10"/>
  <c r="AB422" i="10" s="1"/>
  <c r="Y422" i="10"/>
  <c r="B422" i="10"/>
  <c r="A422" i="10"/>
  <c r="AA421" i="10"/>
  <c r="Z421" i="10"/>
  <c r="Y421" i="10"/>
  <c r="B421" i="10"/>
  <c r="A421" i="10"/>
  <c r="AA420" i="10"/>
  <c r="Z420" i="10"/>
  <c r="Y420" i="10"/>
  <c r="B420" i="10"/>
  <c r="A420" i="10"/>
  <c r="AA419" i="10"/>
  <c r="Z419" i="10"/>
  <c r="AB419" i="10" s="1"/>
  <c r="Y419" i="10"/>
  <c r="B419" i="10"/>
  <c r="A419" i="10"/>
  <c r="AA418" i="10"/>
  <c r="Z418" i="10"/>
  <c r="Y418" i="10"/>
  <c r="B418" i="10"/>
  <c r="A418" i="10"/>
  <c r="AA417" i="10"/>
  <c r="AB417" i="10" s="1"/>
  <c r="Z417" i="10"/>
  <c r="Y417" i="10"/>
  <c r="B417" i="10"/>
  <c r="A417" i="10"/>
  <c r="AA416" i="10"/>
  <c r="Z416" i="10"/>
  <c r="AB416" i="10" s="1"/>
  <c r="Y416" i="10"/>
  <c r="B416" i="10"/>
  <c r="D416" i="10" s="1"/>
  <c r="A416" i="10"/>
  <c r="AA415" i="10"/>
  <c r="Z415" i="10"/>
  <c r="Y415" i="10"/>
  <c r="B415" i="10"/>
  <c r="E415" i="10" s="1"/>
  <c r="H415" i="10" s="1"/>
  <c r="A415" i="10"/>
  <c r="AA414" i="10"/>
  <c r="Z414" i="10"/>
  <c r="AB414" i="10" s="1"/>
  <c r="Y414" i="10"/>
  <c r="B414" i="10"/>
  <c r="A414" i="10"/>
  <c r="AA413" i="10"/>
  <c r="Z413" i="10"/>
  <c r="Y413" i="10"/>
  <c r="B413" i="10"/>
  <c r="A413" i="10"/>
  <c r="AA412" i="10"/>
  <c r="Z412" i="10"/>
  <c r="Y412" i="10"/>
  <c r="B412" i="10"/>
  <c r="C412" i="10" s="1"/>
  <c r="A412" i="10"/>
  <c r="AA411" i="10"/>
  <c r="Z411" i="10"/>
  <c r="Y411" i="10"/>
  <c r="B411" i="10"/>
  <c r="A411" i="10"/>
  <c r="AA410" i="10"/>
  <c r="Z410" i="10"/>
  <c r="Y410" i="10"/>
  <c r="B410" i="10"/>
  <c r="A410" i="10"/>
  <c r="AA409" i="10"/>
  <c r="Z409" i="10"/>
  <c r="Y409" i="10"/>
  <c r="B409" i="10"/>
  <c r="A409" i="10"/>
  <c r="AA408" i="10"/>
  <c r="Z408" i="10"/>
  <c r="Y408" i="10"/>
  <c r="B408" i="10"/>
  <c r="A408" i="10"/>
  <c r="AA407" i="10"/>
  <c r="Z407" i="10"/>
  <c r="Y407" i="10"/>
  <c r="B407" i="10"/>
  <c r="D407" i="10" s="1"/>
  <c r="A407" i="10"/>
  <c r="AA406" i="10"/>
  <c r="AB406" i="10" s="1"/>
  <c r="Z406" i="10"/>
  <c r="Y406" i="10"/>
  <c r="B406" i="10"/>
  <c r="A406" i="10"/>
  <c r="AA405" i="10"/>
  <c r="Z405" i="10"/>
  <c r="AB405" i="10" s="1"/>
  <c r="Y405" i="10"/>
  <c r="B405" i="10"/>
  <c r="A405" i="10"/>
  <c r="AA404" i="10"/>
  <c r="AB404" i="10" s="1"/>
  <c r="Z404" i="10"/>
  <c r="Y404" i="10"/>
  <c r="B404" i="10"/>
  <c r="A404" i="10"/>
  <c r="AA403" i="10"/>
  <c r="Z403" i="10"/>
  <c r="Y403" i="10"/>
  <c r="B403" i="10"/>
  <c r="C403" i="10" s="1"/>
  <c r="A403" i="10"/>
  <c r="AA402" i="10"/>
  <c r="AB402" i="10" s="1"/>
  <c r="Z402" i="10"/>
  <c r="Y402" i="10"/>
  <c r="B402" i="10"/>
  <c r="C402" i="10" s="1"/>
  <c r="A402" i="10"/>
  <c r="AA401" i="10"/>
  <c r="Z401" i="10"/>
  <c r="Y401" i="10"/>
  <c r="B401" i="10"/>
  <c r="C401" i="10" s="1"/>
  <c r="A401" i="10"/>
  <c r="AA400" i="10"/>
  <c r="Z400" i="10"/>
  <c r="Y400" i="10"/>
  <c r="B400" i="10"/>
  <c r="D400" i="10" s="1"/>
  <c r="A400" i="10"/>
  <c r="AA399" i="10"/>
  <c r="Z399" i="10"/>
  <c r="AB399" i="10" s="1"/>
  <c r="Y399" i="10"/>
  <c r="B399" i="10"/>
  <c r="E399" i="10" s="1"/>
  <c r="H399" i="10" s="1"/>
  <c r="A399" i="10"/>
  <c r="AA398" i="10"/>
  <c r="Z398" i="10"/>
  <c r="Y398" i="10"/>
  <c r="B398" i="10"/>
  <c r="A398" i="10"/>
  <c r="AA397" i="10"/>
  <c r="Z397" i="10"/>
  <c r="Y397" i="10"/>
  <c r="B397" i="10"/>
  <c r="E397" i="10" s="1"/>
  <c r="H397" i="10" s="1"/>
  <c r="A397" i="10"/>
  <c r="AA396" i="10"/>
  <c r="AB396" i="10" s="1"/>
  <c r="Z396" i="10"/>
  <c r="Y396" i="10"/>
  <c r="B396" i="10"/>
  <c r="A396" i="10"/>
  <c r="AA395" i="10"/>
  <c r="Z395" i="10"/>
  <c r="Y395" i="10"/>
  <c r="B395" i="10"/>
  <c r="A395" i="10"/>
  <c r="AA394" i="10"/>
  <c r="Z394" i="10"/>
  <c r="AB394" i="10" s="1"/>
  <c r="Y394" i="10"/>
  <c r="B394" i="10"/>
  <c r="A394" i="10"/>
  <c r="AA393" i="10"/>
  <c r="AB393" i="10" s="1"/>
  <c r="Z393" i="10"/>
  <c r="Y393" i="10"/>
  <c r="B393" i="10"/>
  <c r="A393" i="10"/>
  <c r="AA392" i="10"/>
  <c r="E391" i="10" s="1"/>
  <c r="H391" i="10" s="1"/>
  <c r="Z392" i="10"/>
  <c r="Y392" i="10"/>
  <c r="B392" i="10"/>
  <c r="A392" i="10"/>
  <c r="AA391" i="10"/>
  <c r="Z391" i="10"/>
  <c r="AB391" i="10" s="1"/>
  <c r="Y391" i="10"/>
  <c r="B391" i="10"/>
  <c r="D391" i="10" s="1"/>
  <c r="A391" i="10"/>
  <c r="AA390" i="10"/>
  <c r="Z390" i="10"/>
  <c r="Y390" i="10"/>
  <c r="B390" i="10"/>
  <c r="D390" i="10" s="1"/>
  <c r="A390" i="10"/>
  <c r="AA389" i="10"/>
  <c r="Z389" i="10"/>
  <c r="AB389" i="10" s="1"/>
  <c r="Y389" i="10"/>
  <c r="B389" i="10"/>
  <c r="D389" i="10" s="1"/>
  <c r="A389" i="10"/>
  <c r="AA388" i="10"/>
  <c r="Z388" i="10"/>
  <c r="AB388" i="10" s="1"/>
  <c r="Y388" i="10"/>
  <c r="B388" i="10"/>
  <c r="A388" i="10"/>
  <c r="AA387" i="10"/>
  <c r="Z387" i="10"/>
  <c r="Y387" i="10"/>
  <c r="D387" i="10"/>
  <c r="B387" i="10"/>
  <c r="C387" i="10" s="1"/>
  <c r="A387" i="10"/>
  <c r="AA386" i="10"/>
  <c r="Z386" i="10"/>
  <c r="AB386" i="10" s="1"/>
  <c r="Y386" i="10"/>
  <c r="B386" i="10"/>
  <c r="C386" i="10" s="1"/>
  <c r="A386" i="10"/>
  <c r="AA385" i="10"/>
  <c r="Z385" i="10"/>
  <c r="AB385" i="10" s="1"/>
  <c r="Y385" i="10"/>
  <c r="B385" i="10"/>
  <c r="A385" i="10"/>
  <c r="AA384" i="10"/>
  <c r="Z384" i="10"/>
  <c r="Y384" i="10"/>
  <c r="B384" i="10"/>
  <c r="A384" i="10"/>
  <c r="AA383" i="10"/>
  <c r="Z383" i="10"/>
  <c r="Y383" i="10"/>
  <c r="B383" i="10"/>
  <c r="C383" i="10" s="1"/>
  <c r="A383" i="10"/>
  <c r="AA382" i="10"/>
  <c r="Z382" i="10"/>
  <c r="AB382" i="10" s="1"/>
  <c r="Y382" i="10"/>
  <c r="B382" i="10"/>
  <c r="A382" i="10"/>
  <c r="AA381" i="10"/>
  <c r="Z381" i="10"/>
  <c r="Y381" i="10"/>
  <c r="B381" i="10"/>
  <c r="A381" i="10"/>
  <c r="AA380" i="10"/>
  <c r="AB380" i="10" s="1"/>
  <c r="Z380" i="10"/>
  <c r="Y380" i="10"/>
  <c r="B380" i="10"/>
  <c r="A380" i="10"/>
  <c r="AA379" i="10"/>
  <c r="Z379" i="10"/>
  <c r="AB379" i="10" s="1"/>
  <c r="Y379" i="10"/>
  <c r="E379" i="10"/>
  <c r="H379" i="10" s="1"/>
  <c r="B379" i="10"/>
  <c r="C379" i="10" s="1"/>
  <c r="A379" i="10"/>
  <c r="AA378" i="10"/>
  <c r="Z378" i="10"/>
  <c r="Y378" i="10"/>
  <c r="B378" i="10"/>
  <c r="A378" i="10"/>
  <c r="AA377" i="10"/>
  <c r="Z377" i="10"/>
  <c r="AB377" i="10" s="1"/>
  <c r="Y377" i="10"/>
  <c r="B377" i="10"/>
  <c r="A377" i="10"/>
  <c r="AA376" i="10"/>
  <c r="Z376" i="10"/>
  <c r="Y376" i="10"/>
  <c r="B376" i="10"/>
  <c r="D376" i="10" s="1"/>
  <c r="A376" i="10"/>
  <c r="AA375" i="10"/>
  <c r="Z375" i="10"/>
  <c r="AB375" i="10" s="1"/>
  <c r="Y375" i="10"/>
  <c r="E375" i="10"/>
  <c r="H375" i="10" s="1"/>
  <c r="C375" i="10"/>
  <c r="B375" i="10"/>
  <c r="A375" i="10"/>
  <c r="AA374" i="10"/>
  <c r="Z374" i="10"/>
  <c r="AB374" i="10" s="1"/>
  <c r="Y374" i="10"/>
  <c r="B374" i="10"/>
  <c r="A374" i="10"/>
  <c r="AA373" i="10"/>
  <c r="Z373" i="10"/>
  <c r="Y373" i="10"/>
  <c r="B373" i="10"/>
  <c r="A373" i="10"/>
  <c r="AA372" i="10"/>
  <c r="Z372" i="10"/>
  <c r="Y372" i="10"/>
  <c r="B372" i="10"/>
  <c r="A372" i="10"/>
  <c r="AA371" i="10"/>
  <c r="Z371" i="10"/>
  <c r="AB371" i="10" s="1"/>
  <c r="Y371" i="10"/>
  <c r="B371" i="10"/>
  <c r="A371" i="10"/>
  <c r="AA370" i="10"/>
  <c r="Z370" i="10"/>
  <c r="Y370" i="10"/>
  <c r="B370" i="10"/>
  <c r="A370" i="10"/>
  <c r="AA369" i="10"/>
  <c r="Z369" i="10"/>
  <c r="Y369" i="10"/>
  <c r="B369" i="10"/>
  <c r="A369" i="10"/>
  <c r="AA368" i="10"/>
  <c r="Z368" i="10"/>
  <c r="AB368" i="10" s="1"/>
  <c r="Y368" i="10"/>
  <c r="B368" i="10"/>
  <c r="D368" i="10" s="1"/>
  <c r="A368" i="10"/>
  <c r="AA367" i="10"/>
  <c r="Z367" i="10"/>
  <c r="Y367" i="10"/>
  <c r="B367" i="10"/>
  <c r="A367" i="10"/>
  <c r="AA366" i="10"/>
  <c r="Z366" i="10"/>
  <c r="Y366" i="10"/>
  <c r="B366" i="10"/>
  <c r="C366" i="10" s="1"/>
  <c r="A366" i="10"/>
  <c r="AA365" i="10"/>
  <c r="Z365" i="10"/>
  <c r="Y365" i="10"/>
  <c r="B365" i="10"/>
  <c r="D365" i="10" s="1"/>
  <c r="A365" i="10"/>
  <c r="AA364" i="10"/>
  <c r="Z364" i="10"/>
  <c r="AB364" i="10" s="1"/>
  <c r="Y364" i="10"/>
  <c r="E364" i="10"/>
  <c r="H364" i="10" s="1"/>
  <c r="B364" i="10"/>
  <c r="A364" i="10"/>
  <c r="AA363" i="10"/>
  <c r="Z363" i="10"/>
  <c r="Y363" i="10"/>
  <c r="B363" i="10"/>
  <c r="E363" i="10" s="1"/>
  <c r="H363" i="10" s="1"/>
  <c r="A363" i="10"/>
  <c r="AA362" i="10"/>
  <c r="Z362" i="10"/>
  <c r="Y362" i="10"/>
  <c r="B362" i="10"/>
  <c r="A362" i="10"/>
  <c r="AA361" i="10"/>
  <c r="Z361" i="10"/>
  <c r="Y361" i="10"/>
  <c r="B361" i="10"/>
  <c r="A361" i="10"/>
  <c r="AA360" i="10"/>
  <c r="Z360" i="10"/>
  <c r="AB360" i="10" s="1"/>
  <c r="Y360" i="10"/>
  <c r="B360" i="10"/>
  <c r="A360" i="10"/>
  <c r="AA359" i="10"/>
  <c r="Z359" i="10"/>
  <c r="Y359" i="10"/>
  <c r="B359" i="10"/>
  <c r="A359" i="10"/>
  <c r="AA358" i="10"/>
  <c r="Z358" i="10"/>
  <c r="Y358" i="10"/>
  <c r="B358" i="10"/>
  <c r="C358" i="10" s="1"/>
  <c r="A358" i="10"/>
  <c r="AA357" i="10"/>
  <c r="Z357" i="10"/>
  <c r="Y357" i="10"/>
  <c r="B357" i="10"/>
  <c r="E357" i="10" s="1"/>
  <c r="H357" i="10" s="1"/>
  <c r="A357" i="10"/>
  <c r="AA356" i="10"/>
  <c r="Z356" i="10"/>
  <c r="Y356" i="10"/>
  <c r="B356" i="10"/>
  <c r="A356" i="10"/>
  <c r="AA355" i="10"/>
  <c r="Z355" i="10"/>
  <c r="Y355" i="10"/>
  <c r="B355" i="10"/>
  <c r="C355" i="10" s="1"/>
  <c r="A355" i="10"/>
  <c r="AA354" i="10"/>
  <c r="Z354" i="10"/>
  <c r="AB354" i="10" s="1"/>
  <c r="Y354" i="10"/>
  <c r="B354" i="10"/>
  <c r="D354" i="10" s="1"/>
  <c r="A354" i="10"/>
  <c r="AA353" i="10"/>
  <c r="Z353" i="10"/>
  <c r="AB353" i="10" s="1"/>
  <c r="Y353" i="10"/>
  <c r="D353" i="10"/>
  <c r="B353" i="10"/>
  <c r="C353" i="10" s="1"/>
  <c r="A353" i="10"/>
  <c r="AA352" i="10"/>
  <c r="Z352" i="10"/>
  <c r="AB352" i="10" s="1"/>
  <c r="Y352" i="10"/>
  <c r="B352" i="10"/>
  <c r="A352" i="10"/>
  <c r="AA351" i="10"/>
  <c r="Z351" i="10"/>
  <c r="AB351" i="10" s="1"/>
  <c r="Y351" i="10"/>
  <c r="B351" i="10"/>
  <c r="C351" i="10" s="1"/>
  <c r="A351" i="10"/>
  <c r="AA350" i="10"/>
  <c r="Z350" i="10"/>
  <c r="Y350" i="10"/>
  <c r="B350" i="10"/>
  <c r="A350" i="10"/>
  <c r="AA349" i="10"/>
  <c r="E349" i="10" s="1"/>
  <c r="H349" i="10" s="1"/>
  <c r="Z349" i="10"/>
  <c r="C348" i="10" s="1"/>
  <c r="Y349" i="10"/>
  <c r="B349" i="10"/>
  <c r="D349" i="10" s="1"/>
  <c r="A349" i="10"/>
  <c r="AA348" i="10"/>
  <c r="Z348" i="10"/>
  <c r="Y348" i="10"/>
  <c r="B348" i="10"/>
  <c r="A348" i="10"/>
  <c r="AA347" i="10"/>
  <c r="AB347" i="10" s="1"/>
  <c r="Z347" i="10"/>
  <c r="Y347" i="10"/>
  <c r="B347" i="10"/>
  <c r="A347" i="10"/>
  <c r="AA346" i="10"/>
  <c r="Z346" i="10"/>
  <c r="Y346" i="10"/>
  <c r="B346" i="10"/>
  <c r="C346" i="10" s="1"/>
  <c r="A346" i="10"/>
  <c r="AA345" i="10"/>
  <c r="AB345" i="10" s="1"/>
  <c r="Z345" i="10"/>
  <c r="Y345" i="10"/>
  <c r="B345" i="10"/>
  <c r="A345" i="10"/>
  <c r="AA344" i="10"/>
  <c r="Z344" i="10"/>
  <c r="Y344" i="10"/>
  <c r="B344" i="10"/>
  <c r="C344" i="10" s="1"/>
  <c r="A344" i="10"/>
  <c r="AA343" i="10"/>
  <c r="Z343" i="10"/>
  <c r="Y343" i="10"/>
  <c r="D342" i="10" s="1"/>
  <c r="B343" i="10"/>
  <c r="A343" i="10"/>
  <c r="AA342" i="10"/>
  <c r="Z342" i="10"/>
  <c r="Y342" i="10"/>
  <c r="B342" i="10"/>
  <c r="A342" i="10"/>
  <c r="AA341" i="10"/>
  <c r="Z341" i="10"/>
  <c r="Y341" i="10"/>
  <c r="B341" i="10"/>
  <c r="E341" i="10" s="1"/>
  <c r="H341" i="10" s="1"/>
  <c r="A341" i="10"/>
  <c r="AA340" i="10"/>
  <c r="Z340" i="10"/>
  <c r="AB340" i="10" s="1"/>
  <c r="Y340" i="10"/>
  <c r="D340" i="10"/>
  <c r="B340" i="10"/>
  <c r="A340" i="10"/>
  <c r="AA339" i="10"/>
  <c r="Z339" i="10"/>
  <c r="Y339" i="10"/>
  <c r="B339" i="10"/>
  <c r="A339" i="10"/>
  <c r="AA338" i="10"/>
  <c r="Z338" i="10"/>
  <c r="Y338" i="10"/>
  <c r="B338" i="10"/>
  <c r="A338" i="10"/>
  <c r="AA337" i="10"/>
  <c r="Z337" i="10"/>
  <c r="AB337" i="10" s="1"/>
  <c r="Y337" i="10"/>
  <c r="B337" i="10"/>
  <c r="A337" i="10"/>
  <c r="AA336" i="10"/>
  <c r="E335" i="10" s="1"/>
  <c r="H335" i="10" s="1"/>
  <c r="Z336" i="10"/>
  <c r="Y336" i="10"/>
  <c r="B336" i="10"/>
  <c r="A336" i="10"/>
  <c r="AB335" i="10"/>
  <c r="AA335" i="10"/>
  <c r="Z335" i="10"/>
  <c r="Y335" i="10"/>
  <c r="B335" i="10"/>
  <c r="A335" i="10"/>
  <c r="AA334" i="10"/>
  <c r="Z334" i="10"/>
  <c r="AB334" i="10" s="1"/>
  <c r="Y334" i="10"/>
  <c r="B334" i="10"/>
  <c r="C334" i="10" s="1"/>
  <c r="A334" i="10"/>
  <c r="AB333" i="10"/>
  <c r="AA333" i="10"/>
  <c r="Z333" i="10"/>
  <c r="Y333" i="10"/>
  <c r="B333" i="10"/>
  <c r="C333" i="10" s="1"/>
  <c r="A333" i="10"/>
  <c r="AA332" i="10"/>
  <c r="Z332" i="10"/>
  <c r="Y332" i="10"/>
  <c r="B332" i="10"/>
  <c r="A332" i="10"/>
  <c r="AA331" i="10"/>
  <c r="Z331" i="10"/>
  <c r="Y331" i="10"/>
  <c r="B331" i="10"/>
  <c r="E331" i="10" s="1"/>
  <c r="H331" i="10" s="1"/>
  <c r="A331" i="10"/>
  <c r="AA330" i="10"/>
  <c r="Z330" i="10"/>
  <c r="Y330" i="10"/>
  <c r="B330" i="10"/>
  <c r="A330" i="10"/>
  <c r="AA329" i="10"/>
  <c r="Z329" i="10"/>
  <c r="Y329" i="10"/>
  <c r="B329" i="10"/>
  <c r="A329" i="10"/>
  <c r="AA328" i="10"/>
  <c r="Z328" i="10"/>
  <c r="AB328" i="10" s="1"/>
  <c r="Y328" i="10"/>
  <c r="B328" i="10"/>
  <c r="A328" i="10"/>
  <c r="AA327" i="10"/>
  <c r="Z327" i="10"/>
  <c r="AB327" i="10" s="1"/>
  <c r="Y327" i="10"/>
  <c r="C327" i="10"/>
  <c r="B327" i="10"/>
  <c r="A327" i="10"/>
  <c r="AA326" i="10"/>
  <c r="Z326" i="10"/>
  <c r="Y326" i="10"/>
  <c r="D325" i="10" s="1"/>
  <c r="B326" i="10"/>
  <c r="A326" i="10"/>
  <c r="AA325" i="10"/>
  <c r="Z325" i="10"/>
  <c r="Y325" i="10"/>
  <c r="B325" i="10"/>
  <c r="C325" i="10" s="1"/>
  <c r="A325" i="10"/>
  <c r="AA324" i="10"/>
  <c r="Z324" i="10"/>
  <c r="Y324" i="10"/>
  <c r="B324" i="10"/>
  <c r="D324" i="10" s="1"/>
  <c r="A324" i="10"/>
  <c r="AA323" i="10"/>
  <c r="Z323" i="10"/>
  <c r="C323" i="10" s="1"/>
  <c r="Y323" i="10"/>
  <c r="B323" i="10"/>
  <c r="A323" i="10"/>
  <c r="AA322" i="10"/>
  <c r="AB322" i="10" s="1"/>
  <c r="Z322" i="10"/>
  <c r="Y322" i="10"/>
  <c r="B322" i="10"/>
  <c r="A322" i="10"/>
  <c r="AA321" i="10"/>
  <c r="Z321" i="10"/>
  <c r="Y321" i="10"/>
  <c r="B321" i="10"/>
  <c r="A321" i="10"/>
  <c r="AA320" i="10"/>
  <c r="Z320" i="10"/>
  <c r="AB320" i="10" s="1"/>
  <c r="Y320" i="10"/>
  <c r="B320" i="10"/>
  <c r="A320" i="10"/>
  <c r="AA319" i="10"/>
  <c r="Z319" i="10"/>
  <c r="Y319" i="10"/>
  <c r="B319" i="10"/>
  <c r="C319" i="10" s="1"/>
  <c r="A319" i="10"/>
  <c r="AA318" i="10"/>
  <c r="Z318" i="10"/>
  <c r="AB318" i="10" s="1"/>
  <c r="Y318" i="10"/>
  <c r="B318" i="10"/>
  <c r="C318" i="10" s="1"/>
  <c r="A318" i="10"/>
  <c r="AA317" i="10"/>
  <c r="Z317" i="10"/>
  <c r="AB317" i="10" s="1"/>
  <c r="Y317" i="10"/>
  <c r="D317" i="10"/>
  <c r="B317" i="10"/>
  <c r="C317" i="10" s="1"/>
  <c r="A317" i="10"/>
  <c r="AA316" i="10"/>
  <c r="Z316" i="10"/>
  <c r="Y316" i="10"/>
  <c r="B316" i="10"/>
  <c r="A316" i="10"/>
  <c r="AA315" i="10"/>
  <c r="Z315" i="10"/>
  <c r="Y315" i="10"/>
  <c r="E315" i="10"/>
  <c r="H315" i="10" s="1"/>
  <c r="B315" i="10"/>
  <c r="A315" i="10"/>
  <c r="AA314" i="10"/>
  <c r="AB314" i="10" s="1"/>
  <c r="Z314" i="10"/>
  <c r="Y314" i="10"/>
  <c r="B314" i="10"/>
  <c r="D314" i="10" s="1"/>
  <c r="A314" i="10"/>
  <c r="AA313" i="10"/>
  <c r="Z313" i="10"/>
  <c r="Y313" i="10"/>
  <c r="B313" i="10"/>
  <c r="A313" i="10"/>
  <c r="AA312" i="10"/>
  <c r="Z312" i="10"/>
  <c r="Y312" i="10"/>
  <c r="B312" i="10"/>
  <c r="A312" i="10"/>
  <c r="AA311" i="10"/>
  <c r="Z311" i="10"/>
  <c r="Y311" i="10"/>
  <c r="B311" i="10"/>
  <c r="A311" i="10"/>
  <c r="AA310" i="10"/>
  <c r="Z310" i="10"/>
  <c r="Y310" i="10"/>
  <c r="E310" i="10"/>
  <c r="H310" i="10" s="1"/>
  <c r="B310" i="10"/>
  <c r="A310" i="10"/>
  <c r="AA309" i="10"/>
  <c r="Z309" i="10"/>
  <c r="Y309" i="10"/>
  <c r="B309" i="10"/>
  <c r="A309" i="10"/>
  <c r="AA308" i="10"/>
  <c r="Z308" i="10"/>
  <c r="Y308" i="10"/>
  <c r="B308" i="10"/>
  <c r="D308" i="10" s="1"/>
  <c r="A308" i="10"/>
  <c r="AA307" i="10"/>
  <c r="Z307" i="10"/>
  <c r="AB307" i="10" s="1"/>
  <c r="Y307" i="10"/>
  <c r="B307" i="10"/>
  <c r="A307" i="10"/>
  <c r="AA306" i="10"/>
  <c r="Z306" i="10"/>
  <c r="AB306" i="10" s="1"/>
  <c r="Y306" i="10"/>
  <c r="B306" i="10"/>
  <c r="A306" i="10"/>
  <c r="AA305" i="10"/>
  <c r="Z305" i="10"/>
  <c r="AB305" i="10" s="1"/>
  <c r="Y305" i="10"/>
  <c r="B305" i="10"/>
  <c r="A305" i="10"/>
  <c r="AA304" i="10"/>
  <c r="Z304" i="10"/>
  <c r="Y304" i="10"/>
  <c r="B304" i="10"/>
  <c r="A304" i="10"/>
  <c r="AA303" i="10"/>
  <c r="Z303" i="10"/>
  <c r="Y303" i="10"/>
  <c r="B303" i="10"/>
  <c r="E303" i="10" s="1"/>
  <c r="H303" i="10" s="1"/>
  <c r="A303" i="10"/>
  <c r="AA302" i="10"/>
  <c r="Z302" i="10"/>
  <c r="Y302" i="10"/>
  <c r="B302" i="10"/>
  <c r="C302" i="10" s="1"/>
  <c r="A302" i="10"/>
  <c r="AA301" i="10"/>
  <c r="Z301" i="10"/>
  <c r="AB301" i="10" s="1"/>
  <c r="Y301" i="10"/>
  <c r="B301" i="10"/>
  <c r="A301" i="10"/>
  <c r="AA300" i="10"/>
  <c r="Z300" i="10"/>
  <c r="Y300" i="10"/>
  <c r="B300" i="10"/>
  <c r="D300" i="10" s="1"/>
  <c r="A300" i="10"/>
  <c r="AA299" i="10"/>
  <c r="Z299" i="10"/>
  <c r="Y299" i="10"/>
  <c r="B299" i="10"/>
  <c r="A299" i="10"/>
  <c r="AA298" i="10"/>
  <c r="Z298" i="10"/>
  <c r="AB298" i="10" s="1"/>
  <c r="Y298" i="10"/>
  <c r="B298" i="10"/>
  <c r="A298" i="10"/>
  <c r="AA297" i="10"/>
  <c r="Z297" i="10"/>
  <c r="Y297" i="10"/>
  <c r="B297" i="10"/>
  <c r="A297" i="10"/>
  <c r="AA296" i="10"/>
  <c r="Z296" i="10"/>
  <c r="Y296" i="10"/>
  <c r="B296" i="10"/>
  <c r="D296" i="10" s="1"/>
  <c r="A296" i="10"/>
  <c r="AA295" i="10"/>
  <c r="Z295" i="10"/>
  <c r="AB295" i="10" s="1"/>
  <c r="Y295" i="10"/>
  <c r="B295" i="10"/>
  <c r="C295" i="10" s="1"/>
  <c r="A295" i="10"/>
  <c r="AA294" i="10"/>
  <c r="Z294" i="10"/>
  <c r="Y294" i="10"/>
  <c r="D294" i="10" s="1"/>
  <c r="C294" i="10"/>
  <c r="B294" i="10"/>
  <c r="A294" i="10"/>
  <c r="AA293" i="10"/>
  <c r="Z293" i="10"/>
  <c r="Y293" i="10"/>
  <c r="B293" i="10"/>
  <c r="A293" i="10"/>
  <c r="AA292" i="10"/>
  <c r="Z292" i="10"/>
  <c r="Y292" i="10"/>
  <c r="B292" i="10"/>
  <c r="A292" i="10"/>
  <c r="AA291" i="10"/>
  <c r="Z291" i="10"/>
  <c r="Y291" i="10"/>
  <c r="B291" i="10"/>
  <c r="A291" i="10"/>
  <c r="AA290" i="10"/>
  <c r="AB290" i="10" s="1"/>
  <c r="Z290" i="10"/>
  <c r="Y290" i="10"/>
  <c r="B290" i="10"/>
  <c r="A290" i="10"/>
  <c r="AA289" i="10"/>
  <c r="Z289" i="10"/>
  <c r="Y289" i="10"/>
  <c r="B289" i="10"/>
  <c r="A289" i="10"/>
  <c r="AA288" i="10"/>
  <c r="Z288" i="10"/>
  <c r="Y288" i="10"/>
  <c r="B288" i="10"/>
  <c r="A288" i="10"/>
  <c r="AA287" i="10"/>
  <c r="Z287" i="10"/>
  <c r="Y287" i="10"/>
  <c r="B287" i="10"/>
  <c r="D287" i="10" s="1"/>
  <c r="A287" i="10"/>
  <c r="AA286" i="10"/>
  <c r="Z286" i="10"/>
  <c r="Y286" i="10"/>
  <c r="B286" i="10"/>
  <c r="A286" i="10"/>
  <c r="AA285" i="10"/>
  <c r="Z285" i="10"/>
  <c r="Y285" i="10"/>
  <c r="B285" i="10"/>
  <c r="A285" i="10"/>
  <c r="AA284" i="10"/>
  <c r="Z284" i="10"/>
  <c r="Y284" i="10"/>
  <c r="B284" i="10"/>
  <c r="D284" i="10" s="1"/>
  <c r="A284" i="10"/>
  <c r="AB283" i="10"/>
  <c r="AA283" i="10"/>
  <c r="Z283" i="10"/>
  <c r="Y283" i="10"/>
  <c r="B283" i="10"/>
  <c r="A283" i="10"/>
  <c r="AA282" i="10"/>
  <c r="Z282" i="10"/>
  <c r="Y282" i="10"/>
  <c r="B282" i="10"/>
  <c r="E282" i="10" s="1"/>
  <c r="H282" i="10" s="1"/>
  <c r="A282" i="10"/>
  <c r="AA281" i="10"/>
  <c r="Z281" i="10"/>
  <c r="Y281" i="10"/>
  <c r="B281" i="10"/>
  <c r="A281" i="10"/>
  <c r="AA280" i="10"/>
  <c r="Z280" i="10"/>
  <c r="Y280" i="10"/>
  <c r="B280" i="10"/>
  <c r="C280" i="10" s="1"/>
  <c r="A280" i="10"/>
  <c r="AB279" i="10"/>
  <c r="AA279" i="10"/>
  <c r="Z279" i="10"/>
  <c r="Y279" i="10"/>
  <c r="E279" i="10"/>
  <c r="H279" i="10" s="1"/>
  <c r="B279" i="10"/>
  <c r="A279" i="10"/>
  <c r="AA278" i="10"/>
  <c r="Z278" i="10"/>
  <c r="Y278" i="10"/>
  <c r="B278" i="10"/>
  <c r="A278" i="10"/>
  <c r="AA277" i="10"/>
  <c r="Z277" i="10"/>
  <c r="Y277" i="10"/>
  <c r="B277" i="10"/>
  <c r="C277" i="10" s="1"/>
  <c r="A277" i="10"/>
  <c r="AA276" i="10"/>
  <c r="Z276" i="10"/>
  <c r="AB276" i="10" s="1"/>
  <c r="Y276" i="10"/>
  <c r="B276" i="10"/>
  <c r="A276" i="10"/>
  <c r="AA275" i="10"/>
  <c r="Z275" i="10"/>
  <c r="AB275" i="10" s="1"/>
  <c r="Y275" i="10"/>
  <c r="B275" i="10"/>
  <c r="A275" i="10"/>
  <c r="AA274" i="10"/>
  <c r="Z274" i="10"/>
  <c r="AB274" i="10" s="1"/>
  <c r="Y274" i="10"/>
  <c r="B274" i="10"/>
  <c r="E274" i="10" s="1"/>
  <c r="H274" i="10" s="1"/>
  <c r="A274" i="10"/>
  <c r="AA273" i="10"/>
  <c r="E273" i="10" s="1"/>
  <c r="H273" i="10" s="1"/>
  <c r="Z273" i="10"/>
  <c r="Y273" i="10"/>
  <c r="D273" i="10"/>
  <c r="C273" i="10"/>
  <c r="B273" i="10"/>
  <c r="A273" i="10"/>
  <c r="AA272" i="10"/>
  <c r="Z272" i="10"/>
  <c r="AB272" i="10" s="1"/>
  <c r="Y272" i="10"/>
  <c r="B272" i="10"/>
  <c r="A272" i="10"/>
  <c r="AA271" i="10"/>
  <c r="E271" i="10" s="1"/>
  <c r="H271" i="10" s="1"/>
  <c r="Z271" i="10"/>
  <c r="Y271" i="10"/>
  <c r="B271" i="10"/>
  <c r="D271" i="10" s="1"/>
  <c r="A271" i="10"/>
  <c r="AA270" i="10"/>
  <c r="Z270" i="10"/>
  <c r="Y270" i="10"/>
  <c r="B270" i="10"/>
  <c r="C270" i="10" s="1"/>
  <c r="A270" i="10"/>
  <c r="AA269" i="10"/>
  <c r="E269" i="10" s="1"/>
  <c r="H269" i="10" s="1"/>
  <c r="Z269" i="10"/>
  <c r="Y269" i="10"/>
  <c r="B269" i="10"/>
  <c r="D269" i="10" s="1"/>
  <c r="A269" i="10"/>
  <c r="AA268" i="10"/>
  <c r="Z268" i="10"/>
  <c r="Y268" i="10"/>
  <c r="B268" i="10"/>
  <c r="A268" i="10"/>
  <c r="AA267" i="10"/>
  <c r="E266" i="10" s="1"/>
  <c r="H266" i="10" s="1"/>
  <c r="Z267" i="10"/>
  <c r="Y267" i="10"/>
  <c r="B267" i="10"/>
  <c r="A267" i="10"/>
  <c r="AA266" i="10"/>
  <c r="AB266" i="10" s="1"/>
  <c r="Z266" i="10"/>
  <c r="Y266" i="10"/>
  <c r="B266" i="10"/>
  <c r="A266" i="10"/>
  <c r="AA265" i="10"/>
  <c r="Z265" i="10"/>
  <c r="Y265" i="10"/>
  <c r="E265" i="10"/>
  <c r="H265" i="10" s="1"/>
  <c r="B265" i="10"/>
  <c r="A265" i="10"/>
  <c r="AA264" i="10"/>
  <c r="Z264" i="10"/>
  <c r="Y264" i="10"/>
  <c r="B264" i="10"/>
  <c r="A264" i="10"/>
  <c r="AA263" i="10"/>
  <c r="Z263" i="10"/>
  <c r="AB263" i="10" s="1"/>
  <c r="Y263" i="10"/>
  <c r="B263" i="10"/>
  <c r="A263" i="10"/>
  <c r="AA262" i="10"/>
  <c r="Z262" i="10"/>
  <c r="AB262" i="10" s="1"/>
  <c r="Y262" i="10"/>
  <c r="B262" i="10"/>
  <c r="E262" i="10" s="1"/>
  <c r="H262" i="10" s="1"/>
  <c r="A262" i="10"/>
  <c r="AA261" i="10"/>
  <c r="Z261" i="10"/>
  <c r="Y261" i="10"/>
  <c r="B261" i="10"/>
  <c r="E261" i="10" s="1"/>
  <c r="H261" i="10" s="1"/>
  <c r="A261" i="10"/>
  <c r="AA260" i="10"/>
  <c r="Z260" i="10"/>
  <c r="AB260" i="10" s="1"/>
  <c r="Y260" i="10"/>
  <c r="B260" i="10"/>
  <c r="D260" i="10" s="1"/>
  <c r="A260" i="10"/>
  <c r="AA259" i="10"/>
  <c r="Z259" i="10"/>
  <c r="AB259" i="10" s="1"/>
  <c r="Y259" i="10"/>
  <c r="B259" i="10"/>
  <c r="A259" i="10"/>
  <c r="AA258" i="10"/>
  <c r="Z258" i="10"/>
  <c r="Y258" i="10"/>
  <c r="B258" i="10"/>
  <c r="A258" i="10"/>
  <c r="AA257" i="10"/>
  <c r="Z257" i="10"/>
  <c r="AB257" i="10" s="1"/>
  <c r="Y257" i="10"/>
  <c r="B257" i="10"/>
  <c r="E257" i="10" s="1"/>
  <c r="H257" i="10" s="1"/>
  <c r="A257" i="10"/>
  <c r="AA256" i="10"/>
  <c r="Z256" i="10"/>
  <c r="Y256" i="10"/>
  <c r="B256" i="10"/>
  <c r="A256" i="10"/>
  <c r="AA255" i="10"/>
  <c r="Z255" i="10"/>
  <c r="AB255" i="10" s="1"/>
  <c r="Y255" i="10"/>
  <c r="B255" i="10"/>
  <c r="C255" i="10" s="1"/>
  <c r="A255" i="10"/>
  <c r="AA254" i="10"/>
  <c r="Z254" i="10"/>
  <c r="Y254" i="10"/>
  <c r="D253" i="10" s="1"/>
  <c r="B254" i="10"/>
  <c r="A254" i="10"/>
  <c r="AA253" i="10"/>
  <c r="Z253" i="10"/>
  <c r="Y253" i="10"/>
  <c r="B253" i="10"/>
  <c r="C253" i="10" s="1"/>
  <c r="A253" i="10"/>
  <c r="AA252" i="10"/>
  <c r="Z252" i="10"/>
  <c r="AB252" i="10" s="1"/>
  <c r="Y252" i="10"/>
  <c r="D252" i="10"/>
  <c r="B252" i="10"/>
  <c r="A252" i="10"/>
  <c r="AA251" i="10"/>
  <c r="Z251" i="10"/>
  <c r="Y251" i="10"/>
  <c r="B251" i="10"/>
  <c r="A251" i="10"/>
  <c r="AA250" i="10"/>
  <c r="Z250" i="10"/>
  <c r="Y250" i="10"/>
  <c r="E250" i="10"/>
  <c r="H250" i="10" s="1"/>
  <c r="C250" i="10"/>
  <c r="B250" i="10"/>
  <c r="A250" i="10"/>
  <c r="AA249" i="10"/>
  <c r="AB249" i="10" s="1"/>
  <c r="Z249" i="10"/>
  <c r="Y249" i="10"/>
  <c r="B249" i="10"/>
  <c r="A249" i="10"/>
  <c r="AA248" i="10"/>
  <c r="Z248" i="10"/>
  <c r="AB248" i="10" s="1"/>
  <c r="Y248" i="10"/>
  <c r="B248" i="10"/>
  <c r="A248" i="10"/>
  <c r="AA247" i="10"/>
  <c r="Z247" i="10"/>
  <c r="AB247" i="10" s="1"/>
  <c r="Y247" i="10"/>
  <c r="B247" i="10"/>
  <c r="D247" i="10" s="1"/>
  <c r="A247" i="10"/>
  <c r="AA246" i="10"/>
  <c r="Z246" i="10"/>
  <c r="AB246" i="10" s="1"/>
  <c r="Y246" i="10"/>
  <c r="D245" i="10" s="1"/>
  <c r="B246" i="10"/>
  <c r="A246" i="10"/>
  <c r="AA245" i="10"/>
  <c r="Z245" i="10"/>
  <c r="Y245" i="10"/>
  <c r="B245" i="10"/>
  <c r="C245" i="10" s="1"/>
  <c r="A245" i="10"/>
  <c r="AA244" i="10"/>
  <c r="Z244" i="10"/>
  <c r="Y244" i="10"/>
  <c r="B244" i="10"/>
  <c r="A244" i="10"/>
  <c r="AA243" i="10"/>
  <c r="Z243" i="10"/>
  <c r="Y243" i="10"/>
  <c r="B243" i="10"/>
  <c r="A243" i="10"/>
  <c r="AA242" i="10"/>
  <c r="Z242" i="10"/>
  <c r="Y242" i="10"/>
  <c r="D241" i="10" s="1"/>
  <c r="B242" i="10"/>
  <c r="D242" i="10" s="1"/>
  <c r="A242" i="10"/>
  <c r="AA241" i="10"/>
  <c r="Z241" i="10"/>
  <c r="Y241" i="10"/>
  <c r="C241" i="10"/>
  <c r="B241" i="10"/>
  <c r="A241" i="10"/>
  <c r="AA240" i="10"/>
  <c r="Z240" i="10"/>
  <c r="Y240" i="10"/>
  <c r="B240" i="10"/>
  <c r="A240" i="10"/>
  <c r="AA239" i="10"/>
  <c r="E239" i="10" s="1"/>
  <c r="H239" i="10" s="1"/>
  <c r="Z239" i="10"/>
  <c r="Y239" i="10"/>
  <c r="D239" i="10"/>
  <c r="C239" i="10"/>
  <c r="B239" i="10"/>
  <c r="A239" i="10"/>
  <c r="AA238" i="10"/>
  <c r="Z238" i="10"/>
  <c r="AB238" i="10" s="1"/>
  <c r="Y238" i="10"/>
  <c r="B238" i="10"/>
  <c r="A238" i="10"/>
  <c r="AA237" i="10"/>
  <c r="Z237" i="10"/>
  <c r="Y237" i="10"/>
  <c r="B237" i="10"/>
  <c r="D237" i="10" s="1"/>
  <c r="A237" i="10"/>
  <c r="AA236" i="10"/>
  <c r="Z236" i="10"/>
  <c r="Y236" i="10"/>
  <c r="B236" i="10"/>
  <c r="A236" i="10"/>
  <c r="AA235" i="10"/>
  <c r="Z235" i="10"/>
  <c r="AB235" i="10" s="1"/>
  <c r="Y235" i="10"/>
  <c r="B235" i="10"/>
  <c r="A235" i="10"/>
  <c r="AB234" i="10"/>
  <c r="AA234" i="10"/>
  <c r="Z234" i="10"/>
  <c r="Y234" i="10"/>
  <c r="B234" i="10"/>
  <c r="C234" i="10" s="1"/>
  <c r="A234" i="10"/>
  <c r="AA233" i="10"/>
  <c r="Z233" i="10"/>
  <c r="Y233" i="10"/>
  <c r="B233" i="10"/>
  <c r="A233" i="10"/>
  <c r="AA232" i="10"/>
  <c r="AB232" i="10" s="1"/>
  <c r="Z232" i="10"/>
  <c r="Y232" i="10"/>
  <c r="B232" i="10"/>
  <c r="C232" i="10" s="1"/>
  <c r="A232" i="10"/>
  <c r="AA231" i="10"/>
  <c r="Z231" i="10"/>
  <c r="C230" i="10" s="1"/>
  <c r="Y231" i="10"/>
  <c r="B231" i="10"/>
  <c r="A231" i="10"/>
  <c r="AA230" i="10"/>
  <c r="Z230" i="10"/>
  <c r="Y230" i="10"/>
  <c r="B230" i="10"/>
  <c r="E230" i="10" s="1"/>
  <c r="H230" i="10" s="1"/>
  <c r="A230" i="10"/>
  <c r="AA229" i="10"/>
  <c r="Z229" i="10"/>
  <c r="Y229" i="10"/>
  <c r="B229" i="10"/>
  <c r="A229" i="10"/>
  <c r="AA228" i="10"/>
  <c r="Z228" i="10"/>
  <c r="AB228" i="10" s="1"/>
  <c r="Y228" i="10"/>
  <c r="B228" i="10"/>
  <c r="A228" i="10"/>
  <c r="AA227" i="10"/>
  <c r="Z227" i="10"/>
  <c r="AB227" i="10" s="1"/>
  <c r="Y227" i="10"/>
  <c r="B227" i="10"/>
  <c r="A227" i="10"/>
  <c r="AA226" i="10"/>
  <c r="AB226" i="10" s="1"/>
  <c r="Z226" i="10"/>
  <c r="Y226" i="10"/>
  <c r="B226" i="10"/>
  <c r="A226" i="10"/>
  <c r="AA225" i="10"/>
  <c r="Z225" i="10"/>
  <c r="AB225" i="10" s="1"/>
  <c r="Y225" i="10"/>
  <c r="B225" i="10"/>
  <c r="A225" i="10"/>
  <c r="AA224" i="10"/>
  <c r="Z224" i="10"/>
  <c r="Y224" i="10"/>
  <c r="B224" i="10"/>
  <c r="A224" i="10"/>
  <c r="AA223" i="10"/>
  <c r="Z223" i="10"/>
  <c r="AB223" i="10" s="1"/>
  <c r="Y223" i="10"/>
  <c r="B223" i="10"/>
  <c r="A223" i="10"/>
  <c r="AA222" i="10"/>
  <c r="Z222" i="10"/>
  <c r="AB222" i="10" s="1"/>
  <c r="Y222" i="10"/>
  <c r="E222" i="10"/>
  <c r="H222" i="10" s="1"/>
  <c r="B222" i="10"/>
  <c r="A222" i="10"/>
  <c r="AA221" i="10"/>
  <c r="Z221" i="10"/>
  <c r="AB221" i="10" s="1"/>
  <c r="Y221" i="10"/>
  <c r="B221" i="10"/>
  <c r="A221" i="10"/>
  <c r="AA220" i="10"/>
  <c r="Z220" i="10"/>
  <c r="AB220" i="10" s="1"/>
  <c r="Y220" i="10"/>
  <c r="B220" i="10"/>
  <c r="E220" i="10" s="1"/>
  <c r="H220" i="10" s="1"/>
  <c r="A220" i="10"/>
  <c r="AA219" i="10"/>
  <c r="Z219" i="10"/>
  <c r="AB219" i="10" s="1"/>
  <c r="Y219" i="10"/>
  <c r="E219" i="10"/>
  <c r="H219" i="10" s="1"/>
  <c r="B219" i="10"/>
  <c r="A219" i="10"/>
  <c r="AA218" i="10"/>
  <c r="Z218" i="10"/>
  <c r="Y218" i="10"/>
  <c r="B218" i="10"/>
  <c r="E218" i="10" s="1"/>
  <c r="H218" i="10" s="1"/>
  <c r="A218" i="10"/>
  <c r="AA217" i="10"/>
  <c r="E216" i="10" s="1"/>
  <c r="H216" i="10" s="1"/>
  <c r="Z217" i="10"/>
  <c r="Y217" i="10"/>
  <c r="D217" i="10"/>
  <c r="C217" i="10"/>
  <c r="B217" i="10"/>
  <c r="A217" i="10"/>
  <c r="AA216" i="10"/>
  <c r="Z216" i="10"/>
  <c r="Y216" i="10"/>
  <c r="B216" i="10"/>
  <c r="C216" i="10" s="1"/>
  <c r="A216" i="10"/>
  <c r="AA215" i="10"/>
  <c r="Z215" i="10"/>
  <c r="Y215" i="10"/>
  <c r="B215" i="10"/>
  <c r="A215" i="10"/>
  <c r="AA214" i="10"/>
  <c r="Z214" i="10"/>
  <c r="Y214" i="10"/>
  <c r="B214" i="10"/>
  <c r="D214" i="10" s="1"/>
  <c r="A214" i="10"/>
  <c r="AA213" i="10"/>
  <c r="Z213" i="10"/>
  <c r="AB213" i="10" s="1"/>
  <c r="Y213" i="10"/>
  <c r="B213" i="10"/>
  <c r="A213" i="10"/>
  <c r="AA212" i="10"/>
  <c r="Z212" i="10"/>
  <c r="Y212" i="10"/>
  <c r="B212" i="10"/>
  <c r="A212" i="10"/>
  <c r="AA211" i="10"/>
  <c r="Z211" i="10"/>
  <c r="Y211" i="10"/>
  <c r="B211" i="10"/>
  <c r="A211" i="10"/>
  <c r="AA210" i="10"/>
  <c r="Z210" i="10"/>
  <c r="Y210" i="10"/>
  <c r="B210" i="10"/>
  <c r="C210" i="10" s="1"/>
  <c r="A210" i="10"/>
  <c r="AA209" i="10"/>
  <c r="Z209" i="10"/>
  <c r="AB209" i="10" s="1"/>
  <c r="Y209" i="10"/>
  <c r="B209" i="10"/>
  <c r="A209" i="10"/>
  <c r="AA208" i="10"/>
  <c r="AB208" i="10" s="1"/>
  <c r="Z208" i="10"/>
  <c r="Y208" i="10"/>
  <c r="B208" i="10"/>
  <c r="A208" i="10"/>
  <c r="AA207" i="10"/>
  <c r="E206" i="10" s="1"/>
  <c r="H206" i="10" s="1"/>
  <c r="Z207" i="10"/>
  <c r="AB207" i="10" s="1"/>
  <c r="Y207" i="10"/>
  <c r="B207" i="10"/>
  <c r="E207" i="10" s="1"/>
  <c r="H207" i="10" s="1"/>
  <c r="A207" i="10"/>
  <c r="AA206" i="10"/>
  <c r="Z206" i="10"/>
  <c r="Y206" i="10"/>
  <c r="B206" i="10"/>
  <c r="C206" i="10" s="1"/>
  <c r="A206" i="10"/>
  <c r="AA205" i="10"/>
  <c r="Z205" i="10"/>
  <c r="AB205" i="10" s="1"/>
  <c r="Y205" i="10"/>
  <c r="B205" i="10"/>
  <c r="A205" i="10"/>
  <c r="AA204" i="10"/>
  <c r="E204" i="10" s="1"/>
  <c r="H204" i="10" s="1"/>
  <c r="Z204" i="10"/>
  <c r="Y204" i="10"/>
  <c r="D204" i="10"/>
  <c r="B204" i="10"/>
  <c r="A204" i="10"/>
  <c r="AA203" i="10"/>
  <c r="Z203" i="10"/>
  <c r="Y203" i="10"/>
  <c r="B203" i="10"/>
  <c r="A203" i="10"/>
  <c r="AA202" i="10"/>
  <c r="E202" i="10" s="1"/>
  <c r="H202" i="10" s="1"/>
  <c r="Z202" i="10"/>
  <c r="Y202" i="10"/>
  <c r="B202" i="10"/>
  <c r="C202" i="10" s="1"/>
  <c r="A202" i="10"/>
  <c r="AA201" i="10"/>
  <c r="Z201" i="10"/>
  <c r="AB201" i="10" s="1"/>
  <c r="Y201" i="10"/>
  <c r="B201" i="10"/>
  <c r="E201" i="10" s="1"/>
  <c r="H201" i="10" s="1"/>
  <c r="A201" i="10"/>
  <c r="AA200" i="10"/>
  <c r="Z200" i="10"/>
  <c r="Y200" i="10"/>
  <c r="B200" i="10"/>
  <c r="C200" i="10" s="1"/>
  <c r="A200" i="10"/>
  <c r="AA199" i="10"/>
  <c r="Z199" i="10"/>
  <c r="Y199" i="10"/>
  <c r="B199" i="10"/>
  <c r="A199" i="10"/>
  <c r="AA198" i="10"/>
  <c r="Z198" i="10"/>
  <c r="AB198" i="10" s="1"/>
  <c r="Y198" i="10"/>
  <c r="B198" i="10"/>
  <c r="A198" i="10"/>
  <c r="AA197" i="10"/>
  <c r="Z197" i="10"/>
  <c r="Y197" i="10"/>
  <c r="B197" i="10"/>
  <c r="C197" i="10" s="1"/>
  <c r="A197" i="10"/>
  <c r="AA196" i="10"/>
  <c r="Z196" i="10"/>
  <c r="Y196" i="10"/>
  <c r="B196" i="10"/>
  <c r="A196" i="10"/>
  <c r="AA195" i="10"/>
  <c r="Z195" i="10"/>
  <c r="AB195" i="10" s="1"/>
  <c r="Y195" i="10"/>
  <c r="B195" i="10"/>
  <c r="A195" i="10"/>
  <c r="AA194" i="10"/>
  <c r="Z194" i="10"/>
  <c r="AB194" i="10" s="1"/>
  <c r="Y194" i="10"/>
  <c r="D194" i="10"/>
  <c r="B194" i="10"/>
  <c r="A194" i="10"/>
  <c r="AA193" i="10"/>
  <c r="Z193" i="10"/>
  <c r="AB193" i="10" s="1"/>
  <c r="Y193" i="10"/>
  <c r="B193" i="10"/>
  <c r="C193" i="10" s="1"/>
  <c r="A193" i="10"/>
  <c r="AA192" i="10"/>
  <c r="Z192" i="10"/>
  <c r="Y192" i="10"/>
  <c r="B192" i="10"/>
  <c r="A192" i="10"/>
  <c r="AA191" i="10"/>
  <c r="Z191" i="10"/>
  <c r="Y191" i="10"/>
  <c r="B191" i="10"/>
  <c r="A191" i="10"/>
  <c r="AA190" i="10"/>
  <c r="Z190" i="10"/>
  <c r="AB190" i="10" s="1"/>
  <c r="Y190" i="10"/>
  <c r="B190" i="10"/>
  <c r="C190" i="10" s="1"/>
  <c r="A190" i="10"/>
  <c r="AA189" i="10"/>
  <c r="Z189" i="10"/>
  <c r="Y189" i="10"/>
  <c r="B189" i="10"/>
  <c r="A189" i="10"/>
  <c r="AA188" i="10"/>
  <c r="Z188" i="10"/>
  <c r="Y188" i="10"/>
  <c r="B188" i="10"/>
  <c r="A188" i="10"/>
  <c r="AA187" i="10"/>
  <c r="Z187" i="10"/>
  <c r="C186" i="10" s="1"/>
  <c r="Y187" i="10"/>
  <c r="B187" i="10"/>
  <c r="A187" i="10"/>
  <c r="AA186" i="10"/>
  <c r="Z186" i="10"/>
  <c r="Y186" i="10"/>
  <c r="B186" i="10"/>
  <c r="A186" i="10"/>
  <c r="AA185" i="10"/>
  <c r="Z185" i="10"/>
  <c r="AB185" i="10" s="1"/>
  <c r="Y185" i="10"/>
  <c r="D185" i="10" s="1"/>
  <c r="B185" i="10"/>
  <c r="A185" i="10"/>
  <c r="AA184" i="10"/>
  <c r="AB184" i="10" s="1"/>
  <c r="Z184" i="10"/>
  <c r="Y184" i="10"/>
  <c r="B184" i="10"/>
  <c r="A184" i="10"/>
  <c r="AA183" i="10"/>
  <c r="Z183" i="10"/>
  <c r="Y183" i="10"/>
  <c r="B183" i="10"/>
  <c r="A183" i="10"/>
  <c r="AA182" i="10"/>
  <c r="Z182" i="10"/>
  <c r="Y182" i="10"/>
  <c r="B182" i="10"/>
  <c r="A182" i="10"/>
  <c r="AA181" i="10"/>
  <c r="Z181" i="10"/>
  <c r="Y181" i="10"/>
  <c r="B181" i="10"/>
  <c r="A181" i="10"/>
  <c r="AA180" i="10"/>
  <c r="Z180" i="10"/>
  <c r="Y180" i="10"/>
  <c r="B180" i="10"/>
  <c r="D180" i="10" s="1"/>
  <c r="A180" i="10"/>
  <c r="AA179" i="10"/>
  <c r="Z179" i="10"/>
  <c r="AB179" i="10" s="1"/>
  <c r="Y179" i="10"/>
  <c r="B179" i="10"/>
  <c r="A179" i="10"/>
  <c r="AA178" i="10"/>
  <c r="Z178" i="10"/>
  <c r="Y178" i="10"/>
  <c r="B178" i="10"/>
  <c r="A178" i="10"/>
  <c r="AA177" i="10"/>
  <c r="Z177" i="10"/>
  <c r="AB177" i="10" s="1"/>
  <c r="Y177" i="10"/>
  <c r="B177" i="10"/>
  <c r="A177" i="10"/>
  <c r="AA176" i="10"/>
  <c r="Z176" i="10"/>
  <c r="Y176" i="10"/>
  <c r="B176" i="10"/>
  <c r="A176" i="10"/>
  <c r="AA175" i="10"/>
  <c r="Z175" i="10"/>
  <c r="Y175" i="10"/>
  <c r="B175" i="10"/>
  <c r="A175" i="10"/>
  <c r="AA174" i="10"/>
  <c r="Z174" i="10"/>
  <c r="Y174" i="10"/>
  <c r="B174" i="10"/>
  <c r="E174" i="10" s="1"/>
  <c r="H174" i="10" s="1"/>
  <c r="A174" i="10"/>
  <c r="AA173" i="10"/>
  <c r="Z173" i="10"/>
  <c r="AB173" i="10" s="1"/>
  <c r="Y173" i="10"/>
  <c r="B173" i="10"/>
  <c r="A173" i="10"/>
  <c r="AA172" i="10"/>
  <c r="AB172" i="10" s="1"/>
  <c r="Z172" i="10"/>
  <c r="Y172" i="10"/>
  <c r="B172" i="10"/>
  <c r="A172" i="10"/>
  <c r="AA171" i="10"/>
  <c r="Z171" i="10"/>
  <c r="AB171" i="10" s="1"/>
  <c r="Y171" i="10"/>
  <c r="B171" i="10"/>
  <c r="A171" i="10"/>
  <c r="AA170" i="10"/>
  <c r="Z170" i="10"/>
  <c r="Y170" i="10"/>
  <c r="B170" i="10"/>
  <c r="E170" i="10" s="1"/>
  <c r="H170" i="10" s="1"/>
  <c r="A170" i="10"/>
  <c r="AA169" i="10"/>
  <c r="Z169" i="10"/>
  <c r="Y169" i="10"/>
  <c r="B169" i="10"/>
  <c r="A169" i="10"/>
  <c r="AA168" i="10"/>
  <c r="Z168" i="10"/>
  <c r="Y168" i="10"/>
  <c r="B168" i="10"/>
  <c r="D168" i="10" s="1"/>
  <c r="A168" i="10"/>
  <c r="AA167" i="10"/>
  <c r="Z167" i="10"/>
  <c r="Y167" i="10"/>
  <c r="B167" i="10"/>
  <c r="A167" i="10"/>
  <c r="AA166" i="10"/>
  <c r="Z166" i="10"/>
  <c r="Y166" i="10"/>
  <c r="E166" i="10"/>
  <c r="H166" i="10" s="1"/>
  <c r="B166" i="10"/>
  <c r="A166" i="10"/>
  <c r="AA165" i="10"/>
  <c r="Z165" i="10"/>
  <c r="AB165" i="10" s="1"/>
  <c r="Y165" i="10"/>
  <c r="B165" i="10"/>
  <c r="A165" i="10"/>
  <c r="AA164" i="10"/>
  <c r="AB164" i="10" s="1"/>
  <c r="Z164" i="10"/>
  <c r="Y164" i="10"/>
  <c r="B164" i="10"/>
  <c r="A164" i="10"/>
  <c r="AA163" i="10"/>
  <c r="Z163" i="10"/>
  <c r="Y163" i="10"/>
  <c r="B163" i="10"/>
  <c r="A163" i="10"/>
  <c r="AA162" i="10"/>
  <c r="Z162" i="10"/>
  <c r="Y162" i="10"/>
  <c r="B162" i="10"/>
  <c r="C162" i="10" s="1"/>
  <c r="A162" i="10"/>
  <c r="AA161" i="10"/>
  <c r="Z161" i="10"/>
  <c r="Y161" i="10"/>
  <c r="B161" i="10"/>
  <c r="D161" i="10" s="1"/>
  <c r="A161" i="10"/>
  <c r="AA160" i="10"/>
  <c r="E159" i="10" s="1"/>
  <c r="H159" i="10" s="1"/>
  <c r="Z160" i="10"/>
  <c r="AB160" i="10" s="1"/>
  <c r="Y160" i="10"/>
  <c r="E160" i="10"/>
  <c r="H160" i="10" s="1"/>
  <c r="B160" i="10"/>
  <c r="A160" i="10"/>
  <c r="AA159" i="10"/>
  <c r="Z159" i="10"/>
  <c r="AB159" i="10" s="1"/>
  <c r="Y159" i="10"/>
  <c r="B159" i="10"/>
  <c r="A159" i="10"/>
  <c r="AA158" i="10"/>
  <c r="Z158" i="10"/>
  <c r="Y158" i="10"/>
  <c r="B158" i="10"/>
  <c r="A158" i="10"/>
  <c r="AA157" i="10"/>
  <c r="Z157" i="10"/>
  <c r="AB157" i="10" s="1"/>
  <c r="Y157" i="10"/>
  <c r="B157" i="10"/>
  <c r="A157" i="10"/>
  <c r="AA156" i="10"/>
  <c r="Z156" i="10"/>
  <c r="Y156" i="10"/>
  <c r="B156" i="10"/>
  <c r="A156" i="10"/>
  <c r="AA155" i="10"/>
  <c r="Z155" i="10"/>
  <c r="Y155" i="10"/>
  <c r="B155" i="10"/>
  <c r="A155" i="10"/>
  <c r="AA154" i="10"/>
  <c r="AB154" i="10" s="1"/>
  <c r="Z154" i="10"/>
  <c r="Y154" i="10"/>
  <c r="B154" i="10"/>
  <c r="E154" i="10" s="1"/>
  <c r="H154" i="10" s="1"/>
  <c r="A154" i="10"/>
  <c r="AA153" i="10"/>
  <c r="AB153" i="10" s="1"/>
  <c r="Z153" i="10"/>
  <c r="Y153" i="10"/>
  <c r="B153" i="10"/>
  <c r="C153" i="10" s="1"/>
  <c r="A153" i="10"/>
  <c r="AA152" i="10"/>
  <c r="Z152" i="10"/>
  <c r="AB152" i="10" s="1"/>
  <c r="Y152" i="10"/>
  <c r="B152" i="10"/>
  <c r="A152" i="10"/>
  <c r="AA151" i="10"/>
  <c r="Z151" i="10"/>
  <c r="Y151" i="10"/>
  <c r="B151" i="10"/>
  <c r="A151" i="10"/>
  <c r="AA150" i="10"/>
  <c r="Z150" i="10"/>
  <c r="Y150" i="10"/>
  <c r="B150" i="10"/>
  <c r="C150" i="10" s="1"/>
  <c r="A150" i="10"/>
  <c r="AA149" i="10"/>
  <c r="Z149" i="10"/>
  <c r="Y149" i="10"/>
  <c r="B149" i="10"/>
  <c r="A149" i="10"/>
  <c r="AA148" i="10"/>
  <c r="AB148" i="10" s="1"/>
  <c r="Z148" i="10"/>
  <c r="Y148" i="10"/>
  <c r="B148" i="10"/>
  <c r="A148" i="10"/>
  <c r="AA147" i="10"/>
  <c r="Z147" i="10"/>
  <c r="AB147" i="10" s="1"/>
  <c r="Y147" i="10"/>
  <c r="B147" i="10"/>
  <c r="E147" i="10" s="1"/>
  <c r="H147" i="10" s="1"/>
  <c r="A147" i="10"/>
  <c r="AA146" i="10"/>
  <c r="Z146" i="10"/>
  <c r="Y146" i="10"/>
  <c r="B146" i="10"/>
  <c r="A146" i="10"/>
  <c r="AA145" i="10"/>
  <c r="Z145" i="10"/>
  <c r="AB145" i="10" s="1"/>
  <c r="Y145" i="10"/>
  <c r="B145" i="10"/>
  <c r="A145" i="10"/>
  <c r="AA144" i="10"/>
  <c r="Z144" i="10"/>
  <c r="Y144" i="10"/>
  <c r="B144" i="10"/>
  <c r="A144" i="10"/>
  <c r="AA143" i="10"/>
  <c r="Z143" i="10"/>
  <c r="Y143" i="10"/>
  <c r="B143" i="10"/>
  <c r="A143" i="10"/>
  <c r="AA142" i="10"/>
  <c r="Z142" i="10"/>
  <c r="Y142" i="10"/>
  <c r="D142" i="10"/>
  <c r="B142" i="10"/>
  <c r="A142" i="10"/>
  <c r="AA141" i="10"/>
  <c r="Z141" i="10"/>
  <c r="AB141" i="10" s="1"/>
  <c r="Y141" i="10"/>
  <c r="B141" i="10"/>
  <c r="A141" i="10"/>
  <c r="AA140" i="10"/>
  <c r="Z140" i="10"/>
  <c r="Y140" i="10"/>
  <c r="B140" i="10"/>
  <c r="A140" i="10"/>
  <c r="AA139" i="10"/>
  <c r="Z139" i="10"/>
  <c r="AB139" i="10" s="1"/>
  <c r="Y139" i="10"/>
  <c r="B139" i="10"/>
  <c r="A139" i="10"/>
  <c r="AA138" i="10"/>
  <c r="Z138" i="10"/>
  <c r="Y138" i="10"/>
  <c r="B138" i="10"/>
  <c r="C138" i="10" s="1"/>
  <c r="A138" i="10"/>
  <c r="AA137" i="10"/>
  <c r="Z137" i="10"/>
  <c r="AB137" i="10" s="1"/>
  <c r="Y137" i="10"/>
  <c r="B137" i="10"/>
  <c r="E137" i="10" s="1"/>
  <c r="H137" i="10" s="1"/>
  <c r="A137" i="10"/>
  <c r="AA136" i="10"/>
  <c r="Z136" i="10"/>
  <c r="Y136" i="10"/>
  <c r="B136" i="10"/>
  <c r="A136" i="10"/>
  <c r="AA135" i="10"/>
  <c r="Z135" i="10"/>
  <c r="Y135" i="10"/>
  <c r="B135" i="10"/>
  <c r="C135" i="10" s="1"/>
  <c r="A135" i="10"/>
  <c r="AA134" i="10"/>
  <c r="Z134" i="10"/>
  <c r="Y134" i="10"/>
  <c r="B134" i="10"/>
  <c r="A134" i="10"/>
  <c r="AA133" i="10"/>
  <c r="Z133" i="10"/>
  <c r="Y133" i="10"/>
  <c r="B133" i="10"/>
  <c r="A133" i="10"/>
  <c r="AA132" i="10"/>
  <c r="Z132" i="10"/>
  <c r="Y132" i="10"/>
  <c r="B132" i="10"/>
  <c r="A132" i="10"/>
  <c r="AA131" i="10"/>
  <c r="Z131" i="10"/>
  <c r="AB131" i="10" s="1"/>
  <c r="Y131" i="10"/>
  <c r="B131" i="10"/>
  <c r="E131" i="10" s="1"/>
  <c r="H131" i="10" s="1"/>
  <c r="A131" i="10"/>
  <c r="AA130" i="10"/>
  <c r="Z130" i="10"/>
  <c r="Y130" i="10"/>
  <c r="B130" i="10"/>
  <c r="A130" i="10"/>
  <c r="AA129" i="10"/>
  <c r="Z129" i="10"/>
  <c r="AB129" i="10" s="1"/>
  <c r="Y129" i="10"/>
  <c r="B129" i="10"/>
  <c r="E129" i="10" s="1"/>
  <c r="H129" i="10" s="1"/>
  <c r="A129" i="10"/>
  <c r="AA128" i="10"/>
  <c r="Z128" i="10"/>
  <c r="AB128" i="10" s="1"/>
  <c r="Y128" i="10"/>
  <c r="B128" i="10"/>
  <c r="A128" i="10"/>
  <c r="AA127" i="10"/>
  <c r="Z127" i="10"/>
  <c r="AB127" i="10" s="1"/>
  <c r="Y127" i="10"/>
  <c r="B127" i="10"/>
  <c r="A127" i="10"/>
  <c r="AA126" i="10"/>
  <c r="Z126" i="10"/>
  <c r="AB126" i="10" s="1"/>
  <c r="Y126" i="10"/>
  <c r="B126" i="10"/>
  <c r="A126" i="10"/>
  <c r="AA125" i="10"/>
  <c r="Z125" i="10"/>
  <c r="Y125" i="10"/>
  <c r="B125" i="10"/>
  <c r="A125" i="10"/>
  <c r="AA124" i="10"/>
  <c r="Z124" i="10"/>
  <c r="Y124" i="10"/>
  <c r="B124" i="10"/>
  <c r="A124" i="10"/>
  <c r="AA123" i="10"/>
  <c r="Z123" i="10"/>
  <c r="AB123" i="10" s="1"/>
  <c r="Y123" i="10"/>
  <c r="B123" i="10"/>
  <c r="A123" i="10"/>
  <c r="AA122" i="10"/>
  <c r="Z122" i="10"/>
  <c r="Y122" i="10"/>
  <c r="B122" i="10"/>
  <c r="C122" i="10" s="1"/>
  <c r="A122" i="10"/>
  <c r="AA121" i="10"/>
  <c r="Z121" i="10"/>
  <c r="AB121" i="10" s="1"/>
  <c r="Y121" i="10"/>
  <c r="B121" i="10"/>
  <c r="A121" i="10"/>
  <c r="AA120" i="10"/>
  <c r="Z120" i="10"/>
  <c r="Y120" i="10"/>
  <c r="B120" i="10"/>
  <c r="A120" i="10"/>
  <c r="AA119" i="10"/>
  <c r="Z119" i="10"/>
  <c r="Y119" i="10"/>
  <c r="B119" i="10"/>
  <c r="A119" i="10"/>
  <c r="AA118" i="10"/>
  <c r="AB118" i="10" s="1"/>
  <c r="Z118" i="10"/>
  <c r="Y118" i="10"/>
  <c r="D118" i="10"/>
  <c r="C118" i="10"/>
  <c r="B118" i="10"/>
  <c r="A118" i="10"/>
  <c r="AA117" i="10"/>
  <c r="Z117" i="10"/>
  <c r="Y117" i="10"/>
  <c r="B117" i="10"/>
  <c r="D117" i="10" s="1"/>
  <c r="A117" i="10"/>
  <c r="AA116" i="10"/>
  <c r="Z116" i="10"/>
  <c r="AB116" i="10" s="1"/>
  <c r="Y116" i="10"/>
  <c r="B116" i="10"/>
  <c r="D116" i="10" s="1"/>
  <c r="A116" i="10"/>
  <c r="AA115" i="10"/>
  <c r="Z115" i="10"/>
  <c r="Y115" i="10"/>
  <c r="B115" i="10"/>
  <c r="A115" i="10"/>
  <c r="AA114" i="10"/>
  <c r="Z114" i="10"/>
  <c r="AB114" i="10" s="1"/>
  <c r="Y114" i="10"/>
  <c r="B114" i="10"/>
  <c r="A114" i="10"/>
  <c r="AA113" i="10"/>
  <c r="Z113" i="10"/>
  <c r="Y113" i="10"/>
  <c r="B113" i="10"/>
  <c r="A113" i="10"/>
  <c r="AA112" i="10"/>
  <c r="Z112" i="10"/>
  <c r="Y112" i="10"/>
  <c r="B112" i="10"/>
  <c r="E112" i="10" s="1"/>
  <c r="H112" i="10" s="1"/>
  <c r="A112" i="10"/>
  <c r="AA111" i="10"/>
  <c r="Z111" i="10"/>
  <c r="AB111" i="10" s="1"/>
  <c r="Y111" i="10"/>
  <c r="B111" i="10"/>
  <c r="D111" i="10" s="1"/>
  <c r="A111" i="10"/>
  <c r="AA110" i="10"/>
  <c r="Z110" i="10"/>
  <c r="Y110" i="10"/>
  <c r="B110" i="10"/>
  <c r="A110" i="10"/>
  <c r="AA109" i="10"/>
  <c r="Z109" i="10"/>
  <c r="AB109" i="10" s="1"/>
  <c r="Y109" i="10"/>
  <c r="B109" i="10"/>
  <c r="A109" i="10"/>
  <c r="AA108" i="10"/>
  <c r="Z108" i="10"/>
  <c r="Y108" i="10"/>
  <c r="B108" i="10"/>
  <c r="A108" i="10"/>
  <c r="AA107" i="10"/>
  <c r="Z107" i="10"/>
  <c r="Y107" i="10"/>
  <c r="B107" i="10"/>
  <c r="A107" i="10"/>
  <c r="AA106" i="10"/>
  <c r="Z106" i="10"/>
  <c r="Y106" i="10"/>
  <c r="B106" i="10"/>
  <c r="A106" i="10"/>
  <c r="AA105" i="10"/>
  <c r="Z105" i="10"/>
  <c r="Y105" i="10"/>
  <c r="B105" i="10"/>
  <c r="A105" i="10"/>
  <c r="AA104" i="10"/>
  <c r="E104" i="10" s="1"/>
  <c r="H104" i="10" s="1"/>
  <c r="Z104" i="10"/>
  <c r="Y104" i="10"/>
  <c r="B104" i="10"/>
  <c r="A104" i="10"/>
  <c r="AA103" i="10"/>
  <c r="Z103" i="10"/>
  <c r="AB103" i="10" s="1"/>
  <c r="Y103" i="10"/>
  <c r="B103" i="10"/>
  <c r="A103" i="10"/>
  <c r="AA102" i="10"/>
  <c r="Z102" i="10"/>
  <c r="AB102" i="10" s="1"/>
  <c r="Y102" i="10"/>
  <c r="B102" i="10"/>
  <c r="A102" i="10"/>
  <c r="AA101" i="10"/>
  <c r="Z101" i="10"/>
  <c r="AB101" i="10" s="1"/>
  <c r="Y101" i="10"/>
  <c r="B101" i="10"/>
  <c r="A101" i="10"/>
  <c r="AA100" i="10"/>
  <c r="Z100" i="10"/>
  <c r="Y100" i="10"/>
  <c r="B100" i="10"/>
  <c r="A100" i="10"/>
  <c r="AA99" i="10"/>
  <c r="Z99" i="10"/>
  <c r="Y99" i="10"/>
  <c r="B99" i="10"/>
  <c r="A99" i="10"/>
  <c r="AA98" i="10"/>
  <c r="E98" i="10" s="1"/>
  <c r="H98" i="10" s="1"/>
  <c r="Z98" i="10"/>
  <c r="C98" i="10" s="1"/>
  <c r="I98" i="10" s="1"/>
  <c r="Y98" i="10"/>
  <c r="B98" i="10"/>
  <c r="A98" i="10"/>
  <c r="AA97" i="10"/>
  <c r="Z97" i="10"/>
  <c r="AB97" i="10" s="1"/>
  <c r="Y97" i="10"/>
  <c r="B97" i="10"/>
  <c r="A97" i="10"/>
  <c r="AA96" i="10"/>
  <c r="Z96" i="10"/>
  <c r="AB96" i="10" s="1"/>
  <c r="Y96" i="10"/>
  <c r="B96" i="10"/>
  <c r="A96" i="10"/>
  <c r="AA95" i="10"/>
  <c r="Z95" i="10"/>
  <c r="AB95" i="10" s="1"/>
  <c r="Y95" i="10"/>
  <c r="B95" i="10"/>
  <c r="A95" i="10"/>
  <c r="AA94" i="10"/>
  <c r="Z94" i="10"/>
  <c r="Y94" i="10"/>
  <c r="B94" i="10"/>
  <c r="A94" i="10"/>
  <c r="AA93" i="10"/>
  <c r="Z93" i="10"/>
  <c r="Y93" i="10"/>
  <c r="B93" i="10"/>
  <c r="A93" i="10"/>
  <c r="AA92" i="10"/>
  <c r="Z92" i="10"/>
  <c r="AB92" i="10" s="1"/>
  <c r="Y92" i="10"/>
  <c r="B92" i="10"/>
  <c r="A92" i="10"/>
  <c r="AA91" i="10"/>
  <c r="Z91" i="10"/>
  <c r="AB91" i="10" s="1"/>
  <c r="Y91" i="10"/>
  <c r="B91" i="10"/>
  <c r="A91" i="10"/>
  <c r="AA90" i="10"/>
  <c r="Z90" i="10"/>
  <c r="AB90" i="10" s="1"/>
  <c r="Y90" i="10"/>
  <c r="B90" i="10"/>
  <c r="A90" i="10"/>
  <c r="AA89" i="10"/>
  <c r="Z89" i="10"/>
  <c r="AB89" i="10" s="1"/>
  <c r="Y89" i="10"/>
  <c r="B89" i="10"/>
  <c r="C89" i="10" s="1"/>
  <c r="A89" i="10"/>
  <c r="AA88" i="10"/>
  <c r="Z88" i="10"/>
  <c r="AB88" i="10" s="1"/>
  <c r="Y88" i="10"/>
  <c r="B88" i="10"/>
  <c r="A88" i="10"/>
  <c r="AA87" i="10"/>
  <c r="Z87" i="10"/>
  <c r="AB87" i="10" s="1"/>
  <c r="Y87" i="10"/>
  <c r="B87" i="10"/>
  <c r="C87" i="10" s="1"/>
  <c r="A87" i="10"/>
  <c r="AA86" i="10"/>
  <c r="Z86" i="10"/>
  <c r="Y86" i="10"/>
  <c r="B86" i="10"/>
  <c r="E86" i="10" s="1"/>
  <c r="H86" i="10" s="1"/>
  <c r="A86" i="10"/>
  <c r="AA85" i="10"/>
  <c r="Z85" i="10"/>
  <c r="AB85" i="10" s="1"/>
  <c r="Y85" i="10"/>
  <c r="AD85" i="10" s="1"/>
  <c r="B85" i="10"/>
  <c r="E85" i="10" s="1"/>
  <c r="H85" i="10" s="1"/>
  <c r="A85" i="10"/>
  <c r="AB84" i="10"/>
  <c r="AA84" i="10"/>
  <c r="Z84" i="10"/>
  <c r="Y84" i="10"/>
  <c r="B84" i="10"/>
  <c r="A84" i="10"/>
  <c r="AA83" i="10"/>
  <c r="Z83" i="10"/>
  <c r="Y83" i="10"/>
  <c r="B83" i="10"/>
  <c r="D83" i="10" s="1"/>
  <c r="A83" i="10"/>
  <c r="AA82" i="10"/>
  <c r="Z82" i="10"/>
  <c r="Y82" i="10"/>
  <c r="B82" i="10"/>
  <c r="A82" i="10"/>
  <c r="AA81" i="10"/>
  <c r="Z81" i="10"/>
  <c r="Y81" i="10"/>
  <c r="B81" i="10"/>
  <c r="A81" i="10"/>
  <c r="AA80" i="10"/>
  <c r="Z80" i="10"/>
  <c r="AB80" i="10" s="1"/>
  <c r="Y80" i="10"/>
  <c r="B80" i="10"/>
  <c r="A80" i="10"/>
  <c r="AA79" i="10"/>
  <c r="Z79" i="10"/>
  <c r="Y79" i="10"/>
  <c r="B79" i="10"/>
  <c r="A79" i="10"/>
  <c r="AA78" i="10"/>
  <c r="Z78" i="10"/>
  <c r="Y78" i="10"/>
  <c r="B78" i="10"/>
  <c r="E78" i="10" s="1"/>
  <c r="H78" i="10" s="1"/>
  <c r="A78" i="10"/>
  <c r="AA77" i="10"/>
  <c r="Z77" i="10"/>
  <c r="AB77" i="10" s="1"/>
  <c r="Y77" i="10"/>
  <c r="B77" i="10"/>
  <c r="A77" i="10"/>
  <c r="AA76" i="10"/>
  <c r="Z76" i="10"/>
  <c r="AB76" i="10" s="1"/>
  <c r="Y76" i="10"/>
  <c r="B76" i="10"/>
  <c r="E76" i="10" s="1"/>
  <c r="H76" i="10" s="1"/>
  <c r="A76" i="10"/>
  <c r="AA75" i="10"/>
  <c r="Z75" i="10"/>
  <c r="Y75" i="10"/>
  <c r="B75" i="10"/>
  <c r="A75" i="10"/>
  <c r="AA74" i="10"/>
  <c r="Z74" i="10"/>
  <c r="Y74" i="10"/>
  <c r="B74" i="10"/>
  <c r="D74" i="10" s="1"/>
  <c r="A74" i="10"/>
  <c r="AA73" i="10"/>
  <c r="Z73" i="10"/>
  <c r="AB73" i="10" s="1"/>
  <c r="Y73" i="10"/>
  <c r="B73" i="10"/>
  <c r="A73" i="10"/>
  <c r="AA72" i="10"/>
  <c r="Z72" i="10"/>
  <c r="Y72" i="10"/>
  <c r="B72" i="10"/>
  <c r="A72" i="10"/>
  <c r="AA71" i="10"/>
  <c r="Z71" i="10"/>
  <c r="Y71" i="10"/>
  <c r="B71" i="10"/>
  <c r="A71" i="10"/>
  <c r="AA70" i="10"/>
  <c r="Z70" i="10"/>
  <c r="AB70" i="10" s="1"/>
  <c r="Y70" i="10"/>
  <c r="B70" i="10"/>
  <c r="A70" i="10"/>
  <c r="AA69" i="10"/>
  <c r="Z69" i="10"/>
  <c r="Y69" i="10"/>
  <c r="B69" i="10"/>
  <c r="A69" i="10"/>
  <c r="AA68" i="10"/>
  <c r="E68" i="10" s="1"/>
  <c r="H68" i="10" s="1"/>
  <c r="Z68" i="10"/>
  <c r="AB68" i="10" s="1"/>
  <c r="Y68" i="10"/>
  <c r="B68" i="10"/>
  <c r="A68" i="10"/>
  <c r="AA67" i="10"/>
  <c r="Z67" i="10"/>
  <c r="Y67" i="10"/>
  <c r="B67" i="10"/>
  <c r="A67" i="10"/>
  <c r="AA66" i="10"/>
  <c r="E66" i="10" s="1"/>
  <c r="H66" i="10" s="1"/>
  <c r="Z66" i="10"/>
  <c r="Y66" i="10"/>
  <c r="D66" i="10"/>
  <c r="B66" i="10"/>
  <c r="A66" i="10"/>
  <c r="AA65" i="10"/>
  <c r="Z65" i="10"/>
  <c r="Y65" i="10"/>
  <c r="B65" i="10"/>
  <c r="A65" i="10"/>
  <c r="AA64" i="10"/>
  <c r="Z64" i="10"/>
  <c r="Y64" i="10"/>
  <c r="B64" i="10"/>
  <c r="A64" i="10"/>
  <c r="AA63" i="10"/>
  <c r="Z63" i="10"/>
  <c r="Y63" i="10"/>
  <c r="B63" i="10"/>
  <c r="A63" i="10"/>
  <c r="AA62" i="10"/>
  <c r="Z62" i="10"/>
  <c r="AB62" i="10" s="1"/>
  <c r="Y62" i="10"/>
  <c r="B62" i="10"/>
  <c r="A62" i="10"/>
  <c r="AA61" i="10"/>
  <c r="Z61" i="10"/>
  <c r="Y61" i="10"/>
  <c r="B61" i="10"/>
  <c r="A61" i="10"/>
  <c r="AA60" i="10"/>
  <c r="Z60" i="10"/>
  <c r="AB60" i="10" s="1"/>
  <c r="Y60" i="10"/>
  <c r="B60" i="10"/>
  <c r="E60" i="10" s="1"/>
  <c r="H60" i="10" s="1"/>
  <c r="A60" i="10"/>
  <c r="AA59" i="10"/>
  <c r="Z59" i="10"/>
  <c r="AB59" i="10" s="1"/>
  <c r="Y59" i="10"/>
  <c r="B59" i="10"/>
  <c r="E59" i="10" s="1"/>
  <c r="H59" i="10" s="1"/>
  <c r="A59" i="10"/>
  <c r="AA58" i="10"/>
  <c r="Z58" i="10"/>
  <c r="Y58" i="10"/>
  <c r="B58" i="10"/>
  <c r="A58" i="10"/>
  <c r="AA57" i="10"/>
  <c r="AB57" i="10" s="1"/>
  <c r="Z57" i="10"/>
  <c r="Y57" i="10"/>
  <c r="B57" i="10"/>
  <c r="A57" i="10"/>
  <c r="AA56" i="10"/>
  <c r="Z56" i="10"/>
  <c r="AB56" i="10" s="1"/>
  <c r="Y56" i="10"/>
  <c r="B56" i="10"/>
  <c r="A56" i="10"/>
  <c r="AA55" i="10"/>
  <c r="Z55" i="10"/>
  <c r="Y55" i="10"/>
  <c r="B55" i="10"/>
  <c r="A55" i="10"/>
  <c r="AA54" i="10"/>
  <c r="Z54" i="10"/>
  <c r="AB54" i="10" s="1"/>
  <c r="Y54" i="10"/>
  <c r="B54" i="10"/>
  <c r="A54" i="10"/>
  <c r="AA53" i="10"/>
  <c r="Z53" i="10"/>
  <c r="Y53" i="10"/>
  <c r="B53" i="10"/>
  <c r="E53" i="10" s="1"/>
  <c r="H53" i="10" s="1"/>
  <c r="A53" i="10"/>
  <c r="AA52" i="10"/>
  <c r="Z52" i="10"/>
  <c r="AB52" i="10" s="1"/>
  <c r="Y52" i="10"/>
  <c r="B52" i="10"/>
  <c r="A52" i="10"/>
  <c r="AA51" i="10"/>
  <c r="Z51" i="10"/>
  <c r="AB51" i="10" s="1"/>
  <c r="Y51" i="10"/>
  <c r="B51" i="10"/>
  <c r="E51" i="10" s="1"/>
  <c r="H51" i="10" s="1"/>
  <c r="A51" i="10"/>
  <c r="AA50" i="10"/>
  <c r="Z50" i="10"/>
  <c r="AB50" i="10" s="1"/>
  <c r="Y50" i="10"/>
  <c r="B50" i="10"/>
  <c r="A50" i="10"/>
  <c r="AA49" i="10"/>
  <c r="Z49" i="10"/>
  <c r="Y49" i="10"/>
  <c r="B49" i="10"/>
  <c r="A49" i="10"/>
  <c r="AA48" i="10"/>
  <c r="Z48" i="10"/>
  <c r="AB48" i="10" s="1"/>
  <c r="Y48" i="10"/>
  <c r="B48" i="10"/>
  <c r="A48" i="10"/>
  <c r="AA47" i="10"/>
  <c r="Z47" i="10"/>
  <c r="AB47" i="10" s="1"/>
  <c r="Y47" i="10"/>
  <c r="B47" i="10"/>
  <c r="A47" i="10"/>
  <c r="AA46" i="10"/>
  <c r="Z46" i="10"/>
  <c r="Y46" i="10"/>
  <c r="B46" i="10"/>
  <c r="C46" i="10" s="1"/>
  <c r="A46" i="10"/>
  <c r="AA45" i="10"/>
  <c r="Z45" i="10"/>
  <c r="AB45" i="10" s="1"/>
  <c r="Y45" i="10"/>
  <c r="B45" i="10"/>
  <c r="A45" i="10"/>
  <c r="AA44" i="10"/>
  <c r="Z44" i="10"/>
  <c r="AB44" i="10" s="1"/>
  <c r="Y44" i="10"/>
  <c r="B44" i="10"/>
  <c r="D44" i="10" s="1"/>
  <c r="A44" i="10"/>
  <c r="AA43" i="10"/>
  <c r="E43" i="10" s="1"/>
  <c r="H43" i="10" s="1"/>
  <c r="Z43" i="10"/>
  <c r="Y43" i="10"/>
  <c r="D43" i="10"/>
  <c r="B43" i="10"/>
  <c r="C43" i="10" s="1"/>
  <c r="A43" i="10"/>
  <c r="AA42" i="10"/>
  <c r="Z42" i="10"/>
  <c r="AB42" i="10" s="1"/>
  <c r="Y42" i="10"/>
  <c r="B42" i="10"/>
  <c r="A42" i="10"/>
  <c r="AA41" i="10"/>
  <c r="Z41" i="10"/>
  <c r="Y41" i="10"/>
  <c r="B41" i="10"/>
  <c r="E41" i="10" s="1"/>
  <c r="H41" i="10" s="1"/>
  <c r="A41" i="10"/>
  <c r="AA40" i="10"/>
  <c r="Z40" i="10"/>
  <c r="AB40" i="10" s="1"/>
  <c r="Y40" i="10"/>
  <c r="B40" i="10"/>
  <c r="A40" i="10"/>
  <c r="AA39" i="10"/>
  <c r="Z39" i="10"/>
  <c r="Y39" i="10"/>
  <c r="B39" i="10"/>
  <c r="A39" i="10"/>
  <c r="AA38" i="10"/>
  <c r="Z38" i="10"/>
  <c r="Y38" i="10"/>
  <c r="B38" i="10"/>
  <c r="A38" i="10"/>
  <c r="AA37" i="10"/>
  <c r="Z37" i="10"/>
  <c r="AB37" i="10" s="1"/>
  <c r="Y37" i="10"/>
  <c r="B37" i="10"/>
  <c r="A37" i="10"/>
  <c r="AA36" i="10"/>
  <c r="Z36" i="10"/>
  <c r="AB36" i="10" s="1"/>
  <c r="Y36" i="10"/>
  <c r="B36" i="10"/>
  <c r="A36" i="10"/>
  <c r="AA35" i="10"/>
  <c r="Z35" i="10"/>
  <c r="Y35" i="10"/>
  <c r="B35" i="10"/>
  <c r="E35" i="10" s="1"/>
  <c r="H35" i="10" s="1"/>
  <c r="A35" i="10"/>
  <c r="AA34" i="10"/>
  <c r="Z34" i="10"/>
  <c r="Y34" i="10"/>
  <c r="B34" i="10"/>
  <c r="A34" i="10"/>
  <c r="AA33" i="10"/>
  <c r="Z33" i="10"/>
  <c r="AB33" i="10" s="1"/>
  <c r="Y33" i="10"/>
  <c r="B33" i="10"/>
  <c r="A33" i="10"/>
  <c r="AA32" i="10"/>
  <c r="Z32" i="10"/>
  <c r="AB32" i="10" s="1"/>
  <c r="Y32" i="10"/>
  <c r="B32" i="10"/>
  <c r="D32" i="10" s="1"/>
  <c r="A32" i="10"/>
  <c r="AA31" i="10"/>
  <c r="Z31" i="10"/>
  <c r="AB31" i="10" s="1"/>
  <c r="Y31" i="10"/>
  <c r="B31" i="10"/>
  <c r="A31" i="10"/>
  <c r="AA30" i="10"/>
  <c r="Z30" i="10"/>
  <c r="Y30" i="10"/>
  <c r="B30" i="10"/>
  <c r="A30" i="10"/>
  <c r="AA29" i="10"/>
  <c r="Z29" i="10"/>
  <c r="C29" i="10" s="1"/>
  <c r="Y29" i="10"/>
  <c r="B29" i="10"/>
  <c r="A29" i="10"/>
  <c r="AA28" i="10"/>
  <c r="Z28" i="10"/>
  <c r="AB28" i="10" s="1"/>
  <c r="Y28" i="10"/>
  <c r="B28" i="10"/>
  <c r="A28" i="10"/>
  <c r="AA27" i="10"/>
  <c r="Z27" i="10"/>
  <c r="Y27" i="10"/>
  <c r="B27" i="10"/>
  <c r="A27" i="10"/>
  <c r="AA26" i="10"/>
  <c r="Z26" i="10"/>
  <c r="Y26" i="10"/>
  <c r="B26" i="10"/>
  <c r="C26" i="10" s="1"/>
  <c r="A26" i="10"/>
  <c r="AA25" i="10"/>
  <c r="Z25" i="10"/>
  <c r="Y25" i="10"/>
  <c r="B25" i="10"/>
  <c r="A25" i="10"/>
  <c r="AB24" i="10"/>
  <c r="AA24" i="10"/>
  <c r="Z24" i="10"/>
  <c r="Y24" i="10"/>
  <c r="B24" i="10"/>
  <c r="E24" i="10" s="1"/>
  <c r="H24" i="10" s="1"/>
  <c r="A24" i="10"/>
  <c r="AA23" i="10"/>
  <c r="Z23" i="10"/>
  <c r="AB23" i="10" s="1"/>
  <c r="Y23" i="10"/>
  <c r="B23" i="10"/>
  <c r="A23" i="10"/>
  <c r="AA22" i="10"/>
  <c r="Z22" i="10"/>
  <c r="Y22" i="10"/>
  <c r="B22" i="10"/>
  <c r="A22" i="10"/>
  <c r="AA21" i="10"/>
  <c r="Z21" i="10"/>
  <c r="AB21" i="10" s="1"/>
  <c r="Y21" i="10"/>
  <c r="B21" i="10"/>
  <c r="A21" i="10"/>
  <c r="AA20" i="10"/>
  <c r="Z20" i="10"/>
  <c r="AB20" i="10" s="1"/>
  <c r="Y20" i="10"/>
  <c r="B20" i="10"/>
  <c r="A20" i="10"/>
  <c r="AA19" i="10"/>
  <c r="Z19" i="10"/>
  <c r="AB19" i="10" s="1"/>
  <c r="Y19" i="10"/>
  <c r="D19" i="10" s="1"/>
  <c r="E19" i="10"/>
  <c r="H19" i="10" s="1"/>
  <c r="C19" i="10"/>
  <c r="B19" i="10"/>
  <c r="A19" i="10"/>
  <c r="AA18" i="10"/>
  <c r="Z18" i="10"/>
  <c r="AB18" i="10" s="1"/>
  <c r="Y18" i="10"/>
  <c r="B18" i="10"/>
  <c r="A18" i="10"/>
  <c r="AA17" i="10"/>
  <c r="Z17" i="10"/>
  <c r="Y17" i="10"/>
  <c r="B17" i="10"/>
  <c r="E17" i="10" s="1"/>
  <c r="H17" i="10" s="1"/>
  <c r="A17" i="10"/>
  <c r="AA16" i="10"/>
  <c r="Z16" i="10"/>
  <c r="Y16" i="10"/>
  <c r="B16" i="10"/>
  <c r="A16" i="10"/>
  <c r="AA15" i="10"/>
  <c r="Z15" i="10"/>
  <c r="Y15" i="10"/>
  <c r="B15" i="10"/>
  <c r="A15" i="10"/>
  <c r="AA14" i="10"/>
  <c r="Z14" i="10"/>
  <c r="Y14" i="10"/>
  <c r="B14" i="10"/>
  <c r="A14" i="10"/>
  <c r="AA13" i="10"/>
  <c r="Z13" i="10"/>
  <c r="Y13" i="10"/>
  <c r="B13" i="10"/>
  <c r="A13" i="10"/>
  <c r="AA12" i="10"/>
  <c r="Z12" i="10"/>
  <c r="AB12" i="10" s="1"/>
  <c r="Y12" i="10"/>
  <c r="E12" i="10"/>
  <c r="H12" i="10" s="1"/>
  <c r="B12" i="10"/>
  <c r="A12" i="10"/>
  <c r="AA11" i="10"/>
  <c r="Z11" i="10"/>
  <c r="AB11" i="10" s="1"/>
  <c r="Y11" i="10"/>
  <c r="B11" i="10"/>
  <c r="A11" i="10"/>
  <c r="AA10" i="10"/>
  <c r="Z10" i="10"/>
  <c r="AB10" i="10" s="1"/>
  <c r="Y10" i="10"/>
  <c r="B10" i="10"/>
  <c r="A10" i="10"/>
  <c r="AA9" i="10"/>
  <c r="Z9" i="10"/>
  <c r="AB9" i="10" s="1"/>
  <c r="Y9" i="10"/>
  <c r="B9" i="10"/>
  <c r="A9" i="10"/>
  <c r="AA8" i="10"/>
  <c r="Z8" i="10"/>
  <c r="Y8" i="10"/>
  <c r="B8" i="10"/>
  <c r="E8" i="10" s="1"/>
  <c r="H8" i="10" s="1"/>
  <c r="A8" i="10"/>
  <c r="AA7" i="10"/>
  <c r="E7" i="10" s="1"/>
  <c r="H7" i="10" s="1"/>
  <c r="Z7" i="10"/>
  <c r="Y7" i="10"/>
  <c r="D7" i="10"/>
  <c r="B7" i="10"/>
  <c r="C7" i="10" s="1"/>
  <c r="A7" i="10"/>
  <c r="AA6" i="10"/>
  <c r="Z6" i="10"/>
  <c r="Y6" i="10"/>
  <c r="B6" i="10"/>
  <c r="C6" i="10" s="1"/>
  <c r="A6" i="10"/>
  <c r="AA5" i="10"/>
  <c r="Z5" i="10"/>
  <c r="Y5" i="10"/>
  <c r="B5" i="10"/>
  <c r="A5" i="10"/>
  <c r="I445" i="10" l="1"/>
  <c r="I375" i="10"/>
  <c r="I7" i="10"/>
  <c r="I19" i="10"/>
  <c r="I250" i="10"/>
  <c r="I206" i="10"/>
  <c r="I43" i="10"/>
  <c r="I477" i="10"/>
  <c r="E278" i="10"/>
  <c r="H278" i="10" s="1"/>
  <c r="C278" i="10"/>
  <c r="C69" i="10"/>
  <c r="E69" i="10"/>
  <c r="H69" i="10" s="1"/>
  <c r="C141" i="10"/>
  <c r="D141" i="10"/>
  <c r="I379" i="10"/>
  <c r="E107" i="10"/>
  <c r="H107" i="10" s="1"/>
  <c r="AB107" i="10"/>
  <c r="I325" i="10"/>
  <c r="C293" i="10"/>
  <c r="D293" i="10"/>
  <c r="I441" i="10"/>
  <c r="E215" i="10"/>
  <c r="H215" i="10" s="1"/>
  <c r="I230" i="10"/>
  <c r="D8" i="10"/>
  <c r="AB299" i="10"/>
  <c r="E321" i="10"/>
  <c r="H321" i="10" s="1"/>
  <c r="C416" i="10"/>
  <c r="AB437" i="10"/>
  <c r="C443" i="10"/>
  <c r="D462" i="10"/>
  <c r="E6" i="10"/>
  <c r="H6" i="10" s="1"/>
  <c r="I6" i="10" s="1"/>
  <c r="AB242" i="10"/>
  <c r="C297" i="10"/>
  <c r="E409" i="10"/>
  <c r="H409" i="10" s="1"/>
  <c r="E172" i="10"/>
  <c r="H172" i="10" s="1"/>
  <c r="D193" i="10"/>
  <c r="C442" i="10"/>
  <c r="I442" i="10" s="1"/>
  <c r="C456" i="10"/>
  <c r="I456" i="10" s="1"/>
  <c r="E501" i="10"/>
  <c r="H501" i="10" s="1"/>
  <c r="I501" i="10" s="1"/>
  <c r="AB8" i="10"/>
  <c r="AB15" i="10"/>
  <c r="E90" i="10"/>
  <c r="H90" i="10" s="1"/>
  <c r="D147" i="10"/>
  <c r="AB174" i="10"/>
  <c r="AB188" i="10"/>
  <c r="E193" i="10"/>
  <c r="H193" i="10" s="1"/>
  <c r="I193" i="10" s="1"/>
  <c r="E245" i="10"/>
  <c r="H245" i="10" s="1"/>
  <c r="I245" i="10" s="1"/>
  <c r="AB282" i="10"/>
  <c r="C289" i="10"/>
  <c r="AB324" i="10"/>
  <c r="D330" i="10"/>
  <c r="C342" i="10"/>
  <c r="AB350" i="10"/>
  <c r="E353" i="10"/>
  <c r="H353" i="10" s="1"/>
  <c r="I353" i="10" s="1"/>
  <c r="D379" i="10"/>
  <c r="C391" i="10"/>
  <c r="I391" i="10" s="1"/>
  <c r="C421" i="10"/>
  <c r="D432" i="10"/>
  <c r="E436" i="10"/>
  <c r="H436" i="10" s="1"/>
  <c r="D442" i="10"/>
  <c r="E448" i="10"/>
  <c r="H448" i="10" s="1"/>
  <c r="I448" i="10" s="1"/>
  <c r="E465" i="10"/>
  <c r="H465" i="10" s="1"/>
  <c r="I465" i="10" s="1"/>
  <c r="C472" i="10"/>
  <c r="I472" i="10" s="1"/>
  <c r="D474" i="10"/>
  <c r="E476" i="10"/>
  <c r="H476" i="10" s="1"/>
  <c r="D492" i="10"/>
  <c r="D496" i="10"/>
  <c r="AB14" i="10"/>
  <c r="AB100" i="10"/>
  <c r="D121" i="10"/>
  <c r="D321" i="10"/>
  <c r="AB398" i="10"/>
  <c r="C409" i="10"/>
  <c r="I409" i="10" s="1"/>
  <c r="AB162" i="10"/>
  <c r="C282" i="10"/>
  <c r="I282" i="10" s="1"/>
  <c r="D295" i="10"/>
  <c r="AB313" i="10"/>
  <c r="AB330" i="10"/>
  <c r="C354" i="10"/>
  <c r="I354" i="10" s="1"/>
  <c r="AB441" i="10"/>
  <c r="D69" i="10"/>
  <c r="AB98" i="10"/>
  <c r="E354" i="10"/>
  <c r="H354" i="10" s="1"/>
  <c r="E486" i="10"/>
  <c r="H486" i="10" s="1"/>
  <c r="I486" i="10" s="1"/>
  <c r="E46" i="10"/>
  <c r="H46" i="10" s="1"/>
  <c r="I46" i="10" s="1"/>
  <c r="D58" i="10"/>
  <c r="E135" i="10"/>
  <c r="H135" i="10" s="1"/>
  <c r="C154" i="10"/>
  <c r="I154" i="10" s="1"/>
  <c r="AB176" i="10"/>
  <c r="D397" i="10"/>
  <c r="C440" i="10"/>
  <c r="I440" i="10" s="1"/>
  <c r="AD503" i="10"/>
  <c r="E13" i="10"/>
  <c r="H13" i="10" s="1"/>
  <c r="E65" i="10"/>
  <c r="H65" i="10" s="1"/>
  <c r="E67" i="10"/>
  <c r="H67" i="10" s="1"/>
  <c r="AB94" i="10"/>
  <c r="E119" i="10"/>
  <c r="H119" i="10" s="1"/>
  <c r="E184" i="10"/>
  <c r="H184" i="10" s="1"/>
  <c r="AB216" i="10"/>
  <c r="AB218" i="10"/>
  <c r="C247" i="10"/>
  <c r="E249" i="10"/>
  <c r="H249" i="10" s="1"/>
  <c r="D289" i="10"/>
  <c r="AB291" i="10"/>
  <c r="E293" i="10"/>
  <c r="H293" i="10" s="1"/>
  <c r="E319" i="10"/>
  <c r="H319" i="10" s="1"/>
  <c r="I319" i="10" s="1"/>
  <c r="E384" i="10"/>
  <c r="H384" i="10" s="1"/>
  <c r="D440" i="10"/>
  <c r="E454" i="10"/>
  <c r="H454" i="10" s="1"/>
  <c r="I454" i="10" s="1"/>
  <c r="E11" i="10"/>
  <c r="H11" i="10" s="1"/>
  <c r="C18" i="10"/>
  <c r="E29" i="10"/>
  <c r="H29" i="10" s="1"/>
  <c r="I29" i="10" s="1"/>
  <c r="E47" i="10"/>
  <c r="H47" i="10" s="1"/>
  <c r="C81" i="10"/>
  <c r="AB108" i="10"/>
  <c r="D131" i="10"/>
  <c r="C170" i="10"/>
  <c r="I170" i="10" s="1"/>
  <c r="E191" i="10"/>
  <c r="H191" i="10" s="1"/>
  <c r="D196" i="10"/>
  <c r="AB13" i="10"/>
  <c r="AB38" i="10"/>
  <c r="AB49" i="10"/>
  <c r="AB63" i="10"/>
  <c r="AB72" i="10"/>
  <c r="AB74" i="10"/>
  <c r="E81" i="10"/>
  <c r="H81" i="10" s="1"/>
  <c r="D104" i="10"/>
  <c r="AB106" i="10"/>
  <c r="AB113" i="10"/>
  <c r="AB124" i="10"/>
  <c r="AB133" i="10"/>
  <c r="AB150" i="10"/>
  <c r="AB161" i="10"/>
  <c r="E162" i="10"/>
  <c r="H162" i="10" s="1"/>
  <c r="I162" i="10" s="1"/>
  <c r="D170" i="10"/>
  <c r="C182" i="10"/>
  <c r="AB197" i="10"/>
  <c r="D220" i="10"/>
  <c r="E234" i="10"/>
  <c r="H234" i="10" s="1"/>
  <c r="I234" i="10" s="1"/>
  <c r="AB270" i="10"/>
  <c r="E289" i="10"/>
  <c r="H289" i="10" s="1"/>
  <c r="D292" i="10"/>
  <c r="E298" i="10"/>
  <c r="H298" i="10" s="1"/>
  <c r="C310" i="10"/>
  <c r="I310" i="10" s="1"/>
  <c r="D328" i="10"/>
  <c r="AB331" i="10"/>
  <c r="AB363" i="10"/>
  <c r="AB367" i="10"/>
  <c r="E385" i="10"/>
  <c r="H385" i="10" s="1"/>
  <c r="AB403" i="10"/>
  <c r="AB412" i="10"/>
  <c r="AB421" i="10"/>
  <c r="E428" i="10"/>
  <c r="H428" i="10" s="1"/>
  <c r="AB438" i="10"/>
  <c r="AB456" i="10"/>
  <c r="D472" i="10"/>
  <c r="E474" i="10"/>
  <c r="H474" i="10" s="1"/>
  <c r="I474" i="10" s="1"/>
  <c r="I502" i="10"/>
  <c r="AB370" i="10"/>
  <c r="E386" i="10"/>
  <c r="H386" i="10" s="1"/>
  <c r="I386" i="10" s="1"/>
  <c r="AB30" i="10"/>
  <c r="C462" i="10"/>
  <c r="I462" i="10" s="1"/>
  <c r="E5" i="10"/>
  <c r="H5" i="10" s="1"/>
  <c r="G32" i="14"/>
  <c r="D32" i="14"/>
  <c r="E32" i="14"/>
  <c r="F32" i="14"/>
  <c r="E421" i="10"/>
  <c r="H421" i="10" s="1"/>
  <c r="C432" i="10"/>
  <c r="I432" i="10" s="1"/>
  <c r="I489" i="10"/>
  <c r="C496" i="10"/>
  <c r="I496" i="10" s="1"/>
  <c r="I216" i="10"/>
  <c r="AB132" i="10"/>
  <c r="C137" i="10"/>
  <c r="I137" i="10" s="1"/>
  <c r="E214" i="10"/>
  <c r="H214" i="10" s="1"/>
  <c r="AB315" i="10"/>
  <c r="AB251" i="10"/>
  <c r="E256" i="10"/>
  <c r="H256" i="10" s="1"/>
  <c r="D278" i="10"/>
  <c r="D280" i="10"/>
  <c r="D282" i="10"/>
  <c r="E287" i="10"/>
  <c r="H287" i="10" s="1"/>
  <c r="C349" i="10"/>
  <c r="I349" i="10" s="1"/>
  <c r="C357" i="10"/>
  <c r="I357" i="10" s="1"/>
  <c r="AB410" i="10"/>
  <c r="E426" i="10"/>
  <c r="H426" i="10" s="1"/>
  <c r="C469" i="10"/>
  <c r="I469" i="10" s="1"/>
  <c r="E483" i="10"/>
  <c r="H483" i="10" s="1"/>
  <c r="C485" i="10"/>
  <c r="E487" i="10"/>
  <c r="H487" i="10" s="1"/>
  <c r="AB492" i="10"/>
  <c r="D500" i="10"/>
  <c r="AB39" i="10"/>
  <c r="I135" i="10"/>
  <c r="E466" i="10"/>
  <c r="H466" i="10" s="1"/>
  <c r="I466" i="10" s="1"/>
  <c r="AB473" i="10"/>
  <c r="C65" i="10"/>
  <c r="AB158" i="10"/>
  <c r="C284" i="10"/>
  <c r="I239" i="10"/>
  <c r="E187" i="10"/>
  <c r="H187" i="10" s="1"/>
  <c r="D86" i="10"/>
  <c r="D123" i="10"/>
  <c r="AB140" i="10"/>
  <c r="C147" i="10"/>
  <c r="I147" i="10" s="1"/>
  <c r="E149" i="10"/>
  <c r="H149" i="10" s="1"/>
  <c r="AB168" i="10"/>
  <c r="C173" i="10"/>
  <c r="E185" i="10"/>
  <c r="H185" i="10" s="1"/>
  <c r="D187" i="10"/>
  <c r="AB189" i="10"/>
  <c r="C256" i="10"/>
  <c r="C315" i="10"/>
  <c r="I315" i="10" s="1"/>
  <c r="D346" i="10"/>
  <c r="C364" i="10"/>
  <c r="I364" i="10" s="1"/>
  <c r="AB376" i="10"/>
  <c r="E398" i="10"/>
  <c r="H398" i="10" s="1"/>
  <c r="E422" i="10"/>
  <c r="H422" i="10" s="1"/>
  <c r="AB434" i="10"/>
  <c r="D469" i="10"/>
  <c r="E471" i="10"/>
  <c r="H471" i="10" s="1"/>
  <c r="E491" i="10"/>
  <c r="H491" i="10" s="1"/>
  <c r="AB500" i="10"/>
  <c r="AB254" i="10"/>
  <c r="E96" i="10"/>
  <c r="H96" i="10" s="1"/>
  <c r="D319" i="10"/>
  <c r="I202" i="10"/>
  <c r="I273" i="10"/>
  <c r="E93" i="10"/>
  <c r="H93" i="10" s="1"/>
  <c r="E200" i="10"/>
  <c r="H200" i="10" s="1"/>
  <c r="I200" i="10" s="1"/>
  <c r="D202" i="10"/>
  <c r="E14" i="10"/>
  <c r="H14" i="10" s="1"/>
  <c r="D30" i="10"/>
  <c r="AB43" i="10"/>
  <c r="E48" i="10"/>
  <c r="H48" i="10" s="1"/>
  <c r="E52" i="10"/>
  <c r="H52" i="10" s="1"/>
  <c r="E55" i="10"/>
  <c r="H55" i="10" s="1"/>
  <c r="C62" i="10"/>
  <c r="AB64" i="10"/>
  <c r="AB66" i="10"/>
  <c r="AB82" i="10"/>
  <c r="AB86" i="10"/>
  <c r="AB93" i="10"/>
  <c r="D98" i="10"/>
  <c r="E123" i="10"/>
  <c r="H123" i="10" s="1"/>
  <c r="AB125" i="10"/>
  <c r="D149" i="10"/>
  <c r="D154" i="10"/>
  <c r="E192" i="10"/>
  <c r="H192" i="10" s="1"/>
  <c r="E194" i="10"/>
  <c r="H194" i="10" s="1"/>
  <c r="AB200" i="10"/>
  <c r="E209" i="10"/>
  <c r="H209" i="10" s="1"/>
  <c r="D222" i="10"/>
  <c r="C224" i="10"/>
  <c r="E231" i="10"/>
  <c r="H231" i="10" s="1"/>
  <c r="D250" i="10"/>
  <c r="D268" i="10"/>
  <c r="E294" i="10"/>
  <c r="H294" i="10" s="1"/>
  <c r="I294" i="10" s="1"/>
  <c r="C296" i="10"/>
  <c r="C306" i="10"/>
  <c r="AB308" i="10"/>
  <c r="D315" i="10"/>
  <c r="AB325" i="10"/>
  <c r="AB338" i="10"/>
  <c r="C345" i="10"/>
  <c r="D348" i="10"/>
  <c r="E351" i="10"/>
  <c r="H351" i="10" s="1"/>
  <c r="I351" i="10" s="1"/>
  <c r="D364" i="10"/>
  <c r="C400" i="10"/>
  <c r="AB408" i="10"/>
  <c r="C453" i="10"/>
  <c r="E461" i="10"/>
  <c r="H461" i="10" s="1"/>
  <c r="I461" i="10" s="1"/>
  <c r="AB465" i="10"/>
  <c r="C471" i="10"/>
  <c r="AB487" i="10"/>
  <c r="D285" i="10"/>
  <c r="C285" i="10"/>
  <c r="AB439" i="10"/>
  <c r="C437" i="10"/>
  <c r="I437" i="10" s="1"/>
  <c r="E114" i="10"/>
  <c r="H114" i="10" s="1"/>
  <c r="D114" i="10"/>
  <c r="E285" i="10"/>
  <c r="H285" i="10" s="1"/>
  <c r="D344" i="10"/>
  <c r="AB6" i="10"/>
  <c r="D37" i="10"/>
  <c r="E37" i="10"/>
  <c r="H37" i="10" s="1"/>
  <c r="C37" i="10"/>
  <c r="C114" i="10"/>
  <c r="E110" i="10"/>
  <c r="H110" i="10" s="1"/>
  <c r="C110" i="10"/>
  <c r="D195" i="10"/>
  <c r="E195" i="10"/>
  <c r="H195" i="10" s="1"/>
  <c r="E221" i="10"/>
  <c r="H221" i="10" s="1"/>
  <c r="C221" i="10"/>
  <c r="I221" i="10" s="1"/>
  <c r="E254" i="10"/>
  <c r="H254" i="10" s="1"/>
  <c r="D254" i="10"/>
  <c r="C42" i="10"/>
  <c r="E42" i="10"/>
  <c r="H42" i="10" s="1"/>
  <c r="D42" i="10"/>
  <c r="D175" i="10"/>
  <c r="C175" i="10"/>
  <c r="D221" i="10"/>
  <c r="C254" i="10"/>
  <c r="E301" i="10"/>
  <c r="H301" i="10" s="1"/>
  <c r="D301" i="10"/>
  <c r="D327" i="10"/>
  <c r="D326" i="10"/>
  <c r="AB427" i="10"/>
  <c r="C425" i="10"/>
  <c r="AB493" i="10"/>
  <c r="E493" i="10"/>
  <c r="H493" i="10" s="1"/>
  <c r="I493" i="10" s="1"/>
  <c r="E145" i="10"/>
  <c r="H145" i="10" s="1"/>
  <c r="C145" i="10"/>
  <c r="D18" i="10"/>
  <c r="E31" i="10"/>
  <c r="H31" i="10" s="1"/>
  <c r="D31" i="10"/>
  <c r="C31" i="10"/>
  <c r="C84" i="10"/>
  <c r="E84" i="10"/>
  <c r="H84" i="10" s="1"/>
  <c r="D84" i="10"/>
  <c r="AD121" i="10"/>
  <c r="C266" i="10"/>
  <c r="I266" i="10" s="1"/>
  <c r="AB267" i="10"/>
  <c r="E18" i="10"/>
  <c r="H18" i="10" s="1"/>
  <c r="D178" i="10"/>
  <c r="AB458" i="10"/>
  <c r="C457" i="10"/>
  <c r="E49" i="10"/>
  <c r="H49" i="10" s="1"/>
  <c r="D49" i="10"/>
  <c r="C49" i="10"/>
  <c r="I49" i="10" s="1"/>
  <c r="C58" i="10"/>
  <c r="AB117" i="10"/>
  <c r="AB119" i="10"/>
  <c r="D139" i="10"/>
  <c r="E139" i="10"/>
  <c r="H139" i="10" s="1"/>
  <c r="D171" i="10"/>
  <c r="E171" i="10"/>
  <c r="H171" i="10" s="1"/>
  <c r="E372" i="10"/>
  <c r="H372" i="10" s="1"/>
  <c r="E371" i="10"/>
  <c r="H371" i="10" s="1"/>
  <c r="C30" i="10"/>
  <c r="E30" i="10"/>
  <c r="H30" i="10" s="1"/>
  <c r="D227" i="10"/>
  <c r="E227" i="10"/>
  <c r="H227" i="10" s="1"/>
  <c r="C229" i="10"/>
  <c r="I229" i="10" s="1"/>
  <c r="AB229" i="10"/>
  <c r="AB67" i="10"/>
  <c r="E27" i="10"/>
  <c r="H27" i="10" s="1"/>
  <c r="E167" i="10"/>
  <c r="H167" i="10" s="1"/>
  <c r="C167" i="10"/>
  <c r="E237" i="10"/>
  <c r="H237" i="10" s="1"/>
  <c r="E25" i="10"/>
  <c r="H25" i="10" s="1"/>
  <c r="D25" i="10"/>
  <c r="C231" i="10"/>
  <c r="C329" i="10"/>
  <c r="I329" i="10" s="1"/>
  <c r="AB329" i="10"/>
  <c r="C413" i="10"/>
  <c r="I413" i="10" s="1"/>
  <c r="AB413" i="10"/>
  <c r="E473" i="10"/>
  <c r="H473" i="10" s="1"/>
  <c r="D473" i="10"/>
  <c r="C473" i="10"/>
  <c r="C494" i="10"/>
  <c r="E494" i="10"/>
  <c r="H494" i="10" s="1"/>
  <c r="D494" i="10"/>
  <c r="E503" i="10"/>
  <c r="H503" i="10" s="1"/>
  <c r="D503" i="10"/>
  <c r="E58" i="10"/>
  <c r="H58" i="10" s="1"/>
  <c r="C130" i="10"/>
  <c r="E130" i="10"/>
  <c r="H130" i="10" s="1"/>
  <c r="D135" i="10"/>
  <c r="E156" i="10"/>
  <c r="H156" i="10" s="1"/>
  <c r="C223" i="10"/>
  <c r="D223" i="10"/>
  <c r="D231" i="10"/>
  <c r="E264" i="10"/>
  <c r="H264" i="10" s="1"/>
  <c r="AB319" i="10"/>
  <c r="E329" i="10"/>
  <c r="H329" i="10" s="1"/>
  <c r="C407" i="10"/>
  <c r="E430" i="10"/>
  <c r="H430" i="10" s="1"/>
  <c r="C430" i="10"/>
  <c r="C436" i="10"/>
  <c r="I436" i="10" s="1"/>
  <c r="AB469" i="10"/>
  <c r="C503" i="10"/>
  <c r="E16" i="10"/>
  <c r="H16" i="10" s="1"/>
  <c r="D22" i="10"/>
  <c r="E64" i="10"/>
  <c r="H64" i="10" s="1"/>
  <c r="D102" i="10"/>
  <c r="C102" i="10"/>
  <c r="D130" i="10"/>
  <c r="E163" i="10"/>
  <c r="H163" i="10" s="1"/>
  <c r="E223" i="10"/>
  <c r="H223" i="10" s="1"/>
  <c r="E258" i="10"/>
  <c r="H258" i="10" s="1"/>
  <c r="C258" i="10"/>
  <c r="I258" i="10" s="1"/>
  <c r="D258" i="10"/>
  <c r="D264" i="10"/>
  <c r="AB344" i="10"/>
  <c r="C397" i="10"/>
  <c r="I397" i="10" s="1"/>
  <c r="AB397" i="10"/>
  <c r="C395" i="10"/>
  <c r="E420" i="10"/>
  <c r="H420" i="10" s="1"/>
  <c r="D420" i="10"/>
  <c r="C422" i="10"/>
  <c r="E424" i="10"/>
  <c r="H424" i="10" s="1"/>
  <c r="D424" i="10"/>
  <c r="C424" i="10"/>
  <c r="D34" i="10"/>
  <c r="C55" i="10"/>
  <c r="D94" i="10"/>
  <c r="C94" i="10"/>
  <c r="D163" i="10"/>
  <c r="E188" i="10"/>
  <c r="H188" i="10" s="1"/>
  <c r="D190" i="10"/>
  <c r="C218" i="10"/>
  <c r="I218" i="10" s="1"/>
  <c r="D288" i="10"/>
  <c r="C288" i="10"/>
  <c r="AB316" i="10"/>
  <c r="E383" i="10"/>
  <c r="H383" i="10" s="1"/>
  <c r="I383" i="10" s="1"/>
  <c r="C414" i="10"/>
  <c r="C420" i="10"/>
  <c r="C428" i="10"/>
  <c r="AB430" i="10"/>
  <c r="E438" i="10"/>
  <c r="H438" i="10" s="1"/>
  <c r="I438" i="10" s="1"/>
  <c r="C470" i="10"/>
  <c r="E470" i="10"/>
  <c r="H470" i="10" s="1"/>
  <c r="D470" i="10"/>
  <c r="C476" i="10"/>
  <c r="AB477" i="10"/>
  <c r="C53" i="10"/>
  <c r="I53" i="10" s="1"/>
  <c r="D55" i="10"/>
  <c r="E61" i="10"/>
  <c r="H61" i="10" s="1"/>
  <c r="C113" i="10"/>
  <c r="E116" i="10"/>
  <c r="H116" i="10" s="1"/>
  <c r="C132" i="10"/>
  <c r="E190" i="10"/>
  <c r="H190" i="10" s="1"/>
  <c r="I190" i="10" s="1"/>
  <c r="AB212" i="10"/>
  <c r="D218" i="10"/>
  <c r="D230" i="10"/>
  <c r="AB231" i="10"/>
  <c r="C298" i="10"/>
  <c r="AB310" i="10"/>
  <c r="E313" i="10"/>
  <c r="H313" i="10" s="1"/>
  <c r="C328" i="10"/>
  <c r="AB381" i="10"/>
  <c r="E407" i="10"/>
  <c r="H407" i="10" s="1"/>
  <c r="AB466" i="10"/>
  <c r="D13" i="10"/>
  <c r="E34" i="10"/>
  <c r="H34" i="10" s="1"/>
  <c r="E40" i="10"/>
  <c r="H40" i="10" s="1"/>
  <c r="D61" i="10"/>
  <c r="D67" i="10"/>
  <c r="E102" i="10"/>
  <c r="H102" i="10" s="1"/>
  <c r="D113" i="10"/>
  <c r="D132" i="10"/>
  <c r="E136" i="10"/>
  <c r="H136" i="10" s="1"/>
  <c r="C174" i="10"/>
  <c r="I174" i="10" s="1"/>
  <c r="C198" i="10"/>
  <c r="E198" i="10"/>
  <c r="H198" i="10" s="1"/>
  <c r="E253" i="10"/>
  <c r="H253" i="10" s="1"/>
  <c r="I253" i="10" s="1"/>
  <c r="AB294" i="10"/>
  <c r="D298" i="10"/>
  <c r="AB336" i="10"/>
  <c r="C335" i="10"/>
  <c r="I335" i="10" s="1"/>
  <c r="E390" i="10"/>
  <c r="H390" i="10" s="1"/>
  <c r="AB407" i="10"/>
  <c r="AB409" i="10"/>
  <c r="D480" i="10"/>
  <c r="D6" i="10"/>
  <c r="AB7" i="10"/>
  <c r="E23" i="10"/>
  <c r="H23" i="10" s="1"/>
  <c r="C67" i="10"/>
  <c r="E83" i="10"/>
  <c r="H83" i="10" s="1"/>
  <c r="D107" i="10"/>
  <c r="C107" i="10"/>
  <c r="E113" i="10"/>
  <c r="H113" i="10" s="1"/>
  <c r="C117" i="10"/>
  <c r="E117" i="10"/>
  <c r="H117" i="10" s="1"/>
  <c r="AB130" i="10"/>
  <c r="E132" i="10"/>
  <c r="H132" i="10" s="1"/>
  <c r="C166" i="10"/>
  <c r="I166" i="10" s="1"/>
  <c r="D166" i="10"/>
  <c r="D198" i="10"/>
  <c r="E208" i="10"/>
  <c r="H208" i="10" s="1"/>
  <c r="E217" i="10"/>
  <c r="H217" i="10" s="1"/>
  <c r="I217" i="10" s="1"/>
  <c r="C222" i="10"/>
  <c r="I222" i="10" s="1"/>
  <c r="D236" i="10"/>
  <c r="D248" i="10"/>
  <c r="C248" i="10"/>
  <c r="I248" i="10" s="1"/>
  <c r="AB286" i="10"/>
  <c r="AD286" i="10" s="1"/>
  <c r="C286" i="10"/>
  <c r="AB418" i="10"/>
  <c r="E444" i="10"/>
  <c r="H444" i="10" s="1"/>
  <c r="AB445" i="10"/>
  <c r="C484" i="10"/>
  <c r="C75" i="10"/>
  <c r="E79" i="10"/>
  <c r="H79" i="10" s="1"/>
  <c r="D115" i="10"/>
  <c r="E115" i="10"/>
  <c r="H115" i="10" s="1"/>
  <c r="C115" i="10"/>
  <c r="I115" i="10" s="1"/>
  <c r="C146" i="10"/>
  <c r="E146" i="10"/>
  <c r="H146" i="10" s="1"/>
  <c r="D172" i="10"/>
  <c r="D263" i="10"/>
  <c r="C263" i="10"/>
  <c r="E263" i="10"/>
  <c r="H263" i="10" s="1"/>
  <c r="C361" i="10"/>
  <c r="D75" i="10"/>
  <c r="D77" i="10"/>
  <c r="E77" i="10"/>
  <c r="H77" i="10" s="1"/>
  <c r="D95" i="10"/>
  <c r="D103" i="10"/>
  <c r="C103" i="10"/>
  <c r="C123" i="10"/>
  <c r="AB134" i="10"/>
  <c r="D146" i="10"/>
  <c r="D158" i="10"/>
  <c r="C158" i="10"/>
  <c r="AB206" i="10"/>
  <c r="E224" i="10"/>
  <c r="H224" i="10" s="1"/>
  <c r="D255" i="10"/>
  <c r="C257" i="10"/>
  <c r="I257" i="10" s="1"/>
  <c r="D337" i="10"/>
  <c r="AB369" i="10"/>
  <c r="AB27" i="10"/>
  <c r="C66" i="10"/>
  <c r="I66" i="10" s="1"/>
  <c r="AB71" i="10"/>
  <c r="AD71" i="10" s="1"/>
  <c r="AB83" i="10"/>
  <c r="D85" i="10"/>
  <c r="C85" i="10"/>
  <c r="I85" i="10" s="1"/>
  <c r="E91" i="10"/>
  <c r="H91" i="10" s="1"/>
  <c r="C95" i="10"/>
  <c r="E99" i="10"/>
  <c r="H99" i="10" s="1"/>
  <c r="AB105" i="10"/>
  <c r="AB115" i="10"/>
  <c r="AD115" i="10" s="1"/>
  <c r="C131" i="10"/>
  <c r="I131" i="10" s="1"/>
  <c r="C152" i="10"/>
  <c r="E152" i="10"/>
  <c r="H152" i="10" s="1"/>
  <c r="AB166" i="10"/>
  <c r="AB170" i="10"/>
  <c r="E178" i="10"/>
  <c r="H178" i="10" s="1"/>
  <c r="E180" i="10"/>
  <c r="H180" i="10" s="1"/>
  <c r="AB180" i="10"/>
  <c r="AB202" i="10"/>
  <c r="AB204" i="10"/>
  <c r="D257" i="10"/>
  <c r="D277" i="10"/>
  <c r="D276" i="10"/>
  <c r="C279" i="10"/>
  <c r="I279" i="10" s="1"/>
  <c r="D279" i="10"/>
  <c r="AB349" i="10"/>
  <c r="AB400" i="10"/>
  <c r="E441" i="10"/>
  <c r="H441" i="10" s="1"/>
  <c r="D441" i="10"/>
  <c r="E499" i="10"/>
  <c r="H499" i="10" s="1"/>
  <c r="I499" i="10" s="1"/>
  <c r="D499" i="10"/>
  <c r="E255" i="10"/>
  <c r="H255" i="10" s="1"/>
  <c r="I255" i="10" s="1"/>
  <c r="E314" i="10"/>
  <c r="H314" i="10" s="1"/>
  <c r="AB326" i="10"/>
  <c r="E325" i="10"/>
  <c r="H325" i="10" s="1"/>
  <c r="E417" i="10"/>
  <c r="H417" i="10" s="1"/>
  <c r="C417" i="10"/>
  <c r="E467" i="10"/>
  <c r="H467" i="10" s="1"/>
  <c r="D467" i="10"/>
  <c r="E10" i="10"/>
  <c r="H10" i="10" s="1"/>
  <c r="AB25" i="10"/>
  <c r="AB35" i="10"/>
  <c r="E39" i="10"/>
  <c r="H39" i="10" s="1"/>
  <c r="AB61" i="10"/>
  <c r="AB110" i="10"/>
  <c r="AB112" i="10"/>
  <c r="E118" i="10"/>
  <c r="H118" i="10" s="1"/>
  <c r="I118" i="10" s="1"/>
  <c r="E141" i="10"/>
  <c r="H141" i="10" s="1"/>
  <c r="AB142" i="10"/>
  <c r="AB146" i="10"/>
  <c r="E182" i="10"/>
  <c r="H182" i="10" s="1"/>
  <c r="AB182" i="10"/>
  <c r="E233" i="10"/>
  <c r="H233" i="10" s="1"/>
  <c r="AB239" i="10"/>
  <c r="AB250" i="10"/>
  <c r="AB278" i="10"/>
  <c r="E277" i="10"/>
  <c r="H277" i="10" s="1"/>
  <c r="I277" i="10" s="1"/>
  <c r="E290" i="10"/>
  <c r="H290" i="10" s="1"/>
  <c r="C290" i="10"/>
  <c r="I290" i="10" s="1"/>
  <c r="C314" i="10"/>
  <c r="C347" i="10"/>
  <c r="E347" i="10"/>
  <c r="H347" i="10" s="1"/>
  <c r="D347" i="10"/>
  <c r="C363" i="10"/>
  <c r="I363" i="10" s="1"/>
  <c r="D363" i="10"/>
  <c r="AB383" i="10"/>
  <c r="AB448" i="10"/>
  <c r="D454" i="10"/>
  <c r="AB501" i="10"/>
  <c r="E229" i="10"/>
  <c r="H229" i="10" s="1"/>
  <c r="D229" i="10"/>
  <c r="AB258" i="10"/>
  <c r="D272" i="10"/>
  <c r="C272" i="10"/>
  <c r="I272" i="10" s="1"/>
  <c r="C287" i="10"/>
  <c r="AB287" i="10"/>
  <c r="AB296" i="10"/>
  <c r="C330" i="10"/>
  <c r="D332" i="10"/>
  <c r="C332" i="10"/>
  <c r="AB355" i="10"/>
  <c r="C362" i="10"/>
  <c r="AB420" i="10"/>
  <c r="D455" i="10"/>
  <c r="C482" i="10"/>
  <c r="D46" i="10"/>
  <c r="C54" i="10"/>
  <c r="D54" i="10"/>
  <c r="E63" i="10"/>
  <c r="H63" i="10" s="1"/>
  <c r="E75" i="10"/>
  <c r="H75" i="10" s="1"/>
  <c r="E92" i="10"/>
  <c r="H92" i="10" s="1"/>
  <c r="C106" i="10"/>
  <c r="C108" i="10"/>
  <c r="E133" i="10"/>
  <c r="H133" i="10" s="1"/>
  <c r="C133" i="10"/>
  <c r="I133" i="10" s="1"/>
  <c r="E169" i="10"/>
  <c r="H169" i="10" s="1"/>
  <c r="AB186" i="10"/>
  <c r="D209" i="10"/>
  <c r="C236" i="10"/>
  <c r="C249" i="10"/>
  <c r="C281" i="10"/>
  <c r="D305" i="10"/>
  <c r="D309" i="10"/>
  <c r="E376" i="10"/>
  <c r="H376" i="10" s="1"/>
  <c r="C378" i="10"/>
  <c r="E382" i="10"/>
  <c r="H382" i="10" s="1"/>
  <c r="E413" i="10"/>
  <c r="H413" i="10" s="1"/>
  <c r="E429" i="10"/>
  <c r="H429" i="10" s="1"/>
  <c r="I429" i="10" s="1"/>
  <c r="E453" i="10"/>
  <c r="H453" i="10" s="1"/>
  <c r="E482" i="10"/>
  <c r="H482" i="10" s="1"/>
  <c r="C491" i="10"/>
  <c r="C8" i="10"/>
  <c r="I8" i="10" s="1"/>
  <c r="E22" i="10"/>
  <c r="H22" i="10" s="1"/>
  <c r="AB26" i="10"/>
  <c r="E28" i="10"/>
  <c r="H28" i="10" s="1"/>
  <c r="E36" i="10"/>
  <c r="H36" i="10" s="1"/>
  <c r="E54" i="10"/>
  <c r="H54" i="10" s="1"/>
  <c r="AB55" i="10"/>
  <c r="C72" i="10"/>
  <c r="E82" i="10"/>
  <c r="H82" i="10" s="1"/>
  <c r="D133" i="10"/>
  <c r="E144" i="10"/>
  <c r="H144" i="10" s="1"/>
  <c r="C169" i="10"/>
  <c r="E177" i="10"/>
  <c r="H177" i="10" s="1"/>
  <c r="D177" i="10"/>
  <c r="AB192" i="10"/>
  <c r="C194" i="10"/>
  <c r="E281" i="10"/>
  <c r="H281" i="10" s="1"/>
  <c r="C305" i="10"/>
  <c r="E309" i="10"/>
  <c r="H309" i="10" s="1"/>
  <c r="C313" i="10"/>
  <c r="C337" i="10"/>
  <c r="I337" i="10" s="1"/>
  <c r="AB356" i="10"/>
  <c r="D358" i="10"/>
  <c r="AB365" i="10"/>
  <c r="E368" i="10"/>
  <c r="H368" i="10" s="1"/>
  <c r="C370" i="10"/>
  <c r="C376" i="10"/>
  <c r="C380" i="10"/>
  <c r="E405" i="10"/>
  <c r="H405" i="10" s="1"/>
  <c r="AB415" i="10"/>
  <c r="E443" i="10"/>
  <c r="H443" i="10" s="1"/>
  <c r="AB449" i="10"/>
  <c r="AB451" i="10"/>
  <c r="D491" i="10"/>
  <c r="AB181" i="10"/>
  <c r="AB217" i="10"/>
  <c r="C219" i="10"/>
  <c r="I219" i="10" s="1"/>
  <c r="D243" i="10"/>
  <c r="E305" i="10"/>
  <c r="H305" i="10" s="1"/>
  <c r="AB358" i="10"/>
  <c r="D402" i="10"/>
  <c r="C490" i="10"/>
  <c r="I490" i="10" s="1"/>
  <c r="C41" i="10"/>
  <c r="I41" i="10" s="1"/>
  <c r="AB46" i="10"/>
  <c r="AB69" i="10"/>
  <c r="C86" i="10"/>
  <c r="I86" i="10" s="1"/>
  <c r="C109" i="10"/>
  <c r="AB120" i="10"/>
  <c r="E150" i="10"/>
  <c r="H150" i="10" s="1"/>
  <c r="I150" i="10" s="1"/>
  <c r="AB167" i="10"/>
  <c r="AB169" i="10"/>
  <c r="E196" i="10"/>
  <c r="H196" i="10" s="1"/>
  <c r="C204" i="10"/>
  <c r="I204" i="10" s="1"/>
  <c r="D206" i="10"/>
  <c r="AB224" i="10"/>
  <c r="AB264" i="10"/>
  <c r="E270" i="10"/>
  <c r="H270" i="10" s="1"/>
  <c r="I270" i="10" s="1"/>
  <c r="AB292" i="10"/>
  <c r="AB302" i="10"/>
  <c r="AB312" i="10"/>
  <c r="E317" i="10"/>
  <c r="H317" i="10" s="1"/>
  <c r="I317" i="10" s="1"/>
  <c r="E333" i="10"/>
  <c r="H333" i="10" s="1"/>
  <c r="I333" i="10" s="1"/>
  <c r="E359" i="10"/>
  <c r="H359" i="10" s="1"/>
  <c r="AB366" i="10"/>
  <c r="AB378" i="10"/>
  <c r="AB395" i="10"/>
  <c r="C119" i="10"/>
  <c r="E121" i="10"/>
  <c r="H121" i="10" s="1"/>
  <c r="E122" i="10"/>
  <c r="H122" i="10" s="1"/>
  <c r="I122" i="10" s="1"/>
  <c r="E128" i="10"/>
  <c r="H128" i="10" s="1"/>
  <c r="AB136" i="10"/>
  <c r="E153" i="10"/>
  <c r="H153" i="10" s="1"/>
  <c r="I153" i="10" s="1"/>
  <c r="AB230" i="10"/>
  <c r="E241" i="10"/>
  <c r="H241" i="10" s="1"/>
  <c r="I241" i="10" s="1"/>
  <c r="AB256" i="10"/>
  <c r="C268" i="10"/>
  <c r="AB280" i="10"/>
  <c r="E286" i="10"/>
  <c r="H286" i="10" s="1"/>
  <c r="E337" i="10"/>
  <c r="H337" i="10" s="1"/>
  <c r="E345" i="10"/>
  <c r="H345" i="10" s="1"/>
  <c r="AB357" i="10"/>
  <c r="E361" i="10"/>
  <c r="H361" i="10" s="1"/>
  <c r="D394" i="10"/>
  <c r="C405" i="10"/>
  <c r="D5" i="10"/>
  <c r="E15" i="10"/>
  <c r="H15" i="10" s="1"/>
  <c r="D15" i="10"/>
  <c r="C15" i="10"/>
  <c r="AB16" i="10"/>
  <c r="AB34" i="10"/>
  <c r="D65" i="10"/>
  <c r="D101" i="10"/>
  <c r="E101" i="10"/>
  <c r="H101" i="10" s="1"/>
  <c r="C101" i="10"/>
  <c r="C111" i="10"/>
  <c r="E111" i="10"/>
  <c r="H111" i="10" s="1"/>
  <c r="D155" i="10"/>
  <c r="E155" i="10"/>
  <c r="H155" i="10" s="1"/>
  <c r="C155" i="10"/>
  <c r="AB215" i="10"/>
  <c r="C215" i="10"/>
  <c r="C5" i="10"/>
  <c r="AB5" i="10"/>
  <c r="C44" i="10"/>
  <c r="E44" i="10"/>
  <c r="H44" i="10" s="1"/>
  <c r="C57" i="10"/>
  <c r="E57" i="10"/>
  <c r="H57" i="10" s="1"/>
  <c r="D57" i="10"/>
  <c r="E62" i="10"/>
  <c r="H62" i="10" s="1"/>
  <c r="D62" i="10"/>
  <c r="C78" i="10"/>
  <c r="I78" i="10" s="1"/>
  <c r="AB78" i="10"/>
  <c r="D137" i="10"/>
  <c r="D148" i="10"/>
  <c r="C88" i="10"/>
  <c r="E88" i="10"/>
  <c r="H88" i="10" s="1"/>
  <c r="D41" i="10"/>
  <c r="E70" i="10"/>
  <c r="H70" i="10" s="1"/>
  <c r="D70" i="10"/>
  <c r="D38" i="10"/>
  <c r="E38" i="10"/>
  <c r="H38" i="10" s="1"/>
  <c r="C124" i="10"/>
  <c r="D124" i="10"/>
  <c r="E124" i="10"/>
  <c r="H124" i="10" s="1"/>
  <c r="C126" i="10"/>
  <c r="E126" i="10"/>
  <c r="H126" i="10" s="1"/>
  <c r="D126" i="10"/>
  <c r="C143" i="10"/>
  <c r="AB143" i="10"/>
  <c r="D152" i="10"/>
  <c r="D14" i="10"/>
  <c r="C10" i="10"/>
  <c r="C17" i="10"/>
  <c r="I17" i="10" s="1"/>
  <c r="AB17" i="10"/>
  <c r="C22" i="10"/>
  <c r="C56" i="10"/>
  <c r="E56" i="10"/>
  <c r="H56" i="10" s="1"/>
  <c r="C79" i="10"/>
  <c r="AB79" i="10"/>
  <c r="C100" i="10"/>
  <c r="E100" i="10"/>
  <c r="H100" i="10" s="1"/>
  <c r="D100" i="10"/>
  <c r="D156" i="10"/>
  <c r="D10" i="10"/>
  <c r="D56" i="10"/>
  <c r="AB75" i="10"/>
  <c r="E105" i="10"/>
  <c r="H105" i="10" s="1"/>
  <c r="C105" i="10"/>
  <c r="D105" i="10"/>
  <c r="D119" i="10"/>
  <c r="C140" i="10"/>
  <c r="D140" i="10"/>
  <c r="E140" i="10"/>
  <c r="H140" i="10" s="1"/>
  <c r="AB22" i="10"/>
  <c r="C32" i="10"/>
  <c r="E32" i="10"/>
  <c r="H32" i="10" s="1"/>
  <c r="C45" i="10"/>
  <c r="E45" i="10"/>
  <c r="H45" i="10" s="1"/>
  <c r="D45" i="10"/>
  <c r="D53" i="10"/>
  <c r="D87" i="10"/>
  <c r="E87" i="10"/>
  <c r="H87" i="10" s="1"/>
  <c r="I87" i="10" s="1"/>
  <c r="D89" i="10"/>
  <c r="E89" i="10"/>
  <c r="H89" i="10" s="1"/>
  <c r="I89" i="10" s="1"/>
  <c r="D174" i="10"/>
  <c r="E199" i="10"/>
  <c r="H199" i="10" s="1"/>
  <c r="C199" i="10"/>
  <c r="I199" i="10" s="1"/>
  <c r="D199" i="10"/>
  <c r="C70" i="10"/>
  <c r="E9" i="10"/>
  <c r="H9" i="10" s="1"/>
  <c r="D9" i="10"/>
  <c r="C71" i="10"/>
  <c r="E71" i="10"/>
  <c r="H71" i="10" s="1"/>
  <c r="D71" i="10"/>
  <c r="E125" i="10"/>
  <c r="H125" i="10" s="1"/>
  <c r="D125" i="10"/>
  <c r="D127" i="10"/>
  <c r="C127" i="10"/>
  <c r="AB138" i="10"/>
  <c r="E138" i="10"/>
  <c r="H138" i="10" s="1"/>
  <c r="I138" i="10" s="1"/>
  <c r="AB149" i="10"/>
  <c r="C149" i="10"/>
  <c r="E183" i="10"/>
  <c r="H183" i="10" s="1"/>
  <c r="AB183" i="10"/>
  <c r="E338" i="10"/>
  <c r="H338" i="10" s="1"/>
  <c r="C338" i="10"/>
  <c r="D338" i="10"/>
  <c r="E33" i="10"/>
  <c r="H33" i="10" s="1"/>
  <c r="C33" i="10"/>
  <c r="I33" i="10" s="1"/>
  <c r="D33" i="10"/>
  <c r="D88" i="10"/>
  <c r="C14" i="10"/>
  <c r="I14" i="10" s="1"/>
  <c r="C20" i="10"/>
  <c r="E20" i="10"/>
  <c r="H20" i="10" s="1"/>
  <c r="AB304" i="10"/>
  <c r="C304" i="10"/>
  <c r="D17" i="10"/>
  <c r="D20" i="10"/>
  <c r="C38" i="10"/>
  <c r="D136" i="10"/>
  <c r="E50" i="10"/>
  <c r="H50" i="10" s="1"/>
  <c r="D50" i="10"/>
  <c r="C9" i="10"/>
  <c r="D29" i="10"/>
  <c r="C34" i="10"/>
  <c r="C50" i="10"/>
  <c r="AB58" i="10"/>
  <c r="E73" i="10"/>
  <c r="H73" i="10" s="1"/>
  <c r="C73" i="10"/>
  <c r="I73" i="10" s="1"/>
  <c r="D73" i="10"/>
  <c r="C125" i="10"/>
  <c r="I125" i="10" s="1"/>
  <c r="E127" i="10"/>
  <c r="H127" i="10" s="1"/>
  <c r="E21" i="10"/>
  <c r="H21" i="10" s="1"/>
  <c r="D21" i="10"/>
  <c r="C21" i="10"/>
  <c r="E26" i="10"/>
  <c r="H26" i="10" s="1"/>
  <c r="I26" i="10" s="1"/>
  <c r="D26" i="10"/>
  <c r="E109" i="10"/>
  <c r="H109" i="10" s="1"/>
  <c r="D109" i="10"/>
  <c r="C13" i="10"/>
  <c r="C25" i="10"/>
  <c r="C61" i="10"/>
  <c r="D82" i="10"/>
  <c r="C129" i="10"/>
  <c r="I129" i="10" s="1"/>
  <c r="D129" i="10"/>
  <c r="D134" i="10"/>
  <c r="D144" i="10"/>
  <c r="E148" i="10"/>
  <c r="H148" i="10" s="1"/>
  <c r="AB178" i="10"/>
  <c r="C178" i="10"/>
  <c r="I178" i="10" s="1"/>
  <c r="C68" i="10"/>
  <c r="I68" i="10" s="1"/>
  <c r="D68" i="10"/>
  <c r="C112" i="10"/>
  <c r="I112" i="10" s="1"/>
  <c r="D112" i="10"/>
  <c r="E142" i="10"/>
  <c r="H142" i="10" s="1"/>
  <c r="C142" i="10"/>
  <c r="I142" i="10" s="1"/>
  <c r="AB144" i="10"/>
  <c r="D159" i="10"/>
  <c r="C159" i="10"/>
  <c r="I159" i="10" s="1"/>
  <c r="E173" i="10"/>
  <c r="H173" i="10" s="1"/>
  <c r="D173" i="10"/>
  <c r="E97" i="10"/>
  <c r="H97" i="10" s="1"/>
  <c r="C97" i="10"/>
  <c r="E151" i="10"/>
  <c r="H151" i="10" s="1"/>
  <c r="C151" i="10"/>
  <c r="C176" i="10"/>
  <c r="E176" i="10"/>
  <c r="H176" i="10" s="1"/>
  <c r="D176" i="10"/>
  <c r="D179" i="10"/>
  <c r="E179" i="10"/>
  <c r="H179" i="10" s="1"/>
  <c r="C27" i="10"/>
  <c r="C39" i="10"/>
  <c r="C51" i="10"/>
  <c r="I51" i="10" s="1"/>
  <c r="C63" i="10"/>
  <c r="I63" i="10" s="1"/>
  <c r="D72" i="10"/>
  <c r="C74" i="10"/>
  <c r="C90" i="10"/>
  <c r="C91" i="10"/>
  <c r="C92" i="10"/>
  <c r="D92" i="10"/>
  <c r="C96" i="10"/>
  <c r="D96" i="10"/>
  <c r="D97" i="10"/>
  <c r="C99" i="10"/>
  <c r="D106" i="10"/>
  <c r="D108" i="10"/>
  <c r="D151" i="10"/>
  <c r="AB156" i="10"/>
  <c r="C179" i="10"/>
  <c r="C16" i="10"/>
  <c r="D27" i="10"/>
  <c r="D39" i="10"/>
  <c r="C52" i="10"/>
  <c r="AB53" i="10"/>
  <c r="D63" i="10"/>
  <c r="C64" i="10"/>
  <c r="AB65" i="10"/>
  <c r="E72" i="10"/>
  <c r="H72" i="10" s="1"/>
  <c r="C76" i="10"/>
  <c r="I76" i="10" s="1"/>
  <c r="D90" i="10"/>
  <c r="D91" i="10"/>
  <c r="C93" i="10"/>
  <c r="D99" i="10"/>
  <c r="E106" i="10"/>
  <c r="H106" i="10" s="1"/>
  <c r="E108" i="10"/>
  <c r="H108" i="10" s="1"/>
  <c r="D128" i="10"/>
  <c r="C139" i="10"/>
  <c r="E158" i="10"/>
  <c r="H158" i="10" s="1"/>
  <c r="D208" i="10"/>
  <c r="C28" i="10"/>
  <c r="AB29" i="10"/>
  <c r="C40" i="10"/>
  <c r="AB41" i="10"/>
  <c r="D51" i="10"/>
  <c r="D16" i="10"/>
  <c r="D28" i="10"/>
  <c r="D40" i="10"/>
  <c r="D52" i="10"/>
  <c r="D64" i="10"/>
  <c r="E74" i="10"/>
  <c r="H74" i="10" s="1"/>
  <c r="D76" i="10"/>
  <c r="C77" i="10"/>
  <c r="I77" i="10" s="1"/>
  <c r="AB81" i="10"/>
  <c r="D93" i="10"/>
  <c r="E95" i="10"/>
  <c r="H95" i="10" s="1"/>
  <c r="E103" i="10"/>
  <c r="H103" i="10" s="1"/>
  <c r="C121" i="10"/>
  <c r="AB155" i="10"/>
  <c r="AB163" i="10"/>
  <c r="E165" i="10"/>
  <c r="H165" i="10" s="1"/>
  <c r="C165" i="10"/>
  <c r="I165" i="10" s="1"/>
  <c r="D165" i="10"/>
  <c r="C171" i="10"/>
  <c r="E228" i="10"/>
  <c r="H228" i="10" s="1"/>
  <c r="C228" i="10"/>
  <c r="D228" i="10"/>
  <c r="E297" i="10"/>
  <c r="H297" i="10" s="1"/>
  <c r="AB297" i="10"/>
  <c r="E94" i="10"/>
  <c r="H94" i="10" s="1"/>
  <c r="D110" i="10"/>
  <c r="E157" i="10"/>
  <c r="H157" i="10" s="1"/>
  <c r="C157" i="10"/>
  <c r="D157" i="10"/>
  <c r="C11" i="10"/>
  <c r="C80" i="10"/>
  <c r="D80" i="10"/>
  <c r="C120" i="10"/>
  <c r="D162" i="10"/>
  <c r="AD172" i="10"/>
  <c r="E181" i="10"/>
  <c r="H181" i="10" s="1"/>
  <c r="C181" i="10"/>
  <c r="D181" i="10"/>
  <c r="D184" i="10"/>
  <c r="D203" i="10"/>
  <c r="E203" i="10"/>
  <c r="H203" i="10" s="1"/>
  <c r="C203" i="10"/>
  <c r="D224" i="10"/>
  <c r="C23" i="10"/>
  <c r="C47" i="10"/>
  <c r="D11" i="10"/>
  <c r="C12" i="10"/>
  <c r="I12" i="10" s="1"/>
  <c r="D23" i="10"/>
  <c r="C24" i="10"/>
  <c r="I24" i="10" s="1"/>
  <c r="D35" i="10"/>
  <c r="C36" i="10"/>
  <c r="D47" i="10"/>
  <c r="C48" i="10"/>
  <c r="I48" i="10" s="1"/>
  <c r="D59" i="10"/>
  <c r="C60" i="10"/>
  <c r="I60" i="10" s="1"/>
  <c r="AD72" i="10"/>
  <c r="D78" i="10"/>
  <c r="D79" i="10"/>
  <c r="E80" i="10"/>
  <c r="H80" i="10" s="1"/>
  <c r="D120" i="10"/>
  <c r="D122" i="10"/>
  <c r="D138" i="10"/>
  <c r="D145" i="10"/>
  <c r="D150" i="10"/>
  <c r="D153" i="10"/>
  <c r="D169" i="10"/>
  <c r="E186" i="10"/>
  <c r="H186" i="10" s="1"/>
  <c r="I186" i="10" s="1"/>
  <c r="D189" i="10"/>
  <c r="D192" i="10"/>
  <c r="D211" i="10"/>
  <c r="C211" i="10"/>
  <c r="E211" i="10"/>
  <c r="H211" i="10" s="1"/>
  <c r="D216" i="10"/>
  <c r="C35" i="10"/>
  <c r="I35" i="10" s="1"/>
  <c r="C59" i="10"/>
  <c r="I59" i="10" s="1"/>
  <c r="D12" i="10"/>
  <c r="D24" i="10"/>
  <c r="D36" i="10"/>
  <c r="D48" i="10"/>
  <c r="D60" i="10"/>
  <c r="D81" i="10"/>
  <c r="C82" i="10"/>
  <c r="C83" i="10"/>
  <c r="I83" i="10" s="1"/>
  <c r="AB99" i="10"/>
  <c r="AB104" i="10"/>
  <c r="E120" i="10"/>
  <c r="H120" i="10" s="1"/>
  <c r="AB122" i="10"/>
  <c r="C164" i="10"/>
  <c r="D164" i="10"/>
  <c r="E164" i="10"/>
  <c r="H164" i="10" s="1"/>
  <c r="E168" i="10"/>
  <c r="H168" i="10" s="1"/>
  <c r="E197" i="10"/>
  <c r="H197" i="10" s="1"/>
  <c r="I197" i="10" s="1"/>
  <c r="D197" i="10"/>
  <c r="E226" i="10"/>
  <c r="H226" i="10" s="1"/>
  <c r="C235" i="10"/>
  <c r="E235" i="10"/>
  <c r="H235" i="10" s="1"/>
  <c r="D235" i="10"/>
  <c r="E213" i="10"/>
  <c r="H213" i="10" s="1"/>
  <c r="D213" i="10"/>
  <c r="C213" i="10"/>
  <c r="D246" i="10"/>
  <c r="C246" i="10"/>
  <c r="E134" i="10"/>
  <c r="H134" i="10" s="1"/>
  <c r="C134" i="10"/>
  <c r="I134" i="10" s="1"/>
  <c r="D160" i="10"/>
  <c r="C177" i="10"/>
  <c r="AB187" i="10"/>
  <c r="E189" i="10"/>
  <c r="H189" i="10" s="1"/>
  <c r="C189" i="10"/>
  <c r="C201" i="10"/>
  <c r="I201" i="10" s="1"/>
  <c r="AB211" i="10"/>
  <c r="D232" i="10"/>
  <c r="E246" i="10"/>
  <c r="H246" i="10" s="1"/>
  <c r="AB191" i="10"/>
  <c r="C191" i="10"/>
  <c r="D201" i="10"/>
  <c r="E205" i="10"/>
  <c r="H205" i="10" s="1"/>
  <c r="D205" i="10"/>
  <c r="C205" i="10"/>
  <c r="C214" i="10"/>
  <c r="AB214" i="10"/>
  <c r="E225" i="10"/>
  <c r="H225" i="10" s="1"/>
  <c r="D225" i="10"/>
  <c r="C225" i="10"/>
  <c r="AB269" i="10"/>
  <c r="C269" i="10"/>
  <c r="I269" i="10" s="1"/>
  <c r="D186" i="10"/>
  <c r="C271" i="10"/>
  <c r="I271" i="10" s="1"/>
  <c r="AB271" i="10"/>
  <c r="C163" i="10"/>
  <c r="E175" i="10"/>
  <c r="H175" i="10" s="1"/>
  <c r="D182" i="10"/>
  <c r="C188" i="10"/>
  <c r="D188" i="10"/>
  <c r="C195" i="10"/>
  <c r="I195" i="10" s="1"/>
  <c r="D200" i="10"/>
  <c r="D210" i="10"/>
  <c r="C212" i="10"/>
  <c r="E212" i="10"/>
  <c r="H212" i="10" s="1"/>
  <c r="D212" i="10"/>
  <c r="AB309" i="10"/>
  <c r="C309" i="10"/>
  <c r="E210" i="10"/>
  <c r="H210" i="10" s="1"/>
  <c r="I210" i="10" s="1"/>
  <c r="AB210" i="10"/>
  <c r="D266" i="10"/>
  <c r="AB135" i="10"/>
  <c r="E161" i="10"/>
  <c r="H161" i="10" s="1"/>
  <c r="C161" i="10"/>
  <c r="C187" i="10"/>
  <c r="AB196" i="10"/>
  <c r="AB233" i="10"/>
  <c r="C233" i="10"/>
  <c r="I233" i="10" s="1"/>
  <c r="AB243" i="10"/>
  <c r="D290" i="10"/>
  <c r="E302" i="10"/>
  <c r="H302" i="10" s="1"/>
  <c r="I302" i="10" s="1"/>
  <c r="D302" i="10"/>
  <c r="E316" i="10"/>
  <c r="H316" i="10" s="1"/>
  <c r="C316" i="10"/>
  <c r="I316" i="10" s="1"/>
  <c r="AB339" i="10"/>
  <c r="C339" i="10"/>
  <c r="E242" i="10"/>
  <c r="H242" i="10" s="1"/>
  <c r="C242" i="10"/>
  <c r="E311" i="10"/>
  <c r="H311" i="10" s="1"/>
  <c r="D311" i="10"/>
  <c r="C311" i="10"/>
  <c r="D316" i="10"/>
  <c r="C326" i="10"/>
  <c r="E326" i="10"/>
  <c r="H326" i="10" s="1"/>
  <c r="D143" i="10"/>
  <c r="AB321" i="10"/>
  <c r="C321" i="10"/>
  <c r="D333" i="10"/>
  <c r="D183" i="10"/>
  <c r="D207" i="10"/>
  <c r="AB237" i="10"/>
  <c r="C237" i="10"/>
  <c r="E240" i="10"/>
  <c r="H240" i="10" s="1"/>
  <c r="D240" i="10"/>
  <c r="C104" i="10"/>
  <c r="I104" i="10" s="1"/>
  <c r="C116" i="10"/>
  <c r="C128" i="10"/>
  <c r="E143" i="10"/>
  <c r="H143" i="10" s="1"/>
  <c r="C183" i="10"/>
  <c r="C185" i="10"/>
  <c r="I185" i="10" s="1"/>
  <c r="C207" i="10"/>
  <c r="I207" i="10" s="1"/>
  <c r="C209" i="10"/>
  <c r="D226" i="10"/>
  <c r="C226" i="10"/>
  <c r="C227" i="10"/>
  <c r="C240" i="10"/>
  <c r="D265" i="10"/>
  <c r="D251" i="10"/>
  <c r="C251" i="10"/>
  <c r="E259" i="10"/>
  <c r="H259" i="10" s="1"/>
  <c r="C259" i="10"/>
  <c r="I259" i="10" s="1"/>
  <c r="AB265" i="10"/>
  <c r="C265" i="10"/>
  <c r="I265" i="10" s="1"/>
  <c r="D267" i="10"/>
  <c r="E267" i="10"/>
  <c r="H267" i="10" s="1"/>
  <c r="C267" i="10"/>
  <c r="I267" i="10" s="1"/>
  <c r="E396" i="10"/>
  <c r="H396" i="10" s="1"/>
  <c r="C396" i="10"/>
  <c r="D396" i="10"/>
  <c r="C136" i="10"/>
  <c r="AB151" i="10"/>
  <c r="D167" i="10"/>
  <c r="AB175" i="10"/>
  <c r="D191" i="10"/>
  <c r="AB199" i="10"/>
  <c r="D215" i="10"/>
  <c r="E238" i="10"/>
  <c r="H238" i="10" s="1"/>
  <c r="D238" i="10"/>
  <c r="C238" i="10"/>
  <c r="E251" i="10"/>
  <c r="H251" i="10" s="1"/>
  <c r="D256" i="10"/>
  <c r="D259" i="10"/>
  <c r="AB203" i="10"/>
  <c r="E232" i="10"/>
  <c r="H232" i="10" s="1"/>
  <c r="I232" i="10" s="1"/>
  <c r="D234" i="10"/>
  <c r="AB236" i="10"/>
  <c r="AB241" i="10"/>
  <c r="D244" i="10"/>
  <c r="AB281" i="10"/>
  <c r="E283" i="10"/>
  <c r="H283" i="10" s="1"/>
  <c r="D283" i="10"/>
  <c r="C283" i="10"/>
  <c r="D286" i="10"/>
  <c r="C343" i="10"/>
  <c r="E343" i="10"/>
  <c r="H343" i="10" s="1"/>
  <c r="D343" i="10"/>
  <c r="D219" i="10"/>
  <c r="AB244" i="10"/>
  <c r="E307" i="10"/>
  <c r="H307" i="10" s="1"/>
  <c r="D307" i="10"/>
  <c r="C307" i="10"/>
  <c r="E312" i="10"/>
  <c r="H312" i="10" s="1"/>
  <c r="D312" i="10"/>
  <c r="C312" i="10"/>
  <c r="C320" i="10"/>
  <c r="AB372" i="10"/>
  <c r="C372" i="10"/>
  <c r="E247" i="10"/>
  <c r="H247" i="10" s="1"/>
  <c r="C252" i="10"/>
  <c r="AB273" i="10"/>
  <c r="D281" i="10"/>
  <c r="C300" i="10"/>
  <c r="AB300" i="10"/>
  <c r="E360" i="10"/>
  <c r="H360" i="10" s="1"/>
  <c r="D360" i="10"/>
  <c r="C360" i="10"/>
  <c r="D401" i="10"/>
  <c r="E275" i="10"/>
  <c r="H275" i="10" s="1"/>
  <c r="D275" i="10"/>
  <c r="C275" i="10"/>
  <c r="D303" i="10"/>
  <c r="D322" i="10"/>
  <c r="E322" i="10"/>
  <c r="H322" i="10" s="1"/>
  <c r="C148" i="10"/>
  <c r="I148" i="10" s="1"/>
  <c r="C160" i="10"/>
  <c r="I160" i="10" s="1"/>
  <c r="C172" i="10"/>
  <c r="I172" i="10" s="1"/>
  <c r="C184" i="10"/>
  <c r="C196" i="10"/>
  <c r="I196" i="10" s="1"/>
  <c r="C208" i="10"/>
  <c r="I208" i="10" s="1"/>
  <c r="C220" i="10"/>
  <c r="I220" i="10" s="1"/>
  <c r="AB245" i="10"/>
  <c r="D249" i="10"/>
  <c r="C274" i="10"/>
  <c r="I274" i="10" s="1"/>
  <c r="C301" i="10"/>
  <c r="I301" i="10" s="1"/>
  <c r="AB303" i="10"/>
  <c r="C303" i="10"/>
  <c r="I303" i="10" s="1"/>
  <c r="D306" i="10"/>
  <c r="E318" i="10"/>
  <c r="H318" i="10" s="1"/>
  <c r="I318" i="10" s="1"/>
  <c r="D318" i="10"/>
  <c r="C322" i="10"/>
  <c r="D341" i="10"/>
  <c r="AB387" i="10"/>
  <c r="E387" i="10"/>
  <c r="H387" i="10" s="1"/>
  <c r="I387" i="10" s="1"/>
  <c r="D261" i="10"/>
  <c r="AB268" i="10"/>
  <c r="D274" i="10"/>
  <c r="AB285" i="10"/>
  <c r="E299" i="10"/>
  <c r="H299" i="10" s="1"/>
  <c r="D299" i="10"/>
  <c r="E306" i="10"/>
  <c r="H306" i="10" s="1"/>
  <c r="AB323" i="10"/>
  <c r="AB341" i="10"/>
  <c r="C341" i="10"/>
  <c r="I341" i="10" s="1"/>
  <c r="AB343" i="10"/>
  <c r="E393" i="10"/>
  <c r="H393" i="10" s="1"/>
  <c r="D393" i="10"/>
  <c r="C393" i="10"/>
  <c r="I393" i="10" s="1"/>
  <c r="AB261" i="10"/>
  <c r="C261" i="10"/>
  <c r="I261" i="10" s="1"/>
  <c r="C299" i="10"/>
  <c r="I299" i="10" s="1"/>
  <c r="D310" i="10"/>
  <c r="AB311" i="10"/>
  <c r="C331" i="10"/>
  <c r="I331" i="10" s="1"/>
  <c r="D331" i="10"/>
  <c r="E388" i="10"/>
  <c r="H388" i="10" s="1"/>
  <c r="D388" i="10"/>
  <c r="C388" i="10"/>
  <c r="D351" i="10"/>
  <c r="C144" i="10"/>
  <c r="C156" i="10"/>
  <c r="C168" i="10"/>
  <c r="C180" i="10"/>
  <c r="C192" i="10"/>
  <c r="D233" i="10"/>
  <c r="E243" i="10"/>
  <c r="H243" i="10" s="1"/>
  <c r="C243" i="10"/>
  <c r="D270" i="10"/>
  <c r="AB277" i="10"/>
  <c r="AB284" i="10"/>
  <c r="E291" i="10"/>
  <c r="H291" i="10" s="1"/>
  <c r="D291" i="10"/>
  <c r="C291" i="10"/>
  <c r="E295" i="10"/>
  <c r="H295" i="10" s="1"/>
  <c r="I295" i="10" s="1"/>
  <c r="E304" i="10"/>
  <c r="H304" i="10" s="1"/>
  <c r="D304" i="10"/>
  <c r="AB359" i="10"/>
  <c r="C359" i="10"/>
  <c r="I359" i="10" s="1"/>
  <c r="D262" i="10"/>
  <c r="C262" i="10"/>
  <c r="I262" i="10" s="1"/>
  <c r="C264" i="10"/>
  <c r="AB332" i="10"/>
  <c r="AB361" i="10"/>
  <c r="D372" i="10"/>
  <c r="E320" i="10"/>
  <c r="H320" i="10" s="1"/>
  <c r="D320" i="10"/>
  <c r="E327" i="10"/>
  <c r="H327" i="10" s="1"/>
  <c r="I327" i="10" s="1"/>
  <c r="E336" i="10"/>
  <c r="H336" i="10" s="1"/>
  <c r="D336" i="10"/>
  <c r="C336" i="10"/>
  <c r="D356" i="10"/>
  <c r="E380" i="10"/>
  <c r="H380" i="10" s="1"/>
  <c r="D380" i="10"/>
  <c r="C415" i="10"/>
  <c r="I415" i="10" s="1"/>
  <c r="D415" i="10"/>
  <c r="D367" i="10"/>
  <c r="C367" i="10"/>
  <c r="E367" i="10"/>
  <c r="H367" i="10" s="1"/>
  <c r="D374" i="10"/>
  <c r="C374" i="10"/>
  <c r="E374" i="10"/>
  <c r="H374" i="10" s="1"/>
  <c r="E392" i="10"/>
  <c r="H392" i="10" s="1"/>
  <c r="D392" i="10"/>
  <c r="C392" i="10"/>
  <c r="E406" i="10"/>
  <c r="H406" i="10" s="1"/>
  <c r="D406" i="10"/>
  <c r="C406" i="10"/>
  <c r="AB411" i="10"/>
  <c r="C411" i="10"/>
  <c r="D297" i="10"/>
  <c r="E330" i="10"/>
  <c r="H330" i="10" s="1"/>
  <c r="D335" i="10"/>
  <c r="C381" i="10"/>
  <c r="E381" i="10"/>
  <c r="H381" i="10" s="1"/>
  <c r="D381" i="10"/>
  <c r="E401" i="10"/>
  <c r="H401" i="10" s="1"/>
  <c r="I401" i="10" s="1"/>
  <c r="AB401" i="10"/>
  <c r="AB240" i="10"/>
  <c r="E248" i="10"/>
  <c r="H248" i="10" s="1"/>
  <c r="AB253" i="10"/>
  <c r="AB288" i="10"/>
  <c r="AB289" i="10"/>
  <c r="AB293" i="10"/>
  <c r="E323" i="10"/>
  <c r="H323" i="10" s="1"/>
  <c r="I323" i="10" s="1"/>
  <c r="D323" i="10"/>
  <c r="E328" i="10"/>
  <c r="H328" i="10" s="1"/>
  <c r="E350" i="10"/>
  <c r="H350" i="10" s="1"/>
  <c r="D350" i="10"/>
  <c r="C350" i="10"/>
  <c r="E352" i="10"/>
  <c r="H352" i="10" s="1"/>
  <c r="C352" i="10"/>
  <c r="I352" i="10" s="1"/>
  <c r="D352" i="10"/>
  <c r="D443" i="10"/>
  <c r="E346" i="10"/>
  <c r="H346" i="10" s="1"/>
  <c r="I346" i="10" s="1"/>
  <c r="AB346" i="10"/>
  <c r="D375" i="10"/>
  <c r="E342" i="10"/>
  <c r="H342" i="10" s="1"/>
  <c r="AB342" i="10"/>
  <c r="D357" i="10"/>
  <c r="E370" i="10"/>
  <c r="H370" i="10" s="1"/>
  <c r="D370" i="10"/>
  <c r="D417" i="10"/>
  <c r="E236" i="10"/>
  <c r="H236" i="10" s="1"/>
  <c r="E244" i="10"/>
  <c r="H244" i="10" s="1"/>
  <c r="C244" i="10"/>
  <c r="E252" i="10"/>
  <c r="H252" i="10" s="1"/>
  <c r="E260" i="10"/>
  <c r="H260" i="10" s="1"/>
  <c r="C260" i="10"/>
  <c r="E268" i="10"/>
  <c r="H268" i="10" s="1"/>
  <c r="E276" i="10"/>
  <c r="H276" i="10" s="1"/>
  <c r="C276" i="10"/>
  <c r="E284" i="10"/>
  <c r="H284" i="10" s="1"/>
  <c r="E292" i="10"/>
  <c r="H292" i="10" s="1"/>
  <c r="C292" i="10"/>
  <c r="E300" i="10"/>
  <c r="H300" i="10" s="1"/>
  <c r="E358" i="10"/>
  <c r="H358" i="10" s="1"/>
  <c r="I358" i="10" s="1"/>
  <c r="D359" i="10"/>
  <c r="D361" i="10"/>
  <c r="D366" i="10"/>
  <c r="C377" i="10"/>
  <c r="E377" i="10"/>
  <c r="H377" i="10" s="1"/>
  <c r="D313" i="10"/>
  <c r="D329" i="10"/>
  <c r="D345" i="10"/>
  <c r="AB348" i="10"/>
  <c r="E355" i="10"/>
  <c r="H355" i="10" s="1"/>
  <c r="I355" i="10" s="1"/>
  <c r="D355" i="10"/>
  <c r="E362" i="10"/>
  <c r="H362" i="10" s="1"/>
  <c r="AB362" i="10"/>
  <c r="C365" i="10"/>
  <c r="E365" i="10"/>
  <c r="H365" i="10" s="1"/>
  <c r="E366" i="10"/>
  <c r="H366" i="10" s="1"/>
  <c r="I366" i="10" s="1"/>
  <c r="AB373" i="10"/>
  <c r="D377" i="10"/>
  <c r="E389" i="10"/>
  <c r="H389" i="10" s="1"/>
  <c r="C389" i="10"/>
  <c r="I389" i="10" s="1"/>
  <c r="D428" i="10"/>
  <c r="E272" i="10"/>
  <c r="H272" i="10" s="1"/>
  <c r="E280" i="10"/>
  <c r="H280" i="10" s="1"/>
  <c r="I280" i="10" s="1"/>
  <c r="E288" i="10"/>
  <c r="H288" i="10" s="1"/>
  <c r="E296" i="10"/>
  <c r="H296" i="10" s="1"/>
  <c r="E348" i="10"/>
  <c r="H348" i="10" s="1"/>
  <c r="I348" i="10" s="1"/>
  <c r="D502" i="10"/>
  <c r="C369" i="10"/>
  <c r="E369" i="10"/>
  <c r="H369" i="10" s="1"/>
  <c r="D384" i="10"/>
  <c r="D410" i="10"/>
  <c r="E332" i="10"/>
  <c r="H332" i="10" s="1"/>
  <c r="E334" i="10"/>
  <c r="H334" i="10" s="1"/>
  <c r="I334" i="10" s="1"/>
  <c r="D334" i="10"/>
  <c r="E339" i="10"/>
  <c r="H339" i="10" s="1"/>
  <c r="D339" i="10"/>
  <c r="E344" i="10"/>
  <c r="H344" i="10" s="1"/>
  <c r="I344" i="10" s="1"/>
  <c r="C368" i="10"/>
  <c r="D369" i="10"/>
  <c r="C373" i="10"/>
  <c r="E373" i="10"/>
  <c r="H373" i="10" s="1"/>
  <c r="D373" i="10"/>
  <c r="C384" i="10"/>
  <c r="AB384" i="10"/>
  <c r="D395" i="10"/>
  <c r="E395" i="10"/>
  <c r="H395" i="10" s="1"/>
  <c r="E414" i="10"/>
  <c r="H414" i="10" s="1"/>
  <c r="D414" i="10"/>
  <c r="C460" i="10"/>
  <c r="I460" i="10" s="1"/>
  <c r="D378" i="10"/>
  <c r="E408" i="10"/>
  <c r="H408" i="10" s="1"/>
  <c r="D408" i="10"/>
  <c r="E433" i="10"/>
  <c r="H433" i="10" s="1"/>
  <c r="I433" i="10" s="1"/>
  <c r="AB433" i="10"/>
  <c r="D362" i="10"/>
  <c r="E378" i="10"/>
  <c r="H378" i="10" s="1"/>
  <c r="D382" i="10"/>
  <c r="C382" i="10"/>
  <c r="I382" i="10" s="1"/>
  <c r="C394" i="10"/>
  <c r="E394" i="10"/>
  <c r="H394" i="10" s="1"/>
  <c r="D398" i="10"/>
  <c r="C398" i="10"/>
  <c r="C408" i="10"/>
  <c r="I408" i="10" s="1"/>
  <c r="E431" i="10"/>
  <c r="H431" i="10" s="1"/>
  <c r="I431" i="10" s="1"/>
  <c r="D431" i="10"/>
  <c r="AB452" i="10"/>
  <c r="D386" i="10"/>
  <c r="AB392" i="10"/>
  <c r="D405" i="10"/>
  <c r="C410" i="10"/>
  <c r="E410" i="10"/>
  <c r="H410" i="10" s="1"/>
  <c r="E308" i="10"/>
  <c r="H308" i="10" s="1"/>
  <c r="E324" i="10"/>
  <c r="H324" i="10" s="1"/>
  <c r="E340" i="10"/>
  <c r="H340" i="10" s="1"/>
  <c r="E356" i="10"/>
  <c r="H356" i="10" s="1"/>
  <c r="D371" i="10"/>
  <c r="C399" i="10"/>
  <c r="I399" i="10" s="1"/>
  <c r="E404" i="10"/>
  <c r="H404" i="10" s="1"/>
  <c r="D404" i="10"/>
  <c r="C404" i="10"/>
  <c r="D409" i="10"/>
  <c r="E419" i="10"/>
  <c r="H419" i="10" s="1"/>
  <c r="C419" i="10"/>
  <c r="I419" i="10" s="1"/>
  <c r="E451" i="10"/>
  <c r="H451" i="10" s="1"/>
  <c r="C451" i="10"/>
  <c r="D451" i="10"/>
  <c r="C308" i="10"/>
  <c r="C324" i="10"/>
  <c r="C340" i="10"/>
  <c r="C356" i="10"/>
  <c r="C371" i="10"/>
  <c r="D383" i="10"/>
  <c r="D399" i="10"/>
  <c r="E400" i="10"/>
  <c r="H400" i="10" s="1"/>
  <c r="E402" i="10"/>
  <c r="H402" i="10" s="1"/>
  <c r="I402" i="10" s="1"/>
  <c r="D403" i="10"/>
  <c r="E403" i="10"/>
  <c r="H403" i="10" s="1"/>
  <c r="I403" i="10" s="1"/>
  <c r="E412" i="10"/>
  <c r="H412" i="10" s="1"/>
  <c r="I412" i="10" s="1"/>
  <c r="D412" i="10"/>
  <c r="D419" i="10"/>
  <c r="E425" i="10"/>
  <c r="H425" i="10" s="1"/>
  <c r="AB425" i="10"/>
  <c r="E427" i="10"/>
  <c r="H427" i="10" s="1"/>
  <c r="D427" i="10"/>
  <c r="C427" i="10"/>
  <c r="D448" i="10"/>
  <c r="D418" i="10"/>
  <c r="E423" i="10"/>
  <c r="H423" i="10" s="1"/>
  <c r="D423" i="10"/>
  <c r="D438" i="10"/>
  <c r="E481" i="10"/>
  <c r="H481" i="10" s="1"/>
  <c r="I481" i="10" s="1"/>
  <c r="AB481" i="10"/>
  <c r="E495" i="10"/>
  <c r="H495" i="10" s="1"/>
  <c r="D495" i="10"/>
  <c r="C495" i="10"/>
  <c r="C385" i="10"/>
  <c r="E411" i="10"/>
  <c r="H411" i="10" s="1"/>
  <c r="D411" i="10"/>
  <c r="C418" i="10"/>
  <c r="C423" i="10"/>
  <c r="AB444" i="10"/>
  <c r="C444" i="10"/>
  <c r="D385" i="10"/>
  <c r="AB390" i="10"/>
  <c r="C390" i="10"/>
  <c r="D413" i="10"/>
  <c r="E418" i="10"/>
  <c r="H418" i="10" s="1"/>
  <c r="D426" i="10"/>
  <c r="C426" i="10"/>
  <c r="D437" i="10"/>
  <c r="D445" i="10"/>
  <c r="D446" i="10"/>
  <c r="E452" i="10"/>
  <c r="H452" i="10" s="1"/>
  <c r="I452" i="10" s="1"/>
  <c r="D464" i="10"/>
  <c r="D444" i="10"/>
  <c r="AB464" i="10"/>
  <c r="C464" i="10"/>
  <c r="I464" i="10" s="1"/>
  <c r="AB457" i="10"/>
  <c r="E457" i="10"/>
  <c r="H457" i="10" s="1"/>
  <c r="E459" i="10"/>
  <c r="H459" i="10" s="1"/>
  <c r="D459" i="10"/>
  <c r="C459" i="10"/>
  <c r="D483" i="10"/>
  <c r="D436" i="10"/>
  <c r="C483" i="10"/>
  <c r="AB483" i="10"/>
  <c r="E435" i="10"/>
  <c r="H435" i="10" s="1"/>
  <c r="D435" i="10"/>
  <c r="C435" i="10"/>
  <c r="D447" i="10"/>
  <c r="E439" i="10"/>
  <c r="H439" i="10" s="1"/>
  <c r="C439" i="10"/>
  <c r="I439" i="10" s="1"/>
  <c r="AB447" i="10"/>
  <c r="E458" i="10"/>
  <c r="H458" i="10" s="1"/>
  <c r="D458" i="10"/>
  <c r="C458" i="10"/>
  <c r="I458" i="10" s="1"/>
  <c r="D434" i="10"/>
  <c r="C434" i="10"/>
  <c r="C450" i="10"/>
  <c r="E450" i="10"/>
  <c r="H450" i="10" s="1"/>
  <c r="D450" i="10"/>
  <c r="C480" i="10"/>
  <c r="AB480" i="10"/>
  <c r="D487" i="10"/>
  <c r="E434" i="10"/>
  <c r="H434" i="10" s="1"/>
  <c r="AB423" i="10"/>
  <c r="AB431" i="10"/>
  <c r="D465" i="10"/>
  <c r="D475" i="10"/>
  <c r="C478" i="10"/>
  <c r="E478" i="10"/>
  <c r="H478" i="10" s="1"/>
  <c r="D478" i="10"/>
  <c r="AB485" i="10"/>
  <c r="E485" i="10"/>
  <c r="H485" i="10" s="1"/>
  <c r="AB488" i="10"/>
  <c r="C488" i="10"/>
  <c r="I488" i="10" s="1"/>
  <c r="D452" i="10"/>
  <c r="D453" i="10"/>
  <c r="AB455" i="10"/>
  <c r="E463" i="10"/>
  <c r="H463" i="10" s="1"/>
  <c r="C463" i="10"/>
  <c r="D481" i="10"/>
  <c r="D484" i="10"/>
  <c r="D422" i="10"/>
  <c r="D430" i="10"/>
  <c r="E455" i="10"/>
  <c r="H455" i="10" s="1"/>
  <c r="C455" i="10"/>
  <c r="D456" i="10"/>
  <c r="E479" i="10"/>
  <c r="H479" i="10" s="1"/>
  <c r="D479" i="10"/>
  <c r="C479" i="10"/>
  <c r="D490" i="10"/>
  <c r="D461" i="10"/>
  <c r="D460" i="10"/>
  <c r="D482" i="10"/>
  <c r="D489" i="10"/>
  <c r="D501" i="10"/>
  <c r="D498" i="10"/>
  <c r="AD500" i="10"/>
  <c r="E416" i="10"/>
  <c r="H416" i="10" s="1"/>
  <c r="D421" i="10"/>
  <c r="D429" i="10"/>
  <c r="E447" i="10"/>
  <c r="H447" i="10" s="1"/>
  <c r="C447" i="10"/>
  <c r="I447" i="10" s="1"/>
  <c r="AB461" i="10"/>
  <c r="C475" i="10"/>
  <c r="I475" i="10" s="1"/>
  <c r="D488" i="10"/>
  <c r="E498" i="10"/>
  <c r="H498" i="10" s="1"/>
  <c r="I498" i="10" s="1"/>
  <c r="D466" i="10"/>
  <c r="C467" i="10"/>
  <c r="E468" i="10"/>
  <c r="H468" i="10" s="1"/>
  <c r="I468" i="10" s="1"/>
  <c r="E492" i="10"/>
  <c r="H492" i="10" s="1"/>
  <c r="I492" i="10" s="1"/>
  <c r="D477" i="10"/>
  <c r="E480" i="10"/>
  <c r="H480" i="10" s="1"/>
  <c r="E504" i="10"/>
  <c r="H504" i="10" s="1"/>
  <c r="D504" i="10"/>
  <c r="E484" i="10"/>
  <c r="H484" i="10" s="1"/>
  <c r="D486" i="10"/>
  <c r="C487" i="10"/>
  <c r="AB496" i="10"/>
  <c r="C500" i="10"/>
  <c r="I500" i="10" s="1"/>
  <c r="C504" i="10"/>
  <c r="I385" i="10" l="1"/>
  <c r="I404" i="10"/>
  <c r="I392" i="10"/>
  <c r="I205" i="10"/>
  <c r="I455" i="10"/>
  <c r="I276" i="10"/>
  <c r="I243" i="10"/>
  <c r="I396" i="10"/>
  <c r="I240" i="10"/>
  <c r="I105" i="10"/>
  <c r="I471" i="10"/>
  <c r="I169" i="10"/>
  <c r="I491" i="10"/>
  <c r="I236" i="10"/>
  <c r="I47" i="10"/>
  <c r="I237" i="10"/>
  <c r="I23" i="10"/>
  <c r="I28" i="10"/>
  <c r="I149" i="10"/>
  <c r="I18" i="10"/>
  <c r="I34" i="10"/>
  <c r="I249" i="10"/>
  <c r="I209" i="10"/>
  <c r="I64" i="10"/>
  <c r="I99" i="10"/>
  <c r="I39" i="10"/>
  <c r="I405" i="10"/>
  <c r="I287" i="10"/>
  <c r="I328" i="10"/>
  <c r="I398" i="10"/>
  <c r="I187" i="10"/>
  <c r="I21" i="10"/>
  <c r="I424" i="10"/>
  <c r="I463" i="10"/>
  <c r="I483" i="10"/>
  <c r="I451" i="10"/>
  <c r="I244" i="10"/>
  <c r="I291" i="10"/>
  <c r="I339" i="10"/>
  <c r="I225" i="10"/>
  <c r="I213" i="10"/>
  <c r="I127" i="10"/>
  <c r="I183" i="10"/>
  <c r="I141" i="10"/>
  <c r="I173" i="10"/>
  <c r="I426" i="10"/>
  <c r="I427" i="10"/>
  <c r="I350" i="10"/>
  <c r="I264" i="10"/>
  <c r="I214" i="10"/>
  <c r="I93" i="10"/>
  <c r="I91" i="10"/>
  <c r="I79" i="10"/>
  <c r="I305" i="10"/>
  <c r="I25" i="10"/>
  <c r="I126" i="10"/>
  <c r="I470" i="10"/>
  <c r="I116" i="10"/>
  <c r="I16" i="10"/>
  <c r="I495" i="10"/>
  <c r="I371" i="10"/>
  <c r="I384" i="10"/>
  <c r="I360" i="10"/>
  <c r="I312" i="10"/>
  <c r="I283" i="10"/>
  <c r="I177" i="10"/>
  <c r="I40" i="10"/>
  <c r="I74" i="10"/>
  <c r="I13" i="10"/>
  <c r="I15" i="10"/>
  <c r="I67" i="10"/>
  <c r="I336" i="10"/>
  <c r="I238" i="10"/>
  <c r="I227" i="10"/>
  <c r="I311" i="10"/>
  <c r="I228" i="10"/>
  <c r="I97" i="10"/>
  <c r="I22" i="10"/>
  <c r="I155" i="10"/>
  <c r="I473" i="10"/>
  <c r="I443" i="10"/>
  <c r="I20" i="10"/>
  <c r="I45" i="10"/>
  <c r="I263" i="10"/>
  <c r="I62" i="10"/>
  <c r="I69" i="10"/>
  <c r="I450" i="10"/>
  <c r="I180" i="10"/>
  <c r="I212" i="10"/>
  <c r="I10" i="10"/>
  <c r="I54" i="10"/>
  <c r="I425" i="10"/>
  <c r="I42" i="10"/>
  <c r="I434" i="10"/>
  <c r="I444" i="10"/>
  <c r="I368" i="10"/>
  <c r="I365" i="10"/>
  <c r="I168" i="10"/>
  <c r="I139" i="10"/>
  <c r="I9" i="10"/>
  <c r="I32" i="10"/>
  <c r="I111" i="10"/>
  <c r="I286" i="10"/>
  <c r="I289" i="10"/>
  <c r="I27" i="10"/>
  <c r="I411" i="10"/>
  <c r="I164" i="10"/>
  <c r="I321" i="10"/>
  <c r="I52" i="10"/>
  <c r="I314" i="10"/>
  <c r="I103" i="10"/>
  <c r="I117" i="10"/>
  <c r="I84" i="10"/>
  <c r="I284" i="10"/>
  <c r="I479" i="10"/>
  <c r="I418" i="10"/>
  <c r="I406" i="10"/>
  <c r="I72" i="10"/>
  <c r="J72" i="10" s="1"/>
  <c r="I422" i="10"/>
  <c r="I407" i="10"/>
  <c r="I231" i="10"/>
  <c r="I31" i="10"/>
  <c r="I478" i="10"/>
  <c r="I109" i="10"/>
  <c r="I156" i="10"/>
  <c r="I453" i="10"/>
  <c r="I36" i="10"/>
  <c r="I96" i="10"/>
  <c r="I152" i="10"/>
  <c r="I146" i="10"/>
  <c r="I298" i="10"/>
  <c r="I275" i="10"/>
  <c r="I459" i="10"/>
  <c r="I292" i="10"/>
  <c r="I388" i="10"/>
  <c r="I372" i="10"/>
  <c r="I251" i="10"/>
  <c r="I188" i="10"/>
  <c r="I189" i="10"/>
  <c r="I181" i="10"/>
  <c r="I121" i="10"/>
  <c r="I92" i="10"/>
  <c r="I38" i="10"/>
  <c r="I119" i="10"/>
  <c r="I107" i="10"/>
  <c r="I65" i="10"/>
  <c r="I297" i="10"/>
  <c r="I144" i="10"/>
  <c r="I414" i="10"/>
  <c r="I367" i="10"/>
  <c r="I161" i="10"/>
  <c r="I157" i="10"/>
  <c r="I57" i="10"/>
  <c r="I101" i="10"/>
  <c r="I288" i="10"/>
  <c r="I296" i="10"/>
  <c r="I247" i="10"/>
  <c r="I423" i="10"/>
  <c r="I252" i="10"/>
  <c r="I394" i="10"/>
  <c r="I410" i="10"/>
  <c r="I482" i="10"/>
  <c r="I347" i="10"/>
  <c r="I417" i="10"/>
  <c r="I123" i="10"/>
  <c r="I430" i="10"/>
  <c r="I130" i="10"/>
  <c r="I58" i="10"/>
  <c r="I306" i="10"/>
  <c r="I485" i="10"/>
  <c r="I342" i="10"/>
  <c r="I278" i="10"/>
  <c r="I128" i="10"/>
  <c r="I176" i="10"/>
  <c r="I140" i="10"/>
  <c r="I88" i="10"/>
  <c r="I362" i="10"/>
  <c r="I30" i="10"/>
  <c r="I400" i="10"/>
  <c r="I100" i="10"/>
  <c r="I320" i="10"/>
  <c r="I326" i="10"/>
  <c r="I235" i="10"/>
  <c r="I211" i="10"/>
  <c r="I179" i="10"/>
  <c r="I90" i="10"/>
  <c r="I151" i="10"/>
  <c r="I61" i="10"/>
  <c r="I338" i="10"/>
  <c r="I5" i="10"/>
  <c r="I378" i="10"/>
  <c r="I108" i="10"/>
  <c r="I102" i="10"/>
  <c r="I457" i="10"/>
  <c r="I254" i="10"/>
  <c r="I416" i="10"/>
  <c r="I44" i="10"/>
  <c r="I309" i="10"/>
  <c r="I163" i="10"/>
  <c r="I82" i="10"/>
  <c r="I215" i="10"/>
  <c r="I106" i="10"/>
  <c r="I332" i="10"/>
  <c r="I395" i="10"/>
  <c r="I293" i="10"/>
  <c r="I343" i="10"/>
  <c r="I120" i="10"/>
  <c r="I304" i="10"/>
  <c r="I71" i="10"/>
  <c r="I56" i="10"/>
  <c r="I268" i="10"/>
  <c r="I380" i="10"/>
  <c r="I194" i="10"/>
  <c r="I95" i="10"/>
  <c r="I75" i="10"/>
  <c r="I494" i="10"/>
  <c r="I167" i="10"/>
  <c r="I145" i="10"/>
  <c r="I175" i="10"/>
  <c r="I110" i="10"/>
  <c r="I224" i="10"/>
  <c r="I256" i="10"/>
  <c r="H32" i="14"/>
  <c r="I32" i="14" s="1"/>
  <c r="I381" i="10"/>
  <c r="I376" i="10"/>
  <c r="I330" i="10"/>
  <c r="I361" i="10"/>
  <c r="I484" i="10"/>
  <c r="I132" i="10"/>
  <c r="I94" i="10"/>
  <c r="I285" i="10"/>
  <c r="I345" i="10"/>
  <c r="I81" i="10"/>
  <c r="I421" i="10"/>
  <c r="I143" i="10"/>
  <c r="I313" i="10"/>
  <c r="I476" i="10"/>
  <c r="I136" i="10"/>
  <c r="I322" i="10"/>
  <c r="I504" i="10"/>
  <c r="I467" i="10"/>
  <c r="I480" i="10"/>
  <c r="I356" i="10"/>
  <c r="I184" i="10"/>
  <c r="I435" i="10"/>
  <c r="I390" i="10"/>
  <c r="I340" i="10"/>
  <c r="I226" i="10"/>
  <c r="I324" i="10"/>
  <c r="I373" i="10"/>
  <c r="I369" i="10"/>
  <c r="I377" i="10"/>
  <c r="I260" i="10"/>
  <c r="I374" i="10"/>
  <c r="I192" i="10"/>
  <c r="I307" i="10"/>
  <c r="I191" i="10"/>
  <c r="I80" i="10"/>
  <c r="I171" i="10"/>
  <c r="I50" i="10"/>
  <c r="I124" i="10"/>
  <c r="I370" i="10"/>
  <c r="I281" i="10"/>
  <c r="I158" i="10"/>
  <c r="I198" i="10"/>
  <c r="I428" i="10"/>
  <c r="I223" i="10"/>
  <c r="I114" i="10"/>
  <c r="I487" i="10"/>
  <c r="I308" i="10"/>
  <c r="I300" i="10"/>
  <c r="I242" i="10"/>
  <c r="I246" i="10"/>
  <c r="I203" i="10"/>
  <c r="I11" i="10"/>
  <c r="I70" i="10"/>
  <c r="I113" i="10"/>
  <c r="I420" i="10"/>
  <c r="I55" i="10"/>
  <c r="I503" i="10"/>
  <c r="I37" i="10"/>
  <c r="C32" i="14"/>
  <c r="I182" i="10"/>
  <c r="Y506" i="10"/>
  <c r="K72" i="10" l="1"/>
  <c r="D505" i="10"/>
  <c r="J445" i="10" s="1"/>
  <c r="K445" i="10" s="1"/>
  <c r="AC495" i="10"/>
  <c r="AD495" i="10" s="1"/>
  <c r="AC494" i="10"/>
  <c r="AD494" i="10" s="1"/>
  <c r="AC471" i="10"/>
  <c r="AD471" i="10" s="1"/>
  <c r="AC470" i="10"/>
  <c r="AD470" i="10" s="1"/>
  <c r="AC442" i="10"/>
  <c r="AD442" i="10" s="1"/>
  <c r="AC408" i="10"/>
  <c r="AD408" i="10" s="1"/>
  <c r="AC474" i="10"/>
  <c r="AD474" i="10" s="1"/>
  <c r="AC479" i="10"/>
  <c r="AD479" i="10" s="1"/>
  <c r="AC478" i="10"/>
  <c r="AD478" i="10" s="1"/>
  <c r="AC459" i="10"/>
  <c r="AD459" i="10" s="1"/>
  <c r="AC466" i="10"/>
  <c r="AD466" i="10" s="1"/>
  <c r="AC426" i="10"/>
  <c r="AD426" i="10" s="1"/>
  <c r="AC467" i="10"/>
  <c r="AD467" i="10" s="1"/>
  <c r="AC407" i="10"/>
  <c r="AD407" i="10" s="1"/>
  <c r="AC475" i="10"/>
  <c r="AD475" i="10" s="1"/>
  <c r="AC387" i="10"/>
  <c r="AD387" i="10" s="1"/>
  <c r="AC376" i="10"/>
  <c r="AD376" i="10" s="1"/>
  <c r="AC365" i="10"/>
  <c r="AD365" i="10" s="1"/>
  <c r="AC358" i="10"/>
  <c r="AD358" i="10" s="1"/>
  <c r="AC435" i="10"/>
  <c r="AD435" i="10" s="1"/>
  <c r="AC419" i="10"/>
  <c r="AD419" i="10" s="1"/>
  <c r="AC379" i="10"/>
  <c r="AD379" i="10" s="1"/>
  <c r="AC389" i="10"/>
  <c r="AD389" i="10" s="1"/>
  <c r="AC388" i="10"/>
  <c r="AD388" i="10" s="1"/>
  <c r="AC377" i="10"/>
  <c r="AD377" i="10" s="1"/>
  <c r="AC366" i="10"/>
  <c r="AD366" i="10" s="1"/>
  <c r="AC348" i="10"/>
  <c r="AD348" i="10" s="1"/>
  <c r="AC332" i="10"/>
  <c r="AD332" i="10" s="1"/>
  <c r="AC316" i="10"/>
  <c r="AD316" i="10" s="1"/>
  <c r="AC406" i="10"/>
  <c r="AD406" i="10" s="1"/>
  <c r="AC392" i="10"/>
  <c r="AD392" i="10" s="1"/>
  <c r="AC370" i="10"/>
  <c r="AD370" i="10" s="1"/>
  <c r="AC354" i="10"/>
  <c r="AD354" i="10" s="1"/>
  <c r="AC458" i="10"/>
  <c r="AD458" i="10" s="1"/>
  <c r="AC427" i="10"/>
  <c r="AD427" i="10" s="1"/>
  <c r="AC381" i="10"/>
  <c r="AD381" i="10" s="1"/>
  <c r="AC404" i="10"/>
  <c r="AD404" i="10" s="1"/>
  <c r="AC503" i="10"/>
  <c r="AC394" i="10"/>
  <c r="AD394" i="10" s="1"/>
  <c r="AC360" i="10"/>
  <c r="AD360" i="10" s="1"/>
  <c r="AC399" i="10"/>
  <c r="AD399" i="10" s="1"/>
  <c r="AC412" i="10"/>
  <c r="AD412" i="10" s="1"/>
  <c r="AC403" i="10"/>
  <c r="AD403" i="10" s="1"/>
  <c r="AC396" i="10"/>
  <c r="AD396" i="10" s="1"/>
  <c r="AC380" i="10"/>
  <c r="AD380" i="10" s="1"/>
  <c r="AC398" i="10"/>
  <c r="AD398" i="10" s="1"/>
  <c r="AC347" i="10"/>
  <c r="AD347" i="10" s="1"/>
  <c r="AC369" i="10"/>
  <c r="AD369" i="10" s="1"/>
  <c r="AC339" i="10"/>
  <c r="AD339" i="10" s="1"/>
  <c r="AC320" i="10"/>
  <c r="AD320" i="10" s="1"/>
  <c r="AC310" i="10"/>
  <c r="AD310" i="10" s="1"/>
  <c r="AC264" i="10"/>
  <c r="AD264" i="10" s="1"/>
  <c r="AC236" i="10"/>
  <c r="AD236" i="10" s="1"/>
  <c r="AC355" i="10"/>
  <c r="AD355" i="10" s="1"/>
  <c r="AC395" i="10"/>
  <c r="AD395" i="10" s="1"/>
  <c r="AC383" i="10"/>
  <c r="AD383" i="10" s="1"/>
  <c r="AC368" i="10"/>
  <c r="AD368" i="10" s="1"/>
  <c r="AC342" i="10"/>
  <c r="AD342" i="10" s="1"/>
  <c r="AC338" i="10"/>
  <c r="AD338" i="10" s="1"/>
  <c r="AC411" i="10"/>
  <c r="AD411" i="10" s="1"/>
  <c r="AC402" i="10"/>
  <c r="AD402" i="10" s="1"/>
  <c r="AC326" i="10"/>
  <c r="AD326" i="10" s="1"/>
  <c r="AC307" i="10"/>
  <c r="AD307" i="10" s="1"/>
  <c r="AC284" i="10"/>
  <c r="AD284" i="10" s="1"/>
  <c r="AC258" i="10"/>
  <c r="AD258" i="10" s="1"/>
  <c r="AC252" i="10"/>
  <c r="AD252" i="10" s="1"/>
  <c r="AC382" i="10"/>
  <c r="AD382" i="10" s="1"/>
  <c r="AC278" i="10"/>
  <c r="AD278" i="10" s="1"/>
  <c r="AC260" i="10"/>
  <c r="AD260" i="10" s="1"/>
  <c r="AC259" i="10"/>
  <c r="AD259" i="10" s="1"/>
  <c r="AC287" i="10"/>
  <c r="AD287" i="10" s="1"/>
  <c r="AC323" i="10"/>
  <c r="AD323" i="10" s="1"/>
  <c r="AC308" i="10"/>
  <c r="AD308" i="10" s="1"/>
  <c r="AC288" i="10"/>
  <c r="AD288" i="10" s="1"/>
  <c r="AC268" i="10"/>
  <c r="AD268" i="10" s="1"/>
  <c r="AC336" i="10"/>
  <c r="AD336" i="10" s="1"/>
  <c r="AC280" i="10"/>
  <c r="AD280" i="10" s="1"/>
  <c r="AC243" i="10"/>
  <c r="AD243" i="10" s="1"/>
  <c r="AC242" i="10"/>
  <c r="AD242" i="10" s="1"/>
  <c r="AC312" i="10"/>
  <c r="AD312" i="10" s="1"/>
  <c r="AC296" i="10"/>
  <c r="AD296" i="10" s="1"/>
  <c r="AC271" i="10"/>
  <c r="AD271" i="10" s="1"/>
  <c r="AC270" i="10"/>
  <c r="AD270" i="10" s="1"/>
  <c r="AC239" i="10"/>
  <c r="AD239" i="10" s="1"/>
  <c r="AC344" i="10"/>
  <c r="AD344" i="10" s="1"/>
  <c r="AC295" i="10"/>
  <c r="AD295" i="10" s="1"/>
  <c r="AC294" i="10"/>
  <c r="AD294" i="10" s="1"/>
  <c r="AC340" i="10"/>
  <c r="AD340" i="10" s="1"/>
  <c r="AC306" i="10"/>
  <c r="AD306" i="10" s="1"/>
  <c r="AC276" i="10"/>
  <c r="AD276" i="10" s="1"/>
  <c r="AC275" i="10"/>
  <c r="AD275" i="10" s="1"/>
  <c r="AC255" i="10"/>
  <c r="AD255" i="10" s="1"/>
  <c r="AC322" i="10"/>
  <c r="AD322" i="10" s="1"/>
  <c r="AC318" i="10"/>
  <c r="AD318" i="10" s="1"/>
  <c r="AC315" i="10"/>
  <c r="AD315" i="10" s="1"/>
  <c r="AC283" i="10"/>
  <c r="AD283" i="10" s="1"/>
  <c r="AC235" i="10"/>
  <c r="AD235" i="10" s="1"/>
  <c r="AC248" i="10"/>
  <c r="AD248" i="10" s="1"/>
  <c r="AC246" i="10"/>
  <c r="AD246" i="10" s="1"/>
  <c r="AC197" i="10"/>
  <c r="AD197" i="10" s="1"/>
  <c r="AC196" i="10"/>
  <c r="AD196" i="10" s="1"/>
  <c r="AC328" i="10"/>
  <c r="AD328" i="10" s="1"/>
  <c r="AC254" i="10"/>
  <c r="AD254" i="10" s="1"/>
  <c r="AC220" i="10"/>
  <c r="AD220" i="10" s="1"/>
  <c r="AC299" i="10"/>
  <c r="AD299" i="10" s="1"/>
  <c r="AC223" i="10"/>
  <c r="AD223" i="10" s="1"/>
  <c r="AC434" i="10"/>
  <c r="AD434" i="10" s="1"/>
  <c r="AC331" i="10"/>
  <c r="AD331" i="10" s="1"/>
  <c r="AC262" i="10"/>
  <c r="AD262" i="10" s="1"/>
  <c r="AC272" i="10"/>
  <c r="AD272" i="10" s="1"/>
  <c r="AC240" i="10"/>
  <c r="AD240" i="10" s="1"/>
  <c r="AC206" i="10"/>
  <c r="AD206" i="10" s="1"/>
  <c r="AC154" i="10"/>
  <c r="AD154" i="10" s="1"/>
  <c r="AC226" i="10"/>
  <c r="AD226" i="10" s="1"/>
  <c r="AC203" i="10"/>
  <c r="AD203" i="10" s="1"/>
  <c r="AC193" i="10"/>
  <c r="AD193" i="10" s="1"/>
  <c r="AC274" i="10"/>
  <c r="AD274" i="10" s="1"/>
  <c r="AC155" i="10"/>
  <c r="AD155" i="10" s="1"/>
  <c r="AC204" i="10"/>
  <c r="AD204" i="10" s="1"/>
  <c r="AC199" i="10"/>
  <c r="AD199" i="10" s="1"/>
  <c r="AC300" i="10"/>
  <c r="AD300" i="10" s="1"/>
  <c r="AC111" i="10"/>
  <c r="AD111" i="10" s="1"/>
  <c r="AC86" i="10"/>
  <c r="AD86" i="10" s="1"/>
  <c r="AC68" i="10"/>
  <c r="AD68" i="10" s="1"/>
  <c r="AC60" i="10"/>
  <c r="AD60" i="10" s="1"/>
  <c r="AC42" i="10"/>
  <c r="AD42" i="10" s="1"/>
  <c r="AC6" i="10"/>
  <c r="AD6" i="10" s="1"/>
  <c r="AC158" i="10"/>
  <c r="AD158" i="10" s="1"/>
  <c r="AC141" i="10"/>
  <c r="AD141" i="10" s="1"/>
  <c r="AC115" i="10"/>
  <c r="AC114" i="10"/>
  <c r="AD114" i="10" s="1"/>
  <c r="AC113" i="10"/>
  <c r="AD113" i="10" s="1"/>
  <c r="AC112" i="10"/>
  <c r="AD112" i="10" s="1"/>
  <c r="AC54" i="10"/>
  <c r="AD54" i="10" s="1"/>
  <c r="AC48" i="10"/>
  <c r="AD48" i="10" s="1"/>
  <c r="AC36" i="10"/>
  <c r="AD36" i="10" s="1"/>
  <c r="AC24" i="10"/>
  <c r="AD24" i="10" s="1"/>
  <c r="AC12" i="10"/>
  <c r="AD12" i="10" s="1"/>
  <c r="AC179" i="10"/>
  <c r="AD179" i="10" s="1"/>
  <c r="AC173" i="10"/>
  <c r="AD173" i="10" s="1"/>
  <c r="AC132" i="10"/>
  <c r="AD132" i="10" s="1"/>
  <c r="AC131" i="10"/>
  <c r="AD131" i="10" s="1"/>
  <c r="AC129" i="10"/>
  <c r="AD129" i="10" s="1"/>
  <c r="AC117" i="10"/>
  <c r="AD117" i="10" s="1"/>
  <c r="AC83" i="10"/>
  <c r="AD83" i="10" s="1"/>
  <c r="AC30" i="10"/>
  <c r="AD30" i="10" s="1"/>
  <c r="AC18" i="10"/>
  <c r="AD18" i="10" s="1"/>
  <c r="AC133" i="10"/>
  <c r="AD133" i="10" s="1"/>
  <c r="AC130" i="10"/>
  <c r="AD130" i="10" s="1"/>
  <c r="AC118" i="10"/>
  <c r="AD118" i="10" s="1"/>
  <c r="AC202" i="10"/>
  <c r="AD202" i="10" s="1"/>
  <c r="AC167" i="10"/>
  <c r="AD167" i="10" s="1"/>
  <c r="AC80" i="10"/>
  <c r="AD80" i="10" s="1"/>
  <c r="AC160" i="10"/>
  <c r="AD160" i="10" s="1"/>
  <c r="AC149" i="10"/>
  <c r="AD149" i="10" s="1"/>
  <c r="AC292" i="10"/>
  <c r="AD292" i="10" s="1"/>
  <c r="AC219" i="10"/>
  <c r="AD219" i="10" s="1"/>
  <c r="AC177" i="10"/>
  <c r="AD177" i="10" s="1"/>
  <c r="AC168" i="10"/>
  <c r="AD168" i="10" s="1"/>
  <c r="AC76" i="10"/>
  <c r="AD76" i="10" s="1"/>
  <c r="AC169" i="10"/>
  <c r="AD169" i="10" s="1"/>
  <c r="AC164" i="10"/>
  <c r="AD164" i="10" s="1"/>
  <c r="AC77" i="10"/>
  <c r="AD77" i="10" s="1"/>
  <c r="AC324" i="10"/>
  <c r="AD324" i="10" s="1"/>
  <c r="AC183" i="10"/>
  <c r="AD183" i="10" s="1"/>
  <c r="AC216" i="10"/>
  <c r="AD216" i="10" s="1"/>
  <c r="AC157" i="10"/>
  <c r="AD157" i="10" s="1"/>
  <c r="AC139" i="10"/>
  <c r="AD139" i="10" s="1"/>
  <c r="AC123" i="10"/>
  <c r="AD123" i="10" s="1"/>
  <c r="AC122" i="10"/>
  <c r="AD122" i="10" s="1"/>
  <c r="AC105" i="10"/>
  <c r="AD105" i="10" s="1"/>
  <c r="AC104" i="10"/>
  <c r="AD104" i="10" s="1"/>
  <c r="AC101" i="10"/>
  <c r="AD101" i="10" s="1"/>
  <c r="AC100" i="10"/>
  <c r="AD100" i="10" s="1"/>
  <c r="AC89" i="10"/>
  <c r="AD89" i="10" s="1"/>
  <c r="AC71" i="10"/>
  <c r="AC62" i="10"/>
  <c r="AD62" i="10" s="1"/>
  <c r="AC56" i="10"/>
  <c r="AD56" i="10" s="1"/>
  <c r="AC50" i="10"/>
  <c r="AD50" i="10" s="1"/>
  <c r="AC44" i="10"/>
  <c r="AD44" i="10" s="1"/>
  <c r="AC38" i="10"/>
  <c r="AD38" i="10" s="1"/>
  <c r="AC32" i="10"/>
  <c r="AD32" i="10" s="1"/>
  <c r="AC26" i="10"/>
  <c r="AD26" i="10" s="1"/>
  <c r="AC20" i="10"/>
  <c r="AD20" i="10" s="1"/>
  <c r="AC14" i="10"/>
  <c r="AD14" i="10" s="1"/>
  <c r="AC217" i="10"/>
  <c r="AD217" i="10" s="1"/>
  <c r="AC110" i="10"/>
  <c r="AD110" i="10" s="1"/>
  <c r="AC103" i="10"/>
  <c r="AD103" i="10" s="1"/>
  <c r="AC51" i="10"/>
  <c r="AD51" i="10" s="1"/>
  <c r="AC39" i="10"/>
  <c r="AD39" i="10" s="1"/>
  <c r="AC15" i="10"/>
  <c r="AD15" i="10" s="1"/>
  <c r="AC334" i="10"/>
  <c r="AD334" i="10" s="1"/>
  <c r="AC107" i="10"/>
  <c r="AD107" i="10" s="1"/>
  <c r="AC97" i="10"/>
  <c r="AD97" i="10" s="1"/>
  <c r="AC94" i="10"/>
  <c r="AD94" i="10" s="1"/>
  <c r="AC178" i="10"/>
  <c r="AD178" i="10" s="1"/>
  <c r="AC102" i="10"/>
  <c r="AD102" i="10" s="1"/>
  <c r="AC63" i="10"/>
  <c r="AD63" i="10" s="1"/>
  <c r="AC96" i="10"/>
  <c r="AD96" i="10" s="1"/>
  <c r="AC93" i="10"/>
  <c r="AD93" i="10" s="1"/>
  <c r="AC33" i="10"/>
  <c r="AD33" i="10" s="1"/>
  <c r="AC200" i="10"/>
  <c r="AD200" i="10" s="1"/>
  <c r="AC150" i="10"/>
  <c r="AD150" i="10" s="1"/>
  <c r="AC8" i="10"/>
  <c r="AD8" i="10" s="1"/>
  <c r="AC175" i="10"/>
  <c r="AD175" i="10" s="1"/>
  <c r="AC106" i="10"/>
  <c r="AD106" i="10" s="1"/>
  <c r="AC57" i="10"/>
  <c r="AD57" i="10" s="1"/>
  <c r="AC91" i="10"/>
  <c r="AD91" i="10" s="1"/>
  <c r="AC21" i="10"/>
  <c r="AD21" i="10" s="1"/>
  <c r="AC73" i="10"/>
  <c r="AD73" i="10" s="1"/>
  <c r="AC9" i="10"/>
  <c r="AD9" i="10" s="1"/>
  <c r="AC45" i="10"/>
  <c r="AD45" i="10" s="1"/>
  <c r="AC95" i="10"/>
  <c r="AD95" i="10" s="1"/>
  <c r="AC92" i="10"/>
  <c r="AD92" i="10" s="1"/>
  <c r="AC74" i="10"/>
  <c r="AD74" i="10" s="1"/>
  <c r="AC27" i="10"/>
  <c r="AD27" i="10" s="1"/>
  <c r="AC78" i="10"/>
  <c r="AD78" i="10" s="1"/>
  <c r="AC23" i="10"/>
  <c r="AD23" i="10" s="1"/>
  <c r="AC31" i="10"/>
  <c r="AD31" i="10" s="1"/>
  <c r="AC156" i="10"/>
  <c r="AD156" i="10" s="1"/>
  <c r="AC125" i="10"/>
  <c r="AD125" i="10" s="1"/>
  <c r="AC195" i="10"/>
  <c r="AD195" i="10" s="1"/>
  <c r="AC81" i="10"/>
  <c r="AD81" i="10" s="1"/>
  <c r="AC34" i="10"/>
  <c r="AD34" i="10" s="1"/>
  <c r="AC66" i="10"/>
  <c r="AD66" i="10" s="1"/>
  <c r="AC72" i="10"/>
  <c r="AC121" i="10"/>
  <c r="AC190" i="10"/>
  <c r="AD190" i="10" s="1"/>
  <c r="AC234" i="10"/>
  <c r="AD234" i="10" s="1"/>
  <c r="AC267" i="10"/>
  <c r="AD267" i="10" s="1"/>
  <c r="AC327" i="10"/>
  <c r="AD327" i="10" s="1"/>
  <c r="AC304" i="10"/>
  <c r="AD304" i="10" s="1"/>
  <c r="AC263" i="10"/>
  <c r="AD263" i="10" s="1"/>
  <c r="AC11" i="10"/>
  <c r="AD11" i="10" s="1"/>
  <c r="AC35" i="10"/>
  <c r="AD35" i="10" s="1"/>
  <c r="AC43" i="10"/>
  <c r="AD43" i="10" s="1"/>
  <c r="AC208" i="10"/>
  <c r="AD208" i="10" s="1"/>
  <c r="AC134" i="10"/>
  <c r="AD134" i="10" s="1"/>
  <c r="AC181" i="10"/>
  <c r="AD181" i="10" s="1"/>
  <c r="AC265" i="10"/>
  <c r="AD265" i="10" s="1"/>
  <c r="AC247" i="10"/>
  <c r="AD247" i="10" s="1"/>
  <c r="AC343" i="10"/>
  <c r="AD343" i="10" s="1"/>
  <c r="AC277" i="10"/>
  <c r="AD277" i="10" s="1"/>
  <c r="AC301" i="10"/>
  <c r="AD301" i="10" s="1"/>
  <c r="AC372" i="10"/>
  <c r="AD372" i="10" s="1"/>
  <c r="AC352" i="10"/>
  <c r="AD352" i="10" s="1"/>
  <c r="AC148" i="10"/>
  <c r="AD148" i="10" s="1"/>
  <c r="AC194" i="10"/>
  <c r="AD194" i="10" s="1"/>
  <c r="AC84" i="10"/>
  <c r="AD84" i="10" s="1"/>
  <c r="AC142" i="10"/>
  <c r="AD142" i="10" s="1"/>
  <c r="AC211" i="10"/>
  <c r="AD211" i="10" s="1"/>
  <c r="AC191" i="10"/>
  <c r="AD191" i="10" s="1"/>
  <c r="AC186" i="10"/>
  <c r="AD186" i="10" s="1"/>
  <c r="AC198" i="10"/>
  <c r="AD198" i="10" s="1"/>
  <c r="AC317" i="10"/>
  <c r="AD317" i="10" s="1"/>
  <c r="AC363" i="10"/>
  <c r="AD363" i="10" s="1"/>
  <c r="AC378" i="10"/>
  <c r="AD378" i="10" s="1"/>
  <c r="AC362" i="10"/>
  <c r="AD362" i="10" s="1"/>
  <c r="AC241" i="10"/>
  <c r="AD241" i="10" s="1"/>
  <c r="AC420" i="10"/>
  <c r="AD420" i="10" s="1"/>
  <c r="AC436" i="10"/>
  <c r="AD436" i="10" s="1"/>
  <c r="AC447" i="10"/>
  <c r="AD447" i="10" s="1"/>
  <c r="AC19" i="10"/>
  <c r="AD19" i="10" s="1"/>
  <c r="AC159" i="10"/>
  <c r="AD159" i="10" s="1"/>
  <c r="AC49" i="10"/>
  <c r="AD49" i="10" s="1"/>
  <c r="AC47" i="10"/>
  <c r="AD47" i="10" s="1"/>
  <c r="AC40" i="10"/>
  <c r="AD40" i="10" s="1"/>
  <c r="AC151" i="10"/>
  <c r="AD151" i="10" s="1"/>
  <c r="AC212" i="10"/>
  <c r="AD212" i="10" s="1"/>
  <c r="AC176" i="10"/>
  <c r="AD176" i="10" s="1"/>
  <c r="AC140" i="10"/>
  <c r="AD140" i="10" s="1"/>
  <c r="AC231" i="10"/>
  <c r="AD231" i="10" s="1"/>
  <c r="AC291" i="10"/>
  <c r="AD291" i="10" s="1"/>
  <c r="AC356" i="10"/>
  <c r="AD356" i="10" s="1"/>
  <c r="AC152" i="10"/>
  <c r="AD152" i="10" s="1"/>
  <c r="AC88" i="10"/>
  <c r="AD88" i="10" s="1"/>
  <c r="AC59" i="10"/>
  <c r="AD59" i="10" s="1"/>
  <c r="AC70" i="10"/>
  <c r="AD70" i="10" s="1"/>
  <c r="AC75" i="10"/>
  <c r="AD75" i="10" s="1"/>
  <c r="AC120" i="10"/>
  <c r="AD120" i="10" s="1"/>
  <c r="AC46" i="10"/>
  <c r="AD46" i="10" s="1"/>
  <c r="AC146" i="10"/>
  <c r="AD146" i="10" s="1"/>
  <c r="AC172" i="10"/>
  <c r="AC85" i="10"/>
  <c r="AC127" i="10"/>
  <c r="AD127" i="10" s="1"/>
  <c r="AC166" i="10"/>
  <c r="AD166" i="10" s="1"/>
  <c r="AC185" i="10"/>
  <c r="AD185" i="10" s="1"/>
  <c r="AC279" i="10"/>
  <c r="AD279" i="10" s="1"/>
  <c r="AC282" i="10"/>
  <c r="AD282" i="10" s="1"/>
  <c r="AC79" i="10"/>
  <c r="AD79" i="10" s="1"/>
  <c r="AC25" i="10"/>
  <c r="AD25" i="10" s="1"/>
  <c r="AC119" i="10"/>
  <c r="AD119" i="10" s="1"/>
  <c r="AC136" i="10"/>
  <c r="AD136" i="10" s="1"/>
  <c r="AC201" i="10"/>
  <c r="AD201" i="10" s="1"/>
  <c r="AC67" i="10"/>
  <c r="AD67" i="10" s="1"/>
  <c r="AC192" i="10"/>
  <c r="AD192" i="10" s="1"/>
  <c r="AC187" i="10"/>
  <c r="AD187" i="10" s="1"/>
  <c r="AC290" i="10"/>
  <c r="AD290" i="10" s="1"/>
  <c r="AC228" i="10"/>
  <c r="AD228" i="10" s="1"/>
  <c r="AC227" i="10"/>
  <c r="AD227" i="10" s="1"/>
  <c r="AC256" i="10"/>
  <c r="AD256" i="10" s="1"/>
  <c r="AC359" i="10"/>
  <c r="AD359" i="10" s="1"/>
  <c r="AC65" i="10"/>
  <c r="AD65" i="10" s="1"/>
  <c r="AC137" i="10"/>
  <c r="AD137" i="10" s="1"/>
  <c r="AC174" i="10"/>
  <c r="AD174" i="10" s="1"/>
  <c r="AC29" i="10"/>
  <c r="AD29" i="10" s="1"/>
  <c r="AC28" i="10"/>
  <c r="AD28" i="10" s="1"/>
  <c r="AC64" i="10"/>
  <c r="AD64" i="10" s="1"/>
  <c r="AC135" i="10"/>
  <c r="AD135" i="10" s="1"/>
  <c r="AC184" i="10"/>
  <c r="AD184" i="10" s="1"/>
  <c r="AC116" i="10"/>
  <c r="AD116" i="10" s="1"/>
  <c r="AC213" i="10"/>
  <c r="AD213" i="10" s="1"/>
  <c r="AC333" i="10"/>
  <c r="AD333" i="10" s="1"/>
  <c r="AC237" i="10"/>
  <c r="AD237" i="10" s="1"/>
  <c r="AC251" i="10"/>
  <c r="AD251" i="10" s="1"/>
  <c r="AC253" i="10"/>
  <c r="AD253" i="10" s="1"/>
  <c r="AC41" i="10"/>
  <c r="AD41" i="10" s="1"/>
  <c r="AC165" i="10"/>
  <c r="AD165" i="10" s="1"/>
  <c r="AC58" i="10"/>
  <c r="AD58" i="10" s="1"/>
  <c r="AC182" i="10"/>
  <c r="AD182" i="10" s="1"/>
  <c r="AC180" i="10"/>
  <c r="AD180" i="10" s="1"/>
  <c r="AC218" i="10"/>
  <c r="AD218" i="10" s="1"/>
  <c r="AC386" i="10"/>
  <c r="AD386" i="10" s="1"/>
  <c r="AC321" i="10"/>
  <c r="AD321" i="10" s="1"/>
  <c r="AC445" i="10"/>
  <c r="AD445" i="10" s="1"/>
  <c r="AC430" i="10"/>
  <c r="AD430" i="10" s="1"/>
  <c r="AC423" i="10"/>
  <c r="AD423" i="10" s="1"/>
  <c r="AC464" i="10"/>
  <c r="AD464" i="10" s="1"/>
  <c r="AC482" i="10"/>
  <c r="AD482" i="10" s="1"/>
  <c r="AC452" i="10"/>
  <c r="AD452" i="10" s="1"/>
  <c r="AC497" i="10"/>
  <c r="AD497" i="10" s="1"/>
  <c r="AC13" i="10"/>
  <c r="AD13" i="10" s="1"/>
  <c r="AC124" i="10"/>
  <c r="AD124" i="10" s="1"/>
  <c r="AC138" i="10"/>
  <c r="AD138" i="10" s="1"/>
  <c r="AC99" i="10"/>
  <c r="AD99" i="10" s="1"/>
  <c r="AC221" i="10"/>
  <c r="AD221" i="10" s="1"/>
  <c r="AC261" i="10"/>
  <c r="AD261" i="10" s="1"/>
  <c r="AC415" i="10"/>
  <c r="AD415" i="10" s="1"/>
  <c r="AC414" i="10"/>
  <c r="AD414" i="10" s="1"/>
  <c r="AC413" i="10"/>
  <c r="AD413" i="10" s="1"/>
  <c r="AC439" i="10"/>
  <c r="AD439" i="10" s="1"/>
  <c r="AC424" i="10"/>
  <c r="AD424" i="10" s="1"/>
  <c r="AC488" i="10"/>
  <c r="AD488" i="10" s="1"/>
  <c r="AC480" i="10"/>
  <c r="AD480" i="10" s="1"/>
  <c r="AC457" i="10"/>
  <c r="AD457" i="10" s="1"/>
  <c r="AC257" i="10"/>
  <c r="AD257" i="10" s="1"/>
  <c r="AC484" i="10"/>
  <c r="AD484" i="10" s="1"/>
  <c r="AC462" i="10"/>
  <c r="AD462" i="10" s="1"/>
  <c r="AC126" i="10"/>
  <c r="AD126" i="10" s="1"/>
  <c r="AC207" i="10"/>
  <c r="AD207" i="10" s="1"/>
  <c r="AC244" i="10"/>
  <c r="AD244" i="10" s="1"/>
  <c r="AC375" i="10"/>
  <c r="AD375" i="10" s="1"/>
  <c r="AC443" i="10"/>
  <c r="AD443" i="10" s="1"/>
  <c r="AC416" i="10"/>
  <c r="AD416" i="10" s="1"/>
  <c r="AC384" i="10"/>
  <c r="AD384" i="10" s="1"/>
  <c r="AC418" i="10"/>
  <c r="AD418" i="10" s="1"/>
  <c r="AC405" i="10"/>
  <c r="AD405" i="10" s="1"/>
  <c r="AC337" i="10"/>
  <c r="AD337" i="10" s="1"/>
  <c r="AC446" i="10"/>
  <c r="AD446" i="10" s="1"/>
  <c r="AC440" i="10"/>
  <c r="AD440" i="10" s="1"/>
  <c r="AC485" i="10"/>
  <c r="AD485" i="10" s="1"/>
  <c r="AC429" i="10"/>
  <c r="AD429" i="10" s="1"/>
  <c r="AC469" i="10"/>
  <c r="AD469" i="10" s="1"/>
  <c r="AC468" i="10"/>
  <c r="AD468" i="10" s="1"/>
  <c r="AC499" i="10"/>
  <c r="AD499" i="10" s="1"/>
  <c r="AC357" i="10"/>
  <c r="AD357" i="10" s="1"/>
  <c r="AC373" i="10"/>
  <c r="AD373" i="10" s="1"/>
  <c r="AC345" i="10"/>
  <c r="AD345" i="10" s="1"/>
  <c r="AC37" i="10"/>
  <c r="AD37" i="10" s="1"/>
  <c r="AC215" i="10"/>
  <c r="AD215" i="10" s="1"/>
  <c r="AC16" i="10"/>
  <c r="AD16" i="10" s="1"/>
  <c r="AC98" i="10"/>
  <c r="AD98" i="10" s="1"/>
  <c r="AC214" i="10"/>
  <c r="AD214" i="10" s="1"/>
  <c r="AC238" i="10"/>
  <c r="AD238" i="10" s="1"/>
  <c r="AC229" i="10"/>
  <c r="AD229" i="10" s="1"/>
  <c r="AC245" i="10"/>
  <c r="AD245" i="10" s="1"/>
  <c r="AC298" i="10"/>
  <c r="AD298" i="10" s="1"/>
  <c r="AC385" i="10"/>
  <c r="AD385" i="10" s="1"/>
  <c r="AC313" i="10"/>
  <c r="AD313" i="10" s="1"/>
  <c r="AC444" i="10"/>
  <c r="AD444" i="10" s="1"/>
  <c r="AC455" i="10"/>
  <c r="AD455" i="10" s="1"/>
  <c r="AC473" i="10"/>
  <c r="AD473" i="10" s="1"/>
  <c r="AC432" i="10"/>
  <c r="AD432" i="10" s="1"/>
  <c r="AC437" i="10"/>
  <c r="AD437" i="10" s="1"/>
  <c r="AC314" i="10"/>
  <c r="AD314" i="10" s="1"/>
  <c r="AC438" i="10"/>
  <c r="AD438" i="10" s="1"/>
  <c r="AC22" i="10"/>
  <c r="AD22" i="10" s="1"/>
  <c r="AC224" i="10"/>
  <c r="AD224" i="10" s="1"/>
  <c r="AC189" i="10"/>
  <c r="AD189" i="10" s="1"/>
  <c r="AC232" i="10"/>
  <c r="AD232" i="10" s="1"/>
  <c r="AC230" i="10"/>
  <c r="AD230" i="10" s="1"/>
  <c r="AC302" i="10"/>
  <c r="AD302" i="10" s="1"/>
  <c r="AC293" i="10"/>
  <c r="AD293" i="10" s="1"/>
  <c r="AC335" i="10"/>
  <c r="AD335" i="10" s="1"/>
  <c r="AC269" i="10"/>
  <c r="AD269" i="10" s="1"/>
  <c r="AC417" i="10"/>
  <c r="AD417" i="10" s="1"/>
  <c r="AC428" i="10"/>
  <c r="AD428" i="10" s="1"/>
  <c r="AC353" i="10"/>
  <c r="AD353" i="10" s="1"/>
  <c r="AC463" i="10"/>
  <c r="AD463" i="10" s="1"/>
  <c r="AC456" i="10"/>
  <c r="AD456" i="10" s="1"/>
  <c r="AC461" i="10"/>
  <c r="AD461" i="10" s="1"/>
  <c r="AC431" i="10"/>
  <c r="AD431" i="10" s="1"/>
  <c r="AC493" i="10"/>
  <c r="AD493" i="10" s="1"/>
  <c r="AC285" i="10"/>
  <c r="AD285" i="10" s="1"/>
  <c r="AC330" i="10"/>
  <c r="AD330" i="10" s="1"/>
  <c r="AC450" i="10"/>
  <c r="AD450" i="10" s="1"/>
  <c r="AC454" i="10"/>
  <c r="AD454" i="10" s="1"/>
  <c r="AC465" i="10"/>
  <c r="AD465" i="10" s="1"/>
  <c r="AC481" i="10"/>
  <c r="AD481" i="10" s="1"/>
  <c r="AC489" i="10"/>
  <c r="AD489" i="10" s="1"/>
  <c r="AC5" i="10"/>
  <c r="AD5" i="10" s="1"/>
  <c r="AC87" i="10"/>
  <c r="AD87" i="10" s="1"/>
  <c r="AC364" i="10"/>
  <c r="AD364" i="10" s="1"/>
  <c r="AC143" i="10"/>
  <c r="AD143" i="10" s="1"/>
  <c r="AC309" i="10"/>
  <c r="AD309" i="10" s="1"/>
  <c r="AC422" i="10"/>
  <c r="AD422" i="10" s="1"/>
  <c r="AC147" i="10"/>
  <c r="AD147" i="10" s="1"/>
  <c r="AC69" i="10"/>
  <c r="AD69" i="10" s="1"/>
  <c r="AC205" i="10"/>
  <c r="AD205" i="10" s="1"/>
  <c r="AC225" i="10"/>
  <c r="AD225" i="10" s="1"/>
  <c r="AC341" i="10"/>
  <c r="AD341" i="10" s="1"/>
  <c r="AC303" i="10"/>
  <c r="AD303" i="10" s="1"/>
  <c r="AC233" i="10"/>
  <c r="AD233" i="10" s="1"/>
  <c r="AC325" i="10"/>
  <c r="AD325" i="10" s="1"/>
  <c r="AC361" i="10"/>
  <c r="AD361" i="10" s="1"/>
  <c r="AC349" i="10"/>
  <c r="AD349" i="10" s="1"/>
  <c r="AC451" i="10"/>
  <c r="AD451" i="10" s="1"/>
  <c r="AC496" i="10"/>
  <c r="AD496" i="10" s="1"/>
  <c r="AC17" i="10"/>
  <c r="AD17" i="10" s="1"/>
  <c r="AC144" i="10"/>
  <c r="AD144" i="10" s="1"/>
  <c r="AC163" i="10"/>
  <c r="AD163" i="10" s="1"/>
  <c r="AC273" i="10"/>
  <c r="AD273" i="10" s="1"/>
  <c r="AC351" i="10"/>
  <c r="AD351" i="10" s="1"/>
  <c r="AC128" i="10"/>
  <c r="AD128" i="10" s="1"/>
  <c r="AC249" i="10"/>
  <c r="AD249" i="10" s="1"/>
  <c r="AC311" i="10"/>
  <c r="AD311" i="10" s="1"/>
  <c r="AC297" i="10"/>
  <c r="AD297" i="10" s="1"/>
  <c r="AC329" i="10"/>
  <c r="AD329" i="10" s="1"/>
  <c r="AC492" i="10"/>
  <c r="AD492" i="10" s="1"/>
  <c r="AC476" i="10"/>
  <c r="AD476" i="10" s="1"/>
  <c r="AC210" i="10"/>
  <c r="AD210" i="10" s="1"/>
  <c r="AC500" i="10"/>
  <c r="AC477" i="10"/>
  <c r="AD477" i="10" s="1"/>
  <c r="AC209" i="10"/>
  <c r="AD209" i="10" s="1"/>
  <c r="AC55" i="10"/>
  <c r="AD55" i="10" s="1"/>
  <c r="AC10" i="10"/>
  <c r="AD10" i="10" s="1"/>
  <c r="AC53" i="10"/>
  <c r="AD53" i="10" s="1"/>
  <c r="AC162" i="10"/>
  <c r="AD162" i="10" s="1"/>
  <c r="AC61" i="10"/>
  <c r="AD61" i="10" s="1"/>
  <c r="AC82" i="10"/>
  <c r="AD82" i="10" s="1"/>
  <c r="AC188" i="10"/>
  <c r="AD188" i="10" s="1"/>
  <c r="AC171" i="10"/>
  <c r="AD171" i="10" s="1"/>
  <c r="AC350" i="10"/>
  <c r="AD350" i="10" s="1"/>
  <c r="AC502" i="10"/>
  <c r="AD502" i="10" s="1"/>
  <c r="AC410" i="10"/>
  <c r="AD410" i="10" s="1"/>
  <c r="AC483" i="10"/>
  <c r="AD483" i="10" s="1"/>
  <c r="AC453" i="10"/>
  <c r="AD453" i="10" s="1"/>
  <c r="AC109" i="10"/>
  <c r="AD109" i="10" s="1"/>
  <c r="AC7" i="10"/>
  <c r="AD7" i="10" s="1"/>
  <c r="AC153" i="10"/>
  <c r="AD153" i="10" s="1"/>
  <c r="AC108" i="10"/>
  <c r="AD108" i="10" s="1"/>
  <c r="AC145" i="10"/>
  <c r="AD145" i="10" s="1"/>
  <c r="AC161" i="10"/>
  <c r="AD161" i="10" s="1"/>
  <c r="AC222" i="10"/>
  <c r="AD222" i="10" s="1"/>
  <c r="AC286" i="10"/>
  <c r="AC486" i="10"/>
  <c r="AD486" i="10" s="1"/>
  <c r="AC374" i="10"/>
  <c r="AD374" i="10" s="1"/>
  <c r="AC409" i="10"/>
  <c r="AD409" i="10" s="1"/>
  <c r="AC305" i="10"/>
  <c r="AD305" i="10" s="1"/>
  <c r="AC448" i="10"/>
  <c r="AD448" i="10" s="1"/>
  <c r="AC391" i="10"/>
  <c r="AD391" i="10" s="1"/>
  <c r="AC397" i="10"/>
  <c r="AD397" i="10" s="1"/>
  <c r="AC491" i="10"/>
  <c r="AD491" i="10" s="1"/>
  <c r="AC460" i="10"/>
  <c r="AD460" i="10" s="1"/>
  <c r="AC501" i="10"/>
  <c r="AD501" i="10" s="1"/>
  <c r="AC421" i="10"/>
  <c r="AD421" i="10" s="1"/>
  <c r="AC433" i="10"/>
  <c r="AD433" i="10" s="1"/>
  <c r="AC472" i="10"/>
  <c r="AD472" i="10" s="1"/>
  <c r="AC266" i="10"/>
  <c r="AD266" i="10" s="1"/>
  <c r="AC390" i="10"/>
  <c r="AD390" i="10" s="1"/>
  <c r="AC289" i="10"/>
  <c r="AD289" i="10" s="1"/>
  <c r="AC425" i="10"/>
  <c r="AD425" i="10" s="1"/>
  <c r="AC170" i="10"/>
  <c r="AD170" i="10" s="1"/>
  <c r="AC52" i="10"/>
  <c r="AD52" i="10" s="1"/>
  <c r="AC90" i="10"/>
  <c r="AD90" i="10" s="1"/>
  <c r="AC367" i="10"/>
  <c r="AD367" i="10" s="1"/>
  <c r="AC281" i="10"/>
  <c r="AD281" i="10" s="1"/>
  <c r="AC401" i="10"/>
  <c r="AD401" i="10" s="1"/>
  <c r="AC250" i="10"/>
  <c r="AD250" i="10" s="1"/>
  <c r="AC319" i="10"/>
  <c r="AD319" i="10" s="1"/>
  <c r="AC371" i="10"/>
  <c r="AD371" i="10" s="1"/>
  <c r="AC346" i="10"/>
  <c r="AD346" i="10" s="1"/>
  <c r="AC393" i="10"/>
  <c r="AD393" i="10" s="1"/>
  <c r="AC487" i="10"/>
  <c r="AD487" i="10" s="1"/>
  <c r="AC400" i="10"/>
  <c r="AD400" i="10" s="1"/>
  <c r="AC490" i="10"/>
  <c r="AD490" i="10" s="1"/>
  <c r="AC441" i="10"/>
  <c r="AD441" i="10" s="1"/>
  <c r="AC504" i="10"/>
  <c r="AD504" i="10" s="1"/>
  <c r="AC498" i="10"/>
  <c r="AD498" i="10" s="1"/>
  <c r="AC449" i="10"/>
  <c r="AD449" i="10" s="1"/>
  <c r="J163" i="10" l="1"/>
  <c r="K163" i="10" s="1"/>
  <c r="J128" i="10"/>
  <c r="K128" i="10" s="1"/>
  <c r="J55" i="10"/>
  <c r="K55" i="10" s="1"/>
  <c r="J175" i="10"/>
  <c r="K175" i="10" s="1"/>
  <c r="J75" i="10"/>
  <c r="K75" i="10" s="1"/>
  <c r="J369" i="10"/>
  <c r="K369" i="10" s="1"/>
  <c r="J44" i="10"/>
  <c r="K44" i="10" s="1"/>
  <c r="J242" i="10"/>
  <c r="K242" i="10" s="1"/>
  <c r="J347" i="10"/>
  <c r="K347" i="10" s="1"/>
  <c r="J140" i="10"/>
  <c r="K140" i="10" s="1"/>
  <c r="J494" i="10"/>
  <c r="K494" i="10" s="1"/>
  <c r="J191" i="10"/>
  <c r="K191" i="10" s="1"/>
  <c r="J198" i="10"/>
  <c r="K198" i="10" s="1"/>
  <c r="J106" i="10"/>
  <c r="K106" i="10" s="1"/>
  <c r="J390" i="10"/>
  <c r="K390" i="10" s="1"/>
  <c r="J340" i="10"/>
  <c r="K340" i="10" s="1"/>
  <c r="J467" i="10"/>
  <c r="K467" i="10" s="1"/>
  <c r="J71" i="10"/>
  <c r="K71" i="10" s="1"/>
  <c r="J307" i="10"/>
  <c r="K307" i="10" s="1"/>
  <c r="J457" i="10"/>
  <c r="K457" i="10" s="1"/>
  <c r="J203" i="10"/>
  <c r="K203" i="10" s="1"/>
  <c r="J313" i="10"/>
  <c r="K313" i="10" s="1"/>
  <c r="J345" i="10"/>
  <c r="K345" i="10" s="1"/>
  <c r="J101" i="10"/>
  <c r="K101" i="10" s="1"/>
  <c r="J120" i="10"/>
  <c r="K120" i="10" s="1"/>
  <c r="J380" i="10"/>
  <c r="K380" i="10" s="1"/>
  <c r="J268" i="10"/>
  <c r="K268" i="10" s="1"/>
  <c r="J37" i="10"/>
  <c r="K37" i="10" s="1"/>
  <c r="J56" i="10"/>
  <c r="K56" i="10" s="1"/>
  <c r="J123" i="10"/>
  <c r="K123" i="10" s="1"/>
  <c r="J400" i="10"/>
  <c r="K400" i="10" s="1"/>
  <c r="J182" i="10"/>
  <c r="K182" i="10" s="1"/>
  <c r="J417" i="10"/>
  <c r="K417" i="10" s="1"/>
  <c r="J171" i="10"/>
  <c r="K171" i="10" s="1"/>
  <c r="J215" i="10"/>
  <c r="K215" i="10" s="1"/>
  <c r="J110" i="10"/>
  <c r="K110" i="10" s="1"/>
  <c r="J184" i="10"/>
  <c r="K184" i="10" s="1"/>
  <c r="J192" i="10"/>
  <c r="K192" i="10" s="1"/>
  <c r="J114" i="10"/>
  <c r="K114" i="10" s="1"/>
  <c r="J57" i="10"/>
  <c r="K57" i="10" s="1"/>
  <c r="J300" i="10"/>
  <c r="K300" i="10" s="1"/>
  <c r="J480" i="10"/>
  <c r="K480" i="10" s="1"/>
  <c r="J80" i="10"/>
  <c r="K80" i="10" s="1"/>
  <c r="J487" i="10"/>
  <c r="K487" i="10" s="1"/>
  <c r="J235" i="10"/>
  <c r="K235" i="10" s="1"/>
  <c r="J423" i="10"/>
  <c r="K423" i="10" s="1"/>
  <c r="J370" i="10"/>
  <c r="K370" i="10" s="1"/>
  <c r="J362" i="10"/>
  <c r="K362" i="10" s="1"/>
  <c r="J90" i="10"/>
  <c r="K90" i="10" s="1"/>
  <c r="J102" i="10"/>
  <c r="K102" i="10" s="1"/>
  <c r="J330" i="10"/>
  <c r="K330" i="10" s="1"/>
  <c r="J254" i="10"/>
  <c r="K254" i="10" s="1"/>
  <c r="J30" i="10"/>
  <c r="K30" i="10" s="1"/>
  <c r="J19" i="10"/>
  <c r="K19" i="10" s="1"/>
  <c r="J449" i="10"/>
  <c r="K449" i="10" s="1"/>
  <c r="J497" i="10"/>
  <c r="K497" i="10" s="1"/>
  <c r="J7" i="10"/>
  <c r="K7" i="10" s="1"/>
  <c r="J43" i="10"/>
  <c r="K43" i="10" s="1"/>
  <c r="J206" i="10"/>
  <c r="K206" i="10" s="1"/>
  <c r="J412" i="10"/>
  <c r="K412" i="10" s="1"/>
  <c r="J207" i="10"/>
  <c r="K207" i="10" s="1"/>
  <c r="J59" i="10"/>
  <c r="K59" i="10" s="1"/>
  <c r="J197" i="10"/>
  <c r="K197" i="10" s="1"/>
  <c r="J273" i="10"/>
  <c r="K273" i="10" s="1"/>
  <c r="J186" i="10"/>
  <c r="K186" i="10" s="1"/>
  <c r="J471" i="10"/>
  <c r="K471" i="10" s="1"/>
  <c r="J84" i="10"/>
  <c r="K84" i="10" s="1"/>
  <c r="J433" i="10"/>
  <c r="K433" i="10" s="1"/>
  <c r="J295" i="10"/>
  <c r="K295" i="10" s="1"/>
  <c r="J244" i="10"/>
  <c r="K244" i="10" s="1"/>
  <c r="J183" i="10"/>
  <c r="K183" i="10" s="1"/>
  <c r="J298" i="10"/>
  <c r="K298" i="10" s="1"/>
  <c r="J498" i="10"/>
  <c r="K498" i="10" s="1"/>
  <c r="J103" i="10"/>
  <c r="K103" i="10" s="1"/>
  <c r="J131" i="10"/>
  <c r="K131" i="10" s="1"/>
  <c r="J38" i="10"/>
  <c r="K38" i="10" s="1"/>
  <c r="J74" i="10"/>
  <c r="K74" i="10" s="1"/>
  <c r="J221" i="10"/>
  <c r="K221" i="10" s="1"/>
  <c r="J396" i="10"/>
  <c r="K396" i="10" s="1"/>
  <c r="J495" i="10"/>
  <c r="K495" i="10" s="1"/>
  <c r="J250" i="10"/>
  <c r="K250" i="10" s="1"/>
  <c r="J271" i="10"/>
  <c r="K271" i="10" s="1"/>
  <c r="J22" i="10"/>
  <c r="K22" i="10" s="1"/>
  <c r="J160" i="10"/>
  <c r="K160" i="10" s="1"/>
  <c r="J450" i="10"/>
  <c r="K450" i="10" s="1"/>
  <c r="J303" i="10"/>
  <c r="K303" i="10" s="1"/>
  <c r="J20" i="10"/>
  <c r="K20" i="10" s="1"/>
  <c r="J236" i="10"/>
  <c r="K236" i="10" s="1"/>
  <c r="J500" i="10"/>
  <c r="K500" i="10" s="1"/>
  <c r="J474" i="10"/>
  <c r="K474" i="10" s="1"/>
  <c r="J261" i="10"/>
  <c r="K261" i="10" s="1"/>
  <c r="J170" i="10"/>
  <c r="K170" i="10" s="1"/>
  <c r="J499" i="10"/>
  <c r="K499" i="10" s="1"/>
  <c r="J195" i="10"/>
  <c r="K195" i="10" s="1"/>
  <c r="J233" i="10"/>
  <c r="K233" i="10" s="1"/>
  <c r="J34" i="10"/>
  <c r="K34" i="10" s="1"/>
  <c r="J344" i="10"/>
  <c r="K344" i="10" s="1"/>
  <c r="J230" i="10"/>
  <c r="K230" i="10" s="1"/>
  <c r="J317" i="10"/>
  <c r="K317" i="10" s="1"/>
  <c r="J199" i="10"/>
  <c r="K199" i="10" s="1"/>
  <c r="J272" i="10"/>
  <c r="K272" i="10" s="1"/>
  <c r="J348" i="10"/>
  <c r="K348" i="10" s="1"/>
  <c r="J253" i="10"/>
  <c r="K253" i="10" s="1"/>
  <c r="J265" i="10"/>
  <c r="K265" i="10" s="1"/>
  <c r="J447" i="10"/>
  <c r="K447" i="10" s="1"/>
  <c r="J479" i="10"/>
  <c r="K479" i="10" s="1"/>
  <c r="J275" i="10"/>
  <c r="K275" i="10" s="1"/>
  <c r="J21" i="10"/>
  <c r="K21" i="10" s="1"/>
  <c r="J117" i="10"/>
  <c r="K117" i="10" s="1"/>
  <c r="J387" i="10"/>
  <c r="K387" i="10" s="1"/>
  <c r="J115" i="10"/>
  <c r="K115" i="10" s="1"/>
  <c r="J214" i="10"/>
  <c r="K214" i="10" s="1"/>
  <c r="J289" i="10"/>
  <c r="K289" i="10" s="1"/>
  <c r="J220" i="10"/>
  <c r="K220" i="10" s="1"/>
  <c r="J490" i="10"/>
  <c r="K490" i="10" s="1"/>
  <c r="J477" i="10"/>
  <c r="K477" i="10" s="1"/>
  <c r="J384" i="10"/>
  <c r="K384" i="10" s="1"/>
  <c r="J427" i="10"/>
  <c r="K427" i="10" s="1"/>
  <c r="J464" i="10"/>
  <c r="K464" i="10" s="1"/>
  <c r="J51" i="10"/>
  <c r="K51" i="10" s="1"/>
  <c r="J85" i="10"/>
  <c r="K85" i="10" s="1"/>
  <c r="J349" i="10"/>
  <c r="K349" i="10" s="1"/>
  <c r="J148" i="10"/>
  <c r="K148" i="10" s="1"/>
  <c r="J263" i="10"/>
  <c r="K263" i="10" s="1"/>
  <c r="J481" i="10"/>
  <c r="K481" i="10" s="1"/>
  <c r="J462" i="10"/>
  <c r="K462" i="10" s="1"/>
  <c r="J8" i="10"/>
  <c r="K8" i="10" s="1"/>
  <c r="J310" i="10"/>
  <c r="K310" i="10" s="1"/>
  <c r="J401" i="10"/>
  <c r="K401" i="10" s="1"/>
  <c r="J97" i="10"/>
  <c r="K97" i="10" s="1"/>
  <c r="J297" i="10"/>
  <c r="K297" i="10" s="1"/>
  <c r="J363" i="10"/>
  <c r="K363" i="10" s="1"/>
  <c r="J454" i="10"/>
  <c r="K454" i="10" s="1"/>
  <c r="J379" i="10"/>
  <c r="K379" i="10" s="1"/>
  <c r="J429" i="10"/>
  <c r="K429" i="10" s="1"/>
  <c r="J48" i="10"/>
  <c r="K48" i="10" s="1"/>
  <c r="J492" i="10"/>
  <c r="K492" i="10" s="1"/>
  <c r="J26" i="10"/>
  <c r="K26" i="10" s="1"/>
  <c r="J10" i="10"/>
  <c r="K10" i="10" s="1"/>
  <c r="J32" i="10"/>
  <c r="K32" i="10" s="1"/>
  <c r="J294" i="10"/>
  <c r="K294" i="10" s="1"/>
  <c r="J339" i="10"/>
  <c r="K339" i="10" s="1"/>
  <c r="J52" i="10"/>
  <c r="K52" i="10" s="1"/>
  <c r="J29" i="10"/>
  <c r="K29" i="10" s="1"/>
  <c r="J18" i="10"/>
  <c r="K18" i="10" s="1"/>
  <c r="J483" i="10"/>
  <c r="K483" i="10" s="1"/>
  <c r="J107" i="10"/>
  <c r="K107" i="10" s="1"/>
  <c r="J442" i="10"/>
  <c r="K442" i="10" s="1"/>
  <c r="J112" i="10"/>
  <c r="K112" i="10" s="1"/>
  <c r="J305" i="10"/>
  <c r="K305" i="10" s="1"/>
  <c r="J177" i="10"/>
  <c r="K177" i="10" s="1"/>
  <c r="J25" i="10"/>
  <c r="K25" i="10" s="1"/>
  <c r="J315" i="10"/>
  <c r="K315" i="10" s="1"/>
  <c r="J426" i="10"/>
  <c r="K426" i="10" s="1"/>
  <c r="J47" i="10"/>
  <c r="K47" i="10" s="1"/>
  <c r="J105" i="10"/>
  <c r="K105" i="10" s="1"/>
  <c r="J67" i="10"/>
  <c r="K67" i="10" s="1"/>
  <c r="J92" i="10"/>
  <c r="K92" i="10" s="1"/>
  <c r="J357" i="10"/>
  <c r="K357" i="10" s="1"/>
  <c r="J388" i="10"/>
  <c r="K388" i="10" s="1"/>
  <c r="J134" i="10"/>
  <c r="K134" i="10" s="1"/>
  <c r="J78" i="10"/>
  <c r="K78" i="10" s="1"/>
  <c r="J216" i="10"/>
  <c r="K216" i="10" s="1"/>
  <c r="J45" i="10"/>
  <c r="K45" i="10" s="1"/>
  <c r="J166" i="10"/>
  <c r="K166" i="10" s="1"/>
  <c r="J31" i="10"/>
  <c r="K31" i="10" s="1"/>
  <c r="J468" i="10"/>
  <c r="K468" i="10" s="1"/>
  <c r="J172" i="10"/>
  <c r="K172" i="10" s="1"/>
  <c r="J292" i="10"/>
  <c r="K292" i="10" s="1"/>
  <c r="J444" i="10"/>
  <c r="K444" i="10" s="1"/>
  <c r="J200" i="10"/>
  <c r="K200" i="10" s="1"/>
  <c r="J196" i="10"/>
  <c r="K196" i="10" s="1"/>
  <c r="J493" i="10"/>
  <c r="K493" i="10" s="1"/>
  <c r="J99" i="10"/>
  <c r="K99" i="10" s="1"/>
  <c r="J255" i="10"/>
  <c r="K255" i="10" s="1"/>
  <c r="J438" i="10"/>
  <c r="K438" i="10" s="1"/>
  <c r="J40" i="10"/>
  <c r="K40" i="10" s="1"/>
  <c r="J212" i="10"/>
  <c r="K212" i="10" s="1"/>
  <c r="J333" i="10"/>
  <c r="K333" i="10" s="1"/>
  <c r="J337" i="10"/>
  <c r="K337" i="10" s="1"/>
  <c r="J437" i="10"/>
  <c r="K437" i="10" s="1"/>
  <c r="J280" i="10"/>
  <c r="K280" i="10" s="1"/>
  <c r="J27" i="10"/>
  <c r="K27" i="10" s="1"/>
  <c r="J419" i="10"/>
  <c r="K419" i="10" s="1"/>
  <c r="J319" i="10"/>
  <c r="K319" i="10" s="1"/>
  <c r="J150" i="10"/>
  <c r="K150" i="10" s="1"/>
  <c r="J62" i="10"/>
  <c r="K62" i="10" s="1"/>
  <c r="J286" i="10"/>
  <c r="K286" i="10" s="1"/>
  <c r="J386" i="10"/>
  <c r="K386" i="10" s="1"/>
  <c r="J411" i="10"/>
  <c r="K411" i="10" s="1"/>
  <c r="J461" i="10"/>
  <c r="K461" i="10" s="1"/>
  <c r="J453" i="10"/>
  <c r="K453" i="10" s="1"/>
  <c r="J193" i="10"/>
  <c r="K193" i="10" s="1"/>
  <c r="J36" i="10"/>
  <c r="K36" i="10" s="1"/>
  <c r="J418" i="10"/>
  <c r="K418" i="10" s="1"/>
  <c r="J232" i="10"/>
  <c r="K232" i="10" s="1"/>
  <c r="J162" i="10"/>
  <c r="K162" i="10" s="1"/>
  <c r="J441" i="10"/>
  <c r="K441" i="10" s="1"/>
  <c r="J404" i="10"/>
  <c r="K404" i="10" s="1"/>
  <c r="J104" i="10"/>
  <c r="K104" i="10" s="1"/>
  <c r="J372" i="10"/>
  <c r="K372" i="10" s="1"/>
  <c r="J389" i="10"/>
  <c r="K389" i="10" s="1"/>
  <c r="J73" i="10"/>
  <c r="K73" i="10" s="1"/>
  <c r="J135" i="10"/>
  <c r="K135" i="10" s="1"/>
  <c r="J239" i="10"/>
  <c r="K239" i="10" s="1"/>
  <c r="J237" i="10"/>
  <c r="K237" i="10" s="1"/>
  <c r="J502" i="10"/>
  <c r="K502" i="10" s="1"/>
  <c r="J276" i="10"/>
  <c r="K276" i="10" s="1"/>
  <c r="J321" i="10"/>
  <c r="K321" i="10" s="1"/>
  <c r="J489" i="10"/>
  <c r="K489" i="10" s="1"/>
  <c r="J282" i="10"/>
  <c r="K282" i="10" s="1"/>
  <c r="J77" i="10"/>
  <c r="K77" i="10" s="1"/>
  <c r="J314" i="10"/>
  <c r="K314" i="10" s="1"/>
  <c r="J240" i="10"/>
  <c r="K240" i="10" s="1"/>
  <c r="J431" i="10"/>
  <c r="K431" i="10" s="1"/>
  <c r="J452" i="10"/>
  <c r="K452" i="10" s="1"/>
  <c r="J79" i="10"/>
  <c r="K79" i="10" s="1"/>
  <c r="J415" i="10"/>
  <c r="K415" i="10" s="1"/>
  <c r="J54" i="10"/>
  <c r="K54" i="10" s="1"/>
  <c r="J14" i="10"/>
  <c r="K14" i="10" s="1"/>
  <c r="J125" i="10"/>
  <c r="K125" i="10" s="1"/>
  <c r="J154" i="10"/>
  <c r="K154" i="10" s="1"/>
  <c r="J266" i="10"/>
  <c r="K266" i="10" s="1"/>
  <c r="J463" i="10"/>
  <c r="K463" i="10" s="1"/>
  <c r="J334" i="10"/>
  <c r="K334" i="10" s="1"/>
  <c r="J210" i="10"/>
  <c r="K210" i="10" s="1"/>
  <c r="J202" i="10"/>
  <c r="K202" i="10" s="1"/>
  <c r="J472" i="10"/>
  <c r="K472" i="10" s="1"/>
  <c r="J440" i="10"/>
  <c r="K440" i="10" s="1"/>
  <c r="J318" i="10"/>
  <c r="K318" i="10" s="1"/>
  <c r="J402" i="10"/>
  <c r="K402" i="10" s="1"/>
  <c r="J382" i="10"/>
  <c r="K382" i="10" s="1"/>
  <c r="J231" i="10"/>
  <c r="K231" i="10" s="1"/>
  <c r="J466" i="10"/>
  <c r="K466" i="10" s="1"/>
  <c r="J323" i="10"/>
  <c r="K323" i="10" s="1"/>
  <c r="J262" i="10"/>
  <c r="K262" i="10" s="1"/>
  <c r="J392" i="10"/>
  <c r="K392" i="10" s="1"/>
  <c r="J137" i="10"/>
  <c r="K137" i="10" s="1"/>
  <c r="J336" i="10"/>
  <c r="K336" i="10" s="1"/>
  <c r="J228" i="10"/>
  <c r="K228" i="10" s="1"/>
  <c r="J15" i="10"/>
  <c r="K15" i="10" s="1"/>
  <c r="J486" i="10"/>
  <c r="K486" i="10" s="1"/>
  <c r="J496" i="10"/>
  <c r="K496" i="10" s="1"/>
  <c r="J312" i="10"/>
  <c r="K312" i="10" s="1"/>
  <c r="J407" i="10"/>
  <c r="K407" i="10" s="1"/>
  <c r="J359" i="10"/>
  <c r="K359" i="10" s="1"/>
  <c r="J149" i="10"/>
  <c r="K149" i="10" s="1"/>
  <c r="J391" i="10"/>
  <c r="K391" i="10" s="1"/>
  <c r="J17" i="10"/>
  <c r="K17" i="10" s="1"/>
  <c r="J174" i="10"/>
  <c r="K174" i="10" s="1"/>
  <c r="J397" i="10"/>
  <c r="K397" i="10" s="1"/>
  <c r="J24" i="10"/>
  <c r="K24" i="10" s="1"/>
  <c r="J331" i="10"/>
  <c r="K331" i="10" s="1"/>
  <c r="J23" i="10"/>
  <c r="K23" i="10" s="1"/>
  <c r="J408" i="10"/>
  <c r="K408" i="10" s="1"/>
  <c r="J251" i="10"/>
  <c r="K251" i="10" s="1"/>
  <c r="J16" i="10"/>
  <c r="K16" i="10" s="1"/>
  <c r="J218" i="10"/>
  <c r="K218" i="10" s="1"/>
  <c r="J188" i="10"/>
  <c r="K188" i="10" s="1"/>
  <c r="J341" i="10"/>
  <c r="K341" i="10" s="1"/>
  <c r="J98" i="10"/>
  <c r="K98" i="10" s="1"/>
  <c r="J6" i="10"/>
  <c r="K6" i="10" s="1"/>
  <c r="J63" i="10"/>
  <c r="K63" i="10" s="1"/>
  <c r="J121" i="10"/>
  <c r="K121" i="10" s="1"/>
  <c r="J116" i="10"/>
  <c r="K116" i="10" s="1"/>
  <c r="J60" i="10"/>
  <c r="K60" i="10" s="1"/>
  <c r="J219" i="10"/>
  <c r="K219" i="10" s="1"/>
  <c r="J138" i="10"/>
  <c r="K138" i="10" s="1"/>
  <c r="J169" i="10"/>
  <c r="K169" i="10" s="1"/>
  <c r="J398" i="10"/>
  <c r="K398" i="10" s="1"/>
  <c r="J424" i="10"/>
  <c r="K424" i="10" s="1"/>
  <c r="J325" i="10"/>
  <c r="K325" i="10" s="1"/>
  <c r="J213" i="10"/>
  <c r="K213" i="10" s="1"/>
  <c r="J465" i="10"/>
  <c r="K465" i="10" s="1"/>
  <c r="J248" i="10"/>
  <c r="K248" i="10" s="1"/>
  <c r="J270" i="10"/>
  <c r="K270" i="10" s="1"/>
  <c r="J352" i="10"/>
  <c r="K352" i="10" s="1"/>
  <c r="J201" i="10"/>
  <c r="K201" i="10" s="1"/>
  <c r="J129" i="10"/>
  <c r="K129" i="10" s="1"/>
  <c r="J443" i="10"/>
  <c r="K443" i="10" s="1"/>
  <c r="J91" i="10"/>
  <c r="K91" i="10" s="1"/>
  <c r="J119" i="10"/>
  <c r="K119" i="10" s="1"/>
  <c r="J83" i="10"/>
  <c r="K83" i="10" s="1"/>
  <c r="J126" i="10"/>
  <c r="K126" i="10" s="1"/>
  <c r="J227" i="10"/>
  <c r="K227" i="10" s="1"/>
  <c r="J488" i="10"/>
  <c r="K488" i="10" s="1"/>
  <c r="J64" i="10"/>
  <c r="K64" i="10" s="1"/>
  <c r="J491" i="10"/>
  <c r="K491" i="10" s="1"/>
  <c r="J258" i="10"/>
  <c r="K258" i="10" s="1"/>
  <c r="J301" i="10"/>
  <c r="K301" i="10" s="1"/>
  <c r="J164" i="10"/>
  <c r="K164" i="10" s="1"/>
  <c r="J35" i="10"/>
  <c r="K35" i="10" s="1"/>
  <c r="J89" i="10"/>
  <c r="K89" i="10" s="1"/>
  <c r="J189" i="10"/>
  <c r="K189" i="10" s="1"/>
  <c r="J208" i="10"/>
  <c r="K208" i="10" s="1"/>
  <c r="J133" i="10"/>
  <c r="K133" i="10" s="1"/>
  <c r="J371" i="10"/>
  <c r="K371" i="10" s="1"/>
  <c r="J311" i="10"/>
  <c r="K311" i="10" s="1"/>
  <c r="J473" i="10"/>
  <c r="K473" i="10" s="1"/>
  <c r="J267" i="10"/>
  <c r="K267" i="10" s="1"/>
  <c r="J434" i="10"/>
  <c r="K434" i="10" s="1"/>
  <c r="J109" i="10"/>
  <c r="K109" i="10" s="1"/>
  <c r="J436" i="10"/>
  <c r="K436" i="10" s="1"/>
  <c r="J329" i="10"/>
  <c r="K329" i="10" s="1"/>
  <c r="J368" i="10"/>
  <c r="K368" i="10" s="1"/>
  <c r="J118" i="10"/>
  <c r="K118" i="10" s="1"/>
  <c r="J459" i="10"/>
  <c r="K459" i="10" s="1"/>
  <c r="J53" i="10"/>
  <c r="K53" i="10" s="1"/>
  <c r="J181" i="10"/>
  <c r="K181" i="10" s="1"/>
  <c r="J12" i="10"/>
  <c r="K12" i="10" s="1"/>
  <c r="J68" i="10"/>
  <c r="K68" i="10" s="1"/>
  <c r="J346" i="10"/>
  <c r="K346" i="10" s="1"/>
  <c r="J425" i="10"/>
  <c r="K425" i="10" s="1"/>
  <c r="J165" i="10"/>
  <c r="K165" i="10" s="1"/>
  <c r="J413" i="10"/>
  <c r="K413" i="10" s="1"/>
  <c r="J187" i="10"/>
  <c r="K187" i="10" s="1"/>
  <c r="J127" i="10"/>
  <c r="K127" i="10" s="1"/>
  <c r="J355" i="10"/>
  <c r="K355" i="10" s="1"/>
  <c r="J358" i="10"/>
  <c r="K358" i="10" s="1"/>
  <c r="J190" i="10"/>
  <c r="K190" i="10" s="1"/>
  <c r="J403" i="10"/>
  <c r="K403" i="10" s="1"/>
  <c r="J152" i="10"/>
  <c r="K152" i="10" s="1"/>
  <c r="J33" i="10"/>
  <c r="K33" i="10" s="1"/>
  <c r="J350" i="10"/>
  <c r="K350" i="10" s="1"/>
  <c r="J456" i="10"/>
  <c r="K456" i="10" s="1"/>
  <c r="J204" i="10"/>
  <c r="K204" i="10" s="1"/>
  <c r="J180" i="10"/>
  <c r="K180" i="10" s="1"/>
  <c r="J168" i="10"/>
  <c r="K168" i="10" s="1"/>
  <c r="J42" i="10"/>
  <c r="K42" i="10" s="1"/>
  <c r="J159" i="10"/>
  <c r="K159" i="10" s="1"/>
  <c r="J229" i="10"/>
  <c r="K229" i="10" s="1"/>
  <c r="J185" i="10"/>
  <c r="K185" i="10" s="1"/>
  <c r="J393" i="10"/>
  <c r="K393" i="10" s="1"/>
  <c r="J49" i="10"/>
  <c r="K49" i="10" s="1"/>
  <c r="J173" i="10"/>
  <c r="K173" i="10" s="1"/>
  <c r="J365" i="10"/>
  <c r="K365" i="10" s="1"/>
  <c r="J460" i="10"/>
  <c r="K460" i="10" s="1"/>
  <c r="J259" i="10"/>
  <c r="K259" i="10" s="1"/>
  <c r="J146" i="10"/>
  <c r="K146" i="10" s="1"/>
  <c r="J290" i="10"/>
  <c r="K290" i="10" s="1"/>
  <c r="J264" i="10"/>
  <c r="K264" i="10" s="1"/>
  <c r="J422" i="10"/>
  <c r="K422" i="10" s="1"/>
  <c r="J243" i="10"/>
  <c r="K243" i="10" s="1"/>
  <c r="J385" i="10"/>
  <c r="K385" i="10" s="1"/>
  <c r="J69" i="10"/>
  <c r="K69" i="10" s="1"/>
  <c r="J455" i="10"/>
  <c r="K455" i="10" s="1"/>
  <c r="J299" i="10"/>
  <c r="K299" i="10" s="1"/>
  <c r="J451" i="10"/>
  <c r="K451" i="10" s="1"/>
  <c r="J87" i="10"/>
  <c r="K87" i="10" s="1"/>
  <c r="J217" i="10"/>
  <c r="K217" i="10" s="1"/>
  <c r="J353" i="10"/>
  <c r="K353" i="10" s="1"/>
  <c r="J147" i="10"/>
  <c r="K147" i="10" s="1"/>
  <c r="J405" i="10"/>
  <c r="K405" i="10" s="1"/>
  <c r="J328" i="10"/>
  <c r="K328" i="10" s="1"/>
  <c r="J234" i="10"/>
  <c r="K234" i="10" s="1"/>
  <c r="J291" i="10"/>
  <c r="K291" i="10" s="1"/>
  <c r="J225" i="10"/>
  <c r="K225" i="10" s="1"/>
  <c r="J9" i="10"/>
  <c r="K9" i="10" s="1"/>
  <c r="J122" i="10"/>
  <c r="K122" i="10" s="1"/>
  <c r="J96" i="10"/>
  <c r="K96" i="10" s="1"/>
  <c r="J316" i="10"/>
  <c r="K316" i="10" s="1"/>
  <c r="J142" i="10"/>
  <c r="K142" i="10" s="1"/>
  <c r="J446" i="10"/>
  <c r="K446" i="10" s="1"/>
  <c r="J406" i="10"/>
  <c r="K406" i="10" s="1"/>
  <c r="J245" i="10"/>
  <c r="K245" i="10" s="1"/>
  <c r="J469" i="10"/>
  <c r="K469" i="10" s="1"/>
  <c r="J93" i="10"/>
  <c r="K93" i="10" s="1"/>
  <c r="J364" i="10"/>
  <c r="K364" i="10" s="1"/>
  <c r="J205" i="10"/>
  <c r="K205" i="10" s="1"/>
  <c r="J470" i="10"/>
  <c r="K470" i="10" s="1"/>
  <c r="J76" i="10"/>
  <c r="K76" i="10" s="1"/>
  <c r="J432" i="10"/>
  <c r="K432" i="10" s="1"/>
  <c r="J241" i="10"/>
  <c r="K241" i="10" s="1"/>
  <c r="J28" i="10"/>
  <c r="K28" i="10" s="1"/>
  <c r="J65" i="10"/>
  <c r="K65" i="10" s="1"/>
  <c r="J439" i="10"/>
  <c r="K439" i="10" s="1"/>
  <c r="J360" i="10"/>
  <c r="K360" i="10" s="1"/>
  <c r="J458" i="10"/>
  <c r="K458" i="10" s="1"/>
  <c r="J283" i="10"/>
  <c r="K283" i="10" s="1"/>
  <c r="J141" i="10"/>
  <c r="K141" i="10" s="1"/>
  <c r="J302" i="10"/>
  <c r="K302" i="10" s="1"/>
  <c r="J41" i="10"/>
  <c r="K41" i="10" s="1"/>
  <c r="J222" i="10"/>
  <c r="K222" i="10" s="1"/>
  <c r="J155" i="10"/>
  <c r="K155" i="10" s="1"/>
  <c r="J249" i="10"/>
  <c r="K249" i="10" s="1"/>
  <c r="J46" i="10"/>
  <c r="K46" i="10" s="1"/>
  <c r="J274" i="10"/>
  <c r="K274" i="10" s="1"/>
  <c r="J178" i="10"/>
  <c r="K178" i="10" s="1"/>
  <c r="J39" i="10"/>
  <c r="K39" i="10" s="1"/>
  <c r="J86" i="10"/>
  <c r="K86" i="10" s="1"/>
  <c r="J13" i="10"/>
  <c r="K13" i="10" s="1"/>
  <c r="J287" i="10"/>
  <c r="K287" i="10" s="1"/>
  <c r="J277" i="10"/>
  <c r="K277" i="10" s="1"/>
  <c r="J351" i="10"/>
  <c r="K351" i="10" s="1"/>
  <c r="J153" i="10"/>
  <c r="K153" i="10" s="1"/>
  <c r="J478" i="10"/>
  <c r="K478" i="10" s="1"/>
  <c r="J111" i="10"/>
  <c r="K111" i="10" s="1"/>
  <c r="J383" i="10"/>
  <c r="K383" i="10" s="1"/>
  <c r="J501" i="10"/>
  <c r="K501" i="10" s="1"/>
  <c r="J156" i="10"/>
  <c r="K156" i="10" s="1"/>
  <c r="J409" i="10"/>
  <c r="K409" i="10" s="1"/>
  <c r="J279" i="10"/>
  <c r="K279" i="10" s="1"/>
  <c r="J475" i="10"/>
  <c r="K475" i="10" s="1"/>
  <c r="J139" i="10"/>
  <c r="K139" i="10" s="1"/>
  <c r="J66" i="10"/>
  <c r="K66" i="10" s="1"/>
  <c r="J448" i="10"/>
  <c r="K448" i="10" s="1"/>
  <c r="J257" i="10"/>
  <c r="K257" i="10" s="1"/>
  <c r="J284" i="10"/>
  <c r="K284" i="10" s="1"/>
  <c r="J209" i="10"/>
  <c r="K209" i="10" s="1"/>
  <c r="J327" i="10"/>
  <c r="K327" i="10" s="1"/>
  <c r="J335" i="10"/>
  <c r="K335" i="10" s="1"/>
  <c r="J238" i="10"/>
  <c r="K238" i="10" s="1"/>
  <c r="J366" i="10"/>
  <c r="K366" i="10" s="1"/>
  <c r="J375" i="10"/>
  <c r="K375" i="10" s="1"/>
  <c r="J354" i="10"/>
  <c r="K354" i="10" s="1"/>
  <c r="J399" i="10"/>
  <c r="K399" i="10" s="1"/>
  <c r="J269" i="10"/>
  <c r="K269" i="10" s="1"/>
  <c r="J281" i="10"/>
  <c r="K281" i="10" s="1"/>
  <c r="J151" i="10"/>
  <c r="K151" i="10" s="1"/>
  <c r="J70" i="10"/>
  <c r="K70" i="10" s="1"/>
  <c r="J374" i="10"/>
  <c r="K374" i="10" s="1"/>
  <c r="J132" i="10"/>
  <c r="K132" i="10" s="1"/>
  <c r="J194" i="10"/>
  <c r="K194" i="10" s="1"/>
  <c r="J308" i="10"/>
  <c r="K308" i="10" s="1"/>
  <c r="J247" i="10"/>
  <c r="K247" i="10" s="1"/>
  <c r="J145" i="10"/>
  <c r="K145" i="10" s="1"/>
  <c r="J430" i="10"/>
  <c r="K430" i="10" s="1"/>
  <c r="J293" i="10"/>
  <c r="K293" i="10" s="1"/>
  <c r="J143" i="10"/>
  <c r="K143" i="10" s="1"/>
  <c r="J410" i="10"/>
  <c r="K410" i="10" s="1"/>
  <c r="J381" i="10"/>
  <c r="K381" i="10" s="1"/>
  <c r="J416" i="10"/>
  <c r="K416" i="10" s="1"/>
  <c r="J179" i="10"/>
  <c r="K179" i="10" s="1"/>
  <c r="J378" i="10"/>
  <c r="K378" i="10" s="1"/>
  <c r="J320" i="10"/>
  <c r="K320" i="10" s="1"/>
  <c r="J326" i="10"/>
  <c r="K326" i="10" s="1"/>
  <c r="J124" i="10"/>
  <c r="K124" i="10" s="1"/>
  <c r="J167" i="10"/>
  <c r="K167" i="10" s="1"/>
  <c r="J504" i="10"/>
  <c r="K504" i="10" s="1"/>
  <c r="J88" i="10"/>
  <c r="K88" i="10" s="1"/>
  <c r="J285" i="10"/>
  <c r="K285" i="10" s="1"/>
  <c r="J376" i="10"/>
  <c r="K376" i="10" s="1"/>
  <c r="J256" i="10"/>
  <c r="K256" i="10" s="1"/>
  <c r="J61" i="10"/>
  <c r="K61" i="10" s="1"/>
  <c r="J476" i="10"/>
  <c r="K476" i="10" s="1"/>
  <c r="J324" i="10"/>
  <c r="K324" i="10" s="1"/>
  <c r="J306" i="10"/>
  <c r="K306" i="10" s="1"/>
  <c r="J322" i="10"/>
  <c r="K322" i="10" s="1"/>
  <c r="J100" i="10"/>
  <c r="K100" i="10" s="1"/>
  <c r="J421" i="10"/>
  <c r="K421" i="10" s="1"/>
  <c r="J394" i="10"/>
  <c r="K394" i="10" s="1"/>
  <c r="J309" i="10"/>
  <c r="K309" i="10" s="1"/>
  <c r="J130" i="10"/>
  <c r="K130" i="10" s="1"/>
  <c r="J361" i="10"/>
  <c r="K361" i="10" s="1"/>
  <c r="J157" i="10"/>
  <c r="K157" i="10" s="1"/>
  <c r="J332" i="10"/>
  <c r="K332" i="10" s="1"/>
  <c r="J95" i="10"/>
  <c r="K95" i="10" s="1"/>
  <c r="J144" i="10"/>
  <c r="K144" i="10" s="1"/>
  <c r="J304" i="10"/>
  <c r="K304" i="10" s="1"/>
  <c r="J108" i="10"/>
  <c r="K108" i="10" s="1"/>
  <c r="J428" i="10"/>
  <c r="K428" i="10" s="1"/>
  <c r="J223" i="10"/>
  <c r="K223" i="10" s="1"/>
  <c r="J226" i="10"/>
  <c r="K226" i="10" s="1"/>
  <c r="J414" i="10"/>
  <c r="K414" i="10" s="1"/>
  <c r="J342" i="10"/>
  <c r="K342" i="10" s="1"/>
  <c r="J435" i="10"/>
  <c r="K435" i="10" s="1"/>
  <c r="J224" i="10"/>
  <c r="K224" i="10" s="1"/>
  <c r="J377" i="10"/>
  <c r="K377" i="10" s="1"/>
  <c r="J82" i="10"/>
  <c r="K82" i="10" s="1"/>
  <c r="J367" i="10"/>
  <c r="K367" i="10" s="1"/>
  <c r="J11" i="10"/>
  <c r="K11" i="10" s="1"/>
  <c r="J288" i="10"/>
  <c r="K288" i="10" s="1"/>
  <c r="J503" i="10"/>
  <c r="K503" i="10" s="1"/>
  <c r="J136" i="10"/>
  <c r="K136" i="10" s="1"/>
  <c r="J485" i="10"/>
  <c r="K485" i="10" s="1"/>
  <c r="J373" i="10"/>
  <c r="K373" i="10" s="1"/>
  <c r="J482" i="10"/>
  <c r="K482" i="10" s="1"/>
  <c r="J484" i="10"/>
  <c r="K484" i="10" s="1"/>
  <c r="J161" i="10"/>
  <c r="K161" i="10" s="1"/>
  <c r="J260" i="10"/>
  <c r="K260" i="10" s="1"/>
  <c r="J343" i="10"/>
  <c r="K343" i="10" s="1"/>
  <c r="J113" i="10"/>
  <c r="K113" i="10" s="1"/>
  <c r="J176" i="10"/>
  <c r="K176" i="10" s="1"/>
  <c r="J395" i="10"/>
  <c r="K395" i="10" s="1"/>
  <c r="J246" i="10"/>
  <c r="K246" i="10" s="1"/>
  <c r="J58" i="10"/>
  <c r="K58" i="10" s="1"/>
  <c r="J356" i="10"/>
  <c r="K356" i="10" s="1"/>
  <c r="J278" i="10"/>
  <c r="K278" i="10" s="1"/>
  <c r="J158" i="10"/>
  <c r="K158" i="10" s="1"/>
  <c r="J50" i="10"/>
  <c r="K50" i="10" s="1"/>
  <c r="J296" i="10"/>
  <c r="K296" i="10" s="1"/>
  <c r="J94" i="10"/>
  <c r="K94" i="10" s="1"/>
  <c r="J338" i="10"/>
  <c r="K338" i="10" s="1"/>
  <c r="J211" i="10"/>
  <c r="K211" i="10" s="1"/>
  <c r="J252" i="10"/>
  <c r="K252" i="10" s="1"/>
  <c r="J420" i="10"/>
  <c r="K420" i="10" s="1"/>
  <c r="J81" i="10"/>
  <c r="K81" i="10" s="1"/>
  <c r="J5" i="10"/>
  <c r="K5" i="10" s="1"/>
  <c r="AD506" i="10"/>
  <c r="K505" i="10" l="1"/>
  <c r="F9" i="34" l="1"/>
  <c r="D9" i="34" l="1"/>
  <c r="J11" i="120"/>
  <c r="G6" i="33" l="1"/>
  <c r="A59" i="132"/>
  <c r="F59" i="132" s="1"/>
  <c r="A58" i="132"/>
  <c r="A57" i="132"/>
  <c r="A56" i="132"/>
  <c r="F56" i="132" s="1"/>
  <c r="A55" i="132"/>
  <c r="F55" i="132" s="1"/>
  <c r="A54" i="132"/>
  <c r="D54" i="132" s="1"/>
  <c r="A53" i="132"/>
  <c r="F53" i="132" s="1"/>
  <c r="A52" i="132"/>
  <c r="B52" i="132" s="1"/>
  <c r="A51" i="132"/>
  <c r="F51" i="132" s="1"/>
  <c r="A50" i="132"/>
  <c r="B50" i="132" s="1"/>
  <c r="A49" i="132"/>
  <c r="A48" i="132"/>
  <c r="B48" i="132" s="1"/>
  <c r="A47" i="132"/>
  <c r="F47" i="132" s="1"/>
  <c r="A46" i="132"/>
  <c r="A45" i="132"/>
  <c r="A44" i="132"/>
  <c r="F44" i="132" s="1"/>
  <c r="A43" i="132"/>
  <c r="D43" i="132" s="1"/>
  <c r="A42" i="132"/>
  <c r="D42" i="132" s="1"/>
  <c r="A41" i="132"/>
  <c r="B41" i="132" s="1"/>
  <c r="A40" i="132"/>
  <c r="B40" i="132" s="1"/>
  <c r="A39" i="132"/>
  <c r="F39" i="132" s="1"/>
  <c r="A38" i="132"/>
  <c r="B38" i="132" s="1"/>
  <c r="A37" i="132"/>
  <c r="F37" i="132" s="1"/>
  <c r="A36" i="132"/>
  <c r="B36" i="132" s="1"/>
  <c r="A35" i="132"/>
  <c r="F35" i="132" s="1"/>
  <c r="A34" i="132"/>
  <c r="A33" i="132"/>
  <c r="A32" i="132"/>
  <c r="F32" i="132" s="1"/>
  <c r="A31" i="132"/>
  <c r="D31" i="132" s="1"/>
  <c r="A30" i="132"/>
  <c r="B30" i="132" s="1"/>
  <c r="A29" i="132"/>
  <c r="F29" i="132" s="1"/>
  <c r="A28" i="132"/>
  <c r="B28" i="132" s="1"/>
  <c r="A27" i="132"/>
  <c r="B27" i="132" s="1"/>
  <c r="A26" i="132"/>
  <c r="A25" i="132"/>
  <c r="A24" i="132"/>
  <c r="B24" i="132" s="1"/>
  <c r="A23" i="132"/>
  <c r="F23" i="132" s="1"/>
  <c r="A22" i="132"/>
  <c r="A21" i="132"/>
  <c r="A20" i="132"/>
  <c r="F20" i="132" s="1"/>
  <c r="A19" i="132"/>
  <c r="D19" i="132" s="1"/>
  <c r="A18" i="132"/>
  <c r="F18" i="132" s="1"/>
  <c r="A17" i="132"/>
  <c r="F17" i="132" s="1"/>
  <c r="A16" i="132"/>
  <c r="B16" i="132" s="1"/>
  <c r="A15" i="132"/>
  <c r="D15" i="132" s="1"/>
  <c r="A14" i="132"/>
  <c r="F14" i="132" s="1"/>
  <c r="A13" i="132"/>
  <c r="F13" i="132" s="1"/>
  <c r="A12" i="132"/>
  <c r="D12" i="132" s="1"/>
  <c r="A11" i="132"/>
  <c r="F11" i="132" s="1"/>
  <c r="B1" i="132"/>
  <c r="A32" i="26"/>
  <c r="A33" i="26"/>
  <c r="A34" i="26"/>
  <c r="A35" i="26"/>
  <c r="A36" i="26"/>
  <c r="A37" i="26"/>
  <c r="A31" i="26"/>
  <c r="A11" i="26"/>
  <c r="F41" i="132" l="1"/>
  <c r="D23" i="132"/>
  <c r="H23" i="132" s="1"/>
  <c r="B42" i="132"/>
  <c r="F15" i="132"/>
  <c r="H15" i="132" s="1"/>
  <c r="B59" i="132"/>
  <c r="B15" i="132"/>
  <c r="D41" i="132"/>
  <c r="F42" i="132"/>
  <c r="H42" i="132" s="1"/>
  <c r="F48" i="132"/>
  <c r="D24" i="132"/>
  <c r="F54" i="132"/>
  <c r="H54" i="132" s="1"/>
  <c r="B17" i="132"/>
  <c r="B12" i="132"/>
  <c r="F12" i="132"/>
  <c r="H12" i="132" s="1"/>
  <c r="D16" i="132"/>
  <c r="F16" i="132"/>
  <c r="D30" i="132"/>
  <c r="F30" i="132"/>
  <c r="B11" i="132"/>
  <c r="D17" i="132"/>
  <c r="H17" i="132" s="1"/>
  <c r="F31" i="132"/>
  <c r="H31" i="132" s="1"/>
  <c r="D11" i="132"/>
  <c r="H11" i="132" s="1"/>
  <c r="B23" i="132"/>
  <c r="F28" i="132"/>
  <c r="D27" i="132"/>
  <c r="D36" i="132"/>
  <c r="B53" i="132"/>
  <c r="B14" i="132"/>
  <c r="D14" i="132"/>
  <c r="H14" i="132" s="1"/>
  <c r="F19" i="132"/>
  <c r="H19" i="132" s="1"/>
  <c r="F27" i="132"/>
  <c r="F36" i="132"/>
  <c r="D40" i="132"/>
  <c r="B47" i="132"/>
  <c r="D53" i="132"/>
  <c r="H53" i="132" s="1"/>
  <c r="F40" i="132"/>
  <c r="D47" i="132"/>
  <c r="H47" i="132" s="1"/>
  <c r="B51" i="132"/>
  <c r="F24" i="132"/>
  <c r="D28" i="132"/>
  <c r="F43" i="132"/>
  <c r="H43" i="132" s="1"/>
  <c r="D51" i="132"/>
  <c r="H51" i="132" s="1"/>
  <c r="B54" i="132"/>
  <c r="D48" i="132"/>
  <c r="B13" i="132"/>
  <c r="B18" i="132"/>
  <c r="B35" i="132"/>
  <c r="D13" i="132"/>
  <c r="H13" i="132" s="1"/>
  <c r="D18" i="132"/>
  <c r="H18" i="132" s="1"/>
  <c r="B29" i="132"/>
  <c r="D35" i="132"/>
  <c r="H35" i="132" s="1"/>
  <c r="B39" i="132"/>
  <c r="D52" i="132"/>
  <c r="D59" i="132"/>
  <c r="H59" i="132" s="1"/>
  <c r="D29" i="132"/>
  <c r="H29" i="132" s="1"/>
  <c r="D39" i="132"/>
  <c r="H39" i="132" s="1"/>
  <c r="F52" i="132"/>
  <c r="D22" i="132"/>
  <c r="F22" i="132"/>
  <c r="F26" i="132"/>
  <c r="D26" i="132"/>
  <c r="H26" i="132" s="1"/>
  <c r="A61" i="132"/>
  <c r="B26" i="132"/>
  <c r="B45" i="132"/>
  <c r="F45" i="132"/>
  <c r="D45" i="132"/>
  <c r="F34" i="132"/>
  <c r="D34" i="132"/>
  <c r="D49" i="132"/>
  <c r="B49" i="132"/>
  <c r="B34" i="132"/>
  <c r="B57" i="132"/>
  <c r="F57" i="132"/>
  <c r="D57" i="132"/>
  <c r="F21" i="132"/>
  <c r="D21" i="132"/>
  <c r="B21" i="132"/>
  <c r="B22" i="132"/>
  <c r="F49" i="132"/>
  <c r="D25" i="132"/>
  <c r="B25" i="132"/>
  <c r="F46" i="132"/>
  <c r="D46" i="132"/>
  <c r="H46" i="132" s="1"/>
  <c r="F25" i="132"/>
  <c r="B46" i="132"/>
  <c r="F50" i="132"/>
  <c r="D50" i="132"/>
  <c r="H50" i="132" s="1"/>
  <c r="D37" i="132"/>
  <c r="H37" i="132" s="1"/>
  <c r="B37" i="132"/>
  <c r="F38" i="132"/>
  <c r="D38" i="132"/>
  <c r="B33" i="132"/>
  <c r="F33" i="132"/>
  <c r="D33" i="132"/>
  <c r="D58" i="132"/>
  <c r="F58" i="132"/>
  <c r="B58" i="132"/>
  <c r="B20" i="132"/>
  <c r="B32" i="132"/>
  <c r="B44" i="132"/>
  <c r="B56" i="132"/>
  <c r="B19" i="132"/>
  <c r="D20" i="132"/>
  <c r="H20" i="132" s="1"/>
  <c r="B31" i="132"/>
  <c r="D32" i="132"/>
  <c r="H32" i="132" s="1"/>
  <c r="B43" i="132"/>
  <c r="D44" i="132"/>
  <c r="H44" i="132" s="1"/>
  <c r="B55" i="132"/>
  <c r="D56" i="132"/>
  <c r="H56" i="132" s="1"/>
  <c r="D55" i="132"/>
  <c r="H55" i="132" s="1"/>
  <c r="H21" i="132" l="1"/>
  <c r="H34" i="132"/>
  <c r="H28" i="132"/>
  <c r="H38" i="132"/>
  <c r="H33" i="132"/>
  <c r="H57" i="132"/>
  <c r="H25" i="132"/>
  <c r="H41" i="132"/>
  <c r="H24" i="132"/>
  <c r="H16" i="132"/>
  <c r="H45" i="132"/>
  <c r="H40" i="132"/>
  <c r="H58" i="132"/>
  <c r="H36" i="132"/>
  <c r="H49" i="132"/>
  <c r="H22" i="132"/>
  <c r="H52" i="132"/>
  <c r="H27" i="132"/>
  <c r="H48" i="132"/>
  <c r="H30" i="132"/>
  <c r="P8" i="120"/>
  <c r="N8" i="120"/>
  <c r="L8" i="120"/>
  <c r="E8" i="119"/>
  <c r="H61" i="132" l="1"/>
  <c r="H63" i="132"/>
  <c r="K62" i="129"/>
  <c r="I62" i="129"/>
  <c r="G62" i="129"/>
  <c r="K60" i="129"/>
  <c r="AA52" i="129" s="1"/>
  <c r="I60" i="129"/>
  <c r="Y52" i="129" s="1"/>
  <c r="G60" i="129"/>
  <c r="E60" i="129"/>
  <c r="U52" i="129" s="1"/>
  <c r="AC52" i="129" s="1"/>
  <c r="C60" i="129"/>
  <c r="S52" i="129" s="1"/>
  <c r="M58" i="129"/>
  <c r="K58" i="129"/>
  <c r="I58" i="129"/>
  <c r="G58" i="129"/>
  <c r="E58" i="129"/>
  <c r="C58" i="129"/>
  <c r="K54" i="129"/>
  <c r="AA50" i="129" s="1"/>
  <c r="I54" i="129"/>
  <c r="Y50" i="129" s="1"/>
  <c r="G54" i="129"/>
  <c r="W22" i="129" s="1"/>
  <c r="E54" i="129"/>
  <c r="C54" i="129"/>
  <c r="W52" i="129"/>
  <c r="M52" i="129"/>
  <c r="K52" i="129"/>
  <c r="AA44" i="129" s="1"/>
  <c r="I52" i="129"/>
  <c r="Y44" i="129" s="1"/>
  <c r="G52" i="129"/>
  <c r="W44" i="129" s="1"/>
  <c r="E52" i="129"/>
  <c r="U44" i="129" s="1"/>
  <c r="C52" i="129"/>
  <c r="S44" i="129" s="1"/>
  <c r="W50" i="129"/>
  <c r="K50" i="129"/>
  <c r="K56" i="129" s="1"/>
  <c r="I50" i="129"/>
  <c r="Y28" i="129" s="1"/>
  <c r="G50" i="129"/>
  <c r="W28" i="129" s="1"/>
  <c r="E50" i="129"/>
  <c r="U29" i="129" s="1"/>
  <c r="AC29" i="129" s="1"/>
  <c r="C50" i="129"/>
  <c r="S29" i="129" s="1"/>
  <c r="AA48" i="129"/>
  <c r="Y48" i="129"/>
  <c r="W48" i="129"/>
  <c r="M48" i="129"/>
  <c r="K48" i="129"/>
  <c r="I48" i="129"/>
  <c r="G48" i="129"/>
  <c r="E48" i="129"/>
  <c r="C48" i="129"/>
  <c r="AA46" i="129"/>
  <c r="Y46" i="129"/>
  <c r="W46" i="129"/>
  <c r="AC46" i="129" s="1"/>
  <c r="M42" i="129"/>
  <c r="M60" i="129" s="1"/>
  <c r="K42" i="129"/>
  <c r="I42" i="129"/>
  <c r="G42" i="129"/>
  <c r="E42" i="129"/>
  <c r="C42" i="129"/>
  <c r="M40" i="129"/>
  <c r="M62" i="129" s="1"/>
  <c r="I40" i="129"/>
  <c r="G40" i="129"/>
  <c r="E40" i="129"/>
  <c r="E62" i="129" s="1"/>
  <c r="C40" i="129"/>
  <c r="C62" i="129" s="1"/>
  <c r="I34" i="129"/>
  <c r="G34" i="129"/>
  <c r="E34" i="129"/>
  <c r="U48" i="129" s="1"/>
  <c r="AC48" i="129" s="1"/>
  <c r="C34" i="129"/>
  <c r="S46" i="129" s="1"/>
  <c r="AA29" i="129"/>
  <c r="Y29" i="129"/>
  <c r="W29" i="129"/>
  <c r="AA28" i="129"/>
  <c r="AA30" i="129" s="1"/>
  <c r="AA27" i="129"/>
  <c r="Y27" i="129"/>
  <c r="Y30" i="129" s="1"/>
  <c r="W27" i="129"/>
  <c r="Y22" i="129"/>
  <c r="AA18" i="129"/>
  <c r="Y18" i="129"/>
  <c r="W18" i="129"/>
  <c r="U18" i="129"/>
  <c r="S18" i="129"/>
  <c r="AA12" i="129"/>
  <c r="Y12" i="129"/>
  <c r="W12" i="129"/>
  <c r="U12" i="129"/>
  <c r="S12" i="129"/>
  <c r="M12" i="129"/>
  <c r="M54" i="129" s="1"/>
  <c r="AA22" i="129" s="1"/>
  <c r="K12" i="129"/>
  <c r="I12" i="129"/>
  <c r="G12" i="129"/>
  <c r="E12" i="129"/>
  <c r="C12" i="129"/>
  <c r="Q8" i="129"/>
  <c r="Q7" i="129"/>
  <c r="Q6" i="129"/>
  <c r="H65" i="132" l="1"/>
  <c r="U50" i="129"/>
  <c r="AC50" i="129" s="1"/>
  <c r="S50" i="129"/>
  <c r="W30" i="129"/>
  <c r="AA34" i="129"/>
  <c r="AA33" i="129"/>
  <c r="AA35" i="129"/>
  <c r="AC44" i="129"/>
  <c r="C56" i="129"/>
  <c r="S43" i="129"/>
  <c r="E56" i="129"/>
  <c r="U43" i="129"/>
  <c r="W45" i="129"/>
  <c r="I56" i="129"/>
  <c r="S28" i="129"/>
  <c r="Y17" i="129"/>
  <c r="Y19" i="129" s="1"/>
  <c r="S22" i="129"/>
  <c r="U28" i="129"/>
  <c r="AC28" i="129" s="1"/>
  <c r="AA43" i="129"/>
  <c r="AA45" i="129"/>
  <c r="M50" i="129"/>
  <c r="M56" i="129" s="1"/>
  <c r="S45" i="129"/>
  <c r="U45" i="129"/>
  <c r="AC45" i="129" s="1"/>
  <c r="G56" i="129"/>
  <c r="W43" i="129"/>
  <c r="W17" i="129"/>
  <c r="W19" i="129" s="1"/>
  <c r="AA17" i="129"/>
  <c r="AA19" i="129" s="1"/>
  <c r="U22" i="129"/>
  <c r="S48" i="129"/>
  <c r="S17" i="129"/>
  <c r="S19" i="129" s="1"/>
  <c r="U17" i="129"/>
  <c r="U19" i="129" s="1"/>
  <c r="Y43" i="129"/>
  <c r="Y45" i="129"/>
  <c r="S27" i="129"/>
  <c r="S30" i="129" s="1"/>
  <c r="U27" i="129"/>
  <c r="D17" i="120"/>
  <c r="D18" i="120"/>
  <c r="D19" i="120"/>
  <c r="D20" i="120"/>
  <c r="D21" i="120"/>
  <c r="D22" i="120"/>
  <c r="B17" i="120"/>
  <c r="B18" i="120"/>
  <c r="B19" i="120"/>
  <c r="B20" i="120"/>
  <c r="B21" i="120"/>
  <c r="B22" i="120"/>
  <c r="A17" i="120"/>
  <c r="A18" i="120"/>
  <c r="A19" i="120"/>
  <c r="A20" i="120"/>
  <c r="A21" i="120"/>
  <c r="A22" i="120"/>
  <c r="A12" i="67"/>
  <c r="D12" i="67" s="1"/>
  <c r="A13" i="67"/>
  <c r="D13" i="67" s="1"/>
  <c r="A14" i="67"/>
  <c r="D14" i="67" s="1"/>
  <c r="A15" i="67"/>
  <c r="D15" i="67" s="1"/>
  <c r="A16" i="67"/>
  <c r="D16" i="67" s="1"/>
  <c r="A17" i="67"/>
  <c r="F17" i="67" s="1"/>
  <c r="A18" i="67"/>
  <c r="F18" i="67" s="1"/>
  <c r="A19" i="67"/>
  <c r="B19" i="67" s="1"/>
  <c r="A20" i="67"/>
  <c r="B20" i="67" s="1"/>
  <c r="A21" i="67"/>
  <c r="B21" i="67" s="1"/>
  <c r="A22" i="67"/>
  <c r="B22" i="67" s="1"/>
  <c r="A23" i="67"/>
  <c r="B23" i="67" s="1"/>
  <c r="A24" i="67"/>
  <c r="D24" i="67" s="1"/>
  <c r="A25" i="67"/>
  <c r="D25" i="67" s="1"/>
  <c r="A26" i="67"/>
  <c r="D26" i="67" s="1"/>
  <c r="A27" i="67"/>
  <c r="D27" i="67" s="1"/>
  <c r="A28" i="67"/>
  <c r="D28" i="67" s="1"/>
  <c r="A29" i="67"/>
  <c r="F29" i="67" s="1"/>
  <c r="A30" i="67"/>
  <c r="F30" i="67" s="1"/>
  <c r="A31" i="67"/>
  <c r="B31" i="67" s="1"/>
  <c r="A32" i="67"/>
  <c r="B32" i="67" s="1"/>
  <c r="A33" i="67"/>
  <c r="B33" i="67" s="1"/>
  <c r="A34" i="67"/>
  <c r="B34" i="67" s="1"/>
  <c r="A35" i="67"/>
  <c r="B35" i="67" s="1"/>
  <c r="A36" i="67"/>
  <c r="D36" i="67" s="1"/>
  <c r="A37" i="67"/>
  <c r="D37" i="67" s="1"/>
  <c r="A38" i="67"/>
  <c r="D38" i="67" s="1"/>
  <c r="A39" i="67"/>
  <c r="D39" i="67" s="1"/>
  <c r="A40" i="67"/>
  <c r="D40" i="67" s="1"/>
  <c r="A41" i="67"/>
  <c r="F41" i="67" s="1"/>
  <c r="A42" i="67"/>
  <c r="F42" i="67" s="1"/>
  <c r="A43" i="67"/>
  <c r="B43" i="67" s="1"/>
  <c r="A44" i="67"/>
  <c r="B44" i="67" s="1"/>
  <c r="A45" i="67"/>
  <c r="B45" i="67" s="1"/>
  <c r="A46" i="67"/>
  <c r="B46" i="67" s="1"/>
  <c r="A47" i="67"/>
  <c r="B47" i="67" s="1"/>
  <c r="A48" i="67"/>
  <c r="D48" i="67" s="1"/>
  <c r="A49" i="67"/>
  <c r="D49" i="67" s="1"/>
  <c r="A50" i="67"/>
  <c r="D50" i="67" s="1"/>
  <c r="A51" i="67"/>
  <c r="D51" i="67" s="1"/>
  <c r="A52" i="67"/>
  <c r="D52" i="67" s="1"/>
  <c r="A53" i="67"/>
  <c r="F53" i="67" s="1"/>
  <c r="A54" i="67"/>
  <c r="F54" i="67" s="1"/>
  <c r="A55" i="67"/>
  <c r="B55" i="67" s="1"/>
  <c r="A56" i="67"/>
  <c r="B56" i="67" s="1"/>
  <c r="A57" i="67"/>
  <c r="B57" i="67" s="1"/>
  <c r="A58" i="67"/>
  <c r="B58" i="67" s="1"/>
  <c r="A59" i="67"/>
  <c r="B59" i="67" s="1"/>
  <c r="A11" i="65"/>
  <c r="B11" i="65" s="1"/>
  <c r="A12" i="65"/>
  <c r="B12" i="65" s="1"/>
  <c r="A13" i="65"/>
  <c r="B13" i="65" s="1"/>
  <c r="A14" i="65"/>
  <c r="B14" i="65" s="1"/>
  <c r="A15" i="65"/>
  <c r="B15" i="65" s="1"/>
  <c r="A16" i="65"/>
  <c r="D16" i="65" s="1"/>
  <c r="F16" i="65" s="1"/>
  <c r="A17" i="65"/>
  <c r="D17" i="65" s="1"/>
  <c r="F17" i="65" s="1"/>
  <c r="A18" i="65"/>
  <c r="D18" i="65" s="1"/>
  <c r="F18" i="65" s="1"/>
  <c r="A19" i="65"/>
  <c r="D19" i="65" s="1"/>
  <c r="F19" i="65" s="1"/>
  <c r="A20" i="65"/>
  <c r="D20" i="65" s="1"/>
  <c r="F20" i="65" s="1"/>
  <c r="A21" i="65"/>
  <c r="H21" i="65" s="1"/>
  <c r="J21" i="65" s="1"/>
  <c r="A22" i="65"/>
  <c r="H22" i="65" s="1"/>
  <c r="J22" i="65" s="1"/>
  <c r="A23" i="65"/>
  <c r="B23" i="65" s="1"/>
  <c r="A24" i="65"/>
  <c r="B24" i="65" s="1"/>
  <c r="A25" i="65"/>
  <c r="B25" i="65" s="1"/>
  <c r="A26" i="65"/>
  <c r="B26" i="65" s="1"/>
  <c r="A27" i="65"/>
  <c r="B27" i="65" s="1"/>
  <c r="A28" i="65"/>
  <c r="D28" i="65" s="1"/>
  <c r="F28" i="65" s="1"/>
  <c r="A29" i="65"/>
  <c r="D29" i="65" s="1"/>
  <c r="F29" i="65" s="1"/>
  <c r="A30" i="65"/>
  <c r="D30" i="65" s="1"/>
  <c r="F30" i="65" s="1"/>
  <c r="A31" i="65"/>
  <c r="D31" i="65" s="1"/>
  <c r="F31" i="65" s="1"/>
  <c r="A32" i="65"/>
  <c r="D32" i="65" s="1"/>
  <c r="F32" i="65" s="1"/>
  <c r="A33" i="65"/>
  <c r="H33" i="65" s="1"/>
  <c r="J33" i="65" s="1"/>
  <c r="A34" i="65"/>
  <c r="H34" i="65" s="1"/>
  <c r="J34" i="65" s="1"/>
  <c r="A35" i="65"/>
  <c r="B35" i="65" s="1"/>
  <c r="A36" i="65"/>
  <c r="B36" i="65" s="1"/>
  <c r="A37" i="65"/>
  <c r="B37" i="65" s="1"/>
  <c r="A38" i="65"/>
  <c r="B38" i="65" s="1"/>
  <c r="A39" i="65"/>
  <c r="B39" i="65" s="1"/>
  <c r="A40" i="65"/>
  <c r="D40" i="65" s="1"/>
  <c r="F40" i="65" s="1"/>
  <c r="A41" i="65"/>
  <c r="D41" i="65" s="1"/>
  <c r="F41" i="65" s="1"/>
  <c r="A42" i="65"/>
  <c r="D42" i="65" s="1"/>
  <c r="F42" i="65" s="1"/>
  <c r="A43" i="65"/>
  <c r="D43" i="65" s="1"/>
  <c r="F43" i="65" s="1"/>
  <c r="A44" i="65"/>
  <c r="D44" i="65" s="1"/>
  <c r="F44" i="65" s="1"/>
  <c r="A45" i="65"/>
  <c r="H45" i="65" s="1"/>
  <c r="J45" i="65" s="1"/>
  <c r="A46" i="65"/>
  <c r="H46" i="65" s="1"/>
  <c r="J46" i="65" s="1"/>
  <c r="A47" i="65"/>
  <c r="B47" i="65" s="1"/>
  <c r="A48" i="65"/>
  <c r="B48" i="65" s="1"/>
  <c r="A49" i="65"/>
  <c r="B49" i="65" s="1"/>
  <c r="A50" i="65"/>
  <c r="B50" i="65" s="1"/>
  <c r="A51" i="65"/>
  <c r="B51" i="65" s="1"/>
  <c r="A52" i="65"/>
  <c r="D52" i="65" s="1"/>
  <c r="F52" i="65" s="1"/>
  <c r="A53" i="65"/>
  <c r="D53" i="65" s="1"/>
  <c r="F53" i="65" s="1"/>
  <c r="A54" i="65"/>
  <c r="D54" i="65" s="1"/>
  <c r="F54" i="65" s="1"/>
  <c r="A55" i="65"/>
  <c r="D55" i="65" s="1"/>
  <c r="F55" i="65" s="1"/>
  <c r="A56" i="65"/>
  <c r="D56" i="65" s="1"/>
  <c r="F56" i="65" s="1"/>
  <c r="A57" i="65"/>
  <c r="H57" i="65" s="1"/>
  <c r="J57" i="65" s="1"/>
  <c r="A58" i="65"/>
  <c r="H58" i="65" s="1"/>
  <c r="J58" i="65" s="1"/>
  <c r="A10" i="63"/>
  <c r="M10" i="63" s="1"/>
  <c r="A11" i="63"/>
  <c r="M11" i="63" s="1"/>
  <c r="A12" i="63"/>
  <c r="G12" i="63" s="1"/>
  <c r="A13" i="63"/>
  <c r="M13" i="63" s="1"/>
  <c r="A14" i="63"/>
  <c r="G14" i="63" s="1"/>
  <c r="A15" i="63"/>
  <c r="G15" i="63" s="1"/>
  <c r="A16" i="63"/>
  <c r="J16" i="63" s="1"/>
  <c r="A17" i="63"/>
  <c r="J17" i="63" s="1"/>
  <c r="A18" i="63"/>
  <c r="J18" i="63" s="1"/>
  <c r="A19" i="63"/>
  <c r="J19" i="63" s="1"/>
  <c r="A20" i="63"/>
  <c r="G20" i="63" s="1"/>
  <c r="A21" i="63"/>
  <c r="J21" i="63" s="1"/>
  <c r="A22" i="63"/>
  <c r="B22" i="63" s="1"/>
  <c r="A23" i="63"/>
  <c r="B23" i="63" s="1"/>
  <c r="A24" i="63"/>
  <c r="B24" i="63" s="1"/>
  <c r="A25" i="63"/>
  <c r="M25" i="63" s="1"/>
  <c r="A26" i="63"/>
  <c r="M26" i="63" s="1"/>
  <c r="A27" i="63"/>
  <c r="G27" i="63" s="1"/>
  <c r="A28" i="63"/>
  <c r="G28" i="63" s="1"/>
  <c r="A29" i="63"/>
  <c r="G29" i="63" s="1"/>
  <c r="A30" i="63"/>
  <c r="G30" i="63" s="1"/>
  <c r="A31" i="63"/>
  <c r="B31" i="63" s="1"/>
  <c r="A32" i="63"/>
  <c r="M32" i="63" s="1"/>
  <c r="A33" i="63"/>
  <c r="M33" i="63" s="1"/>
  <c r="A34" i="63"/>
  <c r="G34" i="63" s="1"/>
  <c r="A35" i="63"/>
  <c r="B35" i="63" s="1"/>
  <c r="A36" i="63"/>
  <c r="B36" i="63" s="1"/>
  <c r="A37" i="63"/>
  <c r="G37" i="63" s="1"/>
  <c r="A38" i="63"/>
  <c r="J38" i="63" s="1"/>
  <c r="A39" i="63"/>
  <c r="J39" i="63" s="1"/>
  <c r="A40" i="63"/>
  <c r="J40" i="63" s="1"/>
  <c r="A41" i="63"/>
  <c r="J41" i="63" s="1"/>
  <c r="A42" i="63"/>
  <c r="G42" i="63" s="1"/>
  <c r="A43" i="63"/>
  <c r="J43" i="63" s="1"/>
  <c r="A44" i="63"/>
  <c r="G44" i="63" s="1"/>
  <c r="A45" i="63"/>
  <c r="G45" i="63" s="1"/>
  <c r="A46" i="63"/>
  <c r="B46" i="63" s="1"/>
  <c r="A47" i="63"/>
  <c r="A48" i="63"/>
  <c r="M48" i="63" s="1"/>
  <c r="A49" i="63"/>
  <c r="G49" i="63" s="1"/>
  <c r="A50" i="63"/>
  <c r="G50" i="63" s="1"/>
  <c r="A51" i="63"/>
  <c r="G51" i="63" s="1"/>
  <c r="A52" i="63"/>
  <c r="G52" i="63" s="1"/>
  <c r="A53" i="63"/>
  <c r="B53" i="63" s="1"/>
  <c r="A54" i="63"/>
  <c r="A55" i="63"/>
  <c r="M55" i="63" s="1"/>
  <c r="A56" i="63"/>
  <c r="G56" i="63" s="1"/>
  <c r="A57" i="63"/>
  <c r="M57" i="63" s="1"/>
  <c r="I23" i="70"/>
  <c r="I32" i="70"/>
  <c r="I33" i="70"/>
  <c r="I34" i="70"/>
  <c r="E23" i="70"/>
  <c r="E24" i="70"/>
  <c r="C11" i="70"/>
  <c r="C12" i="70"/>
  <c r="C13" i="70"/>
  <c r="C14" i="70"/>
  <c r="C15" i="70"/>
  <c r="C16" i="70"/>
  <c r="C17" i="70"/>
  <c r="C18" i="70"/>
  <c r="K19" i="70"/>
  <c r="K20" i="70"/>
  <c r="K21" i="70"/>
  <c r="K22" i="70"/>
  <c r="C23" i="70"/>
  <c r="C24" i="70"/>
  <c r="C25" i="70"/>
  <c r="C26" i="70"/>
  <c r="C27" i="70"/>
  <c r="C28" i="70"/>
  <c r="C29" i="70"/>
  <c r="C30" i="70"/>
  <c r="K31" i="70"/>
  <c r="K32" i="70"/>
  <c r="K33" i="70"/>
  <c r="K34" i="70"/>
  <c r="C35" i="70"/>
  <c r="C36" i="70"/>
  <c r="C37" i="70"/>
  <c r="C38" i="70"/>
  <c r="C39" i="70"/>
  <c r="C40" i="70"/>
  <c r="C41" i="70"/>
  <c r="C42" i="70"/>
  <c r="K43" i="70"/>
  <c r="K44" i="70"/>
  <c r="K45" i="70"/>
  <c r="K46" i="70"/>
  <c r="C47" i="70"/>
  <c r="C48" i="70"/>
  <c r="C49" i="70"/>
  <c r="C50" i="70"/>
  <c r="C51" i="70"/>
  <c r="C52" i="70"/>
  <c r="C53" i="70"/>
  <c r="C54" i="70"/>
  <c r="K55" i="70"/>
  <c r="K56" i="70"/>
  <c r="K57" i="70"/>
  <c r="K58" i="70"/>
  <c r="A10" i="69"/>
  <c r="A11" i="69"/>
  <c r="A12" i="69"/>
  <c r="A13" i="69"/>
  <c r="A14" i="69"/>
  <c r="A15" i="69"/>
  <c r="A12" i="26"/>
  <c r="A13" i="26"/>
  <c r="A14" i="26"/>
  <c r="A15" i="26"/>
  <c r="A16" i="26"/>
  <c r="A17" i="26"/>
  <c r="F21" i="120" a="1"/>
  <c r="J21" i="120" a="1"/>
  <c r="D36" i="65" l="1"/>
  <c r="F36" i="65" s="1"/>
  <c r="J25" i="63"/>
  <c r="B21" i="65"/>
  <c r="B20" i="65"/>
  <c r="M46" i="63"/>
  <c r="D12" i="65"/>
  <c r="F12" i="65" s="1"/>
  <c r="H44" i="65"/>
  <c r="J44" i="65" s="1"/>
  <c r="M54" i="63"/>
  <c r="G54" i="63"/>
  <c r="H32" i="65"/>
  <c r="J32" i="65" s="1"/>
  <c r="M47" i="63"/>
  <c r="G47" i="63"/>
  <c r="B19" i="65"/>
  <c r="H43" i="65"/>
  <c r="J43" i="65" s="1"/>
  <c r="B33" i="65"/>
  <c r="H19" i="65"/>
  <c r="J19" i="65" s="1"/>
  <c r="B32" i="65"/>
  <c r="J28" i="63"/>
  <c r="J26" i="63"/>
  <c r="B17" i="63"/>
  <c r="E34" i="70"/>
  <c r="I31" i="70"/>
  <c r="E33" i="70"/>
  <c r="E25" i="70"/>
  <c r="E22" i="70"/>
  <c r="I22" i="70"/>
  <c r="E11" i="70"/>
  <c r="I21" i="70"/>
  <c r="B46" i="65"/>
  <c r="G39" i="63"/>
  <c r="B45" i="65"/>
  <c r="D11" i="65"/>
  <c r="F11" i="65" s="1"/>
  <c r="D32" i="67"/>
  <c r="C34" i="70"/>
  <c r="I58" i="70"/>
  <c r="B54" i="67"/>
  <c r="E58" i="70"/>
  <c r="I57" i="70"/>
  <c r="E57" i="70"/>
  <c r="I56" i="70"/>
  <c r="G26" i="63"/>
  <c r="B44" i="65"/>
  <c r="H56" i="65"/>
  <c r="J56" i="65" s="1"/>
  <c r="D19" i="67"/>
  <c r="E35" i="70"/>
  <c r="I55" i="70"/>
  <c r="B56" i="63"/>
  <c r="J37" i="63"/>
  <c r="B43" i="65"/>
  <c r="H55" i="65"/>
  <c r="J55" i="65" s="1"/>
  <c r="F16" i="67"/>
  <c r="H16" i="67" s="1"/>
  <c r="G48" i="63"/>
  <c r="C44" i="70"/>
  <c r="E37" i="70"/>
  <c r="I43" i="70"/>
  <c r="B34" i="65"/>
  <c r="D48" i="65"/>
  <c r="F48" i="65" s="1"/>
  <c r="B30" i="67"/>
  <c r="D44" i="67"/>
  <c r="F39" i="67"/>
  <c r="H39" i="67" s="1"/>
  <c r="C43" i="70"/>
  <c r="E36" i="70"/>
  <c r="I35" i="70"/>
  <c r="J47" i="63"/>
  <c r="D47" i="65"/>
  <c r="F47" i="65" s="1"/>
  <c r="H42" i="65"/>
  <c r="J42" i="65" s="1"/>
  <c r="B29" i="67"/>
  <c r="D43" i="67"/>
  <c r="F38" i="67"/>
  <c r="H38" i="67" s="1"/>
  <c r="B58" i="65"/>
  <c r="B28" i="67"/>
  <c r="F28" i="67"/>
  <c r="H28" i="67" s="1"/>
  <c r="B57" i="65"/>
  <c r="B31" i="65"/>
  <c r="D35" i="65"/>
  <c r="F35" i="65" s="1"/>
  <c r="H31" i="65"/>
  <c r="J31" i="65" s="1"/>
  <c r="B53" i="67"/>
  <c r="B27" i="67"/>
  <c r="D31" i="67"/>
  <c r="F27" i="67"/>
  <c r="H27" i="67" s="1"/>
  <c r="J27" i="63"/>
  <c r="B56" i="65"/>
  <c r="B30" i="65"/>
  <c r="D24" i="65"/>
  <c r="F24" i="65" s="1"/>
  <c r="H30" i="65"/>
  <c r="J30" i="65" s="1"/>
  <c r="B52" i="67"/>
  <c r="B26" i="67"/>
  <c r="D20" i="67"/>
  <c r="F26" i="67"/>
  <c r="H26" i="67" s="1"/>
  <c r="B55" i="65"/>
  <c r="B22" i="65"/>
  <c r="D23" i="65"/>
  <c r="F23" i="65" s="1"/>
  <c r="H20" i="65"/>
  <c r="J20" i="65" s="1"/>
  <c r="B51" i="67"/>
  <c r="B18" i="67"/>
  <c r="B50" i="67"/>
  <c r="B17" i="67"/>
  <c r="F15" i="67"/>
  <c r="H15" i="67" s="1"/>
  <c r="B42" i="67"/>
  <c r="B16" i="67"/>
  <c r="F14" i="67"/>
  <c r="H14" i="67" s="1"/>
  <c r="B44" i="63"/>
  <c r="J23" i="63"/>
  <c r="E48" i="70"/>
  <c r="I47" i="70"/>
  <c r="B12" i="63"/>
  <c r="G25" i="63"/>
  <c r="B41" i="67"/>
  <c r="B15" i="67"/>
  <c r="F52" i="67"/>
  <c r="H52" i="67" s="1"/>
  <c r="B54" i="65"/>
  <c r="E47" i="70"/>
  <c r="E21" i="70"/>
  <c r="I46" i="70"/>
  <c r="I20" i="70"/>
  <c r="G24" i="63"/>
  <c r="B18" i="65"/>
  <c r="B40" i="67"/>
  <c r="B14" i="67"/>
  <c r="F51" i="67"/>
  <c r="H51" i="67" s="1"/>
  <c r="C46" i="70"/>
  <c r="E46" i="70"/>
  <c r="E13" i="70"/>
  <c r="I45" i="70"/>
  <c r="I19" i="70"/>
  <c r="H54" i="65"/>
  <c r="J54" i="65" s="1"/>
  <c r="B39" i="67"/>
  <c r="D56" i="67"/>
  <c r="F50" i="67"/>
  <c r="H50" i="67" s="1"/>
  <c r="E49" i="70"/>
  <c r="H18" i="65"/>
  <c r="J18" i="65" s="1"/>
  <c r="C45" i="70"/>
  <c r="E45" i="70"/>
  <c r="E12" i="70"/>
  <c r="I44" i="70"/>
  <c r="I11" i="70"/>
  <c r="B42" i="65"/>
  <c r="B38" i="67"/>
  <c r="D55" i="67"/>
  <c r="F40" i="67"/>
  <c r="H40" i="67" s="1"/>
  <c r="G54" i="70"/>
  <c r="G42" i="70"/>
  <c r="G30" i="70"/>
  <c r="G18" i="70"/>
  <c r="K54" i="70"/>
  <c r="K42" i="70"/>
  <c r="K30" i="70"/>
  <c r="K18" i="70"/>
  <c r="B21" i="63"/>
  <c r="M20" i="63"/>
  <c r="D51" i="65"/>
  <c r="F51" i="65" s="1"/>
  <c r="D39" i="65"/>
  <c r="F39" i="65" s="1"/>
  <c r="D27" i="65"/>
  <c r="F27" i="65" s="1"/>
  <c r="D15" i="65"/>
  <c r="F15" i="65" s="1"/>
  <c r="D59" i="67"/>
  <c r="D47" i="67"/>
  <c r="D35" i="67"/>
  <c r="D23" i="67"/>
  <c r="G53" i="70"/>
  <c r="G41" i="70"/>
  <c r="G29" i="70"/>
  <c r="G17" i="70"/>
  <c r="K53" i="70"/>
  <c r="K41" i="70"/>
  <c r="K29" i="70"/>
  <c r="K17" i="70"/>
  <c r="B55" i="63"/>
  <c r="B20" i="63"/>
  <c r="G33" i="63"/>
  <c r="J45" i="63"/>
  <c r="M18" i="63"/>
  <c r="D50" i="65"/>
  <c r="F50" i="65" s="1"/>
  <c r="D38" i="65"/>
  <c r="F38" i="65" s="1"/>
  <c r="D26" i="65"/>
  <c r="F26" i="65" s="1"/>
  <c r="D14" i="65"/>
  <c r="F14" i="65" s="1"/>
  <c r="D58" i="67"/>
  <c r="D46" i="67"/>
  <c r="D34" i="67"/>
  <c r="D22" i="67"/>
  <c r="G52" i="70"/>
  <c r="G40" i="70"/>
  <c r="G28" i="70"/>
  <c r="G16" i="70"/>
  <c r="K52" i="70"/>
  <c r="K40" i="70"/>
  <c r="K28" i="70"/>
  <c r="K16" i="70"/>
  <c r="B45" i="63"/>
  <c r="B19" i="63"/>
  <c r="J44" i="63"/>
  <c r="M45" i="63"/>
  <c r="M17" i="63"/>
  <c r="D49" i="65"/>
  <c r="F49" i="65" s="1"/>
  <c r="D37" i="65"/>
  <c r="F37" i="65" s="1"/>
  <c r="D25" i="65"/>
  <c r="F25" i="65" s="1"/>
  <c r="D13" i="65"/>
  <c r="F13" i="65" s="1"/>
  <c r="D57" i="67"/>
  <c r="D45" i="67"/>
  <c r="D33" i="67"/>
  <c r="D21" i="67"/>
  <c r="G55" i="63"/>
  <c r="J57" i="63"/>
  <c r="J42" i="63"/>
  <c r="M44" i="63"/>
  <c r="H53" i="65"/>
  <c r="J53" i="65" s="1"/>
  <c r="H41" i="65"/>
  <c r="J41" i="65" s="1"/>
  <c r="H29" i="65"/>
  <c r="J29" i="65" s="1"/>
  <c r="H17" i="65"/>
  <c r="J17" i="65" s="1"/>
  <c r="F49" i="67"/>
  <c r="H49" i="67" s="1"/>
  <c r="F37" i="67"/>
  <c r="H37" i="67" s="1"/>
  <c r="F25" i="67"/>
  <c r="H25" i="67" s="1"/>
  <c r="F13" i="67"/>
  <c r="H13" i="67" s="1"/>
  <c r="B43" i="63"/>
  <c r="H52" i="65"/>
  <c r="J52" i="65" s="1"/>
  <c r="H40" i="65"/>
  <c r="J40" i="65" s="1"/>
  <c r="H28" i="65"/>
  <c r="J28" i="65" s="1"/>
  <c r="H16" i="65"/>
  <c r="J16" i="65" s="1"/>
  <c r="F48" i="67"/>
  <c r="H48" i="67" s="1"/>
  <c r="F36" i="67"/>
  <c r="H36" i="67" s="1"/>
  <c r="F24" i="67"/>
  <c r="H24" i="67" s="1"/>
  <c r="F12" i="67"/>
  <c r="H12" i="67" s="1"/>
  <c r="G39" i="70"/>
  <c r="G15" i="70"/>
  <c r="K15" i="70"/>
  <c r="G38" i="70"/>
  <c r="K50" i="70"/>
  <c r="K26" i="70"/>
  <c r="J56" i="63"/>
  <c r="C33" i="70"/>
  <c r="E56" i="70"/>
  <c r="E44" i="70"/>
  <c r="E32" i="70"/>
  <c r="E20" i="70"/>
  <c r="G49" i="70"/>
  <c r="G37" i="70"/>
  <c r="G25" i="70"/>
  <c r="G13" i="70"/>
  <c r="I54" i="70"/>
  <c r="I42" i="70"/>
  <c r="I30" i="70"/>
  <c r="I18" i="70"/>
  <c r="K49" i="70"/>
  <c r="K37" i="70"/>
  <c r="K25" i="70"/>
  <c r="K13" i="70"/>
  <c r="B42" i="63"/>
  <c r="B11" i="63"/>
  <c r="G23" i="63"/>
  <c r="J55" i="63"/>
  <c r="J36" i="63"/>
  <c r="J22" i="63"/>
  <c r="M42" i="63"/>
  <c r="B53" i="65"/>
  <c r="B41" i="65"/>
  <c r="B29" i="65"/>
  <c r="B17" i="65"/>
  <c r="D58" i="65"/>
  <c r="F58" i="65" s="1"/>
  <c r="D46" i="65"/>
  <c r="F46" i="65" s="1"/>
  <c r="D34" i="65"/>
  <c r="F34" i="65" s="1"/>
  <c r="D22" i="65"/>
  <c r="F22" i="65" s="1"/>
  <c r="H51" i="65"/>
  <c r="J51" i="65" s="1"/>
  <c r="H39" i="65"/>
  <c r="J39" i="65" s="1"/>
  <c r="H27" i="65"/>
  <c r="J27" i="65" s="1"/>
  <c r="H15" i="65"/>
  <c r="J15" i="65" s="1"/>
  <c r="B49" i="67"/>
  <c r="B37" i="67"/>
  <c r="B25" i="67"/>
  <c r="B13" i="67"/>
  <c r="D54" i="67"/>
  <c r="H54" i="67" s="1"/>
  <c r="D42" i="67"/>
  <c r="H42" i="67" s="1"/>
  <c r="D30" i="67"/>
  <c r="H30" i="67" s="1"/>
  <c r="D18" i="67"/>
  <c r="H18" i="67" s="1"/>
  <c r="F59" i="67"/>
  <c r="F47" i="67"/>
  <c r="F35" i="67"/>
  <c r="F23" i="67"/>
  <c r="G51" i="70"/>
  <c r="G27" i="70"/>
  <c r="K51" i="70"/>
  <c r="K14" i="70"/>
  <c r="C32" i="70"/>
  <c r="E55" i="70"/>
  <c r="E43" i="70"/>
  <c r="E31" i="70"/>
  <c r="E19" i="70"/>
  <c r="G48" i="70"/>
  <c r="G36" i="70"/>
  <c r="G24" i="70"/>
  <c r="G12" i="70"/>
  <c r="I53" i="70"/>
  <c r="I41" i="70"/>
  <c r="I29" i="70"/>
  <c r="I17" i="70"/>
  <c r="K48" i="70"/>
  <c r="K36" i="70"/>
  <c r="K24" i="70"/>
  <c r="K12" i="70"/>
  <c r="B41" i="63"/>
  <c r="G46" i="63"/>
  <c r="G22" i="63"/>
  <c r="J53" i="63"/>
  <c r="J35" i="63"/>
  <c r="J20" i="63"/>
  <c r="M40" i="63"/>
  <c r="B52" i="65"/>
  <c r="B40" i="65"/>
  <c r="B28" i="65"/>
  <c r="B16" i="65"/>
  <c r="D57" i="65"/>
  <c r="F57" i="65" s="1"/>
  <c r="D45" i="65"/>
  <c r="F45" i="65" s="1"/>
  <c r="D33" i="65"/>
  <c r="F33" i="65" s="1"/>
  <c r="D21" i="65"/>
  <c r="F21" i="65" s="1"/>
  <c r="H50" i="65"/>
  <c r="J50" i="65" s="1"/>
  <c r="H38" i="65"/>
  <c r="J38" i="65" s="1"/>
  <c r="H26" i="65"/>
  <c r="J26" i="65" s="1"/>
  <c r="H14" i="65"/>
  <c r="J14" i="65" s="1"/>
  <c r="B48" i="67"/>
  <c r="B36" i="67"/>
  <c r="B24" i="67"/>
  <c r="B12" i="67"/>
  <c r="D53" i="67"/>
  <c r="H53" i="67" s="1"/>
  <c r="D41" i="67"/>
  <c r="H41" i="67" s="1"/>
  <c r="D29" i="67"/>
  <c r="H29" i="67" s="1"/>
  <c r="D17" i="67"/>
  <c r="H17" i="67" s="1"/>
  <c r="F58" i="67"/>
  <c r="F46" i="67"/>
  <c r="F34" i="67"/>
  <c r="F22" i="67"/>
  <c r="K39" i="70"/>
  <c r="M43" i="63"/>
  <c r="C31" i="70"/>
  <c r="E54" i="70"/>
  <c r="E42" i="70"/>
  <c r="E30" i="70"/>
  <c r="E18" i="70"/>
  <c r="G47" i="70"/>
  <c r="G35" i="70"/>
  <c r="G23" i="70"/>
  <c r="G11" i="70"/>
  <c r="I52" i="70"/>
  <c r="I40" i="70"/>
  <c r="I28" i="70"/>
  <c r="I16" i="70"/>
  <c r="K47" i="70"/>
  <c r="K35" i="70"/>
  <c r="K23" i="70"/>
  <c r="K11" i="70"/>
  <c r="B39" i="63"/>
  <c r="J52" i="63"/>
  <c r="J34" i="63"/>
  <c r="J15" i="63"/>
  <c r="M39" i="63"/>
  <c r="H49" i="65"/>
  <c r="J49" i="65" s="1"/>
  <c r="H37" i="65"/>
  <c r="J37" i="65" s="1"/>
  <c r="H25" i="65"/>
  <c r="J25" i="65" s="1"/>
  <c r="H13" i="65"/>
  <c r="J13" i="65" s="1"/>
  <c r="F57" i="67"/>
  <c r="F45" i="67"/>
  <c r="F33" i="67"/>
  <c r="F21" i="67"/>
  <c r="G26" i="70"/>
  <c r="C58" i="70"/>
  <c r="C22" i="70"/>
  <c r="E53" i="70"/>
  <c r="E41" i="70"/>
  <c r="E29" i="70"/>
  <c r="E17" i="70"/>
  <c r="G58" i="70"/>
  <c r="G46" i="70"/>
  <c r="G34" i="70"/>
  <c r="G22" i="70"/>
  <c r="I51" i="70"/>
  <c r="I39" i="70"/>
  <c r="I27" i="70"/>
  <c r="I15" i="70"/>
  <c r="B34" i="63"/>
  <c r="G19" i="63"/>
  <c r="J51" i="63"/>
  <c r="J33" i="63"/>
  <c r="J14" i="63"/>
  <c r="M24" i="63"/>
  <c r="H48" i="65"/>
  <c r="J48" i="65" s="1"/>
  <c r="H36" i="65"/>
  <c r="J36" i="65" s="1"/>
  <c r="H24" i="65"/>
  <c r="J24" i="65" s="1"/>
  <c r="H12" i="65"/>
  <c r="J12" i="65" s="1"/>
  <c r="F56" i="67"/>
  <c r="F44" i="67"/>
  <c r="F32" i="67"/>
  <c r="F20" i="67"/>
  <c r="G50" i="70"/>
  <c r="C57" i="70"/>
  <c r="C21" i="70"/>
  <c r="E52" i="70"/>
  <c r="E40" i="70"/>
  <c r="E28" i="70"/>
  <c r="E16" i="70"/>
  <c r="G57" i="70"/>
  <c r="G45" i="70"/>
  <c r="G33" i="70"/>
  <c r="G21" i="70"/>
  <c r="I50" i="70"/>
  <c r="I38" i="70"/>
  <c r="I26" i="70"/>
  <c r="I14" i="70"/>
  <c r="B33" i="63"/>
  <c r="G18" i="63"/>
  <c r="J50" i="63"/>
  <c r="J31" i="63"/>
  <c r="J13" i="63"/>
  <c r="M23" i="63"/>
  <c r="H47" i="65"/>
  <c r="J47" i="65" s="1"/>
  <c r="H35" i="65"/>
  <c r="J35" i="65" s="1"/>
  <c r="H23" i="65"/>
  <c r="J23" i="65" s="1"/>
  <c r="H11" i="65"/>
  <c r="J11" i="65" s="1"/>
  <c r="F55" i="67"/>
  <c r="F43" i="67"/>
  <c r="F31" i="67"/>
  <c r="F19" i="67"/>
  <c r="K27" i="70"/>
  <c r="K38" i="70"/>
  <c r="C56" i="70"/>
  <c r="C20" i="70"/>
  <c r="E39" i="70"/>
  <c r="E27" i="70"/>
  <c r="E15" i="70"/>
  <c r="G56" i="70"/>
  <c r="G44" i="70"/>
  <c r="G32" i="70"/>
  <c r="G20" i="70"/>
  <c r="I49" i="70"/>
  <c r="I37" i="70"/>
  <c r="I25" i="70"/>
  <c r="I13" i="70"/>
  <c r="G41" i="63"/>
  <c r="G17" i="63"/>
  <c r="J49" i="63"/>
  <c r="J30" i="63"/>
  <c r="J12" i="63"/>
  <c r="M22" i="63"/>
  <c r="G14" i="70"/>
  <c r="E51" i="70"/>
  <c r="C55" i="70"/>
  <c r="C19" i="70"/>
  <c r="E50" i="70"/>
  <c r="E38" i="70"/>
  <c r="E26" i="70"/>
  <c r="E14" i="70"/>
  <c r="G55" i="70"/>
  <c r="G43" i="70"/>
  <c r="G31" i="70"/>
  <c r="G19" i="70"/>
  <c r="I48" i="70"/>
  <c r="I36" i="70"/>
  <c r="I24" i="70"/>
  <c r="I12" i="70"/>
  <c r="G40" i="63"/>
  <c r="G11" i="63"/>
  <c r="J48" i="63"/>
  <c r="J29" i="63"/>
  <c r="J11" i="63"/>
  <c r="M21" i="63"/>
  <c r="J21" i="120"/>
  <c r="B40" i="63"/>
  <c r="B18" i="63"/>
  <c r="G43" i="63"/>
  <c r="G21" i="63"/>
  <c r="J54" i="63"/>
  <c r="J32" i="63"/>
  <c r="J10" i="63"/>
  <c r="M41" i="63"/>
  <c r="M19" i="63"/>
  <c r="B37" i="63"/>
  <c r="M56" i="63"/>
  <c r="M34" i="63"/>
  <c r="M12" i="63"/>
  <c r="B54" i="63"/>
  <c r="B32" i="63"/>
  <c r="B10" i="63"/>
  <c r="G57" i="63"/>
  <c r="G35" i="63"/>
  <c r="G13" i="63"/>
  <c r="J46" i="63"/>
  <c r="J24" i="63"/>
  <c r="B15" i="63"/>
  <c r="M35" i="63"/>
  <c r="M31" i="63"/>
  <c r="B51" i="63"/>
  <c r="B29" i="63"/>
  <c r="G32" i="63"/>
  <c r="G10" i="63"/>
  <c r="M52" i="63"/>
  <c r="M30" i="63"/>
  <c r="B38" i="63"/>
  <c r="B16" i="63"/>
  <c r="M16" i="63"/>
  <c r="B14" i="63"/>
  <c r="M37" i="63"/>
  <c r="M15" i="63"/>
  <c r="B57" i="63"/>
  <c r="B13" i="63"/>
  <c r="M36" i="63"/>
  <c r="M14" i="63"/>
  <c r="G36" i="63"/>
  <c r="B52" i="63"/>
  <c r="B30" i="63"/>
  <c r="M51" i="63"/>
  <c r="M29" i="63"/>
  <c r="B49" i="63"/>
  <c r="B27" i="63"/>
  <c r="M50" i="63"/>
  <c r="M28" i="63"/>
  <c r="G38" i="63"/>
  <c r="M53" i="63"/>
  <c r="B50" i="63"/>
  <c r="B28" i="63"/>
  <c r="G53" i="63"/>
  <c r="G31" i="63"/>
  <c r="B48" i="63"/>
  <c r="B26" i="63"/>
  <c r="M49" i="63"/>
  <c r="M27" i="63"/>
  <c r="M38" i="63"/>
  <c r="B47" i="63"/>
  <c r="B25" i="63"/>
  <c r="G16" i="63"/>
  <c r="U34" i="129"/>
  <c r="U35" i="129"/>
  <c r="S34" i="129"/>
  <c r="S35" i="129"/>
  <c r="AA54" i="129"/>
  <c r="AA36" i="129"/>
  <c r="Y34" i="129"/>
  <c r="Y33" i="129"/>
  <c r="Y35" i="129"/>
  <c r="U33" i="129"/>
  <c r="AC27" i="129"/>
  <c r="AC30" i="129" s="1"/>
  <c r="U30" i="129"/>
  <c r="S33" i="129"/>
  <c r="W34" i="129"/>
  <c r="W35" i="129"/>
  <c r="W33" i="129"/>
  <c r="AC43" i="129"/>
  <c r="F21" i="120"/>
  <c r="P12" i="63" l="1"/>
  <c r="P13" i="63"/>
  <c r="P30" i="63"/>
  <c r="P36" i="63"/>
  <c r="P45" i="63"/>
  <c r="P56" i="63"/>
  <c r="P29" i="63"/>
  <c r="P52" i="63"/>
  <c r="P28" i="63"/>
  <c r="P37" i="63"/>
  <c r="P57" i="63"/>
  <c r="P44" i="63"/>
  <c r="P17" i="63"/>
  <c r="P26" i="63"/>
  <c r="H45" i="67"/>
  <c r="H58" i="67"/>
  <c r="H20" i="67"/>
  <c r="P15" i="63"/>
  <c r="H57" i="67"/>
  <c r="P34" i="63"/>
  <c r="P49" i="63"/>
  <c r="H56" i="67"/>
  <c r="P33" i="63"/>
  <c r="H44" i="67"/>
  <c r="P20" i="63"/>
  <c r="P27" i="63"/>
  <c r="H55" i="67"/>
  <c r="P10" i="63"/>
  <c r="P14" i="63"/>
  <c r="P32" i="63"/>
  <c r="P42" i="63"/>
  <c r="H19" i="67"/>
  <c r="H32" i="67"/>
  <c r="P48" i="63"/>
  <c r="P50" i="63"/>
  <c r="H23" i="67"/>
  <c r="P19" i="63"/>
  <c r="H22" i="67"/>
  <c r="H21" i="67"/>
  <c r="H34" i="67"/>
  <c r="H47" i="67"/>
  <c r="H43" i="67"/>
  <c r="H31" i="67"/>
  <c r="P51" i="63"/>
  <c r="P43" i="63"/>
  <c r="H35" i="67"/>
  <c r="H33" i="67"/>
  <c r="H46" i="67"/>
  <c r="H59" i="67"/>
  <c r="P39" i="63"/>
  <c r="P41" i="63"/>
  <c r="P31" i="63"/>
  <c r="P11" i="63"/>
  <c r="P53" i="63"/>
  <c r="P35" i="63"/>
  <c r="P40" i="63"/>
  <c r="P22" i="63"/>
  <c r="P47" i="63"/>
  <c r="P46" i="63"/>
  <c r="P25" i="63"/>
  <c r="P21" i="63"/>
  <c r="P18" i="63"/>
  <c r="P55" i="63"/>
  <c r="P54" i="63"/>
  <c r="P23" i="63"/>
  <c r="P24" i="63"/>
  <c r="P16" i="63"/>
  <c r="P38" i="63"/>
  <c r="H21" i="120"/>
  <c r="Y36" i="129"/>
  <c r="Y54" i="129"/>
  <c r="U36" i="129"/>
  <c r="U54" i="129"/>
  <c r="AC54" i="129" s="1"/>
  <c r="AC33" i="129"/>
  <c r="W36" i="129"/>
  <c r="W54" i="129"/>
  <c r="AC35" i="129"/>
  <c r="S36" i="129"/>
  <c r="S54" i="129"/>
  <c r="AC34" i="129"/>
  <c r="AC36" i="129" l="1"/>
  <c r="K842" i="107"/>
  <c r="K843" i="107"/>
  <c r="K844" i="107"/>
  <c r="K845" i="107"/>
  <c r="K846" i="107"/>
  <c r="A13" i="29"/>
  <c r="A14" i="29"/>
  <c r="A15" i="29"/>
  <c r="A16" i="29"/>
  <c r="A17" i="29"/>
  <c r="A18" i="29"/>
  <c r="A11" i="24"/>
  <c r="A12" i="24"/>
  <c r="A13" i="24"/>
  <c r="A14" i="24"/>
  <c r="A15" i="24"/>
  <c r="A16" i="24"/>
  <c r="B18" i="25"/>
  <c r="D18" i="63" l="1"/>
  <c r="S18" i="63" s="1"/>
  <c r="V18" i="63" s="1"/>
  <c r="D19" i="63"/>
  <c r="S19" i="63" s="1"/>
  <c r="V19" i="63" s="1"/>
  <c r="D20" i="63"/>
  <c r="S20" i="63" s="1"/>
  <c r="V20" i="63" s="1"/>
  <c r="W20" i="63" s="1"/>
  <c r="D21" i="63"/>
  <c r="S21" i="63" s="1"/>
  <c r="V21" i="63" s="1"/>
  <c r="D30" i="63"/>
  <c r="S30" i="63" s="1"/>
  <c r="V30" i="63" s="1"/>
  <c r="D31" i="63"/>
  <c r="S31" i="63" s="1"/>
  <c r="V31" i="63" s="1"/>
  <c r="D32" i="63"/>
  <c r="S32" i="63" s="1"/>
  <c r="V32" i="63" s="1"/>
  <c r="D33" i="63"/>
  <c r="S33" i="63" s="1"/>
  <c r="V33" i="63" s="1"/>
  <c r="D42" i="63"/>
  <c r="S42" i="63" s="1"/>
  <c r="V42" i="63" s="1"/>
  <c r="W42" i="63" s="1"/>
  <c r="D43" i="63"/>
  <c r="S43" i="63" s="1"/>
  <c r="V43" i="63" s="1"/>
  <c r="D44" i="63"/>
  <c r="S44" i="63" s="1"/>
  <c r="V44" i="63" s="1"/>
  <c r="D45" i="63"/>
  <c r="S45" i="63" s="1"/>
  <c r="V45" i="63" s="1"/>
  <c r="D54" i="63"/>
  <c r="S54" i="63" s="1"/>
  <c r="V54" i="63" s="1"/>
  <c r="D55" i="63"/>
  <c r="S55" i="63" s="1"/>
  <c r="V55" i="63" s="1"/>
  <c r="W55" i="63" s="1"/>
  <c r="D56" i="63"/>
  <c r="S56" i="63" s="1"/>
  <c r="V56" i="63" s="1"/>
  <c r="W56" i="63" s="1"/>
  <c r="D57" i="63"/>
  <c r="S57" i="63" s="1"/>
  <c r="V57" i="63" s="1"/>
  <c r="G4" i="8"/>
  <c r="W18" i="5"/>
  <c r="W19" i="5" s="1"/>
  <c r="AC8" i="5" s="1"/>
  <c r="V18" i="5"/>
  <c r="V19" i="5" s="1"/>
  <c r="AA8" i="5" s="1"/>
  <c r="AB8" i="5" s="1"/>
  <c r="G5" i="8" l="1"/>
  <c r="Y8" i="5"/>
  <c r="D50" i="63"/>
  <c r="S50" i="63" s="1"/>
  <c r="V50" i="63" s="1"/>
  <c r="D38" i="63"/>
  <c r="S38" i="63" s="1"/>
  <c r="V38" i="63" s="1"/>
  <c r="D26" i="63"/>
  <c r="S26" i="63" s="1"/>
  <c r="V26" i="63" s="1"/>
  <c r="D14" i="63"/>
  <c r="S14" i="63" s="1"/>
  <c r="V14" i="63" s="1"/>
  <c r="D40" i="63"/>
  <c r="S40" i="63" s="1"/>
  <c r="V40" i="63" s="1"/>
  <c r="D39" i="63"/>
  <c r="S39" i="63" s="1"/>
  <c r="V39" i="63" s="1"/>
  <c r="D49" i="63"/>
  <c r="S49" i="63" s="1"/>
  <c r="V49" i="63" s="1"/>
  <c r="D37" i="63"/>
  <c r="S37" i="63" s="1"/>
  <c r="V37" i="63" s="1"/>
  <c r="D25" i="63"/>
  <c r="S25" i="63" s="1"/>
  <c r="V25" i="63" s="1"/>
  <c r="D13" i="63"/>
  <c r="S13" i="63" s="1"/>
  <c r="V13" i="63" s="1"/>
  <c r="D53" i="63"/>
  <c r="S53" i="63" s="1"/>
  <c r="V53" i="63" s="1"/>
  <c r="D29" i="63"/>
  <c r="S29" i="63" s="1"/>
  <c r="V29" i="63" s="1"/>
  <c r="D52" i="63"/>
  <c r="S52" i="63" s="1"/>
  <c r="V52" i="63" s="1"/>
  <c r="D16" i="63"/>
  <c r="S16" i="63" s="1"/>
  <c r="V16" i="63" s="1"/>
  <c r="W16" i="63" s="1"/>
  <c r="D27" i="63"/>
  <c r="S27" i="63" s="1"/>
  <c r="V27" i="63" s="1"/>
  <c r="D48" i="63"/>
  <c r="S48" i="63" s="1"/>
  <c r="V48" i="63" s="1"/>
  <c r="D36" i="63"/>
  <c r="S36" i="63" s="1"/>
  <c r="V36" i="63" s="1"/>
  <c r="D24" i="63"/>
  <c r="S24" i="63" s="1"/>
  <c r="V24" i="63" s="1"/>
  <c r="D12" i="63"/>
  <c r="S12" i="63" s="1"/>
  <c r="V12" i="63" s="1"/>
  <c r="D41" i="63"/>
  <c r="S41" i="63" s="1"/>
  <c r="V41" i="63" s="1"/>
  <c r="W41" i="63" s="1"/>
  <c r="D15" i="63"/>
  <c r="S15" i="63" s="1"/>
  <c r="V15" i="63" s="1"/>
  <c r="D47" i="63"/>
  <c r="S47" i="63" s="1"/>
  <c r="V47" i="63" s="1"/>
  <c r="D35" i="63"/>
  <c r="S35" i="63" s="1"/>
  <c r="V35" i="63" s="1"/>
  <c r="D23" i="63"/>
  <c r="S23" i="63" s="1"/>
  <c r="V23" i="63" s="1"/>
  <c r="D11" i="63"/>
  <c r="S11" i="63" s="1"/>
  <c r="V11" i="63" s="1"/>
  <c r="D17" i="63"/>
  <c r="S17" i="63" s="1"/>
  <c r="V17" i="63" s="1"/>
  <c r="D28" i="63"/>
  <c r="S28" i="63" s="1"/>
  <c r="V28" i="63" s="1"/>
  <c r="D51" i="63"/>
  <c r="S51" i="63" s="1"/>
  <c r="V51" i="63" s="1"/>
  <c r="D46" i="63"/>
  <c r="S46" i="63" s="1"/>
  <c r="V46" i="63" s="1"/>
  <c r="W46" i="63" s="1"/>
  <c r="D34" i="63"/>
  <c r="S34" i="63" s="1"/>
  <c r="V34" i="63" s="1"/>
  <c r="D22" i="63"/>
  <c r="S22" i="63" s="1"/>
  <c r="V22" i="63" s="1"/>
  <c r="D10" i="63"/>
  <c r="S10" i="63" s="1"/>
  <c r="V10" i="63" s="1"/>
  <c r="AD8" i="5"/>
  <c r="AE8" i="5" s="1"/>
  <c r="Z8" i="5"/>
  <c r="C20" i="33" l="1"/>
  <c r="C28" i="32" l="1"/>
  <c r="W22" i="5"/>
  <c r="V22" i="5"/>
  <c r="W21" i="5"/>
  <c r="V21" i="5"/>
  <c r="W16" i="5"/>
  <c r="V16" i="5"/>
  <c r="W13" i="5"/>
  <c r="W14" i="5" s="1"/>
  <c r="V13" i="5"/>
  <c r="V14" i="5" s="1"/>
  <c r="W10" i="5"/>
  <c r="W11" i="5" s="1"/>
  <c r="V10" i="5"/>
  <c r="V11" i="5" s="1"/>
  <c r="W7" i="5"/>
  <c r="W8" i="5" s="1"/>
  <c r="V7" i="5"/>
  <c r="V8" i="5" s="1"/>
  <c r="W4" i="5"/>
  <c r="W5" i="5" s="1"/>
  <c r="V4" i="5"/>
  <c r="V5" i="5" s="1"/>
  <c r="W23" i="5" l="1"/>
  <c r="V23" i="5"/>
  <c r="K841" i="107" l="1"/>
  <c r="K840" i="107"/>
  <c r="K839" i="107"/>
  <c r="K838" i="107"/>
  <c r="K837" i="107"/>
  <c r="K836" i="107"/>
  <c r="K835" i="107"/>
  <c r="K834" i="107"/>
  <c r="K833" i="107"/>
  <c r="K832" i="107"/>
  <c r="K831" i="107"/>
  <c r="K830" i="107"/>
  <c r="K829" i="107"/>
  <c r="K828" i="107"/>
  <c r="K827" i="107"/>
  <c r="K826" i="107"/>
  <c r="K825" i="107"/>
  <c r="K824" i="107"/>
  <c r="K823" i="107"/>
  <c r="K822" i="107"/>
  <c r="K821" i="107"/>
  <c r="K820" i="107"/>
  <c r="K819" i="107"/>
  <c r="K818" i="107"/>
  <c r="K817" i="107"/>
  <c r="K816" i="107"/>
  <c r="K815" i="107"/>
  <c r="K814" i="107"/>
  <c r="K813" i="107"/>
  <c r="K812" i="107"/>
  <c r="K811" i="107"/>
  <c r="K810" i="107"/>
  <c r="K809" i="107"/>
  <c r="K808" i="107"/>
  <c r="K807" i="107"/>
  <c r="K806" i="107"/>
  <c r="K805" i="107"/>
  <c r="K804" i="107"/>
  <c r="K803" i="107"/>
  <c r="K802" i="107"/>
  <c r="K801" i="107"/>
  <c r="K800" i="107"/>
  <c r="K799" i="107"/>
  <c r="K798" i="107"/>
  <c r="K797" i="107"/>
  <c r="K796" i="107"/>
  <c r="K795" i="107"/>
  <c r="K794" i="107"/>
  <c r="K793" i="107"/>
  <c r="K792" i="107"/>
  <c r="K791" i="107"/>
  <c r="K790" i="107"/>
  <c r="K789" i="107"/>
  <c r="K788" i="107"/>
  <c r="K787" i="107"/>
  <c r="K786" i="107"/>
  <c r="K785" i="107"/>
  <c r="K784" i="107"/>
  <c r="K783" i="107"/>
  <c r="K782" i="107"/>
  <c r="K781" i="107"/>
  <c r="K780" i="107"/>
  <c r="K779" i="107"/>
  <c r="K778" i="107"/>
  <c r="K777" i="107"/>
  <c r="K776" i="107"/>
  <c r="K775" i="107"/>
  <c r="K774" i="107"/>
  <c r="K773" i="107"/>
  <c r="K772" i="107"/>
  <c r="K771" i="107"/>
  <c r="K770" i="107"/>
  <c r="K769" i="107"/>
  <c r="K768" i="107"/>
  <c r="K767" i="107"/>
  <c r="K766" i="107"/>
  <c r="K765" i="107"/>
  <c r="K764" i="107"/>
  <c r="K763" i="107"/>
  <c r="K762" i="107"/>
  <c r="K761" i="107"/>
  <c r="K760" i="107"/>
  <c r="K759" i="107"/>
  <c r="K758" i="107"/>
  <c r="K757" i="107"/>
  <c r="K756" i="107"/>
  <c r="K755" i="107"/>
  <c r="K754" i="107"/>
  <c r="K753" i="107"/>
  <c r="K752" i="107"/>
  <c r="K751" i="107"/>
  <c r="K750" i="107"/>
  <c r="K749" i="107"/>
  <c r="K748" i="107"/>
  <c r="K747" i="107"/>
  <c r="K746" i="107"/>
  <c r="K745" i="107"/>
  <c r="K744" i="107"/>
  <c r="K743" i="107"/>
  <c r="K742" i="107"/>
  <c r="K741" i="107"/>
  <c r="K740" i="107"/>
  <c r="K739" i="107"/>
  <c r="K738" i="107"/>
  <c r="K737" i="107"/>
  <c r="K736" i="107"/>
  <c r="K735" i="107"/>
  <c r="K734" i="107"/>
  <c r="K733" i="107"/>
  <c r="K732" i="107"/>
  <c r="K731" i="107"/>
  <c r="K730" i="107"/>
  <c r="K729" i="107"/>
  <c r="K728" i="107"/>
  <c r="K727" i="107"/>
  <c r="K726" i="107"/>
  <c r="K725" i="107"/>
  <c r="K724" i="107"/>
  <c r="K723" i="107"/>
  <c r="K722" i="107"/>
  <c r="K721" i="107"/>
  <c r="K720" i="107"/>
  <c r="K719" i="107"/>
  <c r="K718" i="107"/>
  <c r="K717" i="107"/>
  <c r="K716" i="107"/>
  <c r="K715" i="107"/>
  <c r="K714" i="107"/>
  <c r="K713" i="107"/>
  <c r="K712" i="107"/>
  <c r="K711" i="107"/>
  <c r="K710" i="107"/>
  <c r="K709" i="107"/>
  <c r="K708" i="107"/>
  <c r="K707" i="107"/>
  <c r="K706" i="107"/>
  <c r="K705" i="107"/>
  <c r="K704" i="107"/>
  <c r="K703" i="107"/>
  <c r="K702" i="107"/>
  <c r="K701" i="107"/>
  <c r="K700" i="107"/>
  <c r="K699" i="107"/>
  <c r="K698" i="107"/>
  <c r="K697" i="107"/>
  <c r="K696" i="107"/>
  <c r="K695" i="107"/>
  <c r="K694" i="107"/>
  <c r="K693" i="107"/>
  <c r="K692" i="107"/>
  <c r="K691" i="107"/>
  <c r="K690" i="107"/>
  <c r="K689" i="107"/>
  <c r="K688" i="107"/>
  <c r="K687" i="107"/>
  <c r="K686" i="107"/>
  <c r="K685" i="107"/>
  <c r="K684" i="107"/>
  <c r="K683" i="107"/>
  <c r="K682" i="107"/>
  <c r="K681" i="107"/>
  <c r="K680" i="107"/>
  <c r="K679" i="107"/>
  <c r="K678" i="107"/>
  <c r="K677" i="107"/>
  <c r="K676" i="107"/>
  <c r="K675" i="107"/>
  <c r="K674" i="107"/>
  <c r="K673" i="107"/>
  <c r="K672" i="107"/>
  <c r="K671" i="107"/>
  <c r="K670" i="107"/>
  <c r="K669" i="107"/>
  <c r="K668" i="107"/>
  <c r="K667" i="107"/>
  <c r="K666" i="107"/>
  <c r="K665" i="107"/>
  <c r="K664" i="107"/>
  <c r="K663" i="107"/>
  <c r="K662" i="107"/>
  <c r="K661" i="107"/>
  <c r="K660" i="107"/>
  <c r="K659" i="107"/>
  <c r="K658" i="107"/>
  <c r="K657" i="107"/>
  <c r="K656" i="107"/>
  <c r="K655" i="107"/>
  <c r="K654" i="107"/>
  <c r="K653" i="107"/>
  <c r="K652" i="107"/>
  <c r="K651" i="107"/>
  <c r="K650" i="107"/>
  <c r="K649" i="107"/>
  <c r="K648" i="107"/>
  <c r="K647" i="107"/>
  <c r="K646" i="107"/>
  <c r="K645" i="107"/>
  <c r="K644" i="107"/>
  <c r="K643" i="107"/>
  <c r="K642" i="107"/>
  <c r="K641" i="107"/>
  <c r="K640" i="107"/>
  <c r="K639" i="107"/>
  <c r="K638" i="107"/>
  <c r="K637" i="107"/>
  <c r="K636" i="107"/>
  <c r="K635" i="107"/>
  <c r="K634" i="107"/>
  <c r="K633" i="107"/>
  <c r="K632" i="107"/>
  <c r="K631" i="107"/>
  <c r="K630" i="107"/>
  <c r="K629" i="107"/>
  <c r="K628" i="107"/>
  <c r="K627" i="107"/>
  <c r="K626" i="107"/>
  <c r="K625" i="107"/>
  <c r="K624" i="107"/>
  <c r="K623" i="107"/>
  <c r="K622" i="107"/>
  <c r="K621" i="107"/>
  <c r="K620" i="107"/>
  <c r="K619" i="107"/>
  <c r="K618" i="107"/>
  <c r="K617" i="107"/>
  <c r="K616" i="107"/>
  <c r="K615" i="107"/>
  <c r="K614" i="107"/>
  <c r="K613" i="107"/>
  <c r="K612" i="107"/>
  <c r="K611" i="107"/>
  <c r="K610" i="107"/>
  <c r="K609" i="107"/>
  <c r="K608" i="107"/>
  <c r="K607" i="107"/>
  <c r="K606" i="107"/>
  <c r="K605" i="107"/>
  <c r="K604" i="107"/>
  <c r="K603" i="107"/>
  <c r="K602" i="107"/>
  <c r="K601" i="107"/>
  <c r="K600" i="107"/>
  <c r="K599" i="107"/>
  <c r="K598" i="107"/>
  <c r="K597" i="107"/>
  <c r="K596" i="107"/>
  <c r="K595" i="107"/>
  <c r="K594" i="107"/>
  <c r="K593" i="107"/>
  <c r="K592" i="107"/>
  <c r="K591" i="107"/>
  <c r="K590" i="107"/>
  <c r="K589" i="107"/>
  <c r="K588" i="107"/>
  <c r="K587" i="107"/>
  <c r="K586" i="107"/>
  <c r="K585" i="107"/>
  <c r="K584" i="107"/>
  <c r="K583" i="107"/>
  <c r="K582" i="107"/>
  <c r="K581" i="107"/>
  <c r="K580" i="107"/>
  <c r="K579" i="107"/>
  <c r="K578" i="107"/>
  <c r="K577" i="107"/>
  <c r="K576" i="107"/>
  <c r="K575" i="107"/>
  <c r="K574" i="107"/>
  <c r="K573" i="107"/>
  <c r="K572" i="107"/>
  <c r="K571" i="107"/>
  <c r="K570" i="107"/>
  <c r="K569" i="107"/>
  <c r="K568" i="107"/>
  <c r="K567" i="107"/>
  <c r="K566" i="107"/>
  <c r="K565" i="107"/>
  <c r="K564" i="107"/>
  <c r="K563" i="107"/>
  <c r="K562" i="107"/>
  <c r="K561" i="107"/>
  <c r="K560" i="107"/>
  <c r="K559" i="107"/>
  <c r="K558" i="107"/>
  <c r="K557" i="107"/>
  <c r="K556" i="107"/>
  <c r="K555" i="107"/>
  <c r="K554" i="107"/>
  <c r="K553" i="107"/>
  <c r="K552" i="107"/>
  <c r="K551" i="107"/>
  <c r="K550" i="107"/>
  <c r="K549" i="107"/>
  <c r="K548" i="107"/>
  <c r="K547" i="107"/>
  <c r="K546" i="107"/>
  <c r="K545" i="107"/>
  <c r="K544" i="107"/>
  <c r="K543" i="107"/>
  <c r="K542" i="107"/>
  <c r="K541" i="107"/>
  <c r="K540" i="107"/>
  <c r="K539" i="107"/>
  <c r="K538" i="107"/>
  <c r="K537" i="107"/>
  <c r="K536" i="107"/>
  <c r="K535" i="107"/>
  <c r="K534" i="107"/>
  <c r="K533" i="107"/>
  <c r="K532" i="107"/>
  <c r="K531" i="107"/>
  <c r="K530" i="107"/>
  <c r="K529" i="107"/>
  <c r="K528" i="107"/>
  <c r="K527" i="107"/>
  <c r="K526" i="107"/>
  <c r="K525" i="107"/>
  <c r="K524" i="107"/>
  <c r="K523" i="107"/>
  <c r="K522" i="107"/>
  <c r="K521" i="107"/>
  <c r="K520" i="107"/>
  <c r="K519" i="107"/>
  <c r="K518" i="107"/>
  <c r="K517" i="107"/>
  <c r="K516" i="107"/>
  <c r="K515" i="107"/>
  <c r="K514" i="107"/>
  <c r="K513" i="107"/>
  <c r="K512" i="107"/>
  <c r="K511" i="107"/>
  <c r="K510" i="107"/>
  <c r="K509" i="107"/>
  <c r="K508" i="107"/>
  <c r="K507" i="107"/>
  <c r="K506" i="107"/>
  <c r="K505" i="107"/>
  <c r="K504" i="107"/>
  <c r="K503" i="107"/>
  <c r="K502" i="107"/>
  <c r="K501" i="107"/>
  <c r="K500" i="107"/>
  <c r="K499" i="107"/>
  <c r="K498" i="107"/>
  <c r="K497" i="107"/>
  <c r="K496" i="107"/>
  <c r="K495" i="107"/>
  <c r="K494" i="107"/>
  <c r="K493" i="107"/>
  <c r="K492" i="107"/>
  <c r="K491" i="107"/>
  <c r="K490" i="107"/>
  <c r="K489" i="107"/>
  <c r="K488" i="107"/>
  <c r="K487" i="107"/>
  <c r="K486" i="107"/>
  <c r="K485" i="107"/>
  <c r="K484" i="107"/>
  <c r="K483" i="107"/>
  <c r="K482" i="107"/>
  <c r="K481" i="107"/>
  <c r="K480" i="107"/>
  <c r="K479" i="107"/>
  <c r="K478" i="107"/>
  <c r="K477" i="107"/>
  <c r="K476" i="107"/>
  <c r="K475" i="107"/>
  <c r="K474" i="107"/>
  <c r="K473" i="107"/>
  <c r="K472" i="107"/>
  <c r="K471" i="107"/>
  <c r="K470" i="107"/>
  <c r="K469" i="107"/>
  <c r="K468" i="107"/>
  <c r="K467" i="107"/>
  <c r="K466" i="107"/>
  <c r="K465" i="107"/>
  <c r="K464" i="107"/>
  <c r="K463" i="107"/>
  <c r="K462" i="107"/>
  <c r="K461" i="107"/>
  <c r="K460" i="107"/>
  <c r="K459" i="107"/>
  <c r="K458" i="107"/>
  <c r="K457" i="107"/>
  <c r="K456" i="107"/>
  <c r="K455" i="107"/>
  <c r="K454" i="107"/>
  <c r="K453" i="107"/>
  <c r="K452" i="107"/>
  <c r="K451" i="107"/>
  <c r="K450" i="107"/>
  <c r="K449" i="107"/>
  <c r="K448" i="107"/>
  <c r="K447" i="107"/>
  <c r="K446" i="107"/>
  <c r="K445" i="107"/>
  <c r="K444" i="107"/>
  <c r="K443" i="107"/>
  <c r="K442" i="107"/>
  <c r="K441" i="107"/>
  <c r="K440" i="107"/>
  <c r="K439" i="107"/>
  <c r="K438" i="107"/>
  <c r="K437" i="107"/>
  <c r="K436" i="107"/>
  <c r="K435" i="107"/>
  <c r="K434" i="107"/>
  <c r="K433" i="107"/>
  <c r="K432" i="107"/>
  <c r="K431" i="107"/>
  <c r="K430" i="107"/>
  <c r="K429" i="107"/>
  <c r="K428" i="107"/>
  <c r="K427" i="107"/>
  <c r="K426" i="107"/>
  <c r="K425" i="107"/>
  <c r="K424" i="107"/>
  <c r="K423" i="107"/>
  <c r="K422" i="107"/>
  <c r="K421" i="107"/>
  <c r="K420" i="107"/>
  <c r="K419" i="107"/>
  <c r="K418" i="107"/>
  <c r="K417" i="107"/>
  <c r="K416" i="107"/>
  <c r="K415" i="107"/>
  <c r="K414" i="107"/>
  <c r="K413" i="107"/>
  <c r="K412" i="107"/>
  <c r="K411" i="107"/>
  <c r="K410" i="107"/>
  <c r="K409" i="107"/>
  <c r="K408" i="107"/>
  <c r="K407" i="107"/>
  <c r="K406" i="107"/>
  <c r="K405" i="107"/>
  <c r="K404" i="107"/>
  <c r="K403" i="107"/>
  <c r="K402" i="107"/>
  <c r="K401" i="107"/>
  <c r="K400" i="107"/>
  <c r="K399" i="107"/>
  <c r="K398" i="107"/>
  <c r="K397" i="107"/>
  <c r="K396" i="107"/>
  <c r="K395" i="107"/>
  <c r="K394" i="107"/>
  <c r="K393" i="107"/>
  <c r="K392" i="107"/>
  <c r="K391" i="107"/>
  <c r="K390" i="107"/>
  <c r="K389" i="107"/>
  <c r="K388" i="107"/>
  <c r="K387" i="107"/>
  <c r="K386" i="107"/>
  <c r="K385" i="107"/>
  <c r="K384" i="107"/>
  <c r="K383" i="107"/>
  <c r="K382" i="107"/>
  <c r="K381" i="107"/>
  <c r="K380" i="107"/>
  <c r="K379" i="107"/>
  <c r="K378" i="107"/>
  <c r="K377" i="107"/>
  <c r="K376" i="107"/>
  <c r="K375" i="107"/>
  <c r="K374" i="107"/>
  <c r="K373" i="107"/>
  <c r="K372" i="107"/>
  <c r="K371" i="107"/>
  <c r="K370" i="107"/>
  <c r="K369" i="107"/>
  <c r="K368" i="107"/>
  <c r="K367" i="107"/>
  <c r="K366" i="107"/>
  <c r="K365" i="107"/>
  <c r="K364" i="107"/>
  <c r="K363" i="107"/>
  <c r="K362" i="107"/>
  <c r="K361" i="107"/>
  <c r="K360" i="107"/>
  <c r="K359" i="107"/>
  <c r="K358" i="107"/>
  <c r="K357" i="107"/>
  <c r="K356" i="107"/>
  <c r="K355" i="107"/>
  <c r="K354" i="107"/>
  <c r="K353" i="107"/>
  <c r="K352" i="107"/>
  <c r="K351" i="107"/>
  <c r="K350" i="107"/>
  <c r="K349" i="107"/>
  <c r="K348" i="107"/>
  <c r="K347" i="107"/>
  <c r="K346" i="107"/>
  <c r="K345" i="107"/>
  <c r="K344" i="107"/>
  <c r="K343" i="107"/>
  <c r="K342" i="107"/>
  <c r="K341" i="107"/>
  <c r="K340" i="107"/>
  <c r="K339" i="107"/>
  <c r="K338" i="107"/>
  <c r="K337" i="107"/>
  <c r="K336" i="107"/>
  <c r="K335" i="107"/>
  <c r="K334" i="107"/>
  <c r="K333" i="107"/>
  <c r="K332" i="107"/>
  <c r="K331" i="107"/>
  <c r="K330" i="107"/>
  <c r="K329" i="107"/>
  <c r="K328" i="107"/>
  <c r="K327" i="107"/>
  <c r="K326" i="107"/>
  <c r="K325" i="107"/>
  <c r="K324" i="107"/>
  <c r="K323" i="107"/>
  <c r="K322" i="107"/>
  <c r="K321" i="107"/>
  <c r="K320" i="107"/>
  <c r="K319" i="107"/>
  <c r="K318" i="107"/>
  <c r="K317" i="107"/>
  <c r="K316" i="107"/>
  <c r="K315" i="107"/>
  <c r="K314" i="107"/>
  <c r="K313" i="107"/>
  <c r="K312" i="107"/>
  <c r="K311" i="107"/>
  <c r="K310" i="107"/>
  <c r="K309" i="107"/>
  <c r="K308" i="107"/>
  <c r="K307" i="107"/>
  <c r="K306" i="107"/>
  <c r="K305" i="107"/>
  <c r="K304" i="107"/>
  <c r="K303" i="107"/>
  <c r="K302" i="107"/>
  <c r="K301" i="107"/>
  <c r="K300" i="107"/>
  <c r="K299" i="107"/>
  <c r="K298" i="107"/>
  <c r="K297" i="107"/>
  <c r="K296" i="107"/>
  <c r="K295" i="107"/>
  <c r="K294" i="107"/>
  <c r="K293" i="107"/>
  <c r="K292" i="107"/>
  <c r="K291" i="107"/>
  <c r="K290" i="107"/>
  <c r="K289" i="107"/>
  <c r="K288" i="107"/>
  <c r="K287" i="107"/>
  <c r="K286" i="107"/>
  <c r="K285" i="107"/>
  <c r="K284" i="107"/>
  <c r="K283" i="107"/>
  <c r="K282" i="107"/>
  <c r="K281" i="107"/>
  <c r="K280" i="107"/>
  <c r="K279" i="107"/>
  <c r="K278" i="107"/>
  <c r="K277" i="107"/>
  <c r="K276" i="107"/>
  <c r="K275" i="107"/>
  <c r="K274" i="107"/>
  <c r="K273" i="107"/>
  <c r="K272" i="107"/>
  <c r="K271" i="107"/>
  <c r="K270" i="107"/>
  <c r="K269" i="107"/>
  <c r="K268" i="107"/>
  <c r="K267" i="107"/>
  <c r="K266" i="107"/>
  <c r="K265" i="107"/>
  <c r="K264" i="107"/>
  <c r="K263" i="107"/>
  <c r="K262" i="107"/>
  <c r="K261" i="107"/>
  <c r="K260" i="107"/>
  <c r="K259" i="107"/>
  <c r="K258" i="107"/>
  <c r="K257" i="107"/>
  <c r="K256" i="107"/>
  <c r="K255" i="107"/>
  <c r="K254" i="107"/>
  <c r="K253" i="107"/>
  <c r="K252" i="107"/>
  <c r="K251" i="107"/>
  <c r="K250" i="107"/>
  <c r="K249" i="107"/>
  <c r="K248" i="107"/>
  <c r="K247" i="107"/>
  <c r="K246" i="107"/>
  <c r="K245" i="107"/>
  <c r="K244" i="107"/>
  <c r="K243" i="107"/>
  <c r="K242" i="107"/>
  <c r="K241" i="107"/>
  <c r="K240" i="107"/>
  <c r="K239" i="107"/>
  <c r="K238" i="107"/>
  <c r="K237" i="107"/>
  <c r="K236" i="107"/>
  <c r="K235" i="107"/>
  <c r="K234" i="107"/>
  <c r="K233" i="107"/>
  <c r="K232" i="107"/>
  <c r="K231" i="107"/>
  <c r="K230" i="107"/>
  <c r="K229" i="107"/>
  <c r="K228" i="107"/>
  <c r="K227" i="107"/>
  <c r="K226" i="107"/>
  <c r="K225" i="107"/>
  <c r="K224" i="107"/>
  <c r="K223" i="107"/>
  <c r="K222" i="107"/>
  <c r="K221" i="107"/>
  <c r="K220" i="107"/>
  <c r="K219" i="107"/>
  <c r="K218" i="107"/>
  <c r="K217" i="107"/>
  <c r="K216" i="107"/>
  <c r="K215" i="107"/>
  <c r="K214" i="107"/>
  <c r="K213" i="107"/>
  <c r="K212" i="107"/>
  <c r="K211" i="107"/>
  <c r="K210" i="107"/>
  <c r="K209" i="107"/>
  <c r="K208" i="107"/>
  <c r="K207" i="107"/>
  <c r="K206" i="107"/>
  <c r="K205" i="107"/>
  <c r="K204" i="107"/>
  <c r="K203" i="107"/>
  <c r="K202" i="107"/>
  <c r="K201" i="107"/>
  <c r="K200" i="107"/>
  <c r="K199" i="107"/>
  <c r="K198" i="107"/>
  <c r="K197" i="107"/>
  <c r="K196" i="107"/>
  <c r="K195" i="107"/>
  <c r="K194" i="107"/>
  <c r="K193" i="107"/>
  <c r="K192" i="107"/>
  <c r="K191" i="107"/>
  <c r="K190" i="107"/>
  <c r="K189" i="107"/>
  <c r="K188" i="107"/>
  <c r="K187" i="107"/>
  <c r="K186" i="107"/>
  <c r="K185" i="107"/>
  <c r="K184" i="107"/>
  <c r="K183" i="107"/>
  <c r="K182" i="107"/>
  <c r="K181" i="107"/>
  <c r="K180" i="107"/>
  <c r="K179" i="107"/>
  <c r="K178" i="107"/>
  <c r="K177" i="107"/>
  <c r="K176" i="107"/>
  <c r="K175" i="107"/>
  <c r="K174" i="107"/>
  <c r="K173" i="107"/>
  <c r="K172" i="107"/>
  <c r="K171" i="107"/>
  <c r="K170" i="107"/>
  <c r="K169" i="107"/>
  <c r="K168" i="107"/>
  <c r="K167" i="107"/>
  <c r="K166" i="107"/>
  <c r="K165" i="107"/>
  <c r="K164" i="107"/>
  <c r="K163" i="107"/>
  <c r="K162" i="107"/>
  <c r="K161" i="107"/>
  <c r="K160" i="107"/>
  <c r="K159" i="107"/>
  <c r="K158" i="107"/>
  <c r="K157" i="107"/>
  <c r="K156" i="107"/>
  <c r="K155" i="107"/>
  <c r="K154" i="107"/>
  <c r="K153" i="107"/>
  <c r="K152" i="107"/>
  <c r="K151" i="107"/>
  <c r="K150" i="107"/>
  <c r="K149" i="107"/>
  <c r="K148" i="107"/>
  <c r="K147" i="107"/>
  <c r="K146" i="107"/>
  <c r="K145" i="107"/>
  <c r="K144" i="107"/>
  <c r="K143" i="107"/>
  <c r="K142" i="107"/>
  <c r="K141" i="107"/>
  <c r="K140" i="107"/>
  <c r="K139" i="107"/>
  <c r="K138" i="107"/>
  <c r="K137" i="107"/>
  <c r="K136" i="107"/>
  <c r="K135" i="107"/>
  <c r="K134" i="107"/>
  <c r="K133" i="107"/>
  <c r="K132" i="107"/>
  <c r="K131" i="107"/>
  <c r="K130" i="107"/>
  <c r="K129" i="107"/>
  <c r="K128" i="107"/>
  <c r="K127" i="107"/>
  <c r="K126" i="107"/>
  <c r="K125" i="107"/>
  <c r="K124" i="107"/>
  <c r="K123" i="107"/>
  <c r="K122" i="107"/>
  <c r="K121" i="107"/>
  <c r="K120" i="107"/>
  <c r="K119" i="107"/>
  <c r="K118" i="107"/>
  <c r="K117" i="107"/>
  <c r="K116" i="107"/>
  <c r="K115" i="107"/>
  <c r="K114" i="107"/>
  <c r="K113" i="107"/>
  <c r="K112" i="107"/>
  <c r="K111" i="107"/>
  <c r="K110" i="107"/>
  <c r="K109" i="107"/>
  <c r="K108" i="107"/>
  <c r="K107" i="107"/>
  <c r="K106" i="107"/>
  <c r="K105" i="107"/>
  <c r="K104" i="107"/>
  <c r="K103" i="107"/>
  <c r="K102" i="107"/>
  <c r="K101" i="107"/>
  <c r="K100" i="107"/>
  <c r="K99" i="107"/>
  <c r="K98" i="107"/>
  <c r="K97" i="107"/>
  <c r="K96" i="107"/>
  <c r="K95" i="107"/>
  <c r="K94" i="107"/>
  <c r="K93" i="107"/>
  <c r="K92" i="107"/>
  <c r="K91" i="107"/>
  <c r="K90" i="107"/>
  <c r="K89" i="107"/>
  <c r="K88" i="107"/>
  <c r="K87" i="107"/>
  <c r="K86" i="107"/>
  <c r="K85" i="107"/>
  <c r="K84" i="107"/>
  <c r="K83" i="107"/>
  <c r="K82" i="107"/>
  <c r="K81" i="107"/>
  <c r="K80" i="107"/>
  <c r="K79" i="107"/>
  <c r="K78" i="107"/>
  <c r="K77" i="107"/>
  <c r="K76" i="107"/>
  <c r="K75" i="107"/>
  <c r="K74" i="107"/>
  <c r="K73" i="107"/>
  <c r="K72" i="107"/>
  <c r="K71" i="107"/>
  <c r="K70" i="107"/>
  <c r="K69" i="107"/>
  <c r="K68" i="107"/>
  <c r="K67" i="107"/>
  <c r="K66" i="107"/>
  <c r="K65" i="107"/>
  <c r="K64" i="107"/>
  <c r="K63" i="107"/>
  <c r="K62" i="107"/>
  <c r="K61" i="107"/>
  <c r="K60" i="107"/>
  <c r="K59" i="107"/>
  <c r="K58" i="107"/>
  <c r="K57" i="107"/>
  <c r="K56" i="107"/>
  <c r="K55" i="107"/>
  <c r="K54" i="107"/>
  <c r="K53" i="107"/>
  <c r="K52" i="107"/>
  <c r="K51" i="107"/>
  <c r="K50" i="107"/>
  <c r="K49" i="107"/>
  <c r="K48" i="107"/>
  <c r="K47" i="107"/>
  <c r="K46" i="107"/>
  <c r="K45" i="107"/>
  <c r="K44" i="107"/>
  <c r="K43" i="107"/>
  <c r="K42" i="107"/>
  <c r="K41" i="107"/>
  <c r="K40" i="107"/>
  <c r="K39" i="107"/>
  <c r="K38" i="107"/>
  <c r="K37" i="107"/>
  <c r="K36" i="107"/>
  <c r="K35" i="107"/>
  <c r="K34" i="107"/>
  <c r="K33" i="107"/>
  <c r="K32" i="107"/>
  <c r="K31" i="107"/>
  <c r="K30" i="107"/>
  <c r="K29" i="107"/>
  <c r="K28" i="107"/>
  <c r="K27" i="107"/>
  <c r="K26" i="107"/>
  <c r="K25" i="107"/>
  <c r="K24" i="107"/>
  <c r="K23" i="107"/>
  <c r="K22" i="107"/>
  <c r="K21" i="107"/>
  <c r="K20" i="107"/>
  <c r="K19" i="107"/>
  <c r="K18" i="107"/>
  <c r="K17" i="107"/>
  <c r="K16" i="107"/>
  <c r="K15" i="107"/>
  <c r="K14" i="107"/>
  <c r="K13" i="107"/>
  <c r="K12" i="107"/>
  <c r="K11" i="107"/>
  <c r="K10" i="107"/>
  <c r="K9" i="107"/>
  <c r="K8" i="107"/>
  <c r="K7" i="107"/>
  <c r="K6" i="107"/>
  <c r="M58" i="126" l="1"/>
  <c r="K58" i="126"/>
  <c r="AA23" i="126" s="1"/>
  <c r="I58" i="126"/>
  <c r="G58" i="126"/>
  <c r="W23" i="126" s="1"/>
  <c r="E58" i="126"/>
  <c r="C58" i="126"/>
  <c r="C54" i="126"/>
  <c r="M52" i="126"/>
  <c r="K52" i="126"/>
  <c r="I52" i="126"/>
  <c r="G52" i="126"/>
  <c r="E52" i="126"/>
  <c r="U43" i="126" s="1"/>
  <c r="C52" i="126"/>
  <c r="S44" i="126" s="1"/>
  <c r="C50" i="126"/>
  <c r="Y48" i="126"/>
  <c r="M48" i="126"/>
  <c r="E48" i="126"/>
  <c r="C48" i="126"/>
  <c r="AA46" i="126"/>
  <c r="Y46" i="126"/>
  <c r="W46" i="126"/>
  <c r="AA45" i="126"/>
  <c r="Y45" i="126"/>
  <c r="W45" i="126"/>
  <c r="U45" i="126"/>
  <c r="S45" i="126"/>
  <c r="AC45" i="126" s="1"/>
  <c r="E44" i="126"/>
  <c r="C44" i="126"/>
  <c r="AA43" i="126"/>
  <c r="Y43" i="126"/>
  <c r="W43" i="126"/>
  <c r="S43" i="126"/>
  <c r="AC43" i="126" s="1"/>
  <c r="E43" i="126"/>
  <c r="C43" i="126"/>
  <c r="M42" i="126"/>
  <c r="K42" i="126"/>
  <c r="I42" i="126"/>
  <c r="G42" i="126"/>
  <c r="E42" i="126"/>
  <c r="C42" i="126"/>
  <c r="G41" i="126"/>
  <c r="G60" i="126" s="1"/>
  <c r="C41" i="126"/>
  <c r="C60" i="126" s="1"/>
  <c r="M40" i="126"/>
  <c r="M62" i="126" s="1"/>
  <c r="K40" i="126"/>
  <c r="K62" i="126" s="1"/>
  <c r="I40" i="126"/>
  <c r="I62" i="126" s="1"/>
  <c r="G40" i="126"/>
  <c r="G62" i="126" s="1"/>
  <c r="I38" i="126"/>
  <c r="G38" i="126"/>
  <c r="E38" i="126"/>
  <c r="U46" i="126" s="1"/>
  <c r="C38" i="126"/>
  <c r="S46" i="126" s="1"/>
  <c r="E34" i="126"/>
  <c r="U48" i="126" s="1"/>
  <c r="C34" i="126"/>
  <c r="S48" i="126" s="1"/>
  <c r="E32" i="126"/>
  <c r="E40" i="126" s="1"/>
  <c r="C32" i="126"/>
  <c r="C40" i="126" s="1"/>
  <c r="E30" i="126"/>
  <c r="C30" i="126"/>
  <c r="S29" i="126"/>
  <c r="M28" i="126"/>
  <c r="M60" i="126" s="1"/>
  <c r="K28" i="126"/>
  <c r="K60" i="126" s="1"/>
  <c r="I28" i="126"/>
  <c r="I60" i="126" s="1"/>
  <c r="G28" i="126"/>
  <c r="E28" i="126"/>
  <c r="E60" i="126" s="1"/>
  <c r="C28" i="126"/>
  <c r="Y23" i="126"/>
  <c r="U23" i="126"/>
  <c r="S23" i="126"/>
  <c r="E19" i="126"/>
  <c r="C19" i="126"/>
  <c r="S18" i="126" s="1"/>
  <c r="AA18" i="126"/>
  <c r="Y18" i="126"/>
  <c r="W18" i="126"/>
  <c r="K16" i="126"/>
  <c r="I16" i="126"/>
  <c r="G16" i="126"/>
  <c r="E16" i="126"/>
  <c r="C16" i="126"/>
  <c r="AA12" i="126"/>
  <c r="Y12" i="126"/>
  <c r="W12" i="126"/>
  <c r="U12" i="126"/>
  <c r="S12" i="126"/>
  <c r="M12" i="126"/>
  <c r="K12" i="126"/>
  <c r="I12" i="126"/>
  <c r="G12" i="126"/>
  <c r="E12" i="126"/>
  <c r="C12" i="126"/>
  <c r="Q8" i="126"/>
  <c r="Q7" i="126"/>
  <c r="Q6" i="126"/>
  <c r="C62" i="125"/>
  <c r="M60" i="125"/>
  <c r="K60" i="125"/>
  <c r="AA52" i="125" s="1"/>
  <c r="I60" i="125"/>
  <c r="Y52" i="125" s="1"/>
  <c r="G60" i="125"/>
  <c r="E60" i="125"/>
  <c r="C60" i="125"/>
  <c r="S52" i="125" s="1"/>
  <c r="M58" i="125"/>
  <c r="K58" i="125"/>
  <c r="I58" i="125"/>
  <c r="G58" i="125"/>
  <c r="E58" i="125"/>
  <c r="C58" i="125"/>
  <c r="K56" i="125"/>
  <c r="AA33" i="125" s="1"/>
  <c r="I56" i="125"/>
  <c r="Y33" i="125" s="1"/>
  <c r="C56" i="125"/>
  <c r="S33" i="125" s="1"/>
  <c r="M54" i="125"/>
  <c r="K54" i="125"/>
  <c r="I54" i="125"/>
  <c r="Y22" i="125" s="1"/>
  <c r="C54" i="125"/>
  <c r="S50" i="125" s="1"/>
  <c r="M52" i="125"/>
  <c r="K52" i="125"/>
  <c r="AA44" i="125" s="1"/>
  <c r="I52" i="125"/>
  <c r="Y44" i="125" s="1"/>
  <c r="G52" i="125"/>
  <c r="W44" i="125" s="1"/>
  <c r="E52" i="125"/>
  <c r="U44" i="125" s="1"/>
  <c r="C52" i="125"/>
  <c r="S44" i="125" s="1"/>
  <c r="M50" i="125"/>
  <c r="M56" i="125" s="1"/>
  <c r="K50" i="125"/>
  <c r="AA29" i="125" s="1"/>
  <c r="I50" i="125"/>
  <c r="Y29" i="125" s="1"/>
  <c r="C50" i="125"/>
  <c r="S29" i="125" s="1"/>
  <c r="S48" i="125"/>
  <c r="M48" i="125"/>
  <c r="K48" i="125"/>
  <c r="I48" i="125"/>
  <c r="G48" i="125"/>
  <c r="E48" i="125"/>
  <c r="C48" i="125"/>
  <c r="S46" i="125"/>
  <c r="AA45" i="125"/>
  <c r="Y45" i="125"/>
  <c r="W45" i="125"/>
  <c r="U45" i="125"/>
  <c r="S45" i="125"/>
  <c r="AC45" i="125" s="1"/>
  <c r="AA43" i="125"/>
  <c r="Y43" i="125"/>
  <c r="W43" i="125"/>
  <c r="U43" i="125"/>
  <c r="S43" i="125"/>
  <c r="AC43" i="125" s="1"/>
  <c r="M42" i="125"/>
  <c r="K42" i="125"/>
  <c r="I42" i="125"/>
  <c r="G42" i="125"/>
  <c r="E42" i="125"/>
  <c r="C42" i="125"/>
  <c r="G41" i="125"/>
  <c r="M40" i="125"/>
  <c r="M62" i="125" s="1"/>
  <c r="K40" i="125"/>
  <c r="K62" i="125" s="1"/>
  <c r="I40" i="125"/>
  <c r="I62" i="125" s="1"/>
  <c r="G40" i="125"/>
  <c r="G62" i="125" s="1"/>
  <c r="E40" i="125"/>
  <c r="E62" i="125" s="1"/>
  <c r="C40" i="125"/>
  <c r="AA35" i="125"/>
  <c r="Y35" i="125"/>
  <c r="M34" i="125"/>
  <c r="K34" i="125"/>
  <c r="AA48" i="125" s="1"/>
  <c r="I34" i="125"/>
  <c r="Y48" i="125" s="1"/>
  <c r="G34" i="125"/>
  <c r="W48" i="125" s="1"/>
  <c r="E34" i="125"/>
  <c r="U48" i="125" s="1"/>
  <c r="AA28" i="125"/>
  <c r="Y28" i="125"/>
  <c r="S28" i="125"/>
  <c r="AA19" i="125"/>
  <c r="AA18" i="125"/>
  <c r="Y18" i="125"/>
  <c r="W18" i="125"/>
  <c r="U18" i="125"/>
  <c r="S18" i="125"/>
  <c r="AA17" i="125"/>
  <c r="Y17" i="125"/>
  <c r="Y19" i="125" s="1"/>
  <c r="C16" i="125"/>
  <c r="S35" i="125" s="1"/>
  <c r="M15" i="125"/>
  <c r="K15" i="125"/>
  <c r="AA12" i="125"/>
  <c r="Y12" i="125"/>
  <c r="W12" i="125"/>
  <c r="U12" i="125"/>
  <c r="S12" i="125"/>
  <c r="G12" i="125"/>
  <c r="E12" i="125"/>
  <c r="C12" i="125"/>
  <c r="Q8" i="125"/>
  <c r="Q7" i="125"/>
  <c r="Q6" i="125"/>
  <c r="I60" i="124"/>
  <c r="G60" i="124"/>
  <c r="W52" i="124" s="1"/>
  <c r="E60" i="124"/>
  <c r="C60" i="124"/>
  <c r="M58" i="124"/>
  <c r="K58" i="124"/>
  <c r="I58" i="124"/>
  <c r="G58" i="124"/>
  <c r="E58" i="124"/>
  <c r="C58" i="124"/>
  <c r="G54" i="124"/>
  <c r="W50" i="124" s="1"/>
  <c r="M52" i="124"/>
  <c r="K52" i="124"/>
  <c r="AA44" i="124" s="1"/>
  <c r="I52" i="124"/>
  <c r="Y44" i="124" s="1"/>
  <c r="G52" i="124"/>
  <c r="W44" i="124" s="1"/>
  <c r="E52" i="124"/>
  <c r="U44" i="124" s="1"/>
  <c r="C52" i="124"/>
  <c r="S43" i="124" s="1"/>
  <c r="AC43" i="124" s="1"/>
  <c r="W48" i="124"/>
  <c r="M48" i="124"/>
  <c r="K48" i="124"/>
  <c r="I48" i="124"/>
  <c r="G48" i="124"/>
  <c r="E48" i="124"/>
  <c r="W46" i="124"/>
  <c r="Y45" i="124"/>
  <c r="U45" i="124"/>
  <c r="C44" i="124"/>
  <c r="AA43" i="124"/>
  <c r="Y43" i="124"/>
  <c r="W43" i="124"/>
  <c r="U43" i="124"/>
  <c r="C43" i="124"/>
  <c r="M42" i="124"/>
  <c r="K42" i="124"/>
  <c r="I42" i="124"/>
  <c r="G42" i="124"/>
  <c r="E42" i="124"/>
  <c r="C42" i="124"/>
  <c r="C41" i="124"/>
  <c r="I40" i="124"/>
  <c r="I62" i="124" s="1"/>
  <c r="G40" i="124"/>
  <c r="G62" i="124" s="1"/>
  <c r="C38" i="124"/>
  <c r="M34" i="124"/>
  <c r="M40" i="124" s="1"/>
  <c r="M62" i="124" s="1"/>
  <c r="K34" i="124"/>
  <c r="K40" i="124" s="1"/>
  <c r="K62" i="124" s="1"/>
  <c r="I34" i="124"/>
  <c r="Y46" i="124" s="1"/>
  <c r="G34" i="124"/>
  <c r="E34" i="124"/>
  <c r="E40" i="124" s="1"/>
  <c r="E62" i="124" s="1"/>
  <c r="C32" i="124"/>
  <c r="C34" i="124" s="1"/>
  <c r="C30" i="124"/>
  <c r="M28" i="124"/>
  <c r="M60" i="124" s="1"/>
  <c r="K28" i="124"/>
  <c r="K60" i="124" s="1"/>
  <c r="C19" i="124"/>
  <c r="S18" i="124" s="1"/>
  <c r="AA18" i="124"/>
  <c r="Y18" i="124"/>
  <c r="W18" i="124"/>
  <c r="U18" i="124"/>
  <c r="C16" i="124"/>
  <c r="C15" i="124"/>
  <c r="AA12" i="124"/>
  <c r="Y12" i="124"/>
  <c r="W12" i="124"/>
  <c r="U12" i="124"/>
  <c r="S12" i="124"/>
  <c r="M12" i="124"/>
  <c r="M54" i="124" s="1"/>
  <c r="K12" i="124"/>
  <c r="K50" i="124" s="1"/>
  <c r="I12" i="124"/>
  <c r="I54" i="124" s="1"/>
  <c r="G12" i="124"/>
  <c r="G50" i="124" s="1"/>
  <c r="E12" i="124"/>
  <c r="C12" i="124"/>
  <c r="C54" i="124" s="1"/>
  <c r="Q8" i="124"/>
  <c r="Q7" i="124"/>
  <c r="Q6" i="124"/>
  <c r="I62" i="123"/>
  <c r="G62" i="123"/>
  <c r="M58" i="123"/>
  <c r="K58" i="123"/>
  <c r="I58" i="123"/>
  <c r="G58" i="123"/>
  <c r="E58" i="123"/>
  <c r="C58" i="123"/>
  <c r="E56" i="123"/>
  <c r="U35" i="123" s="1"/>
  <c r="M54" i="123"/>
  <c r="G54" i="123"/>
  <c r="E54" i="123"/>
  <c r="C54" i="123"/>
  <c r="M52" i="123"/>
  <c r="K52" i="123"/>
  <c r="I52" i="123"/>
  <c r="G52" i="123"/>
  <c r="E52" i="123"/>
  <c r="U44" i="123" s="1"/>
  <c r="C52" i="123"/>
  <c r="G50" i="123"/>
  <c r="G56" i="123" s="1"/>
  <c r="E50" i="123"/>
  <c r="U48" i="123"/>
  <c r="I48" i="123"/>
  <c r="G48" i="123"/>
  <c r="E48" i="123"/>
  <c r="AA46" i="123"/>
  <c r="W46" i="123"/>
  <c r="U45" i="123"/>
  <c r="S45" i="123"/>
  <c r="E44" i="123"/>
  <c r="C44" i="123"/>
  <c r="AA43" i="123"/>
  <c r="Y43" i="123"/>
  <c r="E43" i="123"/>
  <c r="C43" i="123"/>
  <c r="M42" i="123"/>
  <c r="K42" i="123"/>
  <c r="I42" i="123"/>
  <c r="G42" i="123"/>
  <c r="E42" i="123"/>
  <c r="C42" i="123"/>
  <c r="E41" i="123"/>
  <c r="E60" i="123" s="1"/>
  <c r="U52" i="123" s="1"/>
  <c r="C41" i="123"/>
  <c r="C60" i="123" s="1"/>
  <c r="S52" i="123" s="1"/>
  <c r="M40" i="123"/>
  <c r="M62" i="123" s="1"/>
  <c r="K40" i="123"/>
  <c r="K62" i="123" s="1"/>
  <c r="G40" i="123"/>
  <c r="E38" i="123"/>
  <c r="U46" i="123" s="1"/>
  <c r="C38" i="123"/>
  <c r="S46" i="123" s="1"/>
  <c r="AC46" i="123" s="1"/>
  <c r="C36" i="123"/>
  <c r="E34" i="123"/>
  <c r="C34" i="123"/>
  <c r="E32" i="123"/>
  <c r="E40" i="123" s="1"/>
  <c r="E62" i="123" s="1"/>
  <c r="C32" i="123"/>
  <c r="C40" i="123" s="1"/>
  <c r="C62" i="123" s="1"/>
  <c r="E30" i="123"/>
  <c r="U22" i="123" s="1"/>
  <c r="C30" i="123"/>
  <c r="S22" i="123" s="1"/>
  <c r="U29" i="123"/>
  <c r="M28" i="123"/>
  <c r="M60" i="123" s="1"/>
  <c r="K28" i="123"/>
  <c r="K60" i="123" s="1"/>
  <c r="I28" i="123"/>
  <c r="I60" i="123" s="1"/>
  <c r="G28" i="123"/>
  <c r="G60" i="123" s="1"/>
  <c r="W52" i="123" s="1"/>
  <c r="E28" i="123"/>
  <c r="C28" i="123"/>
  <c r="AA23" i="123"/>
  <c r="Y23" i="123"/>
  <c r="W23" i="123"/>
  <c r="U23" i="123"/>
  <c r="S23" i="123"/>
  <c r="E19" i="123"/>
  <c r="C19" i="123"/>
  <c r="AA18" i="123"/>
  <c r="Y18" i="123"/>
  <c r="W18" i="123"/>
  <c r="M16" i="123"/>
  <c r="K16" i="123"/>
  <c r="I16" i="123"/>
  <c r="Y48" i="123" s="1"/>
  <c r="G16" i="123"/>
  <c r="E16" i="123"/>
  <c r="C13" i="123"/>
  <c r="C16" i="123" s="1"/>
  <c r="C50" i="123" s="1"/>
  <c r="AA12" i="123"/>
  <c r="Y12" i="123"/>
  <c r="W12" i="123"/>
  <c r="U12" i="123"/>
  <c r="S12" i="123"/>
  <c r="K12" i="123"/>
  <c r="I12" i="123"/>
  <c r="G12" i="123"/>
  <c r="C12" i="123"/>
  <c r="Q8" i="123"/>
  <c r="Q7" i="123"/>
  <c r="Q6" i="123"/>
  <c r="M62" i="122"/>
  <c r="K62" i="122"/>
  <c r="I62" i="122"/>
  <c r="M60" i="122"/>
  <c r="K60" i="122"/>
  <c r="I60" i="122"/>
  <c r="G60" i="122"/>
  <c r="W52" i="122" s="1"/>
  <c r="E60" i="122"/>
  <c r="U52" i="122" s="1"/>
  <c r="C60" i="122"/>
  <c r="S52" i="122" s="1"/>
  <c r="M58" i="122"/>
  <c r="K58" i="122"/>
  <c r="I58" i="122"/>
  <c r="G58" i="122"/>
  <c r="E58" i="122"/>
  <c r="C58" i="122"/>
  <c r="G54" i="122"/>
  <c r="E54" i="122"/>
  <c r="C54" i="122"/>
  <c r="S22" i="122" s="1"/>
  <c r="M52" i="122"/>
  <c r="K52" i="122"/>
  <c r="AA44" i="122" s="1"/>
  <c r="I52" i="122"/>
  <c r="Y44" i="122" s="1"/>
  <c r="G52" i="122"/>
  <c r="W44" i="122" s="1"/>
  <c r="E52" i="122"/>
  <c r="U44" i="122" s="1"/>
  <c r="C52" i="122"/>
  <c r="S43" i="122" s="1"/>
  <c r="AC43" i="122" s="1"/>
  <c r="G50" i="122"/>
  <c r="W29" i="122" s="1"/>
  <c r="E50" i="122"/>
  <c r="U17" i="122" s="1"/>
  <c r="U19" i="122" s="1"/>
  <c r="C50" i="122"/>
  <c r="C56" i="122" s="1"/>
  <c r="AA48" i="122"/>
  <c r="Y48" i="122"/>
  <c r="W48" i="122"/>
  <c r="M48" i="122"/>
  <c r="K48" i="122"/>
  <c r="I48" i="122"/>
  <c r="G48" i="122"/>
  <c r="E48" i="122"/>
  <c r="C48" i="122"/>
  <c r="AA46" i="122"/>
  <c r="Y46" i="122"/>
  <c r="W46" i="122"/>
  <c r="AA45" i="122"/>
  <c r="Y45" i="122"/>
  <c r="W45" i="122"/>
  <c r="U45" i="122"/>
  <c r="C44" i="122"/>
  <c r="AA43" i="122"/>
  <c r="Y43" i="122"/>
  <c r="W43" i="122"/>
  <c r="U43" i="122"/>
  <c r="C43" i="122"/>
  <c r="E42" i="122"/>
  <c r="C42" i="122"/>
  <c r="C41" i="122"/>
  <c r="M40" i="122"/>
  <c r="G40" i="122"/>
  <c r="G62" i="122" s="1"/>
  <c r="E40" i="122"/>
  <c r="E62" i="122" s="1"/>
  <c r="C40" i="122"/>
  <c r="C62" i="122" s="1"/>
  <c r="C38" i="122"/>
  <c r="C26" i="122" s="1"/>
  <c r="S45" i="122" s="1"/>
  <c r="AC45" i="122" s="1"/>
  <c r="M34" i="122"/>
  <c r="E34" i="122"/>
  <c r="U48" i="122" s="1"/>
  <c r="C34" i="122"/>
  <c r="S48" i="122" s="1"/>
  <c r="AC48" i="122" s="1"/>
  <c r="C32" i="122"/>
  <c r="C30" i="122"/>
  <c r="C28" i="122"/>
  <c r="C19" i="122"/>
  <c r="AA18" i="122"/>
  <c r="Y18" i="122"/>
  <c r="W18" i="122"/>
  <c r="U18" i="122"/>
  <c r="S18" i="122"/>
  <c r="W17" i="122"/>
  <c r="W19" i="122" s="1"/>
  <c r="C16" i="122"/>
  <c r="S29" i="122" s="1"/>
  <c r="M15" i="122"/>
  <c r="K15" i="122"/>
  <c r="AA12" i="122"/>
  <c r="Y12" i="122"/>
  <c r="W12" i="122"/>
  <c r="U12" i="122"/>
  <c r="S12" i="122"/>
  <c r="M12" i="122"/>
  <c r="M54" i="122" s="1"/>
  <c r="K12" i="122"/>
  <c r="I12" i="122"/>
  <c r="G12" i="122"/>
  <c r="W27" i="122" s="1"/>
  <c r="E12" i="122"/>
  <c r="U27" i="122" s="1"/>
  <c r="C12" i="122"/>
  <c r="S27" i="122" s="1"/>
  <c r="Q8" i="122"/>
  <c r="Q7" i="122"/>
  <c r="Q6" i="122"/>
  <c r="E62" i="121"/>
  <c r="M60" i="121"/>
  <c r="K60" i="121"/>
  <c r="AA52" i="121" s="1"/>
  <c r="I60" i="121"/>
  <c r="Y52" i="121" s="1"/>
  <c r="G60" i="121"/>
  <c r="W52" i="121" s="1"/>
  <c r="E60" i="121"/>
  <c r="U52" i="121" s="1"/>
  <c r="C60" i="121"/>
  <c r="S52" i="121" s="1"/>
  <c r="AC52" i="121" s="1"/>
  <c r="M58" i="121"/>
  <c r="K58" i="121"/>
  <c r="I58" i="121"/>
  <c r="G58" i="121"/>
  <c r="E58" i="121"/>
  <c r="C58" i="121"/>
  <c r="M54" i="121"/>
  <c r="K54" i="121"/>
  <c r="I54" i="121"/>
  <c r="G54" i="121"/>
  <c r="W22" i="121" s="1"/>
  <c r="E54" i="121"/>
  <c r="U22" i="121" s="1"/>
  <c r="C54" i="121"/>
  <c r="S22" i="121" s="1"/>
  <c r="M52" i="121"/>
  <c r="K52" i="121"/>
  <c r="AA44" i="121" s="1"/>
  <c r="I52" i="121"/>
  <c r="Y44" i="121" s="1"/>
  <c r="G52" i="121"/>
  <c r="W44" i="121" s="1"/>
  <c r="E52" i="121"/>
  <c r="U44" i="121" s="1"/>
  <c r="C52" i="121"/>
  <c r="S43" i="121" s="1"/>
  <c r="AC43" i="121" s="1"/>
  <c r="M50" i="121"/>
  <c r="M56" i="121" s="1"/>
  <c r="K50" i="121"/>
  <c r="K56" i="121" s="1"/>
  <c r="I50" i="121"/>
  <c r="I56" i="121" s="1"/>
  <c r="G50" i="121"/>
  <c r="W28" i="121" s="1"/>
  <c r="E50" i="121"/>
  <c r="U17" i="121" s="1"/>
  <c r="U19" i="121" s="1"/>
  <c r="C50" i="121"/>
  <c r="S29" i="121" s="1"/>
  <c r="AC29" i="121" s="1"/>
  <c r="U48" i="121"/>
  <c r="M48" i="121"/>
  <c r="K48" i="121"/>
  <c r="I48" i="121"/>
  <c r="G48" i="121"/>
  <c r="E48" i="121"/>
  <c r="C48" i="121"/>
  <c r="U46" i="121"/>
  <c r="AA45" i="121"/>
  <c r="Y45" i="121"/>
  <c r="U45" i="121"/>
  <c r="S45" i="121"/>
  <c r="C44" i="121"/>
  <c r="AA43" i="121"/>
  <c r="Y43" i="121"/>
  <c r="W43" i="121"/>
  <c r="U43" i="121"/>
  <c r="C43" i="121"/>
  <c r="M42" i="121"/>
  <c r="K42" i="121"/>
  <c r="I42" i="121"/>
  <c r="G42" i="121"/>
  <c r="E42" i="121"/>
  <c r="C42" i="121"/>
  <c r="G41" i="121"/>
  <c r="C41" i="121"/>
  <c r="K40" i="121"/>
  <c r="K62" i="121" s="1"/>
  <c r="G40" i="121"/>
  <c r="G62" i="121" s="1"/>
  <c r="E40" i="121"/>
  <c r="C38" i="121"/>
  <c r="M34" i="121"/>
  <c r="M40" i="121" s="1"/>
  <c r="M62" i="121" s="1"/>
  <c r="K34" i="121"/>
  <c r="AA48" i="121" s="1"/>
  <c r="I34" i="121"/>
  <c r="I40" i="121" s="1"/>
  <c r="I62" i="121" s="1"/>
  <c r="G34" i="121"/>
  <c r="W48" i="121" s="1"/>
  <c r="E34" i="121"/>
  <c r="C32" i="121"/>
  <c r="C34" i="121" s="1"/>
  <c r="C30" i="121"/>
  <c r="AA29" i="121"/>
  <c r="Y29" i="121"/>
  <c r="W29" i="121"/>
  <c r="U29" i="121"/>
  <c r="C28" i="121"/>
  <c r="AA27" i="121"/>
  <c r="Y27" i="121"/>
  <c r="W27" i="121"/>
  <c r="C19" i="121"/>
  <c r="AA18" i="121"/>
  <c r="Y18" i="121"/>
  <c r="W18" i="121"/>
  <c r="U18" i="121"/>
  <c r="S18" i="121"/>
  <c r="AA12" i="121"/>
  <c r="Y12" i="121"/>
  <c r="W12" i="121"/>
  <c r="U12" i="121"/>
  <c r="S12" i="121"/>
  <c r="M12" i="121"/>
  <c r="K12" i="121"/>
  <c r="I12" i="121"/>
  <c r="G12" i="121"/>
  <c r="E12" i="121"/>
  <c r="U27" i="121" s="1"/>
  <c r="C12" i="121"/>
  <c r="S27" i="121" s="1"/>
  <c r="Q8" i="121"/>
  <c r="Q7" i="121"/>
  <c r="Q6" i="121"/>
  <c r="I54" i="126" l="1"/>
  <c r="I50" i="126"/>
  <c r="AA48" i="126"/>
  <c r="K48" i="126"/>
  <c r="AA44" i="126" s="1"/>
  <c r="U52" i="126"/>
  <c r="M54" i="126"/>
  <c r="M50" i="126"/>
  <c r="M56" i="126" s="1"/>
  <c r="C62" i="126"/>
  <c r="E62" i="126"/>
  <c r="AC46" i="126"/>
  <c r="U18" i="126"/>
  <c r="E54" i="126"/>
  <c r="U50" i="126" s="1"/>
  <c r="S50" i="126"/>
  <c r="S17" i="126"/>
  <c r="S19" i="126" s="1"/>
  <c r="S28" i="126"/>
  <c r="S27" i="126"/>
  <c r="C56" i="126"/>
  <c r="E50" i="126"/>
  <c r="G48" i="126"/>
  <c r="W44" i="126" s="1"/>
  <c r="G54" i="126"/>
  <c r="G50" i="126"/>
  <c r="Y29" i="126"/>
  <c r="I48" i="126"/>
  <c r="S52" i="126"/>
  <c r="W48" i="126"/>
  <c r="AC48" i="126" s="1"/>
  <c r="K50" i="126"/>
  <c r="K54" i="126"/>
  <c r="U44" i="126"/>
  <c r="AC48" i="125"/>
  <c r="W52" i="125"/>
  <c r="S54" i="125"/>
  <c r="S36" i="125"/>
  <c r="Y54" i="125"/>
  <c r="AA50" i="125"/>
  <c r="AC44" i="125"/>
  <c r="AA54" i="125"/>
  <c r="E50" i="125"/>
  <c r="E54" i="125"/>
  <c r="S22" i="125" s="1"/>
  <c r="G50" i="125"/>
  <c r="W27" i="125" s="1"/>
  <c r="G54" i="125"/>
  <c r="AA22" i="125"/>
  <c r="S34" i="125"/>
  <c r="S27" i="125"/>
  <c r="U46" i="125"/>
  <c r="AC46" i="125" s="1"/>
  <c r="Y34" i="125"/>
  <c r="Y36" i="125" s="1"/>
  <c r="W46" i="125"/>
  <c r="Y27" i="125"/>
  <c r="Y30" i="125" s="1"/>
  <c r="AA34" i="125"/>
  <c r="AA36" i="125" s="1"/>
  <c r="Y46" i="125"/>
  <c r="Y50" i="125"/>
  <c r="S17" i="125"/>
  <c r="S19" i="125" s="1"/>
  <c r="AA27" i="125"/>
  <c r="AA30" i="125" s="1"/>
  <c r="AA46" i="125"/>
  <c r="C40" i="124"/>
  <c r="C62" i="124" s="1"/>
  <c r="S48" i="124"/>
  <c r="Y50" i="124"/>
  <c r="S46" i="124"/>
  <c r="K56" i="124"/>
  <c r="AA27" i="124"/>
  <c r="AA28" i="124"/>
  <c r="AA17" i="124"/>
  <c r="AA19" i="124" s="1"/>
  <c r="AA29" i="124"/>
  <c r="S52" i="124"/>
  <c r="W28" i="124"/>
  <c r="W17" i="124"/>
  <c r="W19" i="124" s="1"/>
  <c r="G56" i="124"/>
  <c r="W29" i="124"/>
  <c r="W27" i="124"/>
  <c r="W30" i="124" s="1"/>
  <c r="U52" i="124"/>
  <c r="S50" i="124"/>
  <c r="S22" i="124"/>
  <c r="Y52" i="124"/>
  <c r="S45" i="124"/>
  <c r="AC45" i="124" s="1"/>
  <c r="C48" i="124"/>
  <c r="C50" i="124"/>
  <c r="E50" i="124"/>
  <c r="W45" i="124"/>
  <c r="W33" i="124"/>
  <c r="AA45" i="124"/>
  <c r="M50" i="124"/>
  <c r="M56" i="124" s="1"/>
  <c r="AA33" i="124"/>
  <c r="S44" i="124"/>
  <c r="AC44" i="124" s="1"/>
  <c r="W22" i="124"/>
  <c r="U46" i="124"/>
  <c r="U48" i="124"/>
  <c r="S29" i="124"/>
  <c r="E54" i="124"/>
  <c r="I50" i="124"/>
  <c r="K54" i="124"/>
  <c r="Y48" i="124"/>
  <c r="S27" i="124"/>
  <c r="AA46" i="124"/>
  <c r="AA48" i="124"/>
  <c r="W35" i="123"/>
  <c r="W33" i="123"/>
  <c r="W34" i="123"/>
  <c r="S27" i="123"/>
  <c r="S28" i="123"/>
  <c r="C56" i="123"/>
  <c r="S34" i="123" s="1"/>
  <c r="S17" i="123"/>
  <c r="AA48" i="123"/>
  <c r="K48" i="123"/>
  <c r="Y44" i="123" s="1"/>
  <c r="I54" i="123"/>
  <c r="I50" i="123"/>
  <c r="M50" i="123"/>
  <c r="M56" i="123" s="1"/>
  <c r="M48" i="123"/>
  <c r="W44" i="123"/>
  <c r="W45" i="123"/>
  <c r="AC45" i="123" s="1"/>
  <c r="K54" i="123"/>
  <c r="K50" i="123"/>
  <c r="C48" i="123"/>
  <c r="U43" i="123"/>
  <c r="Y52" i="123"/>
  <c r="W43" i="123"/>
  <c r="S50" i="123"/>
  <c r="S18" i="123"/>
  <c r="S33" i="123"/>
  <c r="U34" i="123"/>
  <c r="U50" i="123"/>
  <c r="U33" i="123"/>
  <c r="U18" i="123"/>
  <c r="W22" i="123"/>
  <c r="W50" i="123"/>
  <c r="W28" i="123"/>
  <c r="W27" i="123"/>
  <c r="W30" i="123" s="1"/>
  <c r="W17" i="123"/>
  <c r="W19" i="123" s="1"/>
  <c r="S43" i="123"/>
  <c r="AC43" i="123" s="1"/>
  <c r="S44" i="123"/>
  <c r="S29" i="123"/>
  <c r="S48" i="123"/>
  <c r="AC48" i="123" s="1"/>
  <c r="W29" i="123"/>
  <c r="U28" i="123"/>
  <c r="U27" i="123"/>
  <c r="U30" i="123" s="1"/>
  <c r="U17" i="123"/>
  <c r="U19" i="123" s="1"/>
  <c r="Y45" i="123"/>
  <c r="AA45" i="123"/>
  <c r="W48" i="123"/>
  <c r="AA27" i="122"/>
  <c r="Y52" i="122"/>
  <c r="AC52" i="122" s="1"/>
  <c r="U50" i="122"/>
  <c r="AA52" i="122"/>
  <c r="W50" i="122"/>
  <c r="S33" i="122"/>
  <c r="S34" i="122"/>
  <c r="S35" i="122"/>
  <c r="U22" i="122"/>
  <c r="S28" i="122"/>
  <c r="I50" i="122"/>
  <c r="I54" i="122"/>
  <c r="W22" i="122"/>
  <c r="K54" i="122"/>
  <c r="W28" i="122"/>
  <c r="W30" i="122" s="1"/>
  <c r="M50" i="122"/>
  <c r="M56" i="122" s="1"/>
  <c r="S50" i="122"/>
  <c r="U46" i="122"/>
  <c r="E56" i="122"/>
  <c r="U28" i="122"/>
  <c r="U30" i="122" s="1"/>
  <c r="K50" i="122"/>
  <c r="S44" i="122"/>
  <c r="AC44" i="122" s="1"/>
  <c r="S46" i="122"/>
  <c r="S17" i="122"/>
  <c r="S19" i="122" s="1"/>
  <c r="U29" i="122"/>
  <c r="G56" i="122"/>
  <c r="S48" i="121"/>
  <c r="AC48" i="121" s="1"/>
  <c r="S46" i="121"/>
  <c r="AC27" i="121"/>
  <c r="W30" i="121"/>
  <c r="Y35" i="121"/>
  <c r="Y34" i="121"/>
  <c r="Y33" i="121"/>
  <c r="Y50" i="121"/>
  <c r="AC45" i="121"/>
  <c r="Y30" i="121"/>
  <c r="AA35" i="121"/>
  <c r="AA34" i="121"/>
  <c r="AA33" i="121"/>
  <c r="AA50" i="121"/>
  <c r="W45" i="121"/>
  <c r="W17" i="121"/>
  <c r="W19" i="121" s="1"/>
  <c r="Y17" i="121"/>
  <c r="Y19" i="121" s="1"/>
  <c r="U28" i="121"/>
  <c r="U30" i="121" s="1"/>
  <c r="S44" i="121"/>
  <c r="AC44" i="121" s="1"/>
  <c r="S50" i="121"/>
  <c r="U50" i="121"/>
  <c r="Y22" i="121"/>
  <c r="Y28" i="121"/>
  <c r="C40" i="121"/>
  <c r="C62" i="121" s="1"/>
  <c r="W46" i="121"/>
  <c r="W50" i="121"/>
  <c r="C56" i="121"/>
  <c r="S17" i="121"/>
  <c r="S19" i="121" s="1"/>
  <c r="G56" i="121"/>
  <c r="AA17" i="121"/>
  <c r="AA19" i="121" s="1"/>
  <c r="AA22" i="121"/>
  <c r="AA28" i="121"/>
  <c r="AA30" i="121" s="1"/>
  <c r="Y46" i="121"/>
  <c r="Y48" i="121"/>
  <c r="E56" i="121"/>
  <c r="S28" i="121"/>
  <c r="S30" i="121" s="1"/>
  <c r="AA46" i="121"/>
  <c r="AA9" i="5"/>
  <c r="AD6" i="5"/>
  <c r="AD7" i="5"/>
  <c r="S35" i="126" l="1"/>
  <c r="S33" i="126"/>
  <c r="S34" i="126"/>
  <c r="S30" i="126"/>
  <c r="AA28" i="126"/>
  <c r="K56" i="126"/>
  <c r="AA17" i="126"/>
  <c r="AA19" i="126" s="1"/>
  <c r="AA29" i="126"/>
  <c r="AC50" i="126"/>
  <c r="AC52" i="126"/>
  <c r="W28" i="126"/>
  <c r="G56" i="126"/>
  <c r="W17" i="126"/>
  <c r="W19" i="126" s="1"/>
  <c r="W29" i="126"/>
  <c r="AA50" i="126"/>
  <c r="AA22" i="126"/>
  <c r="W22" i="126"/>
  <c r="W50" i="126"/>
  <c r="W27" i="126"/>
  <c r="W30" i="126" s="1"/>
  <c r="Y28" i="126"/>
  <c r="I56" i="126"/>
  <c r="Y17" i="126"/>
  <c r="Y19" i="126" s="1"/>
  <c r="S22" i="126"/>
  <c r="Y22" i="126"/>
  <c r="Y50" i="126"/>
  <c r="AA52" i="126"/>
  <c r="Y27" i="126"/>
  <c r="AA27" i="126"/>
  <c r="U22" i="126"/>
  <c r="U28" i="126"/>
  <c r="AC28" i="126" s="1"/>
  <c r="E56" i="126"/>
  <c r="U17" i="126"/>
  <c r="U19" i="126" s="1"/>
  <c r="U29" i="126"/>
  <c r="AC29" i="126" s="1"/>
  <c r="W52" i="126"/>
  <c r="Y44" i="126"/>
  <c r="AC44" i="126" s="1"/>
  <c r="U27" i="126"/>
  <c r="Y52" i="126"/>
  <c r="U52" i="125"/>
  <c r="AC52" i="125" s="1"/>
  <c r="W29" i="125"/>
  <c r="G56" i="125"/>
  <c r="W28" i="125"/>
  <c r="W30" i="125" s="1"/>
  <c r="W17" i="125"/>
  <c r="W19" i="125" s="1"/>
  <c r="U22" i="125"/>
  <c r="U50" i="125"/>
  <c r="AC50" i="125" s="1"/>
  <c r="U17" i="125"/>
  <c r="U19" i="125" s="1"/>
  <c r="U29" i="125"/>
  <c r="AC29" i="125" s="1"/>
  <c r="E56" i="125"/>
  <c r="U28" i="125"/>
  <c r="U27" i="125"/>
  <c r="AC27" i="125"/>
  <c r="S30" i="125"/>
  <c r="W22" i="125"/>
  <c r="W50" i="125"/>
  <c r="AA54" i="124"/>
  <c r="AA30" i="124"/>
  <c r="AA50" i="124"/>
  <c r="AA22" i="124"/>
  <c r="AA34" i="124"/>
  <c r="AA36" i="124" s="1"/>
  <c r="AA35" i="124"/>
  <c r="AC46" i="124"/>
  <c r="W36" i="124"/>
  <c r="W54" i="124"/>
  <c r="I56" i="124"/>
  <c r="Y27" i="124"/>
  <c r="Y28" i="124"/>
  <c r="Y17" i="124"/>
  <c r="Y19" i="124" s="1"/>
  <c r="Y29" i="124"/>
  <c r="W34" i="124"/>
  <c r="W35" i="124"/>
  <c r="AC27" i="124"/>
  <c r="Y22" i="124"/>
  <c r="U50" i="124"/>
  <c r="AC50" i="124" s="1"/>
  <c r="U22" i="124"/>
  <c r="E56" i="124"/>
  <c r="U17" i="124"/>
  <c r="U19" i="124" s="1"/>
  <c r="U28" i="124"/>
  <c r="U29" i="124"/>
  <c r="U27" i="124"/>
  <c r="U30" i="124" s="1"/>
  <c r="AA52" i="124"/>
  <c r="AC52" i="124" s="1"/>
  <c r="AC29" i="124"/>
  <c r="S17" i="124"/>
  <c r="S19" i="124" s="1"/>
  <c r="C56" i="124"/>
  <c r="S28" i="124"/>
  <c r="AC28" i="124" s="1"/>
  <c r="AC48" i="124"/>
  <c r="K56" i="123"/>
  <c r="AA28" i="123"/>
  <c r="AA17" i="123"/>
  <c r="AA19" i="123" s="1"/>
  <c r="AC44" i="123"/>
  <c r="S19" i="123"/>
  <c r="Y28" i="123"/>
  <c r="AC28" i="123" s="1"/>
  <c r="Y17" i="123"/>
  <c r="Y19" i="123" s="1"/>
  <c r="I56" i="123"/>
  <c r="Y29" i="123"/>
  <c r="AC29" i="123" s="1"/>
  <c r="AA44" i="123"/>
  <c r="Y22" i="123"/>
  <c r="Y50" i="123"/>
  <c r="AA22" i="123"/>
  <c r="AA50" i="123"/>
  <c r="S54" i="123"/>
  <c r="S36" i="123"/>
  <c r="AC50" i="123"/>
  <c r="AC27" i="123"/>
  <c r="S30" i="123"/>
  <c r="Y27" i="123"/>
  <c r="W54" i="123"/>
  <c r="W36" i="123"/>
  <c r="AA29" i="123"/>
  <c r="AA52" i="123"/>
  <c r="AC52" i="123" s="1"/>
  <c r="AA27" i="123"/>
  <c r="AA30" i="123" s="1"/>
  <c r="S35" i="123"/>
  <c r="U54" i="123"/>
  <c r="U36" i="123"/>
  <c r="AC29" i="122"/>
  <c r="S54" i="122"/>
  <c r="S36" i="122"/>
  <c r="W33" i="122"/>
  <c r="W34" i="122"/>
  <c r="W35" i="122"/>
  <c r="AA50" i="122"/>
  <c r="AA22" i="122"/>
  <c r="Y50" i="122"/>
  <c r="AC50" i="122" s="1"/>
  <c r="Y22" i="122"/>
  <c r="AA30" i="122"/>
  <c r="AC46" i="122"/>
  <c r="Y17" i="122"/>
  <c r="Y19" i="122" s="1"/>
  <c r="Y28" i="122"/>
  <c r="I56" i="122"/>
  <c r="Y29" i="122"/>
  <c r="Y27" i="122"/>
  <c r="K56" i="122"/>
  <c r="AA28" i="122"/>
  <c r="AA17" i="122"/>
  <c r="AA19" i="122" s="1"/>
  <c r="AA29" i="122"/>
  <c r="AC28" i="122"/>
  <c r="U34" i="122"/>
  <c r="U35" i="122"/>
  <c r="U33" i="122"/>
  <c r="S30" i="122"/>
  <c r="Y36" i="121"/>
  <c r="Y54" i="121"/>
  <c r="S35" i="121"/>
  <c r="S34" i="121"/>
  <c r="S33" i="121"/>
  <c r="W35" i="121"/>
  <c r="W33" i="121"/>
  <c r="W34" i="121"/>
  <c r="AC28" i="121"/>
  <c r="AC30" i="121" s="1"/>
  <c r="AA36" i="121"/>
  <c r="AA54" i="121"/>
  <c r="AC46" i="121"/>
  <c r="AC50" i="121"/>
  <c r="U33" i="121"/>
  <c r="U34" i="121"/>
  <c r="U35" i="121"/>
  <c r="AA3" i="5"/>
  <c r="U8" i="5" l="1"/>
  <c r="U23" i="5"/>
  <c r="U16" i="5"/>
  <c r="U14" i="5"/>
  <c r="U11" i="5"/>
  <c r="AA34" i="126"/>
  <c r="AA33" i="126"/>
  <c r="AA35" i="126"/>
  <c r="U30" i="126"/>
  <c r="W34" i="126"/>
  <c r="W35" i="126"/>
  <c r="W33" i="126"/>
  <c r="S54" i="126"/>
  <c r="S36" i="126"/>
  <c r="Y34" i="126"/>
  <c r="AC34" i="126" s="1"/>
  <c r="Y33" i="126"/>
  <c r="AC33" i="126" s="1"/>
  <c r="AC36" i="126" s="1"/>
  <c r="Y35" i="126"/>
  <c r="Y30" i="126"/>
  <c r="U35" i="126"/>
  <c r="AC35" i="126" s="1"/>
  <c r="U34" i="126"/>
  <c r="U33" i="126"/>
  <c r="AA30" i="126"/>
  <c r="AC27" i="126"/>
  <c r="AC30" i="126" s="1"/>
  <c r="W34" i="125"/>
  <c r="W35" i="125"/>
  <c r="W33" i="125"/>
  <c r="U30" i="125"/>
  <c r="AC28" i="125"/>
  <c r="AC30" i="125" s="1"/>
  <c r="U34" i="125"/>
  <c r="AC34" i="125" s="1"/>
  <c r="U35" i="125"/>
  <c r="AC35" i="125" s="1"/>
  <c r="U33" i="125"/>
  <c r="U35" i="124"/>
  <c r="U34" i="124"/>
  <c r="U33" i="124"/>
  <c r="S34" i="124"/>
  <c r="S35" i="124"/>
  <c r="S33" i="124"/>
  <c r="Y35" i="124"/>
  <c r="Y34" i="124"/>
  <c r="Y33" i="124"/>
  <c r="S30" i="124"/>
  <c r="AC30" i="124"/>
  <c r="Y30" i="124"/>
  <c r="AC30" i="123"/>
  <c r="Y34" i="123"/>
  <c r="Y33" i="123"/>
  <c r="Y35" i="123"/>
  <c r="AA34" i="123"/>
  <c r="AA35" i="123"/>
  <c r="AA33" i="123"/>
  <c r="AC35" i="123"/>
  <c r="Y30" i="123"/>
  <c r="Y30" i="122"/>
  <c r="AC27" i="122"/>
  <c r="AC30" i="122" s="1"/>
  <c r="W36" i="122"/>
  <c r="W54" i="122"/>
  <c r="Y34" i="122"/>
  <c r="AC34" i="122" s="1"/>
  <c r="Y35" i="122"/>
  <c r="AC35" i="122" s="1"/>
  <c r="Y33" i="122"/>
  <c r="U36" i="122"/>
  <c r="U54" i="122"/>
  <c r="AA34" i="122"/>
  <c r="AA35" i="122"/>
  <c r="AA33" i="122"/>
  <c r="W36" i="121"/>
  <c r="W54" i="121"/>
  <c r="S36" i="121"/>
  <c r="S54" i="121"/>
  <c r="AC33" i="121"/>
  <c r="AC35" i="121"/>
  <c r="AC34" i="121"/>
  <c r="U54" i="121"/>
  <c r="U36" i="121"/>
  <c r="W36" i="126" l="1"/>
  <c r="W54" i="126"/>
  <c r="Y36" i="126"/>
  <c r="Y54" i="126"/>
  <c r="U54" i="126"/>
  <c r="AC54" i="126" s="1"/>
  <c r="U36" i="126"/>
  <c r="AA54" i="126"/>
  <c r="AA36" i="126"/>
  <c r="U54" i="125"/>
  <c r="U36" i="125"/>
  <c r="AC33" i="125"/>
  <c r="AC36" i="125" s="1"/>
  <c r="W36" i="125"/>
  <c r="W54" i="125"/>
  <c r="Y54" i="124"/>
  <c r="Y36" i="124"/>
  <c r="AC35" i="124"/>
  <c r="S36" i="124"/>
  <c r="AC33" i="124"/>
  <c r="S54" i="124"/>
  <c r="AC34" i="124"/>
  <c r="U36" i="124"/>
  <c r="U54" i="124"/>
  <c r="AA36" i="123"/>
  <c r="AA54" i="123"/>
  <c r="AC34" i="123"/>
  <c r="Y54" i="123"/>
  <c r="AC54" i="123" s="1"/>
  <c r="Y36" i="123"/>
  <c r="AC33" i="123"/>
  <c r="AC36" i="123" s="1"/>
  <c r="Y36" i="122"/>
  <c r="Y54" i="122"/>
  <c r="AC54" i="122" s="1"/>
  <c r="AA54" i="122"/>
  <c r="AA36" i="122"/>
  <c r="AC33" i="122"/>
  <c r="AC36" i="122" s="1"/>
  <c r="AC36" i="121"/>
  <c r="AC54" i="121"/>
  <c r="C42" i="64"/>
  <c r="C41" i="64"/>
  <c r="C40" i="64"/>
  <c r="A13" i="28"/>
  <c r="A12" i="28"/>
  <c r="A11" i="28"/>
  <c r="AC54" i="125" l="1"/>
  <c r="AC54" i="124"/>
  <c r="AC36" i="124"/>
  <c r="C21" i="31" l="1"/>
  <c r="C1" i="119" l="1"/>
  <c r="D16" i="120" l="1"/>
  <c r="B16" i="120"/>
  <c r="A16" i="120"/>
  <c r="B11" i="120"/>
  <c r="C14" i="119" s="1"/>
  <c r="J8" i="120"/>
  <c r="F8" i="120"/>
  <c r="B1" i="120"/>
  <c r="B2" i="120" s="1"/>
  <c r="P32" i="119"/>
  <c r="P31" i="119"/>
  <c r="P30" i="119"/>
  <c r="P29" i="119"/>
  <c r="P28" i="119"/>
  <c r="P27" i="119"/>
  <c r="P26" i="119"/>
  <c r="P25" i="119"/>
  <c r="P24" i="119"/>
  <c r="P23" i="119"/>
  <c r="J17" i="120" a="1"/>
  <c r="F17" i="120" a="1"/>
  <c r="J19" i="120" a="1"/>
  <c r="F20" i="120" a="1"/>
  <c r="F22" i="120" a="1"/>
  <c r="F19" i="120" a="1"/>
  <c r="J22" i="120" a="1"/>
  <c r="J18" i="120" a="1"/>
  <c r="J20" i="120" a="1"/>
  <c r="F18" i="120" a="1"/>
  <c r="F19" i="120" l="1"/>
  <c r="F17" i="120"/>
  <c r="F20" i="120"/>
  <c r="F22" i="120"/>
  <c r="J20" i="120"/>
  <c r="J18" i="120"/>
  <c r="J17" i="120"/>
  <c r="F18" i="120"/>
  <c r="J22" i="120"/>
  <c r="J19" i="120"/>
  <c r="F16" i="120" a="1"/>
  <c r="J16" i="120" a="1"/>
  <c r="H22" i="120" l="1"/>
  <c r="H17" i="120"/>
  <c r="H20" i="120"/>
  <c r="H19" i="120"/>
  <c r="H18" i="120"/>
  <c r="J16" i="120"/>
  <c r="F16" i="120"/>
  <c r="B5" i="132" l="1"/>
  <c r="B9" i="132"/>
  <c r="B5" i="67"/>
  <c r="H6" i="64"/>
  <c r="J6" i="64" s="1"/>
  <c r="D7" i="62"/>
  <c r="F7" i="62" s="1"/>
  <c r="E7" i="66"/>
  <c r="G7" i="66" s="1"/>
  <c r="C8" i="70"/>
  <c r="B7" i="63"/>
  <c r="B9" i="67"/>
  <c r="B8" i="65"/>
  <c r="B3" i="65"/>
  <c r="F24" i="120"/>
  <c r="J24" i="120"/>
  <c r="H16" i="120"/>
  <c r="H24" i="120" l="1"/>
  <c r="D54" i="64"/>
  <c r="E42" i="27"/>
  <c r="B4" i="8" l="1"/>
  <c r="C4" i="8"/>
  <c r="D4" i="8"/>
  <c r="E4" i="8"/>
  <c r="F4" i="8"/>
  <c r="H4" i="8"/>
  <c r="H5" i="8" l="1"/>
  <c r="C5" i="8"/>
  <c r="F5" i="8"/>
  <c r="E5" i="8"/>
  <c r="D5" i="8"/>
  <c r="L21" i="120"/>
  <c r="E12" i="32"/>
  <c r="B5" i="8"/>
  <c r="L19" i="120"/>
  <c r="L20" i="120"/>
  <c r="L17" i="120"/>
  <c r="L22" i="120"/>
  <c r="L18" i="120"/>
  <c r="L16" i="120"/>
  <c r="P20" i="120" l="1"/>
  <c r="N20" i="120"/>
  <c r="P19" i="120"/>
  <c r="N19" i="120"/>
  <c r="P21" i="120"/>
  <c r="N21" i="120"/>
  <c r="P22" i="120"/>
  <c r="N22" i="120"/>
  <c r="P18" i="120"/>
  <c r="N18" i="120"/>
  <c r="P17" i="120"/>
  <c r="N17" i="120"/>
  <c r="L24" i="120"/>
  <c r="P16" i="120"/>
  <c r="N16" i="120"/>
  <c r="A10" i="70"/>
  <c r="C10" i="70" l="1"/>
  <c r="I10" i="70"/>
  <c r="G10" i="70"/>
  <c r="K10" i="70"/>
  <c r="E10" i="70"/>
  <c r="N24" i="120"/>
  <c r="N13" i="120" s="1"/>
  <c r="P13" i="120" s="1"/>
  <c r="E14" i="119" s="1"/>
  <c r="I14" i="119" s="1"/>
  <c r="K14" i="119" s="1"/>
  <c r="P24" i="120"/>
  <c r="E16" i="119" s="1"/>
  <c r="A60" i="70"/>
  <c r="I16" i="119" l="1"/>
  <c r="K16" i="119" s="1"/>
  <c r="M16" i="119" s="1"/>
  <c r="E38" i="119" s="1"/>
  <c r="G16" i="119"/>
  <c r="Y4" i="5" l="1"/>
  <c r="Y5" i="5"/>
  <c r="Y6" i="5"/>
  <c r="Y7" i="5"/>
  <c r="Y9" i="5"/>
  <c r="C1" i="14"/>
  <c r="B69" i="8" l="1"/>
  <c r="B71" i="8" s="1"/>
  <c r="F36" i="26"/>
  <c r="D36" i="26"/>
  <c r="H36" i="26" s="1"/>
  <c r="D35" i="26"/>
  <c r="D34" i="26"/>
  <c r="F32" i="26"/>
  <c r="B36" i="26"/>
  <c r="D37" i="26"/>
  <c r="D31" i="26"/>
  <c r="B32" i="26"/>
  <c r="F31" i="26"/>
  <c r="F37" i="26"/>
  <c r="D33" i="26"/>
  <c r="B37" i="26"/>
  <c r="B33" i="26"/>
  <c r="D32" i="26"/>
  <c r="F33" i="26"/>
  <c r="F35" i="26"/>
  <c r="B35" i="26"/>
  <c r="F34" i="26"/>
  <c r="B34" i="26"/>
  <c r="B31" i="26"/>
  <c r="K10" i="69"/>
  <c r="G10" i="69"/>
  <c r="F12" i="26"/>
  <c r="D12" i="26"/>
  <c r="H12" i="26" s="1"/>
  <c r="B12" i="26"/>
  <c r="I10" i="69"/>
  <c r="E10" i="69"/>
  <c r="C10" i="69"/>
  <c r="M11" i="24"/>
  <c r="J11" i="24"/>
  <c r="B13" i="29"/>
  <c r="I13" i="29"/>
  <c r="K13" i="29" s="1"/>
  <c r="E13" i="29"/>
  <c r="G13" i="29" s="1"/>
  <c r="G11" i="24"/>
  <c r="B11" i="24"/>
  <c r="B17" i="26"/>
  <c r="K14" i="69"/>
  <c r="B13" i="26"/>
  <c r="G11" i="69"/>
  <c r="M15" i="24"/>
  <c r="B16" i="24"/>
  <c r="E14" i="29"/>
  <c r="G14" i="29" s="1"/>
  <c r="B14" i="24"/>
  <c r="G12" i="24"/>
  <c r="B15" i="29"/>
  <c r="G12" i="69"/>
  <c r="K15" i="69"/>
  <c r="J15" i="24"/>
  <c r="J12" i="24"/>
  <c r="K12" i="69"/>
  <c r="C11" i="69"/>
  <c r="I12" i="69"/>
  <c r="I11" i="69"/>
  <c r="G14" i="24"/>
  <c r="E15" i="29"/>
  <c r="G15" i="29" s="1"/>
  <c r="M13" i="24"/>
  <c r="C15" i="69"/>
  <c r="I17" i="29"/>
  <c r="K17" i="29" s="1"/>
  <c r="E17" i="29"/>
  <c r="G17" i="29" s="1"/>
  <c r="E12" i="69"/>
  <c r="M14" i="24"/>
  <c r="I15" i="29"/>
  <c r="K15" i="29" s="1"/>
  <c r="G13" i="69"/>
  <c r="F13" i="26"/>
  <c r="G13" i="24"/>
  <c r="C13" i="69"/>
  <c r="B15" i="24"/>
  <c r="B14" i="29"/>
  <c r="D13" i="26"/>
  <c r="E15" i="69"/>
  <c r="G14" i="69"/>
  <c r="B14" i="26"/>
  <c r="I18" i="29"/>
  <c r="K18" i="29" s="1"/>
  <c r="B12" i="24"/>
  <c r="G16" i="24"/>
  <c r="F15" i="26"/>
  <c r="D15" i="26"/>
  <c r="H15" i="26" s="1"/>
  <c r="I13" i="69"/>
  <c r="D16" i="26"/>
  <c r="H16" i="26" s="1"/>
  <c r="B17" i="29"/>
  <c r="E14" i="69"/>
  <c r="E18" i="29"/>
  <c r="G18" i="29" s="1"/>
  <c r="G15" i="69"/>
  <c r="I15" i="69"/>
  <c r="F14" i="26"/>
  <c r="B18" i="29"/>
  <c r="D14" i="26"/>
  <c r="C12" i="69"/>
  <c r="F17" i="26"/>
  <c r="B16" i="29"/>
  <c r="B13" i="24"/>
  <c r="J16" i="24"/>
  <c r="K13" i="69"/>
  <c r="B15" i="26"/>
  <c r="E16" i="29"/>
  <c r="G16" i="29" s="1"/>
  <c r="I14" i="69"/>
  <c r="M12" i="24"/>
  <c r="C14" i="69"/>
  <c r="M16" i="24"/>
  <c r="F16" i="26"/>
  <c r="G15" i="24"/>
  <c r="J13" i="24"/>
  <c r="B16" i="26"/>
  <c r="I14" i="29"/>
  <c r="K14" i="29" s="1"/>
  <c r="D17" i="26"/>
  <c r="E11" i="69"/>
  <c r="J14" i="24"/>
  <c r="E13" i="69"/>
  <c r="K11" i="69"/>
  <c r="I16" i="29"/>
  <c r="K16" i="29" s="1"/>
  <c r="U5" i="5"/>
  <c r="Y3" i="5"/>
  <c r="H14" i="26" l="1"/>
  <c r="H33" i="26"/>
  <c r="H13" i="26"/>
  <c r="H34" i="26"/>
  <c r="H35" i="26"/>
  <c r="H37" i="26"/>
  <c r="H17" i="26"/>
  <c r="H32" i="26"/>
  <c r="D15" i="24"/>
  <c r="V15" i="24" s="1"/>
  <c r="D13" i="24"/>
  <c r="D16" i="24"/>
  <c r="D14" i="24"/>
  <c r="V14" i="24" s="1"/>
  <c r="D11" i="24"/>
  <c r="V11" i="24" s="1"/>
  <c r="D12" i="24"/>
  <c r="H31" i="26"/>
  <c r="V16" i="24" l="1"/>
  <c r="V12" i="24"/>
  <c r="V13" i="24"/>
  <c r="H41" i="26"/>
  <c r="H39" i="26"/>
  <c r="H43" i="26" l="1"/>
  <c r="C16" i="119" l="1"/>
  <c r="B15" i="120"/>
  <c r="B13" i="120" s="1"/>
  <c r="B3" i="120"/>
  <c r="F32" i="120" s="1"/>
  <c r="E4" i="35" l="1"/>
  <c r="G4" i="35" s="1"/>
  <c r="A4" i="32"/>
  <c r="A3" i="31"/>
  <c r="B3" i="29"/>
  <c r="B3" i="24"/>
  <c r="G6" i="27"/>
  <c r="I6" i="27" s="1"/>
  <c r="E5" i="31" l="1"/>
  <c r="G5" i="31" s="1"/>
  <c r="E6" i="32"/>
  <c r="G6" i="32" s="1"/>
  <c r="B5" i="26"/>
  <c r="B3" i="63"/>
  <c r="A5" i="62"/>
  <c r="A5" i="66" l="1"/>
  <c r="B3" i="132" s="1"/>
  <c r="D10" i="34" l="1"/>
  <c r="D8" i="34"/>
  <c r="F1034" i="107" l="1"/>
  <c r="AB21" i="107"/>
  <c r="Z21" i="107"/>
  <c r="AA7" i="5" l="1"/>
  <c r="AD5" i="5"/>
  <c r="AA5" i="5"/>
  <c r="AD4" i="5" l="1"/>
  <c r="AA4" i="5"/>
  <c r="Z7" i="5"/>
  <c r="AB7" i="5"/>
  <c r="AC7" i="5"/>
  <c r="AE7" i="5"/>
  <c r="AA6" i="5"/>
  <c r="AD3" i="5"/>
  <c r="Z4" i="5" l="1"/>
  <c r="AB4" i="5"/>
  <c r="AC9" i="5"/>
  <c r="AE9" i="5"/>
  <c r="AC4" i="5"/>
  <c r="AE4" i="5"/>
  <c r="Z5" i="5"/>
  <c r="AB5" i="5"/>
  <c r="AE5" i="5"/>
  <c r="AC5" i="5"/>
  <c r="Z9" i="5"/>
  <c r="AB9" i="5"/>
  <c r="Z6" i="5"/>
  <c r="AB6" i="5"/>
  <c r="AC6" i="5"/>
  <c r="AE6" i="5"/>
  <c r="AC3" i="5"/>
  <c r="AE3" i="5"/>
  <c r="AB3" i="5"/>
  <c r="Z3" i="5"/>
  <c r="D7" i="65" l="1"/>
  <c r="A11" i="67" l="1"/>
  <c r="F42" i="64"/>
  <c r="F41" i="64"/>
  <c r="F40" i="64"/>
  <c r="D42" i="64"/>
  <c r="D41" i="64"/>
  <c r="D40" i="64"/>
  <c r="H25" i="64"/>
  <c r="H26" i="64"/>
  <c r="H27" i="64"/>
  <c r="H28" i="64"/>
  <c r="H29" i="64"/>
  <c r="H30" i="64"/>
  <c r="H31" i="64"/>
  <c r="H24" i="64"/>
  <c r="E25" i="64"/>
  <c r="E26" i="64"/>
  <c r="E27" i="64"/>
  <c r="E28" i="64"/>
  <c r="E29" i="64"/>
  <c r="E30" i="64"/>
  <c r="E31" i="64"/>
  <c r="E24" i="64"/>
  <c r="A10" i="65"/>
  <c r="H8" i="65"/>
  <c r="H7" i="65"/>
  <c r="H6" i="65"/>
  <c r="A9" i="63"/>
  <c r="C70" i="63"/>
  <c r="B1" i="67"/>
  <c r="A1" i="66"/>
  <c r="B1" i="65"/>
  <c r="A1" i="64"/>
  <c r="B1" i="63"/>
  <c r="A1" i="62"/>
  <c r="H41" i="64" l="1"/>
  <c r="H42" i="64"/>
  <c r="B10" i="65"/>
  <c r="H10" i="65"/>
  <c r="D10" i="65"/>
  <c r="F10" i="65" s="1"/>
  <c r="F60" i="65" s="1"/>
  <c r="D60" i="65" s="1"/>
  <c r="D11" i="67"/>
  <c r="B11" i="67"/>
  <c r="F11" i="67"/>
  <c r="J9" i="63"/>
  <c r="B9" i="63"/>
  <c r="G9" i="63"/>
  <c r="M9" i="63"/>
  <c r="A60" i="65"/>
  <c r="A61" i="67"/>
  <c r="A59" i="63"/>
  <c r="P9" i="63" l="1"/>
  <c r="J10" i="65"/>
  <c r="J60" i="65" s="1"/>
  <c r="H60" i="65" s="1"/>
  <c r="H11" i="67"/>
  <c r="H63" i="67" l="1"/>
  <c r="H61" i="67"/>
  <c r="D61" i="64"/>
  <c r="D62" i="64" l="1"/>
  <c r="C35" i="64" s="1" a="1"/>
  <c r="C35" i="64" s="1"/>
  <c r="H65" i="67"/>
  <c r="E21" i="66" s="1"/>
  <c r="G21" i="66" l="1"/>
  <c r="G44" i="64"/>
  <c r="A9" i="69"/>
  <c r="C4" i="70"/>
  <c r="C62" i="70" s="1"/>
  <c r="C7" i="69"/>
  <c r="A6" i="68"/>
  <c r="A3" i="68"/>
  <c r="C1" i="70"/>
  <c r="E29" i="69"/>
  <c r="A23" i="68" s="1"/>
  <c r="C1" i="69"/>
  <c r="A1" i="68"/>
  <c r="N11" i="25"/>
  <c r="N10" i="25"/>
  <c r="G9" i="69" l="1"/>
  <c r="G17" i="69" s="1"/>
  <c r="I9" i="69"/>
  <c r="I17" i="69" s="1"/>
  <c r="E9" i="69"/>
  <c r="E17" i="69" s="1"/>
  <c r="K9" i="69"/>
  <c r="K17" i="69" s="1"/>
  <c r="C9" i="69"/>
  <c r="E62" i="70" l="1"/>
  <c r="I60" i="70"/>
  <c r="G60" i="70"/>
  <c r="I62" i="70"/>
  <c r="K60" i="70"/>
  <c r="E20" i="69"/>
  <c r="G62" i="70"/>
  <c r="D19" i="68" l="1"/>
  <c r="F19" i="68" s="1"/>
  <c r="G19" i="69"/>
  <c r="K62" i="70"/>
  <c r="E19" i="69"/>
  <c r="E25" i="69"/>
  <c r="E27" i="69" l="1"/>
  <c r="A12" i="68"/>
  <c r="B19" i="68"/>
  <c r="G23" i="69" l="1"/>
  <c r="E23" i="69"/>
  <c r="B3" i="67"/>
  <c r="B20" i="25"/>
  <c r="A8" i="68" l="1"/>
  <c r="H40" i="64"/>
  <c r="H33" i="64"/>
  <c r="H43" i="64"/>
  <c r="H44" i="64" s="1"/>
  <c r="H12" i="64" s="1"/>
  <c r="H9" i="64" l="1"/>
  <c r="H15" i="64" s="1"/>
  <c r="J12" i="64"/>
  <c r="J9" i="64" l="1"/>
  <c r="J15" i="64"/>
  <c r="E12" i="33" l="1"/>
  <c r="N18" i="25" l="1"/>
  <c r="E13" i="66"/>
  <c r="D9" i="63" l="1"/>
  <c r="S9" i="63" l="1"/>
  <c r="V9" i="63" s="1"/>
  <c r="X59" i="63" l="1"/>
  <c r="X61" i="63"/>
  <c r="Z9" i="63"/>
  <c r="Z10" i="63"/>
  <c r="Z12" i="63" l="1"/>
  <c r="Z11" i="63"/>
  <c r="W45" i="63" l="1"/>
  <c r="W44" i="63"/>
  <c r="W54" i="63"/>
  <c r="W57" i="63"/>
  <c r="W19" i="63"/>
  <c r="W30" i="63"/>
  <c r="W33" i="63"/>
  <c r="W43" i="63"/>
  <c r="W31" i="63"/>
  <c r="W32" i="63"/>
  <c r="W21" i="63"/>
  <c r="W18" i="63"/>
  <c r="W13" i="63"/>
  <c r="W39" i="63"/>
  <c r="W50" i="63"/>
  <c r="W51" i="63"/>
  <c r="W38" i="63"/>
  <c r="W17" i="63"/>
  <c r="W52" i="63"/>
  <c r="W34" i="63"/>
  <c r="W14" i="63"/>
  <c r="W29" i="63"/>
  <c r="W36" i="63"/>
  <c r="W23" i="63"/>
  <c r="W35" i="63"/>
  <c r="W26" i="63"/>
  <c r="W25" i="63"/>
  <c r="W53" i="63"/>
  <c r="W47" i="63"/>
  <c r="W37" i="63"/>
  <c r="W49" i="63"/>
  <c r="W24" i="63"/>
  <c r="W40" i="63"/>
  <c r="W28" i="63"/>
  <c r="W48" i="63"/>
  <c r="W15" i="63"/>
  <c r="W22" i="63"/>
  <c r="W27" i="63"/>
  <c r="W11" i="63"/>
  <c r="W12" i="63"/>
  <c r="W10" i="63"/>
  <c r="V61" i="63" a="1"/>
  <c r="V61" i="63" s="1"/>
  <c r="W9" i="63"/>
  <c r="V59" i="63"/>
  <c r="S41" i="18"/>
  <c r="S42" i="18"/>
  <c r="S43" i="18"/>
  <c r="S44" i="18"/>
  <c r="S45" i="18"/>
  <c r="S46" i="18"/>
  <c r="S47" i="18"/>
  <c r="S48" i="18"/>
  <c r="S49" i="18"/>
  <c r="S50" i="18"/>
  <c r="S51" i="18"/>
  <c r="S52" i="18"/>
  <c r="S53" i="18"/>
  <c r="S54" i="18"/>
  <c r="S55" i="18"/>
  <c r="S56" i="18"/>
  <c r="S57" i="18"/>
  <c r="S58" i="18"/>
  <c r="S59" i="18"/>
  <c r="S60" i="18"/>
  <c r="S61" i="18"/>
  <c r="S62" i="18"/>
  <c r="S63" i="18"/>
  <c r="S64" i="18"/>
  <c r="S65" i="18"/>
  <c r="S66" i="18"/>
  <c r="S67" i="18"/>
  <c r="S68" i="18"/>
  <c r="S69" i="18"/>
  <c r="S70" i="18"/>
  <c r="S71" i="18"/>
  <c r="S72" i="18"/>
  <c r="S73" i="18"/>
  <c r="S74" i="18"/>
  <c r="S75" i="18"/>
  <c r="S76" i="18"/>
  <c r="S77" i="18"/>
  <c r="S78" i="18"/>
  <c r="S79" i="18"/>
  <c r="S80" i="18"/>
  <c r="S81" i="18"/>
  <c r="S82" i="18"/>
  <c r="S83" i="18"/>
  <c r="S84" i="18"/>
  <c r="S85" i="18"/>
  <c r="S86" i="18"/>
  <c r="S87" i="18"/>
  <c r="S88" i="18"/>
  <c r="S89" i="18"/>
  <c r="S90" i="18"/>
  <c r="S91" i="18"/>
  <c r="S92" i="18"/>
  <c r="S93" i="18"/>
  <c r="S94" i="18"/>
  <c r="S95" i="18"/>
  <c r="S96" i="18"/>
  <c r="S97" i="18"/>
  <c r="S98" i="18"/>
  <c r="S99" i="18"/>
  <c r="S100" i="18"/>
  <c r="S101" i="18"/>
  <c r="S102" i="18"/>
  <c r="S103" i="18"/>
  <c r="S104" i="18"/>
  <c r="S105" i="18"/>
  <c r="S106" i="18"/>
  <c r="S107" i="18"/>
  <c r="S108" i="18"/>
  <c r="S109" i="18"/>
  <c r="S110" i="18"/>
  <c r="S111" i="18"/>
  <c r="S112" i="18"/>
  <c r="S113" i="18"/>
  <c r="S114" i="18"/>
  <c r="S115" i="18"/>
  <c r="S116" i="18"/>
  <c r="S117" i="18"/>
  <c r="S118" i="18"/>
  <c r="S119" i="18"/>
  <c r="S120" i="18"/>
  <c r="S121" i="18"/>
  <c r="S122" i="18"/>
  <c r="S123" i="18"/>
  <c r="S124" i="18"/>
  <c r="S125" i="18"/>
  <c r="S126" i="18"/>
  <c r="S127" i="18"/>
  <c r="S128" i="18"/>
  <c r="S129" i="18"/>
  <c r="S130" i="18"/>
  <c r="S131" i="18"/>
  <c r="S132" i="18"/>
  <c r="S133" i="18"/>
  <c r="S134" i="18"/>
  <c r="S135" i="18"/>
  <c r="S136" i="18"/>
  <c r="S137" i="18"/>
  <c r="S138" i="18"/>
  <c r="S139" i="18"/>
  <c r="S140" i="18"/>
  <c r="S141" i="18"/>
  <c r="S142" i="18"/>
  <c r="S143" i="18"/>
  <c r="S144" i="18"/>
  <c r="S145" i="18"/>
  <c r="S146" i="18"/>
  <c r="S147" i="18"/>
  <c r="S148" i="18"/>
  <c r="S149" i="18"/>
  <c r="S150" i="18"/>
  <c r="S151" i="18"/>
  <c r="S152" i="18"/>
  <c r="S153" i="18"/>
  <c r="S154" i="18"/>
  <c r="S155" i="18"/>
  <c r="S156" i="18"/>
  <c r="S157" i="18"/>
  <c r="S158" i="18"/>
  <c r="S159" i="18"/>
  <c r="S160" i="18"/>
  <c r="S161" i="18"/>
  <c r="S162" i="18"/>
  <c r="S163" i="18"/>
  <c r="S164" i="18"/>
  <c r="S165" i="18"/>
  <c r="S166" i="18"/>
  <c r="S167" i="18"/>
  <c r="S168" i="18"/>
  <c r="S169" i="18"/>
  <c r="S170" i="18"/>
  <c r="S171" i="18"/>
  <c r="S172" i="18"/>
  <c r="S173" i="18"/>
  <c r="S174" i="18"/>
  <c r="S175" i="18"/>
  <c r="S176" i="18"/>
  <c r="S177" i="18"/>
  <c r="S178" i="18"/>
  <c r="S179" i="18"/>
  <c r="S180" i="18"/>
  <c r="S181" i="18"/>
  <c r="S182" i="18"/>
  <c r="S183" i="18"/>
  <c r="S184" i="18"/>
  <c r="S185" i="18"/>
  <c r="S186" i="18"/>
  <c r="S187" i="18"/>
  <c r="S188" i="18"/>
  <c r="S189" i="18"/>
  <c r="S190" i="18"/>
  <c r="S191" i="18"/>
  <c r="S192" i="18"/>
  <c r="S193" i="18"/>
  <c r="S194" i="18"/>
  <c r="S195" i="18"/>
  <c r="S196" i="18"/>
  <c r="S197" i="18"/>
  <c r="S198" i="18"/>
  <c r="S199" i="18"/>
  <c r="S200" i="18"/>
  <c r="S201" i="18"/>
  <c r="S202" i="18"/>
  <c r="S203" i="18"/>
  <c r="S204" i="18"/>
  <c r="S205" i="18"/>
  <c r="S206" i="18"/>
  <c r="S207" i="18"/>
  <c r="S208" i="18"/>
  <c r="S209" i="18"/>
  <c r="S210" i="18"/>
  <c r="S211" i="18"/>
  <c r="S212" i="18"/>
  <c r="S213" i="18"/>
  <c r="S214" i="18"/>
  <c r="S215" i="18"/>
  <c r="S216" i="18"/>
  <c r="S217" i="18"/>
  <c r="S218" i="18"/>
  <c r="S219" i="18"/>
  <c r="S220" i="18"/>
  <c r="S221" i="18"/>
  <c r="S222" i="18"/>
  <c r="S223" i="18"/>
  <c r="S224" i="18"/>
  <c r="S225" i="18"/>
  <c r="S226" i="18"/>
  <c r="S227" i="18"/>
  <c r="S228" i="18"/>
  <c r="S229" i="18"/>
  <c r="S230" i="18"/>
  <c r="S231" i="18"/>
  <c r="S232" i="18"/>
  <c r="S233" i="18"/>
  <c r="S234" i="18"/>
  <c r="S235" i="18"/>
  <c r="S236" i="18"/>
  <c r="S237" i="18"/>
  <c r="S238" i="18"/>
  <c r="S239" i="18"/>
  <c r="S240" i="18"/>
  <c r="S241" i="18"/>
  <c r="S242" i="18"/>
  <c r="S243" i="18"/>
  <c r="S244" i="18"/>
  <c r="S245" i="18"/>
  <c r="S246" i="18"/>
  <c r="S247" i="18"/>
  <c r="S248" i="18"/>
  <c r="S249" i="18"/>
  <c r="S250" i="18"/>
  <c r="S251" i="18"/>
  <c r="S252" i="18"/>
  <c r="S253" i="18"/>
  <c r="S254" i="18"/>
  <c r="S255" i="18"/>
  <c r="S256" i="18"/>
  <c r="S257" i="18"/>
  <c r="S258" i="18"/>
  <c r="S259" i="18"/>
  <c r="S260" i="18"/>
  <c r="S261" i="18"/>
  <c r="S262" i="18"/>
  <c r="S263" i="18"/>
  <c r="S264" i="18"/>
  <c r="S265" i="18"/>
  <c r="S266" i="18"/>
  <c r="S267" i="18"/>
  <c r="S268" i="18"/>
  <c r="S269" i="18"/>
  <c r="S270" i="18"/>
  <c r="S271" i="18"/>
  <c r="S272" i="18"/>
  <c r="S273" i="18"/>
  <c r="S274" i="18"/>
  <c r="S275" i="18"/>
  <c r="S276" i="18"/>
  <c r="S277" i="18"/>
  <c r="S278" i="18"/>
  <c r="S279" i="18"/>
  <c r="S280" i="18"/>
  <c r="S281" i="18"/>
  <c r="S282" i="18"/>
  <c r="S283" i="18"/>
  <c r="S284" i="18"/>
  <c r="S285" i="18"/>
  <c r="S286" i="18"/>
  <c r="S287" i="18"/>
  <c r="S288" i="18"/>
  <c r="S289" i="18"/>
  <c r="S290" i="18"/>
  <c r="S291" i="18"/>
  <c r="S292" i="18"/>
  <c r="S293" i="18"/>
  <c r="S294" i="18"/>
  <c r="S295" i="18"/>
  <c r="S296" i="18"/>
  <c r="S297" i="18"/>
  <c r="S298" i="18"/>
  <c r="S299" i="18"/>
  <c r="S300" i="18"/>
  <c r="S301" i="18"/>
  <c r="S302" i="18"/>
  <c r="S303" i="18"/>
  <c r="S304" i="18"/>
  <c r="S305" i="18"/>
  <c r="S306" i="18"/>
  <c r="S307" i="18"/>
  <c r="S308" i="18"/>
  <c r="S309" i="18"/>
  <c r="S310" i="18"/>
  <c r="S311" i="18"/>
  <c r="S312" i="18"/>
  <c r="S313" i="18"/>
  <c r="S314" i="18"/>
  <c r="S315" i="18"/>
  <c r="S316" i="18"/>
  <c r="S317" i="18"/>
  <c r="S318" i="18"/>
  <c r="S319" i="18"/>
  <c r="S320" i="18"/>
  <c r="S321" i="18"/>
  <c r="S322" i="18"/>
  <c r="S323" i="18"/>
  <c r="S324" i="18"/>
  <c r="S325" i="18"/>
  <c r="S326" i="18"/>
  <c r="S327" i="18"/>
  <c r="S328" i="18"/>
  <c r="S329" i="18"/>
  <c r="S330" i="18"/>
  <c r="S331" i="18"/>
  <c r="S332" i="18"/>
  <c r="S333" i="18"/>
  <c r="S334" i="18"/>
  <c r="S335" i="18"/>
  <c r="S336" i="18"/>
  <c r="S337" i="18"/>
  <c r="S338" i="18"/>
  <c r="S339" i="18"/>
  <c r="S340" i="18"/>
  <c r="S341" i="18"/>
  <c r="S342" i="18"/>
  <c r="S343" i="18"/>
  <c r="S344" i="18"/>
  <c r="S345" i="18"/>
  <c r="S346" i="18"/>
  <c r="S347" i="18"/>
  <c r="S348" i="18"/>
  <c r="S349" i="18"/>
  <c r="S350" i="18"/>
  <c r="S351" i="18"/>
  <c r="S352" i="18"/>
  <c r="S353" i="18"/>
  <c r="S354" i="18"/>
  <c r="S355" i="18"/>
  <c r="S356" i="18"/>
  <c r="S357" i="18"/>
  <c r="S358" i="18"/>
  <c r="S359" i="18"/>
  <c r="S360" i="18"/>
  <c r="S361" i="18"/>
  <c r="S362" i="18"/>
  <c r="S363" i="18"/>
  <c r="S364" i="18"/>
  <c r="S365" i="18"/>
  <c r="S366" i="18"/>
  <c r="S367" i="18"/>
  <c r="S368" i="18"/>
  <c r="S369" i="18"/>
  <c r="S370" i="18"/>
  <c r="S371" i="18"/>
  <c r="S372" i="18"/>
  <c r="S373" i="18"/>
  <c r="S374" i="18"/>
  <c r="S375" i="18"/>
  <c r="S376" i="18"/>
  <c r="S377" i="18"/>
  <c r="S378" i="18"/>
  <c r="S379" i="18"/>
  <c r="S380" i="18"/>
  <c r="S381" i="18"/>
  <c r="S382" i="18"/>
  <c r="S383" i="18"/>
  <c r="S384" i="18"/>
  <c r="S385" i="18"/>
  <c r="S386" i="18"/>
  <c r="S387" i="18"/>
  <c r="S388" i="18"/>
  <c r="S389" i="18"/>
  <c r="S390" i="18"/>
  <c r="S391" i="18"/>
  <c r="S392" i="18"/>
  <c r="S393" i="18"/>
  <c r="S394" i="18"/>
  <c r="S395" i="18"/>
  <c r="S396" i="18"/>
  <c r="S397" i="18"/>
  <c r="S398" i="18"/>
  <c r="S399" i="18"/>
  <c r="S400" i="18"/>
  <c r="S401" i="18"/>
  <c r="S402" i="18"/>
  <c r="S403" i="18"/>
  <c r="S404" i="18"/>
  <c r="S405" i="18"/>
  <c r="S406" i="18"/>
  <c r="S407" i="18"/>
  <c r="S408" i="18"/>
  <c r="S409" i="18"/>
  <c r="S410" i="18"/>
  <c r="S411" i="18"/>
  <c r="S412" i="18"/>
  <c r="S413" i="18"/>
  <c r="S414" i="18"/>
  <c r="S415" i="18"/>
  <c r="S416" i="18"/>
  <c r="S417" i="18"/>
  <c r="S418" i="18"/>
  <c r="S419" i="18"/>
  <c r="S420" i="18"/>
  <c r="S421" i="18"/>
  <c r="S422" i="18"/>
  <c r="S423" i="18"/>
  <c r="S424" i="18"/>
  <c r="S425" i="18"/>
  <c r="S426" i="18"/>
  <c r="S427" i="18"/>
  <c r="S428" i="18"/>
  <c r="S429" i="18"/>
  <c r="S430" i="18"/>
  <c r="S431" i="18"/>
  <c r="S432" i="18"/>
  <c r="S433" i="18"/>
  <c r="S434" i="18"/>
  <c r="S435" i="18"/>
  <c r="S436" i="18"/>
  <c r="S437" i="18"/>
  <c r="S438" i="18"/>
  <c r="S439" i="18"/>
  <c r="S440" i="18"/>
  <c r="S441" i="18"/>
  <c r="S442" i="18"/>
  <c r="S443" i="18"/>
  <c r="S444" i="18"/>
  <c r="S445" i="18"/>
  <c r="S446" i="18"/>
  <c r="S447" i="18"/>
  <c r="S448" i="18"/>
  <c r="S449" i="18"/>
  <c r="S450" i="18"/>
  <c r="S451" i="18"/>
  <c r="S452" i="18"/>
  <c r="S453" i="18"/>
  <c r="S454" i="18"/>
  <c r="S455" i="18"/>
  <c r="S456" i="18"/>
  <c r="S457" i="18"/>
  <c r="S458" i="18"/>
  <c r="S459" i="18"/>
  <c r="S460" i="18"/>
  <c r="S461" i="18"/>
  <c r="S462" i="18"/>
  <c r="S463" i="18"/>
  <c r="S464" i="18"/>
  <c r="S465" i="18"/>
  <c r="S466" i="18"/>
  <c r="S467" i="18"/>
  <c r="S468" i="18"/>
  <c r="S469" i="18"/>
  <c r="S470" i="18"/>
  <c r="S471" i="18"/>
  <c r="S472" i="18"/>
  <c r="S473" i="18"/>
  <c r="S474" i="18"/>
  <c r="S475" i="18"/>
  <c r="S476" i="18"/>
  <c r="S477" i="18"/>
  <c r="S478" i="18"/>
  <c r="S479" i="18"/>
  <c r="S480" i="18"/>
  <c r="S481" i="18"/>
  <c r="S482" i="18"/>
  <c r="S483" i="18"/>
  <c r="S484" i="18"/>
  <c r="S485" i="18"/>
  <c r="S486" i="18"/>
  <c r="S487" i="18"/>
  <c r="S488" i="18"/>
  <c r="S489" i="18"/>
  <c r="S490" i="18"/>
  <c r="S491" i="18"/>
  <c r="S492" i="18"/>
  <c r="S493" i="18"/>
  <c r="S494" i="18"/>
  <c r="S495" i="18"/>
  <c r="S496" i="18"/>
  <c r="S497" i="18"/>
  <c r="S498" i="18"/>
  <c r="S499" i="18"/>
  <c r="S500" i="18"/>
  <c r="S501" i="18"/>
  <c r="S502" i="18"/>
  <c r="S503" i="18"/>
  <c r="S504" i="18"/>
  <c r="S505" i="18"/>
  <c r="S506"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537" i="18"/>
  <c r="S538" i="18"/>
  <c r="S539" i="18"/>
  <c r="S540" i="18"/>
  <c r="S541" i="18"/>
  <c r="S542" i="18"/>
  <c r="S543" i="18"/>
  <c r="S544" i="18"/>
  <c r="S545" i="18"/>
  <c r="S546" i="18"/>
  <c r="S547" i="18"/>
  <c r="S548" i="18"/>
  <c r="S549" i="18"/>
  <c r="S550" i="18"/>
  <c r="S551" i="18"/>
  <c r="S552" i="18"/>
  <c r="S553" i="18"/>
  <c r="S554" i="18"/>
  <c r="S555" i="18"/>
  <c r="S556" i="18"/>
  <c r="S557" i="18"/>
  <c r="S558" i="18"/>
  <c r="S559" i="18"/>
  <c r="S560" i="18"/>
  <c r="S561" i="18"/>
  <c r="S562" i="18"/>
  <c r="S563" i="18"/>
  <c r="S564" i="18"/>
  <c r="S565" i="18"/>
  <c r="S566" i="18"/>
  <c r="S567" i="18"/>
  <c r="S568" i="18"/>
  <c r="S569" i="18"/>
  <c r="S570" i="18"/>
  <c r="S571" i="18"/>
  <c r="S572" i="18"/>
  <c r="S573" i="18"/>
  <c r="S574" i="18"/>
  <c r="S575" i="18"/>
  <c r="S576" i="18"/>
  <c r="S577" i="18"/>
  <c r="S578" i="18"/>
  <c r="S579" i="18"/>
  <c r="S580" i="18"/>
  <c r="S581" i="18"/>
  <c r="S582" i="18"/>
  <c r="S583" i="18"/>
  <c r="S584" i="18"/>
  <c r="S585" i="18"/>
  <c r="S586" i="18"/>
  <c r="S587" i="18"/>
  <c r="S588" i="18"/>
  <c r="S589" i="18"/>
  <c r="S590" i="18"/>
  <c r="S591" i="18"/>
  <c r="S592" i="18"/>
  <c r="S593" i="18"/>
  <c r="S594" i="18"/>
  <c r="S595" i="18"/>
  <c r="S596" i="18"/>
  <c r="S597" i="18"/>
  <c r="S598" i="18"/>
  <c r="S599" i="18"/>
  <c r="S600" i="18"/>
  <c r="S601" i="18"/>
  <c r="S602" i="18"/>
  <c r="S603" i="18"/>
  <c r="S604" i="18"/>
  <c r="S605" i="18"/>
  <c r="S606" i="18"/>
  <c r="S607" i="18"/>
  <c r="S608" i="18"/>
  <c r="S609" i="18"/>
  <c r="S610" i="18"/>
  <c r="S611" i="18"/>
  <c r="S612" i="18"/>
  <c r="S613" i="18"/>
  <c r="S614" i="18"/>
  <c r="S615" i="18"/>
  <c r="S616" i="18"/>
  <c r="S617" i="18"/>
  <c r="S618" i="18"/>
  <c r="S619" i="18"/>
  <c r="S620" i="18"/>
  <c r="S621" i="18"/>
  <c r="S622" i="18"/>
  <c r="S623" i="18"/>
  <c r="S624" i="18"/>
  <c r="S625" i="18"/>
  <c r="S626" i="18"/>
  <c r="S627" i="18"/>
  <c r="S628" i="18"/>
  <c r="S629" i="18"/>
  <c r="S630" i="18"/>
  <c r="S631" i="18"/>
  <c r="S632" i="18"/>
  <c r="S633" i="18"/>
  <c r="S634" i="18"/>
  <c r="S635" i="18"/>
  <c r="S636" i="18"/>
  <c r="S637" i="18"/>
  <c r="S638" i="18"/>
  <c r="S639" i="18"/>
  <c r="S640" i="18"/>
  <c r="S641" i="18"/>
  <c r="S642" i="18"/>
  <c r="S643" i="18"/>
  <c r="S644" i="18"/>
  <c r="S645" i="18"/>
  <c r="S646" i="18"/>
  <c r="S647" i="18"/>
  <c r="S648" i="18"/>
  <c r="S649" i="18"/>
  <c r="S650" i="18"/>
  <c r="S651" i="18"/>
  <c r="S652" i="18"/>
  <c r="S653" i="18"/>
  <c r="S654" i="18"/>
  <c r="S655" i="18"/>
  <c r="S656" i="18"/>
  <c r="S657" i="18"/>
  <c r="S658" i="18"/>
  <c r="S659" i="18"/>
  <c r="S660" i="18"/>
  <c r="S661" i="18"/>
  <c r="S662" i="18"/>
  <c r="S663" i="18"/>
  <c r="S664" i="18"/>
  <c r="S665" i="18"/>
  <c r="S666" i="18"/>
  <c r="S667" i="18"/>
  <c r="S668" i="18"/>
  <c r="S669" i="18"/>
  <c r="S670" i="18"/>
  <c r="S671" i="18"/>
  <c r="S672" i="18"/>
  <c r="S673" i="18"/>
  <c r="S674" i="18"/>
  <c r="S675" i="18"/>
  <c r="S676" i="18"/>
  <c r="S677" i="18"/>
  <c r="S678" i="18"/>
  <c r="S679" i="18"/>
  <c r="S680" i="18"/>
  <c r="S681" i="18"/>
  <c r="S682" i="18"/>
  <c r="S683" i="18"/>
  <c r="S684" i="18"/>
  <c r="S685" i="18"/>
  <c r="S686" i="18"/>
  <c r="S687" i="18"/>
  <c r="S688" i="18"/>
  <c r="S689" i="18"/>
  <c r="S690" i="18"/>
  <c r="S691" i="18"/>
  <c r="S692" i="18"/>
  <c r="S693" i="18"/>
  <c r="S694" i="18"/>
  <c r="S695" i="18"/>
  <c r="S696" i="18"/>
  <c r="S697" i="18"/>
  <c r="S698" i="18"/>
  <c r="S699" i="18"/>
  <c r="S700" i="18"/>
  <c r="S701" i="18"/>
  <c r="S702" i="18"/>
  <c r="S703" i="18"/>
  <c r="S704" i="18"/>
  <c r="S705" i="18"/>
  <c r="S706" i="18"/>
  <c r="S707" i="18"/>
  <c r="S708" i="18"/>
  <c r="S709" i="18"/>
  <c r="S710" i="18"/>
  <c r="S711" i="18"/>
  <c r="S712" i="18"/>
  <c r="S713" i="18"/>
  <c r="S714" i="18"/>
  <c r="S715" i="18"/>
  <c r="S716" i="18"/>
  <c r="S717" i="18"/>
  <c r="S718" i="18"/>
  <c r="S719" i="18"/>
  <c r="S720" i="18"/>
  <c r="S721" i="18"/>
  <c r="S722" i="18"/>
  <c r="S723" i="18"/>
  <c r="S724" i="18"/>
  <c r="S725" i="18"/>
  <c r="S726" i="18"/>
  <c r="S727" i="18"/>
  <c r="S728" i="18"/>
  <c r="S729" i="18"/>
  <c r="S730" i="18"/>
  <c r="S731" i="18"/>
  <c r="S732" i="18"/>
  <c r="S733" i="18"/>
  <c r="S734" i="18"/>
  <c r="S735" i="18"/>
  <c r="S736" i="18"/>
  <c r="S737" i="18"/>
  <c r="S738" i="18"/>
  <c r="S739" i="18"/>
  <c r="S740" i="18"/>
  <c r="S741" i="18"/>
  <c r="S742" i="18"/>
  <c r="S743" i="18"/>
  <c r="S744" i="18"/>
  <c r="S745" i="18"/>
  <c r="S746" i="18"/>
  <c r="S747" i="18"/>
  <c r="S748" i="18"/>
  <c r="S749" i="18"/>
  <c r="S750" i="18"/>
  <c r="S751" i="18"/>
  <c r="S752" i="18"/>
  <c r="S753" i="18"/>
  <c r="S754" i="18"/>
  <c r="S755" i="18"/>
  <c r="S756" i="18"/>
  <c r="S757" i="18"/>
  <c r="S758" i="18"/>
  <c r="S759" i="18"/>
  <c r="S760" i="18"/>
  <c r="S761" i="18"/>
  <c r="S762" i="18"/>
  <c r="S763" i="18"/>
  <c r="S764" i="18"/>
  <c r="S765" i="18"/>
  <c r="S766" i="18"/>
  <c r="S767" i="18"/>
  <c r="S768" i="18"/>
  <c r="S769" i="18"/>
  <c r="S770" i="18"/>
  <c r="S771" i="18"/>
  <c r="S772" i="18"/>
  <c r="S773" i="18"/>
  <c r="S774" i="18"/>
  <c r="S775" i="18"/>
  <c r="S776" i="18"/>
  <c r="S777" i="18"/>
  <c r="S778" i="18"/>
  <c r="S779" i="18"/>
  <c r="S780" i="18"/>
  <c r="S781" i="18"/>
  <c r="S782" i="18"/>
  <c r="S783" i="18"/>
  <c r="S784" i="18"/>
  <c r="S785" i="18"/>
  <c r="S786" i="18"/>
  <c r="S787" i="18"/>
  <c r="S788" i="18"/>
  <c r="S789" i="18"/>
  <c r="S790" i="18"/>
  <c r="S791" i="18"/>
  <c r="S792" i="18"/>
  <c r="S793" i="18"/>
  <c r="S794" i="18"/>
  <c r="S795" i="18"/>
  <c r="S796" i="18"/>
  <c r="S797" i="18"/>
  <c r="S798" i="18"/>
  <c r="S799" i="18"/>
  <c r="S800" i="18"/>
  <c r="S801" i="18"/>
  <c r="S802" i="18"/>
  <c r="S803" i="18"/>
  <c r="S804" i="18"/>
  <c r="S805" i="18"/>
  <c r="S806" i="18"/>
  <c r="S807" i="18"/>
  <c r="S808" i="18"/>
  <c r="S809" i="18"/>
  <c r="S810" i="18"/>
  <c r="S811" i="18"/>
  <c r="S812" i="18"/>
  <c r="S813" i="18"/>
  <c r="S814" i="18"/>
  <c r="S815" i="18"/>
  <c r="S816" i="18"/>
  <c r="S817" i="18"/>
  <c r="S818" i="18"/>
  <c r="S819" i="18"/>
  <c r="S820" i="18"/>
  <c r="S821" i="18"/>
  <c r="S822" i="18"/>
  <c r="S823" i="18"/>
  <c r="S824" i="18"/>
  <c r="S825" i="18"/>
  <c r="S826" i="18"/>
  <c r="S827" i="18"/>
  <c r="S828" i="18"/>
  <c r="S829" i="18"/>
  <c r="S830" i="18"/>
  <c r="S831" i="18"/>
  <c r="S832" i="18"/>
  <c r="S833" i="18"/>
  <c r="S834" i="18"/>
  <c r="S835" i="18"/>
  <c r="S836" i="18"/>
  <c r="S837" i="18"/>
  <c r="S838" i="18"/>
  <c r="S839" i="18"/>
  <c r="S840" i="18"/>
  <c r="S841" i="18"/>
  <c r="S842" i="18"/>
  <c r="S843" i="18"/>
  <c r="S844" i="18"/>
  <c r="S845" i="18"/>
  <c r="S846" i="18"/>
  <c r="S847" i="18"/>
  <c r="S848" i="18"/>
  <c r="S849" i="18"/>
  <c r="S850" i="18"/>
  <c r="S851" i="18"/>
  <c r="S852" i="18"/>
  <c r="S853" i="18"/>
  <c r="S854" i="18"/>
  <c r="S855" i="18"/>
  <c r="S856" i="18"/>
  <c r="S857" i="18"/>
  <c r="S858" i="18"/>
  <c r="S859" i="18"/>
  <c r="S860" i="18"/>
  <c r="S861" i="18"/>
  <c r="S862" i="18"/>
  <c r="S863" i="18"/>
  <c r="S864" i="18"/>
  <c r="S865" i="18"/>
  <c r="S866" i="18"/>
  <c r="S867" i="18"/>
  <c r="S868" i="18"/>
  <c r="S869" i="18"/>
  <c r="S870" i="18"/>
  <c r="S871" i="18"/>
  <c r="S872" i="18"/>
  <c r="S873" i="18"/>
  <c r="S874" i="18"/>
  <c r="S875" i="18"/>
  <c r="S876" i="18"/>
  <c r="S877" i="18"/>
  <c r="S878" i="18"/>
  <c r="S879" i="18"/>
  <c r="S880" i="18"/>
  <c r="S881" i="18"/>
  <c r="S882" i="18"/>
  <c r="S883" i="18"/>
  <c r="S884" i="18"/>
  <c r="S885" i="18"/>
  <c r="S886" i="18"/>
  <c r="S887" i="18"/>
  <c r="S888" i="18"/>
  <c r="S889" i="18"/>
  <c r="S890" i="18"/>
  <c r="S891" i="18"/>
  <c r="S892" i="18"/>
  <c r="S893" i="18"/>
  <c r="S894" i="18"/>
  <c r="S895" i="18"/>
  <c r="S896" i="18"/>
  <c r="S897" i="18"/>
  <c r="S898" i="18"/>
  <c r="S899" i="18"/>
  <c r="S900" i="18"/>
  <c r="S901" i="18"/>
  <c r="S902" i="18"/>
  <c r="S903" i="18"/>
  <c r="S904" i="18"/>
  <c r="S905" i="18"/>
  <c r="S906" i="18"/>
  <c r="S907" i="18"/>
  <c r="S908" i="18"/>
  <c r="S909" i="18"/>
  <c r="S910" i="18"/>
  <c r="S911" i="18"/>
  <c r="S912" i="18"/>
  <c r="S913" i="18"/>
  <c r="S914" i="18"/>
  <c r="S915" i="18"/>
  <c r="S916" i="18"/>
  <c r="S917" i="18"/>
  <c r="S918" i="18"/>
  <c r="S919" i="18"/>
  <c r="S920" i="18"/>
  <c r="S921" i="18"/>
  <c r="S922" i="18"/>
  <c r="S923" i="18"/>
  <c r="S924" i="18"/>
  <c r="S925" i="18"/>
  <c r="S926" i="18"/>
  <c r="S927" i="18"/>
  <c r="S928" i="18"/>
  <c r="S929" i="18"/>
  <c r="S930" i="18"/>
  <c r="S931" i="18"/>
  <c r="S932" i="18"/>
  <c r="S933" i="18"/>
  <c r="S934" i="18"/>
  <c r="S935" i="18"/>
  <c r="S936" i="18"/>
  <c r="S937" i="18"/>
  <c r="S938" i="18"/>
  <c r="S939" i="18"/>
  <c r="S940" i="18"/>
  <c r="S941" i="18"/>
  <c r="S942" i="18"/>
  <c r="S943" i="18"/>
  <c r="S944" i="18"/>
  <c r="S945" i="18"/>
  <c r="S946" i="18"/>
  <c r="S947" i="18"/>
  <c r="S948" i="18"/>
  <c r="S949" i="18"/>
  <c r="S950" i="18"/>
  <c r="S951" i="18"/>
  <c r="S952" i="18"/>
  <c r="S953" i="18"/>
  <c r="S954" i="18"/>
  <c r="S955" i="18"/>
  <c r="S956" i="18"/>
  <c r="S957" i="18"/>
  <c r="S958" i="18"/>
  <c r="S959" i="18"/>
  <c r="S960" i="18"/>
  <c r="S961" i="18"/>
  <c r="S962" i="18"/>
  <c r="S963" i="18"/>
  <c r="S964" i="18"/>
  <c r="S965" i="18"/>
  <c r="S966" i="18"/>
  <c r="S967" i="18"/>
  <c r="S968" i="18"/>
  <c r="S969" i="18"/>
  <c r="S970" i="18"/>
  <c r="S971" i="18"/>
  <c r="S972" i="18"/>
  <c r="S973" i="18"/>
  <c r="S974" i="18"/>
  <c r="S975" i="18"/>
  <c r="S976" i="18"/>
  <c r="S977" i="18"/>
  <c r="S978" i="18"/>
  <c r="S979" i="18"/>
  <c r="S980" i="18"/>
  <c r="S981" i="18"/>
  <c r="S982" i="18"/>
  <c r="S983" i="18"/>
  <c r="S984" i="18"/>
  <c r="S985" i="18"/>
  <c r="S986" i="18"/>
  <c r="S987" i="18"/>
  <c r="S988" i="18"/>
  <c r="S989" i="18"/>
  <c r="S990" i="18"/>
  <c r="S991" i="18"/>
  <c r="S992" i="18"/>
  <c r="S993" i="18"/>
  <c r="S994" i="18"/>
  <c r="S995" i="18"/>
  <c r="S996" i="18"/>
  <c r="S997" i="18"/>
  <c r="S998" i="18"/>
  <c r="S999" i="18"/>
  <c r="S1000" i="18"/>
  <c r="S1001" i="18"/>
  <c r="S1002" i="18"/>
  <c r="S1003" i="18"/>
  <c r="S1004" i="18"/>
  <c r="S1005" i="18"/>
  <c r="S1006" i="18"/>
  <c r="S1007" i="18"/>
  <c r="S1008" i="18"/>
  <c r="S1009" i="18"/>
  <c r="S1010" i="18"/>
  <c r="S1011" i="18"/>
  <c r="S1012" i="18"/>
  <c r="S1013" i="18"/>
  <c r="S1014" i="18"/>
  <c r="S1015" i="18"/>
  <c r="S1016" i="18"/>
  <c r="S1017" i="18"/>
  <c r="S1018" i="18"/>
  <c r="S1019" i="18"/>
  <c r="S1020" i="18"/>
  <c r="S1021" i="18"/>
  <c r="S1022" i="18"/>
  <c r="S1023" i="18"/>
  <c r="S1024" i="18"/>
  <c r="S1025" i="18"/>
  <c r="S1026" i="18"/>
  <c r="S1027" i="18"/>
  <c r="S1028" i="18"/>
  <c r="S1029" i="18"/>
  <c r="S1030" i="18"/>
  <c r="S1031" i="18"/>
  <c r="S1032" i="18"/>
  <c r="S1033" i="18"/>
  <c r="S1034" i="18"/>
  <c r="S1035" i="18"/>
  <c r="S1036" i="18"/>
  <c r="S1037" i="18"/>
  <c r="S1038" i="18"/>
  <c r="S1039" i="18"/>
  <c r="S1040" i="18"/>
  <c r="S1041" i="18"/>
  <c r="S1042" i="18"/>
  <c r="S1043" i="18"/>
  <c r="S1044" i="18"/>
  <c r="S1045" i="18"/>
  <c r="S1046" i="18"/>
  <c r="S1047" i="18"/>
  <c r="S1048" i="18"/>
  <c r="S1049" i="18"/>
  <c r="S1050" i="18"/>
  <c r="S1051" i="18"/>
  <c r="S1052" i="18"/>
  <c r="S1053" i="18"/>
  <c r="S1054" i="18"/>
  <c r="S1055" i="18"/>
  <c r="S1056" i="18"/>
  <c r="S1057" i="18"/>
  <c r="S1058" i="18"/>
  <c r="S1059" i="18"/>
  <c r="S1060" i="18"/>
  <c r="S1061" i="18"/>
  <c r="S1062" i="18"/>
  <c r="S1063" i="18"/>
  <c r="S1064" i="18"/>
  <c r="S1065" i="18"/>
  <c r="S1066" i="18"/>
  <c r="S1067" i="18"/>
  <c r="S1068" i="18"/>
  <c r="S1069" i="18"/>
  <c r="S1070" i="18"/>
  <c r="S1071" i="18"/>
  <c r="S1072" i="18"/>
  <c r="S1073" i="18"/>
  <c r="S1074" i="18"/>
  <c r="S1075" i="18"/>
  <c r="S1076" i="18"/>
  <c r="S1077" i="18"/>
  <c r="S1078" i="18"/>
  <c r="S1079" i="18"/>
  <c r="S1080" i="18"/>
  <c r="S1081" i="18"/>
  <c r="S1082" i="18"/>
  <c r="S1083" i="18"/>
  <c r="S1084" i="18"/>
  <c r="S1085" i="18"/>
  <c r="S1086" i="18"/>
  <c r="S1087" i="18"/>
  <c r="S1088" i="18"/>
  <c r="S1089" i="18"/>
  <c r="S1090" i="18"/>
  <c r="S1091" i="18"/>
  <c r="S1092" i="18"/>
  <c r="S1093" i="18"/>
  <c r="S1094" i="18"/>
  <c r="S1095" i="18"/>
  <c r="S1096" i="18"/>
  <c r="S1097" i="18"/>
  <c r="S1098" i="18"/>
  <c r="S1099" i="18"/>
  <c r="S1100" i="18"/>
  <c r="S1101" i="18"/>
  <c r="S1102" i="18"/>
  <c r="S1103" i="18"/>
  <c r="S1104" i="18"/>
  <c r="S1105" i="18"/>
  <c r="S1106" i="18"/>
  <c r="S1107" i="18"/>
  <c r="S1108" i="18"/>
  <c r="S1109" i="18"/>
  <c r="S1110" i="18"/>
  <c r="S1111" i="18"/>
  <c r="S1112" i="18"/>
  <c r="S1113" i="18"/>
  <c r="S1114" i="18"/>
  <c r="S1115" i="18"/>
  <c r="S1116" i="18"/>
  <c r="S1117" i="18"/>
  <c r="S1118" i="18"/>
  <c r="S1119" i="18"/>
  <c r="S1120" i="18"/>
  <c r="S1121" i="18"/>
  <c r="S1122" i="18"/>
  <c r="S1123" i="18"/>
  <c r="S1124" i="18"/>
  <c r="S1125" i="18"/>
  <c r="S1126" i="18"/>
  <c r="S1127" i="18"/>
  <c r="S1128" i="18"/>
  <c r="S1129" i="18"/>
  <c r="S1130" i="18"/>
  <c r="S1131" i="18"/>
  <c r="S1132" i="18"/>
  <c r="S1133" i="18"/>
  <c r="S1134" i="18"/>
  <c r="S1135" i="18"/>
  <c r="S1136" i="18"/>
  <c r="S1137" i="18"/>
  <c r="S1138" i="18"/>
  <c r="S1139" i="18"/>
  <c r="S1140" i="18"/>
  <c r="S1141" i="18"/>
  <c r="S1142" i="18"/>
  <c r="S1143" i="18"/>
  <c r="S1144" i="18"/>
  <c r="S1145" i="18"/>
  <c r="S1146" i="18"/>
  <c r="S1147" i="18"/>
  <c r="S1148" i="18"/>
  <c r="S1149" i="18"/>
  <c r="S1150" i="18"/>
  <c r="S1151" i="18"/>
  <c r="S1152" i="18"/>
  <c r="S1153" i="18"/>
  <c r="S1154" i="18"/>
  <c r="S1155" i="18"/>
  <c r="S1156" i="18"/>
  <c r="S1157" i="18"/>
  <c r="S1158" i="18"/>
  <c r="S1159" i="18"/>
  <c r="S1160" i="18"/>
  <c r="S1161" i="18"/>
  <c r="S1162" i="18"/>
  <c r="S1163" i="18"/>
  <c r="S1164" i="18"/>
  <c r="S1165" i="18"/>
  <c r="S1166" i="18"/>
  <c r="S1167" i="18"/>
  <c r="S1168" i="18"/>
  <c r="S1169" i="18"/>
  <c r="S1170" i="18"/>
  <c r="S1171" i="18"/>
  <c r="S1172" i="18"/>
  <c r="S1173" i="18"/>
  <c r="S1174" i="18"/>
  <c r="S1175" i="18"/>
  <c r="S1176" i="18"/>
  <c r="S1177" i="18"/>
  <c r="S1178" i="18"/>
  <c r="S1179" i="18"/>
  <c r="S118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R313" i="18"/>
  <c r="R314" i="18"/>
  <c r="R315" i="18"/>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46" i="18"/>
  <c r="R347" i="18"/>
  <c r="R348" i="18"/>
  <c r="R349" i="18"/>
  <c r="R350" i="18"/>
  <c r="R351" i="18"/>
  <c r="R352" i="18"/>
  <c r="R353" i="18"/>
  <c r="R354" i="18"/>
  <c r="R355" i="18"/>
  <c r="R356" i="18"/>
  <c r="R357" i="18"/>
  <c r="R358" i="18"/>
  <c r="R359" i="18"/>
  <c r="R360" i="18"/>
  <c r="R361" i="18"/>
  <c r="R362" i="18"/>
  <c r="R363" i="18"/>
  <c r="R364" i="18"/>
  <c r="R365" i="18"/>
  <c r="R366" i="18"/>
  <c r="R367" i="18"/>
  <c r="R368" i="18"/>
  <c r="R369" i="18"/>
  <c r="R370" i="18"/>
  <c r="R371" i="18"/>
  <c r="R372" i="18"/>
  <c r="R373" i="18"/>
  <c r="R374" i="18"/>
  <c r="R375" i="18"/>
  <c r="R376" i="18"/>
  <c r="R377" i="18"/>
  <c r="R378" i="18"/>
  <c r="R379" i="18"/>
  <c r="R380" i="18"/>
  <c r="R381" i="18"/>
  <c r="R382" i="18"/>
  <c r="R383" i="18"/>
  <c r="R384" i="18"/>
  <c r="R385" i="18"/>
  <c r="R386" i="18"/>
  <c r="R387" i="18"/>
  <c r="R388" i="18"/>
  <c r="R389" i="18"/>
  <c r="R390" i="18"/>
  <c r="R391" i="18"/>
  <c r="R392" i="18"/>
  <c r="R393" i="18"/>
  <c r="R394" i="18"/>
  <c r="R395" i="18"/>
  <c r="R396" i="18"/>
  <c r="R397" i="18"/>
  <c r="R398" i="18"/>
  <c r="R399" i="18"/>
  <c r="R400" i="18"/>
  <c r="R401" i="18"/>
  <c r="R402" i="18"/>
  <c r="R403" i="18"/>
  <c r="R404" i="18"/>
  <c r="R405" i="18"/>
  <c r="R406" i="18"/>
  <c r="R407" i="18"/>
  <c r="R408" i="18"/>
  <c r="R409" i="18"/>
  <c r="R410" i="18"/>
  <c r="R411" i="18"/>
  <c r="R412" i="18"/>
  <c r="R413" i="18"/>
  <c r="R414" i="18"/>
  <c r="R415" i="18"/>
  <c r="R416" i="18"/>
  <c r="R417" i="18"/>
  <c r="R418" i="18"/>
  <c r="R419" i="18"/>
  <c r="R420" i="18"/>
  <c r="R421" i="18"/>
  <c r="R422" i="18"/>
  <c r="R423" i="18"/>
  <c r="R424" i="18"/>
  <c r="R425" i="18"/>
  <c r="R426" i="18"/>
  <c r="R427" i="18"/>
  <c r="R428" i="18"/>
  <c r="R429" i="18"/>
  <c r="R430" i="18"/>
  <c r="R431" i="18"/>
  <c r="R432" i="18"/>
  <c r="R433" i="18"/>
  <c r="R434" i="18"/>
  <c r="R435" i="18"/>
  <c r="R436" i="18"/>
  <c r="R437" i="18"/>
  <c r="R438" i="18"/>
  <c r="R439" i="18"/>
  <c r="R440" i="18"/>
  <c r="R441" i="18"/>
  <c r="R442" i="18"/>
  <c r="R443" i="18"/>
  <c r="R444" i="18"/>
  <c r="R445" i="18"/>
  <c r="R446" i="18"/>
  <c r="R447" i="18"/>
  <c r="R448" i="18"/>
  <c r="R449" i="18"/>
  <c r="R450" i="18"/>
  <c r="R451" i="18"/>
  <c r="R452" i="18"/>
  <c r="R453" i="18"/>
  <c r="R454" i="18"/>
  <c r="R455" i="18"/>
  <c r="R456" i="18"/>
  <c r="R457" i="18"/>
  <c r="R458" i="18"/>
  <c r="R459" i="18"/>
  <c r="R460" i="18"/>
  <c r="R461" i="18"/>
  <c r="R462" i="18"/>
  <c r="R463" i="18"/>
  <c r="R464" i="18"/>
  <c r="R465" i="18"/>
  <c r="R466" i="18"/>
  <c r="R467" i="18"/>
  <c r="R468" i="18"/>
  <c r="R469" i="18"/>
  <c r="R470" i="18"/>
  <c r="R471" i="18"/>
  <c r="R472" i="18"/>
  <c r="R473" i="18"/>
  <c r="R474" i="18"/>
  <c r="R475" i="18"/>
  <c r="R476" i="18"/>
  <c r="R477" i="18"/>
  <c r="R478" i="18"/>
  <c r="R479" i="18"/>
  <c r="R480" i="18"/>
  <c r="R481" i="18"/>
  <c r="R482" i="18"/>
  <c r="R483" i="18"/>
  <c r="R484" i="18"/>
  <c r="R485" i="18"/>
  <c r="R486" i="18"/>
  <c r="R487" i="18"/>
  <c r="R488" i="18"/>
  <c r="R489" i="18"/>
  <c r="R490" i="18"/>
  <c r="R491" i="18"/>
  <c r="R492" i="18"/>
  <c r="R493" i="18"/>
  <c r="R494" i="18"/>
  <c r="R495" i="18"/>
  <c r="R496" i="18"/>
  <c r="R497" i="18"/>
  <c r="R498" i="18"/>
  <c r="R499" i="18"/>
  <c r="R500" i="18"/>
  <c r="R501" i="18"/>
  <c r="R502" i="18"/>
  <c r="R503" i="18"/>
  <c r="R504" i="18"/>
  <c r="R505" i="18"/>
  <c r="R506" i="18"/>
  <c r="R507" i="18"/>
  <c r="R508" i="18"/>
  <c r="R509" i="18"/>
  <c r="R510" i="18"/>
  <c r="R511" i="18"/>
  <c r="R512" i="18"/>
  <c r="R513" i="18"/>
  <c r="R514" i="18"/>
  <c r="R515" i="18"/>
  <c r="R516" i="18"/>
  <c r="R517" i="18"/>
  <c r="R518" i="18"/>
  <c r="R519" i="18"/>
  <c r="R520" i="18"/>
  <c r="R521" i="18"/>
  <c r="R522" i="18"/>
  <c r="R523" i="18"/>
  <c r="R524" i="18"/>
  <c r="R525" i="18"/>
  <c r="R526" i="18"/>
  <c r="R527" i="18"/>
  <c r="R528" i="18"/>
  <c r="R529" i="18"/>
  <c r="R530" i="18"/>
  <c r="R531" i="18"/>
  <c r="R532" i="18"/>
  <c r="R533" i="18"/>
  <c r="R534" i="18"/>
  <c r="R535" i="18"/>
  <c r="R536" i="18"/>
  <c r="R537" i="18"/>
  <c r="R538" i="18"/>
  <c r="R539" i="18"/>
  <c r="R540" i="18"/>
  <c r="R541" i="18"/>
  <c r="R542" i="18"/>
  <c r="R543" i="18"/>
  <c r="R544" i="18"/>
  <c r="R545" i="18"/>
  <c r="R546" i="18"/>
  <c r="R547" i="18"/>
  <c r="R548" i="18"/>
  <c r="R549" i="18"/>
  <c r="R550" i="18"/>
  <c r="R551" i="18"/>
  <c r="R552" i="18"/>
  <c r="R553" i="18"/>
  <c r="R554" i="18"/>
  <c r="R555" i="18"/>
  <c r="R556" i="18"/>
  <c r="R557" i="18"/>
  <c r="R558" i="18"/>
  <c r="R559" i="18"/>
  <c r="R560" i="18"/>
  <c r="R561" i="18"/>
  <c r="R562" i="18"/>
  <c r="R563" i="18"/>
  <c r="R564" i="18"/>
  <c r="R565" i="18"/>
  <c r="R566" i="18"/>
  <c r="R567" i="18"/>
  <c r="R568" i="18"/>
  <c r="R569" i="18"/>
  <c r="R570" i="18"/>
  <c r="R571" i="18"/>
  <c r="R572" i="18"/>
  <c r="R573" i="18"/>
  <c r="R574" i="18"/>
  <c r="R575" i="18"/>
  <c r="R576" i="18"/>
  <c r="R577" i="18"/>
  <c r="R578" i="18"/>
  <c r="R579" i="18"/>
  <c r="R580" i="18"/>
  <c r="R581" i="18"/>
  <c r="R582" i="18"/>
  <c r="R583" i="18"/>
  <c r="R584" i="18"/>
  <c r="R585" i="18"/>
  <c r="R586" i="18"/>
  <c r="R587" i="18"/>
  <c r="R588" i="18"/>
  <c r="R589" i="18"/>
  <c r="R590" i="18"/>
  <c r="R591" i="18"/>
  <c r="R592" i="18"/>
  <c r="R593" i="18"/>
  <c r="R594" i="18"/>
  <c r="R595" i="18"/>
  <c r="R596" i="18"/>
  <c r="R597" i="18"/>
  <c r="R598" i="18"/>
  <c r="R599" i="18"/>
  <c r="R600" i="18"/>
  <c r="R601" i="18"/>
  <c r="R602" i="18"/>
  <c r="R603" i="18"/>
  <c r="R604" i="18"/>
  <c r="R605" i="18"/>
  <c r="R606" i="18"/>
  <c r="R607" i="18"/>
  <c r="R608" i="18"/>
  <c r="R609" i="18"/>
  <c r="R610" i="18"/>
  <c r="R611" i="18"/>
  <c r="R612" i="18"/>
  <c r="R613" i="18"/>
  <c r="R614" i="18"/>
  <c r="R615" i="18"/>
  <c r="R616" i="18"/>
  <c r="R617" i="18"/>
  <c r="R618" i="18"/>
  <c r="R619" i="18"/>
  <c r="R620" i="18"/>
  <c r="R621" i="18"/>
  <c r="R622" i="18"/>
  <c r="R623" i="18"/>
  <c r="R624" i="18"/>
  <c r="R625" i="18"/>
  <c r="R626" i="18"/>
  <c r="R627" i="18"/>
  <c r="R628" i="18"/>
  <c r="R629" i="18"/>
  <c r="R630" i="18"/>
  <c r="R631" i="18"/>
  <c r="R632" i="18"/>
  <c r="R633" i="18"/>
  <c r="R634" i="18"/>
  <c r="R635" i="18"/>
  <c r="R636" i="18"/>
  <c r="R637" i="18"/>
  <c r="R638" i="18"/>
  <c r="R639" i="18"/>
  <c r="R640" i="18"/>
  <c r="R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668" i="18"/>
  <c r="R669" i="18"/>
  <c r="R670" i="18"/>
  <c r="R671" i="18"/>
  <c r="R672" i="18"/>
  <c r="R673" i="18"/>
  <c r="R674" i="18"/>
  <c r="R675" i="18"/>
  <c r="R676" i="18"/>
  <c r="R677" i="18"/>
  <c r="R678" i="18"/>
  <c r="R679" i="18"/>
  <c r="R680" i="18"/>
  <c r="R681" i="18"/>
  <c r="R682" i="18"/>
  <c r="R683" i="18"/>
  <c r="R684" i="18"/>
  <c r="R685" i="18"/>
  <c r="R686" i="18"/>
  <c r="R687" i="18"/>
  <c r="R688" i="18"/>
  <c r="R689" i="18"/>
  <c r="R690" i="18"/>
  <c r="R691" i="18"/>
  <c r="R692" i="18"/>
  <c r="R693" i="18"/>
  <c r="R694" i="18"/>
  <c r="R695" i="18"/>
  <c r="R696" i="18"/>
  <c r="R697" i="18"/>
  <c r="R698" i="18"/>
  <c r="R699" i="18"/>
  <c r="R700" i="18"/>
  <c r="R701" i="18"/>
  <c r="R702" i="18"/>
  <c r="R703" i="18"/>
  <c r="R704" i="18"/>
  <c r="R705" i="18"/>
  <c r="R706" i="18"/>
  <c r="R707" i="18"/>
  <c r="R708" i="18"/>
  <c r="R709" i="18"/>
  <c r="R710" i="18"/>
  <c r="R711" i="18"/>
  <c r="R712" i="18"/>
  <c r="R713" i="18"/>
  <c r="R714" i="18"/>
  <c r="R715" i="18"/>
  <c r="R716" i="18"/>
  <c r="R717" i="18"/>
  <c r="R718" i="18"/>
  <c r="R719" i="18"/>
  <c r="R720" i="18"/>
  <c r="R721" i="18"/>
  <c r="R722" i="18"/>
  <c r="R723" i="18"/>
  <c r="R724" i="18"/>
  <c r="R725" i="18"/>
  <c r="R726" i="18"/>
  <c r="R727" i="18"/>
  <c r="R728" i="18"/>
  <c r="R729" i="18"/>
  <c r="R730" i="18"/>
  <c r="R731" i="18"/>
  <c r="R732" i="18"/>
  <c r="R733" i="18"/>
  <c r="R734" i="18"/>
  <c r="R735" i="18"/>
  <c r="R736" i="18"/>
  <c r="R737" i="18"/>
  <c r="R738" i="18"/>
  <c r="R739" i="18"/>
  <c r="R740" i="18"/>
  <c r="R741" i="18"/>
  <c r="R742" i="18"/>
  <c r="R743" i="18"/>
  <c r="R744" i="18"/>
  <c r="R745" i="18"/>
  <c r="R746" i="18"/>
  <c r="R747" i="18"/>
  <c r="R748" i="18"/>
  <c r="R749" i="18"/>
  <c r="R750" i="18"/>
  <c r="R751" i="18"/>
  <c r="R752" i="18"/>
  <c r="R753" i="18"/>
  <c r="R754" i="18"/>
  <c r="R755" i="18"/>
  <c r="R756" i="18"/>
  <c r="R757" i="18"/>
  <c r="R758" i="18"/>
  <c r="R759" i="18"/>
  <c r="R760" i="18"/>
  <c r="R761" i="18"/>
  <c r="R762" i="18"/>
  <c r="R763" i="18"/>
  <c r="R764" i="18"/>
  <c r="R765" i="18"/>
  <c r="R766" i="18"/>
  <c r="R767" i="18"/>
  <c r="R768" i="18"/>
  <c r="R769" i="18"/>
  <c r="R770" i="18"/>
  <c r="R771" i="18"/>
  <c r="R772" i="18"/>
  <c r="R773" i="18"/>
  <c r="R774" i="18"/>
  <c r="R775" i="18"/>
  <c r="R776" i="18"/>
  <c r="R777" i="18"/>
  <c r="R778" i="18"/>
  <c r="R779" i="18"/>
  <c r="R780" i="18"/>
  <c r="R781" i="18"/>
  <c r="R782" i="18"/>
  <c r="R783" i="18"/>
  <c r="R784" i="18"/>
  <c r="R785" i="18"/>
  <c r="R786" i="18"/>
  <c r="R787" i="18"/>
  <c r="R788" i="18"/>
  <c r="R789" i="18"/>
  <c r="R790" i="18"/>
  <c r="R791" i="18"/>
  <c r="R792" i="18"/>
  <c r="R793" i="18"/>
  <c r="R794" i="18"/>
  <c r="R795" i="18"/>
  <c r="R796" i="18"/>
  <c r="R797" i="18"/>
  <c r="R798" i="18"/>
  <c r="R799" i="18"/>
  <c r="R800" i="18"/>
  <c r="R801" i="18"/>
  <c r="R802" i="18"/>
  <c r="R803" i="18"/>
  <c r="R804" i="18"/>
  <c r="R805" i="18"/>
  <c r="R806" i="18"/>
  <c r="R807" i="18"/>
  <c r="R808" i="18"/>
  <c r="R809" i="18"/>
  <c r="R810" i="18"/>
  <c r="R811" i="18"/>
  <c r="R812" i="18"/>
  <c r="R813" i="18"/>
  <c r="R814" i="18"/>
  <c r="R815" i="18"/>
  <c r="R816" i="18"/>
  <c r="R817" i="18"/>
  <c r="R818" i="18"/>
  <c r="R819" i="18"/>
  <c r="R820" i="18"/>
  <c r="R821" i="18"/>
  <c r="R822" i="18"/>
  <c r="R823" i="18"/>
  <c r="R824" i="18"/>
  <c r="R825" i="18"/>
  <c r="R826" i="18"/>
  <c r="R827" i="18"/>
  <c r="R828" i="18"/>
  <c r="R829" i="18"/>
  <c r="R830" i="18"/>
  <c r="R831" i="18"/>
  <c r="R832" i="18"/>
  <c r="R833" i="18"/>
  <c r="R834" i="18"/>
  <c r="R835" i="18"/>
  <c r="R836" i="18"/>
  <c r="R837" i="18"/>
  <c r="R838" i="18"/>
  <c r="R839" i="18"/>
  <c r="R840" i="18"/>
  <c r="R841" i="18"/>
  <c r="R842" i="18"/>
  <c r="R843" i="18"/>
  <c r="R844" i="18"/>
  <c r="R845" i="18"/>
  <c r="R846" i="18"/>
  <c r="R847" i="18"/>
  <c r="R848" i="18"/>
  <c r="R849" i="18"/>
  <c r="R850" i="18"/>
  <c r="R851" i="18"/>
  <c r="R852" i="18"/>
  <c r="R853" i="18"/>
  <c r="R854" i="18"/>
  <c r="R855" i="18"/>
  <c r="R856" i="18"/>
  <c r="R857" i="18"/>
  <c r="R858" i="18"/>
  <c r="R859" i="18"/>
  <c r="R860" i="18"/>
  <c r="R861" i="18"/>
  <c r="R862" i="18"/>
  <c r="R863" i="18"/>
  <c r="R864" i="18"/>
  <c r="R865" i="18"/>
  <c r="R866" i="18"/>
  <c r="R867" i="18"/>
  <c r="R868" i="18"/>
  <c r="R869" i="18"/>
  <c r="R870" i="18"/>
  <c r="R871" i="18"/>
  <c r="R872" i="18"/>
  <c r="R873" i="18"/>
  <c r="R874" i="18"/>
  <c r="R875" i="18"/>
  <c r="R876" i="18"/>
  <c r="R877" i="18"/>
  <c r="R878" i="18"/>
  <c r="R879" i="18"/>
  <c r="R880" i="18"/>
  <c r="R881" i="18"/>
  <c r="R882" i="18"/>
  <c r="R883" i="18"/>
  <c r="R884" i="18"/>
  <c r="R885" i="18"/>
  <c r="R886" i="18"/>
  <c r="R887" i="18"/>
  <c r="R888" i="18"/>
  <c r="R889" i="18"/>
  <c r="R890" i="18"/>
  <c r="R891" i="18"/>
  <c r="R892" i="18"/>
  <c r="R893" i="18"/>
  <c r="R894" i="18"/>
  <c r="R895" i="18"/>
  <c r="R896" i="18"/>
  <c r="R897" i="18"/>
  <c r="R898" i="18"/>
  <c r="R899" i="18"/>
  <c r="R900" i="18"/>
  <c r="R901" i="18"/>
  <c r="R902" i="18"/>
  <c r="R903" i="18"/>
  <c r="R904" i="18"/>
  <c r="R905" i="18"/>
  <c r="R906" i="18"/>
  <c r="R907" i="18"/>
  <c r="R908" i="18"/>
  <c r="R909" i="18"/>
  <c r="R910" i="18"/>
  <c r="R911" i="18"/>
  <c r="R912" i="18"/>
  <c r="R913" i="18"/>
  <c r="R914" i="18"/>
  <c r="R915" i="18"/>
  <c r="R916" i="18"/>
  <c r="R917" i="18"/>
  <c r="R918" i="18"/>
  <c r="R919" i="18"/>
  <c r="R920" i="18"/>
  <c r="R921" i="18"/>
  <c r="R922" i="18"/>
  <c r="R923" i="18"/>
  <c r="R924" i="18"/>
  <c r="R925" i="18"/>
  <c r="R926" i="18"/>
  <c r="R927" i="18"/>
  <c r="R928" i="18"/>
  <c r="R929" i="18"/>
  <c r="R930" i="18"/>
  <c r="R931" i="18"/>
  <c r="R932" i="18"/>
  <c r="R933" i="18"/>
  <c r="R934" i="18"/>
  <c r="R935" i="18"/>
  <c r="R936" i="18"/>
  <c r="R937" i="18"/>
  <c r="R938" i="18"/>
  <c r="R939" i="18"/>
  <c r="R940" i="18"/>
  <c r="R941" i="18"/>
  <c r="R942" i="18"/>
  <c r="R943" i="18"/>
  <c r="R944" i="18"/>
  <c r="R945" i="18"/>
  <c r="R946" i="18"/>
  <c r="R947" i="18"/>
  <c r="R948" i="18"/>
  <c r="R949" i="18"/>
  <c r="R950" i="18"/>
  <c r="R951" i="18"/>
  <c r="R952" i="18"/>
  <c r="R953" i="18"/>
  <c r="R954" i="18"/>
  <c r="R955" i="18"/>
  <c r="R956" i="18"/>
  <c r="R957" i="18"/>
  <c r="R958" i="18"/>
  <c r="R959" i="18"/>
  <c r="R960" i="18"/>
  <c r="R961" i="18"/>
  <c r="R962" i="18"/>
  <c r="R963" i="18"/>
  <c r="R964" i="18"/>
  <c r="R965" i="18"/>
  <c r="R966" i="18"/>
  <c r="R967" i="18"/>
  <c r="R968" i="18"/>
  <c r="R969" i="18"/>
  <c r="R970" i="18"/>
  <c r="R971" i="18"/>
  <c r="R972" i="18"/>
  <c r="R973" i="18"/>
  <c r="R974" i="18"/>
  <c r="R975" i="18"/>
  <c r="R976" i="18"/>
  <c r="R977" i="18"/>
  <c r="R978" i="18"/>
  <c r="R979" i="18"/>
  <c r="R980" i="18"/>
  <c r="R981" i="18"/>
  <c r="R982" i="18"/>
  <c r="R983" i="18"/>
  <c r="R984" i="18"/>
  <c r="R985" i="18"/>
  <c r="R986" i="18"/>
  <c r="R987" i="18"/>
  <c r="R988" i="18"/>
  <c r="R989" i="18"/>
  <c r="R990" i="18"/>
  <c r="R991" i="18"/>
  <c r="R992" i="18"/>
  <c r="R993" i="18"/>
  <c r="R994" i="18"/>
  <c r="R995" i="18"/>
  <c r="R996" i="18"/>
  <c r="R997" i="18"/>
  <c r="R998" i="18"/>
  <c r="R999" i="18"/>
  <c r="R1000" i="18"/>
  <c r="R1001" i="18"/>
  <c r="R1002" i="18"/>
  <c r="R1003" i="18"/>
  <c r="R1004" i="18"/>
  <c r="R1005" i="18"/>
  <c r="R1006" i="18"/>
  <c r="R1007" i="18"/>
  <c r="R1008" i="18"/>
  <c r="R1009" i="18"/>
  <c r="R1010" i="18"/>
  <c r="R1011" i="18"/>
  <c r="R1012" i="18"/>
  <c r="R1013" i="18"/>
  <c r="R1014" i="18"/>
  <c r="R1015" i="18"/>
  <c r="R1016" i="18"/>
  <c r="R1017" i="18"/>
  <c r="R1018" i="18"/>
  <c r="R1019" i="18"/>
  <c r="R1020" i="18"/>
  <c r="R1021" i="18"/>
  <c r="R1022" i="18"/>
  <c r="R1023" i="18"/>
  <c r="R1024" i="18"/>
  <c r="R1025" i="18"/>
  <c r="R1026" i="18"/>
  <c r="R1027" i="18"/>
  <c r="R1028" i="18"/>
  <c r="R1029" i="18"/>
  <c r="R1030" i="18"/>
  <c r="R1031" i="18"/>
  <c r="R1032" i="18"/>
  <c r="R1033" i="18"/>
  <c r="R1034" i="18"/>
  <c r="R1035" i="18"/>
  <c r="R1036" i="18"/>
  <c r="R1037" i="18"/>
  <c r="R1038" i="18"/>
  <c r="R1039" i="18"/>
  <c r="R1040" i="18"/>
  <c r="R1041" i="18"/>
  <c r="R1042" i="18"/>
  <c r="R1043" i="18"/>
  <c r="R1044" i="18"/>
  <c r="R1045" i="18"/>
  <c r="R1046" i="18"/>
  <c r="R1047" i="18"/>
  <c r="R1048" i="18"/>
  <c r="R1049" i="18"/>
  <c r="R1050" i="18"/>
  <c r="R1051" i="18"/>
  <c r="R1052" i="18"/>
  <c r="R1053" i="18"/>
  <c r="R1054" i="18"/>
  <c r="R1055" i="18"/>
  <c r="R1056" i="18"/>
  <c r="R1057" i="18"/>
  <c r="R1058" i="18"/>
  <c r="R1059" i="18"/>
  <c r="R1060" i="18"/>
  <c r="R1061" i="18"/>
  <c r="R1062" i="18"/>
  <c r="R1063" i="18"/>
  <c r="R1064" i="18"/>
  <c r="R1065" i="18"/>
  <c r="R1066" i="18"/>
  <c r="R1067" i="18"/>
  <c r="R1068" i="18"/>
  <c r="R1069" i="18"/>
  <c r="R1070" i="18"/>
  <c r="R1071" i="18"/>
  <c r="R1072" i="18"/>
  <c r="R1073" i="18"/>
  <c r="R1074" i="18"/>
  <c r="R1075" i="18"/>
  <c r="R1076" i="18"/>
  <c r="R1077" i="18"/>
  <c r="R1078" i="18"/>
  <c r="R1079" i="18"/>
  <c r="R1080" i="18"/>
  <c r="R1081" i="18"/>
  <c r="R1082" i="18"/>
  <c r="R1083" i="18"/>
  <c r="R1084" i="18"/>
  <c r="R1085" i="18"/>
  <c r="R1086" i="18"/>
  <c r="R1087" i="18"/>
  <c r="R1088" i="18"/>
  <c r="R1089" i="18"/>
  <c r="R1090" i="18"/>
  <c r="R1091" i="18"/>
  <c r="R1092" i="18"/>
  <c r="R1093" i="18"/>
  <c r="R1094" i="18"/>
  <c r="R1095" i="18"/>
  <c r="R1096" i="18"/>
  <c r="R1097" i="18"/>
  <c r="R1098" i="18"/>
  <c r="R1099" i="18"/>
  <c r="R1100" i="18"/>
  <c r="R1101" i="18"/>
  <c r="R1102" i="18"/>
  <c r="R1103" i="18"/>
  <c r="R1104" i="18"/>
  <c r="R1105" i="18"/>
  <c r="R1106" i="18"/>
  <c r="R1107" i="18"/>
  <c r="R1108" i="18"/>
  <c r="R1109" i="18"/>
  <c r="R1110" i="18"/>
  <c r="R1111" i="18"/>
  <c r="R1112" i="18"/>
  <c r="R1113" i="18"/>
  <c r="R1114" i="18"/>
  <c r="R1115" i="18"/>
  <c r="R1116" i="18"/>
  <c r="R1117" i="18"/>
  <c r="R1118" i="18"/>
  <c r="R1119" i="18"/>
  <c r="R1120" i="18"/>
  <c r="R1121" i="18"/>
  <c r="R1122" i="18"/>
  <c r="R1123" i="18"/>
  <c r="R1124" i="18"/>
  <c r="R1125" i="18"/>
  <c r="R1126" i="18"/>
  <c r="R1127" i="18"/>
  <c r="R1128" i="18"/>
  <c r="R1129" i="18"/>
  <c r="R1130" i="18"/>
  <c r="R1131" i="18"/>
  <c r="R1132" i="18"/>
  <c r="R1133" i="18"/>
  <c r="R1134" i="18"/>
  <c r="R1135" i="18"/>
  <c r="R1136" i="18"/>
  <c r="R1137" i="18"/>
  <c r="R1138" i="18"/>
  <c r="R1139" i="18"/>
  <c r="R1140" i="18"/>
  <c r="R1141" i="18"/>
  <c r="R1142" i="18"/>
  <c r="R1143" i="18"/>
  <c r="R1144" i="18"/>
  <c r="R1145" i="18"/>
  <c r="R1146" i="18"/>
  <c r="R1147" i="18"/>
  <c r="R1148" i="18"/>
  <c r="R1149" i="18"/>
  <c r="R1150" i="18"/>
  <c r="R1151" i="18"/>
  <c r="R1152" i="18"/>
  <c r="R1153" i="18"/>
  <c r="R1154" i="18"/>
  <c r="R1155" i="18"/>
  <c r="R1156" i="18"/>
  <c r="R1157" i="18"/>
  <c r="R1158" i="18"/>
  <c r="R1159" i="18"/>
  <c r="R1160" i="18"/>
  <c r="R1161" i="18"/>
  <c r="R1162" i="18"/>
  <c r="R1163" i="18"/>
  <c r="R1164" i="18"/>
  <c r="R1165" i="18"/>
  <c r="R1166" i="18"/>
  <c r="R1167" i="18"/>
  <c r="R1168" i="18"/>
  <c r="R1169" i="18"/>
  <c r="R1170" i="18"/>
  <c r="R1171" i="18"/>
  <c r="R1172" i="18"/>
  <c r="R1173" i="18"/>
  <c r="R1174" i="18"/>
  <c r="R1175" i="18"/>
  <c r="R1176" i="18"/>
  <c r="R1177" i="18"/>
  <c r="R1178" i="18"/>
  <c r="R1179" i="18"/>
  <c r="R118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461" i="18"/>
  <c r="Q462" i="18"/>
  <c r="Q463" i="18"/>
  <c r="Q464" i="18"/>
  <c r="Q465" i="18"/>
  <c r="Q466" i="18"/>
  <c r="Q467" i="18"/>
  <c r="Q468" i="18"/>
  <c r="Q469" i="18"/>
  <c r="Q470" i="18"/>
  <c r="Q471" i="18"/>
  <c r="Q472" i="18"/>
  <c r="Q473" i="18"/>
  <c r="Q474" i="18"/>
  <c r="Q475" i="18"/>
  <c r="Q476" i="18"/>
  <c r="Q477" i="18"/>
  <c r="Q478" i="18"/>
  <c r="Q479" i="18"/>
  <c r="Q480" i="18"/>
  <c r="Q481" i="18"/>
  <c r="Q482" i="18"/>
  <c r="Q483" i="18"/>
  <c r="Q484" i="18"/>
  <c r="Q485" i="18"/>
  <c r="Q486" i="18"/>
  <c r="Q487" i="18"/>
  <c r="Q488" i="18"/>
  <c r="Q489" i="18"/>
  <c r="Q490" i="18"/>
  <c r="Q491" i="18"/>
  <c r="Q492" i="18"/>
  <c r="Q493" i="18"/>
  <c r="Q494" i="18"/>
  <c r="Q495" i="18"/>
  <c r="Q496" i="18"/>
  <c r="Q497" i="18"/>
  <c r="Q498" i="18"/>
  <c r="Q499" i="18"/>
  <c r="Q500" i="18"/>
  <c r="Q501" i="18"/>
  <c r="Q502" i="18"/>
  <c r="Q503" i="18"/>
  <c r="Q504" i="18"/>
  <c r="Q505" i="18"/>
  <c r="Q506" i="18"/>
  <c r="Q507" i="18"/>
  <c r="Q508" i="18"/>
  <c r="Q509" i="18"/>
  <c r="Q510" i="18"/>
  <c r="Q511" i="18"/>
  <c r="Q512" i="18"/>
  <c r="Q513" i="18"/>
  <c r="Q514" i="18"/>
  <c r="Q515" i="18"/>
  <c r="Q516" i="18"/>
  <c r="Q517" i="18"/>
  <c r="Q518" i="18"/>
  <c r="Q519" i="18"/>
  <c r="Q520" i="18"/>
  <c r="Q521" i="18"/>
  <c r="Q522" i="18"/>
  <c r="Q523" i="18"/>
  <c r="Q524" i="18"/>
  <c r="Q525" i="18"/>
  <c r="Q526" i="18"/>
  <c r="Q527" i="18"/>
  <c r="Q528" i="18"/>
  <c r="Q529" i="18"/>
  <c r="Q530" i="18"/>
  <c r="Q531" i="18"/>
  <c r="Q532" i="18"/>
  <c r="Q533" i="18"/>
  <c r="Q534" i="18"/>
  <c r="Q535" i="18"/>
  <c r="Q536" i="18"/>
  <c r="Q537" i="18"/>
  <c r="Q538" i="18"/>
  <c r="Q539" i="18"/>
  <c r="Q540" i="18"/>
  <c r="Q541" i="18"/>
  <c r="Q542" i="18"/>
  <c r="Q543" i="18"/>
  <c r="Q544" i="18"/>
  <c r="Q545" i="18"/>
  <c r="Q546" i="18"/>
  <c r="Q547" i="18"/>
  <c r="Q548" i="18"/>
  <c r="Q549" i="18"/>
  <c r="Q550" i="18"/>
  <c r="Q551" i="18"/>
  <c r="Q552" i="18"/>
  <c r="Q553" i="18"/>
  <c r="Q554" i="18"/>
  <c r="Q555" i="18"/>
  <c r="Q556" i="18"/>
  <c r="Q557" i="18"/>
  <c r="Q558" i="18"/>
  <c r="Q559" i="18"/>
  <c r="Q560" i="18"/>
  <c r="Q561" i="18"/>
  <c r="Q562" i="18"/>
  <c r="Q563" i="18"/>
  <c r="Q564" i="18"/>
  <c r="Q565" i="18"/>
  <c r="Q566" i="18"/>
  <c r="Q567" i="18"/>
  <c r="Q568" i="18"/>
  <c r="Q569" i="18"/>
  <c r="Q570" i="18"/>
  <c r="Q571" i="18"/>
  <c r="Q572" i="18"/>
  <c r="Q573" i="18"/>
  <c r="Q574" i="18"/>
  <c r="Q575" i="18"/>
  <c r="Q576" i="18"/>
  <c r="Q577" i="18"/>
  <c r="Q578" i="18"/>
  <c r="Q579" i="18"/>
  <c r="Q580" i="18"/>
  <c r="Q581" i="18"/>
  <c r="Q582" i="18"/>
  <c r="Q583" i="18"/>
  <c r="Q584" i="18"/>
  <c r="Q585" i="18"/>
  <c r="Q586" i="18"/>
  <c r="Q587" i="18"/>
  <c r="Q588" i="18"/>
  <c r="Q589" i="18"/>
  <c r="Q590" i="18"/>
  <c r="Q591" i="18"/>
  <c r="Q592" i="18"/>
  <c r="Q593" i="18"/>
  <c r="Q594" i="18"/>
  <c r="Q595" i="18"/>
  <c r="Q596" i="18"/>
  <c r="Q597" i="18"/>
  <c r="Q598" i="18"/>
  <c r="Q599" i="18"/>
  <c r="Q600" i="18"/>
  <c r="Q601" i="18"/>
  <c r="Q602" i="18"/>
  <c r="Q603" i="18"/>
  <c r="Q604" i="18"/>
  <c r="Q605" i="18"/>
  <c r="Q606" i="18"/>
  <c r="Q607" i="18"/>
  <c r="Q608" i="18"/>
  <c r="Q609" i="18"/>
  <c r="Q610" i="18"/>
  <c r="Q611" i="18"/>
  <c r="Q612" i="18"/>
  <c r="Q613" i="18"/>
  <c r="Q614" i="18"/>
  <c r="Q615" i="18"/>
  <c r="Q616" i="18"/>
  <c r="Q617" i="18"/>
  <c r="Q618" i="18"/>
  <c r="Q619" i="18"/>
  <c r="Q620" i="18"/>
  <c r="Q621" i="18"/>
  <c r="Q622" i="18"/>
  <c r="Q623" i="18"/>
  <c r="Q624" i="18"/>
  <c r="Q625" i="18"/>
  <c r="Q626" i="18"/>
  <c r="Q627" i="18"/>
  <c r="Q628" i="18"/>
  <c r="Q629" i="18"/>
  <c r="Q630" i="18"/>
  <c r="Q631" i="18"/>
  <c r="Q632" i="18"/>
  <c r="Q633" i="18"/>
  <c r="Q634" i="18"/>
  <c r="Q635" i="18"/>
  <c r="Q636" i="18"/>
  <c r="Q637" i="18"/>
  <c r="Q638" i="18"/>
  <c r="Q639" i="18"/>
  <c r="Q640" i="18"/>
  <c r="Q641" i="18"/>
  <c r="Q642" i="18"/>
  <c r="Q643" i="18"/>
  <c r="Q644" i="18"/>
  <c r="Q645" i="18"/>
  <c r="Q646" i="18"/>
  <c r="Q647" i="18"/>
  <c r="Q648" i="18"/>
  <c r="Q649" i="18"/>
  <c r="Q650" i="18"/>
  <c r="Q651" i="18"/>
  <c r="Q652" i="18"/>
  <c r="Q653" i="18"/>
  <c r="Q654" i="18"/>
  <c r="Q655" i="18"/>
  <c r="Q656" i="18"/>
  <c r="Q657" i="18"/>
  <c r="Q658" i="18"/>
  <c r="Q659" i="18"/>
  <c r="Q660" i="18"/>
  <c r="Q661" i="18"/>
  <c r="Q662" i="18"/>
  <c r="Q663" i="18"/>
  <c r="Q664" i="18"/>
  <c r="Q665" i="18"/>
  <c r="Q666" i="18"/>
  <c r="Q667" i="18"/>
  <c r="Q668" i="18"/>
  <c r="Q669" i="18"/>
  <c r="Q670" i="18"/>
  <c r="Q671" i="18"/>
  <c r="Q672" i="18"/>
  <c r="Q673" i="18"/>
  <c r="Q674" i="18"/>
  <c r="Q675" i="18"/>
  <c r="Q676" i="18"/>
  <c r="Q677" i="18"/>
  <c r="Q678" i="18"/>
  <c r="Q679" i="18"/>
  <c r="Q680" i="18"/>
  <c r="Q681" i="18"/>
  <c r="Q682" i="18"/>
  <c r="Q683" i="18"/>
  <c r="Q684" i="18"/>
  <c r="Q685" i="18"/>
  <c r="Q686" i="18"/>
  <c r="Q687" i="18"/>
  <c r="Q688" i="18"/>
  <c r="Q689" i="18"/>
  <c r="Q690" i="18"/>
  <c r="Q691" i="18"/>
  <c r="Q692" i="18"/>
  <c r="Q693" i="18"/>
  <c r="Q694" i="18"/>
  <c r="Q695" i="18"/>
  <c r="Q696" i="18"/>
  <c r="Q697" i="18"/>
  <c r="Q698" i="18"/>
  <c r="Q699" i="18"/>
  <c r="Q700" i="18"/>
  <c r="Q701" i="18"/>
  <c r="Q702" i="18"/>
  <c r="Q703" i="18"/>
  <c r="Q704" i="18"/>
  <c r="Q705" i="18"/>
  <c r="Q706" i="18"/>
  <c r="Q707" i="18"/>
  <c r="Q708" i="18"/>
  <c r="Q709" i="18"/>
  <c r="Q710" i="18"/>
  <c r="Q711" i="18"/>
  <c r="Q712" i="18"/>
  <c r="Q713" i="18"/>
  <c r="Q714" i="18"/>
  <c r="Q715" i="18"/>
  <c r="Q716" i="18"/>
  <c r="Q717" i="18"/>
  <c r="Q718" i="18"/>
  <c r="Q719" i="18"/>
  <c r="Q720" i="18"/>
  <c r="Q721" i="18"/>
  <c r="Q722" i="18"/>
  <c r="Q723" i="18"/>
  <c r="Q724" i="18"/>
  <c r="Q725" i="18"/>
  <c r="Q726" i="18"/>
  <c r="Q727" i="18"/>
  <c r="Q728" i="18"/>
  <c r="Q729" i="18"/>
  <c r="Q730" i="18"/>
  <c r="Q731" i="18"/>
  <c r="Q732" i="18"/>
  <c r="Q733" i="18"/>
  <c r="Q734" i="18"/>
  <c r="Q735" i="18"/>
  <c r="Q736" i="18"/>
  <c r="Q737" i="18"/>
  <c r="Q738" i="18"/>
  <c r="Q739" i="18"/>
  <c r="Q740" i="18"/>
  <c r="Q741" i="18"/>
  <c r="Q742" i="18"/>
  <c r="Q743" i="18"/>
  <c r="Q744" i="18"/>
  <c r="Q745" i="18"/>
  <c r="Q746" i="18"/>
  <c r="Q747" i="18"/>
  <c r="Q748" i="18"/>
  <c r="Q749" i="18"/>
  <c r="Q750" i="18"/>
  <c r="Q751" i="18"/>
  <c r="Q752" i="18"/>
  <c r="Q753" i="18"/>
  <c r="Q754" i="18"/>
  <c r="Q755" i="18"/>
  <c r="Q756" i="18"/>
  <c r="Q757" i="18"/>
  <c r="Q758" i="18"/>
  <c r="Q759" i="18"/>
  <c r="Q760" i="18"/>
  <c r="Q761" i="18"/>
  <c r="Q762" i="18"/>
  <c r="Q763" i="18"/>
  <c r="Q764" i="18"/>
  <c r="Q765" i="18"/>
  <c r="Q766" i="18"/>
  <c r="Q767" i="18"/>
  <c r="Q768" i="18"/>
  <c r="Q769" i="18"/>
  <c r="Q770" i="18"/>
  <c r="Q771" i="18"/>
  <c r="Q772" i="18"/>
  <c r="Q773" i="18"/>
  <c r="Q774" i="18"/>
  <c r="Q775" i="18"/>
  <c r="Q776" i="18"/>
  <c r="Q777" i="18"/>
  <c r="Q778" i="18"/>
  <c r="Q779" i="18"/>
  <c r="Q780" i="18"/>
  <c r="Q781" i="18"/>
  <c r="Q782" i="18"/>
  <c r="Q783" i="18"/>
  <c r="Q784" i="18"/>
  <c r="Q785" i="18"/>
  <c r="Q786" i="18"/>
  <c r="Q787" i="18"/>
  <c r="Q788" i="18"/>
  <c r="Q789" i="18"/>
  <c r="Q790" i="18"/>
  <c r="Q791" i="18"/>
  <c r="Q792" i="18"/>
  <c r="Q793" i="18"/>
  <c r="Q794" i="18"/>
  <c r="Q795" i="18"/>
  <c r="Q796" i="18"/>
  <c r="Q797" i="18"/>
  <c r="Q798" i="18"/>
  <c r="Q799" i="18"/>
  <c r="Q800" i="18"/>
  <c r="Q801" i="18"/>
  <c r="Q802" i="18"/>
  <c r="Q803" i="18"/>
  <c r="Q804" i="18"/>
  <c r="Q805" i="18"/>
  <c r="Q806" i="18"/>
  <c r="Q807" i="18"/>
  <c r="Q808" i="18"/>
  <c r="Q809" i="18"/>
  <c r="Q810" i="18"/>
  <c r="Q811" i="18"/>
  <c r="Q812" i="18"/>
  <c r="Q813" i="18"/>
  <c r="Q814" i="18"/>
  <c r="Q815" i="18"/>
  <c r="Q816" i="18"/>
  <c r="Q817" i="18"/>
  <c r="Q818" i="18"/>
  <c r="Q819" i="18"/>
  <c r="Q820" i="18"/>
  <c r="Q821" i="18"/>
  <c r="Q822" i="18"/>
  <c r="Q823" i="18"/>
  <c r="Q824" i="18"/>
  <c r="Q825" i="18"/>
  <c r="Q826" i="18"/>
  <c r="Q827" i="18"/>
  <c r="Q828" i="18"/>
  <c r="Q829" i="18"/>
  <c r="Q830" i="18"/>
  <c r="Q831" i="18"/>
  <c r="Q832" i="18"/>
  <c r="Q833" i="18"/>
  <c r="Q834" i="18"/>
  <c r="Q835" i="18"/>
  <c r="Q836" i="18"/>
  <c r="Q837" i="18"/>
  <c r="Q838" i="18"/>
  <c r="Q839" i="18"/>
  <c r="Q840" i="18"/>
  <c r="Q841" i="18"/>
  <c r="Q842" i="18"/>
  <c r="Q843" i="18"/>
  <c r="Q844" i="18"/>
  <c r="Q845" i="18"/>
  <c r="Q846" i="18"/>
  <c r="Q847" i="18"/>
  <c r="Q848" i="18"/>
  <c r="Q849" i="18"/>
  <c r="Q850" i="18"/>
  <c r="Q851" i="18"/>
  <c r="Q852" i="18"/>
  <c r="Q853" i="18"/>
  <c r="Q854" i="18"/>
  <c r="Q855" i="18"/>
  <c r="Q856" i="18"/>
  <c r="Q857" i="18"/>
  <c r="Q858" i="18"/>
  <c r="Q859" i="18"/>
  <c r="Q860" i="18"/>
  <c r="Q861" i="18"/>
  <c r="Q862" i="18"/>
  <c r="Q863" i="18"/>
  <c r="Q864" i="18"/>
  <c r="Q865" i="18"/>
  <c r="Q866" i="18"/>
  <c r="Q867" i="18"/>
  <c r="Q868" i="18"/>
  <c r="Q869" i="18"/>
  <c r="Q870" i="18"/>
  <c r="Q871" i="18"/>
  <c r="Q872" i="18"/>
  <c r="Q873" i="18"/>
  <c r="Q874" i="18"/>
  <c r="Q875" i="18"/>
  <c r="Q876" i="18"/>
  <c r="Q877" i="18"/>
  <c r="Q878" i="18"/>
  <c r="Q879" i="18"/>
  <c r="Q880" i="18"/>
  <c r="Q881" i="18"/>
  <c r="Q882" i="18"/>
  <c r="Q883" i="18"/>
  <c r="Q884" i="18"/>
  <c r="Q885" i="18"/>
  <c r="Q886" i="18"/>
  <c r="Q887" i="18"/>
  <c r="Q888" i="18"/>
  <c r="Q889" i="18"/>
  <c r="Q890" i="18"/>
  <c r="Q891" i="18"/>
  <c r="Q892" i="18"/>
  <c r="Q893" i="18"/>
  <c r="Q894" i="18"/>
  <c r="Q895" i="18"/>
  <c r="Q896" i="18"/>
  <c r="Q897" i="18"/>
  <c r="Q898" i="18"/>
  <c r="Q899" i="18"/>
  <c r="Q900" i="18"/>
  <c r="Q901" i="18"/>
  <c r="Q902" i="18"/>
  <c r="Q903" i="18"/>
  <c r="Q904" i="18"/>
  <c r="Q905" i="18"/>
  <c r="Q906" i="18"/>
  <c r="Q907" i="18"/>
  <c r="Q908" i="18"/>
  <c r="Q909" i="18"/>
  <c r="Q910" i="18"/>
  <c r="Q911" i="18"/>
  <c r="Q912" i="18"/>
  <c r="Q913" i="18"/>
  <c r="Q914" i="18"/>
  <c r="Q915" i="18"/>
  <c r="Q916" i="18"/>
  <c r="Q917" i="18"/>
  <c r="Q918" i="18"/>
  <c r="Q919" i="18"/>
  <c r="Q920" i="18"/>
  <c r="Q921" i="18"/>
  <c r="Q922" i="18"/>
  <c r="Q923" i="18"/>
  <c r="Q924" i="18"/>
  <c r="Q925" i="18"/>
  <c r="Q926" i="18"/>
  <c r="Q927" i="18"/>
  <c r="Q928" i="18"/>
  <c r="Q929" i="18"/>
  <c r="Q930" i="18"/>
  <c r="Q931" i="18"/>
  <c r="Q932" i="18"/>
  <c r="Q933" i="18"/>
  <c r="Q934" i="18"/>
  <c r="Q935" i="18"/>
  <c r="Q936" i="18"/>
  <c r="Q937" i="18"/>
  <c r="Q938" i="18"/>
  <c r="Q939" i="18"/>
  <c r="Q940" i="18"/>
  <c r="Q941" i="18"/>
  <c r="Q942" i="18"/>
  <c r="Q943" i="18"/>
  <c r="Q944" i="18"/>
  <c r="Q945" i="18"/>
  <c r="Q946" i="18"/>
  <c r="Q947" i="18"/>
  <c r="Q948" i="18"/>
  <c r="Q949" i="18"/>
  <c r="Q950" i="18"/>
  <c r="Q951" i="18"/>
  <c r="Q952" i="18"/>
  <c r="Q953" i="18"/>
  <c r="Q954" i="18"/>
  <c r="Q955" i="18"/>
  <c r="Q956" i="18"/>
  <c r="Q957" i="18"/>
  <c r="Q958" i="18"/>
  <c r="Q959" i="18"/>
  <c r="Q960" i="18"/>
  <c r="Q961" i="18"/>
  <c r="Q962" i="18"/>
  <c r="Q963" i="18"/>
  <c r="Q964" i="18"/>
  <c r="Q965" i="18"/>
  <c r="Q966" i="18"/>
  <c r="Q967" i="18"/>
  <c r="Q968" i="18"/>
  <c r="Q969" i="18"/>
  <c r="Q970" i="18"/>
  <c r="Q971" i="18"/>
  <c r="Q972" i="18"/>
  <c r="Q973" i="18"/>
  <c r="Q974" i="18"/>
  <c r="Q975" i="18"/>
  <c r="Q976" i="18"/>
  <c r="Q977" i="18"/>
  <c r="Q978" i="18"/>
  <c r="Q979" i="18"/>
  <c r="Q980" i="18"/>
  <c r="Q981" i="18"/>
  <c r="Q982" i="18"/>
  <c r="Q983" i="18"/>
  <c r="Q984" i="18"/>
  <c r="Q985" i="18"/>
  <c r="Q986" i="18"/>
  <c r="Q987" i="18"/>
  <c r="Q988" i="18"/>
  <c r="Q989" i="18"/>
  <c r="Q990" i="18"/>
  <c r="Q991" i="18"/>
  <c r="Q992" i="18"/>
  <c r="Q993" i="18"/>
  <c r="Q994" i="18"/>
  <c r="Q995" i="18"/>
  <c r="Q996" i="18"/>
  <c r="Q997" i="18"/>
  <c r="Q998" i="18"/>
  <c r="Q999" i="18"/>
  <c r="Q1000" i="18"/>
  <c r="Q1001" i="18"/>
  <c r="Q1002" i="18"/>
  <c r="Q1003" i="18"/>
  <c r="Q1004" i="18"/>
  <c r="Q1005" i="18"/>
  <c r="Q1006" i="18"/>
  <c r="Q1007" i="18"/>
  <c r="Q1008" i="18"/>
  <c r="Q1009" i="18"/>
  <c r="Q1010" i="18"/>
  <c r="Q1011" i="18"/>
  <c r="Q1012" i="18"/>
  <c r="Q1013" i="18"/>
  <c r="Q1014" i="18"/>
  <c r="Q1015" i="18"/>
  <c r="Q1016" i="18"/>
  <c r="Q1017" i="18"/>
  <c r="Q1018" i="18"/>
  <c r="Q1019" i="18"/>
  <c r="Q1020" i="18"/>
  <c r="Q1021" i="18"/>
  <c r="Q1022" i="18"/>
  <c r="Q1023" i="18"/>
  <c r="Q1024" i="18"/>
  <c r="Q1025" i="18"/>
  <c r="Q1026" i="18"/>
  <c r="Q1027" i="18"/>
  <c r="Q1028" i="18"/>
  <c r="Q1029" i="18"/>
  <c r="Q1030" i="18"/>
  <c r="Q1031" i="18"/>
  <c r="Q1032" i="18"/>
  <c r="Q1033" i="18"/>
  <c r="Q1034" i="18"/>
  <c r="Q1035" i="18"/>
  <c r="Q1036" i="18"/>
  <c r="Q1037" i="18"/>
  <c r="Q1038" i="18"/>
  <c r="Q1039" i="18"/>
  <c r="Q1040" i="18"/>
  <c r="Q1041" i="18"/>
  <c r="Q1042" i="18"/>
  <c r="Q1043" i="18"/>
  <c r="Q1044" i="18"/>
  <c r="Q1045" i="18"/>
  <c r="Q1046" i="18"/>
  <c r="Q1047" i="18"/>
  <c r="Q1048" i="18"/>
  <c r="Q1049" i="18"/>
  <c r="Q1050" i="18"/>
  <c r="Q1051" i="18"/>
  <c r="Q1052" i="18"/>
  <c r="Q1053" i="18"/>
  <c r="Q1054" i="18"/>
  <c r="Q1055" i="18"/>
  <c r="Q1056" i="18"/>
  <c r="Q1057" i="18"/>
  <c r="Q1058" i="18"/>
  <c r="Q1059" i="18"/>
  <c r="Q1060" i="18"/>
  <c r="Q1061" i="18"/>
  <c r="Q1062" i="18"/>
  <c r="Q1063" i="18"/>
  <c r="Q1064" i="18"/>
  <c r="Q1065" i="18"/>
  <c r="Q1066" i="18"/>
  <c r="Q1067" i="18"/>
  <c r="Q1068" i="18"/>
  <c r="Q1069" i="18"/>
  <c r="Q1070" i="18"/>
  <c r="Q1071" i="18"/>
  <c r="Q1072" i="18"/>
  <c r="Q1073" i="18"/>
  <c r="Q1074" i="18"/>
  <c r="Q1075" i="18"/>
  <c r="Q1076" i="18"/>
  <c r="Q1077" i="18"/>
  <c r="Q1078" i="18"/>
  <c r="Q1079" i="18"/>
  <c r="Q1080" i="18"/>
  <c r="Q1081" i="18"/>
  <c r="Q1082" i="18"/>
  <c r="Q1083" i="18"/>
  <c r="Q1084" i="18"/>
  <c r="Q1085" i="18"/>
  <c r="Q1086" i="18"/>
  <c r="Q1087" i="18"/>
  <c r="Q1088" i="18"/>
  <c r="Q1089" i="18"/>
  <c r="Q1090" i="18"/>
  <c r="Q1091" i="18"/>
  <c r="Q1092" i="18"/>
  <c r="Q1093" i="18"/>
  <c r="Q1094" i="18"/>
  <c r="Q1095" i="18"/>
  <c r="Q1096" i="18"/>
  <c r="Q1097" i="18"/>
  <c r="Q1098" i="18"/>
  <c r="Q1099" i="18"/>
  <c r="Q1100" i="18"/>
  <c r="Q1101" i="18"/>
  <c r="Q1102" i="18"/>
  <c r="Q1103" i="18"/>
  <c r="Q1104" i="18"/>
  <c r="Q1105" i="18"/>
  <c r="Q1106" i="18"/>
  <c r="Q1107" i="18"/>
  <c r="Q1108" i="18"/>
  <c r="Q1109" i="18"/>
  <c r="Q1110" i="18"/>
  <c r="Q1111" i="18"/>
  <c r="Q1112" i="18"/>
  <c r="Q1113" i="18"/>
  <c r="Q1114" i="18"/>
  <c r="Q1115" i="18"/>
  <c r="Q1116" i="18"/>
  <c r="Q1117" i="18"/>
  <c r="Q1118" i="18"/>
  <c r="Q1119" i="18"/>
  <c r="Q1120" i="18"/>
  <c r="Q1121" i="18"/>
  <c r="Q1122" i="18"/>
  <c r="Q1123" i="18"/>
  <c r="Q1124" i="18"/>
  <c r="Q1125" i="18"/>
  <c r="Q1126" i="18"/>
  <c r="Q1127" i="18"/>
  <c r="Q1128" i="18"/>
  <c r="Q1129" i="18"/>
  <c r="Q1130" i="18"/>
  <c r="Q1131" i="18"/>
  <c r="Q1132" i="18"/>
  <c r="Q1133" i="18"/>
  <c r="Q1134" i="18"/>
  <c r="Q1135" i="18"/>
  <c r="Q1136" i="18"/>
  <c r="Q1137" i="18"/>
  <c r="Q1138" i="18"/>
  <c r="Q1139" i="18"/>
  <c r="Q1140" i="18"/>
  <c r="Q1141" i="18"/>
  <c r="Q1142" i="18"/>
  <c r="Q1143" i="18"/>
  <c r="Q1144" i="18"/>
  <c r="Q1145" i="18"/>
  <c r="Q1146" i="18"/>
  <c r="Q1147" i="18"/>
  <c r="Q1148" i="18"/>
  <c r="Q1149" i="18"/>
  <c r="Q1150" i="18"/>
  <c r="Q1151" i="18"/>
  <c r="Q1152" i="18"/>
  <c r="Q1153" i="18"/>
  <c r="Q1154" i="18"/>
  <c r="Q1155" i="18"/>
  <c r="Q1156" i="18"/>
  <c r="Q1157" i="18"/>
  <c r="Q1158" i="18"/>
  <c r="Q1159" i="18"/>
  <c r="Q1160" i="18"/>
  <c r="Q1161" i="18"/>
  <c r="Q1162" i="18"/>
  <c r="Q1163" i="18"/>
  <c r="Q1164" i="18"/>
  <c r="Q1165" i="18"/>
  <c r="Q1166" i="18"/>
  <c r="Q1167" i="18"/>
  <c r="Q1168" i="18"/>
  <c r="Q1169" i="18"/>
  <c r="Q1170" i="18"/>
  <c r="Q1171" i="18"/>
  <c r="Q1172" i="18"/>
  <c r="Q1173" i="18"/>
  <c r="Q1174" i="18"/>
  <c r="Q1175" i="18"/>
  <c r="Q1176" i="18"/>
  <c r="P41" i="18"/>
  <c r="P42" i="18"/>
  <c r="P43" i="18"/>
  <c r="P44" i="18"/>
  <c r="P45" i="18"/>
  <c r="P46" i="18"/>
  <c r="P47" i="18"/>
  <c r="P48" i="18"/>
  <c r="P49" i="18"/>
  <c r="P50" i="18"/>
  <c r="P51" i="18"/>
  <c r="P52" i="18"/>
  <c r="P53" i="18"/>
  <c r="P54"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97" i="18"/>
  <c r="P98" i="18"/>
  <c r="P99" i="18"/>
  <c r="P100" i="18"/>
  <c r="P101" i="18"/>
  <c r="P102" i="18"/>
  <c r="P103" i="18"/>
  <c r="P104" i="18"/>
  <c r="P105" i="18"/>
  <c r="P106" i="18"/>
  <c r="P107" i="18"/>
  <c r="P108" i="18"/>
  <c r="P109" i="18"/>
  <c r="P110" i="18"/>
  <c r="P111" i="18"/>
  <c r="P112" i="18"/>
  <c r="P113" i="18"/>
  <c r="P114" i="18"/>
  <c r="P115" i="18"/>
  <c r="P116" i="18"/>
  <c r="P117" i="18"/>
  <c r="P118" i="18"/>
  <c r="P119" i="18"/>
  <c r="P120" i="18"/>
  <c r="P121" i="18"/>
  <c r="P122" i="18"/>
  <c r="P123" i="18"/>
  <c r="P124" i="18"/>
  <c r="P125" i="18"/>
  <c r="P126" i="18"/>
  <c r="P127" i="18"/>
  <c r="P128" i="18"/>
  <c r="P129" i="18"/>
  <c r="P130" i="18"/>
  <c r="P131" i="18"/>
  <c r="P132" i="18"/>
  <c r="P133" i="18"/>
  <c r="P134" i="18"/>
  <c r="P135" i="18"/>
  <c r="P136" i="18"/>
  <c r="P137" i="18"/>
  <c r="P138" i="18"/>
  <c r="P139" i="18"/>
  <c r="P140" i="18"/>
  <c r="P141" i="18"/>
  <c r="P142" i="18"/>
  <c r="P143" i="18"/>
  <c r="P144" i="18"/>
  <c r="P145" i="18"/>
  <c r="P146" i="18"/>
  <c r="P147" i="18"/>
  <c r="P148" i="18"/>
  <c r="P149" i="18"/>
  <c r="P150" i="18"/>
  <c r="P151" i="18"/>
  <c r="P152" i="18"/>
  <c r="P153" i="18"/>
  <c r="P154" i="18"/>
  <c r="P155" i="18"/>
  <c r="P156" i="18"/>
  <c r="P157" i="18"/>
  <c r="P158" i="18"/>
  <c r="P159" i="18"/>
  <c r="P160" i="18"/>
  <c r="P161" i="18"/>
  <c r="P162" i="18"/>
  <c r="P163" i="18"/>
  <c r="P164" i="18"/>
  <c r="P165" i="18"/>
  <c r="P166" i="18"/>
  <c r="P167" i="18"/>
  <c r="P168" i="18"/>
  <c r="P169" i="18"/>
  <c r="P170" i="18"/>
  <c r="P171" i="18"/>
  <c r="P172" i="18"/>
  <c r="P173" i="18"/>
  <c r="P174" i="18"/>
  <c r="P175" i="18"/>
  <c r="P176" i="18"/>
  <c r="P177" i="18"/>
  <c r="P178" i="18"/>
  <c r="P179" i="18"/>
  <c r="P180" i="18"/>
  <c r="P181" i="18"/>
  <c r="P182" i="18"/>
  <c r="P183" i="18"/>
  <c r="P184" i="18"/>
  <c r="P185" i="18"/>
  <c r="P186" i="18"/>
  <c r="P187" i="18"/>
  <c r="P188" i="18"/>
  <c r="P189" i="18"/>
  <c r="P190" i="18"/>
  <c r="P191" i="18"/>
  <c r="P192" i="18"/>
  <c r="P193" i="18"/>
  <c r="P194" i="18"/>
  <c r="P195" i="18"/>
  <c r="P196" i="18"/>
  <c r="P197" i="18"/>
  <c r="P198" i="18"/>
  <c r="P199" i="18"/>
  <c r="P200" i="18"/>
  <c r="P201" i="18"/>
  <c r="P202" i="18"/>
  <c r="P203" i="18"/>
  <c r="P204" i="18"/>
  <c r="P205" i="18"/>
  <c r="P206" i="18"/>
  <c r="P207" i="18"/>
  <c r="P208" i="18"/>
  <c r="P209" i="18"/>
  <c r="P210" i="18"/>
  <c r="P211" i="18"/>
  <c r="P212" i="18"/>
  <c r="P213" i="18"/>
  <c r="P214" i="18"/>
  <c r="P215" i="18"/>
  <c r="P216" i="18"/>
  <c r="P217" i="18"/>
  <c r="P218" i="18"/>
  <c r="P219" i="18"/>
  <c r="P220" i="18"/>
  <c r="P221" i="18"/>
  <c r="P222" i="18"/>
  <c r="P223" i="18"/>
  <c r="P224" i="18"/>
  <c r="P225" i="18"/>
  <c r="P226" i="18"/>
  <c r="P227" i="18"/>
  <c r="P228" i="18"/>
  <c r="P229" i="18"/>
  <c r="P230" i="18"/>
  <c r="P231" i="18"/>
  <c r="P232" i="18"/>
  <c r="P233" i="18"/>
  <c r="P234" i="18"/>
  <c r="P235" i="18"/>
  <c r="P236" i="18"/>
  <c r="P237" i="18"/>
  <c r="P238" i="18"/>
  <c r="P239" i="18"/>
  <c r="P240" i="18"/>
  <c r="P241" i="18"/>
  <c r="P242" i="18"/>
  <c r="P243" i="18"/>
  <c r="P244" i="18"/>
  <c r="P245" i="18"/>
  <c r="P246" i="18"/>
  <c r="P247" i="18"/>
  <c r="P248" i="18"/>
  <c r="P249" i="18"/>
  <c r="P250" i="18"/>
  <c r="P251" i="18"/>
  <c r="P252" i="18"/>
  <c r="P253" i="18"/>
  <c r="P254" i="18"/>
  <c r="P255" i="18"/>
  <c r="P256" i="18"/>
  <c r="P257" i="18"/>
  <c r="P258" i="18"/>
  <c r="P259" i="18"/>
  <c r="P260" i="18"/>
  <c r="P261" i="18"/>
  <c r="P262" i="18"/>
  <c r="P263" i="18"/>
  <c r="P264" i="18"/>
  <c r="P265" i="18"/>
  <c r="P266" i="18"/>
  <c r="P267" i="18"/>
  <c r="P268" i="18"/>
  <c r="P269" i="18"/>
  <c r="P270" i="18"/>
  <c r="P271" i="18"/>
  <c r="P272" i="18"/>
  <c r="P273" i="18"/>
  <c r="P274" i="18"/>
  <c r="P275" i="18"/>
  <c r="P276" i="18"/>
  <c r="P277" i="18"/>
  <c r="P278" i="18"/>
  <c r="P279" i="18"/>
  <c r="P280" i="18"/>
  <c r="P281" i="18"/>
  <c r="P282" i="18"/>
  <c r="P283" i="18"/>
  <c r="P284" i="18"/>
  <c r="P285" i="18"/>
  <c r="P286" i="18"/>
  <c r="P287" i="18"/>
  <c r="P288" i="18"/>
  <c r="P289" i="18"/>
  <c r="P290" i="18"/>
  <c r="P291" i="18"/>
  <c r="P292" i="18"/>
  <c r="P293" i="18"/>
  <c r="P294" i="18"/>
  <c r="P295" i="18"/>
  <c r="P296" i="18"/>
  <c r="P297" i="18"/>
  <c r="P298" i="18"/>
  <c r="P299" i="18"/>
  <c r="P300" i="18"/>
  <c r="P301" i="18"/>
  <c r="P302" i="18"/>
  <c r="P303" i="18"/>
  <c r="P304" i="18"/>
  <c r="P305" i="18"/>
  <c r="P306" i="18"/>
  <c r="P307" i="18"/>
  <c r="P308" i="18"/>
  <c r="P309" i="18"/>
  <c r="P310" i="18"/>
  <c r="P311" i="18"/>
  <c r="P312" i="18"/>
  <c r="P313" i="18"/>
  <c r="P314" i="18"/>
  <c r="P315" i="18"/>
  <c r="P316" i="18"/>
  <c r="P317" i="18"/>
  <c r="P318" i="18"/>
  <c r="P319" i="18"/>
  <c r="P320" i="18"/>
  <c r="P321" i="18"/>
  <c r="P322" i="18"/>
  <c r="P323" i="18"/>
  <c r="P324" i="18"/>
  <c r="P325" i="18"/>
  <c r="P326" i="18"/>
  <c r="P327" i="18"/>
  <c r="P328" i="18"/>
  <c r="P329" i="18"/>
  <c r="P330" i="18"/>
  <c r="P331" i="18"/>
  <c r="P332" i="18"/>
  <c r="P333" i="18"/>
  <c r="P334" i="18"/>
  <c r="P335" i="18"/>
  <c r="P336" i="18"/>
  <c r="P337" i="18"/>
  <c r="P338" i="18"/>
  <c r="P339" i="18"/>
  <c r="P340" i="18"/>
  <c r="P341" i="18"/>
  <c r="P342" i="18"/>
  <c r="P343" i="18"/>
  <c r="P344" i="18"/>
  <c r="P345" i="18"/>
  <c r="P346" i="18"/>
  <c r="P347" i="18"/>
  <c r="P348" i="18"/>
  <c r="P349" i="18"/>
  <c r="P350" i="18"/>
  <c r="P351" i="18"/>
  <c r="P352" i="18"/>
  <c r="P353" i="18"/>
  <c r="P354" i="18"/>
  <c r="P355" i="18"/>
  <c r="P356" i="18"/>
  <c r="P357" i="18"/>
  <c r="P358" i="18"/>
  <c r="P359" i="18"/>
  <c r="P360" i="18"/>
  <c r="P361" i="18"/>
  <c r="P362" i="18"/>
  <c r="P363" i="18"/>
  <c r="P364" i="18"/>
  <c r="P365" i="18"/>
  <c r="P366" i="18"/>
  <c r="P367" i="18"/>
  <c r="P368" i="18"/>
  <c r="P369" i="18"/>
  <c r="P370" i="18"/>
  <c r="P371" i="18"/>
  <c r="P372" i="18"/>
  <c r="P373" i="18"/>
  <c r="P374" i="18"/>
  <c r="P375" i="18"/>
  <c r="P376" i="18"/>
  <c r="P377" i="18"/>
  <c r="P378" i="18"/>
  <c r="P379" i="18"/>
  <c r="P380" i="18"/>
  <c r="P381" i="18"/>
  <c r="P382" i="18"/>
  <c r="P383" i="18"/>
  <c r="P384" i="18"/>
  <c r="P385" i="18"/>
  <c r="P386" i="18"/>
  <c r="P387" i="18"/>
  <c r="P388" i="18"/>
  <c r="P389" i="18"/>
  <c r="P390" i="18"/>
  <c r="P391" i="18"/>
  <c r="P392" i="18"/>
  <c r="P393" i="18"/>
  <c r="P394" i="18"/>
  <c r="P395" i="18"/>
  <c r="P396" i="18"/>
  <c r="P397" i="18"/>
  <c r="P398" i="18"/>
  <c r="P399" i="18"/>
  <c r="P400" i="18"/>
  <c r="P401" i="18"/>
  <c r="P402" i="18"/>
  <c r="P403" i="18"/>
  <c r="P404" i="18"/>
  <c r="P405" i="18"/>
  <c r="P406" i="18"/>
  <c r="P407" i="18"/>
  <c r="P408" i="18"/>
  <c r="P409" i="18"/>
  <c r="P410" i="18"/>
  <c r="P411" i="18"/>
  <c r="P412" i="18"/>
  <c r="P413" i="18"/>
  <c r="P414" i="18"/>
  <c r="P415" i="18"/>
  <c r="P416" i="18"/>
  <c r="P417" i="18"/>
  <c r="P418" i="18"/>
  <c r="P419" i="18"/>
  <c r="P420" i="18"/>
  <c r="P421" i="18"/>
  <c r="P422" i="18"/>
  <c r="P423" i="18"/>
  <c r="P424" i="18"/>
  <c r="P425" i="18"/>
  <c r="P426" i="18"/>
  <c r="P427" i="18"/>
  <c r="P428" i="18"/>
  <c r="P429" i="18"/>
  <c r="P430" i="18"/>
  <c r="P431" i="18"/>
  <c r="P432" i="18"/>
  <c r="P433" i="18"/>
  <c r="P434" i="18"/>
  <c r="P435" i="18"/>
  <c r="P436" i="18"/>
  <c r="P437" i="18"/>
  <c r="P438" i="18"/>
  <c r="P439" i="18"/>
  <c r="P440" i="18"/>
  <c r="P441" i="18"/>
  <c r="P442" i="18"/>
  <c r="P443" i="18"/>
  <c r="P444" i="18"/>
  <c r="P445" i="18"/>
  <c r="P446" i="18"/>
  <c r="P447" i="18"/>
  <c r="P448" i="18"/>
  <c r="P449" i="18"/>
  <c r="P450" i="18"/>
  <c r="P451" i="18"/>
  <c r="P452" i="18"/>
  <c r="P453" i="18"/>
  <c r="P454" i="18"/>
  <c r="P455" i="18"/>
  <c r="P456" i="18"/>
  <c r="P457" i="18"/>
  <c r="P458" i="18"/>
  <c r="P459" i="18"/>
  <c r="P460" i="18"/>
  <c r="P461" i="18"/>
  <c r="P462" i="18"/>
  <c r="P463" i="18"/>
  <c r="P464" i="18"/>
  <c r="P465" i="18"/>
  <c r="P466" i="18"/>
  <c r="P467" i="18"/>
  <c r="P468" i="18"/>
  <c r="P469" i="18"/>
  <c r="P470" i="18"/>
  <c r="P471" i="18"/>
  <c r="P472" i="18"/>
  <c r="P473" i="18"/>
  <c r="P474" i="18"/>
  <c r="P475" i="18"/>
  <c r="P476" i="18"/>
  <c r="P477" i="18"/>
  <c r="P478" i="18"/>
  <c r="P479" i="18"/>
  <c r="P480" i="18"/>
  <c r="P481" i="18"/>
  <c r="P482" i="18"/>
  <c r="P483" i="18"/>
  <c r="P484" i="18"/>
  <c r="P485" i="18"/>
  <c r="P486" i="18"/>
  <c r="P487" i="18"/>
  <c r="P488" i="18"/>
  <c r="P489" i="18"/>
  <c r="P490" i="18"/>
  <c r="P491" i="18"/>
  <c r="P492" i="18"/>
  <c r="P493" i="18"/>
  <c r="P494" i="18"/>
  <c r="P495" i="18"/>
  <c r="P496" i="18"/>
  <c r="P497" i="18"/>
  <c r="P498" i="18"/>
  <c r="P499" i="18"/>
  <c r="P500" i="18"/>
  <c r="P501" i="18"/>
  <c r="P502" i="18"/>
  <c r="P503" i="18"/>
  <c r="P504" i="18"/>
  <c r="P505" i="18"/>
  <c r="P506" i="18"/>
  <c r="P507" i="18"/>
  <c r="P508" i="18"/>
  <c r="P509" i="18"/>
  <c r="P510" i="18"/>
  <c r="P511" i="18"/>
  <c r="P512" i="18"/>
  <c r="P513" i="18"/>
  <c r="P514" i="18"/>
  <c r="P515" i="18"/>
  <c r="P516" i="18"/>
  <c r="P517" i="18"/>
  <c r="P518" i="18"/>
  <c r="P519" i="18"/>
  <c r="P520" i="18"/>
  <c r="P521" i="18"/>
  <c r="P522" i="18"/>
  <c r="P523" i="18"/>
  <c r="P524" i="18"/>
  <c r="P525" i="18"/>
  <c r="P526" i="18"/>
  <c r="P527" i="18"/>
  <c r="P528" i="18"/>
  <c r="P529" i="18"/>
  <c r="P530" i="18"/>
  <c r="P531" i="18"/>
  <c r="P532" i="18"/>
  <c r="P533" i="18"/>
  <c r="P534" i="18"/>
  <c r="P535" i="18"/>
  <c r="P536" i="18"/>
  <c r="P537" i="18"/>
  <c r="P538" i="18"/>
  <c r="P539" i="18"/>
  <c r="P540" i="18"/>
  <c r="P541" i="18"/>
  <c r="P542" i="18"/>
  <c r="P543" i="18"/>
  <c r="P544" i="18"/>
  <c r="P545" i="18"/>
  <c r="P546" i="18"/>
  <c r="P547" i="18"/>
  <c r="P548" i="18"/>
  <c r="P549" i="18"/>
  <c r="P550" i="18"/>
  <c r="P551" i="18"/>
  <c r="P552" i="18"/>
  <c r="P553" i="18"/>
  <c r="P554" i="18"/>
  <c r="P555" i="18"/>
  <c r="P556" i="18"/>
  <c r="P557" i="18"/>
  <c r="P558" i="18"/>
  <c r="P559" i="18"/>
  <c r="P560" i="18"/>
  <c r="P561" i="18"/>
  <c r="P562" i="18"/>
  <c r="P563" i="18"/>
  <c r="P564" i="18"/>
  <c r="P565" i="18"/>
  <c r="P566" i="18"/>
  <c r="P567" i="18"/>
  <c r="P568" i="18"/>
  <c r="P569" i="18"/>
  <c r="P570" i="18"/>
  <c r="P571" i="18"/>
  <c r="P572" i="18"/>
  <c r="P573" i="18"/>
  <c r="P574" i="18"/>
  <c r="P575" i="18"/>
  <c r="P576" i="18"/>
  <c r="P577" i="18"/>
  <c r="P578" i="18"/>
  <c r="P579" i="18"/>
  <c r="P580" i="18"/>
  <c r="P581" i="18"/>
  <c r="P582" i="18"/>
  <c r="P583" i="18"/>
  <c r="P584" i="18"/>
  <c r="P585" i="18"/>
  <c r="P586" i="18"/>
  <c r="P587" i="18"/>
  <c r="P588" i="18"/>
  <c r="P589" i="18"/>
  <c r="P590" i="18"/>
  <c r="P591" i="18"/>
  <c r="P592" i="18"/>
  <c r="P593" i="18"/>
  <c r="P594" i="18"/>
  <c r="P595" i="18"/>
  <c r="P596" i="18"/>
  <c r="P597" i="18"/>
  <c r="P598" i="18"/>
  <c r="P599" i="18"/>
  <c r="P600" i="18"/>
  <c r="P601" i="18"/>
  <c r="P602" i="18"/>
  <c r="P603" i="18"/>
  <c r="P604" i="18"/>
  <c r="P605" i="18"/>
  <c r="P606" i="18"/>
  <c r="P607" i="18"/>
  <c r="P608" i="18"/>
  <c r="P609" i="18"/>
  <c r="P610" i="18"/>
  <c r="P611" i="18"/>
  <c r="P612" i="18"/>
  <c r="P613" i="18"/>
  <c r="P614" i="18"/>
  <c r="P615" i="18"/>
  <c r="P616" i="18"/>
  <c r="P617" i="18"/>
  <c r="P618" i="18"/>
  <c r="P619" i="18"/>
  <c r="P620" i="18"/>
  <c r="P621" i="18"/>
  <c r="P622" i="18"/>
  <c r="P623" i="18"/>
  <c r="P624" i="18"/>
  <c r="P625" i="18"/>
  <c r="P626" i="18"/>
  <c r="P627" i="18"/>
  <c r="P628" i="18"/>
  <c r="P629" i="18"/>
  <c r="P630" i="18"/>
  <c r="P631" i="18"/>
  <c r="P632" i="18"/>
  <c r="P633" i="18"/>
  <c r="P634" i="18"/>
  <c r="P635" i="18"/>
  <c r="P636" i="18"/>
  <c r="P637" i="18"/>
  <c r="P638" i="18"/>
  <c r="P639" i="18"/>
  <c r="P640" i="18"/>
  <c r="P641" i="18"/>
  <c r="P642" i="18"/>
  <c r="P643" i="18"/>
  <c r="P644" i="18"/>
  <c r="P645" i="18"/>
  <c r="P646" i="18"/>
  <c r="P647" i="18"/>
  <c r="P648" i="18"/>
  <c r="P649" i="18"/>
  <c r="P650" i="18"/>
  <c r="P651" i="18"/>
  <c r="P652" i="18"/>
  <c r="P653" i="18"/>
  <c r="P654" i="18"/>
  <c r="P655" i="18"/>
  <c r="P656" i="18"/>
  <c r="P657" i="18"/>
  <c r="P658" i="18"/>
  <c r="P659" i="18"/>
  <c r="P660" i="18"/>
  <c r="P661" i="18"/>
  <c r="P662" i="18"/>
  <c r="P663" i="18"/>
  <c r="P664" i="18"/>
  <c r="P665" i="18"/>
  <c r="P666" i="18"/>
  <c r="P667" i="18"/>
  <c r="P668" i="18"/>
  <c r="P669" i="18"/>
  <c r="P670" i="18"/>
  <c r="P671" i="18"/>
  <c r="P672" i="18"/>
  <c r="P673" i="18"/>
  <c r="P674" i="18"/>
  <c r="P675" i="18"/>
  <c r="P676" i="18"/>
  <c r="P677" i="18"/>
  <c r="P678" i="18"/>
  <c r="P679" i="18"/>
  <c r="P680" i="18"/>
  <c r="P681" i="18"/>
  <c r="P682" i="18"/>
  <c r="P683" i="18"/>
  <c r="P684" i="18"/>
  <c r="P685" i="18"/>
  <c r="P686" i="18"/>
  <c r="P687" i="18"/>
  <c r="P688" i="18"/>
  <c r="P689" i="18"/>
  <c r="P690" i="18"/>
  <c r="P691" i="18"/>
  <c r="P692" i="18"/>
  <c r="P693" i="18"/>
  <c r="P694" i="18"/>
  <c r="P695" i="18"/>
  <c r="P696" i="18"/>
  <c r="P697" i="18"/>
  <c r="P698" i="18"/>
  <c r="P699" i="18"/>
  <c r="P700" i="18"/>
  <c r="P701" i="18"/>
  <c r="P702" i="18"/>
  <c r="P703" i="18"/>
  <c r="P704" i="18"/>
  <c r="P705" i="18"/>
  <c r="P706" i="18"/>
  <c r="P707" i="18"/>
  <c r="P708" i="18"/>
  <c r="P709" i="18"/>
  <c r="P710" i="18"/>
  <c r="P711" i="18"/>
  <c r="P712" i="18"/>
  <c r="P713" i="18"/>
  <c r="P714" i="18"/>
  <c r="P715" i="18"/>
  <c r="P716" i="18"/>
  <c r="P717" i="18"/>
  <c r="P718" i="18"/>
  <c r="P719" i="18"/>
  <c r="P720" i="18"/>
  <c r="P721" i="18"/>
  <c r="P722" i="18"/>
  <c r="P723" i="18"/>
  <c r="P724" i="18"/>
  <c r="P725" i="18"/>
  <c r="P726" i="18"/>
  <c r="P727" i="18"/>
  <c r="P728" i="18"/>
  <c r="P729" i="18"/>
  <c r="P730" i="18"/>
  <c r="P731" i="18"/>
  <c r="P732" i="18"/>
  <c r="P733" i="18"/>
  <c r="P734" i="18"/>
  <c r="P735" i="18"/>
  <c r="P736" i="18"/>
  <c r="P737" i="18"/>
  <c r="P738" i="18"/>
  <c r="P739" i="18"/>
  <c r="P740" i="18"/>
  <c r="P741" i="18"/>
  <c r="P742" i="18"/>
  <c r="P743" i="18"/>
  <c r="P744" i="18"/>
  <c r="P745" i="18"/>
  <c r="P746" i="18"/>
  <c r="P747" i="18"/>
  <c r="P748" i="18"/>
  <c r="P749" i="18"/>
  <c r="P750" i="18"/>
  <c r="P751" i="18"/>
  <c r="P752" i="18"/>
  <c r="P753" i="18"/>
  <c r="P754" i="18"/>
  <c r="P755" i="18"/>
  <c r="P756" i="18"/>
  <c r="P757" i="18"/>
  <c r="P758" i="18"/>
  <c r="P759" i="18"/>
  <c r="P760" i="18"/>
  <c r="P761" i="18"/>
  <c r="P762" i="18"/>
  <c r="P763" i="18"/>
  <c r="P764" i="18"/>
  <c r="P765" i="18"/>
  <c r="P766" i="18"/>
  <c r="P767" i="18"/>
  <c r="P768" i="18"/>
  <c r="P769" i="18"/>
  <c r="P770" i="18"/>
  <c r="P771" i="18"/>
  <c r="P772" i="18"/>
  <c r="P773" i="18"/>
  <c r="P774" i="18"/>
  <c r="P775" i="18"/>
  <c r="P776" i="18"/>
  <c r="P777" i="18"/>
  <c r="P778" i="18"/>
  <c r="P779" i="18"/>
  <c r="P780" i="18"/>
  <c r="P781" i="18"/>
  <c r="P782" i="18"/>
  <c r="P783" i="18"/>
  <c r="P784" i="18"/>
  <c r="P785" i="18"/>
  <c r="P786" i="18"/>
  <c r="P787" i="18"/>
  <c r="P788" i="18"/>
  <c r="P789" i="18"/>
  <c r="P790" i="18"/>
  <c r="P791" i="18"/>
  <c r="P792" i="18"/>
  <c r="P793" i="18"/>
  <c r="P794" i="18"/>
  <c r="P795" i="18"/>
  <c r="P796" i="18"/>
  <c r="P797" i="18"/>
  <c r="P798" i="18"/>
  <c r="P799" i="18"/>
  <c r="P800" i="18"/>
  <c r="P801" i="18"/>
  <c r="P802" i="18"/>
  <c r="P803" i="18"/>
  <c r="P804" i="18"/>
  <c r="P805" i="18"/>
  <c r="P806" i="18"/>
  <c r="P807" i="18"/>
  <c r="P808" i="18"/>
  <c r="P809" i="18"/>
  <c r="P810" i="18"/>
  <c r="P811" i="18"/>
  <c r="P812" i="18"/>
  <c r="P813" i="18"/>
  <c r="P814" i="18"/>
  <c r="P815" i="18"/>
  <c r="P816" i="18"/>
  <c r="P817" i="18"/>
  <c r="P818" i="18"/>
  <c r="P819" i="18"/>
  <c r="P820" i="18"/>
  <c r="P821" i="18"/>
  <c r="P822" i="18"/>
  <c r="P823" i="18"/>
  <c r="P824" i="18"/>
  <c r="P825" i="18"/>
  <c r="P826" i="18"/>
  <c r="P827" i="18"/>
  <c r="P828" i="18"/>
  <c r="P829" i="18"/>
  <c r="P830" i="18"/>
  <c r="P831" i="18"/>
  <c r="P832" i="18"/>
  <c r="P833" i="18"/>
  <c r="P834" i="18"/>
  <c r="P835" i="18"/>
  <c r="P836" i="18"/>
  <c r="P837" i="18"/>
  <c r="P838" i="18"/>
  <c r="P839" i="18"/>
  <c r="P840" i="18"/>
  <c r="P841" i="18"/>
  <c r="P842" i="18"/>
  <c r="P843" i="18"/>
  <c r="P844" i="18"/>
  <c r="P845" i="18"/>
  <c r="P846" i="18"/>
  <c r="P847" i="18"/>
  <c r="P848" i="18"/>
  <c r="P849" i="18"/>
  <c r="P850" i="18"/>
  <c r="P851" i="18"/>
  <c r="P852" i="18"/>
  <c r="P853" i="18"/>
  <c r="P854" i="18"/>
  <c r="P855" i="18"/>
  <c r="P856" i="18"/>
  <c r="P857" i="18"/>
  <c r="P858" i="18"/>
  <c r="P859" i="18"/>
  <c r="P860" i="18"/>
  <c r="P861" i="18"/>
  <c r="P862" i="18"/>
  <c r="P863" i="18"/>
  <c r="P864" i="18"/>
  <c r="P865" i="18"/>
  <c r="P866" i="18"/>
  <c r="P867" i="18"/>
  <c r="P868" i="18"/>
  <c r="P869" i="18"/>
  <c r="P870" i="18"/>
  <c r="P871" i="18"/>
  <c r="P872" i="18"/>
  <c r="P873" i="18"/>
  <c r="P874" i="18"/>
  <c r="P875" i="18"/>
  <c r="P876" i="18"/>
  <c r="P877" i="18"/>
  <c r="P878" i="18"/>
  <c r="P879" i="18"/>
  <c r="P880" i="18"/>
  <c r="P881" i="18"/>
  <c r="P882" i="18"/>
  <c r="P883" i="18"/>
  <c r="P884" i="18"/>
  <c r="P885" i="18"/>
  <c r="P886" i="18"/>
  <c r="P887" i="18"/>
  <c r="P888" i="18"/>
  <c r="P889" i="18"/>
  <c r="P890" i="18"/>
  <c r="P891" i="18"/>
  <c r="P892" i="18"/>
  <c r="P893" i="18"/>
  <c r="P894" i="18"/>
  <c r="P895" i="18"/>
  <c r="P896" i="18"/>
  <c r="P897" i="18"/>
  <c r="P898" i="18"/>
  <c r="P899" i="18"/>
  <c r="P900" i="18"/>
  <c r="P901" i="18"/>
  <c r="P902" i="18"/>
  <c r="P903" i="18"/>
  <c r="P904" i="18"/>
  <c r="P905" i="18"/>
  <c r="P906" i="18"/>
  <c r="P907" i="18"/>
  <c r="P908" i="18"/>
  <c r="P909" i="18"/>
  <c r="P910" i="18"/>
  <c r="P911" i="18"/>
  <c r="P912" i="18"/>
  <c r="P913" i="18"/>
  <c r="P914" i="18"/>
  <c r="P915" i="18"/>
  <c r="P916" i="18"/>
  <c r="P917" i="18"/>
  <c r="P918" i="18"/>
  <c r="P919" i="18"/>
  <c r="P920" i="18"/>
  <c r="P921" i="18"/>
  <c r="P922" i="18"/>
  <c r="P923" i="18"/>
  <c r="P924" i="18"/>
  <c r="P925" i="18"/>
  <c r="P926" i="18"/>
  <c r="P927" i="18"/>
  <c r="P928" i="18"/>
  <c r="P929" i="18"/>
  <c r="P930" i="18"/>
  <c r="P931" i="18"/>
  <c r="P932" i="18"/>
  <c r="P933" i="18"/>
  <c r="P934" i="18"/>
  <c r="P935" i="18"/>
  <c r="P936" i="18"/>
  <c r="P937" i="18"/>
  <c r="P938" i="18"/>
  <c r="P939" i="18"/>
  <c r="P940" i="18"/>
  <c r="P941" i="18"/>
  <c r="P942" i="18"/>
  <c r="P943" i="18"/>
  <c r="P944" i="18"/>
  <c r="P945" i="18"/>
  <c r="P946" i="18"/>
  <c r="P947" i="18"/>
  <c r="P948" i="18"/>
  <c r="P949" i="18"/>
  <c r="P950" i="18"/>
  <c r="P951" i="18"/>
  <c r="P952" i="18"/>
  <c r="P953" i="18"/>
  <c r="P954" i="18"/>
  <c r="P955" i="18"/>
  <c r="P956" i="18"/>
  <c r="P957" i="18"/>
  <c r="P958" i="18"/>
  <c r="P959" i="18"/>
  <c r="P960" i="18"/>
  <c r="P961" i="18"/>
  <c r="P962" i="18"/>
  <c r="P963" i="18"/>
  <c r="P964" i="18"/>
  <c r="P965" i="18"/>
  <c r="P966" i="18"/>
  <c r="P967" i="18"/>
  <c r="P968" i="18"/>
  <c r="P969" i="18"/>
  <c r="P970" i="18"/>
  <c r="P971" i="18"/>
  <c r="P972" i="18"/>
  <c r="P973" i="18"/>
  <c r="P974" i="18"/>
  <c r="P975" i="18"/>
  <c r="P976" i="18"/>
  <c r="P977" i="18"/>
  <c r="P978" i="18"/>
  <c r="P979" i="18"/>
  <c r="P980" i="18"/>
  <c r="P981" i="18"/>
  <c r="P982" i="18"/>
  <c r="P983" i="18"/>
  <c r="P984" i="18"/>
  <c r="P985" i="18"/>
  <c r="P986" i="18"/>
  <c r="P987" i="18"/>
  <c r="P988" i="18"/>
  <c r="P989" i="18"/>
  <c r="P990" i="18"/>
  <c r="P991" i="18"/>
  <c r="P992" i="18"/>
  <c r="P993" i="18"/>
  <c r="P994" i="18"/>
  <c r="P995" i="18"/>
  <c r="P996" i="18"/>
  <c r="P997" i="18"/>
  <c r="P998" i="18"/>
  <c r="P999" i="18"/>
  <c r="P1000" i="18"/>
  <c r="P1001" i="18"/>
  <c r="P1002" i="18"/>
  <c r="P1003" i="18"/>
  <c r="P1004" i="18"/>
  <c r="P1005" i="18"/>
  <c r="P1006" i="18"/>
  <c r="P1007" i="18"/>
  <c r="P1008" i="18"/>
  <c r="P1009" i="18"/>
  <c r="P1010" i="18"/>
  <c r="P1011" i="18"/>
  <c r="P1012" i="18"/>
  <c r="P1013" i="18"/>
  <c r="P1014" i="18"/>
  <c r="P1015" i="18"/>
  <c r="P1016" i="18"/>
  <c r="P1017" i="18"/>
  <c r="P1018" i="18"/>
  <c r="P1019" i="18"/>
  <c r="P1020" i="18"/>
  <c r="P1021" i="18"/>
  <c r="P1022" i="18"/>
  <c r="P1023" i="18"/>
  <c r="P1024" i="18"/>
  <c r="P1025" i="18"/>
  <c r="P1026" i="18"/>
  <c r="P1027" i="18"/>
  <c r="P1028" i="18"/>
  <c r="P1029" i="18"/>
  <c r="P1030" i="18"/>
  <c r="P1031" i="18"/>
  <c r="P1032" i="18"/>
  <c r="P1033" i="18"/>
  <c r="P1034" i="18"/>
  <c r="P1035" i="18"/>
  <c r="P1036" i="18"/>
  <c r="P1037" i="18"/>
  <c r="P1038" i="18"/>
  <c r="P1039" i="18"/>
  <c r="P1040" i="18"/>
  <c r="P1041" i="18"/>
  <c r="P1042" i="18"/>
  <c r="P1043" i="18"/>
  <c r="P1044" i="18"/>
  <c r="P1045" i="18"/>
  <c r="P1046" i="18"/>
  <c r="P1047" i="18"/>
  <c r="P1048" i="18"/>
  <c r="P1049" i="18"/>
  <c r="P1050" i="18"/>
  <c r="P1051" i="18"/>
  <c r="P1052" i="18"/>
  <c r="P1053" i="18"/>
  <c r="P1054" i="18"/>
  <c r="P1055" i="18"/>
  <c r="P1056" i="18"/>
  <c r="P1057" i="18"/>
  <c r="P1058" i="18"/>
  <c r="P1059" i="18"/>
  <c r="P1060" i="18"/>
  <c r="P1061" i="18"/>
  <c r="P1062" i="18"/>
  <c r="P1063" i="18"/>
  <c r="P1064" i="18"/>
  <c r="P1065" i="18"/>
  <c r="P1066" i="18"/>
  <c r="P1067" i="18"/>
  <c r="P1068" i="18"/>
  <c r="P1069" i="18"/>
  <c r="P1070" i="18"/>
  <c r="P1071" i="18"/>
  <c r="P1072" i="18"/>
  <c r="P1073" i="18"/>
  <c r="P1074" i="18"/>
  <c r="P1075" i="18"/>
  <c r="P1076" i="18"/>
  <c r="P1077" i="18"/>
  <c r="P1078" i="18"/>
  <c r="P1079" i="18"/>
  <c r="P1080" i="18"/>
  <c r="P1081" i="18"/>
  <c r="P1082" i="18"/>
  <c r="P1083" i="18"/>
  <c r="P1084" i="18"/>
  <c r="P1085" i="18"/>
  <c r="P1086" i="18"/>
  <c r="P1087" i="18"/>
  <c r="P1088" i="18"/>
  <c r="P1089" i="18"/>
  <c r="P1090" i="18"/>
  <c r="P1091" i="18"/>
  <c r="P1092" i="18"/>
  <c r="P1093" i="18"/>
  <c r="P1094" i="18"/>
  <c r="P1095" i="18"/>
  <c r="P1096" i="18"/>
  <c r="P1097" i="18"/>
  <c r="P1098" i="18"/>
  <c r="P1099" i="18"/>
  <c r="P1100" i="18"/>
  <c r="P1101" i="18"/>
  <c r="P1102" i="18"/>
  <c r="P1103" i="18"/>
  <c r="P1104" i="18"/>
  <c r="P1105" i="18"/>
  <c r="P1106" i="18"/>
  <c r="P1107" i="18"/>
  <c r="P1108" i="18"/>
  <c r="P1109" i="18"/>
  <c r="P1110" i="18"/>
  <c r="P1111" i="18"/>
  <c r="P1112" i="18"/>
  <c r="P1113" i="18"/>
  <c r="P1114" i="18"/>
  <c r="P1115" i="18"/>
  <c r="P1116" i="18"/>
  <c r="P1117" i="18"/>
  <c r="P1118" i="18"/>
  <c r="P1119" i="18"/>
  <c r="P1120" i="18"/>
  <c r="P1121" i="18"/>
  <c r="P1122" i="18"/>
  <c r="P1123" i="18"/>
  <c r="P1124" i="18"/>
  <c r="P1125" i="18"/>
  <c r="P1126" i="18"/>
  <c r="P1127" i="18"/>
  <c r="P1128" i="18"/>
  <c r="P1129" i="18"/>
  <c r="P1130" i="18"/>
  <c r="P1131" i="18"/>
  <c r="P1132" i="18"/>
  <c r="P1133" i="18"/>
  <c r="P1134" i="18"/>
  <c r="P1135" i="18"/>
  <c r="P1136" i="18"/>
  <c r="P1137" i="18"/>
  <c r="P1138" i="18"/>
  <c r="P1139" i="18"/>
  <c r="P1140" i="18"/>
  <c r="P1141" i="18"/>
  <c r="P1142" i="18"/>
  <c r="P1143" i="18"/>
  <c r="P1144" i="18"/>
  <c r="P1145" i="18"/>
  <c r="P1146" i="18"/>
  <c r="P1147" i="18"/>
  <c r="P1148" i="18"/>
  <c r="P1149" i="18"/>
  <c r="P1150" i="18"/>
  <c r="P1151" i="18"/>
  <c r="P1152" i="18"/>
  <c r="P1153" i="18"/>
  <c r="P1154" i="18"/>
  <c r="P1155" i="18"/>
  <c r="P1156" i="18"/>
  <c r="P1157" i="18"/>
  <c r="P1158" i="18"/>
  <c r="P1159" i="18"/>
  <c r="P1160" i="18"/>
  <c r="P1161" i="18"/>
  <c r="P1162" i="18"/>
  <c r="P1163" i="18"/>
  <c r="P1164" i="18"/>
  <c r="P1165" i="18"/>
  <c r="P1166" i="18"/>
  <c r="P1167" i="18"/>
  <c r="P1168" i="18"/>
  <c r="P1169" i="18"/>
  <c r="P1170" i="18"/>
  <c r="P1171" i="18"/>
  <c r="P1172" i="18"/>
  <c r="P1173" i="18"/>
  <c r="P1174" i="18"/>
  <c r="P1175" i="18"/>
  <c r="P1176" i="18"/>
  <c r="P1177" i="18"/>
  <c r="P1178" i="18"/>
  <c r="P1179" i="18"/>
  <c r="P1180"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L17" i="18"/>
  <c r="M17" i="18"/>
  <c r="L18" i="18"/>
  <c r="M18" i="18"/>
  <c r="L19" i="18"/>
  <c r="M19" i="18"/>
  <c r="L20" i="18"/>
  <c r="M20" i="18"/>
  <c r="L21" i="18"/>
  <c r="M21" i="18"/>
  <c r="L22" i="18"/>
  <c r="M22" i="18"/>
  <c r="L23" i="18"/>
  <c r="M23" i="18"/>
  <c r="L24" i="18"/>
  <c r="M24" i="18"/>
  <c r="L25" i="18"/>
  <c r="M25" i="18"/>
  <c r="L26" i="18"/>
  <c r="M26" i="18"/>
  <c r="L27" i="18"/>
  <c r="M27" i="18"/>
  <c r="L28" i="18"/>
  <c r="M28" i="18"/>
  <c r="L29" i="18"/>
  <c r="M29" i="18"/>
  <c r="L30" i="18"/>
  <c r="M30" i="18"/>
  <c r="L31" i="18"/>
  <c r="M31" i="18"/>
  <c r="L32" i="18"/>
  <c r="M32" i="18"/>
  <c r="L33" i="18"/>
  <c r="M33" i="18"/>
  <c r="L34" i="18"/>
  <c r="M34" i="18"/>
  <c r="L35" i="18"/>
  <c r="M35" i="18"/>
  <c r="L36" i="18"/>
  <c r="M36" i="18"/>
  <c r="L37" i="18"/>
  <c r="M37" i="18"/>
  <c r="L38" i="18"/>
  <c r="M38" i="18"/>
  <c r="L39" i="18"/>
  <c r="M39" i="18"/>
  <c r="L40" i="18"/>
  <c r="M40" i="18"/>
  <c r="L41" i="18"/>
  <c r="M41" i="18"/>
  <c r="L42" i="18"/>
  <c r="M42" i="18"/>
  <c r="L43" i="18"/>
  <c r="M43" i="18"/>
  <c r="L44" i="18"/>
  <c r="M44" i="18"/>
  <c r="L45" i="18"/>
  <c r="M45" i="18"/>
  <c r="L46" i="18"/>
  <c r="M46" i="18"/>
  <c r="L47" i="18"/>
  <c r="M47" i="18"/>
  <c r="L48" i="18"/>
  <c r="M48" i="18"/>
  <c r="L49" i="18"/>
  <c r="M49" i="18"/>
  <c r="L50" i="18"/>
  <c r="M50" i="18"/>
  <c r="L51" i="18"/>
  <c r="M51" i="18"/>
  <c r="L52" i="18"/>
  <c r="M52" i="18"/>
  <c r="L53" i="18"/>
  <c r="M53" i="18"/>
  <c r="L54" i="18"/>
  <c r="M54" i="18"/>
  <c r="L55" i="18"/>
  <c r="M55" i="18"/>
  <c r="L56" i="18"/>
  <c r="M56" i="18"/>
  <c r="L57" i="18"/>
  <c r="M57" i="18"/>
  <c r="L58" i="18"/>
  <c r="M58" i="18"/>
  <c r="L59" i="18"/>
  <c r="M59" i="18"/>
  <c r="L60" i="18"/>
  <c r="M60" i="18"/>
  <c r="L61" i="18"/>
  <c r="M61" i="18"/>
  <c r="L62" i="18"/>
  <c r="M62" i="18"/>
  <c r="L63" i="18"/>
  <c r="M63" i="18"/>
  <c r="L64" i="18"/>
  <c r="M64" i="18"/>
  <c r="L65" i="18"/>
  <c r="M65" i="18"/>
  <c r="L66" i="18"/>
  <c r="M66" i="18"/>
  <c r="L67" i="18"/>
  <c r="M67" i="18"/>
  <c r="L68" i="18"/>
  <c r="M68" i="18"/>
  <c r="L69" i="18"/>
  <c r="M69" i="18"/>
  <c r="L70" i="18"/>
  <c r="M70" i="18"/>
  <c r="L71" i="18"/>
  <c r="M71" i="18"/>
  <c r="L72" i="18"/>
  <c r="M72" i="18"/>
  <c r="L73" i="18"/>
  <c r="M73" i="18"/>
  <c r="L74" i="18"/>
  <c r="M74" i="18"/>
  <c r="L75" i="18"/>
  <c r="M75" i="18"/>
  <c r="L76" i="18"/>
  <c r="M76" i="18"/>
  <c r="L77" i="18"/>
  <c r="M77" i="18"/>
  <c r="L78" i="18"/>
  <c r="M78" i="18"/>
  <c r="L79" i="18"/>
  <c r="M79" i="18"/>
  <c r="L80" i="18"/>
  <c r="M80" i="18"/>
  <c r="L81" i="18"/>
  <c r="M81" i="18"/>
  <c r="L82" i="18"/>
  <c r="M82" i="18"/>
  <c r="L83" i="18"/>
  <c r="M83" i="18"/>
  <c r="L84" i="18"/>
  <c r="M84" i="18"/>
  <c r="L85" i="18"/>
  <c r="M85" i="18"/>
  <c r="L86" i="18"/>
  <c r="M86" i="18"/>
  <c r="L87" i="18"/>
  <c r="M87" i="18"/>
  <c r="L88" i="18"/>
  <c r="M88" i="18"/>
  <c r="L89" i="18"/>
  <c r="M89" i="18"/>
  <c r="L90" i="18"/>
  <c r="M90" i="18"/>
  <c r="L91" i="18"/>
  <c r="M91" i="18"/>
  <c r="L92" i="18"/>
  <c r="M92" i="18"/>
  <c r="L93" i="18"/>
  <c r="M93" i="18"/>
  <c r="L94" i="18"/>
  <c r="M94" i="18"/>
  <c r="L95" i="18"/>
  <c r="M95" i="18"/>
  <c r="L96" i="18"/>
  <c r="M96" i="18"/>
  <c r="L97" i="18"/>
  <c r="M97" i="18"/>
  <c r="L98" i="18"/>
  <c r="M98" i="18"/>
  <c r="L99" i="18"/>
  <c r="M99" i="18"/>
  <c r="L100" i="18"/>
  <c r="M100" i="18"/>
  <c r="L101" i="18"/>
  <c r="M101" i="18"/>
  <c r="L102" i="18"/>
  <c r="M102" i="18"/>
  <c r="L103" i="18"/>
  <c r="M103" i="18"/>
  <c r="L104" i="18"/>
  <c r="M104" i="18"/>
  <c r="L105" i="18"/>
  <c r="M105" i="18"/>
  <c r="L106" i="18"/>
  <c r="M106" i="18"/>
  <c r="L107" i="18"/>
  <c r="M107" i="18"/>
  <c r="L108" i="18"/>
  <c r="M108" i="18"/>
  <c r="L109" i="18"/>
  <c r="M109" i="18"/>
  <c r="L110" i="18"/>
  <c r="M110" i="18"/>
  <c r="L111" i="18"/>
  <c r="M111" i="18"/>
  <c r="L112" i="18"/>
  <c r="M112" i="18"/>
  <c r="L113" i="18"/>
  <c r="M113" i="18"/>
  <c r="L114" i="18"/>
  <c r="M114" i="18"/>
  <c r="L115" i="18"/>
  <c r="M115" i="18"/>
  <c r="L116" i="18"/>
  <c r="M116" i="18"/>
  <c r="L117" i="18"/>
  <c r="M117" i="18"/>
  <c r="L118" i="18"/>
  <c r="M118" i="18"/>
  <c r="L119" i="18"/>
  <c r="M119" i="18"/>
  <c r="L120" i="18"/>
  <c r="M120" i="18"/>
  <c r="L121" i="18"/>
  <c r="M121" i="18"/>
  <c r="L122" i="18"/>
  <c r="M122" i="18"/>
  <c r="L123" i="18"/>
  <c r="M123" i="18"/>
  <c r="L124" i="18"/>
  <c r="M124" i="18"/>
  <c r="L125" i="18"/>
  <c r="M125" i="18"/>
  <c r="L126" i="18"/>
  <c r="M126" i="18"/>
  <c r="L127" i="18"/>
  <c r="M127" i="18"/>
  <c r="L128" i="18"/>
  <c r="M128" i="18"/>
  <c r="L129" i="18"/>
  <c r="M129" i="18"/>
  <c r="L130" i="18"/>
  <c r="M130" i="18"/>
  <c r="L131" i="18"/>
  <c r="M131" i="18"/>
  <c r="L132" i="18"/>
  <c r="M132" i="18"/>
  <c r="L133" i="18"/>
  <c r="M133" i="18"/>
  <c r="L134" i="18"/>
  <c r="M134" i="18"/>
  <c r="L135" i="18"/>
  <c r="M135" i="18"/>
  <c r="L136" i="18"/>
  <c r="M136" i="18"/>
  <c r="L137" i="18"/>
  <c r="M137" i="18"/>
  <c r="L138" i="18"/>
  <c r="M138" i="18"/>
  <c r="L139" i="18"/>
  <c r="M139" i="18"/>
  <c r="L140" i="18"/>
  <c r="M140" i="18"/>
  <c r="L141" i="18"/>
  <c r="M141" i="18"/>
  <c r="L142" i="18"/>
  <c r="M142" i="18"/>
  <c r="L143" i="18"/>
  <c r="M143" i="18"/>
  <c r="L144" i="18"/>
  <c r="M144" i="18"/>
  <c r="L145" i="18"/>
  <c r="M145" i="18"/>
  <c r="L146" i="18"/>
  <c r="M146" i="18"/>
  <c r="L147" i="18"/>
  <c r="M147" i="18"/>
  <c r="L148" i="18"/>
  <c r="M148" i="18"/>
  <c r="L149" i="18"/>
  <c r="M149" i="18"/>
  <c r="L150" i="18"/>
  <c r="M150" i="18"/>
  <c r="L151" i="18"/>
  <c r="M151" i="18"/>
  <c r="L152" i="18"/>
  <c r="M152" i="18"/>
  <c r="L153" i="18"/>
  <c r="M153" i="18"/>
  <c r="L154" i="18"/>
  <c r="M154" i="18"/>
  <c r="L155" i="18"/>
  <c r="M155" i="18"/>
  <c r="L156" i="18"/>
  <c r="M156" i="18"/>
  <c r="L157" i="18"/>
  <c r="M157" i="18"/>
  <c r="L158" i="18"/>
  <c r="M158" i="18"/>
  <c r="L159" i="18"/>
  <c r="M159" i="18"/>
  <c r="L160" i="18"/>
  <c r="M160" i="18"/>
  <c r="L161" i="18"/>
  <c r="M161" i="18"/>
  <c r="L162" i="18"/>
  <c r="M162" i="18"/>
  <c r="L163" i="18"/>
  <c r="M163" i="18"/>
  <c r="L164" i="18"/>
  <c r="M164" i="18"/>
  <c r="L165" i="18"/>
  <c r="M165" i="18"/>
  <c r="L166" i="18"/>
  <c r="M166" i="18"/>
  <c r="L167" i="18"/>
  <c r="M167" i="18"/>
  <c r="L168" i="18"/>
  <c r="M168" i="18"/>
  <c r="L169" i="18"/>
  <c r="M169" i="18"/>
  <c r="L170" i="18"/>
  <c r="M170" i="18"/>
  <c r="L171" i="18"/>
  <c r="M171" i="18"/>
  <c r="L172" i="18"/>
  <c r="M172" i="18"/>
  <c r="L173" i="18"/>
  <c r="M173" i="18"/>
  <c r="L174" i="18"/>
  <c r="M174" i="18"/>
  <c r="L175" i="18"/>
  <c r="M175" i="18"/>
  <c r="L176" i="18"/>
  <c r="M176" i="18"/>
  <c r="L177" i="18"/>
  <c r="M177" i="18"/>
  <c r="L178" i="18"/>
  <c r="M178" i="18"/>
  <c r="L179" i="18"/>
  <c r="M179" i="18"/>
  <c r="L180" i="18"/>
  <c r="M180" i="18"/>
  <c r="L181" i="18"/>
  <c r="M181" i="18"/>
  <c r="L182" i="18"/>
  <c r="M182" i="18"/>
  <c r="L183" i="18"/>
  <c r="M183" i="18"/>
  <c r="L184" i="18"/>
  <c r="M184" i="18"/>
  <c r="L185" i="18"/>
  <c r="M185" i="18"/>
  <c r="L186" i="18"/>
  <c r="M186" i="18"/>
  <c r="L187" i="18"/>
  <c r="M187" i="18"/>
  <c r="L188" i="18"/>
  <c r="M188" i="18"/>
  <c r="L189" i="18"/>
  <c r="M189" i="18"/>
  <c r="L190" i="18"/>
  <c r="M190" i="18"/>
  <c r="L191" i="18"/>
  <c r="M191" i="18"/>
  <c r="L192" i="18"/>
  <c r="M192" i="18"/>
  <c r="L193" i="18"/>
  <c r="M193" i="18"/>
  <c r="L194" i="18"/>
  <c r="M194" i="18"/>
  <c r="L195" i="18"/>
  <c r="M195" i="18"/>
  <c r="L196" i="18"/>
  <c r="M196" i="18"/>
  <c r="L197" i="18"/>
  <c r="M197" i="18"/>
  <c r="L198" i="18"/>
  <c r="M198" i="18"/>
  <c r="L199" i="18"/>
  <c r="M199" i="18"/>
  <c r="L200" i="18"/>
  <c r="M200" i="18"/>
  <c r="L201" i="18"/>
  <c r="M201" i="18"/>
  <c r="L202" i="18"/>
  <c r="M202" i="18"/>
  <c r="L203" i="18"/>
  <c r="M203" i="18"/>
  <c r="L204" i="18"/>
  <c r="M204" i="18"/>
  <c r="L205" i="18"/>
  <c r="M205" i="18"/>
  <c r="L206" i="18"/>
  <c r="M206" i="18"/>
  <c r="L207" i="18"/>
  <c r="M207" i="18"/>
  <c r="L208" i="18"/>
  <c r="M208" i="18"/>
  <c r="L209" i="18"/>
  <c r="M209" i="18"/>
  <c r="L210" i="18"/>
  <c r="M210" i="18"/>
  <c r="L211" i="18"/>
  <c r="M211" i="18"/>
  <c r="L212" i="18"/>
  <c r="M212" i="18"/>
  <c r="L213" i="18"/>
  <c r="M213" i="18"/>
  <c r="L214" i="18"/>
  <c r="M214" i="18"/>
  <c r="L215" i="18"/>
  <c r="M215" i="18"/>
  <c r="L216" i="18"/>
  <c r="M216" i="18"/>
  <c r="L217" i="18"/>
  <c r="M217" i="18"/>
  <c r="L218" i="18"/>
  <c r="M218" i="18"/>
  <c r="L219" i="18"/>
  <c r="M219" i="18"/>
  <c r="L220" i="18"/>
  <c r="M220" i="18"/>
  <c r="L221" i="18"/>
  <c r="M221" i="18"/>
  <c r="L222" i="18"/>
  <c r="M222" i="18"/>
  <c r="L223" i="18"/>
  <c r="M223" i="18"/>
  <c r="L224" i="18"/>
  <c r="M224" i="18"/>
  <c r="L225" i="18"/>
  <c r="M225" i="18"/>
  <c r="L226" i="18"/>
  <c r="M226" i="18"/>
  <c r="L227" i="18"/>
  <c r="M227" i="18"/>
  <c r="L228" i="18"/>
  <c r="M228" i="18"/>
  <c r="L229" i="18"/>
  <c r="M229" i="18"/>
  <c r="L230" i="18"/>
  <c r="M230" i="18"/>
  <c r="L231" i="18"/>
  <c r="M231" i="18"/>
  <c r="L232" i="18"/>
  <c r="M232" i="18"/>
  <c r="L233" i="18"/>
  <c r="M233" i="18"/>
  <c r="L234" i="18"/>
  <c r="M234" i="18"/>
  <c r="L235" i="18"/>
  <c r="M235" i="18"/>
  <c r="L236" i="18"/>
  <c r="M236" i="18"/>
  <c r="L237" i="18"/>
  <c r="M237" i="18"/>
  <c r="L238" i="18"/>
  <c r="M238" i="18"/>
  <c r="L239" i="18"/>
  <c r="M239" i="18"/>
  <c r="L240" i="18"/>
  <c r="M240" i="18"/>
  <c r="L241" i="18"/>
  <c r="M241" i="18"/>
  <c r="L242" i="18"/>
  <c r="M242" i="18"/>
  <c r="L243" i="18"/>
  <c r="M243" i="18"/>
  <c r="L244" i="18"/>
  <c r="M244" i="18"/>
  <c r="L245" i="18"/>
  <c r="M245" i="18"/>
  <c r="L246" i="18"/>
  <c r="M246" i="18"/>
  <c r="L247" i="18"/>
  <c r="M247" i="18"/>
  <c r="L248" i="18"/>
  <c r="M248" i="18"/>
  <c r="L249" i="18"/>
  <c r="M249" i="18"/>
  <c r="L250" i="18"/>
  <c r="M250" i="18"/>
  <c r="L251" i="18"/>
  <c r="M251" i="18"/>
  <c r="L252" i="18"/>
  <c r="M252" i="18"/>
  <c r="L253" i="18"/>
  <c r="M253" i="18"/>
  <c r="L254" i="18"/>
  <c r="M254" i="18"/>
  <c r="L255" i="18"/>
  <c r="M255" i="18"/>
  <c r="L256" i="18"/>
  <c r="M256" i="18"/>
  <c r="L257" i="18"/>
  <c r="M257" i="18"/>
  <c r="L258" i="18"/>
  <c r="M258" i="18"/>
  <c r="L259" i="18"/>
  <c r="M259" i="18"/>
  <c r="L260" i="18"/>
  <c r="M260" i="18"/>
  <c r="L261" i="18"/>
  <c r="M261" i="18"/>
  <c r="L262" i="18"/>
  <c r="M262" i="18"/>
  <c r="L263" i="18"/>
  <c r="M263" i="18"/>
  <c r="L264" i="18"/>
  <c r="M264" i="18"/>
  <c r="L265" i="18"/>
  <c r="M265" i="18"/>
  <c r="L266" i="18"/>
  <c r="M266" i="18"/>
  <c r="L267" i="18"/>
  <c r="M267" i="18"/>
  <c r="L268" i="18"/>
  <c r="M268" i="18"/>
  <c r="L269" i="18"/>
  <c r="M269" i="18"/>
  <c r="L270" i="18"/>
  <c r="M270" i="18"/>
  <c r="L271" i="18"/>
  <c r="M271" i="18"/>
  <c r="L272" i="18"/>
  <c r="M272" i="18"/>
  <c r="L273" i="18"/>
  <c r="M273" i="18"/>
  <c r="L274" i="18"/>
  <c r="M274" i="18"/>
  <c r="L275" i="18"/>
  <c r="M275" i="18"/>
  <c r="L276" i="18"/>
  <c r="M276" i="18"/>
  <c r="L277" i="18"/>
  <c r="M277" i="18"/>
  <c r="L278" i="18"/>
  <c r="M278" i="18"/>
  <c r="L279" i="18"/>
  <c r="M279" i="18"/>
  <c r="L280" i="18"/>
  <c r="M280" i="18"/>
  <c r="L281" i="18"/>
  <c r="M281" i="18"/>
  <c r="L282" i="18"/>
  <c r="M282" i="18"/>
  <c r="L283" i="18"/>
  <c r="M283" i="18"/>
  <c r="L284" i="18"/>
  <c r="M284" i="18"/>
  <c r="L285" i="18"/>
  <c r="M285" i="18"/>
  <c r="L286" i="18"/>
  <c r="M286" i="18"/>
  <c r="L287" i="18"/>
  <c r="M287" i="18"/>
  <c r="L288" i="18"/>
  <c r="M288" i="18"/>
  <c r="L289" i="18"/>
  <c r="M289" i="18"/>
  <c r="L290" i="18"/>
  <c r="M290" i="18"/>
  <c r="L291" i="18"/>
  <c r="M291" i="18"/>
  <c r="L292" i="18"/>
  <c r="M292" i="18"/>
  <c r="L293" i="18"/>
  <c r="M293" i="18"/>
  <c r="L294" i="18"/>
  <c r="M294" i="18"/>
  <c r="L295" i="18"/>
  <c r="M295" i="18"/>
  <c r="L296" i="18"/>
  <c r="M296" i="18"/>
  <c r="L297" i="18"/>
  <c r="M297" i="18"/>
  <c r="L298" i="18"/>
  <c r="M298" i="18"/>
  <c r="L299" i="18"/>
  <c r="M299" i="18"/>
  <c r="L300" i="18"/>
  <c r="M300" i="18"/>
  <c r="L301" i="18"/>
  <c r="M301" i="18"/>
  <c r="L302" i="18"/>
  <c r="M302" i="18"/>
  <c r="L303" i="18"/>
  <c r="M303" i="18"/>
  <c r="L304" i="18"/>
  <c r="M304" i="18"/>
  <c r="L305" i="18"/>
  <c r="M305" i="18"/>
  <c r="L306" i="18"/>
  <c r="M306" i="18"/>
  <c r="L307" i="18"/>
  <c r="M307" i="18"/>
  <c r="L308" i="18"/>
  <c r="M308" i="18"/>
  <c r="L309" i="18"/>
  <c r="M309" i="18"/>
  <c r="L310" i="18"/>
  <c r="M310" i="18"/>
  <c r="L311" i="18"/>
  <c r="M311" i="18"/>
  <c r="L312" i="18"/>
  <c r="M312" i="18"/>
  <c r="L313" i="18"/>
  <c r="M313" i="18"/>
  <c r="L314" i="18"/>
  <c r="M314" i="18"/>
  <c r="L315" i="18"/>
  <c r="M315" i="18"/>
  <c r="L316" i="18"/>
  <c r="M316" i="18"/>
  <c r="L317" i="18"/>
  <c r="M317" i="18"/>
  <c r="L318" i="18"/>
  <c r="M318" i="18"/>
  <c r="L319" i="18"/>
  <c r="M319" i="18"/>
  <c r="L320" i="18"/>
  <c r="M320" i="18"/>
  <c r="L321" i="18"/>
  <c r="M321" i="18"/>
  <c r="L322" i="18"/>
  <c r="M322" i="18"/>
  <c r="L323" i="18"/>
  <c r="M323" i="18"/>
  <c r="L324" i="18"/>
  <c r="M324" i="18"/>
  <c r="L325" i="18"/>
  <c r="M325" i="18"/>
  <c r="L326" i="18"/>
  <c r="M326" i="18"/>
  <c r="L327" i="18"/>
  <c r="M327" i="18"/>
  <c r="L328" i="18"/>
  <c r="M328" i="18"/>
  <c r="L329" i="18"/>
  <c r="M329" i="18"/>
  <c r="L330" i="18"/>
  <c r="M330" i="18"/>
  <c r="L331" i="18"/>
  <c r="M331" i="18"/>
  <c r="L332" i="18"/>
  <c r="M332" i="18"/>
  <c r="L333" i="18"/>
  <c r="M333" i="18"/>
  <c r="L334" i="18"/>
  <c r="M334" i="18"/>
  <c r="L335" i="18"/>
  <c r="M335" i="18"/>
  <c r="L336" i="18"/>
  <c r="M336" i="18"/>
  <c r="L337" i="18"/>
  <c r="M337" i="18"/>
  <c r="L338" i="18"/>
  <c r="M338" i="18"/>
  <c r="L339" i="18"/>
  <c r="M339" i="18"/>
  <c r="L340" i="18"/>
  <c r="M340" i="18"/>
  <c r="L341" i="18"/>
  <c r="M341" i="18"/>
  <c r="L342" i="18"/>
  <c r="M342" i="18"/>
  <c r="L343" i="18"/>
  <c r="M343" i="18"/>
  <c r="L344" i="18"/>
  <c r="M344" i="18"/>
  <c r="L345" i="18"/>
  <c r="M345" i="18"/>
  <c r="L346" i="18"/>
  <c r="M346" i="18"/>
  <c r="L347" i="18"/>
  <c r="M347" i="18"/>
  <c r="L348" i="18"/>
  <c r="M348" i="18"/>
  <c r="L349" i="18"/>
  <c r="M349" i="18"/>
  <c r="L350" i="18"/>
  <c r="M350" i="18"/>
  <c r="L351" i="18"/>
  <c r="M351" i="18"/>
  <c r="L352" i="18"/>
  <c r="M352" i="18"/>
  <c r="L353" i="18"/>
  <c r="M353" i="18"/>
  <c r="L354" i="18"/>
  <c r="M354" i="18"/>
  <c r="L355" i="18"/>
  <c r="M355" i="18"/>
  <c r="L356" i="18"/>
  <c r="M356" i="18"/>
  <c r="L357" i="18"/>
  <c r="M357" i="18"/>
  <c r="L358" i="18"/>
  <c r="M358" i="18"/>
  <c r="L359" i="18"/>
  <c r="M359" i="18"/>
  <c r="L360" i="18"/>
  <c r="M360" i="18"/>
  <c r="L361" i="18"/>
  <c r="M361" i="18"/>
  <c r="L362" i="18"/>
  <c r="M362" i="18"/>
  <c r="L363" i="18"/>
  <c r="M363" i="18"/>
  <c r="L364" i="18"/>
  <c r="M364" i="18"/>
  <c r="L365" i="18"/>
  <c r="M365" i="18"/>
  <c r="L366" i="18"/>
  <c r="M366" i="18"/>
  <c r="L367" i="18"/>
  <c r="M367" i="18"/>
  <c r="L368" i="18"/>
  <c r="M368" i="18"/>
  <c r="L369" i="18"/>
  <c r="M369" i="18"/>
  <c r="L370" i="18"/>
  <c r="M370" i="18"/>
  <c r="L371" i="18"/>
  <c r="M371" i="18"/>
  <c r="L372" i="18"/>
  <c r="M372" i="18"/>
  <c r="L373" i="18"/>
  <c r="M373" i="18"/>
  <c r="L374" i="18"/>
  <c r="M374" i="18"/>
  <c r="L375" i="18"/>
  <c r="M375" i="18"/>
  <c r="L376" i="18"/>
  <c r="M376" i="18"/>
  <c r="L377" i="18"/>
  <c r="M377" i="18"/>
  <c r="L378" i="18"/>
  <c r="M378" i="18"/>
  <c r="L379" i="18"/>
  <c r="M379" i="18"/>
  <c r="L380" i="18"/>
  <c r="M380" i="18"/>
  <c r="L381" i="18"/>
  <c r="M381" i="18"/>
  <c r="L382" i="18"/>
  <c r="M382" i="18"/>
  <c r="L383" i="18"/>
  <c r="M383" i="18"/>
  <c r="L384" i="18"/>
  <c r="M384" i="18"/>
  <c r="L385" i="18"/>
  <c r="M385" i="18"/>
  <c r="L386" i="18"/>
  <c r="M386" i="18"/>
  <c r="L387" i="18"/>
  <c r="M387" i="18"/>
  <c r="L388" i="18"/>
  <c r="M388" i="18"/>
  <c r="L389" i="18"/>
  <c r="M389" i="18"/>
  <c r="L390" i="18"/>
  <c r="M390" i="18"/>
  <c r="L391" i="18"/>
  <c r="M391" i="18"/>
  <c r="L392" i="18"/>
  <c r="M392" i="18"/>
  <c r="L393" i="18"/>
  <c r="M393" i="18"/>
  <c r="L394" i="18"/>
  <c r="M394" i="18"/>
  <c r="L395" i="18"/>
  <c r="M395" i="18"/>
  <c r="L396" i="18"/>
  <c r="M396" i="18"/>
  <c r="L397" i="18"/>
  <c r="M397" i="18"/>
  <c r="L398" i="18"/>
  <c r="M398" i="18"/>
  <c r="L399" i="18"/>
  <c r="M399" i="18"/>
  <c r="L400" i="18"/>
  <c r="M400" i="18"/>
  <c r="L401" i="18"/>
  <c r="M401" i="18"/>
  <c r="L402" i="18"/>
  <c r="M402" i="18"/>
  <c r="L403" i="18"/>
  <c r="M403" i="18"/>
  <c r="L404" i="18"/>
  <c r="M404" i="18"/>
  <c r="L405" i="18"/>
  <c r="M405" i="18"/>
  <c r="L406" i="18"/>
  <c r="M406" i="18"/>
  <c r="L407" i="18"/>
  <c r="M407" i="18"/>
  <c r="L408" i="18"/>
  <c r="M408" i="18"/>
  <c r="L409" i="18"/>
  <c r="M409" i="18"/>
  <c r="L410" i="18"/>
  <c r="M410" i="18"/>
  <c r="L411" i="18"/>
  <c r="M411" i="18"/>
  <c r="L412" i="18"/>
  <c r="M412" i="18"/>
  <c r="L413" i="18"/>
  <c r="M413" i="18"/>
  <c r="L414" i="18"/>
  <c r="M414" i="18"/>
  <c r="L415" i="18"/>
  <c r="M415" i="18"/>
  <c r="L416" i="18"/>
  <c r="M416" i="18"/>
  <c r="L417" i="18"/>
  <c r="M417" i="18"/>
  <c r="L418" i="18"/>
  <c r="M418" i="18"/>
  <c r="L419" i="18"/>
  <c r="M419" i="18"/>
  <c r="L420" i="18"/>
  <c r="M420" i="18"/>
  <c r="L421" i="18"/>
  <c r="M421" i="18"/>
  <c r="L422" i="18"/>
  <c r="M422" i="18"/>
  <c r="L423" i="18"/>
  <c r="M423" i="18"/>
  <c r="L424" i="18"/>
  <c r="M424" i="18"/>
  <c r="L425" i="18"/>
  <c r="M425" i="18"/>
  <c r="L426" i="18"/>
  <c r="M426" i="18"/>
  <c r="L427" i="18"/>
  <c r="M427" i="18"/>
  <c r="L428" i="18"/>
  <c r="M428" i="18"/>
  <c r="L429" i="18"/>
  <c r="M429" i="18"/>
  <c r="L430" i="18"/>
  <c r="M430" i="18"/>
  <c r="L431" i="18"/>
  <c r="M431" i="18"/>
  <c r="L432" i="18"/>
  <c r="M432" i="18"/>
  <c r="L433" i="18"/>
  <c r="M433" i="18"/>
  <c r="L434" i="18"/>
  <c r="M434" i="18"/>
  <c r="L435" i="18"/>
  <c r="M435" i="18"/>
  <c r="L436" i="18"/>
  <c r="M436" i="18"/>
  <c r="L437" i="18"/>
  <c r="M437" i="18"/>
  <c r="L438" i="18"/>
  <c r="M438" i="18"/>
  <c r="L439" i="18"/>
  <c r="M439" i="18"/>
  <c r="L440" i="18"/>
  <c r="M440" i="18"/>
  <c r="L441" i="18"/>
  <c r="M441" i="18"/>
  <c r="L442" i="18"/>
  <c r="M442" i="18"/>
  <c r="L443" i="18"/>
  <c r="M443" i="18"/>
  <c r="L444" i="18"/>
  <c r="M444" i="18"/>
  <c r="L445" i="18"/>
  <c r="M445" i="18"/>
  <c r="L446" i="18"/>
  <c r="M446" i="18"/>
  <c r="L447" i="18"/>
  <c r="M447" i="18"/>
  <c r="L448" i="18"/>
  <c r="M448" i="18"/>
  <c r="L449" i="18"/>
  <c r="M449" i="18"/>
  <c r="L450" i="18"/>
  <c r="M450" i="18"/>
  <c r="L451" i="18"/>
  <c r="M451" i="18"/>
  <c r="L452" i="18"/>
  <c r="M452" i="18"/>
  <c r="L453" i="18"/>
  <c r="M453" i="18"/>
  <c r="L454" i="18"/>
  <c r="M454" i="18"/>
  <c r="L455" i="18"/>
  <c r="M455" i="18"/>
  <c r="L456" i="18"/>
  <c r="M456" i="18"/>
  <c r="L457" i="18"/>
  <c r="M457" i="18"/>
  <c r="L458" i="18"/>
  <c r="M458" i="18"/>
  <c r="L459" i="18"/>
  <c r="M459" i="18"/>
  <c r="L460" i="18"/>
  <c r="M460" i="18"/>
  <c r="L461" i="18"/>
  <c r="M461" i="18"/>
  <c r="L462" i="18"/>
  <c r="M462" i="18"/>
  <c r="L463" i="18"/>
  <c r="M463" i="18"/>
  <c r="L464" i="18"/>
  <c r="M464" i="18"/>
  <c r="L465" i="18"/>
  <c r="M465" i="18"/>
  <c r="L466" i="18"/>
  <c r="M466" i="18"/>
  <c r="L467" i="18"/>
  <c r="M467" i="18"/>
  <c r="L468" i="18"/>
  <c r="M468" i="18"/>
  <c r="L469" i="18"/>
  <c r="M469" i="18"/>
  <c r="L470" i="18"/>
  <c r="M470" i="18"/>
  <c r="L471" i="18"/>
  <c r="M471" i="18"/>
  <c r="L472" i="18"/>
  <c r="M472" i="18"/>
  <c r="L473" i="18"/>
  <c r="M473" i="18"/>
  <c r="L474" i="18"/>
  <c r="M474" i="18"/>
  <c r="L475" i="18"/>
  <c r="M475" i="18"/>
  <c r="L476" i="18"/>
  <c r="M476" i="18"/>
  <c r="L477" i="18"/>
  <c r="M477" i="18"/>
  <c r="L478" i="18"/>
  <c r="M478" i="18"/>
  <c r="L479" i="18"/>
  <c r="M479" i="18"/>
  <c r="L480" i="18"/>
  <c r="M480" i="18"/>
  <c r="L481" i="18"/>
  <c r="M481" i="18"/>
  <c r="L482" i="18"/>
  <c r="M482" i="18"/>
  <c r="L483" i="18"/>
  <c r="M483" i="18"/>
  <c r="L484" i="18"/>
  <c r="M484" i="18"/>
  <c r="L485" i="18"/>
  <c r="M485" i="18"/>
  <c r="L486" i="18"/>
  <c r="M486" i="18"/>
  <c r="L487" i="18"/>
  <c r="M487" i="18"/>
  <c r="L488" i="18"/>
  <c r="M488" i="18"/>
  <c r="L489" i="18"/>
  <c r="M489" i="18"/>
  <c r="L490" i="18"/>
  <c r="M490" i="18"/>
  <c r="L491" i="18"/>
  <c r="M491" i="18"/>
  <c r="L492" i="18"/>
  <c r="M492" i="18"/>
  <c r="L493" i="18"/>
  <c r="M493" i="18"/>
  <c r="L494" i="18"/>
  <c r="M494" i="18"/>
  <c r="L495" i="18"/>
  <c r="M495" i="18"/>
  <c r="L496" i="18"/>
  <c r="M496" i="18"/>
  <c r="L497" i="18"/>
  <c r="M497" i="18"/>
  <c r="L498" i="18"/>
  <c r="M498" i="18"/>
  <c r="L499" i="18"/>
  <c r="M499" i="18"/>
  <c r="L500" i="18"/>
  <c r="M500" i="18"/>
  <c r="L501" i="18"/>
  <c r="M501" i="18"/>
  <c r="L502" i="18"/>
  <c r="M502" i="18"/>
  <c r="L503" i="18"/>
  <c r="M503" i="18"/>
  <c r="L504" i="18"/>
  <c r="M504" i="18"/>
  <c r="L505" i="18"/>
  <c r="M505" i="18"/>
  <c r="L506" i="18"/>
  <c r="M506" i="18"/>
  <c r="L507" i="18"/>
  <c r="M507" i="18"/>
  <c r="L508" i="18"/>
  <c r="M508" i="18"/>
  <c r="L509" i="18"/>
  <c r="M509" i="18"/>
  <c r="L510" i="18"/>
  <c r="M510" i="18"/>
  <c r="L511" i="18"/>
  <c r="M511" i="18"/>
  <c r="L512" i="18"/>
  <c r="M512" i="18"/>
  <c r="L513" i="18"/>
  <c r="M513" i="18"/>
  <c r="L514" i="18"/>
  <c r="M514" i="18"/>
  <c r="L515" i="18"/>
  <c r="M515" i="18"/>
  <c r="L516" i="18"/>
  <c r="M516" i="18"/>
  <c r="L517" i="18"/>
  <c r="M517" i="18"/>
  <c r="L518" i="18"/>
  <c r="M518" i="18"/>
  <c r="L519" i="18"/>
  <c r="M519" i="18"/>
  <c r="L520" i="18"/>
  <c r="M520" i="18"/>
  <c r="L521" i="18"/>
  <c r="M521" i="18"/>
  <c r="L522" i="18"/>
  <c r="M522" i="18"/>
  <c r="L523" i="18"/>
  <c r="M523" i="18"/>
  <c r="L524" i="18"/>
  <c r="M524" i="18"/>
  <c r="L525" i="18"/>
  <c r="M525" i="18"/>
  <c r="L526" i="18"/>
  <c r="M526" i="18"/>
  <c r="L527" i="18"/>
  <c r="M527" i="18"/>
  <c r="L528" i="18"/>
  <c r="M528" i="18"/>
  <c r="L529" i="18"/>
  <c r="M529" i="18"/>
  <c r="L530" i="18"/>
  <c r="M530" i="18"/>
  <c r="L531" i="18"/>
  <c r="M531" i="18"/>
  <c r="L532" i="18"/>
  <c r="M532" i="18"/>
  <c r="L533" i="18"/>
  <c r="M533" i="18"/>
  <c r="L534" i="18"/>
  <c r="M534" i="18"/>
  <c r="L535" i="18"/>
  <c r="M535" i="18"/>
  <c r="L536" i="18"/>
  <c r="M536" i="18"/>
  <c r="L537" i="18"/>
  <c r="M537" i="18"/>
  <c r="L538" i="18"/>
  <c r="M538" i="18"/>
  <c r="L539" i="18"/>
  <c r="M539" i="18"/>
  <c r="L540" i="18"/>
  <c r="M540" i="18"/>
  <c r="L541" i="18"/>
  <c r="M541" i="18"/>
  <c r="L542" i="18"/>
  <c r="M542" i="18"/>
  <c r="L543" i="18"/>
  <c r="M543" i="18"/>
  <c r="L544" i="18"/>
  <c r="M544" i="18"/>
  <c r="L545" i="18"/>
  <c r="M545" i="18"/>
  <c r="L546" i="18"/>
  <c r="M546" i="18"/>
  <c r="L547" i="18"/>
  <c r="M547" i="18"/>
  <c r="L548" i="18"/>
  <c r="M548" i="18"/>
  <c r="L549" i="18"/>
  <c r="M549" i="18"/>
  <c r="L550" i="18"/>
  <c r="M550" i="18"/>
  <c r="L551" i="18"/>
  <c r="M551" i="18"/>
  <c r="L552" i="18"/>
  <c r="M552" i="18"/>
  <c r="L553" i="18"/>
  <c r="M553" i="18"/>
  <c r="L554" i="18"/>
  <c r="M554" i="18"/>
  <c r="L555" i="18"/>
  <c r="M555" i="18"/>
  <c r="L556" i="18"/>
  <c r="M556" i="18"/>
  <c r="L557" i="18"/>
  <c r="M557" i="18"/>
  <c r="L558" i="18"/>
  <c r="M558" i="18"/>
  <c r="L559" i="18"/>
  <c r="M559" i="18"/>
  <c r="L560" i="18"/>
  <c r="M560" i="18"/>
  <c r="L561" i="18"/>
  <c r="M561" i="18"/>
  <c r="L562" i="18"/>
  <c r="M562" i="18"/>
  <c r="L563" i="18"/>
  <c r="M563" i="18"/>
  <c r="L564" i="18"/>
  <c r="M564" i="18"/>
  <c r="L565" i="18"/>
  <c r="M565" i="18"/>
  <c r="L566" i="18"/>
  <c r="M566" i="18"/>
  <c r="L567" i="18"/>
  <c r="M567" i="18"/>
  <c r="L568" i="18"/>
  <c r="M568" i="18"/>
  <c r="L569" i="18"/>
  <c r="M569" i="18"/>
  <c r="L570" i="18"/>
  <c r="M570" i="18"/>
  <c r="L571" i="18"/>
  <c r="M571" i="18"/>
  <c r="L572" i="18"/>
  <c r="M572" i="18"/>
  <c r="L573" i="18"/>
  <c r="M573" i="18"/>
  <c r="L574" i="18"/>
  <c r="M574" i="18"/>
  <c r="L575" i="18"/>
  <c r="M575" i="18"/>
  <c r="L576" i="18"/>
  <c r="M576" i="18"/>
  <c r="L577" i="18"/>
  <c r="M577" i="18"/>
  <c r="L578" i="18"/>
  <c r="M578" i="18"/>
  <c r="L579" i="18"/>
  <c r="M579" i="18"/>
  <c r="L580" i="18"/>
  <c r="M580" i="18"/>
  <c r="L581" i="18"/>
  <c r="M581" i="18"/>
  <c r="L582" i="18"/>
  <c r="M582" i="18"/>
  <c r="L583" i="18"/>
  <c r="M583" i="18"/>
  <c r="L584" i="18"/>
  <c r="M584" i="18"/>
  <c r="L585" i="18"/>
  <c r="M585" i="18"/>
  <c r="L586" i="18"/>
  <c r="M586" i="18"/>
  <c r="L587" i="18"/>
  <c r="M587" i="18"/>
  <c r="L588" i="18"/>
  <c r="M588" i="18"/>
  <c r="L589" i="18"/>
  <c r="M589" i="18"/>
  <c r="L590" i="18"/>
  <c r="M590" i="18"/>
  <c r="L591" i="18"/>
  <c r="M591" i="18"/>
  <c r="L592" i="18"/>
  <c r="M592" i="18"/>
  <c r="L593" i="18"/>
  <c r="M593" i="18"/>
  <c r="L594" i="18"/>
  <c r="M594" i="18"/>
  <c r="L595" i="18"/>
  <c r="M595" i="18"/>
  <c r="L596" i="18"/>
  <c r="M596" i="18"/>
  <c r="L597" i="18"/>
  <c r="M597" i="18"/>
  <c r="L598" i="18"/>
  <c r="M598" i="18"/>
  <c r="L599" i="18"/>
  <c r="M599" i="18"/>
  <c r="L600" i="18"/>
  <c r="M600" i="18"/>
  <c r="L601" i="18"/>
  <c r="M601" i="18"/>
  <c r="L602" i="18"/>
  <c r="M602" i="18"/>
  <c r="L603" i="18"/>
  <c r="M603" i="18"/>
  <c r="L604" i="18"/>
  <c r="M604" i="18"/>
  <c r="L605" i="18"/>
  <c r="M605" i="18"/>
  <c r="L606" i="18"/>
  <c r="M606" i="18"/>
  <c r="L607" i="18"/>
  <c r="M607" i="18"/>
  <c r="L608" i="18"/>
  <c r="M608" i="18"/>
  <c r="L609" i="18"/>
  <c r="M609" i="18"/>
  <c r="L610" i="18"/>
  <c r="M610" i="18"/>
  <c r="L611" i="18"/>
  <c r="M611" i="18"/>
  <c r="L612" i="18"/>
  <c r="M612" i="18"/>
  <c r="L613" i="18"/>
  <c r="M613" i="18"/>
  <c r="L614" i="18"/>
  <c r="M614" i="18"/>
  <c r="L615" i="18"/>
  <c r="M615" i="18"/>
  <c r="L616" i="18"/>
  <c r="M616" i="18"/>
  <c r="L617" i="18"/>
  <c r="M617" i="18"/>
  <c r="L618" i="18"/>
  <c r="M618" i="18"/>
  <c r="L619" i="18"/>
  <c r="M619" i="18"/>
  <c r="L620" i="18"/>
  <c r="M620" i="18"/>
  <c r="L621" i="18"/>
  <c r="M621" i="18"/>
  <c r="L622" i="18"/>
  <c r="M622" i="18"/>
  <c r="L623" i="18"/>
  <c r="M623" i="18"/>
  <c r="L624" i="18"/>
  <c r="M624" i="18"/>
  <c r="L625" i="18"/>
  <c r="M625" i="18"/>
  <c r="L626" i="18"/>
  <c r="M626" i="18"/>
  <c r="L627" i="18"/>
  <c r="M627" i="18"/>
  <c r="L628" i="18"/>
  <c r="M628" i="18"/>
  <c r="L629" i="18"/>
  <c r="M629" i="18"/>
  <c r="L630" i="18"/>
  <c r="M630" i="18"/>
  <c r="L631" i="18"/>
  <c r="M631" i="18"/>
  <c r="L632" i="18"/>
  <c r="M632" i="18"/>
  <c r="L633" i="18"/>
  <c r="M633" i="18"/>
  <c r="L634" i="18"/>
  <c r="M634" i="18"/>
  <c r="L635" i="18"/>
  <c r="M635" i="18"/>
  <c r="L636" i="18"/>
  <c r="M636" i="18"/>
  <c r="L637" i="18"/>
  <c r="M637" i="18"/>
  <c r="L638" i="18"/>
  <c r="M638" i="18"/>
  <c r="L639" i="18"/>
  <c r="M639" i="18"/>
  <c r="L640" i="18"/>
  <c r="M640" i="18"/>
  <c r="L641" i="18"/>
  <c r="M641" i="18"/>
  <c r="L642" i="18"/>
  <c r="M642" i="18"/>
  <c r="L643" i="18"/>
  <c r="M643" i="18"/>
  <c r="L644" i="18"/>
  <c r="M644" i="18"/>
  <c r="L645" i="18"/>
  <c r="M645" i="18"/>
  <c r="L646" i="18"/>
  <c r="M646" i="18"/>
  <c r="L647" i="18"/>
  <c r="M647" i="18"/>
  <c r="L648" i="18"/>
  <c r="M648" i="18"/>
  <c r="L649" i="18"/>
  <c r="M649" i="18"/>
  <c r="L650" i="18"/>
  <c r="M650" i="18"/>
  <c r="L651" i="18"/>
  <c r="M651" i="18"/>
  <c r="L652" i="18"/>
  <c r="M652" i="18"/>
  <c r="L653" i="18"/>
  <c r="M653" i="18"/>
  <c r="L654" i="18"/>
  <c r="M654" i="18"/>
  <c r="L655" i="18"/>
  <c r="M655" i="18"/>
  <c r="L656" i="18"/>
  <c r="M656" i="18"/>
  <c r="L657" i="18"/>
  <c r="M657" i="18"/>
  <c r="L658" i="18"/>
  <c r="M658" i="18"/>
  <c r="L659" i="18"/>
  <c r="M659" i="18"/>
  <c r="L660" i="18"/>
  <c r="M660" i="18"/>
  <c r="L661" i="18"/>
  <c r="M661" i="18"/>
  <c r="L662" i="18"/>
  <c r="M662" i="18"/>
  <c r="L663" i="18"/>
  <c r="M663" i="18"/>
  <c r="L664" i="18"/>
  <c r="M664" i="18"/>
  <c r="L665" i="18"/>
  <c r="M665" i="18"/>
  <c r="L666" i="18"/>
  <c r="M666" i="18"/>
  <c r="L667" i="18"/>
  <c r="M667" i="18"/>
  <c r="L668" i="18"/>
  <c r="M668" i="18"/>
  <c r="L669" i="18"/>
  <c r="M669" i="18"/>
  <c r="L670" i="18"/>
  <c r="M670" i="18"/>
  <c r="L671" i="18"/>
  <c r="M671" i="18"/>
  <c r="L672" i="18"/>
  <c r="M672" i="18"/>
  <c r="L673" i="18"/>
  <c r="M673" i="18"/>
  <c r="L674" i="18"/>
  <c r="M674" i="18"/>
  <c r="L675" i="18"/>
  <c r="M675" i="18"/>
  <c r="L676" i="18"/>
  <c r="M676" i="18"/>
  <c r="L677" i="18"/>
  <c r="M677" i="18"/>
  <c r="L678" i="18"/>
  <c r="M678" i="18"/>
  <c r="L679" i="18"/>
  <c r="M679" i="18"/>
  <c r="L680" i="18"/>
  <c r="M680" i="18"/>
  <c r="L681" i="18"/>
  <c r="M681" i="18"/>
  <c r="L682" i="18"/>
  <c r="M682" i="18"/>
  <c r="L683" i="18"/>
  <c r="M683" i="18"/>
  <c r="L684" i="18"/>
  <c r="M684" i="18"/>
  <c r="L685" i="18"/>
  <c r="M685" i="18"/>
  <c r="L686" i="18"/>
  <c r="M686" i="18"/>
  <c r="L687" i="18"/>
  <c r="M687" i="18"/>
  <c r="L688" i="18"/>
  <c r="M688" i="18"/>
  <c r="L689" i="18"/>
  <c r="M689" i="18"/>
  <c r="L690" i="18"/>
  <c r="M690" i="18"/>
  <c r="L691" i="18"/>
  <c r="M691" i="18"/>
  <c r="L692" i="18"/>
  <c r="M692" i="18"/>
  <c r="L693" i="18"/>
  <c r="M693" i="18"/>
  <c r="L694" i="18"/>
  <c r="M694" i="18"/>
  <c r="L695" i="18"/>
  <c r="M695" i="18"/>
  <c r="L696" i="18"/>
  <c r="M696" i="18"/>
  <c r="L697" i="18"/>
  <c r="M697" i="18"/>
  <c r="L698" i="18"/>
  <c r="M698" i="18"/>
  <c r="L699" i="18"/>
  <c r="M699" i="18"/>
  <c r="L700" i="18"/>
  <c r="M700" i="18"/>
  <c r="L701" i="18"/>
  <c r="M701" i="18"/>
  <c r="L702" i="18"/>
  <c r="M702" i="18"/>
  <c r="L703" i="18"/>
  <c r="M703" i="18"/>
  <c r="L704" i="18"/>
  <c r="M704" i="18"/>
  <c r="L705" i="18"/>
  <c r="M705" i="18"/>
  <c r="L706" i="18"/>
  <c r="M706" i="18"/>
  <c r="L707" i="18"/>
  <c r="M707" i="18"/>
  <c r="L708" i="18"/>
  <c r="M708" i="18"/>
  <c r="L709" i="18"/>
  <c r="M709" i="18"/>
  <c r="L710" i="18"/>
  <c r="M710" i="18"/>
  <c r="L711" i="18"/>
  <c r="M711" i="18"/>
  <c r="L712" i="18"/>
  <c r="M712" i="18"/>
  <c r="L713" i="18"/>
  <c r="M713" i="18"/>
  <c r="L714" i="18"/>
  <c r="M714" i="18"/>
  <c r="L715" i="18"/>
  <c r="M715" i="18"/>
  <c r="L716" i="18"/>
  <c r="M716" i="18"/>
  <c r="L717" i="18"/>
  <c r="M717" i="18"/>
  <c r="L718" i="18"/>
  <c r="M718" i="18"/>
  <c r="L719" i="18"/>
  <c r="M719" i="18"/>
  <c r="L720" i="18"/>
  <c r="M720" i="18"/>
  <c r="L721" i="18"/>
  <c r="M721" i="18"/>
  <c r="L722" i="18"/>
  <c r="M722" i="18"/>
  <c r="L723" i="18"/>
  <c r="M723" i="18"/>
  <c r="L724" i="18"/>
  <c r="M724" i="18"/>
  <c r="L725" i="18"/>
  <c r="M725" i="18"/>
  <c r="L726" i="18"/>
  <c r="M726" i="18"/>
  <c r="L727" i="18"/>
  <c r="M727" i="18"/>
  <c r="L728" i="18"/>
  <c r="M728" i="18"/>
  <c r="L729" i="18"/>
  <c r="M729" i="18"/>
  <c r="L730" i="18"/>
  <c r="M730" i="18"/>
  <c r="L731" i="18"/>
  <c r="M731" i="18"/>
  <c r="L732" i="18"/>
  <c r="M732" i="18"/>
  <c r="L733" i="18"/>
  <c r="M733" i="18"/>
  <c r="L734" i="18"/>
  <c r="M734" i="18"/>
  <c r="L735" i="18"/>
  <c r="M735" i="18"/>
  <c r="L736" i="18"/>
  <c r="M736" i="18"/>
  <c r="L737" i="18"/>
  <c r="M737" i="18"/>
  <c r="L738" i="18"/>
  <c r="M738" i="18"/>
  <c r="L739" i="18"/>
  <c r="M739" i="18"/>
  <c r="L740" i="18"/>
  <c r="M740" i="18"/>
  <c r="L741" i="18"/>
  <c r="M741" i="18"/>
  <c r="L742" i="18"/>
  <c r="M742" i="18"/>
  <c r="L743" i="18"/>
  <c r="M743" i="18"/>
  <c r="L744" i="18"/>
  <c r="M744" i="18"/>
  <c r="L745" i="18"/>
  <c r="M745" i="18"/>
  <c r="L746" i="18"/>
  <c r="M746" i="18"/>
  <c r="L747" i="18"/>
  <c r="M747" i="18"/>
  <c r="L748" i="18"/>
  <c r="M748" i="18"/>
  <c r="L749" i="18"/>
  <c r="M749" i="18"/>
  <c r="L750" i="18"/>
  <c r="M750" i="18"/>
  <c r="L751" i="18"/>
  <c r="M751" i="18"/>
  <c r="L752" i="18"/>
  <c r="M752" i="18"/>
  <c r="L753" i="18"/>
  <c r="M753" i="18"/>
  <c r="L754" i="18"/>
  <c r="M754" i="18"/>
  <c r="L755" i="18"/>
  <c r="M755" i="18"/>
  <c r="L756" i="18"/>
  <c r="M756" i="18"/>
  <c r="L757" i="18"/>
  <c r="M757" i="18"/>
  <c r="L758" i="18"/>
  <c r="M758" i="18"/>
  <c r="L759" i="18"/>
  <c r="M759" i="18"/>
  <c r="L760" i="18"/>
  <c r="M760" i="18"/>
  <c r="L761" i="18"/>
  <c r="M761" i="18"/>
  <c r="L762" i="18"/>
  <c r="M762" i="18"/>
  <c r="L763" i="18"/>
  <c r="M763" i="18"/>
  <c r="L764" i="18"/>
  <c r="M764" i="18"/>
  <c r="L765" i="18"/>
  <c r="M765" i="18"/>
  <c r="L766" i="18"/>
  <c r="M766" i="18"/>
  <c r="L767" i="18"/>
  <c r="M767" i="18"/>
  <c r="L768" i="18"/>
  <c r="M768" i="18"/>
  <c r="L769" i="18"/>
  <c r="M769" i="18"/>
  <c r="L770" i="18"/>
  <c r="M770" i="18"/>
  <c r="L771" i="18"/>
  <c r="M771" i="18"/>
  <c r="L772" i="18"/>
  <c r="M772" i="18"/>
  <c r="L773" i="18"/>
  <c r="M773" i="18"/>
  <c r="L774" i="18"/>
  <c r="M774" i="18"/>
  <c r="L775" i="18"/>
  <c r="M775" i="18"/>
  <c r="L776" i="18"/>
  <c r="M776" i="18"/>
  <c r="L777" i="18"/>
  <c r="M777" i="18"/>
  <c r="L778" i="18"/>
  <c r="M778" i="18"/>
  <c r="L779" i="18"/>
  <c r="M779" i="18"/>
  <c r="L780" i="18"/>
  <c r="M780" i="18"/>
  <c r="L781" i="18"/>
  <c r="M781" i="18"/>
  <c r="L782" i="18"/>
  <c r="M782" i="18"/>
  <c r="L783" i="18"/>
  <c r="M783" i="18"/>
  <c r="L784" i="18"/>
  <c r="M784" i="18"/>
  <c r="L785" i="18"/>
  <c r="M785" i="18"/>
  <c r="L786" i="18"/>
  <c r="M786" i="18"/>
  <c r="L787" i="18"/>
  <c r="M787" i="18"/>
  <c r="L788" i="18"/>
  <c r="M788" i="18"/>
  <c r="L789" i="18"/>
  <c r="M789" i="18"/>
  <c r="L790" i="18"/>
  <c r="M790" i="18"/>
  <c r="L791" i="18"/>
  <c r="M791" i="18"/>
  <c r="L792" i="18"/>
  <c r="M792" i="18"/>
  <c r="L793" i="18"/>
  <c r="M793" i="18"/>
  <c r="L794" i="18"/>
  <c r="M794" i="18"/>
  <c r="L795" i="18"/>
  <c r="M795" i="18"/>
  <c r="L796" i="18"/>
  <c r="M796" i="18"/>
  <c r="L797" i="18"/>
  <c r="M797" i="18"/>
  <c r="L798" i="18"/>
  <c r="M798" i="18"/>
  <c r="L799" i="18"/>
  <c r="M799" i="18"/>
  <c r="L800" i="18"/>
  <c r="M800" i="18"/>
  <c r="L801" i="18"/>
  <c r="M801" i="18"/>
  <c r="L802" i="18"/>
  <c r="M802" i="18"/>
  <c r="L803" i="18"/>
  <c r="M803" i="18"/>
  <c r="L804" i="18"/>
  <c r="M804" i="18"/>
  <c r="L805" i="18"/>
  <c r="M805" i="18"/>
  <c r="L806" i="18"/>
  <c r="M806" i="18"/>
  <c r="L807" i="18"/>
  <c r="M807" i="18"/>
  <c r="L808" i="18"/>
  <c r="M808" i="18"/>
  <c r="L809" i="18"/>
  <c r="M809" i="18"/>
  <c r="L810" i="18"/>
  <c r="M810" i="18"/>
  <c r="L811" i="18"/>
  <c r="M811" i="18"/>
  <c r="L812" i="18"/>
  <c r="M812" i="18"/>
  <c r="L813" i="18"/>
  <c r="M813" i="18"/>
  <c r="L814" i="18"/>
  <c r="M814" i="18"/>
  <c r="L815" i="18"/>
  <c r="M815" i="18"/>
  <c r="L816" i="18"/>
  <c r="M816" i="18"/>
  <c r="L817" i="18"/>
  <c r="M817" i="18"/>
  <c r="L818" i="18"/>
  <c r="M818" i="18"/>
  <c r="L819" i="18"/>
  <c r="M819" i="18"/>
  <c r="L820" i="18"/>
  <c r="M820" i="18"/>
  <c r="L821" i="18"/>
  <c r="M821" i="18"/>
  <c r="L822" i="18"/>
  <c r="M822" i="18"/>
  <c r="L823" i="18"/>
  <c r="M823" i="18"/>
  <c r="L824" i="18"/>
  <c r="M824" i="18"/>
  <c r="L825" i="18"/>
  <c r="M825" i="18"/>
  <c r="L826" i="18"/>
  <c r="M826" i="18"/>
  <c r="L827" i="18"/>
  <c r="M827" i="18"/>
  <c r="L828" i="18"/>
  <c r="M828" i="18"/>
  <c r="L829" i="18"/>
  <c r="M829" i="18"/>
  <c r="L830" i="18"/>
  <c r="M830" i="18"/>
  <c r="L831" i="18"/>
  <c r="M831" i="18"/>
  <c r="L832" i="18"/>
  <c r="M832" i="18"/>
  <c r="L833" i="18"/>
  <c r="M833" i="18"/>
  <c r="L834" i="18"/>
  <c r="M834" i="18"/>
  <c r="L835" i="18"/>
  <c r="M835" i="18"/>
  <c r="L836" i="18"/>
  <c r="M836" i="18"/>
  <c r="L837" i="18"/>
  <c r="M837" i="18"/>
  <c r="L838" i="18"/>
  <c r="M838" i="18"/>
  <c r="L839" i="18"/>
  <c r="M839" i="18"/>
  <c r="L840" i="18"/>
  <c r="M840" i="18"/>
  <c r="L841" i="18"/>
  <c r="M841" i="18"/>
  <c r="L842" i="18"/>
  <c r="M842" i="18"/>
  <c r="L843" i="18"/>
  <c r="M843" i="18"/>
  <c r="L844" i="18"/>
  <c r="M844" i="18"/>
  <c r="L845" i="18"/>
  <c r="M845" i="18"/>
  <c r="L846" i="18"/>
  <c r="M846" i="18"/>
  <c r="L847" i="18"/>
  <c r="M847" i="18"/>
  <c r="L848" i="18"/>
  <c r="M848" i="18"/>
  <c r="L849" i="18"/>
  <c r="M849" i="18"/>
  <c r="L850" i="18"/>
  <c r="M850" i="18"/>
  <c r="L851" i="18"/>
  <c r="M851" i="18"/>
  <c r="L852" i="18"/>
  <c r="M852" i="18"/>
  <c r="L853" i="18"/>
  <c r="M853" i="18"/>
  <c r="L854" i="18"/>
  <c r="M854" i="18"/>
  <c r="L855" i="18"/>
  <c r="M855" i="18"/>
  <c r="L856" i="18"/>
  <c r="M856" i="18"/>
  <c r="L857" i="18"/>
  <c r="M857" i="18"/>
  <c r="L858" i="18"/>
  <c r="M858" i="18"/>
  <c r="L859" i="18"/>
  <c r="M859" i="18"/>
  <c r="L860" i="18"/>
  <c r="M860" i="18"/>
  <c r="L861" i="18"/>
  <c r="M861" i="18"/>
  <c r="L862" i="18"/>
  <c r="M862" i="18"/>
  <c r="L863" i="18"/>
  <c r="M863" i="18"/>
  <c r="L864" i="18"/>
  <c r="M864" i="18"/>
  <c r="L865" i="18"/>
  <c r="M865" i="18"/>
  <c r="L866" i="18"/>
  <c r="M866" i="18"/>
  <c r="L867" i="18"/>
  <c r="M867" i="18"/>
  <c r="L868" i="18"/>
  <c r="M868" i="18"/>
  <c r="L869" i="18"/>
  <c r="M869" i="18"/>
  <c r="L870" i="18"/>
  <c r="M870" i="18"/>
  <c r="L871" i="18"/>
  <c r="M871" i="18"/>
  <c r="L872" i="18"/>
  <c r="M872" i="18"/>
  <c r="L873" i="18"/>
  <c r="M873" i="18"/>
  <c r="L874" i="18"/>
  <c r="M874" i="18"/>
  <c r="L875" i="18"/>
  <c r="M875" i="18"/>
  <c r="L876" i="18"/>
  <c r="M876" i="18"/>
  <c r="L877" i="18"/>
  <c r="M877" i="18"/>
  <c r="L878" i="18"/>
  <c r="M878" i="18"/>
  <c r="L879" i="18"/>
  <c r="M879" i="18"/>
  <c r="L880" i="18"/>
  <c r="M880" i="18"/>
  <c r="L881" i="18"/>
  <c r="M881" i="18"/>
  <c r="L882" i="18"/>
  <c r="M882" i="18"/>
  <c r="L883" i="18"/>
  <c r="M883" i="18"/>
  <c r="L884" i="18"/>
  <c r="M884" i="18"/>
  <c r="L885" i="18"/>
  <c r="M885" i="18"/>
  <c r="L886" i="18"/>
  <c r="M886" i="18"/>
  <c r="L887" i="18"/>
  <c r="M887" i="18"/>
  <c r="L888" i="18"/>
  <c r="M888" i="18"/>
  <c r="L889" i="18"/>
  <c r="M889" i="18"/>
  <c r="L890" i="18"/>
  <c r="M890" i="18"/>
  <c r="L891" i="18"/>
  <c r="M891" i="18"/>
  <c r="L892" i="18"/>
  <c r="M892" i="18"/>
  <c r="L893" i="18"/>
  <c r="M893" i="18"/>
  <c r="L894" i="18"/>
  <c r="M894" i="18"/>
  <c r="L895" i="18"/>
  <c r="M895" i="18"/>
  <c r="L896" i="18"/>
  <c r="M896" i="18"/>
  <c r="L897" i="18"/>
  <c r="M897" i="18"/>
  <c r="L898" i="18"/>
  <c r="M898" i="18"/>
  <c r="L899" i="18"/>
  <c r="M899" i="18"/>
  <c r="L900" i="18"/>
  <c r="M900" i="18"/>
  <c r="L901" i="18"/>
  <c r="M901" i="18"/>
  <c r="L902" i="18"/>
  <c r="M902" i="18"/>
  <c r="L903" i="18"/>
  <c r="M903" i="18"/>
  <c r="L904" i="18"/>
  <c r="M904" i="18"/>
  <c r="L905" i="18"/>
  <c r="M905" i="18"/>
  <c r="L906" i="18"/>
  <c r="M906" i="18"/>
  <c r="L907" i="18"/>
  <c r="M907" i="18"/>
  <c r="L908" i="18"/>
  <c r="M908" i="18"/>
  <c r="L909" i="18"/>
  <c r="M909" i="18"/>
  <c r="L910" i="18"/>
  <c r="M910" i="18"/>
  <c r="L911" i="18"/>
  <c r="M911" i="18"/>
  <c r="L912" i="18"/>
  <c r="M912" i="18"/>
  <c r="L913" i="18"/>
  <c r="M913" i="18"/>
  <c r="L914" i="18"/>
  <c r="M914" i="18"/>
  <c r="L915" i="18"/>
  <c r="M915" i="18"/>
  <c r="L916" i="18"/>
  <c r="M916" i="18"/>
  <c r="L917" i="18"/>
  <c r="M917" i="18"/>
  <c r="L918" i="18"/>
  <c r="M918" i="18"/>
  <c r="L919" i="18"/>
  <c r="M919" i="18"/>
  <c r="L920" i="18"/>
  <c r="M920" i="18"/>
  <c r="L921" i="18"/>
  <c r="M921" i="18"/>
  <c r="L922" i="18"/>
  <c r="M922" i="18"/>
  <c r="L923" i="18"/>
  <c r="M923" i="18"/>
  <c r="L924" i="18"/>
  <c r="M924" i="18"/>
  <c r="L925" i="18"/>
  <c r="M925" i="18"/>
  <c r="L926" i="18"/>
  <c r="M926" i="18"/>
  <c r="L927" i="18"/>
  <c r="M927" i="18"/>
  <c r="L928" i="18"/>
  <c r="M928" i="18"/>
  <c r="L929" i="18"/>
  <c r="M929" i="18"/>
  <c r="L930" i="18"/>
  <c r="M930" i="18"/>
  <c r="L931" i="18"/>
  <c r="M931" i="18"/>
  <c r="L932" i="18"/>
  <c r="M932" i="18"/>
  <c r="L933" i="18"/>
  <c r="M933" i="18"/>
  <c r="L934" i="18"/>
  <c r="M934" i="18"/>
  <c r="L935" i="18"/>
  <c r="M935" i="18"/>
  <c r="L936" i="18"/>
  <c r="M936" i="18"/>
  <c r="L937" i="18"/>
  <c r="M937" i="18"/>
  <c r="L938" i="18"/>
  <c r="M938" i="18"/>
  <c r="L939" i="18"/>
  <c r="M939" i="18"/>
  <c r="L940" i="18"/>
  <c r="M940" i="18"/>
  <c r="L941" i="18"/>
  <c r="M941" i="18"/>
  <c r="L942" i="18"/>
  <c r="M942" i="18"/>
  <c r="L943" i="18"/>
  <c r="M943" i="18"/>
  <c r="L944" i="18"/>
  <c r="M944" i="18"/>
  <c r="L945" i="18"/>
  <c r="M945" i="18"/>
  <c r="L946" i="18"/>
  <c r="M946" i="18"/>
  <c r="L947" i="18"/>
  <c r="M947" i="18"/>
  <c r="L948" i="18"/>
  <c r="M948" i="18"/>
  <c r="L949" i="18"/>
  <c r="M949" i="18"/>
  <c r="L950" i="18"/>
  <c r="M950" i="18"/>
  <c r="L951" i="18"/>
  <c r="M951" i="18"/>
  <c r="L952" i="18"/>
  <c r="M952" i="18"/>
  <c r="L953" i="18"/>
  <c r="M953" i="18"/>
  <c r="L954" i="18"/>
  <c r="M954" i="18"/>
  <c r="L955" i="18"/>
  <c r="M955" i="18"/>
  <c r="L956" i="18"/>
  <c r="M956" i="18"/>
  <c r="L957" i="18"/>
  <c r="M957" i="18"/>
  <c r="L958" i="18"/>
  <c r="M958" i="18"/>
  <c r="L959" i="18"/>
  <c r="M959" i="18"/>
  <c r="L960" i="18"/>
  <c r="M960" i="18"/>
  <c r="L961" i="18"/>
  <c r="M961" i="18"/>
  <c r="L962" i="18"/>
  <c r="M962" i="18"/>
  <c r="L963" i="18"/>
  <c r="M963" i="18"/>
  <c r="L964" i="18"/>
  <c r="M964" i="18"/>
  <c r="L965" i="18"/>
  <c r="M965" i="18"/>
  <c r="L966" i="18"/>
  <c r="M966" i="18"/>
  <c r="L967" i="18"/>
  <c r="M967" i="18"/>
  <c r="L968" i="18"/>
  <c r="M968" i="18"/>
  <c r="L969" i="18"/>
  <c r="M969" i="18"/>
  <c r="L970" i="18"/>
  <c r="M970" i="18"/>
  <c r="L971" i="18"/>
  <c r="M971" i="18"/>
  <c r="L972" i="18"/>
  <c r="M972" i="18"/>
  <c r="L973" i="18"/>
  <c r="M973" i="18"/>
  <c r="L974" i="18"/>
  <c r="M974" i="18"/>
  <c r="L975" i="18"/>
  <c r="M975" i="18"/>
  <c r="L976" i="18"/>
  <c r="M976" i="18"/>
  <c r="L977" i="18"/>
  <c r="M977" i="18"/>
  <c r="L978" i="18"/>
  <c r="M978" i="18"/>
  <c r="L979" i="18"/>
  <c r="M979" i="18"/>
  <c r="L980" i="18"/>
  <c r="M980" i="18"/>
  <c r="L981" i="18"/>
  <c r="M981" i="18"/>
  <c r="L982" i="18"/>
  <c r="M982" i="18"/>
  <c r="L983" i="18"/>
  <c r="M983" i="18"/>
  <c r="L984" i="18"/>
  <c r="M984" i="18"/>
  <c r="L985" i="18"/>
  <c r="M985" i="18"/>
  <c r="L986" i="18"/>
  <c r="M986" i="18"/>
  <c r="L987" i="18"/>
  <c r="M987" i="18"/>
  <c r="L988" i="18"/>
  <c r="M988" i="18"/>
  <c r="L989" i="18"/>
  <c r="M989" i="18"/>
  <c r="L990" i="18"/>
  <c r="M990" i="18"/>
  <c r="L991" i="18"/>
  <c r="M991" i="18"/>
  <c r="L992" i="18"/>
  <c r="M992" i="18"/>
  <c r="L993" i="18"/>
  <c r="M993" i="18"/>
  <c r="L994" i="18"/>
  <c r="M994" i="18"/>
  <c r="L995" i="18"/>
  <c r="M995" i="18"/>
  <c r="L996" i="18"/>
  <c r="M996" i="18"/>
  <c r="L997" i="18"/>
  <c r="M997" i="18"/>
  <c r="L998" i="18"/>
  <c r="M998" i="18"/>
  <c r="L999" i="18"/>
  <c r="M999" i="18"/>
  <c r="L1000" i="18"/>
  <c r="M1000" i="18"/>
  <c r="L1001" i="18"/>
  <c r="M1001" i="18"/>
  <c r="L1002" i="18"/>
  <c r="M1002" i="18"/>
  <c r="L1003" i="18"/>
  <c r="M1003" i="18"/>
  <c r="L1004" i="18"/>
  <c r="M1004" i="18"/>
  <c r="L1005" i="18"/>
  <c r="M1005" i="18"/>
  <c r="L1006" i="18"/>
  <c r="M1006" i="18"/>
  <c r="L1007" i="18"/>
  <c r="M1007" i="18"/>
  <c r="L1008" i="18"/>
  <c r="M1008" i="18"/>
  <c r="L1009" i="18"/>
  <c r="M1009" i="18"/>
  <c r="L1010" i="18"/>
  <c r="M1010" i="18"/>
  <c r="L1011" i="18"/>
  <c r="M1011" i="18"/>
  <c r="L1012" i="18"/>
  <c r="M1012" i="18"/>
  <c r="L1013" i="18"/>
  <c r="M1013" i="18"/>
  <c r="L1014" i="18"/>
  <c r="M1014" i="18"/>
  <c r="L1015" i="18"/>
  <c r="M1015" i="18"/>
  <c r="L1016" i="18"/>
  <c r="M1016" i="18"/>
  <c r="L1017" i="18"/>
  <c r="M1017" i="18"/>
  <c r="L1018" i="18"/>
  <c r="M1018" i="18"/>
  <c r="L1019" i="18"/>
  <c r="M1019" i="18"/>
  <c r="L1020" i="18"/>
  <c r="M1020" i="18"/>
  <c r="L1021" i="18"/>
  <c r="M1021" i="18"/>
  <c r="L1022" i="18"/>
  <c r="M1022" i="18"/>
  <c r="L1023" i="18"/>
  <c r="M1023" i="18"/>
  <c r="L1024" i="18"/>
  <c r="M1024" i="18"/>
  <c r="L1025" i="18"/>
  <c r="M1025" i="18"/>
  <c r="L1026" i="18"/>
  <c r="M1026" i="18"/>
  <c r="L1027" i="18"/>
  <c r="M1027" i="18"/>
  <c r="L1028" i="18"/>
  <c r="M1028" i="18"/>
  <c r="L1029" i="18"/>
  <c r="M1029" i="18"/>
  <c r="L1030" i="18"/>
  <c r="M1030" i="18"/>
  <c r="L1031" i="18"/>
  <c r="M1031" i="18"/>
  <c r="L1032" i="18"/>
  <c r="M1032" i="18"/>
  <c r="L1033" i="18"/>
  <c r="M1033" i="18"/>
  <c r="L1034" i="18"/>
  <c r="M1034" i="18"/>
  <c r="L1035" i="18"/>
  <c r="M1035" i="18"/>
  <c r="L1036" i="18"/>
  <c r="M1036" i="18"/>
  <c r="L1037" i="18"/>
  <c r="M1037" i="18"/>
  <c r="L1038" i="18"/>
  <c r="M1038" i="18"/>
  <c r="L1039" i="18"/>
  <c r="M1039" i="18"/>
  <c r="L1040" i="18"/>
  <c r="M1040" i="18"/>
  <c r="L1041" i="18"/>
  <c r="M1041" i="18"/>
  <c r="L1042" i="18"/>
  <c r="M1042" i="18"/>
  <c r="L1043" i="18"/>
  <c r="M1043" i="18"/>
  <c r="L1044" i="18"/>
  <c r="M1044" i="18"/>
  <c r="L1045" i="18"/>
  <c r="M1045" i="18"/>
  <c r="L1046" i="18"/>
  <c r="M1046" i="18"/>
  <c r="L1047" i="18"/>
  <c r="M1047" i="18"/>
  <c r="L1048" i="18"/>
  <c r="M1048" i="18"/>
  <c r="L1049" i="18"/>
  <c r="M1049" i="18"/>
  <c r="L1050" i="18"/>
  <c r="M1050" i="18"/>
  <c r="L1051" i="18"/>
  <c r="M1051" i="18"/>
  <c r="L1052" i="18"/>
  <c r="M1052" i="18"/>
  <c r="L1053" i="18"/>
  <c r="M1053" i="18"/>
  <c r="L1054" i="18"/>
  <c r="M1054" i="18"/>
  <c r="L1055" i="18"/>
  <c r="M1055" i="18"/>
  <c r="L1056" i="18"/>
  <c r="M1056" i="18"/>
  <c r="L1057" i="18"/>
  <c r="M1057" i="18"/>
  <c r="L1058" i="18"/>
  <c r="M1058" i="18"/>
  <c r="L1059" i="18"/>
  <c r="M1059" i="18"/>
  <c r="L1060" i="18"/>
  <c r="M1060" i="18"/>
  <c r="L1061" i="18"/>
  <c r="M1061" i="18"/>
  <c r="L1062" i="18"/>
  <c r="M1062" i="18"/>
  <c r="L1063" i="18"/>
  <c r="M1063" i="18"/>
  <c r="L1064" i="18"/>
  <c r="M1064" i="18"/>
  <c r="L1065" i="18"/>
  <c r="M1065" i="18"/>
  <c r="L1066" i="18"/>
  <c r="M1066" i="18"/>
  <c r="L1067" i="18"/>
  <c r="M1067" i="18"/>
  <c r="L1068" i="18"/>
  <c r="M1068" i="18"/>
  <c r="L1069" i="18"/>
  <c r="M1069" i="18"/>
  <c r="L1070" i="18"/>
  <c r="M1070" i="18"/>
  <c r="L1071" i="18"/>
  <c r="M1071" i="18"/>
  <c r="L1072" i="18"/>
  <c r="M1072" i="18"/>
  <c r="L1073" i="18"/>
  <c r="M1073" i="18"/>
  <c r="L1074" i="18"/>
  <c r="M1074" i="18"/>
  <c r="L1075" i="18"/>
  <c r="M1075" i="18"/>
  <c r="L1076" i="18"/>
  <c r="M1076" i="18"/>
  <c r="L1077" i="18"/>
  <c r="M1077" i="18"/>
  <c r="L1078" i="18"/>
  <c r="M1078" i="18"/>
  <c r="L1079" i="18"/>
  <c r="M1079" i="18"/>
  <c r="L1080" i="18"/>
  <c r="M1080" i="18"/>
  <c r="L1081" i="18"/>
  <c r="M1081" i="18"/>
  <c r="L1082" i="18"/>
  <c r="M1082" i="18"/>
  <c r="L1083" i="18"/>
  <c r="M1083" i="18"/>
  <c r="L1084" i="18"/>
  <c r="M1084" i="18"/>
  <c r="L1085" i="18"/>
  <c r="M1085" i="18"/>
  <c r="L1086" i="18"/>
  <c r="M1086" i="18"/>
  <c r="L1087" i="18"/>
  <c r="M1087" i="18"/>
  <c r="L1088" i="18"/>
  <c r="M1088" i="18"/>
  <c r="L1089" i="18"/>
  <c r="M1089" i="18"/>
  <c r="L1090" i="18"/>
  <c r="M1090" i="18"/>
  <c r="L1091" i="18"/>
  <c r="M1091" i="18"/>
  <c r="L1092" i="18"/>
  <c r="M1092" i="18"/>
  <c r="L1093" i="18"/>
  <c r="M1093" i="18"/>
  <c r="L1094" i="18"/>
  <c r="M1094" i="18"/>
  <c r="L1095" i="18"/>
  <c r="M1095" i="18"/>
  <c r="L1096" i="18"/>
  <c r="M1096" i="18"/>
  <c r="L1097" i="18"/>
  <c r="M1097" i="18"/>
  <c r="L1098" i="18"/>
  <c r="M1098" i="18"/>
  <c r="L1099" i="18"/>
  <c r="M1099" i="18"/>
  <c r="L1100" i="18"/>
  <c r="M1100" i="18"/>
  <c r="L1101" i="18"/>
  <c r="M1101" i="18"/>
  <c r="L1102" i="18"/>
  <c r="M1102" i="18"/>
  <c r="L1103" i="18"/>
  <c r="M1103" i="18"/>
  <c r="L1104" i="18"/>
  <c r="M1104" i="18"/>
  <c r="L1105" i="18"/>
  <c r="M1105" i="18"/>
  <c r="L1106" i="18"/>
  <c r="M1106" i="18"/>
  <c r="L1107" i="18"/>
  <c r="M1107" i="18"/>
  <c r="L1108" i="18"/>
  <c r="M1108" i="18"/>
  <c r="L1109" i="18"/>
  <c r="M1109" i="18"/>
  <c r="L1110" i="18"/>
  <c r="M1110" i="18"/>
  <c r="L1111" i="18"/>
  <c r="M1111" i="18"/>
  <c r="L1112" i="18"/>
  <c r="M1112" i="18"/>
  <c r="L1113" i="18"/>
  <c r="M1113" i="18"/>
  <c r="L1114" i="18"/>
  <c r="M1114" i="18"/>
  <c r="L1115" i="18"/>
  <c r="M1115" i="18"/>
  <c r="L1116" i="18"/>
  <c r="M1116" i="18"/>
  <c r="L1117" i="18"/>
  <c r="M1117" i="18"/>
  <c r="L1118" i="18"/>
  <c r="M1118" i="18"/>
  <c r="L1119" i="18"/>
  <c r="M1119" i="18"/>
  <c r="L1120" i="18"/>
  <c r="M1120" i="18"/>
  <c r="L1121" i="18"/>
  <c r="M1121" i="18"/>
  <c r="L1122" i="18"/>
  <c r="M1122" i="18"/>
  <c r="L1123" i="18"/>
  <c r="M1123" i="18"/>
  <c r="L1124" i="18"/>
  <c r="M1124" i="18"/>
  <c r="L1125" i="18"/>
  <c r="M1125" i="18"/>
  <c r="L1126" i="18"/>
  <c r="M1126" i="18"/>
  <c r="L1127" i="18"/>
  <c r="M1127" i="18"/>
  <c r="L1128" i="18"/>
  <c r="M1128" i="18"/>
  <c r="L1129" i="18"/>
  <c r="M1129" i="18"/>
  <c r="L1130" i="18"/>
  <c r="M1130" i="18"/>
  <c r="L1131" i="18"/>
  <c r="M1131" i="18"/>
  <c r="L1132" i="18"/>
  <c r="M1132" i="18"/>
  <c r="L1133" i="18"/>
  <c r="M1133" i="18"/>
  <c r="L1134" i="18"/>
  <c r="M1134" i="18"/>
  <c r="L1135" i="18"/>
  <c r="M1135" i="18"/>
  <c r="L1136" i="18"/>
  <c r="M1136" i="18"/>
  <c r="L1137" i="18"/>
  <c r="M1137" i="18"/>
  <c r="L1138" i="18"/>
  <c r="M1138" i="18"/>
  <c r="L1139" i="18"/>
  <c r="M1139" i="18"/>
  <c r="L1140" i="18"/>
  <c r="M1140" i="18"/>
  <c r="L1141" i="18"/>
  <c r="M1141" i="18"/>
  <c r="L1142" i="18"/>
  <c r="M1142" i="18"/>
  <c r="L1143" i="18"/>
  <c r="M1143" i="18"/>
  <c r="L1144" i="18"/>
  <c r="M1144" i="18"/>
  <c r="L1145" i="18"/>
  <c r="M1145" i="18"/>
  <c r="L1146" i="18"/>
  <c r="M1146" i="18"/>
  <c r="L1147" i="18"/>
  <c r="M1147" i="18"/>
  <c r="L1148" i="18"/>
  <c r="M1148" i="18"/>
  <c r="L1149" i="18"/>
  <c r="M1149" i="18"/>
  <c r="L1150" i="18"/>
  <c r="M1150" i="18"/>
  <c r="L1151" i="18"/>
  <c r="M1151" i="18"/>
  <c r="L1152" i="18"/>
  <c r="M1152" i="18"/>
  <c r="L1153" i="18"/>
  <c r="M1153" i="18"/>
  <c r="L1154" i="18"/>
  <c r="M1154" i="18"/>
  <c r="L1155" i="18"/>
  <c r="M1155" i="18"/>
  <c r="L1156" i="18"/>
  <c r="M1156" i="18"/>
  <c r="L1157" i="18"/>
  <c r="M1157" i="18"/>
  <c r="L1158" i="18"/>
  <c r="M1158" i="18"/>
  <c r="L1159" i="18"/>
  <c r="M1159" i="18"/>
  <c r="L1160" i="18"/>
  <c r="M1160" i="18"/>
  <c r="L1161" i="18"/>
  <c r="M1161" i="18"/>
  <c r="L1162" i="18"/>
  <c r="M1162" i="18"/>
  <c r="L1163" i="18"/>
  <c r="M1163" i="18"/>
  <c r="L1164" i="18"/>
  <c r="M1164" i="18"/>
  <c r="L1165" i="18"/>
  <c r="M1165" i="18"/>
  <c r="L1166" i="18"/>
  <c r="M1166" i="18"/>
  <c r="L1167" i="18"/>
  <c r="M1167" i="18"/>
  <c r="L1168" i="18"/>
  <c r="M1168" i="18"/>
  <c r="L1169" i="18"/>
  <c r="M1169" i="18"/>
  <c r="L1170" i="18"/>
  <c r="M1170" i="18"/>
  <c r="L1171" i="18"/>
  <c r="M1171" i="18"/>
  <c r="L1172" i="18"/>
  <c r="M1172" i="18"/>
  <c r="L1173" i="18"/>
  <c r="M1173" i="18"/>
  <c r="L1174" i="18"/>
  <c r="M1174" i="18"/>
  <c r="L1175" i="18"/>
  <c r="M1175" i="18"/>
  <c r="L1176" i="18"/>
  <c r="M1176" i="18"/>
  <c r="L1177" i="18"/>
  <c r="M1177" i="18"/>
  <c r="L1178" i="18"/>
  <c r="M1178" i="18"/>
  <c r="L1179" i="18"/>
  <c r="M1179" i="18"/>
  <c r="L1180"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7" i="18"/>
  <c r="K538" i="18"/>
  <c r="K539" i="18"/>
  <c r="K540" i="18"/>
  <c r="K541" i="18"/>
  <c r="K542" i="18"/>
  <c r="K543" i="18"/>
  <c r="K544" i="18"/>
  <c r="K545" i="18"/>
  <c r="K546" i="18"/>
  <c r="K547" i="18"/>
  <c r="K548" i="18"/>
  <c r="K549" i="18"/>
  <c r="K550" i="18"/>
  <c r="K551" i="18"/>
  <c r="K552" i="18"/>
  <c r="K553" i="18"/>
  <c r="K554" i="18"/>
  <c r="K555" i="18"/>
  <c r="K556" i="18"/>
  <c r="K557" i="18"/>
  <c r="K558" i="18"/>
  <c r="K559" i="18"/>
  <c r="K560" i="18"/>
  <c r="K561" i="18"/>
  <c r="K562" i="18"/>
  <c r="K563"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3" i="18"/>
  <c r="K594" i="18"/>
  <c r="K595" i="18"/>
  <c r="K596" i="18"/>
  <c r="K597" i="18"/>
  <c r="K598" i="18"/>
  <c r="K599" i="18"/>
  <c r="K600" i="18"/>
  <c r="K601" i="18"/>
  <c r="K602" i="18"/>
  <c r="K603" i="18"/>
  <c r="K604" i="18"/>
  <c r="K605" i="18"/>
  <c r="K606" i="18"/>
  <c r="K607" i="18"/>
  <c r="K608" i="18"/>
  <c r="K609" i="18"/>
  <c r="K610" i="18"/>
  <c r="K611" i="18"/>
  <c r="K612" i="18"/>
  <c r="K613" i="18"/>
  <c r="K614" i="18"/>
  <c r="K615" i="18"/>
  <c r="K616" i="18"/>
  <c r="K617" i="18"/>
  <c r="K618" i="18"/>
  <c r="K619" i="18"/>
  <c r="K620" i="18"/>
  <c r="K621" i="18"/>
  <c r="K622" i="18"/>
  <c r="K623" i="18"/>
  <c r="K624" i="18"/>
  <c r="K625" i="18"/>
  <c r="K626" i="18"/>
  <c r="K627" i="18"/>
  <c r="K628" i="18"/>
  <c r="K629" i="18"/>
  <c r="K630" i="18"/>
  <c r="K631" i="18"/>
  <c r="K632" i="18"/>
  <c r="K633" i="18"/>
  <c r="K634" i="18"/>
  <c r="K635" i="18"/>
  <c r="K636" i="18"/>
  <c r="K637" i="18"/>
  <c r="K638" i="18"/>
  <c r="K639" i="18"/>
  <c r="K640" i="18"/>
  <c r="K641" i="18"/>
  <c r="K642" i="18"/>
  <c r="K643" i="18"/>
  <c r="K644" i="18"/>
  <c r="K645" i="18"/>
  <c r="K646" i="18"/>
  <c r="K647" i="18"/>
  <c r="K648" i="18"/>
  <c r="K649" i="18"/>
  <c r="K650" i="18"/>
  <c r="K651" i="18"/>
  <c r="K652" i="18"/>
  <c r="K653" i="18"/>
  <c r="K654" i="18"/>
  <c r="K655" i="18"/>
  <c r="K656" i="18"/>
  <c r="K657" i="18"/>
  <c r="K658" i="18"/>
  <c r="K659" i="18"/>
  <c r="K660" i="18"/>
  <c r="K661" i="18"/>
  <c r="K662" i="18"/>
  <c r="K663" i="18"/>
  <c r="K664" i="18"/>
  <c r="K665" i="18"/>
  <c r="K666" i="18"/>
  <c r="K667" i="18"/>
  <c r="K668" i="18"/>
  <c r="K669" i="18"/>
  <c r="K670" i="18"/>
  <c r="K671" i="18"/>
  <c r="K672" i="18"/>
  <c r="K673" i="18"/>
  <c r="K674" i="18"/>
  <c r="K675" i="18"/>
  <c r="K676" i="18"/>
  <c r="K677" i="18"/>
  <c r="K678" i="18"/>
  <c r="K679" i="18"/>
  <c r="K680" i="18"/>
  <c r="K681" i="18"/>
  <c r="K682" i="18"/>
  <c r="K683" i="18"/>
  <c r="K684" i="18"/>
  <c r="K685" i="18"/>
  <c r="K686" i="18"/>
  <c r="K687" i="18"/>
  <c r="K688" i="18"/>
  <c r="K689" i="18"/>
  <c r="K690" i="18"/>
  <c r="K691" i="18"/>
  <c r="K692" i="18"/>
  <c r="K693" i="18"/>
  <c r="K694" i="18"/>
  <c r="K695" i="18"/>
  <c r="K696" i="18"/>
  <c r="K697" i="18"/>
  <c r="K698" i="18"/>
  <c r="K699" i="18"/>
  <c r="K700" i="18"/>
  <c r="K701" i="18"/>
  <c r="K702" i="18"/>
  <c r="K703" i="18"/>
  <c r="K704" i="18"/>
  <c r="K705" i="18"/>
  <c r="K706" i="18"/>
  <c r="K707" i="18"/>
  <c r="K708" i="18"/>
  <c r="K709" i="18"/>
  <c r="K710" i="18"/>
  <c r="K711" i="18"/>
  <c r="K712" i="18"/>
  <c r="K713" i="18"/>
  <c r="K714" i="18"/>
  <c r="K715" i="18"/>
  <c r="K716" i="18"/>
  <c r="K717" i="18"/>
  <c r="K718" i="18"/>
  <c r="K719" i="18"/>
  <c r="K720" i="18"/>
  <c r="K721" i="18"/>
  <c r="K722" i="18"/>
  <c r="K723" i="18"/>
  <c r="K724" i="18"/>
  <c r="K725" i="18"/>
  <c r="K726" i="18"/>
  <c r="K727" i="18"/>
  <c r="K728" i="18"/>
  <c r="K729" i="18"/>
  <c r="K730" i="18"/>
  <c r="K731" i="18"/>
  <c r="K732" i="18"/>
  <c r="K733" i="18"/>
  <c r="K734" i="18"/>
  <c r="K735" i="18"/>
  <c r="K736" i="18"/>
  <c r="K737" i="18"/>
  <c r="K738" i="18"/>
  <c r="K739" i="18"/>
  <c r="K740" i="18"/>
  <c r="K741" i="18"/>
  <c r="K742" i="18"/>
  <c r="K743" i="18"/>
  <c r="K744" i="18"/>
  <c r="K745" i="18"/>
  <c r="K746" i="18"/>
  <c r="K747" i="18"/>
  <c r="K748" i="18"/>
  <c r="K749" i="18"/>
  <c r="K750" i="18"/>
  <c r="K751" i="18"/>
  <c r="K752" i="18"/>
  <c r="K753" i="18"/>
  <c r="K754" i="18"/>
  <c r="K755" i="18"/>
  <c r="K756" i="18"/>
  <c r="K757" i="18"/>
  <c r="K758" i="18"/>
  <c r="K759" i="18"/>
  <c r="K760" i="18"/>
  <c r="K761" i="18"/>
  <c r="K762" i="18"/>
  <c r="K763" i="18"/>
  <c r="K764" i="18"/>
  <c r="K765" i="18"/>
  <c r="K766" i="18"/>
  <c r="K767" i="18"/>
  <c r="K768" i="18"/>
  <c r="K769" i="18"/>
  <c r="K770" i="18"/>
  <c r="K771" i="18"/>
  <c r="K772" i="18"/>
  <c r="K773" i="18"/>
  <c r="K774" i="18"/>
  <c r="K775" i="18"/>
  <c r="K776" i="18"/>
  <c r="K777" i="18"/>
  <c r="K778" i="18"/>
  <c r="K779" i="18"/>
  <c r="K780" i="18"/>
  <c r="K781" i="18"/>
  <c r="K782" i="18"/>
  <c r="K783" i="18"/>
  <c r="K784" i="18"/>
  <c r="K785" i="18"/>
  <c r="K786" i="18"/>
  <c r="K787" i="18"/>
  <c r="K788" i="18"/>
  <c r="K789" i="18"/>
  <c r="K790" i="18"/>
  <c r="K791" i="18"/>
  <c r="K792" i="18"/>
  <c r="K793" i="18"/>
  <c r="K794" i="18"/>
  <c r="K795" i="18"/>
  <c r="K796" i="18"/>
  <c r="K797" i="18"/>
  <c r="K798" i="18"/>
  <c r="K799" i="18"/>
  <c r="K800" i="18"/>
  <c r="K801" i="18"/>
  <c r="K802" i="18"/>
  <c r="K803" i="18"/>
  <c r="K804" i="18"/>
  <c r="K805" i="18"/>
  <c r="K806" i="18"/>
  <c r="K807" i="18"/>
  <c r="K808" i="18"/>
  <c r="K809" i="18"/>
  <c r="K810" i="18"/>
  <c r="K811" i="18"/>
  <c r="K812" i="18"/>
  <c r="K813" i="18"/>
  <c r="K814" i="18"/>
  <c r="K815" i="18"/>
  <c r="K816" i="18"/>
  <c r="K817" i="18"/>
  <c r="K818" i="18"/>
  <c r="K819" i="18"/>
  <c r="K820" i="18"/>
  <c r="K821" i="18"/>
  <c r="K822" i="18"/>
  <c r="K823" i="18"/>
  <c r="K824" i="18"/>
  <c r="K825" i="18"/>
  <c r="K826" i="18"/>
  <c r="K827" i="18"/>
  <c r="K828" i="18"/>
  <c r="K829" i="18"/>
  <c r="K830" i="18"/>
  <c r="K831" i="18"/>
  <c r="K832" i="18"/>
  <c r="K833" i="18"/>
  <c r="K834" i="18"/>
  <c r="K835" i="18"/>
  <c r="K836" i="18"/>
  <c r="K837" i="18"/>
  <c r="K838" i="18"/>
  <c r="K839" i="18"/>
  <c r="K840" i="18"/>
  <c r="K841" i="18"/>
  <c r="K842" i="18"/>
  <c r="K843" i="18"/>
  <c r="K844" i="18"/>
  <c r="K845" i="18"/>
  <c r="K846" i="18"/>
  <c r="K847" i="18"/>
  <c r="K848" i="18"/>
  <c r="K849" i="18"/>
  <c r="K850" i="18"/>
  <c r="K851" i="18"/>
  <c r="K852" i="18"/>
  <c r="K853" i="18"/>
  <c r="K854" i="18"/>
  <c r="K855" i="18"/>
  <c r="K856" i="18"/>
  <c r="K857" i="18"/>
  <c r="K858" i="18"/>
  <c r="K859" i="18"/>
  <c r="K860" i="18"/>
  <c r="K861" i="18"/>
  <c r="K862" i="18"/>
  <c r="K863" i="18"/>
  <c r="K864" i="18"/>
  <c r="K865" i="18"/>
  <c r="K866" i="18"/>
  <c r="K867" i="18"/>
  <c r="K868" i="18"/>
  <c r="K869" i="18"/>
  <c r="K870" i="18"/>
  <c r="K871" i="18"/>
  <c r="K872" i="18"/>
  <c r="K873" i="18"/>
  <c r="K874" i="18"/>
  <c r="K875" i="18"/>
  <c r="K876" i="18"/>
  <c r="K877" i="18"/>
  <c r="K878" i="18"/>
  <c r="K879" i="18"/>
  <c r="K880" i="18"/>
  <c r="K881" i="18"/>
  <c r="K882" i="18"/>
  <c r="K883" i="18"/>
  <c r="K884" i="18"/>
  <c r="K885" i="18"/>
  <c r="K886" i="18"/>
  <c r="K887" i="18"/>
  <c r="K888" i="18"/>
  <c r="K889" i="18"/>
  <c r="K890" i="18"/>
  <c r="K891" i="18"/>
  <c r="K892" i="18"/>
  <c r="K893" i="18"/>
  <c r="K894" i="18"/>
  <c r="K895" i="18"/>
  <c r="K896" i="18"/>
  <c r="K897" i="18"/>
  <c r="K898" i="18"/>
  <c r="K899" i="18"/>
  <c r="K900" i="18"/>
  <c r="K901" i="18"/>
  <c r="K902" i="18"/>
  <c r="K903" i="18"/>
  <c r="K904" i="18"/>
  <c r="K905" i="18"/>
  <c r="K906" i="18"/>
  <c r="K907" i="18"/>
  <c r="K908" i="18"/>
  <c r="K909" i="18"/>
  <c r="K910" i="18"/>
  <c r="K911" i="18"/>
  <c r="K912" i="18"/>
  <c r="K913" i="18"/>
  <c r="K914" i="18"/>
  <c r="K915" i="18"/>
  <c r="K916" i="18"/>
  <c r="K917" i="18"/>
  <c r="K918" i="18"/>
  <c r="K919" i="18"/>
  <c r="K920" i="18"/>
  <c r="K921" i="18"/>
  <c r="K922" i="18"/>
  <c r="K923" i="18"/>
  <c r="K924" i="18"/>
  <c r="K925" i="18"/>
  <c r="K926" i="18"/>
  <c r="K927" i="18"/>
  <c r="K928" i="18"/>
  <c r="K929" i="18"/>
  <c r="K930" i="18"/>
  <c r="K931" i="18"/>
  <c r="K932" i="18"/>
  <c r="K933" i="18"/>
  <c r="K934" i="18"/>
  <c r="K935" i="18"/>
  <c r="K936" i="18"/>
  <c r="K937" i="18"/>
  <c r="K938" i="18"/>
  <c r="K939" i="18"/>
  <c r="K940" i="18"/>
  <c r="K941" i="18"/>
  <c r="K942" i="18"/>
  <c r="K943" i="18"/>
  <c r="K944" i="18"/>
  <c r="K945" i="18"/>
  <c r="K946" i="18"/>
  <c r="K947" i="18"/>
  <c r="K948" i="18"/>
  <c r="K949" i="18"/>
  <c r="K950" i="18"/>
  <c r="K951" i="18"/>
  <c r="K952" i="18"/>
  <c r="K953" i="18"/>
  <c r="K954" i="18"/>
  <c r="K955" i="18"/>
  <c r="K956" i="18"/>
  <c r="K957" i="18"/>
  <c r="K958" i="18"/>
  <c r="K959" i="18"/>
  <c r="K960" i="18"/>
  <c r="K961" i="18"/>
  <c r="K962" i="18"/>
  <c r="K963" i="18"/>
  <c r="K964" i="18"/>
  <c r="K965" i="18"/>
  <c r="K966" i="18"/>
  <c r="K967" i="18"/>
  <c r="K968" i="18"/>
  <c r="K969" i="18"/>
  <c r="K970" i="18"/>
  <c r="K971" i="18"/>
  <c r="K972" i="18"/>
  <c r="K973" i="18"/>
  <c r="K974" i="18"/>
  <c r="K975" i="18"/>
  <c r="K976" i="18"/>
  <c r="K977" i="18"/>
  <c r="K978" i="18"/>
  <c r="K979" i="18"/>
  <c r="K980" i="18"/>
  <c r="K981" i="18"/>
  <c r="K982" i="18"/>
  <c r="K983" i="18"/>
  <c r="K984" i="18"/>
  <c r="K985" i="18"/>
  <c r="K986" i="18"/>
  <c r="K987" i="18"/>
  <c r="K988" i="18"/>
  <c r="K989" i="18"/>
  <c r="K990" i="18"/>
  <c r="K991" i="18"/>
  <c r="K992" i="18"/>
  <c r="K993" i="18"/>
  <c r="K994" i="18"/>
  <c r="K995" i="18"/>
  <c r="K996" i="18"/>
  <c r="K997" i="18"/>
  <c r="K998" i="18"/>
  <c r="K999" i="18"/>
  <c r="K1000" i="18"/>
  <c r="K1001" i="18"/>
  <c r="K1002" i="18"/>
  <c r="K1003" i="18"/>
  <c r="K1004" i="18"/>
  <c r="K1005" i="18"/>
  <c r="K1006" i="18"/>
  <c r="K1007" i="18"/>
  <c r="K1008" i="18"/>
  <c r="K1009" i="18"/>
  <c r="K1010" i="18"/>
  <c r="K1011" i="18"/>
  <c r="K1012" i="18"/>
  <c r="K1013" i="18"/>
  <c r="K1014" i="18"/>
  <c r="K1015" i="18"/>
  <c r="K1016" i="18"/>
  <c r="K1017" i="18"/>
  <c r="K1018" i="18"/>
  <c r="K1019" i="18"/>
  <c r="K1020" i="18"/>
  <c r="K1021" i="18"/>
  <c r="K1022" i="18"/>
  <c r="K1023" i="18"/>
  <c r="K1024" i="18"/>
  <c r="K1025" i="18"/>
  <c r="K1026" i="18"/>
  <c r="K1027" i="18"/>
  <c r="K1028" i="18"/>
  <c r="K1029" i="18"/>
  <c r="K1030" i="18"/>
  <c r="K1031" i="18"/>
  <c r="K1032" i="18"/>
  <c r="K1033" i="18"/>
  <c r="K1034" i="18"/>
  <c r="K1035" i="18"/>
  <c r="K1036" i="18"/>
  <c r="K1037" i="18"/>
  <c r="K1038" i="18"/>
  <c r="K1039" i="18"/>
  <c r="K1040" i="18"/>
  <c r="K1041" i="18"/>
  <c r="K1042" i="18"/>
  <c r="K1043" i="18"/>
  <c r="K1044" i="18"/>
  <c r="K1045" i="18"/>
  <c r="K1046" i="18"/>
  <c r="K1047" i="18"/>
  <c r="K1048" i="18"/>
  <c r="K1049" i="18"/>
  <c r="K1050" i="18"/>
  <c r="K1051" i="18"/>
  <c r="K1052" i="18"/>
  <c r="K1053" i="18"/>
  <c r="K1054" i="18"/>
  <c r="K1055" i="18"/>
  <c r="K1056" i="18"/>
  <c r="K1057" i="18"/>
  <c r="K1058" i="18"/>
  <c r="K1059" i="18"/>
  <c r="K1060" i="18"/>
  <c r="K1061" i="18"/>
  <c r="K1062" i="18"/>
  <c r="K1063" i="18"/>
  <c r="K1064" i="18"/>
  <c r="K1065" i="18"/>
  <c r="K1066" i="18"/>
  <c r="K1067" i="18"/>
  <c r="K1068" i="18"/>
  <c r="K1069" i="18"/>
  <c r="K1070" i="18"/>
  <c r="K1071" i="18"/>
  <c r="K1072" i="18"/>
  <c r="K1073" i="18"/>
  <c r="K1074" i="18"/>
  <c r="K1075" i="18"/>
  <c r="K1076" i="18"/>
  <c r="K1077" i="18"/>
  <c r="K1078" i="18"/>
  <c r="K1079" i="18"/>
  <c r="K1080" i="18"/>
  <c r="K1081" i="18"/>
  <c r="K1082" i="18"/>
  <c r="K1083" i="18"/>
  <c r="K1084" i="18"/>
  <c r="K1085" i="18"/>
  <c r="K1086" i="18"/>
  <c r="K1087" i="18"/>
  <c r="K1088" i="18"/>
  <c r="K1089" i="18"/>
  <c r="K1090" i="18"/>
  <c r="K1091" i="18"/>
  <c r="K1092" i="18"/>
  <c r="K1093" i="18"/>
  <c r="K1094" i="18"/>
  <c r="K1095" i="18"/>
  <c r="K1096" i="18"/>
  <c r="K1097" i="18"/>
  <c r="K1098" i="18"/>
  <c r="K1099" i="18"/>
  <c r="K1100" i="18"/>
  <c r="K1101" i="18"/>
  <c r="K1102" i="18"/>
  <c r="K1103" i="18"/>
  <c r="K1104" i="18"/>
  <c r="K1105" i="18"/>
  <c r="K1106" i="18"/>
  <c r="K1107" i="18"/>
  <c r="K1108" i="18"/>
  <c r="K1109" i="18"/>
  <c r="K1110" i="18"/>
  <c r="K1111" i="18"/>
  <c r="K1112" i="18"/>
  <c r="K1113" i="18"/>
  <c r="K1114" i="18"/>
  <c r="K1115" i="18"/>
  <c r="K1116" i="18"/>
  <c r="K1117" i="18"/>
  <c r="K1118" i="18"/>
  <c r="K1119" i="18"/>
  <c r="K1120" i="18"/>
  <c r="K1121" i="18"/>
  <c r="K1122" i="18"/>
  <c r="K1123" i="18"/>
  <c r="K1124" i="18"/>
  <c r="K1125" i="18"/>
  <c r="K1126" i="18"/>
  <c r="K1127" i="18"/>
  <c r="K1128" i="18"/>
  <c r="K1129" i="18"/>
  <c r="K1130" i="18"/>
  <c r="K1131" i="18"/>
  <c r="K1132" i="18"/>
  <c r="K1133" i="18"/>
  <c r="K1134" i="18"/>
  <c r="K1135" i="18"/>
  <c r="K1136" i="18"/>
  <c r="K1137" i="18"/>
  <c r="K1138" i="18"/>
  <c r="K1139" i="18"/>
  <c r="K1140" i="18"/>
  <c r="K1141" i="18"/>
  <c r="K1142" i="18"/>
  <c r="K1143" i="18"/>
  <c r="K1144" i="18"/>
  <c r="K1145" i="18"/>
  <c r="K1146" i="18"/>
  <c r="K1147" i="18"/>
  <c r="K1148" i="18"/>
  <c r="K1149" i="18"/>
  <c r="K1150" i="18"/>
  <c r="K1151" i="18"/>
  <c r="K1152" i="18"/>
  <c r="K1153" i="18"/>
  <c r="K1154" i="18"/>
  <c r="K1155" i="18"/>
  <c r="K1156" i="18"/>
  <c r="K1157" i="18"/>
  <c r="K1158" i="18"/>
  <c r="K1159" i="18"/>
  <c r="K1160" i="18"/>
  <c r="K1161" i="18"/>
  <c r="K1162" i="18"/>
  <c r="K1163" i="18"/>
  <c r="K1164" i="18"/>
  <c r="K1165" i="18"/>
  <c r="K1166" i="18"/>
  <c r="K1167" i="18"/>
  <c r="K1168" i="18"/>
  <c r="K1169" i="18"/>
  <c r="K1170" i="18"/>
  <c r="K1171" i="18"/>
  <c r="K1172" i="18"/>
  <c r="K1173" i="18"/>
  <c r="K1174" i="18"/>
  <c r="K1175" i="18"/>
  <c r="K1176" i="18"/>
  <c r="K1177" i="18"/>
  <c r="K1178" i="18"/>
  <c r="K1179" i="18"/>
  <c r="K1180"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J289" i="18"/>
  <c r="J290" i="18"/>
  <c r="J291" i="18"/>
  <c r="J292" i="18"/>
  <c r="J293" i="18"/>
  <c r="J294" i="18"/>
  <c r="J295" i="18"/>
  <c r="J296" i="18"/>
  <c r="J297" i="18"/>
  <c r="J298" i="18"/>
  <c r="J299" i="18"/>
  <c r="J300" i="18"/>
  <c r="J301" i="18"/>
  <c r="J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J363" i="18"/>
  <c r="J364" i="18"/>
  <c r="J365" i="18"/>
  <c r="J366" i="18"/>
  <c r="J367" i="18"/>
  <c r="J368" i="18"/>
  <c r="J369" i="18"/>
  <c r="J370" i="18"/>
  <c r="J371" i="18"/>
  <c r="J372" i="18"/>
  <c r="J373" i="18"/>
  <c r="J374" i="18"/>
  <c r="J375" i="18"/>
  <c r="J376" i="18"/>
  <c r="J377" i="18"/>
  <c r="J378" i="18"/>
  <c r="J379" i="18"/>
  <c r="J380" i="18"/>
  <c r="J381" i="18"/>
  <c r="J382" i="18"/>
  <c r="J383" i="18"/>
  <c r="J384" i="18"/>
  <c r="J385" i="18"/>
  <c r="J386" i="18"/>
  <c r="J387" i="18"/>
  <c r="J388" i="18"/>
  <c r="J389" i="18"/>
  <c r="J390" i="18"/>
  <c r="J391" i="18"/>
  <c r="J392" i="18"/>
  <c r="J393" i="18"/>
  <c r="J394" i="18"/>
  <c r="J395" i="18"/>
  <c r="J396" i="18"/>
  <c r="J397" i="18"/>
  <c r="J398" i="18"/>
  <c r="J399" i="18"/>
  <c r="J400" i="18"/>
  <c r="J401" i="18"/>
  <c r="J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J455" i="18"/>
  <c r="J456" i="18"/>
  <c r="J457" i="18"/>
  <c r="J458" i="18"/>
  <c r="J459" i="18"/>
  <c r="J460" i="18"/>
  <c r="J461" i="18"/>
  <c r="J462" i="18"/>
  <c r="J463" i="18"/>
  <c r="J464" i="18"/>
  <c r="J465" i="18"/>
  <c r="J466" i="18"/>
  <c r="J467" i="18"/>
  <c r="J468" i="18"/>
  <c r="J469" i="18"/>
  <c r="J470" i="18"/>
  <c r="J471" i="18"/>
  <c r="J472" i="18"/>
  <c r="J473" i="18"/>
  <c r="J474" i="18"/>
  <c r="J475" i="18"/>
  <c r="J476" i="18"/>
  <c r="J477" i="18"/>
  <c r="J478" i="18"/>
  <c r="J479" i="18"/>
  <c r="J480" i="18"/>
  <c r="J481" i="18"/>
  <c r="J482" i="18"/>
  <c r="J483" i="18"/>
  <c r="J484" i="18"/>
  <c r="J485" i="18"/>
  <c r="J486" i="18"/>
  <c r="J487" i="18"/>
  <c r="J488" i="18"/>
  <c r="J489" i="18"/>
  <c r="J490" i="18"/>
  <c r="J491" i="18"/>
  <c r="J492" i="18"/>
  <c r="J493" i="18"/>
  <c r="J494" i="18"/>
  <c r="J495" i="18"/>
  <c r="J496" i="18"/>
  <c r="J497" i="18"/>
  <c r="J498" i="18"/>
  <c r="J499" i="18"/>
  <c r="J500" i="18"/>
  <c r="J501" i="18"/>
  <c r="J502" i="18"/>
  <c r="J503" i="18"/>
  <c r="J504" i="18"/>
  <c r="J505" i="18"/>
  <c r="J506" i="18"/>
  <c r="J507" i="18"/>
  <c r="J508" i="18"/>
  <c r="J509" i="18"/>
  <c r="J510" i="18"/>
  <c r="J511" i="18"/>
  <c r="J512" i="18"/>
  <c r="J513" i="18"/>
  <c r="J514" i="18"/>
  <c r="J515" i="18"/>
  <c r="J516" i="18"/>
  <c r="J517" i="18"/>
  <c r="J518" i="18"/>
  <c r="J519" i="18"/>
  <c r="J520" i="18"/>
  <c r="J521" i="18"/>
  <c r="J522" i="18"/>
  <c r="J523" i="18"/>
  <c r="J524" i="18"/>
  <c r="J525" i="18"/>
  <c r="J526" i="18"/>
  <c r="J527" i="18"/>
  <c r="J528" i="18"/>
  <c r="J529" i="18"/>
  <c r="J530" i="18"/>
  <c r="J531" i="18"/>
  <c r="J532" i="18"/>
  <c r="J533" i="18"/>
  <c r="J534" i="18"/>
  <c r="J535" i="18"/>
  <c r="J536" i="18"/>
  <c r="J537" i="18"/>
  <c r="J538" i="18"/>
  <c r="J539" i="18"/>
  <c r="J540" i="18"/>
  <c r="J541" i="18"/>
  <c r="J542" i="18"/>
  <c r="J543" i="18"/>
  <c r="J544" i="18"/>
  <c r="J545" i="18"/>
  <c r="J546" i="18"/>
  <c r="J547" i="18"/>
  <c r="J548" i="18"/>
  <c r="J549" i="18"/>
  <c r="J550" i="18"/>
  <c r="J551" i="18"/>
  <c r="J552" i="18"/>
  <c r="J553" i="18"/>
  <c r="J554" i="18"/>
  <c r="J555" i="18"/>
  <c r="J556" i="18"/>
  <c r="J557" i="18"/>
  <c r="J558" i="18"/>
  <c r="J559" i="18"/>
  <c r="J560" i="18"/>
  <c r="J561" i="18"/>
  <c r="J562" i="18"/>
  <c r="J563" i="18"/>
  <c r="J564" i="18"/>
  <c r="J565" i="18"/>
  <c r="J566" i="18"/>
  <c r="J567" i="18"/>
  <c r="J568" i="18"/>
  <c r="J569" i="18"/>
  <c r="J570" i="18"/>
  <c r="J571" i="18"/>
  <c r="J572" i="18"/>
  <c r="J573" i="18"/>
  <c r="J574" i="18"/>
  <c r="J575" i="18"/>
  <c r="J576" i="18"/>
  <c r="J577" i="18"/>
  <c r="J578" i="18"/>
  <c r="J579" i="18"/>
  <c r="J580" i="18"/>
  <c r="J581" i="18"/>
  <c r="J582" i="18"/>
  <c r="J583" i="18"/>
  <c r="J584" i="18"/>
  <c r="J585" i="18"/>
  <c r="J586" i="18"/>
  <c r="J587" i="18"/>
  <c r="J588" i="18"/>
  <c r="J589" i="18"/>
  <c r="J590" i="18"/>
  <c r="J591" i="18"/>
  <c r="J592" i="18"/>
  <c r="J593" i="18"/>
  <c r="J594" i="18"/>
  <c r="J595" i="18"/>
  <c r="J596" i="18"/>
  <c r="J597" i="18"/>
  <c r="J598" i="18"/>
  <c r="J599" i="18"/>
  <c r="J600" i="18"/>
  <c r="J601" i="18"/>
  <c r="J602" i="18"/>
  <c r="J603" i="18"/>
  <c r="J604" i="18"/>
  <c r="J605" i="18"/>
  <c r="J606" i="18"/>
  <c r="J607" i="18"/>
  <c r="J608" i="18"/>
  <c r="J609" i="18"/>
  <c r="J610" i="18"/>
  <c r="J611" i="18"/>
  <c r="J612" i="18"/>
  <c r="J613" i="18"/>
  <c r="J614" i="18"/>
  <c r="J615" i="18"/>
  <c r="J616" i="18"/>
  <c r="J617" i="18"/>
  <c r="J618" i="18"/>
  <c r="J619" i="18"/>
  <c r="J620" i="18"/>
  <c r="J621" i="18"/>
  <c r="J622" i="18"/>
  <c r="J623" i="18"/>
  <c r="J624" i="18"/>
  <c r="J625" i="18"/>
  <c r="J626" i="18"/>
  <c r="J627" i="18"/>
  <c r="J628" i="18"/>
  <c r="J629" i="18"/>
  <c r="J630" i="18"/>
  <c r="J631" i="18"/>
  <c r="J632" i="18"/>
  <c r="J633" i="18"/>
  <c r="J634" i="18"/>
  <c r="J635" i="18"/>
  <c r="J636" i="18"/>
  <c r="J637" i="18"/>
  <c r="J638" i="18"/>
  <c r="J639" i="18"/>
  <c r="J640" i="18"/>
  <c r="J641" i="18"/>
  <c r="J642" i="18"/>
  <c r="J643" i="18"/>
  <c r="J644" i="18"/>
  <c r="J645" i="18"/>
  <c r="J646" i="18"/>
  <c r="J647" i="18"/>
  <c r="J648" i="18"/>
  <c r="J649" i="18"/>
  <c r="J650" i="18"/>
  <c r="J651" i="18"/>
  <c r="J652" i="18"/>
  <c r="J653" i="18"/>
  <c r="J654" i="18"/>
  <c r="J655" i="18"/>
  <c r="J656" i="18"/>
  <c r="J657" i="18"/>
  <c r="J658" i="18"/>
  <c r="J659" i="18"/>
  <c r="J660" i="18"/>
  <c r="J661" i="18"/>
  <c r="J662" i="18"/>
  <c r="J663" i="18"/>
  <c r="J664" i="18"/>
  <c r="J665" i="18"/>
  <c r="J666" i="18"/>
  <c r="J667" i="18"/>
  <c r="J668" i="18"/>
  <c r="J669" i="18"/>
  <c r="J670" i="18"/>
  <c r="J671" i="18"/>
  <c r="J672" i="18"/>
  <c r="J673" i="18"/>
  <c r="J674" i="18"/>
  <c r="J675" i="18"/>
  <c r="J676" i="18"/>
  <c r="J677" i="18"/>
  <c r="J678" i="18"/>
  <c r="J679" i="18"/>
  <c r="J680" i="18"/>
  <c r="J681" i="18"/>
  <c r="J682" i="18"/>
  <c r="J683" i="18"/>
  <c r="J684" i="18"/>
  <c r="J685" i="18"/>
  <c r="J686" i="18"/>
  <c r="J687" i="18"/>
  <c r="J688" i="18"/>
  <c r="J689" i="18"/>
  <c r="J690" i="18"/>
  <c r="J691" i="18"/>
  <c r="J692" i="18"/>
  <c r="J693" i="18"/>
  <c r="J694" i="18"/>
  <c r="J695" i="18"/>
  <c r="J696" i="18"/>
  <c r="J697" i="18"/>
  <c r="J698" i="18"/>
  <c r="J699" i="18"/>
  <c r="J700" i="18"/>
  <c r="J701" i="18"/>
  <c r="J702" i="18"/>
  <c r="J703" i="18"/>
  <c r="J704" i="18"/>
  <c r="J705" i="18"/>
  <c r="J706" i="18"/>
  <c r="J707" i="18"/>
  <c r="J708" i="18"/>
  <c r="J709" i="18"/>
  <c r="J710" i="18"/>
  <c r="J711" i="18"/>
  <c r="J712" i="18"/>
  <c r="J713" i="18"/>
  <c r="J714" i="18"/>
  <c r="J715" i="18"/>
  <c r="J716" i="18"/>
  <c r="J717" i="18"/>
  <c r="J718" i="18"/>
  <c r="J719" i="18"/>
  <c r="J720" i="18"/>
  <c r="J721" i="18"/>
  <c r="J722" i="18"/>
  <c r="J723" i="18"/>
  <c r="J724" i="18"/>
  <c r="J725" i="18"/>
  <c r="J726" i="18"/>
  <c r="J727" i="18"/>
  <c r="J728" i="18"/>
  <c r="J729" i="18"/>
  <c r="J730" i="18"/>
  <c r="J731" i="18"/>
  <c r="J732" i="18"/>
  <c r="J733" i="18"/>
  <c r="J734" i="18"/>
  <c r="J735" i="18"/>
  <c r="J736" i="18"/>
  <c r="J737" i="18"/>
  <c r="J738" i="18"/>
  <c r="J739" i="18"/>
  <c r="J740" i="18"/>
  <c r="J741" i="18"/>
  <c r="J742" i="18"/>
  <c r="J743" i="18"/>
  <c r="J744" i="18"/>
  <c r="J745" i="18"/>
  <c r="J746" i="18"/>
  <c r="J747" i="18"/>
  <c r="J748" i="18"/>
  <c r="J749" i="18"/>
  <c r="J750" i="18"/>
  <c r="J751" i="18"/>
  <c r="J752" i="18"/>
  <c r="J753" i="18"/>
  <c r="J754" i="18"/>
  <c r="J755" i="18"/>
  <c r="J756" i="18"/>
  <c r="J757" i="18"/>
  <c r="J758" i="18"/>
  <c r="J759" i="18"/>
  <c r="J760" i="18"/>
  <c r="J761" i="18"/>
  <c r="J762" i="18"/>
  <c r="J763" i="18"/>
  <c r="J764" i="18"/>
  <c r="J765" i="18"/>
  <c r="J766" i="18"/>
  <c r="J767" i="18"/>
  <c r="J768" i="18"/>
  <c r="J769" i="18"/>
  <c r="J770" i="18"/>
  <c r="J771" i="18"/>
  <c r="J772" i="18"/>
  <c r="J773" i="18"/>
  <c r="J774" i="18"/>
  <c r="J775" i="18"/>
  <c r="J776" i="18"/>
  <c r="J777" i="18"/>
  <c r="J778" i="18"/>
  <c r="J779" i="18"/>
  <c r="J780" i="18"/>
  <c r="J781" i="18"/>
  <c r="J782" i="18"/>
  <c r="J783" i="18"/>
  <c r="J784" i="18"/>
  <c r="J785" i="18"/>
  <c r="J786" i="18"/>
  <c r="J787" i="18"/>
  <c r="J788" i="18"/>
  <c r="J789" i="18"/>
  <c r="J790" i="18"/>
  <c r="J791" i="18"/>
  <c r="J792" i="18"/>
  <c r="J793" i="18"/>
  <c r="J794" i="18"/>
  <c r="J795" i="18"/>
  <c r="J796" i="18"/>
  <c r="J797" i="18"/>
  <c r="J798" i="18"/>
  <c r="J799" i="18"/>
  <c r="J800" i="18"/>
  <c r="J801" i="18"/>
  <c r="J802" i="18"/>
  <c r="J803" i="18"/>
  <c r="J804" i="18"/>
  <c r="J805" i="18"/>
  <c r="J806" i="18"/>
  <c r="J807" i="18"/>
  <c r="J808" i="18"/>
  <c r="J809" i="18"/>
  <c r="J810" i="18"/>
  <c r="J811" i="18"/>
  <c r="J812" i="18"/>
  <c r="J813" i="18"/>
  <c r="J814" i="18"/>
  <c r="J815" i="18"/>
  <c r="J816" i="18"/>
  <c r="J817" i="18"/>
  <c r="J818" i="18"/>
  <c r="J819" i="18"/>
  <c r="J820" i="18"/>
  <c r="J821" i="18"/>
  <c r="J822" i="18"/>
  <c r="J823" i="18"/>
  <c r="J824" i="18"/>
  <c r="J825" i="18"/>
  <c r="J826" i="18"/>
  <c r="J827" i="18"/>
  <c r="J828" i="18"/>
  <c r="J829" i="18"/>
  <c r="J830" i="18"/>
  <c r="J831" i="18"/>
  <c r="J832" i="18"/>
  <c r="J833" i="18"/>
  <c r="J834" i="18"/>
  <c r="J835" i="18"/>
  <c r="J836" i="18"/>
  <c r="J837" i="18"/>
  <c r="J838" i="18"/>
  <c r="J839" i="18"/>
  <c r="J840" i="18"/>
  <c r="J841" i="18"/>
  <c r="J842" i="18"/>
  <c r="J843" i="18"/>
  <c r="J844" i="18"/>
  <c r="J845" i="18"/>
  <c r="J846" i="18"/>
  <c r="J847" i="18"/>
  <c r="J848" i="18"/>
  <c r="J849" i="18"/>
  <c r="J850" i="18"/>
  <c r="J851" i="18"/>
  <c r="J852" i="18"/>
  <c r="J853" i="18"/>
  <c r="J854" i="18"/>
  <c r="J855" i="18"/>
  <c r="J856" i="18"/>
  <c r="J857" i="18"/>
  <c r="J858" i="18"/>
  <c r="J859" i="18"/>
  <c r="J860" i="18"/>
  <c r="J861" i="18"/>
  <c r="J862" i="18"/>
  <c r="J863" i="18"/>
  <c r="J864" i="18"/>
  <c r="J865" i="18"/>
  <c r="J866" i="18"/>
  <c r="J867" i="18"/>
  <c r="J868" i="18"/>
  <c r="J869" i="18"/>
  <c r="J870" i="18"/>
  <c r="J871" i="18"/>
  <c r="J872" i="18"/>
  <c r="J873" i="18"/>
  <c r="J874" i="18"/>
  <c r="J875" i="18"/>
  <c r="J876" i="18"/>
  <c r="J877" i="18"/>
  <c r="J878" i="18"/>
  <c r="J879" i="18"/>
  <c r="J880" i="18"/>
  <c r="J881" i="18"/>
  <c r="J882" i="18"/>
  <c r="J883" i="18"/>
  <c r="J884" i="18"/>
  <c r="J885" i="18"/>
  <c r="J886" i="18"/>
  <c r="J887" i="18"/>
  <c r="J888" i="18"/>
  <c r="J889" i="18"/>
  <c r="J890" i="18"/>
  <c r="J891" i="18"/>
  <c r="J892" i="18"/>
  <c r="J893" i="18"/>
  <c r="J894" i="18"/>
  <c r="J895" i="18"/>
  <c r="J896" i="18"/>
  <c r="J897" i="18"/>
  <c r="J898" i="18"/>
  <c r="J899" i="18"/>
  <c r="J900" i="18"/>
  <c r="J901" i="18"/>
  <c r="J902" i="18"/>
  <c r="J903" i="18"/>
  <c r="J904" i="18"/>
  <c r="J905" i="18"/>
  <c r="J906" i="18"/>
  <c r="J907" i="18"/>
  <c r="J908" i="18"/>
  <c r="J909" i="18"/>
  <c r="J910" i="18"/>
  <c r="J911" i="18"/>
  <c r="J912" i="18"/>
  <c r="J913" i="18"/>
  <c r="J914" i="18"/>
  <c r="J915" i="18"/>
  <c r="J916" i="18"/>
  <c r="J917" i="18"/>
  <c r="J918" i="18"/>
  <c r="J919" i="18"/>
  <c r="J920" i="18"/>
  <c r="J921" i="18"/>
  <c r="J922" i="18"/>
  <c r="J923" i="18"/>
  <c r="J924" i="18"/>
  <c r="J925" i="18"/>
  <c r="J926" i="18"/>
  <c r="J927" i="18"/>
  <c r="J928" i="18"/>
  <c r="J929" i="18"/>
  <c r="J930" i="18"/>
  <c r="J931" i="18"/>
  <c r="J932" i="18"/>
  <c r="J933" i="18"/>
  <c r="J934" i="18"/>
  <c r="J935" i="18"/>
  <c r="J936" i="18"/>
  <c r="J937" i="18"/>
  <c r="J938" i="18"/>
  <c r="J939" i="18"/>
  <c r="J940" i="18"/>
  <c r="J941" i="18"/>
  <c r="J942" i="18"/>
  <c r="J943" i="18"/>
  <c r="J944" i="18"/>
  <c r="J945" i="18"/>
  <c r="J946" i="18"/>
  <c r="J947" i="18"/>
  <c r="J948" i="18"/>
  <c r="J949" i="18"/>
  <c r="J950" i="18"/>
  <c r="J951" i="18"/>
  <c r="J952" i="18"/>
  <c r="J953" i="18"/>
  <c r="J954" i="18"/>
  <c r="J955" i="18"/>
  <c r="J956" i="18"/>
  <c r="J957" i="18"/>
  <c r="J958" i="18"/>
  <c r="J959" i="18"/>
  <c r="J960" i="18"/>
  <c r="J961" i="18"/>
  <c r="J962" i="18"/>
  <c r="J963" i="18"/>
  <c r="J964" i="18"/>
  <c r="J965" i="18"/>
  <c r="J966" i="18"/>
  <c r="J967" i="18"/>
  <c r="J968" i="18"/>
  <c r="J969" i="18"/>
  <c r="J970" i="18"/>
  <c r="J971" i="18"/>
  <c r="J972" i="18"/>
  <c r="J973" i="18"/>
  <c r="J974" i="18"/>
  <c r="J975" i="18"/>
  <c r="J976" i="18"/>
  <c r="J977" i="18"/>
  <c r="J978" i="18"/>
  <c r="J979" i="18"/>
  <c r="J980" i="18"/>
  <c r="J981" i="18"/>
  <c r="J982" i="18"/>
  <c r="J983" i="18"/>
  <c r="J984" i="18"/>
  <c r="J985" i="18"/>
  <c r="J986" i="18"/>
  <c r="J987" i="18"/>
  <c r="J988" i="18"/>
  <c r="J989" i="18"/>
  <c r="J990" i="18"/>
  <c r="J991" i="18"/>
  <c r="J992" i="18"/>
  <c r="J993" i="18"/>
  <c r="J994" i="18"/>
  <c r="J995" i="18"/>
  <c r="J996" i="18"/>
  <c r="J997" i="18"/>
  <c r="J998" i="18"/>
  <c r="J999" i="18"/>
  <c r="J1000" i="18"/>
  <c r="J1001" i="18"/>
  <c r="J1002" i="18"/>
  <c r="J1003" i="18"/>
  <c r="J1004" i="18"/>
  <c r="J1005" i="18"/>
  <c r="J1006" i="18"/>
  <c r="J1007" i="18"/>
  <c r="J1008" i="18"/>
  <c r="J1009" i="18"/>
  <c r="J1010" i="18"/>
  <c r="J1011" i="18"/>
  <c r="J1012" i="18"/>
  <c r="J1013" i="18"/>
  <c r="J1014" i="18"/>
  <c r="J1015" i="18"/>
  <c r="J1016" i="18"/>
  <c r="J1017" i="18"/>
  <c r="J1018" i="18"/>
  <c r="J1019" i="18"/>
  <c r="J1020" i="18"/>
  <c r="J1021" i="18"/>
  <c r="J1022" i="18"/>
  <c r="J1023" i="18"/>
  <c r="J1024" i="18"/>
  <c r="J1025" i="18"/>
  <c r="J1026" i="18"/>
  <c r="J1027" i="18"/>
  <c r="J1028" i="18"/>
  <c r="J1029" i="18"/>
  <c r="J1030" i="18"/>
  <c r="J1031" i="18"/>
  <c r="J1032" i="18"/>
  <c r="J1033" i="18"/>
  <c r="J1034" i="18"/>
  <c r="J1035" i="18"/>
  <c r="J1036" i="18"/>
  <c r="J1037" i="18"/>
  <c r="J1038" i="18"/>
  <c r="J1039" i="18"/>
  <c r="J1040" i="18"/>
  <c r="J1041" i="18"/>
  <c r="J1042" i="18"/>
  <c r="J1043" i="18"/>
  <c r="J1044" i="18"/>
  <c r="J1045" i="18"/>
  <c r="J1046" i="18"/>
  <c r="J1047" i="18"/>
  <c r="J1048" i="18"/>
  <c r="J1049" i="18"/>
  <c r="J1050" i="18"/>
  <c r="J1051" i="18"/>
  <c r="J1052" i="18"/>
  <c r="J1053" i="18"/>
  <c r="J1054" i="18"/>
  <c r="J1055" i="18"/>
  <c r="J1056" i="18"/>
  <c r="J1057" i="18"/>
  <c r="J1058" i="18"/>
  <c r="J1059" i="18"/>
  <c r="J1060" i="18"/>
  <c r="J1061" i="18"/>
  <c r="J1062" i="18"/>
  <c r="J1063" i="18"/>
  <c r="J1064" i="18"/>
  <c r="J1065" i="18"/>
  <c r="J1066" i="18"/>
  <c r="J1067" i="18"/>
  <c r="J1068" i="18"/>
  <c r="J1069" i="18"/>
  <c r="J1070" i="18"/>
  <c r="J1071" i="18"/>
  <c r="J1072" i="18"/>
  <c r="J1073" i="18"/>
  <c r="J1074" i="18"/>
  <c r="J1075" i="18"/>
  <c r="J1076" i="18"/>
  <c r="J1077" i="18"/>
  <c r="J1078" i="18"/>
  <c r="J1079" i="18"/>
  <c r="J1080" i="18"/>
  <c r="J1081" i="18"/>
  <c r="J1082" i="18"/>
  <c r="J1083" i="18"/>
  <c r="J1084" i="18"/>
  <c r="J1085" i="18"/>
  <c r="J1086" i="18"/>
  <c r="J1087" i="18"/>
  <c r="J1088" i="18"/>
  <c r="J1089" i="18"/>
  <c r="J1090" i="18"/>
  <c r="J1091" i="18"/>
  <c r="J1092" i="18"/>
  <c r="J1093" i="18"/>
  <c r="J1094" i="18"/>
  <c r="J1095" i="18"/>
  <c r="J1096" i="18"/>
  <c r="J1097" i="18"/>
  <c r="J1098" i="18"/>
  <c r="J1099" i="18"/>
  <c r="J1100" i="18"/>
  <c r="J1101" i="18"/>
  <c r="J1102" i="18"/>
  <c r="J1103" i="18"/>
  <c r="J1104" i="18"/>
  <c r="J1105" i="18"/>
  <c r="J1106" i="18"/>
  <c r="J1107" i="18"/>
  <c r="J1108" i="18"/>
  <c r="J1109" i="18"/>
  <c r="J1110" i="18"/>
  <c r="J1111" i="18"/>
  <c r="J1112" i="18"/>
  <c r="J1113" i="18"/>
  <c r="J1114" i="18"/>
  <c r="J1115" i="18"/>
  <c r="J1116" i="18"/>
  <c r="J1117" i="18"/>
  <c r="J1118" i="18"/>
  <c r="J1119" i="18"/>
  <c r="J1120" i="18"/>
  <c r="J1121" i="18"/>
  <c r="J1122" i="18"/>
  <c r="J1123" i="18"/>
  <c r="J1124" i="18"/>
  <c r="J1125" i="18"/>
  <c r="J1126" i="18"/>
  <c r="J1127" i="18"/>
  <c r="J1128" i="18"/>
  <c r="J1129" i="18"/>
  <c r="J1130" i="18"/>
  <c r="J1131" i="18"/>
  <c r="J1132" i="18"/>
  <c r="J1133" i="18"/>
  <c r="J1134" i="18"/>
  <c r="J1135" i="18"/>
  <c r="J1136" i="18"/>
  <c r="J1137" i="18"/>
  <c r="J1138" i="18"/>
  <c r="J1139" i="18"/>
  <c r="J1140" i="18"/>
  <c r="J1141" i="18"/>
  <c r="J1142" i="18"/>
  <c r="J1143" i="18"/>
  <c r="J1144" i="18"/>
  <c r="J1145" i="18"/>
  <c r="J1146" i="18"/>
  <c r="J1147" i="18"/>
  <c r="J1148" i="18"/>
  <c r="J1149" i="18"/>
  <c r="J1150" i="18"/>
  <c r="J1151" i="18"/>
  <c r="J1152" i="18"/>
  <c r="J1153" i="18"/>
  <c r="J1154" i="18"/>
  <c r="J1155" i="18"/>
  <c r="J1156" i="18"/>
  <c r="J1157" i="18"/>
  <c r="J1158" i="18"/>
  <c r="J1159" i="18"/>
  <c r="J1160" i="18"/>
  <c r="J1161" i="18"/>
  <c r="J1162" i="18"/>
  <c r="J1163" i="18"/>
  <c r="J1164" i="18"/>
  <c r="J1165" i="18"/>
  <c r="J1166" i="18"/>
  <c r="J1167" i="18"/>
  <c r="J1168" i="18"/>
  <c r="J1169" i="18"/>
  <c r="J1170" i="18"/>
  <c r="J1171" i="18"/>
  <c r="J1172" i="18"/>
  <c r="J1173" i="18"/>
  <c r="J1174" i="18"/>
  <c r="J1175" i="18"/>
  <c r="J1176" i="18"/>
  <c r="J1177" i="18"/>
  <c r="J1178" i="18"/>
  <c r="J1179" i="18"/>
  <c r="J1180"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630" i="18"/>
  <c r="I631" i="18"/>
  <c r="I632" i="18"/>
  <c r="I633" i="18"/>
  <c r="I634" i="18"/>
  <c r="I635" i="18"/>
  <c r="I636" i="18"/>
  <c r="I637" i="18"/>
  <c r="I638" i="18"/>
  <c r="I639" i="18"/>
  <c r="I640" i="18"/>
  <c r="I641" i="18"/>
  <c r="I642" i="18"/>
  <c r="I643" i="18"/>
  <c r="I644" i="18"/>
  <c r="I645" i="18"/>
  <c r="I646" i="18"/>
  <c r="I647" i="18"/>
  <c r="I648" i="18"/>
  <c r="I649" i="18"/>
  <c r="I650" i="18"/>
  <c r="I651" i="18"/>
  <c r="I652" i="18"/>
  <c r="I653" i="18"/>
  <c r="I654" i="18"/>
  <c r="I655" i="18"/>
  <c r="I656" i="18"/>
  <c r="I657" i="18"/>
  <c r="I658" i="18"/>
  <c r="I659" i="18"/>
  <c r="I660" i="18"/>
  <c r="I661" i="18"/>
  <c r="I662" i="18"/>
  <c r="I663" i="18"/>
  <c r="I664" i="18"/>
  <c r="I665" i="18"/>
  <c r="I666" i="18"/>
  <c r="I667" i="18"/>
  <c r="I668" i="18"/>
  <c r="I669" i="18"/>
  <c r="I670" i="18"/>
  <c r="I671" i="18"/>
  <c r="I672" i="18"/>
  <c r="I673" i="18"/>
  <c r="I674" i="18"/>
  <c r="I675" i="18"/>
  <c r="I676" i="18"/>
  <c r="I677" i="18"/>
  <c r="I678" i="18"/>
  <c r="I679" i="18"/>
  <c r="I680" i="18"/>
  <c r="I681" i="18"/>
  <c r="I682" i="18"/>
  <c r="I683" i="18"/>
  <c r="I684" i="18"/>
  <c r="I685" i="18"/>
  <c r="I686" i="18"/>
  <c r="I687" i="18"/>
  <c r="I688" i="18"/>
  <c r="I689" i="18"/>
  <c r="I690" i="18"/>
  <c r="I691" i="18"/>
  <c r="I692" i="18"/>
  <c r="I693" i="18"/>
  <c r="I694" i="18"/>
  <c r="I695" i="18"/>
  <c r="I696" i="18"/>
  <c r="I697" i="18"/>
  <c r="I698" i="18"/>
  <c r="I699" i="18"/>
  <c r="I700" i="18"/>
  <c r="I701" i="18"/>
  <c r="I702" i="18"/>
  <c r="I703" i="18"/>
  <c r="I704" i="18"/>
  <c r="I705" i="18"/>
  <c r="I706" i="18"/>
  <c r="I707" i="18"/>
  <c r="I708" i="18"/>
  <c r="I709" i="18"/>
  <c r="I710" i="18"/>
  <c r="I711" i="18"/>
  <c r="I712" i="18"/>
  <c r="I713" i="18"/>
  <c r="I714" i="18"/>
  <c r="I715" i="18"/>
  <c r="I716" i="18"/>
  <c r="I717" i="18"/>
  <c r="I718" i="18"/>
  <c r="I719" i="18"/>
  <c r="I720" i="18"/>
  <c r="I721" i="18"/>
  <c r="I722" i="18"/>
  <c r="I723" i="18"/>
  <c r="I724" i="18"/>
  <c r="I725" i="18"/>
  <c r="I726" i="18"/>
  <c r="I727" i="18"/>
  <c r="I728" i="18"/>
  <c r="I729" i="18"/>
  <c r="I730" i="18"/>
  <c r="I731" i="18"/>
  <c r="I732" i="18"/>
  <c r="I733" i="18"/>
  <c r="I734" i="18"/>
  <c r="I735" i="18"/>
  <c r="I736" i="18"/>
  <c r="I737" i="18"/>
  <c r="I738" i="18"/>
  <c r="I739" i="18"/>
  <c r="I740" i="18"/>
  <c r="I741" i="18"/>
  <c r="I742" i="18"/>
  <c r="I743" i="18"/>
  <c r="I744" i="18"/>
  <c r="I745" i="18"/>
  <c r="I746" i="18"/>
  <c r="I747" i="18"/>
  <c r="I748" i="18"/>
  <c r="I749" i="18"/>
  <c r="I750" i="18"/>
  <c r="I751" i="18"/>
  <c r="I752" i="18"/>
  <c r="I753" i="18"/>
  <c r="I754" i="18"/>
  <c r="I755" i="18"/>
  <c r="I756" i="18"/>
  <c r="I757" i="18"/>
  <c r="I758" i="18"/>
  <c r="I759" i="18"/>
  <c r="I760" i="18"/>
  <c r="I761" i="18"/>
  <c r="I762" i="18"/>
  <c r="I763" i="18"/>
  <c r="I764" i="18"/>
  <c r="I765" i="18"/>
  <c r="I766" i="18"/>
  <c r="I767" i="18"/>
  <c r="I768" i="18"/>
  <c r="I769" i="18"/>
  <c r="I770" i="18"/>
  <c r="I771" i="18"/>
  <c r="I772" i="18"/>
  <c r="I773" i="18"/>
  <c r="I774" i="18"/>
  <c r="I775" i="18"/>
  <c r="I776" i="18"/>
  <c r="I777" i="18"/>
  <c r="I778" i="18"/>
  <c r="I779" i="18"/>
  <c r="I780" i="18"/>
  <c r="I781" i="18"/>
  <c r="I782" i="18"/>
  <c r="I783" i="18"/>
  <c r="I784" i="18"/>
  <c r="I785" i="18"/>
  <c r="I786" i="18"/>
  <c r="I787" i="18"/>
  <c r="I788" i="18"/>
  <c r="I789" i="18"/>
  <c r="I790" i="18"/>
  <c r="I791" i="18"/>
  <c r="I792" i="18"/>
  <c r="I793" i="18"/>
  <c r="I794" i="18"/>
  <c r="I795" i="18"/>
  <c r="I796" i="18"/>
  <c r="I797" i="18"/>
  <c r="I798" i="18"/>
  <c r="I799" i="18"/>
  <c r="I800" i="18"/>
  <c r="I801" i="18"/>
  <c r="I802" i="18"/>
  <c r="I803" i="18"/>
  <c r="I804" i="18"/>
  <c r="I805" i="18"/>
  <c r="I806" i="18"/>
  <c r="I807" i="18"/>
  <c r="I808" i="18"/>
  <c r="I809" i="18"/>
  <c r="I810" i="18"/>
  <c r="I811" i="18"/>
  <c r="I812" i="18"/>
  <c r="I813" i="18"/>
  <c r="I814" i="18"/>
  <c r="I815" i="18"/>
  <c r="I816" i="18"/>
  <c r="I817" i="18"/>
  <c r="I818" i="18"/>
  <c r="I819" i="18"/>
  <c r="I820" i="18"/>
  <c r="I821" i="18"/>
  <c r="I822" i="18"/>
  <c r="I823" i="18"/>
  <c r="I824" i="18"/>
  <c r="I825" i="18"/>
  <c r="I826" i="18"/>
  <c r="I827" i="18"/>
  <c r="I828" i="18"/>
  <c r="I829" i="18"/>
  <c r="I830" i="18"/>
  <c r="I831" i="18"/>
  <c r="I832" i="18"/>
  <c r="I833" i="18"/>
  <c r="I834" i="18"/>
  <c r="I835" i="18"/>
  <c r="I836" i="18"/>
  <c r="I837" i="18"/>
  <c r="I838" i="18"/>
  <c r="I839" i="18"/>
  <c r="I840" i="18"/>
  <c r="I841" i="18"/>
  <c r="I842" i="18"/>
  <c r="I843" i="18"/>
  <c r="I844" i="18"/>
  <c r="I845" i="18"/>
  <c r="I846" i="18"/>
  <c r="I847" i="18"/>
  <c r="I848" i="18"/>
  <c r="I849" i="18"/>
  <c r="I850" i="18"/>
  <c r="I851" i="18"/>
  <c r="I852" i="18"/>
  <c r="I853" i="18"/>
  <c r="I854" i="18"/>
  <c r="I855" i="18"/>
  <c r="I856" i="18"/>
  <c r="I857" i="18"/>
  <c r="I858" i="18"/>
  <c r="I859" i="18"/>
  <c r="I860" i="18"/>
  <c r="I861" i="18"/>
  <c r="I862" i="18"/>
  <c r="I863" i="18"/>
  <c r="I864" i="18"/>
  <c r="I865" i="18"/>
  <c r="I866" i="18"/>
  <c r="I867" i="18"/>
  <c r="I868" i="18"/>
  <c r="I869" i="18"/>
  <c r="I870" i="18"/>
  <c r="I871" i="18"/>
  <c r="I872" i="18"/>
  <c r="I873" i="18"/>
  <c r="I874" i="18"/>
  <c r="I875" i="18"/>
  <c r="I876" i="18"/>
  <c r="I877" i="18"/>
  <c r="I878" i="18"/>
  <c r="I879" i="18"/>
  <c r="I880" i="18"/>
  <c r="I881" i="18"/>
  <c r="I882" i="18"/>
  <c r="I883" i="18"/>
  <c r="I884" i="18"/>
  <c r="I885" i="18"/>
  <c r="I886" i="18"/>
  <c r="I887" i="18"/>
  <c r="I888" i="18"/>
  <c r="I889" i="18"/>
  <c r="I890" i="18"/>
  <c r="I891" i="18"/>
  <c r="I892" i="18"/>
  <c r="I893" i="18"/>
  <c r="I894" i="18"/>
  <c r="I895" i="18"/>
  <c r="I896" i="18"/>
  <c r="I897" i="18"/>
  <c r="I898" i="18"/>
  <c r="I899" i="18"/>
  <c r="I900" i="18"/>
  <c r="I901" i="18"/>
  <c r="I902" i="18"/>
  <c r="I903" i="18"/>
  <c r="I904" i="18"/>
  <c r="I905" i="18"/>
  <c r="I906" i="18"/>
  <c r="I907" i="18"/>
  <c r="I908" i="18"/>
  <c r="I909" i="18"/>
  <c r="I910" i="18"/>
  <c r="I911" i="18"/>
  <c r="I912" i="18"/>
  <c r="I913" i="18"/>
  <c r="I914" i="18"/>
  <c r="I915" i="18"/>
  <c r="I916" i="18"/>
  <c r="I917" i="18"/>
  <c r="I918" i="18"/>
  <c r="I919" i="18"/>
  <c r="I920" i="18"/>
  <c r="I921" i="18"/>
  <c r="I922" i="18"/>
  <c r="I923" i="18"/>
  <c r="I924" i="18"/>
  <c r="I925" i="18"/>
  <c r="I926" i="18"/>
  <c r="I927" i="18"/>
  <c r="I928" i="18"/>
  <c r="I929" i="18"/>
  <c r="I930" i="18"/>
  <c r="I931" i="18"/>
  <c r="I932" i="18"/>
  <c r="I933" i="18"/>
  <c r="I934" i="18"/>
  <c r="I935" i="18"/>
  <c r="I936" i="18"/>
  <c r="I937" i="18"/>
  <c r="I938" i="18"/>
  <c r="I939" i="18"/>
  <c r="I940" i="18"/>
  <c r="I941" i="18"/>
  <c r="I942" i="18"/>
  <c r="I943" i="18"/>
  <c r="I944" i="18"/>
  <c r="I945" i="18"/>
  <c r="I946" i="18"/>
  <c r="I947" i="18"/>
  <c r="I948" i="18"/>
  <c r="I949" i="18"/>
  <c r="I950" i="18"/>
  <c r="I951" i="18"/>
  <c r="I952" i="18"/>
  <c r="I953" i="18"/>
  <c r="I954" i="18"/>
  <c r="I955" i="18"/>
  <c r="I956" i="18"/>
  <c r="I957" i="18"/>
  <c r="I958" i="18"/>
  <c r="I959" i="18"/>
  <c r="I960" i="18"/>
  <c r="I961" i="18"/>
  <c r="I962" i="18"/>
  <c r="I963" i="18"/>
  <c r="I964" i="18"/>
  <c r="I965" i="18"/>
  <c r="I966" i="18"/>
  <c r="I967" i="18"/>
  <c r="I968" i="18"/>
  <c r="I969" i="18"/>
  <c r="I970" i="18"/>
  <c r="I971" i="18"/>
  <c r="I972" i="18"/>
  <c r="I973" i="18"/>
  <c r="I974" i="18"/>
  <c r="I975" i="18"/>
  <c r="I976" i="18"/>
  <c r="I977" i="18"/>
  <c r="I978" i="18"/>
  <c r="I979" i="18"/>
  <c r="I980" i="18"/>
  <c r="I981" i="18"/>
  <c r="I982" i="18"/>
  <c r="I983" i="18"/>
  <c r="I984" i="18"/>
  <c r="I985" i="18"/>
  <c r="I986" i="18"/>
  <c r="I987" i="18"/>
  <c r="I988" i="18"/>
  <c r="I989" i="18"/>
  <c r="I990" i="18"/>
  <c r="I991" i="18"/>
  <c r="I992" i="18"/>
  <c r="I993" i="18"/>
  <c r="I994" i="18"/>
  <c r="I995" i="18"/>
  <c r="I996" i="18"/>
  <c r="I997" i="18"/>
  <c r="I998" i="18"/>
  <c r="I999" i="18"/>
  <c r="I1000" i="18"/>
  <c r="I1001" i="18"/>
  <c r="I1002" i="18"/>
  <c r="I1003" i="18"/>
  <c r="I1004" i="18"/>
  <c r="I1005" i="18"/>
  <c r="I1006" i="18"/>
  <c r="I1007" i="18"/>
  <c r="I1008" i="18"/>
  <c r="I1009" i="18"/>
  <c r="I1010" i="18"/>
  <c r="I1011" i="18"/>
  <c r="I1012" i="18"/>
  <c r="I1013" i="18"/>
  <c r="I1014" i="18"/>
  <c r="I1015" i="18"/>
  <c r="I1016" i="18"/>
  <c r="I1017" i="18"/>
  <c r="I1018" i="18"/>
  <c r="I1019" i="18"/>
  <c r="I1020" i="18"/>
  <c r="I1021" i="18"/>
  <c r="I1022" i="18"/>
  <c r="I1023" i="18"/>
  <c r="I1024" i="18"/>
  <c r="I1025" i="18"/>
  <c r="I1026" i="18"/>
  <c r="I1027" i="18"/>
  <c r="I1028" i="18"/>
  <c r="I1029" i="18"/>
  <c r="I1030" i="18"/>
  <c r="I1031" i="18"/>
  <c r="I1032" i="18"/>
  <c r="I1033" i="18"/>
  <c r="I1034" i="18"/>
  <c r="I1035" i="18"/>
  <c r="I1036" i="18"/>
  <c r="I1037" i="18"/>
  <c r="I1038" i="18"/>
  <c r="I1039" i="18"/>
  <c r="I1040" i="18"/>
  <c r="I1041" i="18"/>
  <c r="I1042" i="18"/>
  <c r="I1043" i="18"/>
  <c r="I1044" i="18"/>
  <c r="I1045" i="18"/>
  <c r="I1046" i="18"/>
  <c r="I1047" i="18"/>
  <c r="I1048" i="18"/>
  <c r="I1049" i="18"/>
  <c r="I1050" i="18"/>
  <c r="I1051" i="18"/>
  <c r="I1052" i="18"/>
  <c r="I1053" i="18"/>
  <c r="I1054" i="18"/>
  <c r="I1055" i="18"/>
  <c r="I1056" i="18"/>
  <c r="I1057" i="18"/>
  <c r="I1058" i="18"/>
  <c r="I1059" i="18"/>
  <c r="I1060" i="18"/>
  <c r="I1061" i="18"/>
  <c r="I1062" i="18"/>
  <c r="I1063" i="18"/>
  <c r="I1064" i="18"/>
  <c r="I1065" i="18"/>
  <c r="I1066" i="18"/>
  <c r="I1067" i="18"/>
  <c r="I1068" i="18"/>
  <c r="I1069" i="18"/>
  <c r="I1070" i="18"/>
  <c r="I1071" i="18"/>
  <c r="I1072" i="18"/>
  <c r="I1073" i="18"/>
  <c r="I1074" i="18"/>
  <c r="I1075" i="18"/>
  <c r="I1076" i="18"/>
  <c r="I1077" i="18"/>
  <c r="I1078" i="18"/>
  <c r="I1079" i="18"/>
  <c r="I1080" i="18"/>
  <c r="I1081" i="18"/>
  <c r="I1082" i="18"/>
  <c r="I1083" i="18"/>
  <c r="I1084" i="18"/>
  <c r="I1085" i="18"/>
  <c r="I1086" i="18"/>
  <c r="I1087" i="18"/>
  <c r="I1088" i="18"/>
  <c r="I1089" i="18"/>
  <c r="I1090" i="18"/>
  <c r="I1091" i="18"/>
  <c r="I1092" i="18"/>
  <c r="I1093" i="18"/>
  <c r="I1094" i="18"/>
  <c r="I1095" i="18"/>
  <c r="I1096" i="18"/>
  <c r="I1097" i="18"/>
  <c r="I1098" i="18"/>
  <c r="I1099" i="18"/>
  <c r="I1100" i="18"/>
  <c r="I1101" i="18"/>
  <c r="I1102" i="18"/>
  <c r="I1103" i="18"/>
  <c r="I1104" i="18"/>
  <c r="I1105" i="18"/>
  <c r="I1106" i="18"/>
  <c r="I1107" i="18"/>
  <c r="I1108" i="18"/>
  <c r="I1109" i="18"/>
  <c r="I1110" i="18"/>
  <c r="I1111" i="18"/>
  <c r="I1112" i="18"/>
  <c r="I1113" i="18"/>
  <c r="I1114" i="18"/>
  <c r="I1115" i="18"/>
  <c r="I1116" i="18"/>
  <c r="I1117" i="18"/>
  <c r="I1118" i="18"/>
  <c r="I1119" i="18"/>
  <c r="I1120" i="18"/>
  <c r="I1121" i="18"/>
  <c r="I1122" i="18"/>
  <c r="I1123" i="18"/>
  <c r="I1124" i="18"/>
  <c r="I1125" i="18"/>
  <c r="I1126" i="18"/>
  <c r="I1127" i="18"/>
  <c r="I1128" i="18"/>
  <c r="I1129" i="18"/>
  <c r="I1130" i="18"/>
  <c r="I1131" i="18"/>
  <c r="I1132" i="18"/>
  <c r="I1133" i="18"/>
  <c r="I1134" i="18"/>
  <c r="I1135" i="18"/>
  <c r="I1136" i="18"/>
  <c r="I1137" i="18"/>
  <c r="I1138" i="18"/>
  <c r="I1139" i="18"/>
  <c r="I1140" i="18"/>
  <c r="I1141" i="18"/>
  <c r="I1142" i="18"/>
  <c r="I1143" i="18"/>
  <c r="I1144" i="18"/>
  <c r="I1145" i="18"/>
  <c r="I1146" i="18"/>
  <c r="I1147" i="18"/>
  <c r="I1148" i="18"/>
  <c r="I1149" i="18"/>
  <c r="I1150" i="18"/>
  <c r="I1151" i="18"/>
  <c r="I1152" i="18"/>
  <c r="I1153" i="18"/>
  <c r="I1154" i="18"/>
  <c r="I1155" i="18"/>
  <c r="I1156" i="18"/>
  <c r="I1157" i="18"/>
  <c r="I1158" i="18"/>
  <c r="I1159" i="18"/>
  <c r="I1160" i="18"/>
  <c r="I1161" i="18"/>
  <c r="I1162" i="18"/>
  <c r="I1163" i="18"/>
  <c r="I1164" i="18"/>
  <c r="I1165" i="18"/>
  <c r="I1166" i="18"/>
  <c r="I1167" i="18"/>
  <c r="I1168" i="18"/>
  <c r="I1169" i="18"/>
  <c r="I1170" i="18"/>
  <c r="I1171" i="18"/>
  <c r="I1172" i="18"/>
  <c r="I1173" i="18"/>
  <c r="I1174" i="18"/>
  <c r="I1175" i="18"/>
  <c r="I1176" i="18"/>
  <c r="I1177" i="18"/>
  <c r="I1178" i="18"/>
  <c r="I1179" i="18"/>
  <c r="I1180" i="18"/>
  <c r="V63" i="63" l="1"/>
  <c r="D9" i="62" s="1"/>
  <c r="F9" i="62" s="1"/>
  <c r="B2" i="8"/>
  <c r="B59" i="25"/>
  <c r="N48" i="25"/>
  <c r="N47" i="25"/>
  <c r="N46" i="25"/>
  <c r="N45" i="25"/>
  <c r="N44" i="25"/>
  <c r="N43" i="25"/>
  <c r="N42" i="25"/>
  <c r="N41" i="25"/>
  <c r="J48" i="25"/>
  <c r="J47" i="25"/>
  <c r="J46" i="25"/>
  <c r="J45" i="25"/>
  <c r="J44" i="25"/>
  <c r="J43" i="25"/>
  <c r="J42" i="25"/>
  <c r="J41" i="25"/>
  <c r="C37" i="32"/>
  <c r="B58" i="25" s="1"/>
  <c r="C36" i="66" s="1"/>
  <c r="A1" i="27"/>
  <c r="E35" i="24"/>
  <c r="F27" i="24"/>
  <c r="A1" i="31" l="1"/>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3" i="14"/>
  <c r="B34" i="14"/>
  <c r="B4" i="14"/>
  <c r="B1" i="26"/>
  <c r="Z1" i="107" s="1"/>
  <c r="B9" i="26"/>
  <c r="B29" i="26" s="1"/>
  <c r="A1" i="25"/>
  <c r="B8" i="25"/>
  <c r="B10" i="25"/>
  <c r="A1" i="35"/>
  <c r="A8" i="35"/>
  <c r="A1" i="34"/>
  <c r="F8" i="34"/>
  <c r="L13" i="28"/>
  <c r="L12" i="28"/>
  <c r="L11" i="28"/>
  <c r="L15" i="28" s="1"/>
  <c r="I13" i="28"/>
  <c r="I12" i="28"/>
  <c r="I11" i="28"/>
  <c r="C13" i="28"/>
  <c r="C12" i="28"/>
  <c r="C11" i="28"/>
  <c r="A1" i="28"/>
  <c r="A12" i="29"/>
  <c r="B10" i="29"/>
  <c r="E8" i="29"/>
  <c r="I8" i="29" s="1"/>
  <c r="B1" i="29"/>
  <c r="I10" i="29"/>
  <c r="H26" i="30"/>
  <c r="H25" i="30"/>
  <c r="H24" i="30"/>
  <c r="H23" i="30"/>
  <c r="H22" i="30"/>
  <c r="H21" i="30"/>
  <c r="H20" i="30"/>
  <c r="H19" i="30"/>
  <c r="H18" i="30"/>
  <c r="H17" i="30"/>
  <c r="H16" i="30"/>
  <c r="H15" i="30"/>
  <c r="H14" i="30"/>
  <c r="H13" i="30"/>
  <c r="H12" i="30"/>
  <c r="H11" i="30"/>
  <c r="H10" i="30"/>
  <c r="H9" i="30"/>
  <c r="H8" i="30"/>
  <c r="H7" i="30"/>
  <c r="H6" i="30"/>
  <c r="H4" i="30"/>
  <c r="A1" i="32"/>
  <c r="E8" i="32"/>
  <c r="E8" i="33"/>
  <c r="G8" i="33" s="1"/>
  <c r="A10" i="24"/>
  <c r="B8" i="24"/>
  <c r="B1" i="24"/>
  <c r="G1180" i="18"/>
  <c r="G1179" i="18"/>
  <c r="G1178" i="18"/>
  <c r="G1177" i="18"/>
  <c r="G1176" i="18"/>
  <c r="G1175" i="18"/>
  <c r="G1174" i="18"/>
  <c r="G1173" i="18"/>
  <c r="G1172" i="18"/>
  <c r="G1171" i="18"/>
  <c r="G1170" i="18"/>
  <c r="G1169" i="18"/>
  <c r="G1168" i="18"/>
  <c r="G1167" i="18"/>
  <c r="G1166" i="18"/>
  <c r="G1165" i="18"/>
  <c r="G1164" i="18"/>
  <c r="G1163" i="18"/>
  <c r="G1162" i="18"/>
  <c r="G1161" i="18"/>
  <c r="G1160" i="18"/>
  <c r="G1159" i="18"/>
  <c r="G1158" i="18"/>
  <c r="G1157" i="18"/>
  <c r="G1156" i="18"/>
  <c r="G1155" i="18"/>
  <c r="G1154" i="18"/>
  <c r="G1153" i="18"/>
  <c r="G1152" i="18"/>
  <c r="G1151" i="18"/>
  <c r="G1150" i="18"/>
  <c r="G1149" i="18"/>
  <c r="G1148" i="18"/>
  <c r="G1147" i="18"/>
  <c r="G1146" i="18"/>
  <c r="G1145" i="18"/>
  <c r="G1144" i="18"/>
  <c r="G1143" i="18"/>
  <c r="G1142" i="18"/>
  <c r="G1141" i="18"/>
  <c r="G1140" i="18"/>
  <c r="G1139" i="18"/>
  <c r="G1138" i="18"/>
  <c r="G1137" i="18"/>
  <c r="G1136" i="18"/>
  <c r="G1135" i="18"/>
  <c r="G1134" i="18"/>
  <c r="G1133" i="18"/>
  <c r="G1132" i="18"/>
  <c r="G1131" i="18"/>
  <c r="G1130" i="18"/>
  <c r="G1129" i="18"/>
  <c r="G1128" i="18"/>
  <c r="G1127" i="18"/>
  <c r="G1126" i="18"/>
  <c r="G1125" i="18"/>
  <c r="G1124" i="18"/>
  <c r="G1123" i="18"/>
  <c r="G1122" i="18"/>
  <c r="G1121" i="18"/>
  <c r="G1120" i="18"/>
  <c r="G1119" i="18"/>
  <c r="G1118" i="18"/>
  <c r="G1117" i="18"/>
  <c r="G1116" i="18"/>
  <c r="G1115" i="18"/>
  <c r="G1114" i="18"/>
  <c r="G1113" i="18"/>
  <c r="G1112" i="18"/>
  <c r="G1111" i="18"/>
  <c r="G1110" i="18"/>
  <c r="G1109" i="18"/>
  <c r="G1108" i="18"/>
  <c r="G1107" i="18"/>
  <c r="G1106" i="18"/>
  <c r="G1105" i="18"/>
  <c r="G1104" i="18"/>
  <c r="G1103" i="18"/>
  <c r="G1102" i="18"/>
  <c r="G1101" i="18"/>
  <c r="G1100" i="18"/>
  <c r="G1099" i="18"/>
  <c r="G1098" i="18"/>
  <c r="G1097" i="18"/>
  <c r="G1096" i="18"/>
  <c r="G1095" i="18"/>
  <c r="G1094" i="18"/>
  <c r="G1093" i="18"/>
  <c r="G1092" i="18"/>
  <c r="G1091" i="18"/>
  <c r="G1090" i="18"/>
  <c r="G1089" i="18"/>
  <c r="G1088" i="18"/>
  <c r="G1087" i="18"/>
  <c r="G1086" i="18"/>
  <c r="G1085" i="18"/>
  <c r="G1084" i="18"/>
  <c r="G1083" i="18"/>
  <c r="G1082" i="18"/>
  <c r="G1081" i="18"/>
  <c r="G1080" i="18"/>
  <c r="G1079" i="18"/>
  <c r="G1078" i="18"/>
  <c r="S40" i="18"/>
  <c r="R40" i="18"/>
  <c r="Q40" i="18"/>
  <c r="N40" i="18"/>
  <c r="K29" i="18"/>
  <c r="J29" i="18"/>
  <c r="O16" i="18"/>
  <c r="M16" i="18"/>
  <c r="L16" i="18"/>
  <c r="I6" i="18"/>
  <c r="D35" i="9"/>
  <c r="C35" i="9"/>
  <c r="C50" i="9"/>
  <c r="E22" i="9"/>
  <c r="C22" i="9"/>
  <c r="D22" i="9" s="1"/>
  <c r="C15" i="28" l="1"/>
  <c r="I15" i="28"/>
  <c r="E9" i="66"/>
  <c r="G9" i="66" s="1"/>
  <c r="G8" i="32"/>
  <c r="B12" i="29"/>
  <c r="I12" i="29"/>
  <c r="K12" i="29" s="1"/>
  <c r="E12" i="29"/>
  <c r="G12" i="29" s="1"/>
  <c r="G20" i="29" s="1"/>
  <c r="F11" i="26"/>
  <c r="D11" i="26"/>
  <c r="M10" i="24"/>
  <c r="G10" i="24"/>
  <c r="D10" i="24"/>
  <c r="C42" i="139" s="1"/>
  <c r="E17" i="14"/>
  <c r="D17" i="14"/>
  <c r="F17" i="14"/>
  <c r="G17" i="14"/>
  <c r="C17" i="14"/>
  <c r="C33" i="14"/>
  <c r="F33" i="14"/>
  <c r="G33" i="14"/>
  <c r="D33" i="14"/>
  <c r="E33" i="14"/>
  <c r="C24" i="14"/>
  <c r="D24" i="14"/>
  <c r="E24" i="14"/>
  <c r="F24" i="14"/>
  <c r="G24" i="14"/>
  <c r="C16" i="14"/>
  <c r="D16" i="14"/>
  <c r="F16" i="14"/>
  <c r="G16" i="14"/>
  <c r="E16" i="14"/>
  <c r="F8" i="14"/>
  <c r="G8" i="14"/>
  <c r="C8" i="14"/>
  <c r="D8" i="14"/>
  <c r="E8" i="14"/>
  <c r="E25" i="14"/>
  <c r="F25" i="14"/>
  <c r="D25" i="14"/>
  <c r="G25" i="14"/>
  <c r="C25" i="14"/>
  <c r="G31" i="14"/>
  <c r="F31" i="14"/>
  <c r="C31" i="14"/>
  <c r="D31" i="14"/>
  <c r="E31" i="14"/>
  <c r="G23" i="14"/>
  <c r="C23" i="14"/>
  <c r="D23" i="14"/>
  <c r="E23" i="14"/>
  <c r="F23" i="14"/>
  <c r="G15" i="14"/>
  <c r="E15" i="14"/>
  <c r="C15" i="14"/>
  <c r="D15" i="14"/>
  <c r="F15" i="14"/>
  <c r="E7" i="14"/>
  <c r="F7" i="14"/>
  <c r="C7" i="14"/>
  <c r="D7" i="14"/>
  <c r="G7" i="14"/>
  <c r="E34" i="14"/>
  <c r="F34" i="14"/>
  <c r="G34" i="14"/>
  <c r="D34" i="14"/>
  <c r="C34" i="14"/>
  <c r="D22" i="14"/>
  <c r="E22" i="14"/>
  <c r="F22" i="14"/>
  <c r="G22" i="14"/>
  <c r="C22" i="14"/>
  <c r="E29" i="14"/>
  <c r="F29" i="14"/>
  <c r="C29" i="14"/>
  <c r="D29" i="14"/>
  <c r="G29" i="14"/>
  <c r="D30" i="14"/>
  <c r="E30" i="14"/>
  <c r="F30" i="14"/>
  <c r="G30" i="14"/>
  <c r="C30" i="14"/>
  <c r="E6" i="14"/>
  <c r="C6" i="14"/>
  <c r="D6" i="14"/>
  <c r="F6" i="14"/>
  <c r="G6" i="14"/>
  <c r="G21" i="14"/>
  <c r="C21" i="14"/>
  <c r="D21" i="14"/>
  <c r="E21" i="14"/>
  <c r="F21" i="14"/>
  <c r="F28" i="14"/>
  <c r="G28" i="14"/>
  <c r="D28" i="14"/>
  <c r="C28" i="14"/>
  <c r="E28" i="14"/>
  <c r="F20" i="14"/>
  <c r="G20" i="14"/>
  <c r="C20" i="14"/>
  <c r="E20" i="14"/>
  <c r="D20" i="14"/>
  <c r="F12" i="14"/>
  <c r="G12" i="14"/>
  <c r="C12" i="14"/>
  <c r="D12" i="14"/>
  <c r="E12" i="14"/>
  <c r="E9" i="14"/>
  <c r="F9" i="14"/>
  <c r="G9" i="14"/>
  <c r="D9" i="14"/>
  <c r="C9" i="14"/>
  <c r="D14" i="14"/>
  <c r="E14" i="14"/>
  <c r="F14" i="14"/>
  <c r="C14" i="14"/>
  <c r="G14" i="14"/>
  <c r="F13" i="14"/>
  <c r="C13" i="14"/>
  <c r="G13" i="14"/>
  <c r="D13" i="14"/>
  <c r="E13" i="14"/>
  <c r="C27" i="14"/>
  <c r="D27" i="14"/>
  <c r="E27" i="14"/>
  <c r="F27" i="14"/>
  <c r="G27" i="14"/>
  <c r="C19" i="14"/>
  <c r="D19" i="14"/>
  <c r="G19" i="14"/>
  <c r="E19" i="14"/>
  <c r="F19" i="14"/>
  <c r="C11" i="14"/>
  <c r="G11" i="14"/>
  <c r="D11" i="14"/>
  <c r="E11" i="14"/>
  <c r="F11" i="14"/>
  <c r="C5" i="14"/>
  <c r="D5" i="14"/>
  <c r="E5" i="14"/>
  <c r="G5" i="14"/>
  <c r="F5" i="14"/>
  <c r="F4" i="14"/>
  <c r="E4" i="14"/>
  <c r="D4" i="14"/>
  <c r="G4" i="14"/>
  <c r="C4" i="14"/>
  <c r="D26" i="14"/>
  <c r="E26" i="14"/>
  <c r="G26" i="14"/>
  <c r="C26" i="14"/>
  <c r="F26" i="14"/>
  <c r="D18" i="14"/>
  <c r="E18" i="14"/>
  <c r="F18" i="14"/>
  <c r="G18" i="14"/>
  <c r="C18" i="14"/>
  <c r="D10" i="14"/>
  <c r="E10" i="14"/>
  <c r="F10" i="14"/>
  <c r="C10" i="14"/>
  <c r="G10" i="14"/>
  <c r="A10" i="35"/>
  <c r="A12" i="35" s="1"/>
  <c r="A14" i="35" s="1"/>
  <c r="A16" i="35" s="1"/>
  <c r="G10" i="27"/>
  <c r="I10" i="27" s="1"/>
  <c r="F22" i="9"/>
  <c r="N23" i="25"/>
  <c r="Y42" i="18"/>
  <c r="AA42" i="18" s="1"/>
  <c r="AI42" i="18"/>
  <c r="AK42" i="18" s="1"/>
  <c r="B10" i="24"/>
  <c r="B11" i="26"/>
  <c r="J10" i="24"/>
  <c r="H8" i="34"/>
  <c r="D12" i="34"/>
  <c r="N49" i="25"/>
  <c r="N12" i="25"/>
  <c r="P40" i="18"/>
  <c r="L20" i="28" l="1"/>
  <c r="L26" i="28"/>
  <c r="E18" i="35" s="1"/>
  <c r="G18" i="35" s="1"/>
  <c r="L23" i="28"/>
  <c r="M40" i="132"/>
  <c r="M34" i="132"/>
  <c r="M28" i="132"/>
  <c r="M20" i="132"/>
  <c r="M30" i="132"/>
  <c r="M41" i="132"/>
  <c r="M12" i="132"/>
  <c r="M23" i="132"/>
  <c r="M52" i="132"/>
  <c r="M57" i="132"/>
  <c r="M51" i="132"/>
  <c r="M45" i="132"/>
  <c r="M22" i="132"/>
  <c r="M16" i="132"/>
  <c r="M43" i="132"/>
  <c r="M25" i="132"/>
  <c r="M47" i="132"/>
  <c r="M18" i="132"/>
  <c r="M29" i="132"/>
  <c r="M39" i="132"/>
  <c r="M33" i="132"/>
  <c r="M27" i="132"/>
  <c r="M49" i="132"/>
  <c r="M14" i="132"/>
  <c r="M37" i="132"/>
  <c r="M48" i="132"/>
  <c r="M24" i="132"/>
  <c r="M58" i="132"/>
  <c r="M11" i="132"/>
  <c r="M56" i="132"/>
  <c r="M50" i="132"/>
  <c r="M44" i="132"/>
  <c r="M21" i="132"/>
  <c r="M15" i="132"/>
  <c r="M55" i="132"/>
  <c r="M31" i="132"/>
  <c r="M54" i="132"/>
  <c r="M13" i="132"/>
  <c r="M36" i="132"/>
  <c r="M53" i="132"/>
  <c r="M35" i="132"/>
  <c r="M46" i="132"/>
  <c r="M38" i="132"/>
  <c r="M32" i="132"/>
  <c r="M26" i="132"/>
  <c r="M42" i="132"/>
  <c r="M19" i="132"/>
  <c r="M59" i="132"/>
  <c r="M17" i="132"/>
  <c r="M36" i="26"/>
  <c r="M31" i="26"/>
  <c r="M35" i="26"/>
  <c r="M33" i="26"/>
  <c r="M32" i="26"/>
  <c r="M37" i="26"/>
  <c r="M34" i="26"/>
  <c r="M13" i="26"/>
  <c r="M16" i="26"/>
  <c r="M12" i="26"/>
  <c r="M14" i="26"/>
  <c r="M15" i="26"/>
  <c r="M17" i="26"/>
  <c r="N22" i="25"/>
  <c r="N24" i="25" s="1"/>
  <c r="E14" i="32"/>
  <c r="G14" i="32" s="1"/>
  <c r="M22" i="67"/>
  <c r="M34" i="67"/>
  <c r="M46" i="67"/>
  <c r="M58" i="67"/>
  <c r="M23" i="67"/>
  <c r="M35" i="67"/>
  <c r="M47" i="67"/>
  <c r="M59" i="67"/>
  <c r="M12" i="67"/>
  <c r="M24" i="67"/>
  <c r="M36" i="67"/>
  <c r="M48" i="67"/>
  <c r="M13" i="67"/>
  <c r="M25" i="67"/>
  <c r="M37" i="67"/>
  <c r="M49" i="67"/>
  <c r="M14" i="67"/>
  <c r="M26" i="67"/>
  <c r="M38" i="67"/>
  <c r="M50" i="67"/>
  <c r="M15" i="67"/>
  <c r="M27" i="67"/>
  <c r="M39" i="67"/>
  <c r="M51" i="67"/>
  <c r="M16" i="67"/>
  <c r="M28" i="67"/>
  <c r="M40" i="67"/>
  <c r="M52" i="67"/>
  <c r="M17" i="67"/>
  <c r="M29" i="67"/>
  <c r="M41" i="67"/>
  <c r="M53" i="67"/>
  <c r="M18" i="67"/>
  <c r="M30" i="67"/>
  <c r="M42" i="67"/>
  <c r="M54" i="67"/>
  <c r="M19" i="67"/>
  <c r="M31" i="67"/>
  <c r="M43" i="67"/>
  <c r="M55" i="67"/>
  <c r="M20" i="67"/>
  <c r="M32" i="67"/>
  <c r="M44" i="67"/>
  <c r="M56" i="67"/>
  <c r="M21" i="67"/>
  <c r="M33" i="67"/>
  <c r="M45" i="67"/>
  <c r="M57" i="67"/>
  <c r="E20" i="29"/>
  <c r="H11" i="26"/>
  <c r="H31" i="14"/>
  <c r="I31" i="14" s="1"/>
  <c r="P10" i="24"/>
  <c r="E42" i="139" s="1"/>
  <c r="G42" i="139" s="1"/>
  <c r="H11" i="14"/>
  <c r="I11" i="14" s="1"/>
  <c r="H12" i="14"/>
  <c r="I12" i="14" s="1"/>
  <c r="H26" i="14"/>
  <c r="I26" i="14" s="1"/>
  <c r="H4" i="14"/>
  <c r="I4" i="14" s="1"/>
  <c r="H14" i="14"/>
  <c r="I14" i="14" s="1"/>
  <c r="H29" i="14"/>
  <c r="I29" i="14" s="1"/>
  <c r="H5" i="14"/>
  <c r="I5" i="14" s="1"/>
  <c r="H34" i="14"/>
  <c r="I34" i="14" s="1"/>
  <c r="H16" i="14"/>
  <c r="I16" i="14" s="1"/>
  <c r="H33" i="14"/>
  <c r="I33" i="14" s="1"/>
  <c r="H20" i="14"/>
  <c r="I20" i="14" s="1"/>
  <c r="H27" i="14"/>
  <c r="I27" i="14" s="1"/>
  <c r="H9" i="14"/>
  <c r="I9" i="14" s="1"/>
  <c r="H7" i="14"/>
  <c r="I7" i="14" s="1"/>
  <c r="H13" i="14"/>
  <c r="I13" i="14" s="1"/>
  <c r="H30" i="14"/>
  <c r="I30" i="14" s="1"/>
  <c r="H15" i="14"/>
  <c r="I15" i="14" s="1"/>
  <c r="H24" i="14"/>
  <c r="I24" i="14" s="1"/>
  <c r="H18" i="14"/>
  <c r="I18" i="14" s="1"/>
  <c r="H28" i="14"/>
  <c r="I28" i="14" s="1"/>
  <c r="H19" i="14"/>
  <c r="I19" i="14" s="1"/>
  <c r="H22" i="14"/>
  <c r="I22" i="14" s="1"/>
  <c r="H25" i="14"/>
  <c r="I25" i="14" s="1"/>
  <c r="H10" i="14"/>
  <c r="I10" i="14" s="1"/>
  <c r="H21" i="14"/>
  <c r="I21" i="14" s="1"/>
  <c r="H6" i="14"/>
  <c r="I6" i="14" s="1"/>
  <c r="H8" i="14"/>
  <c r="I8" i="14" s="1"/>
  <c r="H17" i="14"/>
  <c r="I17" i="14" s="1"/>
  <c r="H23" i="14"/>
  <c r="I23" i="14" s="1"/>
  <c r="M11" i="67"/>
  <c r="N31" i="25"/>
  <c r="M11" i="26"/>
  <c r="E10" i="32"/>
  <c r="G10" i="32" s="1"/>
  <c r="N15" i="25"/>
  <c r="K20" i="29"/>
  <c r="I20" i="29" s="1"/>
  <c r="G15" i="27"/>
  <c r="I15" i="27" s="1"/>
  <c r="I18" i="27" s="1"/>
  <c r="I42" i="139" l="1"/>
  <c r="K42" i="139"/>
  <c r="E49" i="27"/>
  <c r="A18" i="35"/>
  <c r="A20" i="35" s="1"/>
  <c r="A22" i="35" s="1"/>
  <c r="A24" i="35" s="1"/>
  <c r="H21" i="26"/>
  <c r="H19" i="26"/>
  <c r="S10" i="24"/>
  <c r="V10" i="24" s="1"/>
  <c r="E15" i="66"/>
  <c r="E11" i="66"/>
  <c r="G11" i="66" s="1"/>
  <c r="G18" i="27"/>
  <c r="M42" i="139" l="1"/>
  <c r="E20" i="35" s="1"/>
  <c r="G20" i="35" s="1"/>
  <c r="X20" i="24"/>
  <c r="X18" i="24"/>
  <c r="G15" i="66"/>
  <c r="E50" i="27"/>
  <c r="Z10" i="24"/>
  <c r="Z9" i="24"/>
  <c r="AD21" i="107"/>
  <c r="AF21" i="107" s="1"/>
  <c r="F30" i="24"/>
  <c r="H23" i="26"/>
  <c r="E20" i="32" s="1"/>
  <c r="G20" i="32" s="1"/>
  <c r="AS42" i="18"/>
  <c r="C35" i="14"/>
  <c r="J32" i="14" s="1"/>
  <c r="K32" i="14" s="1"/>
  <c r="E21" i="31" l="1"/>
  <c r="G21" i="31" s="1"/>
  <c r="AU42" i="18"/>
  <c r="E10" i="33" s="1"/>
  <c r="G21" i="27"/>
  <c r="I21" i="27"/>
  <c r="I23" i="27" s="1"/>
  <c r="Z12" i="24"/>
  <c r="J16" i="14"/>
  <c r="K16" i="14" s="1"/>
  <c r="J25" i="14"/>
  <c r="K25" i="14" s="1"/>
  <c r="J14" i="14"/>
  <c r="K14" i="14" s="1"/>
  <c r="J7" i="14"/>
  <c r="K7" i="14" s="1"/>
  <c r="J8" i="14"/>
  <c r="K8" i="14" s="1"/>
  <c r="J31" i="14"/>
  <c r="K31" i="14" s="1"/>
  <c r="J19" i="14"/>
  <c r="K19" i="14" s="1"/>
  <c r="J12" i="14"/>
  <c r="K12" i="14" s="1"/>
  <c r="J18" i="14"/>
  <c r="K18" i="14" s="1"/>
  <c r="J27" i="14"/>
  <c r="K27" i="14" s="1"/>
  <c r="J11" i="14"/>
  <c r="K11" i="14" s="1"/>
  <c r="J23" i="14"/>
  <c r="K23" i="14" s="1"/>
  <c r="J22" i="14"/>
  <c r="K22" i="14" s="1"/>
  <c r="J29" i="14"/>
  <c r="K29" i="14" s="1"/>
  <c r="J34" i="14"/>
  <c r="K34" i="14" s="1"/>
  <c r="J33" i="14"/>
  <c r="K33" i="14" s="1"/>
  <c r="J15" i="14"/>
  <c r="K15" i="14" s="1"/>
  <c r="J21" i="14"/>
  <c r="K21" i="14" s="1"/>
  <c r="J30" i="14"/>
  <c r="K30" i="14" s="1"/>
  <c r="J6" i="14"/>
  <c r="K6" i="14" s="1"/>
  <c r="J13" i="14"/>
  <c r="K13" i="14" s="1"/>
  <c r="J9" i="14"/>
  <c r="K9" i="14" s="1"/>
  <c r="J5" i="14"/>
  <c r="K5" i="14" s="1"/>
  <c r="J24" i="14"/>
  <c r="K24" i="14" s="1"/>
  <c r="J28" i="14"/>
  <c r="K28" i="14" s="1"/>
  <c r="J26" i="14"/>
  <c r="K26" i="14" s="1"/>
  <c r="J10" i="14"/>
  <c r="K10" i="14" s="1"/>
  <c r="J17" i="14"/>
  <c r="K17" i="14" s="1"/>
  <c r="J20" i="14"/>
  <c r="K20" i="14" s="1"/>
  <c r="J4" i="14"/>
  <c r="K4" i="14" s="1"/>
  <c r="Z11" i="24"/>
  <c r="W14" i="24" l="1"/>
  <c r="W12" i="24"/>
  <c r="W16" i="24"/>
  <c r="W15" i="24"/>
  <c r="W13" i="24"/>
  <c r="G10" i="33"/>
  <c r="K35" i="14"/>
  <c r="G23" i="27"/>
  <c r="W10" i="24"/>
  <c r="W11" i="24"/>
  <c r="V20" i="24" a="1"/>
  <c r="V20" i="24" s="1"/>
  <c r="V18" i="24"/>
  <c r="V22" i="24" l="1"/>
  <c r="E6" i="35" s="1"/>
  <c r="G6" i="35" s="1"/>
  <c r="E14" i="33"/>
  <c r="E16" i="33" l="1"/>
  <c r="E16" i="31" s="1"/>
  <c r="G14" i="33"/>
  <c r="G16" i="33" s="1"/>
  <c r="G16" i="31" s="1"/>
  <c r="F10" i="34" l="1"/>
  <c r="H10" i="34" s="1"/>
  <c r="H12" i="34" l="1"/>
  <c r="E16" i="32"/>
  <c r="C30" i="32" s="1"/>
  <c r="N30" i="25"/>
  <c r="N32" i="25" s="1"/>
  <c r="N37" i="25" l="1"/>
  <c r="N35" i="25"/>
  <c r="J17" i="26" s="1"/>
  <c r="J21" i="132"/>
  <c r="G16" i="32"/>
  <c r="G18" i="32" s="1"/>
  <c r="G22" i="32" s="1"/>
  <c r="G10" i="31" s="1"/>
  <c r="G24" i="31" s="1"/>
  <c r="I25" i="27" s="1"/>
  <c r="I28" i="27" s="1"/>
  <c r="G8" i="35" s="1"/>
  <c r="E17" i="66"/>
  <c r="E19" i="66" s="1"/>
  <c r="E23" i="66" s="1"/>
  <c r="J24" i="67"/>
  <c r="J49" i="67"/>
  <c r="J19" i="67"/>
  <c r="J25" i="67"/>
  <c r="J48" i="67"/>
  <c r="J35" i="67"/>
  <c r="E18" i="32"/>
  <c r="E22" i="32" s="1"/>
  <c r="E10" i="31" s="1"/>
  <c r="E24" i="31" s="1"/>
  <c r="G25" i="27" s="1"/>
  <c r="G28" i="27" s="1"/>
  <c r="E8" i="35" s="1"/>
  <c r="J29" i="67" l="1"/>
  <c r="J13" i="26"/>
  <c r="S13" i="26" s="1"/>
  <c r="J38" i="67"/>
  <c r="J26" i="67"/>
  <c r="S26" i="67" s="1"/>
  <c r="J27" i="67"/>
  <c r="P27" i="67" s="1"/>
  <c r="J42" i="67"/>
  <c r="S42" i="67" s="1"/>
  <c r="S35" i="67"/>
  <c r="P35" i="67"/>
  <c r="S24" i="67"/>
  <c r="P24" i="67"/>
  <c r="S48" i="67"/>
  <c r="P48" i="67"/>
  <c r="S25" i="67"/>
  <c r="P25" i="67"/>
  <c r="S29" i="67"/>
  <c r="P29" i="67"/>
  <c r="S49" i="67"/>
  <c r="P49" i="67"/>
  <c r="V49" i="67" s="1"/>
  <c r="P38" i="67"/>
  <c r="S38" i="67"/>
  <c r="S27" i="67"/>
  <c r="S19" i="67"/>
  <c r="P19" i="67"/>
  <c r="S21" i="132"/>
  <c r="P21" i="132"/>
  <c r="S17" i="26"/>
  <c r="P17" i="26"/>
  <c r="J15" i="67"/>
  <c r="J41" i="67"/>
  <c r="J16" i="67"/>
  <c r="J23" i="67"/>
  <c r="J57" i="67"/>
  <c r="J14" i="67"/>
  <c r="J13" i="67"/>
  <c r="J59" i="67"/>
  <c r="J53" i="67"/>
  <c r="J58" i="67"/>
  <c r="J14" i="26"/>
  <c r="J51" i="67"/>
  <c r="J15" i="26"/>
  <c r="J44" i="67"/>
  <c r="J11" i="26"/>
  <c r="P11" i="26" s="1"/>
  <c r="J12" i="26"/>
  <c r="J47" i="67"/>
  <c r="J20" i="67"/>
  <c r="J55" i="67"/>
  <c r="J11" i="67"/>
  <c r="S11" i="67" s="1"/>
  <c r="J17" i="67"/>
  <c r="J36" i="67"/>
  <c r="J54" i="67"/>
  <c r="J37" i="67"/>
  <c r="J39" i="67"/>
  <c r="J18" i="67"/>
  <c r="J31" i="67"/>
  <c r="J22" i="67"/>
  <c r="J50" i="67"/>
  <c r="J12" i="67"/>
  <c r="J56" i="67"/>
  <c r="J45" i="67"/>
  <c r="J52" i="67"/>
  <c r="J21" i="67"/>
  <c r="J28" i="67"/>
  <c r="J32" i="67"/>
  <c r="J40" i="67"/>
  <c r="J16" i="26"/>
  <c r="J34" i="67"/>
  <c r="J30" i="67"/>
  <c r="J33" i="67"/>
  <c r="J43" i="67"/>
  <c r="J46" i="67"/>
  <c r="J45" i="132"/>
  <c r="J17" i="132"/>
  <c r="J37" i="26"/>
  <c r="J48" i="132"/>
  <c r="J32" i="26"/>
  <c r="J20" i="132"/>
  <c r="J42" i="132"/>
  <c r="J14" i="132"/>
  <c r="J55" i="132"/>
  <c r="J53" i="132"/>
  <c r="J47" i="132"/>
  <c r="J51" i="132"/>
  <c r="J36" i="26"/>
  <c r="J31" i="26"/>
  <c r="P31" i="26" s="1"/>
  <c r="J12" i="132"/>
  <c r="J34" i="26"/>
  <c r="J34" i="132"/>
  <c r="J19" i="132"/>
  <c r="J56" i="132"/>
  <c r="J22" i="132"/>
  <c r="J33" i="26"/>
  <c r="J57" i="132"/>
  <c r="H17" i="64"/>
  <c r="H20" i="64" s="1"/>
  <c r="D11" i="62" s="1"/>
  <c r="G17" i="66"/>
  <c r="G19" i="66" s="1"/>
  <c r="J37" i="132"/>
  <c r="J33" i="132"/>
  <c r="J31" i="132"/>
  <c r="J58" i="132"/>
  <c r="J26" i="132"/>
  <c r="J38" i="132"/>
  <c r="J16" i="132"/>
  <c r="J40" i="132"/>
  <c r="J41" i="132"/>
  <c r="J50" i="132"/>
  <c r="J25" i="132"/>
  <c r="J30" i="132"/>
  <c r="J59" i="132"/>
  <c r="J27" i="132"/>
  <c r="J35" i="132"/>
  <c r="J15" i="132"/>
  <c r="J46" i="132"/>
  <c r="J18" i="132"/>
  <c r="J35" i="26"/>
  <c r="J11" i="132"/>
  <c r="J13" i="132"/>
  <c r="J28" i="132"/>
  <c r="J44" i="132"/>
  <c r="J36" i="132"/>
  <c r="J24" i="132"/>
  <c r="J29" i="132"/>
  <c r="J23" i="132"/>
  <c r="J54" i="132"/>
  <c r="J32" i="132"/>
  <c r="J43" i="132"/>
  <c r="J52" i="132"/>
  <c r="J39" i="132"/>
  <c r="J49" i="132"/>
  <c r="P26" i="67" l="1"/>
  <c r="P42" i="67"/>
  <c r="V35" i="67"/>
  <c r="P13" i="26"/>
  <c r="V13" i="26" s="1"/>
  <c r="V42" i="67"/>
  <c r="V48" i="67"/>
  <c r="S11" i="26"/>
  <c r="V11" i="26" s="1"/>
  <c r="V17" i="26"/>
  <c r="V24" i="67"/>
  <c r="V21" i="132"/>
  <c r="S13" i="67"/>
  <c r="P13" i="67"/>
  <c r="V26" i="67"/>
  <c r="S24" i="132"/>
  <c r="P24" i="132"/>
  <c r="P47" i="132"/>
  <c r="S47" i="132"/>
  <c r="S43" i="67"/>
  <c r="P43" i="67"/>
  <c r="S12" i="67"/>
  <c r="P12" i="67"/>
  <c r="S20" i="67"/>
  <c r="P20" i="67"/>
  <c r="P14" i="67"/>
  <c r="S14" i="67"/>
  <c r="V19" i="67"/>
  <c r="V29" i="67"/>
  <c r="P51" i="132"/>
  <c r="S51" i="132"/>
  <c r="S53" i="132"/>
  <c r="P53" i="132"/>
  <c r="S33" i="67"/>
  <c r="P33" i="67"/>
  <c r="S50" i="67"/>
  <c r="P50" i="67"/>
  <c r="S47" i="67"/>
  <c r="P47" i="67"/>
  <c r="S57" i="67"/>
  <c r="P57" i="67"/>
  <c r="P59" i="132"/>
  <c r="S59" i="132"/>
  <c r="S59" i="67"/>
  <c r="P59" i="67"/>
  <c r="S30" i="132"/>
  <c r="P30" i="132"/>
  <c r="S56" i="67"/>
  <c r="P56" i="67"/>
  <c r="S41" i="132"/>
  <c r="P41" i="132"/>
  <c r="P33" i="26"/>
  <c r="S33" i="26"/>
  <c r="S55" i="132"/>
  <c r="P55" i="132"/>
  <c r="S30" i="67"/>
  <c r="P30" i="67"/>
  <c r="S22" i="67"/>
  <c r="P22" i="67"/>
  <c r="S12" i="26"/>
  <c r="P12" i="26"/>
  <c r="S23" i="67"/>
  <c r="P23" i="67"/>
  <c r="V27" i="67"/>
  <c r="V25" i="67"/>
  <c r="S37" i="132"/>
  <c r="P37" i="132"/>
  <c r="P36" i="26"/>
  <c r="S36" i="26"/>
  <c r="S45" i="132"/>
  <c r="P45" i="132"/>
  <c r="S36" i="132"/>
  <c r="P36" i="132"/>
  <c r="S46" i="67"/>
  <c r="P46" i="67"/>
  <c r="S44" i="132"/>
  <c r="P44" i="132"/>
  <c r="S25" i="132"/>
  <c r="P25" i="132"/>
  <c r="S14" i="132"/>
  <c r="P14" i="132"/>
  <c r="S34" i="67"/>
  <c r="P34" i="67"/>
  <c r="S31" i="67"/>
  <c r="P31" i="67"/>
  <c r="S16" i="67"/>
  <c r="P16" i="67"/>
  <c r="S16" i="26"/>
  <c r="P16" i="26"/>
  <c r="S18" i="67"/>
  <c r="P18" i="67"/>
  <c r="S44" i="67"/>
  <c r="P44" i="67"/>
  <c r="S41" i="67"/>
  <c r="P41" i="67"/>
  <c r="P39" i="67"/>
  <c r="S39" i="67"/>
  <c r="S15" i="26"/>
  <c r="P15" i="26"/>
  <c r="S15" i="67"/>
  <c r="P15" i="67"/>
  <c r="V38" i="67"/>
  <c r="S37" i="67"/>
  <c r="P37" i="67"/>
  <c r="S32" i="67"/>
  <c r="P32" i="67"/>
  <c r="S58" i="132"/>
  <c r="P58" i="132"/>
  <c r="S55" i="67"/>
  <c r="P55" i="67"/>
  <c r="V55" i="67" s="1"/>
  <c r="S28" i="132"/>
  <c r="P28" i="132"/>
  <c r="P50" i="132"/>
  <c r="S50" i="132"/>
  <c r="S57" i="132"/>
  <c r="P57" i="132"/>
  <c r="S49" i="132"/>
  <c r="P49" i="132"/>
  <c r="S13" i="132"/>
  <c r="P13" i="132"/>
  <c r="S39" i="132"/>
  <c r="P39" i="132"/>
  <c r="S40" i="132"/>
  <c r="P40" i="132"/>
  <c r="S22" i="132"/>
  <c r="P22" i="132"/>
  <c r="S52" i="132"/>
  <c r="P52" i="132"/>
  <c r="S16" i="132"/>
  <c r="P16" i="132"/>
  <c r="S56" i="132"/>
  <c r="P56" i="132"/>
  <c r="V56" i="132" s="1"/>
  <c r="S42" i="132"/>
  <c r="P42" i="132"/>
  <c r="V42" i="132" s="1"/>
  <c r="S43" i="132"/>
  <c r="P43" i="132"/>
  <c r="S18" i="132"/>
  <c r="P18" i="132"/>
  <c r="S38" i="132"/>
  <c r="P38" i="132"/>
  <c r="S19" i="132"/>
  <c r="P19" i="132"/>
  <c r="S26" i="132"/>
  <c r="P26" i="132"/>
  <c r="P32" i="26"/>
  <c r="S32" i="26"/>
  <c r="S51" i="67"/>
  <c r="P51" i="67"/>
  <c r="S54" i="132"/>
  <c r="P54" i="132"/>
  <c r="S15" i="132"/>
  <c r="P15" i="132"/>
  <c r="S12" i="132"/>
  <c r="P12" i="132"/>
  <c r="S45" i="67"/>
  <c r="P45" i="67"/>
  <c r="P35" i="26"/>
  <c r="S35" i="26"/>
  <c r="S20" i="132"/>
  <c r="P20" i="132"/>
  <c r="S40" i="67"/>
  <c r="P40" i="67"/>
  <c r="S32" i="132"/>
  <c r="P32" i="132"/>
  <c r="S46" i="132"/>
  <c r="P46" i="132"/>
  <c r="S34" i="132"/>
  <c r="P34" i="132"/>
  <c r="S34" i="26"/>
  <c r="P34" i="26"/>
  <c r="S48" i="132"/>
  <c r="P48" i="132"/>
  <c r="S28" i="67"/>
  <c r="P28" i="67"/>
  <c r="S54" i="67"/>
  <c r="P54" i="67"/>
  <c r="S14" i="26"/>
  <c r="P14" i="26"/>
  <c r="S23" i="132"/>
  <c r="P23" i="132"/>
  <c r="S35" i="132"/>
  <c r="P35" i="132"/>
  <c r="S31" i="132"/>
  <c r="P31" i="132"/>
  <c r="P37" i="26"/>
  <c r="S37" i="26"/>
  <c r="S21" i="67"/>
  <c r="P21" i="67"/>
  <c r="S36" i="67"/>
  <c r="P36" i="67"/>
  <c r="S58" i="67"/>
  <c r="P58" i="67"/>
  <c r="S29" i="132"/>
  <c r="P29" i="132"/>
  <c r="V29" i="132" s="1"/>
  <c r="S27" i="132"/>
  <c r="P27" i="132"/>
  <c r="S33" i="132"/>
  <c r="P33" i="132"/>
  <c r="S17" i="132"/>
  <c r="P17" i="132"/>
  <c r="S52" i="67"/>
  <c r="P52" i="67"/>
  <c r="S17" i="67"/>
  <c r="P17" i="67"/>
  <c r="S53" i="67"/>
  <c r="P53" i="67"/>
  <c r="P11" i="67"/>
  <c r="G23" i="66"/>
  <c r="J17" i="64" s="1"/>
  <c r="J20" i="64" s="1"/>
  <c r="F11" i="62" s="1"/>
  <c r="S31" i="26"/>
  <c r="V31" i="26" s="1"/>
  <c r="P11" i="132"/>
  <c r="S11" i="132"/>
  <c r="V26" i="132" l="1"/>
  <c r="V39" i="132"/>
  <c r="V58" i="132"/>
  <c r="V46" i="67"/>
  <c r="V16" i="67"/>
  <c r="V23" i="67"/>
  <c r="V34" i="132"/>
  <c r="V13" i="67"/>
  <c r="V13" i="132"/>
  <c r="V58" i="67"/>
  <c r="V37" i="67"/>
  <c r="V47" i="67"/>
  <c r="V53" i="67"/>
  <c r="V41" i="132"/>
  <c r="V17" i="67"/>
  <c r="V35" i="132"/>
  <c r="V34" i="26"/>
  <c r="V15" i="26"/>
  <c r="V23" i="132"/>
  <c r="V57" i="67"/>
  <c r="V24" i="132"/>
  <c r="S19" i="26"/>
  <c r="V32" i="67"/>
  <c r="V28" i="67"/>
  <c r="V40" i="67"/>
  <c r="V54" i="132"/>
  <c r="V18" i="132"/>
  <c r="V22" i="132"/>
  <c r="S63" i="67"/>
  <c r="S21" i="26"/>
  <c r="V36" i="26"/>
  <c r="V18" i="67"/>
  <c r="V25" i="132"/>
  <c r="V37" i="132"/>
  <c r="V55" i="132"/>
  <c r="V31" i="67"/>
  <c r="V36" i="132"/>
  <c r="V12" i="26"/>
  <c r="V56" i="67"/>
  <c r="V50" i="67"/>
  <c r="V37" i="26"/>
  <c r="V33" i="26"/>
  <c r="S63" i="132"/>
  <c r="S61" i="132"/>
  <c r="V17" i="132"/>
  <c r="V21" i="67"/>
  <c r="V54" i="67"/>
  <c r="V32" i="132"/>
  <c r="V15" i="132"/>
  <c r="V38" i="132"/>
  <c r="V52" i="132"/>
  <c r="V57" i="132"/>
  <c r="V44" i="67"/>
  <c r="V14" i="132"/>
  <c r="V30" i="67"/>
  <c r="V59" i="67"/>
  <c r="V53" i="132"/>
  <c r="V43" i="67"/>
  <c r="P63" i="132"/>
  <c r="P61" i="132"/>
  <c r="V33" i="132"/>
  <c r="V50" i="132"/>
  <c r="V59" i="132"/>
  <c r="V51" i="132"/>
  <c r="V47" i="132"/>
  <c r="V27" i="132"/>
  <c r="V31" i="132"/>
  <c r="V48" i="132"/>
  <c r="V20" i="132"/>
  <c r="V51" i="67"/>
  <c r="V43" i="132"/>
  <c r="V40" i="132"/>
  <c r="V28" i="132"/>
  <c r="V15" i="67"/>
  <c r="V16" i="26"/>
  <c r="V44" i="132"/>
  <c r="S61" i="67"/>
  <c r="P63" i="67"/>
  <c r="P61" i="67"/>
  <c r="V35" i="26"/>
  <c r="V32" i="26"/>
  <c r="V14" i="67"/>
  <c r="V45" i="67"/>
  <c r="V20" i="67"/>
  <c r="V11" i="67"/>
  <c r="V39" i="67"/>
  <c r="V52" i="67"/>
  <c r="V36" i="67"/>
  <c r="V14" i="26"/>
  <c r="V46" i="132"/>
  <c r="V12" i="132"/>
  <c r="V19" i="132"/>
  <c r="V16" i="132"/>
  <c r="V49" i="132"/>
  <c r="V41" i="67"/>
  <c r="V34" i="67"/>
  <c r="V45" i="132"/>
  <c r="V22" i="67"/>
  <c r="V30" i="132"/>
  <c r="V33" i="67"/>
  <c r="V12" i="67"/>
  <c r="P19" i="26"/>
  <c r="P21" i="26"/>
  <c r="S41" i="26"/>
  <c r="P39" i="26"/>
  <c r="P41" i="26"/>
  <c r="S39" i="26"/>
  <c r="V11" i="132"/>
  <c r="S23" i="26" l="1"/>
  <c r="Z11" i="26"/>
  <c r="S65" i="67"/>
  <c r="P65" i="67"/>
  <c r="Z12" i="67"/>
  <c r="Z11" i="67"/>
  <c r="X21" i="26"/>
  <c r="X63" i="132"/>
  <c r="X61" i="132"/>
  <c r="Z10" i="26"/>
  <c r="X19" i="26"/>
  <c r="P23" i="26"/>
  <c r="X63" i="67"/>
  <c r="X61" i="67"/>
  <c r="X39" i="26"/>
  <c r="Z12" i="132"/>
  <c r="Z11" i="132"/>
  <c r="X41" i="26"/>
  <c r="Z31" i="26"/>
  <c r="Z30" i="26"/>
  <c r="S43" i="26"/>
  <c r="S65" i="132"/>
  <c r="P65" i="132"/>
  <c r="P43" i="26"/>
  <c r="Z14" i="67" l="1"/>
  <c r="Z12" i="26"/>
  <c r="Z13" i="26"/>
  <c r="Z13" i="67"/>
  <c r="Z13" i="132"/>
  <c r="Z32" i="26"/>
  <c r="Z33" i="26"/>
  <c r="Z14" i="132"/>
  <c r="V61" i="67" l="1"/>
  <c r="W12" i="67"/>
  <c r="W46" i="67"/>
  <c r="V63" i="67" a="1"/>
  <c r="V63" i="67" s="1"/>
  <c r="W14" i="67"/>
  <c r="W44" i="67"/>
  <c r="W18" i="67"/>
  <c r="W57" i="67"/>
  <c r="W35" i="67"/>
  <c r="W53" i="67"/>
  <c r="W21" i="67"/>
  <c r="W40" i="67"/>
  <c r="W55" i="67"/>
  <c r="W42" i="67"/>
  <c r="W37" i="67"/>
  <c r="W26" i="67"/>
  <c r="W15" i="67"/>
  <c r="W45" i="67"/>
  <c r="W20" i="67"/>
  <c r="W47" i="67"/>
  <c r="W59" i="67"/>
  <c r="W43" i="67"/>
  <c r="W51" i="67"/>
  <c r="W56" i="67"/>
  <c r="W13" i="67"/>
  <c r="W16" i="67"/>
  <c r="W50" i="67"/>
  <c r="W24" i="67"/>
  <c r="W49" i="67"/>
  <c r="W23" i="67"/>
  <c r="W27" i="67"/>
  <c r="W29" i="67"/>
  <c r="W41" i="67"/>
  <c r="W28" i="67"/>
  <c r="W32" i="67"/>
  <c r="W31" i="67"/>
  <c r="W54" i="67"/>
  <c r="W25" i="67"/>
  <c r="W34" i="67"/>
  <c r="W38" i="67"/>
  <c r="W22" i="67"/>
  <c r="W11" i="67"/>
  <c r="W39" i="67"/>
  <c r="W30" i="67"/>
  <c r="W36" i="67"/>
  <c r="W52" i="67"/>
  <c r="W48" i="67"/>
  <c r="W35" i="26"/>
  <c r="V21" i="26" a="1"/>
  <c r="V21" i="26" s="1"/>
  <c r="W31" i="26"/>
  <c r="W34" i="26"/>
  <c r="W32" i="26"/>
  <c r="W13" i="26"/>
  <c r="W12" i="26"/>
  <c r="W15" i="26"/>
  <c r="W16" i="26"/>
  <c r="W33" i="26"/>
  <c r="W14" i="26"/>
  <c r="W36" i="26"/>
  <c r="W37" i="26"/>
  <c r="W17" i="26"/>
  <c r="V19" i="26"/>
  <c r="W11" i="26"/>
  <c r="W58" i="67"/>
  <c r="W19" i="67"/>
  <c r="W17" i="67"/>
  <c r="W33" i="67"/>
  <c r="V39" i="26"/>
  <c r="V61" i="132"/>
  <c r="V63" i="132" a="1"/>
  <c r="V63" i="132" s="1"/>
  <c r="W21" i="132"/>
  <c r="W55" i="132"/>
  <c r="W35" i="132"/>
  <c r="W23" i="132"/>
  <c r="W34" i="132"/>
  <c r="W58" i="132"/>
  <c r="W39" i="132"/>
  <c r="W36" i="132"/>
  <c r="W41" i="132"/>
  <c r="W24" i="132"/>
  <c r="W42" i="132"/>
  <c r="W54" i="132"/>
  <c r="W18" i="132"/>
  <c r="W22" i="132"/>
  <c r="W29" i="132"/>
  <c r="W26" i="132"/>
  <c r="W37" i="132"/>
  <c r="W13" i="132"/>
  <c r="W25" i="132"/>
  <c r="W56" i="132"/>
  <c r="W52" i="132"/>
  <c r="W51" i="132"/>
  <c r="W28" i="132"/>
  <c r="W38" i="132"/>
  <c r="W59" i="132"/>
  <c r="W45" i="132"/>
  <c r="W32" i="132"/>
  <c r="W48" i="132"/>
  <c r="W31" i="132"/>
  <c r="W15" i="132"/>
  <c r="W19" i="132"/>
  <c r="W20" i="132"/>
  <c r="W44" i="132"/>
  <c r="W53" i="132"/>
  <c r="W46" i="132"/>
  <c r="W17" i="132"/>
  <c r="W49" i="132"/>
  <c r="W33" i="132"/>
  <c r="W30" i="132"/>
  <c r="W43" i="132"/>
  <c r="W40" i="132"/>
  <c r="W27" i="132"/>
  <c r="W50" i="132"/>
  <c r="W14" i="132"/>
  <c r="W16" i="132"/>
  <c r="W12" i="132"/>
  <c r="W57" i="132"/>
  <c r="W47" i="132"/>
  <c r="V41" i="26" a="1"/>
  <c r="V41" i="26" s="1"/>
  <c r="W11" i="132"/>
  <c r="V65" i="132" l="1"/>
  <c r="F13" i="62" s="1"/>
  <c r="F17" i="62" s="1"/>
  <c r="V65" i="67"/>
  <c r="D13" i="62" s="1"/>
  <c r="D15" i="62" s="1"/>
  <c r="A53" i="25" a="1"/>
  <c r="A53" i="25" s="1"/>
  <c r="B53" i="25" s="1"/>
  <c r="V23" i="26"/>
  <c r="E10" i="35" s="1"/>
  <c r="V43" i="26"/>
  <c r="G10" i="35" s="1"/>
  <c r="F15" i="62" l="1"/>
  <c r="F19" i="62" s="1"/>
  <c r="G12" i="35" s="1"/>
  <c r="D17" i="62"/>
  <c r="D19" i="62" s="1"/>
  <c r="E12" i="35" s="1"/>
  <c r="I6" i="35"/>
  <c r="E14" i="35" s="1"/>
  <c r="L6" i="35"/>
  <c r="G14" i="35" s="1"/>
  <c r="E22" i="35" l="1"/>
  <c r="G22"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<sst xmlns="http://schemas.openxmlformats.org/spreadsheetml/2006/main" count="25186" uniqueCount="7151">
  <si>
    <t>Utility Proxy Groups</t>
  </si>
  <si>
    <t>Proxy Company - Exchange</t>
  </si>
  <si>
    <t>Growth Rate Input Date</t>
  </si>
  <si>
    <t>NYSE</t>
  </si>
  <si>
    <t>AWK</t>
  </si>
  <si>
    <t>User Computer Title</t>
  </si>
  <si>
    <t>Recommended Common Equity Cost Rate</t>
  </si>
  <si>
    <t>DATA INPUTS</t>
  </si>
  <si>
    <t>Capital Structure</t>
  </si>
  <si>
    <t>Source:</t>
  </si>
  <si>
    <t>Debt %</t>
  </si>
  <si>
    <t>Company Provided</t>
  </si>
  <si>
    <t>Equity %</t>
  </si>
  <si>
    <t>Short-Term Debt %</t>
  </si>
  <si>
    <t>NA</t>
  </si>
  <si>
    <t>Debt Cost (%)</t>
  </si>
  <si>
    <t>Short-Term Debt Cost (%)</t>
  </si>
  <si>
    <t>Notes:</t>
  </si>
  <si>
    <t>SBBI Common Stocks Total Return (%)</t>
  </si>
  <si>
    <t>SBBI Long-Term Gov't Bonds Income (%)</t>
  </si>
  <si>
    <t>VL Appr Potential Week Ending:</t>
  </si>
  <si>
    <t>Blue Chip Update Date ("Month Day, Year")</t>
  </si>
  <si>
    <t>S&amp;P Utilties Index Companies</t>
  </si>
  <si>
    <t>Company Name</t>
  </si>
  <si>
    <t>Abbreviated</t>
  </si>
  <si>
    <t>AEE</t>
  </si>
  <si>
    <t>AEP</t>
  </si>
  <si>
    <t>AES</t>
  </si>
  <si>
    <t>Regulatory Jurisdiction</t>
  </si>
  <si>
    <t>ATO</t>
  </si>
  <si>
    <t>CEG</t>
  </si>
  <si>
    <t>Industry ("Natural Gas", "Water", "Electric")</t>
  </si>
  <si>
    <t>CMS</t>
  </si>
  <si>
    <t>CNP</t>
  </si>
  <si>
    <t>- If Data not available, input NA</t>
  </si>
  <si>
    <t>D</t>
  </si>
  <si>
    <t>Common Stock Shares Outstanding at Fiscal Year End</t>
  </si>
  <si>
    <t>DTE</t>
  </si>
  <si>
    <t>DUK</t>
  </si>
  <si>
    <t>ED</t>
  </si>
  <si>
    <t>Book Value per Share at Fiscal Year End</t>
  </si>
  <si>
    <t>EIX</t>
  </si>
  <si>
    <t>ES</t>
  </si>
  <si>
    <t>ETR</t>
  </si>
  <si>
    <t>EVRG</t>
  </si>
  <si>
    <t>EXC</t>
  </si>
  <si>
    <t>FE</t>
  </si>
  <si>
    <t xml:space="preserve">Closing Stock Market Price </t>
  </si>
  <si>
    <t>LNT</t>
  </si>
  <si>
    <t>NEE</t>
  </si>
  <si>
    <t>NI</t>
  </si>
  <si>
    <t>Date of Annual Report Filing ("'Month Day, Year")</t>
  </si>
  <si>
    <t>NRG</t>
  </si>
  <si>
    <t>December 31, 2023</t>
  </si>
  <si>
    <t>PCG</t>
  </si>
  <si>
    <t>PEG</t>
  </si>
  <si>
    <t>Business Risk Adjustment</t>
  </si>
  <si>
    <t>PNW</t>
  </si>
  <si>
    <t>PPL</t>
  </si>
  <si>
    <t>SO</t>
  </si>
  <si>
    <t>SRE</t>
  </si>
  <si>
    <t>WEC</t>
  </si>
  <si>
    <t>XEL</t>
  </si>
  <si>
    <t>Bond Index - Date</t>
  </si>
  <si>
    <t>MOODUA Index</t>
  </si>
  <si>
    <t>MOODUBAA Index</t>
  </si>
  <si>
    <t>MOODCAAA Index</t>
  </si>
  <si>
    <t>MOODCAA Index</t>
  </si>
  <si>
    <t>MOODCA Index</t>
  </si>
  <si>
    <t>MOODCBAA Index</t>
  </si>
  <si>
    <t>Historical Risk Premium Data</t>
  </si>
  <si>
    <t>EPS Growth Rates</t>
  </si>
  <si>
    <t>Beta</t>
  </si>
  <si>
    <t>Annual Div.</t>
  </si>
  <si>
    <t>Bond Ratings</t>
  </si>
  <si>
    <t>Ticker</t>
  </si>
  <si>
    <t>Zacks</t>
  </si>
  <si>
    <t>Value Line</t>
  </si>
  <si>
    <t>Cap IQ</t>
  </si>
  <si>
    <t>Bloomberg</t>
  </si>
  <si>
    <t>S&amp;P</t>
  </si>
  <si>
    <t>Moody's</t>
  </si>
  <si>
    <t>A+</t>
  </si>
  <si>
    <t>A2</t>
  </si>
  <si>
    <t>A</t>
  </si>
  <si>
    <t>A3</t>
  </si>
  <si>
    <t>NR</t>
  </si>
  <si>
    <t>A-</t>
  </si>
  <si>
    <t>Baa1</t>
  </si>
  <si>
    <t>Moody's Bond Rating</t>
  </si>
  <si>
    <t>Numerical Bond Weighting</t>
  </si>
  <si>
    <t>Standard &amp; Poor's Bond Rating</t>
  </si>
  <si>
    <t>Aaa</t>
  </si>
  <si>
    <t>AAA</t>
  </si>
  <si>
    <t>Aa1</t>
  </si>
  <si>
    <t>AA+</t>
  </si>
  <si>
    <t>Aa2</t>
  </si>
  <si>
    <t>AA</t>
  </si>
  <si>
    <t>Aa3</t>
  </si>
  <si>
    <t>AA-</t>
  </si>
  <si>
    <t>A1</t>
  </si>
  <si>
    <t>BBB+</t>
  </si>
  <si>
    <t>Baa2</t>
  </si>
  <si>
    <t>BBB</t>
  </si>
  <si>
    <t>Baa3</t>
  </si>
  <si>
    <t>BBB-</t>
  </si>
  <si>
    <t>Ba1</t>
  </si>
  <si>
    <t>BB+</t>
  </si>
  <si>
    <t>Ba2</t>
  </si>
  <si>
    <t>BB</t>
  </si>
  <si>
    <t>Ba3</t>
  </si>
  <si>
    <t>BB-</t>
  </si>
  <si>
    <t>B1</t>
  </si>
  <si>
    <t>B+</t>
  </si>
  <si>
    <t>B2</t>
  </si>
  <si>
    <t>B</t>
  </si>
  <si>
    <t>B3</t>
  </si>
  <si>
    <t>B-</t>
  </si>
  <si>
    <t>Tickers</t>
  </si>
  <si>
    <t>PX_LAST</t>
  </si>
  <si>
    <t>Date</t>
  </si>
  <si>
    <t>Average Price</t>
  </si>
  <si>
    <t>Indicated Dividend</t>
  </si>
  <si>
    <t>Indicated Dividend Yield</t>
  </si>
  <si>
    <t>S&amp;P 500</t>
  </si>
  <si>
    <t>Market Capitalization</t>
  </si>
  <si>
    <t>Dividend Yield</t>
  </si>
  <si>
    <t>DCF Result</t>
  </si>
  <si>
    <t>Weight in Index</t>
  </si>
  <si>
    <t>Weighted DCF</t>
  </si>
  <si>
    <t>AAPL</t>
  </si>
  <si>
    <t>ABBV</t>
  </si>
  <si>
    <t>ABNB</t>
  </si>
  <si>
    <t>Abbott Laboratories</t>
  </si>
  <si>
    <t>ABT</t>
  </si>
  <si>
    <t>ACGL</t>
  </si>
  <si>
    <t>ACN</t>
  </si>
  <si>
    <t>ADBE</t>
  </si>
  <si>
    <t>ADI</t>
  </si>
  <si>
    <t>ADM</t>
  </si>
  <si>
    <t>ADP</t>
  </si>
  <si>
    <t>ADSK</t>
  </si>
  <si>
    <t>AFL</t>
  </si>
  <si>
    <t>AIG</t>
  </si>
  <si>
    <t>AIZ</t>
  </si>
  <si>
    <t>AJG</t>
  </si>
  <si>
    <t>AKAM</t>
  </si>
  <si>
    <t>ALB</t>
  </si>
  <si>
    <t>ALGN</t>
  </si>
  <si>
    <t>ALL</t>
  </si>
  <si>
    <t>Allegion plc</t>
  </si>
  <si>
    <t>ALLE</t>
  </si>
  <si>
    <t>AMAT</t>
  </si>
  <si>
    <t>AMCR</t>
  </si>
  <si>
    <t>AMD</t>
  </si>
  <si>
    <t>AME</t>
  </si>
  <si>
    <t>AMGN</t>
  </si>
  <si>
    <t>AMP</t>
  </si>
  <si>
    <t>AMT</t>
  </si>
  <si>
    <t>AMZN</t>
  </si>
  <si>
    <t>ANET</t>
  </si>
  <si>
    <t>ANSS</t>
  </si>
  <si>
    <t>AON</t>
  </si>
  <si>
    <t>AOS</t>
  </si>
  <si>
    <t>APA</t>
  </si>
  <si>
    <t>APD</t>
  </si>
  <si>
    <t>APH</t>
  </si>
  <si>
    <t>Aptiv PLC</t>
  </si>
  <si>
    <t>APTV</t>
  </si>
  <si>
    <t>ARE</t>
  </si>
  <si>
    <t>AVB</t>
  </si>
  <si>
    <t>AVGO</t>
  </si>
  <si>
    <t>AVY</t>
  </si>
  <si>
    <t>AXON</t>
  </si>
  <si>
    <t>AXP</t>
  </si>
  <si>
    <t>AZO</t>
  </si>
  <si>
    <t>BA</t>
  </si>
  <si>
    <t>BAC</t>
  </si>
  <si>
    <t>BALL</t>
  </si>
  <si>
    <t>BAX</t>
  </si>
  <si>
    <t>BBY</t>
  </si>
  <si>
    <t>BDX</t>
  </si>
  <si>
    <t>BEN</t>
  </si>
  <si>
    <t>Franklin Resources Inc</t>
  </si>
  <si>
    <t>N/A</t>
  </si>
  <si>
    <t>BIIB</t>
  </si>
  <si>
    <t>BK</t>
  </si>
  <si>
    <t>BKNG</t>
  </si>
  <si>
    <t>BKR</t>
  </si>
  <si>
    <t>BLDR</t>
  </si>
  <si>
    <t>BLK</t>
  </si>
  <si>
    <t>BMY</t>
  </si>
  <si>
    <t>BR</t>
  </si>
  <si>
    <t>BRO</t>
  </si>
  <si>
    <t>BSX</t>
  </si>
  <si>
    <t>BWA</t>
  </si>
  <si>
    <t>BX</t>
  </si>
  <si>
    <t>BXP</t>
  </si>
  <si>
    <t>C</t>
  </si>
  <si>
    <t>CAG</t>
  </si>
  <si>
    <t>CAH</t>
  </si>
  <si>
    <t>CARR</t>
  </si>
  <si>
    <t>CAT</t>
  </si>
  <si>
    <t>CB</t>
  </si>
  <si>
    <t>CBOE</t>
  </si>
  <si>
    <t>CBRE</t>
  </si>
  <si>
    <t>CCI</t>
  </si>
  <si>
    <t>CCL</t>
  </si>
  <si>
    <t>CDNS</t>
  </si>
  <si>
    <t>CDW</t>
  </si>
  <si>
    <t>CE</t>
  </si>
  <si>
    <t>CF</t>
  </si>
  <si>
    <t>CFG</t>
  </si>
  <si>
    <t>CHD</t>
  </si>
  <si>
    <t>CHRW</t>
  </si>
  <si>
    <t>CHTR</t>
  </si>
  <si>
    <t>CI</t>
  </si>
  <si>
    <t>CINF</t>
  </si>
  <si>
    <t>CL</t>
  </si>
  <si>
    <t>CLX</t>
  </si>
  <si>
    <t>CMCSA</t>
  </si>
  <si>
    <t>CME</t>
  </si>
  <si>
    <t>CMG</t>
  </si>
  <si>
    <t>CMI</t>
  </si>
  <si>
    <t>CNC</t>
  </si>
  <si>
    <t>COF</t>
  </si>
  <si>
    <t>COO</t>
  </si>
  <si>
    <t>ConocoPhillips</t>
  </si>
  <si>
    <t>COP</t>
  </si>
  <si>
    <t>COR</t>
  </si>
  <si>
    <t>COST</t>
  </si>
  <si>
    <t>CPB</t>
  </si>
  <si>
    <t>CPRT</t>
  </si>
  <si>
    <t>Camden Property Trust</t>
  </si>
  <si>
    <t>CPT</t>
  </si>
  <si>
    <t>CRL</t>
  </si>
  <si>
    <t>CRM</t>
  </si>
  <si>
    <t>CSCO</t>
  </si>
  <si>
    <t>CSGP</t>
  </si>
  <si>
    <t>CSX</t>
  </si>
  <si>
    <t>CTAS</t>
  </si>
  <si>
    <t>CTRA</t>
  </si>
  <si>
    <t>CTSH</t>
  </si>
  <si>
    <t>CTVA</t>
  </si>
  <si>
    <t>CVS</t>
  </si>
  <si>
    <t>CVX</t>
  </si>
  <si>
    <t>CZR</t>
  </si>
  <si>
    <t>DAL</t>
  </si>
  <si>
    <t>DD</t>
  </si>
  <si>
    <t>DE</t>
  </si>
  <si>
    <t>Discover Financial Services</t>
  </si>
  <si>
    <t>DFS</t>
  </si>
  <si>
    <t>DG</t>
  </si>
  <si>
    <t>DGX</t>
  </si>
  <si>
    <t>DHI</t>
  </si>
  <si>
    <t>DHR</t>
  </si>
  <si>
    <t>DIS</t>
  </si>
  <si>
    <t>DLR</t>
  </si>
  <si>
    <t>DLTR</t>
  </si>
  <si>
    <t>DOV</t>
  </si>
  <si>
    <t>DOW</t>
  </si>
  <si>
    <t>DPZ</t>
  </si>
  <si>
    <t>DRI</t>
  </si>
  <si>
    <t>DVA</t>
  </si>
  <si>
    <t>DVN</t>
  </si>
  <si>
    <t>DXCM</t>
  </si>
  <si>
    <t>EA</t>
  </si>
  <si>
    <t>EBAY</t>
  </si>
  <si>
    <t>ECL</t>
  </si>
  <si>
    <t>EFX</t>
  </si>
  <si>
    <t>EG</t>
  </si>
  <si>
    <t>Edison International</t>
  </si>
  <si>
    <t>EL</t>
  </si>
  <si>
    <t>ELV</t>
  </si>
  <si>
    <t>EMN</t>
  </si>
  <si>
    <t>EMR</t>
  </si>
  <si>
    <t>ENPH</t>
  </si>
  <si>
    <t>EOG</t>
  </si>
  <si>
    <t>EPAM</t>
  </si>
  <si>
    <t>EQIX</t>
  </si>
  <si>
    <t>Equity Residential</t>
  </si>
  <si>
    <t>EQR</t>
  </si>
  <si>
    <t>EQT</t>
  </si>
  <si>
    <t>Eversource Energy</t>
  </si>
  <si>
    <t>ESS</t>
  </si>
  <si>
    <t>ETN</t>
  </si>
  <si>
    <t>EW</t>
  </si>
  <si>
    <t>EXPD</t>
  </si>
  <si>
    <t>EXPE</t>
  </si>
  <si>
    <t>EXR</t>
  </si>
  <si>
    <t>F</t>
  </si>
  <si>
    <t>FANG</t>
  </si>
  <si>
    <t>FAST</t>
  </si>
  <si>
    <t>FCX</t>
  </si>
  <si>
    <t>FDS</t>
  </si>
  <si>
    <t>FDX</t>
  </si>
  <si>
    <t>FFIV</t>
  </si>
  <si>
    <t>FI</t>
  </si>
  <si>
    <t>FICO</t>
  </si>
  <si>
    <t>FIS</t>
  </si>
  <si>
    <t>Fifth Third Bancorp</t>
  </si>
  <si>
    <t>FITB</t>
  </si>
  <si>
    <t>FMC</t>
  </si>
  <si>
    <t>FOXA</t>
  </si>
  <si>
    <t>Federal Realty Investment Trust</t>
  </si>
  <si>
    <t>FRT</t>
  </si>
  <si>
    <t>FSLR</t>
  </si>
  <si>
    <t>FTNT</t>
  </si>
  <si>
    <t>FTV</t>
  </si>
  <si>
    <t>GD</t>
  </si>
  <si>
    <t>GE</t>
  </si>
  <si>
    <t>GEHC</t>
  </si>
  <si>
    <t>GEN</t>
  </si>
  <si>
    <t>GILD</t>
  </si>
  <si>
    <t>GIS</t>
  </si>
  <si>
    <t>GL</t>
  </si>
  <si>
    <t>GLW</t>
  </si>
  <si>
    <t>GM</t>
  </si>
  <si>
    <t>GNRC</t>
  </si>
  <si>
    <t>GPC</t>
  </si>
  <si>
    <t>GPN</t>
  </si>
  <si>
    <t>GRMN</t>
  </si>
  <si>
    <t>GS</t>
  </si>
  <si>
    <t>GWW</t>
  </si>
  <si>
    <t>HAL</t>
  </si>
  <si>
    <t>HAS</t>
  </si>
  <si>
    <t>HBAN</t>
  </si>
  <si>
    <t>HCA</t>
  </si>
  <si>
    <t>HD</t>
  </si>
  <si>
    <t>HES</t>
  </si>
  <si>
    <t>HIG</t>
  </si>
  <si>
    <t>HII</t>
  </si>
  <si>
    <t>HLT</t>
  </si>
  <si>
    <t>HOLX</t>
  </si>
  <si>
    <t>HON</t>
  </si>
  <si>
    <t>HPE</t>
  </si>
  <si>
    <t>HPQ</t>
  </si>
  <si>
    <t>HRL</t>
  </si>
  <si>
    <t>HSIC</t>
  </si>
  <si>
    <t>HST</t>
  </si>
  <si>
    <t>HSY</t>
  </si>
  <si>
    <t>HUBB</t>
  </si>
  <si>
    <t>HUM</t>
  </si>
  <si>
    <t>HWM</t>
  </si>
  <si>
    <t>IBM</t>
  </si>
  <si>
    <t>ICE</t>
  </si>
  <si>
    <t>IDXX</t>
  </si>
  <si>
    <t>IEX</t>
  </si>
  <si>
    <t>IFF</t>
  </si>
  <si>
    <t>INCY</t>
  </si>
  <si>
    <t>INTC</t>
  </si>
  <si>
    <t>INTU</t>
  </si>
  <si>
    <t>INVH</t>
  </si>
  <si>
    <t>IP</t>
  </si>
  <si>
    <t>IPG</t>
  </si>
  <si>
    <t>IQV</t>
  </si>
  <si>
    <t>IR</t>
  </si>
  <si>
    <t>IRM</t>
  </si>
  <si>
    <t>ISRG</t>
  </si>
  <si>
    <t>IT</t>
  </si>
  <si>
    <t>ITW</t>
  </si>
  <si>
    <t>IVZ</t>
  </si>
  <si>
    <t>J</t>
  </si>
  <si>
    <t>JBHT</t>
  </si>
  <si>
    <t>JBL</t>
  </si>
  <si>
    <t>Johnson Controls International plc</t>
  </si>
  <si>
    <t>JCI</t>
  </si>
  <si>
    <t>JKHY</t>
  </si>
  <si>
    <t>Johnson &amp; Johnson</t>
  </si>
  <si>
    <t>JNJ</t>
  </si>
  <si>
    <t>JNPR</t>
  </si>
  <si>
    <t>JPM</t>
  </si>
  <si>
    <t>Kellanova</t>
  </si>
  <si>
    <t>K</t>
  </si>
  <si>
    <t>KDP</t>
  </si>
  <si>
    <t>KeyCorp</t>
  </si>
  <si>
    <t>KEY</t>
  </si>
  <si>
    <t>KEYS</t>
  </si>
  <si>
    <t>KHC</t>
  </si>
  <si>
    <t>KIM</t>
  </si>
  <si>
    <t>KLAC</t>
  </si>
  <si>
    <t>KMB</t>
  </si>
  <si>
    <t>KMI</t>
  </si>
  <si>
    <t>KMX</t>
  </si>
  <si>
    <t>KO</t>
  </si>
  <si>
    <t>KR</t>
  </si>
  <si>
    <t>KVUE</t>
  </si>
  <si>
    <t>L</t>
  </si>
  <si>
    <t>LDOS</t>
  </si>
  <si>
    <t>LEN</t>
  </si>
  <si>
    <t>LH</t>
  </si>
  <si>
    <t>LHX</t>
  </si>
  <si>
    <t>LIN</t>
  </si>
  <si>
    <t>LKQ</t>
  </si>
  <si>
    <t>LLY</t>
  </si>
  <si>
    <t>LMT</t>
  </si>
  <si>
    <t>LOW</t>
  </si>
  <si>
    <t>LRCX</t>
  </si>
  <si>
    <t>LULU</t>
  </si>
  <si>
    <t>LUV</t>
  </si>
  <si>
    <t>LVS</t>
  </si>
  <si>
    <t>LW</t>
  </si>
  <si>
    <t>LYB</t>
  </si>
  <si>
    <t>LYV</t>
  </si>
  <si>
    <t>MA</t>
  </si>
  <si>
    <t>MAA</t>
  </si>
  <si>
    <t>MAR</t>
  </si>
  <si>
    <t>MAS</t>
  </si>
  <si>
    <t>MCD</t>
  </si>
  <si>
    <t>MCHP</t>
  </si>
  <si>
    <t>MCK</t>
  </si>
  <si>
    <t>MCO</t>
  </si>
  <si>
    <t>MDLZ</t>
  </si>
  <si>
    <t>MDT</t>
  </si>
  <si>
    <t>MET</t>
  </si>
  <si>
    <t>META</t>
  </si>
  <si>
    <t>MGM Resorts International</t>
  </si>
  <si>
    <t>MGM</t>
  </si>
  <si>
    <t>MHK</t>
  </si>
  <si>
    <t>MKC</t>
  </si>
  <si>
    <t>MKTX</t>
  </si>
  <si>
    <t>MLM</t>
  </si>
  <si>
    <t>MMC</t>
  </si>
  <si>
    <t>MMM</t>
  </si>
  <si>
    <t>MNST</t>
  </si>
  <si>
    <t>MO</t>
  </si>
  <si>
    <t>MOH</t>
  </si>
  <si>
    <t>MOS</t>
  </si>
  <si>
    <t>MPC</t>
  </si>
  <si>
    <t>MPWR</t>
  </si>
  <si>
    <t>MRK</t>
  </si>
  <si>
    <t>MRNA</t>
  </si>
  <si>
    <t>Morgan Stanley</t>
  </si>
  <si>
    <t>MS</t>
  </si>
  <si>
    <t>MSCI</t>
  </si>
  <si>
    <t>MSFT</t>
  </si>
  <si>
    <t>MSI</t>
  </si>
  <si>
    <t>MTB</t>
  </si>
  <si>
    <t>MTCH</t>
  </si>
  <si>
    <t>MTD</t>
  </si>
  <si>
    <t>MU</t>
  </si>
  <si>
    <t>NCLH</t>
  </si>
  <si>
    <t>NDAQ</t>
  </si>
  <si>
    <t>NDSN</t>
  </si>
  <si>
    <t>NEM</t>
  </si>
  <si>
    <t>NFLX</t>
  </si>
  <si>
    <t>NKE</t>
  </si>
  <si>
    <t>NOC</t>
  </si>
  <si>
    <t>NOW</t>
  </si>
  <si>
    <t>NSC</t>
  </si>
  <si>
    <t>NTAP</t>
  </si>
  <si>
    <t>NTRS</t>
  </si>
  <si>
    <t>NUE</t>
  </si>
  <si>
    <t>NVDA</t>
  </si>
  <si>
    <t>NVR</t>
  </si>
  <si>
    <t>NWSA</t>
  </si>
  <si>
    <t>NXPI</t>
  </si>
  <si>
    <t>O</t>
  </si>
  <si>
    <t>ODFL</t>
  </si>
  <si>
    <t>OKE</t>
  </si>
  <si>
    <t>OMC</t>
  </si>
  <si>
    <t>ON</t>
  </si>
  <si>
    <t>ORCL</t>
  </si>
  <si>
    <t>ORLY</t>
  </si>
  <si>
    <t>OTIS</t>
  </si>
  <si>
    <t>OXY</t>
  </si>
  <si>
    <t>PANW</t>
  </si>
  <si>
    <t>Paramount Global</t>
  </si>
  <si>
    <t>PARA</t>
  </si>
  <si>
    <t>PAYC</t>
  </si>
  <si>
    <t>PAYX</t>
  </si>
  <si>
    <t>PACCAR Inc</t>
  </si>
  <si>
    <t>PCAR</t>
  </si>
  <si>
    <t>DOC</t>
  </si>
  <si>
    <t>PEP</t>
  </si>
  <si>
    <t>PFE</t>
  </si>
  <si>
    <t>PFG</t>
  </si>
  <si>
    <t>PG</t>
  </si>
  <si>
    <t>PGR</t>
  </si>
  <si>
    <t>PH</t>
  </si>
  <si>
    <t>PHM</t>
  </si>
  <si>
    <t>PKG</t>
  </si>
  <si>
    <t>PLD</t>
  </si>
  <si>
    <t>PM</t>
  </si>
  <si>
    <t>PNC</t>
  </si>
  <si>
    <t>PNR</t>
  </si>
  <si>
    <t>PODD</t>
  </si>
  <si>
    <t>POOL</t>
  </si>
  <si>
    <t>PPG</t>
  </si>
  <si>
    <t>PRU</t>
  </si>
  <si>
    <t>Public Storage</t>
  </si>
  <si>
    <t>PSA</t>
  </si>
  <si>
    <t>Phillips 66</t>
  </si>
  <si>
    <t>PSX</t>
  </si>
  <si>
    <t>PTC</t>
  </si>
  <si>
    <t>PWR</t>
  </si>
  <si>
    <t>PYPL</t>
  </si>
  <si>
    <t>QCOM</t>
  </si>
  <si>
    <t>RCL</t>
  </si>
  <si>
    <t>REG</t>
  </si>
  <si>
    <t>REGN</t>
  </si>
  <si>
    <t>RF</t>
  </si>
  <si>
    <t>RJF</t>
  </si>
  <si>
    <t>RL</t>
  </si>
  <si>
    <t>RMD</t>
  </si>
  <si>
    <t>ROK</t>
  </si>
  <si>
    <t>ROL</t>
  </si>
  <si>
    <t>ROP</t>
  </si>
  <si>
    <t>ROST</t>
  </si>
  <si>
    <t>RSG</t>
  </si>
  <si>
    <t>RTX</t>
  </si>
  <si>
    <t>RVTY</t>
  </si>
  <si>
    <t>SBAC</t>
  </si>
  <si>
    <t>SBUX</t>
  </si>
  <si>
    <t>SCHW</t>
  </si>
  <si>
    <t>SHW</t>
  </si>
  <si>
    <t>SJM</t>
  </si>
  <si>
    <t>SLB</t>
  </si>
  <si>
    <t>SNA</t>
  </si>
  <si>
    <t>SNPS</t>
  </si>
  <si>
    <t>SPG</t>
  </si>
  <si>
    <t>SPGI</t>
  </si>
  <si>
    <t>Sempra</t>
  </si>
  <si>
    <t>STE</t>
  </si>
  <si>
    <t>STLD</t>
  </si>
  <si>
    <t>STT</t>
  </si>
  <si>
    <t>STX</t>
  </si>
  <si>
    <t>STZ</t>
  </si>
  <si>
    <t>SWK</t>
  </si>
  <si>
    <t>SWKS</t>
  </si>
  <si>
    <t>Synchrony Financial</t>
  </si>
  <si>
    <t>SYF</t>
  </si>
  <si>
    <t>SYK</t>
  </si>
  <si>
    <t>SYY</t>
  </si>
  <si>
    <t>T</t>
  </si>
  <si>
    <t>TAP</t>
  </si>
  <si>
    <t>TDG</t>
  </si>
  <si>
    <t>TDY</t>
  </si>
  <si>
    <t>TECH</t>
  </si>
  <si>
    <t>TEL</t>
  </si>
  <si>
    <t>TER</t>
  </si>
  <si>
    <t>TFC</t>
  </si>
  <si>
    <t>TFX</t>
  </si>
  <si>
    <t>TGT</t>
  </si>
  <si>
    <t>TJX</t>
  </si>
  <si>
    <t>TMO</t>
  </si>
  <si>
    <t>TMUS</t>
  </si>
  <si>
    <t>TPR</t>
  </si>
  <si>
    <t>TRGP</t>
  </si>
  <si>
    <t>TRMB</t>
  </si>
  <si>
    <t>TROW</t>
  </si>
  <si>
    <t>TRV</t>
  </si>
  <si>
    <t>TSCO</t>
  </si>
  <si>
    <t>TSLA</t>
  </si>
  <si>
    <t>TSN</t>
  </si>
  <si>
    <t>TT</t>
  </si>
  <si>
    <t>TTWO</t>
  </si>
  <si>
    <t>TXN</t>
  </si>
  <si>
    <t>TXT</t>
  </si>
  <si>
    <t>TYL</t>
  </si>
  <si>
    <t>UAL</t>
  </si>
  <si>
    <t>UBER</t>
  </si>
  <si>
    <t>UDR</t>
  </si>
  <si>
    <t>UHS</t>
  </si>
  <si>
    <t>ULTA</t>
  </si>
  <si>
    <t>UNH</t>
  </si>
  <si>
    <t>UNP</t>
  </si>
  <si>
    <t>UPS</t>
  </si>
  <si>
    <t>URI</t>
  </si>
  <si>
    <t>USB</t>
  </si>
  <si>
    <t>V</t>
  </si>
  <si>
    <t>VICI</t>
  </si>
  <si>
    <t>VLO</t>
  </si>
  <si>
    <t>VLTO</t>
  </si>
  <si>
    <t>VMC</t>
  </si>
  <si>
    <t>VRSK</t>
  </si>
  <si>
    <t>VRSN</t>
  </si>
  <si>
    <t>VRTX</t>
  </si>
  <si>
    <t>VTR</t>
  </si>
  <si>
    <t>VTRS</t>
  </si>
  <si>
    <t>VZ</t>
  </si>
  <si>
    <t>WAB</t>
  </si>
  <si>
    <t>WAT</t>
  </si>
  <si>
    <t>WBA</t>
  </si>
  <si>
    <t>WBD</t>
  </si>
  <si>
    <t>WDC</t>
  </si>
  <si>
    <t>WELL</t>
  </si>
  <si>
    <t>WFC</t>
  </si>
  <si>
    <t>WM</t>
  </si>
  <si>
    <t>WMB</t>
  </si>
  <si>
    <t>WMT</t>
  </si>
  <si>
    <t>WRB</t>
  </si>
  <si>
    <t>WST</t>
  </si>
  <si>
    <t>WTW</t>
  </si>
  <si>
    <t>WY</t>
  </si>
  <si>
    <t>WYNN</t>
  </si>
  <si>
    <t>XOM</t>
  </si>
  <si>
    <t>XYL</t>
  </si>
  <si>
    <t>YUM</t>
  </si>
  <si>
    <t>ZBH</t>
  </si>
  <si>
    <t>ZBRA</t>
  </si>
  <si>
    <t>ZTS</t>
  </si>
  <si>
    <t>S&amp;P 500 Est. Required Market Return</t>
  </si>
  <si>
    <t>Bunge Global SA</t>
  </si>
  <si>
    <t>BG</t>
  </si>
  <si>
    <t>CPAY</t>
  </si>
  <si>
    <t>DECK</t>
  </si>
  <si>
    <t>SMCI</t>
  </si>
  <si>
    <t>SOLV</t>
  </si>
  <si>
    <t>Date:</t>
  </si>
  <si>
    <t>TICKER</t>
  </si>
  <si>
    <t>Company</t>
  </si>
  <si>
    <t>Long-Term Growth Est.</t>
  </si>
  <si>
    <t>Weighted
DCF Result</t>
  </si>
  <si>
    <t>Agilent Technologies Inc</t>
  </si>
  <si>
    <t>Apple Inc</t>
  </si>
  <si>
    <t>AbbVie Inc</t>
  </si>
  <si>
    <t>Airbnb Inc</t>
  </si>
  <si>
    <t>Arch Capital Group Ltd</t>
  </si>
  <si>
    <t>Accenture PLC</t>
  </si>
  <si>
    <t>Adobe Inc</t>
  </si>
  <si>
    <t>Analog Devices Inc</t>
  </si>
  <si>
    <t>Archer-Daniels-Midland Co</t>
  </si>
  <si>
    <t>Automatic Data Processing Inc</t>
  </si>
  <si>
    <t>Autodesk Inc</t>
  </si>
  <si>
    <t>Ameren Corp</t>
  </si>
  <si>
    <t>American Electric Power Co Inc</t>
  </si>
  <si>
    <t>AES Corp/The</t>
  </si>
  <si>
    <t>Aflac Inc</t>
  </si>
  <si>
    <t>American International Group Inc</t>
  </si>
  <si>
    <t>Assurant Inc</t>
  </si>
  <si>
    <t>Arthur J Gallagher &amp; Co</t>
  </si>
  <si>
    <t>Akamai Technologies Inc</t>
  </si>
  <si>
    <t>Albemarle Corp</t>
  </si>
  <si>
    <t>Align Technology Inc</t>
  </si>
  <si>
    <t>Allstate Corp/The</t>
  </si>
  <si>
    <t>Applied Materials Inc</t>
  </si>
  <si>
    <t>Amcor PLC</t>
  </si>
  <si>
    <t>Advanced Micro Devices Inc</t>
  </si>
  <si>
    <t>AMETEK Inc</t>
  </si>
  <si>
    <t>Amgen Inc</t>
  </si>
  <si>
    <t>Ameriprise Financial Inc</t>
  </si>
  <si>
    <t>American Tower Corp</t>
  </si>
  <si>
    <t>Amazon.com Inc</t>
  </si>
  <si>
    <t>Arista Networks Inc</t>
  </si>
  <si>
    <t>ANSYS Inc</t>
  </si>
  <si>
    <t>Aon PLC</t>
  </si>
  <si>
    <t>A O Smith Corp</t>
  </si>
  <si>
    <t>APA Corp</t>
  </si>
  <si>
    <t>Air Products and Chemicals Inc</t>
  </si>
  <si>
    <t>Amphenol Corp</t>
  </si>
  <si>
    <t>Alexandria Real Estate Equities Inc</t>
  </si>
  <si>
    <t>Atmos Energy Corp</t>
  </si>
  <si>
    <t>AvalonBay Communities Inc</t>
  </si>
  <si>
    <t>Broadcom Inc</t>
  </si>
  <si>
    <t>Avery Dennison Corp</t>
  </si>
  <si>
    <t>American Water Works Co Inc</t>
  </si>
  <si>
    <t>Axon Enterprise Inc</t>
  </si>
  <si>
    <t>American Express Co</t>
  </si>
  <si>
    <t>AutoZone Inc</t>
  </si>
  <si>
    <t>Boeing Co/The</t>
  </si>
  <si>
    <t>Bank of America Corp</t>
  </si>
  <si>
    <t>Ball Corp</t>
  </si>
  <si>
    <t>Baxter International Inc</t>
  </si>
  <si>
    <t>Best Buy Co Inc</t>
  </si>
  <si>
    <t>Becton Dickinson &amp; Co</t>
  </si>
  <si>
    <t>Brown-Forman Corp</t>
  </si>
  <si>
    <t>BF/B</t>
  </si>
  <si>
    <t>Biogen Inc</t>
  </si>
  <si>
    <t>Bank of New York Mellon Corp/The</t>
  </si>
  <si>
    <t>Booking Holdings Inc</t>
  </si>
  <si>
    <t>Baker Hughes Co</t>
  </si>
  <si>
    <t>Builders FirstSource Inc</t>
  </si>
  <si>
    <t>Bristol-Myers Squibb Co</t>
  </si>
  <si>
    <t>Broadridge Financial Solutions Inc</t>
  </si>
  <si>
    <t>Berkshire Hathaway Inc</t>
  </si>
  <si>
    <t>BRK/B</t>
  </si>
  <si>
    <t>Brown &amp; Brown Inc</t>
  </si>
  <si>
    <t>Boston Scientific Corp</t>
  </si>
  <si>
    <t>BorgWarner Inc</t>
  </si>
  <si>
    <t>Blackstone Inc</t>
  </si>
  <si>
    <t>Citigroup Inc</t>
  </si>
  <si>
    <t>Conagra Brands Inc</t>
  </si>
  <si>
    <t>Cardinal Health Inc</t>
  </si>
  <si>
    <t>Carrier Global Corp</t>
  </si>
  <si>
    <t>Caterpillar Inc</t>
  </si>
  <si>
    <t>Chubb Ltd</t>
  </si>
  <si>
    <t>Cboe Global Markets Inc</t>
  </si>
  <si>
    <t>CBRE Group Inc</t>
  </si>
  <si>
    <t>Crown Castle Inc</t>
  </si>
  <si>
    <t>Carnival Corp</t>
  </si>
  <si>
    <t>Cadence Design Systems Inc</t>
  </si>
  <si>
    <t>CDW Corp/DE</t>
  </si>
  <si>
    <t>Celanese Corp</t>
  </si>
  <si>
    <t>Constellation Energy Corp</t>
  </si>
  <si>
    <t>CF Industries Holdings Inc</t>
  </si>
  <si>
    <t>Citizens Financial Group Inc</t>
  </si>
  <si>
    <t>Church &amp; Dwight Co Inc</t>
  </si>
  <si>
    <t>CH Robinson Worldwide Inc</t>
  </si>
  <si>
    <t>Charter Communications Inc</t>
  </si>
  <si>
    <t>Cigna Group/The</t>
  </si>
  <si>
    <t>Cincinnati Financial Corp</t>
  </si>
  <si>
    <t>Colgate-Palmolive Co</t>
  </si>
  <si>
    <t>Clorox Co/The</t>
  </si>
  <si>
    <t>Comcast Corp</t>
  </si>
  <si>
    <t>CME Group Inc</t>
  </si>
  <si>
    <t>Chipotle Mexican Grill Inc</t>
  </si>
  <si>
    <t>Cummins Inc</t>
  </si>
  <si>
    <t>CMS Energy Corp</t>
  </si>
  <si>
    <t>Centene Corp</t>
  </si>
  <si>
    <t>CenterPoint Energy Inc</t>
  </si>
  <si>
    <t>Capital One Financial Corp</t>
  </si>
  <si>
    <t>Cooper Cos Inc/The</t>
  </si>
  <si>
    <t>Cencora Inc</t>
  </si>
  <si>
    <t>Costco Wholesale Corp</t>
  </si>
  <si>
    <t>Corpay Inc</t>
  </si>
  <si>
    <t>Copart Inc</t>
  </si>
  <si>
    <t>Charles River Laboratories International Inc</t>
  </si>
  <si>
    <t>Salesforce Inc</t>
  </si>
  <si>
    <t>Cisco Systems Inc</t>
  </si>
  <si>
    <t>CoStar Group Inc</t>
  </si>
  <si>
    <t>CSX Corp</t>
  </si>
  <si>
    <t>Cintas Corp</t>
  </si>
  <si>
    <t>Coterra Energy Inc</t>
  </si>
  <si>
    <t>Cognizant Technology Solutions Corp</t>
  </si>
  <si>
    <t>Corteva Inc</t>
  </si>
  <si>
    <t>CVS Health Corp</t>
  </si>
  <si>
    <t>Chevron Corp</t>
  </si>
  <si>
    <t>Caesars Entertainment Inc</t>
  </si>
  <si>
    <t>Dominion Energy Inc</t>
  </si>
  <si>
    <t>Delta Air Lines Inc</t>
  </si>
  <si>
    <t>Dayforce Inc</t>
  </si>
  <si>
    <t>DAY</t>
  </si>
  <si>
    <t>DuPont de Nemours Inc</t>
  </si>
  <si>
    <t>Deere &amp; Co</t>
  </si>
  <si>
    <t>Deckers Outdoor Corp</t>
  </si>
  <si>
    <t>Dollar General Corp</t>
  </si>
  <si>
    <t>Quest Diagnostics Inc</t>
  </si>
  <si>
    <t>DR Horton Inc</t>
  </si>
  <si>
    <t>Danaher Corp</t>
  </si>
  <si>
    <t>Walt Disney Co/The</t>
  </si>
  <si>
    <t>Digital Realty Trust Inc</t>
  </si>
  <si>
    <t>Dollar Tree Inc</t>
  </si>
  <si>
    <t>Healthpeak Properties Inc</t>
  </si>
  <si>
    <t>Dover Corp</t>
  </si>
  <si>
    <t>Dow Inc</t>
  </si>
  <si>
    <t>Domino's Pizza Inc</t>
  </si>
  <si>
    <t>Darden Restaurants Inc</t>
  </si>
  <si>
    <t>DTE Energy Co</t>
  </si>
  <si>
    <t>Duke Energy Corp</t>
  </si>
  <si>
    <t>DaVita Inc</t>
  </si>
  <si>
    <t>Devon Energy Corp</t>
  </si>
  <si>
    <t>Dexcom Inc</t>
  </si>
  <si>
    <t>Electronic Arts Inc</t>
  </si>
  <si>
    <t>eBay Inc</t>
  </si>
  <si>
    <t>Ecolab Inc</t>
  </si>
  <si>
    <t>Consolidated Edison Inc</t>
  </si>
  <si>
    <t>Equifax Inc</t>
  </si>
  <si>
    <t>Everest Group Ltd</t>
  </si>
  <si>
    <t>Estee Lauder Cos Inc/The</t>
  </si>
  <si>
    <t>Elevance Health Inc</t>
  </si>
  <si>
    <t>Eastman Chemical Co</t>
  </si>
  <si>
    <t>Emerson Electric Co</t>
  </si>
  <si>
    <t>Enphase Energy Inc</t>
  </si>
  <si>
    <t>EOG Resources Inc</t>
  </si>
  <si>
    <t>EPAM Systems Inc</t>
  </si>
  <si>
    <t>Equinix Inc</t>
  </si>
  <si>
    <t>EQT Corp</t>
  </si>
  <si>
    <t>Essex Property Trust Inc</t>
  </si>
  <si>
    <t>Eaton Corp PLC</t>
  </si>
  <si>
    <t>Entergy Corp</t>
  </si>
  <si>
    <t>Evergy Inc</t>
  </si>
  <si>
    <t>Edwards Lifesciences Corp</t>
  </si>
  <si>
    <t>Exelon Corp</t>
  </si>
  <si>
    <t>Expeditors International of Washington Inc</t>
  </si>
  <si>
    <t>Expedia Group Inc</t>
  </si>
  <si>
    <t>Extra Space Storage Inc</t>
  </si>
  <si>
    <t>Ford Motor Co</t>
  </si>
  <si>
    <t>Diamondback Energy Inc</t>
  </si>
  <si>
    <t>Fastenal Co</t>
  </si>
  <si>
    <t>Freeport-McMoRan Inc</t>
  </si>
  <si>
    <t>FactSet Research Systems Inc</t>
  </si>
  <si>
    <t>FedEx Corp</t>
  </si>
  <si>
    <t>FirstEnergy Corp</t>
  </si>
  <si>
    <t>F5 Inc</t>
  </si>
  <si>
    <t>Fiserv Inc</t>
  </si>
  <si>
    <t>Fair Isaac Corp</t>
  </si>
  <si>
    <t>Fidelity National Information Services Inc</t>
  </si>
  <si>
    <t>FMC Corp</t>
  </si>
  <si>
    <t>Fox Corp</t>
  </si>
  <si>
    <t>First Solar Inc</t>
  </si>
  <si>
    <t>Fortinet Inc</t>
  </si>
  <si>
    <t>Fortive Corp</t>
  </si>
  <si>
    <t>General Dynamics Corp</t>
  </si>
  <si>
    <t>General Electric Co</t>
  </si>
  <si>
    <t>GE HealthCare Technologies Inc</t>
  </si>
  <si>
    <t>Gen Digital Inc</t>
  </si>
  <si>
    <t>Gilead Sciences Inc</t>
  </si>
  <si>
    <t>General Mills Inc</t>
  </si>
  <si>
    <t>Globe Life Inc</t>
  </si>
  <si>
    <t>Corning Inc</t>
  </si>
  <si>
    <t>General Motors Co</t>
  </si>
  <si>
    <t>Generac Holdings Inc</t>
  </si>
  <si>
    <t>Alphabet Inc</t>
  </si>
  <si>
    <t>GOOG</t>
  </si>
  <si>
    <t>Genuine Parts Co</t>
  </si>
  <si>
    <t>Global Payments Inc</t>
  </si>
  <si>
    <t>Garmin Ltd</t>
  </si>
  <si>
    <t>Goldman Sachs Group Inc/The</t>
  </si>
  <si>
    <t>WW Grainger Inc</t>
  </si>
  <si>
    <t>Halliburton Co</t>
  </si>
  <si>
    <t>Hasbro Inc</t>
  </si>
  <si>
    <t>Huntington Bancshares Inc/OH</t>
  </si>
  <si>
    <t>HCA Healthcare Inc</t>
  </si>
  <si>
    <t>Home Depot Inc/The</t>
  </si>
  <si>
    <t>Hess Corp</t>
  </si>
  <si>
    <t>Hartford Financial Services Group Inc/The</t>
  </si>
  <si>
    <t>Huntington Ingalls Industries Inc</t>
  </si>
  <si>
    <t>Hilton Worldwide Holdings Inc</t>
  </si>
  <si>
    <t>Hologic Inc</t>
  </si>
  <si>
    <t>Honeywell International Inc</t>
  </si>
  <si>
    <t>Hewlett Packard Enterprise Co</t>
  </si>
  <si>
    <t>HP Inc</t>
  </si>
  <si>
    <t>Hormel Foods Corp</t>
  </si>
  <si>
    <t>Henry Schein Inc</t>
  </si>
  <si>
    <t>Host Hotels &amp; Resorts Inc</t>
  </si>
  <si>
    <t>Hershey Co/The</t>
  </si>
  <si>
    <t>Hubbell Inc</t>
  </si>
  <si>
    <t>Humana Inc</t>
  </si>
  <si>
    <t>Howmet Aerospace Inc</t>
  </si>
  <si>
    <t>International Business Machines Corp</t>
  </si>
  <si>
    <t>Intercontinental Exchange Inc</t>
  </si>
  <si>
    <t>IDEXX Laboratories Inc</t>
  </si>
  <si>
    <t>IDEX Corp</t>
  </si>
  <si>
    <t>International Flavors &amp; Fragrances Inc</t>
  </si>
  <si>
    <t>Incyte Corp</t>
  </si>
  <si>
    <t>Intel Corp</t>
  </si>
  <si>
    <t>Intuit Inc</t>
  </si>
  <si>
    <t>Invitation Homes Inc</t>
  </si>
  <si>
    <t>International Paper Co</t>
  </si>
  <si>
    <t>Interpublic Group of Cos Inc/The</t>
  </si>
  <si>
    <t>IQVIA Holdings Inc</t>
  </si>
  <si>
    <t>Ingersoll Rand Inc</t>
  </si>
  <si>
    <t>Iron Mountain Inc</t>
  </si>
  <si>
    <t>Intuitive Surgical Inc</t>
  </si>
  <si>
    <t>Gartner Inc</t>
  </si>
  <si>
    <t>Illinois Tool Works Inc</t>
  </si>
  <si>
    <t>Invesco Ltd</t>
  </si>
  <si>
    <t>Jacobs Solutions Inc</t>
  </si>
  <si>
    <t>JB Hunt Transport Services Inc</t>
  </si>
  <si>
    <t>Jabil Inc</t>
  </si>
  <si>
    <t>Jack Henry &amp; Associates Inc</t>
  </si>
  <si>
    <t>Juniper Networks Inc</t>
  </si>
  <si>
    <t>JPMorgan Chase &amp; Co</t>
  </si>
  <si>
    <t>Keurig Dr Pepper Inc</t>
  </si>
  <si>
    <t>Keysight Technologies Inc</t>
  </si>
  <si>
    <t>Kraft Heinz Co/The</t>
  </si>
  <si>
    <t>Kimco Realty Corp</t>
  </si>
  <si>
    <t>KLA Corp</t>
  </si>
  <si>
    <t>Kimberly-Clark Corp</t>
  </si>
  <si>
    <t>Kinder Morgan Inc</t>
  </si>
  <si>
    <t>CarMax Inc</t>
  </si>
  <si>
    <t>Coca-Cola Co/The</t>
  </si>
  <si>
    <t>Kroger Co/The</t>
  </si>
  <si>
    <t>Kenvue Inc</t>
  </si>
  <si>
    <t>Loews Corp</t>
  </si>
  <si>
    <t>Leidos Holdings Inc</t>
  </si>
  <si>
    <t>Lennar Corp</t>
  </si>
  <si>
    <t>L3Harris Technologies Inc</t>
  </si>
  <si>
    <t>Linde PLC</t>
  </si>
  <si>
    <t>LKQ Corp</t>
  </si>
  <si>
    <t>Eli Lilly &amp; Co</t>
  </si>
  <si>
    <t>Lockheed Martin Corp</t>
  </si>
  <si>
    <t>Alliant Energy Corp</t>
  </si>
  <si>
    <t>Lowe's Cos Inc</t>
  </si>
  <si>
    <t>Lam Research Corp</t>
  </si>
  <si>
    <t>Lululemon Athletica Inc</t>
  </si>
  <si>
    <t>Southwest Airlines Co</t>
  </si>
  <si>
    <t>Las Vegas Sands Corp</t>
  </si>
  <si>
    <t>Lamb Weston Holdings Inc</t>
  </si>
  <si>
    <t>LyondellBasell Industries NV</t>
  </si>
  <si>
    <t>Live Nation Entertainment Inc</t>
  </si>
  <si>
    <t>Mastercard Inc</t>
  </si>
  <si>
    <t>Mid-America Apartment Communities Inc</t>
  </si>
  <si>
    <t>Marriott International Inc/MD</t>
  </si>
  <si>
    <t>Masco Corp</t>
  </si>
  <si>
    <t>McDonald's Corp</t>
  </si>
  <si>
    <t>Microchip Technology Inc</t>
  </si>
  <si>
    <t>McKesson Corp</t>
  </si>
  <si>
    <t>Moody's Corp</t>
  </si>
  <si>
    <t>Mondelez International Inc</t>
  </si>
  <si>
    <t>Medtronic PLC</t>
  </si>
  <si>
    <t>MetLife Inc</t>
  </si>
  <si>
    <t>Meta Platforms Inc</t>
  </si>
  <si>
    <t>Mohawk Industries Inc</t>
  </si>
  <si>
    <t>McCormick &amp; Co Inc/MD</t>
  </si>
  <si>
    <t>MarketAxess Holdings Inc</t>
  </si>
  <si>
    <t>Martin Marietta Materials Inc</t>
  </si>
  <si>
    <t>Marsh &amp; McLennan Cos Inc</t>
  </si>
  <si>
    <t>3M Co</t>
  </si>
  <si>
    <t>Monster Beverage Corp</t>
  </si>
  <si>
    <t>Altria Group Inc</t>
  </si>
  <si>
    <t>Molina Healthcare Inc</t>
  </si>
  <si>
    <t>Mosaic Co/The</t>
  </si>
  <si>
    <t>Marathon Petroleum Corp</t>
  </si>
  <si>
    <t>Monolithic Power Systems Inc</t>
  </si>
  <si>
    <t>Merck &amp; Co Inc</t>
  </si>
  <si>
    <t>Moderna Inc</t>
  </si>
  <si>
    <t>MSCI Inc</t>
  </si>
  <si>
    <t>Microsoft Corp</t>
  </si>
  <si>
    <t>Motorola Solutions Inc</t>
  </si>
  <si>
    <t>M&amp;T Bank Corp</t>
  </si>
  <si>
    <t>Match Group Inc</t>
  </si>
  <si>
    <t>Mettler-Toledo International Inc</t>
  </si>
  <si>
    <t>Micron Technology Inc</t>
  </si>
  <si>
    <t>Norwegian Cruise Line Holdings Ltd</t>
  </si>
  <si>
    <t>Nasdaq Inc</t>
  </si>
  <si>
    <t>Nordson Corp</t>
  </si>
  <si>
    <t>NextEra Energy Inc</t>
  </si>
  <si>
    <t>Newmont Corp</t>
  </si>
  <si>
    <t>Netflix Inc</t>
  </si>
  <si>
    <t>NiSource Inc</t>
  </si>
  <si>
    <t>NIKE Inc</t>
  </si>
  <si>
    <t>Northrop Grumman Corp</t>
  </si>
  <si>
    <t>ServiceNow Inc</t>
  </si>
  <si>
    <t>NRG Energy Inc</t>
  </si>
  <si>
    <t>Norfolk Southern Corp</t>
  </si>
  <si>
    <t>NetApp Inc</t>
  </si>
  <si>
    <t>Northern Trust Corp</t>
  </si>
  <si>
    <t>Nucor Corp</t>
  </si>
  <si>
    <t>NVIDIA Corp</t>
  </si>
  <si>
    <t>NVR Inc</t>
  </si>
  <si>
    <t>News Corp</t>
  </si>
  <si>
    <t>NXP Semiconductors NV</t>
  </si>
  <si>
    <t>Realty Income Corp</t>
  </si>
  <si>
    <t>Old Dominion Freight Line Inc</t>
  </si>
  <si>
    <t>ONEOK Inc</t>
  </si>
  <si>
    <t>Omnicom Group Inc</t>
  </si>
  <si>
    <t>ON Semiconductor Corp</t>
  </si>
  <si>
    <t>Oracle Corp</t>
  </si>
  <si>
    <t>O'Reilly Automotive Inc</t>
  </si>
  <si>
    <t>Otis Worldwide Corp</t>
  </si>
  <si>
    <t>Occidental Petroleum Corp</t>
  </si>
  <si>
    <t>Palo Alto Networks Inc</t>
  </si>
  <si>
    <t>Paycom Software Inc</t>
  </si>
  <si>
    <t>Paychex Inc</t>
  </si>
  <si>
    <t>PG&amp;E Corp</t>
  </si>
  <si>
    <t>Public Service Enterprise Group Inc</t>
  </si>
  <si>
    <t>PepsiCo Inc</t>
  </si>
  <si>
    <t>Pfizer Inc</t>
  </si>
  <si>
    <t>Principal Financial Group Inc</t>
  </si>
  <si>
    <t>Procter &amp; Gamble Co/The</t>
  </si>
  <si>
    <t>Progressive Corp/The</t>
  </si>
  <si>
    <t>Parker-Hannifin Corp</t>
  </si>
  <si>
    <t>PulteGroup Inc</t>
  </si>
  <si>
    <t>Packaging Corp of America</t>
  </si>
  <si>
    <t>Prologis Inc</t>
  </si>
  <si>
    <t>Philip Morris International Inc</t>
  </si>
  <si>
    <t>PNC Financial Services Group Inc/The</t>
  </si>
  <si>
    <t>Pentair PLC</t>
  </si>
  <si>
    <t>Pinnacle West Capital Corp</t>
  </si>
  <si>
    <t>Insulet Corp</t>
  </si>
  <si>
    <t>Pool Corp</t>
  </si>
  <si>
    <t>PPG Industries Inc</t>
  </si>
  <si>
    <t>PPL Corp</t>
  </si>
  <si>
    <t>Prudential Financial Inc</t>
  </si>
  <si>
    <t>PTC Inc</t>
  </si>
  <si>
    <t>Quanta Services Inc</t>
  </si>
  <si>
    <t>PayPal Holdings Inc</t>
  </si>
  <si>
    <t>QUALCOMM Inc</t>
  </si>
  <si>
    <t>Royal Caribbean Cruises Ltd</t>
  </si>
  <si>
    <t>Regency Centers Corp</t>
  </si>
  <si>
    <t>Regeneron Pharmaceuticals Inc</t>
  </si>
  <si>
    <t>Regions Financial Corp</t>
  </si>
  <si>
    <t>Raymond James Financial Inc</t>
  </si>
  <si>
    <t>Ralph Lauren Corp</t>
  </si>
  <si>
    <t>ResMed Inc</t>
  </si>
  <si>
    <t>Rockwell Automation Inc</t>
  </si>
  <si>
    <t>Rollins Inc</t>
  </si>
  <si>
    <t>Roper Technologies Inc</t>
  </si>
  <si>
    <t>Ross Stores Inc</t>
  </si>
  <si>
    <t>Republic Services Inc</t>
  </si>
  <si>
    <t>RTX Corp</t>
  </si>
  <si>
    <t>Revvity Inc</t>
  </si>
  <si>
    <t>SBA Communications Corp</t>
  </si>
  <si>
    <t>Starbucks Corp</t>
  </si>
  <si>
    <t>Charles Schwab Corp/The</t>
  </si>
  <si>
    <t>Sherwin-Williams Co/The</t>
  </si>
  <si>
    <t>J M Smucker Co/The</t>
  </si>
  <si>
    <t>Schlumberger NV</t>
  </si>
  <si>
    <t>Super Micro Computer Inc</t>
  </si>
  <si>
    <t>Snap-on Inc</t>
  </si>
  <si>
    <t>Synopsys Inc</t>
  </si>
  <si>
    <t>Southern Co/The</t>
  </si>
  <si>
    <t>Solventum Corp</t>
  </si>
  <si>
    <t>Simon Property Group Inc</t>
  </si>
  <si>
    <t>S&amp;P Global Inc</t>
  </si>
  <si>
    <t>STERIS PLC</t>
  </si>
  <si>
    <t>Steel Dynamics Inc</t>
  </si>
  <si>
    <t>State Street Corp</t>
  </si>
  <si>
    <t>Seagate Technology Holdings PLC</t>
  </si>
  <si>
    <t>Constellation Brands Inc</t>
  </si>
  <si>
    <t>Stanley Black &amp; Decker Inc</t>
  </si>
  <si>
    <t>Skyworks Solutions Inc</t>
  </si>
  <si>
    <t>Stryker Corp</t>
  </si>
  <si>
    <t>Sysco Corp</t>
  </si>
  <si>
    <t>AT&amp;T Inc</t>
  </si>
  <si>
    <t>Molson Coors Beverage Co</t>
  </si>
  <si>
    <t>TransDigm Group Inc</t>
  </si>
  <si>
    <t>Teledyne Technologies Inc</t>
  </si>
  <si>
    <t>Bio-Techne Corp</t>
  </si>
  <si>
    <t>Teradyne Inc</t>
  </si>
  <si>
    <t>Truist Financial Corp</t>
  </si>
  <si>
    <t>Teleflex Inc</t>
  </si>
  <si>
    <t>Target Corp</t>
  </si>
  <si>
    <t>TJX Cos Inc/The</t>
  </si>
  <si>
    <t>Thermo Fisher Scientific Inc</t>
  </si>
  <si>
    <t>T-Mobile US Inc</t>
  </si>
  <si>
    <t>Tapestry Inc</t>
  </si>
  <si>
    <t>Targa Resources Corp</t>
  </si>
  <si>
    <t>Trimble Inc</t>
  </si>
  <si>
    <t>T Rowe Price Group Inc</t>
  </si>
  <si>
    <t>Travelers Cos Inc/The</t>
  </si>
  <si>
    <t>Tractor Supply Co</t>
  </si>
  <si>
    <t>Tesla Inc</t>
  </si>
  <si>
    <t>Tyson Foods Inc</t>
  </si>
  <si>
    <t>Trane Technologies PLC</t>
  </si>
  <si>
    <t>Take-Two Interactive Software Inc</t>
  </si>
  <si>
    <t>Texas Instruments Inc</t>
  </si>
  <si>
    <t>Textron Inc</t>
  </si>
  <si>
    <t>Tyler Technologies Inc</t>
  </si>
  <si>
    <t>United Airlines Holdings Inc</t>
  </si>
  <si>
    <t>Uber Technologies Inc</t>
  </si>
  <si>
    <t>UDR Inc</t>
  </si>
  <si>
    <t>Universal Health Services Inc</t>
  </si>
  <si>
    <t>Ulta Beauty Inc</t>
  </si>
  <si>
    <t>UnitedHealth Group Inc</t>
  </si>
  <si>
    <t>Union Pacific Corp</t>
  </si>
  <si>
    <t>United Parcel Service Inc</t>
  </si>
  <si>
    <t>United Rentals Inc</t>
  </si>
  <si>
    <t>US Bancorp</t>
  </si>
  <si>
    <t>Visa Inc</t>
  </si>
  <si>
    <t>VICI Properties Inc</t>
  </si>
  <si>
    <t>Valero Energy Corp</t>
  </si>
  <si>
    <t>Veralto Corp</t>
  </si>
  <si>
    <t>Vulcan Materials Co</t>
  </si>
  <si>
    <t>Verisk Analytics Inc</t>
  </si>
  <si>
    <t>VeriSign Inc</t>
  </si>
  <si>
    <t>Vertex Pharmaceuticals Inc</t>
  </si>
  <si>
    <t>Ventas Inc</t>
  </si>
  <si>
    <t>Viatris Inc</t>
  </si>
  <si>
    <t>Verizon Communications Inc</t>
  </si>
  <si>
    <t>Westinghouse Air Brake Technologies Corp</t>
  </si>
  <si>
    <t>Waters Corp</t>
  </si>
  <si>
    <t>Walgreens Boots Alliance Inc</t>
  </si>
  <si>
    <t>Warner Bros Discovery Inc</t>
  </si>
  <si>
    <t>Western Digital Corp</t>
  </si>
  <si>
    <t>WEC Energy Group Inc</t>
  </si>
  <si>
    <t>Welltower Inc</t>
  </si>
  <si>
    <t>Wells Fargo &amp; Co</t>
  </si>
  <si>
    <t>Waste Management Inc</t>
  </si>
  <si>
    <t>Williams Cos Inc/The</t>
  </si>
  <si>
    <t>Walmart Inc</t>
  </si>
  <si>
    <t>W R Berkley Corp</t>
  </si>
  <si>
    <t>West Pharmaceutical Services Inc</t>
  </si>
  <si>
    <t>Willis Towers Watson PLC</t>
  </si>
  <si>
    <t>Weyerhaeuser Co</t>
  </si>
  <si>
    <t>Wynn Resorts Ltd</t>
  </si>
  <si>
    <t>Xcel Energy Inc</t>
  </si>
  <si>
    <t>Exxon Mobil Corp</t>
  </si>
  <si>
    <t>Xylem Inc/NY</t>
  </si>
  <si>
    <t>Yum! Brands Inc</t>
  </si>
  <si>
    <t>Zimmer Biomet Holdings Inc</t>
  </si>
  <si>
    <t>Zebra Technologies Corp</t>
  </si>
  <si>
    <t>Zoetis Inc</t>
  </si>
  <si>
    <t>Average Growth Rate</t>
  </si>
  <si>
    <t>% Total Mkt Cap</t>
  </si>
  <si>
    <t>Est. Median Appreciation Potential 3 - 5 Yrs. Hence</t>
  </si>
  <si>
    <t xml:space="preserve">Est. Median Annual Appreciation Potential </t>
  </si>
  <si>
    <t>Date of Value Line Summary &amp; Index</t>
  </si>
  <si>
    <t>Est. Median Dividend Yield</t>
  </si>
  <si>
    <t>Est. Median Annual Total Return</t>
  </si>
  <si>
    <t>Average</t>
  </si>
  <si>
    <t>Blue Chip Financial Forecasts</t>
  </si>
  <si>
    <t>Consensus Forecast Yield for 30-year Treasury Bonds</t>
  </si>
  <si>
    <t>Aaa Bonds</t>
  </si>
  <si>
    <t>Baa Bonds</t>
  </si>
  <si>
    <t>First Quarter 2025</t>
  </si>
  <si>
    <t>Second Quarter 2025</t>
  </si>
  <si>
    <t>Third Quarter 2025</t>
  </si>
  <si>
    <t>%</t>
  </si>
  <si>
    <t xml:space="preserve"> </t>
  </si>
  <si>
    <t>Value Line Investment Survey</t>
  </si>
  <si>
    <t>Value Line Summary and Index</t>
  </si>
  <si>
    <t>Input Date:</t>
  </si>
  <si>
    <t>(ROE model)</t>
  </si>
  <si>
    <t>SUMMARY OUTPUT</t>
  </si>
  <si>
    <t>User:</t>
  </si>
  <si>
    <t>(CPU title)</t>
  </si>
  <si>
    <t>Regression Statistics</t>
  </si>
  <si>
    <t>Market Return</t>
  </si>
  <si>
    <t>S&amp;P Return</t>
  </si>
  <si>
    <t>Ibbot LT RF</t>
  </si>
  <si>
    <t>Aaa Corp</t>
  </si>
  <si>
    <t>Aa Corp</t>
  </si>
  <si>
    <t>Avg Aaa and Aa Corp</t>
  </si>
  <si>
    <t>A PU</t>
  </si>
  <si>
    <t>RPMKT</t>
  </si>
  <si>
    <t>RPAAAAA</t>
  </si>
  <si>
    <t>RPSPA</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</si>
  <si>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</si>
  <si>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</si>
  <si>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</si>
  <si>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</si>
  <si>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</si>
  <si>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</si>
  <si>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</si>
  <si>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</si>
  <si>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</si>
  <si>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</si>
  <si>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</si>
  <si>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</si>
  <si>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</si>
  <si>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</si>
  <si>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</si>
  <si>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</si>
  <si>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</si>
  <si>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</si>
  <si>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</si>
  <si>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Total</t>
  </si>
  <si>
    <t>Coefficients</t>
  </si>
  <si>
    <t>t Stat</t>
  </si>
  <si>
    <t>P-value</t>
  </si>
  <si>
    <t>Lower 95%</t>
  </si>
  <si>
    <t>Upper 95%</t>
  </si>
  <si>
    <t>Lower 95.0%</t>
  </si>
  <si>
    <t>Upper 95.0%</t>
  </si>
  <si>
    <t>Intercept</t>
  </si>
  <si>
    <t>X Variable 1</t>
  </si>
  <si>
    <t>Risk-Free Rate</t>
  </si>
  <si>
    <t>RP</t>
  </si>
  <si>
    <t>AAA Bond</t>
  </si>
  <si>
    <t>A PU Bond</t>
  </si>
  <si>
    <t>Source of Information:</t>
  </si>
  <si>
    <t>Line No.</t>
  </si>
  <si>
    <t>1.</t>
  </si>
  <si>
    <t>(1)</t>
  </si>
  <si>
    <t>(2)</t>
  </si>
  <si>
    <t>2.</t>
  </si>
  <si>
    <t>(3)</t>
  </si>
  <si>
    <t>3.</t>
  </si>
  <si>
    <t>Mean</t>
  </si>
  <si>
    <t>4.</t>
  </si>
  <si>
    <t>(4)</t>
  </si>
  <si>
    <t>5.</t>
  </si>
  <si>
    <t>(5)</t>
  </si>
  <si>
    <t>6.</t>
  </si>
  <si>
    <t>7.</t>
  </si>
  <si>
    <t>(6)</t>
  </si>
  <si>
    <t xml:space="preserve">Notes:  </t>
  </si>
  <si>
    <t>EBITDA</t>
  </si>
  <si>
    <t>Sources of Information:</t>
  </si>
  <si>
    <t>Indicated Common Equity Cost Rate Using the Discounted Cash Flow Model for the</t>
  </si>
  <si>
    <t>[1]</t>
  </si>
  <si>
    <t>[2]</t>
  </si>
  <si>
    <t>[3]</t>
  </si>
  <si>
    <t>[4]</t>
  </si>
  <si>
    <t>[5]</t>
  </si>
  <si>
    <t>[6]</t>
  </si>
  <si>
    <t>[7]</t>
  </si>
  <si>
    <t>[8]</t>
  </si>
  <si>
    <t>Average Dividend Yield (1)</t>
  </si>
  <si>
    <t>Value Line Projected Five Year Growth in EPS (2)</t>
  </si>
  <si>
    <t>Zack's Five Year Projected Growth Rate in EPS</t>
  </si>
  <si>
    <t>Average Projected Five Year Growth in EPS (3)</t>
  </si>
  <si>
    <t>Adjusted Dividend Yield (4)</t>
  </si>
  <si>
    <t>Indicated Common Equity Cost Rate (5)</t>
  </si>
  <si>
    <t>2x STDEV</t>
  </si>
  <si>
    <t>Average + 2 STDEV</t>
  </si>
  <si>
    <t>Average - 2 STDEV</t>
  </si>
  <si>
    <t>Median</t>
  </si>
  <si>
    <t>Average of Mean and Median</t>
  </si>
  <si>
    <t>NA= Not Available</t>
  </si>
  <si>
    <t>Results were excluded from the final average and median as they were more than two standard deviations from the proxy group's mean.</t>
  </si>
  <si>
    <t>Derivation of Mean Equity Risk Premium Based Studies</t>
  </si>
  <si>
    <t>Using Holding Period Returns and</t>
  </si>
  <si>
    <t>Projected Market Appreciation of the S&amp;P Utility Index</t>
  </si>
  <si>
    <t>Historical Equity Risk Premium (1)</t>
  </si>
  <si>
    <t>Derivation of Equity Risk Premium Based on the Total Market Approach</t>
  </si>
  <si>
    <t>Using the Beta for the</t>
  </si>
  <si>
    <t>Kroll Equity Risk Premium (1)</t>
  </si>
  <si>
    <t>Conclusion of Equity Risk Premium</t>
  </si>
  <si>
    <t>Forecasted Equity Risk Premium</t>
  </si>
  <si>
    <t>Industrial Manual and Mergent Bond Record Monthly Update.</t>
  </si>
  <si>
    <t>Bloomberg Professional Services</t>
  </si>
  <si>
    <t>Equity Risk Premium Measure</t>
  </si>
  <si>
    <t>Judgment of Equity Risk Premium for the</t>
  </si>
  <si>
    <t>Line
No.</t>
  </si>
  <si>
    <t xml:space="preserve">   the beta approach (1)</t>
  </si>
  <si>
    <t xml:space="preserve">Mean equity risk premium </t>
  </si>
  <si>
    <t>Average equity risk premium</t>
  </si>
  <si>
    <t>Numerical Assignment for</t>
  </si>
  <si>
    <t xml:space="preserve"> Moody's and Standard &amp; Poor's Bond Ratings</t>
  </si>
  <si>
    <t>Standard &amp; Poor's</t>
  </si>
  <si>
    <t>Long-Term Issuer Rating</t>
  </si>
  <si>
    <t>Long-Term Issuer
Rating</t>
  </si>
  <si>
    <t>Numerical
Weighting (1)</t>
  </si>
  <si>
    <t>A2/A3</t>
  </si>
  <si>
    <t>Source Information:</t>
  </si>
  <si>
    <t>Moody's Investors Service</t>
  </si>
  <si>
    <t>Standard &amp; Poor's Global Utilities Rating Service</t>
  </si>
  <si>
    <t xml:space="preserve">Interest Rates and Bond Spreads for </t>
  </si>
  <si>
    <t>Moody's Corporate and Public Utility Bonds</t>
  </si>
  <si>
    <t>Selected Bond Yields</t>
  </si>
  <si>
    <t>Aaa Rated Corporate Bond</t>
  </si>
  <si>
    <t>A2 Rated Public Utility Bond</t>
  </si>
  <si>
    <t>Baa2 Rated Public Utility Bond</t>
  </si>
  <si>
    <t>Selected Bond Spreads</t>
  </si>
  <si>
    <t>A2 Rated Public Utility Bonds Over Aaa Rated Corporate Bonds:</t>
  </si>
  <si>
    <t>% (1)</t>
  </si>
  <si>
    <t>Baa2 Rated Public Utility Bonds Over A2 Rated Public Utility Bonds:</t>
  </si>
  <si>
    <t>% (2)</t>
  </si>
  <si>
    <t>Column [3] - Column [2].</t>
  </si>
  <si>
    <t>Indicated Common Equity Cost Rate</t>
  </si>
  <si>
    <t>Through Use of a Risk Premium Model</t>
  </si>
  <si>
    <t>Using an Adjusted Total Market Approach</t>
  </si>
  <si>
    <t>Prospective Yield on Aaa Rated</t>
  </si>
  <si>
    <t xml:space="preserve">   Corporate Bonds (1)</t>
  </si>
  <si>
    <t>Adjustment to Reflect Yield Spread</t>
  </si>
  <si>
    <t xml:space="preserve">   Between Aaa Rated Corporate</t>
  </si>
  <si>
    <t xml:space="preserve">   Bonds and A2 Rated Public</t>
  </si>
  <si>
    <t xml:space="preserve">   Utility Bonds (2)</t>
  </si>
  <si>
    <t>Adjusted Prospective Yield on A2 Rated</t>
  </si>
  <si>
    <t xml:space="preserve">   Public Utility Bonds</t>
  </si>
  <si>
    <t>Adjustment to Reflect Bond</t>
  </si>
  <si>
    <t xml:space="preserve">     </t>
  </si>
  <si>
    <t xml:space="preserve">  Risk Premium Derived Common</t>
  </si>
  <si>
    <t xml:space="preserve">      Equity Cost Rate</t>
  </si>
  <si>
    <t>Long-Term Debt</t>
  </si>
  <si>
    <t>Common Equity</t>
  </si>
  <si>
    <t>Principal Methods</t>
  </si>
  <si>
    <t>Discounted Cash Flow Model (DCF) (1)</t>
  </si>
  <si>
    <t>Risk Premium Model (RPM) (2)</t>
  </si>
  <si>
    <t>Capital Asset Pricing Model (CAPM) (3)</t>
  </si>
  <si>
    <t>Indicated Common Equity Cost Rate before Adjustment for Unique Risk</t>
  </si>
  <si>
    <t>Indicated Common Equity Cost Rate after Adjustment</t>
  </si>
  <si>
    <t xml:space="preserve"> Notes:  </t>
  </si>
  <si>
    <t>(MILLIONS OF DOLLARS)</t>
  </si>
  <si>
    <t>CAPITALIZATION STATISTICS</t>
  </si>
  <si>
    <t>AMOUNT OF CAPITAL EMPLOYED</t>
  </si>
  <si>
    <t>Total Debt</t>
  </si>
  <si>
    <t>CAPITAL STRUCTURE RATIOS</t>
  </si>
  <si>
    <t>AFUDC</t>
  </si>
  <si>
    <t>RATE OF RETURN ON AVERAGE BOOK COMMON EQUITY</t>
  </si>
  <si>
    <t>TOTAL DEBT / EBITDA (3)</t>
  </si>
  <si>
    <t>x</t>
  </si>
  <si>
    <t>FUNDS FROM OPERATIONS / TOTAL DEBT (4)</t>
  </si>
  <si>
    <t>TOTAL DEBT / TOTAL CAPITAL</t>
  </si>
  <si>
    <t>NETOPGFC + CHGOPASLIAB - AFUDC</t>
  </si>
  <si>
    <t>Indicated Common Equity Cost Rate Through Use</t>
  </si>
  <si>
    <t>of the Traditional Capital Asset Pricing Model (CAPM) and Empirical Capital Asset Pricing Model (ECAPM)</t>
  </si>
  <si>
    <t>Value Line Adjusted Beta</t>
  </si>
  <si>
    <t>Bloomberg Adjusted Beta</t>
  </si>
  <si>
    <t>Average Beta</t>
  </si>
  <si>
    <t>Market Risk Premium (1)</t>
  </si>
  <si>
    <t>Risk-Free Rate (2)</t>
  </si>
  <si>
    <t>Traditional CAPM Cost Rate</t>
  </si>
  <si>
    <t>ECAPM Cost Rate</t>
  </si>
  <si>
    <t>Indicated Common Equity Cost Rate (3)</t>
  </si>
  <si>
    <t>Notes to Accompany the Application of the CAPM and ECAPM</t>
  </si>
  <si>
    <t>Arithmetic Mean Income Returns on Long-Term Government Bonds:</t>
  </si>
  <si>
    <t>MRP based on Kroll Historical Data:</t>
  </si>
  <si>
    <t>Measure 2: Application of a Regression Analysis to Kroll Historical Data</t>
  </si>
  <si>
    <t>Total projected return on the market 3-5 years hence*:</t>
  </si>
  <si>
    <t>MRP based on Value Line Summary &amp; Index:</t>
  </si>
  <si>
    <t>*Forcasted 3-5 year capital appreciation plus expected dividend yield</t>
  </si>
  <si>
    <t>Total return on the Market based on the S&amp;P 500:</t>
  </si>
  <si>
    <t>Average of Column 6 and Column 7.</t>
  </si>
  <si>
    <t>Average of all MRP Measures:</t>
  </si>
  <si>
    <t>S&amp;P Capital IQ</t>
  </si>
  <si>
    <t>Sempra Energy</t>
  </si>
  <si>
    <t>S&amp;P Global Market Intelligence</t>
  </si>
  <si>
    <t>CAPITALIZATION AND FINANCIAL STATISTICS  (1)</t>
  </si>
  <si>
    <t>Total Permanent Capital</t>
  </si>
  <si>
    <t>Short-Term Debt</t>
  </si>
  <si>
    <t>5 YEAR</t>
  </si>
  <si>
    <t>AVERAGE</t>
  </si>
  <si>
    <t xml:space="preserve"> Ticker </t>
  </si>
  <si>
    <t>Capital Structure:</t>
  </si>
  <si>
    <t xml:space="preserve">     Long Term Debt</t>
  </si>
  <si>
    <t>LTDEBT</t>
  </si>
  <si>
    <t xml:space="preserve">     Preferred Stock</t>
  </si>
  <si>
    <t>PFD</t>
  </si>
  <si>
    <t>Common Shares Outst.</t>
  </si>
  <si>
    <t>Input Data</t>
  </si>
  <si>
    <t>TOTEQ</t>
  </si>
  <si>
    <t>Sinking Fund Requirements</t>
  </si>
  <si>
    <t xml:space="preserve">     TOTAL PERMANENT CAPITAL</t>
  </si>
  <si>
    <t xml:space="preserve">     SHORT-TERM DEBT</t>
  </si>
  <si>
    <t>Short Term Debt</t>
  </si>
  <si>
    <t>STDEBT</t>
  </si>
  <si>
    <t xml:space="preserve">          TOTAL CAPITAL EMPLOYED</t>
  </si>
  <si>
    <t>EPS excluding extra</t>
  </si>
  <si>
    <t>EPSAPPCOMM</t>
  </si>
  <si>
    <t>INDICATED AVERAGE CAPITAL COST RATES  (2)</t>
  </si>
  <si>
    <t>Price - High</t>
  </si>
  <si>
    <t xml:space="preserve">     TOTAL DEBT </t>
  </si>
  <si>
    <t>Price - Low</t>
  </si>
  <si>
    <t xml:space="preserve">     PREFERRED STOCK</t>
  </si>
  <si>
    <t>DPS by payable date</t>
  </si>
  <si>
    <t xml:space="preserve">     BASED ON TOTAL PERMANENT CAPITAL:</t>
  </si>
  <si>
    <t xml:space="preserve">          LONG-TERM DEBT</t>
  </si>
  <si>
    <t xml:space="preserve">          PREFERRED STOCK</t>
  </si>
  <si>
    <t xml:space="preserve">          COMMON EQUITY</t>
  </si>
  <si>
    <t>Total Interest</t>
  </si>
  <si>
    <t>INTEXP</t>
  </si>
  <si>
    <t xml:space="preserve">               TOTAL</t>
  </si>
  <si>
    <t>Net Income before Extra.</t>
  </si>
  <si>
    <t>NETINC</t>
  </si>
  <si>
    <t xml:space="preserve">     BASED ON TOTAL CAPITAL:</t>
  </si>
  <si>
    <t xml:space="preserve">          TOTAL DEBT, INCLUDING SHORT-TERM</t>
  </si>
  <si>
    <t>CE Income before Extra.</t>
  </si>
  <si>
    <t>INCAVAILCOMM</t>
  </si>
  <si>
    <t>Preferred Stock Dividends</t>
  </si>
  <si>
    <t>PFDDIV</t>
  </si>
  <si>
    <t>Common Dividends</t>
  </si>
  <si>
    <t>COMDIVS1</t>
  </si>
  <si>
    <t>Income Bef Extra Items-S&amp;U</t>
  </si>
  <si>
    <t>INCBEFEXT</t>
  </si>
  <si>
    <t>FINANCIAL STATISTICS</t>
  </si>
  <si>
    <t>Net Operating Cash Flow</t>
  </si>
  <si>
    <t>NETOPGFC</t>
  </si>
  <si>
    <t>Change in op'g Assets + Liabilities</t>
  </si>
  <si>
    <t>CHGOPASLIAB</t>
  </si>
  <si>
    <t>FINANCIAL RATIOS - MARKET BASED</t>
  </si>
  <si>
    <t>Depreciation &amp; Amortization</t>
  </si>
  <si>
    <t>DEPAMORT</t>
  </si>
  <si>
    <t xml:space="preserve">     EARNINGS / PRICE RATIO</t>
  </si>
  <si>
    <t>Income Tax Expense</t>
  </si>
  <si>
    <t>INCTAX</t>
  </si>
  <si>
    <t xml:space="preserve">     MARKET / AVERAGE BOOK RATIO </t>
  </si>
  <si>
    <t xml:space="preserve">     DIVIDEND YIELD</t>
  </si>
  <si>
    <t>Calculations</t>
  </si>
  <si>
    <t xml:space="preserve">     DIVIDEND PAYOUT RATIO</t>
  </si>
  <si>
    <t>Com Eq / Shares Out.</t>
  </si>
  <si>
    <t>calc</t>
  </si>
  <si>
    <t>Total Capital</t>
  </si>
  <si>
    <t>Preferred Stk + Sink Fund Req.</t>
  </si>
  <si>
    <t>SEE PAGE 2 FOR NOTES.</t>
  </si>
  <si>
    <t>FYE: 12/31/2023</t>
  </si>
  <si>
    <t>S&amp;P Capital IQ Projected Five Year Growth in EPS</t>
  </si>
  <si>
    <t>Source: Kroll; Bloomberg Professional</t>
  </si>
  <si>
    <t>MRP based on Bloomberg, Value Line, and S&amp;P Capital IQ data</t>
  </si>
  <si>
    <t>Kroll 2023 SBBI® Yearbook</t>
  </si>
  <si>
    <t>Value Line Beta Calculation</t>
  </si>
  <si>
    <t>R Factor</t>
  </si>
  <si>
    <t>Std. Error</t>
  </si>
  <si>
    <t>Std. Dev Y</t>
  </si>
  <si>
    <t>Std. Dev Beta</t>
  </si>
  <si>
    <t>Unadjusted Beta</t>
  </si>
  <si>
    <t>Unadjusted</t>
  </si>
  <si>
    <t>Projected Rates</t>
  </si>
  <si>
    <t>CACI</t>
  </si>
  <si>
    <t>OSIS</t>
  </si>
  <si>
    <t>UNF</t>
  </si>
  <si>
    <t>MKTRP</t>
  </si>
  <si>
    <t>SPRP</t>
  </si>
  <si>
    <t>MKTAAAAA</t>
  </si>
  <si>
    <t>1926M01</t>
  </si>
  <si>
    <t>1926M02</t>
  </si>
  <si>
    <t>1926M03</t>
  </si>
  <si>
    <t>1926M04</t>
  </si>
  <si>
    <t>1926M05</t>
  </si>
  <si>
    <t>1926M06</t>
  </si>
  <si>
    <t>1926M07</t>
  </si>
  <si>
    <t>1926M08</t>
  </si>
  <si>
    <t>1926M09</t>
  </si>
  <si>
    <t>1926M10</t>
  </si>
  <si>
    <t>1926M11</t>
  </si>
  <si>
    <t>1926M12</t>
  </si>
  <si>
    <t>1927M01</t>
  </si>
  <si>
    <t>1927M02</t>
  </si>
  <si>
    <t>1927M03</t>
  </si>
  <si>
    <t>1927M04</t>
  </si>
  <si>
    <t>1927M05</t>
  </si>
  <si>
    <t>1927M06</t>
  </si>
  <si>
    <t>1927M07</t>
  </si>
  <si>
    <t>1927M08</t>
  </si>
  <si>
    <t>1927M09</t>
  </si>
  <si>
    <t>1927M10</t>
  </si>
  <si>
    <t>1927M11</t>
  </si>
  <si>
    <t>1927M12</t>
  </si>
  <si>
    <t>1928M01</t>
  </si>
  <si>
    <t>1928M02</t>
  </si>
  <si>
    <t>1928M03</t>
  </si>
  <si>
    <t>1928M04</t>
  </si>
  <si>
    <t>1928M05</t>
  </si>
  <si>
    <t>1928M06</t>
  </si>
  <si>
    <t>1928M07</t>
  </si>
  <si>
    <t>1928M08</t>
  </si>
  <si>
    <t>1928M09</t>
  </si>
  <si>
    <t>1928M10</t>
  </si>
  <si>
    <t>1928M11</t>
  </si>
  <si>
    <t>1928M12</t>
  </si>
  <si>
    <t>1929M01</t>
  </si>
  <si>
    <t>1929M02</t>
  </si>
  <si>
    <t>1929M03</t>
  </si>
  <si>
    <t>1929M04</t>
  </si>
  <si>
    <t>1929M05</t>
  </si>
  <si>
    <t>1929M06</t>
  </si>
  <si>
    <t>1929M07</t>
  </si>
  <si>
    <t>1929M08</t>
  </si>
  <si>
    <t>1929M09</t>
  </si>
  <si>
    <t>1929M10</t>
  </si>
  <si>
    <t>1929M11</t>
  </si>
  <si>
    <t>1929M12</t>
  </si>
  <si>
    <t>1930M01</t>
  </si>
  <si>
    <t>1930M02</t>
  </si>
  <si>
    <t>1930M03</t>
  </si>
  <si>
    <t>1930M04</t>
  </si>
  <si>
    <t>1930M05</t>
  </si>
  <si>
    <t>1930M06</t>
  </si>
  <si>
    <t>1930M07</t>
  </si>
  <si>
    <t>1930M08</t>
  </si>
  <si>
    <t>1930M09</t>
  </si>
  <si>
    <t>1930M10</t>
  </si>
  <si>
    <t>1930M11</t>
  </si>
  <si>
    <t>1930M12</t>
  </si>
  <si>
    <t>1931M01</t>
  </si>
  <si>
    <t>1931M02</t>
  </si>
  <si>
    <t>1931M03</t>
  </si>
  <si>
    <t>1931M04</t>
  </si>
  <si>
    <t>1931M05</t>
  </si>
  <si>
    <t>1931M06</t>
  </si>
  <si>
    <t>1931M07</t>
  </si>
  <si>
    <t>1931M08</t>
  </si>
  <si>
    <t>1931M09</t>
  </si>
  <si>
    <t>1931M10</t>
  </si>
  <si>
    <t>1931M11</t>
  </si>
  <si>
    <t>1931M12</t>
  </si>
  <si>
    <t>1932M01</t>
  </si>
  <si>
    <t>1932M02</t>
  </si>
  <si>
    <t>1932M03</t>
  </si>
  <si>
    <t>1932M04</t>
  </si>
  <si>
    <t>1932M05</t>
  </si>
  <si>
    <t>1932M06</t>
  </si>
  <si>
    <t>1932M07</t>
  </si>
  <si>
    <t>1932M08</t>
  </si>
  <si>
    <t>1932M09</t>
  </si>
  <si>
    <t>1932M10</t>
  </si>
  <si>
    <t>1932M11</t>
  </si>
  <si>
    <t>1932M12</t>
  </si>
  <si>
    <t>1933M01</t>
  </si>
  <si>
    <t>1933M02</t>
  </si>
  <si>
    <t>1933M03</t>
  </si>
  <si>
    <t>1933M04</t>
  </si>
  <si>
    <t>1933M05</t>
  </si>
  <si>
    <t>1933M06</t>
  </si>
  <si>
    <t>1933M07</t>
  </si>
  <si>
    <t>1933M08</t>
  </si>
  <si>
    <t>1933M09</t>
  </si>
  <si>
    <t>1933M10</t>
  </si>
  <si>
    <t>1933M11</t>
  </si>
  <si>
    <t>1933M12</t>
  </si>
  <si>
    <t>1934M01</t>
  </si>
  <si>
    <t>1934M02</t>
  </si>
  <si>
    <t>1934M03</t>
  </si>
  <si>
    <t>1934M04</t>
  </si>
  <si>
    <t>1934M05</t>
  </si>
  <si>
    <t>1934M06</t>
  </si>
  <si>
    <t>1934M07</t>
  </si>
  <si>
    <t>1934M08</t>
  </si>
  <si>
    <t>1934M09</t>
  </si>
  <si>
    <t>1934M10</t>
  </si>
  <si>
    <t>1934M11</t>
  </si>
  <si>
    <t>1934M12</t>
  </si>
  <si>
    <t>1935M01</t>
  </si>
  <si>
    <t>1935M02</t>
  </si>
  <si>
    <t>1935M03</t>
  </si>
  <si>
    <t>1935M04</t>
  </si>
  <si>
    <t>1935M05</t>
  </si>
  <si>
    <t>1935M06</t>
  </si>
  <si>
    <t>1935M07</t>
  </si>
  <si>
    <t>1935M08</t>
  </si>
  <si>
    <t>1935M09</t>
  </si>
  <si>
    <t>1935M10</t>
  </si>
  <si>
    <t>1935M11</t>
  </si>
  <si>
    <t>1935M12</t>
  </si>
  <si>
    <t>1936M01</t>
  </si>
  <si>
    <t>1936M02</t>
  </si>
  <si>
    <t>1936M03</t>
  </si>
  <si>
    <t>1936M04</t>
  </si>
  <si>
    <t>1936M05</t>
  </si>
  <si>
    <t>1936M06</t>
  </si>
  <si>
    <t>1936M07</t>
  </si>
  <si>
    <t>1936M08</t>
  </si>
  <si>
    <t>1936M09</t>
  </si>
  <si>
    <t>1936M10</t>
  </si>
  <si>
    <t>1936M11</t>
  </si>
  <si>
    <t>1936M12</t>
  </si>
  <si>
    <t>1937M01</t>
  </si>
  <si>
    <t>1937M02</t>
  </si>
  <si>
    <t>1937M03</t>
  </si>
  <si>
    <t>1937M04</t>
  </si>
  <si>
    <t>1937M05</t>
  </si>
  <si>
    <t>1937M06</t>
  </si>
  <si>
    <t>1937M07</t>
  </si>
  <si>
    <t>1937M08</t>
  </si>
  <si>
    <t>1937M09</t>
  </si>
  <si>
    <t>1937M10</t>
  </si>
  <si>
    <t>1937M11</t>
  </si>
  <si>
    <t>1937M12</t>
  </si>
  <si>
    <t>1938M01</t>
  </si>
  <si>
    <t>1938M02</t>
  </si>
  <si>
    <t>1938M03</t>
  </si>
  <si>
    <t>1938M04</t>
  </si>
  <si>
    <t>1938M05</t>
  </si>
  <si>
    <t>1938M06</t>
  </si>
  <si>
    <t>1938M07</t>
  </si>
  <si>
    <t>1938M08</t>
  </si>
  <si>
    <t>1938M09</t>
  </si>
  <si>
    <t>1938M10</t>
  </si>
  <si>
    <t>1938M11</t>
  </si>
  <si>
    <t>1938M12</t>
  </si>
  <si>
    <t>1939M01</t>
  </si>
  <si>
    <t>1939M02</t>
  </si>
  <si>
    <t>1939M03</t>
  </si>
  <si>
    <t>1939M04</t>
  </si>
  <si>
    <t>1939M05</t>
  </si>
  <si>
    <t>1939M06</t>
  </si>
  <si>
    <t>1939M07</t>
  </si>
  <si>
    <t>1939M08</t>
  </si>
  <si>
    <t>1939M09</t>
  </si>
  <si>
    <t>1939M10</t>
  </si>
  <si>
    <t>1939M11</t>
  </si>
  <si>
    <t>1939M12</t>
  </si>
  <si>
    <t>1940M01</t>
  </si>
  <si>
    <t>1940M02</t>
  </si>
  <si>
    <t>1940M03</t>
  </si>
  <si>
    <t>1940M04</t>
  </si>
  <si>
    <t>1940M05</t>
  </si>
  <si>
    <t>1940M06</t>
  </si>
  <si>
    <t>1940M07</t>
  </si>
  <si>
    <t>1940M08</t>
  </si>
  <si>
    <t>1940M09</t>
  </si>
  <si>
    <t>1940M10</t>
  </si>
  <si>
    <t>1940M11</t>
  </si>
  <si>
    <t>1940M12</t>
  </si>
  <si>
    <t>1941M01</t>
  </si>
  <si>
    <t>1941M02</t>
  </si>
  <si>
    <t>1941M03</t>
  </si>
  <si>
    <t>1941M04</t>
  </si>
  <si>
    <t>1941M05</t>
  </si>
  <si>
    <t>1941M06</t>
  </si>
  <si>
    <t>1941M07</t>
  </si>
  <si>
    <t>1941M08</t>
  </si>
  <si>
    <t>1941M09</t>
  </si>
  <si>
    <t>1941M10</t>
  </si>
  <si>
    <t>1941M11</t>
  </si>
  <si>
    <t>1941M12</t>
  </si>
  <si>
    <t>1942M01</t>
  </si>
  <si>
    <t>1942M02</t>
  </si>
  <si>
    <t>1942M03</t>
  </si>
  <si>
    <t>1942M04</t>
  </si>
  <si>
    <t>1942M05</t>
  </si>
  <si>
    <t>1942M06</t>
  </si>
  <si>
    <t>1942M07</t>
  </si>
  <si>
    <t>1942M08</t>
  </si>
  <si>
    <t>1942M09</t>
  </si>
  <si>
    <t>1942M10</t>
  </si>
  <si>
    <t>1942M11</t>
  </si>
  <si>
    <t>1942M12</t>
  </si>
  <si>
    <t>1943M01</t>
  </si>
  <si>
    <t>1943M02</t>
  </si>
  <si>
    <t>1943M03</t>
  </si>
  <si>
    <t>1943M04</t>
  </si>
  <si>
    <t>1943M05</t>
  </si>
  <si>
    <t>1943M06</t>
  </si>
  <si>
    <t>1943M07</t>
  </si>
  <si>
    <t>1943M08</t>
  </si>
  <si>
    <t>1943M09</t>
  </si>
  <si>
    <t>1943M10</t>
  </si>
  <si>
    <t>1943M11</t>
  </si>
  <si>
    <t>1943M12</t>
  </si>
  <si>
    <t>1944M01</t>
  </si>
  <si>
    <t>1944M02</t>
  </si>
  <si>
    <t>1944M03</t>
  </si>
  <si>
    <t>1944M04</t>
  </si>
  <si>
    <t>1944M05</t>
  </si>
  <si>
    <t>1944M06</t>
  </si>
  <si>
    <t>1944M07</t>
  </si>
  <si>
    <t>1944M08</t>
  </si>
  <si>
    <t>1944M09</t>
  </si>
  <si>
    <t>1944M10</t>
  </si>
  <si>
    <t>1944M11</t>
  </si>
  <si>
    <t>1944M12</t>
  </si>
  <si>
    <t>1945M01</t>
  </si>
  <si>
    <t>1945M02</t>
  </si>
  <si>
    <t>1945M03</t>
  </si>
  <si>
    <t>1945M04</t>
  </si>
  <si>
    <t>1945M05</t>
  </si>
  <si>
    <t>1945M06</t>
  </si>
  <si>
    <t>1945M07</t>
  </si>
  <si>
    <t>1945M08</t>
  </si>
  <si>
    <t>1945M09</t>
  </si>
  <si>
    <t>1945M10</t>
  </si>
  <si>
    <t>1945M11</t>
  </si>
  <si>
    <t>1945M12</t>
  </si>
  <si>
    <t>1946M01</t>
  </si>
  <si>
    <t>1946M02</t>
  </si>
  <si>
    <t>1946M03</t>
  </si>
  <si>
    <t>1946M04</t>
  </si>
  <si>
    <t>1946M05</t>
  </si>
  <si>
    <t>1946M06</t>
  </si>
  <si>
    <t>1946M07</t>
  </si>
  <si>
    <t>1946M08</t>
  </si>
  <si>
    <t>1946M09</t>
  </si>
  <si>
    <t>1946M10</t>
  </si>
  <si>
    <t>1946M11</t>
  </si>
  <si>
    <t>1946M12</t>
  </si>
  <si>
    <t>1947M01</t>
  </si>
  <si>
    <t>1947M02</t>
  </si>
  <si>
    <t>1947M03</t>
  </si>
  <si>
    <t>1947M04</t>
  </si>
  <si>
    <t>1947M05</t>
  </si>
  <si>
    <t>1947M06</t>
  </si>
  <si>
    <t>1947M07</t>
  </si>
  <si>
    <t>1947M08</t>
  </si>
  <si>
    <t>1947M09</t>
  </si>
  <si>
    <t>1947M10</t>
  </si>
  <si>
    <t>1947M11</t>
  </si>
  <si>
    <t>1947M12</t>
  </si>
  <si>
    <t>1948M01</t>
  </si>
  <si>
    <t>1948M02</t>
  </si>
  <si>
    <t>1948M03</t>
  </si>
  <si>
    <t>1948M04</t>
  </si>
  <si>
    <t>1948M05</t>
  </si>
  <si>
    <t>1948M06</t>
  </si>
  <si>
    <t>1948M07</t>
  </si>
  <si>
    <t>1948M08</t>
  </si>
  <si>
    <t>1948M09</t>
  </si>
  <si>
    <t>1948M10</t>
  </si>
  <si>
    <t>1948M11</t>
  </si>
  <si>
    <t>1948M12</t>
  </si>
  <si>
    <t>1949M01</t>
  </si>
  <si>
    <t>1949M02</t>
  </si>
  <si>
    <t>1949M03</t>
  </si>
  <si>
    <t>1949M04</t>
  </si>
  <si>
    <t>1949M05</t>
  </si>
  <si>
    <t>1949M06</t>
  </si>
  <si>
    <t>1949M07</t>
  </si>
  <si>
    <t>1949M08</t>
  </si>
  <si>
    <t>1949M09</t>
  </si>
  <si>
    <t>1949M10</t>
  </si>
  <si>
    <t>1949M11</t>
  </si>
  <si>
    <t>1949M12</t>
  </si>
  <si>
    <t>1950M01</t>
  </si>
  <si>
    <t>1950M02</t>
  </si>
  <si>
    <t>1950M03</t>
  </si>
  <si>
    <t>1950M04</t>
  </si>
  <si>
    <t>1950M05</t>
  </si>
  <si>
    <t>1950M06</t>
  </si>
  <si>
    <t>1950M07</t>
  </si>
  <si>
    <t>1950M08</t>
  </si>
  <si>
    <t>1950M09</t>
  </si>
  <si>
    <t>1950M10</t>
  </si>
  <si>
    <t>1950M11</t>
  </si>
  <si>
    <t>1950M12</t>
  </si>
  <si>
    <t>1951M01</t>
  </si>
  <si>
    <t>1951M02</t>
  </si>
  <si>
    <t>1951M03</t>
  </si>
  <si>
    <t>1951M04</t>
  </si>
  <si>
    <t>1951M05</t>
  </si>
  <si>
    <t>1951M06</t>
  </si>
  <si>
    <t>1951M07</t>
  </si>
  <si>
    <t>1951M08</t>
  </si>
  <si>
    <t>1951M09</t>
  </si>
  <si>
    <t>1951M10</t>
  </si>
  <si>
    <t>1951M11</t>
  </si>
  <si>
    <t>1951M12</t>
  </si>
  <si>
    <t>1952M01</t>
  </si>
  <si>
    <t>1952M02</t>
  </si>
  <si>
    <t>1952M03</t>
  </si>
  <si>
    <t>1952M04</t>
  </si>
  <si>
    <t>1952M05</t>
  </si>
  <si>
    <t>1952M06</t>
  </si>
  <si>
    <t>1952M07</t>
  </si>
  <si>
    <t>1952M08</t>
  </si>
  <si>
    <t>1952M09</t>
  </si>
  <si>
    <t>1952M10</t>
  </si>
  <si>
    <t>1952M11</t>
  </si>
  <si>
    <t>1952M12</t>
  </si>
  <si>
    <t>1953M01</t>
  </si>
  <si>
    <t>1953M02</t>
  </si>
  <si>
    <t>1953M03</t>
  </si>
  <si>
    <t>1953M04</t>
  </si>
  <si>
    <t>1953M05</t>
  </si>
  <si>
    <t>1953M06</t>
  </si>
  <si>
    <t>1953M07</t>
  </si>
  <si>
    <t>1953M08</t>
  </si>
  <si>
    <t>1953M09</t>
  </si>
  <si>
    <t>1953M10</t>
  </si>
  <si>
    <t>1953M11</t>
  </si>
  <si>
    <t>1953M12</t>
  </si>
  <si>
    <t>1954M01</t>
  </si>
  <si>
    <t>1954M02</t>
  </si>
  <si>
    <t>1954M03</t>
  </si>
  <si>
    <t>1954M04</t>
  </si>
  <si>
    <t>1954M05</t>
  </si>
  <si>
    <t>1954M06</t>
  </si>
  <si>
    <t>1954M07</t>
  </si>
  <si>
    <t>1954M08</t>
  </si>
  <si>
    <t>1954M09</t>
  </si>
  <si>
    <t>1954M10</t>
  </si>
  <si>
    <t>1954M11</t>
  </si>
  <si>
    <t>1954M12</t>
  </si>
  <si>
    <t>1955M01</t>
  </si>
  <si>
    <t>1955M02</t>
  </si>
  <si>
    <t>1955M03</t>
  </si>
  <si>
    <t>1955M04</t>
  </si>
  <si>
    <t>1955M05</t>
  </si>
  <si>
    <t>1955M06</t>
  </si>
  <si>
    <t>1955M07</t>
  </si>
  <si>
    <t>1955M08</t>
  </si>
  <si>
    <t>1955M09</t>
  </si>
  <si>
    <t>1955M10</t>
  </si>
  <si>
    <t>1955M11</t>
  </si>
  <si>
    <t>1955M12</t>
  </si>
  <si>
    <t>1956M01</t>
  </si>
  <si>
    <t>1956M02</t>
  </si>
  <si>
    <t>1956M03</t>
  </si>
  <si>
    <t>1956M04</t>
  </si>
  <si>
    <t>1956M05</t>
  </si>
  <si>
    <t>1956M06</t>
  </si>
  <si>
    <t>1956M07</t>
  </si>
  <si>
    <t>1956M08</t>
  </si>
  <si>
    <t>1956M09</t>
  </si>
  <si>
    <t>1956M10</t>
  </si>
  <si>
    <t>1956M11</t>
  </si>
  <si>
    <t>1956M12</t>
  </si>
  <si>
    <t>1957M01</t>
  </si>
  <si>
    <t>1957M02</t>
  </si>
  <si>
    <t>1957M03</t>
  </si>
  <si>
    <t>1957M04</t>
  </si>
  <si>
    <t>1957M05</t>
  </si>
  <si>
    <t>1957M06</t>
  </si>
  <si>
    <t>1957M07</t>
  </si>
  <si>
    <t>1957M08</t>
  </si>
  <si>
    <t>1957M09</t>
  </si>
  <si>
    <t>1957M10</t>
  </si>
  <si>
    <t>1957M11</t>
  </si>
  <si>
    <t>1957M12</t>
  </si>
  <si>
    <t>1958M01</t>
  </si>
  <si>
    <t>1958M02</t>
  </si>
  <si>
    <t>1958M03</t>
  </si>
  <si>
    <t>1958M04</t>
  </si>
  <si>
    <t>1958M05</t>
  </si>
  <si>
    <t>1958M06</t>
  </si>
  <si>
    <t>1958M07</t>
  </si>
  <si>
    <t>1958M08</t>
  </si>
  <si>
    <t>1958M09</t>
  </si>
  <si>
    <t>1958M10</t>
  </si>
  <si>
    <t>1958M11</t>
  </si>
  <si>
    <t>1958M12</t>
  </si>
  <si>
    <t>1959M01</t>
  </si>
  <si>
    <t>1959M02</t>
  </si>
  <si>
    <t>1959M03</t>
  </si>
  <si>
    <t>1959M04</t>
  </si>
  <si>
    <t>1959M05</t>
  </si>
  <si>
    <t>1959M06</t>
  </si>
  <si>
    <t>1959M07</t>
  </si>
  <si>
    <t>1959M08</t>
  </si>
  <si>
    <t>1959M09</t>
  </si>
  <si>
    <t>1959M10</t>
  </si>
  <si>
    <t>1959M11</t>
  </si>
  <si>
    <t>1959M12</t>
  </si>
  <si>
    <t>1960M01</t>
  </si>
  <si>
    <t>1960M02</t>
  </si>
  <si>
    <t>1960M03</t>
  </si>
  <si>
    <t>1960M04</t>
  </si>
  <si>
    <t>1960M05</t>
  </si>
  <si>
    <t>1960M06</t>
  </si>
  <si>
    <t>1960M07</t>
  </si>
  <si>
    <t>1960M08</t>
  </si>
  <si>
    <t>1960M09</t>
  </si>
  <si>
    <t>1960M10</t>
  </si>
  <si>
    <t>1960M11</t>
  </si>
  <si>
    <t>1960M12</t>
  </si>
  <si>
    <t>1961M01</t>
  </si>
  <si>
    <t>1961M02</t>
  </si>
  <si>
    <t>1961M03</t>
  </si>
  <si>
    <t>1961M04</t>
  </si>
  <si>
    <t>1961M05</t>
  </si>
  <si>
    <t>1961M06</t>
  </si>
  <si>
    <t>1961M07</t>
  </si>
  <si>
    <t>1961M08</t>
  </si>
  <si>
    <t>1961M09</t>
  </si>
  <si>
    <t>1961M10</t>
  </si>
  <si>
    <t>1961M11</t>
  </si>
  <si>
    <t>1961M12</t>
  </si>
  <si>
    <t>1962M01</t>
  </si>
  <si>
    <t>1962M02</t>
  </si>
  <si>
    <t>1962M03</t>
  </si>
  <si>
    <t>1962M04</t>
  </si>
  <si>
    <t>1962M05</t>
  </si>
  <si>
    <t>1962M06</t>
  </si>
  <si>
    <t>1962M07</t>
  </si>
  <si>
    <t>1962M08</t>
  </si>
  <si>
    <t>1962M09</t>
  </si>
  <si>
    <t>1962M10</t>
  </si>
  <si>
    <t>1962M11</t>
  </si>
  <si>
    <t>1962M12</t>
  </si>
  <si>
    <t>1963M01</t>
  </si>
  <si>
    <t>1963M02</t>
  </si>
  <si>
    <t>1963M03</t>
  </si>
  <si>
    <t>1963M04</t>
  </si>
  <si>
    <t>1963M05</t>
  </si>
  <si>
    <t>1963M06</t>
  </si>
  <si>
    <t>1963M07</t>
  </si>
  <si>
    <t>1963M08</t>
  </si>
  <si>
    <t>1963M09</t>
  </si>
  <si>
    <t>1963M10</t>
  </si>
  <si>
    <t>1963M11</t>
  </si>
  <si>
    <t>1963M12</t>
  </si>
  <si>
    <t>1964M01</t>
  </si>
  <si>
    <t>1964M02</t>
  </si>
  <si>
    <t>1964M03</t>
  </si>
  <si>
    <t>1964M04</t>
  </si>
  <si>
    <t>1964M05</t>
  </si>
  <si>
    <t>1964M06</t>
  </si>
  <si>
    <t>1964M07</t>
  </si>
  <si>
    <t>1964M08</t>
  </si>
  <si>
    <t>1964M09</t>
  </si>
  <si>
    <t>1964M10</t>
  </si>
  <si>
    <t>1964M11</t>
  </si>
  <si>
    <t>1964M12</t>
  </si>
  <si>
    <t>1965M01</t>
  </si>
  <si>
    <t>1965M02</t>
  </si>
  <si>
    <t>1965M03</t>
  </si>
  <si>
    <t>1965M04</t>
  </si>
  <si>
    <t>1965M05</t>
  </si>
  <si>
    <t>1965M06</t>
  </si>
  <si>
    <t>1965M07</t>
  </si>
  <si>
    <t>1965M08</t>
  </si>
  <si>
    <t>1965M09</t>
  </si>
  <si>
    <t>1965M10</t>
  </si>
  <si>
    <t>1965M11</t>
  </si>
  <si>
    <t>1965M12</t>
  </si>
  <si>
    <t>1966M01</t>
  </si>
  <si>
    <t>1966M02</t>
  </si>
  <si>
    <t>1966M03</t>
  </si>
  <si>
    <t>1966M04</t>
  </si>
  <si>
    <t>1966M05</t>
  </si>
  <si>
    <t>1966M06</t>
  </si>
  <si>
    <t>1966M07</t>
  </si>
  <si>
    <t>1966M08</t>
  </si>
  <si>
    <t>1966M09</t>
  </si>
  <si>
    <t>1966M10</t>
  </si>
  <si>
    <t>1966M11</t>
  </si>
  <si>
    <t>1966M12</t>
  </si>
  <si>
    <t>1967M01</t>
  </si>
  <si>
    <t>1967M02</t>
  </si>
  <si>
    <t>1967M03</t>
  </si>
  <si>
    <t>1967M04</t>
  </si>
  <si>
    <t>1967M05</t>
  </si>
  <si>
    <t>1967M06</t>
  </si>
  <si>
    <t>1967M07</t>
  </si>
  <si>
    <t>1967M08</t>
  </si>
  <si>
    <t>1967M09</t>
  </si>
  <si>
    <t>1967M10</t>
  </si>
  <si>
    <t>1967M11</t>
  </si>
  <si>
    <t>1967M12</t>
  </si>
  <si>
    <t>1968M01</t>
  </si>
  <si>
    <t>1968M02</t>
  </si>
  <si>
    <t>1968M03</t>
  </si>
  <si>
    <t>1968M04</t>
  </si>
  <si>
    <t>1968M05</t>
  </si>
  <si>
    <t>1968M06</t>
  </si>
  <si>
    <t>1968M07</t>
  </si>
  <si>
    <t>1968M08</t>
  </si>
  <si>
    <t>1968M09</t>
  </si>
  <si>
    <t>1968M10</t>
  </si>
  <si>
    <t>1968M11</t>
  </si>
  <si>
    <t>1968M12</t>
  </si>
  <si>
    <t>1969M01</t>
  </si>
  <si>
    <t>1969M02</t>
  </si>
  <si>
    <t>1969M03</t>
  </si>
  <si>
    <t>1969M04</t>
  </si>
  <si>
    <t>1969M05</t>
  </si>
  <si>
    <t>1969M06</t>
  </si>
  <si>
    <t>1969M07</t>
  </si>
  <si>
    <t>1969M08</t>
  </si>
  <si>
    <t>1969M09</t>
  </si>
  <si>
    <t>1969M10</t>
  </si>
  <si>
    <t>1969M11</t>
  </si>
  <si>
    <t>1969M12</t>
  </si>
  <si>
    <t>1970M01</t>
  </si>
  <si>
    <t>1970M02</t>
  </si>
  <si>
    <t>1970M03</t>
  </si>
  <si>
    <t>1970M04</t>
  </si>
  <si>
    <t>1970M05</t>
  </si>
  <si>
    <t>1970M06</t>
  </si>
  <si>
    <t>1970M07</t>
  </si>
  <si>
    <t>1970M08</t>
  </si>
  <si>
    <t>1970M09</t>
  </si>
  <si>
    <t>1970M10</t>
  </si>
  <si>
    <t>1970M11</t>
  </si>
  <si>
    <t>1970M12</t>
  </si>
  <si>
    <t>1971M01</t>
  </si>
  <si>
    <t>1971M02</t>
  </si>
  <si>
    <t>1971M03</t>
  </si>
  <si>
    <t>1971M04</t>
  </si>
  <si>
    <t>1971M05</t>
  </si>
  <si>
    <t>1971M06</t>
  </si>
  <si>
    <t>1971M07</t>
  </si>
  <si>
    <t>1971M08</t>
  </si>
  <si>
    <t>1971M09</t>
  </si>
  <si>
    <t>1971M10</t>
  </si>
  <si>
    <t>1971M11</t>
  </si>
  <si>
    <t>1971M12</t>
  </si>
  <si>
    <t>1972M01</t>
  </si>
  <si>
    <t>1972M02</t>
  </si>
  <si>
    <t>1972M03</t>
  </si>
  <si>
    <t>1972M04</t>
  </si>
  <si>
    <t>1972M05</t>
  </si>
  <si>
    <t>1972M06</t>
  </si>
  <si>
    <t>1972M07</t>
  </si>
  <si>
    <t>1972M08</t>
  </si>
  <si>
    <t>1972M09</t>
  </si>
  <si>
    <t>1972M10</t>
  </si>
  <si>
    <t>1972M11</t>
  </si>
  <si>
    <t>1972M12</t>
  </si>
  <si>
    <t>1973M01</t>
  </si>
  <si>
    <t>1973M02</t>
  </si>
  <si>
    <t>1973M03</t>
  </si>
  <si>
    <t>1973M04</t>
  </si>
  <si>
    <t>1973M05</t>
  </si>
  <si>
    <t>1973M06</t>
  </si>
  <si>
    <t>1973M07</t>
  </si>
  <si>
    <t>1973M08</t>
  </si>
  <si>
    <t>1973M09</t>
  </si>
  <si>
    <t>1973M10</t>
  </si>
  <si>
    <t>1973M11</t>
  </si>
  <si>
    <t>1973M12</t>
  </si>
  <si>
    <t>1974M01</t>
  </si>
  <si>
    <t>1974M02</t>
  </si>
  <si>
    <t>1974M03</t>
  </si>
  <si>
    <t>1974M04</t>
  </si>
  <si>
    <t>1974M05</t>
  </si>
  <si>
    <t>1974M06</t>
  </si>
  <si>
    <t>1974M07</t>
  </si>
  <si>
    <t>1974M08</t>
  </si>
  <si>
    <t>1974M09</t>
  </si>
  <si>
    <t>1974M10</t>
  </si>
  <si>
    <t>1974M11</t>
  </si>
  <si>
    <t>1974M12</t>
  </si>
  <si>
    <t>1975M01</t>
  </si>
  <si>
    <t>1975M02</t>
  </si>
  <si>
    <t>1975M03</t>
  </si>
  <si>
    <t>1975M04</t>
  </si>
  <si>
    <t>1975M05</t>
  </si>
  <si>
    <t>1975M06</t>
  </si>
  <si>
    <t>1975M07</t>
  </si>
  <si>
    <t>1975M08</t>
  </si>
  <si>
    <t>1975M09</t>
  </si>
  <si>
    <t>1975M10</t>
  </si>
  <si>
    <t>1975M11</t>
  </si>
  <si>
    <t>1975M12</t>
  </si>
  <si>
    <t>1976M01</t>
  </si>
  <si>
    <t>1976M02</t>
  </si>
  <si>
    <t>1976M03</t>
  </si>
  <si>
    <t>1976M04</t>
  </si>
  <si>
    <t>1976M05</t>
  </si>
  <si>
    <t>1976M06</t>
  </si>
  <si>
    <t>1976M07</t>
  </si>
  <si>
    <t>1976M08</t>
  </si>
  <si>
    <t>1976M09</t>
  </si>
  <si>
    <t>1976M10</t>
  </si>
  <si>
    <t>1976M11</t>
  </si>
  <si>
    <t>1976M12</t>
  </si>
  <si>
    <t>1977M01</t>
  </si>
  <si>
    <t>1977M02</t>
  </si>
  <si>
    <t>1977M03</t>
  </si>
  <si>
    <t>1977M04</t>
  </si>
  <si>
    <t>1977M05</t>
  </si>
  <si>
    <t>1977M06</t>
  </si>
  <si>
    <t>1977M07</t>
  </si>
  <si>
    <t>1977M08</t>
  </si>
  <si>
    <t>1977M09</t>
  </si>
  <si>
    <t>1977M10</t>
  </si>
  <si>
    <t>1977M11</t>
  </si>
  <si>
    <t>1977M12</t>
  </si>
  <si>
    <t>1978M01</t>
  </si>
  <si>
    <t>1978M02</t>
  </si>
  <si>
    <t>1978M03</t>
  </si>
  <si>
    <t>1978M04</t>
  </si>
  <si>
    <t>1978M05</t>
  </si>
  <si>
    <t>1978M06</t>
  </si>
  <si>
    <t>1978M07</t>
  </si>
  <si>
    <t>1978M08</t>
  </si>
  <si>
    <t>1978M09</t>
  </si>
  <si>
    <t>1978M10</t>
  </si>
  <si>
    <t>1978M11</t>
  </si>
  <si>
    <t>1978M12</t>
  </si>
  <si>
    <t>1979M01</t>
  </si>
  <si>
    <t>1979M02</t>
  </si>
  <si>
    <t>1979M03</t>
  </si>
  <si>
    <t>1979M04</t>
  </si>
  <si>
    <t>1979M05</t>
  </si>
  <si>
    <t>1979M06</t>
  </si>
  <si>
    <t>1979M07</t>
  </si>
  <si>
    <t>1979M08</t>
  </si>
  <si>
    <t>1979M09</t>
  </si>
  <si>
    <t>1979M10</t>
  </si>
  <si>
    <t>1979M11</t>
  </si>
  <si>
    <t>1979M12</t>
  </si>
  <si>
    <t>1980M01</t>
  </si>
  <si>
    <t>1980M02</t>
  </si>
  <si>
    <t>1980M03</t>
  </si>
  <si>
    <t>1980M04</t>
  </si>
  <si>
    <t>1980M05</t>
  </si>
  <si>
    <t>1980M06</t>
  </si>
  <si>
    <t>1980M07</t>
  </si>
  <si>
    <t>1980M08</t>
  </si>
  <si>
    <t>1980M09</t>
  </si>
  <si>
    <t>1980M10</t>
  </si>
  <si>
    <t>1980M11</t>
  </si>
  <si>
    <t>1980M12</t>
  </si>
  <si>
    <t>1981M01</t>
  </si>
  <si>
    <t>1981M02</t>
  </si>
  <si>
    <t>1981M03</t>
  </si>
  <si>
    <t>1981M04</t>
  </si>
  <si>
    <t>1981M05</t>
  </si>
  <si>
    <t>1981M06</t>
  </si>
  <si>
    <t>1981M07</t>
  </si>
  <si>
    <t>1981M08</t>
  </si>
  <si>
    <t>1981M09</t>
  </si>
  <si>
    <t>1981M10</t>
  </si>
  <si>
    <t>1981M11</t>
  </si>
  <si>
    <t>1981M12</t>
  </si>
  <si>
    <t>1982M01</t>
  </si>
  <si>
    <t>1982M02</t>
  </si>
  <si>
    <t>1982M03</t>
  </si>
  <si>
    <t>1982M04</t>
  </si>
  <si>
    <t>1982M05</t>
  </si>
  <si>
    <t>1982M06</t>
  </si>
  <si>
    <t>1982M07</t>
  </si>
  <si>
    <t>1982M08</t>
  </si>
  <si>
    <t>1982M09</t>
  </si>
  <si>
    <t>1982M10</t>
  </si>
  <si>
    <t>1982M11</t>
  </si>
  <si>
    <t>1982M12</t>
  </si>
  <si>
    <t>1983M01</t>
  </si>
  <si>
    <t>1983M02</t>
  </si>
  <si>
    <t>1983M03</t>
  </si>
  <si>
    <t>1983M04</t>
  </si>
  <si>
    <t>1983M05</t>
  </si>
  <si>
    <t>1983M06</t>
  </si>
  <si>
    <t>1983M07</t>
  </si>
  <si>
    <t>1983M08</t>
  </si>
  <si>
    <t>1983M09</t>
  </si>
  <si>
    <t>1983M10</t>
  </si>
  <si>
    <t>1983M11</t>
  </si>
  <si>
    <t>1983M12</t>
  </si>
  <si>
    <t>1984M01</t>
  </si>
  <si>
    <t>1984M02</t>
  </si>
  <si>
    <t>1984M03</t>
  </si>
  <si>
    <t>1984M04</t>
  </si>
  <si>
    <t>1984M05</t>
  </si>
  <si>
    <t>1984M06</t>
  </si>
  <si>
    <t>1984M07</t>
  </si>
  <si>
    <t>1984M08</t>
  </si>
  <si>
    <t>1984M09</t>
  </si>
  <si>
    <t>1984M10</t>
  </si>
  <si>
    <t>1984M11</t>
  </si>
  <si>
    <t>1984M12</t>
  </si>
  <si>
    <t>1985M01</t>
  </si>
  <si>
    <t>1985M02</t>
  </si>
  <si>
    <t>1985M03</t>
  </si>
  <si>
    <t>1985M04</t>
  </si>
  <si>
    <t>1985M05</t>
  </si>
  <si>
    <t>1985M06</t>
  </si>
  <si>
    <t>1985M07</t>
  </si>
  <si>
    <t>1985M08</t>
  </si>
  <si>
    <t>1985M09</t>
  </si>
  <si>
    <t>1985M10</t>
  </si>
  <si>
    <t>1985M11</t>
  </si>
  <si>
    <t>1985M12</t>
  </si>
  <si>
    <t>1986M01</t>
  </si>
  <si>
    <t>1986M02</t>
  </si>
  <si>
    <t>1986M03</t>
  </si>
  <si>
    <t>1986M04</t>
  </si>
  <si>
    <t>1986M05</t>
  </si>
  <si>
    <t>1986M06</t>
  </si>
  <si>
    <t>1986M07</t>
  </si>
  <si>
    <t>1986M08</t>
  </si>
  <si>
    <t>1986M09</t>
  </si>
  <si>
    <t>1986M10</t>
  </si>
  <si>
    <t>1986M11</t>
  </si>
  <si>
    <t>1986M12</t>
  </si>
  <si>
    <t>1987M01</t>
  </si>
  <si>
    <t>1987M02</t>
  </si>
  <si>
    <t>1987M03</t>
  </si>
  <si>
    <t>1987M04</t>
  </si>
  <si>
    <t>1987M05</t>
  </si>
  <si>
    <t>1987M06</t>
  </si>
  <si>
    <t>1987M07</t>
  </si>
  <si>
    <t>1987M08</t>
  </si>
  <si>
    <t>1987M09</t>
  </si>
  <si>
    <t>1987M10</t>
  </si>
  <si>
    <t>1987M11</t>
  </si>
  <si>
    <t>1987M12</t>
  </si>
  <si>
    <t>1988M01</t>
  </si>
  <si>
    <t>1988M02</t>
  </si>
  <si>
    <t>1988M03</t>
  </si>
  <si>
    <t>1988M04</t>
  </si>
  <si>
    <t>1988M05</t>
  </si>
  <si>
    <t>1988M06</t>
  </si>
  <si>
    <t>1988M07</t>
  </si>
  <si>
    <t>1988M08</t>
  </si>
  <si>
    <t>1988M09</t>
  </si>
  <si>
    <t>1988M10</t>
  </si>
  <si>
    <t>1988M11</t>
  </si>
  <si>
    <t>1988M12</t>
  </si>
  <si>
    <t>1989M01</t>
  </si>
  <si>
    <t>1989M02</t>
  </si>
  <si>
    <t>1989M03</t>
  </si>
  <si>
    <t>1989M04</t>
  </si>
  <si>
    <t>1989M05</t>
  </si>
  <si>
    <t>1989M06</t>
  </si>
  <si>
    <t>1989M07</t>
  </si>
  <si>
    <t>1989M08</t>
  </si>
  <si>
    <t>1989M09</t>
  </si>
  <si>
    <t>1989M10</t>
  </si>
  <si>
    <t>1989M11</t>
  </si>
  <si>
    <t>1989M12</t>
  </si>
  <si>
    <t>1990M01</t>
  </si>
  <si>
    <t>1990M02</t>
  </si>
  <si>
    <t>1990M03</t>
  </si>
  <si>
    <t>1990M04</t>
  </si>
  <si>
    <t>1990M05</t>
  </si>
  <si>
    <t>1990M06</t>
  </si>
  <si>
    <t>1990M07</t>
  </si>
  <si>
    <t>1990M08</t>
  </si>
  <si>
    <t>1990M09</t>
  </si>
  <si>
    <t>1990M10</t>
  </si>
  <si>
    <t>1990M11</t>
  </si>
  <si>
    <t>1990M12</t>
  </si>
  <si>
    <t>1991M01</t>
  </si>
  <si>
    <t>1991M02</t>
  </si>
  <si>
    <t>1991M03</t>
  </si>
  <si>
    <t>1991M04</t>
  </si>
  <si>
    <t>1991M05</t>
  </si>
  <si>
    <t>1991M06</t>
  </si>
  <si>
    <t>1991M07</t>
  </si>
  <si>
    <t>1991M08</t>
  </si>
  <si>
    <t>1991M09</t>
  </si>
  <si>
    <t>1991M10</t>
  </si>
  <si>
    <t>1991M11</t>
  </si>
  <si>
    <t>1991M12</t>
  </si>
  <si>
    <t>1992M01</t>
  </si>
  <si>
    <t>1992M02</t>
  </si>
  <si>
    <t>1992M03</t>
  </si>
  <si>
    <t>1992M04</t>
  </si>
  <si>
    <t>1992M05</t>
  </si>
  <si>
    <t>1992M06</t>
  </si>
  <si>
    <t>1992M07</t>
  </si>
  <si>
    <t>1992M08</t>
  </si>
  <si>
    <t>1992M09</t>
  </si>
  <si>
    <t>1992M10</t>
  </si>
  <si>
    <t>1992M11</t>
  </si>
  <si>
    <t>1992M12</t>
  </si>
  <si>
    <t>1993M01</t>
  </si>
  <si>
    <t>1993M02</t>
  </si>
  <si>
    <t>1993M03</t>
  </si>
  <si>
    <t>1993M04</t>
  </si>
  <si>
    <t>1993M05</t>
  </si>
  <si>
    <t>1993M06</t>
  </si>
  <si>
    <t>1993M07</t>
  </si>
  <si>
    <t>1993M08</t>
  </si>
  <si>
    <t>1993M09</t>
  </si>
  <si>
    <t>1993M10</t>
  </si>
  <si>
    <t>1993M11</t>
  </si>
  <si>
    <t>1993M12</t>
  </si>
  <si>
    <t>1994M01</t>
  </si>
  <si>
    <t>1994M02</t>
  </si>
  <si>
    <t>1994M03</t>
  </si>
  <si>
    <t>1994M04</t>
  </si>
  <si>
    <t>1994M05</t>
  </si>
  <si>
    <t>1994M06</t>
  </si>
  <si>
    <t>1994M07</t>
  </si>
  <si>
    <t>1994M08</t>
  </si>
  <si>
    <t>1994M09</t>
  </si>
  <si>
    <t>1994M10</t>
  </si>
  <si>
    <t>1994M11</t>
  </si>
  <si>
    <t>1994M12</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</si>
  <si>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</si>
  <si>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</si>
  <si>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</si>
  <si>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</si>
  <si>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</si>
  <si>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</si>
  <si>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</si>
  <si>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</si>
  <si>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</si>
  <si>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</si>
  <si>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</si>
  <si>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</si>
  <si>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</si>
  <si>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</si>
  <si>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</si>
  <si>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</si>
  <si>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</si>
  <si>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</si>
  <si>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</si>
  <si>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</si>
  <si>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</si>
  <si>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</si>
  <si>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</si>
  <si>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</si>
  <si>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</si>
  <si>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</si>
  <si>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</si>
  <si>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</si>
  <si>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</si>
  <si>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</si>
  <si>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</si>
  <si>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</si>
  <si>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</si>
  <si>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</si>
  <si>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</si>
  <si>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</si>
  <si>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</si>
  <si>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</si>
  <si>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</si>
  <si>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</si>
  <si>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</si>
  <si>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</si>
  <si>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</si>
  <si>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</si>
  <si>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</si>
  <si>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</si>
  <si>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</si>
  <si>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</si>
  <si>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</si>
  <si>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</si>
  <si>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</si>
  <si>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</si>
  <si>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</si>
  <si>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</si>
  <si>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</si>
  <si>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</si>
  <si>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</si>
  <si>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</si>
  <si>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</si>
  <si>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</si>
  <si>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</si>
  <si>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</si>
  <si>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</si>
  <si>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</si>
  <si>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</si>
  <si>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</si>
  <si>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</si>
  <si>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</si>
  <si>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</si>
  <si>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</si>
  <si>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</si>
  <si>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</si>
  <si>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</si>
  <si>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</si>
  <si>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</si>
  <si>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</si>
  <si>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</si>
  <si>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</si>
  <si>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</si>
  <si>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</si>
  <si>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</si>
  <si>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</si>
  <si>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</si>
  <si>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</si>
  <si>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</si>
  <si>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</si>
  <si>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</si>
  <si>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</si>
  <si>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</si>
  <si>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</si>
  <si>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</si>
  <si>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</si>
  <si>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</si>
  <si>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</si>
  <si>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</si>
  <si>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</si>
  <si>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</si>
  <si>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</si>
  <si>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</si>
  <si>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</si>
  <si>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</si>
  <si>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</si>
  <si>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</si>
  <si>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</si>
  <si>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</si>
  <si>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</si>
  <si>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</si>
  <si>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</si>
  <si>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</si>
  <si>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</si>
  <si>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</si>
  <si>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</si>
  <si>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</si>
  <si>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</si>
  <si>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</si>
  <si>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</si>
  <si>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</si>
  <si>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</si>
  <si>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</si>
  <si>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</si>
  <si>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</si>
  <si>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</si>
  <si>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</si>
  <si>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</si>
  <si>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</si>
  <si>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</si>
  <si>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</si>
  <si>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</si>
  <si>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</si>
  <si>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</si>
  <si>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</si>
  <si>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</si>
  <si>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</si>
  <si>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</si>
  <si>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</si>
  <si>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</si>
  <si>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</si>
  <si>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</si>
  <si>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</si>
  <si>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</si>
  <si>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</si>
  <si>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</si>
  <si>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</si>
  <si>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</si>
  <si>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</si>
  <si>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</si>
  <si>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</si>
  <si>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</si>
  <si>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</si>
  <si>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</si>
  <si>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</si>
  <si>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</si>
  <si>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</si>
  <si>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</si>
  <si>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</si>
  <si>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</si>
  <si>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</si>
  <si>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</si>
  <si>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</si>
  <si>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</si>
  <si>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</si>
  <si>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</si>
  <si>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</si>
  <si>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</si>
  <si>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</si>
  <si>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</si>
  <si>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</si>
  <si>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</si>
  <si>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</si>
  <si>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</si>
  <si>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</si>
  <si>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</si>
  <si>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</si>
  <si>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</si>
  <si>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</si>
  <si>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</si>
  <si>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</si>
  <si>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</si>
  <si>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</si>
  <si>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</si>
  <si>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</si>
  <si>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</si>
  <si>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</si>
  <si>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</si>
  <si>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</si>
  <si>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</si>
  <si>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</si>
  <si>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</si>
  <si>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</si>
  <si>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</si>
  <si>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</si>
  <si>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</si>
  <si>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</si>
  <si>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</si>
  <si>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</si>
  <si>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</si>
  <si>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</si>
  <si>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</si>
  <si>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</si>
  <si>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</si>
  <si>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</si>
  <si>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</si>
  <si>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</si>
  <si>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</si>
  <si>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</si>
  <si>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</si>
  <si>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</si>
  <si>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</si>
  <si>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</si>
  <si>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</si>
  <si>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</si>
  <si>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</si>
  <si>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</si>
  <si>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</si>
  <si>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</si>
  <si>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</si>
  <si>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</si>
  <si>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</si>
  <si>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</si>
  <si>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</si>
  <si>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</si>
  <si>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</si>
  <si>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</si>
  <si>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</si>
  <si>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</si>
  <si>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</si>
  <si>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</si>
  <si>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</si>
  <si>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</si>
  <si>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</si>
  <si>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</si>
  <si>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</si>
  <si>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</si>
  <si>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</si>
  <si>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</si>
  <si>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</si>
  <si>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</si>
  <si>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</si>
  <si>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</si>
  <si>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</si>
  <si>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</si>
  <si>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</si>
  <si>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</si>
  <si>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</si>
  <si>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</si>
  <si>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</si>
  <si>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</si>
  <si>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</si>
  <si>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</si>
  <si>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</si>
  <si>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</si>
  <si>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</si>
  <si>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</si>
  <si>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</si>
  <si>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</si>
  <si>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</si>
  <si>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</si>
  <si>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</si>
  <si>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</si>
  <si>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</si>
  <si>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</si>
  <si>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</si>
  <si>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</si>
  <si>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</si>
  <si>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</si>
  <si>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</si>
  <si>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</si>
  <si>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</si>
  <si>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</si>
  <si>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</si>
  <si>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</si>
  <si>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</si>
  <si>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</si>
  <si>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</si>
  <si>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</si>
  <si>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</si>
  <si>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</si>
  <si>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</si>
  <si>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</si>
  <si>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</si>
  <si>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</si>
  <si>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</si>
  <si>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</si>
  <si>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</si>
  <si>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</si>
  <si>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</si>
  <si>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</si>
  <si>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</si>
  <si>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</si>
  <si>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</si>
  <si>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</si>
  <si>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</si>
  <si>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</si>
  <si>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</si>
  <si>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</si>
  <si>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</si>
  <si>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</si>
  <si>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</si>
  <si>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</si>
  <si>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</si>
  <si>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</si>
  <si>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</si>
  <si>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</si>
  <si>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</si>
  <si>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</si>
  <si>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</si>
  <si>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</si>
  <si>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</si>
  <si>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</si>
  <si>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</si>
  <si>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</si>
  <si>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</si>
  <si>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</si>
  <si>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</si>
  <si>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</si>
  <si>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</si>
  <si>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</si>
  <si>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</si>
  <si>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</si>
  <si>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</si>
  <si>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</si>
  <si>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</si>
  <si>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</si>
  <si>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</si>
  <si>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</si>
  <si>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</si>
  <si>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</si>
  <si>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</si>
  <si>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</si>
  <si>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</si>
  <si>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</si>
  <si>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</si>
  <si>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</si>
  <si>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</si>
  <si>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</si>
  <si>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</si>
  <si>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</si>
  <si>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</si>
  <si>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</si>
  <si>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</si>
  <si>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</si>
  <si>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</si>
  <si>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</si>
  <si>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</si>
  <si>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</si>
  <si>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</si>
  <si>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2023M11</t>
  </si>
  <si>
    <t>2023M12</t>
  </si>
  <si>
    <t>2024M01</t>
  </si>
  <si>
    <t>2024M02</t>
  </si>
  <si>
    <t>Avg Pred. Variance</t>
  </si>
  <si>
    <t>Spot Variance</t>
  </si>
  <si>
    <t>GARCH Coefficient</t>
  </si>
  <si>
    <t>Predicted RP Based on Avg</t>
  </si>
  <si>
    <t>Predicted RP Based on Spot</t>
  </si>
  <si>
    <t>Predicted RP</t>
  </si>
  <si>
    <t>GE Vernova Inc</t>
  </si>
  <si>
    <t>GEV</t>
  </si>
  <si>
    <t>The market risk premium (MRP) is derived by using five different measures from four sources: Kroll, Value Line, Bloomberg, and S&amp;P Capital IQ as illustrated below:</t>
  </si>
  <si>
    <t>Measure 5: Bloomberg, Value Line, and S&amp;P Capital IQ Projected Return on the Market based on the S&amp;P 500</t>
  </si>
  <si>
    <t>Measure 3: Application of the PRPM to Kroll Historical Data</t>
  </si>
  <si>
    <t>Basis of Selection of the Group of Non-Price Regulated Companies</t>
  </si>
  <si>
    <t>These ranges are based upon plus or minus two standard deviations of the unadjusted beta and standard error of the regression. Plus or minus three standard deviations captures 95.50% of the distribution of unadjusted betas and residual standard errors of the regression.</t>
  </si>
  <si>
    <r>
      <t xml:space="preserve">Standard Deviation of the Std. Err. of the Regr.  =   </t>
    </r>
    <r>
      <rPr>
        <u/>
        <sz val="12"/>
        <rFont val="Cambria"/>
        <family val="1"/>
      </rPr>
      <t>Standard Error of the Regression</t>
    </r>
  </si>
  <si>
    <t xml:space="preserve">                      </t>
  </si>
  <si>
    <t>where: N = number of observations.  Since Value Line betas are derived from weekly price change observations over a period of five years, N  =   259</t>
  </si>
  <si>
    <t>Thus,</t>
  </si>
  <si>
    <t>=</t>
  </si>
  <si>
    <t xml:space="preserve">Basis of Selection of Comparable Risk </t>
  </si>
  <si>
    <t>Domestic Non-Price Regulated Companies</t>
  </si>
  <si>
    <t>SYMBOL</t>
  </si>
  <si>
    <t>Residual Standard Error of the Regression</t>
  </si>
  <si>
    <t>Standard Deviation of Beta</t>
  </si>
  <si>
    <t>Beta Range (+/- 2 std. Devs. of Beta)</t>
  </si>
  <si>
    <t xml:space="preserve">   2 std. Devs. of Beta</t>
  </si>
  <si>
    <t>Residual Std. Err. Range (+/- 2 std.</t>
  </si>
  <si>
    <t xml:space="preserve">   Devs. of the Residual Std. Err.)</t>
  </si>
  <si>
    <t>Std. dev. of the Res. Std. Err.</t>
  </si>
  <si>
    <t>2 std. devs. of the Res. Std. Err.</t>
  </si>
  <si>
    <t>Proxy Group of Non-Price Regulated Companies</t>
  </si>
  <si>
    <t>Comparable in Total Risk to the</t>
  </si>
  <si>
    <t>Summary of Cost of Equity Models Applied to</t>
  </si>
  <si>
    <t>DCF Results for the Proxy Group of Non-Price-Regulated Companies Comparable in Total Risk to the</t>
  </si>
  <si>
    <t>Average Dividend Yield</t>
  </si>
  <si>
    <t>Value Line Projected Five Year Growth in EPS</t>
  </si>
  <si>
    <t>Average Projected Five Year Growth Rate in EPS (1)</t>
  </si>
  <si>
    <t>Adjusted Dividend Yield</t>
  </si>
  <si>
    <t>Indicated Common Equity Cost Rate (2)</t>
  </si>
  <si>
    <t>Value Line Investment Survey.</t>
  </si>
  <si>
    <t>Prospective Yield on Baa2 Rated</t>
  </si>
  <si>
    <t xml:space="preserve">Adjustment to Reflect Bond rating </t>
  </si>
  <si>
    <t xml:space="preserve">Difference of Non-Price Regulated </t>
  </si>
  <si>
    <t>A2 Corp. Bond Yield</t>
  </si>
  <si>
    <t>Baa2 Corp. Bond Yield</t>
  </si>
  <si>
    <t>Spread</t>
  </si>
  <si>
    <t>Average yield spread</t>
  </si>
  <si>
    <t>Comparison of Long-Term Issuer Ratings for the</t>
  </si>
  <si>
    <t>Numerical Weighting (1)</t>
  </si>
  <si>
    <t>Bloomberg Professional Services.</t>
  </si>
  <si>
    <t>Using the Beta for</t>
  </si>
  <si>
    <t>Kroll Equity Risk Premium based on PRPM (3)</t>
  </si>
  <si>
    <t xml:space="preserve">Conclusion of Equity Risk Premium </t>
  </si>
  <si>
    <t>8.</t>
  </si>
  <si>
    <t>Value Line Summary and Index.</t>
  </si>
  <si>
    <t>Bloomberg Beta</t>
  </si>
  <si>
    <t>Average of CAPM and ECAPM cost rates.</t>
  </si>
  <si>
    <r>
      <rPr>
        <sz val="12"/>
        <color theme="0"/>
        <rFont val="Cambria"/>
        <family val="1"/>
      </rPr>
      <t>Source of Information:</t>
    </r>
    <r>
      <rPr>
        <sz val="12"/>
        <rFont val="Cambria"/>
        <family val="1"/>
      </rPr>
      <t xml:space="preserve"> </t>
    </r>
    <r>
      <rPr>
        <u/>
        <sz val="12"/>
        <rFont val="Cambria"/>
        <family val="1"/>
      </rPr>
      <t xml:space="preserve">Value Line Investment Survey </t>
    </r>
    <r>
      <rPr>
        <sz val="12"/>
        <rFont val="Cambria"/>
        <family val="1"/>
      </rPr>
      <t xml:space="preserve">(Standard Edition).
</t>
    </r>
  </si>
  <si>
    <t>Adjusted Beta</t>
  </si>
  <si>
    <t>Adjusted</t>
  </si>
  <si>
    <t>Average of lines 1 through 4.</t>
  </si>
  <si>
    <t>Adjusted Bond Yield</t>
  </si>
  <si>
    <t>Traditional CAPM and ECAPM Results for the Proxy Groups of Non-Price-Regulated Companies Comparable in Total Risk to the</t>
  </si>
  <si>
    <t>Stocks, Bonds, Bills, and Inflation -  2023 SBBI Yearbook, Kroll.</t>
  </si>
  <si>
    <t>Market Models Applied to Comparable Risk, Non-Price Regulated Companies (4)</t>
  </si>
  <si>
    <t>2024M03</t>
  </si>
  <si>
    <t>2024M04</t>
  </si>
  <si>
    <t>Regression on Kroll Risk Premium Data (2)</t>
  </si>
  <si>
    <t>Equity Risk Premium Based on Value Line Summary and Index (4)</t>
  </si>
  <si>
    <t>Equity Risk Premium Based on Bloomberg, Value Line, and S&amp;P Global Market Intelligence S&amp;P 500 Companies (5)</t>
  </si>
  <si>
    <t>Adjusted Beta (6)</t>
  </si>
  <si>
    <t>Regression of Historical Equity Risk Premium (2)</t>
  </si>
  <si>
    <t>Forecasted Equity Risk Premium Based on PRPM (3)</t>
  </si>
  <si>
    <t>Forecasted Equity Risk Premium based on Projected Total Return on the S&amp;P Utilities Index (Bloomberg, Value Line, and S&amp;P Capital IQ Data) (4)</t>
  </si>
  <si>
    <t>Average Equity Risk Premium (5)</t>
  </si>
  <si>
    <t>Companies (2)</t>
  </si>
  <si>
    <t>Equity Risk Premium (3)</t>
  </si>
  <si>
    <t>Implied Equity Risk Premium</t>
  </si>
  <si>
    <t>BRC</t>
  </si>
  <si>
    <t>DLB</t>
  </si>
  <si>
    <t>GATX</t>
  </si>
  <si>
    <t>MSM</t>
  </si>
  <si>
    <t>Arizona Public Service Co.</t>
  </si>
  <si>
    <t>Atlanta Gas Light Co.</t>
  </si>
  <si>
    <t>Northern Illinois Gas Co.</t>
  </si>
  <si>
    <t>NiSource Inc.</t>
  </si>
  <si>
    <t>AAA/AA+</t>
  </si>
  <si>
    <t>AA+/AA</t>
  </si>
  <si>
    <t>AA/AA-</t>
  </si>
  <si>
    <t>AA-/A+</t>
  </si>
  <si>
    <t>A+/A</t>
  </si>
  <si>
    <t>A/A-</t>
  </si>
  <si>
    <t>A-/BBB+</t>
  </si>
  <si>
    <t>BBB+/BBB</t>
  </si>
  <si>
    <t>BBB/BBB-</t>
  </si>
  <si>
    <t>BBB-/BB+</t>
  </si>
  <si>
    <t>BB+/BB</t>
  </si>
  <si>
    <t>BB/BB-</t>
  </si>
  <si>
    <t>BB-/B+</t>
  </si>
  <si>
    <t>B+/B</t>
  </si>
  <si>
    <t>B/B-</t>
  </si>
  <si>
    <t>Aaa/Aa1</t>
  </si>
  <si>
    <t>Aa1/Aa2</t>
  </si>
  <si>
    <t>Aa2/Aa3</t>
  </si>
  <si>
    <t>Aa3/A1</t>
  </si>
  <si>
    <t>A1/A2</t>
  </si>
  <si>
    <t>A3/Baa1</t>
  </si>
  <si>
    <t>Baa1/Baa2</t>
  </si>
  <si>
    <t>Baa2/Baa3</t>
  </si>
  <si>
    <t>Baa3/Ba1</t>
  </si>
  <si>
    <t>Ba1/Ba2</t>
  </si>
  <si>
    <t>Ba2/Ba3</t>
  </si>
  <si>
    <t>Ba3/B1</t>
  </si>
  <si>
    <t>B1/B2</t>
  </si>
  <si>
    <t>B2/B3</t>
  </si>
  <si>
    <t>Fourth Quarter 2025</t>
  </si>
  <si>
    <t>2026-2030</t>
  </si>
  <si>
    <t>2031-2035</t>
  </si>
  <si>
    <t>BXP Inc</t>
  </si>
  <si>
    <t>Crowdstrike Holdings Inc</t>
  </si>
  <si>
    <t>CRWD</t>
  </si>
  <si>
    <t>GoDaddy Inc</t>
  </si>
  <si>
    <t>GDDY</t>
  </si>
  <si>
    <t>KKR &amp; Co Inc</t>
  </si>
  <si>
    <t>KKR</t>
  </si>
  <si>
    <t>Labcorp Holdings Inc</t>
  </si>
  <si>
    <t>Smurfit WestRock PLC</t>
  </si>
  <si>
    <t>SW</t>
  </si>
  <si>
    <t>Vistra Corp</t>
  </si>
  <si>
    <t>VST</t>
  </si>
  <si>
    <t>Atmos Energy Corporation</t>
  </si>
  <si>
    <t>2024M05</t>
  </si>
  <si>
    <t>2024M06</t>
  </si>
  <si>
    <t>2024M07</t>
  </si>
  <si>
    <t>NA = Not Available</t>
  </si>
  <si>
    <t>Rate Case History</t>
  </si>
  <si>
    <t>Prediction of Equity Risk Premiums Relative to</t>
  </si>
  <si>
    <t>Past Rate Cases</t>
  </si>
  <si>
    <t>Increase Authorized</t>
  </si>
  <si>
    <t>State</t>
  </si>
  <si>
    <t>Case Identification</t>
  </si>
  <si>
    <t>Service</t>
  </si>
  <si>
    <t>Case Type</t>
  </si>
  <si>
    <t>Decision Type</t>
  </si>
  <si>
    <t>Return on
Equity
(%)</t>
  </si>
  <si>
    <t>Common Equity
/Total Cap
(%)</t>
  </si>
  <si>
    <t>A Rated Utility Bond (%)</t>
  </si>
  <si>
    <t>Equity Risk Premium (%)</t>
  </si>
  <si>
    <t>Illinois</t>
  </si>
  <si>
    <t>Distribution</t>
  </si>
  <si>
    <t>Fully Litigated</t>
  </si>
  <si>
    <t>Pennsylvania</t>
  </si>
  <si>
    <t>PECO Energy Co</t>
  </si>
  <si>
    <t>Maryland</t>
  </si>
  <si>
    <t>Georgia</t>
  </si>
  <si>
    <t>Massachusetts</t>
  </si>
  <si>
    <t>Oklahoma</t>
  </si>
  <si>
    <t>Wisconsin</t>
  </si>
  <si>
    <t>Madison Gas and Electric Co.</t>
  </si>
  <si>
    <t>New York</t>
  </si>
  <si>
    <t>Niagara Mohawk Power Corp.</t>
  </si>
  <si>
    <t>Kansas</t>
  </si>
  <si>
    <t>Orange &amp; Rockland Utlts Inc.</t>
  </si>
  <si>
    <t>Iowa</t>
  </si>
  <si>
    <t>MidAmerican Energy Co.</t>
  </si>
  <si>
    <t>Ohio</t>
  </si>
  <si>
    <t>The Dayton Power &amp; Light Co.</t>
  </si>
  <si>
    <t>New Jersey</t>
  </si>
  <si>
    <t>Public Service Electric Gas</t>
  </si>
  <si>
    <t>Utah</t>
  </si>
  <si>
    <t>Colorado</t>
  </si>
  <si>
    <t>Public Service Co. of CO</t>
  </si>
  <si>
    <t>Arizona</t>
  </si>
  <si>
    <t>Constant</t>
  </si>
  <si>
    <t>Slope</t>
  </si>
  <si>
    <t>Prospective A2 Rated Utility Bond (1)</t>
  </si>
  <si>
    <t>Prospective Equity Risk Premium</t>
  </si>
  <si>
    <t>Baltimore Gas and Electric Co.</t>
  </si>
  <si>
    <t>Connecticut</t>
  </si>
  <si>
    <t>West Virginia</t>
  </si>
  <si>
    <t>NY State Electric &amp; Gas Corp.</t>
  </si>
  <si>
    <t>Idaho</t>
  </si>
  <si>
    <t>Avista Corp.</t>
  </si>
  <si>
    <t>Kentucky</t>
  </si>
  <si>
    <t>Louisville Gas &amp; Electric Co.</t>
  </si>
  <si>
    <t>The CT Light &amp; Power Co</t>
  </si>
  <si>
    <t>Nevada</t>
  </si>
  <si>
    <t>Louisiana</t>
  </si>
  <si>
    <t>Sierra Pacific Power Co.</t>
  </si>
  <si>
    <t>District of Columbia</t>
  </si>
  <si>
    <t>Entergy Gulf States LA LLC</t>
  </si>
  <si>
    <t>Washington</t>
  </si>
  <si>
    <t>Puget Sound Energy Inc.</t>
  </si>
  <si>
    <t>California</t>
  </si>
  <si>
    <t>Indiana</t>
  </si>
  <si>
    <t>Montana</t>
  </si>
  <si>
    <t>San Diego Gas &amp; Electric Co.</t>
  </si>
  <si>
    <t>Ameren Illinois</t>
  </si>
  <si>
    <t>North Carolina</t>
  </si>
  <si>
    <t>Michigan</t>
  </si>
  <si>
    <t>Entergy New Orleans LLC</t>
  </si>
  <si>
    <t>MDU Resources Group</t>
  </si>
  <si>
    <t>Interstate Power &amp; Light Co.</t>
  </si>
  <si>
    <t>Wisconsin Public Service Corp.</t>
  </si>
  <si>
    <t>Wisconsin Power and Light Co</t>
  </si>
  <si>
    <t>Central Hudson Gas &amp; Electric</t>
  </si>
  <si>
    <t>Arkansas</t>
  </si>
  <si>
    <t>New Mexico</t>
  </si>
  <si>
    <t>Public Service Co. of NM</t>
  </si>
  <si>
    <t>Minnesota</t>
  </si>
  <si>
    <t>Northern States Power Co.</t>
  </si>
  <si>
    <t>Missouri</t>
  </si>
  <si>
    <t>South Carolina</t>
  </si>
  <si>
    <t>Delaware</t>
  </si>
  <si>
    <t>Delmarva Power &amp; Light Co.</t>
  </si>
  <si>
    <t>Pacific Gas and Electric Co.</t>
  </si>
  <si>
    <t>Duke Energy Ohio Inc.</t>
  </si>
  <si>
    <t>North Dakota</t>
  </si>
  <si>
    <t>Rhode Island</t>
  </si>
  <si>
    <t>Hawaii</t>
  </si>
  <si>
    <t>Dominion Energy South Carolina</t>
  </si>
  <si>
    <t>Virginia</t>
  </si>
  <si>
    <t>Mississippi</t>
  </si>
  <si>
    <t>Tennessee</t>
  </si>
  <si>
    <t>UGI Utilities Inc.</t>
  </si>
  <si>
    <t>Consumers Energy Co.</t>
  </si>
  <si>
    <t>Duke Energy Kentucky Inc.</t>
  </si>
  <si>
    <t>Florida</t>
  </si>
  <si>
    <t>Wisconsin Electric Power Co.</t>
  </si>
  <si>
    <t>Oregon</t>
  </si>
  <si>
    <t>Texas</t>
  </si>
  <si>
    <t>New Hampshire</t>
  </si>
  <si>
    <t>Wyoming</t>
  </si>
  <si>
    <t>Fitchburg Gas &amp; Electric Light</t>
  </si>
  <si>
    <t>Alaska</t>
  </si>
  <si>
    <t>Maine</t>
  </si>
  <si>
    <t>Florida Public Utilities Co.</t>
  </si>
  <si>
    <t>Source of Information: Regulatory Research Associates.</t>
  </si>
  <si>
    <t>Predicted Equity Risk Premium</t>
  </si>
  <si>
    <t>Based on Regression Analysis</t>
  </si>
  <si>
    <t>Equity Risk Premium (4)</t>
  </si>
  <si>
    <t>Vistra</t>
  </si>
  <si>
    <t>Ratios(1)</t>
  </si>
  <si>
    <t>Weighted Cost Rate</t>
  </si>
  <si>
    <t>Cost Rate</t>
  </si>
  <si>
    <t>Type of Capital</t>
  </si>
  <si>
    <t>Brief Summary of Common Equity Cost Rate</t>
  </si>
  <si>
    <t>Proxy Groups of Utility Companies</t>
  </si>
  <si>
    <t xml:space="preserve"> Non-Price Regulated Companies of Comparable risk to the</t>
  </si>
  <si>
    <t>Electric CEM Proxy Group Average</t>
  </si>
  <si>
    <t>for Ratemaking Purposes</t>
  </si>
  <si>
    <t>Recommended Capital Structure and Cost Rates</t>
  </si>
  <si>
    <t xml:space="preserve">   based on a study using the</t>
  </si>
  <si>
    <t xml:space="preserve">   holding period returns of public</t>
  </si>
  <si>
    <t xml:space="preserve">   utilities with A2 rated bonds (2)</t>
  </si>
  <si>
    <t>Calculated equity risk premium</t>
  </si>
  <si>
    <t xml:space="preserve">   based on the total market using</t>
  </si>
  <si>
    <t>First Quarter 2026</t>
  </si>
  <si>
    <t>2024M08</t>
  </si>
  <si>
    <t>2024M09</t>
  </si>
  <si>
    <t>Blackrock Inc</t>
  </si>
  <si>
    <t>Dell Technologies Inc</t>
  </si>
  <si>
    <t>DELL</t>
  </si>
  <si>
    <t>Erie Indemnity Co</t>
  </si>
  <si>
    <t>ERIE</t>
  </si>
  <si>
    <t>Palantir Technologies Inc</t>
  </si>
  <si>
    <t>PLTR</t>
  </si>
  <si>
    <t>TE Connectivity PLC</t>
  </si>
  <si>
    <t>Moody's Rating</t>
  </si>
  <si>
    <t>Spread Factor</t>
  </si>
  <si>
    <t>Rating</t>
  </si>
  <si>
    <t>Proxy Group Bond Rating</t>
  </si>
  <si>
    <t>Historical Bond Yield Data</t>
  </si>
  <si>
    <t>S&amp;P Subsidiary Average</t>
  </si>
  <si>
    <t>S&amp;P Rating</t>
  </si>
  <si>
    <t>Check</t>
  </si>
  <si>
    <t>Moody's Subsidiary Average</t>
  </si>
  <si>
    <t>Bond Ratings Check</t>
  </si>
  <si>
    <t>Derivation of Investment Risk Adjustment Based upon</t>
  </si>
  <si>
    <t>Kroll Associates' Size Premia for the Decile Portfolios of the NYSE/AMEX/NASDAQ</t>
  </si>
  <si>
    <t>Spread from Applicable Size Premium (4)</t>
  </si>
  <si>
    <t>Applicable Decile of the NYSE/AMEX/   NASDAQ (2)</t>
  </si>
  <si>
    <t>Applicable Size Premium (3)</t>
  </si>
  <si>
    <t/>
  </si>
  <si>
    <t>( millions )</t>
  </si>
  <si>
    <t>(times larger)</t>
  </si>
  <si>
    <t>[A]</t>
  </si>
  <si>
    <t>[B]</t>
  </si>
  <si>
    <t>[C]</t>
  </si>
  <si>
    <t>[D]</t>
  </si>
  <si>
    <t>Decile</t>
  </si>
  <si>
    <t>Market Capitalization of Smallest Company</t>
  </si>
  <si>
    <t>Market Capitalization of Largest Company</t>
  </si>
  <si>
    <t>Size Premium (Return in Excess of CAPM)*</t>
  </si>
  <si>
    <t>Largest</t>
  </si>
  <si>
    <t>Smallest</t>
  </si>
  <si>
    <t>*From 2024 Kroll Cost of Capital Navigator</t>
  </si>
  <si>
    <t>Gleaned from Columns [B] and [C] on the bottom of this page.  The appropriate decile (Column [A]) corresponds to the market capitalization of the proxy group, which is found in Column [1].</t>
  </si>
  <si>
    <t>Corresponding risk premium to the decile is provided in Column [D] on the bottom of this page.</t>
  </si>
  <si>
    <t>Exchange</t>
  </si>
  <si>
    <t>Book Value per Share at Fiscal Year End 2023 (1)</t>
  </si>
  <si>
    <t>Column 3 / Column 1.</t>
  </si>
  <si>
    <t>Column 4 /  Column 2.</t>
  </si>
  <si>
    <t>Column 1 * Column 4.</t>
  </si>
  <si>
    <t>Column [3] multiplied by Column [5].</t>
  </si>
  <si>
    <t>Bloomberg Professional</t>
  </si>
  <si>
    <t>Business Risk Adjustment (5)</t>
  </si>
  <si>
    <t>Schedule/Exhibit</t>
  </si>
  <si>
    <t>Bloomberg Estimated Dividend Yield (1)</t>
  </si>
  <si>
    <t>Bloomberg Market Cap (1)</t>
  </si>
  <si>
    <t>Bloomberg (1)</t>
  </si>
  <si>
    <t>Value Line (2)</t>
  </si>
  <si>
    <t>S&amp;P Global Market Intelligence (3)</t>
  </si>
  <si>
    <t>(1) Source: Bloomberg Professional Services.</t>
  </si>
  <si>
    <t>(2) Source: Value Line Investment Analyzer.</t>
  </si>
  <si>
    <t>(3) Source: S&amp;P Capital IQ.</t>
  </si>
  <si>
    <t>NJR</t>
  </si>
  <si>
    <t>NWN</t>
  </si>
  <si>
    <t>OGS</t>
  </si>
  <si>
    <t>SR</t>
  </si>
  <si>
    <t>Gas</t>
  </si>
  <si>
    <t>New Jersey Resources Corporation</t>
  </si>
  <si>
    <t>Northwest Natural Holding Company</t>
  </si>
  <si>
    <t>ONE Gas, Inc.</t>
  </si>
  <si>
    <t>Spire Inc.</t>
  </si>
  <si>
    <t>Ratings Reflect Parent Level</t>
  </si>
  <si>
    <t>New Jersey Natural Gas Co</t>
  </si>
  <si>
    <t>Northern Indiana Public Service Company</t>
  </si>
  <si>
    <t>Northwest Natural Gas Company</t>
  </si>
  <si>
    <t>Spire Alabama Inc.</t>
  </si>
  <si>
    <t>Spire Missouri Inc.</t>
  </si>
  <si>
    <t>BAH</t>
  </si>
  <si>
    <t>CASY</t>
  </si>
  <si>
    <t>CSWI</t>
  </si>
  <si>
    <t>PBH</t>
  </si>
  <si>
    <t>SIGI</t>
  </si>
  <si>
    <t>SCI</t>
  </si>
  <si>
    <t>UVV</t>
  </si>
  <si>
    <t>WSO</t>
  </si>
  <si>
    <t xml:space="preserve">Atmos Energy        </t>
  </si>
  <si>
    <t>2018- 2023, Inclusive</t>
  </si>
  <si>
    <t>FYE: 9/30/2023</t>
  </si>
  <si>
    <t>New Jersey Resources</t>
  </si>
  <si>
    <t>2018 - 2023, Inclusive</t>
  </si>
  <si>
    <t>FYE: 09/30/2023</t>
  </si>
  <si>
    <t>NMF</t>
  </si>
  <si>
    <t xml:space="preserve">Northwest Nat. Gas  </t>
  </si>
  <si>
    <t>D-79-0133</t>
  </si>
  <si>
    <t>Natural Gas</t>
  </si>
  <si>
    <t>C-R-79030781</t>
  </si>
  <si>
    <t>Washington Gas Light Co.</t>
  </si>
  <si>
    <t>C-7394 0-64174</t>
  </si>
  <si>
    <t>D-3167-U</t>
  </si>
  <si>
    <t>NSTAR Gas Co.</t>
  </si>
  <si>
    <t>DPU-20132-G</t>
  </si>
  <si>
    <t>Oklahoma Natural Gas Co</t>
  </si>
  <si>
    <t>Ca-26652</t>
  </si>
  <si>
    <t>D-3270-UR-9-G</t>
  </si>
  <si>
    <t>Wisconsin Gas LLC</t>
  </si>
  <si>
    <t>D-6650-GR-6</t>
  </si>
  <si>
    <t>C-27540</t>
  </si>
  <si>
    <t>Kansas Gas Service Co.</t>
  </si>
  <si>
    <t>D-119,314-U</t>
  </si>
  <si>
    <t>Consolidated Edison Company of</t>
  </si>
  <si>
    <t>C-27544</t>
  </si>
  <si>
    <t>Natl Fuel Gas Distribution Cor</t>
  </si>
  <si>
    <t>C-27503</t>
  </si>
  <si>
    <t>C-27554</t>
  </si>
  <si>
    <t>D-RPU-78-11</t>
  </si>
  <si>
    <t>C-79-372-GA-AIR</t>
  </si>
  <si>
    <t>D-794-310-G</t>
  </si>
  <si>
    <t>Dominion Energy Inc.</t>
  </si>
  <si>
    <t>C-80-057-01</t>
  </si>
  <si>
    <t>D-1420-De-C80-1039 (Gas)</t>
  </si>
  <si>
    <t>D-U-1345 De-51009-G</t>
  </si>
  <si>
    <t>C-7397 0-64331-G</t>
  </si>
  <si>
    <t>CT Natural Gas Corp.</t>
  </si>
  <si>
    <t>D-79-12-02</t>
  </si>
  <si>
    <t>The East Ohio Gas Co.</t>
  </si>
  <si>
    <t>C-79-535-GA-AIR</t>
  </si>
  <si>
    <t>Mountaineer Gas Co.</t>
  </si>
  <si>
    <t>C-79-088-G-42T</t>
  </si>
  <si>
    <t>Rochester Gas &amp; Electric Corp.</t>
  </si>
  <si>
    <t>C-27608</t>
  </si>
  <si>
    <t>C-27610</t>
  </si>
  <si>
    <t>D-120,950-U</t>
  </si>
  <si>
    <t>D-RPU-78-25</t>
  </si>
  <si>
    <t>C-U-1008-145</t>
  </si>
  <si>
    <t>C-R-79090956</t>
  </si>
  <si>
    <t>The Brooklyn Union Gas Co.</t>
  </si>
  <si>
    <t>C-27631</t>
  </si>
  <si>
    <t>C-7799 (gas)</t>
  </si>
  <si>
    <t>D-80-04-03-G</t>
  </si>
  <si>
    <t>D-80-04-04-G</t>
  </si>
  <si>
    <t>Southwest Gas Corp.</t>
  </si>
  <si>
    <t>D-2868 (Southern)</t>
  </si>
  <si>
    <t>D-2867 (Northern)</t>
  </si>
  <si>
    <t>Hope Gas Inc.</t>
  </si>
  <si>
    <t>C-80-003-G-42T</t>
  </si>
  <si>
    <t>Atmos Energy Corp.</t>
  </si>
  <si>
    <t>D-U-14665 (LGS)</t>
  </si>
  <si>
    <t>Intermountain Gas Co.</t>
  </si>
  <si>
    <t>C-U-1034-88</t>
  </si>
  <si>
    <t>D-2857</t>
  </si>
  <si>
    <t>The Sthrn CT Gas Co</t>
  </si>
  <si>
    <t>D-80-04-17</t>
  </si>
  <si>
    <t>C-722 0-7209</t>
  </si>
  <si>
    <t>D-U-14444</t>
  </si>
  <si>
    <t>Ca-U-80-25</t>
  </si>
  <si>
    <t>Southern California Gas Co.</t>
  </si>
  <si>
    <t>AP-59316 De-92497</t>
  </si>
  <si>
    <t>Indiana Gas Co.</t>
  </si>
  <si>
    <t>Ca-36117</t>
  </si>
  <si>
    <t>D-1425-De-C80-2346 (Gas)</t>
  </si>
  <si>
    <t>North Shore Gas Co.</t>
  </si>
  <si>
    <t>D-80-0089</t>
  </si>
  <si>
    <t>The Peoples Gas Light &amp; Coke C</t>
  </si>
  <si>
    <t>D-80-0090</t>
  </si>
  <si>
    <t>D-6650-GR-13</t>
  </si>
  <si>
    <t>NorthWestern Energy Group</t>
  </si>
  <si>
    <t>D-80.4.2.4714A (gas)</t>
  </si>
  <si>
    <t>C-27776</t>
  </si>
  <si>
    <t>AP-59788 De-92557-G</t>
  </si>
  <si>
    <t>D-80-0157 (CILCO-G)</t>
  </si>
  <si>
    <t>Public Service Co. of NC</t>
  </si>
  <si>
    <t>D-G-5, SUB 157</t>
  </si>
  <si>
    <t>Ca-U-80-14</t>
  </si>
  <si>
    <t>DTE Gas Co.</t>
  </si>
  <si>
    <t>C-U-6372</t>
  </si>
  <si>
    <t>Ca-26981</t>
  </si>
  <si>
    <t>CenterPoint Energy Resources</t>
  </si>
  <si>
    <t>Ca-26975</t>
  </si>
  <si>
    <t>C-27743</t>
  </si>
  <si>
    <t>D-80-0318 (CIPS-G)</t>
  </si>
  <si>
    <t>C-R-81-73 (gas)</t>
  </si>
  <si>
    <t>Cascade Natural Gas Corp.</t>
  </si>
  <si>
    <t>Ca-U-80-101</t>
  </si>
  <si>
    <t>D-80.7.52</t>
  </si>
  <si>
    <t>D-U-1551 De-52099</t>
  </si>
  <si>
    <t>D-RPU-80-42</t>
  </si>
  <si>
    <t>D-6690-UR-17-G</t>
  </si>
  <si>
    <t>D-80-0511 (gas)</t>
  </si>
  <si>
    <t>C-81-057-01</t>
  </si>
  <si>
    <t>D-6680-UR-11-G</t>
  </si>
  <si>
    <t>Alabama</t>
  </si>
  <si>
    <t>D-18046</t>
  </si>
  <si>
    <t>C-27833</t>
  </si>
  <si>
    <t>C-27827</t>
  </si>
  <si>
    <t>Black Hills Energy Arkansas</t>
  </si>
  <si>
    <t>D-U-3144</t>
  </si>
  <si>
    <t>C-1568</t>
  </si>
  <si>
    <t>D-E-002-GR-80-556</t>
  </si>
  <si>
    <t>D-RPU-80-36 (gas)</t>
  </si>
  <si>
    <t>D-RPU-78-30</t>
  </si>
  <si>
    <t>C-80-769-GA-AIR</t>
  </si>
  <si>
    <t>Columbia Gas Ohio Inc.</t>
  </si>
  <si>
    <t>C-80-777-GA-AIR</t>
  </si>
  <si>
    <t>C-80-715-GA-AIR</t>
  </si>
  <si>
    <t>D-81-04-09</t>
  </si>
  <si>
    <t>D-G-008-GR-80-630</t>
  </si>
  <si>
    <t>D-81-106</t>
  </si>
  <si>
    <t>Ca-U-80-111</t>
  </si>
  <si>
    <t>Wisconsin Natural Gas Company</t>
  </si>
  <si>
    <t>D-6670-GR-7</t>
  </si>
  <si>
    <t>C-80-1087-GA-AIR</t>
  </si>
  <si>
    <t>Missouri Gas Energy</t>
  </si>
  <si>
    <t>C-GR-81-155</t>
  </si>
  <si>
    <t>Piedmont Natural Gas Co.</t>
  </si>
  <si>
    <t>D-81-252-G</t>
  </si>
  <si>
    <t>C-27884</t>
  </si>
  <si>
    <t>C-27885</t>
  </si>
  <si>
    <t>C-U-1008-155</t>
  </si>
  <si>
    <t>D-U-15097 (ARKLA)</t>
  </si>
  <si>
    <t>D-U-1345 De-52558-G</t>
  </si>
  <si>
    <t>D-126,922-U</t>
  </si>
  <si>
    <t>D-RPU-80-19</t>
  </si>
  <si>
    <t>D-81-06-02-G</t>
  </si>
  <si>
    <t>D-81-06-04-G</t>
  </si>
  <si>
    <t>Ca-U-81-16</t>
  </si>
  <si>
    <t>D-U-1551 De-52631</t>
  </si>
  <si>
    <t>C-27910</t>
  </si>
  <si>
    <t>D-1525-De-C81-1999 (Gas)</t>
  </si>
  <si>
    <t>D-81-13</t>
  </si>
  <si>
    <t>D-3288-U</t>
  </si>
  <si>
    <t>C-27934</t>
  </si>
  <si>
    <t>AP-59788 De-93892-G</t>
  </si>
  <si>
    <t>AP-60153 De-93887-G</t>
  </si>
  <si>
    <t>C-8284 (gas)</t>
  </si>
  <si>
    <t>D-128,361-U</t>
  </si>
  <si>
    <t>C-81-67-GA-AIR</t>
  </si>
  <si>
    <t>Eversource Gas Co MA</t>
  </si>
  <si>
    <t>DPU-777</t>
  </si>
  <si>
    <t>D-G-9, SUB 212</t>
  </si>
  <si>
    <t>C-7574 0-65648-G</t>
  </si>
  <si>
    <t>C-U-1034-95</t>
  </si>
  <si>
    <t>C-768 0-7469</t>
  </si>
  <si>
    <t>D-812-76-G</t>
  </si>
  <si>
    <t>C-7585 0-65676</t>
  </si>
  <si>
    <t>D-RPU-80-65</t>
  </si>
  <si>
    <t>C-27986</t>
  </si>
  <si>
    <t>C-R-811600</t>
  </si>
  <si>
    <t>Ca-27347</t>
  </si>
  <si>
    <t>D-6650-GR-15</t>
  </si>
  <si>
    <t>Ca-U-81-64</t>
  </si>
  <si>
    <t>D-81-614 (Southern)</t>
  </si>
  <si>
    <t>C-10, 280</t>
  </si>
  <si>
    <t>D-81.7.62</t>
  </si>
  <si>
    <t>D-6690-UR-18-G</t>
  </si>
  <si>
    <t>D-81.6.57</t>
  </si>
  <si>
    <t>D-G-5, SUB 168</t>
  </si>
  <si>
    <t>D-U-15276 (LGS)</t>
  </si>
  <si>
    <t>D-81-12-12</t>
  </si>
  <si>
    <t>C-81-340-G-42T</t>
  </si>
  <si>
    <t>C-28036</t>
  </si>
  <si>
    <t>The Narragansett Electric Co.</t>
  </si>
  <si>
    <t>D-1612</t>
  </si>
  <si>
    <t>C-R-811719</t>
  </si>
  <si>
    <t>D-81-0600 (CILCO-G)</t>
  </si>
  <si>
    <t>D-81-0609</t>
  </si>
  <si>
    <t>D-RPU-81-44</t>
  </si>
  <si>
    <t>C-28055</t>
  </si>
  <si>
    <t>D-3270-UR-10-G</t>
  </si>
  <si>
    <t>C-U-6839</t>
  </si>
  <si>
    <t>C-81-970-GA-AIR</t>
  </si>
  <si>
    <t>Ca-U-82-20,33</t>
  </si>
  <si>
    <t>Northern IN Public Svc Co. LLC</t>
  </si>
  <si>
    <t>Ca-36690</t>
  </si>
  <si>
    <t>D-81-0747 (gas)</t>
  </si>
  <si>
    <t>C-1710</t>
  </si>
  <si>
    <t>The Gas Co. LLC</t>
  </si>
  <si>
    <t>D-4286</t>
  </si>
  <si>
    <t>C-81-1024-GA-AIR</t>
  </si>
  <si>
    <t>C-81-1025-GA-AIR</t>
  </si>
  <si>
    <t>C-U-1008-171</t>
  </si>
  <si>
    <t>D-82-239-G O-82-676</t>
  </si>
  <si>
    <t>D-3333-U</t>
  </si>
  <si>
    <t>D-U-1551 De-53237</t>
  </si>
  <si>
    <t>Boston Gas Co.</t>
  </si>
  <si>
    <t>DPU-1100</t>
  </si>
  <si>
    <t>D-E-002-GR-81-508</t>
  </si>
  <si>
    <t>South Jersey Gas Co.</t>
  </si>
  <si>
    <t>D-818-754</t>
  </si>
  <si>
    <t>C-28106</t>
  </si>
  <si>
    <t>C-28107</t>
  </si>
  <si>
    <t>Ca-36817</t>
  </si>
  <si>
    <t>D-6670-GR-9</t>
  </si>
  <si>
    <t>D-82-06-12</t>
  </si>
  <si>
    <t>C-U-1034-99</t>
  </si>
  <si>
    <t>AP-82-0705 De-8211061</t>
  </si>
  <si>
    <t>D-82-0039 (CIPS-G)</t>
  </si>
  <si>
    <t>C-7639 0-66016</t>
  </si>
  <si>
    <t>C-PUE-820029</t>
  </si>
  <si>
    <t>Colonial Gas Co.</t>
  </si>
  <si>
    <t>DPU-1125</t>
  </si>
  <si>
    <t>D-82-399 (Northern)</t>
  </si>
  <si>
    <t>D-G-9, SUB 219</t>
  </si>
  <si>
    <t>DPU-1122</t>
  </si>
  <si>
    <t>DPU-1120</t>
  </si>
  <si>
    <t>C-U-4242</t>
  </si>
  <si>
    <t>D-132,996-U</t>
  </si>
  <si>
    <t>AP-61081 De-82-12054</t>
  </si>
  <si>
    <t>Chattanooga Gas Co.</t>
  </si>
  <si>
    <t>D-U-82-7175</t>
  </si>
  <si>
    <t>D-82-07-01-G</t>
  </si>
  <si>
    <t>C-R-821899</t>
  </si>
  <si>
    <t>Virginia Natural Gas Inc.</t>
  </si>
  <si>
    <t>C-PUE-820047</t>
  </si>
  <si>
    <t>C-28158</t>
  </si>
  <si>
    <t>D-82-0189</t>
  </si>
  <si>
    <t>D-82-0082</t>
  </si>
  <si>
    <t>Ca-U-82-11</t>
  </si>
  <si>
    <t>Ca-U-82-22, 37</t>
  </si>
  <si>
    <t>C-28169</t>
  </si>
  <si>
    <t>D-82-0152 (IP-G)</t>
  </si>
  <si>
    <t>D-6650-GR-17</t>
  </si>
  <si>
    <t>D-82-399 (Southern)</t>
  </si>
  <si>
    <t>Long Island Lighting Co.</t>
  </si>
  <si>
    <t>C-28177</t>
  </si>
  <si>
    <t>Minnesota Energy Resources</t>
  </si>
  <si>
    <t>D-G-011-GR-82-65</t>
  </si>
  <si>
    <t>D-RPU-82-40</t>
  </si>
  <si>
    <t>C-787 0-7749</t>
  </si>
  <si>
    <t>C-8616 (gas)</t>
  </si>
  <si>
    <t>D-U-82-7190</t>
  </si>
  <si>
    <t>D-G-008-GR-82-249</t>
  </si>
  <si>
    <t>C-28227</t>
  </si>
  <si>
    <t>D-6690-UR-19-G</t>
  </si>
  <si>
    <t>C-U-5732</t>
  </si>
  <si>
    <t>C-82-057-15</t>
  </si>
  <si>
    <t>D-83-113</t>
  </si>
  <si>
    <t>C-28279</t>
  </si>
  <si>
    <t>D-3270-UR-11-G</t>
  </si>
  <si>
    <t>C-82-380-G-42T</t>
  </si>
  <si>
    <t>D-82.6.40</t>
  </si>
  <si>
    <t>D-U-15575 (LGS)</t>
  </si>
  <si>
    <t>D-83-01-01</t>
  </si>
  <si>
    <t>Spire Gulf Inc.</t>
  </si>
  <si>
    <t>D-18590</t>
  </si>
  <si>
    <t>C-7695 0-66273-G</t>
  </si>
  <si>
    <t>Columbia Gas of Kentucky Inc</t>
  </si>
  <si>
    <t>C-8738</t>
  </si>
  <si>
    <t>Equitable Gas Company</t>
  </si>
  <si>
    <t>C-R-822133</t>
  </si>
  <si>
    <t>C-28315</t>
  </si>
  <si>
    <t>D-4220-UR-4-G</t>
  </si>
  <si>
    <t>D-G-5, SUB 181</t>
  </si>
  <si>
    <t>C-82-901-GA-AIR</t>
  </si>
  <si>
    <t>D-6680-UR-13-G</t>
  </si>
  <si>
    <t>D-6670-GR-10</t>
  </si>
  <si>
    <t>Ca-27878</t>
  </si>
  <si>
    <t>D-U-15763 (Entex)</t>
  </si>
  <si>
    <t>D-83-217-G O-83-601</t>
  </si>
  <si>
    <t>D-3402-U</t>
  </si>
  <si>
    <t>D-U-1345 De-53761-G</t>
  </si>
  <si>
    <t>D-82-0892 (gas)</t>
  </si>
  <si>
    <t>C-28380</t>
  </si>
  <si>
    <t>C-1787</t>
  </si>
  <si>
    <t>D-136,850-U</t>
  </si>
  <si>
    <t>Ca-28069</t>
  </si>
  <si>
    <t>C-82-1174-GA-AIR</t>
  </si>
  <si>
    <t>C-82-1151-GA-AIR</t>
  </si>
  <si>
    <t>C-U-7298</t>
  </si>
  <si>
    <t>C-8839</t>
  </si>
  <si>
    <t>D-83-07-15-G</t>
  </si>
  <si>
    <t>NC Natural Gas Corp.</t>
  </si>
  <si>
    <t>D-G-21, SUB 235</t>
  </si>
  <si>
    <t>D-U-15640</t>
  </si>
  <si>
    <t>AP-821257 De-8312065-G</t>
  </si>
  <si>
    <t>C-28447</t>
  </si>
  <si>
    <t>AP-821248 De-8312068-G</t>
  </si>
  <si>
    <t>D-6650-GR-18</t>
  </si>
  <si>
    <t>C-28471</t>
  </si>
  <si>
    <t>Peoples Natural Gas Co. LLC</t>
  </si>
  <si>
    <t>C-R-832315</t>
  </si>
  <si>
    <t>Ca-37247</t>
  </si>
  <si>
    <t>C-R-832331</t>
  </si>
  <si>
    <t>D-3270-UR-12-G</t>
  </si>
  <si>
    <t>C-28527</t>
  </si>
  <si>
    <t>D-837-620-G</t>
  </si>
  <si>
    <t>D-83-1012 (Southern)</t>
  </si>
  <si>
    <t>C-28552</t>
  </si>
  <si>
    <t>C-R-832401</t>
  </si>
  <si>
    <t>D-83.8.58</t>
  </si>
  <si>
    <t>C-8924 (gas)</t>
  </si>
  <si>
    <t>D-1640-De-C84-598 (Gas)</t>
  </si>
  <si>
    <t>D-U-1551 De-54073</t>
  </si>
  <si>
    <t>C-28611</t>
  </si>
  <si>
    <t>D-140,015-U</t>
  </si>
  <si>
    <t>C-U-7650</t>
  </si>
  <si>
    <t>D-RPU-84-23</t>
  </si>
  <si>
    <t>Columbia Gas of Pennsylvania</t>
  </si>
  <si>
    <t>C-R-832493</t>
  </si>
  <si>
    <t>D-6670-GR-11</t>
  </si>
  <si>
    <t>D-83-0580</t>
  </si>
  <si>
    <t>D-84-02-09</t>
  </si>
  <si>
    <t>D-83-0630</t>
  </si>
  <si>
    <t>D-3467-U</t>
  </si>
  <si>
    <t>D-U-16096 (TLG)</t>
  </si>
  <si>
    <t>D-6680-UR-14-G</t>
  </si>
  <si>
    <t>C-28696</t>
  </si>
  <si>
    <t>C-9003</t>
  </si>
  <si>
    <t>C-9029</t>
  </si>
  <si>
    <t>C-83-1529-GA-AIR</t>
  </si>
  <si>
    <t>D-1741</t>
  </si>
  <si>
    <t>C-PUE-840032</t>
  </si>
  <si>
    <t>D-6650-GR-19</t>
  </si>
  <si>
    <t>AP-0840225 De-8412069</t>
  </si>
  <si>
    <t>D-84-06-02</t>
  </si>
  <si>
    <t>D-6690-UR-20-G</t>
  </si>
  <si>
    <t>C-84-057-07</t>
  </si>
  <si>
    <t>D-843-184</t>
  </si>
  <si>
    <t>C-PUE-840046</t>
  </si>
  <si>
    <t>D-84-23</t>
  </si>
  <si>
    <t>C-28800</t>
  </si>
  <si>
    <t>C-28826</t>
  </si>
  <si>
    <t>C-28839</t>
  </si>
  <si>
    <t>D-U-84-7333</t>
  </si>
  <si>
    <t>C-U-7895</t>
  </si>
  <si>
    <t>C-28898</t>
  </si>
  <si>
    <t>D-3270-UR-13-G</t>
  </si>
  <si>
    <t>D-6680-UR-100-G</t>
  </si>
  <si>
    <t>D-3524-U</t>
  </si>
  <si>
    <t>D-U-16437 (LGS)</t>
  </si>
  <si>
    <t>C-R-842769</t>
  </si>
  <si>
    <t>C-28947</t>
  </si>
  <si>
    <t>D-U-85-7355</t>
  </si>
  <si>
    <t>C-U-4728</t>
  </si>
  <si>
    <t>D-G-5, SUB 200</t>
  </si>
  <si>
    <t>C-28954</t>
  </si>
  <si>
    <t>D-85-043-U</t>
  </si>
  <si>
    <t>D-G-9, SUB 251</t>
  </si>
  <si>
    <t>AP-841215 De-8512108-G</t>
  </si>
  <si>
    <t>D-6650-GR-100</t>
  </si>
  <si>
    <t>Ca-29562</t>
  </si>
  <si>
    <t>C-PUE-850045</t>
  </si>
  <si>
    <t>D-E-002-GR-85-108</t>
  </si>
  <si>
    <t>Ca-29441</t>
  </si>
  <si>
    <t>C-29047</t>
  </si>
  <si>
    <t>D-U-85-7382</t>
  </si>
  <si>
    <t>Michigan Gas Utilities Corp.</t>
  </si>
  <si>
    <t>C-U-7976</t>
  </si>
  <si>
    <t>C-29088</t>
  </si>
  <si>
    <t>D-RPU-85-14</t>
  </si>
  <si>
    <t>D-U-16534 (ARKLA)</t>
  </si>
  <si>
    <t>D-3270-UR-100-G</t>
  </si>
  <si>
    <t>D-85.7.30</t>
  </si>
  <si>
    <t>D-85-10-22-G</t>
  </si>
  <si>
    <t>D-148,312-U</t>
  </si>
  <si>
    <t>D-RPU-85-22</t>
  </si>
  <si>
    <t>C-29191</t>
  </si>
  <si>
    <t>New Jersey Natural Gas Co.</t>
  </si>
  <si>
    <t>D-85106-974</t>
  </si>
  <si>
    <t>D-6680-UR-101-G</t>
  </si>
  <si>
    <t>C-840 0-8569</t>
  </si>
  <si>
    <t>D-3582-U</t>
  </si>
  <si>
    <t>C-R-850270</t>
  </si>
  <si>
    <t>C-9556</t>
  </si>
  <si>
    <t>D-G-21, SUB 255</t>
  </si>
  <si>
    <t>D-G-5, SUB 207</t>
  </si>
  <si>
    <t>C-R-850287</t>
  </si>
  <si>
    <t>AP-851250 De-8612095-G</t>
  </si>
  <si>
    <t>D-6650-GR-102</t>
  </si>
  <si>
    <t>D-G-011-GR-86-144</t>
  </si>
  <si>
    <t>D-E-002-GR-86-160</t>
  </si>
  <si>
    <t>D-U-86-7442</t>
  </si>
  <si>
    <t>D-U-17159 (TLG)</t>
  </si>
  <si>
    <t>Black Hills Iowa Gas Utility</t>
  </si>
  <si>
    <t>D-RPU-86-11</t>
  </si>
  <si>
    <t>C-7973 0-67733-G</t>
  </si>
  <si>
    <t>D-3270-UR-101-G</t>
  </si>
  <si>
    <t>C-29248</t>
  </si>
  <si>
    <t>D-87-01-03</t>
  </si>
  <si>
    <t>D-6690-UR-101-G</t>
  </si>
  <si>
    <t>Ca-38080</t>
  </si>
  <si>
    <t>D-154,608-U</t>
  </si>
  <si>
    <t>D-87-03-06</t>
  </si>
  <si>
    <t>D-87-227-G O-87-1294</t>
  </si>
  <si>
    <t>D-U-17537 (Entex)</t>
  </si>
  <si>
    <t>D-4220-UR-101-G</t>
  </si>
  <si>
    <t>DPU-87-122</t>
  </si>
  <si>
    <t>C-R-870629</t>
  </si>
  <si>
    <t>D-87-0032</t>
  </si>
  <si>
    <t>D-6690-UR-102-G</t>
  </si>
  <si>
    <t>D-87-07-01-G</t>
  </si>
  <si>
    <t>C-R-870719</t>
  </si>
  <si>
    <t>D-3270-UR-102-G</t>
  </si>
  <si>
    <t>D-RPU-87-3</t>
  </si>
  <si>
    <t>D-87-1131</t>
  </si>
  <si>
    <t>C-10064 (gas)</t>
  </si>
  <si>
    <t>D-U-17694 (ARKLA)</t>
  </si>
  <si>
    <t>C-29679</t>
  </si>
  <si>
    <t>C-29676</t>
  </si>
  <si>
    <t>C-2147</t>
  </si>
  <si>
    <t>C-8119 0-68211</t>
  </si>
  <si>
    <t>D-158,499-U</t>
  </si>
  <si>
    <t>D-6670-GR-103</t>
  </si>
  <si>
    <t>DPU-88-67</t>
  </si>
  <si>
    <t>D-6680-UR-103-G</t>
  </si>
  <si>
    <t>C-10201</t>
  </si>
  <si>
    <t>Ca-38380</t>
  </si>
  <si>
    <t>C-870 0-9146</t>
  </si>
  <si>
    <t>C-PUE-880024</t>
  </si>
  <si>
    <t>D-U-17850 (LGS)</t>
  </si>
  <si>
    <t>D-3780-U</t>
  </si>
  <si>
    <t>AP-8712003 De-8812085-G</t>
  </si>
  <si>
    <t>D-88-05-25-G</t>
  </si>
  <si>
    <t>C-U-8812</t>
  </si>
  <si>
    <t>C-R-880961</t>
  </si>
  <si>
    <t>D-6690-UR-103-G</t>
  </si>
  <si>
    <t>D-G-9, SUB 278</t>
  </si>
  <si>
    <t>D-1914</t>
  </si>
  <si>
    <t>D-3270-UR-103-G</t>
  </si>
  <si>
    <t>C-88-G-180</t>
  </si>
  <si>
    <t>D-88.6.15 (gas)</t>
  </si>
  <si>
    <t>D-89-02-09</t>
  </si>
  <si>
    <t>C-10498</t>
  </si>
  <si>
    <t>C-88-716, 720-GA-AIR</t>
  </si>
  <si>
    <t>D-6650-GR-106</t>
  </si>
  <si>
    <t>D-G-5, SUB 246</t>
  </si>
  <si>
    <t>D-6680-UR-104-G</t>
  </si>
  <si>
    <t>D-89-245-G O-89-1074</t>
  </si>
  <si>
    <t>C-U-8924</t>
  </si>
  <si>
    <t>C-8208 0-68648-G</t>
  </si>
  <si>
    <t>AP-8812005 De-8912057-G</t>
  </si>
  <si>
    <t>D-6690-UR-104-G</t>
  </si>
  <si>
    <t>C-R-891218</t>
  </si>
  <si>
    <t>D-4220-UR-103-G</t>
  </si>
  <si>
    <t>AP-8812047 De-900116</t>
  </si>
  <si>
    <t>Elizabethtown Gas Co.</t>
  </si>
  <si>
    <t>D-GR-88121321</t>
  </si>
  <si>
    <t>C-89-G-030</t>
  </si>
  <si>
    <t>D-GR-89030335J</t>
  </si>
  <si>
    <t>D-89-09-06</t>
  </si>
  <si>
    <t>C-89-616,620-GA-AIR</t>
  </si>
  <si>
    <t>D-RPU-89-3</t>
  </si>
  <si>
    <t>D-3270-UR-104 (gas)</t>
  </si>
  <si>
    <t>D-6680-UR-105 (gas)</t>
  </si>
  <si>
    <t>SEMCO Energy Inc.</t>
  </si>
  <si>
    <t>C-U-9323</t>
  </si>
  <si>
    <t>C-89-G-168</t>
  </si>
  <si>
    <t>C-89-G-179</t>
  </si>
  <si>
    <t>D-U-1551-89-103</t>
  </si>
  <si>
    <t>D-U-1551-89-102</t>
  </si>
  <si>
    <t>C-90-013</t>
  </si>
  <si>
    <t>D-3923-U</t>
  </si>
  <si>
    <t>C-R-891469</t>
  </si>
  <si>
    <t>C-90-041 (gas)</t>
  </si>
  <si>
    <t>D-90-0007</t>
  </si>
  <si>
    <t>C-R-901595</t>
  </si>
  <si>
    <t>D-89-057-15</t>
  </si>
  <si>
    <t>D-90-0072 (CIPS)</t>
  </si>
  <si>
    <t>Columbia Gas of Virginia Inc</t>
  </si>
  <si>
    <t>C-PUE-900034</t>
  </si>
  <si>
    <t>D-6690-UR-105 (gas)</t>
  </si>
  <si>
    <t>C-R-901670</t>
  </si>
  <si>
    <t>D-21530</t>
  </si>
  <si>
    <t>Pivotal Utility Holdings Inc.</t>
  </si>
  <si>
    <t>D-891175-GU</t>
  </si>
  <si>
    <t>C-90-158 (gas)</t>
  </si>
  <si>
    <t>D-90-0127 (CILCO)</t>
  </si>
  <si>
    <t>C-90-G-0140</t>
  </si>
  <si>
    <t>D-1971</t>
  </si>
  <si>
    <t>C-90-G-649</t>
  </si>
  <si>
    <t>C-90-G-0673</t>
  </si>
  <si>
    <t>C-90-G-0734</t>
  </si>
  <si>
    <t>D-D90.6.39 (gas)</t>
  </si>
  <si>
    <t>C-PUE-900028</t>
  </si>
  <si>
    <t>D-6670-GR-106</t>
  </si>
  <si>
    <t>C-90-G-1001</t>
  </si>
  <si>
    <t>D-6650-GR-109</t>
  </si>
  <si>
    <t>D-91-0010</t>
  </si>
  <si>
    <t>D-4011-U</t>
  </si>
  <si>
    <t>C-91-G-0112</t>
  </si>
  <si>
    <t>D-G-21,SUB295</t>
  </si>
  <si>
    <t>D-6690-UR-106 (gas)</t>
  </si>
  <si>
    <t>D-4220-UR-105 (gas)</t>
  </si>
  <si>
    <t>D-176,716-U</t>
  </si>
  <si>
    <t>C-GR-91-291</t>
  </si>
  <si>
    <t>D-91-7080</t>
  </si>
  <si>
    <t>D-U-1551-90-322</t>
  </si>
  <si>
    <t>D-91-0193 (gas) (CIPS)</t>
  </si>
  <si>
    <t>D-RPU-91-5</t>
  </si>
  <si>
    <t>C-91-G-767</t>
  </si>
  <si>
    <t>C-91-G-0865</t>
  </si>
  <si>
    <t>Yankee Gas Services Co.</t>
  </si>
  <si>
    <t>D-92-02-19</t>
  </si>
  <si>
    <t>D-4177-U</t>
  </si>
  <si>
    <t>D-91-0568</t>
  </si>
  <si>
    <t>D-6670-GR-107</t>
  </si>
  <si>
    <t>D-6650-GR-110</t>
  </si>
  <si>
    <t>DPU-92-11</t>
  </si>
  <si>
    <t>D-RPU-92-6</t>
  </si>
  <si>
    <t>C-91-G-1328</t>
  </si>
  <si>
    <t>AP-9111024 De-9212019 (gas)</t>
  </si>
  <si>
    <t>AP-9111036 De-9212057 (gas)</t>
  </si>
  <si>
    <t>D-6680-UR-107 (gas)</t>
  </si>
  <si>
    <t>D-6690-UR-107 (gas)</t>
  </si>
  <si>
    <t>D-181,940-U</t>
  </si>
  <si>
    <t>D-4220-UR-106 (gas)</t>
  </si>
  <si>
    <t>C-8487(gas)</t>
  </si>
  <si>
    <t>D-3270-UR-106 (gas)</t>
  </si>
  <si>
    <t>D-92-12021</t>
  </si>
  <si>
    <t>C-PUE-920031</t>
  </si>
  <si>
    <t>D-92-0357(gas)</t>
  </si>
  <si>
    <t>C-92-346</t>
  </si>
  <si>
    <t>D-U-1551-92-253</t>
  </si>
  <si>
    <t>D-6670-GR-108</t>
  </si>
  <si>
    <t>D-G-002-GR-92-1186</t>
  </si>
  <si>
    <t>D-RPU-92-11</t>
  </si>
  <si>
    <t>D-UG-92-084</t>
  </si>
  <si>
    <t>D-4451-U</t>
  </si>
  <si>
    <t>D-6680-UR-108 (gas)</t>
  </si>
  <si>
    <t>FC-922</t>
  </si>
  <si>
    <t>D-2082</t>
  </si>
  <si>
    <t>C-PUE-920037</t>
  </si>
  <si>
    <t>D-93-3004(Southern)</t>
  </si>
  <si>
    <t>C-U-10150</t>
  </si>
  <si>
    <t>DPU-93-60</t>
  </si>
  <si>
    <t>C-92-1088-G-P</t>
  </si>
  <si>
    <t>C-93-005-G-42T</t>
  </si>
  <si>
    <t>D-6650-GR-111</t>
  </si>
  <si>
    <t>D-91-24</t>
  </si>
  <si>
    <t>D-93S-001G</t>
  </si>
  <si>
    <t>D-93-02-04</t>
  </si>
  <si>
    <t>C-92-G-1056</t>
  </si>
  <si>
    <t>D-6690-UR-108 (gas)</t>
  </si>
  <si>
    <t>AP-9211017 De-9312043</t>
  </si>
  <si>
    <t>D-93-057-01</t>
  </si>
  <si>
    <t>C-93-G-0162</t>
  </si>
  <si>
    <t>D-93-081-U</t>
  </si>
  <si>
    <t>D-93-0183 (IP)</t>
  </si>
  <si>
    <t>D-D93.6.24 (gas)</t>
  </si>
  <si>
    <t>UNS Gas Inc.</t>
  </si>
  <si>
    <t>D-G-1032-93-111</t>
  </si>
  <si>
    <t>C-93-G-0756</t>
  </si>
  <si>
    <t>D-G-5,SUB327</t>
  </si>
  <si>
    <t>Ca-PUD-91001190</t>
  </si>
  <si>
    <t>C-R-942991</t>
  </si>
  <si>
    <t>D-3270-UR-107 (gas)</t>
  </si>
  <si>
    <t>D-6680-UR-109 (gas)</t>
  </si>
  <si>
    <t>D-94-0040 (CILCO)</t>
  </si>
  <si>
    <t>D-6690-UR-109 (gas)</t>
  </si>
  <si>
    <t>C-94-G-0100</t>
  </si>
  <si>
    <t>D-6670-GR-109</t>
  </si>
  <si>
    <t>C-94-G-0604</t>
  </si>
  <si>
    <t>C-PUE-940031</t>
  </si>
  <si>
    <t>D-95-02-07</t>
  </si>
  <si>
    <t>D-95-715-G</t>
  </si>
  <si>
    <t>D-95-0031</t>
  </si>
  <si>
    <t>D-95-0032</t>
  </si>
  <si>
    <t>D-2286</t>
  </si>
  <si>
    <t>C-8697</t>
  </si>
  <si>
    <t>D-24794</t>
  </si>
  <si>
    <t>D-4220-UR-108 (gas)</t>
  </si>
  <si>
    <t>AP-9412005 De-9512055 (gas)</t>
  </si>
  <si>
    <t>C-PUE-940054</t>
  </si>
  <si>
    <t>C-U-10755</t>
  </si>
  <si>
    <t>D-95-0219</t>
  </si>
  <si>
    <t>D-193,305-U</t>
  </si>
  <si>
    <t>D-G-008-GR-95-700</t>
  </si>
  <si>
    <t>C-95-G-1034</t>
  </si>
  <si>
    <t>D-960502-GU</t>
  </si>
  <si>
    <t>D-4220-UR-109 (gas)</t>
  </si>
  <si>
    <t>D-96-030-U</t>
  </si>
  <si>
    <t>DPU-96-50</t>
  </si>
  <si>
    <t>C-95-656-GA-AIR</t>
  </si>
  <si>
    <t>D-96-00977</t>
  </si>
  <si>
    <t>C-GR-96-285</t>
  </si>
  <si>
    <t>D-96S-290G</t>
  </si>
  <si>
    <t>D-6630-UR-109 (gas)</t>
  </si>
  <si>
    <t>C-2662</t>
  </si>
  <si>
    <t>D-6690-UR-110 (gas)</t>
  </si>
  <si>
    <t>C-U-10960</t>
  </si>
  <si>
    <t>D-6680-UR-110 (gas)</t>
  </si>
  <si>
    <t>D-3270-UR-108 (gas)</t>
  </si>
  <si>
    <t>C-PUE-960227</t>
  </si>
  <si>
    <t>D-6630-UR-110 (gas)</t>
  </si>
  <si>
    <t>D-8390-U</t>
  </si>
  <si>
    <t>C-GR-98-140</t>
  </si>
  <si>
    <t>D-4220-UR-110 (gas)</t>
  </si>
  <si>
    <t>D-97-00982</t>
  </si>
  <si>
    <t>D-G-5,SUB386</t>
  </si>
  <si>
    <t>D-3270-UR-109 (gas)</t>
  </si>
  <si>
    <t>D-6690-UR-111 (gas)</t>
  </si>
  <si>
    <t>C-PUE-970455</t>
  </si>
  <si>
    <t>D-98-0546 (CIPS)</t>
  </si>
  <si>
    <t>D-98-0545 (CIPS)</t>
  </si>
  <si>
    <t>D-98S-518G</t>
  </si>
  <si>
    <t>Northwest Natural Gas Co.</t>
  </si>
  <si>
    <t>D-UG-132</t>
  </si>
  <si>
    <t>C-GR-99-315</t>
  </si>
  <si>
    <t>D-99-04-18</t>
  </si>
  <si>
    <t>AP-9712020 De-0002046 (gas)</t>
  </si>
  <si>
    <t>D-99-09-03</t>
  </si>
  <si>
    <t>C-8829</t>
  </si>
  <si>
    <t>D-99-0534</t>
  </si>
  <si>
    <t>D-6630-UR-111 (gas)</t>
  </si>
  <si>
    <t>D-99-057-20</t>
  </si>
  <si>
    <t>C-2000-080</t>
  </si>
  <si>
    <t>D-UE-99-1607</t>
  </si>
  <si>
    <t>D-3270-UR-110 (gas)</t>
  </si>
  <si>
    <t>D-6690-UR-112 (gas)</t>
  </si>
  <si>
    <t>D-000768-GU</t>
  </si>
  <si>
    <t>D-00S-422G</t>
  </si>
  <si>
    <t>D-D2000.8.113 (gas)</t>
  </si>
  <si>
    <t>D-G-01551A-00-0309</t>
  </si>
  <si>
    <t>D-01-05-19</t>
  </si>
  <si>
    <t>C-2001-00092</t>
  </si>
  <si>
    <t>D-14311-U</t>
  </si>
  <si>
    <t>D-6690-UR-113 (gas)</t>
  </si>
  <si>
    <t>D-01-0696</t>
  </si>
  <si>
    <t>D-6680-UR-111 (gas)</t>
  </si>
  <si>
    <t>FC-989</t>
  </si>
  <si>
    <t>D-2002-63-G</t>
  </si>
  <si>
    <t>C-U-13000</t>
  </si>
  <si>
    <t>D-02-057-02</t>
  </si>
  <si>
    <t>D-3270-UR-111 (gas)</t>
  </si>
  <si>
    <t>C-02-G-0199</t>
  </si>
  <si>
    <t>D-6690-UR-114 (gas)</t>
  </si>
  <si>
    <t>D-6680-UR-112 (gas)</t>
  </si>
  <si>
    <t>D-RPU-02-7</t>
  </si>
  <si>
    <t>D-02-0837 (CILCO)</t>
  </si>
  <si>
    <t>D-03-0008 (CIPS)</t>
  </si>
  <si>
    <t>D-03-0009 (CIPS)</t>
  </si>
  <si>
    <t>C-8959</t>
  </si>
  <si>
    <t>DTE-03-40</t>
  </si>
  <si>
    <t>FC-1016</t>
  </si>
  <si>
    <t>C-PUE-2002-00364</t>
  </si>
  <si>
    <t>D-6680-UR-113 (gas)</t>
  </si>
  <si>
    <t>D-6690-UR-115 (gas)</t>
  </si>
  <si>
    <t>D-3270-UR-112 (gas)</t>
  </si>
  <si>
    <t>D-030569-GU</t>
  </si>
  <si>
    <t>AP-02-02-012 (So.Div)</t>
  </si>
  <si>
    <t>AP-02-02-012 (No.Div)</t>
  </si>
  <si>
    <t>D-GUD-9400 (Mid-Tex)</t>
  </si>
  <si>
    <t>D-04-3011(Southern)</t>
  </si>
  <si>
    <t>D-04-3011(Northern)</t>
  </si>
  <si>
    <t>C-AVU-G-04-1</t>
  </si>
  <si>
    <t>C-GR-2004-0209</t>
  </si>
  <si>
    <t>D-04-00034</t>
  </si>
  <si>
    <t>D-6690-UR-116 (gas)</t>
  </si>
  <si>
    <t>D-3270-UR-113 (gas)</t>
  </si>
  <si>
    <t>D-UG-04-0640</t>
  </si>
  <si>
    <t>C-U-13898</t>
  </si>
  <si>
    <t>D-6680-UR-114 (gas)</t>
  </si>
  <si>
    <t>D-04-121-U</t>
  </si>
  <si>
    <t>D-04-0779</t>
  </si>
  <si>
    <t>D-04-176-U</t>
  </si>
  <si>
    <t>DTE-05-27</t>
  </si>
  <si>
    <t>Arkansas Oklahoma Gas Corp.</t>
  </si>
  <si>
    <t>D-05-006-U</t>
  </si>
  <si>
    <t>D-3270-UR-114 (gas)</t>
  </si>
  <si>
    <t>D-20298-U</t>
  </si>
  <si>
    <t>C-9036</t>
  </si>
  <si>
    <t>D-6690-UR-117 (gas)</t>
  </si>
  <si>
    <t>C-2005-00042</t>
  </si>
  <si>
    <t>D-4220-UR-114 (gas)</t>
  </si>
  <si>
    <t>D-05-UR-102 (WEP-GAS)</t>
  </si>
  <si>
    <t>D-05-UR-102 (WG)</t>
  </si>
  <si>
    <t>D-G-01551A-04-0876</t>
  </si>
  <si>
    <t>D-05-10005</t>
  </si>
  <si>
    <t>C-PUE-2005-00057</t>
  </si>
  <si>
    <t>D-G-008-GR-05-1380</t>
  </si>
  <si>
    <t>C-U-14547</t>
  </si>
  <si>
    <t>D-UG-06-0267</t>
  </si>
  <si>
    <t>D.6690-UR-118 (gas)</t>
  </si>
  <si>
    <t>D.6680-UR-115 (gas)</t>
  </si>
  <si>
    <t>UGI Central Penn Gas Inc.</t>
  </si>
  <si>
    <t>C-R-00061398</t>
  </si>
  <si>
    <t>C-GR-2006-0422</t>
  </si>
  <si>
    <t>D-GUD-9670 (Mid-Tex)</t>
  </si>
  <si>
    <t>C-06-00210-UT</t>
  </si>
  <si>
    <t>Nebraska</t>
  </si>
  <si>
    <t>Black Hills Nebraska Gas LLC</t>
  </si>
  <si>
    <t>D-NG-0041</t>
  </si>
  <si>
    <t>D-G-002-GR-06-1429</t>
  </si>
  <si>
    <t>C-9104</t>
  </si>
  <si>
    <t>D-G-04204A-06-0463</t>
  </si>
  <si>
    <t>D-3270-UR-115 (gas)</t>
  </si>
  <si>
    <t>C-07-G-0141</t>
  </si>
  <si>
    <t>D-4220-UR-115 (gas)</t>
  </si>
  <si>
    <t>D-5-UR-103 (WEP-GAS)</t>
  </si>
  <si>
    <t>D-5-UR-103 (WG)</t>
  </si>
  <si>
    <t>D-07-0242</t>
  </si>
  <si>
    <t>D-07-0241</t>
  </si>
  <si>
    <t>D-07-057-13</t>
  </si>
  <si>
    <t>D-27163-U</t>
  </si>
  <si>
    <t>D-07-0588 (CILCO)</t>
  </si>
  <si>
    <t>D-07-0589 (CIPS)</t>
  </si>
  <si>
    <t>D-07-0590 (IP)</t>
  </si>
  <si>
    <t>D-3943</t>
  </si>
  <si>
    <t>D-G-01551A-07-0504</t>
  </si>
  <si>
    <t>Liberty Utilities (NE Nat Gas)</t>
  </si>
  <si>
    <t>DPU 08-35</t>
  </si>
  <si>
    <t>D-08-0363</t>
  </si>
  <si>
    <t>Peoples Gas System</t>
  </si>
  <si>
    <t>D-080318-GU</t>
  </si>
  <si>
    <t>Liberty Utilities EnergyNorth</t>
  </si>
  <si>
    <t>D-DG-08-009</t>
  </si>
  <si>
    <t>C-08-G-0888</t>
  </si>
  <si>
    <t>D-G-007,011/GR-08-835</t>
  </si>
  <si>
    <t>D-08-12-06</t>
  </si>
  <si>
    <t>D-08-12-07</t>
  </si>
  <si>
    <t>D-09-04003 (Southern)</t>
  </si>
  <si>
    <t>D-09-04003 (Northern)</t>
  </si>
  <si>
    <t>DPU 09-30</t>
  </si>
  <si>
    <t>C-08-1783-G-42T</t>
  </si>
  <si>
    <t>D-5-UR-104 (WG)</t>
  </si>
  <si>
    <t>D-5-UR-104 (WEP-GAS)</t>
  </si>
  <si>
    <t>D-6680-UR-117 (gas)</t>
  </si>
  <si>
    <t>D-3270-UR-116 (gas)</t>
  </si>
  <si>
    <t>D-UG-090135</t>
  </si>
  <si>
    <t>D-G-008/GR-08-1075</t>
  </si>
  <si>
    <t>D-09-0166</t>
  </si>
  <si>
    <t>D-09-0167</t>
  </si>
  <si>
    <t>D-GUD 9869 (Mid-Tex)</t>
  </si>
  <si>
    <t>C-GR-2009-0355</t>
  </si>
  <si>
    <t>D-GUD 9902</t>
  </si>
  <si>
    <t>Black Hills Gas Distribution</t>
  </si>
  <si>
    <t>D-NG-0060</t>
  </si>
  <si>
    <t>D-09-0312</t>
  </si>
  <si>
    <t>D-30442</t>
  </si>
  <si>
    <t>D-G-04204A-08-0571</t>
  </si>
  <si>
    <t>D-UG-090705</t>
  </si>
  <si>
    <t>D-09-0309 (CILCO)</t>
  </si>
  <si>
    <t>D-09-0311 (IP)</t>
  </si>
  <si>
    <t>D-09-0310 (CIPS)</t>
  </si>
  <si>
    <t>C-U-15986</t>
  </si>
  <si>
    <t>D-09-00183</t>
  </si>
  <si>
    <t>C-U-15985</t>
  </si>
  <si>
    <t>D-NG-0061</t>
  </si>
  <si>
    <t>Delta Natural Gas Co.</t>
  </si>
  <si>
    <t>C-2010-00116</t>
  </si>
  <si>
    <t>D.P.U. 10-55 (BG)</t>
  </si>
  <si>
    <t>D.P.U. 10-55 (CG)</t>
  </si>
  <si>
    <t>D-31647</t>
  </si>
  <si>
    <t>D-G-002/GR-09-1153</t>
  </si>
  <si>
    <t>C-9230 (gas)</t>
  </si>
  <si>
    <t>Texas Gas Service Co.</t>
  </si>
  <si>
    <t>D-GUD 9988, 9992</t>
  </si>
  <si>
    <t>D-10-06002</t>
  </si>
  <si>
    <t>D-30022-148-GR-10</t>
  </si>
  <si>
    <t>D-3270-UR-117 (gas)</t>
  </si>
  <si>
    <t>D-6690-UR-120 (gas)</t>
  </si>
  <si>
    <t>DPU 10-114</t>
  </si>
  <si>
    <t>D-10-12-02</t>
  </si>
  <si>
    <t>DPU 11-02</t>
  </si>
  <si>
    <t>C-9267</t>
  </si>
  <si>
    <t>D-4220-UR-117 (gas)</t>
  </si>
  <si>
    <t>D-11-0280</t>
  </si>
  <si>
    <t>D-11-0281</t>
  </si>
  <si>
    <t>D-11-0282 (gas)</t>
  </si>
  <si>
    <t>D-G-04204A-11-0158</t>
  </si>
  <si>
    <t>D-UG-111049</t>
  </si>
  <si>
    <t>D-NG-0067</t>
  </si>
  <si>
    <t>D-G-007,011/GR-10-977</t>
  </si>
  <si>
    <t>D-6680-UR-118 (gas)</t>
  </si>
  <si>
    <t>D-UG-221</t>
  </si>
  <si>
    <t>D-12-04005 (Southern)</t>
  </si>
  <si>
    <t>C-11-1627-G-42T</t>
  </si>
  <si>
    <t>D-12-04005 (Northern)</t>
  </si>
  <si>
    <t>DPU 12-25</t>
  </si>
  <si>
    <t>D-3270-UR-118 (gas)</t>
  </si>
  <si>
    <t>D-05-UR-106 (WG)</t>
  </si>
  <si>
    <t>D-05-UR-106 (WEP-Gas)</t>
  </si>
  <si>
    <t>D-GUD-10170 (Mid-Tex)</t>
  </si>
  <si>
    <t>Ap-12-04-018 (Gas)</t>
  </si>
  <si>
    <t>Ap-12-04-016 (Gas)</t>
  </si>
  <si>
    <t>Ap-12-04-017</t>
  </si>
  <si>
    <t>C-9299 (gas)</t>
  </si>
  <si>
    <t>FC-1093</t>
  </si>
  <si>
    <t>D-12-0511</t>
  </si>
  <si>
    <t>D-12-0512</t>
  </si>
  <si>
    <t>Columbia Gas of Maryland Inc</t>
  </si>
  <si>
    <t>C-9316</t>
  </si>
  <si>
    <t>D-6690-UR-122 (Gas)</t>
  </si>
  <si>
    <t>C-9322</t>
  </si>
  <si>
    <t>D-4220-UR-119 (Gas)</t>
  </si>
  <si>
    <t>C-9326 (gas)</t>
  </si>
  <si>
    <t>D-13-06003</t>
  </si>
  <si>
    <t>D-13-0192</t>
  </si>
  <si>
    <t>D-12AL-1268G</t>
  </si>
  <si>
    <t>D-13-06-08</t>
  </si>
  <si>
    <t>D-13-057-05</t>
  </si>
  <si>
    <t>DPU 13-75</t>
  </si>
  <si>
    <t>C-2013-00148</t>
  </si>
  <si>
    <t>D-G-008/GR-13-316</t>
  </si>
  <si>
    <t>D-6680-UR-119 (Gas)</t>
  </si>
  <si>
    <t>A-12-12-024 (SoCal)</t>
  </si>
  <si>
    <t>A-12-12-024 (NoCal)</t>
  </si>
  <si>
    <t>A-12-12-024 (LkTah)</t>
  </si>
  <si>
    <t>D-G-011/GR-13-617</t>
  </si>
  <si>
    <t>Summit Natural Gas of Missouri</t>
  </si>
  <si>
    <t>C-GR-2014-0086</t>
  </si>
  <si>
    <t>D-6690-UR-123 (Gas)</t>
  </si>
  <si>
    <t>D-05-UR-107 (WG)</t>
  </si>
  <si>
    <t>D-05-UR-107 (WEP-Gas)</t>
  </si>
  <si>
    <t>D-3270-UR-120 (Gas)</t>
  </si>
  <si>
    <t>D-14-0224</t>
  </si>
  <si>
    <t>D-14-0225</t>
  </si>
  <si>
    <t>DPU 14-150</t>
  </si>
  <si>
    <t>D-6690-UR-124 (Gas)</t>
  </si>
  <si>
    <t>D-4220-UR-121 (Gas)</t>
  </si>
  <si>
    <t>D-15AL-0135G</t>
  </si>
  <si>
    <t>D-UG 288</t>
  </si>
  <si>
    <t>DPU 15-81</t>
  </si>
  <si>
    <t>D-G-008/GR-15-424</t>
  </si>
  <si>
    <t>C-9406 (gas)</t>
  </si>
  <si>
    <t>D-GUD-10506</t>
  </si>
  <si>
    <t>D-G-011/GR-15-736</t>
  </si>
  <si>
    <t>D-3270-UR-121 (Gas)</t>
  </si>
  <si>
    <t>C-U-17999</t>
  </si>
  <si>
    <t>FC-1137</t>
  </si>
  <si>
    <t>C-16-G-0257</t>
  </si>
  <si>
    <t>C-INT-G-16-2</t>
  </si>
  <si>
    <t>C-U-18124</t>
  </si>
  <si>
    <t>ENSTAR Natural Gas Co.</t>
  </si>
  <si>
    <t>D-U-16-066</t>
  </si>
  <si>
    <t>D-4220-UR-123 (Gas)</t>
  </si>
  <si>
    <t>D-17-0124</t>
  </si>
  <si>
    <t>C-GR-2017-0216</t>
  </si>
  <si>
    <t>C-GR-2017-0215</t>
  </si>
  <si>
    <t>Northern Utilities Inc.</t>
  </si>
  <si>
    <t>D-2017-00065</t>
  </si>
  <si>
    <t>D-UG-170486</t>
  </si>
  <si>
    <t>D-DG-17-048</t>
  </si>
  <si>
    <t>C-2017-00349</t>
  </si>
  <si>
    <t>C-U-18999</t>
  </si>
  <si>
    <t>DPU-17-170 (Boston Gas)</t>
  </si>
  <si>
    <t>DPU-17-170 (Colonial Gas)</t>
  </si>
  <si>
    <t>D-18-00017</t>
  </si>
  <si>
    <t>D-G-011/GR-17-563</t>
  </si>
  <si>
    <t>C-9481</t>
  </si>
  <si>
    <t>D-17AL-0363G</t>
  </si>
  <si>
    <t>D-18-05031 (Southern)</t>
  </si>
  <si>
    <t>D-18-05031 (Northern)</t>
  </si>
  <si>
    <t>C-9484</t>
  </si>
  <si>
    <t>C-2018-00281</t>
  </si>
  <si>
    <t>C-U-20322</t>
  </si>
  <si>
    <t>D-18-1775</t>
  </si>
  <si>
    <t>D-UD-18-07 (gas)</t>
  </si>
  <si>
    <t>C-9609</t>
  </si>
  <si>
    <t>D-42315</t>
  </si>
  <si>
    <t>A-19-04-017 (Gas)</t>
  </si>
  <si>
    <t>A-19-04-018</t>
  </si>
  <si>
    <t>C-PUR-2018-00080</t>
  </si>
  <si>
    <t>Roanoke Gas Co.</t>
  </si>
  <si>
    <t>C-PUR-2018-00013</t>
  </si>
  <si>
    <t>D-19-ATMG-525-RTS</t>
  </si>
  <si>
    <t>D-19-057-02</t>
  </si>
  <si>
    <t>D-2019-00092</t>
  </si>
  <si>
    <t>Black Hills Colorado Gas Inc.</t>
  </si>
  <si>
    <t>D-19AL-0075G</t>
  </si>
  <si>
    <t>D-UG-190530</t>
  </si>
  <si>
    <t>D-20-02023 (Southern)</t>
  </si>
  <si>
    <t>D-20-02023 (Northern)</t>
  </si>
  <si>
    <t>DPU 19-120</t>
  </si>
  <si>
    <t>D-G-01551A-19-0055</t>
  </si>
  <si>
    <t>C-9645 (Gas)</t>
  </si>
  <si>
    <t>D-6680-UR-122 (Gas)</t>
  </si>
  <si>
    <t>D-20-0308</t>
  </si>
  <si>
    <t>D-R-2020-3018835</t>
  </si>
  <si>
    <t>C-9651</t>
  </si>
  <si>
    <t>D-UG-200568</t>
  </si>
  <si>
    <t>Corning Natural Gas Corp.</t>
  </si>
  <si>
    <t>C-20-G-0101</t>
  </si>
  <si>
    <t>D-R-2020-3018929</t>
  </si>
  <si>
    <t>C-20-0746-G-42T</t>
  </si>
  <si>
    <t>D-20-0810</t>
  </si>
  <si>
    <t>DPU 20-120</t>
  </si>
  <si>
    <t>C-GR-2021-0108</t>
  </si>
  <si>
    <t>D-21-0098</t>
  </si>
  <si>
    <t>C-9664</t>
  </si>
  <si>
    <t>C-U-20940</t>
  </si>
  <si>
    <t>C-2021-00214</t>
  </si>
  <si>
    <t>D-21-097-U</t>
  </si>
  <si>
    <t>D-22AL-0046G</t>
  </si>
  <si>
    <t>A-21-08-014 (Gas)</t>
  </si>
  <si>
    <t>A-22-04-011</t>
  </si>
  <si>
    <t>D-6690-UR-127 (Gas)</t>
  </si>
  <si>
    <t>D-22-057-03</t>
  </si>
  <si>
    <t>D-5-UR-110 (WEP-Gas)</t>
  </si>
  <si>
    <t>D-5-UR-110</t>
  </si>
  <si>
    <t>D-OSS-22-00009896</t>
  </si>
  <si>
    <t>D-20220067-GU</t>
  </si>
  <si>
    <t>20220069-GU</t>
  </si>
  <si>
    <t>D-3270-UR-125 (Gas)</t>
  </si>
  <si>
    <t>D-20230023-GU</t>
  </si>
  <si>
    <t>D-4220-UR-126 (Gas)</t>
  </si>
  <si>
    <t>D-6680-UR-124 (Gas)</t>
  </si>
  <si>
    <t>D-23-0066</t>
  </si>
  <si>
    <t>D-23-0067</t>
  </si>
  <si>
    <t>D-23-0068</t>
  </si>
  <si>
    <t>D-23-0069</t>
  </si>
  <si>
    <t>C-9692 (GAS)</t>
  </si>
  <si>
    <t>C-9704</t>
  </si>
  <si>
    <t>FC-1169</t>
  </si>
  <si>
    <t>Advice Letter No. 6207-G</t>
  </si>
  <si>
    <t>D-U-22-081</t>
  </si>
  <si>
    <t>DPU 23-81</t>
  </si>
  <si>
    <t>C-23-G-0419</t>
  </si>
  <si>
    <t>Nomenclature</t>
  </si>
  <si>
    <t>PRPM Date</t>
  </si>
  <si>
    <r>
      <t xml:space="preserve">Update annually from </t>
    </r>
    <r>
      <rPr>
        <b/>
        <sz val="11"/>
        <rFont val="Cambria"/>
        <family val="1"/>
      </rPr>
      <t>Stocks, Bonds, Bills, and Inflation - Kroll® SBBI® Market Report</t>
    </r>
  </si>
  <si>
    <t>SWX</t>
  </si>
  <si>
    <t>Seven</t>
  </si>
  <si>
    <t>Southwest Gas Holdings, Inc.</t>
  </si>
  <si>
    <t>Southwest Gas Corporation</t>
  </si>
  <si>
    <t xml:space="preserve">Abbott Labs.        </t>
  </si>
  <si>
    <t>Air Products &amp; Chem.</t>
  </si>
  <si>
    <t xml:space="preserve">Alphabet Inc.       </t>
  </si>
  <si>
    <t xml:space="preserve">Apple Inc.          </t>
  </si>
  <si>
    <t xml:space="preserve">Assurant Inc.       </t>
  </si>
  <si>
    <t xml:space="preserve">AutoZone Inc.       </t>
  </si>
  <si>
    <t xml:space="preserve">Booz Allen Hamilton </t>
  </si>
  <si>
    <t xml:space="preserve">Brady Corp.         </t>
  </si>
  <si>
    <t xml:space="preserve">CACI Int'l          </t>
  </si>
  <si>
    <t>Casey's Gen'l Stores</t>
  </si>
  <si>
    <t xml:space="preserve">CSW Industrials     </t>
  </si>
  <si>
    <t xml:space="preserve">CVS Health          </t>
  </si>
  <si>
    <t xml:space="preserve">Danaher Corp.       </t>
  </si>
  <si>
    <t xml:space="preserve">Dolby Labs.         </t>
  </si>
  <si>
    <t xml:space="preserve">Fastenal Co.        </t>
  </si>
  <si>
    <t xml:space="preserve">GATX Corp.          </t>
  </si>
  <si>
    <t>Henry (Jack) &amp; Assoc</t>
  </si>
  <si>
    <t xml:space="preserve">Hunt (J.B.)         </t>
  </si>
  <si>
    <t xml:space="preserve">Huntington Ingalls  </t>
  </si>
  <si>
    <t>L3Harris Technologie</t>
  </si>
  <si>
    <t xml:space="preserve">Lockheed Martin     </t>
  </si>
  <si>
    <t xml:space="preserve">McKesson Corp.      </t>
  </si>
  <si>
    <t xml:space="preserve">Microsoft Corp.     </t>
  </si>
  <si>
    <t>MSC Industrial Direc</t>
  </si>
  <si>
    <t xml:space="preserve">Oracle Corp.        </t>
  </si>
  <si>
    <t xml:space="preserve">O'Reilly Automotive </t>
  </si>
  <si>
    <t xml:space="preserve">OSI Systems         </t>
  </si>
  <si>
    <t xml:space="preserve">Packaging Corp.     </t>
  </si>
  <si>
    <t xml:space="preserve">Prestige Consumer   </t>
  </si>
  <si>
    <t>Selective Ins. Group</t>
  </si>
  <si>
    <t xml:space="preserve">Service Corp. Int'l </t>
  </si>
  <si>
    <t xml:space="preserve">Sherwin-Williams    </t>
  </si>
  <si>
    <t xml:space="preserve">Smith (A.O.)        </t>
  </si>
  <si>
    <t xml:space="preserve">Thermo Fisher Sci.  </t>
  </si>
  <si>
    <t xml:space="preserve">UniFirst Corp.      </t>
  </si>
  <si>
    <t xml:space="preserve">UnitedHealth Group  </t>
  </si>
  <si>
    <t xml:space="preserve">Universal Corp.     </t>
  </si>
  <si>
    <t xml:space="preserve">VeriSign Inc.       </t>
  </si>
  <si>
    <t xml:space="preserve">Waters Corp.        </t>
  </si>
  <si>
    <t xml:space="preserve">Watsco, Inc.        </t>
  </si>
  <si>
    <t>WR</t>
  </si>
  <si>
    <t>The Campbell's Company</t>
  </si>
  <si>
    <t>Texas Pacific Land Corp</t>
  </si>
  <si>
    <t>TPL</t>
  </si>
  <si>
    <t>2024M10</t>
  </si>
  <si>
    <t>2024M11</t>
  </si>
  <si>
    <t>Average of columns 2 through 4 excluding negative growth rates.</t>
  </si>
  <si>
    <t>D-24-02027</t>
  </si>
  <si>
    <t>A-22-04-011 (Phase 2)</t>
  </si>
  <si>
    <t>D-24AL-0049G</t>
  </si>
  <si>
    <t>Liberty Utilities (Midstates)</t>
  </si>
  <si>
    <t>D-24-0043</t>
  </si>
  <si>
    <t>C-U-21291</t>
  </si>
  <si>
    <t>D-5-UR-111 (Gas)</t>
  </si>
  <si>
    <t>D-5-UR-111</t>
  </si>
  <si>
    <t>D-6690-UR-128 (Gas)</t>
  </si>
  <si>
    <t>Average of columns 2 through 4 excluding negative growth rates and extreme positive values.</t>
  </si>
  <si>
    <t xml:space="preserve">Southwest Gas       </t>
  </si>
  <si>
    <t>2018 - 2022, Inclusive</t>
  </si>
  <si>
    <t>Flotation Cost Adjustment</t>
  </si>
  <si>
    <t>Low</t>
  </si>
  <si>
    <t>High</t>
  </si>
  <si>
    <t>允䅁䅁䄸䅁䍁䅁䅁䅁䍁䅁䅁杋䅁䕁䅍睢瑂䝁䄰睢畂䍁䅁兒硂䡁䅕兡あ䡁䅫䅉潁䍁䅑䅍睁䑁䅁克䅁䅁䅑䅁啁䅁䅁兒畂䡁䅑兡あ䡁䅫䅉䩂䕁䅑䅁佁䅁䅁䅇䅁䕁䅕杢あ䝁䅫䅤㕂䍁䅁杔桂䝁䄰党䅁䅁䅷䅁佁䅁䅁杒婂䑁䅉䅍祁䑁䅍䅁䉁䅁䅁杙䅁䕁䅷睢畂䝁䅣兌あ䝁䅕杣瑂䍁䅁䅒求䝁䅉䅤獁䍁䅁兓畂䝁䅍䅢ㅂ䝁䅑兡畂䝁䅣䅉䑂䡁䅕杣祂䝁䅕杢あ䍁䅁䅕療䡁䅉䅤灂䝁䄸杢杁䍁䅧䅊睁䑁䅁䅍灁䅁䅁䅃䅁䥁䅷䅁偂䡁䅁䅤灂䝁䄸杢穂䑁䅯睑ㅂ䡁䅉杣㥁䙁䅕睕䕂䍁䅷兔桂䝁䅣児呂䡁䅑兙畂䝁䅑兙祂䝁䅑䅌䑂䝁䄸杢㉂䕁䄰党あ䝁䅧睢歂䑁䄰杕獁䕁䅙兡獂䝁䅫杢湂䙁䅙党祂䑁䄰睑ㅂ䡁䅉杣求䝁䄴䅤癁䙁䅉党穂䡁䅑兙あ䝁䅕䅚䅁䅁䅍䅁歁䅁䅁睕佂䕁䅷睘䑂䕁䄸兔乂䕁䄸杔時䕁䅕兕噂䕁䅫䅖婂䅁䅁䅁䅁䕁䅉䅁呂䕁䄴䅔時䕁䅷䅖時䕁䅑兒䍂䙁䅑睘䩂䕁䄴睑䵂䙁䄸睑噂䙁䅉杕䙂䕁䄴䅖時䙁䅁睔卂䙁䅑兓偂䕁䄴䅁䡁䅁䅁䅇䅁䙁䅍杔䵂䙁䄸睕啂䙁䄸䅒䙂䕁䅉䅖䅁䅁䅫䅁獁䅁䅁睕佂䕁䅷睘啂䕁䄸䅖䉂䕁䅷睘兂䙁䅉兒䝂䙁䄸兒剂䙁䅕兓啂䙁䅫䅁䙁䅁䅁杇䅁䙁䅍䅕時䕁䅕杔啂䕁䅫䅖婂䙁䄸兓䕂䅁䅁兄䅁䉁䄴䅁呂䙁䅁睘䙂䕁䄴䅖䩂䙁䅑兗時䕁䄴兑乂䕁䅕䅁䱁䅁䅁杌䅁䙁䅍䅡療䡁䅉䅤瑁䡁䅑党祂䝁䄰䅉䕂䝁䅕杙あ䍁䅁䅋歁䑁䅁䅍睁䍁䅫䅁䭁䅁䅁䅐䅁䙁䅑睢あ䝁䅅䅢杁䙁䅁杣求䝁䅙党祂䡁䅉党歂䍁䅁兒硂䡁䅕兡あ䡁䅫䅉潁䍁䅑䅍睁䑁䅁克䅁䅁䅙䅁䅁䅁䅁</t>
  </si>
  <si>
    <t xml:space="preserve">    Rating Difference of Proxy Group (3)</t>
  </si>
  <si>
    <t>Results Excluding PRPM MRP</t>
  </si>
  <si>
    <t>Average MRP Excluding the PRPM MRP:</t>
  </si>
  <si>
    <t>Traditional CAPM and ECAPM Results (excl. PRPM MRP) for the Proxy Groups of Non-Price-Regulated Companies Comparable in Total Risk to the</t>
  </si>
  <si>
    <t>Rate Base</t>
  </si>
  <si>
    <t>Total Flotation Costs (3)</t>
  </si>
  <si>
    <t>Net Proceeds per Share (2)</t>
  </si>
  <si>
    <t>Derivation of the Flotation Cost Adjustment to the Cost of Common Equity</t>
  </si>
  <si>
    <t>2023 Annual Forms 10-K</t>
  </si>
  <si>
    <t>Requested rate base multiplied by the requested common equity ratio.</t>
  </si>
  <si>
    <t>Credit Risk Adjustment (6)</t>
  </si>
  <si>
    <t>Flotation Cost Adjustment (7)</t>
  </si>
  <si>
    <t>(7)</t>
  </si>
  <si>
    <t>BWXT</t>
  </si>
  <si>
    <t>EXPO</t>
  </si>
  <si>
    <t>FELE</t>
  </si>
  <si>
    <t>LSTR</t>
  </si>
  <si>
    <t>Forty-Nine</t>
  </si>
  <si>
    <t xml:space="preserve">AbbVie Inc.         </t>
  </si>
  <si>
    <t xml:space="preserve">Altria Group        </t>
  </si>
  <si>
    <t xml:space="preserve">BWX Technologies    </t>
  </si>
  <si>
    <t xml:space="preserve">Cencora             </t>
  </si>
  <si>
    <t xml:space="preserve">Exponent, Inc.      </t>
  </si>
  <si>
    <t xml:space="preserve">Franklin Electric   </t>
  </si>
  <si>
    <t xml:space="preserve">Landstar System     </t>
  </si>
  <si>
    <t xml:space="preserve">Pfizer, Inc.        </t>
  </si>
  <si>
    <t xml:space="preserve">Philip Morris Int'l </t>
  </si>
  <si>
    <t>Second Quarter 2026</t>
  </si>
  <si>
    <t>APO</t>
  </si>
  <si>
    <t>LII</t>
  </si>
  <si>
    <t>WDAY</t>
  </si>
  <si>
    <t>Apollo Global Management Inc</t>
  </si>
  <si>
    <t>Lennox International Inc</t>
  </si>
  <si>
    <t>Workday Inc</t>
  </si>
  <si>
    <t>Bloomberg Data:</t>
  </si>
  <si>
    <t>NAME</t>
  </si>
  <si>
    <t>CUR_MKT_CAP</t>
  </si>
  <si>
    <t>EQY_DVD_YLD_EST</t>
  </si>
  <si>
    <t>BEST_EST_LONG_TERM_GROWTH</t>
  </si>
  <si>
    <t>EQY_SH_OUT</t>
  </si>
  <si>
    <t>Market 
Capitalization</t>
  </si>
  <si>
    <t>Estimated Dividend Yield</t>
  </si>
  <si>
    <t>A UN Equity</t>
  </si>
  <si>
    <t>AAPL UW Equity</t>
  </si>
  <si>
    <t>ABBV UN Equity</t>
  </si>
  <si>
    <t>ABNB UW Equity</t>
  </si>
  <si>
    <t>ABT UN Equity</t>
  </si>
  <si>
    <t>ACGL UW Equity</t>
  </si>
  <si>
    <t>ACN UN Equity</t>
  </si>
  <si>
    <t>ADBE UW Equity</t>
  </si>
  <si>
    <t>ADI UW Equity</t>
  </si>
  <si>
    <t>ADM UN Equity</t>
  </si>
  <si>
    <t>ADP UW Equity</t>
  </si>
  <si>
    <t>#N/A N/A</t>
  </si>
  <si>
    <t>ADSK UW Equity</t>
  </si>
  <si>
    <t>AEE UN Equity</t>
  </si>
  <si>
    <t>AEP UW Equity</t>
  </si>
  <si>
    <t>AES UN Equity</t>
  </si>
  <si>
    <t>AFL UN Equity</t>
  </si>
  <si>
    <t>AIG UN Equity</t>
  </si>
  <si>
    <t>AIZ UN Equity</t>
  </si>
  <si>
    <t>AJG UN Equity</t>
  </si>
  <si>
    <t>AKAM UW Equity</t>
  </si>
  <si>
    <t>ALB UN Equity</t>
  </si>
  <si>
    <t>ALGN UW Equity</t>
  </si>
  <si>
    <t>ALL UN Equity</t>
  </si>
  <si>
    <t>ALLE UN Equity</t>
  </si>
  <si>
    <t>AMAT UW Equity</t>
  </si>
  <si>
    <t>AMCR UN Equity</t>
  </si>
  <si>
    <t>AMD UW Equity</t>
  </si>
  <si>
    <t>AME UN Equity</t>
  </si>
  <si>
    <t>AMGN UW Equity</t>
  </si>
  <si>
    <t>AMP UN Equity</t>
  </si>
  <si>
    <t>AMT UN Equity</t>
  </si>
  <si>
    <t>AMZN UW Equity</t>
  </si>
  <si>
    <t>ANET UN Equity</t>
  </si>
  <si>
    <t>ANSS UW Equity</t>
  </si>
  <si>
    <t>AON UN Equity</t>
  </si>
  <si>
    <t>AOS UN Equity</t>
  </si>
  <si>
    <t>APA UW Equity</t>
  </si>
  <si>
    <t>APD UN Equity</t>
  </si>
  <si>
    <t>APH UN Equity</t>
  </si>
  <si>
    <t>APTV UN Equity</t>
  </si>
  <si>
    <t>ARE UN Equity</t>
  </si>
  <si>
    <t>ATO UN Equity</t>
  </si>
  <si>
    <t>AVB UN Equity</t>
  </si>
  <si>
    <t>AVGO UW Equity</t>
  </si>
  <si>
    <t>AVY UN Equity</t>
  </si>
  <si>
    <t>AWK UN Equity</t>
  </si>
  <si>
    <t>AXON UW Equity</t>
  </si>
  <si>
    <t>AXP UN Equity</t>
  </si>
  <si>
    <t>AZO UN Equity</t>
  </si>
  <si>
    <t>BA UN Equity</t>
  </si>
  <si>
    <t>BAC UN Equity</t>
  </si>
  <si>
    <t>BALL UN Equity</t>
  </si>
  <si>
    <t>BAX UN Equity</t>
  </si>
  <si>
    <t>BBY UN Equity</t>
  </si>
  <si>
    <t>BDX UN Equity</t>
  </si>
  <si>
    <t>BEN UN Equity</t>
  </si>
  <si>
    <t>BF/B UN Equity</t>
  </si>
  <si>
    <t>BG UN Equity</t>
  </si>
  <si>
    <t>BIIB UW Equity</t>
  </si>
  <si>
    <t>BK UN Equity</t>
  </si>
  <si>
    <t>BKNG UW Equity</t>
  </si>
  <si>
    <t>BKR UW Equity</t>
  </si>
  <si>
    <t>BLDR UN Equity</t>
  </si>
  <si>
    <t>BLK UN Equity</t>
  </si>
  <si>
    <t>BMY UN Equity</t>
  </si>
  <si>
    <t>BR UN Equity</t>
  </si>
  <si>
    <t>BRK/B UN Equity</t>
  </si>
  <si>
    <t>BRO UN Equity</t>
  </si>
  <si>
    <t>BSX UN Equity</t>
  </si>
  <si>
    <t>BWA UN Equity</t>
  </si>
  <si>
    <t>BX UN Equity</t>
  </si>
  <si>
    <t>BXP UN Equity</t>
  </si>
  <si>
    <t>C UN Equity</t>
  </si>
  <si>
    <t>CAG UN Equity</t>
  </si>
  <si>
    <t>CAH UN Equity</t>
  </si>
  <si>
    <t>CARR UN Equity</t>
  </si>
  <si>
    <t>CAT UN Equity</t>
  </si>
  <si>
    <t>CB UN Equity</t>
  </si>
  <si>
    <t>CBOE UF Equity</t>
  </si>
  <si>
    <t>CBRE UN Equity</t>
  </si>
  <si>
    <t>CCI UN Equity</t>
  </si>
  <si>
    <t>CCL UN Equity</t>
  </si>
  <si>
    <t>CDNS UW Equity</t>
  </si>
  <si>
    <t>CDW UW Equity</t>
  </si>
  <si>
    <t>CE UN Equity</t>
  </si>
  <si>
    <t>CEG UW Equity</t>
  </si>
  <si>
    <t>CF UN Equity</t>
  </si>
  <si>
    <t>CFG UN Equity</t>
  </si>
  <si>
    <t>CHD UN Equity</t>
  </si>
  <si>
    <t>CHRW UW Equity</t>
  </si>
  <si>
    <t>CHTR UW Equity</t>
  </si>
  <si>
    <t>CI UN Equity</t>
  </si>
  <si>
    <t>CINF UW Equity</t>
  </si>
  <si>
    <t>CL UN Equity</t>
  </si>
  <si>
    <t>CLX UN Equity</t>
  </si>
  <si>
    <t>CMCSA UW Equity</t>
  </si>
  <si>
    <t>CME UW Equity</t>
  </si>
  <si>
    <t>CMG UN Equity</t>
  </si>
  <si>
    <t>CMI UN Equity</t>
  </si>
  <si>
    <t>CMS UN Equity</t>
  </si>
  <si>
    <t>CNC UN Equity</t>
  </si>
  <si>
    <t>CNP UN Equity</t>
  </si>
  <si>
    <t>COF UN Equity</t>
  </si>
  <si>
    <t>COO UW Equity</t>
  </si>
  <si>
    <t>COP UN Equity</t>
  </si>
  <si>
    <t>COR UN Equity</t>
  </si>
  <si>
    <t>COST UW Equity</t>
  </si>
  <si>
    <t>CPAY UN Equity</t>
  </si>
  <si>
    <t>CPB UW Equity</t>
  </si>
  <si>
    <t>CPRT UW Equity</t>
  </si>
  <si>
    <t>CPT UN Equity</t>
  </si>
  <si>
    <t>CRL UN Equity</t>
  </si>
  <si>
    <t>CRM UN Equity</t>
  </si>
  <si>
    <t>CRWD UW Equity</t>
  </si>
  <si>
    <t>CSCO UW Equity</t>
  </si>
  <si>
    <t>CSGP UW Equity</t>
  </si>
  <si>
    <t>CSX UW Equity</t>
  </si>
  <si>
    <t>CTAS UW Equity</t>
  </si>
  <si>
    <t>CTRA UN Equity</t>
  </si>
  <si>
    <t>CTSH UW Equity</t>
  </si>
  <si>
    <t>CTVA UN Equity</t>
  </si>
  <si>
    <t>CVS UN Equity</t>
  </si>
  <si>
    <t>CVX UN Equity</t>
  </si>
  <si>
    <t>CZR UW Equity</t>
  </si>
  <si>
    <t>D UN Equity</t>
  </si>
  <si>
    <t>DAL UN Equity</t>
  </si>
  <si>
    <t>DAY UN Equity</t>
  </si>
  <si>
    <t>DD UN Equity</t>
  </si>
  <si>
    <t>DE UN Equity</t>
  </si>
  <si>
    <t>DECK UN Equity</t>
  </si>
  <si>
    <t>DELL UN Equity</t>
  </si>
  <si>
    <t>DFS UN Equity</t>
  </si>
  <si>
    <t>DG UN Equity</t>
  </si>
  <si>
    <t>DGX UN Equity</t>
  </si>
  <si>
    <t>DHI UN Equity</t>
  </si>
  <si>
    <t>DHR UN Equity</t>
  </si>
  <si>
    <t>DIS UN Equity</t>
  </si>
  <si>
    <t>DLR UN Equity</t>
  </si>
  <si>
    <t>DLTR UW Equity</t>
  </si>
  <si>
    <t>DOC UN Equity</t>
  </si>
  <si>
    <t>DOV UN Equity</t>
  </si>
  <si>
    <t>DOW UN Equity</t>
  </si>
  <si>
    <t>DRI UN Equity</t>
  </si>
  <si>
    <t>DTE UN Equity</t>
  </si>
  <si>
    <t>DUK UN Equity</t>
  </si>
  <si>
    <t>DVA UN Equity</t>
  </si>
  <si>
    <t>DVN UN Equity</t>
  </si>
  <si>
    <t>DXCM UW Equity</t>
  </si>
  <si>
    <t>EA UW Equity</t>
  </si>
  <si>
    <t>EBAY UW Equity</t>
  </si>
  <si>
    <t>ECL UN Equity</t>
  </si>
  <si>
    <t>ED UN Equity</t>
  </si>
  <si>
    <t>EFX UN Equity</t>
  </si>
  <si>
    <t>EG UN Equity</t>
  </si>
  <si>
    <t>EIX UN Equity</t>
  </si>
  <si>
    <t>EL UN Equity</t>
  </si>
  <si>
    <t>ELV UN Equity</t>
  </si>
  <si>
    <t>EMN UN Equity</t>
  </si>
  <si>
    <t>EMR UN Equity</t>
  </si>
  <si>
    <t>ENPH UQ Equity</t>
  </si>
  <si>
    <t>EOG UN Equity</t>
  </si>
  <si>
    <t>EPAM UN Equity</t>
  </si>
  <si>
    <t>EQIX UW Equity</t>
  </si>
  <si>
    <t>EQR UN Equity</t>
  </si>
  <si>
    <t>EQT UN Equity</t>
  </si>
  <si>
    <t>ERIE UW Equity</t>
  </si>
  <si>
    <t>ES UN Equity</t>
  </si>
  <si>
    <t>ESS UN Equity</t>
  </si>
  <si>
    <t>ETN UN Equity</t>
  </si>
  <si>
    <t>ETR UN Equity</t>
  </si>
  <si>
    <t>EVRG UW Equity</t>
  </si>
  <si>
    <t>EW UN Equity</t>
  </si>
  <si>
    <t>EXC UW Equity</t>
  </si>
  <si>
    <t>EXPD UN Equity</t>
  </si>
  <si>
    <t>EXPE UW Equity</t>
  </si>
  <si>
    <t>EXR UN Equity</t>
  </si>
  <si>
    <t>F UN Equity</t>
  </si>
  <si>
    <t>FANG UW Equity</t>
  </si>
  <si>
    <t>FAST UW Equity</t>
  </si>
  <si>
    <t>FCX UN Equity</t>
  </si>
  <si>
    <t>FDS UN Equity</t>
  </si>
  <si>
    <t>FDX UN Equity</t>
  </si>
  <si>
    <t>FE UN Equity</t>
  </si>
  <si>
    <t>FFIV UW Equity</t>
  </si>
  <si>
    <t>FI UN Equity</t>
  </si>
  <si>
    <t>FICO UN Equity</t>
  </si>
  <si>
    <t>FIS UN Equity</t>
  </si>
  <si>
    <t>FITB UW Equity</t>
  </si>
  <si>
    <t>FMC UN Equity</t>
  </si>
  <si>
    <t>FOXA UW Equity</t>
  </si>
  <si>
    <t>FRT UN Equity</t>
  </si>
  <si>
    <t>FSLR UW Equity</t>
  </si>
  <si>
    <t>FTNT UW Equity</t>
  </si>
  <si>
    <t>FTV UN Equity</t>
  </si>
  <si>
    <t>GD UN Equity</t>
  </si>
  <si>
    <t>GDDY UN Equity</t>
  </si>
  <si>
    <t>GE UN Equity</t>
  </si>
  <si>
    <t>GEHC UW Equity</t>
  </si>
  <si>
    <t>GEN UW Equity</t>
  </si>
  <si>
    <t>GEV UN Equity</t>
  </si>
  <si>
    <t>GILD UW Equity</t>
  </si>
  <si>
    <t>GIS UN Equity</t>
  </si>
  <si>
    <t>GL UN Equity</t>
  </si>
  <si>
    <t>GLW UN Equity</t>
  </si>
  <si>
    <t>GM UN Equity</t>
  </si>
  <si>
    <t>GNRC UN Equity</t>
  </si>
  <si>
    <t>GOOG UW Equity</t>
  </si>
  <si>
    <t>GPC UN Equity</t>
  </si>
  <si>
    <t>GPN UN Equity</t>
  </si>
  <si>
    <t>GRMN UN Equity</t>
  </si>
  <si>
    <t>GS UN Equity</t>
  </si>
  <si>
    <t>GWW UN Equity</t>
  </si>
  <si>
    <t>HAL UN Equity</t>
  </si>
  <si>
    <t>HAS UW Equity</t>
  </si>
  <si>
    <t>HBAN UW Equity</t>
  </si>
  <si>
    <t>HCA UN Equity</t>
  </si>
  <si>
    <t>HD UN Equity</t>
  </si>
  <si>
    <t>HES UN Equity</t>
  </si>
  <si>
    <t>HIG UN Equity</t>
  </si>
  <si>
    <t>HII UN Equity</t>
  </si>
  <si>
    <t>HLT UN Equity</t>
  </si>
  <si>
    <t>HOLX UW Equity</t>
  </si>
  <si>
    <t>HON UW Equity</t>
  </si>
  <si>
    <t>HPE UN Equity</t>
  </si>
  <si>
    <t>HPQ UN Equity</t>
  </si>
  <si>
    <t>HRL UN Equity</t>
  </si>
  <si>
    <t>HSIC UW Equity</t>
  </si>
  <si>
    <t>HST UW Equity</t>
  </si>
  <si>
    <t>HSY UN Equity</t>
  </si>
  <si>
    <t>HUBB UN Equity</t>
  </si>
  <si>
    <t>HUM UN Equity</t>
  </si>
  <si>
    <t>HWM UN Equity</t>
  </si>
  <si>
    <t>IBM UN Equity</t>
  </si>
  <si>
    <t>ICE UN Equity</t>
  </si>
  <si>
    <t>IDXX UW Equity</t>
  </si>
  <si>
    <t>IEX UN Equity</t>
  </si>
  <si>
    <t>IFF UN Equity</t>
  </si>
  <si>
    <t>INCY UW Equity</t>
  </si>
  <si>
    <t>INTC UW Equity</t>
  </si>
  <si>
    <t>INTU UW Equity</t>
  </si>
  <si>
    <t>INVH UN Equity</t>
  </si>
  <si>
    <t>IP UN Equity</t>
  </si>
  <si>
    <t>IPG UN Equity</t>
  </si>
  <si>
    <t>IQV UN Equity</t>
  </si>
  <si>
    <t>IR UN Equity</t>
  </si>
  <si>
    <t>IRM UN Equity</t>
  </si>
  <si>
    <t>ISRG UW Equity</t>
  </si>
  <si>
    <t>IT UN Equity</t>
  </si>
  <si>
    <t>ITW UN Equity</t>
  </si>
  <si>
    <t>IVZ UN Equity</t>
  </si>
  <si>
    <t>J UN Equity</t>
  </si>
  <si>
    <t>JBHT UW Equity</t>
  </si>
  <si>
    <t>JBL UN Equity</t>
  </si>
  <si>
    <t>JCI UN Equity</t>
  </si>
  <si>
    <t>JKHY UW Equity</t>
  </si>
  <si>
    <t>JNJ UN Equity</t>
  </si>
  <si>
    <t>JNPR UN Equity</t>
  </si>
  <si>
    <t>JPM UN Equity</t>
  </si>
  <si>
    <t>K UN Equity</t>
  </si>
  <si>
    <t>KDP UW Equity</t>
  </si>
  <si>
    <t>KEY UN Equity</t>
  </si>
  <si>
    <t>KEYS UN Equity</t>
  </si>
  <si>
    <t>KHC UW Equity</t>
  </si>
  <si>
    <t>KIM UN Equity</t>
  </si>
  <si>
    <t>KKR UN Equity</t>
  </si>
  <si>
    <t>KLAC UW Equity</t>
  </si>
  <si>
    <t>KMB UN Equity</t>
  </si>
  <si>
    <t>KMI UN Equity</t>
  </si>
  <si>
    <t>KMX UN Equity</t>
  </si>
  <si>
    <t>KO UN Equity</t>
  </si>
  <si>
    <t>KR UN Equity</t>
  </si>
  <si>
    <t>KVUE UN Equity</t>
  </si>
  <si>
    <t>L UN Equity</t>
  </si>
  <si>
    <t>LDOS UN Equity</t>
  </si>
  <si>
    <t>LEN UN Equity</t>
  </si>
  <si>
    <t>LH UN Equity</t>
  </si>
  <si>
    <t>LHX UN Equity</t>
  </si>
  <si>
    <t>LIN UW Equity</t>
  </si>
  <si>
    <t>LKQ UW Equity</t>
  </si>
  <si>
    <t>LLY UN Equity</t>
  </si>
  <si>
    <t>LMT UN Equity</t>
  </si>
  <si>
    <t>LNT UW Equity</t>
  </si>
  <si>
    <t>LOW UN Equity</t>
  </si>
  <si>
    <t>LRCX UW Equity</t>
  </si>
  <si>
    <t>LULU UW Equity</t>
  </si>
  <si>
    <t>LUV UN Equity</t>
  </si>
  <si>
    <t>LVS UN Equity</t>
  </si>
  <si>
    <t>LW UN Equity</t>
  </si>
  <si>
    <t>LYB UN Equity</t>
  </si>
  <si>
    <t>LYV UN Equity</t>
  </si>
  <si>
    <t>MA UN Equity</t>
  </si>
  <si>
    <t>MAA UN Equity</t>
  </si>
  <si>
    <t>MAR UW Equity</t>
  </si>
  <si>
    <t>MAS UN Equity</t>
  </si>
  <si>
    <t>MCD UN Equity</t>
  </si>
  <si>
    <t>MCHP UW Equity</t>
  </si>
  <si>
    <t>MCK UN Equity</t>
  </si>
  <si>
    <t>MCO UN Equity</t>
  </si>
  <si>
    <t>MDLZ UW Equity</t>
  </si>
  <si>
    <t>MDT UN Equity</t>
  </si>
  <si>
    <t>MET UN Equity</t>
  </si>
  <si>
    <t>META UW Equity</t>
  </si>
  <si>
    <t>MGM UN Equity</t>
  </si>
  <si>
    <t>MHK UN Equity</t>
  </si>
  <si>
    <t>MKC UN Equity</t>
  </si>
  <si>
    <t>MKTX UW Equity</t>
  </si>
  <si>
    <t>MLM UN Equity</t>
  </si>
  <si>
    <t>MMC UN Equity</t>
  </si>
  <si>
    <t>MMM UN Equity</t>
  </si>
  <si>
    <t>MNST UW Equity</t>
  </si>
  <si>
    <t>MO UN Equity</t>
  </si>
  <si>
    <t>MOH UN Equity</t>
  </si>
  <si>
    <t>MOS UN Equity</t>
  </si>
  <si>
    <t>MPC UN Equity</t>
  </si>
  <si>
    <t>MPWR UW Equity</t>
  </si>
  <si>
    <t>MRK UN Equity</t>
  </si>
  <si>
    <t>MRNA UW Equity</t>
  </si>
  <si>
    <t>MS UN Equity</t>
  </si>
  <si>
    <t>MSCI UN Equity</t>
  </si>
  <si>
    <t>MSFT UW Equity</t>
  </si>
  <si>
    <t>MSI UN Equity</t>
  </si>
  <si>
    <t>MTB UN Equity</t>
  </si>
  <si>
    <t>MTCH UW Equity</t>
  </si>
  <si>
    <t>MTD UN Equity</t>
  </si>
  <si>
    <t>MU UW Equity</t>
  </si>
  <si>
    <t>NCLH UN Equity</t>
  </si>
  <si>
    <t>NDAQ UW Equity</t>
  </si>
  <si>
    <t>NDSN UW Equity</t>
  </si>
  <si>
    <t>NEE UN Equity</t>
  </si>
  <si>
    <t>NEM UN Equity</t>
  </si>
  <si>
    <t>NFLX UW Equity</t>
  </si>
  <si>
    <t>NI UN Equity</t>
  </si>
  <si>
    <t>NKE UN Equity</t>
  </si>
  <si>
    <t>NOC UN Equity</t>
  </si>
  <si>
    <t>NOW UN Equity</t>
  </si>
  <si>
    <t>NRG UN Equity</t>
  </si>
  <si>
    <t>NSC UN Equity</t>
  </si>
  <si>
    <t>NTAP UW Equity</t>
  </si>
  <si>
    <t>NTRS UW Equity</t>
  </si>
  <si>
    <t>NUE UN Equity</t>
  </si>
  <si>
    <t>NVDA UW Equity</t>
  </si>
  <si>
    <t>NVR UN Equity</t>
  </si>
  <si>
    <t>NWSA UW Equity</t>
  </si>
  <si>
    <t>NXPI UW Equity</t>
  </si>
  <si>
    <t>O UN Equity</t>
  </si>
  <si>
    <t>ODFL UW Equity</t>
  </si>
  <si>
    <t>OKE UN Equity</t>
  </si>
  <si>
    <t>OMC UN Equity</t>
  </si>
  <si>
    <t>ON UW Equity</t>
  </si>
  <si>
    <t>ORCL UN Equity</t>
  </si>
  <si>
    <t>ORLY UW Equity</t>
  </si>
  <si>
    <t>OTIS UN Equity</t>
  </si>
  <si>
    <t>OXY UN Equity</t>
  </si>
  <si>
    <t>PANW UW Equity</t>
  </si>
  <si>
    <t>PARA UW Equity</t>
  </si>
  <si>
    <t>PAYC UN Equity</t>
  </si>
  <si>
    <t>PAYX UW Equity</t>
  </si>
  <si>
    <t>PCAR UW Equity</t>
  </si>
  <si>
    <t>PCG UN Equity</t>
  </si>
  <si>
    <t>PEG UN Equity</t>
  </si>
  <si>
    <t>PEP UW Equity</t>
  </si>
  <si>
    <t>PFE UN Equity</t>
  </si>
  <si>
    <t>PFG UW Equity</t>
  </si>
  <si>
    <t>PG UN Equity</t>
  </si>
  <si>
    <t>PGR UN Equity</t>
  </si>
  <si>
    <t>PH UN Equity</t>
  </si>
  <si>
    <t>PHM UN Equity</t>
  </si>
  <si>
    <t>PKG UN Equity</t>
  </si>
  <si>
    <t>PLD UN Equity</t>
  </si>
  <si>
    <t>PM UN Equity</t>
  </si>
  <si>
    <t>PNC UN Equity</t>
  </si>
  <si>
    <t>PNR UN Equity</t>
  </si>
  <si>
    <t>PNW UN Equity</t>
  </si>
  <si>
    <t>PODD UW Equity</t>
  </si>
  <si>
    <t>POOL UW Equity</t>
  </si>
  <si>
    <t>PPG UN Equity</t>
  </si>
  <si>
    <t>PPL UN Equity</t>
  </si>
  <si>
    <t>PRU UN Equity</t>
  </si>
  <si>
    <t>PSA UN Equity</t>
  </si>
  <si>
    <t>PSX UN Equity</t>
  </si>
  <si>
    <t>PTC UW Equity</t>
  </si>
  <si>
    <t>PWR UN Equity</t>
  </si>
  <si>
    <t>PYPL UW Equity</t>
  </si>
  <si>
    <t>QCOM UW Equity</t>
  </si>
  <si>
    <t>RCL UN Equity</t>
  </si>
  <si>
    <t>REG UW Equity</t>
  </si>
  <si>
    <t>REGN UW Equity</t>
  </si>
  <si>
    <t>RF UN Equity</t>
  </si>
  <si>
    <t>RJF UN Equity</t>
  </si>
  <si>
    <t>RL UN Equity</t>
  </si>
  <si>
    <t>RMD UN Equity</t>
  </si>
  <si>
    <t>ROK UN Equity</t>
  </si>
  <si>
    <t>ROL UN Equity</t>
  </si>
  <si>
    <t>ROP UW Equity</t>
  </si>
  <si>
    <t>ROST UW Equity</t>
  </si>
  <si>
    <t>RSG UN Equity</t>
  </si>
  <si>
    <t>RTX UN Equity</t>
  </si>
  <si>
    <t>RVTY UN Equity</t>
  </si>
  <si>
    <t>SBAC UW Equity</t>
  </si>
  <si>
    <t>SBUX UW Equity</t>
  </si>
  <si>
    <t>SCHW UN Equity</t>
  </si>
  <si>
    <t>SHW UN Equity</t>
  </si>
  <si>
    <t>SJM UN Equity</t>
  </si>
  <si>
    <t>SLB UN Equity</t>
  </si>
  <si>
    <t>SMCI UW Equity</t>
  </si>
  <si>
    <t>SNA UN Equity</t>
  </si>
  <si>
    <t>SNPS UW Equity</t>
  </si>
  <si>
    <t>SO UN Equity</t>
  </si>
  <si>
    <t>SOLV UN Equity</t>
  </si>
  <si>
    <t>SPG UN Equity</t>
  </si>
  <si>
    <t>SPGI UN Equity</t>
  </si>
  <si>
    <t>SRE UN Equity</t>
  </si>
  <si>
    <t>STE UN Equity</t>
  </si>
  <si>
    <t>STLD UW Equity</t>
  </si>
  <si>
    <t>STT UN Equity</t>
  </si>
  <si>
    <t>STX UW Equity</t>
  </si>
  <si>
    <t>STZ UN Equity</t>
  </si>
  <si>
    <t>SW UN Equity</t>
  </si>
  <si>
    <t>SWK UN Equity</t>
  </si>
  <si>
    <t>SWKS UW Equity</t>
  </si>
  <si>
    <t>SYF UN Equity</t>
  </si>
  <si>
    <t>SYK UN Equity</t>
  </si>
  <si>
    <t>SYY UN Equity</t>
  </si>
  <si>
    <t>T UN Equity</t>
  </si>
  <si>
    <t>TAP UN Equity</t>
  </si>
  <si>
    <t>TDG UN Equity</t>
  </si>
  <si>
    <t>TDY UN Equity</t>
  </si>
  <si>
    <t>TECH UW Equity</t>
  </si>
  <si>
    <t>TEL UN Equity</t>
  </si>
  <si>
    <t>TER UW Equity</t>
  </si>
  <si>
    <t>TFC UN Equity</t>
  </si>
  <si>
    <t>TFX UN Equity</t>
  </si>
  <si>
    <t>TGT UN Equity</t>
  </si>
  <si>
    <t>TJX UN Equity</t>
  </si>
  <si>
    <t>TMO UN Equity</t>
  </si>
  <si>
    <t>TMUS UW Equity</t>
  </si>
  <si>
    <t>TPR UN Equity</t>
  </si>
  <si>
    <t>TRGP UN Equity</t>
  </si>
  <si>
    <t>TRMB UW Equity</t>
  </si>
  <si>
    <t>TROW UW Equity</t>
  </si>
  <si>
    <t>TRV UN Equity</t>
  </si>
  <si>
    <t>TSCO UW Equity</t>
  </si>
  <si>
    <t>TSLA UW Equity</t>
  </si>
  <si>
    <t>TSN UN Equity</t>
  </si>
  <si>
    <t>TT UN Equity</t>
  </si>
  <si>
    <t>TTWO UW Equity</t>
  </si>
  <si>
    <t>TXN UW Equity</t>
  </si>
  <si>
    <t>TXT UN Equity</t>
  </si>
  <si>
    <t>TYL UN Equity</t>
  </si>
  <si>
    <t>UAL UW Equity</t>
  </si>
  <si>
    <t>UBER UN Equity</t>
  </si>
  <si>
    <t>UDR UN Equity</t>
  </si>
  <si>
    <t>UHS UN Equity</t>
  </si>
  <si>
    <t>ULTA UW Equity</t>
  </si>
  <si>
    <t>UNH UN Equity</t>
  </si>
  <si>
    <t>UNP UN Equity</t>
  </si>
  <si>
    <t>UPS UN Equity</t>
  </si>
  <si>
    <t>URI UN Equity</t>
  </si>
  <si>
    <t>USB UN Equity</t>
  </si>
  <si>
    <t>V UN Equity</t>
  </si>
  <si>
    <t>VICI UN Equity</t>
  </si>
  <si>
    <t>VLO UN Equity</t>
  </si>
  <si>
    <t>VLTO UN Equity</t>
  </si>
  <si>
    <t>VMC UN Equity</t>
  </si>
  <si>
    <t>VRSK UW Equity</t>
  </si>
  <si>
    <t>VRSN UW Equity</t>
  </si>
  <si>
    <t>VRTX UW Equity</t>
  </si>
  <si>
    <t>VST UN Equity</t>
  </si>
  <si>
    <t>VTR UN Equity</t>
  </si>
  <si>
    <t>VTRS UW Equity</t>
  </si>
  <si>
    <t>VZ UN Equity</t>
  </si>
  <si>
    <t>WAB UN Equity</t>
  </si>
  <si>
    <t>WAT UN Equity</t>
  </si>
  <si>
    <t>WBA UW Equity</t>
  </si>
  <si>
    <t>WBD UW Equity</t>
  </si>
  <si>
    <t>WDC UW Equity</t>
  </si>
  <si>
    <t>WEC UN Equity</t>
  </si>
  <si>
    <t>WELL UN Equity</t>
  </si>
  <si>
    <t>WFC UN Equity</t>
  </si>
  <si>
    <t>WM UN Equity</t>
  </si>
  <si>
    <t>WMB UN Equity</t>
  </si>
  <si>
    <t>WMT UN Equity</t>
  </si>
  <si>
    <t>WRB UN Equity</t>
  </si>
  <si>
    <t>WST UN Equity</t>
  </si>
  <si>
    <t>WTW UW Equity</t>
  </si>
  <si>
    <t>WY UN Equity</t>
  </si>
  <si>
    <t>WYNN UW Equity</t>
  </si>
  <si>
    <t>XEL UW Equity</t>
  </si>
  <si>
    <t>XOM UN Equity</t>
  </si>
  <si>
    <t>XYL UN Equity</t>
  </si>
  <si>
    <t>YUM UN Equity</t>
  </si>
  <si>
    <t>ZBH UN Equity</t>
  </si>
  <si>
    <t>ZBRA UW Equity</t>
  </si>
  <si>
    <t>ZTS UN Equity</t>
  </si>
  <si>
    <t>Total Market Capitalization:</t>
  </si>
  <si>
    <t>APO UN Equity</t>
  </si>
  <si>
    <t>DPZ UW Equity</t>
  </si>
  <si>
    <t>LII UN Equity</t>
  </si>
  <si>
    <t>PLTR UW Equity</t>
  </si>
  <si>
    <t>TPL UN Equity</t>
  </si>
  <si>
    <t>WDAY UW Equity</t>
  </si>
  <si>
    <t>2024M12</t>
  </si>
  <si>
    <t>Column 5 + Column 6.</t>
  </si>
  <si>
    <t>D-23-11-02 (CNG)</t>
  </si>
  <si>
    <t>D-23-11-02 (SCG)</t>
  </si>
  <si>
    <t>D-UG-240007</t>
  </si>
  <si>
    <t>D-UG-240005</t>
  </si>
  <si>
    <t>Value Line Proprietary Database, December 2024.</t>
  </si>
  <si>
    <t>Y</t>
  </si>
  <si>
    <t>X</t>
  </si>
  <si>
    <t>Arithmetic Mean of Monthly Returns on Large Company Common Stocks (1928 - 2024)</t>
  </si>
  <si>
    <t>Arithmetic Mean of Moody's Aaa and Aa Corporate Bond Yields (1928 - 2024)</t>
  </si>
  <si>
    <t>Arithmetic Mean Holding Period Returns on the S&amp;P Utility Index (1928 - 2024)</t>
  </si>
  <si>
    <t>Arithmetic Mean on Moody's A Rated Public Utility Bond Yields (1928 - 2024)</t>
  </si>
  <si>
    <t>SBBI (1926-2024)</t>
  </si>
  <si>
    <t>(1926-2024)</t>
  </si>
  <si>
    <t>Risk-Free Rate (see note 2):</t>
  </si>
  <si>
    <t>Based on S&amp;P Public Utility Index monthly total returns and Moody's Public Utility Bond average monthly yields from 1928-2024.  Holding period returns are calculated based upon income received (dividends and interest) plus the relative change in the market value of a security over a one-year holding period.</t>
  </si>
  <si>
    <t>November 27, 2024 and January 31, 2025</t>
  </si>
  <si>
    <t>ATO KY</t>
  </si>
  <si>
    <t>Kentucky Public Service Commission</t>
  </si>
  <si>
    <t>ABT US Equity</t>
  </si>
  <si>
    <t>ABBV US Equity</t>
  </si>
  <si>
    <t>APD US Equity</t>
  </si>
  <si>
    <t>GOOG US Equity</t>
  </si>
  <si>
    <t>MO US Equity</t>
  </si>
  <si>
    <t>AAPL US Equity</t>
  </si>
  <si>
    <t>AIZ US Equity</t>
  </si>
  <si>
    <t>AZO US Equity</t>
  </si>
  <si>
    <t>BAH US Equity</t>
  </si>
  <si>
    <t>BRC US Equity</t>
  </si>
  <si>
    <t>BWXT US Equity</t>
  </si>
  <si>
    <t>CACI US Equity</t>
  </si>
  <si>
    <t>CASY US Equity</t>
  </si>
  <si>
    <t>COR US Equity</t>
  </si>
  <si>
    <t>CSWI US Equity</t>
  </si>
  <si>
    <t>CVS US Equity</t>
  </si>
  <si>
    <t>DHR US Equity</t>
  </si>
  <si>
    <t>DLB US Equity</t>
  </si>
  <si>
    <t>EXPO US Equity</t>
  </si>
  <si>
    <t>FAST US Equity</t>
  </si>
  <si>
    <t>FELE US Equity</t>
  </si>
  <si>
    <t>GATX US Equity</t>
  </si>
  <si>
    <t>JKHY US Equity</t>
  </si>
  <si>
    <t>JBHT US Equity</t>
  </si>
  <si>
    <t>HII US Equity</t>
  </si>
  <si>
    <t>LHX US Equity</t>
  </si>
  <si>
    <t>LSTR US Equity</t>
  </si>
  <si>
    <t>LMT US Equity</t>
  </si>
  <si>
    <t>MCK US Equity</t>
  </si>
  <si>
    <t>MSFT US Equity</t>
  </si>
  <si>
    <t>MSM US Equity</t>
  </si>
  <si>
    <t>ORCL US Equity</t>
  </si>
  <si>
    <t>ORLY US Equity</t>
  </si>
  <si>
    <t>OSIS US Equity</t>
  </si>
  <si>
    <t>PKG US Equity</t>
  </si>
  <si>
    <t>PFE US Equity</t>
  </si>
  <si>
    <t>PM US Equity</t>
  </si>
  <si>
    <t>PBH US Equity</t>
  </si>
  <si>
    <t>SIGI US Equity</t>
  </si>
  <si>
    <t>SCI US Equity</t>
  </si>
  <si>
    <t>SHW US Equity</t>
  </si>
  <si>
    <t>AOS US Equity</t>
  </si>
  <si>
    <t>TMO US Equity</t>
  </si>
  <si>
    <t>UNF US Equity</t>
  </si>
  <si>
    <t>UNH US Equity</t>
  </si>
  <si>
    <t>UVV US Equity</t>
  </si>
  <si>
    <t>VRSN US Equity</t>
  </si>
  <si>
    <t>WAT US Equity</t>
  </si>
  <si>
    <t>WSO US Equity</t>
  </si>
  <si>
    <t>2025M01</t>
  </si>
  <si>
    <t>Company Provided.</t>
  </si>
  <si>
    <t>DWD-</t>
  </si>
  <si>
    <t>Capital Asset Pricing Model (CAPM)</t>
  </si>
  <si>
    <t>Return on Equity</t>
  </si>
  <si>
    <t>Equity Issuances and Flotation Costs for FY 2016 - 2024</t>
  </si>
  <si>
    <t>[Column 1]</t>
  </si>
  <si>
    <t>[Column 2]</t>
  </si>
  <si>
    <t>[Column 3]</t>
  </si>
  <si>
    <t>[Column 4]</t>
  </si>
  <si>
    <t>[Column 5]</t>
  </si>
  <si>
    <t>[Column 6]</t>
  </si>
  <si>
    <t>[Column 7]</t>
  </si>
  <si>
    <t>Fiscal Year</t>
  </si>
  <si>
    <t>Transaction (1)</t>
  </si>
  <si>
    <t xml:space="preserve">Shares Issued </t>
  </si>
  <si>
    <t xml:space="preserve">Average Offering Price per Share </t>
  </si>
  <si>
    <t xml:space="preserve">Gross Equity Issue before Costs </t>
  </si>
  <si>
    <t xml:space="preserve">Total Net Proceeds </t>
  </si>
  <si>
    <t>Flotation Cost Percentage (4)</t>
  </si>
  <si>
    <t>At the Market Equity Offering</t>
  </si>
  <si>
    <t xml:space="preserve">Average Projected EPS Growth Rate </t>
  </si>
  <si>
    <t>Average DCF Cost Rate Unadjusted for Flotation (5)</t>
  </si>
  <si>
    <t>DCF Cost Rate Adjusted for Flotation (6)</t>
  </si>
  <si>
    <t>Source of Information: Atmos Energy Corporation SEC Form 10-Ks, Company-Provided Data</t>
  </si>
  <si>
    <t>November 2018 ATM</t>
  </si>
  <si>
    <t>February 2020 ATM</t>
  </si>
  <si>
    <t>November 2018 Prospectus</t>
  </si>
  <si>
    <t>Atmos Energy</t>
  </si>
  <si>
    <t>A2 Rated Public Utility Bonds Over Aa2 Rated Public Utility Bonds:</t>
  </si>
  <si>
    <t>% (3)</t>
  </si>
  <si>
    <t>Aa Rated Public Utility Bond</t>
  </si>
  <si>
    <t>MOODUAA Index</t>
  </si>
  <si>
    <t>Column [3] - Column [1].</t>
  </si>
  <si>
    <t>Column [4] - Column [3].</t>
  </si>
  <si>
    <t>Adjustment to reflect the Company's greater business risk relative to the Utility Proxy Group as detailed in Mr. D'Ascendis' Direct Testimony.</t>
  </si>
  <si>
    <t>Company-specific risk adjustment to reflect Atmos' lower risk due to a lower long-term rating relative to the proxy group as detailed in Mr. D'Ascendis' Direct Testimony.</t>
  </si>
  <si>
    <t>Gas CEM Proxy Group</t>
  </si>
  <si>
    <t>Moody's A2 Rated Utility Bond Yields - Natural Gas Utilities</t>
  </si>
  <si>
    <t>Last updated: 11/06/24 - 11:05</t>
  </si>
  <si>
    <t>Last updated: 11/06/24 - 11:06</t>
  </si>
  <si>
    <t>Last updated: 11/06/24 - 11:07</t>
  </si>
  <si>
    <t>Modified: 1 1186 // Conditional Variance</t>
  </si>
  <si>
    <t>Proxy Group of Seven Natural Gas Distribution Companies</t>
  </si>
  <si>
    <t>Range of Capital Structures for the Past Eight Fiscal Quarters for the</t>
  </si>
  <si>
    <t>Common Equity Ratio (including Short-Term Debt)</t>
  </si>
  <si>
    <t>2024 Q3</t>
  </si>
  <si>
    <t>2024 Q2</t>
  </si>
  <si>
    <t>2024 Q1</t>
  </si>
  <si>
    <t>2023 Q4</t>
  </si>
  <si>
    <t>2023 Q3</t>
  </si>
  <si>
    <t>2023 Q2</t>
  </si>
  <si>
    <t>2023 Q1</t>
  </si>
  <si>
    <t>2022 Q4</t>
  </si>
  <si>
    <t>8Q average ending Q3 2024</t>
  </si>
  <si>
    <t>SP_ENTITY_NAME</t>
  </si>
  <si>
    <t>SP_ENTITY_ID</t>
  </si>
  <si>
    <t>SNL_COMMON_EQUITY</t>
  </si>
  <si>
    <t>SNL_TOTAL_PREF_EQUITY</t>
  </si>
  <si>
    <t>SNL_LT_DEBT_INCL_CURRENT_PORTION</t>
  </si>
  <si>
    <t>SNL_OP_LEASE_LIAB</t>
  </si>
  <si>
    <t>SNL_ST_DEBT</t>
  </si>
  <si>
    <t>SNL_CUSTOMER_SECURITY_DEP</t>
  </si>
  <si>
    <t>IQ_SECURITIZED_DEBT</t>
  </si>
  <si>
    <t>FQ42024</t>
  </si>
  <si>
    <t>FQ32024</t>
  </si>
  <si>
    <t>FQ22024</t>
  </si>
  <si>
    <t>FQ12024</t>
  </si>
  <si>
    <t>FQ42023</t>
  </si>
  <si>
    <t>FQ32023</t>
  </si>
  <si>
    <t>FQ22023</t>
  </si>
  <si>
    <t>FQ12023</t>
  </si>
  <si>
    <t>FQ42022</t>
  </si>
  <si>
    <t>Atmos Energy Corporation (NYSE:ATO)</t>
  </si>
  <si>
    <t>New Jersey Resources Corporation (NYSE:NJR)</t>
  </si>
  <si>
    <t>NiSource Inc. (NYSE:NI)</t>
  </si>
  <si>
    <t>Northwest Natural Holding Company (NYSE:NWN)</t>
  </si>
  <si>
    <t>ONE Gas, Inc. (NYSE:OGS)</t>
  </si>
  <si>
    <t>Southwest Gas Holdings, Inc. (NYSE:SWX)</t>
  </si>
  <si>
    <t>Spire Inc. (NYSE:SR)</t>
  </si>
  <si>
    <t>Total Debt Ratio (including Short-Term Debt)</t>
  </si>
  <si>
    <t>New Jersey Natural Gas Company</t>
  </si>
  <si>
    <t>Common Equity Ratio (excluding Short-Term Debt)</t>
  </si>
  <si>
    <t>Long-Term Debt Ratio (excluding Short-Term Debt)</t>
  </si>
  <si>
    <t>Source: S&amp;P Global Market Intelligence; S&amp;P Capital IQ; Company Filings</t>
  </si>
  <si>
    <t>Total Debt Ratio (excluding Short-Term Debt)</t>
  </si>
  <si>
    <t>Proxy Group of Seven Natural Gas Distribution Companies at the Operating Company Level</t>
  </si>
  <si>
    <t xml:space="preserve">ONE Gas, Inc.       </t>
  </si>
  <si>
    <t xml:space="preserve">Spire Inc.          </t>
  </si>
  <si>
    <t>Proxy Group of Seven Natural Gas Companies</t>
  </si>
  <si>
    <t>Minimum</t>
  </si>
  <si>
    <t>Maximum</t>
  </si>
  <si>
    <t>D-17-010-FR (2021 filing)</t>
  </si>
  <si>
    <t>D-17-010-FR (2020 filing)</t>
  </si>
  <si>
    <t>BKH</t>
  </si>
  <si>
    <t>D-23-074-U</t>
  </si>
  <si>
    <t>Settled</t>
  </si>
  <si>
    <t>Summit Utilities Arkansas Inc.</t>
  </si>
  <si>
    <t>D-23-079-U</t>
  </si>
  <si>
    <t>CPK</t>
  </si>
  <si>
    <t>Sthrn IN Gas &amp; Electric Co.</t>
  </si>
  <si>
    <t>Ca-45447</t>
  </si>
  <si>
    <t>Ca-45468</t>
  </si>
  <si>
    <t>D-UG-210755</t>
  </si>
  <si>
    <t>C-19-G-0066</t>
  </si>
  <si>
    <t>C-19-G-0379</t>
  </si>
  <si>
    <t>C-19-G-0381</t>
  </si>
  <si>
    <t>KeySpan Gas East Corp.</t>
  </si>
  <si>
    <t>C-19-G-0310</t>
  </si>
  <si>
    <t>C-19-G-0309</t>
  </si>
  <si>
    <t>C-20-G-0381</t>
  </si>
  <si>
    <t>C-21-G-0073</t>
  </si>
  <si>
    <t>C-21-G-0394</t>
  </si>
  <si>
    <t>C-22-G-0065</t>
  </si>
  <si>
    <t>C-22-G-0318</t>
  </si>
  <si>
    <t>C-22-G-0320</t>
  </si>
  <si>
    <t>C-23-G-0226</t>
  </si>
  <si>
    <t>C-23-G-0225</t>
  </si>
  <si>
    <t>C-23-G-0627</t>
  </si>
  <si>
    <t>NWE</t>
  </si>
  <si>
    <t>D-2022-7-78 (gas)</t>
  </si>
  <si>
    <t>AVA</t>
  </si>
  <si>
    <t>D-UG-190335</t>
  </si>
  <si>
    <t>D-UG-200901</t>
  </si>
  <si>
    <t>D-UG-220067</t>
  </si>
  <si>
    <t>D-UG-190210</t>
  </si>
  <si>
    <t>D-20-00049</t>
  </si>
  <si>
    <t>D-23-00029</t>
  </si>
  <si>
    <t>D-24-00024</t>
  </si>
  <si>
    <t>Ca-45621</t>
  </si>
  <si>
    <t>D-22-0002</t>
  </si>
  <si>
    <t>UTL</t>
  </si>
  <si>
    <t>D-UG-388</t>
  </si>
  <si>
    <t>D-UG 389</t>
  </si>
  <si>
    <t>D-UG 390</t>
  </si>
  <si>
    <t>D-NG-109</t>
  </si>
  <si>
    <t>C-AVU-G-21-01</t>
  </si>
  <si>
    <t>C-20-G-0429</t>
  </si>
  <si>
    <t>D-21-09001 (Southern)</t>
  </si>
  <si>
    <t>D-21-09001 (Northern)</t>
  </si>
  <si>
    <t>D-UG 433</t>
  </si>
  <si>
    <t>D-UG-435</t>
  </si>
  <si>
    <t>D-G-01551A-21-0368</t>
  </si>
  <si>
    <t>C-INT-G-22-07</t>
  </si>
  <si>
    <t>C-AVU-G-23-01</t>
  </si>
  <si>
    <t>D-UG-461</t>
  </si>
  <si>
    <t>D-23-09012 (Northern)</t>
  </si>
  <si>
    <t>D-23-09012 (Southern)</t>
  </si>
  <si>
    <t>D-UG-490</t>
  </si>
  <si>
    <t>D-RPU-2021-0002</t>
  </si>
  <si>
    <t>D-23-00035</t>
  </si>
  <si>
    <t>C-PU-23-341</t>
  </si>
  <si>
    <t>D-21AL-0236G</t>
  </si>
  <si>
    <t>C-PU-20-379</t>
  </si>
  <si>
    <t>D-20-0150</t>
  </si>
  <si>
    <t>D-20-00086</t>
  </si>
  <si>
    <t>C-21-0637-GA-AIR</t>
  </si>
  <si>
    <t>D-23AL-0231G</t>
  </si>
  <si>
    <t>D-G-008/GR-21-435</t>
  </si>
  <si>
    <t>Questar Gas Co.</t>
  </si>
  <si>
    <t>Black Hills Wyoming Gas LLC</t>
  </si>
  <si>
    <t>D-30026-78-GR-23</t>
  </si>
  <si>
    <t>D-RPU-2023-0002 (gas)</t>
  </si>
  <si>
    <t>D-30013-351-GR-19</t>
  </si>
  <si>
    <t>C-2021-00190</t>
  </si>
  <si>
    <t>Northeast Ohio NaturalGas Corp</t>
  </si>
  <si>
    <t>C-23-0154-GA-AIR</t>
  </si>
  <si>
    <t>D-RPU-2023-0001</t>
  </si>
  <si>
    <t>D-30010-215-GR-23</t>
  </si>
  <si>
    <t>D-G-9, Sub 781</t>
  </si>
  <si>
    <t>D-G-5 Sub 632</t>
  </si>
  <si>
    <t>C-PUR-2020-00095</t>
  </si>
  <si>
    <t>New Mexico Gas Co.</t>
  </si>
  <si>
    <t>C-19-00317-UT</t>
  </si>
  <si>
    <t>A-19-08-015 (SoCal)</t>
  </si>
  <si>
    <t>A-19-08-015 (NoCal)</t>
  </si>
  <si>
    <t>A-19-08-015 (LkTah)</t>
  </si>
  <si>
    <t>D-DG-20-105</t>
  </si>
  <si>
    <t>D-DG-21-104</t>
  </si>
  <si>
    <t>D-GR21121254</t>
  </si>
  <si>
    <t>C-21-00267-UT</t>
  </si>
  <si>
    <t>C-23-00255-UT</t>
  </si>
  <si>
    <t>D-2023-00051</t>
  </si>
  <si>
    <t>FC-1162</t>
  </si>
  <si>
    <t>D-2021-7-G</t>
  </si>
  <si>
    <t>D-2022-89-G</t>
  </si>
  <si>
    <t>D-G-9 Sub 837</t>
  </si>
  <si>
    <t>D-2020-7-G</t>
  </si>
  <si>
    <t>C-22-0507-GA-AIR</t>
  </si>
  <si>
    <t>Ca-45967</t>
  </si>
  <si>
    <t>DPU 19-131</t>
  </si>
  <si>
    <t>D- 4220-UR-125 (Gas)</t>
  </si>
  <si>
    <t>D-6680-UR-123 (Gas)</t>
  </si>
  <si>
    <t>D-G-002/GR-21-678</t>
  </si>
  <si>
    <t>C-PU-23-367</t>
  </si>
  <si>
    <t>C-PU-21-381</t>
  </si>
  <si>
    <t>C-9644</t>
  </si>
  <si>
    <t>C-2021-00183</t>
  </si>
  <si>
    <t>C-2024-00092</t>
  </si>
  <si>
    <t>C-9680</t>
  </si>
  <si>
    <t>D-G-011/GR-22-504</t>
  </si>
  <si>
    <t>D-2023-7-G</t>
  </si>
  <si>
    <t>DPU 20-59</t>
  </si>
  <si>
    <t>D-GR20030243</t>
  </si>
  <si>
    <t>D-GR21030679</t>
  </si>
  <si>
    <t>The Berkshire Gas Co.</t>
  </si>
  <si>
    <t>DPU 22-20</t>
  </si>
  <si>
    <t>D-GR22040253</t>
  </si>
  <si>
    <t>D-GR24010071</t>
  </si>
  <si>
    <t>D-20200051-GU</t>
  </si>
  <si>
    <t>D-2023-70-G</t>
  </si>
  <si>
    <t>D-30010-187-GR-19</t>
  </si>
  <si>
    <t>Madison Gas &amp; Electric Co.</t>
  </si>
  <si>
    <t>MGEE</t>
  </si>
  <si>
    <t>D-3270-UR-123 (Gas)</t>
  </si>
  <si>
    <t>D-3270-UR-124 (Gas)</t>
  </si>
  <si>
    <t>D-GR23120925</t>
  </si>
  <si>
    <t>D-GR24020158</t>
  </si>
  <si>
    <t>D-20AL-0049G</t>
  </si>
  <si>
    <t>D-42315 (2020 review)</t>
  </si>
  <si>
    <t>D-42315 (2021 review)</t>
  </si>
  <si>
    <t>D-GUD-10920</t>
  </si>
  <si>
    <t>D-22AL-0348G</t>
  </si>
  <si>
    <t>Ca-PUD202100063</t>
  </si>
  <si>
    <t>D-GUD-10928 (Central-Gulf)</t>
  </si>
  <si>
    <t>D-OSS-23-00014399(Rio Grande)</t>
  </si>
  <si>
    <t>D-OS-24-00017471(Central-Gulf)</t>
  </si>
  <si>
    <t>RGCO</t>
  </si>
  <si>
    <t>D-OSS-22-00009896 (WTXNorth)</t>
  </si>
  <si>
    <t>D-21-00019</t>
  </si>
  <si>
    <t>D-GUD-10900</t>
  </si>
  <si>
    <t>D-22-00010</t>
  </si>
  <si>
    <t>D-OSS-23-00015513 (Texas Cons)</t>
  </si>
  <si>
    <t>D-23-00008</t>
  </si>
  <si>
    <t>D-24-00006</t>
  </si>
  <si>
    <t>Ohio Valley Gas Inc</t>
  </si>
  <si>
    <t>Ca-46011</t>
  </si>
  <si>
    <t>Increase authorized</t>
  </si>
  <si>
    <t>Docket No.</t>
  </si>
  <si>
    <t>Order date</t>
  </si>
  <si>
    <t>Decision type</t>
  </si>
  <si>
    <t>Return on
equity (%)</t>
  </si>
  <si>
    <t>A-Rated Utility Yield - By Order Date</t>
  </si>
  <si>
    <t>C-UF-3581</t>
  </si>
  <si>
    <t>A-Rated Utility Yield</t>
  </si>
  <si>
    <t>A-Rated Utility Yield (1)</t>
  </si>
  <si>
    <t>C-R-80041172</t>
  </si>
  <si>
    <t>C-R-80031129</t>
  </si>
  <si>
    <t>Correlation</t>
  </si>
  <si>
    <t>Source of Information: Regulatory Research Associates, Bloomberg Professional</t>
  </si>
  <si>
    <t>C-R-80041169</t>
  </si>
  <si>
    <t>C-7466 0-65076</t>
  </si>
  <si>
    <t>C-UF-3676</t>
  </si>
  <si>
    <t>C-R-811457</t>
  </si>
  <si>
    <t>C-R-811488</t>
  </si>
  <si>
    <t>C-81-021-G-42T</t>
  </si>
  <si>
    <t>D-815-459</t>
  </si>
  <si>
    <t>C-R-811627</t>
  </si>
  <si>
    <t>C-UF-3798</t>
  </si>
  <si>
    <t>D-8112-1039</t>
  </si>
  <si>
    <t>C-81-057-17</t>
  </si>
  <si>
    <t>C-UF-3848</t>
  </si>
  <si>
    <t>C-R-821906</t>
  </si>
  <si>
    <t>C-82-158-G-42T</t>
  </si>
  <si>
    <t>C-UG-1</t>
  </si>
  <si>
    <t>C-R-822145</t>
  </si>
  <si>
    <t>D-831-107</t>
  </si>
  <si>
    <t>D-831-46</t>
  </si>
  <si>
    <t>Ca-U-82-55</t>
  </si>
  <si>
    <t>C-7725 0-66359</t>
  </si>
  <si>
    <t>DPU-1535</t>
  </si>
  <si>
    <t>Ca-U-83-27</t>
  </si>
  <si>
    <t>C-28554</t>
  </si>
  <si>
    <t>C-83-057-12</t>
  </si>
  <si>
    <t>C-U-7732</t>
  </si>
  <si>
    <t>C-83-777-GA-AIR</t>
  </si>
  <si>
    <t>C-1875</t>
  </si>
  <si>
    <t>Ca-U-84-60</t>
  </si>
  <si>
    <t>D-19323</t>
  </si>
  <si>
    <t>C-84-738-G-42T</t>
  </si>
  <si>
    <t>C-UG-14</t>
  </si>
  <si>
    <t>C-UG-28</t>
  </si>
  <si>
    <t>C-UG-38</t>
  </si>
  <si>
    <t>Ca-U-86-100</t>
  </si>
  <si>
    <t>D-6680-UR-102-G</t>
  </si>
  <si>
    <t>D-1880</t>
  </si>
  <si>
    <t>C-86-604-G-42T</t>
  </si>
  <si>
    <t>D-U-87-7499</t>
  </si>
  <si>
    <t>D-GR-86121374</t>
  </si>
  <si>
    <t>D-GR-87060522</t>
  </si>
  <si>
    <t>D-GR-8704329</t>
  </si>
  <si>
    <t>C-U-9112</t>
  </si>
  <si>
    <t>C-88-G-076</t>
  </si>
  <si>
    <t>C-88-G-181</t>
  </si>
  <si>
    <t>D-3855-U</t>
  </si>
  <si>
    <t>C-8191 0-68547</t>
  </si>
  <si>
    <t>C-88-G-226</t>
  </si>
  <si>
    <t>C-UG-81</t>
  </si>
  <si>
    <t>Ca-U-88-2380</t>
  </si>
  <si>
    <t>D-U-89-10491</t>
  </si>
  <si>
    <t>D-U-89-10017</t>
  </si>
  <si>
    <t>C-U-9475</t>
  </si>
  <si>
    <t>FC-890</t>
  </si>
  <si>
    <t>C-89-G-1050</t>
  </si>
  <si>
    <t>Ca-38918</t>
  </si>
  <si>
    <t>D-90-05-11</t>
  </si>
  <si>
    <t>C-90-390-GA-AIR</t>
  </si>
  <si>
    <t>D-GR-90080786J</t>
  </si>
  <si>
    <t>C-PUE-900016</t>
  </si>
  <si>
    <t>C-U-9781</t>
  </si>
  <si>
    <t>D-RPU-90-7</t>
  </si>
  <si>
    <t>C-89-G-154</t>
  </si>
  <si>
    <t>D-G-9,SUB309</t>
  </si>
  <si>
    <t>D-91-02636</t>
  </si>
  <si>
    <t>D-GR-90121391J</t>
  </si>
  <si>
    <t>C-90-G-0981</t>
  </si>
  <si>
    <t>D-G-5,SUB280</t>
  </si>
  <si>
    <t>C-91-195-GA-AIR</t>
  </si>
  <si>
    <t>D-U-17236 (ARKLA)</t>
  </si>
  <si>
    <t>C-91-415-GA-AIR</t>
  </si>
  <si>
    <t>D-GR-91081393J</t>
  </si>
  <si>
    <t>C-91-G-0846</t>
  </si>
  <si>
    <t>D-GR-91071243J</t>
  </si>
  <si>
    <t>C-92-G-0500</t>
  </si>
  <si>
    <t>Ca-39353</t>
  </si>
  <si>
    <t>C-92-0063-G-42T</t>
  </si>
  <si>
    <t>D-GR-91111698J</t>
  </si>
  <si>
    <t>D-RPU-92-5 (gas)</t>
  </si>
  <si>
    <t>C-92-G-0110</t>
  </si>
  <si>
    <t>D-G-011-GR-92-132</t>
  </si>
  <si>
    <t>D-RPU-92-9</t>
  </si>
  <si>
    <t>D-G-008-GR-92-400</t>
  </si>
  <si>
    <t>Ca-39539</t>
  </si>
  <si>
    <t>C-8545</t>
  </si>
  <si>
    <t>C-92-G-0741</t>
  </si>
  <si>
    <t>C-92-G-1086</t>
  </si>
  <si>
    <t>D-93-03-09</t>
  </si>
  <si>
    <t>C-93-G-0002</t>
  </si>
  <si>
    <t>D-GR-9304114</t>
  </si>
  <si>
    <t>D-93-06946</t>
  </si>
  <si>
    <t>C-PUE-930035</t>
  </si>
  <si>
    <t>C-93-G-0941</t>
  </si>
  <si>
    <t>C-93-G-0996</t>
  </si>
  <si>
    <t>D-94-22</t>
  </si>
  <si>
    <t>C-8660</t>
  </si>
  <si>
    <t>D-G-008-GR-93-1090</t>
  </si>
  <si>
    <t>D-940276-GU</t>
  </si>
  <si>
    <t>D-GR-94010002</t>
  </si>
  <si>
    <t>D-U-21484 (LGS)</t>
  </si>
  <si>
    <t>C-PUE-950033</t>
  </si>
  <si>
    <t>D-D95.9.128 (gas)</t>
  </si>
  <si>
    <t>Ca-40283</t>
  </si>
  <si>
    <t>D-UG-95-1415</t>
  </si>
  <si>
    <t>D-GR-96010032</t>
  </si>
  <si>
    <t>C-U-11220</t>
  </si>
  <si>
    <t>D-D96.2.22</t>
  </si>
  <si>
    <t>Ca-UG-97-1071</t>
  </si>
  <si>
    <t>D-G-002-GR-97-1606</t>
  </si>
  <si>
    <t>Black Hills Kansas Gas Utility</t>
  </si>
  <si>
    <t>D-00-UTCG-336-RTS</t>
  </si>
  <si>
    <t>D-G-9, SUB 428</t>
  </si>
  <si>
    <t>C-00-G-1274</t>
  </si>
  <si>
    <t>D-GR-01050297</t>
  </si>
  <si>
    <t>C-00-G-1456</t>
  </si>
  <si>
    <t>C-01-1228-GA-AIR</t>
  </si>
  <si>
    <t>D-UG-01-1571</t>
  </si>
  <si>
    <t>D-G-9,SUB461</t>
  </si>
  <si>
    <t>D-RPU-02-2</t>
  </si>
  <si>
    <t>C-01-G-1668</t>
  </si>
  <si>
    <t>D-GR-02040245</t>
  </si>
  <si>
    <t>Ca-PUD-200200166</t>
  </si>
  <si>
    <t>D-020384-GU</t>
  </si>
  <si>
    <t>C-U-13470</t>
  </si>
  <si>
    <t>C-U-13575</t>
  </si>
  <si>
    <t>D-02S-315G</t>
  </si>
  <si>
    <t>D-G-01032A-02-0598</t>
  </si>
  <si>
    <t>D-G-007,011-GR-00-951</t>
  </si>
  <si>
    <t>D-UG-152</t>
  </si>
  <si>
    <t>D-02-227-U</t>
  </si>
  <si>
    <t>D-UG-153</t>
  </si>
  <si>
    <t>D-G-21,SUB442</t>
  </si>
  <si>
    <t>D-03-127</t>
  </si>
  <si>
    <t>C-03-00017-UT</t>
  </si>
  <si>
    <t>AP-0211017 De-0405055 (gas)</t>
  </si>
  <si>
    <t>Ca-42596</t>
  </si>
  <si>
    <t>D-GR-03080683</t>
  </si>
  <si>
    <t>D-U-27676 (ARKLA)</t>
  </si>
  <si>
    <t>C-PUE-2003-00603</t>
  </si>
  <si>
    <t>C-03-G-1671</t>
  </si>
  <si>
    <t>Ca-42598</t>
  </si>
  <si>
    <t>D-04-06-01</t>
  </si>
  <si>
    <t>Ca-PUD-200400187</t>
  </si>
  <si>
    <t>C-U-14338</t>
  </si>
  <si>
    <t>Vectren Energy Delivery Ohio</t>
  </si>
  <si>
    <t>C-04-571-GA-AIR</t>
  </si>
  <si>
    <t>D-04-0476 (IP)</t>
  </si>
  <si>
    <t>D-G-008-GR-04-901</t>
  </si>
  <si>
    <t>D-18638-U</t>
  </si>
  <si>
    <t>D-U-28035</t>
  </si>
  <si>
    <t>D-G-002-GR-04-1511</t>
  </si>
  <si>
    <t>Cheyenne Light Fuel Power Co.</t>
  </si>
  <si>
    <t>D-30005-GR-05-103 (gas)</t>
  </si>
  <si>
    <t>Ca-PUD-200400610</t>
  </si>
  <si>
    <t>D-RPU-05-1</t>
  </si>
  <si>
    <t>D-2005-113-G</t>
  </si>
  <si>
    <t>D-UG-05-0483</t>
  </si>
  <si>
    <t>D-05-03-17PH01</t>
  </si>
  <si>
    <t>D-05S-264G</t>
  </si>
  <si>
    <t>C-05-G-0935</t>
  </si>
  <si>
    <t>D-30022-73-GR-06</t>
  </si>
  <si>
    <t>Chesapeake Utilities Corp.</t>
  </si>
  <si>
    <t>C-9062</t>
  </si>
  <si>
    <t>C-05-G-1494</t>
  </si>
  <si>
    <t>D-GR-05100845</t>
  </si>
  <si>
    <t>D-06-00175</t>
  </si>
  <si>
    <t>C-U-14893</t>
  </si>
  <si>
    <t>DTE 06-109</t>
  </si>
  <si>
    <t>D-06-03-04PH01</t>
  </si>
  <si>
    <t>D-06-284</t>
  </si>
  <si>
    <t>AP-0512002 De-0703044(gas)</t>
  </si>
  <si>
    <t>C-PU-06-525</t>
  </si>
  <si>
    <t>D-06-12-02PH01</t>
  </si>
  <si>
    <t>D-06S-656G</t>
  </si>
  <si>
    <t>D-06-124-U</t>
  </si>
  <si>
    <t>Ca-43112</t>
  </si>
  <si>
    <t>C-2007-00008</t>
  </si>
  <si>
    <t>C-PUE-2006-00059</t>
  </si>
  <si>
    <t>C-06-G-1332</t>
  </si>
  <si>
    <t>D-07-00105</t>
  </si>
  <si>
    <t>C-2007-00089</t>
  </si>
  <si>
    <t>D-06-161-U</t>
  </si>
  <si>
    <t>D-07-026-U</t>
  </si>
  <si>
    <t>D-30005-112-GR-7 (gas)</t>
  </si>
  <si>
    <t>D-NG-0048</t>
  </si>
  <si>
    <t>D-UG-07-0805</t>
  </si>
  <si>
    <t>C-06-G-1186</t>
  </si>
  <si>
    <t>C-06-G-1185</t>
  </si>
  <si>
    <t>Ca-43298</t>
  </si>
  <si>
    <t>D-UG-181</t>
  </si>
  <si>
    <t>C-07-0589-GA-AIR</t>
  </si>
  <si>
    <t>D-GUD-9762 (Mid-Tex)</t>
  </si>
  <si>
    <t>AP-06-12-010</t>
  </si>
  <si>
    <t>AP-06-12-009 (gas)</t>
  </si>
  <si>
    <t>D-08S-108G</t>
  </si>
  <si>
    <t>D-07-186</t>
  </si>
  <si>
    <t>C-AVU-G-08-01</t>
  </si>
  <si>
    <t>D-GR-07110889</t>
  </si>
  <si>
    <t>D-UG-07-2301</t>
  </si>
  <si>
    <t>D-GUD 9791</t>
  </si>
  <si>
    <t>D-G-9, Sub 550</t>
  </si>
  <si>
    <t>D-G-5, Sub 495</t>
  </si>
  <si>
    <t>A-07-12-022 (SoCalDiv)</t>
  </si>
  <si>
    <t>A-07-12-022 (NoCalDiv)</t>
  </si>
  <si>
    <t>A-07-12-022 (LkTah)</t>
  </si>
  <si>
    <t>C-08-0072-GA-AIR</t>
  </si>
  <si>
    <t>D-UG-08-0546</t>
  </si>
  <si>
    <t>D-UG-08-0417</t>
  </si>
  <si>
    <t>C-U-15549</t>
  </si>
  <si>
    <t>D-08-00197</t>
  </si>
  <si>
    <t>D-UD-08-03 (gas)</t>
  </si>
  <si>
    <t>C-08-G-0609</t>
  </si>
  <si>
    <t>D-RPU-08-3</t>
  </si>
  <si>
    <t>C-AVU-G-09-01</t>
  </si>
  <si>
    <t>C-08-G-1398</t>
  </si>
  <si>
    <t>D-UG-186</t>
  </si>
  <si>
    <t>Ca-PUD200900110</t>
  </si>
  <si>
    <t>C-U-15990</t>
  </si>
  <si>
    <t>D-GR-09030195</t>
  </si>
  <si>
    <t>D-080366-GU</t>
  </si>
  <si>
    <t>C-2009-00202</t>
  </si>
  <si>
    <t>D-09-057-16</t>
  </si>
  <si>
    <t>C-09-G-0589</t>
  </si>
  <si>
    <t>D-GR09050422 (G)</t>
  </si>
  <si>
    <t>D-U-09-070</t>
  </si>
  <si>
    <t>D-GR-10010035</t>
  </si>
  <si>
    <t>C-09-G-0716</t>
  </si>
  <si>
    <t>C-09-G-0718</t>
  </si>
  <si>
    <t>C-09-G-0795</t>
  </si>
  <si>
    <t>D-UG-100468</t>
  </si>
  <si>
    <t>D-10AL-455G</t>
  </si>
  <si>
    <t>D-D2009.9.129 (gas)</t>
  </si>
  <si>
    <t>D-GUD 9988,9992 (El Paso)</t>
  </si>
  <si>
    <t>C-PUE-2010-00017</t>
  </si>
  <si>
    <t>C-U-16169</t>
  </si>
  <si>
    <t>D-UG 201</t>
  </si>
  <si>
    <t>D-GUD-10038</t>
  </si>
  <si>
    <t>C-U-16418</t>
  </si>
  <si>
    <t>D-10-237</t>
  </si>
  <si>
    <t>D-10AL-963G</t>
  </si>
  <si>
    <t>D-G-01551A-10-0458</t>
  </si>
  <si>
    <t>C-PUE-2010-00142</t>
  </si>
  <si>
    <t>D-11-00144</t>
  </si>
  <si>
    <t>C-11-00042-UT</t>
  </si>
  <si>
    <t>D-DG-11-069</t>
  </si>
  <si>
    <t>C-U-16855</t>
  </si>
  <si>
    <t>D-30005-157-GR-11 (gas)</t>
  </si>
  <si>
    <t>C-PUE-2010-00139</t>
  </si>
  <si>
    <t>D-6690-UR-121 (Gas)</t>
  </si>
  <si>
    <t>D-12-00064</t>
  </si>
  <si>
    <t>D-RPU-2012-0002</t>
  </si>
  <si>
    <t>D-GUD-10182</t>
  </si>
  <si>
    <t>C-U-16999</t>
  </si>
  <si>
    <t>C-2012-00222 (gas)</t>
  </si>
  <si>
    <t>D-4323 (gas)</t>
  </si>
  <si>
    <t>D-UG-120437</t>
  </si>
  <si>
    <t>C-12-G-0202</t>
  </si>
  <si>
    <t>C-AVU-G-12-07</t>
  </si>
  <si>
    <t>D-D2012.9.94</t>
  </si>
  <si>
    <t>C-12-G-0544</t>
  </si>
  <si>
    <t>D-UG-130138</t>
  </si>
  <si>
    <t>C-12-1685-GA-AIR</t>
  </si>
  <si>
    <t>C-U-17273</t>
  </si>
  <si>
    <t>D-G-9, Sub 631</t>
  </si>
  <si>
    <t>C-PU-13-803</t>
  </si>
  <si>
    <t>D-UG-246</t>
  </si>
  <si>
    <t>C-13-G-0031</t>
  </si>
  <si>
    <t>D-13AL-0496G</t>
  </si>
  <si>
    <t>D-DG-13-086</t>
  </si>
  <si>
    <t>C-13-G-0136</t>
  </si>
  <si>
    <t>D-13-079-U</t>
  </si>
  <si>
    <t>D-13-078-U</t>
  </si>
  <si>
    <t>D-30005-182-GR-13</t>
  </si>
  <si>
    <t>D-14-ATMG-320-RTS</t>
  </si>
  <si>
    <t>D-GR-13111137</t>
  </si>
  <si>
    <t>C-GR-2014-0152</t>
  </si>
  <si>
    <t>C-U-17643</t>
  </si>
  <si>
    <t>D-UG-284</t>
  </si>
  <si>
    <t>D-14-00146</t>
  </si>
  <si>
    <t>C-14-G-0319</t>
  </si>
  <si>
    <t>C-PUE-2014-00020</t>
  </si>
  <si>
    <t>DPU 15-50</t>
  </si>
  <si>
    <t>C-15-0003-G-42T</t>
  </si>
  <si>
    <t>C-14-G-0494</t>
  </si>
  <si>
    <t>D-15-0142</t>
  </si>
  <si>
    <t>C-U-17880</t>
  </si>
  <si>
    <t>C-AVU-G-15-01</t>
  </si>
  <si>
    <t>Ca-PUD201500213</t>
  </si>
  <si>
    <t>D-UG-150205</t>
  </si>
  <si>
    <t>D-15-011-U</t>
  </si>
  <si>
    <t>DPU 15-75</t>
  </si>
  <si>
    <t>Maine Natural Gas Corp.</t>
  </si>
  <si>
    <t>D-2015-00005</t>
  </si>
  <si>
    <t>C-15-G-0284</t>
  </si>
  <si>
    <t>C-15-G-0286</t>
  </si>
  <si>
    <t>D-15-098-U</t>
  </si>
  <si>
    <t>D-GR-15111304</t>
  </si>
  <si>
    <t>D-GUD-10506 (West Texas)</t>
  </si>
  <si>
    <t>D-2016-7-G</t>
  </si>
  <si>
    <t>D-G-5, Sub 565</t>
  </si>
  <si>
    <t>D-6680-UR-120 (Gas)</t>
  </si>
  <si>
    <t>C-16-G-0058</t>
  </si>
  <si>
    <t>C-16-G-0059</t>
  </si>
  <si>
    <t>D-15-1734</t>
  </si>
  <si>
    <t>D-16-06007</t>
  </si>
  <si>
    <t>C-16-G-0061</t>
  </si>
  <si>
    <t>D-40828</t>
  </si>
  <si>
    <t>D-G-01551A-16-0107</t>
  </si>
  <si>
    <t>D-GUD-10567</t>
  </si>
  <si>
    <t>D-16-0650</t>
  </si>
  <si>
    <t>C-2016-00371 (gas)</t>
  </si>
  <si>
    <t>D-GR-16090826</t>
  </si>
  <si>
    <t>D-D2016.9.68</t>
  </si>
  <si>
    <t>D-UG 325</t>
  </si>
  <si>
    <t>C-9447</t>
  </si>
  <si>
    <t>D-2017-7-G</t>
  </si>
  <si>
    <t>D-GR-17010071</t>
  </si>
  <si>
    <t>Advice No. 2611-G</t>
  </si>
  <si>
    <t>Advice No. 5192</t>
  </si>
  <si>
    <t>D-UG-170034</t>
  </si>
  <si>
    <t>D-17-05-42</t>
  </si>
  <si>
    <t>C-AVU-G-17-01</t>
  </si>
  <si>
    <t>C-17-G-0239</t>
  </si>
  <si>
    <t>20170179-GU</t>
  </si>
  <si>
    <t>D-DG-17-070</t>
  </si>
  <si>
    <t>D2017.9.79</t>
  </si>
  <si>
    <t>C-GR-2018-0013</t>
  </si>
  <si>
    <t>C-17-G-0460</t>
  </si>
  <si>
    <t>Black Hills Northwest Wyoming</t>
  </si>
  <si>
    <t>D-30011-97-GR-17</t>
  </si>
  <si>
    <t>D-UG-170929</t>
  </si>
  <si>
    <t>D-4770 (gas)</t>
  </si>
  <si>
    <t>C-U-18424</t>
  </si>
  <si>
    <t>D-6680-UR-121 (Gas)</t>
  </si>
  <si>
    <t>Ca-44988</t>
  </si>
  <si>
    <t>D-3270-UR-122 (Gas)</t>
  </si>
  <si>
    <t>D-2018-7-G</t>
  </si>
  <si>
    <t>C-PU-17-295</t>
  </si>
  <si>
    <t>D-17-071-U</t>
  </si>
  <si>
    <t>D-UG-344</t>
  </si>
  <si>
    <t>D-GR18010030</t>
  </si>
  <si>
    <t>D-18-0463</t>
  </si>
  <si>
    <t>D-17-0978</t>
  </si>
  <si>
    <t>D-18-05-10</t>
  </si>
  <si>
    <t>D-RPU-2018-0002</t>
  </si>
  <si>
    <t>D-18-05-16</t>
  </si>
  <si>
    <t>DPU 18-40</t>
  </si>
  <si>
    <t>C-18-G-0068</t>
  </si>
  <si>
    <t>C-2018-00261</t>
  </si>
  <si>
    <t>C-2018-00295 (gas)</t>
  </si>
  <si>
    <t>D-GUD-10779 (Mid-Tex Division)</t>
  </si>
  <si>
    <t>D-4220-UR-124 (Gas)</t>
  </si>
  <si>
    <t>D-2019-7-G</t>
  </si>
  <si>
    <t>D-UG 366</t>
  </si>
  <si>
    <t>C-9605</t>
  </si>
  <si>
    <t>D-UG-181053</t>
  </si>
  <si>
    <t>D-05-UR-109</t>
  </si>
  <si>
    <t>D-05-UR-109 (WEP-Gas)</t>
  </si>
  <si>
    <t>D-6690-UR-126 (Gas)</t>
  </si>
  <si>
    <t>D-G-9, Sub 743</t>
  </si>
  <si>
    <t>D-GR19040486</t>
  </si>
  <si>
    <t>D-GR19030420</t>
  </si>
  <si>
    <t>C-U-20479</t>
  </si>
  <si>
    <t>D-30026-2-GR-19</t>
  </si>
  <si>
    <t>C-9610 (GAS)</t>
  </si>
  <si>
    <t>D-RPU-2019-0002</t>
  </si>
  <si>
    <t>C-19-0316-G-42T</t>
  </si>
  <si>
    <t>C-U-20642</t>
  </si>
  <si>
    <t>C-U-20650</t>
  </si>
  <si>
    <t>C-2020-00350 (gas)</t>
  </si>
  <si>
    <t>C-U-20718</t>
  </si>
  <si>
    <t>C-2021-00185</t>
  </si>
  <si>
    <t>C-U-21148</t>
  </si>
  <si>
    <t>C-U-21308</t>
  </si>
  <si>
    <t>C-U-21366</t>
  </si>
  <si>
    <t>C-23-0280-G-42T</t>
  </si>
  <si>
    <t>C-U-21490</t>
  </si>
  <si>
    <t>C-U-21540</t>
  </si>
  <si>
    <t>Begin Month</t>
  </si>
  <si>
    <t>End of Month</t>
  </si>
  <si>
    <t>H15T30 Index</t>
  </si>
  <si>
    <t>Year</t>
  </si>
  <si>
    <t>Days &gt; 4.00%</t>
  </si>
  <si>
    <t>2010 Rate Cases</t>
  </si>
  <si>
    <t>Average ROE</t>
  </si>
  <si>
    <t>30 Year Treasury</t>
  </si>
  <si>
    <t>Targe Fed Funds Rate (Top)</t>
  </si>
  <si>
    <t>Target Rate To (%)</t>
  </si>
  <si>
    <t>Effective Date</t>
  </si>
  <si>
    <t>Rate Type</t>
  </si>
  <si>
    <t>Rate (%)</t>
  </si>
  <si>
    <t>1st Percentile (%)</t>
  </si>
  <si>
    <t>25th Percentile (%)</t>
  </si>
  <si>
    <t>75th Percentile (%)</t>
  </si>
  <si>
    <t>99th Percentile (%)</t>
  </si>
  <si>
    <t>Volume ($Billions)</t>
  </si>
  <si>
    <t>Target Rate From (%)</t>
  </si>
  <si>
    <t>Intra Day - Low (%)</t>
  </si>
  <si>
    <t>Intra Day - High (%)</t>
  </si>
  <si>
    <t>Standard Deviation (%)</t>
  </si>
  <si>
    <t>30-Day Average SOFR</t>
  </si>
  <si>
    <t>90-Day Average SOFR</t>
  </si>
  <si>
    <t>180-Day Average SOFR</t>
  </si>
  <si>
    <t>SOFR Index</t>
  </si>
  <si>
    <t>Revision Indicator (Y/N)</t>
  </si>
  <si>
    <t>Footnote ID</t>
  </si>
  <si>
    <t>EFFR</t>
  </si>
  <si>
    <t>Atmost Energy Corporation</t>
  </si>
  <si>
    <t xml:space="preserve">Calculation of Price Appreciation and Annualized Volatility of the </t>
  </si>
  <si>
    <t>Utility Proxy Group, Other Utility Indices, and Market Indices since January 31, 2020</t>
  </si>
  <si>
    <t>DJU</t>
  </si>
  <si>
    <t>XLU</t>
  </si>
  <si>
    <t>DJIA</t>
  </si>
  <si>
    <t>Avg. Proxy</t>
  </si>
  <si>
    <t>^Dow Jones Utility</t>
  </si>
  <si>
    <t>^DJIA</t>
  </si>
  <si>
    <t>^S&amp;P 500</t>
  </si>
  <si>
    <t>Price Appreciation (1)</t>
  </si>
  <si>
    <t>Annualized Volatility (2)</t>
  </si>
  <si>
    <t>Price</t>
  </si>
  <si>
    <t>Return</t>
  </si>
  <si>
    <t>01/31/2025</t>
  </si>
  <si>
    <t>01/30/2025</t>
  </si>
  <si>
    <t>01/29/2025</t>
  </si>
  <si>
    <t>01/28/2025</t>
  </si>
  <si>
    <t>01/27/2025</t>
  </si>
  <si>
    <t>01/24/2025</t>
  </si>
  <si>
    <t>01/23/2025</t>
  </si>
  <si>
    <t>01/22/2025</t>
  </si>
  <si>
    <t>Utility Proxy Group Average</t>
  </si>
  <si>
    <t>01/21/2025</t>
  </si>
  <si>
    <t>01/17/2025</t>
  </si>
  <si>
    <t>01/16/2025</t>
  </si>
  <si>
    <t>Dow Jones Utility Average</t>
  </si>
  <si>
    <t>01/15/2025</t>
  </si>
  <si>
    <t>01/14/2025</t>
  </si>
  <si>
    <t>Utilities Select SPDR Fund</t>
  </si>
  <si>
    <t>01/13/2025</t>
  </si>
  <si>
    <t>01/10/2025</t>
  </si>
  <si>
    <t>Dow Jones Industrial Average</t>
  </si>
  <si>
    <t>01/08/2025</t>
  </si>
  <si>
    <t>01/07/2025</t>
  </si>
  <si>
    <t>01/06/2025</t>
  </si>
  <si>
    <t>01/03/2025</t>
  </si>
  <si>
    <t>01/02/2025</t>
  </si>
  <si>
    <t>(01/31/2025 price minus 1/31/2020 price) divided by 1/31/2020 price.</t>
  </si>
  <si>
    <t>12/31/2024</t>
  </si>
  <si>
    <t xml:space="preserve">Standard deviation of returns over the period multiplied by the square root of 252, or </t>
  </si>
  <si>
    <t>12/30/2024</t>
  </si>
  <si>
    <t>number of trading days in a year.</t>
  </si>
  <si>
    <t>12/27/2024</t>
  </si>
  <si>
    <t>12/26/2024</t>
  </si>
  <si>
    <t>Source: S&amp;P Market Intelligence, S&amp;P Capital IQ</t>
  </si>
  <si>
    <t>12/24/2024</t>
  </si>
  <si>
    <t>12/23/2024</t>
  </si>
  <si>
    <t>12/20/2024</t>
  </si>
  <si>
    <t>12/19/2024</t>
  </si>
  <si>
    <t>12/18/2024</t>
  </si>
  <si>
    <t>12/17/2024</t>
  </si>
  <si>
    <t>12/16/2024</t>
  </si>
  <si>
    <t>12/13/2024</t>
  </si>
  <si>
    <t>12/12/2024</t>
  </si>
  <si>
    <t>12/11/2024</t>
  </si>
  <si>
    <t>12/10/2024</t>
  </si>
  <si>
    <t>12/09/2024</t>
  </si>
  <si>
    <t>12/06/2024</t>
  </si>
  <si>
    <t>12/05/2024</t>
  </si>
  <si>
    <t>12/04/2024</t>
  </si>
  <si>
    <t>12/03/2024</t>
  </si>
  <si>
    <t>12/02/2024</t>
  </si>
  <si>
    <t>11/29/2024</t>
  </si>
  <si>
    <t>11/27/2024</t>
  </si>
  <si>
    <t>11/26/2024</t>
  </si>
  <si>
    <t>11/25/2024</t>
  </si>
  <si>
    <t>11/22/2024</t>
  </si>
  <si>
    <t>11/21/2024</t>
  </si>
  <si>
    <t>11/20/2024</t>
  </si>
  <si>
    <t>11/19/2024</t>
  </si>
  <si>
    <t>11/18/2024</t>
  </si>
  <si>
    <t>11/15/2024</t>
  </si>
  <si>
    <t>11/14/2024</t>
  </si>
  <si>
    <t>11/13/2024</t>
  </si>
  <si>
    <t>11/12/2024</t>
  </si>
  <si>
    <t>11/11/2024</t>
  </si>
  <si>
    <t>11/08/2024</t>
  </si>
  <si>
    <t>11/07/2024</t>
  </si>
  <si>
    <t>11/06/2024</t>
  </si>
  <si>
    <t>11/05/2024</t>
  </si>
  <si>
    <t>11/04/2024</t>
  </si>
  <si>
    <t>11/01/2024</t>
  </si>
  <si>
    <t>10/31/2024</t>
  </si>
  <si>
    <t>10/30/2024</t>
  </si>
  <si>
    <t>10/29/2024</t>
  </si>
  <si>
    <t>10/28/2024</t>
  </si>
  <si>
    <t>10/25/2024</t>
  </si>
  <si>
    <t>10/24/2024</t>
  </si>
  <si>
    <t>10/23/2024</t>
  </si>
  <si>
    <t>10/22/2024</t>
  </si>
  <si>
    <t>10/21/2024</t>
  </si>
  <si>
    <t>10/18/2024</t>
  </si>
  <si>
    <t>10/17/2024</t>
  </si>
  <si>
    <t>10/16/2024</t>
  </si>
  <si>
    <t>10/15/2024</t>
  </si>
  <si>
    <t>10/14/2024</t>
  </si>
  <si>
    <t>10/11/2024</t>
  </si>
  <si>
    <t>10/10/2024</t>
  </si>
  <si>
    <t>10/09/2024</t>
  </si>
  <si>
    <t>10/08/2024</t>
  </si>
  <si>
    <t>10/07/2024</t>
  </si>
  <si>
    <t>10/04/2024</t>
  </si>
  <si>
    <t>10/03/2024</t>
  </si>
  <si>
    <t>10/02/2024</t>
  </si>
  <si>
    <t>10/01/2024</t>
  </si>
  <si>
    <t>09/30/2024</t>
  </si>
  <si>
    <t>09/27/2024</t>
  </si>
  <si>
    <t>09/26/2024</t>
  </si>
  <si>
    <t>09/25/2024</t>
  </si>
  <si>
    <t>09/24/2024</t>
  </si>
  <si>
    <t>09/23/2024</t>
  </si>
  <si>
    <t>09/20/2024</t>
  </si>
  <si>
    <t>09/19/2024</t>
  </si>
  <si>
    <t>09/18/2024</t>
  </si>
  <si>
    <t>09/17/2024</t>
  </si>
  <si>
    <t>09/16/2024</t>
  </si>
  <si>
    <t>09/13/2024</t>
  </si>
  <si>
    <t>09/12/2024</t>
  </si>
  <si>
    <t>09/11/2024</t>
  </si>
  <si>
    <t>09/10/2024</t>
  </si>
  <si>
    <t>09/09/2024</t>
  </si>
  <si>
    <t>09/06/2024</t>
  </si>
  <si>
    <t>09/05/2024</t>
  </si>
  <si>
    <t>09/04/2024</t>
  </si>
  <si>
    <t>09/03/2024</t>
  </si>
  <si>
    <t>08/30/2024</t>
  </si>
  <si>
    <t>08/29/2024</t>
  </si>
  <si>
    <t>08/28/2024</t>
  </si>
  <si>
    <t>08/27/2024</t>
  </si>
  <si>
    <t>08/26/2024</t>
  </si>
  <si>
    <t>08/23/2024</t>
  </si>
  <si>
    <t>08/22/2024</t>
  </si>
  <si>
    <t>08/21/2024</t>
  </si>
  <si>
    <t>08/20/2024</t>
  </si>
  <si>
    <t>08/19/2024</t>
  </si>
  <si>
    <t>08/16/2024</t>
  </si>
  <si>
    <t>08/15/2024</t>
  </si>
  <si>
    <t>08/14/2024</t>
  </si>
  <si>
    <t>08/13/2024</t>
  </si>
  <si>
    <t>08/12/2024</t>
  </si>
  <si>
    <t>08/09/2024</t>
  </si>
  <si>
    <t>08/08/2024</t>
  </si>
  <si>
    <t>08/07/2024</t>
  </si>
  <si>
    <t>08/06/2024</t>
  </si>
  <si>
    <t>08/05/2024</t>
  </si>
  <si>
    <t>08/02/2024</t>
  </si>
  <si>
    <t>08/01/2024</t>
  </si>
  <si>
    <t>07/31/2024</t>
  </si>
  <si>
    <t>07/30/2024</t>
  </si>
  <si>
    <t>07/29/2024</t>
  </si>
  <si>
    <t>07/26/2024</t>
  </si>
  <si>
    <t>07/25/2024</t>
  </si>
  <si>
    <t>07/24/2024</t>
  </si>
  <si>
    <t>07/23/2024</t>
  </si>
  <si>
    <t>07/22/2024</t>
  </si>
  <si>
    <t>07/19/2024</t>
  </si>
  <si>
    <t>07/18/2024</t>
  </si>
  <si>
    <t>07/17/2024</t>
  </si>
  <si>
    <t>07/16/2024</t>
  </si>
  <si>
    <t>07/15/2024</t>
  </si>
  <si>
    <t>07/12/2024</t>
  </si>
  <si>
    <t>07/11/2024</t>
  </si>
  <si>
    <t>07/10/2024</t>
  </si>
  <si>
    <t>07/09/2024</t>
  </si>
  <si>
    <t>07/08/2024</t>
  </si>
  <si>
    <t>07/05/2024</t>
  </si>
  <si>
    <t>07/03/2024</t>
  </si>
  <si>
    <t>07/02/2024</t>
  </si>
  <si>
    <t>07/01/2024</t>
  </si>
  <si>
    <t>06/28/2024</t>
  </si>
  <si>
    <t>06/27/2024</t>
  </si>
  <si>
    <t>06/26/2024</t>
  </si>
  <si>
    <t>06/25/2024</t>
  </si>
  <si>
    <t>06/24/2024</t>
  </si>
  <si>
    <t>06/21/2024</t>
  </si>
  <si>
    <t>06/20/2024</t>
  </si>
  <si>
    <t>06/18/2024</t>
  </si>
  <si>
    <t>06/17/2024</t>
  </si>
  <si>
    <t>06/14/2024</t>
  </si>
  <si>
    <t>06/13/2024</t>
  </si>
  <si>
    <t>06/12/2024</t>
  </si>
  <si>
    <t>06/11/2024</t>
  </si>
  <si>
    <t>06/10/2024</t>
  </si>
  <si>
    <t>06/07/2024</t>
  </si>
  <si>
    <t>06/06/2024</t>
  </si>
  <si>
    <t>06/05/2024</t>
  </si>
  <si>
    <t>06/04/2024</t>
  </si>
  <si>
    <t>06/03/2024</t>
  </si>
  <si>
    <t>05/31/2024</t>
  </si>
  <si>
    <t>05/30/2024</t>
  </si>
  <si>
    <t>05/29/2024</t>
  </si>
  <si>
    <t>05/28/2024</t>
  </si>
  <si>
    <t>05/24/2024</t>
  </si>
  <si>
    <t>05/23/2024</t>
  </si>
  <si>
    <t>05/22/2024</t>
  </si>
  <si>
    <t>05/21/2024</t>
  </si>
  <si>
    <t>05/20/2024</t>
  </si>
  <si>
    <t>05/17/2024</t>
  </si>
  <si>
    <t>05/16/2024</t>
  </si>
  <si>
    <t>05/15/2024</t>
  </si>
  <si>
    <t>05/14/2024</t>
  </si>
  <si>
    <t>05/13/2024</t>
  </si>
  <si>
    <t>05/10/2024</t>
  </si>
  <si>
    <t>05/09/2024</t>
  </si>
  <si>
    <t>05/08/2024</t>
  </si>
  <si>
    <t>05/07/2024</t>
  </si>
  <si>
    <t>05/06/2024</t>
  </si>
  <si>
    <t>05/03/2024</t>
  </si>
  <si>
    <t>05/02/2024</t>
  </si>
  <si>
    <t>05/01/2024</t>
  </si>
  <si>
    <t>04/30/2024</t>
  </si>
  <si>
    <t>04/29/2024</t>
  </si>
  <si>
    <t>04/26/2024</t>
  </si>
  <si>
    <t>04/25/2024</t>
  </si>
  <si>
    <t>04/24/2024</t>
  </si>
  <si>
    <t>04/23/2024</t>
  </si>
  <si>
    <t>04/22/2024</t>
  </si>
  <si>
    <t>04/19/2024</t>
  </si>
  <si>
    <t>04/18/2024</t>
  </si>
  <si>
    <t>04/17/2024</t>
  </si>
  <si>
    <t>04/16/2024</t>
  </si>
  <si>
    <t>04/15/2024</t>
  </si>
  <si>
    <t>04/12/2024</t>
  </si>
  <si>
    <t>04/11/2024</t>
  </si>
  <si>
    <t>04/10/2024</t>
  </si>
  <si>
    <t>04/09/2024</t>
  </si>
  <si>
    <t>04/08/2024</t>
  </si>
  <si>
    <t>04/05/2024</t>
  </si>
  <si>
    <t>04/04/2024</t>
  </si>
  <si>
    <t>04/03/2024</t>
  </si>
  <si>
    <t>04/02/2024</t>
  </si>
  <si>
    <t>04/01/2024</t>
  </si>
  <si>
    <t>03/28/2024</t>
  </si>
  <si>
    <t>03/27/2024</t>
  </si>
  <si>
    <t>03/26/2024</t>
  </si>
  <si>
    <t>03/25/2024</t>
  </si>
  <si>
    <t>03/22/2024</t>
  </si>
  <si>
    <t>03/21/2024</t>
  </si>
  <si>
    <t>03/20/2024</t>
  </si>
  <si>
    <t>03/19/2024</t>
  </si>
  <si>
    <t>03/18/2024</t>
  </si>
  <si>
    <t>03/15/2024</t>
  </si>
  <si>
    <t>03/14/2024</t>
  </si>
  <si>
    <t>03/13/2024</t>
  </si>
  <si>
    <t>03/12/2024</t>
  </si>
  <si>
    <t>03/11/2024</t>
  </si>
  <si>
    <t>03/08/2024</t>
  </si>
  <si>
    <t>03/07/2024</t>
  </si>
  <si>
    <t>03/06/2024</t>
  </si>
  <si>
    <t>03/05/2024</t>
  </si>
  <si>
    <t>03/04/2024</t>
  </si>
  <si>
    <t>03/01/2024</t>
  </si>
  <si>
    <t>02/29/2024</t>
  </si>
  <si>
    <t>02/28/2024</t>
  </si>
  <si>
    <t>02/27/2024</t>
  </si>
  <si>
    <t>02/26/2024</t>
  </si>
  <si>
    <t>02/23/2024</t>
  </si>
  <si>
    <t>02/22/2024</t>
  </si>
  <si>
    <t>02/21/2024</t>
  </si>
  <si>
    <t>02/20/2024</t>
  </si>
  <si>
    <t>02/16/2024</t>
  </si>
  <si>
    <t>02/15/2024</t>
  </si>
  <si>
    <t>02/14/2024</t>
  </si>
  <si>
    <t>02/13/2024</t>
  </si>
  <si>
    <t>02/12/2024</t>
  </si>
  <si>
    <t>02/09/2024</t>
  </si>
  <si>
    <t>02/08/2024</t>
  </si>
  <si>
    <t>02/07/2024</t>
  </si>
  <si>
    <t>02/06/2024</t>
  </si>
  <si>
    <t>02/05/2024</t>
  </si>
  <si>
    <t>02/02/2024</t>
  </si>
  <si>
    <t>02/01/2024</t>
  </si>
  <si>
    <t>01/31/2024</t>
  </si>
  <si>
    <t>01/30/2024</t>
  </si>
  <si>
    <t>01/29/2024</t>
  </si>
  <si>
    <t>01/26/2024</t>
  </si>
  <si>
    <t>01/25/2024</t>
  </si>
  <si>
    <t>01/24/2024</t>
  </si>
  <si>
    <t>01/23/2024</t>
  </si>
  <si>
    <t>01/22/2024</t>
  </si>
  <si>
    <t>01/19/2024</t>
  </si>
  <si>
    <t>01/18/2024</t>
  </si>
  <si>
    <t>01/17/2024</t>
  </si>
  <si>
    <t>01/16/2024</t>
  </si>
  <si>
    <t>01/12/2024</t>
  </si>
  <si>
    <t>01/11/2024</t>
  </si>
  <si>
    <t>01/10/2024</t>
  </si>
  <si>
    <t>01/09/2024</t>
  </si>
  <si>
    <t>01/08/2024</t>
  </si>
  <si>
    <t>01/05/2024</t>
  </si>
  <si>
    <t>01/04/2024</t>
  </si>
  <si>
    <t>01/03/2024</t>
  </si>
  <si>
    <t>01/02/2024</t>
  </si>
  <si>
    <t>12/29/2023</t>
  </si>
  <si>
    <t>12/28/2023</t>
  </si>
  <si>
    <t>12/27/2023</t>
  </si>
  <si>
    <t>12/26/2023</t>
  </si>
  <si>
    <t>12/22/2023</t>
  </si>
  <si>
    <t>12/21/2023</t>
  </si>
  <si>
    <t>12/20/2023</t>
  </si>
  <si>
    <t>12/19/2023</t>
  </si>
  <si>
    <t>12/18/2023</t>
  </si>
  <si>
    <t>12/15/2023</t>
  </si>
  <si>
    <t>12/14/2023</t>
  </si>
  <si>
    <t>12/13/2023</t>
  </si>
  <si>
    <t>12/12/2023</t>
  </si>
  <si>
    <t>12/11/2023</t>
  </si>
  <si>
    <t>12/08/2023</t>
  </si>
  <si>
    <t>12/07/2023</t>
  </si>
  <si>
    <t>12/06/2023</t>
  </si>
  <si>
    <t>12/05/2023</t>
  </si>
  <si>
    <t>12/04/2023</t>
  </si>
  <si>
    <t>12/01/2023</t>
  </si>
  <si>
    <t>11/30/2023</t>
  </si>
  <si>
    <t>11/29/2023</t>
  </si>
  <si>
    <t>11/28/2023</t>
  </si>
  <si>
    <t>11/27/2023</t>
  </si>
  <si>
    <t>11/24/2023</t>
  </si>
  <si>
    <t>11/22/2023</t>
  </si>
  <si>
    <t>11/21/2023</t>
  </si>
  <si>
    <t>11/20/2023</t>
  </si>
  <si>
    <t>11/17/2023</t>
  </si>
  <si>
    <t>11/16/2023</t>
  </si>
  <si>
    <t>11/15/2023</t>
  </si>
  <si>
    <t>11/14/2023</t>
  </si>
  <si>
    <t>11/13/2023</t>
  </si>
  <si>
    <t>11/10/2023</t>
  </si>
  <si>
    <t>11/09/2023</t>
  </si>
  <si>
    <t>11/08/2023</t>
  </si>
  <si>
    <t>11/07/2023</t>
  </si>
  <si>
    <t>11/06/2023</t>
  </si>
  <si>
    <t>11/03/2023</t>
  </si>
  <si>
    <t>11/02/2023</t>
  </si>
  <si>
    <t>11/01/2023</t>
  </si>
  <si>
    <t>10/31/2023</t>
  </si>
  <si>
    <t>10/30/2023</t>
  </si>
  <si>
    <t>10/27/2023</t>
  </si>
  <si>
    <t>10/26/2023</t>
  </si>
  <si>
    <t>10/25/2023</t>
  </si>
  <si>
    <t>10/24/2023</t>
  </si>
  <si>
    <t>10/23/2023</t>
  </si>
  <si>
    <t>10/20/2023</t>
  </si>
  <si>
    <t>10/19/2023</t>
  </si>
  <si>
    <t>10/18/2023</t>
  </si>
  <si>
    <t>10/17/2023</t>
  </si>
  <si>
    <t>10/16/2023</t>
  </si>
  <si>
    <t>10/13/2023</t>
  </si>
  <si>
    <t>10/12/2023</t>
  </si>
  <si>
    <t>10/11/2023</t>
  </si>
  <si>
    <t>10/10/2023</t>
  </si>
  <si>
    <t>10/09/2023</t>
  </si>
  <si>
    <t>10/06/2023</t>
  </si>
  <si>
    <t>10/05/2023</t>
  </si>
  <si>
    <t>10/04/2023</t>
  </si>
  <si>
    <t>10/03/2023</t>
  </si>
  <si>
    <t>10/02/2023</t>
  </si>
  <si>
    <t>09/29/2023</t>
  </si>
  <si>
    <t>09/28/2023</t>
  </si>
  <si>
    <t>09/27/2023</t>
  </si>
  <si>
    <t>09/26/2023</t>
  </si>
  <si>
    <t>09/25/2023</t>
  </si>
  <si>
    <t>09/22/2023</t>
  </si>
  <si>
    <t>09/21/2023</t>
  </si>
  <si>
    <t>09/20/2023</t>
  </si>
  <si>
    <t>09/19/2023</t>
  </si>
  <si>
    <t>09/18/2023</t>
  </si>
  <si>
    <t>09/15/2023</t>
  </si>
  <si>
    <t>09/14/2023</t>
  </si>
  <si>
    <t>09/13/2023</t>
  </si>
  <si>
    <t>09/12/2023</t>
  </si>
  <si>
    <t>09/11/2023</t>
  </si>
  <si>
    <t>09/08/2023</t>
  </si>
  <si>
    <t>09/07/2023</t>
  </si>
  <si>
    <t>09/06/2023</t>
  </si>
  <si>
    <t>09/05/2023</t>
  </si>
  <si>
    <t>09/01/2023</t>
  </si>
  <si>
    <t>08/31/2023</t>
  </si>
  <si>
    <t>08/30/2023</t>
  </si>
  <si>
    <t>08/29/2023</t>
  </si>
  <si>
    <t>08/28/2023</t>
  </si>
  <si>
    <t>08/25/2023</t>
  </si>
  <si>
    <t>08/24/2023</t>
  </si>
  <si>
    <t>08/23/2023</t>
  </si>
  <si>
    <t>08/22/2023</t>
  </si>
  <si>
    <t>08/21/2023</t>
  </si>
  <si>
    <t>08/18/2023</t>
  </si>
  <si>
    <t>08/17/2023</t>
  </si>
  <si>
    <t>08/16/2023</t>
  </si>
  <si>
    <t>08/15/2023</t>
  </si>
  <si>
    <t>08/14/2023</t>
  </si>
  <si>
    <t>08/11/2023</t>
  </si>
  <si>
    <t>08/10/2023</t>
  </si>
  <si>
    <t>08/09/2023</t>
  </si>
  <si>
    <t>08/08/2023</t>
  </si>
  <si>
    <t>08/07/2023</t>
  </si>
  <si>
    <t>08/04/2023</t>
  </si>
  <si>
    <t>08/03/2023</t>
  </si>
  <si>
    <t>08/02/2023</t>
  </si>
  <si>
    <t>08/01/2023</t>
  </si>
  <si>
    <t>07/31/2023</t>
  </si>
  <si>
    <t>07/28/2023</t>
  </si>
  <si>
    <t>07/27/2023</t>
  </si>
  <si>
    <t>07/26/2023</t>
  </si>
  <si>
    <t>07/25/2023</t>
  </si>
  <si>
    <t>07/24/2023</t>
  </si>
  <si>
    <t>07/21/2023</t>
  </si>
  <si>
    <t>07/20/2023</t>
  </si>
  <si>
    <t>07/19/2023</t>
  </si>
  <si>
    <t>07/18/2023</t>
  </si>
  <si>
    <t>07/17/2023</t>
  </si>
  <si>
    <t>07/14/2023</t>
  </si>
  <si>
    <t>07/13/2023</t>
  </si>
  <si>
    <t>07/12/2023</t>
  </si>
  <si>
    <t>07/11/2023</t>
  </si>
  <si>
    <t>07/10/2023</t>
  </si>
  <si>
    <t>07/07/2023</t>
  </si>
  <si>
    <t>07/06/2023</t>
  </si>
  <si>
    <t>07/05/2023</t>
  </si>
  <si>
    <t>07/03/2023</t>
  </si>
  <si>
    <t>06/30/2023</t>
  </si>
  <si>
    <t>06/29/2023</t>
  </si>
  <si>
    <t>06/28/2023</t>
  </si>
  <si>
    <t>06/27/2023</t>
  </si>
  <si>
    <t>06/26/2023</t>
  </si>
  <si>
    <t>06/23/2023</t>
  </si>
  <si>
    <t>06/22/2023</t>
  </si>
  <si>
    <t>06/21/2023</t>
  </si>
  <si>
    <t>06/20/2023</t>
  </si>
  <si>
    <t>06/16/2023</t>
  </si>
  <si>
    <t>06/15/2023</t>
  </si>
  <si>
    <t>06/14/2023</t>
  </si>
  <si>
    <t>06/13/2023</t>
  </si>
  <si>
    <t>06/12/2023</t>
  </si>
  <si>
    <t>06/09/2023</t>
  </si>
  <si>
    <t>06/08/2023</t>
  </si>
  <si>
    <t>06/07/2023</t>
  </si>
  <si>
    <t>06/06/2023</t>
  </si>
  <si>
    <t>06/05/2023</t>
  </si>
  <si>
    <t>06/02/2023</t>
  </si>
  <si>
    <t>06/01/2023</t>
  </si>
  <si>
    <t>05/31/2023</t>
  </si>
  <si>
    <t>05/30/2023</t>
  </si>
  <si>
    <t>05/26/2023</t>
  </si>
  <si>
    <t>05/25/2023</t>
  </si>
  <si>
    <t>05/24/2023</t>
  </si>
  <si>
    <t>05/23/2023</t>
  </si>
  <si>
    <t>05/22/2023</t>
  </si>
  <si>
    <t>05/19/2023</t>
  </si>
  <si>
    <t>05/18/2023</t>
  </si>
  <si>
    <t>05/17/2023</t>
  </si>
  <si>
    <t>05/16/2023</t>
  </si>
  <si>
    <t>05/15/2023</t>
  </si>
  <si>
    <t>05/12/2023</t>
  </si>
  <si>
    <t>05/11/2023</t>
  </si>
  <si>
    <t>05/10/2023</t>
  </si>
  <si>
    <t>05/09/2023</t>
  </si>
  <si>
    <t>05/08/2023</t>
  </si>
  <si>
    <t>05/05/2023</t>
  </si>
  <si>
    <t>05/04/2023</t>
  </si>
  <si>
    <t>05/03/2023</t>
  </si>
  <si>
    <t>05/02/2023</t>
  </si>
  <si>
    <t>05/01/2023</t>
  </si>
  <si>
    <t>04/28/2023</t>
  </si>
  <si>
    <t>04/27/2023</t>
  </si>
  <si>
    <t>04/26/2023</t>
  </si>
  <si>
    <t>04/25/2023</t>
  </si>
  <si>
    <t>04/24/2023</t>
  </si>
  <si>
    <t>04/21/2023</t>
  </si>
  <si>
    <t>04/20/2023</t>
  </si>
  <si>
    <t>04/19/2023</t>
  </si>
  <si>
    <t>04/18/2023</t>
  </si>
  <si>
    <t>04/17/2023</t>
  </si>
  <si>
    <t>04/14/2023</t>
  </si>
  <si>
    <t>04/13/2023</t>
  </si>
  <si>
    <t>04/12/2023</t>
  </si>
  <si>
    <t>04/11/2023</t>
  </si>
  <si>
    <t>04/10/2023</t>
  </si>
  <si>
    <t>04/06/2023</t>
  </si>
  <si>
    <t>04/05/2023</t>
  </si>
  <si>
    <t>04/04/2023</t>
  </si>
  <si>
    <t>04/03/2023</t>
  </si>
  <si>
    <t>03/31/2023</t>
  </si>
  <si>
    <t>03/30/2023</t>
  </si>
  <si>
    <t>03/29/2023</t>
  </si>
  <si>
    <t>03/28/2023</t>
  </si>
  <si>
    <t>03/27/2023</t>
  </si>
  <si>
    <t>03/24/2023</t>
  </si>
  <si>
    <t>03/23/2023</t>
  </si>
  <si>
    <t>03/22/2023</t>
  </si>
  <si>
    <t>03/21/2023</t>
  </si>
  <si>
    <t>03/20/2023</t>
  </si>
  <si>
    <t>03/17/2023</t>
  </si>
  <si>
    <t>03/16/2023</t>
  </si>
  <si>
    <t>03/15/2023</t>
  </si>
  <si>
    <t>03/14/2023</t>
  </si>
  <si>
    <t>03/13/2023</t>
  </si>
  <si>
    <t>03/10/2023</t>
  </si>
  <si>
    <t>03/09/2023</t>
  </si>
  <si>
    <t>03/08/2023</t>
  </si>
  <si>
    <t>03/07/2023</t>
  </si>
  <si>
    <t>03/06/2023</t>
  </si>
  <si>
    <t>03/03/2023</t>
  </si>
  <si>
    <t>03/02/2023</t>
  </si>
  <si>
    <t>03/01/2023</t>
  </si>
  <si>
    <t>02/28/2023</t>
  </si>
  <si>
    <t>02/27/2023</t>
  </si>
  <si>
    <t>02/24/2023</t>
  </si>
  <si>
    <t>02/23/2023</t>
  </si>
  <si>
    <t>02/22/2023</t>
  </si>
  <si>
    <t>02/21/2023</t>
  </si>
  <si>
    <t>02/17/2023</t>
  </si>
  <si>
    <t>02/16/2023</t>
  </si>
  <si>
    <t>02/15/2023</t>
  </si>
  <si>
    <t>02/14/2023</t>
  </si>
  <si>
    <t>02/13/2023</t>
  </si>
  <si>
    <t>02/10/2023</t>
  </si>
  <si>
    <t>02/09/2023</t>
  </si>
  <si>
    <t>02/08/2023</t>
  </si>
  <si>
    <t>02/07/2023</t>
  </si>
  <si>
    <t>02/06/2023</t>
  </si>
  <si>
    <t>02/03/2023</t>
  </si>
  <si>
    <t>02/02/2023</t>
  </si>
  <si>
    <t>02/01/2023</t>
  </si>
  <si>
    <t>01/31/2023</t>
  </si>
  <si>
    <t>01/30/2023</t>
  </si>
  <si>
    <t>01/27/2023</t>
  </si>
  <si>
    <t>01/26/2023</t>
  </si>
  <si>
    <t>01/25/2023</t>
  </si>
  <si>
    <t>01/24/2023</t>
  </si>
  <si>
    <t>01/23/2023</t>
  </si>
  <si>
    <t>01/20/2023</t>
  </si>
  <si>
    <t>01/19/2023</t>
  </si>
  <si>
    <t>01/18/2023</t>
  </si>
  <si>
    <t>01/17/2023</t>
  </si>
  <si>
    <t>01/13/2023</t>
  </si>
  <si>
    <t>01/12/2023</t>
  </si>
  <si>
    <t>01/11/2023</t>
  </si>
  <si>
    <t>01/10/2023</t>
  </si>
  <si>
    <t>01/09/2023</t>
  </si>
  <si>
    <t>01/06/2023</t>
  </si>
  <si>
    <t>01/05/2023</t>
  </si>
  <si>
    <t>01/04/2023</t>
  </si>
  <si>
    <t>01/03/2023</t>
  </si>
  <si>
    <t>12/30/2022</t>
  </si>
  <si>
    <t>12/29/2022</t>
  </si>
  <si>
    <t>12/28/2022</t>
  </si>
  <si>
    <t>12/27/2022</t>
  </si>
  <si>
    <t>12/23/2022</t>
  </si>
  <si>
    <t>12/22/2022</t>
  </si>
  <si>
    <t>12/21/2022</t>
  </si>
  <si>
    <t>12/20/2022</t>
  </si>
  <si>
    <t>12/19/2022</t>
  </si>
  <si>
    <t>12/16/2022</t>
  </si>
  <si>
    <t>12/15/2022</t>
  </si>
  <si>
    <t>12/14/2022</t>
  </si>
  <si>
    <t>12/13/2022</t>
  </si>
  <si>
    <t>12/12/2022</t>
  </si>
  <si>
    <t>12/09/2022</t>
  </si>
  <si>
    <t>12/08/2022</t>
  </si>
  <si>
    <t>12/07/2022</t>
  </si>
  <si>
    <t>12/06/2022</t>
  </si>
  <si>
    <t>12/05/2022</t>
  </si>
  <si>
    <t>12/02/2022</t>
  </si>
  <si>
    <t>12/01/2022</t>
  </si>
  <si>
    <t>11/30/2022</t>
  </si>
  <si>
    <t>11/29/2022</t>
  </si>
  <si>
    <t>11/28/2022</t>
  </si>
  <si>
    <t>11/25/2022</t>
  </si>
  <si>
    <t>11/23/2022</t>
  </si>
  <si>
    <t>11/22/2022</t>
  </si>
  <si>
    <t>11/21/2022</t>
  </si>
  <si>
    <t>11/18/2022</t>
  </si>
  <si>
    <t>11/17/2022</t>
  </si>
  <si>
    <t>11/16/2022</t>
  </si>
  <si>
    <t>11/15/2022</t>
  </si>
  <si>
    <t>11/14/2022</t>
  </si>
  <si>
    <t>11/11/2022</t>
  </si>
  <si>
    <t>11/10/2022</t>
  </si>
  <si>
    <t>11/09/2022</t>
  </si>
  <si>
    <t>11/08/2022</t>
  </si>
  <si>
    <t>11/07/2022</t>
  </si>
  <si>
    <t>11/04/2022</t>
  </si>
  <si>
    <t>11/03/2022</t>
  </si>
  <si>
    <t>11/02/2022</t>
  </si>
  <si>
    <t>11/01/2022</t>
  </si>
  <si>
    <t>10/31/2022</t>
  </si>
  <si>
    <t>10/28/2022</t>
  </si>
  <si>
    <t>10/27/2022</t>
  </si>
  <si>
    <t>10/26/2022</t>
  </si>
  <si>
    <t>10/25/2022</t>
  </si>
  <si>
    <t>10/24/2022</t>
  </si>
  <si>
    <t>10/21/2022</t>
  </si>
  <si>
    <t>10/20/2022</t>
  </si>
  <si>
    <t>10/19/2022</t>
  </si>
  <si>
    <t>10/18/2022</t>
  </si>
  <si>
    <t>10/17/2022</t>
  </si>
  <si>
    <t>10/14/2022</t>
  </si>
  <si>
    <t>10/13/2022</t>
  </si>
  <si>
    <t>10/12/2022</t>
  </si>
  <si>
    <t>10/11/2022</t>
  </si>
  <si>
    <t>10/10/2022</t>
  </si>
  <si>
    <t>10/07/2022</t>
  </si>
  <si>
    <t>10/06/2022</t>
  </si>
  <si>
    <t>10/05/2022</t>
  </si>
  <si>
    <t>10/04/2022</t>
  </si>
  <si>
    <t>10/03/2022</t>
  </si>
  <si>
    <t>09/30/2022</t>
  </si>
  <si>
    <t>09/29/2022</t>
  </si>
  <si>
    <t>09/28/2022</t>
  </si>
  <si>
    <t>09/27/2022</t>
  </si>
  <si>
    <t>09/26/2022</t>
  </si>
  <si>
    <t>09/23/2022</t>
  </si>
  <si>
    <t>09/22/2022</t>
  </si>
  <si>
    <t>09/21/2022</t>
  </si>
  <si>
    <t>09/20/2022</t>
  </si>
  <si>
    <t>09/19/2022</t>
  </si>
  <si>
    <t>09/16/2022</t>
  </si>
  <si>
    <t>09/15/2022</t>
  </si>
  <si>
    <t>09/14/2022</t>
  </si>
  <si>
    <t>09/13/2022</t>
  </si>
  <si>
    <t>09/12/2022</t>
  </si>
  <si>
    <t>09/09/2022</t>
  </si>
  <si>
    <t>09/08/2022</t>
  </si>
  <si>
    <t>09/07/2022</t>
  </si>
  <si>
    <t>09/06/2022</t>
  </si>
  <si>
    <t>09/02/2022</t>
  </si>
  <si>
    <t>09/01/2022</t>
  </si>
  <si>
    <t>08/31/2022</t>
  </si>
  <si>
    <t>08/30/2022</t>
  </si>
  <si>
    <t>08/29/2022</t>
  </si>
  <si>
    <t>08/26/2022</t>
  </si>
  <si>
    <t>08/25/2022</t>
  </si>
  <si>
    <t>08/24/2022</t>
  </si>
  <si>
    <t>08/23/2022</t>
  </si>
  <si>
    <t>08/22/2022</t>
  </si>
  <si>
    <t>08/19/2022</t>
  </si>
  <si>
    <t>08/18/2022</t>
  </si>
  <si>
    <t>08/17/2022</t>
  </si>
  <si>
    <t>08/16/2022</t>
  </si>
  <si>
    <t>08/15/2022</t>
  </si>
  <si>
    <t>08/12/2022</t>
  </si>
  <si>
    <t>08/11/2022</t>
  </si>
  <si>
    <t>08/10/2022</t>
  </si>
  <si>
    <t>08/09/2022</t>
  </si>
  <si>
    <t>08/08/2022</t>
  </si>
  <si>
    <t>08/05/2022</t>
  </si>
  <si>
    <t>08/04/2022</t>
  </si>
  <si>
    <t>08/03/2022</t>
  </si>
  <si>
    <t>08/02/2022</t>
  </si>
  <si>
    <t>08/01/2022</t>
  </si>
  <si>
    <t>07/29/2022</t>
  </si>
  <si>
    <t>07/28/2022</t>
  </si>
  <si>
    <t>07/27/2022</t>
  </si>
  <si>
    <t>07/26/2022</t>
  </si>
  <si>
    <t>07/25/2022</t>
  </si>
  <si>
    <t>07/22/2022</t>
  </si>
  <si>
    <t>07/21/2022</t>
  </si>
  <si>
    <t>07/20/2022</t>
  </si>
  <si>
    <t>07/19/2022</t>
  </si>
  <si>
    <t>07/18/2022</t>
  </si>
  <si>
    <t>07/15/2022</t>
  </si>
  <si>
    <t>07/14/2022</t>
  </si>
  <si>
    <t>07/13/2022</t>
  </si>
  <si>
    <t>07/12/2022</t>
  </si>
  <si>
    <t>07/11/2022</t>
  </si>
  <si>
    <t>07/08/2022</t>
  </si>
  <si>
    <t>07/07/2022</t>
  </si>
  <si>
    <t>07/06/2022</t>
  </si>
  <si>
    <t>07/05/2022</t>
  </si>
  <si>
    <t>07/01/2022</t>
  </si>
  <si>
    <t>06/30/2022</t>
  </si>
  <si>
    <t>06/29/2022</t>
  </si>
  <si>
    <t>06/28/2022</t>
  </si>
  <si>
    <t>06/27/2022</t>
  </si>
  <si>
    <t>06/24/2022</t>
  </si>
  <si>
    <t>06/23/2022</t>
  </si>
  <si>
    <t>06/22/2022</t>
  </si>
  <si>
    <t>06/21/2022</t>
  </si>
  <si>
    <t>06/17/2022</t>
  </si>
  <si>
    <t>06/16/2022</t>
  </si>
  <si>
    <t>06/15/2022</t>
  </si>
  <si>
    <t>06/14/2022</t>
  </si>
  <si>
    <t>06/13/2022</t>
  </si>
  <si>
    <t>06/10/2022</t>
  </si>
  <si>
    <t>06/09/2022</t>
  </si>
  <si>
    <t>06/08/2022</t>
  </si>
  <si>
    <t>06/07/2022</t>
  </si>
  <si>
    <t>06/06/2022</t>
  </si>
  <si>
    <t>06/03/2022</t>
  </si>
  <si>
    <t>06/02/2022</t>
  </si>
  <si>
    <t>06/01/2022</t>
  </si>
  <si>
    <t>05/31/2022</t>
  </si>
  <si>
    <t>05/27/2022</t>
  </si>
  <si>
    <t>05/26/2022</t>
  </si>
  <si>
    <t>05/25/2022</t>
  </si>
  <si>
    <t>05/24/2022</t>
  </si>
  <si>
    <t>05/23/2022</t>
  </si>
  <si>
    <t>05/20/2022</t>
  </si>
  <si>
    <t>05/19/2022</t>
  </si>
  <si>
    <t>05/18/2022</t>
  </si>
  <si>
    <t>05/17/2022</t>
  </si>
  <si>
    <t>05/16/2022</t>
  </si>
  <si>
    <t>05/13/2022</t>
  </si>
  <si>
    <t>05/12/2022</t>
  </si>
  <si>
    <t>05/11/2022</t>
  </si>
  <si>
    <t>05/10/2022</t>
  </si>
  <si>
    <t>05/09/2022</t>
  </si>
  <si>
    <t>05/06/2022</t>
  </si>
  <si>
    <t>05/05/2022</t>
  </si>
  <si>
    <t>05/04/2022</t>
  </si>
  <si>
    <t>05/03/2022</t>
  </si>
  <si>
    <t>05/02/2022</t>
  </si>
  <si>
    <t>04/29/2022</t>
  </si>
  <si>
    <t>04/28/2022</t>
  </si>
  <si>
    <t>04/27/2022</t>
  </si>
  <si>
    <t>04/26/2022</t>
  </si>
  <si>
    <t>04/25/2022</t>
  </si>
  <si>
    <t>04/22/2022</t>
  </si>
  <si>
    <t>04/21/2022</t>
  </si>
  <si>
    <t>04/20/2022</t>
  </si>
  <si>
    <t>04/19/2022</t>
  </si>
  <si>
    <t>04/18/2022</t>
  </si>
  <si>
    <t>04/14/2022</t>
  </si>
  <si>
    <t>04/13/2022</t>
  </si>
  <si>
    <t>04/12/2022</t>
  </si>
  <si>
    <t>04/11/2022</t>
  </si>
  <si>
    <t>04/08/2022</t>
  </si>
  <si>
    <t>04/07/2022</t>
  </si>
  <si>
    <t>04/06/2022</t>
  </si>
  <si>
    <t>04/05/2022</t>
  </si>
  <si>
    <t>04/04/2022</t>
  </si>
  <si>
    <t>04/01/2022</t>
  </si>
  <si>
    <t>03/31/2022</t>
  </si>
  <si>
    <t>03/30/2022</t>
  </si>
  <si>
    <t>03/29/2022</t>
  </si>
  <si>
    <t>03/28/2022</t>
  </si>
  <si>
    <t>03/25/2022</t>
  </si>
  <si>
    <t>03/24/2022</t>
  </si>
  <si>
    <t>03/23/2022</t>
  </si>
  <si>
    <t>03/22/2022</t>
  </si>
  <si>
    <t>03/21/2022</t>
  </si>
  <si>
    <t>03/18/2022</t>
  </si>
  <si>
    <t>03/17/2022</t>
  </si>
  <si>
    <t>03/16/2022</t>
  </si>
  <si>
    <t>03/15/2022</t>
  </si>
  <si>
    <t>03/14/2022</t>
  </si>
  <si>
    <t>03/11/2022</t>
  </si>
  <si>
    <t>03/10/2022</t>
  </si>
  <si>
    <t>03/09/2022</t>
  </si>
  <si>
    <t>03/08/2022</t>
  </si>
  <si>
    <t>03/07/2022</t>
  </si>
  <si>
    <t>03/04/2022</t>
  </si>
  <si>
    <t>03/03/2022</t>
  </si>
  <si>
    <t>03/02/2022</t>
  </si>
  <si>
    <t>03/01/2022</t>
  </si>
  <si>
    <t>02/28/2022</t>
  </si>
  <si>
    <t>02/25/2022</t>
  </si>
  <si>
    <t>02/24/2022</t>
  </si>
  <si>
    <t>02/23/2022</t>
  </si>
  <si>
    <t>02/22/2022</t>
  </si>
  <si>
    <t>02/18/2022</t>
  </si>
  <si>
    <t>02/17/2022</t>
  </si>
  <si>
    <t>02/16/2022</t>
  </si>
  <si>
    <t>02/15/2022</t>
  </si>
  <si>
    <t>02/14/2022</t>
  </si>
  <si>
    <t>02/11/2022</t>
  </si>
  <si>
    <t>02/10/2022</t>
  </si>
  <si>
    <t>02/09/2022</t>
  </si>
  <si>
    <t>02/08/2022</t>
  </si>
  <si>
    <t>02/07/2022</t>
  </si>
  <si>
    <t>02/04/2022</t>
  </si>
  <si>
    <t>02/03/2022</t>
  </si>
  <si>
    <t>02/02/2022</t>
  </si>
  <si>
    <t>02/01/2022</t>
  </si>
  <si>
    <t>01/31/2022</t>
  </si>
  <si>
    <t>01/28/2022</t>
  </si>
  <si>
    <t>01/27/2022</t>
  </si>
  <si>
    <t>01/26/2022</t>
  </si>
  <si>
    <t>01/25/2022</t>
  </si>
  <si>
    <t>01/24/2022</t>
  </si>
  <si>
    <t>01/21/2022</t>
  </si>
  <si>
    <t>01/20/2022</t>
  </si>
  <si>
    <t>01/19/2022</t>
  </si>
  <si>
    <t>01/18/2022</t>
  </si>
  <si>
    <t>01/14/2022</t>
  </si>
  <si>
    <t>01/13/2022</t>
  </si>
  <si>
    <t>01/12/2022</t>
  </si>
  <si>
    <t>01/11/2022</t>
  </si>
  <si>
    <t>01/10/2022</t>
  </si>
  <si>
    <t>01/07/2022</t>
  </si>
  <si>
    <t>01/06/2022</t>
  </si>
  <si>
    <t>01/05/2022</t>
  </si>
  <si>
    <t>01/04/2022</t>
  </si>
  <si>
    <t>01/03/2022</t>
  </si>
  <si>
    <t>12/31/2021</t>
  </si>
  <si>
    <t>12/30/2021</t>
  </si>
  <si>
    <t>12/29/2021</t>
  </si>
  <si>
    <t>12/28/2021</t>
  </si>
  <si>
    <t>12/27/2021</t>
  </si>
  <si>
    <t>12/23/2021</t>
  </si>
  <si>
    <t>12/22/2021</t>
  </si>
  <si>
    <t>12/21/2021</t>
  </si>
  <si>
    <t>12/20/2021</t>
  </si>
  <si>
    <t>12/17/2021</t>
  </si>
  <si>
    <t>12/16/2021</t>
  </si>
  <si>
    <t>12/15/2021</t>
  </si>
  <si>
    <t>12/14/2021</t>
  </si>
  <si>
    <t>12/13/2021</t>
  </si>
  <si>
    <t>12/10/2021</t>
  </si>
  <si>
    <t>12/09/2021</t>
  </si>
  <si>
    <t>12/08/2021</t>
  </si>
  <si>
    <t>12/07/2021</t>
  </si>
  <si>
    <t>12/06/2021</t>
  </si>
  <si>
    <t>12/03/2021</t>
  </si>
  <si>
    <t>12/02/2021</t>
  </si>
  <si>
    <t>12/01/2021</t>
  </si>
  <si>
    <t>11/30/2021</t>
  </si>
  <si>
    <t>11/29/2021</t>
  </si>
  <si>
    <t>11/26/2021</t>
  </si>
  <si>
    <t>11/24/2021</t>
  </si>
  <si>
    <t>11/23/2021</t>
  </si>
  <si>
    <t>11/22/2021</t>
  </si>
  <si>
    <t>11/19/2021</t>
  </si>
  <si>
    <t>11/18/2021</t>
  </si>
  <si>
    <t>11/17/2021</t>
  </si>
  <si>
    <t>11/16/2021</t>
  </si>
  <si>
    <t>11/15/2021</t>
  </si>
  <si>
    <t>11/12/2021</t>
  </si>
  <si>
    <t>11/11/2021</t>
  </si>
  <si>
    <t>11/10/2021</t>
  </si>
  <si>
    <t>11/09/2021</t>
  </si>
  <si>
    <t>11/08/2021</t>
  </si>
  <si>
    <t>11/05/2021</t>
  </si>
  <si>
    <t>11/04/2021</t>
  </si>
  <si>
    <t>11/03/2021</t>
  </si>
  <si>
    <t>11/02/2021</t>
  </si>
  <si>
    <t>11/01/2021</t>
  </si>
  <si>
    <t>10/29/2021</t>
  </si>
  <si>
    <t>10/28/2021</t>
  </si>
  <si>
    <t>10/27/2021</t>
  </si>
  <si>
    <t>10/26/2021</t>
  </si>
  <si>
    <t>10/25/2021</t>
  </si>
  <si>
    <t>10/22/2021</t>
  </si>
  <si>
    <t>10/21/2021</t>
  </si>
  <si>
    <t>10/20/2021</t>
  </si>
  <si>
    <t>10/19/2021</t>
  </si>
  <si>
    <t>10/18/2021</t>
  </si>
  <si>
    <t>10/15/2021</t>
  </si>
  <si>
    <t>10/14/2021</t>
  </si>
  <si>
    <t>10/13/2021</t>
  </si>
  <si>
    <t>10/12/2021</t>
  </si>
  <si>
    <t>10/11/2021</t>
  </si>
  <si>
    <t>10/08/2021</t>
  </si>
  <si>
    <t>10/07/2021</t>
  </si>
  <si>
    <t>10/06/2021</t>
  </si>
  <si>
    <t>10/05/2021</t>
  </si>
  <si>
    <t>10/04/2021</t>
  </si>
  <si>
    <t>10/01/2021</t>
  </si>
  <si>
    <t>09/30/2021</t>
  </si>
  <si>
    <t>09/29/2021</t>
  </si>
  <si>
    <t>09/28/2021</t>
  </si>
  <si>
    <t>09/27/2021</t>
  </si>
  <si>
    <t>09/24/2021</t>
  </si>
  <si>
    <t>09/23/2021</t>
  </si>
  <si>
    <t>09/22/2021</t>
  </si>
  <si>
    <t>09/21/2021</t>
  </si>
  <si>
    <t>09/20/2021</t>
  </si>
  <si>
    <t>09/17/2021</t>
  </si>
  <si>
    <t>09/16/2021</t>
  </si>
  <si>
    <t>09/15/2021</t>
  </si>
  <si>
    <t>09/14/2021</t>
  </si>
  <si>
    <t>09/13/2021</t>
  </si>
  <si>
    <t>09/10/2021</t>
  </si>
  <si>
    <t>09/09/2021</t>
  </si>
  <si>
    <t>09/08/2021</t>
  </si>
  <si>
    <t>09/07/2021</t>
  </si>
  <si>
    <t>09/03/2021</t>
  </si>
  <si>
    <t>09/02/2021</t>
  </si>
  <si>
    <t>09/01/2021</t>
  </si>
  <si>
    <t>08/31/2021</t>
  </si>
  <si>
    <t>08/30/2021</t>
  </si>
  <si>
    <t>08/27/2021</t>
  </si>
  <si>
    <t>08/26/2021</t>
  </si>
  <si>
    <t>08/25/2021</t>
  </si>
  <si>
    <t>08/24/2021</t>
  </si>
  <si>
    <t>08/23/2021</t>
  </si>
  <si>
    <t>08/20/2021</t>
  </si>
  <si>
    <t>08/19/2021</t>
  </si>
  <si>
    <t>08/18/2021</t>
  </si>
  <si>
    <t>08/17/2021</t>
  </si>
  <si>
    <t>08/16/2021</t>
  </si>
  <si>
    <t>08/13/2021</t>
  </si>
  <si>
    <t>08/12/2021</t>
  </si>
  <si>
    <t>08/11/2021</t>
  </si>
  <si>
    <t>08/10/2021</t>
  </si>
  <si>
    <t>08/09/2021</t>
  </si>
  <si>
    <t>08/06/2021</t>
  </si>
  <si>
    <t>08/05/2021</t>
  </si>
  <si>
    <t>08/04/2021</t>
  </si>
  <si>
    <t>08/03/2021</t>
  </si>
  <si>
    <t>08/02/2021</t>
  </si>
  <si>
    <t>07/30/2021</t>
  </si>
  <si>
    <t>07/29/2021</t>
  </si>
  <si>
    <t>07/28/2021</t>
  </si>
  <si>
    <t>07/27/2021</t>
  </si>
  <si>
    <t>07/26/2021</t>
  </si>
  <si>
    <t>07/23/2021</t>
  </si>
  <si>
    <t>07/22/2021</t>
  </si>
  <si>
    <t>07/21/2021</t>
  </si>
  <si>
    <t>07/20/2021</t>
  </si>
  <si>
    <t>07/19/2021</t>
  </si>
  <si>
    <t>07/16/2021</t>
  </si>
  <si>
    <t>07/15/2021</t>
  </si>
  <si>
    <t>07/14/2021</t>
  </si>
  <si>
    <t>07/13/2021</t>
  </si>
  <si>
    <t>07/12/2021</t>
  </si>
  <si>
    <t>07/09/2021</t>
  </si>
  <si>
    <t>07/08/2021</t>
  </si>
  <si>
    <t>07/07/2021</t>
  </si>
  <si>
    <t>07/06/2021</t>
  </si>
  <si>
    <t>07/02/2021</t>
  </si>
  <si>
    <t>07/01/2021</t>
  </si>
  <si>
    <t>06/30/2021</t>
  </si>
  <si>
    <t>06/29/2021</t>
  </si>
  <si>
    <t>06/28/2021</t>
  </si>
  <si>
    <t>06/25/2021</t>
  </si>
  <si>
    <t>06/24/2021</t>
  </si>
  <si>
    <t>06/23/2021</t>
  </si>
  <si>
    <t>06/22/2021</t>
  </si>
  <si>
    <t>06/21/2021</t>
  </si>
  <si>
    <t>06/18/2021</t>
  </si>
  <si>
    <t>06/17/2021</t>
  </si>
  <si>
    <t>06/16/2021</t>
  </si>
  <si>
    <t>06/15/2021</t>
  </si>
  <si>
    <t>06/14/2021</t>
  </si>
  <si>
    <t>06/11/2021</t>
  </si>
  <si>
    <t>06/10/2021</t>
  </si>
  <si>
    <t>06/09/2021</t>
  </si>
  <si>
    <t>06/08/2021</t>
  </si>
  <si>
    <t>06/07/2021</t>
  </si>
  <si>
    <t>06/04/2021</t>
  </si>
  <si>
    <t>06/03/2021</t>
  </si>
  <si>
    <t>06/02/2021</t>
  </si>
  <si>
    <t>06/01/2021</t>
  </si>
  <si>
    <t>05/28/2021</t>
  </si>
  <si>
    <t>05/27/2021</t>
  </si>
  <si>
    <t>05/26/2021</t>
  </si>
  <si>
    <t>05/25/2021</t>
  </si>
  <si>
    <t>05/24/2021</t>
  </si>
  <si>
    <t>05/21/2021</t>
  </si>
  <si>
    <t>05/20/2021</t>
  </si>
  <si>
    <t>05/19/2021</t>
  </si>
  <si>
    <t>05/18/2021</t>
  </si>
  <si>
    <t>05/17/2021</t>
  </si>
  <si>
    <t>05/14/2021</t>
  </si>
  <si>
    <t>05/13/2021</t>
  </si>
  <si>
    <t>05/12/2021</t>
  </si>
  <si>
    <t>05/11/2021</t>
  </si>
  <si>
    <t>05/10/2021</t>
  </si>
  <si>
    <t>05/07/2021</t>
  </si>
  <si>
    <t>05/06/2021</t>
  </si>
  <si>
    <t>05/05/2021</t>
  </si>
  <si>
    <t>05/04/2021</t>
  </si>
  <si>
    <t>05/03/2021</t>
  </si>
  <si>
    <t>04/30/2021</t>
  </si>
  <si>
    <t>04/29/2021</t>
  </si>
  <si>
    <t>04/28/2021</t>
  </si>
  <si>
    <t>04/27/2021</t>
  </si>
  <si>
    <t>04/26/2021</t>
  </si>
  <si>
    <t>04/23/2021</t>
  </si>
  <si>
    <t>04/22/2021</t>
  </si>
  <si>
    <t>04/21/2021</t>
  </si>
  <si>
    <t>04/20/2021</t>
  </si>
  <si>
    <t>04/19/2021</t>
  </si>
  <si>
    <t>04/16/2021</t>
  </si>
  <si>
    <t>04/15/2021</t>
  </si>
  <si>
    <t>04/14/2021</t>
  </si>
  <si>
    <t>04/13/2021</t>
  </si>
  <si>
    <t>04/12/2021</t>
  </si>
  <si>
    <t>04/09/2021</t>
  </si>
  <si>
    <t>04/08/2021</t>
  </si>
  <si>
    <t>04/07/2021</t>
  </si>
  <si>
    <t>04/06/2021</t>
  </si>
  <si>
    <t>04/05/2021</t>
  </si>
  <si>
    <t>04/01/2021</t>
  </si>
  <si>
    <t>03/31/2021</t>
  </si>
  <si>
    <t>03/30/2021</t>
  </si>
  <si>
    <t>03/29/2021</t>
  </si>
  <si>
    <t>03/26/2021</t>
  </si>
  <si>
    <t>03/25/2021</t>
  </si>
  <si>
    <t>03/24/2021</t>
  </si>
  <si>
    <t>03/23/2021</t>
  </si>
  <si>
    <t>03/22/2021</t>
  </si>
  <si>
    <t>03/19/2021</t>
  </si>
  <si>
    <t>03/18/2021</t>
  </si>
  <si>
    <t>03/17/2021</t>
  </si>
  <si>
    <t>03/16/2021</t>
  </si>
  <si>
    <t>03/15/2021</t>
  </si>
  <si>
    <t>03/12/2021</t>
  </si>
  <si>
    <t>03/11/2021</t>
  </si>
  <si>
    <t>03/10/2021</t>
  </si>
  <si>
    <t>03/09/2021</t>
  </si>
  <si>
    <t>03/08/2021</t>
  </si>
  <si>
    <t>03/05/2021</t>
  </si>
  <si>
    <t>03/04/2021</t>
  </si>
  <si>
    <t>03/03/2021</t>
  </si>
  <si>
    <t>03/02/2021</t>
  </si>
  <si>
    <t>03/01/2021</t>
  </si>
  <si>
    <t>02/26/2021</t>
  </si>
  <si>
    <t>02/25/2021</t>
  </si>
  <si>
    <t>02/24/2021</t>
  </si>
  <si>
    <t>02/23/2021</t>
  </si>
  <si>
    <t>02/22/2021</t>
  </si>
  <si>
    <t>02/19/2021</t>
  </si>
  <si>
    <t>02/18/2021</t>
  </si>
  <si>
    <t>02/17/2021</t>
  </si>
  <si>
    <t>02/16/2021</t>
  </si>
  <si>
    <t>02/12/2021</t>
  </si>
  <si>
    <t>02/11/2021</t>
  </si>
  <si>
    <t>02/10/2021</t>
  </si>
  <si>
    <t>02/09/2021</t>
  </si>
  <si>
    <t>02/08/2021</t>
  </si>
  <si>
    <t>02/05/2021</t>
  </si>
  <si>
    <t>02/04/2021</t>
  </si>
  <si>
    <t>02/03/2021</t>
  </si>
  <si>
    <t>02/02/2021</t>
  </si>
  <si>
    <t>02/01/2021</t>
  </si>
  <si>
    <t>01/29/2021</t>
  </si>
  <si>
    <t>01/28/2021</t>
  </si>
  <si>
    <t>01/27/2021</t>
  </si>
  <si>
    <t>01/26/2021</t>
  </si>
  <si>
    <t>01/25/2021</t>
  </si>
  <si>
    <t>01/22/2021</t>
  </si>
  <si>
    <t>01/21/2021</t>
  </si>
  <si>
    <t>01/20/2021</t>
  </si>
  <si>
    <t>01/19/2021</t>
  </si>
  <si>
    <t>01/15/2021</t>
  </si>
  <si>
    <t>01/14/2021</t>
  </si>
  <si>
    <t>01/13/2021</t>
  </si>
  <si>
    <t>01/12/2021</t>
  </si>
  <si>
    <t>01/11/2021</t>
  </si>
  <si>
    <t>01/08/2021</t>
  </si>
  <si>
    <t>01/07/2021</t>
  </si>
  <si>
    <t>01/06/2021</t>
  </si>
  <si>
    <t>01/05/2021</t>
  </si>
  <si>
    <t>01/04/2021</t>
  </si>
  <si>
    <t>12/31/2020</t>
  </si>
  <si>
    <t>12/30/2020</t>
  </si>
  <si>
    <t>12/29/2020</t>
  </si>
  <si>
    <t>12/28/2020</t>
  </si>
  <si>
    <t>12/24/2020</t>
  </si>
  <si>
    <t>12/23/2020</t>
  </si>
  <si>
    <t>12/22/2020</t>
  </si>
  <si>
    <t>12/21/2020</t>
  </si>
  <si>
    <t>12/18/2020</t>
  </si>
  <si>
    <t>12/17/2020</t>
  </si>
  <si>
    <t>12/16/2020</t>
  </si>
  <si>
    <t>12/15/2020</t>
  </si>
  <si>
    <t>12/14/2020</t>
  </si>
  <si>
    <t>12/11/2020</t>
  </si>
  <si>
    <t>12/10/2020</t>
  </si>
  <si>
    <t>12/09/2020</t>
  </si>
  <si>
    <t>12/08/2020</t>
  </si>
  <si>
    <t>12/07/2020</t>
  </si>
  <si>
    <t>12/04/2020</t>
  </si>
  <si>
    <t>12/03/2020</t>
  </si>
  <si>
    <t>12/02/2020</t>
  </si>
  <si>
    <t>12/01/2020</t>
  </si>
  <si>
    <t>11/30/2020</t>
  </si>
  <si>
    <t>11/27/2020</t>
  </si>
  <si>
    <t>11/25/2020</t>
  </si>
  <si>
    <t>11/24/2020</t>
  </si>
  <si>
    <t>11/23/2020</t>
  </si>
  <si>
    <t>11/20/2020</t>
  </si>
  <si>
    <t>11/19/2020</t>
  </si>
  <si>
    <t>11/18/2020</t>
  </si>
  <si>
    <t>11/17/2020</t>
  </si>
  <si>
    <t>11/16/2020</t>
  </si>
  <si>
    <t>11/13/2020</t>
  </si>
  <si>
    <t>11/12/2020</t>
  </si>
  <si>
    <t>11/11/2020</t>
  </si>
  <si>
    <t>11/10/2020</t>
  </si>
  <si>
    <t>11/09/2020</t>
  </si>
  <si>
    <t>11/06/2020</t>
  </si>
  <si>
    <t>11/05/2020</t>
  </si>
  <si>
    <t>11/04/2020</t>
  </si>
  <si>
    <t>11/03/2020</t>
  </si>
  <si>
    <t>11/02/2020</t>
  </si>
  <si>
    <t>10/30/2020</t>
  </si>
  <si>
    <t>10/29/2020</t>
  </si>
  <si>
    <t>10/28/2020</t>
  </si>
  <si>
    <t>10/27/2020</t>
  </si>
  <si>
    <t>10/26/2020</t>
  </si>
  <si>
    <t>10/23/2020</t>
  </si>
  <si>
    <t>10/22/2020</t>
  </si>
  <si>
    <t>10/21/2020</t>
  </si>
  <si>
    <t>10/20/2020</t>
  </si>
  <si>
    <t>10/19/2020</t>
  </si>
  <si>
    <t>10/16/2020</t>
  </si>
  <si>
    <t>10/15/2020</t>
  </si>
  <si>
    <t>10/14/2020</t>
  </si>
  <si>
    <t>10/13/2020</t>
  </si>
  <si>
    <t>10/12/2020</t>
  </si>
  <si>
    <t>10/09/2020</t>
  </si>
  <si>
    <t>10/08/2020</t>
  </si>
  <si>
    <t>10/07/2020</t>
  </si>
  <si>
    <t>10/06/2020</t>
  </si>
  <si>
    <t>10/05/2020</t>
  </si>
  <si>
    <t>10/02/2020</t>
  </si>
  <si>
    <t>10/01/2020</t>
  </si>
  <si>
    <t>09/30/2020</t>
  </si>
  <si>
    <t>09/29/2020</t>
  </si>
  <si>
    <t>09/28/2020</t>
  </si>
  <si>
    <t>09/25/2020</t>
  </si>
  <si>
    <t>09/24/2020</t>
  </si>
  <si>
    <t>09/23/2020</t>
  </si>
  <si>
    <t>09/22/2020</t>
  </si>
  <si>
    <t>09/21/2020</t>
  </si>
  <si>
    <t>09/18/2020</t>
  </si>
  <si>
    <t>09/17/2020</t>
  </si>
  <si>
    <t>09/16/2020</t>
  </si>
  <si>
    <t>09/15/2020</t>
  </si>
  <si>
    <t>09/14/2020</t>
  </si>
  <si>
    <t>09/11/2020</t>
  </si>
  <si>
    <t>09/10/2020</t>
  </si>
  <si>
    <t>09/09/2020</t>
  </si>
  <si>
    <t>09/08/2020</t>
  </si>
  <si>
    <t>09/04/2020</t>
  </si>
  <si>
    <t>09/03/2020</t>
  </si>
  <si>
    <t>09/02/2020</t>
  </si>
  <si>
    <t>09/01/2020</t>
  </si>
  <si>
    <t>08/31/2020</t>
  </si>
  <si>
    <t>08/28/2020</t>
  </si>
  <si>
    <t>08/27/2020</t>
  </si>
  <si>
    <t>08/26/2020</t>
  </si>
  <si>
    <t>08/25/2020</t>
  </si>
  <si>
    <t>08/24/2020</t>
  </si>
  <si>
    <t>08/21/2020</t>
  </si>
  <si>
    <t>08/20/2020</t>
  </si>
  <si>
    <t>08/19/2020</t>
  </si>
  <si>
    <t>08/18/2020</t>
  </si>
  <si>
    <t>08/17/2020</t>
  </si>
  <si>
    <t>08/14/2020</t>
  </si>
  <si>
    <t>08/13/2020</t>
  </si>
  <si>
    <t>08/12/2020</t>
  </si>
  <si>
    <t>08/11/2020</t>
  </si>
  <si>
    <t>08/10/2020</t>
  </si>
  <si>
    <t>08/07/2020</t>
  </si>
  <si>
    <t>08/06/2020</t>
  </si>
  <si>
    <t>08/05/2020</t>
  </si>
  <si>
    <t>08/04/2020</t>
  </si>
  <si>
    <t>08/03/2020</t>
  </si>
  <si>
    <t>07/31/2020</t>
  </si>
  <si>
    <t>07/30/2020</t>
  </si>
  <si>
    <t>07/29/2020</t>
  </si>
  <si>
    <t>07/28/2020</t>
  </si>
  <si>
    <t>07/27/2020</t>
  </si>
  <si>
    <t>07/24/2020</t>
  </si>
  <si>
    <t>07/23/2020</t>
  </si>
  <si>
    <t>07/22/2020</t>
  </si>
  <si>
    <t>07/21/2020</t>
  </si>
  <si>
    <t>07/20/2020</t>
  </si>
  <si>
    <t>07/17/2020</t>
  </si>
  <si>
    <t>07/16/2020</t>
  </si>
  <si>
    <t>07/15/2020</t>
  </si>
  <si>
    <t>07/14/2020</t>
  </si>
  <si>
    <t>07/13/2020</t>
  </si>
  <si>
    <t>07/10/2020</t>
  </si>
  <si>
    <t>07/09/2020</t>
  </si>
  <si>
    <t>07/08/2020</t>
  </si>
  <si>
    <t>07/07/2020</t>
  </si>
  <si>
    <t>07/06/2020</t>
  </si>
  <si>
    <t>07/02/2020</t>
  </si>
  <si>
    <t>07/01/2020</t>
  </si>
  <si>
    <t>06/30/2020</t>
  </si>
  <si>
    <t>06/29/2020</t>
  </si>
  <si>
    <t>06/26/2020</t>
  </si>
  <si>
    <t>06/25/2020</t>
  </si>
  <si>
    <t>06/24/2020</t>
  </si>
  <si>
    <t>06/23/2020</t>
  </si>
  <si>
    <t>06/22/2020</t>
  </si>
  <si>
    <t>06/19/2020</t>
  </si>
  <si>
    <t>06/18/2020</t>
  </si>
  <si>
    <t>06/17/2020</t>
  </si>
  <si>
    <t>06/16/2020</t>
  </si>
  <si>
    <t>06/15/2020</t>
  </si>
  <si>
    <t>06/12/2020</t>
  </si>
  <si>
    <t>06/11/2020</t>
  </si>
  <si>
    <t>06/10/2020</t>
  </si>
  <si>
    <t>06/09/2020</t>
  </si>
  <si>
    <t>06/08/2020</t>
  </si>
  <si>
    <t>06/05/2020</t>
  </si>
  <si>
    <t>06/04/2020</t>
  </si>
  <si>
    <t>06/03/2020</t>
  </si>
  <si>
    <t>06/02/2020</t>
  </si>
  <si>
    <t>06/01/2020</t>
  </si>
  <si>
    <t>05/29/2020</t>
  </si>
  <si>
    <t>05/28/2020</t>
  </si>
  <si>
    <t>05/27/2020</t>
  </si>
  <si>
    <t>05/26/2020</t>
  </si>
  <si>
    <t>05/22/2020</t>
  </si>
  <si>
    <t>05/21/2020</t>
  </si>
  <si>
    <t>05/20/2020</t>
  </si>
  <si>
    <t>05/19/2020</t>
  </si>
  <si>
    <t>05/18/2020</t>
  </si>
  <si>
    <t>05/15/2020</t>
  </si>
  <si>
    <t>05/14/2020</t>
  </si>
  <si>
    <t>05/13/2020</t>
  </si>
  <si>
    <t>05/12/2020</t>
  </si>
  <si>
    <t>05/11/2020</t>
  </si>
  <si>
    <t>05/08/2020</t>
  </si>
  <si>
    <t>05/07/2020</t>
  </si>
  <si>
    <t>05/06/2020</t>
  </si>
  <si>
    <t>05/05/2020</t>
  </si>
  <si>
    <t>05/04/2020</t>
  </si>
  <si>
    <t>05/01/2020</t>
  </si>
  <si>
    <t>04/30/2020</t>
  </si>
  <si>
    <t>04/29/2020</t>
  </si>
  <si>
    <t>04/28/2020</t>
  </si>
  <si>
    <t>04/27/2020</t>
  </si>
  <si>
    <t>04/24/2020</t>
  </si>
  <si>
    <t>04/23/2020</t>
  </si>
  <si>
    <t>04/22/2020</t>
  </si>
  <si>
    <t>04/21/2020</t>
  </si>
  <si>
    <t>04/20/2020</t>
  </si>
  <si>
    <t>04/17/2020</t>
  </si>
  <si>
    <t>04/16/2020</t>
  </si>
  <si>
    <t>04/15/2020</t>
  </si>
  <si>
    <t>04/14/2020</t>
  </si>
  <si>
    <t>04/13/2020</t>
  </si>
  <si>
    <t>04/09/2020</t>
  </si>
  <si>
    <t>04/08/2020</t>
  </si>
  <si>
    <t>04/07/2020</t>
  </si>
  <si>
    <t>04/06/2020</t>
  </si>
  <si>
    <t>04/03/2020</t>
  </si>
  <si>
    <t>04/02/2020</t>
  </si>
  <si>
    <t>04/01/2020</t>
  </si>
  <si>
    <t>03/31/2020</t>
  </si>
  <si>
    <t>03/30/2020</t>
  </si>
  <si>
    <t>03/27/2020</t>
  </si>
  <si>
    <t>03/26/2020</t>
  </si>
  <si>
    <t>03/25/2020</t>
  </si>
  <si>
    <t>03/24/2020</t>
  </si>
  <si>
    <t>03/23/2020</t>
  </si>
  <si>
    <t>03/20/2020</t>
  </si>
  <si>
    <t>03/19/2020</t>
  </si>
  <si>
    <t>03/18/2020</t>
  </si>
  <si>
    <t>03/17/2020</t>
  </si>
  <si>
    <t>03/16/2020</t>
  </si>
  <si>
    <t>03/13/2020</t>
  </si>
  <si>
    <t>03/12/2020</t>
  </si>
  <si>
    <t>03/11/2020</t>
  </si>
  <si>
    <t>03/10/2020</t>
  </si>
  <si>
    <t>03/09/2020</t>
  </si>
  <si>
    <t>03/06/2020</t>
  </si>
  <si>
    <t>03/05/2020</t>
  </si>
  <si>
    <t>03/04/2020</t>
  </si>
  <si>
    <t>03/03/2020</t>
  </si>
  <si>
    <t>03/02/2020</t>
  </si>
  <si>
    <t>02/28/2020</t>
  </si>
  <si>
    <t>02/27/2020</t>
  </si>
  <si>
    <t>02/26/2020</t>
  </si>
  <si>
    <t>02/25/2020</t>
  </si>
  <si>
    <t>02/24/2020</t>
  </si>
  <si>
    <t>02/21/2020</t>
  </si>
  <si>
    <t>02/20/2020</t>
  </si>
  <si>
    <t>02/19/2020</t>
  </si>
  <si>
    <t>02/18/2020</t>
  </si>
  <si>
    <t>02/14/2020</t>
  </si>
  <si>
    <t>02/13/2020</t>
  </si>
  <si>
    <t>02/12/2020</t>
  </si>
  <si>
    <t>02/11/2020</t>
  </si>
  <si>
    <t>02/10/2020</t>
  </si>
  <si>
    <t>02/07/2020</t>
  </si>
  <si>
    <t>02/06/2020</t>
  </si>
  <si>
    <t>02/05/2020</t>
  </si>
  <si>
    <t>02/04/2020</t>
  </si>
  <si>
    <t>02/03/2020</t>
  </si>
  <si>
    <t>01/31/2020</t>
  </si>
  <si>
    <t>01/30/2020</t>
  </si>
  <si>
    <t>Price 1/31/2020</t>
  </si>
  <si>
    <t>Price 1/31/2025</t>
  </si>
  <si>
    <t>Price Change (1)</t>
  </si>
  <si>
    <t>Standard Deviation of Returns</t>
  </si>
  <si>
    <t>Growth Rate Regression Analysis</t>
  </si>
  <si>
    <t>Median P/E Ratio</t>
  </si>
  <si>
    <t>Proj. Earnings Growth Rate</t>
  </si>
  <si>
    <t>Proj. Dividend Growth Rate</t>
  </si>
  <si>
    <t>Ameren Corporation</t>
  </si>
  <si>
    <t>American Electric Power Company, Inc.</t>
  </si>
  <si>
    <t>Avangrid, Inc.</t>
  </si>
  <si>
    <t>AGR</t>
  </si>
  <si>
    <t>ALLETE, Inc.</t>
  </si>
  <si>
    <t>ALE</t>
  </si>
  <si>
    <t>Avista Corporation</t>
  </si>
  <si>
    <t>Black Hills Corporation</t>
  </si>
  <si>
    <t>CMS Energy Corporation</t>
  </si>
  <si>
    <t>CenterPoint Energy, Inc.</t>
  </si>
  <si>
    <t>Chesapeake Utilities</t>
  </si>
  <si>
    <t>DTE Energy Company</t>
  </si>
  <si>
    <t>Duke Energy Corporation</t>
  </si>
  <si>
    <t>Consolidated Edison, Inc.</t>
  </si>
  <si>
    <t>Entergy Corporation</t>
  </si>
  <si>
    <t>Evergy, Inc.</t>
  </si>
  <si>
    <t>Exelon Corporation</t>
  </si>
  <si>
    <t>FirstEnergy Corp.</t>
  </si>
  <si>
    <t>Hawaiian Electric Industries, Inc.</t>
  </si>
  <si>
    <t>HE</t>
  </si>
  <si>
    <t>IDACORP, Inc.</t>
  </si>
  <si>
    <t>IDA</t>
  </si>
  <si>
    <t>Alliant Energy Corporation</t>
  </si>
  <si>
    <t>MGE Energy, Inc.</t>
  </si>
  <si>
    <t>NextEra Energy, Inc.</t>
  </si>
  <si>
    <t xml:space="preserve">New Jersey Resources </t>
  </si>
  <si>
    <t>NorthWestern Corporation</t>
  </si>
  <si>
    <t>Northwest Natural Gas Holding</t>
  </si>
  <si>
    <t>OGE Energy Corp.</t>
  </si>
  <si>
    <t>OGE</t>
  </si>
  <si>
    <t>One Gas, Inc.</t>
  </si>
  <si>
    <t>Otter Tail Corporation</t>
  </si>
  <si>
    <t>OTTR</t>
  </si>
  <si>
    <t>PG&amp;E Corporation</t>
  </si>
  <si>
    <t>Public Service Enterprise Group Incorporated</t>
  </si>
  <si>
    <t>Pinnacle West Capital Corporation</t>
  </si>
  <si>
    <t>Portland General Electric Company</t>
  </si>
  <si>
    <t>POR</t>
  </si>
  <si>
    <t>PPL Corporation</t>
  </si>
  <si>
    <t>RGC Resources</t>
  </si>
  <si>
    <t>Southern Company</t>
  </si>
  <si>
    <t>Southwest Gas Holdings</t>
  </si>
  <si>
    <t>TXNM Energy, Inc</t>
  </si>
  <si>
    <t>TXNM</t>
  </si>
  <si>
    <t>UGI Corporation</t>
  </si>
  <si>
    <t>UGI</t>
  </si>
  <si>
    <t>Unitil Corp.</t>
  </si>
  <si>
    <t>WEC Energy Group, Inc.</t>
  </si>
  <si>
    <t>Xcel Energy Inc.</t>
  </si>
  <si>
    <t>Source: Value Line Reports as of January 31, 2025</t>
  </si>
  <si>
    <t>SUMMARY OUTPUT: Median P/E Ratio vs. EPS</t>
  </si>
  <si>
    <t>SUMMARY OUTPUT: Median P/E Ratio vs. DPS</t>
  </si>
  <si>
    <t>D'ASCENDIS PROXY GROUP</t>
  </si>
  <si>
    <t>DCF Growth Rate Analysis</t>
  </si>
  <si>
    <t>S&amp;P IQ</t>
  </si>
  <si>
    <t>DPS</t>
  </si>
  <si>
    <t>EPS</t>
  </si>
  <si>
    <t>NiSource</t>
  </si>
  <si>
    <t>Spire</t>
  </si>
  <si>
    <t>Averages</t>
  </si>
  <si>
    <t>Sources:</t>
  </si>
  <si>
    <t>Value Line Investment Survey, Nov. 22, 2024</t>
  </si>
  <si>
    <t>S&amp;P IQ Pro and Zacks accessed January 3, 2025</t>
  </si>
  <si>
    <t>S&amp;P IQ Pro EPS growth used as proxies for Zacks EPS for</t>
  </si>
  <si>
    <t>New Jersey Resources and Northwest Natural Holding Co.</t>
  </si>
  <si>
    <t>DCF RETURN ON EQUITY</t>
  </si>
  <si>
    <t>Average of</t>
  </si>
  <si>
    <t>Dividend Gr.</t>
  </si>
  <si>
    <t>Earnings Gr.</t>
  </si>
  <si>
    <t>Earning Gr.</t>
  </si>
  <si>
    <t>All Gr. Rates</t>
  </si>
  <si>
    <t>Method 1:</t>
  </si>
  <si>
    <t>Proxy Group Average Growth Rate</t>
  </si>
  <si>
    <t>Expected Dividend Yield</t>
  </si>
  <si>
    <t>DCF Return on Equity</t>
  </si>
  <si>
    <t>Method 2:</t>
  </si>
  <si>
    <t>Proxy Group Median Growth Rate</t>
  </si>
  <si>
    <t>PROXY GROUP</t>
  </si>
  <si>
    <t>AVERAGE PRICE, DIVIDEND AND DIVIDEND YIELD</t>
  </si>
  <si>
    <t>1-month</t>
  </si>
  <si>
    <t>2-month</t>
  </si>
  <si>
    <t>3-month</t>
  </si>
  <si>
    <t>6-month</t>
  </si>
  <si>
    <t>Ex-Dividend</t>
  </si>
  <si>
    <t>Proxy Group Average</t>
  </si>
  <si>
    <t>D'Ascendis Proxy Group Average</t>
  </si>
  <si>
    <t>Ex-dividend sourced from Bloomberg Professional</t>
  </si>
  <si>
    <t>Closing daily stock prices from S&amp;P Capital IQ, July 1 through December 31, 2024</t>
  </si>
  <si>
    <t>Calculation of the Capital Asset Pricing Model</t>
  </si>
  <si>
    <t>to Reflect Forward-Looking Interest Rates, Market Risk Premiums</t>
  </si>
  <si>
    <t>and the Employment of the ECAPM</t>
  </si>
  <si>
    <t>Ibbotson and</t>
  </si>
  <si>
    <t>Kroll</t>
  </si>
  <si>
    <t>Value Line S&amp;I</t>
  </si>
  <si>
    <t xml:space="preserve"> Chen</t>
  </si>
  <si>
    <t>Arithmetic</t>
  </si>
  <si>
    <t xml:space="preserve">3-5 Year </t>
  </si>
  <si>
    <t>Prospective</t>
  </si>
  <si>
    <t>Total Return</t>
  </si>
  <si>
    <t>MRP</t>
  </si>
  <si>
    <t>CAPM</t>
  </si>
  <si>
    <t>Long-Term Annual Return on Stocks</t>
  </si>
  <si>
    <t xml:space="preserve">Prospective 30-Year Treasury Bond Yield </t>
  </si>
  <si>
    <t>Market Risk Premium</t>
  </si>
  <si>
    <t>Proxy Group Beta (1)</t>
  </si>
  <si>
    <t>Beta * Market Premium</t>
  </si>
  <si>
    <t>CAPM Cost of Equity</t>
  </si>
  <si>
    <t>ECAPM</t>
  </si>
  <si>
    <t>Historical Market Risk Premium</t>
  </si>
  <si>
    <t>Proxy Group Beta, Value Line</t>
  </si>
  <si>
    <t>ECAPM Cost of Equity (rf + 0.25(MRP) + 0.75(β*MRP))</t>
  </si>
  <si>
    <t>(1) Source: Exhibit RAB-4</t>
  </si>
  <si>
    <t>(2) Source: Value Line Summary and Index, January 3, 2025</t>
  </si>
  <si>
    <t>(3) Calculated by converting the Ibbotson and Chen projected return on the market from a geometric mean to an arithmetic mean as shown below:</t>
  </si>
  <si>
    <t>Geometric Mean Return (1)</t>
  </si>
  <si>
    <t xml:space="preserve">Standard Deviation of Equity Returns </t>
  </si>
  <si>
    <t>Arithmetic Mean Return</t>
  </si>
  <si>
    <t>Where:</t>
  </si>
  <si>
    <t>σ = Standard Deviation of Equity Returns</t>
  </si>
  <si>
    <t>Source: Kroll 2023 SBBI Yearbook, at 200-201.</t>
  </si>
  <si>
    <t>Capital Asset Pricing Model Analysis</t>
  </si>
  <si>
    <t>Value Line Forward-Looking MRP</t>
  </si>
  <si>
    <t>Line</t>
  </si>
  <si>
    <t>No.</t>
  </si>
  <si>
    <t>Market Required Return Estimate</t>
  </si>
  <si>
    <t>Risk-free Rate of Return, 30-Year Treasury Bond</t>
  </si>
  <si>
    <t>Risk Premium</t>
  </si>
  <si>
    <t>(Line 1 minus Line 2)</t>
  </si>
  <si>
    <t>Proxy Group Beta</t>
  </si>
  <si>
    <t>Proxy Group Beta * Risk Premium</t>
  </si>
  <si>
    <t>(Line 4 * Line 5)</t>
  </si>
  <si>
    <t>CAPM Return on Equity</t>
  </si>
  <si>
    <t>(Line 2 plus Line 7)</t>
  </si>
  <si>
    <t>ECAPM Return on Equity</t>
  </si>
  <si>
    <t>Supporting Data for CAPM Analyses</t>
  </si>
  <si>
    <t>Value</t>
  </si>
  <si>
    <t>30 Year Treasury Bond Data</t>
  </si>
  <si>
    <t>Proxy Group Betas:</t>
  </si>
  <si>
    <t>Avg. Yield</t>
  </si>
  <si>
    <t>6 month average</t>
  </si>
  <si>
    <t>Source:  Federal Reserve data</t>
  </si>
  <si>
    <t>Average D'Ascendis Proxy Group</t>
  </si>
  <si>
    <t>Value Line Projected Return Data:</t>
  </si>
  <si>
    <t>Average of Value Line and S&amp;P</t>
  </si>
  <si>
    <t>Average of Value Line and S&amp;P, D'Ascendis Group</t>
  </si>
  <si>
    <t>Median Estimated Div. Yield</t>
  </si>
  <si>
    <t>Sources:  Value Line Investment Survey, S&amp;P Capital IQ</t>
  </si>
  <si>
    <t>3 - 5 Year Price Appreciation</t>
  </si>
  <si>
    <t>Estimated Annualized</t>
  </si>
  <si>
    <t>Price Appreciation</t>
  </si>
  <si>
    <t>Est. Annual Total Return</t>
  </si>
  <si>
    <t>Source: Value Line Summary and Index,</t>
  </si>
  <si>
    <t>January 3, 2025</t>
  </si>
  <si>
    <t>Historic Market Premium</t>
  </si>
  <si>
    <t>Supply</t>
  </si>
  <si>
    <t>Supply Side</t>
  </si>
  <si>
    <t>Side</t>
  </si>
  <si>
    <t>Less WWII</t>
  </si>
  <si>
    <t>ERP</t>
  </si>
  <si>
    <t>Bias</t>
  </si>
  <si>
    <t>Long-Term Annual Income Return on Long-Term Treas. Bonds</t>
  </si>
  <si>
    <t>Risk-free Rate of Return</t>
  </si>
  <si>
    <t>CAPM Cost of Equity, Value Line Beta</t>
  </si>
  <si>
    <t xml:space="preserve">Source: </t>
  </si>
  <si>
    <t>Kroll Cost of Capital Navigator</t>
  </si>
  <si>
    <t>Other Market Risk Premium Sources</t>
  </si>
  <si>
    <t>Damodarin</t>
  </si>
  <si>
    <t>IESE Survey 2024</t>
  </si>
  <si>
    <t>KMPG</t>
  </si>
  <si>
    <t>Average MRP</t>
  </si>
  <si>
    <t>Gas Proxy Group Beta</t>
  </si>
  <si>
    <t>Beta times MRP</t>
  </si>
  <si>
    <r>
      <t>R</t>
    </r>
    <r>
      <rPr>
        <vertAlign val="subscript"/>
        <sz val="12"/>
        <rFont val="Cambria"/>
        <family val="1"/>
      </rPr>
      <t xml:space="preserve">A </t>
    </r>
    <r>
      <rPr>
        <sz val="12"/>
        <rFont val="Cambria"/>
        <family val="1"/>
      </rPr>
      <t>= Arithmetic Mean</t>
    </r>
  </si>
  <si>
    <r>
      <t>R</t>
    </r>
    <r>
      <rPr>
        <vertAlign val="subscript"/>
        <sz val="12"/>
        <rFont val="Cambria"/>
        <family val="1"/>
      </rPr>
      <t>G</t>
    </r>
    <r>
      <rPr>
        <sz val="12"/>
        <rFont val="Cambria"/>
        <family val="1"/>
      </rPr>
      <t xml:space="preserve"> = Geometric Mean</t>
    </r>
  </si>
  <si>
    <t>Comparison of Market Return Measures</t>
  </si>
  <si>
    <t>Actual Market Return (1)</t>
  </si>
  <si>
    <t>LT average Market Return (2)</t>
  </si>
  <si>
    <t>Kroll (3)</t>
  </si>
  <si>
    <t>Ibbotson Chen Supply-Side (4)</t>
  </si>
  <si>
    <t>Damodaran (5)</t>
  </si>
  <si>
    <t>Sum</t>
  </si>
  <si>
    <t>Forecast Bias (6)</t>
  </si>
  <si>
    <t>(1) Source: Kroll, 2023 SBBI, Appendix A-1, A-7; Cost of Capital Navigator</t>
  </si>
  <si>
    <t>(2) Rolling historic long-term average of data in Column 1 since 1926</t>
  </si>
  <si>
    <t>(3) Source: Kroll Recommended ERP + Corresponding Risk-Free Rate</t>
  </si>
  <si>
    <t>(4) Source: SBBI 2023</t>
  </si>
  <si>
    <t>(5)Damodaran Predicted Market Return</t>
  </si>
  <si>
    <t xml:space="preserve">(6) Sum of forecasts divided by sum of actual observations </t>
  </si>
  <si>
    <t>Date of Estimate/Guidance</t>
  </si>
  <si>
    <t>RF (%)</t>
  </si>
  <si>
    <t>Market return</t>
  </si>
  <si>
    <t xml:space="preserve">*Note: Kroll Recommended Rf is Spot Rate. Spot 20year rate taken as of 12/31/2009 from Federal Reserve data download </t>
  </si>
  <si>
    <t xml:space="preserve">*Note: Kroll Recommended Rf is Spot Rate. Spot 20year rate taken as of 12/31/2010 from Federal Reserve data download </t>
  </si>
  <si>
    <t>11/15/2016 - 9/4/2017</t>
  </si>
  <si>
    <t>9/5/2017 - 12/30/2018</t>
  </si>
  <si>
    <t>12/31/2018 - 9/29/2019</t>
  </si>
  <si>
    <t>12/19/2019 - 3/24/2020</t>
  </si>
  <si>
    <t>12/7/2020 - 4/6/2022</t>
  </si>
  <si>
    <t>6/8/2023 - June 4, 2024</t>
  </si>
  <si>
    <t>Estimate Year</t>
  </si>
  <si>
    <t>Actual S&amp;P Returns</t>
  </si>
  <si>
    <t>Long-Term Government Bond Income Returns</t>
  </si>
  <si>
    <t>LT Average MRP</t>
  </si>
  <si>
    <t>Ibbotson Chen</t>
  </si>
  <si>
    <t>MRP Year</t>
  </si>
  <si>
    <t>SBBI Year</t>
  </si>
  <si>
    <t>IbbotsonChen SR</t>
  </si>
  <si>
    <t>Std Dev of Equity Returns</t>
  </si>
  <si>
    <t>Year of Estimate</t>
  </si>
  <si>
    <t>Prediction Year</t>
  </si>
  <si>
    <t>T-Bond</t>
  </si>
  <si>
    <t>Implied ERP</t>
  </si>
  <si>
    <t>Source of Information: Bloomberg Professional Services; Mergent Bond Record</t>
  </si>
  <si>
    <t>Market Returns and Equity Risk Premiums 1928 - 2024</t>
  </si>
  <si>
    <t>S&amp;P Utility Index Returns</t>
  </si>
  <si>
    <t>A2-Rated Utility Bond Returns</t>
  </si>
  <si>
    <t>Jan-Dec*</t>
  </si>
  <si>
    <t>Bin</t>
  </si>
  <si>
    <t>Frequency</t>
  </si>
  <si>
    <t>Cumulative %</t>
  </si>
  <si>
    <t>Count</t>
  </si>
  <si>
    <t>ERP (With PRPM)</t>
  </si>
  <si>
    <t>Rank</t>
  </si>
  <si>
    <t>ERP (Excl. PRPM)</t>
  </si>
  <si>
    <t>Direct</t>
  </si>
  <si>
    <t>Rebuttal</t>
  </si>
  <si>
    <t>Long-Term Average</t>
  </si>
  <si>
    <t>Frequency Distribution of Market Risk Premium, 1926 - 2024</t>
  </si>
  <si>
    <t>Frequency Distribution of Observed Market Returns, 1926 - 2024</t>
  </si>
  <si>
    <t>Large Company Stocks Total Returns</t>
  </si>
  <si>
    <t>Market  Returns</t>
  </si>
  <si>
    <t>Count:</t>
  </si>
  <si>
    <t>Average MRP from Direct</t>
  </si>
  <si>
    <t>Average Return from Direct</t>
  </si>
  <si>
    <t>Rf Rate</t>
  </si>
  <si>
    <t>Average MRP from Rebuttal</t>
  </si>
  <si>
    <t>Average Return from Rebuttal</t>
  </si>
  <si>
    <t>Baudino MRP</t>
  </si>
  <si>
    <t>Baudino Return</t>
  </si>
  <si>
    <t>Std. Dev.</t>
  </si>
  <si>
    <t>Source: Kroll, 2023 SBBI, Appendix A-1, A-7; Cost of Capital Navigator</t>
  </si>
  <si>
    <t>SPXT Index</t>
  </si>
  <si>
    <t>H15T30Y Index</t>
  </si>
  <si>
    <t>Current-Dollar and "Real" Gross Domestic Product</t>
  </si>
  <si>
    <t>Annual</t>
  </si>
  <si>
    <t>GDP in billions of current dollars</t>
  </si>
  <si>
    <t>GDP in billions of chained 2017 dollars</t>
  </si>
  <si>
    <t>GDP Growth</t>
  </si>
  <si>
    <t>Large Cap Total Returns</t>
  </si>
  <si>
    <t>1929</t>
  </si>
  <si>
    <t>1930</t>
  </si>
  <si>
    <t>1931</t>
  </si>
  <si>
    <t>1932</t>
  </si>
  <si>
    <t>Y=Large Cap Total Returns</t>
  </si>
  <si>
    <t>1933</t>
  </si>
  <si>
    <t>X= GDP Growth</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</si>
  <si>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</si>
  <si>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</si>
  <si>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</si>
  <si>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</si>
  <si>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</si>
  <si>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</si>
  <si>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</si>
  <si>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</si>
  <si>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</si>
  <si>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</si>
  <si>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</si>
  <si>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</si>
  <si>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</si>
  <si>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</si>
  <si>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</si>
  <si>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</si>
  <si>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</si>
  <si>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</si>
  <si>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</si>
  <si>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</si>
  <si>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</si>
  <si>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</si>
  <si>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</si>
  <si>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</si>
  <si>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</si>
  <si>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</si>
  <si>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</si>
  <si>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</si>
  <si>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</si>
  <si>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</si>
  <si>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</si>
  <si>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</si>
  <si>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</si>
  <si>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</si>
  <si>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</si>
  <si>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</si>
  <si>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</si>
  <si>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</si>
  <si>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</si>
  <si>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</si>
  <si>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</si>
  <si>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</si>
  <si>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</si>
  <si>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</si>
  <si>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</si>
  <si>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</si>
  <si>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</si>
  <si>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</si>
  <si>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</si>
  <si>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</si>
  <si>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</si>
  <si>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</si>
  <si>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</si>
  <si>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</si>
  <si>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</si>
  <si>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</si>
  <si>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</si>
  <si>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</si>
  <si>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</si>
  <si>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</si>
  <si>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</si>
  <si>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</si>
  <si>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</si>
  <si>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</si>
  <si>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</si>
  <si>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</si>
  <si>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</si>
  <si>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</si>
  <si>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</si>
  <si>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</si>
  <si>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</si>
  <si>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</si>
  <si>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</si>
  <si>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</si>
  <si>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</si>
  <si>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</si>
  <si>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</si>
  <si>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</si>
  <si>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</si>
  <si>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</si>
  <si>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</si>
  <si>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</si>
  <si>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</si>
  <si>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</si>
  <si>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</si>
  <si>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</si>
  <si>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</si>
  <si>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</si>
  <si>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</si>
  <si>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http://www.bea.gov/national/</t>
  </si>
  <si>
    <t>Kroll SBBI 2023 - Appendix A-1; Cost of Capital Navigator</t>
  </si>
  <si>
    <t>Proxy Group of Seven Water Companies</t>
  </si>
  <si>
    <t>Utility Proxy Group</t>
  </si>
  <si>
    <t>Safety</t>
  </si>
  <si>
    <t>Non-Price Regulated Proxy Group</t>
  </si>
  <si>
    <t>Proxy Group of Forty Nine Non-Price Regulated Companies</t>
  </si>
  <si>
    <t>Source: U.S. Bureau of Economic Analysis</t>
  </si>
  <si>
    <t>Quarterly</t>
  </si>
  <si>
    <t xml:space="preserve">  (Seasonally adjusted annual rates)</t>
  </si>
  <si>
    <t>1947Q1</t>
  </si>
  <si>
    <t>1947Q2</t>
  </si>
  <si>
    <t>1947Q3</t>
  </si>
  <si>
    <t>1947Q4</t>
  </si>
  <si>
    <t>1948Q1</t>
  </si>
  <si>
    <t>1948Q2</t>
  </si>
  <si>
    <t>1948Q3</t>
  </si>
  <si>
    <t>1948Q4</t>
  </si>
  <si>
    <t>1949Q1</t>
  </si>
  <si>
    <t>1949Q2</t>
  </si>
  <si>
    <t>1949Q3</t>
  </si>
  <si>
    <t>1949Q4</t>
  </si>
  <si>
    <t>1950Q1</t>
  </si>
  <si>
    <t>1950Q2</t>
  </si>
  <si>
    <t>1950Q3</t>
  </si>
  <si>
    <t>1950Q4</t>
  </si>
  <si>
    <t>1951Q1</t>
  </si>
  <si>
    <t>1951Q2</t>
  </si>
  <si>
    <t>1951Q3</t>
  </si>
  <si>
    <t>1951Q4</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</si>
  <si>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</si>
  <si>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</si>
  <si>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</si>
  <si>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</si>
  <si>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</si>
  <si>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</si>
  <si>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</si>
  <si>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</si>
  <si>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</si>
  <si>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</si>
  <si>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</si>
  <si>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</si>
  <si>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</si>
  <si>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</si>
  <si>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</si>
  <si>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</si>
  <si>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</si>
  <si>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</si>
  <si>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</si>
  <si>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</si>
  <si>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</si>
  <si>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</si>
  <si>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</si>
  <si>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</si>
  <si>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</si>
  <si>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</si>
  <si>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</si>
  <si>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</si>
  <si>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</si>
  <si>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</si>
  <si>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</si>
  <si>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</si>
  <si>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</si>
  <si>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</si>
  <si>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</si>
  <si>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</si>
  <si>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</si>
  <si>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</si>
  <si>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</si>
  <si>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</si>
  <si>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</si>
  <si>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</si>
  <si>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</si>
  <si>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</si>
  <si>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</si>
  <si>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</si>
  <si>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</si>
  <si>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</si>
  <si>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</si>
  <si>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</si>
  <si>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</si>
  <si>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</si>
  <si>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</si>
  <si>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</si>
  <si>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</si>
  <si>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</si>
  <si>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</si>
  <si>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</si>
  <si>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</si>
  <si>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</si>
  <si>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</si>
  <si>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</si>
  <si>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</si>
  <si>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</si>
  <si>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</si>
  <si>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</si>
  <si>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</si>
  <si>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</si>
  <si>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</si>
  <si>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</si>
  <si>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</si>
  <si>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</si>
  <si>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</si>
  <si>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</si>
  <si>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2023</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</si>
  <si>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</si>
  <si>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</si>
  <si>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</si>
  <si>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</si>
  <si>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</si>
  <si>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</si>
  <si>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</si>
  <si>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</si>
  <si>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</si>
  <si>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</si>
  <si>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</si>
  <si>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</si>
  <si>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</si>
  <si>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</si>
  <si>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</si>
  <si>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</si>
  <si>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</si>
  <si>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</si>
  <si>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</si>
  <si>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</si>
  <si>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</si>
  <si>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</si>
  <si>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</si>
  <si>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</si>
  <si>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</si>
  <si>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</si>
  <si>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</si>
  <si>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</si>
  <si>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</si>
  <si>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</si>
  <si>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</si>
  <si>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</si>
  <si>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</si>
  <si>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</si>
  <si>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</si>
  <si>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</si>
  <si>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</si>
  <si>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</si>
  <si>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</si>
  <si>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</si>
  <si>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</si>
  <si>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</si>
  <si>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</si>
  <si>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</si>
  <si>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</si>
  <si>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</si>
  <si>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</si>
  <si>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</si>
  <si>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</si>
  <si>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</si>
  <si>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</si>
  <si>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</si>
  <si>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</si>
  <si>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</si>
  <si>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</si>
  <si>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</si>
  <si>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</si>
  <si>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</si>
  <si>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</si>
  <si>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</si>
  <si>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</si>
  <si>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</si>
  <si>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</si>
  <si>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</si>
  <si>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</si>
  <si>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</si>
  <si>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</si>
  <si>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</si>
  <si>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</si>
  <si>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</si>
  <si>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</si>
  <si>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</si>
  <si>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</si>
  <si>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</si>
  <si>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</si>
  <si>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</si>
  <si>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</si>
  <si>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</si>
  <si>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</si>
  <si>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</si>
  <si>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</si>
  <si>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</si>
  <si>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</si>
  <si>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</si>
  <si>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</si>
  <si>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</si>
  <si>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</si>
  <si>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</si>
  <si>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</si>
  <si>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</si>
  <si>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</si>
  <si>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</si>
  <si>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</si>
  <si>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</si>
  <si>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</si>
  <si>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</si>
  <si>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</si>
  <si>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</si>
  <si>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</si>
  <si>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</si>
  <si>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</si>
  <si>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</si>
  <si>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</si>
  <si>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</si>
  <si>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</si>
  <si>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</si>
  <si>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</si>
  <si>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</si>
  <si>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</si>
  <si>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</si>
  <si>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</si>
  <si>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</si>
  <si>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</si>
  <si>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</si>
  <si>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</si>
  <si>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</si>
  <si>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</si>
  <si>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</si>
  <si>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</si>
  <si>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</si>
  <si>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</si>
  <si>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</si>
  <si>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</si>
  <si>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</si>
  <si>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</si>
  <si>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</si>
  <si>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</si>
  <si>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</si>
  <si>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</si>
  <si>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</si>
  <si>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</si>
  <si>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</si>
  <si>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</si>
  <si>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</si>
  <si>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</si>
  <si>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</si>
  <si>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</si>
  <si>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</si>
  <si>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</si>
  <si>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</si>
  <si>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</si>
  <si>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</si>
  <si>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</si>
  <si>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</si>
  <si>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</si>
  <si>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</si>
  <si>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</si>
  <si>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</si>
  <si>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</si>
  <si>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</si>
  <si>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</si>
  <si>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</si>
  <si>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</si>
  <si>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</si>
  <si>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</si>
  <si>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</si>
  <si>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</si>
  <si>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</si>
  <si>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</si>
  <si>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</si>
  <si>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</si>
  <si>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</si>
  <si>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</si>
  <si>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</si>
  <si>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</si>
  <si>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</si>
  <si>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</si>
  <si>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</si>
  <si>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</si>
  <si>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</si>
  <si>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</si>
  <si>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</si>
  <si>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</si>
  <si>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</si>
  <si>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</si>
  <si>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</si>
  <si>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</si>
  <si>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</si>
  <si>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</si>
  <si>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</si>
  <si>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</si>
  <si>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</si>
  <si>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</si>
  <si>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</si>
  <si>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</si>
  <si>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</si>
  <si>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</si>
  <si>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</si>
  <si>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</si>
  <si>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</si>
  <si>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</si>
  <si>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</si>
  <si>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</si>
  <si>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</si>
  <si>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</si>
  <si>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</si>
  <si>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</si>
  <si>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</si>
  <si>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</si>
  <si>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</si>
  <si>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</si>
  <si>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</si>
  <si>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</si>
  <si>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</si>
  <si>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</si>
  <si>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</si>
  <si>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</si>
  <si>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</si>
  <si>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</si>
  <si>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</si>
  <si>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</si>
  <si>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</si>
  <si>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</si>
  <si>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</si>
  <si>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</si>
  <si>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</si>
  <si>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</si>
  <si>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t>
  </si>
  <si>
    <t>2024Q4</t>
  </si>
  <si>
    <t>S&amp;P 500 Gas Util.</t>
  </si>
  <si>
    <t>S&amp;P 500 Gas Utilities Sub Ind Index</t>
  </si>
  <si>
    <t>From page 2 of this Exhibit.</t>
  </si>
  <si>
    <t>Exhibit</t>
  </si>
  <si>
    <t>From page 15 of this Exhibit.</t>
  </si>
  <si>
    <t>From page 16 of this Exhibit.</t>
  </si>
  <si>
    <t>From page 20 of this Exhibit.</t>
  </si>
  <si>
    <t>From line 3 of page 11 of this Exhibit.</t>
  </si>
  <si>
    <t>From page 27 of this Exhibit.</t>
  </si>
  <si>
    <t>From page 28 of this Exhibit.</t>
  </si>
  <si>
    <t>From page 31 of this Exhibit.</t>
  </si>
  <si>
    <t>From page 32 of this Exhibit.</t>
  </si>
  <si>
    <t>From page 30 of this Exhibit.</t>
  </si>
  <si>
    <t>Range of Authorized Common Equity Ratios for the</t>
  </si>
  <si>
    <t>Regression Analysis of Return on Equity and</t>
  </si>
  <si>
    <t>A-Rated Utility Bonds</t>
  </si>
  <si>
    <t>(1) Average of last three months of A-Rated Utility Bond Yields from Bloomberg Professional</t>
  </si>
  <si>
    <t>From page 14 of this Exhibit.</t>
  </si>
  <si>
    <t>Notes on page 22 of this Exhibit.</t>
  </si>
  <si>
    <t>Average of mean and median beta from page 31 of this Exhibit.</t>
  </si>
  <si>
    <t>From page 34 of this Exhibit.</t>
  </si>
  <si>
    <t>Notes provided on page 2 of this Exhibit</t>
  </si>
  <si>
    <t>Consensus forecast of Moody's Aaa Rated Corporate bonds from Blue Chip Financial Forecasts (see pages 17 and 18 of this Exhibit).</t>
  </si>
  <si>
    <t>From page 19 of this Exhibit.</t>
  </si>
  <si>
    <t>Current and Expected Equity Ratios for the</t>
  </si>
  <si>
    <t>Proxy Group of Seven Natural Gas Distribution Companies (2020 - Present)</t>
  </si>
  <si>
    <t>Frequency Distribution of Equity Risk Premiums, 1928 - 2024</t>
  </si>
  <si>
    <t>Summary of Relationship Between GDP Growth and Stock Returns</t>
  </si>
  <si>
    <t>Source: Value Line Standard Edition, November 22, 2024</t>
  </si>
  <si>
    <t>Utility Proxy Group as reported by Value Line Standard Edition</t>
  </si>
  <si>
    <t>Common Equity Ratio</t>
  </si>
  <si>
    <t>2027 - 2029 Projected</t>
  </si>
  <si>
    <t>Consolidated Edison Company</t>
  </si>
  <si>
    <t>Common Equity / Total Cap (%)</t>
  </si>
  <si>
    <t>Excludes the 83.18% equity ratio authorized for Ohio Valley Gas Inc.</t>
  </si>
  <si>
    <t>Source of Information: Regulatory Research Associates</t>
  </si>
  <si>
    <t xml:space="preserve">Market Return                    </t>
  </si>
  <si>
    <t>Trading Date</t>
  </si>
  <si>
    <t>IbbotRf</t>
  </si>
  <si>
    <t>Dividend Amount</t>
  </si>
  <si>
    <t xml:space="preserve">Total Return    </t>
  </si>
  <si>
    <t xml:space="preserve">Closing Price   </t>
  </si>
  <si>
    <t xml:space="preserve">          Company Name          </t>
  </si>
  <si>
    <t>Unique Index Number</t>
  </si>
  <si>
    <t>S&amp;P 500 Utility Index</t>
  </si>
  <si>
    <t>A Rated PU</t>
  </si>
  <si>
    <t>MKT Minus Aaa and Aa Avg</t>
  </si>
  <si>
    <t>Aaa and Aa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</si>
</sst>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7" formatCode="&quot;$&quot;#,##0.00_);\(&quot;$&quot;#,##0.00\)"/>
    <numFmt numFmtId="44" formatCode="_(&quot;$&quot;* #,##0.00_);_(&quot;$&quot;* \(#,##0.00\);_(&quot;$&quot;* &quot;-&quot;??_);_(@_)"/>
    <numFmt numFmtId="43" formatCode="_(* #,##0.00_);_(* \(#,##0.00\);_(* &quot;-&quot;??_);_(@_)"/>
    <numFmt numFmtId="164" formatCode="0.000"/>
    <numFmt numFmtId="165" formatCode="0.0000%"/>
    <numFmt numFmtId="166" formatCode="[$-409]d\-mmm\-yyyy;@"/>
    <numFmt numFmtId="167" formatCode="d\-mmm\-yyyy"/>
    <numFmt numFmtId="168" formatCode="_(* #,##0.0_);_(* \(#,##0.0\);_(* &quot;-&quot;??_);_(@_)"/>
    <numFmt numFmtId="169" formatCode="0.0"/>
    <numFmt numFmtId="170" formatCode="[$-409]mmm\-yy;@"/>
    <numFmt numFmtId="171" formatCode="#,##0.000"/>
    <numFmt numFmtId="172" formatCode="#,##0.0"/>
    <numFmt numFmtId="173" formatCode="0.00_);\(0.00\)"/>
    <numFmt numFmtId="174" formatCode="mmmm\ yyyy"/>
    <numFmt numFmtId="175" formatCode="mmm\-yyyy"/>
    <numFmt numFmtId="176" formatCode="_(* #,##0.000_);_(* \(#,##0.000\);_(* &quot;-&quot;??_);_(@_)"/>
    <numFmt numFmtId="177" formatCode="&quot;$&quot;#,##0.000_);\(&quot;$&quot;#,##0.000\)"/>
    <numFmt numFmtId="178" formatCode="#,##0.0_);\(#,##0.0\)"/>
    <numFmt numFmtId="179" formatCode="0.0000"/>
    <numFmt numFmtId="180" formatCode="_(* #,##0.0000_);_(* \(#,##0.0000\);_(* &quot;-&quot;??_);_(@_)"/>
    <numFmt numFmtId="181" formatCode="_(* #,##0.00_);_(* \(#,##0.00\);_(* &quot; - &quot;??_);_(@_)"/>
    <numFmt numFmtId="182" formatCode="0.00000"/>
    <numFmt numFmtId="183" formatCode="###,##0.00;\-###,##0.00"/>
    <numFmt numFmtId="184" formatCode="#,##0.00;\(#,##0.00\)"/>
    <numFmt numFmtId="185" formatCode="_(&quot;$&quot;* #,##0.000_);_(&quot;$&quot;* \(#,##0.000\);_(&quot;$&quot;* &quot;-&quot;??_);_(@_)"/>
    <numFmt numFmtId="186" formatCode="&quot;$&quot;#,##0.000"/>
    <numFmt numFmtId="187" formatCode="_(&quot;$&quot;* #,##0.000_);_(&quot;$&quot;* \(#,##0.000\);_(&quot;$&quot;* &quot; - &quot;??_);_(@_)"/>
    <numFmt numFmtId="188" formatCode="&quot;$&quot;#,##0.00"/>
    <numFmt numFmtId="189" formatCode="_(* #,##0.000_);_(* \(#,##0.000\);_(* &quot; - &quot;??_);_(@_)"/>
    <numFmt numFmtId="190" formatCode="_(* #,##0.0_);_(* \(#,##0.0\);_(* &quot; - &quot;??_);_(@_)"/>
    <numFmt numFmtId="191" formatCode="_(&quot;$&quot;* #,##0.00_);_(&quot;$&quot;* \(#,##0.00\);_(&quot;$&quot;* &quot; - &quot;??_);_(@_)"/>
    <numFmt numFmtId="192" formatCode="#,##0.00000"/>
    <numFmt numFmtId="193" formatCode="dd\-mmm\-yy_)"/>
    <numFmt numFmtId="194" formatCode="0.0000_)"/>
    <numFmt numFmtId="195" formatCode="&quot;$&quot;#,##0.0000_);\(&quot;$&quot;#,##0.0000\)"/>
    <numFmt numFmtId="196" formatCode="m/d/yyyy;@"/>
    <numFmt numFmtId="197" formatCode="_(&quot;$&quot;* #,##0_);_(&quot;$&quot;* \(#,##0\);_(&quot;$&quot;* &quot;-&quot;??_);_(@_)"/>
    <numFmt numFmtId="198" formatCode="_(&quot;$&quot;* #,##0_);_(&quot;$&quot;* \(#,##0\);_(&quot;$&quot;* &quot;-&quot;????_);_(@_)"/>
    <numFmt numFmtId="199" formatCode="_(&quot;$&quot;* #,##0.0000_);_(&quot;$&quot;* \(#,##0.0000\);_(&quot;$&quot;* &quot;-&quot;??_);_(@_)"/>
    <numFmt numFmtId="200" formatCode="mm/dd/yy;@"/>
    <numFmt numFmtId="201" formatCode="0.0%"/>
    <numFmt numFmtId="202" formatCode="#,##0.00;[Red]\(#,##0.00\)"/>
    <numFmt numFmtId="203" formatCode="0.000_)"/>
    <numFmt numFmtId="204" formatCode="0.00_)"/>
    <numFmt numFmtId="205" formatCode="0_)"/>
    <numFmt numFmtId="206" formatCode="0.000%"/>
    <numFmt numFmtId="207" formatCode="#0.00"/>
  </numFmts>
  <fonts count="87" x14ac:knownFonts="1">
    <font>
      <sz val="11"/>
      <color theme="1"/>
      <name val="Calibri"/>
      <family val="2"/>
      <scheme val="minor"/>
    </font>
    <font>
      <sz val="11"/>
      <color theme="1"/>
      <name val="Calibri"/>
      <family val="2"/>
      <scheme val="minor"/>
    </font>
    <font>
      <sz val="10"/>
      <name val="Arial"/>
      <family val="2"/>
    </font>
    <font>
      <sz val="12"/>
      <name val="Calibri Light"/>
      <family val="1"/>
      <scheme val="major"/>
    </font>
    <font>
      <b/>
      <sz val="11"/>
      <color theme="1"/>
      <name val="Cambria"/>
      <family val="1"/>
    </font>
    <font>
      <sz val="11"/>
      <color theme="1"/>
      <name val="Cambria"/>
      <family val="1"/>
    </font>
    <font>
      <b/>
      <sz val="12"/>
      <name val="Cambria"/>
      <family val="1"/>
    </font>
    <font>
      <i/>
      <sz val="12"/>
      <name val="Cambria"/>
      <family val="1"/>
    </font>
    <font>
      <sz val="12"/>
      <name val="Cambria"/>
      <family val="1"/>
    </font>
    <font>
      <b/>
      <sz val="11"/>
      <name val="Cambria"/>
      <family val="1"/>
    </font>
    <font>
      <sz val="11"/>
      <name val="Cambria"/>
      <family val="1"/>
    </font>
    <font>
      <sz val="10"/>
      <color indexed="8"/>
      <name val="Arial"/>
      <family val="2"/>
    </font>
    <font>
      <sz val="10"/>
      <color theme="1"/>
      <name val="Arial"/>
      <family val="2"/>
    </font>
    <font>
      <sz val="11"/>
      <color indexed="8"/>
      <name val="Calibri"/>
      <family val="2"/>
    </font>
    <font>
      <sz val="11"/>
      <color theme="1"/>
      <name val="Arial"/>
      <family val="2"/>
    </font>
    <font>
      <sz val="11"/>
      <name val="Arial"/>
      <family val="2"/>
    </font>
    <font>
      <i/>
      <sz val="10"/>
      <name val="Arial"/>
      <family val="2"/>
    </font>
    <font>
      <sz val="11"/>
      <color indexed="8"/>
      <name val="Arial"/>
      <family val="2"/>
    </font>
    <font>
      <i/>
      <sz val="11"/>
      <name val="Arial"/>
      <family val="2"/>
    </font>
    <font>
      <sz val="9"/>
      <color indexed="8"/>
      <name val="Calibri"/>
      <family val="2"/>
    </font>
    <font>
      <b/>
      <sz val="9"/>
      <color indexed="8"/>
      <name val="Calibri"/>
      <family val="2"/>
    </font>
    <font>
      <b/>
      <sz val="12"/>
      <color indexed="30"/>
      <name val="Calibri"/>
      <family val="2"/>
    </font>
    <font>
      <sz val="11"/>
      <color theme="1"/>
      <name val="Cambria"/>
      <family val="2"/>
    </font>
    <font>
      <u/>
      <sz val="12"/>
      <name val="Cambria"/>
      <family val="1"/>
    </font>
    <font>
      <sz val="10"/>
      <color rgb="FF000000"/>
      <name val="Times New Roman"/>
      <family val="1"/>
    </font>
    <font>
      <sz val="12"/>
      <color theme="1"/>
      <name val="Cambria"/>
      <family val="1"/>
    </font>
    <font>
      <sz val="12"/>
      <name val="Arial"/>
      <family val="2"/>
    </font>
    <font>
      <sz val="10"/>
      <name val="Times New Roman"/>
      <family val="1"/>
    </font>
    <font>
      <b/>
      <u val="singleAccounting"/>
      <sz val="10"/>
      <name val="Arial"/>
      <family val="2"/>
    </font>
    <font>
      <u/>
      <sz val="10"/>
      <name val="Arial"/>
      <family val="2"/>
    </font>
    <font>
      <b/>
      <u/>
      <sz val="10"/>
      <name val="Arial"/>
      <family val="2"/>
    </font>
    <font>
      <u val="double"/>
      <sz val="10"/>
      <name val="Arial"/>
      <family val="2"/>
    </font>
    <font>
      <sz val="10"/>
      <color indexed="10"/>
      <name val="Arial"/>
      <family val="2"/>
    </font>
    <font>
      <i/>
      <sz val="11"/>
      <color theme="1"/>
      <name val="Calibri"/>
      <family val="2"/>
      <scheme val="minor"/>
    </font>
    <font>
      <sz val="10"/>
      <color theme="1"/>
      <name val="Cambria"/>
      <family val="1"/>
    </font>
    <font>
      <sz val="12"/>
      <color theme="0"/>
      <name val="Cambria"/>
      <family val="1"/>
    </font>
    <font>
      <sz val="12"/>
      <color rgb="FFFF0000"/>
      <name val="Cambria"/>
      <family val="1"/>
    </font>
    <font>
      <b/>
      <sz val="12"/>
      <color theme="1"/>
      <name val="Cambria"/>
      <family val="1"/>
    </font>
    <font>
      <sz val="10"/>
      <name val="Arial"/>
      <family val="2"/>
    </font>
    <font>
      <sz val="8"/>
      <name val="Calibri"/>
      <family val="2"/>
      <scheme val="minor"/>
    </font>
    <font>
      <sz val="12"/>
      <color theme="1"/>
      <name val="Arial"/>
      <family val="2"/>
    </font>
    <font>
      <sz val="11"/>
      <color rgb="FF191919"/>
      <name val="Cambria"/>
      <family val="1"/>
    </font>
    <font>
      <b/>
      <sz val="10"/>
      <color indexed="9"/>
      <name val="Arial"/>
      <family val="2"/>
    </font>
    <font>
      <sz val="10"/>
      <name val="Arial"/>
      <family val="2"/>
    </font>
    <font>
      <sz val="14"/>
      <name val="Cambria"/>
      <family val="1"/>
    </font>
    <font>
      <sz val="12"/>
      <color indexed="8"/>
      <name val="Cambria"/>
      <family val="1"/>
    </font>
    <font>
      <b/>
      <sz val="10"/>
      <name val="Arial"/>
      <family val="2"/>
    </font>
    <font>
      <sz val="12"/>
      <color theme="1"/>
      <name val="Calibri"/>
      <family val="2"/>
      <scheme val="minor"/>
    </font>
    <font>
      <b/>
      <sz val="12"/>
      <color indexed="9"/>
      <name val="Cambria"/>
      <family val="1"/>
    </font>
    <font>
      <i/>
      <sz val="11"/>
      <name val="Cambria"/>
      <family val="1"/>
    </font>
    <font>
      <u/>
      <sz val="11"/>
      <name val="Cambria"/>
      <family val="1"/>
    </font>
    <font>
      <sz val="11"/>
      <color rgb="FF000000"/>
      <name val="Cambria"/>
      <family val="1"/>
    </font>
    <font>
      <sz val="11"/>
      <color rgb="FFFF0000"/>
      <name val="Cambria"/>
      <family val="1"/>
    </font>
    <font>
      <sz val="10"/>
      <name val="Cambria"/>
      <family val="1"/>
    </font>
    <font>
      <sz val="11"/>
      <color rgb="FFFF0000"/>
      <name val="Calibri"/>
      <family val="2"/>
      <scheme val="minor"/>
    </font>
    <font>
      <sz val="11"/>
      <name val="Calibri"/>
      <family val="2"/>
      <scheme val="minor"/>
    </font>
    <font>
      <sz val="11"/>
      <color indexed="8"/>
      <name val="Calibri"/>
      <family val="2"/>
      <scheme val="minor"/>
    </font>
    <font>
      <u/>
      <sz val="12"/>
      <color theme="1"/>
      <name val="Cambria"/>
      <family val="1"/>
    </font>
    <font>
      <u/>
      <sz val="10"/>
      <color theme="1"/>
      <name val="Cambria"/>
      <family val="1"/>
    </font>
    <font>
      <b/>
      <sz val="10"/>
      <color theme="1"/>
      <name val="Cambria"/>
      <family val="1"/>
    </font>
    <font>
      <b/>
      <sz val="11"/>
      <color theme="1"/>
      <name val="Calibri"/>
      <family val="2"/>
      <scheme val="minor"/>
    </font>
    <font>
      <u val="double"/>
      <sz val="12"/>
      <color theme="1"/>
      <name val="Cambria"/>
      <family val="1"/>
    </font>
    <font>
      <u/>
      <sz val="10"/>
      <name val="Cambria"/>
      <family val="1"/>
    </font>
    <font>
      <b/>
      <sz val="10"/>
      <name val="Cambria"/>
      <family val="1"/>
    </font>
    <font>
      <b/>
      <u/>
      <sz val="11"/>
      <color theme="1"/>
      <name val="Calibri"/>
      <family val="2"/>
      <scheme val="minor"/>
    </font>
    <font>
      <i/>
      <sz val="12"/>
      <color theme="1"/>
      <name val="Cambria"/>
      <family val="1"/>
    </font>
    <font>
      <b/>
      <u val="double"/>
      <sz val="10"/>
      <name val="Arial"/>
      <family val="2"/>
    </font>
    <font>
      <b/>
      <u val="doubleAccounting"/>
      <sz val="12"/>
      <name val="Cambria"/>
      <family val="1"/>
    </font>
    <font>
      <b/>
      <u val="double"/>
      <sz val="12"/>
      <name val="Cambria"/>
      <family val="1"/>
    </font>
    <font>
      <vertAlign val="subscript"/>
      <sz val="12"/>
      <name val="Cambria"/>
      <family val="1"/>
    </font>
    <font>
      <b/>
      <u/>
      <sz val="12"/>
      <color theme="1"/>
      <name val="Cambria"/>
      <family val="1"/>
    </font>
    <font>
      <sz val="10"/>
      <color rgb="FF000000"/>
      <name val="Cambria"/>
      <family val="1"/>
    </font>
    <font>
      <i/>
      <sz val="10"/>
      <color rgb="FF000000"/>
      <name val="Cambria"/>
      <family val="1"/>
    </font>
    <font>
      <sz val="10"/>
      <color rgb="FF7030A0"/>
      <name val="Cambria"/>
      <family val="1"/>
    </font>
    <font>
      <sz val="10"/>
      <color rgb="FFFFFF00"/>
      <name val="Cambria"/>
      <family val="1"/>
    </font>
    <font>
      <i/>
      <sz val="10"/>
      <name val="Cambria"/>
      <family val="1"/>
    </font>
    <font>
      <i/>
      <sz val="10"/>
      <color theme="1"/>
      <name val="Cambria"/>
      <family val="1"/>
    </font>
    <font>
      <sz val="10"/>
      <color indexed="8"/>
      <name val="Cambria"/>
      <family val="1"/>
    </font>
    <font>
      <i/>
      <sz val="10"/>
      <color theme="1"/>
      <name val="Arial"/>
      <family val="2"/>
    </font>
    <font>
      <u/>
      <sz val="10"/>
      <color theme="10"/>
      <name val="Arial"/>
      <family val="2"/>
    </font>
    <font>
      <u/>
      <sz val="10"/>
      <color theme="10"/>
      <name val="Cambria"/>
      <family val="1"/>
    </font>
    <font>
      <sz val="12"/>
      <color rgb="FF000000"/>
      <name val="Cambria"/>
      <family val="1"/>
    </font>
    <font>
      <sz val="10"/>
      <color theme="1"/>
      <name val="Calibri"/>
      <family val="2"/>
      <scheme val="minor"/>
    </font>
    <font>
      <b/>
      <i/>
      <sz val="12"/>
      <name val="Cambria"/>
      <family val="1"/>
    </font>
    <font>
      <i/>
      <sz val="12"/>
      <color rgb="FF000000"/>
      <name val="Cambria"/>
      <family val="1"/>
    </font>
    <font>
      <sz val="12"/>
      <color rgb="FFFFFF00"/>
      <name val="Cambria"/>
      <family val="1"/>
    </font>
    <font>
      <sz val="20"/>
      <color theme="1"/>
      <name val="Arial"/>
      <family val="2"/>
    </font>
  </fonts>
  <fills count="9">
    <fill>
      <patternFill patternType="none"/>
    </fill>
    <fill>
      <patternFill patternType="gray125"/>
    </fill>
    <fill>
      <patternFill patternType="solid">
        <fgColor indexed="8"/>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indexed="22"/>
      </patternFill>
    </fill>
    <fill>
      <patternFill patternType="solid">
        <fgColor rgb="FF92D050"/>
        <bgColor indexed="64"/>
      </patternFill>
    </fill>
  </fills>
  <borders count="69">
    <border>
      <left/>
      <right/>
      <top/>
      <bottom/>
      <diagonal/>
    </border>
    <border>
      <left/>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auto="1"/>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thin">
        <color indexed="64"/>
      </top>
      <bottom style="medium">
        <color indexed="64"/>
      </bottom>
      <diagonal/>
    </border>
    <border>
      <left/>
      <right/>
      <top/>
      <bottom style="double">
        <color auto="1"/>
      </bottom>
      <diagonal/>
    </border>
    <border>
      <left/>
      <right/>
      <top style="medium">
        <color auto="1"/>
      </top>
      <bottom style="thin">
        <color auto="1"/>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right/>
      <top style="thin">
        <color indexed="8"/>
      </top>
      <bottom/>
      <diagonal/>
    </border>
    <border>
      <left/>
      <right/>
      <top style="thin">
        <color auto="1"/>
      </top>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theme="1"/>
      </bottom>
      <diagonal/>
    </border>
    <border>
      <left style="medium">
        <color indexed="64"/>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style="thin">
        <color indexed="64"/>
      </left>
      <right/>
      <top style="thin">
        <color indexed="64"/>
      </top>
      <bottom style="thin">
        <color auto="1"/>
      </bottom>
      <diagonal/>
    </border>
    <border>
      <left style="medium">
        <color indexed="64"/>
      </left>
      <right/>
      <top style="medium">
        <color indexed="64"/>
      </top>
      <bottom style="thin">
        <color indexed="64"/>
      </bottom>
      <diagonal/>
    </border>
    <border>
      <left style="thin">
        <color indexed="64"/>
      </left>
      <right/>
      <top style="medium">
        <color auto="1"/>
      </top>
      <bottom style="thin">
        <color auto="1"/>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auto="1"/>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top style="medium">
        <color auto="1"/>
      </top>
      <bottom style="medium">
        <color auto="1"/>
      </bottom>
      <diagonal/>
    </border>
    <border>
      <left/>
      <right style="thin">
        <color indexed="64"/>
      </right>
      <top/>
      <bottom style="double">
        <color indexed="64"/>
      </bottom>
      <diagonal/>
    </border>
    <border>
      <left style="medium">
        <color indexed="64"/>
      </left>
      <right/>
      <top style="thin">
        <color indexed="64"/>
      </top>
      <bottom style="thin">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top/>
      <bottom style="thin">
        <color theme="2" tint="-0.249977111117893"/>
      </bottom>
      <diagonal/>
    </border>
    <border>
      <left/>
      <right/>
      <top/>
      <bottom style="thin">
        <color indexed="8"/>
      </bottom>
      <diagonal/>
    </border>
    <border>
      <left style="thin">
        <color auto="1"/>
      </left>
      <right/>
      <top/>
      <bottom style="thin">
        <color auto="1"/>
      </bottom>
      <diagonal/>
    </border>
    <border>
      <left/>
      <right style="thin">
        <color auto="1"/>
      </right>
      <top/>
      <bottom style="thin">
        <color auto="1"/>
      </bottom>
      <diagonal/>
    </border>
  </borders>
  <cellStyleXfs count="15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1" fillId="0" borderId="0"/>
    <xf numFmtId="0" fontId="1"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44"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0" fontId="2" fillId="0" borderId="0"/>
    <xf numFmtId="9"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0" fontId="14" fillId="0" borderId="0"/>
    <xf numFmtId="9" fontId="14" fillId="0" borderId="0" applyFont="0" applyFill="0" applyBorder="0" applyAlignment="0" applyProtection="0"/>
    <xf numFmtId="0" fontId="2" fillId="0" borderId="0"/>
    <xf numFmtId="0" fontId="2" fillId="0" borderId="0"/>
    <xf numFmtId="0" fontId="19" fillId="0" borderId="0"/>
    <xf numFmtId="0" fontId="19" fillId="0" borderId="0"/>
    <xf numFmtId="0" fontId="20" fillId="0" borderId="21">
      <alignment wrapText="1"/>
    </xf>
    <xf numFmtId="0" fontId="21" fillId="0" borderId="0">
      <alignment horizontal="left"/>
    </xf>
    <xf numFmtId="0" fontId="20" fillId="0" borderId="22">
      <alignment wrapText="1"/>
    </xf>
    <xf numFmtId="0" fontId="19" fillId="0" borderId="23">
      <alignment wrapText="1"/>
    </xf>
    <xf numFmtId="0" fontId="19" fillId="0" borderId="24">
      <alignment wrapText="1"/>
    </xf>
    <xf numFmtId="9" fontId="22" fillId="0" borderId="0" applyFont="0" applyFill="0" applyBorder="0" applyAlignment="0" applyProtection="0"/>
    <xf numFmtId="0" fontId="24" fillId="0" borderId="0"/>
    <xf numFmtId="0" fontId="22"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26" fillId="0" borderId="0"/>
    <xf numFmtId="0" fontId="1" fillId="0" borderId="0"/>
    <xf numFmtId="0" fontId="26" fillId="0" borderId="0"/>
    <xf numFmtId="9" fontId="27" fillId="0" borderId="0" applyFont="0" applyFill="0" applyBorder="0" applyAlignment="0" applyProtection="0"/>
    <xf numFmtId="0" fontId="1" fillId="0" borderId="0"/>
    <xf numFmtId="43" fontId="14" fillId="0" borderId="0" applyFont="0" applyFill="0" applyBorder="0" applyAlignment="0" applyProtection="0"/>
    <xf numFmtId="0" fontId="2" fillId="0" borderId="0"/>
    <xf numFmtId="0" fontId="14" fillId="0" borderId="0"/>
    <xf numFmtId="0" fontId="1" fillId="0" borderId="0"/>
    <xf numFmtId="0" fontId="1" fillId="0" borderId="0"/>
    <xf numFmtId="43" fontId="1" fillId="0" borderId="0" applyFont="0" applyFill="0" applyBorder="0" applyAlignment="0" applyProtection="0"/>
    <xf numFmtId="0" fontId="1" fillId="0" borderId="0"/>
    <xf numFmtId="0" fontId="22" fillId="0" borderId="0"/>
    <xf numFmtId="9" fontId="1" fillId="0" borderId="0" applyFont="0" applyFill="0" applyBorder="0" applyAlignment="0" applyProtection="0"/>
    <xf numFmtId="0" fontId="2" fillId="0" borderId="0"/>
    <xf numFmtId="0" fontId="1" fillId="0" borderId="0"/>
    <xf numFmtId="0" fontId="38" fillId="0" borderId="0"/>
    <xf numFmtId="0" fontId="1" fillId="0" borderId="0"/>
    <xf numFmtId="0" fontId="2"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42" fillId="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43" fillId="0" borderId="0"/>
    <xf numFmtId="0" fontId="1" fillId="0" borderId="0"/>
    <xf numFmtId="0" fontId="1" fillId="0" borderId="0"/>
    <xf numFmtId="44" fontId="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0" fontId="56"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0" fontId="26" fillId="0" borderId="0"/>
    <xf numFmtId="0" fontId="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2" fillId="0" borderId="0"/>
    <xf numFmtId="0" fontId="1" fillId="0" borderId="0"/>
    <xf numFmtId="0" fontId="1" fillId="0" borderId="0"/>
    <xf numFmtId="9" fontId="1" fillId="0" borderId="0" applyFon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0" fontId="1" fillId="0" borderId="0"/>
    <xf numFmtId="0" fontId="1" fillId="0" borderId="0"/>
    <xf numFmtId="0" fontId="12" fillId="0" borderId="0"/>
    <xf numFmtId="0" fontId="12" fillId="0" borderId="0"/>
    <xf numFmtId="9" fontId="1" fillId="0" borderId="0" applyFont="0" applyFill="0" applyBorder="0" applyAlignment="0" applyProtection="0"/>
    <xf numFmtId="0" fontId="1" fillId="0" borderId="0"/>
    <xf numFmtId="0" fontId="56" fillId="0" borderId="0"/>
    <xf numFmtId="0" fontId="1" fillId="0" borderId="0"/>
    <xf numFmtId="0" fontId="79" fillId="0" borderId="0" applyNumberFormat="0" applyFill="0" applyBorder="0" applyAlignment="0" applyProtection="0"/>
    <xf numFmtId="9" fontId="1" fillId="0" borderId="0" applyFont="0" applyFill="0" applyBorder="0" applyAlignment="0" applyProtection="0"/>
    <xf numFmtId="0" fontId="1" fillId="0" borderId="0"/>
  </cellStyleXfs>
  <cellXfs count="1487">
    <xf numFmtId="0" fontId="0" fillId="0" borderId="0" xfId="0"/>
    <xf numFmtId="0" fontId="5" fillId="0" borderId="0" xfId="0" applyFont="1"/>
    <xf numFmtId="43" fontId="10" fillId="0" borderId="0" xfId="1" applyFont="1" applyFill="1" applyBorder="1" applyAlignment="1">
      <alignment horizontal="right"/>
    </xf>
    <xf numFmtId="10" fontId="5" fillId="0" borderId="0" xfId="7" applyNumberFormat="1" applyFont="1" applyFill="1"/>
    <xf numFmtId="14" fontId="15" fillId="0" borderId="3" xfId="21" applyNumberFormat="1" applyFont="1" applyFill="1" applyBorder="1"/>
    <xf numFmtId="165" fontId="15" fillId="0" borderId="0" xfId="21" applyNumberFormat="1" applyFont="1" applyFill="1"/>
    <xf numFmtId="165" fontId="15" fillId="0" borderId="3" xfId="21" applyNumberFormat="1" applyFont="1" applyFill="1" applyBorder="1"/>
    <xf numFmtId="165" fontId="17" fillId="0" borderId="0" xfId="21" applyNumberFormat="1" applyFont="1" applyFill="1"/>
    <xf numFmtId="10" fontId="15" fillId="0" borderId="0" xfId="15" applyNumberFormat="1" applyFont="1" applyFill="1"/>
    <xf numFmtId="10" fontId="15" fillId="0" borderId="0" xfId="4" applyNumberFormat="1" applyFont="1" applyFill="1"/>
    <xf numFmtId="10" fontId="15" fillId="0" borderId="0" xfId="11" applyNumberFormat="1" applyFont="1" applyFill="1"/>
    <xf numFmtId="165" fontId="17" fillId="0" borderId="0" xfId="21" applyNumberFormat="1" applyFont="1" applyFill="1" applyAlignment="1"/>
    <xf numFmtId="165" fontId="14" fillId="0" borderId="0" xfId="21" applyNumberFormat="1" applyFont="1" applyFill="1"/>
    <xf numFmtId="165" fontId="15" fillId="0" borderId="0" xfId="21" applyNumberFormat="1" applyFont="1" applyFill="1" applyBorder="1" applyAlignment="1" applyProtection="1"/>
    <xf numFmtId="165" fontId="15" fillId="0" borderId="0" xfId="21" applyNumberFormat="1" applyFont="1" applyFill="1" applyAlignment="1"/>
    <xf numFmtId="165" fontId="15" fillId="0" borderId="0" xfId="21" applyNumberFormat="1" applyFont="1" applyFill="1" applyBorder="1"/>
    <xf numFmtId="165" fontId="15" fillId="0" borderId="0" xfId="7" applyNumberFormat="1" applyFont="1" applyFill="1" applyBorder="1"/>
    <xf numFmtId="0" fontId="2" fillId="0" borderId="0" xfId="22"/>
    <xf numFmtId="0" fontId="2" fillId="0" borderId="0" xfId="22" applyAlignment="1">
      <alignment horizontal="center"/>
    </xf>
    <xf numFmtId="0" fontId="2" fillId="0" borderId="0" xfId="22" applyAlignment="1">
      <alignment wrapText="1"/>
    </xf>
    <xf numFmtId="10" fontId="8" fillId="0" borderId="0" xfId="4" applyNumberFormat="1" applyFont="1" applyFill="1" applyBorder="1"/>
    <xf numFmtId="10" fontId="8" fillId="0" borderId="8" xfId="6" applyNumberFormat="1" applyFont="1" applyFill="1" applyBorder="1" applyAlignment="1">
      <alignment horizontal="left"/>
    </xf>
    <xf numFmtId="43" fontId="8" fillId="0" borderId="10" xfId="6" applyNumberFormat="1" applyFont="1" applyFill="1" applyBorder="1" applyAlignment="1">
      <alignment horizontal="center"/>
    </xf>
    <xf numFmtId="10" fontId="8" fillId="0" borderId="11" xfId="6" applyNumberFormat="1" applyFont="1" applyFill="1" applyBorder="1" applyAlignment="1">
      <alignment horizontal="left"/>
    </xf>
    <xf numFmtId="43" fontId="8" fillId="0" borderId="9" xfId="39" applyFont="1" applyFill="1" applyBorder="1" applyAlignment="1">
      <alignment horizontal="center"/>
    </xf>
    <xf numFmtId="43" fontId="8" fillId="0" borderId="9" xfId="6" applyNumberFormat="1" applyFont="1" applyFill="1" applyBorder="1" applyAlignment="1">
      <alignment horizontal="center"/>
    </xf>
    <xf numFmtId="10" fontId="8" fillId="0" borderId="14" xfId="6" applyNumberFormat="1" applyFont="1" applyFill="1" applyBorder="1" applyAlignment="1">
      <alignment horizontal="left"/>
    </xf>
    <xf numFmtId="43" fontId="8" fillId="0" borderId="13" xfId="6" applyNumberFormat="1" applyFont="1" applyFill="1" applyBorder="1" applyAlignment="1">
      <alignment horizontal="center"/>
    </xf>
    <xf numFmtId="43" fontId="8" fillId="0" borderId="0" xfId="39" applyFont="1" applyFill="1" applyBorder="1" applyAlignment="1"/>
    <xf numFmtId="43" fontId="8" fillId="0" borderId="0" xfId="39" applyFont="1" applyFill="1" applyAlignment="1"/>
    <xf numFmtId="43" fontId="25" fillId="0" borderId="0" xfId="39" applyFont="1" applyFill="1"/>
    <xf numFmtId="43" fontId="25" fillId="0" borderId="0" xfId="39" applyFont="1" applyFill="1" applyBorder="1"/>
    <xf numFmtId="10" fontId="8" fillId="0" borderId="0" xfId="7" applyNumberFormat="1" applyFont="1" applyFill="1" applyAlignment="1">
      <alignment horizontal="center"/>
    </xf>
    <xf numFmtId="0" fontId="2" fillId="0" borderId="0" xfId="0" applyFont="1"/>
    <xf numFmtId="0" fontId="2" fillId="0" borderId="0" xfId="22" applyAlignment="1">
      <alignment horizontal="centerContinuous"/>
    </xf>
    <xf numFmtId="177" fontId="2" fillId="0" borderId="0" xfId="22" applyNumberFormat="1"/>
    <xf numFmtId="177" fontId="29" fillId="0" borderId="0" xfId="22" applyNumberFormat="1" applyFont="1"/>
    <xf numFmtId="177" fontId="31" fillId="0" borderId="0" xfId="22" applyNumberFormat="1" applyFont="1"/>
    <xf numFmtId="2" fontId="2" fillId="0" borderId="0" xfId="22" applyNumberFormat="1"/>
    <xf numFmtId="169" fontId="2" fillId="0" borderId="0" xfId="22" applyNumberFormat="1"/>
    <xf numFmtId="0" fontId="29" fillId="0" borderId="0" xfId="22" applyFont="1" applyAlignment="1">
      <alignment horizontal="center"/>
    </xf>
    <xf numFmtId="2" fontId="29" fillId="0" borderId="0" xfId="22" applyNumberFormat="1" applyFont="1"/>
    <xf numFmtId="2" fontId="31" fillId="0" borderId="0" xfId="22" applyNumberFormat="1" applyFont="1"/>
    <xf numFmtId="0" fontId="30" fillId="0" borderId="0" xfId="22" applyFont="1" applyAlignment="1">
      <alignment horizontal="centerContinuous"/>
    </xf>
    <xf numFmtId="0" fontId="29" fillId="0" borderId="0" xfId="22" applyFont="1" applyAlignment="1">
      <alignment horizontal="centerContinuous"/>
    </xf>
    <xf numFmtId="164" fontId="2" fillId="0" borderId="0" xfId="22" applyNumberFormat="1"/>
    <xf numFmtId="171" fontId="2" fillId="0" borderId="0" xfId="22" applyNumberFormat="1"/>
    <xf numFmtId="0" fontId="29" fillId="0" borderId="0" xfId="22" applyFont="1"/>
    <xf numFmtId="0" fontId="32" fillId="0" borderId="0" xfId="22" applyFont="1"/>
    <xf numFmtId="171" fontId="32" fillId="0" borderId="0" xfId="22" applyNumberFormat="1" applyFont="1"/>
    <xf numFmtId="0" fontId="29" fillId="0" borderId="0" xfId="22" applyFont="1" applyAlignment="1">
      <alignment horizontal="left"/>
    </xf>
    <xf numFmtId="178" fontId="2" fillId="0" borderId="0" xfId="22" applyNumberFormat="1"/>
    <xf numFmtId="0" fontId="0" fillId="0" borderId="0" xfId="0" applyAlignment="1">
      <alignment horizontal="center"/>
    </xf>
    <xf numFmtId="43" fontId="5" fillId="0" borderId="0" xfId="39" applyFont="1" applyFill="1"/>
    <xf numFmtId="165" fontId="15" fillId="0" borderId="0" xfId="21" applyNumberFormat="1" applyFont="1" applyFill="1" applyAlignment="1">
      <alignment wrapText="1"/>
    </xf>
    <xf numFmtId="10" fontId="15" fillId="0" borderId="0" xfId="2" applyNumberFormat="1" applyFont="1" applyFill="1"/>
    <xf numFmtId="0" fontId="25" fillId="0" borderId="0" xfId="58" applyFont="1"/>
    <xf numFmtId="10" fontId="8" fillId="0" borderId="0" xfId="31" applyNumberFormat="1" applyFont="1" applyFill="1" applyBorder="1"/>
    <xf numFmtId="10" fontId="25" fillId="0" borderId="0" xfId="58" applyNumberFormat="1" applyFont="1"/>
    <xf numFmtId="0" fontId="8" fillId="0" borderId="0" xfId="23" applyFont="1" applyAlignment="1">
      <alignment horizontal="center"/>
    </xf>
    <xf numFmtId="0" fontId="8" fillId="0" borderId="0" xfId="23" applyFont="1"/>
    <xf numFmtId="0" fontId="8" fillId="0" borderId="0" xfId="23" applyFont="1" applyAlignment="1">
      <alignment horizontal="right"/>
    </xf>
    <xf numFmtId="43" fontId="8" fillId="0" borderId="0" xfId="39" applyFont="1" applyFill="1" applyBorder="1" applyAlignment="1">
      <alignment horizontal="center"/>
    </xf>
    <xf numFmtId="43" fontId="25" fillId="0" borderId="0" xfId="39" applyFont="1" applyFill="1" applyBorder="1" applyAlignment="1">
      <alignment horizontal="right"/>
    </xf>
    <xf numFmtId="10" fontId="25" fillId="0" borderId="0" xfId="11" applyNumberFormat="1" applyFont="1" applyFill="1" applyBorder="1" applyAlignment="1">
      <alignment horizontal="right"/>
    </xf>
    <xf numFmtId="43" fontId="25" fillId="0" borderId="0" xfId="39" applyFont="1" applyFill="1" applyAlignment="1">
      <alignment horizontal="right"/>
    </xf>
    <xf numFmtId="10" fontId="25" fillId="0" borderId="0" xfId="11" applyNumberFormat="1" applyFont="1" applyFill="1" applyAlignment="1">
      <alignment horizontal="right"/>
    </xf>
    <xf numFmtId="2" fontId="8" fillId="0" borderId="0" xfId="7" applyNumberFormat="1" applyFont="1" applyFill="1" applyAlignment="1">
      <alignment horizontal="right"/>
    </xf>
    <xf numFmtId="0" fontId="8" fillId="0" borderId="0" xfId="48" applyFont="1" applyAlignment="1">
      <alignment horizontal="center"/>
    </xf>
    <xf numFmtId="0" fontId="8" fillId="0" borderId="0" xfId="48" applyFont="1"/>
    <xf numFmtId="0" fontId="8" fillId="0" borderId="7" xfId="48" applyFont="1" applyBorder="1"/>
    <xf numFmtId="0" fontId="8" fillId="0" borderId="7" xfId="48" applyFont="1" applyBorder="1" applyAlignment="1">
      <alignment horizontal="center"/>
    </xf>
    <xf numFmtId="0" fontId="8" fillId="0" borderId="7" xfId="48" applyFont="1" applyBorder="1" applyAlignment="1">
      <alignment horizontal="center" wrapText="1"/>
    </xf>
    <xf numFmtId="0" fontId="8" fillId="0" borderId="0" xfId="48" quotePrefix="1" applyFont="1" applyAlignment="1">
      <alignment horizontal="right" vertical="top"/>
    </xf>
    <xf numFmtId="0" fontId="3" fillId="0" borderId="0" xfId="48" applyFont="1"/>
    <xf numFmtId="43" fontId="28" fillId="0" borderId="28" xfId="39" applyFont="1" applyFill="1" applyBorder="1" applyAlignment="1">
      <alignment horizontal="center"/>
    </xf>
    <xf numFmtId="0" fontId="2" fillId="0" borderId="29" xfId="22" applyBorder="1" applyAlignment="1">
      <alignment horizontal="center"/>
    </xf>
    <xf numFmtId="4" fontId="2" fillId="0" borderId="0" xfId="22" applyNumberFormat="1"/>
    <xf numFmtId="171" fontId="2" fillId="0" borderId="0" xfId="39" applyNumberFormat="1" applyFont="1" applyFill="1"/>
    <xf numFmtId="43" fontId="10" fillId="0" borderId="0" xfId="39" applyFont="1" applyFill="1" applyBorder="1" applyAlignment="1">
      <alignment horizontal="right"/>
    </xf>
    <xf numFmtId="43" fontId="10" fillId="0" borderId="9" xfId="39" applyFont="1" applyFill="1" applyBorder="1" applyAlignment="1">
      <alignment horizontal="right"/>
    </xf>
    <xf numFmtId="0" fontId="8" fillId="0" borderId="0" xfId="22" applyFont="1"/>
    <xf numFmtId="0" fontId="6" fillId="0" borderId="0" xfId="22" applyFont="1" applyAlignment="1">
      <alignment horizontal="left"/>
    </xf>
    <xf numFmtId="0" fontId="8" fillId="0" borderId="0" xfId="22" applyFont="1" applyAlignment="1">
      <alignment horizontal="left" wrapText="1"/>
    </xf>
    <xf numFmtId="10" fontId="8" fillId="0" borderId="0" xfId="48" applyNumberFormat="1" applyFont="1" applyAlignment="1">
      <alignment horizontal="center"/>
    </xf>
    <xf numFmtId="0" fontId="8" fillId="0" borderId="0" xfId="48" quotePrefix="1" applyFont="1"/>
    <xf numFmtId="10" fontId="8" fillId="0" borderId="19" xfId="48" applyNumberFormat="1" applyFont="1" applyBorder="1" applyAlignment="1">
      <alignment horizontal="center"/>
    </xf>
    <xf numFmtId="43" fontId="8" fillId="0" borderId="7" xfId="39" applyFont="1" applyFill="1" applyBorder="1" applyAlignment="1"/>
    <xf numFmtId="43" fontId="8" fillId="0" borderId="19" xfId="39" applyFont="1" applyFill="1" applyBorder="1" applyAlignment="1"/>
    <xf numFmtId="43" fontId="25" fillId="0" borderId="7" xfId="39" applyFont="1" applyFill="1" applyBorder="1"/>
    <xf numFmtId="10" fontId="10" fillId="0" borderId="0" xfId="6" applyNumberFormat="1" applyFont="1" applyFill="1" applyBorder="1" applyAlignment="1">
      <alignment horizontal="center"/>
    </xf>
    <xf numFmtId="43" fontId="5" fillId="0" borderId="0" xfId="1" applyFont="1" applyFill="1"/>
    <xf numFmtId="43" fontId="5" fillId="0" borderId="0" xfId="39" applyFont="1" applyFill="1" applyAlignment="1">
      <alignment horizontal="right"/>
    </xf>
    <xf numFmtId="14" fontId="8" fillId="0" borderId="0" xfId="22" applyNumberFormat="1" applyFont="1"/>
    <xf numFmtId="43" fontId="8" fillId="0" borderId="0" xfId="22" applyNumberFormat="1" applyFont="1"/>
    <xf numFmtId="0" fontId="7" fillId="0" borderId="0" xfId="23" applyFont="1" applyAlignment="1">
      <alignment horizontal="centerContinuous"/>
    </xf>
    <xf numFmtId="0" fontId="7" fillId="0" borderId="0" xfId="23" applyFont="1" applyAlignment="1">
      <alignment horizontal="center"/>
    </xf>
    <xf numFmtId="0" fontId="8" fillId="0" borderId="0" xfId="22" applyFont="1" applyAlignment="1">
      <alignment horizontal="right" wrapText="1"/>
    </xf>
    <xf numFmtId="0" fontId="25" fillId="0" borderId="0" xfId="81" applyFont="1" applyAlignment="1">
      <alignment horizontal="left" wrapText="1"/>
    </xf>
    <xf numFmtId="0" fontId="25" fillId="0" borderId="0" xfId="81" applyFont="1" applyAlignment="1">
      <alignment horizontal="right" wrapText="1"/>
    </xf>
    <xf numFmtId="0" fontId="25" fillId="0" borderId="0" xfId="81" applyFont="1" applyAlignment="1">
      <alignment horizontal="left" vertical="top" wrapText="1"/>
    </xf>
    <xf numFmtId="0" fontId="25" fillId="0" borderId="0" xfId="81" applyFont="1" applyAlignment="1">
      <alignment horizontal="right" vertical="top" wrapText="1"/>
    </xf>
    <xf numFmtId="0" fontId="8" fillId="0" borderId="0" xfId="22" applyFont="1" applyAlignment="1">
      <alignment horizontal="left" vertical="top" wrapText="1"/>
    </xf>
    <xf numFmtId="183" fontId="8" fillId="0" borderId="0" xfId="22" applyNumberFormat="1" applyFont="1" applyAlignment="1">
      <alignment horizontal="right" vertical="top" wrapText="1"/>
    </xf>
    <xf numFmtId="10" fontId="8" fillId="0" borderId="0" xfId="6" applyNumberFormat="1" applyFont="1" applyFill="1" applyBorder="1" applyAlignment="1">
      <alignment horizontal="left"/>
    </xf>
    <xf numFmtId="43" fontId="8" fillId="0" borderId="0" xfId="6" applyNumberFormat="1" applyFont="1" applyFill="1" applyBorder="1" applyAlignment="1">
      <alignment horizontal="center"/>
    </xf>
    <xf numFmtId="10" fontId="5" fillId="0" borderId="0" xfId="2" applyNumberFormat="1" applyFont="1" applyFill="1" applyBorder="1"/>
    <xf numFmtId="10" fontId="5" fillId="0" borderId="0" xfId="2" applyNumberFormat="1" applyFont="1" applyFill="1" applyBorder="1" applyAlignment="1">
      <alignment horizontal="center"/>
    </xf>
    <xf numFmtId="0" fontId="25" fillId="0" borderId="0" xfId="0" applyFont="1"/>
    <xf numFmtId="0" fontId="8" fillId="0" borderId="0" xfId="46" applyFont="1" applyAlignment="1">
      <alignment horizontal="center"/>
    </xf>
    <xf numFmtId="0" fontId="8" fillId="0" borderId="0" xfId="46" applyFont="1"/>
    <xf numFmtId="0" fontId="8" fillId="0" borderId="0" xfId="46" quotePrefix="1" applyFont="1"/>
    <xf numFmtId="0" fontId="8" fillId="0" borderId="0" xfId="46" applyFont="1" applyAlignment="1">
      <alignment horizontal="right"/>
    </xf>
    <xf numFmtId="0" fontId="23" fillId="0" borderId="0" xfId="23" applyFont="1" applyAlignment="1">
      <alignment horizontal="centerContinuous"/>
    </xf>
    <xf numFmtId="0" fontId="8" fillId="0" borderId="0" xfId="23" applyFont="1" applyAlignment="1">
      <alignment horizontal="centerContinuous"/>
    </xf>
    <xf numFmtId="0" fontId="8" fillId="0" borderId="7" xfId="23" applyFont="1" applyBorder="1" applyAlignment="1">
      <alignment horizontal="center"/>
    </xf>
    <xf numFmtId="0" fontId="5" fillId="0" borderId="0" xfId="3" applyFont="1"/>
    <xf numFmtId="43" fontId="10" fillId="0" borderId="34" xfId="39" applyFont="1" applyFill="1" applyBorder="1" applyAlignment="1">
      <alignment horizontal="right"/>
    </xf>
    <xf numFmtId="10" fontId="5" fillId="0" borderId="0" xfId="2" applyNumberFormat="1" applyFont="1" applyFill="1" applyAlignment="1">
      <alignment horizontal="center"/>
    </xf>
    <xf numFmtId="43" fontId="10" fillId="0" borderId="27" xfId="39" applyFont="1" applyFill="1" applyBorder="1" applyAlignment="1">
      <alignment horizontal="right"/>
    </xf>
    <xf numFmtId="165" fontId="15" fillId="0" borderId="0" xfId="7" applyNumberFormat="1" applyFont="1" applyFill="1"/>
    <xf numFmtId="10" fontId="25" fillId="0" borderId="0" xfId="4" applyNumberFormat="1" applyFont="1" applyFill="1" applyBorder="1"/>
    <xf numFmtId="10" fontId="8" fillId="0" borderId="0" xfId="2" applyNumberFormat="1" applyFont="1" applyFill="1" applyBorder="1"/>
    <xf numFmtId="0" fontId="8" fillId="0" borderId="7" xfId="23" applyFont="1" applyBorder="1" applyAlignment="1">
      <alignment horizontal="center" wrapText="1"/>
    </xf>
    <xf numFmtId="43" fontId="8" fillId="0" borderId="0" xfId="19" applyFont="1" applyFill="1" applyBorder="1"/>
    <xf numFmtId="185" fontId="8" fillId="0" borderId="0" xfId="5" applyNumberFormat="1" applyFont="1" applyFill="1" applyAlignment="1">
      <alignment horizontal="right"/>
    </xf>
    <xf numFmtId="10" fontId="8" fillId="0" borderId="0" xfId="4" applyNumberFormat="1" applyFont="1" applyFill="1" applyAlignment="1">
      <alignment horizontal="center"/>
    </xf>
    <xf numFmtId="187" fontId="8" fillId="0" borderId="0" xfId="5" applyNumberFormat="1" applyFont="1" applyFill="1" applyAlignment="1">
      <alignment horizontal="right"/>
    </xf>
    <xf numFmtId="185" fontId="8" fillId="0" borderId="0" xfId="5" applyNumberFormat="1" applyFont="1" applyFill="1"/>
    <xf numFmtId="10" fontId="8" fillId="0" borderId="0" xfId="4" applyNumberFormat="1" applyFont="1" applyFill="1"/>
    <xf numFmtId="176" fontId="8" fillId="0" borderId="0" xfId="39" applyNumberFormat="1" applyFont="1" applyFill="1"/>
    <xf numFmtId="176" fontId="8" fillId="0" borderId="0" xfId="18" applyNumberFormat="1" applyFont="1" applyFill="1"/>
    <xf numFmtId="176" fontId="8" fillId="0" borderId="0" xfId="18" applyNumberFormat="1" applyFont="1" applyFill="1" applyAlignment="1">
      <alignment vertical="top"/>
    </xf>
    <xf numFmtId="0" fontId="8" fillId="0" borderId="0" xfId="23" quotePrefix="1" applyFont="1"/>
    <xf numFmtId="185" fontId="8" fillId="0" borderId="19" xfId="5" applyNumberFormat="1" applyFont="1" applyFill="1" applyBorder="1" applyAlignment="1">
      <alignment horizontal="right"/>
    </xf>
    <xf numFmtId="185" fontId="8" fillId="0" borderId="0" xfId="5" applyNumberFormat="1" applyFont="1" applyFill="1" applyBorder="1" applyAlignment="1">
      <alignment horizontal="right"/>
    </xf>
    <xf numFmtId="0" fontId="8" fillId="0" borderId="0" xfId="46" applyFont="1" applyAlignment="1">
      <alignment horizontal="center" vertical="top"/>
    </xf>
    <xf numFmtId="0" fontId="8" fillId="0" borderId="0" xfId="46" applyFont="1" applyAlignment="1">
      <alignment horizontal="left" vertical="top"/>
    </xf>
    <xf numFmtId="0" fontId="8" fillId="0" borderId="0" xfId="46" applyFont="1" applyAlignment="1">
      <alignment vertical="top" wrapText="1"/>
    </xf>
    <xf numFmtId="0" fontId="8" fillId="0" borderId="0" xfId="0" applyFont="1"/>
    <xf numFmtId="43" fontId="8" fillId="0" borderId="0" xfId="23" applyNumberFormat="1" applyFont="1"/>
    <xf numFmtId="2" fontId="8" fillId="0" borderId="0" xfId="23" applyNumberFormat="1" applyFont="1"/>
    <xf numFmtId="0" fontId="4" fillId="0" borderId="0" xfId="3" applyFont="1"/>
    <xf numFmtId="0" fontId="10" fillId="0" borderId="0" xfId="0" applyFont="1"/>
    <xf numFmtId="10" fontId="5" fillId="0" borderId="26" xfId="2" applyNumberFormat="1" applyFont="1" applyFill="1" applyBorder="1" applyAlignment="1">
      <alignment horizontal="center"/>
    </xf>
    <xf numFmtId="192" fontId="2" fillId="0" borderId="0" xfId="22" applyNumberFormat="1"/>
    <xf numFmtId="192" fontId="12" fillId="0" borderId="0" xfId="0" applyNumberFormat="1" applyFont="1"/>
    <xf numFmtId="3" fontId="12" fillId="0" borderId="0" xfId="0" applyNumberFormat="1" applyFont="1"/>
    <xf numFmtId="192" fontId="32" fillId="0" borderId="0" xfId="22" applyNumberFormat="1" applyFont="1"/>
    <xf numFmtId="192" fontId="2" fillId="0" borderId="0" xfId="39" applyNumberFormat="1" applyFont="1" applyFill="1"/>
    <xf numFmtId="0" fontId="14" fillId="0" borderId="0" xfId="0" applyFont="1"/>
    <xf numFmtId="43" fontId="28" fillId="0" borderId="28" xfId="0" applyNumberFormat="1" applyFont="1" applyBorder="1" applyAlignment="1">
      <alignment horizontal="center"/>
    </xf>
    <xf numFmtId="0" fontId="2" fillId="0" borderId="29" xfId="0" applyFont="1" applyBorder="1" applyAlignment="1">
      <alignment horizontal="center"/>
    </xf>
    <xf numFmtId="43" fontId="2" fillId="0" borderId="0" xfId="1" applyFont="1" applyFill="1"/>
    <xf numFmtId="0" fontId="2" fillId="0" borderId="0" xfId="72"/>
    <xf numFmtId="171" fontId="2" fillId="0" borderId="0" xfId="72" applyNumberFormat="1"/>
    <xf numFmtId="164" fontId="2" fillId="0" borderId="0" xfId="72" applyNumberFormat="1"/>
    <xf numFmtId="2" fontId="2" fillId="0" borderId="0" xfId="57" applyNumberFormat="1" applyFont="1"/>
    <xf numFmtId="169" fontId="2" fillId="0" borderId="0" xfId="57" applyNumberFormat="1" applyFont="1"/>
    <xf numFmtId="0" fontId="32" fillId="0" borderId="0" xfId="72" applyFont="1"/>
    <xf numFmtId="164" fontId="32" fillId="0" borderId="0" xfId="72" applyNumberFormat="1" applyFont="1"/>
    <xf numFmtId="2" fontId="2" fillId="0" borderId="0" xfId="22" applyNumberFormat="1" applyAlignment="1">
      <alignment horizontal="right"/>
    </xf>
    <xf numFmtId="43" fontId="2" fillId="0" borderId="0" xfId="1" applyFont="1"/>
    <xf numFmtId="0" fontId="46" fillId="0" borderId="0" xfId="72" applyFont="1"/>
    <xf numFmtId="0" fontId="30" fillId="0" borderId="0" xfId="72" applyFont="1" applyAlignment="1">
      <alignment horizontal="centerContinuous"/>
    </xf>
    <xf numFmtId="0" fontId="2" fillId="0" borderId="0" xfId="72" applyAlignment="1">
      <alignment horizontal="centerContinuous"/>
    </xf>
    <xf numFmtId="0" fontId="29" fillId="0" borderId="0" xfId="72" applyFont="1" applyAlignment="1">
      <alignment horizontal="centerContinuous"/>
    </xf>
    <xf numFmtId="0" fontId="29" fillId="0" borderId="0" xfId="72" applyFont="1"/>
    <xf numFmtId="3" fontId="0" fillId="0" borderId="0" xfId="0" applyNumberFormat="1"/>
    <xf numFmtId="2" fontId="2" fillId="0" borderId="0" xfId="72" applyNumberFormat="1"/>
    <xf numFmtId="0" fontId="29" fillId="0" borderId="0" xfId="72" applyFont="1" applyAlignment="1">
      <alignment horizontal="left"/>
    </xf>
    <xf numFmtId="0" fontId="2" fillId="0" borderId="0" xfId="72" applyAlignment="1">
      <alignment wrapText="1"/>
    </xf>
    <xf numFmtId="178" fontId="2" fillId="0" borderId="0" xfId="72" applyNumberFormat="1"/>
    <xf numFmtId="171" fontId="2" fillId="0" borderId="0" xfId="22" applyNumberFormat="1" applyAlignment="1">
      <alignment wrapText="1"/>
    </xf>
    <xf numFmtId="179" fontId="2" fillId="0" borderId="0" xfId="22" applyNumberFormat="1"/>
    <xf numFmtId="43" fontId="10" fillId="0" borderId="19" xfId="39" applyFont="1" applyFill="1" applyBorder="1" applyAlignment="1">
      <alignment horizontal="right"/>
    </xf>
    <xf numFmtId="43" fontId="10" fillId="0" borderId="57" xfId="39" applyFont="1" applyFill="1" applyBorder="1" applyAlignment="1">
      <alignment horizontal="right"/>
    </xf>
    <xf numFmtId="0" fontId="8" fillId="0" borderId="0" xfId="0" applyFont="1" applyAlignment="1">
      <alignment horizontal="centerContinuous"/>
    </xf>
    <xf numFmtId="10" fontId="8" fillId="0" borderId="32" xfId="6" applyNumberFormat="1" applyFont="1" applyFill="1" applyBorder="1" applyAlignment="1">
      <alignment horizontal="left"/>
    </xf>
    <xf numFmtId="43" fontId="8" fillId="0" borderId="33" xfId="6" applyNumberFormat="1" applyFont="1" applyFill="1" applyBorder="1" applyAlignment="1">
      <alignment horizontal="center"/>
    </xf>
    <xf numFmtId="174" fontId="25" fillId="0" borderId="0" xfId="58" applyNumberFormat="1" applyFont="1"/>
    <xf numFmtId="0" fontId="8" fillId="0" borderId="7" xfId="0" applyFont="1" applyBorder="1" applyAlignment="1">
      <alignment horizontal="center" wrapText="1"/>
    </xf>
    <xf numFmtId="0" fontId="8" fillId="0" borderId="7" xfId="46" applyFont="1" applyBorder="1" applyAlignment="1">
      <alignment horizontal="center" wrapText="1"/>
    </xf>
    <xf numFmtId="0" fontId="8" fillId="0" borderId="0" xfId="23" applyFont="1" applyAlignment="1">
      <alignment horizontal="left" vertical="top" wrapText="1"/>
    </xf>
    <xf numFmtId="0" fontId="47" fillId="0" borderId="0" xfId="0" applyFont="1"/>
    <xf numFmtId="0" fontId="25" fillId="0" borderId="0" xfId="0" applyFont="1" applyAlignment="1">
      <alignment horizontal="center"/>
    </xf>
    <xf numFmtId="0" fontId="8" fillId="0" borderId="7" xfId="46" applyFont="1" applyBorder="1" applyAlignment="1">
      <alignment horizontal="center"/>
    </xf>
    <xf numFmtId="0" fontId="8" fillId="0" borderId="7" xfId="46" applyFont="1" applyBorder="1" applyAlignment="1">
      <alignment horizontal="left"/>
    </xf>
    <xf numFmtId="0" fontId="37" fillId="0" borderId="0" xfId="0" applyFont="1" applyAlignment="1">
      <alignment horizontal="center"/>
    </xf>
    <xf numFmtId="172" fontId="8" fillId="0" borderId="0" xfId="46" applyNumberFormat="1" applyFont="1" applyAlignment="1">
      <alignment horizontal="center"/>
    </xf>
    <xf numFmtId="172" fontId="8" fillId="0" borderId="0" xfId="46" applyNumberFormat="1" applyFont="1"/>
    <xf numFmtId="10" fontId="8" fillId="0" borderId="0" xfId="46" applyNumberFormat="1" applyFont="1" applyAlignment="1">
      <alignment horizontal="center"/>
    </xf>
    <xf numFmtId="10" fontId="8" fillId="0" borderId="0" xfId="46" applyNumberFormat="1" applyFont="1"/>
    <xf numFmtId="10" fontId="8" fillId="0" borderId="0" xfId="11" applyNumberFormat="1" applyFont="1" applyFill="1" applyAlignment="1">
      <alignment horizontal="center"/>
    </xf>
    <xf numFmtId="10" fontId="8" fillId="0" borderId="0" xfId="7" applyNumberFormat="1" applyFont="1" applyFill="1" applyBorder="1" applyAlignment="1">
      <alignment horizontal="center"/>
    </xf>
    <xf numFmtId="10" fontId="8" fillId="0" borderId="0" xfId="2" applyNumberFormat="1" applyFont="1" applyFill="1" applyAlignment="1">
      <alignment horizontal="center"/>
    </xf>
    <xf numFmtId="10" fontId="8" fillId="0" borderId="0" xfId="2" applyNumberFormat="1" applyFont="1" applyFill="1" applyBorder="1" applyAlignment="1">
      <alignment horizontal="center"/>
    </xf>
    <xf numFmtId="172" fontId="8" fillId="0" borderId="0" xfId="46" applyNumberFormat="1" applyFont="1" applyAlignment="1">
      <alignment horizontal="center" vertical="center"/>
    </xf>
    <xf numFmtId="172" fontId="8" fillId="0" borderId="0" xfId="46" applyNumberFormat="1" applyFont="1" applyAlignment="1">
      <alignment wrapText="1"/>
    </xf>
    <xf numFmtId="10" fontId="8" fillId="0" borderId="1" xfId="2" applyNumberFormat="1" applyFont="1" applyFill="1" applyBorder="1" applyAlignment="1">
      <alignment horizontal="center"/>
    </xf>
    <xf numFmtId="0" fontId="8" fillId="0" borderId="0" xfId="46" applyFont="1" applyAlignment="1">
      <alignment horizontal="center" vertical="center"/>
    </xf>
    <xf numFmtId="10" fontId="8" fillId="0" borderId="39" xfId="7" applyNumberFormat="1" applyFont="1" applyFill="1" applyBorder="1" applyAlignment="1">
      <alignment horizontal="center"/>
    </xf>
    <xf numFmtId="10" fontId="8" fillId="0" borderId="19" xfId="7" applyNumberFormat="1" applyFont="1" applyFill="1" applyBorder="1" applyAlignment="1">
      <alignment horizontal="center"/>
    </xf>
    <xf numFmtId="0" fontId="8" fillId="0" borderId="0" xfId="46" quotePrefix="1" applyFont="1" applyAlignment="1">
      <alignment vertical="top"/>
    </xf>
    <xf numFmtId="169" fontId="8" fillId="0" borderId="0" xfId="46" applyNumberFormat="1" applyFont="1"/>
    <xf numFmtId="0" fontId="8" fillId="0" borderId="0" xfId="46" applyFont="1" applyAlignment="1">
      <alignment horizontal="left"/>
    </xf>
    <xf numFmtId="0" fontId="6" fillId="0" borderId="0" xfId="46" applyFont="1"/>
    <xf numFmtId="169" fontId="6" fillId="0" borderId="0" xfId="46" applyNumberFormat="1" applyFont="1"/>
    <xf numFmtId="0" fontId="23" fillId="0" borderId="0" xfId="23" applyFont="1" applyAlignment="1">
      <alignment horizontal="center"/>
    </xf>
    <xf numFmtId="0" fontId="23" fillId="0" borderId="0" xfId="23" applyFont="1"/>
    <xf numFmtId="0" fontId="8" fillId="0" borderId="0" xfId="23" applyFont="1" applyAlignment="1">
      <alignment horizontal="left" indent="2"/>
    </xf>
    <xf numFmtId="43" fontId="8" fillId="0" borderId="0" xfId="39" applyFont="1" applyFill="1"/>
    <xf numFmtId="43" fontId="8" fillId="0" borderId="7" xfId="39" applyFont="1" applyFill="1" applyBorder="1"/>
    <xf numFmtId="2" fontId="8" fillId="0" borderId="0" xfId="39" applyNumberFormat="1" applyFont="1" applyFill="1"/>
    <xf numFmtId="0" fontId="8" fillId="0" borderId="0" xfId="0" applyFont="1" applyAlignment="1">
      <alignment horizontal="center"/>
    </xf>
    <xf numFmtId="169" fontId="8" fillId="0" borderId="0" xfId="0" applyNumberFormat="1" applyFont="1" applyAlignment="1">
      <alignment horizontal="center"/>
    </xf>
    <xf numFmtId="0" fontId="6" fillId="0" borderId="0" xfId="22" applyFont="1"/>
    <xf numFmtId="0" fontId="48" fillId="0" borderId="0" xfId="80" applyFont="1" applyFill="1" applyAlignment="1">
      <alignment horizontal="left"/>
    </xf>
    <xf numFmtId="0" fontId="48" fillId="0" borderId="0" xfId="80" applyFont="1" applyFill="1" applyAlignment="1">
      <alignment horizontal="left" wrapText="1"/>
    </xf>
    <xf numFmtId="0" fontId="48" fillId="0" borderId="0" xfId="80" applyFont="1" applyFill="1" applyAlignment="1">
      <alignment horizontal="center" wrapText="1"/>
    </xf>
    <xf numFmtId="14" fontId="8" fillId="0" borderId="0" xfId="22" applyNumberFormat="1" applyFont="1" applyAlignment="1">
      <alignment horizontal="left" vertical="top" wrapText="1"/>
    </xf>
    <xf numFmtId="43" fontId="8" fillId="0" borderId="0" xfId="39" applyFont="1" applyFill="1" applyAlignment="1">
      <alignment horizontal="right" vertical="top" wrapText="1"/>
    </xf>
    <xf numFmtId="179" fontId="8" fillId="0" borderId="0" xfId="23" applyNumberFormat="1" applyFont="1"/>
    <xf numFmtId="0" fontId="8" fillId="0" borderId="0" xfId="22" applyFont="1" applyAlignment="1">
      <alignment horizontal="right"/>
    </xf>
    <xf numFmtId="183" fontId="8" fillId="0" borderId="0" xfId="22" applyNumberFormat="1" applyFont="1" applyAlignment="1">
      <alignment horizontal="left" vertical="top" wrapText="1"/>
    </xf>
    <xf numFmtId="0" fontId="8" fillId="0" borderId="0" xfId="22" applyFont="1" applyAlignment="1">
      <alignment horizontal="right" vertical="top" wrapText="1"/>
    </xf>
    <xf numFmtId="0" fontId="25" fillId="0" borderId="0" xfId="0" applyFont="1" applyAlignment="1">
      <alignment horizontal="left" vertical="top"/>
    </xf>
    <xf numFmtId="0" fontId="25" fillId="0" borderId="0" xfId="0" applyFont="1" applyAlignment="1">
      <alignment horizontal="left" vertical="top" wrapText="1"/>
    </xf>
    <xf numFmtId="1" fontId="8" fillId="0" borderId="0" xfId="22" applyNumberFormat="1" applyFont="1" applyAlignment="1">
      <alignment horizontal="right" vertical="top" wrapText="1"/>
    </xf>
    <xf numFmtId="43" fontId="8" fillId="0" borderId="0" xfId="39" applyFont="1" applyFill="1" applyBorder="1"/>
    <xf numFmtId="43" fontId="8" fillId="0" borderId="19" xfId="39" applyFont="1" applyFill="1" applyBorder="1"/>
    <xf numFmtId="2" fontId="25" fillId="0" borderId="0" xfId="39" applyNumberFormat="1" applyFont="1" applyFill="1" applyBorder="1" applyAlignment="1">
      <alignment horizontal="center"/>
    </xf>
    <xf numFmtId="2" fontId="25" fillId="0" borderId="0" xfId="39" applyNumberFormat="1" applyFont="1" applyFill="1" applyAlignment="1">
      <alignment horizontal="center"/>
    </xf>
    <xf numFmtId="179" fontId="25" fillId="0" borderId="0" xfId="39" applyNumberFormat="1" applyFont="1" applyFill="1" applyAlignment="1">
      <alignment horizontal="center"/>
    </xf>
    <xf numFmtId="2" fontId="8" fillId="0" borderId="26" xfId="39" applyNumberFormat="1" applyFont="1" applyFill="1" applyBorder="1" applyAlignment="1">
      <alignment horizontal="center"/>
    </xf>
    <xf numFmtId="2" fontId="8" fillId="0" borderId="0" xfId="39" applyNumberFormat="1" applyFont="1" applyFill="1" applyAlignment="1">
      <alignment horizontal="center"/>
    </xf>
    <xf numFmtId="179" fontId="8" fillId="0" borderId="26" xfId="39" applyNumberFormat="1" applyFont="1" applyFill="1" applyBorder="1" applyAlignment="1">
      <alignment horizontal="center"/>
    </xf>
    <xf numFmtId="179" fontId="8" fillId="0" borderId="0" xfId="39" applyNumberFormat="1" applyFont="1" applyFill="1" applyAlignment="1">
      <alignment horizontal="center"/>
    </xf>
    <xf numFmtId="2" fontId="8" fillId="0" borderId="19" xfId="39" applyNumberFormat="1" applyFont="1" applyFill="1" applyBorder="1" applyAlignment="1">
      <alignment horizontal="center"/>
    </xf>
    <xf numFmtId="179" fontId="8" fillId="0" borderId="19" xfId="39" applyNumberFormat="1" applyFont="1" applyFill="1" applyBorder="1" applyAlignment="1">
      <alignment horizontal="center"/>
    </xf>
    <xf numFmtId="43" fontId="8" fillId="0" borderId="26" xfId="39" applyFont="1" applyFill="1" applyBorder="1" applyAlignment="1">
      <alignment horizontal="right"/>
    </xf>
    <xf numFmtId="43" fontId="8" fillId="0" borderId="0" xfId="39" applyFont="1" applyFill="1" applyAlignment="1">
      <alignment horizontal="right"/>
    </xf>
    <xf numFmtId="180" fontId="8" fillId="0" borderId="26" xfId="39" applyNumberFormat="1" applyFont="1" applyFill="1" applyBorder="1" applyAlignment="1">
      <alignment horizontal="right"/>
    </xf>
    <xf numFmtId="180" fontId="8" fillId="0" borderId="0" xfId="39" applyNumberFormat="1" applyFont="1" applyFill="1" applyAlignment="1">
      <alignment horizontal="right"/>
    </xf>
    <xf numFmtId="2" fontId="8" fillId="0" borderId="0" xfId="39" applyNumberFormat="1" applyFont="1" applyFill="1" applyBorder="1" applyAlignment="1">
      <alignment horizontal="center"/>
    </xf>
    <xf numFmtId="179" fontId="8" fillId="0" borderId="0" xfId="39" applyNumberFormat="1" applyFont="1" applyFill="1" applyBorder="1" applyAlignment="1">
      <alignment horizontal="center"/>
    </xf>
    <xf numFmtId="43" fontId="8" fillId="0" borderId="0" xfId="39" applyFont="1" applyFill="1" applyAlignment="1">
      <alignment horizontal="center"/>
    </xf>
    <xf numFmtId="43" fontId="8" fillId="0" borderId="19" xfId="39" applyFont="1" applyFill="1" applyBorder="1" applyAlignment="1">
      <alignment horizontal="right"/>
    </xf>
    <xf numFmtId="43" fontId="8" fillId="0" borderId="35" xfId="39" applyFont="1" applyFill="1" applyBorder="1" applyAlignment="1"/>
    <xf numFmtId="43" fontId="8" fillId="0" borderId="27" xfId="39" applyFont="1" applyFill="1" applyBorder="1" applyAlignment="1"/>
    <xf numFmtId="2" fontId="8" fillId="0" borderId="19" xfId="39" applyNumberFormat="1" applyFont="1" applyFill="1" applyBorder="1"/>
    <xf numFmtId="0" fontId="4" fillId="0" borderId="0" xfId="3" applyFont="1" applyAlignment="1">
      <alignment wrapText="1"/>
    </xf>
    <xf numFmtId="0" fontId="4" fillId="0" borderId="1" xfId="3" applyFont="1" applyBorder="1" applyAlignment="1">
      <alignment wrapText="1"/>
    </xf>
    <xf numFmtId="0" fontId="5" fillId="0" borderId="5" xfId="3" applyFont="1" applyBorder="1" applyAlignment="1">
      <alignment horizontal="right"/>
    </xf>
    <xf numFmtId="0" fontId="5" fillId="0" borderId="6" xfId="3" applyFont="1" applyBorder="1"/>
    <xf numFmtId="0" fontId="5" fillId="0" borderId="2" xfId="3" applyFont="1" applyBorder="1"/>
    <xf numFmtId="0" fontId="5" fillId="0" borderId="31" xfId="3" applyFont="1" applyBorder="1"/>
    <xf numFmtId="0" fontId="5" fillId="0" borderId="54" xfId="3" applyFont="1" applyBorder="1" applyAlignment="1">
      <alignment horizontal="right"/>
    </xf>
    <xf numFmtId="0" fontId="5" fillId="0" borderId="55" xfId="3" applyFont="1" applyBorder="1"/>
    <xf numFmtId="10" fontId="5" fillId="0" borderId="3" xfId="4" applyNumberFormat="1" applyFont="1" applyFill="1" applyBorder="1"/>
    <xf numFmtId="0" fontId="9" fillId="0" borderId="0" xfId="0" applyFont="1"/>
    <xf numFmtId="0" fontId="49" fillId="0" borderId="0" xfId="0" applyFont="1"/>
    <xf numFmtId="0" fontId="10" fillId="0" borderId="7" xfId="0" applyFont="1" applyBorder="1"/>
    <xf numFmtId="0" fontId="49" fillId="0" borderId="7" xfId="0" applyFont="1" applyBorder="1" applyAlignment="1">
      <alignment horizontal="left"/>
    </xf>
    <xf numFmtId="0" fontId="49" fillId="0" borderId="0" xfId="0" applyFont="1" applyAlignment="1">
      <alignment horizontal="left"/>
    </xf>
    <xf numFmtId="10" fontId="10" fillId="0" borderId="0" xfId="4" applyNumberFormat="1" applyFont="1" applyFill="1" applyBorder="1" applyAlignment="1">
      <alignment horizontal="right"/>
    </xf>
    <xf numFmtId="43" fontId="10" fillId="0" borderId="2" xfId="1" applyFont="1" applyFill="1" applyBorder="1"/>
    <xf numFmtId="43" fontId="10" fillId="0" borderId="3" xfId="1" applyFont="1" applyFill="1" applyBorder="1"/>
    <xf numFmtId="0" fontId="5" fillId="0" borderId="3" xfId="3" applyFont="1" applyBorder="1" applyAlignment="1">
      <alignment horizontal="left"/>
    </xf>
    <xf numFmtId="0" fontId="4" fillId="0" borderId="0" xfId="3" quotePrefix="1" applyFont="1"/>
    <xf numFmtId="0" fontId="5" fillId="0" borderId="40" xfId="3" applyFont="1" applyBorder="1"/>
    <xf numFmtId="49" fontId="5" fillId="0" borderId="3" xfId="3" quotePrefix="1" applyNumberFormat="1" applyFont="1" applyBorder="1" applyAlignment="1">
      <alignment horizontal="left"/>
    </xf>
    <xf numFmtId="0" fontId="5" fillId="0" borderId="38" xfId="3" applyFont="1" applyBorder="1"/>
    <xf numFmtId="9" fontId="10" fillId="0" borderId="0" xfId="17" applyFont="1" applyFill="1" applyAlignment="1">
      <alignment horizontal="center"/>
    </xf>
    <xf numFmtId="10" fontId="10" fillId="0" borderId="0" xfId="17" applyNumberFormat="1" applyFont="1" applyFill="1" applyAlignment="1">
      <alignment horizontal="center"/>
    </xf>
    <xf numFmtId="43" fontId="10" fillId="0" borderId="0" xfId="19" applyFont="1" applyFill="1" applyBorder="1"/>
    <xf numFmtId="168" fontId="10" fillId="0" borderId="0" xfId="18" applyNumberFormat="1" applyFont="1" applyFill="1" applyBorder="1"/>
    <xf numFmtId="43" fontId="10" fillId="0" borderId="0" xfId="18" applyFont="1" applyFill="1" applyBorder="1"/>
    <xf numFmtId="0" fontId="5" fillId="0" borderId="0" xfId="0" applyFont="1" applyAlignment="1">
      <alignment horizontal="right"/>
    </xf>
    <xf numFmtId="0" fontId="5" fillId="0" borderId="0" xfId="0" applyFont="1" applyAlignment="1">
      <alignment horizontal="center"/>
    </xf>
    <xf numFmtId="0" fontId="5" fillId="0" borderId="0" xfId="3" applyFont="1" applyAlignment="1">
      <alignment horizontal="center"/>
    </xf>
    <xf numFmtId="0" fontId="0" fillId="0" borderId="1" xfId="0" applyBorder="1"/>
    <xf numFmtId="164" fontId="32" fillId="0" borderId="0" xfId="22" applyNumberFormat="1" applyFont="1"/>
    <xf numFmtId="0" fontId="23" fillId="0" borderId="0" xfId="46" applyFont="1" applyAlignment="1">
      <alignment horizontal="centerContinuous"/>
    </xf>
    <xf numFmtId="0" fontId="8" fillId="0" borderId="0" xfId="46" applyFont="1" applyAlignment="1">
      <alignment horizontal="center" wrapText="1"/>
    </xf>
    <xf numFmtId="0" fontId="5" fillId="0" borderId="0" xfId="9" applyFont="1"/>
    <xf numFmtId="14" fontId="5" fillId="0" borderId="0" xfId="9" applyNumberFormat="1" applyFont="1"/>
    <xf numFmtId="2" fontId="5" fillId="0" borderId="0" xfId="9" applyNumberFormat="1" applyFont="1"/>
    <xf numFmtId="0" fontId="5" fillId="0" borderId="26" xfId="3" applyFont="1" applyBorder="1" applyAlignment="1">
      <alignment horizontal="center"/>
    </xf>
    <xf numFmtId="10" fontId="10" fillId="0" borderId="33" xfId="2" applyNumberFormat="1" applyFont="1" applyFill="1" applyBorder="1" applyAlignment="1">
      <alignment horizontal="center"/>
    </xf>
    <xf numFmtId="10" fontId="10" fillId="0" borderId="9" xfId="2" applyNumberFormat="1" applyFont="1" applyFill="1" applyBorder="1" applyAlignment="1">
      <alignment horizontal="center"/>
    </xf>
    <xf numFmtId="0" fontId="34" fillId="0" borderId="0" xfId="23" applyFont="1" applyAlignment="1">
      <alignment horizontal="center"/>
    </xf>
    <xf numFmtId="2" fontId="5" fillId="0" borderId="0" xfId="3" applyNumberFormat="1" applyFont="1"/>
    <xf numFmtId="0" fontId="2" fillId="0" borderId="0" xfId="23"/>
    <xf numFmtId="0" fontId="14" fillId="0" borderId="0" xfId="20"/>
    <xf numFmtId="17" fontId="14" fillId="0" borderId="0" xfId="20" applyNumberFormat="1"/>
    <xf numFmtId="10" fontId="14" fillId="0" borderId="0" xfId="20" applyNumberFormat="1"/>
    <xf numFmtId="0" fontId="15" fillId="0" borderId="0" xfId="22" applyFont="1"/>
    <xf numFmtId="0" fontId="18" fillId="0" borderId="20" xfId="22" applyFont="1" applyBorder="1" applyAlignment="1">
      <alignment horizontal="center"/>
    </xf>
    <xf numFmtId="0" fontId="15" fillId="0" borderId="0" xfId="23" applyFont="1"/>
    <xf numFmtId="0" fontId="16" fillId="0" borderId="0" xfId="23" applyFont="1" applyAlignment="1">
      <alignment horizontal="centerContinuous"/>
    </xf>
    <xf numFmtId="0" fontId="33" fillId="0" borderId="0" xfId="0" applyFont="1" applyAlignment="1">
      <alignment horizontal="center"/>
    </xf>
    <xf numFmtId="170" fontId="14" fillId="0" borderId="0" xfId="20" applyNumberFormat="1"/>
    <xf numFmtId="0" fontId="15" fillId="0" borderId="1" xfId="22" applyFont="1" applyBorder="1"/>
    <xf numFmtId="170" fontId="15" fillId="0" borderId="0" xfId="23" applyNumberFormat="1" applyFont="1"/>
    <xf numFmtId="17" fontId="15" fillId="0" borderId="0" xfId="0" applyNumberFormat="1" applyFont="1"/>
    <xf numFmtId="14" fontId="5" fillId="0" borderId="0" xfId="3" applyNumberFormat="1" applyFont="1"/>
    <xf numFmtId="0" fontId="5" fillId="0" borderId="3" xfId="3" applyFont="1" applyBorder="1" applyAlignment="1">
      <alignment horizontal="right"/>
    </xf>
    <xf numFmtId="0" fontId="49" fillId="0" borderId="7" xfId="0" applyFont="1" applyBorder="1"/>
    <xf numFmtId="0" fontId="10" fillId="0" borderId="7" xfId="0" applyFont="1" applyBorder="1" applyAlignment="1">
      <alignment horizontal="left"/>
    </xf>
    <xf numFmtId="43" fontId="10" fillId="0" borderId="0" xfId="0" applyNumberFormat="1" applyFont="1"/>
    <xf numFmtId="49" fontId="10" fillId="0" borderId="0" xfId="0" quotePrefix="1" applyNumberFormat="1" applyFont="1"/>
    <xf numFmtId="49" fontId="10" fillId="0" borderId="3" xfId="0" quotePrefix="1" applyNumberFormat="1" applyFont="1" applyBorder="1"/>
    <xf numFmtId="0" fontId="10" fillId="0" borderId="31" xfId="3" applyFont="1" applyBorder="1"/>
    <xf numFmtId="10" fontId="10" fillId="0" borderId="0" xfId="7" applyNumberFormat="1" applyFont="1" applyFill="1" applyAlignment="1">
      <alignment horizontal="center"/>
    </xf>
    <xf numFmtId="14" fontId="52" fillId="0" borderId="0" xfId="0" applyNumberFormat="1" applyFont="1" applyAlignment="1">
      <alignment horizontal="left"/>
    </xf>
    <xf numFmtId="0" fontId="10" fillId="0" borderId="7" xfId="0" applyFont="1" applyBorder="1" applyAlignment="1">
      <alignment horizontal="center" wrapText="1"/>
    </xf>
    <xf numFmtId="0" fontId="53" fillId="0" borderId="7" xfId="0" applyFont="1" applyBorder="1" applyAlignment="1">
      <alignment horizontal="center" wrapText="1"/>
    </xf>
    <xf numFmtId="44" fontId="10" fillId="0" borderId="0" xfId="36" applyFont="1" applyFill="1" applyAlignment="1">
      <alignment horizontal="center"/>
    </xf>
    <xf numFmtId="10" fontId="10" fillId="0" borderId="0" xfId="2" applyNumberFormat="1" applyFont="1" applyFill="1" applyAlignment="1">
      <alignment horizontal="center"/>
    </xf>
    <xf numFmtId="10" fontId="10" fillId="0" borderId="0" xfId="35" applyNumberFormat="1" applyFont="1" applyFill="1" applyAlignment="1">
      <alignment horizontal="center"/>
    </xf>
    <xf numFmtId="165" fontId="10" fillId="0" borderId="0" xfId="35" applyNumberFormat="1" applyFont="1" applyFill="1" applyAlignment="1">
      <alignment horizontal="center"/>
    </xf>
    <xf numFmtId="0" fontId="53" fillId="0" borderId="0" xfId="0" applyFont="1"/>
    <xf numFmtId="44" fontId="10" fillId="0" borderId="26" xfId="36" applyFont="1" applyFill="1" applyBorder="1"/>
    <xf numFmtId="0" fontId="10" fillId="0" borderId="26" xfId="0" applyFont="1" applyBorder="1"/>
    <xf numFmtId="10" fontId="10" fillId="0" borderId="26" xfId="0" applyNumberFormat="1" applyFont="1" applyBorder="1"/>
    <xf numFmtId="10" fontId="10" fillId="0" borderId="26" xfId="35" applyNumberFormat="1" applyFont="1" applyFill="1" applyBorder="1"/>
    <xf numFmtId="0" fontId="37" fillId="0" borderId="0" xfId="0" applyFont="1" applyAlignment="1">
      <alignment horizontal="centerContinuous"/>
    </xf>
    <xf numFmtId="0" fontId="6" fillId="0" borderId="7" xfId="46" applyFont="1" applyBorder="1" applyAlignment="1">
      <alignment horizontal="center"/>
    </xf>
    <xf numFmtId="10" fontId="25" fillId="0" borderId="0" xfId="0" applyNumberFormat="1" applyFont="1" applyAlignment="1">
      <alignment horizontal="center"/>
    </xf>
    <xf numFmtId="43" fontId="8" fillId="0" borderId="0" xfId="39" applyFont="1" applyFill="1" applyBorder="1" applyAlignment="1">
      <alignment horizontal="right"/>
    </xf>
    <xf numFmtId="0" fontId="8" fillId="0" borderId="0" xfId="22" applyFont="1" applyAlignment="1">
      <alignment horizontal="center"/>
    </xf>
    <xf numFmtId="0" fontId="8" fillId="0" borderId="0" xfId="22" applyFont="1" applyAlignment="1">
      <alignment wrapText="1"/>
    </xf>
    <xf numFmtId="0" fontId="8" fillId="0" borderId="0" xfId="22" applyFont="1" applyAlignment="1">
      <alignment horizontal="center" wrapText="1"/>
    </xf>
    <xf numFmtId="37" fontId="8" fillId="0" borderId="0" xfId="22" applyNumberFormat="1" applyFont="1"/>
    <xf numFmtId="188" fontId="10" fillId="0" borderId="3" xfId="5" applyNumberFormat="1" applyFont="1" applyFill="1" applyBorder="1" applyAlignment="1">
      <alignment horizontal="left"/>
    </xf>
    <xf numFmtId="10" fontId="10" fillId="0" borderId="2" xfId="4" applyNumberFormat="1" applyFont="1" applyFill="1" applyBorder="1" applyAlignment="1">
      <alignment horizontal="right"/>
    </xf>
    <xf numFmtId="0" fontId="5" fillId="0" borderId="32" xfId="3" applyFont="1" applyBorder="1"/>
    <xf numFmtId="0" fontId="5" fillId="0" borderId="26" xfId="3" applyFont="1" applyBorder="1"/>
    <xf numFmtId="0" fontId="10" fillId="0" borderId="0" xfId="3" applyFont="1"/>
    <xf numFmtId="0" fontId="4" fillId="0" borderId="11" xfId="3" applyFont="1" applyBorder="1" applyAlignment="1">
      <alignment horizontal="center"/>
    </xf>
    <xf numFmtId="0" fontId="4" fillId="0" borderId="0" xfId="3" applyFont="1" applyAlignment="1">
      <alignment horizontal="center"/>
    </xf>
    <xf numFmtId="0" fontId="4" fillId="0" borderId="11" xfId="3" applyFont="1" applyBorder="1" applyAlignment="1">
      <alignment horizontal="center" wrapText="1"/>
    </xf>
    <xf numFmtId="0" fontId="4" fillId="0" borderId="0" xfId="3" applyFont="1" applyAlignment="1">
      <alignment horizontal="center" wrapText="1"/>
    </xf>
    <xf numFmtId="0" fontId="4" fillId="0" borderId="9" xfId="3" applyFont="1" applyBorder="1" applyAlignment="1">
      <alignment horizontal="center" wrapText="1"/>
    </xf>
    <xf numFmtId="0" fontId="4" fillId="0" borderId="9" xfId="3" applyFont="1" applyBorder="1" applyAlignment="1">
      <alignment horizontal="center"/>
    </xf>
    <xf numFmtId="0" fontId="9" fillId="0" borderId="41" xfId="3" applyFont="1" applyBorder="1" applyAlignment="1">
      <alignment horizontal="center"/>
    </xf>
    <xf numFmtId="0" fontId="9" fillId="0" borderId="36" xfId="3" applyFont="1" applyBorder="1" applyAlignment="1">
      <alignment horizontal="center"/>
    </xf>
    <xf numFmtId="0" fontId="10" fillId="0" borderId="35" xfId="8" applyFont="1" applyBorder="1"/>
    <xf numFmtId="0" fontId="9" fillId="0" borderId="35" xfId="3" applyFont="1" applyBorder="1" applyAlignment="1">
      <alignment horizontal="center"/>
    </xf>
    <xf numFmtId="0" fontId="10" fillId="0" borderId="11" xfId="0" applyFont="1" applyBorder="1"/>
    <xf numFmtId="43" fontId="10" fillId="0" borderId="0" xfId="0" applyNumberFormat="1" applyFont="1" applyAlignment="1">
      <alignment horizontal="right"/>
    </xf>
    <xf numFmtId="182" fontId="5" fillId="0" borderId="26" xfId="3" applyNumberFormat="1" applyFont="1" applyBorder="1" applyAlignment="1">
      <alignment horizontal="center"/>
    </xf>
    <xf numFmtId="0" fontId="10" fillId="0" borderId="0" xfId="0" applyFont="1" applyAlignment="1">
      <alignment horizontal="center"/>
    </xf>
    <xf numFmtId="43" fontId="10" fillId="0" borderId="0" xfId="0" applyNumberFormat="1" applyFont="1" applyAlignment="1">
      <alignment horizontal="center"/>
    </xf>
    <xf numFmtId="182" fontId="5" fillId="0" borderId="0" xfId="3" applyNumberFormat="1" applyFont="1" applyAlignment="1">
      <alignment horizontal="center"/>
    </xf>
    <xf numFmtId="0" fontId="10" fillId="0" borderId="9" xfId="0" applyFont="1" applyBorder="1" applyAlignment="1">
      <alignment horizontal="center"/>
    </xf>
    <xf numFmtId="0" fontId="10" fillId="0" borderId="11" xfId="3" applyFont="1" applyBorder="1" applyAlignment="1">
      <alignment horizontal="center"/>
    </xf>
    <xf numFmtId="43" fontId="10" fillId="0" borderId="27" xfId="3" applyNumberFormat="1" applyFont="1" applyBorder="1"/>
    <xf numFmtId="43" fontId="10" fillId="0" borderId="34" xfId="3" applyNumberFormat="1" applyFont="1" applyBorder="1"/>
    <xf numFmtId="0" fontId="10" fillId="0" borderId="9" xfId="3" applyFont="1" applyBorder="1"/>
    <xf numFmtId="0" fontId="41" fillId="0" borderId="0" xfId="0" applyFont="1"/>
    <xf numFmtId="0" fontId="10" fillId="0" borderId="14" xfId="0" applyFont="1" applyBorder="1"/>
    <xf numFmtId="43" fontId="10" fillId="0" borderId="7" xfId="0" applyNumberFormat="1" applyFont="1" applyBorder="1" applyAlignment="1">
      <alignment horizontal="right"/>
    </xf>
    <xf numFmtId="182" fontId="5" fillId="0" borderId="7" xfId="3" applyNumberFormat="1" applyFont="1" applyBorder="1" applyAlignment="1">
      <alignment horizontal="center"/>
    </xf>
    <xf numFmtId="0" fontId="10" fillId="0" borderId="7" xfId="0" applyFont="1" applyBorder="1" applyAlignment="1">
      <alignment horizontal="center"/>
    </xf>
    <xf numFmtId="43" fontId="10" fillId="0" borderId="7" xfId="0" applyNumberFormat="1" applyFont="1" applyBorder="1" applyAlignment="1">
      <alignment horizontal="center"/>
    </xf>
    <xf numFmtId="0" fontId="10" fillId="0" borderId="13" xfId="0" applyFont="1" applyBorder="1" applyAlignment="1">
      <alignment horizontal="center"/>
    </xf>
    <xf numFmtId="0" fontId="5" fillId="0" borderId="0" xfId="2" applyNumberFormat="1" applyFont="1" applyFill="1" applyAlignment="1">
      <alignment horizontal="center"/>
    </xf>
    <xf numFmtId="0" fontId="12" fillId="0" borderId="0" xfId="0" applyFont="1" applyAlignment="1">
      <alignment horizontal="center" wrapText="1"/>
    </xf>
    <xf numFmtId="10" fontId="5" fillId="0" borderId="0" xfId="3" applyNumberFormat="1" applyFont="1" applyAlignment="1">
      <alignment horizontal="center"/>
    </xf>
    <xf numFmtId="0" fontId="10" fillId="0" borderId="14" xfId="3" applyFont="1" applyBorder="1"/>
    <xf numFmtId="0" fontId="10" fillId="0" borderId="7" xfId="3" applyFont="1" applyBorder="1"/>
    <xf numFmtId="0" fontId="10" fillId="0" borderId="13" xfId="3" applyFont="1" applyBorder="1"/>
    <xf numFmtId="0" fontId="44" fillId="0" borderId="7" xfId="0" applyFont="1" applyBorder="1" applyAlignment="1">
      <alignment horizontal="center" wrapText="1"/>
    </xf>
    <xf numFmtId="0" fontId="44" fillId="0" borderId="0" xfId="0" applyFont="1"/>
    <xf numFmtId="0" fontId="44" fillId="0" borderId="0" xfId="0" applyFont="1" applyAlignment="1">
      <alignment horizontal="center"/>
    </xf>
    <xf numFmtId="169" fontId="44" fillId="0" borderId="0" xfId="0" applyNumberFormat="1" applyFont="1" applyAlignment="1">
      <alignment horizontal="center"/>
    </xf>
    <xf numFmtId="0" fontId="10" fillId="0" borderId="16" xfId="9" applyFont="1" applyBorder="1"/>
    <xf numFmtId="14" fontId="10" fillId="0" borderId="17" xfId="9" applyNumberFormat="1" applyFont="1" applyBorder="1"/>
    <xf numFmtId="164" fontId="5" fillId="0" borderId="0" xfId="9" applyNumberFormat="1" applyFont="1"/>
    <xf numFmtId="184" fontId="5" fillId="0" borderId="0" xfId="3" applyNumberFormat="1" applyFont="1" applyAlignment="1">
      <alignment horizontal="center"/>
    </xf>
    <xf numFmtId="10" fontId="0" fillId="0" borderId="0" xfId="7" applyNumberFormat="1" applyFont="1" applyFill="1" applyBorder="1" applyAlignment="1">
      <alignment horizontal="center"/>
    </xf>
    <xf numFmtId="44" fontId="0" fillId="0" borderId="0" xfId="10" applyFont="1" applyFill="1" applyBorder="1" applyAlignment="1">
      <alignment horizontal="center"/>
    </xf>
    <xf numFmtId="10" fontId="0" fillId="0" borderId="0" xfId="10" applyNumberFormat="1" applyFont="1" applyFill="1" applyBorder="1" applyAlignment="1">
      <alignment horizontal="center"/>
    </xf>
    <xf numFmtId="10" fontId="55" fillId="0" borderId="0" xfId="7" applyNumberFormat="1" applyFont="1" applyFill="1" applyAlignment="1">
      <alignment horizontal="center"/>
    </xf>
    <xf numFmtId="44" fontId="55" fillId="0" borderId="0" xfId="13" applyFont="1" applyFill="1" applyBorder="1" applyAlignment="1">
      <alignment horizontal="right"/>
    </xf>
    <xf numFmtId="10" fontId="55" fillId="0" borderId="0" xfId="14" applyNumberFormat="1" applyFont="1" applyFill="1" applyBorder="1" applyAlignment="1">
      <alignment horizontal="right"/>
    </xf>
    <xf numFmtId="10" fontId="56" fillId="0" borderId="0" xfId="15" applyNumberFormat="1" applyFont="1" applyFill="1" applyAlignment="1">
      <alignment horizontal="right"/>
    </xf>
    <xf numFmtId="165" fontId="55" fillId="0" borderId="0" xfId="14" applyNumberFormat="1" applyFont="1" applyFill="1" applyBorder="1" applyAlignment="1">
      <alignment horizontal="right"/>
    </xf>
    <xf numFmtId="10" fontId="0" fillId="0" borderId="0" xfId="15" applyNumberFormat="1" applyFont="1" applyFill="1" applyAlignment="1">
      <alignment horizontal="center"/>
    </xf>
    <xf numFmtId="43" fontId="0" fillId="0" borderId="35" xfId="39" applyFont="1" applyFill="1" applyBorder="1" applyAlignment="1">
      <alignment horizontal="right"/>
    </xf>
    <xf numFmtId="0" fontId="54" fillId="0" borderId="0" xfId="0" applyFont="1" applyAlignment="1">
      <alignment horizontal="left"/>
    </xf>
    <xf numFmtId="14" fontId="54" fillId="0" borderId="0" xfId="0" applyNumberFormat="1" applyFont="1" applyAlignment="1">
      <alignment horizontal="center"/>
    </xf>
    <xf numFmtId="0" fontId="55" fillId="0" borderId="0" xfId="0" applyFont="1" applyAlignment="1">
      <alignment horizontal="center"/>
    </xf>
    <xf numFmtId="10" fontId="0" fillId="0" borderId="0" xfId="0" applyNumberFormat="1"/>
    <xf numFmtId="0" fontId="56" fillId="0" borderId="7" xfId="12" applyFont="1" applyBorder="1" applyAlignment="1">
      <alignment horizontal="center" wrapText="1"/>
    </xf>
    <xf numFmtId="0" fontId="56" fillId="0" borderId="35" xfId="12" applyFont="1" applyBorder="1" applyAlignment="1">
      <alignment horizontal="center" wrapText="1"/>
    </xf>
    <xf numFmtId="0" fontId="55" fillId="0" borderId="0" xfId="23" applyFont="1"/>
    <xf numFmtId="10" fontId="0" fillId="0" borderId="0" xfId="0" applyNumberFormat="1" applyAlignment="1">
      <alignment horizontal="center"/>
    </xf>
    <xf numFmtId="10" fontId="0" fillId="0" borderId="0" xfId="2" applyNumberFormat="1" applyFont="1" applyFill="1" applyAlignment="1">
      <alignment horizontal="right"/>
    </xf>
    <xf numFmtId="0" fontId="0" fillId="0" borderId="0" xfId="9" quotePrefix="1" applyFont="1"/>
    <xf numFmtId="0" fontId="0" fillId="0" borderId="0" xfId="9" quotePrefix="1" applyFont="1" applyAlignment="1">
      <alignment horizontal="center"/>
    </xf>
    <xf numFmtId="10" fontId="0" fillId="0" borderId="0" xfId="9" applyNumberFormat="1" applyFont="1" applyAlignment="1">
      <alignment horizontal="right"/>
    </xf>
    <xf numFmtId="44" fontId="0" fillId="0" borderId="35" xfId="0" applyNumberFormat="1" applyBorder="1"/>
    <xf numFmtId="0" fontId="0" fillId="0" borderId="35" xfId="0" applyBorder="1" applyAlignment="1">
      <alignment horizontal="center"/>
    </xf>
    <xf numFmtId="10" fontId="0" fillId="0" borderId="35" xfId="0" applyNumberFormat="1" applyBorder="1" applyAlignment="1">
      <alignment horizontal="center"/>
    </xf>
    <xf numFmtId="0" fontId="0" fillId="0" borderId="35" xfId="0" applyBorder="1" applyAlignment="1">
      <alignment horizontal="right"/>
    </xf>
    <xf numFmtId="10" fontId="0" fillId="0" borderId="35" xfId="0" applyNumberFormat="1" applyBorder="1"/>
    <xf numFmtId="10" fontId="55" fillId="0" borderId="0" xfId="23" applyNumberFormat="1" applyFont="1"/>
    <xf numFmtId="0" fontId="56" fillId="0" borderId="35" xfId="12" applyFont="1" applyBorder="1"/>
    <xf numFmtId="0" fontId="56" fillId="0" borderId="35" xfId="12" applyFont="1" applyBorder="1" applyAlignment="1">
      <alignment horizontal="right"/>
    </xf>
    <xf numFmtId="10" fontId="56" fillId="0" borderId="35" xfId="15" applyNumberFormat="1" applyFont="1" applyFill="1" applyBorder="1" applyAlignment="1">
      <alignment horizontal="center"/>
    </xf>
    <xf numFmtId="10" fontId="0" fillId="0" borderId="35" xfId="15" applyNumberFormat="1" applyFont="1" applyFill="1" applyBorder="1" applyAlignment="1">
      <alignment horizontal="center"/>
    </xf>
    <xf numFmtId="10" fontId="56" fillId="0" borderId="35" xfId="12" applyNumberFormat="1" applyFont="1" applyBorder="1" applyAlignment="1">
      <alignment horizontal="right"/>
    </xf>
    <xf numFmtId="10" fontId="56" fillId="0" borderId="35" xfId="12" applyNumberFormat="1" applyFont="1" applyBorder="1" applyAlignment="1">
      <alignment horizontal="center"/>
    </xf>
    <xf numFmtId="0" fontId="0" fillId="0" borderId="0" xfId="0" quotePrefix="1"/>
    <xf numFmtId="43" fontId="8" fillId="0" borderId="26" xfId="39" applyFont="1" applyFill="1" applyBorder="1"/>
    <xf numFmtId="0" fontId="33" fillId="0" borderId="20" xfId="0" applyFont="1" applyBorder="1" applyAlignment="1">
      <alignment horizontal="center"/>
    </xf>
    <xf numFmtId="0" fontId="33" fillId="0" borderId="20" xfId="0" applyFont="1" applyBorder="1" applyAlignment="1">
      <alignment horizontal="centerContinuous"/>
    </xf>
    <xf numFmtId="0" fontId="8" fillId="0" borderId="0" xfId="46" applyFont="1" applyAlignment="1">
      <alignment horizontal="centerContinuous"/>
    </xf>
    <xf numFmtId="0" fontId="23" fillId="0" borderId="0" xfId="46" applyFont="1" applyAlignment="1">
      <alignment horizontal="center"/>
    </xf>
    <xf numFmtId="0" fontId="8" fillId="0" borderId="7" xfId="46" applyFont="1" applyBorder="1" applyAlignment="1">
      <alignment horizontal="centerContinuous" wrapText="1"/>
    </xf>
    <xf numFmtId="0" fontId="8" fillId="0" borderId="0" xfId="46" quotePrefix="1" applyFont="1" applyAlignment="1">
      <alignment horizontal="center" vertical="center"/>
    </xf>
    <xf numFmtId="0" fontId="8" fillId="0" borderId="7" xfId="46" applyFont="1" applyBorder="1"/>
    <xf numFmtId="0" fontId="25" fillId="0" borderId="7" xfId="0" applyFont="1" applyBorder="1" applyAlignment="1">
      <alignment horizontal="centerContinuous" wrapText="1"/>
    </xf>
    <xf numFmtId="173" fontId="8" fillId="0" borderId="0" xfId="46" applyNumberFormat="1" applyFont="1"/>
    <xf numFmtId="173" fontId="8" fillId="0" borderId="0" xfId="46" quotePrefix="1" applyNumberFormat="1" applyFont="1"/>
    <xf numFmtId="173" fontId="8" fillId="0" borderId="0" xfId="46" applyNumberFormat="1" applyFont="1" applyAlignment="1">
      <alignment wrapText="1"/>
    </xf>
    <xf numFmtId="173" fontId="8" fillId="0" borderId="7" xfId="46" applyNumberFormat="1" applyFont="1" applyBorder="1"/>
    <xf numFmtId="173" fontId="8" fillId="0" borderId="0" xfId="46" applyNumberFormat="1" applyFont="1" applyAlignment="1">
      <alignment horizontal="left"/>
    </xf>
    <xf numFmtId="43" fontId="8" fillId="0" borderId="0" xfId="46" applyNumberFormat="1" applyFont="1"/>
    <xf numFmtId="0" fontId="8" fillId="0" borderId="0" xfId="46" quotePrefix="1" applyFont="1" applyAlignment="1">
      <alignment horizontal="center"/>
    </xf>
    <xf numFmtId="173" fontId="8" fillId="0" borderId="19" xfId="46" applyNumberFormat="1" applyFont="1" applyBorder="1"/>
    <xf numFmtId="0" fontId="8" fillId="0" borderId="0" xfId="46" quotePrefix="1" applyFont="1" applyAlignment="1">
      <alignment horizontal="left" vertical="top"/>
    </xf>
    <xf numFmtId="173" fontId="8" fillId="0" borderId="0" xfId="46" applyNumberFormat="1" applyFont="1" applyAlignment="1">
      <alignment horizontal="left" vertical="top" wrapText="1"/>
    </xf>
    <xf numFmtId="173" fontId="8" fillId="0" borderId="0" xfId="46" applyNumberFormat="1" applyFont="1" applyAlignment="1">
      <alignment horizontal="right"/>
    </xf>
    <xf numFmtId="0" fontId="8" fillId="0" borderId="0" xfId="46" applyFont="1" applyAlignment="1">
      <alignment horizontal="left" indent="1"/>
    </xf>
    <xf numFmtId="0" fontId="25" fillId="0" borderId="0" xfId="9" applyFont="1"/>
    <xf numFmtId="0" fontId="25" fillId="0" borderId="0" xfId="9" applyFont="1" applyAlignment="1">
      <alignment horizontal="center"/>
    </xf>
    <xf numFmtId="0" fontId="25" fillId="0" borderId="0" xfId="9" applyFont="1" applyAlignment="1">
      <alignment horizontal="center" wrapText="1"/>
    </xf>
    <xf numFmtId="175" fontId="25" fillId="0" borderId="0" xfId="9" applyNumberFormat="1" applyFont="1"/>
    <xf numFmtId="43" fontId="8" fillId="0" borderId="19" xfId="46" applyNumberFormat="1" applyFont="1" applyBorder="1"/>
    <xf numFmtId="9" fontId="8" fillId="0" borderId="0" xfId="46" quotePrefix="1" applyNumberFormat="1" applyFont="1"/>
    <xf numFmtId="0" fontId="8" fillId="0" borderId="0" xfId="46" quotePrefix="1" applyFont="1" applyAlignment="1">
      <alignment horizontal="right"/>
    </xf>
    <xf numFmtId="0" fontId="23" fillId="0" borderId="0" xfId="23" applyFont="1" applyAlignment="1">
      <alignment horizontal="centerContinuous" vertical="center"/>
    </xf>
    <xf numFmtId="0" fontId="8" fillId="0" borderId="0" xfId="23" applyFont="1" applyAlignment="1">
      <alignment horizontal="justify" vertical="center"/>
    </xf>
    <xf numFmtId="0" fontId="8" fillId="0" borderId="0" xfId="23" applyFont="1" applyAlignment="1">
      <alignment wrapText="1"/>
    </xf>
    <xf numFmtId="0" fontId="8" fillId="0" borderId="0" xfId="23" quotePrefix="1" applyFont="1" applyAlignment="1">
      <alignment horizontal="center"/>
    </xf>
    <xf numFmtId="179" fontId="8" fillId="0" borderId="0" xfId="23" applyNumberFormat="1" applyFont="1" applyAlignment="1">
      <alignment horizontal="center"/>
    </xf>
    <xf numFmtId="14" fontId="8" fillId="0" borderId="0" xfId="23" applyNumberFormat="1" applyFont="1"/>
    <xf numFmtId="0" fontId="8" fillId="0" borderId="7" xfId="23" applyFont="1" applyBorder="1" applyAlignment="1">
      <alignment wrapText="1"/>
    </xf>
    <xf numFmtId="10" fontId="8" fillId="0" borderId="0" xfId="23" applyNumberFormat="1" applyFont="1"/>
    <xf numFmtId="2" fontId="25" fillId="0" borderId="0" xfId="9" applyNumberFormat="1" applyFont="1" applyAlignment="1">
      <alignment horizontal="center"/>
    </xf>
    <xf numFmtId="0" fontId="8" fillId="0" borderId="0" xfId="23" applyFont="1" applyAlignment="1">
      <alignment horizontal="center" wrapText="1"/>
    </xf>
    <xf numFmtId="180" fontId="25" fillId="0" borderId="0" xfId="9" applyNumberFormat="1" applyFont="1"/>
    <xf numFmtId="180" fontId="8" fillId="0" borderId="0" xfId="23" applyNumberFormat="1" applyFont="1" applyAlignment="1">
      <alignment horizontal="right"/>
    </xf>
    <xf numFmtId="2" fontId="8" fillId="0" borderId="0" xfId="23" applyNumberFormat="1" applyFont="1" applyAlignment="1">
      <alignment horizontal="center"/>
    </xf>
    <xf numFmtId="180" fontId="8" fillId="0" borderId="0" xfId="23" applyNumberFormat="1" applyFont="1" applyAlignment="1">
      <alignment horizontal="center"/>
    </xf>
    <xf numFmtId="0" fontId="8" fillId="0" borderId="0" xfId="60" applyFont="1" applyAlignment="1">
      <alignment horizontal="right"/>
    </xf>
    <xf numFmtId="0" fontId="8" fillId="0" borderId="0" xfId="23" applyFont="1" applyAlignment="1">
      <alignment horizontal="left"/>
    </xf>
    <xf numFmtId="0" fontId="8" fillId="0" borderId="0" xfId="23" quotePrefix="1" applyFont="1" applyAlignment="1">
      <alignment horizontal="right"/>
    </xf>
    <xf numFmtId="4" fontId="8" fillId="0" borderId="0" xfId="23" applyNumberFormat="1" applyFont="1"/>
    <xf numFmtId="4" fontId="8" fillId="0" borderId="0" xfId="23" applyNumberFormat="1" applyFont="1" applyAlignment="1">
      <alignment horizontal="left"/>
    </xf>
    <xf numFmtId="0" fontId="36" fillId="0" borderId="0" xfId="23" applyFont="1"/>
    <xf numFmtId="0" fontId="25" fillId="0" borderId="0" xfId="23" applyFont="1"/>
    <xf numFmtId="4" fontId="8" fillId="0" borderId="26" xfId="23" applyNumberFormat="1" applyFont="1" applyBorder="1"/>
    <xf numFmtId="43" fontId="8" fillId="0" borderId="0" xfId="23" applyNumberFormat="1" applyFont="1" applyAlignment="1">
      <alignment horizontal="center"/>
    </xf>
    <xf numFmtId="2" fontId="8" fillId="0" borderId="19" xfId="23" applyNumberFormat="1" applyFont="1" applyBorder="1"/>
    <xf numFmtId="0" fontId="8" fillId="0" borderId="0" xfId="23" quotePrefix="1" applyFont="1" applyAlignment="1">
      <alignment horizontal="right" vertical="top"/>
    </xf>
    <xf numFmtId="0" fontId="8" fillId="0" borderId="0" xfId="23" applyFont="1" applyAlignment="1">
      <alignment vertical="top"/>
    </xf>
    <xf numFmtId="0" fontId="8" fillId="0" borderId="0" xfId="16" applyFont="1"/>
    <xf numFmtId="0" fontId="8" fillId="0" borderId="0" xfId="16" applyFont="1" applyAlignment="1">
      <alignment horizontal="center"/>
    </xf>
    <xf numFmtId="0" fontId="23" fillId="0" borderId="0" xfId="16" applyFont="1"/>
    <xf numFmtId="0" fontId="8" fillId="0" borderId="7" xfId="16" applyFont="1" applyBorder="1" applyAlignment="1">
      <alignment horizontal="center" wrapText="1"/>
    </xf>
    <xf numFmtId="0" fontId="8" fillId="0" borderId="0" xfId="16" quotePrefix="1" applyFont="1" applyAlignment="1">
      <alignment horizontal="center"/>
    </xf>
    <xf numFmtId="0" fontId="8" fillId="0" borderId="7" xfId="16" quotePrefix="1" applyFont="1" applyBorder="1"/>
    <xf numFmtId="0" fontId="8" fillId="0" borderId="0" xfId="16" quotePrefix="1" applyFont="1"/>
    <xf numFmtId="186" fontId="8" fillId="0" borderId="0" xfId="16" applyNumberFormat="1" applyFont="1" applyAlignment="1">
      <alignment horizontal="center"/>
    </xf>
    <xf numFmtId="1" fontId="8" fillId="0" borderId="0" xfId="16" quotePrefix="1" applyNumberFormat="1" applyFont="1" applyAlignment="1">
      <alignment horizontal="center"/>
    </xf>
    <xf numFmtId="0" fontId="8" fillId="0" borderId="7" xfId="16" applyFont="1" applyBorder="1" applyAlignment="1">
      <alignment wrapText="1"/>
    </xf>
    <xf numFmtId="168" fontId="8" fillId="0" borderId="0" xfId="16" applyNumberFormat="1" applyFont="1" applyAlignment="1">
      <alignment horizontal="center"/>
    </xf>
    <xf numFmtId="10" fontId="8" fillId="0" borderId="0" xfId="16" applyNumberFormat="1" applyFont="1"/>
    <xf numFmtId="179" fontId="8" fillId="0" borderId="0" xfId="16" applyNumberFormat="1" applyFont="1"/>
    <xf numFmtId="0" fontId="8" fillId="0" borderId="0" xfId="16" applyFont="1" applyAlignment="1">
      <alignment wrapText="1"/>
    </xf>
    <xf numFmtId="0" fontId="45" fillId="0" borderId="0" xfId="63" applyFont="1"/>
    <xf numFmtId="0" fontId="45" fillId="0" borderId="0" xfId="63" quotePrefix="1" applyFont="1"/>
    <xf numFmtId="0" fontId="8" fillId="0" borderId="0" xfId="16" applyFont="1" applyAlignment="1">
      <alignment horizontal="right"/>
    </xf>
    <xf numFmtId="0" fontId="8" fillId="0" borderId="0" xfId="63" quotePrefix="1" applyFont="1"/>
    <xf numFmtId="185" fontId="8" fillId="0" borderId="0" xfId="16" applyNumberFormat="1" applyFont="1"/>
    <xf numFmtId="188" fontId="8" fillId="0" borderId="0" xfId="16" applyNumberFormat="1" applyFont="1"/>
    <xf numFmtId="186" fontId="8" fillId="0" borderId="0" xfId="16" applyNumberFormat="1" applyFont="1"/>
    <xf numFmtId="43" fontId="8" fillId="0" borderId="0" xfId="16" applyNumberFormat="1" applyFont="1"/>
    <xf numFmtId="0" fontId="8" fillId="0" borderId="0" xfId="16" quotePrefix="1" applyFont="1" applyAlignment="1">
      <alignment vertical="top"/>
    </xf>
    <xf numFmtId="0" fontId="8" fillId="0" borderId="0" xfId="16" applyFont="1" applyAlignment="1">
      <alignment horizontal="left" vertical="top"/>
    </xf>
    <xf numFmtId="0" fontId="8" fillId="0" borderId="0" xfId="16" applyFont="1" applyAlignment="1">
      <alignment horizontal="center" vertical="top"/>
    </xf>
    <xf numFmtId="0" fontId="8" fillId="0" borderId="0" xfId="16" applyFont="1" applyAlignment="1">
      <alignment vertical="top"/>
    </xf>
    <xf numFmtId="189" fontId="8" fillId="0" borderId="19" xfId="23" applyNumberFormat="1" applyFont="1" applyBorder="1" applyAlignment="1">
      <alignment horizontal="right"/>
    </xf>
    <xf numFmtId="189" fontId="8" fillId="0" borderId="19" xfId="64" applyNumberFormat="1" applyFont="1" applyBorder="1" applyAlignment="1">
      <alignment horizontal="right"/>
    </xf>
    <xf numFmtId="190" fontId="8" fillId="0" borderId="19" xfId="23" applyNumberFormat="1" applyFont="1" applyBorder="1" applyAlignment="1">
      <alignment horizontal="right"/>
    </xf>
    <xf numFmtId="9" fontId="8" fillId="0" borderId="0" xfId="23" quotePrefix="1" applyNumberFormat="1" applyFont="1"/>
    <xf numFmtId="190" fontId="8" fillId="0" borderId="0" xfId="23" applyNumberFormat="1" applyFont="1" applyAlignment="1">
      <alignment horizontal="right"/>
    </xf>
    <xf numFmtId="189" fontId="8" fillId="0" borderId="0" xfId="23" applyNumberFormat="1" applyFont="1"/>
    <xf numFmtId="187" fontId="8" fillId="0" borderId="0" xfId="23" applyNumberFormat="1" applyFont="1"/>
    <xf numFmtId="191" fontId="8" fillId="0" borderId="0" xfId="23" applyNumberFormat="1" applyFont="1"/>
    <xf numFmtId="190" fontId="8" fillId="0" borderId="0" xfId="23" applyNumberFormat="1" applyFont="1"/>
    <xf numFmtId="181" fontId="8" fillId="0" borderId="0" xfId="23" applyNumberFormat="1" applyFont="1"/>
    <xf numFmtId="0" fontId="8" fillId="0" borderId="26" xfId="23" applyFont="1" applyBorder="1"/>
    <xf numFmtId="189" fontId="8" fillId="0" borderId="19" xfId="23" applyNumberFormat="1" applyFont="1" applyBorder="1"/>
    <xf numFmtId="187" fontId="8" fillId="0" borderId="19" xfId="23" applyNumberFormat="1" applyFont="1" applyBorder="1"/>
    <xf numFmtId="190" fontId="8" fillId="0" borderId="19" xfId="23" applyNumberFormat="1" applyFont="1" applyBorder="1"/>
    <xf numFmtId="0" fontId="8" fillId="0" borderId="0" xfId="23" quotePrefix="1" applyFont="1" applyAlignment="1">
      <alignment vertical="top"/>
    </xf>
    <xf numFmtId="43" fontId="8" fillId="0" borderId="30" xfId="46" applyNumberFormat="1" applyFont="1" applyBorder="1"/>
    <xf numFmtId="173" fontId="8" fillId="0" borderId="0" xfId="46" applyNumberFormat="1" applyFont="1" applyAlignment="1">
      <alignment horizontal="left" vertical="top"/>
    </xf>
    <xf numFmtId="0" fontId="8" fillId="0" borderId="0" xfId="60" applyFont="1" applyAlignment="1">
      <alignment horizontal="left"/>
    </xf>
    <xf numFmtId="173" fontId="8" fillId="0" borderId="0" xfId="46" applyNumberFormat="1" applyFont="1" applyAlignment="1">
      <alignment vertical="top" wrapText="1"/>
    </xf>
    <xf numFmtId="10" fontId="5" fillId="0" borderId="0" xfId="2" applyNumberFormat="1" applyFont="1" applyFill="1"/>
    <xf numFmtId="14" fontId="10" fillId="0" borderId="0" xfId="16" applyNumberFormat="1" applyFont="1"/>
    <xf numFmtId="0" fontId="10" fillId="0" borderId="0" xfId="16" applyFont="1"/>
    <xf numFmtId="0" fontId="10" fillId="0" borderId="0" xfId="16" applyFont="1" applyAlignment="1">
      <alignment horizontal="center"/>
    </xf>
    <xf numFmtId="0" fontId="5" fillId="0" borderId="0" xfId="9" applyFont="1" applyAlignment="1">
      <alignment wrapText="1"/>
    </xf>
    <xf numFmtId="0" fontId="10" fillId="0" borderId="0" xfId="9" applyFont="1" applyAlignment="1">
      <alignment horizontal="center"/>
    </xf>
    <xf numFmtId="0" fontId="10" fillId="0" borderId="0" xfId="9" applyFont="1"/>
    <xf numFmtId="14" fontId="10" fillId="0" borderId="0" xfId="16" applyNumberFormat="1" applyFont="1" applyAlignment="1">
      <alignment horizontal="center"/>
    </xf>
    <xf numFmtId="10" fontId="10" fillId="0" borderId="0" xfId="9" applyNumberFormat="1" applyFont="1"/>
    <xf numFmtId="10" fontId="10" fillId="0" borderId="0" xfId="9" applyNumberFormat="1" applyFont="1" applyAlignment="1">
      <alignment horizontal="right"/>
    </xf>
    <xf numFmtId="10" fontId="10" fillId="0" borderId="0" xfId="16" applyNumberFormat="1" applyFont="1"/>
    <xf numFmtId="2" fontId="10" fillId="0" borderId="0" xfId="16" applyNumberFormat="1" applyFont="1"/>
    <xf numFmtId="49" fontId="10" fillId="0" borderId="0" xfId="9" quotePrefix="1" applyNumberFormat="1" applyFont="1"/>
    <xf numFmtId="0" fontId="50" fillId="0" borderId="0" xfId="16" applyFont="1"/>
    <xf numFmtId="0" fontId="10" fillId="0" borderId="1" xfId="16" applyFont="1" applyBorder="1"/>
    <xf numFmtId="0" fontId="10" fillId="0" borderId="4" xfId="16" quotePrefix="1" applyFont="1" applyBorder="1"/>
    <xf numFmtId="0" fontId="10" fillId="0" borderId="0" xfId="16" quotePrefix="1" applyFont="1"/>
    <xf numFmtId="0" fontId="10" fillId="0" borderId="18" xfId="16" quotePrefix="1" applyFont="1" applyBorder="1"/>
    <xf numFmtId="0" fontId="10" fillId="0" borderId="0" xfId="16" applyFont="1" applyAlignment="1">
      <alignment horizontal="right"/>
    </xf>
    <xf numFmtId="0" fontId="9" fillId="0" borderId="0" xfId="16" applyFont="1"/>
    <xf numFmtId="0" fontId="10" fillId="0" borderId="0" xfId="16" applyFont="1" applyAlignment="1">
      <alignment horizontal="center" wrapText="1"/>
    </xf>
    <xf numFmtId="43" fontId="10" fillId="0" borderId="0" xfId="16" applyNumberFormat="1" applyFont="1"/>
    <xf numFmtId="0" fontId="4" fillId="0" borderId="42" xfId="3" applyFont="1" applyBorder="1"/>
    <xf numFmtId="17" fontId="5" fillId="0" borderId="43" xfId="3" applyNumberFormat="1" applyFont="1" applyBorder="1" applyAlignment="1">
      <alignment horizontal="center" wrapText="1"/>
    </xf>
    <xf numFmtId="17" fontId="5" fillId="0" borderId="20" xfId="3" applyNumberFormat="1" applyFont="1" applyBorder="1" applyAlignment="1">
      <alignment horizontal="center" wrapText="1"/>
    </xf>
    <xf numFmtId="17" fontId="5" fillId="0" borderId="44" xfId="3" applyNumberFormat="1" applyFont="1" applyBorder="1" applyAlignment="1">
      <alignment horizontal="center" wrapText="1"/>
    </xf>
    <xf numFmtId="0" fontId="4" fillId="0" borderId="45" xfId="3" applyFont="1" applyBorder="1"/>
    <xf numFmtId="0" fontId="4" fillId="0" borderId="47" xfId="3" applyFont="1" applyBorder="1"/>
    <xf numFmtId="0" fontId="5" fillId="0" borderId="50" xfId="3" quotePrefix="1" applyFont="1" applyBorder="1" applyAlignment="1">
      <alignment horizontal="left" wrapText="1"/>
    </xf>
    <xf numFmtId="0" fontId="5" fillId="0" borderId="45" xfId="3" quotePrefix="1" applyFont="1" applyBorder="1" applyAlignment="1">
      <alignment horizontal="left" vertical="top" wrapText="1"/>
    </xf>
    <xf numFmtId="10" fontId="5" fillId="0" borderId="0" xfId="9" applyNumberFormat="1" applyFont="1"/>
    <xf numFmtId="0" fontId="5" fillId="0" borderId="47" xfId="3" quotePrefix="1" applyFont="1" applyBorder="1" applyAlignment="1">
      <alignment horizontal="left" vertical="top" wrapText="1"/>
    </xf>
    <xf numFmtId="0" fontId="5" fillId="0" borderId="0" xfId="3" applyFont="1" applyAlignment="1">
      <alignment horizontal="left"/>
    </xf>
    <xf numFmtId="2" fontId="10" fillId="0" borderId="11" xfId="23" applyNumberFormat="1" applyFont="1" applyBorder="1" applyAlignment="1">
      <alignment horizontal="center"/>
    </xf>
    <xf numFmtId="2" fontId="10" fillId="0" borderId="0" xfId="23" applyNumberFormat="1" applyFont="1" applyAlignment="1">
      <alignment horizontal="center"/>
    </xf>
    <xf numFmtId="0" fontId="10" fillId="0" borderId="0" xfId="23" applyFont="1" applyAlignment="1">
      <alignment horizontal="center"/>
    </xf>
    <xf numFmtId="179" fontId="10" fillId="0" borderId="9" xfId="23" applyNumberFormat="1" applyFont="1" applyBorder="1" applyAlignment="1">
      <alignment horizontal="center"/>
    </xf>
    <xf numFmtId="2" fontId="10" fillId="0" borderId="26" xfId="23" applyNumberFormat="1" applyFont="1" applyBorder="1" applyAlignment="1">
      <alignment horizontal="center"/>
    </xf>
    <xf numFmtId="0" fontId="10" fillId="0" borderId="26" xfId="23" applyFont="1" applyBorder="1" applyAlignment="1">
      <alignment horizontal="center"/>
    </xf>
    <xf numFmtId="179" fontId="10" fillId="0" borderId="33" xfId="23" applyNumberFormat="1" applyFont="1" applyBorder="1" applyAlignment="1">
      <alignment horizontal="center"/>
    </xf>
    <xf numFmtId="184" fontId="5" fillId="0" borderId="26" xfId="3" applyNumberFormat="1" applyFont="1" applyBorder="1" applyAlignment="1">
      <alignment horizontal="center"/>
    </xf>
    <xf numFmtId="10" fontId="10" fillId="0" borderId="32" xfId="6" applyNumberFormat="1" applyFont="1" applyFill="1" applyBorder="1" applyAlignment="1">
      <alignment horizontal="center"/>
    </xf>
    <xf numFmtId="10" fontId="10" fillId="0" borderId="26" xfId="6" applyNumberFormat="1" applyFont="1" applyFill="1" applyBorder="1" applyAlignment="1">
      <alignment horizontal="center"/>
    </xf>
    <xf numFmtId="10" fontId="5" fillId="0" borderId="26" xfId="4" applyNumberFormat="1" applyFont="1" applyFill="1" applyBorder="1" applyAlignment="1">
      <alignment horizontal="center" wrapText="1"/>
    </xf>
    <xf numFmtId="2" fontId="10" fillId="0" borderId="26" xfId="7" applyNumberFormat="1" applyFont="1" applyFill="1" applyBorder="1" applyAlignment="1">
      <alignment horizontal="center"/>
    </xf>
    <xf numFmtId="10" fontId="10" fillId="0" borderId="11" xfId="6" applyNumberFormat="1" applyFont="1" applyFill="1" applyBorder="1" applyAlignment="1">
      <alignment horizontal="center"/>
    </xf>
    <xf numFmtId="10" fontId="5" fillId="0" borderId="0" xfId="4" applyNumberFormat="1" applyFont="1" applyFill="1" applyBorder="1" applyAlignment="1">
      <alignment horizontal="center" wrapText="1"/>
    </xf>
    <xf numFmtId="2" fontId="10" fillId="0" borderId="0" xfId="7" applyNumberFormat="1" applyFont="1" applyFill="1" applyBorder="1" applyAlignment="1">
      <alignment horizontal="center"/>
    </xf>
    <xf numFmtId="10" fontId="10" fillId="0" borderId="14" xfId="6" applyNumberFormat="1" applyFont="1" applyFill="1" applyBorder="1" applyAlignment="1">
      <alignment horizontal="center"/>
    </xf>
    <xf numFmtId="10" fontId="10" fillId="0" borderId="7" xfId="6" applyNumberFormat="1" applyFont="1" applyFill="1" applyBorder="1" applyAlignment="1">
      <alignment horizontal="center"/>
    </xf>
    <xf numFmtId="10" fontId="5" fillId="0" borderId="7" xfId="4" applyNumberFormat="1" applyFont="1" applyFill="1" applyBorder="1" applyAlignment="1">
      <alignment horizontal="center" wrapText="1"/>
    </xf>
    <xf numFmtId="2" fontId="10" fillId="0" borderId="7" xfId="7" applyNumberFormat="1" applyFont="1" applyFill="1" applyBorder="1" applyAlignment="1">
      <alignment horizontal="center"/>
    </xf>
    <xf numFmtId="0" fontId="10" fillId="0" borderId="0" xfId="3" applyFont="1" applyAlignment="1">
      <alignment horizontal="center"/>
    </xf>
    <xf numFmtId="0" fontId="4" fillId="0" borderId="11" xfId="3" applyFont="1" applyBorder="1" applyAlignment="1">
      <alignment horizontal="center" vertical="center" wrapText="1"/>
    </xf>
    <xf numFmtId="10" fontId="10" fillId="0" borderId="31" xfId="4" applyNumberFormat="1" applyFont="1" applyFill="1" applyBorder="1" applyAlignment="1">
      <alignment horizontal="right"/>
    </xf>
    <xf numFmtId="10" fontId="10" fillId="0" borderId="38" xfId="4" applyNumberFormat="1" applyFont="1" applyFill="1" applyBorder="1" applyAlignment="1">
      <alignment horizontal="right"/>
    </xf>
    <xf numFmtId="0" fontId="23" fillId="0" borderId="0" xfId="0" applyFont="1" applyAlignment="1">
      <alignment horizontal="center"/>
    </xf>
    <xf numFmtId="0" fontId="8" fillId="0" borderId="7" xfId="23" applyFont="1" applyBorder="1"/>
    <xf numFmtId="14" fontId="5" fillId="0" borderId="3" xfId="3" applyNumberFormat="1" applyFont="1" applyBorder="1" applyAlignment="1">
      <alignment horizontal="right"/>
    </xf>
    <xf numFmtId="14" fontId="10" fillId="0" borderId="3" xfId="0" quotePrefix="1" applyNumberFormat="1" applyFont="1" applyBorder="1" applyAlignment="1">
      <alignment horizontal="right"/>
    </xf>
    <xf numFmtId="0" fontId="5" fillId="0" borderId="63" xfId="3" applyFont="1" applyBorder="1" applyAlignment="1">
      <alignment horizontal="right"/>
    </xf>
    <xf numFmtId="0" fontId="5" fillId="0" borderId="64" xfId="3" applyFont="1" applyBorder="1"/>
    <xf numFmtId="10" fontId="8" fillId="0" borderId="0" xfId="49" applyNumberFormat="1" applyFont="1" applyFill="1" applyAlignment="1">
      <alignment horizontal="center"/>
    </xf>
    <xf numFmtId="0" fontId="23" fillId="0" borderId="0" xfId="0" applyFont="1" applyAlignment="1">
      <alignment horizontal="centerContinuous"/>
    </xf>
    <xf numFmtId="0" fontId="23" fillId="0" borderId="0" xfId="0" applyFont="1"/>
    <xf numFmtId="2" fontId="8" fillId="0" borderId="0" xfId="0" applyNumberFormat="1" applyFont="1"/>
    <xf numFmtId="0" fontId="8" fillId="0" borderId="0" xfId="0" quotePrefix="1" applyFont="1"/>
    <xf numFmtId="43" fontId="8" fillId="0" borderId="0" xfId="0" applyNumberFormat="1" applyFont="1"/>
    <xf numFmtId="0" fontId="8" fillId="0" borderId="0" xfId="0" quotePrefix="1" applyFont="1" applyAlignment="1">
      <alignment horizontal="centerContinuous"/>
    </xf>
    <xf numFmtId="0" fontId="8" fillId="0" borderId="7" xfId="0" applyFont="1" applyBorder="1" applyAlignment="1">
      <alignment wrapText="1"/>
    </xf>
    <xf numFmtId="0" fontId="8" fillId="0" borderId="7" xfId="0" applyFont="1" applyBorder="1" applyAlignment="1">
      <alignment horizontal="centerContinuous" wrapText="1"/>
    </xf>
    <xf numFmtId="0" fontId="8" fillId="0" borderId="7" xfId="0" applyFont="1" applyBorder="1" applyAlignment="1">
      <alignment horizontal="centerContinuous"/>
    </xf>
    <xf numFmtId="0" fontId="8" fillId="0" borderId="0" xfId="0" applyFont="1" applyAlignment="1">
      <alignment horizontal="centerContinuous" wrapText="1"/>
    </xf>
    <xf numFmtId="0" fontId="8" fillId="0" borderId="0" xfId="0" applyFont="1" applyAlignment="1">
      <alignment horizontal="center" wrapText="1"/>
    </xf>
    <xf numFmtId="43" fontId="8" fillId="0" borderId="0" xfId="0" quotePrefix="1" applyNumberFormat="1" applyFont="1"/>
    <xf numFmtId="43" fontId="8" fillId="0" borderId="0" xfId="0" applyNumberFormat="1" applyFont="1" applyAlignment="1">
      <alignment horizontal="left"/>
    </xf>
    <xf numFmtId="43" fontId="8" fillId="0" borderId="0" xfId="0" quotePrefix="1" applyNumberFormat="1" applyFont="1" applyAlignment="1">
      <alignment horizontal="center"/>
    </xf>
    <xf numFmtId="43" fontId="8" fillId="0" borderId="0" xfId="0" quotePrefix="1" applyNumberFormat="1" applyFont="1" applyAlignment="1">
      <alignment horizontal="right"/>
    </xf>
    <xf numFmtId="43" fontId="8" fillId="0" borderId="0" xfId="0" applyNumberFormat="1" applyFont="1" applyAlignment="1">
      <alignment horizontal="right"/>
    </xf>
    <xf numFmtId="43" fontId="8" fillId="0" borderId="0" xfId="23" applyNumberFormat="1" applyFont="1" applyAlignment="1">
      <alignment horizontal="right"/>
    </xf>
    <xf numFmtId="43" fontId="8" fillId="0" borderId="0" xfId="0" applyNumberFormat="1" applyFont="1" applyAlignment="1">
      <alignment horizontal="center"/>
    </xf>
    <xf numFmtId="2" fontId="8" fillId="0" borderId="26" xfId="0" quotePrefix="1" applyNumberFormat="1" applyFont="1" applyBorder="1" applyAlignment="1">
      <alignment horizontal="center"/>
    </xf>
    <xf numFmtId="0" fontId="8" fillId="0" borderId="0" xfId="0" applyFont="1" applyAlignment="1">
      <alignment horizontal="right"/>
    </xf>
    <xf numFmtId="43" fontId="8" fillId="0" borderId="19" xfId="0" applyNumberFormat="1" applyFont="1" applyBorder="1"/>
    <xf numFmtId="0" fontId="8" fillId="0" borderId="0" xfId="0" quotePrefix="1" applyFont="1" applyAlignment="1">
      <alignment horizontal="center"/>
    </xf>
    <xf numFmtId="2" fontId="8" fillId="0" borderId="0" xfId="0" quotePrefix="1" applyNumberFormat="1" applyFont="1" applyAlignment="1">
      <alignment horizontal="center"/>
    </xf>
    <xf numFmtId="0" fontId="8" fillId="0" borderId="0" xfId="0" applyFont="1" applyAlignment="1">
      <alignment horizontal="left"/>
    </xf>
    <xf numFmtId="0" fontId="8" fillId="0" borderId="0" xfId="0" quotePrefix="1" applyFont="1" applyAlignment="1">
      <alignment vertical="top"/>
    </xf>
    <xf numFmtId="0" fontId="8" fillId="0" borderId="0" xfId="0" applyFont="1" applyAlignment="1">
      <alignment horizontal="left" vertical="top" wrapText="1"/>
    </xf>
    <xf numFmtId="0" fontId="8" fillId="0" borderId="0" xfId="0" applyFont="1" applyAlignment="1">
      <alignment vertical="top" wrapText="1"/>
    </xf>
    <xf numFmtId="0" fontId="25" fillId="0" borderId="0" xfId="0" applyFont="1" applyAlignment="1">
      <alignment horizontal="centerContinuous"/>
    </xf>
    <xf numFmtId="173" fontId="25" fillId="0" borderId="0" xfId="0" applyNumberFormat="1" applyFont="1"/>
    <xf numFmtId="0" fontId="25" fillId="0" borderId="0" xfId="0" applyFont="1" applyAlignment="1">
      <alignment horizontal="right"/>
    </xf>
    <xf numFmtId="173" fontId="25" fillId="0" borderId="7" xfId="0" applyNumberFormat="1" applyFont="1" applyBorder="1"/>
    <xf numFmtId="0" fontId="8" fillId="0" borderId="0" xfId="46" applyFont="1" applyAlignment="1">
      <alignment horizontal="right" vertical="top"/>
    </xf>
    <xf numFmtId="0" fontId="8" fillId="0" borderId="0" xfId="46" applyFont="1" applyAlignment="1">
      <alignment vertical="top"/>
    </xf>
    <xf numFmtId="39" fontId="8" fillId="0" borderId="0" xfId="46" applyNumberFormat="1" applyFont="1"/>
    <xf numFmtId="0" fontId="8" fillId="0" borderId="0" xfId="46" applyFont="1" applyAlignment="1">
      <alignment vertical="center"/>
    </xf>
    <xf numFmtId="0" fontId="8" fillId="0" borderId="0" xfId="46" applyFont="1" applyAlignment="1">
      <alignment wrapText="1"/>
    </xf>
    <xf numFmtId="39" fontId="8" fillId="0" borderId="19" xfId="46" applyNumberFormat="1" applyFont="1" applyBorder="1"/>
    <xf numFmtId="0" fontId="8" fillId="0" borderId="7" xfId="46" applyFont="1" applyBorder="1" applyAlignment="1">
      <alignment horizontal="centerContinuous"/>
    </xf>
    <xf numFmtId="172" fontId="8" fillId="0" borderId="7" xfId="46" applyNumberFormat="1" applyFont="1" applyBorder="1" applyAlignment="1">
      <alignment horizontal="centerContinuous"/>
    </xf>
    <xf numFmtId="174" fontId="8" fillId="0" borderId="7" xfId="46" applyNumberFormat="1" applyFont="1" applyBorder="1" applyAlignment="1">
      <alignment horizontal="centerContinuous"/>
    </xf>
    <xf numFmtId="0" fontId="45" fillId="0" borderId="0" xfId="9" applyFont="1"/>
    <xf numFmtId="0" fontId="23" fillId="0" borderId="0" xfId="46" applyFont="1"/>
    <xf numFmtId="172" fontId="8" fillId="0" borderId="7" xfId="46" applyNumberFormat="1" applyFont="1" applyBorder="1" applyAlignment="1">
      <alignment horizontal="center" wrapText="1"/>
    </xf>
    <xf numFmtId="172" fontId="8" fillId="0" borderId="0" xfId="46" applyNumberFormat="1" applyFont="1" applyAlignment="1">
      <alignment horizontal="center" wrapText="1"/>
    </xf>
    <xf numFmtId="169" fontId="8" fillId="0" borderId="0" xfId="46" applyNumberFormat="1" applyFont="1" applyAlignment="1">
      <alignment horizontal="center"/>
    </xf>
    <xf numFmtId="0" fontId="8" fillId="0" borderId="26" xfId="46" applyFont="1" applyBorder="1"/>
    <xf numFmtId="0" fontId="8" fillId="0" borderId="26" xfId="46" applyFont="1" applyBorder="1" applyAlignment="1">
      <alignment horizontal="center"/>
    </xf>
    <xf numFmtId="0" fontId="8" fillId="0" borderId="26" xfId="46" applyFont="1" applyBorder="1" applyAlignment="1">
      <alignment horizontal="left"/>
    </xf>
    <xf numFmtId="0" fontId="45" fillId="0" borderId="0" xfId="9" applyFont="1" applyAlignment="1">
      <alignment horizontal="right"/>
    </xf>
    <xf numFmtId="0" fontId="8" fillId="0" borderId="19" xfId="46" applyFont="1" applyBorder="1" applyAlignment="1">
      <alignment horizontal="center"/>
    </xf>
    <xf numFmtId="169" fontId="8" fillId="0" borderId="19" xfId="46" applyNumberFormat="1" applyFont="1" applyBorder="1" applyAlignment="1">
      <alignment horizontal="center"/>
    </xf>
    <xf numFmtId="169" fontId="8" fillId="0" borderId="0" xfId="23" applyNumberFormat="1" applyFont="1" applyAlignment="1">
      <alignment horizontal="center"/>
    </xf>
    <xf numFmtId="0" fontId="45" fillId="0" borderId="0" xfId="47" quotePrefix="1" applyFont="1" applyAlignment="1">
      <alignment horizontal="right"/>
    </xf>
    <xf numFmtId="0" fontId="45" fillId="0" borderId="0" xfId="47" applyFont="1"/>
    <xf numFmtId="4" fontId="8" fillId="0" borderId="0" xfId="46" applyNumberFormat="1" applyFont="1"/>
    <xf numFmtId="4" fontId="8" fillId="0" borderId="0" xfId="46" quotePrefix="1" applyNumberFormat="1" applyFont="1"/>
    <xf numFmtId="0" fontId="8" fillId="0" borderId="0" xfId="46" quotePrefix="1" applyFont="1" applyAlignment="1">
      <alignment horizontal="center" vertical="top"/>
    </xf>
    <xf numFmtId="0" fontId="6" fillId="0" borderId="0" xfId="46" applyFont="1" applyAlignment="1">
      <alignment wrapText="1"/>
    </xf>
    <xf numFmtId="1" fontId="8" fillId="0" borderId="0" xfId="46" applyNumberFormat="1" applyFont="1" applyAlignment="1">
      <alignment horizontal="center"/>
    </xf>
    <xf numFmtId="12" fontId="8" fillId="0" borderId="0" xfId="46" applyNumberFormat="1" applyFont="1" applyAlignment="1">
      <alignment horizontal="center"/>
    </xf>
    <xf numFmtId="12" fontId="8" fillId="0" borderId="0" xfId="46" applyNumberFormat="1" applyFont="1" applyAlignment="1">
      <alignment horizontal="center" vertical="top"/>
    </xf>
    <xf numFmtId="0" fontId="23" fillId="0" borderId="0" xfId="0" applyFont="1" applyAlignment="1">
      <alignment vertical="top" wrapText="1"/>
    </xf>
    <xf numFmtId="0" fontId="8" fillId="0" borderId="0" xfId="0" quotePrefix="1" applyFont="1" applyAlignment="1">
      <alignment horizontal="right" vertical="top"/>
    </xf>
    <xf numFmtId="0" fontId="6" fillId="0" borderId="0" xfId="0" applyFont="1"/>
    <xf numFmtId="43" fontId="8" fillId="0" borderId="7" xfId="0" applyNumberFormat="1" applyFont="1" applyBorder="1"/>
    <xf numFmtId="0" fontId="3" fillId="0" borderId="0" xfId="0" applyFont="1" applyAlignment="1">
      <alignment horizontal="left" wrapText="1"/>
    </xf>
    <xf numFmtId="2" fontId="47" fillId="0" borderId="0" xfId="0" applyNumberFormat="1" applyFont="1"/>
    <xf numFmtId="43" fontId="8" fillId="0" borderId="27" xfId="0" applyNumberFormat="1" applyFont="1" applyBorder="1"/>
    <xf numFmtId="0" fontId="8" fillId="0" borderId="0" xfId="0" quotePrefix="1" applyFont="1" applyAlignment="1">
      <alignment horizontal="right"/>
    </xf>
    <xf numFmtId="0" fontId="8" fillId="0" borderId="0" xfId="0" applyFont="1" applyAlignment="1">
      <alignment horizontal="left" indent="3"/>
    </xf>
    <xf numFmtId="0" fontId="47" fillId="0" borderId="0" xfId="0" applyFont="1" applyAlignment="1">
      <alignment horizontal="center"/>
    </xf>
    <xf numFmtId="4" fontId="8" fillId="0" borderId="0" xfId="0" quotePrefix="1" applyNumberFormat="1" applyFont="1"/>
    <xf numFmtId="0" fontId="8" fillId="0" borderId="26" xfId="0" applyFont="1" applyBorder="1"/>
    <xf numFmtId="4" fontId="8" fillId="0" borderId="0" xfId="0" applyNumberFormat="1" applyFont="1"/>
    <xf numFmtId="43" fontId="25" fillId="0" borderId="19" xfId="39" applyFont="1" applyFill="1" applyBorder="1"/>
    <xf numFmtId="2" fontId="8" fillId="0" borderId="0" xfId="39" applyNumberFormat="1" applyFont="1" applyFill="1" applyAlignment="1">
      <alignment horizontal="right"/>
    </xf>
    <xf numFmtId="180" fontId="25" fillId="0" borderId="19" xfId="39" applyNumberFormat="1" applyFont="1" applyFill="1" applyBorder="1"/>
    <xf numFmtId="179" fontId="8" fillId="0" borderId="0" xfId="39" applyNumberFormat="1" applyFont="1" applyFill="1" applyAlignment="1">
      <alignment horizontal="right"/>
    </xf>
    <xf numFmtId="180" fontId="25" fillId="0" borderId="0" xfId="39" applyNumberFormat="1" applyFont="1" applyFill="1"/>
    <xf numFmtId="180" fontId="25" fillId="0" borderId="0" xfId="39" applyNumberFormat="1" applyFont="1" applyFill="1" applyBorder="1"/>
    <xf numFmtId="174" fontId="8" fillId="0" borderId="7" xfId="23" applyNumberFormat="1" applyFont="1" applyBorder="1" applyAlignment="1">
      <alignment horizontal="centerContinuous"/>
    </xf>
    <xf numFmtId="0" fontId="8" fillId="0" borderId="7" xfId="23" applyFont="1" applyBorder="1" applyAlignment="1">
      <alignment horizontal="centerContinuous"/>
    </xf>
    <xf numFmtId="43" fontId="25" fillId="0" borderId="0" xfId="23" applyNumberFormat="1" applyFont="1" applyAlignment="1">
      <alignment horizontal="center"/>
    </xf>
    <xf numFmtId="169" fontId="8" fillId="0" borderId="0" xfId="23" quotePrefix="1" applyNumberFormat="1" applyFont="1" applyAlignment="1">
      <alignment horizontal="center"/>
    </xf>
    <xf numFmtId="0" fontId="25" fillId="0" borderId="0" xfId="3" applyFont="1" applyAlignment="1">
      <alignment horizontal="right"/>
    </xf>
    <xf numFmtId="0" fontId="8" fillId="0" borderId="26" xfId="23" applyFont="1" applyBorder="1" applyAlignment="1">
      <alignment horizontal="center"/>
    </xf>
    <xf numFmtId="169" fontId="8" fillId="0" borderId="19" xfId="23" applyNumberFormat="1" applyFont="1" applyBorder="1" applyAlignment="1">
      <alignment horizontal="center"/>
    </xf>
    <xf numFmtId="0" fontId="8" fillId="0" borderId="0" xfId="46" applyFont="1" applyAlignment="1">
      <alignment vertical="center" wrapText="1"/>
    </xf>
    <xf numFmtId="17" fontId="8" fillId="0" borderId="0" xfId="46" applyNumberFormat="1" applyFont="1" applyAlignment="1">
      <alignment horizontal="center" vertical="top"/>
    </xf>
    <xf numFmtId="2" fontId="8" fillId="0" borderId="0" xfId="46" applyNumberFormat="1" applyFont="1"/>
    <xf numFmtId="173" fontId="8" fillId="0" borderId="0" xfId="61" applyNumberFormat="1" applyFont="1"/>
    <xf numFmtId="0" fontId="8" fillId="0" borderId="7" xfId="23" applyFont="1" applyBorder="1" applyAlignment="1">
      <alignment horizontal="left" wrapText="1"/>
    </xf>
    <xf numFmtId="0" fontId="37" fillId="0" borderId="0" xfId="3" applyFont="1" applyAlignment="1">
      <alignment horizontal="center"/>
    </xf>
    <xf numFmtId="43" fontId="8" fillId="0" borderId="0" xfId="23" applyNumberFormat="1" applyFont="1" applyAlignment="1">
      <alignment horizontal="left"/>
    </xf>
    <xf numFmtId="181" fontId="8" fillId="0" borderId="19" xfId="23" applyNumberFormat="1" applyFont="1" applyBorder="1"/>
    <xf numFmtId="0" fontId="8" fillId="0" borderId="0" xfId="23" applyFont="1" applyAlignment="1">
      <alignment horizontal="left" vertical="center"/>
    </xf>
    <xf numFmtId="0" fontId="8" fillId="0" borderId="0" xfId="23" applyFont="1" applyAlignment="1">
      <alignment horizontal="left" vertical="top"/>
    </xf>
    <xf numFmtId="0" fontId="25" fillId="0" borderId="0" xfId="23" quotePrefix="1" applyFont="1" applyAlignment="1">
      <alignment horizontal="right" vertical="top"/>
    </xf>
    <xf numFmtId="0" fontId="25" fillId="0" borderId="0" xfId="23" applyFont="1" applyAlignment="1">
      <alignment horizontal="left" wrapText="1"/>
    </xf>
    <xf numFmtId="0" fontId="8" fillId="0" borderId="7" xfId="23" applyFont="1" applyBorder="1" applyAlignment="1">
      <alignment horizontal="centerContinuous" wrapText="1"/>
    </xf>
    <xf numFmtId="43" fontId="8" fillId="0" borderId="30" xfId="23" applyNumberFormat="1" applyFont="1" applyBorder="1" applyAlignment="1">
      <alignment horizontal="right"/>
    </xf>
    <xf numFmtId="0" fontId="25" fillId="0" borderId="0" xfId="94" applyFont="1"/>
    <xf numFmtId="0" fontId="37" fillId="0" borderId="0" xfId="94" applyFont="1"/>
    <xf numFmtId="199" fontId="8" fillId="0" borderId="0" xfId="5" applyNumberFormat="1" applyFont="1" applyProtection="1">
      <protection locked="0"/>
    </xf>
    <xf numFmtId="197" fontId="8" fillId="0" borderId="0" xfId="22" applyNumberFormat="1" applyFont="1" applyAlignment="1">
      <alignment horizontal="center" wrapText="1"/>
    </xf>
    <xf numFmtId="197" fontId="8" fillId="0" borderId="0" xfId="5" applyNumberFormat="1" applyFont="1"/>
    <xf numFmtId="10" fontId="8" fillId="0" borderId="0" xfId="99" applyNumberFormat="1" applyFont="1"/>
    <xf numFmtId="0" fontId="3" fillId="0" borderId="0" xfId="46" applyFont="1"/>
    <xf numFmtId="0" fontId="3" fillId="0" borderId="0" xfId="46" quotePrefix="1" applyFont="1"/>
    <xf numFmtId="0" fontId="3" fillId="0" borderId="0" xfId="46" applyFont="1" applyAlignment="1">
      <alignment horizontal="centerContinuous"/>
    </xf>
    <xf numFmtId="43" fontId="3" fillId="0" borderId="0" xfId="46" applyNumberFormat="1" applyFont="1"/>
    <xf numFmtId="10" fontId="25" fillId="0" borderId="0" xfId="0" applyNumberFormat="1" applyFont="1"/>
    <xf numFmtId="2" fontId="10" fillId="0" borderId="32" xfId="0" applyNumberFormat="1" applyFont="1" applyBorder="1" applyAlignment="1">
      <alignment horizontal="center"/>
    </xf>
    <xf numFmtId="2" fontId="10" fillId="0" borderId="11" xfId="0" applyNumberFormat="1" applyFont="1" applyBorder="1" applyAlignment="1">
      <alignment horizontal="center"/>
    </xf>
    <xf numFmtId="2" fontId="10" fillId="0" borderId="14" xfId="0" applyNumberFormat="1" applyFont="1" applyBorder="1" applyAlignment="1">
      <alignment horizontal="center"/>
    </xf>
    <xf numFmtId="2" fontId="5" fillId="0" borderId="32" xfId="0" applyNumberFormat="1" applyFont="1" applyBorder="1"/>
    <xf numFmtId="2" fontId="5" fillId="0" borderId="26" xfId="0" applyNumberFormat="1" applyFont="1" applyBorder="1"/>
    <xf numFmtId="0" fontId="5" fillId="0" borderId="26" xfId="0" applyFont="1" applyBorder="1"/>
    <xf numFmtId="0" fontId="5" fillId="0" borderId="33" xfId="0" applyFont="1" applyBorder="1"/>
    <xf numFmtId="2" fontId="5" fillId="0" borderId="11" xfId="0" applyNumberFormat="1" applyFont="1" applyBorder="1"/>
    <xf numFmtId="2" fontId="5" fillId="0" borderId="0" xfId="0" applyNumberFormat="1" applyFont="1"/>
    <xf numFmtId="0" fontId="5" fillId="0" borderId="9" xfId="0" applyFont="1" applyBorder="1"/>
    <xf numFmtId="179" fontId="5" fillId="0" borderId="0" xfId="0" applyNumberFormat="1" applyFont="1"/>
    <xf numFmtId="2" fontId="5" fillId="0" borderId="14" xfId="0" applyNumberFormat="1" applyFont="1" applyBorder="1"/>
    <xf numFmtId="2" fontId="5" fillId="0" borderId="7" xfId="0" applyNumberFormat="1" applyFont="1" applyBorder="1"/>
    <xf numFmtId="0" fontId="5" fillId="0" borderId="7" xfId="0" applyFont="1" applyBorder="1"/>
    <xf numFmtId="179" fontId="5" fillId="0" borderId="7" xfId="0" applyNumberFormat="1" applyFont="1" applyBorder="1"/>
    <xf numFmtId="0" fontId="5" fillId="0" borderId="13" xfId="0" applyFont="1" applyBorder="1"/>
    <xf numFmtId="2" fontId="10" fillId="0" borderId="37" xfId="0" applyNumberFormat="1" applyFont="1" applyBorder="1" applyAlignment="1">
      <alignment horizontal="center"/>
    </xf>
    <xf numFmtId="2" fontId="10" fillId="0" borderId="12" xfId="0" applyNumberFormat="1" applyFont="1" applyBorder="1" applyAlignment="1">
      <alignment horizontal="center"/>
    </xf>
    <xf numFmtId="2" fontId="10" fillId="0" borderId="15" xfId="0" applyNumberFormat="1" applyFont="1" applyBorder="1" applyAlignment="1">
      <alignment horizontal="center"/>
    </xf>
    <xf numFmtId="10" fontId="10" fillId="0" borderId="32" xfId="2" applyNumberFormat="1" applyFont="1" applyFill="1" applyBorder="1" applyAlignment="1">
      <alignment horizontal="center"/>
    </xf>
    <xf numFmtId="10" fontId="10" fillId="0" borderId="26" xfId="2" applyNumberFormat="1" applyFont="1" applyFill="1" applyBorder="1" applyAlignment="1">
      <alignment horizontal="center"/>
    </xf>
    <xf numFmtId="2" fontId="10" fillId="0" borderId="32" xfId="23" applyNumberFormat="1" applyFont="1" applyBorder="1" applyAlignment="1">
      <alignment horizontal="center"/>
    </xf>
    <xf numFmtId="10" fontId="10" fillId="0" borderId="11" xfId="2" applyNumberFormat="1" applyFont="1" applyFill="1" applyBorder="1" applyAlignment="1">
      <alignment horizontal="center"/>
    </xf>
    <xf numFmtId="10" fontId="10" fillId="0" borderId="0" xfId="2" applyNumberFormat="1" applyFont="1" applyFill="1" applyBorder="1" applyAlignment="1">
      <alignment horizontal="center"/>
    </xf>
    <xf numFmtId="0" fontId="10" fillId="0" borderId="32" xfId="23" applyFont="1" applyBorder="1" applyAlignment="1">
      <alignment horizontal="center"/>
    </xf>
    <xf numFmtId="0" fontId="10" fillId="0" borderId="33" xfId="23" applyFont="1" applyBorder="1" applyAlignment="1">
      <alignment horizontal="center"/>
    </xf>
    <xf numFmtId="0" fontId="10" fillId="0" borderId="11" xfId="23" applyFont="1" applyBorder="1" applyAlignment="1">
      <alignment horizontal="center"/>
    </xf>
    <xf numFmtId="0" fontId="10" fillId="0" borderId="9" xfId="23" applyFont="1" applyBorder="1" applyAlignment="1">
      <alignment horizontal="center"/>
    </xf>
    <xf numFmtId="2" fontId="10" fillId="0" borderId="33" xfId="23" applyNumberFormat="1" applyFont="1" applyBorder="1" applyAlignment="1">
      <alignment horizontal="center"/>
    </xf>
    <xf numFmtId="2" fontId="10" fillId="0" borderId="9" xfId="23" applyNumberFormat="1" applyFont="1" applyBorder="1" applyAlignment="1">
      <alignment horizontal="center"/>
    </xf>
    <xf numFmtId="2" fontId="5" fillId="0" borderId="0" xfId="3" applyNumberFormat="1" applyFont="1" applyAlignment="1">
      <alignment horizontal="center"/>
    </xf>
    <xf numFmtId="2" fontId="10" fillId="0" borderId="37" xfId="23" applyNumberFormat="1" applyFont="1" applyBorder="1" applyAlignment="1">
      <alignment horizontal="center"/>
    </xf>
    <xf numFmtId="2" fontId="10" fillId="0" borderId="12" xfId="23" applyNumberFormat="1" applyFont="1" applyBorder="1" applyAlignment="1">
      <alignment horizontal="center"/>
    </xf>
    <xf numFmtId="9" fontId="10" fillId="0" borderId="31" xfId="16" applyNumberFormat="1" applyFont="1" applyBorder="1" applyAlignment="1">
      <alignment horizontal="center"/>
    </xf>
    <xf numFmtId="10" fontId="10" fillId="0" borderId="35" xfId="17" applyNumberFormat="1" applyFont="1" applyFill="1" applyBorder="1" applyAlignment="1">
      <alignment horizontal="center"/>
    </xf>
    <xf numFmtId="10" fontId="10" fillId="0" borderId="31" xfId="4" applyNumberFormat="1" applyFont="1" applyFill="1" applyBorder="1" applyAlignment="1">
      <alignment horizontal="center"/>
    </xf>
    <xf numFmtId="10" fontId="10" fillId="0" borderId="61" xfId="4" applyNumberFormat="1" applyFont="1" applyFill="1" applyBorder="1" applyAlignment="1">
      <alignment horizontal="center"/>
    </xf>
    <xf numFmtId="9" fontId="10" fillId="0" borderId="31" xfId="4" applyFont="1" applyFill="1" applyBorder="1" applyAlignment="1">
      <alignment horizontal="center"/>
    </xf>
    <xf numFmtId="9" fontId="10" fillId="0" borderId="38" xfId="4" applyFont="1" applyFill="1" applyBorder="1" applyAlignment="1">
      <alignment horizontal="center"/>
    </xf>
    <xf numFmtId="10" fontId="10" fillId="0" borderId="60" xfId="17" applyNumberFormat="1" applyFont="1" applyFill="1" applyBorder="1" applyAlignment="1">
      <alignment horizontal="center"/>
    </xf>
    <xf numFmtId="10" fontId="10" fillId="0" borderId="38" xfId="4" applyNumberFormat="1" applyFont="1" applyFill="1" applyBorder="1" applyAlignment="1">
      <alignment horizontal="center"/>
    </xf>
    <xf numFmtId="10" fontId="10" fillId="0" borderId="62" xfId="4" applyNumberFormat="1" applyFont="1" applyFill="1" applyBorder="1" applyAlignment="1">
      <alignment horizontal="center"/>
    </xf>
    <xf numFmtId="9" fontId="10" fillId="0" borderId="2" xfId="16" applyNumberFormat="1" applyFont="1" applyBorder="1" applyAlignment="1">
      <alignment horizontal="center"/>
    </xf>
    <xf numFmtId="10" fontId="10" fillId="0" borderId="20" xfId="17" applyNumberFormat="1" applyFont="1" applyFill="1" applyBorder="1" applyAlignment="1">
      <alignment horizontal="center"/>
    </xf>
    <xf numFmtId="10" fontId="10" fillId="0" borderId="2" xfId="4" applyNumberFormat="1" applyFont="1" applyFill="1" applyBorder="1" applyAlignment="1">
      <alignment horizontal="center"/>
    </xf>
    <xf numFmtId="10" fontId="10" fillId="0" borderId="44" xfId="4" applyNumberFormat="1" applyFont="1" applyFill="1" applyBorder="1" applyAlignment="1">
      <alignment horizontal="center"/>
    </xf>
    <xf numFmtId="10" fontId="51" fillId="0" borderId="51" xfId="0" applyNumberFormat="1" applyFont="1" applyBorder="1" applyAlignment="1">
      <alignment horizontal="center"/>
    </xf>
    <xf numFmtId="10" fontId="51" fillId="0" borderId="52" xfId="0" applyNumberFormat="1" applyFont="1" applyBorder="1" applyAlignment="1">
      <alignment horizontal="center"/>
    </xf>
    <xf numFmtId="10" fontId="51" fillId="0" borderId="53" xfId="0" applyNumberFormat="1" applyFont="1" applyBorder="1" applyAlignment="1">
      <alignment horizontal="center"/>
    </xf>
    <xf numFmtId="43" fontId="10" fillId="0" borderId="2" xfId="18" applyFont="1" applyFill="1" applyBorder="1"/>
    <xf numFmtId="43" fontId="10" fillId="0" borderId="4" xfId="18" applyFont="1" applyFill="1" applyBorder="1"/>
    <xf numFmtId="43" fontId="10" fillId="0" borderId="18" xfId="18" applyFont="1" applyFill="1" applyBorder="1"/>
    <xf numFmtId="43" fontId="10" fillId="0" borderId="0" xfId="18" applyFont="1" applyFill="1"/>
    <xf numFmtId="43" fontId="10" fillId="0" borderId="19" xfId="18" applyFont="1" applyFill="1" applyBorder="1"/>
    <xf numFmtId="166" fontId="10" fillId="0" borderId="42" xfId="16" applyNumberFormat="1" applyFont="1" applyBorder="1" applyAlignment="1">
      <alignment horizontal="left"/>
    </xf>
    <xf numFmtId="166" fontId="10" fillId="0" borderId="58" xfId="16" applyNumberFormat="1" applyFont="1" applyBorder="1" applyAlignment="1">
      <alignment horizontal="left"/>
    </xf>
    <xf numFmtId="166" fontId="10" fillId="0" borderId="59" xfId="16" applyNumberFormat="1" applyFont="1" applyBorder="1" applyAlignment="1">
      <alignment horizontal="left"/>
    </xf>
    <xf numFmtId="167" fontId="10" fillId="0" borderId="0" xfId="9" applyNumberFormat="1" applyFont="1" applyAlignment="1">
      <alignment horizontal="left"/>
    </xf>
    <xf numFmtId="10" fontId="10" fillId="0" borderId="0" xfId="17" applyNumberFormat="1" applyFont="1" applyFill="1"/>
    <xf numFmtId="49" fontId="10" fillId="0" borderId="0" xfId="9" applyNumberFormat="1" applyFont="1"/>
    <xf numFmtId="10" fontId="10" fillId="0" borderId="0" xfId="9" applyNumberFormat="1" applyFont="1" applyAlignment="1">
      <alignment horizontal="center"/>
    </xf>
    <xf numFmtId="0" fontId="10" fillId="0" borderId="2" xfId="16" quotePrefix="1" applyFont="1" applyBorder="1"/>
    <xf numFmtId="2" fontId="5" fillId="0" borderId="2" xfId="39" applyNumberFormat="1" applyFont="1" applyFill="1" applyBorder="1" applyAlignment="1">
      <alignment horizontal="center"/>
    </xf>
    <xf numFmtId="2" fontId="10" fillId="0" borderId="2" xfId="39" applyNumberFormat="1" applyFont="1" applyFill="1" applyBorder="1" applyAlignment="1">
      <alignment horizontal="center"/>
    </xf>
    <xf numFmtId="0" fontId="10" fillId="0" borderId="31" xfId="16" quotePrefix="1" applyFont="1" applyBorder="1"/>
    <xf numFmtId="2" fontId="5" fillId="0" borderId="31" xfId="39" applyNumberFormat="1" applyFont="1" applyFill="1" applyBorder="1" applyAlignment="1">
      <alignment horizontal="center"/>
    </xf>
    <xf numFmtId="2" fontId="10" fillId="0" borderId="31" xfId="39" applyNumberFormat="1" applyFont="1" applyFill="1" applyBorder="1" applyAlignment="1">
      <alignment horizontal="center"/>
    </xf>
    <xf numFmtId="0" fontId="10" fillId="0" borderId="38" xfId="16" quotePrefix="1" applyFont="1" applyBorder="1"/>
    <xf numFmtId="2" fontId="10" fillId="0" borderId="38" xfId="39" applyNumberFormat="1" applyFont="1" applyFill="1" applyBorder="1" applyAlignment="1">
      <alignment horizontal="center"/>
    </xf>
    <xf numFmtId="2" fontId="10" fillId="0" borderId="0" xfId="16" applyNumberFormat="1" applyFont="1" applyAlignment="1">
      <alignment horizontal="center"/>
    </xf>
    <xf numFmtId="0" fontId="5" fillId="0" borderId="7" xfId="3" applyFont="1" applyBorder="1"/>
    <xf numFmtId="0" fontId="4" fillId="0" borderId="11" xfId="3" applyFont="1" applyBorder="1"/>
    <xf numFmtId="0" fontId="5" fillId="0" borderId="9" xfId="3" applyFont="1" applyBorder="1" applyAlignment="1">
      <alignment horizontal="center"/>
    </xf>
    <xf numFmtId="0" fontId="5" fillId="0" borderId="7" xfId="3" applyFont="1" applyBorder="1" applyAlignment="1">
      <alignment horizontal="center"/>
    </xf>
    <xf numFmtId="0" fontId="5" fillId="0" borderId="13" xfId="3" applyFont="1" applyBorder="1" applyAlignment="1">
      <alignment horizontal="center"/>
    </xf>
    <xf numFmtId="2" fontId="5" fillId="0" borderId="11" xfId="3" applyNumberFormat="1" applyFont="1" applyBorder="1" applyAlignment="1">
      <alignment horizontal="center" wrapText="1"/>
    </xf>
    <xf numFmtId="2" fontId="5" fillId="0" borderId="0" xfId="3" applyNumberFormat="1" applyFont="1" applyAlignment="1">
      <alignment horizontal="center" wrapText="1"/>
    </xf>
    <xf numFmtId="2" fontId="5" fillId="0" borderId="46" xfId="3" applyNumberFormat="1" applyFont="1" applyBorder="1" applyAlignment="1">
      <alignment horizontal="center" wrapText="1"/>
    </xf>
    <xf numFmtId="2" fontId="5" fillId="0" borderId="11" xfId="3" applyNumberFormat="1" applyFont="1" applyBorder="1" applyAlignment="1">
      <alignment horizontal="center"/>
    </xf>
    <xf numFmtId="2" fontId="5" fillId="0" borderId="46" xfId="3" applyNumberFormat="1" applyFont="1" applyBorder="1" applyAlignment="1">
      <alignment horizontal="center"/>
    </xf>
    <xf numFmtId="2" fontId="5" fillId="0" borderId="48" xfId="3" applyNumberFormat="1" applyFont="1" applyBorder="1" applyAlignment="1">
      <alignment horizontal="center"/>
    </xf>
    <xf numFmtId="2" fontId="5" fillId="0" borderId="1" xfId="3" applyNumberFormat="1" applyFont="1" applyBorder="1" applyAlignment="1">
      <alignment horizontal="center"/>
    </xf>
    <xf numFmtId="2" fontId="5" fillId="0" borderId="49" xfId="3" applyNumberFormat="1" applyFont="1" applyBorder="1" applyAlignment="1">
      <alignment horizontal="center"/>
    </xf>
    <xf numFmtId="10" fontId="25" fillId="0" borderId="0" xfId="2" applyNumberFormat="1" applyFont="1"/>
    <xf numFmtId="0" fontId="47" fillId="0" borderId="0" xfId="0" applyFont="1" applyAlignment="1">
      <alignment horizontal="centerContinuous"/>
    </xf>
    <xf numFmtId="0" fontId="47" fillId="0" borderId="7" xfId="0" applyFont="1" applyBorder="1" applyAlignment="1">
      <alignment horizontal="centerContinuous" wrapText="1"/>
    </xf>
    <xf numFmtId="0" fontId="8" fillId="0" borderId="25" xfId="46" applyFont="1" applyBorder="1"/>
    <xf numFmtId="173" fontId="8" fillId="0" borderId="30" xfId="46" applyNumberFormat="1" applyFont="1" applyBorder="1"/>
    <xf numFmtId="0" fontId="25" fillId="0" borderId="0" xfId="86" applyFont="1"/>
    <xf numFmtId="0" fontId="25" fillId="0" borderId="0" xfId="86" applyFont="1" applyAlignment="1">
      <alignment wrapText="1"/>
    </xf>
    <xf numFmtId="0" fontId="57" fillId="0" borderId="0" xfId="86" applyFont="1" applyAlignment="1">
      <alignment horizontal="center"/>
    </xf>
    <xf numFmtId="0" fontId="25" fillId="0" borderId="0" xfId="86" applyFont="1" applyAlignment="1">
      <alignment horizontal="center"/>
    </xf>
    <xf numFmtId="1" fontId="25" fillId="0" borderId="0" xfId="86" applyNumberFormat="1" applyFont="1" applyAlignment="1">
      <alignment horizontal="right"/>
    </xf>
    <xf numFmtId="0" fontId="25" fillId="0" borderId="0" xfId="86" applyFont="1" applyAlignment="1">
      <alignment horizontal="right"/>
    </xf>
    <xf numFmtId="0" fontId="25" fillId="0" borderId="0" xfId="86" applyFont="1" applyAlignment="1">
      <alignment horizontal="center" wrapText="1"/>
    </xf>
    <xf numFmtId="0" fontId="8" fillId="0" borderId="0" xfId="86" applyFont="1"/>
    <xf numFmtId="0" fontId="25" fillId="0" borderId="7" xfId="86" applyFont="1" applyBorder="1"/>
    <xf numFmtId="0" fontId="25" fillId="0" borderId="7" xfId="86" applyFont="1" applyBorder="1" applyAlignment="1">
      <alignment horizontal="center"/>
    </xf>
    <xf numFmtId="1" fontId="8" fillId="0" borderId="0" xfId="86" applyNumberFormat="1" applyFont="1" applyAlignment="1">
      <alignment horizontal="right"/>
    </xf>
    <xf numFmtId="1" fontId="25" fillId="0" borderId="0" xfId="86" applyNumberFormat="1" applyFont="1" applyAlignment="1">
      <alignment horizontal="left"/>
    </xf>
    <xf numFmtId="10" fontId="25" fillId="0" borderId="0" xfId="86" applyNumberFormat="1" applyFont="1" applyAlignment="1">
      <alignment horizontal="center"/>
    </xf>
    <xf numFmtId="10" fontId="25" fillId="0" borderId="0" xfId="86" applyNumberFormat="1" applyFont="1"/>
    <xf numFmtId="37" fontId="25" fillId="0" borderId="0" xfId="86" applyNumberFormat="1" applyFont="1" applyAlignment="1">
      <alignment horizontal="right"/>
    </xf>
    <xf numFmtId="37" fontId="25" fillId="0" borderId="0" xfId="86" applyNumberFormat="1" applyFont="1" applyAlignment="1">
      <alignment horizontal="right" wrapText="1"/>
    </xf>
    <xf numFmtId="37" fontId="8" fillId="0" borderId="0" xfId="86" applyNumberFormat="1" applyFont="1" applyAlignment="1">
      <alignment horizontal="right" wrapText="1"/>
    </xf>
    <xf numFmtId="1" fontId="25" fillId="0" borderId="26" xfId="86" applyNumberFormat="1" applyFont="1" applyBorder="1" applyAlignment="1">
      <alignment horizontal="left"/>
    </xf>
    <xf numFmtId="10" fontId="25" fillId="0" borderId="26" xfId="11" applyNumberFormat="1" applyFont="1" applyFill="1" applyBorder="1" applyAlignment="1">
      <alignment horizontal="right"/>
    </xf>
    <xf numFmtId="10" fontId="25" fillId="0" borderId="26" xfId="86" applyNumberFormat="1" applyFont="1" applyBorder="1" applyAlignment="1">
      <alignment horizontal="center"/>
    </xf>
    <xf numFmtId="9" fontId="25" fillId="0" borderId="0" xfId="11" applyFont="1" applyFill="1" applyAlignment="1"/>
    <xf numFmtId="10" fontId="25" fillId="0" borderId="0" xfId="11" applyNumberFormat="1" applyFont="1" applyFill="1" applyBorder="1" applyAlignment="1">
      <alignment horizontal="center"/>
    </xf>
    <xf numFmtId="9" fontId="61" fillId="0" borderId="0" xfId="11" applyFont="1" applyFill="1" applyAlignment="1"/>
    <xf numFmtId="37" fontId="25" fillId="0" borderId="0" xfId="86" applyNumberFormat="1" applyFont="1"/>
    <xf numFmtId="10" fontId="25" fillId="0" borderId="26" xfId="11" applyNumberFormat="1" applyFont="1" applyFill="1" applyBorder="1" applyAlignment="1">
      <alignment horizontal="center"/>
    </xf>
    <xf numFmtId="9" fontId="25" fillId="0" borderId="0" xfId="11" quotePrefix="1" applyFont="1" applyFill="1" applyAlignment="1">
      <alignment horizontal="left"/>
    </xf>
    <xf numFmtId="9" fontId="61" fillId="0" borderId="0" xfId="11" applyFont="1" applyFill="1" applyAlignment="1">
      <alignment horizontal="center"/>
    </xf>
    <xf numFmtId="0" fontId="25" fillId="0" borderId="0" xfId="86" applyFont="1" applyAlignment="1">
      <alignment horizontal="left"/>
    </xf>
    <xf numFmtId="3" fontId="25" fillId="0" borderId="0" xfId="86" applyNumberFormat="1" applyFont="1" applyAlignment="1">
      <alignment horizontal="right"/>
    </xf>
    <xf numFmtId="0" fontId="57" fillId="0" borderId="0" xfId="86" applyFont="1"/>
    <xf numFmtId="0" fontId="57" fillId="0" borderId="7" xfId="86" applyFont="1" applyBorder="1"/>
    <xf numFmtId="0" fontId="57" fillId="0" borderId="7" xfId="86" applyFont="1" applyBorder="1" applyAlignment="1">
      <alignment horizontal="center"/>
    </xf>
    <xf numFmtId="0" fontId="25" fillId="0" borderId="26" xfId="86" applyFont="1" applyBorder="1"/>
    <xf numFmtId="0" fontId="25" fillId="0" borderId="0" xfId="86" applyFont="1" applyAlignment="1">
      <alignment horizontal="right" wrapText="1"/>
    </xf>
    <xf numFmtId="0" fontId="57" fillId="0" borderId="0" xfId="104" applyFont="1"/>
    <xf numFmtId="0" fontId="53" fillId="0" borderId="0" xfId="23" applyFont="1"/>
    <xf numFmtId="0" fontId="2" fillId="0" borderId="0" xfId="23" applyAlignment="1">
      <alignment horizontal="center"/>
    </xf>
    <xf numFmtId="2" fontId="25" fillId="0" borderId="0" xfId="105" applyNumberFormat="1" applyFont="1"/>
    <xf numFmtId="14" fontId="0" fillId="0" borderId="0" xfId="0" applyNumberFormat="1" applyAlignment="1">
      <alignment horizontal="center"/>
    </xf>
    <xf numFmtId="14" fontId="60" fillId="0" borderId="0" xfId="0" applyNumberFormat="1" applyFont="1" applyAlignment="1">
      <alignment horizontal="center"/>
    </xf>
    <xf numFmtId="0" fontId="60" fillId="0" borderId="0" xfId="0" applyFont="1" applyAlignment="1">
      <alignment horizontal="center"/>
    </xf>
    <xf numFmtId="14" fontId="0" fillId="0" borderId="0" xfId="0" applyNumberFormat="1" applyAlignment="1">
      <alignment horizontal="right"/>
    </xf>
    <xf numFmtId="14" fontId="0" fillId="0" borderId="0" xfId="0" applyNumberFormat="1"/>
    <xf numFmtId="0" fontId="0" fillId="0" borderId="0" xfId="0" applyAlignment="1">
      <alignment horizontal="right"/>
    </xf>
    <xf numFmtId="0" fontId="64" fillId="0" borderId="0" xfId="0" applyFont="1" applyAlignment="1">
      <alignment horizontal="center"/>
    </xf>
    <xf numFmtId="0" fontId="64" fillId="0" borderId="0" xfId="0" applyFont="1"/>
    <xf numFmtId="0" fontId="56" fillId="7" borderId="66" xfId="110" applyFill="1" applyBorder="1"/>
    <xf numFmtId="0" fontId="56" fillId="0" borderId="0" xfId="110"/>
    <xf numFmtId="14" fontId="56" fillId="0" borderId="0" xfId="110" applyNumberFormat="1"/>
    <xf numFmtId="0" fontId="10" fillId="0" borderId="0" xfId="111" applyFont="1"/>
    <xf numFmtId="0" fontId="10" fillId="0" borderId="0" xfId="112" applyFont="1" applyAlignment="1">
      <alignment horizontal="center"/>
    </xf>
    <xf numFmtId="0" fontId="10" fillId="0" borderId="0" xfId="112" applyFont="1" applyAlignment="1">
      <alignment horizontal="center" wrapText="1"/>
    </xf>
    <xf numFmtId="0" fontId="50" fillId="0" borderId="0" xfId="112" applyFont="1"/>
    <xf numFmtId="0" fontId="10" fillId="0" borderId="0" xfId="64" applyFont="1"/>
    <xf numFmtId="0" fontId="10" fillId="8" borderId="0" xfId="64" applyFont="1" applyFill="1"/>
    <xf numFmtId="0" fontId="10" fillId="8" borderId="0" xfId="111" applyFont="1" applyFill="1"/>
    <xf numFmtId="0" fontId="10" fillId="0" borderId="7" xfId="64" applyFont="1" applyBorder="1" applyAlignment="1">
      <alignment horizontal="center" wrapText="1"/>
    </xf>
    <xf numFmtId="0" fontId="10" fillId="0" borderId="0" xfId="64" applyFont="1" applyAlignment="1">
      <alignment horizontal="center" wrapText="1"/>
    </xf>
    <xf numFmtId="0" fontId="10" fillId="0" borderId="7" xfId="112" applyFont="1" applyBorder="1" applyAlignment="1">
      <alignment horizontal="center" wrapText="1"/>
    </xf>
    <xf numFmtId="43" fontId="10" fillId="0" borderId="0" xfId="18" applyFont="1" applyFill="1" applyAlignment="1">
      <alignment horizontal="right"/>
    </xf>
    <xf numFmtId="10" fontId="10" fillId="0" borderId="0" xfId="2" applyNumberFormat="1" applyFont="1" applyFill="1"/>
    <xf numFmtId="10" fontId="10" fillId="0" borderId="0" xfId="4" applyNumberFormat="1" applyFont="1" applyFill="1"/>
    <xf numFmtId="14" fontId="10" fillId="0" borderId="0" xfId="0" quotePrefix="1" applyNumberFormat="1" applyFont="1" applyAlignment="1">
      <alignment horizontal="right"/>
    </xf>
    <xf numFmtId="2" fontId="10" fillId="0" borderId="0" xfId="111" applyNumberFormat="1" applyFont="1" applyAlignment="1">
      <alignment horizontal="center"/>
    </xf>
    <xf numFmtId="10" fontId="10" fillId="0" borderId="0" xfId="113" applyNumberFormat="1" applyFont="1" applyFill="1" applyAlignment="1">
      <alignment horizontal="right"/>
    </xf>
    <xf numFmtId="10" fontId="10" fillId="0" borderId="0" xfId="112" applyNumberFormat="1" applyFont="1" applyAlignment="1">
      <alignment horizontal="center" wrapText="1"/>
    </xf>
    <xf numFmtId="4" fontId="55" fillId="0" borderId="0" xfId="0" applyNumberFormat="1" applyFont="1" applyAlignment="1">
      <alignment horizontal="center"/>
    </xf>
    <xf numFmtId="10" fontId="10" fillId="0" borderId="0" xfId="113" applyNumberFormat="1" applyFont="1" applyFill="1" applyAlignment="1">
      <alignment horizontal="center"/>
    </xf>
    <xf numFmtId="0" fontId="10" fillId="0" borderId="0" xfId="64" quotePrefix="1" applyFont="1" applyAlignment="1">
      <alignment horizontal="right"/>
    </xf>
    <xf numFmtId="0" fontId="10" fillId="0" borderId="26" xfId="111" applyFont="1" applyBorder="1"/>
    <xf numFmtId="10" fontId="10" fillId="0" borderId="19" xfId="4" applyNumberFormat="1" applyFont="1" applyFill="1" applyBorder="1"/>
    <xf numFmtId="10" fontId="10" fillId="0" borderId="0" xfId="4" applyNumberFormat="1" applyFont="1" applyFill="1" applyBorder="1"/>
    <xf numFmtId="0" fontId="10" fillId="0" borderId="0" xfId="112" applyFont="1" applyAlignment="1">
      <alignment horizontal="right"/>
    </xf>
    <xf numFmtId="0" fontId="10" fillId="0" borderId="0" xfId="112" quotePrefix="1" applyFont="1" applyAlignment="1">
      <alignment horizontal="left"/>
    </xf>
    <xf numFmtId="0" fontId="10" fillId="0" borderId="0" xfId="112" applyFont="1"/>
    <xf numFmtId="0" fontId="10" fillId="0" borderId="0" xfId="112" quotePrefix="1" applyFont="1" applyAlignment="1">
      <alignment horizontal="right" vertical="top"/>
    </xf>
    <xf numFmtId="179" fontId="10" fillId="0" borderId="0" xfId="111" applyNumberFormat="1" applyFont="1"/>
    <xf numFmtId="2" fontId="10" fillId="0" borderId="0" xfId="64" applyNumberFormat="1" applyFont="1" applyAlignment="1">
      <alignment horizontal="center"/>
    </xf>
    <xf numFmtId="14" fontId="10" fillId="0" borderId="0" xfId="64" applyNumberFormat="1" applyFont="1" applyAlignment="1">
      <alignment horizontal="right"/>
    </xf>
    <xf numFmtId="14" fontId="10" fillId="0" borderId="0" xfId="114" applyNumberFormat="1" applyFont="1"/>
    <xf numFmtId="10" fontId="10" fillId="0" borderId="0" xfId="115" applyNumberFormat="1" applyFont="1" applyFill="1" applyAlignment="1">
      <alignment horizontal="center" wrapText="1"/>
    </xf>
    <xf numFmtId="10" fontId="10" fillId="0" borderId="0" xfId="115" applyNumberFormat="1" applyFont="1" applyFill="1"/>
    <xf numFmtId="14" fontId="55" fillId="0" borderId="0" xfId="0" applyNumberFormat="1" applyFont="1" applyAlignment="1">
      <alignment horizontal="right"/>
    </xf>
    <xf numFmtId="0" fontId="9" fillId="0" borderId="0" xfId="64" applyFont="1"/>
    <xf numFmtId="10" fontId="9" fillId="0" borderId="0" xfId="115" applyNumberFormat="1" applyFont="1" applyFill="1"/>
    <xf numFmtId="4" fontId="10" fillId="0" borderId="0" xfId="112" applyNumberFormat="1" applyFont="1" applyAlignment="1">
      <alignment horizontal="right" wrapText="1"/>
    </xf>
    <xf numFmtId="4" fontId="10" fillId="0" borderId="0" xfId="0" applyNumberFormat="1" applyFont="1" applyAlignment="1">
      <alignment horizontal="right"/>
    </xf>
    <xf numFmtId="14" fontId="10" fillId="0" borderId="0" xfId="64" applyNumberFormat="1" applyFont="1"/>
    <xf numFmtId="14" fontId="10" fillId="0" borderId="0" xfId="112" applyNumberFormat="1" applyFont="1"/>
    <xf numFmtId="4" fontId="10" fillId="0" borderId="0" xfId="112" applyNumberFormat="1" applyFont="1"/>
    <xf numFmtId="10" fontId="9" fillId="0" borderId="0" xfId="64" applyNumberFormat="1" applyFont="1"/>
    <xf numFmtId="0" fontId="23" fillId="0" borderId="0" xfId="116" applyFont="1"/>
    <xf numFmtId="0" fontId="25" fillId="0" borderId="0" xfId="116" applyFont="1"/>
    <xf numFmtId="0" fontId="8" fillId="0" borderId="0" xfId="116" applyFont="1"/>
    <xf numFmtId="0" fontId="8" fillId="0" borderId="7" xfId="116" applyFont="1" applyBorder="1" applyAlignment="1">
      <alignment horizontal="center"/>
    </xf>
    <xf numFmtId="0" fontId="8" fillId="0" borderId="0" xfId="116" applyFont="1" applyAlignment="1">
      <alignment horizontal="center"/>
    </xf>
    <xf numFmtId="2" fontId="8" fillId="0" borderId="0" xfId="116" applyNumberFormat="1" applyFont="1"/>
    <xf numFmtId="0" fontId="8" fillId="0" borderId="0" xfId="116" applyFont="1" applyAlignment="1">
      <alignment wrapText="1"/>
    </xf>
    <xf numFmtId="169" fontId="8" fillId="0" borderId="0" xfId="116" applyNumberFormat="1" applyFont="1" applyAlignment="1">
      <alignment horizontal="center"/>
    </xf>
    <xf numFmtId="10" fontId="8" fillId="0" borderId="0" xfId="117" applyNumberFormat="1" applyFont="1" applyFill="1" applyAlignment="1">
      <alignment horizontal="center"/>
    </xf>
    <xf numFmtId="10" fontId="8" fillId="0" borderId="0" xfId="117" applyNumberFormat="1" applyFont="1" applyFill="1" applyBorder="1" applyAlignment="1">
      <alignment horizontal="center"/>
    </xf>
    <xf numFmtId="10" fontId="8" fillId="0" borderId="0" xfId="117" applyNumberFormat="1" applyFont="1" applyFill="1"/>
    <xf numFmtId="9" fontId="8" fillId="0" borderId="0" xfId="117" applyFont="1" applyFill="1"/>
    <xf numFmtId="0" fontId="8" fillId="0" borderId="7" xfId="116" applyFont="1" applyBorder="1"/>
    <xf numFmtId="0" fontId="65" fillId="0" borderId="20" xfId="94" applyFont="1" applyBorder="1" applyAlignment="1">
      <alignment horizontal="centerContinuous"/>
    </xf>
    <xf numFmtId="2" fontId="8" fillId="0" borderId="0" xfId="116" applyNumberFormat="1" applyFont="1" applyAlignment="1">
      <alignment horizontal="center"/>
    </xf>
    <xf numFmtId="0" fontId="25" fillId="0" borderId="1" xfId="94" applyFont="1" applyBorder="1"/>
    <xf numFmtId="0" fontId="65" fillId="0" borderId="20" xfId="94" applyFont="1" applyBorder="1" applyAlignment="1">
      <alignment horizontal="center"/>
    </xf>
    <xf numFmtId="0" fontId="7" fillId="0" borderId="0" xfId="116" applyFont="1" applyAlignment="1">
      <alignment horizontal="center"/>
    </xf>
    <xf numFmtId="0" fontId="37" fillId="0" borderId="1" xfId="94" applyFont="1" applyBorder="1"/>
    <xf numFmtId="0" fontId="6" fillId="0" borderId="0" xfId="116" applyFont="1"/>
    <xf numFmtId="0" fontId="7" fillId="0" borderId="0" xfId="116" applyFont="1" applyAlignment="1">
      <alignment horizontal="centerContinuous"/>
    </xf>
    <xf numFmtId="0" fontId="65" fillId="0" borderId="0" xfId="116" applyFont="1" applyAlignment="1">
      <alignment horizontal="centerContinuous"/>
    </xf>
    <xf numFmtId="0" fontId="65" fillId="0" borderId="0" xfId="116" applyFont="1" applyAlignment="1">
      <alignment horizontal="center"/>
    </xf>
    <xf numFmtId="0" fontId="46" fillId="0" borderId="0" xfId="64" applyFont="1" applyAlignment="1">
      <alignment horizontal="centerContinuous"/>
    </xf>
    <xf numFmtId="0" fontId="2" fillId="0" borderId="0" xfId="64" applyAlignment="1">
      <alignment horizontal="centerContinuous"/>
    </xf>
    <xf numFmtId="0" fontId="2" fillId="0" borderId="0" xfId="64"/>
    <xf numFmtId="0" fontId="2" fillId="0" borderId="0" xfId="64" applyAlignment="1">
      <alignment horizontal="center"/>
    </xf>
    <xf numFmtId="0" fontId="29" fillId="0" borderId="0" xfId="64" applyFont="1" applyAlignment="1">
      <alignment horizontal="center"/>
    </xf>
    <xf numFmtId="10" fontId="2" fillId="0" borderId="0" xfId="64" applyNumberFormat="1"/>
    <xf numFmtId="10" fontId="2" fillId="0" borderId="0" xfId="7" applyNumberFormat="1" applyFont="1" applyBorder="1" applyProtection="1"/>
    <xf numFmtId="0" fontId="46" fillId="0" borderId="0" xfId="64" applyFont="1"/>
    <xf numFmtId="0" fontId="2" fillId="0" borderId="7" xfId="64" applyBorder="1"/>
    <xf numFmtId="0" fontId="2" fillId="0" borderId="0" xfId="64" applyAlignment="1">
      <alignment horizontal="right"/>
    </xf>
    <xf numFmtId="203" fontId="2" fillId="0" borderId="0" xfId="64" applyNumberFormat="1" applyAlignment="1">
      <alignment horizontal="centerContinuous"/>
    </xf>
    <xf numFmtId="17" fontId="2" fillId="0" borderId="0" xfId="64" applyNumberFormat="1" applyAlignment="1">
      <alignment horizontal="right"/>
    </xf>
    <xf numFmtId="164" fontId="2" fillId="0" borderId="0" xfId="64" applyNumberFormat="1" applyAlignment="1">
      <alignment horizontal="center"/>
    </xf>
    <xf numFmtId="0" fontId="2" fillId="0" borderId="7" xfId="64" applyBorder="1" applyAlignment="1">
      <alignment horizontal="centerContinuous"/>
    </xf>
    <xf numFmtId="0" fontId="29" fillId="0" borderId="7" xfId="64" applyFont="1" applyBorder="1" applyAlignment="1">
      <alignment horizontal="centerContinuous"/>
    </xf>
    <xf numFmtId="14" fontId="29" fillId="0" borderId="7" xfId="64" applyNumberFormat="1" applyFont="1" applyBorder="1" applyAlignment="1">
      <alignment horizontal="centerContinuous"/>
    </xf>
    <xf numFmtId="14" fontId="2" fillId="0" borderId="0" xfId="64" applyNumberFormat="1"/>
    <xf numFmtId="14" fontId="2" fillId="0" borderId="7" xfId="64" applyNumberFormat="1" applyBorder="1" applyAlignment="1">
      <alignment horizontal="centerContinuous"/>
    </xf>
    <xf numFmtId="164" fontId="29" fillId="0" borderId="0" xfId="64" applyNumberFormat="1" applyFont="1" applyAlignment="1">
      <alignment horizontal="center"/>
    </xf>
    <xf numFmtId="164" fontId="2" fillId="0" borderId="0" xfId="64" applyNumberFormat="1"/>
    <xf numFmtId="43" fontId="2" fillId="0" borderId="0" xfId="118" applyFont="1" applyBorder="1" applyProtection="1"/>
    <xf numFmtId="176" fontId="2" fillId="0" borderId="0" xfId="118" applyNumberFormat="1" applyFont="1" applyBorder="1" applyProtection="1"/>
    <xf numFmtId="43" fontId="2" fillId="0" borderId="0" xfId="118" applyFont="1" applyFill="1" applyBorder="1" applyProtection="1"/>
    <xf numFmtId="10" fontId="2" fillId="0" borderId="0" xfId="7" applyNumberFormat="1" applyFont="1"/>
    <xf numFmtId="2" fontId="2" fillId="0" borderId="0" xfId="64" applyNumberFormat="1"/>
    <xf numFmtId="203" fontId="2" fillId="0" borderId="0" xfId="64" applyNumberFormat="1"/>
    <xf numFmtId="204" fontId="2" fillId="0" borderId="0" xfId="64" applyNumberFormat="1"/>
    <xf numFmtId="164" fontId="2" fillId="0" borderId="0" xfId="118" applyNumberFormat="1" applyFont="1" applyBorder="1" applyProtection="1"/>
    <xf numFmtId="204" fontId="2" fillId="0" borderId="0" xfId="118" applyNumberFormat="1" applyFont="1" applyFill="1" applyBorder="1" applyProtection="1"/>
    <xf numFmtId="194" fontId="2" fillId="0" borderId="0" xfId="64" applyNumberFormat="1"/>
    <xf numFmtId="0" fontId="2" fillId="0" borderId="0" xfId="64" quotePrefix="1"/>
    <xf numFmtId="0" fontId="46" fillId="0" borderId="0" xfId="64" quotePrefix="1" applyFont="1"/>
    <xf numFmtId="0" fontId="2" fillId="0" borderId="0" xfId="23" applyAlignment="1">
      <alignment horizontal="right"/>
    </xf>
    <xf numFmtId="0" fontId="46" fillId="0" borderId="0" xfId="23" applyFont="1" applyAlignment="1">
      <alignment horizontal="centerContinuous"/>
    </xf>
    <xf numFmtId="0" fontId="2" fillId="0" borderId="0" xfId="23" applyAlignment="1">
      <alignment horizontal="centerContinuous"/>
    </xf>
    <xf numFmtId="204" fontId="2" fillId="0" borderId="0" xfId="23" applyNumberFormat="1" applyAlignment="1">
      <alignment horizontal="centerContinuous"/>
    </xf>
    <xf numFmtId="0" fontId="29" fillId="0" borderId="0" xfId="23" applyFont="1" applyAlignment="1">
      <alignment horizontal="center"/>
    </xf>
    <xf numFmtId="0" fontId="29" fillId="0" borderId="0" xfId="23" applyFont="1"/>
    <xf numFmtId="10" fontId="2" fillId="0" borderId="0" xfId="23" applyNumberFormat="1"/>
    <xf numFmtId="205" fontId="2" fillId="0" borderId="0" xfId="23" applyNumberFormat="1"/>
    <xf numFmtId="204" fontId="2" fillId="0" borderId="0" xfId="23" applyNumberFormat="1"/>
    <xf numFmtId="10" fontId="46" fillId="0" borderId="0" xfId="23" applyNumberFormat="1" applyFont="1"/>
    <xf numFmtId="0" fontId="2" fillId="0" borderId="0" xfId="23" applyAlignment="1">
      <alignment horizontal="left"/>
    </xf>
    <xf numFmtId="0" fontId="29" fillId="0" borderId="0" xfId="23" applyFont="1" applyAlignment="1">
      <alignment horizontal="centerContinuous"/>
    </xf>
    <xf numFmtId="2" fontId="2" fillId="0" borderId="0" xfId="23" applyNumberFormat="1"/>
    <xf numFmtId="2" fontId="2" fillId="0" borderId="0" xfId="118" applyNumberFormat="1" applyFont="1" applyFill="1" applyProtection="1"/>
    <xf numFmtId="2" fontId="12" fillId="0" borderId="0" xfId="23" applyNumberFormat="1" applyFont="1" applyAlignment="1">
      <alignment horizontal="center"/>
    </xf>
    <xf numFmtId="17" fontId="2" fillId="0" borderId="0" xfId="23" applyNumberFormat="1" applyAlignment="1">
      <alignment horizontal="left"/>
    </xf>
    <xf numFmtId="10" fontId="29" fillId="0" borderId="0" xfId="23" applyNumberFormat="1" applyFont="1"/>
    <xf numFmtId="2" fontId="29" fillId="0" borderId="0" xfId="23" applyNumberFormat="1" applyFont="1"/>
    <xf numFmtId="2" fontId="29" fillId="0" borderId="0" xfId="118" applyNumberFormat="1" applyFont="1" applyFill="1" applyProtection="1"/>
    <xf numFmtId="10" fontId="2" fillId="0" borderId="0" xfId="7" applyNumberFormat="1" applyFont="1" applyFill="1"/>
    <xf numFmtId="10" fontId="2" fillId="0" borderId="0" xfId="7" applyNumberFormat="1" applyFont="1" applyFill="1" applyProtection="1"/>
    <xf numFmtId="0" fontId="2" fillId="0" borderId="0" xfId="23" quotePrefix="1"/>
    <xf numFmtId="17" fontId="2" fillId="0" borderId="0" xfId="23" quotePrefix="1" applyNumberFormat="1"/>
    <xf numFmtId="0" fontId="2" fillId="0" borderId="7" xfId="23" applyBorder="1" applyAlignment="1">
      <alignment horizontal="center"/>
    </xf>
    <xf numFmtId="10" fontId="2" fillId="0" borderId="0" xfId="122" applyNumberFormat="1" applyFont="1" applyFill="1"/>
    <xf numFmtId="10" fontId="29" fillId="0" borderId="0" xfId="122" applyNumberFormat="1" applyFont="1" applyFill="1"/>
    <xf numFmtId="10" fontId="0" fillId="0" borderId="0" xfId="125" applyNumberFormat="1" applyFont="1" applyFill="1"/>
    <xf numFmtId="10" fontId="0" fillId="0" borderId="0" xfId="7" applyNumberFormat="1" applyFont="1" applyFill="1"/>
    <xf numFmtId="10" fontId="2" fillId="0" borderId="0" xfId="125" applyNumberFormat="1" applyFont="1" applyFill="1"/>
    <xf numFmtId="0" fontId="46" fillId="0" borderId="0" xfId="23" applyFont="1"/>
    <xf numFmtId="10" fontId="46" fillId="0" borderId="0" xfId="23" applyNumberFormat="1" applyFont="1" applyAlignment="1">
      <alignment horizontal="right"/>
    </xf>
    <xf numFmtId="0" fontId="16" fillId="0" borderId="0" xfId="23" applyFont="1"/>
    <xf numFmtId="43" fontId="2" fillId="0" borderId="0" xfId="123" applyFont="1" applyFill="1"/>
    <xf numFmtId="10" fontId="0" fillId="0" borderId="0" xfId="122" applyNumberFormat="1" applyFont="1" applyFill="1"/>
    <xf numFmtId="10" fontId="66" fillId="0" borderId="0" xfId="23" applyNumberFormat="1" applyFont="1"/>
    <xf numFmtId="0" fontId="2" fillId="0" borderId="7" xfId="23" applyBorder="1"/>
    <xf numFmtId="2" fontId="23" fillId="0" borderId="0" xfId="120" applyNumberFormat="1" applyFont="1"/>
    <xf numFmtId="0" fontId="8" fillId="0" borderId="0" xfId="121" applyFont="1"/>
    <xf numFmtId="0" fontId="8" fillId="0" borderId="0" xfId="121" applyFont="1" applyAlignment="1">
      <alignment horizontal="center"/>
    </xf>
    <xf numFmtId="0" fontId="23" fillId="0" borderId="0" xfId="121" applyFont="1"/>
    <xf numFmtId="0" fontId="25" fillId="0" borderId="0" xfId="120" applyFont="1"/>
    <xf numFmtId="10" fontId="8" fillId="0" borderId="0" xfId="121" applyNumberFormat="1" applyFont="1"/>
    <xf numFmtId="0" fontId="8" fillId="0" borderId="7" xfId="121" applyFont="1" applyBorder="1" applyAlignment="1">
      <alignment horizontal="center"/>
    </xf>
    <xf numFmtId="0" fontId="6" fillId="0" borderId="0" xfId="121" applyFont="1"/>
    <xf numFmtId="10" fontId="8" fillId="0" borderId="0" xfId="122" applyNumberFormat="1" applyFont="1" applyFill="1"/>
    <xf numFmtId="10" fontId="8" fillId="0" borderId="0" xfId="122" quotePrefix="1" applyNumberFormat="1" applyFont="1" applyFill="1"/>
    <xf numFmtId="0" fontId="8" fillId="0" borderId="0" xfId="121" quotePrefix="1" applyFont="1"/>
    <xf numFmtId="10" fontId="8" fillId="0" borderId="7" xfId="120" applyNumberFormat="1" applyFont="1" applyBorder="1"/>
    <xf numFmtId="10" fontId="8" fillId="0" borderId="7" xfId="121" applyNumberFormat="1" applyFont="1" applyBorder="1"/>
    <xf numFmtId="10" fontId="6" fillId="0" borderId="19" xfId="121" applyNumberFormat="1" applyFont="1" applyBorder="1"/>
    <xf numFmtId="0" fontId="8" fillId="0" borderId="0" xfId="120" applyFont="1"/>
    <xf numFmtId="2" fontId="8" fillId="0" borderId="0" xfId="121" applyNumberFormat="1" applyFont="1"/>
    <xf numFmtId="2" fontId="8" fillId="0" borderId="7" xfId="120" applyNumberFormat="1" applyFont="1" applyBorder="1"/>
    <xf numFmtId="2" fontId="23" fillId="0" borderId="0" xfId="121" applyNumberFormat="1" applyFont="1"/>
    <xf numFmtId="10" fontId="23" fillId="0" borderId="0" xfId="121" applyNumberFormat="1" applyFont="1"/>
    <xf numFmtId="0" fontId="67" fillId="0" borderId="0" xfId="121" applyFont="1"/>
    <xf numFmtId="10" fontId="6" fillId="0" borderId="19" xfId="120" applyNumberFormat="1" applyFont="1" applyBorder="1"/>
    <xf numFmtId="10" fontId="67" fillId="0" borderId="0" xfId="121" applyNumberFormat="1" applyFont="1"/>
    <xf numFmtId="10" fontId="6" fillId="0" borderId="0" xfId="121" applyNumberFormat="1" applyFont="1"/>
    <xf numFmtId="43" fontId="8" fillId="0" borderId="7" xfId="123" applyFont="1" applyFill="1" applyBorder="1"/>
    <xf numFmtId="43" fontId="8" fillId="0" borderId="0" xfId="123" applyFont="1" applyFill="1"/>
    <xf numFmtId="10" fontId="68" fillId="0" borderId="0" xfId="121" applyNumberFormat="1" applyFont="1"/>
    <xf numFmtId="0" fontId="8" fillId="0" borderId="7" xfId="121" applyFont="1" applyBorder="1" applyAlignment="1">
      <alignment horizontal="center" wrapText="1"/>
    </xf>
    <xf numFmtId="0" fontId="8" fillId="0" borderId="0" xfId="121" applyFont="1" applyAlignment="1">
      <alignment horizontal="left" indent="6"/>
    </xf>
    <xf numFmtId="10" fontId="8" fillId="0" borderId="0" xfId="124" applyNumberFormat="1" applyFont="1" applyFill="1"/>
    <xf numFmtId="0" fontId="8" fillId="0" borderId="0" xfId="121" quotePrefix="1" applyFont="1" applyAlignment="1">
      <alignment wrapText="1"/>
    </xf>
    <xf numFmtId="0" fontId="8" fillId="0" borderId="0" xfId="121" applyFont="1" applyAlignment="1">
      <alignment horizontal="left" indent="2"/>
    </xf>
    <xf numFmtId="0" fontId="25" fillId="0" borderId="0" xfId="116" quotePrefix="1" applyFont="1" applyAlignment="1">
      <alignment horizontal="center"/>
    </xf>
    <xf numFmtId="0" fontId="25" fillId="0" borderId="7" xfId="116" applyFont="1" applyBorder="1"/>
    <xf numFmtId="0" fontId="25" fillId="0" borderId="7" xfId="116" applyFont="1" applyBorder="1" applyAlignment="1">
      <alignment horizontal="center" wrapText="1"/>
    </xf>
    <xf numFmtId="0" fontId="25" fillId="0" borderId="7" xfId="126" applyFont="1" applyBorder="1" applyAlignment="1">
      <alignment horizontal="center" wrapText="1"/>
    </xf>
    <xf numFmtId="0" fontId="25" fillId="0" borderId="0" xfId="127" applyFont="1"/>
    <xf numFmtId="10" fontId="25" fillId="0" borderId="0" xfId="116" applyNumberFormat="1" applyFont="1"/>
    <xf numFmtId="0" fontId="25" fillId="0" borderId="0" xfId="127" applyFont="1" applyAlignment="1">
      <alignment horizontal="right"/>
    </xf>
    <xf numFmtId="10" fontId="25" fillId="0" borderId="0" xfId="11" applyNumberFormat="1" applyFont="1" applyFill="1"/>
    <xf numFmtId="0" fontId="25" fillId="0" borderId="26" xfId="116" applyFont="1" applyBorder="1"/>
    <xf numFmtId="10" fontId="37" fillId="0" borderId="0" xfId="116" applyNumberFormat="1" applyFont="1"/>
    <xf numFmtId="0" fontId="25" fillId="0" borderId="0" xfId="128" applyFont="1"/>
    <xf numFmtId="0" fontId="5" fillId="0" borderId="0" xfId="129" applyFont="1"/>
    <xf numFmtId="14" fontId="5" fillId="0" borderId="0" xfId="127" applyNumberFormat="1" applyFont="1"/>
    <xf numFmtId="10" fontId="5" fillId="0" borderId="0" xfId="129" applyNumberFormat="1" applyFont="1"/>
    <xf numFmtId="0" fontId="5" fillId="0" borderId="0" xfId="127" applyFont="1"/>
    <xf numFmtId="14" fontId="10" fillId="0" borderId="0" xfId="127" quotePrefix="1" applyNumberFormat="1" applyFont="1" applyAlignment="1">
      <alignment horizontal="right"/>
    </xf>
    <xf numFmtId="0" fontId="25" fillId="0" borderId="7" xfId="127" applyFont="1" applyBorder="1" applyAlignment="1">
      <alignment horizontal="center"/>
    </xf>
    <xf numFmtId="0" fontId="25" fillId="0" borderId="7" xfId="127" applyFont="1" applyBorder="1" applyAlignment="1">
      <alignment horizontal="center" wrapText="1"/>
    </xf>
    <xf numFmtId="0" fontId="25" fillId="0" borderId="7" xfId="127" applyFont="1" applyBorder="1" applyAlignment="1">
      <alignment wrapText="1"/>
    </xf>
    <xf numFmtId="10" fontId="25" fillId="0" borderId="0" xfId="11" applyNumberFormat="1" applyFont="1" applyFill="1" applyBorder="1" applyAlignment="1">
      <alignment horizontal="center" wrapText="1"/>
    </xf>
    <xf numFmtId="0" fontId="25" fillId="0" borderId="0" xfId="127" applyFont="1" applyAlignment="1">
      <alignment horizontal="center" wrapText="1"/>
    </xf>
    <xf numFmtId="10" fontId="25" fillId="0" borderId="0" xfId="130" applyNumberFormat="1" applyFont="1" applyFill="1"/>
    <xf numFmtId="0" fontId="25" fillId="0" borderId="0" xfId="127" applyFont="1" applyAlignment="1">
      <alignment wrapText="1"/>
    </xf>
    <xf numFmtId="10" fontId="25" fillId="0" borderId="0" xfId="128" applyNumberFormat="1" applyFont="1" applyAlignment="1">
      <alignment horizontal="right"/>
    </xf>
    <xf numFmtId="10" fontId="25" fillId="0" borderId="0" xfId="127" applyNumberFormat="1" applyFont="1"/>
    <xf numFmtId="0" fontId="25" fillId="8" borderId="0" xfId="127" applyFont="1" applyFill="1"/>
    <xf numFmtId="10" fontId="5" fillId="8" borderId="0" xfId="127" applyNumberFormat="1" applyFont="1" applyFill="1"/>
    <xf numFmtId="10" fontId="5" fillId="0" borderId="0" xfId="127" applyNumberFormat="1" applyFont="1"/>
    <xf numFmtId="0" fontId="5" fillId="8" borderId="0" xfId="127" applyFont="1" applyFill="1"/>
    <xf numFmtId="0" fontId="1" fillId="0" borderId="0" xfId="105"/>
    <xf numFmtId="0" fontId="0" fillId="0" borderId="0" xfId="105" applyFont="1"/>
    <xf numFmtId="10" fontId="1" fillId="0" borderId="0" xfId="105" applyNumberFormat="1"/>
    <xf numFmtId="0" fontId="1" fillId="0" borderId="0" xfId="127"/>
    <xf numFmtId="0" fontId="1" fillId="0" borderId="0" xfId="126"/>
    <xf numFmtId="10" fontId="0" fillId="0" borderId="0" xfId="131" applyNumberFormat="1" applyFont="1"/>
    <xf numFmtId="10" fontId="1" fillId="0" borderId="0" xfId="126" applyNumberFormat="1"/>
    <xf numFmtId="0" fontId="34" fillId="0" borderId="0" xfId="132" applyFont="1"/>
    <xf numFmtId="0" fontId="25" fillId="0" borderId="0" xfId="132" applyFont="1"/>
    <xf numFmtId="0" fontId="53" fillId="0" borderId="0" xfId="64" applyFont="1" applyAlignment="1">
      <alignment vertical="center"/>
    </xf>
    <xf numFmtId="0" fontId="34" fillId="0" borderId="0" xfId="133" applyFont="1" applyAlignment="1">
      <alignment horizontal="centerContinuous"/>
    </xf>
    <xf numFmtId="0" fontId="34" fillId="0" borderId="0" xfId="133" applyFont="1" applyAlignment="1">
      <alignment horizontal="center"/>
    </xf>
    <xf numFmtId="0" fontId="25" fillId="0" borderId="0" xfId="132" applyFont="1" applyAlignment="1">
      <alignment horizontal="center" wrapText="1"/>
    </xf>
    <xf numFmtId="0" fontId="34" fillId="0" borderId="0" xfId="133" applyFont="1" applyAlignment="1">
      <alignment horizontal="center" wrapText="1"/>
    </xf>
    <xf numFmtId="0" fontId="25" fillId="0" borderId="0" xfId="132" applyFont="1" applyAlignment="1">
      <alignment horizontal="center"/>
    </xf>
    <xf numFmtId="0" fontId="63" fillId="0" borderId="35" xfId="64" applyFont="1" applyBorder="1" applyAlignment="1">
      <alignment horizontal="center" vertical="center" wrapText="1"/>
    </xf>
    <xf numFmtId="0" fontId="63" fillId="0" borderId="26" xfId="64" applyFont="1" applyBorder="1" applyAlignment="1">
      <alignment horizontal="center" vertical="center" wrapText="1"/>
    </xf>
    <xf numFmtId="0" fontId="63" fillId="0" borderId="0" xfId="64" applyFont="1" applyAlignment="1">
      <alignment horizontal="center" vertical="center" wrapText="1"/>
    </xf>
    <xf numFmtId="0" fontId="25" fillId="0" borderId="0" xfId="134" applyFont="1" applyAlignment="1">
      <alignment horizontal="center"/>
    </xf>
    <xf numFmtId="1" fontId="53" fillId="0" borderId="26" xfId="64" applyNumberFormat="1" applyFont="1" applyBorder="1" applyAlignment="1">
      <alignment horizontal="center" vertical="center"/>
    </xf>
    <xf numFmtId="10" fontId="53" fillId="0" borderId="26" xfId="135" applyNumberFormat="1" applyFont="1" applyFill="1" applyBorder="1" applyAlignment="1">
      <alignment horizontal="center" vertical="center"/>
    </xf>
    <xf numFmtId="14" fontId="34" fillId="0" borderId="0" xfId="132" applyNumberFormat="1" applyFont="1"/>
    <xf numFmtId="10" fontId="25" fillId="0" borderId="0" xfId="117" applyNumberFormat="1" applyFont="1"/>
    <xf numFmtId="10" fontId="25" fillId="0" borderId="0" xfId="132" applyNumberFormat="1" applyFont="1"/>
    <xf numFmtId="1" fontId="53" fillId="0" borderId="0" xfId="64" applyNumberFormat="1" applyFont="1" applyAlignment="1">
      <alignment horizontal="center" vertical="center"/>
    </xf>
    <xf numFmtId="10" fontId="53" fillId="0" borderId="0" xfId="135" applyNumberFormat="1" applyFont="1" applyFill="1" applyAlignment="1">
      <alignment horizontal="center" vertical="center"/>
    </xf>
    <xf numFmtId="1" fontId="53" fillId="0" borderId="7" xfId="64" applyNumberFormat="1" applyFont="1" applyBorder="1" applyAlignment="1">
      <alignment horizontal="center" vertical="center"/>
    </xf>
    <xf numFmtId="10" fontId="53" fillId="0" borderId="7" xfId="135" applyNumberFormat="1" applyFont="1" applyFill="1" applyBorder="1" applyAlignment="1">
      <alignment horizontal="center" vertical="center"/>
    </xf>
    <xf numFmtId="0" fontId="34" fillId="0" borderId="0" xfId="136" applyNumberFormat="1" applyFont="1" applyFill="1"/>
    <xf numFmtId="10" fontId="34" fillId="0" borderId="0" xfId="137" applyNumberFormat="1" applyFont="1" applyFill="1" applyBorder="1"/>
    <xf numFmtId="0" fontId="71" fillId="0" borderId="0" xfId="138" applyFont="1" applyAlignment="1">
      <alignment vertical="top"/>
    </xf>
    <xf numFmtId="43" fontId="72" fillId="0" borderId="20" xfId="139" applyFont="1" applyFill="1" applyBorder="1" applyAlignment="1">
      <alignment horizontal="center" vertical="top"/>
    </xf>
    <xf numFmtId="0" fontId="72" fillId="0" borderId="20" xfId="138" applyFont="1" applyBorder="1" applyAlignment="1">
      <alignment horizontal="center" vertical="top"/>
    </xf>
    <xf numFmtId="10" fontId="34" fillId="0" borderId="0" xfId="137" applyNumberFormat="1" applyFont="1" applyFill="1"/>
    <xf numFmtId="0" fontId="71" fillId="0" borderId="0" xfId="138" applyFont="1" applyAlignment="1">
      <alignment horizontal="center" vertical="top"/>
    </xf>
    <xf numFmtId="201" fontId="34" fillId="0" borderId="0" xfId="140" applyNumberFormat="1" applyFont="1" applyFill="1" applyAlignment="1">
      <alignment horizontal="center" vertical="top"/>
    </xf>
    <xf numFmtId="0" fontId="34" fillId="0" borderId="0" xfId="133" applyFont="1"/>
    <xf numFmtId="10" fontId="34" fillId="0" borderId="1" xfId="137" applyNumberFormat="1" applyFont="1" applyFill="1" applyBorder="1"/>
    <xf numFmtId="1" fontId="34" fillId="0" borderId="1" xfId="140" applyNumberFormat="1" applyFont="1" applyFill="1" applyBorder="1" applyAlignment="1">
      <alignment horizontal="center" vertical="top"/>
    </xf>
    <xf numFmtId="201" fontId="34" fillId="0" borderId="1" xfId="140" applyNumberFormat="1" applyFont="1" applyFill="1" applyBorder="1" applyAlignment="1">
      <alignment horizontal="center" vertical="top"/>
    </xf>
    <xf numFmtId="10" fontId="73" fillId="0" borderId="0" xfId="141" applyNumberFormat="1" applyFont="1" applyFill="1" applyAlignment="1">
      <alignment horizontal="center"/>
    </xf>
    <xf numFmtId="201" fontId="71" fillId="0" borderId="0" xfId="141" applyNumberFormat="1" applyFont="1" applyFill="1" applyAlignment="1">
      <alignment horizontal="center" vertical="top"/>
    </xf>
    <xf numFmtId="0" fontId="71" fillId="0" borderId="0" xfId="139" applyNumberFormat="1" applyFont="1" applyFill="1" applyAlignment="1">
      <alignment horizontal="left" vertical="top"/>
    </xf>
    <xf numFmtId="0" fontId="53" fillId="0" borderId="0" xfId="133" applyFont="1"/>
    <xf numFmtId="0" fontId="74" fillId="0" borderId="0" xfId="133" applyFont="1" applyAlignment="1">
      <alignment horizontal="right"/>
    </xf>
    <xf numFmtId="10" fontId="74" fillId="0" borderId="0" xfId="64" applyNumberFormat="1" applyFont="1" applyAlignment="1">
      <alignment horizontal="center" vertical="center" wrapText="1"/>
    </xf>
    <xf numFmtId="0" fontId="53" fillId="0" borderId="0" xfId="111" applyFont="1"/>
    <xf numFmtId="0" fontId="53" fillId="0" borderId="0" xfId="132" applyFont="1"/>
    <xf numFmtId="10" fontId="74" fillId="0" borderId="0" xfId="11" applyNumberFormat="1" applyFont="1" applyFill="1" applyAlignment="1">
      <alignment horizontal="right" vertical="top"/>
    </xf>
    <xf numFmtId="10" fontId="34" fillId="0" borderId="0" xfId="4" applyNumberFormat="1" applyFont="1" applyFill="1"/>
    <xf numFmtId="14" fontId="53" fillId="0" borderId="0" xfId="111" applyNumberFormat="1" applyFont="1"/>
    <xf numFmtId="0" fontId="53" fillId="0" borderId="0" xfId="64" applyFont="1" applyAlignment="1">
      <alignment horizontal="center" vertical="center"/>
    </xf>
    <xf numFmtId="0" fontId="53" fillId="0" borderId="26" xfId="64" applyFont="1" applyBorder="1" applyAlignment="1">
      <alignment horizontal="center" vertical="center"/>
    </xf>
    <xf numFmtId="10" fontId="34" fillId="0" borderId="0" xfId="132" applyNumberFormat="1" applyFont="1" applyAlignment="1">
      <alignment horizontal="center"/>
    </xf>
    <xf numFmtId="10" fontId="53" fillId="0" borderId="0" xfId="135" applyNumberFormat="1" applyFont="1" applyFill="1" applyBorder="1" applyAlignment="1">
      <alignment horizontal="center" vertical="center"/>
    </xf>
    <xf numFmtId="0" fontId="53" fillId="0" borderId="7" xfId="64" applyFont="1" applyBorder="1" applyAlignment="1">
      <alignment horizontal="center" vertical="center"/>
    </xf>
    <xf numFmtId="10" fontId="34" fillId="0" borderId="7" xfId="132" applyNumberFormat="1" applyFont="1" applyBorder="1" applyAlignment="1">
      <alignment horizontal="center"/>
    </xf>
    <xf numFmtId="1" fontId="34" fillId="0" borderId="0" xfId="132" applyNumberFormat="1" applyFont="1"/>
    <xf numFmtId="0" fontId="53" fillId="0" borderId="0" xfId="64" applyFont="1" applyAlignment="1">
      <alignment horizontal="right" vertical="center"/>
    </xf>
    <xf numFmtId="0" fontId="53" fillId="0" borderId="0" xfId="64" applyFont="1" applyAlignment="1">
      <alignment vertical="center" wrapText="1"/>
    </xf>
    <xf numFmtId="0" fontId="34" fillId="0" borderId="0" xfId="133" applyFont="1" applyAlignment="1">
      <alignment horizontal="left" wrapText="1"/>
    </xf>
    <xf numFmtId="14" fontId="34" fillId="0" borderId="0" xfId="133" applyNumberFormat="1" applyFont="1" applyAlignment="1">
      <alignment horizontal="left" wrapText="1"/>
    </xf>
    <xf numFmtId="2" fontId="34" fillId="0" borderId="0" xfId="11" applyNumberFormat="1" applyFont="1" applyFill="1" applyAlignment="1">
      <alignment horizontal="center" wrapText="1"/>
    </xf>
    <xf numFmtId="201" fontId="71" fillId="0" borderId="0" xfId="142" applyNumberFormat="1" applyFont="1" applyFill="1" applyAlignment="1">
      <alignment horizontal="left" vertical="top"/>
    </xf>
    <xf numFmtId="10" fontId="34" fillId="0" borderId="0" xfId="11" applyNumberFormat="1" applyFont="1" applyFill="1" applyAlignment="1">
      <alignment horizontal="center" wrapText="1"/>
    </xf>
    <xf numFmtId="10" fontId="53" fillId="0" borderId="0" xfId="135" applyNumberFormat="1" applyFont="1" applyFill="1" applyAlignment="1">
      <alignment horizontal="center"/>
    </xf>
    <xf numFmtId="10" fontId="34" fillId="0" borderId="0" xfId="135" applyNumberFormat="1" applyFont="1" applyFill="1" applyAlignment="1">
      <alignment horizontal="center"/>
    </xf>
    <xf numFmtId="0" fontId="71" fillId="0" borderId="0" xfId="138" applyFont="1" applyAlignment="1">
      <alignment horizontal="left" vertical="top"/>
    </xf>
    <xf numFmtId="0" fontId="34" fillId="0" borderId="0" xfId="143" applyFont="1"/>
    <xf numFmtId="0" fontId="75" fillId="0" borderId="0" xfId="23" applyFont="1" applyAlignment="1">
      <alignment horizontal="center"/>
    </xf>
    <xf numFmtId="0" fontId="76" fillId="0" borderId="0" xfId="148" applyFont="1" applyAlignment="1">
      <alignment horizontal="center"/>
    </xf>
    <xf numFmtId="0" fontId="59" fillId="0" borderId="0" xfId="148" applyFont="1"/>
    <xf numFmtId="0" fontId="34" fillId="0" borderId="0" xfId="148" applyFont="1" applyAlignment="1">
      <alignment horizontal="center" wrapText="1"/>
    </xf>
    <xf numFmtId="0" fontId="34" fillId="0" borderId="0" xfId="148" applyFont="1" applyAlignment="1">
      <alignment wrapText="1"/>
    </xf>
    <xf numFmtId="172" fontId="53" fillId="0" borderId="0" xfId="23" applyNumberFormat="1" applyFont="1" applyAlignment="1">
      <alignment horizontal="right"/>
    </xf>
    <xf numFmtId="10" fontId="53" fillId="0" borderId="0" xfId="59" applyNumberFormat="1" applyFont="1" applyFill="1"/>
    <xf numFmtId="0" fontId="76" fillId="0" borderId="20" xfId="132" applyFont="1" applyBorder="1" applyAlignment="1">
      <alignment horizontal="centerContinuous"/>
    </xf>
    <xf numFmtId="0" fontId="75" fillId="0" borderId="0" xfId="23" applyFont="1" applyAlignment="1">
      <alignment horizontal="left"/>
    </xf>
    <xf numFmtId="164" fontId="34" fillId="0" borderId="0" xfId="132" applyNumberFormat="1" applyFont="1"/>
    <xf numFmtId="0" fontId="34" fillId="0" borderId="1" xfId="132" applyFont="1" applyBorder="1"/>
    <xf numFmtId="0" fontId="12" fillId="0" borderId="0" xfId="132"/>
    <xf numFmtId="0" fontId="78" fillId="0" borderId="20" xfId="132" applyFont="1" applyBorder="1" applyAlignment="1">
      <alignment horizontal="center"/>
    </xf>
    <xf numFmtId="0" fontId="12" fillId="0" borderId="1" xfId="132" applyBorder="1"/>
    <xf numFmtId="182" fontId="12" fillId="0" borderId="0" xfId="132" applyNumberFormat="1" applyAlignment="1">
      <alignment horizontal="center"/>
    </xf>
    <xf numFmtId="182" fontId="12" fillId="0" borderId="1" xfId="132" applyNumberFormat="1" applyBorder="1" applyAlignment="1">
      <alignment horizontal="center"/>
    </xf>
    <xf numFmtId="0" fontId="75" fillId="0" borderId="0" xfId="23" applyFont="1" applyAlignment="1">
      <alignment horizontal="centerContinuous"/>
    </xf>
    <xf numFmtId="0" fontId="53" fillId="0" borderId="0" xfId="23" applyFont="1" applyAlignment="1">
      <alignment horizontal="left"/>
    </xf>
    <xf numFmtId="172" fontId="53" fillId="0" borderId="0" xfId="150" applyNumberFormat="1" applyFont="1" applyAlignment="1">
      <alignment horizontal="right"/>
    </xf>
    <xf numFmtId="10" fontId="34" fillId="0" borderId="0" xfId="148" applyNumberFormat="1" applyFont="1"/>
    <xf numFmtId="0" fontId="34" fillId="0" borderId="0" xfId="148" applyFont="1"/>
    <xf numFmtId="0" fontId="80" fillId="0" borderId="0" xfId="151" applyFont="1" applyFill="1"/>
    <xf numFmtId="14" fontId="12" fillId="0" borderId="0" xfId="132" applyNumberFormat="1"/>
    <xf numFmtId="14" fontId="53" fillId="0" borderId="0" xfId="23" applyNumberFormat="1" applyFont="1" applyAlignment="1">
      <alignment horizontal="right"/>
    </xf>
    <xf numFmtId="10" fontId="12" fillId="0" borderId="0" xfId="132" applyNumberFormat="1"/>
    <xf numFmtId="2" fontId="34" fillId="0" borderId="0" xfId="132" applyNumberFormat="1" applyFont="1"/>
    <xf numFmtId="0" fontId="25" fillId="0" borderId="0" xfId="105" applyFont="1" applyAlignment="1">
      <alignment horizontal="left"/>
    </xf>
    <xf numFmtId="0" fontId="37" fillId="0" borderId="0" xfId="105" applyFont="1"/>
    <xf numFmtId="0" fontId="25" fillId="0" borderId="0" xfId="105" applyFont="1"/>
    <xf numFmtId="0" fontId="25" fillId="0" borderId="7" xfId="105" applyFont="1" applyBorder="1"/>
    <xf numFmtId="0" fontId="25" fillId="0" borderId="7" xfId="106" applyFont="1" applyBorder="1" applyAlignment="1">
      <alignment horizontal="center" wrapText="1"/>
    </xf>
    <xf numFmtId="0" fontId="25" fillId="0" borderId="0" xfId="106" applyFont="1" applyAlignment="1">
      <alignment horizontal="left"/>
    </xf>
    <xf numFmtId="2" fontId="25" fillId="0" borderId="0" xfId="105" applyNumberFormat="1" applyFont="1" applyAlignment="1">
      <alignment horizontal="center"/>
    </xf>
    <xf numFmtId="0" fontId="25" fillId="0" borderId="0" xfId="106" applyFont="1" applyAlignment="1">
      <alignment horizontal="right"/>
    </xf>
    <xf numFmtId="2" fontId="25" fillId="0" borderId="7" xfId="106" applyNumberFormat="1" applyFont="1" applyBorder="1" applyAlignment="1">
      <alignment horizontal="center" wrapText="1"/>
    </xf>
    <xf numFmtId="164" fontId="25" fillId="0" borderId="0" xfId="105" applyNumberFormat="1" applyFont="1"/>
    <xf numFmtId="0" fontId="25" fillId="0" borderId="7" xfId="105" applyFont="1" applyBorder="1" applyAlignment="1">
      <alignment horizontal="left"/>
    </xf>
    <xf numFmtId="0" fontId="25" fillId="0" borderId="7" xfId="106" applyFont="1" applyBorder="1" applyAlignment="1">
      <alignment wrapText="1"/>
    </xf>
    <xf numFmtId="43" fontId="25" fillId="0" borderId="0" xfId="106" applyNumberFormat="1" applyFont="1" applyAlignment="1">
      <alignment horizontal="left"/>
    </xf>
    <xf numFmtId="0" fontId="25" fillId="0" borderId="26" xfId="105" applyFont="1" applyBorder="1"/>
    <xf numFmtId="0" fontId="25" fillId="0" borderId="7" xfId="106" applyFont="1" applyBorder="1" applyAlignment="1">
      <alignment horizontal="left" wrapText="1"/>
    </xf>
    <xf numFmtId="0" fontId="25" fillId="0" borderId="0" xfId="105" applyFont="1" applyAlignment="1">
      <alignment horizontal="center"/>
    </xf>
    <xf numFmtId="0" fontId="81" fillId="0" borderId="0" xfId="0" applyFont="1"/>
    <xf numFmtId="0" fontId="25" fillId="0" borderId="26" xfId="105" applyFont="1" applyBorder="1" applyAlignment="1">
      <alignment horizontal="center"/>
    </xf>
    <xf numFmtId="0" fontId="12" fillId="0" borderId="0" xfId="120" applyFont="1"/>
    <xf numFmtId="0" fontId="1" fillId="0" borderId="0" xfId="120"/>
    <xf numFmtId="0" fontId="60" fillId="0" borderId="0" xfId="120" applyFont="1"/>
    <xf numFmtId="15" fontId="1" fillId="0" borderId="0" xfId="120" applyNumberFormat="1"/>
    <xf numFmtId="0" fontId="82" fillId="0" borderId="0" xfId="120" applyFont="1"/>
    <xf numFmtId="0" fontId="1" fillId="0" borderId="0" xfId="120" applyAlignment="1">
      <alignment horizontal="center" wrapText="1"/>
    </xf>
    <xf numFmtId="172" fontId="1" fillId="0" borderId="0" xfId="120" applyNumberFormat="1" applyAlignment="1">
      <alignment horizontal="right"/>
    </xf>
    <xf numFmtId="10" fontId="12" fillId="0" borderId="0" xfId="152" applyNumberFormat="1" applyFont="1" applyFill="1"/>
    <xf numFmtId="10" fontId="12" fillId="0" borderId="0" xfId="120" applyNumberFormat="1" applyFont="1"/>
    <xf numFmtId="0" fontId="8" fillId="0" borderId="26" xfId="48" applyFont="1" applyBorder="1" applyAlignment="1">
      <alignment horizontal="center"/>
    </xf>
    <xf numFmtId="0" fontId="8" fillId="0" borderId="26" xfId="48" applyFont="1" applyBorder="1"/>
    <xf numFmtId="0" fontId="81" fillId="0" borderId="0" xfId="107" applyFont="1"/>
    <xf numFmtId="201" fontId="25" fillId="0" borderId="0" xfId="94" applyNumberFormat="1" applyFont="1" applyAlignment="1">
      <alignment horizontal="right"/>
    </xf>
    <xf numFmtId="0" fontId="8" fillId="3" borderId="0" xfId="23" applyFont="1" applyFill="1" applyAlignment="1">
      <alignment horizontal="center" wrapText="1"/>
    </xf>
    <xf numFmtId="14" fontId="8" fillId="0" borderId="0" xfId="23" applyNumberFormat="1" applyFont="1" applyAlignment="1">
      <alignment horizontal="left" vertical="top"/>
    </xf>
    <xf numFmtId="202" fontId="8" fillId="0" borderId="0" xfId="23" applyNumberFormat="1" applyFont="1" applyAlignment="1">
      <alignment horizontal="right" vertical="top"/>
    </xf>
    <xf numFmtId="202" fontId="8" fillId="0" borderId="0" xfId="23" applyNumberFormat="1" applyFont="1"/>
    <xf numFmtId="39" fontId="25" fillId="0" borderId="0" xfId="105" applyNumberFormat="1" applyFont="1"/>
    <xf numFmtId="0" fontId="25" fillId="5" borderId="0" xfId="23" applyFont="1" applyFill="1"/>
    <xf numFmtId="0" fontId="25" fillId="5" borderId="0" xfId="23" applyFont="1" applyFill="1" applyAlignment="1">
      <alignment horizontal="left"/>
    </xf>
    <xf numFmtId="0" fontId="25" fillId="5" borderId="0" xfId="23" applyFont="1" applyFill="1" applyAlignment="1">
      <alignment horizontal="right"/>
    </xf>
    <xf numFmtId="0" fontId="8" fillId="5" borderId="0" xfId="23" applyFont="1" applyFill="1" applyAlignment="1">
      <alignment horizontal="left"/>
    </xf>
    <xf numFmtId="0" fontId="8" fillId="5" borderId="0" xfId="23" applyFont="1" applyFill="1" applyAlignment="1">
      <alignment horizontal="left" wrapText="1"/>
    </xf>
    <xf numFmtId="0" fontId="37" fillId="5" borderId="0" xfId="23" applyFont="1" applyFill="1" applyAlignment="1">
      <alignment horizontal="left"/>
    </xf>
    <xf numFmtId="0" fontId="25" fillId="0" borderId="0" xfId="105" applyFont="1" applyAlignment="1">
      <alignment wrapText="1"/>
    </xf>
    <xf numFmtId="0" fontId="6" fillId="5" borderId="0" xfId="80" applyFont="1" applyFill="1" applyBorder="1" applyAlignment="1">
      <alignment horizontal="left" wrapText="1"/>
    </xf>
    <xf numFmtId="0" fontId="6" fillId="5" borderId="0" xfId="80" applyFont="1" applyFill="1" applyBorder="1" applyAlignment="1">
      <alignment horizontal="right" wrapText="1"/>
    </xf>
    <xf numFmtId="10" fontId="6" fillId="0" borderId="0" xfId="108" applyNumberFormat="1" applyFont="1" applyFill="1" applyBorder="1" applyAlignment="1">
      <alignment horizontal="center" wrapText="1"/>
    </xf>
    <xf numFmtId="0" fontId="8" fillId="5" borderId="0" xfId="69" applyFont="1" applyFill="1" applyAlignment="1">
      <alignment vertical="center"/>
    </xf>
    <xf numFmtId="0" fontId="8" fillId="5" borderId="0" xfId="69" applyFont="1" applyFill="1" applyAlignment="1">
      <alignment horizontal="left" vertical="center" wrapText="1"/>
    </xf>
    <xf numFmtId="0" fontId="8" fillId="5" borderId="0" xfId="109" applyFont="1" applyFill="1" applyAlignment="1">
      <alignment vertical="center" wrapText="1"/>
    </xf>
    <xf numFmtId="14" fontId="8" fillId="6" borderId="0" xfId="12" applyNumberFormat="1" applyFont="1" applyFill="1" applyAlignment="1">
      <alignment horizontal="left" vertical="center"/>
    </xf>
    <xf numFmtId="0" fontId="8" fillId="6" borderId="0" xfId="12" applyFont="1" applyFill="1" applyAlignment="1">
      <alignment horizontal="left" vertical="center"/>
    </xf>
    <xf numFmtId="39" fontId="8" fillId="6" borderId="0" xfId="12" applyNumberFormat="1" applyFont="1" applyFill="1" applyAlignment="1">
      <alignment horizontal="right" vertical="center" wrapText="1"/>
    </xf>
    <xf numFmtId="2" fontId="8" fillId="5" borderId="0" xfId="23" applyNumberFormat="1" applyFont="1" applyFill="1" applyAlignment="1">
      <alignment vertical="center"/>
    </xf>
    <xf numFmtId="0" fontId="65" fillId="0" borderId="20" xfId="0" applyFont="1" applyBorder="1" applyAlignment="1">
      <alignment horizontal="centerContinuous"/>
    </xf>
    <xf numFmtId="0" fontId="25" fillId="0" borderId="1" xfId="0" applyFont="1" applyBorder="1"/>
    <xf numFmtId="0" fontId="65" fillId="0" borderId="20" xfId="0" applyFont="1" applyBorder="1" applyAlignment="1">
      <alignment horizontal="center"/>
    </xf>
    <xf numFmtId="0" fontId="65" fillId="0" borderId="0" xfId="0" applyFont="1" applyAlignment="1">
      <alignment horizontal="center"/>
    </xf>
    <xf numFmtId="39" fontId="25" fillId="0" borderId="0" xfId="0" applyNumberFormat="1" applyFont="1"/>
    <xf numFmtId="0" fontId="25" fillId="5" borderId="0" xfId="23" applyFont="1" applyFill="1" applyAlignment="1">
      <alignment wrapText="1"/>
    </xf>
    <xf numFmtId="0" fontId="25" fillId="5" borderId="0" xfId="23" applyFont="1" applyFill="1" applyAlignment="1">
      <alignment horizontal="center"/>
    </xf>
    <xf numFmtId="0" fontId="23" fillId="0" borderId="0" xfId="22" applyFont="1" applyAlignment="1">
      <alignment horizontal="center"/>
    </xf>
    <xf numFmtId="0" fontId="8" fillId="0" borderId="0" xfId="22" quotePrefix="1" applyFont="1" applyAlignment="1">
      <alignment horizontal="center"/>
    </xf>
    <xf numFmtId="0" fontId="8" fillId="0" borderId="7" xfId="22" applyFont="1" applyBorder="1" applyAlignment="1">
      <alignment horizontal="center"/>
    </xf>
    <xf numFmtId="0" fontId="8" fillId="0" borderId="7" xfId="22" applyFont="1" applyBorder="1" applyAlignment="1">
      <alignment horizontal="center" wrapText="1"/>
    </xf>
    <xf numFmtId="0" fontId="8" fillId="0" borderId="0" xfId="22" applyFont="1" applyAlignment="1" applyProtection="1">
      <alignment horizontal="center"/>
      <protection locked="0"/>
    </xf>
    <xf numFmtId="10" fontId="8" fillId="0" borderId="0" xfId="4" applyNumberFormat="1" applyFont="1"/>
    <xf numFmtId="0" fontId="8" fillId="0" borderId="0" xfId="22" applyFont="1" applyAlignment="1">
      <alignment horizontal="fill"/>
    </xf>
    <xf numFmtId="199" fontId="8" fillId="0" borderId="0" xfId="5" applyNumberFormat="1" applyFont="1" applyAlignment="1" applyProtection="1">
      <alignment horizontal="right"/>
      <protection locked="0"/>
    </xf>
    <xf numFmtId="39" fontId="8" fillId="0" borderId="0" xfId="22" applyNumberFormat="1" applyFont="1" applyAlignment="1" applyProtection="1">
      <alignment horizontal="right"/>
      <protection locked="0"/>
    </xf>
    <xf numFmtId="195" fontId="8" fillId="0" borderId="0" xfId="22" applyNumberFormat="1" applyFont="1" applyProtection="1">
      <protection locked="0"/>
    </xf>
    <xf numFmtId="197" fontId="8" fillId="0" borderId="0" xfId="5" applyNumberFormat="1" applyFont="1" applyProtection="1">
      <protection locked="0"/>
    </xf>
    <xf numFmtId="39" fontId="8" fillId="0" borderId="0" xfId="22" applyNumberFormat="1" applyFont="1" applyProtection="1">
      <protection locked="0"/>
    </xf>
    <xf numFmtId="0" fontId="8" fillId="0" borderId="0" xfId="22" applyFont="1" applyProtection="1">
      <protection locked="0"/>
    </xf>
    <xf numFmtId="37" fontId="8" fillId="0" borderId="0" xfId="22" applyNumberFormat="1" applyFont="1" applyProtection="1">
      <protection locked="0"/>
    </xf>
    <xf numFmtId="198" fontId="8" fillId="0" borderId="0" xfId="22" applyNumberFormat="1" applyFont="1"/>
    <xf numFmtId="199" fontId="8" fillId="0" borderId="0" xfId="22" applyNumberFormat="1" applyFont="1" applyProtection="1">
      <protection locked="0"/>
    </xf>
    <xf numFmtId="198" fontId="8" fillId="0" borderId="7" xfId="22" applyNumberFormat="1" applyFont="1" applyBorder="1"/>
    <xf numFmtId="197" fontId="8" fillId="0" borderId="7" xfId="5" applyNumberFormat="1" applyFont="1" applyBorder="1"/>
    <xf numFmtId="10" fontId="8" fillId="0" borderId="7" xfId="4" applyNumberFormat="1" applyFont="1" applyBorder="1"/>
    <xf numFmtId="200" fontId="8" fillId="0" borderId="0" xfId="22" applyNumberFormat="1" applyFont="1" applyAlignment="1" applyProtection="1">
      <alignment horizontal="center"/>
      <protection locked="0"/>
    </xf>
    <xf numFmtId="193" fontId="8" fillId="0" borderId="0" xfId="22" applyNumberFormat="1" applyFont="1" applyAlignment="1" applyProtection="1">
      <alignment horizontal="center"/>
      <protection locked="0"/>
    </xf>
    <xf numFmtId="193" fontId="8" fillId="0" borderId="0" xfId="22" applyNumberFormat="1" applyFont="1" applyProtection="1">
      <protection locked="0"/>
    </xf>
    <xf numFmtId="197" fontId="8" fillId="0" borderId="19" xfId="5" applyNumberFormat="1" applyFont="1" applyBorder="1" applyProtection="1">
      <protection locked="0"/>
    </xf>
    <xf numFmtId="10" fontId="8" fillId="0" borderId="19" xfId="4" applyNumberFormat="1" applyFont="1" applyBorder="1"/>
    <xf numFmtId="2" fontId="8" fillId="0" borderId="0" xfId="22" applyNumberFormat="1" applyFont="1"/>
    <xf numFmtId="196" fontId="8" fillId="0" borderId="0" xfId="22" applyNumberFormat="1" applyFont="1"/>
    <xf numFmtId="193" fontId="23" fillId="0" borderId="0" xfId="22" applyNumberFormat="1" applyFont="1" applyAlignment="1" applyProtection="1">
      <alignment horizontal="center"/>
      <protection locked="0"/>
    </xf>
    <xf numFmtId="179" fontId="8" fillId="0" borderId="0" xfId="22" applyNumberFormat="1" applyFont="1"/>
    <xf numFmtId="39" fontId="8" fillId="0" borderId="0" xfId="22" applyNumberFormat="1" applyFont="1" applyAlignment="1" applyProtection="1">
      <alignment horizontal="center" wrapText="1"/>
      <protection locked="0"/>
    </xf>
    <xf numFmtId="39" fontId="8" fillId="0" borderId="7" xfId="22" applyNumberFormat="1" applyFont="1" applyBorder="1" applyAlignment="1" applyProtection="1">
      <alignment horizontal="center" wrapText="1"/>
      <protection locked="0"/>
    </xf>
    <xf numFmtId="0" fontId="8" fillId="0" borderId="7" xfId="22" applyFont="1" applyBorder="1" applyAlignment="1">
      <alignment wrapText="1"/>
    </xf>
    <xf numFmtId="43" fontId="8" fillId="0" borderId="19" xfId="22" applyNumberFormat="1" applyFont="1" applyBorder="1"/>
    <xf numFmtId="2" fontId="8" fillId="0" borderId="19" xfId="22" applyNumberFormat="1" applyFont="1" applyBorder="1"/>
    <xf numFmtId="195" fontId="8" fillId="0" borderId="0" xfId="22" applyNumberFormat="1" applyFont="1"/>
    <xf numFmtId="7" fontId="8" fillId="0" borderId="0" xfId="22" applyNumberFormat="1" applyFont="1"/>
    <xf numFmtId="44" fontId="8" fillId="0" borderId="0" xfId="10" applyFont="1"/>
    <xf numFmtId="17" fontId="8" fillId="0" borderId="0" xfId="22" applyNumberFormat="1" applyFont="1"/>
    <xf numFmtId="44" fontId="8" fillId="0" borderId="0" xfId="22" applyNumberFormat="1" applyFont="1"/>
    <xf numFmtId="195" fontId="6" fillId="0" borderId="0" xfId="22" applyNumberFormat="1" applyFont="1"/>
    <xf numFmtId="0" fontId="8" fillId="0" borderId="0" xfId="22" applyFont="1" applyAlignment="1" applyProtection="1">
      <alignment horizontal="center" wrapText="1"/>
      <protection locked="0"/>
    </xf>
    <xf numFmtId="193" fontId="8" fillId="0" borderId="0" xfId="22" applyNumberFormat="1" applyFont="1"/>
    <xf numFmtId="39" fontId="8" fillId="0" borderId="0" xfId="22" applyNumberFormat="1" applyFont="1"/>
    <xf numFmtId="194" fontId="8" fillId="0" borderId="0" xfId="22" applyNumberFormat="1" applyFont="1"/>
    <xf numFmtId="0" fontId="8" fillId="0" borderId="26" xfId="116" applyFont="1" applyBorder="1" applyAlignment="1">
      <alignment horizontal="center"/>
    </xf>
    <xf numFmtId="0" fontId="8" fillId="0" borderId="26" xfId="116" applyFont="1" applyBorder="1" applyAlignment="1">
      <alignment horizontal="center" wrapText="1"/>
    </xf>
    <xf numFmtId="0" fontId="8" fillId="0" borderId="26" xfId="116" applyFont="1" applyBorder="1"/>
    <xf numFmtId="169" fontId="8" fillId="0" borderId="26" xfId="116" applyNumberFormat="1" applyFont="1" applyBorder="1" applyAlignment="1">
      <alignment horizontal="center"/>
    </xf>
    <xf numFmtId="10" fontId="8" fillId="0" borderId="26" xfId="117" applyNumberFormat="1" applyFont="1" applyFill="1" applyBorder="1" applyAlignment="1">
      <alignment horizontal="center"/>
    </xf>
    <xf numFmtId="0" fontId="8" fillId="0" borderId="35" xfId="116" applyFont="1" applyBorder="1"/>
    <xf numFmtId="0" fontId="6" fillId="0" borderId="0" xfId="64" applyFont="1" applyAlignment="1">
      <alignment horizontal="centerContinuous"/>
    </xf>
    <xf numFmtId="0" fontId="8" fillId="0" borderId="0" xfId="64" applyFont="1" applyAlignment="1">
      <alignment horizontal="centerContinuous"/>
    </xf>
    <xf numFmtId="0" fontId="8" fillId="0" borderId="0" xfId="64" applyFont="1"/>
    <xf numFmtId="0" fontId="8" fillId="0" borderId="32" xfId="64" applyFont="1" applyBorder="1"/>
    <xf numFmtId="0" fontId="8" fillId="0" borderId="26" xfId="64" applyFont="1" applyBorder="1"/>
    <xf numFmtId="0" fontId="8" fillId="0" borderId="33" xfId="64" applyFont="1" applyBorder="1"/>
    <xf numFmtId="0" fontId="8" fillId="0" borderId="11" xfId="64" applyFont="1" applyBorder="1"/>
    <xf numFmtId="0" fontId="8" fillId="0" borderId="0" xfId="64" applyFont="1" applyAlignment="1">
      <alignment horizontal="center"/>
    </xf>
    <xf numFmtId="0" fontId="8" fillId="0" borderId="0" xfId="64" quotePrefix="1" applyFont="1" applyAlignment="1">
      <alignment horizontal="center"/>
    </xf>
    <xf numFmtId="0" fontId="8" fillId="0" borderId="9" xfId="64" applyFont="1" applyBorder="1"/>
    <xf numFmtId="0" fontId="23" fillId="0" borderId="0" xfId="64" applyFont="1"/>
    <xf numFmtId="0" fontId="23" fillId="0" borderId="0" xfId="64" applyFont="1" applyAlignment="1">
      <alignment horizontal="center"/>
    </xf>
    <xf numFmtId="0" fontId="8" fillId="0" borderId="0" xfId="64" applyFont="1" applyAlignment="1">
      <alignment horizontal="left"/>
    </xf>
    <xf numFmtId="10" fontId="8" fillId="0" borderId="0" xfId="7" applyNumberFormat="1" applyFont="1" applyBorder="1"/>
    <xf numFmtId="10" fontId="8" fillId="0" borderId="0" xfId="64" applyNumberFormat="1" applyFont="1"/>
    <xf numFmtId="10" fontId="8" fillId="0" borderId="0" xfId="7" applyNumberFormat="1" applyFont="1" applyFill="1" applyBorder="1" applyAlignment="1">
      <alignment horizontal="right"/>
    </xf>
    <xf numFmtId="10" fontId="8" fillId="0" borderId="0" xfId="7" applyNumberFormat="1" applyFont="1" applyBorder="1" applyAlignment="1">
      <alignment horizontal="right"/>
    </xf>
    <xf numFmtId="10" fontId="8" fillId="0" borderId="0" xfId="7" applyNumberFormat="1" applyFont="1" applyFill="1" applyBorder="1"/>
    <xf numFmtId="10" fontId="8" fillId="0" borderId="0" xfId="7" applyNumberFormat="1" applyFont="1" applyBorder="1" applyProtection="1"/>
    <xf numFmtId="0" fontId="6" fillId="0" borderId="11" xfId="64" applyFont="1" applyBorder="1"/>
    <xf numFmtId="0" fontId="6" fillId="0" borderId="0" xfId="64" applyFont="1"/>
    <xf numFmtId="0" fontId="8" fillId="0" borderId="67" xfId="64" applyFont="1" applyBorder="1"/>
    <xf numFmtId="0" fontId="8" fillId="0" borderId="7" xfId="64" applyFont="1" applyBorder="1"/>
    <xf numFmtId="0" fontId="8" fillId="0" borderId="68" xfId="64" applyFont="1" applyBorder="1"/>
    <xf numFmtId="7" fontId="8" fillId="0" borderId="26" xfId="64" applyNumberFormat="1" applyFont="1" applyBorder="1"/>
    <xf numFmtId="0" fontId="6" fillId="0" borderId="11" xfId="64" applyFont="1" applyBorder="1" applyAlignment="1">
      <alignment horizontal="centerContinuous"/>
    </xf>
    <xf numFmtId="7" fontId="8" fillId="0" borderId="0" xfId="64" applyNumberFormat="1" applyFont="1" applyAlignment="1">
      <alignment horizontal="centerContinuous"/>
    </xf>
    <xf numFmtId="0" fontId="8" fillId="0" borderId="9" xfId="64" applyFont="1" applyBorder="1" applyAlignment="1">
      <alignment horizontal="centerContinuous"/>
    </xf>
    <xf numFmtId="0" fontId="6" fillId="0" borderId="9" xfId="64" applyFont="1" applyBorder="1" applyAlignment="1">
      <alignment horizontal="centerContinuous"/>
    </xf>
    <xf numFmtId="10" fontId="8" fillId="0" borderId="11" xfId="64" applyNumberFormat="1" applyFont="1" applyBorder="1" applyAlignment="1">
      <alignment horizontal="centerContinuous"/>
    </xf>
    <xf numFmtId="10" fontId="8" fillId="0" borderId="11" xfId="64" applyNumberFormat="1" applyFont="1" applyBorder="1"/>
    <xf numFmtId="0" fontId="8" fillId="0" borderId="9" xfId="64" quotePrefix="1" applyFont="1" applyBorder="1" applyAlignment="1">
      <alignment horizontal="center"/>
    </xf>
    <xf numFmtId="0" fontId="8" fillId="0" borderId="9" xfId="64" applyFont="1" applyBorder="1" applyAlignment="1">
      <alignment horizontal="center"/>
    </xf>
    <xf numFmtId="0" fontId="23" fillId="0" borderId="9" xfId="64" applyFont="1" applyBorder="1" applyAlignment="1">
      <alignment horizontal="center"/>
    </xf>
    <xf numFmtId="0" fontId="23" fillId="0" borderId="11" xfId="64" applyFont="1" applyBorder="1"/>
    <xf numFmtId="10" fontId="8" fillId="0" borderId="9" xfId="64" applyNumberFormat="1" applyFont="1" applyBorder="1"/>
    <xf numFmtId="10" fontId="23" fillId="0" borderId="0" xfId="64" applyNumberFormat="1" applyFont="1"/>
    <xf numFmtId="10" fontId="23" fillId="0" borderId="9" xfId="64" applyNumberFormat="1" applyFont="1" applyBorder="1"/>
    <xf numFmtId="10" fontId="8" fillId="0" borderId="0" xfId="7" applyNumberFormat="1" applyFont="1"/>
    <xf numFmtId="10" fontId="23" fillId="0" borderId="0" xfId="7" applyNumberFormat="1" applyFont="1" applyBorder="1"/>
    <xf numFmtId="10" fontId="23" fillId="0" borderId="9" xfId="7" applyNumberFormat="1" applyFont="1" applyBorder="1"/>
    <xf numFmtId="0" fontId="83" fillId="0" borderId="11" xfId="64" applyFont="1" applyBorder="1"/>
    <xf numFmtId="0" fontId="83" fillId="0" borderId="0" xfId="64" applyFont="1"/>
    <xf numFmtId="10" fontId="83" fillId="0" borderId="0" xfId="64" applyNumberFormat="1" applyFont="1"/>
    <xf numFmtId="10" fontId="83" fillId="0" borderId="9" xfId="64" applyNumberFormat="1" applyFont="1" applyBorder="1"/>
    <xf numFmtId="0" fontId="8" fillId="0" borderId="0" xfId="64" applyFont="1" applyAlignment="1">
      <alignment horizontal="right"/>
    </xf>
    <xf numFmtId="10" fontId="23" fillId="0" borderId="0" xfId="7" applyNumberFormat="1" applyFont="1"/>
    <xf numFmtId="0" fontId="57" fillId="0" borderId="0" xfId="132" applyFont="1" applyAlignment="1">
      <alignment horizontal="center"/>
    </xf>
    <xf numFmtId="0" fontId="25" fillId="0" borderId="0" xfId="143" applyFont="1" applyAlignment="1">
      <alignment horizontal="centerContinuous"/>
    </xf>
    <xf numFmtId="0" fontId="25" fillId="0" borderId="0" xfId="132" applyFont="1" applyAlignment="1">
      <alignment horizontal="centerContinuous"/>
    </xf>
    <xf numFmtId="0" fontId="25" fillId="0" borderId="0" xfId="143" applyFont="1" applyAlignment="1">
      <alignment horizontal="center" wrapText="1"/>
    </xf>
    <xf numFmtId="0" fontId="37" fillId="0" borderId="0" xfId="132" applyFont="1" applyAlignment="1">
      <alignment vertical="center"/>
    </xf>
    <xf numFmtId="0" fontId="6" fillId="0" borderId="35" xfId="64" applyFont="1" applyBorder="1" applyAlignment="1">
      <alignment horizontal="center" vertical="center" wrapText="1"/>
    </xf>
    <xf numFmtId="0" fontId="25" fillId="0" borderId="0" xfId="144" applyFont="1" applyAlignment="1">
      <alignment horizontal="center"/>
    </xf>
    <xf numFmtId="1" fontId="8" fillId="0" borderId="26" xfId="64" applyNumberFormat="1" applyFont="1" applyBorder="1" applyAlignment="1">
      <alignment horizontal="center" vertical="center"/>
    </xf>
    <xf numFmtId="10" fontId="8" fillId="0" borderId="26" xfId="2" applyNumberFormat="1" applyFont="1" applyFill="1" applyBorder="1" applyAlignment="1">
      <alignment horizontal="center" vertical="center"/>
    </xf>
    <xf numFmtId="10" fontId="25" fillId="0" borderId="0" xfId="2" applyNumberFormat="1" applyFont="1" applyFill="1"/>
    <xf numFmtId="43" fontId="84" fillId="0" borderId="0" xfId="139" applyFont="1" applyFill="1" applyAlignment="1">
      <alignment horizontal="center" vertical="top"/>
    </xf>
    <xf numFmtId="1" fontId="8" fillId="0" borderId="0" xfId="64" applyNumberFormat="1" applyFont="1" applyAlignment="1">
      <alignment horizontal="center" vertical="center"/>
    </xf>
    <xf numFmtId="10" fontId="8" fillId="0" borderId="0" xfId="2" applyNumberFormat="1" applyFont="1" applyFill="1" applyAlignment="1">
      <alignment horizontal="center" vertical="center"/>
    </xf>
    <xf numFmtId="43" fontId="84" fillId="0" borderId="20" xfId="139" applyFont="1" applyFill="1" applyBorder="1" applyAlignment="1">
      <alignment horizontal="center" vertical="top"/>
    </xf>
    <xf numFmtId="0" fontId="84" fillId="0" borderId="20" xfId="138" applyFont="1" applyBorder="1" applyAlignment="1">
      <alignment horizontal="center" vertical="top"/>
    </xf>
    <xf numFmtId="10" fontId="25" fillId="0" borderId="0" xfId="137" applyNumberFormat="1" applyFont="1" applyFill="1"/>
    <xf numFmtId="0" fontId="81" fillId="0" borderId="0" xfId="138" applyFont="1" applyAlignment="1">
      <alignment horizontal="center" vertical="top"/>
    </xf>
    <xf numFmtId="201" fontId="25" fillId="0" borderId="0" xfId="140" applyNumberFormat="1" applyFont="1" applyFill="1" applyAlignment="1">
      <alignment horizontal="center" vertical="top"/>
    </xf>
    <xf numFmtId="1" fontId="8" fillId="0" borderId="7" xfId="64" applyNumberFormat="1" applyFont="1" applyBorder="1" applyAlignment="1">
      <alignment horizontal="center" vertical="center"/>
    </xf>
    <xf numFmtId="10" fontId="8" fillId="0" borderId="7" xfId="2" applyNumberFormat="1" applyFont="1" applyFill="1" applyBorder="1" applyAlignment="1">
      <alignment horizontal="center" vertical="center"/>
    </xf>
    <xf numFmtId="0" fontId="81" fillId="0" borderId="1" xfId="138" applyFont="1" applyBorder="1" applyAlignment="1">
      <alignment horizontal="center" vertical="top"/>
    </xf>
    <xf numFmtId="10" fontId="25" fillId="0" borderId="0" xfId="7" applyNumberFormat="1" applyFont="1" applyFill="1"/>
    <xf numFmtId="0" fontId="81" fillId="0" borderId="0" xfId="138" applyFont="1" applyAlignment="1">
      <alignment vertical="top"/>
    </xf>
    <xf numFmtId="206" fontId="25" fillId="0" borderId="0" xfId="140" applyNumberFormat="1" applyFont="1" applyFill="1" applyAlignment="1">
      <alignment vertical="top"/>
    </xf>
    <xf numFmtId="0" fontId="25" fillId="0" borderId="0" xfId="145" applyFont="1" applyAlignment="1">
      <alignment horizontal="right"/>
    </xf>
    <xf numFmtId="0" fontId="25" fillId="0" borderId="0" xfId="143" applyFont="1" applyAlignment="1">
      <alignment horizontal="center"/>
    </xf>
    <xf numFmtId="201" fontId="25" fillId="0" borderId="0" xfId="140" applyNumberFormat="1" applyFont="1" applyFill="1" applyAlignment="1">
      <alignment vertical="top"/>
    </xf>
    <xf numFmtId="0" fontId="25" fillId="0" borderId="0" xfId="143" applyFont="1"/>
    <xf numFmtId="43" fontId="81" fillId="0" borderId="7" xfId="139" applyFont="1" applyFill="1" applyBorder="1" applyAlignment="1">
      <alignment horizontal="right" vertical="top"/>
    </xf>
    <xf numFmtId="0" fontId="81" fillId="0" borderId="7" xfId="138" applyFont="1" applyBorder="1" applyAlignment="1">
      <alignment horizontal="center" vertical="top"/>
    </xf>
    <xf numFmtId="10" fontId="81" fillId="0" borderId="0" xfId="142" applyNumberFormat="1" applyFont="1" applyFill="1" applyAlignment="1">
      <alignment horizontal="center" vertical="top"/>
    </xf>
    <xf numFmtId="10" fontId="8" fillId="0" borderId="0" xfId="64" applyNumberFormat="1" applyFont="1" applyAlignment="1">
      <alignment horizontal="center" vertical="center" wrapText="1"/>
    </xf>
    <xf numFmtId="10" fontId="25" fillId="0" borderId="0" xfId="2" applyNumberFormat="1" applyFont="1" applyFill="1" applyAlignment="1">
      <alignment horizontal="center"/>
    </xf>
    <xf numFmtId="0" fontId="8" fillId="0" borderId="0" xfId="132" applyFont="1"/>
    <xf numFmtId="179" fontId="8" fillId="0" borderId="0" xfId="143" applyNumberFormat="1" applyFont="1" applyAlignment="1">
      <alignment horizontal="center" wrapText="1"/>
    </xf>
    <xf numFmtId="0" fontId="36" fillId="0" borderId="0" xfId="132" applyFont="1"/>
    <xf numFmtId="0" fontId="36" fillId="0" borderId="0" xfId="138" applyFont="1" applyAlignment="1">
      <alignment horizontal="center" vertical="top"/>
    </xf>
    <xf numFmtId="0" fontId="36" fillId="0" borderId="0" xfId="143" applyFont="1"/>
    <xf numFmtId="10" fontId="36" fillId="0" borderId="0" xfId="142" applyNumberFormat="1" applyFont="1" applyFill="1" applyBorder="1" applyAlignment="1">
      <alignment horizontal="center" vertical="top"/>
    </xf>
    <xf numFmtId="10" fontId="36" fillId="0" borderId="0" xfId="64" applyNumberFormat="1" applyFont="1" applyAlignment="1">
      <alignment horizontal="center" vertical="center" wrapText="1"/>
    </xf>
    <xf numFmtId="10" fontId="36" fillId="0" borderId="0" xfId="132" applyNumberFormat="1" applyFont="1"/>
    <xf numFmtId="0" fontId="36" fillId="0" borderId="0" xfId="143" applyFont="1" applyAlignment="1">
      <alignment horizontal="center"/>
    </xf>
    <xf numFmtId="10" fontId="81" fillId="0" borderId="7" xfId="142" applyNumberFormat="1" applyFont="1" applyFill="1" applyBorder="1" applyAlignment="1">
      <alignment horizontal="right" vertical="top"/>
    </xf>
    <xf numFmtId="0" fontId="81" fillId="0" borderId="0" xfId="138" applyFont="1" applyAlignment="1">
      <alignment horizontal="left" vertical="top"/>
    </xf>
    <xf numFmtId="10" fontId="25" fillId="0" borderId="0" xfId="145" applyNumberFormat="1" applyFont="1" applyAlignment="1">
      <alignment horizontal="center"/>
    </xf>
    <xf numFmtId="179" fontId="25" fillId="0" borderId="0" xfId="143" applyNumberFormat="1" applyFont="1" applyAlignment="1">
      <alignment horizontal="center" wrapText="1"/>
    </xf>
    <xf numFmtId="0" fontId="25" fillId="0" borderId="0" xfId="146" applyFont="1"/>
    <xf numFmtId="10" fontId="25" fillId="0" borderId="0" xfId="147" applyNumberFormat="1" applyFont="1" applyFill="1" applyBorder="1" applyAlignment="1">
      <alignment horizontal="center"/>
    </xf>
    <xf numFmtId="10" fontId="81" fillId="0" borderId="0" xfId="147" applyNumberFormat="1" applyFont="1" applyFill="1" applyBorder="1" applyAlignment="1">
      <alignment horizontal="center" vertical="top"/>
    </xf>
    <xf numFmtId="0" fontId="81" fillId="0" borderId="0" xfId="139" applyNumberFormat="1" applyFont="1" applyFill="1" applyAlignment="1">
      <alignment horizontal="left" vertical="top"/>
    </xf>
    <xf numFmtId="0" fontId="8" fillId="0" borderId="0" xfId="64" applyFont="1" applyAlignment="1">
      <alignment horizontal="center" vertical="center"/>
    </xf>
    <xf numFmtId="0" fontId="8" fillId="0" borderId="7" xfId="64" applyFont="1" applyBorder="1" applyAlignment="1">
      <alignment horizontal="center" vertical="center"/>
    </xf>
    <xf numFmtId="179" fontId="25" fillId="0" borderId="0" xfId="143" applyNumberFormat="1" applyFont="1"/>
    <xf numFmtId="10" fontId="8" fillId="0" borderId="0" xfId="2" applyNumberFormat="1" applyFont="1" applyFill="1" applyBorder="1" applyAlignment="1">
      <alignment horizontal="center" vertical="center"/>
    </xf>
    <xf numFmtId="10" fontId="25" fillId="0" borderId="0" xfId="2" applyNumberFormat="1" applyFont="1" applyFill="1" applyBorder="1"/>
    <xf numFmtId="0" fontId="8" fillId="0" borderId="0" xfId="64" applyFont="1" applyAlignment="1">
      <alignment horizontal="left" vertical="center"/>
    </xf>
    <xf numFmtId="14" fontId="47" fillId="0" borderId="0" xfId="0" applyNumberFormat="1" applyFont="1"/>
    <xf numFmtId="2" fontId="81" fillId="0" borderId="0" xfId="138" applyNumberFormat="1" applyFont="1" applyAlignment="1">
      <alignment horizontal="left" vertical="top"/>
    </xf>
    <xf numFmtId="201" fontId="81" fillId="0" borderId="0" xfId="142" applyNumberFormat="1" applyFont="1" applyFill="1" applyAlignment="1">
      <alignment horizontal="left" vertical="top"/>
    </xf>
    <xf numFmtId="10" fontId="25" fillId="0" borderId="26" xfId="143" applyNumberFormat="1" applyFont="1" applyBorder="1" applyAlignment="1">
      <alignment horizontal="center"/>
    </xf>
    <xf numFmtId="0" fontId="58" fillId="0" borderId="0" xfId="132" applyFont="1"/>
    <xf numFmtId="43" fontId="81" fillId="0" borderId="7" xfId="139" applyFont="1" applyFill="1" applyBorder="1" applyAlignment="1">
      <alignment horizontal="center" vertical="top"/>
    </xf>
    <xf numFmtId="43" fontId="81" fillId="0" borderId="7" xfId="139" applyFont="1" applyFill="1" applyBorder="1" applyAlignment="1">
      <alignment horizontal="left" vertical="top"/>
    </xf>
    <xf numFmtId="10" fontId="25" fillId="0" borderId="26" xfId="143" applyNumberFormat="1" applyFont="1" applyBorder="1" applyAlignment="1">
      <alignment horizontal="centerContinuous"/>
    </xf>
    <xf numFmtId="43" fontId="81" fillId="0" borderId="0" xfId="139" applyFont="1" applyFill="1" applyBorder="1" applyAlignment="1">
      <alignment horizontal="center" vertical="top"/>
    </xf>
    <xf numFmtId="10" fontId="81" fillId="0" borderId="0" xfId="142" applyNumberFormat="1" applyFont="1" applyFill="1" applyBorder="1" applyAlignment="1">
      <alignment horizontal="right" vertical="top"/>
    </xf>
    <xf numFmtId="0" fontId="25" fillId="0" borderId="26" xfId="143" applyFont="1" applyBorder="1"/>
    <xf numFmtId="10" fontId="81" fillId="0" borderId="26" xfId="142" applyNumberFormat="1" applyFont="1" applyFill="1" applyBorder="1" applyAlignment="1">
      <alignment horizontal="center" vertical="top"/>
    </xf>
    <xf numFmtId="0" fontId="25" fillId="0" borderId="26" xfId="132" applyFont="1" applyBorder="1"/>
    <xf numFmtId="0" fontId="81" fillId="0" borderId="26" xfId="138" applyFont="1" applyBorder="1" applyAlignment="1">
      <alignment horizontal="left" vertical="top"/>
    </xf>
    <xf numFmtId="10" fontId="25" fillId="0" borderId="26" xfId="145" applyNumberFormat="1" applyFont="1" applyBorder="1" applyAlignment="1">
      <alignment horizontal="center"/>
    </xf>
    <xf numFmtId="0" fontId="57" fillId="0" borderId="0" xfId="132" applyFont="1"/>
    <xf numFmtId="10" fontId="25" fillId="0" borderId="0" xfId="143" applyNumberFormat="1" applyFont="1" applyAlignment="1">
      <alignment horizontal="center"/>
    </xf>
    <xf numFmtId="10" fontId="25" fillId="0" borderId="0" xfId="143" applyNumberFormat="1" applyFont="1" applyAlignment="1">
      <alignment horizontal="centerContinuous"/>
    </xf>
    <xf numFmtId="0" fontId="8" fillId="0" borderId="0" xfId="133" applyFont="1"/>
    <xf numFmtId="43" fontId="8" fillId="0" borderId="0" xfId="139" applyFont="1" applyFill="1" applyAlignment="1">
      <alignment horizontal="center" vertical="top"/>
    </xf>
    <xf numFmtId="0" fontId="8" fillId="0" borderId="0" xfId="138" applyFont="1" applyAlignment="1">
      <alignment horizontal="center" vertical="top"/>
    </xf>
    <xf numFmtId="0" fontId="8" fillId="0" borderId="0" xfId="133" applyFont="1" applyAlignment="1">
      <alignment horizontal="right"/>
    </xf>
    <xf numFmtId="10" fontId="8" fillId="0" borderId="26" xfId="11" applyNumberFormat="1" applyFont="1" applyFill="1" applyBorder="1" applyAlignment="1">
      <alignment horizontal="center" vertical="top"/>
    </xf>
    <xf numFmtId="10" fontId="8" fillId="0" borderId="26" xfId="64" applyNumberFormat="1" applyFont="1" applyBorder="1" applyAlignment="1">
      <alignment horizontal="center" vertical="center" wrapText="1"/>
    </xf>
    <xf numFmtId="0" fontId="85" fillId="0" borderId="0" xfId="133" applyFont="1" applyAlignment="1">
      <alignment horizontal="right"/>
    </xf>
    <xf numFmtId="10" fontId="85" fillId="0" borderId="0" xfId="132" applyNumberFormat="1" applyFont="1" applyAlignment="1">
      <alignment horizontal="center"/>
    </xf>
    <xf numFmtId="10" fontId="85" fillId="0" borderId="0" xfId="64" applyNumberFormat="1" applyFont="1" applyAlignment="1">
      <alignment horizontal="center" vertical="center" wrapText="1"/>
    </xf>
    <xf numFmtId="10" fontId="8" fillId="0" borderId="0" xfId="11" applyNumberFormat="1" applyFont="1" applyFill="1" applyAlignment="1">
      <alignment horizontal="center" vertical="top"/>
    </xf>
    <xf numFmtId="10" fontId="8" fillId="0" borderId="0" xfId="2" applyNumberFormat="1" applyFont="1" applyFill="1" applyAlignment="1">
      <alignment horizontal="center" vertical="top"/>
    </xf>
    <xf numFmtId="14" fontId="8" fillId="0" borderId="0" xfId="111" applyNumberFormat="1" applyFont="1"/>
    <xf numFmtId="0" fontId="8" fillId="0" borderId="0" xfId="111" applyFont="1"/>
    <xf numFmtId="0" fontId="8" fillId="0" borderId="0" xfId="64" applyFont="1" applyAlignment="1">
      <alignment vertical="center"/>
    </xf>
    <xf numFmtId="0" fontId="25" fillId="0" borderId="0" xfId="94" applyFont="1" applyAlignment="1">
      <alignment horizontal="center"/>
    </xf>
    <xf numFmtId="0" fontId="57" fillId="0" borderId="0" xfId="94" applyFont="1" applyAlignment="1">
      <alignment horizontal="center"/>
    </xf>
    <xf numFmtId="10" fontId="25" fillId="0" borderId="0" xfId="15" applyNumberFormat="1" applyFont="1" applyFill="1" applyAlignment="1">
      <alignment horizontal="center"/>
    </xf>
    <xf numFmtId="10" fontId="25" fillId="0" borderId="0" xfId="94" applyNumberFormat="1" applyFont="1" applyAlignment="1">
      <alignment horizontal="center"/>
    </xf>
    <xf numFmtId="0" fontId="8" fillId="0" borderId="0" xfId="23" quotePrefix="1" applyFont="1" applyAlignment="1">
      <alignment horizontal="left" vertical="top"/>
    </xf>
    <xf numFmtId="0" fontId="8" fillId="0" borderId="0" xfId="23" applyFont="1" applyAlignment="1">
      <alignment horizontal="right" vertical="top"/>
    </xf>
    <xf numFmtId="165" fontId="0" fillId="0" borderId="0" xfId="21" applyNumberFormat="1" applyFont="1" applyFill="1"/>
    <xf numFmtId="165" fontId="0" fillId="0" borderId="0" xfId="21" applyNumberFormat="1" applyFont="1" applyFill="1" applyBorder="1"/>
    <xf numFmtId="165" fontId="14" fillId="0" borderId="0" xfId="21" applyNumberFormat="1" applyFill="1"/>
    <xf numFmtId="165" fontId="0" fillId="0" borderId="0" xfId="21" applyNumberFormat="1" applyFont="1" applyFill="1" applyAlignment="1">
      <alignment wrapText="1"/>
    </xf>
    <xf numFmtId="0" fontId="14" fillId="0" borderId="0" xfId="153" applyFont="1"/>
    <xf numFmtId="17" fontId="14" fillId="0" borderId="0" xfId="153" applyNumberFormat="1" applyFont="1"/>
    <xf numFmtId="180" fontId="14" fillId="0" borderId="0" xfId="51" applyNumberFormat="1"/>
    <xf numFmtId="179" fontId="14" fillId="0" borderId="0" xfId="153" applyNumberFormat="1" applyFont="1"/>
    <xf numFmtId="43" fontId="14" fillId="0" borderId="0" xfId="51"/>
    <xf numFmtId="180" fontId="15" fillId="0" borderId="0" xfId="51" applyNumberFormat="1" applyFont="1"/>
    <xf numFmtId="179" fontId="15" fillId="0" borderId="0" xfId="153" applyNumberFormat="1" applyFont="1"/>
    <xf numFmtId="180" fontId="17" fillId="0" borderId="0" xfId="51" applyNumberFormat="1" applyFont="1"/>
    <xf numFmtId="17" fontId="14" fillId="0" borderId="0" xfId="153" applyNumberFormat="1" applyFont="1" applyAlignment="1">
      <alignment horizontal="center" wrapText="1"/>
    </xf>
    <xf numFmtId="0" fontId="14" fillId="0" borderId="0" xfId="153" applyFont="1" applyAlignment="1">
      <alignment horizontal="center" wrapText="1"/>
    </xf>
    <xf numFmtId="179" fontId="14" fillId="0" borderId="0" xfId="20" applyNumberFormat="1"/>
    <xf numFmtId="0" fontId="0" fillId="0" borderId="0" xfId="153" applyFont="1" applyAlignment="1">
      <alignment horizontal="center" wrapText="1"/>
    </xf>
    <xf numFmtId="179" fontId="15" fillId="0" borderId="0" xfId="51" applyNumberFormat="1" applyFont="1"/>
    <xf numFmtId="0" fontId="23" fillId="0" borderId="0" xfId="48" applyFont="1" applyAlignment="1">
      <alignment horizontal="center"/>
    </xf>
    <xf numFmtId="0" fontId="8" fillId="0" borderId="0" xfId="48" applyFont="1" applyAlignment="1">
      <alignment horizontal="center"/>
    </xf>
    <xf numFmtId="0" fontId="8" fillId="0" borderId="0" xfId="48" applyFont="1" applyAlignment="1">
      <alignment horizontal="left" vertical="top" wrapText="1"/>
    </xf>
    <xf numFmtId="0" fontId="8" fillId="0" borderId="0" xfId="46" applyFont="1" applyAlignment="1">
      <alignment horizontal="left" vertical="top" wrapText="1"/>
    </xf>
    <xf numFmtId="0" fontId="25" fillId="0" borderId="0" xfId="0" applyFont="1" applyAlignment="1">
      <alignment horizontal="left" vertical="top" wrapText="1"/>
    </xf>
    <xf numFmtId="10" fontId="8" fillId="0" borderId="19" xfId="11" applyNumberFormat="1" applyFont="1" applyFill="1" applyBorder="1" applyAlignment="1">
      <alignment horizontal="center"/>
    </xf>
    <xf numFmtId="0" fontId="8" fillId="0" borderId="0" xfId="0" applyFont="1" applyAlignment="1">
      <alignment horizontal="left" vertical="top" wrapText="1"/>
    </xf>
    <xf numFmtId="0" fontId="23" fillId="0" borderId="0" xfId="0" applyFont="1" applyAlignment="1">
      <alignment horizontal="center"/>
    </xf>
    <xf numFmtId="0" fontId="8" fillId="0" borderId="7" xfId="0" applyFont="1" applyBorder="1" applyAlignment="1">
      <alignment horizontal="center" wrapText="1"/>
    </xf>
    <xf numFmtId="0" fontId="8" fillId="0" borderId="0" xfId="0" applyFont="1" applyAlignment="1">
      <alignment horizontal="left" vertical="top"/>
    </xf>
    <xf numFmtId="0" fontId="8" fillId="0" borderId="7" xfId="46" applyFont="1" applyBorder="1" applyAlignment="1">
      <alignment horizontal="center" wrapText="1"/>
    </xf>
    <xf numFmtId="0" fontId="8" fillId="0" borderId="0" xfId="46" applyFont="1" applyAlignment="1">
      <alignment vertical="top" wrapText="1"/>
    </xf>
    <xf numFmtId="0" fontId="23" fillId="0" borderId="0" xfId="46" applyFont="1" applyAlignment="1">
      <alignment horizontal="center"/>
    </xf>
    <xf numFmtId="0" fontId="8" fillId="0" borderId="0" xfId="46" applyFont="1" applyAlignment="1">
      <alignment horizontal="center"/>
    </xf>
    <xf numFmtId="0" fontId="25" fillId="0" borderId="7" xfId="9" applyFont="1" applyBorder="1" applyAlignment="1">
      <alignment horizontal="center" wrapText="1"/>
    </xf>
    <xf numFmtId="0" fontId="3" fillId="0" borderId="0" xfId="46" applyFont="1" applyAlignment="1">
      <alignment horizontal="center"/>
    </xf>
    <xf numFmtId="0" fontId="8" fillId="0" borderId="7" xfId="46" applyFont="1" applyBorder="1" applyAlignment="1">
      <alignment horizontal="center"/>
    </xf>
    <xf numFmtId="0" fontId="8" fillId="0" borderId="0" xfId="0" applyFont="1" applyAlignment="1">
      <alignment horizontal="center"/>
    </xf>
    <xf numFmtId="173" fontId="8" fillId="0" borderId="0" xfId="46" applyNumberFormat="1" applyFont="1" applyAlignment="1">
      <alignment horizontal="left" vertical="top" wrapText="1"/>
    </xf>
    <xf numFmtId="0" fontId="8" fillId="0" borderId="0" xfId="46" applyFont="1" applyAlignment="1">
      <alignment vertical="top"/>
    </xf>
    <xf numFmtId="0" fontId="6" fillId="0" borderId="16" xfId="22" applyFont="1" applyBorder="1" applyAlignment="1">
      <alignment horizontal="center"/>
    </xf>
    <xf numFmtId="0" fontId="6" fillId="0" borderId="56" xfId="22" applyFont="1" applyBorder="1" applyAlignment="1">
      <alignment horizontal="center"/>
    </xf>
    <xf numFmtId="0" fontId="6" fillId="0" borderId="17" xfId="22" applyFont="1" applyBorder="1" applyAlignment="1">
      <alignment horizontal="center"/>
    </xf>
    <xf numFmtId="0" fontId="8" fillId="0" borderId="7" xfId="0" applyFont="1" applyBorder="1" applyAlignment="1">
      <alignment horizontal="center"/>
    </xf>
    <xf numFmtId="0" fontId="8" fillId="0" borderId="7" xfId="0" applyFont="1" applyBorder="1"/>
    <xf numFmtId="0" fontId="23" fillId="0" borderId="0" xfId="0" applyFont="1" applyAlignment="1">
      <alignment horizontal="center" vertical="top" wrapText="1"/>
    </xf>
    <xf numFmtId="0" fontId="8" fillId="0" borderId="0" xfId="0" applyFont="1" applyAlignment="1">
      <alignment wrapText="1"/>
    </xf>
    <xf numFmtId="0" fontId="6" fillId="0" borderId="0" xfId="0" applyFont="1" applyAlignment="1">
      <alignment horizontal="left" wrapText="1"/>
    </xf>
    <xf numFmtId="0" fontId="8" fillId="0" borderId="0" xfId="0" applyFont="1" applyAlignment="1">
      <alignment horizontal="center" wrapText="1"/>
    </xf>
    <xf numFmtId="0" fontId="8" fillId="0" borderId="0" xfId="23" applyFont="1" applyAlignment="1">
      <alignment wrapText="1"/>
    </xf>
    <xf numFmtId="0" fontId="8" fillId="0" borderId="0" xfId="23" applyFont="1" applyAlignment="1">
      <alignment horizontal="justify" vertical="center"/>
    </xf>
    <xf numFmtId="0" fontId="23" fillId="0" borderId="0" xfId="23" applyFont="1" applyAlignment="1">
      <alignment horizontal="center"/>
    </xf>
    <xf numFmtId="0" fontId="8" fillId="0" borderId="0" xfId="23" applyFont="1" applyAlignment="1">
      <alignment horizontal="center"/>
    </xf>
    <xf numFmtId="0" fontId="8" fillId="0" borderId="0" xfId="23" applyFont="1" applyAlignment="1">
      <alignment horizontal="left" vertical="top" wrapText="1"/>
    </xf>
    <xf numFmtId="0" fontId="8" fillId="0" borderId="7" xfId="23" applyFont="1" applyBorder="1" applyAlignment="1">
      <alignment horizontal="center" wrapText="1"/>
    </xf>
    <xf numFmtId="0" fontId="8" fillId="0" borderId="0" xfId="23" applyFont="1" applyAlignment="1">
      <alignment vertical="top" wrapText="1"/>
    </xf>
    <xf numFmtId="173" fontId="8" fillId="0" borderId="7" xfId="46" applyNumberFormat="1" applyFont="1" applyBorder="1" applyAlignment="1">
      <alignment horizontal="center" wrapText="1"/>
    </xf>
    <xf numFmtId="0" fontId="8" fillId="0" borderId="0" xfId="60" applyFont="1" applyAlignment="1">
      <alignment horizontal="left" vertical="top" wrapText="1"/>
    </xf>
    <xf numFmtId="0" fontId="8" fillId="0" borderId="7" xfId="23" applyFont="1" applyBorder="1" applyAlignment="1">
      <alignment horizontal="center"/>
    </xf>
    <xf numFmtId="0" fontId="8" fillId="0" borderId="7" xfId="23" applyFont="1" applyBorder="1"/>
    <xf numFmtId="0" fontId="45" fillId="0" borderId="0" xfId="63" applyFont="1" applyAlignment="1">
      <alignment horizontal="justify" vertical="top"/>
    </xf>
    <xf numFmtId="0" fontId="45" fillId="0" borderId="0" xfId="63" applyFont="1" applyAlignment="1">
      <alignment vertical="top"/>
    </xf>
    <xf numFmtId="0" fontId="45" fillId="0" borderId="0" xfId="63" applyFont="1" applyAlignment="1">
      <alignment horizontal="justify" vertical="top" wrapText="1"/>
    </xf>
    <xf numFmtId="0" fontId="45" fillId="0" borderId="0" xfId="63" applyFont="1" applyAlignment="1">
      <alignment vertical="top" wrapText="1"/>
    </xf>
    <xf numFmtId="0" fontId="45" fillId="0" borderId="0" xfId="63" applyFont="1" applyAlignment="1">
      <alignment wrapText="1"/>
    </xf>
    <xf numFmtId="0" fontId="23" fillId="0" borderId="0" xfId="16" quotePrefix="1" applyFont="1" applyAlignment="1">
      <alignment horizontal="center"/>
    </xf>
    <xf numFmtId="0" fontId="23" fillId="0" borderId="0" xfId="16" applyFont="1" applyAlignment="1">
      <alignment horizontal="center"/>
    </xf>
    <xf numFmtId="0" fontId="8" fillId="0" borderId="0" xfId="16" applyFont="1" applyAlignment="1">
      <alignment horizontal="center"/>
    </xf>
    <xf numFmtId="0" fontId="8" fillId="0" borderId="0" xfId="16" applyFont="1" applyAlignment="1">
      <alignment horizontal="center" wrapText="1"/>
    </xf>
    <xf numFmtId="0" fontId="8" fillId="0" borderId="7" xfId="16" applyFont="1" applyBorder="1" applyAlignment="1">
      <alignment horizontal="center" wrapText="1"/>
    </xf>
    <xf numFmtId="0" fontId="23" fillId="0" borderId="0" xfId="22" applyFont="1" applyAlignment="1">
      <alignment horizontal="center"/>
    </xf>
    <xf numFmtId="193" fontId="23" fillId="0" borderId="0" xfId="22" applyNumberFormat="1" applyFont="1" applyAlignment="1" applyProtection="1">
      <alignment horizontal="center"/>
      <protection locked="0"/>
    </xf>
    <xf numFmtId="0" fontId="57" fillId="0" borderId="0" xfId="86" applyFont="1" applyAlignment="1">
      <alignment horizontal="center"/>
    </xf>
    <xf numFmtId="0" fontId="57" fillId="0" borderId="0" xfId="104" applyFont="1" applyAlignment="1">
      <alignment horizontal="center"/>
    </xf>
    <xf numFmtId="0" fontId="25" fillId="0" borderId="0" xfId="94" applyFont="1" applyAlignment="1">
      <alignment horizontal="center"/>
    </xf>
    <xf numFmtId="0" fontId="57" fillId="0" borderId="0" xfId="94" applyFont="1" applyAlignment="1">
      <alignment horizontal="center"/>
    </xf>
    <xf numFmtId="0" fontId="6" fillId="5" borderId="65" xfId="23" applyFont="1" applyFill="1" applyBorder="1" applyAlignment="1">
      <alignment horizontal="center"/>
    </xf>
    <xf numFmtId="0" fontId="10" fillId="0" borderId="0" xfId="112" applyFont="1" applyAlignment="1">
      <alignment horizontal="left" vertical="top" wrapText="1"/>
    </xf>
    <xf numFmtId="0" fontId="10" fillId="0" borderId="7" xfId="112" applyFont="1" applyBorder="1" applyAlignment="1">
      <alignment horizontal="center" wrapText="1"/>
    </xf>
    <xf numFmtId="0" fontId="10" fillId="0" borderId="7" xfId="112" applyFont="1" applyBorder="1" applyAlignment="1">
      <alignment horizontal="center"/>
    </xf>
    <xf numFmtId="14" fontId="50" fillId="0" borderId="0" xfId="64" applyNumberFormat="1" applyFont="1" applyAlignment="1">
      <alignment horizontal="center"/>
    </xf>
    <xf numFmtId="0" fontId="50" fillId="0" borderId="0" xfId="111" applyFont="1" applyAlignment="1">
      <alignment horizontal="center"/>
    </xf>
    <xf numFmtId="0" fontId="10" fillId="0" borderId="0" xfId="112" applyFont="1" applyAlignment="1">
      <alignment horizontal="center"/>
    </xf>
    <xf numFmtId="0" fontId="10" fillId="0" borderId="0" xfId="64" applyFont="1" applyAlignment="1">
      <alignment horizontal="center"/>
    </xf>
    <xf numFmtId="0" fontId="50" fillId="0" borderId="0" xfId="112" applyFont="1" applyAlignment="1">
      <alignment horizontal="center"/>
    </xf>
    <xf numFmtId="0" fontId="50" fillId="0" borderId="0" xfId="64" applyFont="1" applyAlignment="1">
      <alignment horizontal="center" wrapText="1"/>
    </xf>
    <xf numFmtId="0" fontId="23" fillId="0" borderId="0" xfId="116" applyFont="1" applyAlignment="1">
      <alignment horizontal="center"/>
    </xf>
    <xf numFmtId="0" fontId="23" fillId="0" borderId="0" xfId="119" applyFont="1" applyAlignment="1">
      <alignment horizontal="center"/>
    </xf>
    <xf numFmtId="0" fontId="8" fillId="0" borderId="0" xfId="121" applyFont="1" applyAlignment="1">
      <alignment horizontal="center"/>
    </xf>
    <xf numFmtId="0" fontId="23" fillId="0" borderId="0" xfId="121" applyFont="1" applyAlignment="1">
      <alignment horizontal="center"/>
    </xf>
    <xf numFmtId="0" fontId="8" fillId="4" borderId="0" xfId="121" applyFont="1" applyFill="1" applyAlignment="1">
      <alignment horizontal="left" vertical="top" wrapText="1"/>
    </xf>
    <xf numFmtId="0" fontId="57" fillId="0" borderId="0" xfId="116" applyFont="1" applyAlignment="1">
      <alignment horizontal="center"/>
    </xf>
    <xf numFmtId="0" fontId="70" fillId="0" borderId="0" xfId="132" applyFont="1" applyAlignment="1">
      <alignment horizontal="center"/>
    </xf>
    <xf numFmtId="0" fontId="34" fillId="0" borderId="0" xfId="133" applyFont="1" applyAlignment="1">
      <alignment horizontal="left" wrapText="1"/>
    </xf>
    <xf numFmtId="0" fontId="62" fillId="0" borderId="0" xfId="133" applyFont="1" applyAlignment="1">
      <alignment horizontal="center"/>
    </xf>
    <xf numFmtId="0" fontId="34" fillId="0" borderId="0" xfId="133" applyFont="1" applyAlignment="1">
      <alignment horizontal="center"/>
    </xf>
    <xf numFmtId="0" fontId="57" fillId="0" borderId="0" xfId="132" applyFont="1" applyAlignment="1">
      <alignment horizontal="center"/>
    </xf>
    <xf numFmtId="0" fontId="37" fillId="0" borderId="1" xfId="132" applyFont="1" applyBorder="1" applyAlignment="1">
      <alignment horizontal="center" vertical="center"/>
    </xf>
    <xf numFmtId="0" fontId="25" fillId="0" borderId="0" xfId="143" applyFont="1" applyAlignment="1">
      <alignment horizontal="center"/>
    </xf>
    <xf numFmtId="207" fontId="77" fillId="0" borderId="0" xfId="149" applyNumberFormat="1" applyFont="1" applyAlignment="1">
      <alignment horizontal="right"/>
    </xf>
    <xf numFmtId="0" fontId="62" fillId="0" borderId="0" xfId="23" applyFont="1" applyAlignment="1">
      <alignment horizontal="center"/>
    </xf>
    <xf numFmtId="0" fontId="1" fillId="0" borderId="0" xfId="120" applyAlignment="1">
      <alignment horizontal="center"/>
    </xf>
    <xf numFmtId="0" fontId="4" fillId="0" borderId="32" xfId="3" applyFont="1" applyBorder="1" applyAlignment="1">
      <alignment horizontal="center"/>
    </xf>
    <xf numFmtId="0" fontId="4" fillId="0" borderId="26" xfId="3" applyFont="1" applyBorder="1" applyAlignment="1">
      <alignment horizontal="center"/>
    </xf>
    <xf numFmtId="0" fontId="4" fillId="0" borderId="33" xfId="3" applyFont="1" applyBorder="1" applyAlignment="1">
      <alignment horizontal="center"/>
    </xf>
    <xf numFmtId="0" fontId="4" fillId="0" borderId="37"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15" xfId="3" applyFont="1" applyBorder="1" applyAlignment="1">
      <alignment horizontal="center" vertical="center" wrapText="1"/>
    </xf>
    <xf numFmtId="0" fontId="4" fillId="0" borderId="11" xfId="3" applyFont="1" applyBorder="1" applyAlignment="1">
      <alignment horizontal="center"/>
    </xf>
    <xf numFmtId="0" fontId="4" fillId="0" borderId="0" xfId="3" applyFont="1" applyAlignment="1">
      <alignment horizontal="center"/>
    </xf>
    <xf numFmtId="0" fontId="4" fillId="0" borderId="9" xfId="3" applyFont="1" applyBorder="1" applyAlignment="1">
      <alignment horizontal="center"/>
    </xf>
    <xf numFmtId="0" fontId="4" fillId="0" borderId="32" xfId="3" applyFont="1" applyBorder="1" applyAlignment="1">
      <alignment horizontal="center" wrapText="1"/>
    </xf>
    <xf numFmtId="0" fontId="4" fillId="0" borderId="33" xfId="3" applyFont="1" applyBorder="1" applyAlignment="1">
      <alignment horizontal="center" wrapText="1"/>
    </xf>
    <xf numFmtId="0" fontId="10" fillId="0" borderId="0" xfId="9" applyFont="1" applyAlignment="1">
      <alignment horizontal="center" wrapText="1"/>
    </xf>
    <xf numFmtId="0" fontId="10" fillId="0" borderId="7" xfId="9" applyFont="1" applyBorder="1" applyAlignment="1">
      <alignment horizontal="center" wrapText="1"/>
    </xf>
    <xf numFmtId="0" fontId="10" fillId="0" borderId="0" xfId="16" applyFont="1" applyAlignment="1">
      <alignment horizontal="center"/>
    </xf>
    <xf numFmtId="0" fontId="50" fillId="0" borderId="0" xfId="16" applyFont="1" applyAlignment="1">
      <alignment horizontal="center"/>
    </xf>
    <xf numFmtId="0" fontId="56" fillId="0" borderId="7" xfId="12" applyFont="1" applyBorder="1" applyAlignment="1">
      <alignment horizontal="center" wrapText="1"/>
    </xf>
    <xf numFmtId="165" fontId="14" fillId="0" borderId="0" xfId="21" applyNumberFormat="1" applyFont="1" applyFill="1" applyAlignment="1">
      <alignment horizontal="center"/>
    </xf>
    <xf numFmtId="165" fontId="86" fillId="0" borderId="0" xfId="21" applyNumberFormat="1" applyFont="1" applyFill="1" applyAlignment="1">
      <alignment horizontal="center"/>
    </xf>
    <xf numFmtId="0" fontId="2" fillId="0" borderId="0" xfId="22" applyAlignment="1">
      <alignment horizontal="center"/>
    </xf>
    <xf numFmtId="0" fontId="0" fillId="0" borderId="0" xfId="0" applyAlignment="1">
      <alignment horizontal="center"/>
    </xf>
    <xf numFmtId="0" fontId="29" fillId="0" borderId="0" xfId="22" applyFont="1" applyAlignment="1">
      <alignment horizontal="center"/>
    </xf>
    <xf numFmtId="0" fontId="2" fillId="0" borderId="0" xfId="72" applyAlignment="1">
      <alignment horizontal="center"/>
    </xf>
  </cellXfs>
  <cellStyles count="154">
    <cellStyle name="Body: normal cell 2" xfId="29" xr:uid="{00000000-0005-0000-0000-000000000000}"/>
    <cellStyle name="Comma" xfId="1" builtinId="3"/>
    <cellStyle name="Comma 10" xfId="118" xr:uid="{01E88D59-FEE2-4ADC-8B4F-DCE120C33326}"/>
    <cellStyle name="Comma 11 4" xfId="51" xr:uid="{00000000-0005-0000-0000-000002000000}"/>
    <cellStyle name="Comma 12" xfId="39" xr:uid="{00000000-0005-0000-0000-000003000000}"/>
    <cellStyle name="Comma 14 2" xfId="68" xr:uid="{FC42CA18-E7DF-42A4-A847-FA8AA16B76A8}"/>
    <cellStyle name="Comma 16 2 2 2 2" xfId="38" xr:uid="{00000000-0005-0000-0000-000004000000}"/>
    <cellStyle name="Comma 16 2 2 3" xfId="34" xr:uid="{00000000-0005-0000-0000-000005000000}"/>
    <cellStyle name="Comma 18" xfId="56" xr:uid="{00000000-0005-0000-0000-000006000000}"/>
    <cellStyle name="Comma 2" xfId="18" xr:uid="{00000000-0005-0000-0000-000007000000}"/>
    <cellStyle name="Comma 2 106 4 2" xfId="98" xr:uid="{C52B4F9B-5EBA-44EB-9142-DF4D9E901929}"/>
    <cellStyle name="Comma 2 8 2 2 2" xfId="41" xr:uid="{00000000-0005-0000-0000-000008000000}"/>
    <cellStyle name="Comma 23 2" xfId="75" xr:uid="{DBB261E1-9649-4E00-8019-379730F4CFD3}"/>
    <cellStyle name="Comma 23 3" xfId="77" xr:uid="{7B909991-CC58-441C-8D6F-866F375F4A97}"/>
    <cellStyle name="Comma 28 2" xfId="71" xr:uid="{02373F38-2389-48F9-9D92-FDD04460AECE}"/>
    <cellStyle name="Comma 4 20 2" xfId="136" xr:uid="{5AE79519-276B-4B6F-8F32-8DE68A0CAA88}"/>
    <cellStyle name="Comma 45 3" xfId="139" xr:uid="{40C7AA65-5CA7-4E1A-B1F1-793F884EDCCE}"/>
    <cellStyle name="Comma 6" xfId="19" xr:uid="{00000000-0005-0000-0000-000009000000}"/>
    <cellStyle name="Comma 91 2" xfId="123" xr:uid="{EA10E898-D341-472F-9E75-C1B1D6D9C537}"/>
    <cellStyle name="Currency 10 3" xfId="10" xr:uid="{00000000-0005-0000-0000-00000A000000}"/>
    <cellStyle name="Currency 11 2 2 3" xfId="36" xr:uid="{00000000-0005-0000-0000-00000B000000}"/>
    <cellStyle name="Currency 14 3" xfId="93" xr:uid="{4A23C021-FDC2-4F47-AE45-05F5BAABDC4E}"/>
    <cellStyle name="Currency 2" xfId="5" xr:uid="{00000000-0005-0000-0000-00000C000000}"/>
    <cellStyle name="Currency 2 100 3 2 2" xfId="96" xr:uid="{D096D0E2-A829-491E-85D9-8FAB558E0E6E}"/>
    <cellStyle name="Currency 8 2" xfId="67" xr:uid="{FAD44525-1314-4596-A584-33597F9CA6D8}"/>
    <cellStyle name="Currency 9" xfId="13" xr:uid="{00000000-0005-0000-0000-00000D000000}"/>
    <cellStyle name="Font: Calibri, 9pt regular 2" xfId="25" xr:uid="{00000000-0005-0000-0000-00000E000000}"/>
    <cellStyle name="Footnotes: top row 2" xfId="30" xr:uid="{00000000-0005-0000-0000-00000F000000}"/>
    <cellStyle name="Header: bottom row 2" xfId="26" xr:uid="{00000000-0005-0000-0000-000010000000}"/>
    <cellStyle name="Hyperlink 2 3" xfId="151" xr:uid="{09E4A067-B8CA-4919-9030-26B0A364FEBC}"/>
    <cellStyle name="Normal" xfId="0" builtinId="0"/>
    <cellStyle name="Normal - Style1" xfId="23" xr:uid="{00000000-0005-0000-0000-000013000000}"/>
    <cellStyle name="Normal - Style1 2" xfId="121" xr:uid="{BEBFEC1C-337F-4825-B66C-E3110A1B9FBC}"/>
    <cellStyle name="Normal 10" xfId="22" xr:uid="{00000000-0005-0000-0000-000014000000}"/>
    <cellStyle name="Normal 10 10 3 2 2 3 2 2" xfId="132" xr:uid="{D9022D84-2A83-4FEF-8A51-9CE6D208C6E1}"/>
    <cellStyle name="Normal 10 10 3 4 2" xfId="145" xr:uid="{79A720A9-699C-4AB4-99A9-836FF37CDF61}"/>
    <cellStyle name="Normal 10 10 9 2 2 3 2" xfId="120" xr:uid="{28706F6F-2C6F-4CEB-A8DB-685F3AF36ED0}"/>
    <cellStyle name="Normal 10 10 9 2 2 5" xfId="116" xr:uid="{9AEF530D-8521-4993-9B9D-66A4C3DDFDDA}"/>
    <cellStyle name="Normal 10 11 9 2" xfId="94" xr:uid="{3CD563BA-5D4B-4F92-BD96-7B419B32938B}"/>
    <cellStyle name="Normal 10 21 3" xfId="64" xr:uid="{CDA320E7-B35D-40A4-94D4-5DE6054BBD8A}"/>
    <cellStyle name="Normal 13 10 2" xfId="9" xr:uid="{00000000-0005-0000-0000-000015000000}"/>
    <cellStyle name="Normal 13 10 2 2 2 2 2 2 2 2" xfId="105" xr:uid="{15ADC347-ADF6-41CF-8C21-6C0C43C609C0}"/>
    <cellStyle name="Normal 13 10 2 2 2 2 2 2 3" xfId="129" xr:uid="{B2983E32-DAFB-4E20-B3AD-7D1168D1BB48}"/>
    <cellStyle name="Normal 13 10 2 3 3" xfId="81" xr:uid="{EEF69A72-C176-434C-90AC-569C7ED9B17C}"/>
    <cellStyle name="Normal 13 10 3 2" xfId="63" xr:uid="{55E6E03B-4C78-4298-90D7-E614ECC66F13}"/>
    <cellStyle name="Normal 13 5 4" xfId="47" xr:uid="{00000000-0005-0000-0000-000016000000}"/>
    <cellStyle name="Normal 13 5 4 2 2 3 2 2" xfId="54" xr:uid="{00000000-0005-0000-0000-000017000000}"/>
    <cellStyle name="Normal 13 5 4 2 2 3 2 2 2 2" xfId="92" xr:uid="{829E6FC9-A5D6-40E7-B07D-BEF744946AA4}"/>
    <cellStyle name="Normal 13 5 4 2 2 3 2 2 2 3" xfId="89" xr:uid="{F4413673-E33E-4444-AC54-0CEC8EBF0FDF}"/>
    <cellStyle name="Normal 13 5 4 2 2 3 3 2 3" xfId="91" xr:uid="{5C6274D0-B7B7-4A67-ABC7-7FE2859E3D59}"/>
    <cellStyle name="Normal 13 5 4 2 2 3 4" xfId="50" xr:uid="{00000000-0005-0000-0000-000018000000}"/>
    <cellStyle name="Normal 14 12 10" xfId="44" xr:uid="{00000000-0005-0000-0000-000019000000}"/>
    <cellStyle name="Normal 14 12 10 2 2 3 2 2 2" xfId="103" xr:uid="{CEBE4643-AEA6-414E-9393-3DED82FED665}"/>
    <cellStyle name="Normal 14 12 10 2 2 3 3" xfId="102" xr:uid="{C5B4BBA1-767D-4C38-A32C-57CE7403C639}"/>
    <cellStyle name="Normal 15 2" xfId="20" xr:uid="{00000000-0005-0000-0000-00001A000000}"/>
    <cellStyle name="Normal 152 2" xfId="138" xr:uid="{AC3C1BEE-B4CE-4C24-B67F-5C20F2D3F62F}"/>
    <cellStyle name="Normal 17 4 4" xfId="53" xr:uid="{00000000-0005-0000-0000-00001B000000}"/>
    <cellStyle name="Normal 18" xfId="48" xr:uid="{00000000-0005-0000-0000-00001C000000}"/>
    <cellStyle name="Normal 2" xfId="46" xr:uid="{00000000-0005-0000-0000-00001D000000}"/>
    <cellStyle name="Normal 2 10 2 2" xfId="153" xr:uid="{F1564B4C-2259-4A6B-B10B-400995195AF2}"/>
    <cellStyle name="Normal 2 12 3" xfId="24" xr:uid="{00000000-0005-0000-0000-00001E000000}"/>
    <cellStyle name="Normal 2 143" xfId="119" xr:uid="{D766CD68-3F53-4763-8269-D1EDD7B3E336}"/>
    <cellStyle name="Normal 2 2" xfId="110" xr:uid="{6C3FA33B-8154-400D-93A3-ED658F2B4C9C}"/>
    <cellStyle name="Normal 2 2 2" xfId="61" xr:uid="{AED71498-2172-42B1-BE96-85195993981A}"/>
    <cellStyle name="Normal 2 2 2 145" xfId="111" xr:uid="{75DCFC54-3F7E-4306-A055-9067E217587C}"/>
    <cellStyle name="Normal 2 2 6 2" xfId="109" xr:uid="{8AAA5749-AFE6-48E1-B51B-4F3788118E2A}"/>
    <cellStyle name="Normal 2 2 9 4 4" xfId="69" xr:uid="{C5D75526-96AE-4B96-ABA5-28A84ED675EC}"/>
    <cellStyle name="Normal 2 3 2" xfId="32" xr:uid="{00000000-0005-0000-0000-00001F000000}"/>
    <cellStyle name="Normal 2 3 3" xfId="72" xr:uid="{DAA6788D-C115-46E7-92B5-4AF7BC7AF343}"/>
    <cellStyle name="Normal 2 5" xfId="150" xr:uid="{863216E2-3084-46D1-8437-AB921B6B0B7B}"/>
    <cellStyle name="Normal 202 2" xfId="43" xr:uid="{00000000-0005-0000-0000-000020000000}"/>
    <cellStyle name="Normal 202 2 3 2 2" xfId="101" xr:uid="{B5F43B34-36BE-42FC-ABDE-B62C1936FC59}"/>
    <cellStyle name="Normal 207 2 2 2 2 2" xfId="143" xr:uid="{22FE95F7-927A-4D04-8374-177647A6ABD3}"/>
    <cellStyle name="Normal 207 2 2 2 2 3" xfId="133" xr:uid="{9B858DAF-8AD0-4475-8961-9AEA79A4BA49}"/>
    <cellStyle name="Normal 207 4 2 2" xfId="144" xr:uid="{00B4690D-F1AD-44E4-97A6-8738448726FA}"/>
    <cellStyle name="Normal 207 4 2 3" xfId="134" xr:uid="{CAA76E15-443C-43BD-B3E1-B7E3F317CD56}"/>
    <cellStyle name="Normal 3" xfId="16" xr:uid="{00000000-0005-0000-0000-000021000000}"/>
    <cellStyle name="Normal 3 10 2 2 2 2 2 2" xfId="146" xr:uid="{CC4CBECC-0FEF-4D67-94C0-D71EAA82970D}"/>
    <cellStyle name="Normal 3 2 2" xfId="60" xr:uid="{1884BEB0-95F3-4398-B238-B71A91F25327}"/>
    <cellStyle name="Normal 3 5" xfId="12" xr:uid="{00000000-0005-0000-0000-000022000000}"/>
    <cellStyle name="Normal 3 7 2" xfId="127" xr:uid="{0E58824C-B649-4E53-BE96-42CD6EA91403}"/>
    <cellStyle name="Normal 3 8" xfId="126" xr:uid="{8B5B4745-A0ED-4D88-8BE0-0DD2869FAC24}"/>
    <cellStyle name="Normal 39 2" xfId="65" xr:uid="{A422A497-EA35-494D-8F26-BA46E2C46E90}"/>
    <cellStyle name="Normal 4" xfId="62" xr:uid="{2A76AC31-D323-4C3F-9297-BF675CF23D9D}"/>
    <cellStyle name="Normal 4 2 3" xfId="149" xr:uid="{19E7F013-0BDB-4FF0-AB95-BCAE8822C46C}"/>
    <cellStyle name="Normal 5" xfId="90" xr:uid="{DBAD238F-CD74-4590-97A5-54A24712E362}"/>
    <cellStyle name="Normal 66 2" xfId="58" xr:uid="{D7C98E41-06F1-48C5-915A-EC2C682355EB}"/>
    <cellStyle name="Normal 68" xfId="3" xr:uid="{00000000-0005-0000-0000-000023000000}"/>
    <cellStyle name="Normal 68 11" xfId="107" xr:uid="{E5AAACAD-A95D-4D03-8F64-796A4CF45053}"/>
    <cellStyle name="Normal 68 3" xfId="33" xr:uid="{00000000-0005-0000-0000-000024000000}"/>
    <cellStyle name="Normal 68 4 2 3 2" xfId="114" xr:uid="{E0109B18-BFF0-4DCF-97CD-1B16B8A22A75}"/>
    <cellStyle name="Normal 68 6 2" xfId="37" xr:uid="{00000000-0005-0000-0000-000025000000}"/>
    <cellStyle name="Normal 69 2" xfId="57" xr:uid="{00000000-0005-0000-0000-000026000000}"/>
    <cellStyle name="Normal 69 2 2 2" xfId="74" xr:uid="{D66EA954-2C47-4896-92B4-3B2F32897CCD}"/>
    <cellStyle name="Normal 69 2 2 3" xfId="78" xr:uid="{E95FBB15-7FAE-4D88-A315-186DC5EEF470}"/>
    <cellStyle name="Normal 69 2 6" xfId="73" xr:uid="{AE1A29BF-3179-49C4-82BA-1AC48953EFC8}"/>
    <cellStyle name="Normal 7" xfId="8" xr:uid="{00000000-0005-0000-0000-000027000000}"/>
    <cellStyle name="Normal 70 3" xfId="104" xr:uid="{82D279F6-3123-4051-86E0-50E0F84FC226}"/>
    <cellStyle name="Normal 72" xfId="55" xr:uid="{00000000-0005-0000-0000-000028000000}"/>
    <cellStyle name="Normal 75 2 2 2" xfId="106" xr:uid="{D050B766-20B6-4221-9A94-C74A1FBA4F43}"/>
    <cellStyle name="Normal 75 2 4" xfId="148" xr:uid="{C067843D-5F7A-465B-8C8A-66B22DE7CE47}"/>
    <cellStyle name="Normal 77 2" xfId="76" xr:uid="{24EFB9FC-B027-47E7-ADB2-2205AA6447A1}"/>
    <cellStyle name="Normal 77 2 2 2 2" xfId="112" xr:uid="{CDF195C5-1717-42D9-9045-7DF87EF56BC7}"/>
    <cellStyle name="Normal 78 2 2" xfId="82" xr:uid="{E4A1F4EB-0D1D-4973-9B04-D481C47414A9}"/>
    <cellStyle name="Normal 78 3 4 2 2 2 2" xfId="85" xr:uid="{D2CD950D-75AF-45DD-AEF3-080B34EB7F70}"/>
    <cellStyle name="Normal 78 6 2 2 2 2" xfId="84" xr:uid="{BFC378EB-53F1-4471-B76B-0B70FC68A243}"/>
    <cellStyle name="Normal 8 2" xfId="52" xr:uid="{00000000-0005-0000-0000-000029000000}"/>
    <cellStyle name="Normal 82 4 2 2" xfId="86" xr:uid="{419A3950-61D3-4D80-A9F9-650FF98F5202}"/>
    <cellStyle name="Normal 84 3" xfId="128" xr:uid="{E26E8B22-F991-4234-8B4F-DD27197105CB}"/>
    <cellStyle name="Normal 90" xfId="42" xr:uid="{00000000-0005-0000-0000-00002A000000}"/>
    <cellStyle name="Normal 90 2 2 2" xfId="100" xr:uid="{7D073450-8A20-4275-A2E0-539CCF9AB489}"/>
    <cellStyle name="Normal 92" xfId="70" xr:uid="{8F0195A5-ABA4-42E4-B309-7A29BD85F7EA}"/>
    <cellStyle name="Parent row 2" xfId="28" xr:uid="{00000000-0005-0000-0000-00002B000000}"/>
    <cellStyle name="Percent" xfId="2" builtinId="5"/>
    <cellStyle name="Percent 10" xfId="14" xr:uid="{00000000-0005-0000-0000-00002D000000}"/>
    <cellStyle name="Percent 10 2" xfId="7" xr:uid="{00000000-0005-0000-0000-00002E000000}"/>
    <cellStyle name="Percent 10 2 2" xfId="11" xr:uid="{00000000-0005-0000-0000-00002F000000}"/>
    <cellStyle name="Percent 10 2 2 2" xfId="124" xr:uid="{7D2D9EC7-9145-4123-9EBA-4712341ED090}"/>
    <cellStyle name="Percent 10 5" xfId="125" xr:uid="{D7BD1B0D-7B63-4931-9BEB-09165BEE8C34}"/>
    <cellStyle name="Percent 11" xfId="6" xr:uid="{00000000-0005-0000-0000-000030000000}"/>
    <cellStyle name="Percent 11 3" xfId="40" xr:uid="{00000000-0005-0000-0000-000031000000}"/>
    <cellStyle name="Percent 13 2 2 3" xfId="35" xr:uid="{00000000-0005-0000-0000-000032000000}"/>
    <cellStyle name="Percent 14 4" xfId="108" xr:uid="{2068A62A-48DA-4DD3-8354-3684BA5C1C7F}"/>
    <cellStyle name="Percent 14 6" xfId="117" xr:uid="{3B0F4BE6-474D-4FA8-A3F6-319025357CE5}"/>
    <cellStyle name="Percent 15 2 2 2" xfId="113" xr:uid="{0D4D0336-B90B-40CB-82C0-3BFA58938BA0}"/>
    <cellStyle name="Percent 15 2 3 2" xfId="115" xr:uid="{BCADC44A-81EA-4D9F-A2AC-5F1D3FC5C544}"/>
    <cellStyle name="Percent 16 2 2 2" xfId="59" xr:uid="{2CBE52DE-F93A-4E8C-832B-2AE3A0887F79}"/>
    <cellStyle name="Percent 17 2 4 2 2 2 2" xfId="88" xr:uid="{30CDE711-A81E-4B7C-BB36-42BFC461AC6B}"/>
    <cellStyle name="Percent 17 2 4 2 2 2 3" xfId="83" xr:uid="{2FFCE039-A01A-4AB5-99D9-9222744F7C30}"/>
    <cellStyle name="Percent 17 5 2 2 2" xfId="87" xr:uid="{4A0F8B2C-ECDD-4295-B72F-85C923AD4064}"/>
    <cellStyle name="Percent 19" xfId="45" xr:uid="{00000000-0005-0000-0000-000033000000}"/>
    <cellStyle name="Percent 19 4 4 2 2" xfId="97" xr:uid="{2C4F61C0-FCDC-4F7D-B8C3-2708456834C4}"/>
    <cellStyle name="Percent 2" xfId="4" xr:uid="{00000000-0005-0000-0000-000034000000}"/>
    <cellStyle name="Percent 2 10 3 4 2" xfId="15" xr:uid="{00000000-0005-0000-0000-000035000000}"/>
    <cellStyle name="Percent 2 10 3 4 2 2 2" xfId="142" xr:uid="{870E687C-870B-4435-9D34-17780CA19388}"/>
    <cellStyle name="Percent 2 10 3 5 2 2" xfId="95" xr:uid="{39B4CD6B-3163-4351-BD47-14285587DD28}"/>
    <cellStyle name="Percent 2 2 10" xfId="99" xr:uid="{8B689905-9F77-4D31-85DB-0716842271B2}"/>
    <cellStyle name="Percent 2 7 3" xfId="130" xr:uid="{D8210E29-6131-4504-ACAB-7C0E1CDB2D54}"/>
    <cellStyle name="Percent 2 8 3" xfId="135" xr:uid="{BEFE5606-1DC8-4FEC-8A7C-50F348524482}"/>
    <cellStyle name="Percent 2 9" xfId="131" xr:uid="{F153B135-8E7E-48C0-BA8B-BADAB113650F}"/>
    <cellStyle name="Percent 22" xfId="79" xr:uid="{5F2CBC26-93ED-48B5-ACAF-2D3EC7BFE7FD}"/>
    <cellStyle name="Percent 3" xfId="17" xr:uid="{00000000-0005-0000-0000-000036000000}"/>
    <cellStyle name="Percent 3 159 3 2 3 2 2" xfId="137" xr:uid="{290E0AF0-DAB4-4F97-BB30-1652CD5D64C4}"/>
    <cellStyle name="Percent 6" xfId="21" xr:uid="{00000000-0005-0000-0000-000037000000}"/>
    <cellStyle name="Percent 68 6 2 2 2 2 2 2 2" xfId="147" xr:uid="{34A4D3A8-77BD-4BC9-8E32-3ABEEFD82FCF}"/>
    <cellStyle name="Percent 68 6 2 2 2 2 2 3" xfId="141" xr:uid="{C9669143-BFAF-45A4-9809-8601FCC61552}"/>
    <cellStyle name="Percent 7" xfId="49" xr:uid="{00000000-0005-0000-0000-000038000000}"/>
    <cellStyle name="Percent 76 3 4" xfId="140" xr:uid="{41614304-30BF-4903-BCCF-E52D180D684C}"/>
    <cellStyle name="Percent 8 2 3" xfId="152" xr:uid="{92B334EC-4D45-41B1-ADC1-9ED25FA76301}"/>
    <cellStyle name="Percent 81 2" xfId="122" xr:uid="{C62D37C5-17C9-4A61-85D5-27E297D37C4C}"/>
    <cellStyle name="Percent 9 2" xfId="31" xr:uid="{00000000-0005-0000-0000-000039000000}"/>
    <cellStyle name="Percent 9 3" xfId="66" xr:uid="{1323B0A6-BE25-4377-8BEF-4FEFD3184C26}"/>
    <cellStyle name="Style 26" xfId="80" xr:uid="{00E4C2E2-B630-46C0-91C4-62792A17DB19}"/>
    <cellStyle name="Table title 2" xfId="27" xr:uid="{00000000-0005-0000-0000-00003A000000}"/>
  </cellStyles>
  <dxfs count="7">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trendline>
            <c:trendlineType val="linear"/>
            <c:dispRSqr val="0"/>
            <c:dispEq val="0"/>
          </c:trendline>
          <c:trendline>
            <c:trendlineType val="linear"/>
            <c:dispRSqr val="0"/>
            <c:dispEq val="0"/>
          </c:trendline>
          <c:trendline>
            <c:trendlineType val="linear"/>
            <c:dispRSqr val="1"/>
            <c:dispEq val="1"/>
            <c:trendlineLbl>
              <c:layout>
                <c:manualLayout>
                  <c:x val="-2.9385955498974084E-3"/>
                  <c:y val="-0.50631611098410267"/>
                </c:manualLayout>
              </c:layout>
              <c:numFmt formatCode="General" sourceLinked="0"/>
            </c:trendlineLbl>
          </c:trendline>
          <c:xVal>
            <c:numRef>
              <c:f>'1.20 Past Rate Cases Gas'!$J$6:$J$853</c:f>
              <c:numCache>
                <c:formatCode>_(* #,##0.00_);_(* \(#,##0.00\);_(* "-"??_);_(@_)</c:formatCode>
                <c:ptCount val="848"/>
                <c:pt idx="0">
                  <c:v>11.89</c:v>
                </c:pt>
                <c:pt idx="1">
                  <c:v>11.89</c:v>
                </c:pt>
                <c:pt idx="2">
                  <c:v>11.89</c:v>
                </c:pt>
                <c:pt idx="3">
                  <c:v>12.15</c:v>
                </c:pt>
                <c:pt idx="4">
                  <c:v>12.15</c:v>
                </c:pt>
                <c:pt idx="5">
                  <c:v>12.15</c:v>
                </c:pt>
                <c:pt idx="6">
                  <c:v>12.15</c:v>
                </c:pt>
                <c:pt idx="7">
                  <c:v>12.21</c:v>
                </c:pt>
                <c:pt idx="8">
                  <c:v>12.21</c:v>
                </c:pt>
                <c:pt idx="9">
                  <c:v>12.21</c:v>
                </c:pt>
                <c:pt idx="10">
                  <c:v>12.21</c:v>
                </c:pt>
                <c:pt idx="11">
                  <c:v>12.21</c:v>
                </c:pt>
                <c:pt idx="12">
                  <c:v>13.23</c:v>
                </c:pt>
                <c:pt idx="13">
                  <c:v>14.59</c:v>
                </c:pt>
                <c:pt idx="14">
                  <c:v>14.59</c:v>
                </c:pt>
                <c:pt idx="15">
                  <c:v>14.59</c:v>
                </c:pt>
                <c:pt idx="16">
                  <c:v>14.59</c:v>
                </c:pt>
                <c:pt idx="17">
                  <c:v>14.29</c:v>
                </c:pt>
                <c:pt idx="18">
                  <c:v>14.29</c:v>
                </c:pt>
                <c:pt idx="19">
                  <c:v>14.29</c:v>
                </c:pt>
                <c:pt idx="20">
                  <c:v>12.74</c:v>
                </c:pt>
                <c:pt idx="21">
                  <c:v>12.74</c:v>
                </c:pt>
                <c:pt idx="22">
                  <c:v>12.4</c:v>
                </c:pt>
                <c:pt idx="23">
                  <c:v>12.4</c:v>
                </c:pt>
                <c:pt idx="24">
                  <c:v>12.4</c:v>
                </c:pt>
                <c:pt idx="25">
                  <c:v>12.4</c:v>
                </c:pt>
                <c:pt idx="26">
                  <c:v>12.4</c:v>
                </c:pt>
                <c:pt idx="27">
                  <c:v>12.4</c:v>
                </c:pt>
                <c:pt idx="28">
                  <c:v>12.15</c:v>
                </c:pt>
                <c:pt idx="29">
                  <c:v>12.15</c:v>
                </c:pt>
                <c:pt idx="30">
                  <c:v>12.66</c:v>
                </c:pt>
                <c:pt idx="31">
                  <c:v>12.66</c:v>
                </c:pt>
                <c:pt idx="32">
                  <c:v>12.66</c:v>
                </c:pt>
                <c:pt idx="33">
                  <c:v>13.29</c:v>
                </c:pt>
                <c:pt idx="34">
                  <c:v>13.29</c:v>
                </c:pt>
                <c:pt idx="35">
                  <c:v>13.29</c:v>
                </c:pt>
                <c:pt idx="36">
                  <c:v>13.29</c:v>
                </c:pt>
                <c:pt idx="37">
                  <c:v>13.29</c:v>
                </c:pt>
                <c:pt idx="38">
                  <c:v>13.29</c:v>
                </c:pt>
                <c:pt idx="39">
                  <c:v>13.29</c:v>
                </c:pt>
                <c:pt idx="40">
                  <c:v>13.29</c:v>
                </c:pt>
                <c:pt idx="41">
                  <c:v>13.54</c:v>
                </c:pt>
                <c:pt idx="42">
                  <c:v>13.54</c:v>
                </c:pt>
                <c:pt idx="43">
                  <c:v>13.54</c:v>
                </c:pt>
                <c:pt idx="44">
                  <c:v>13.54</c:v>
                </c:pt>
                <c:pt idx="45">
                  <c:v>13.54</c:v>
                </c:pt>
                <c:pt idx="46">
                  <c:v>14.01</c:v>
                </c:pt>
                <c:pt idx="47">
                  <c:v>14.01</c:v>
                </c:pt>
                <c:pt idx="48">
                  <c:v>14.01</c:v>
                </c:pt>
                <c:pt idx="49">
                  <c:v>14.01</c:v>
                </c:pt>
                <c:pt idx="50">
                  <c:v>14.01</c:v>
                </c:pt>
                <c:pt idx="51">
                  <c:v>14.01</c:v>
                </c:pt>
                <c:pt idx="52">
                  <c:v>14.01</c:v>
                </c:pt>
                <c:pt idx="53">
                  <c:v>14.01</c:v>
                </c:pt>
                <c:pt idx="54">
                  <c:v>14.66</c:v>
                </c:pt>
                <c:pt idx="55">
                  <c:v>14.66</c:v>
                </c:pt>
                <c:pt idx="56">
                  <c:v>14.66</c:v>
                </c:pt>
                <c:pt idx="57">
                  <c:v>14.27</c:v>
                </c:pt>
                <c:pt idx="58">
                  <c:v>14.27</c:v>
                </c:pt>
                <c:pt idx="59">
                  <c:v>14.68</c:v>
                </c:pt>
                <c:pt idx="60">
                  <c:v>14.68</c:v>
                </c:pt>
                <c:pt idx="61">
                  <c:v>15.13</c:v>
                </c:pt>
                <c:pt idx="62">
                  <c:v>15.13</c:v>
                </c:pt>
                <c:pt idx="63">
                  <c:v>15.13</c:v>
                </c:pt>
                <c:pt idx="64">
                  <c:v>15.13</c:v>
                </c:pt>
                <c:pt idx="65">
                  <c:v>15.25</c:v>
                </c:pt>
                <c:pt idx="66">
                  <c:v>15.25</c:v>
                </c:pt>
                <c:pt idx="67">
                  <c:v>16.12</c:v>
                </c:pt>
                <c:pt idx="68">
                  <c:v>16.12</c:v>
                </c:pt>
                <c:pt idx="69">
                  <c:v>16.12</c:v>
                </c:pt>
                <c:pt idx="70">
                  <c:v>16.12</c:v>
                </c:pt>
                <c:pt idx="71">
                  <c:v>16.12</c:v>
                </c:pt>
                <c:pt idx="72">
                  <c:v>15.79</c:v>
                </c:pt>
                <c:pt idx="73">
                  <c:v>15.79</c:v>
                </c:pt>
                <c:pt idx="74">
                  <c:v>15.79</c:v>
                </c:pt>
                <c:pt idx="75">
                  <c:v>15.79</c:v>
                </c:pt>
                <c:pt idx="76">
                  <c:v>15.79</c:v>
                </c:pt>
                <c:pt idx="77">
                  <c:v>15.79</c:v>
                </c:pt>
                <c:pt idx="78">
                  <c:v>15.79</c:v>
                </c:pt>
                <c:pt idx="79">
                  <c:v>15.79</c:v>
                </c:pt>
                <c:pt idx="80">
                  <c:v>16.07</c:v>
                </c:pt>
                <c:pt idx="81">
                  <c:v>16.07</c:v>
                </c:pt>
                <c:pt idx="82">
                  <c:v>16.07</c:v>
                </c:pt>
                <c:pt idx="83">
                  <c:v>16.45</c:v>
                </c:pt>
                <c:pt idx="84">
                  <c:v>16.45</c:v>
                </c:pt>
                <c:pt idx="85">
                  <c:v>16.45</c:v>
                </c:pt>
                <c:pt idx="86">
                  <c:v>16.45</c:v>
                </c:pt>
                <c:pt idx="87">
                  <c:v>16.45</c:v>
                </c:pt>
                <c:pt idx="88">
                  <c:v>17.03</c:v>
                </c:pt>
                <c:pt idx="89">
                  <c:v>17.03</c:v>
                </c:pt>
                <c:pt idx="90">
                  <c:v>17.03</c:v>
                </c:pt>
                <c:pt idx="91">
                  <c:v>17.03</c:v>
                </c:pt>
                <c:pt idx="92">
                  <c:v>17.03</c:v>
                </c:pt>
                <c:pt idx="93">
                  <c:v>17.03</c:v>
                </c:pt>
                <c:pt idx="94">
                  <c:v>17.03</c:v>
                </c:pt>
                <c:pt idx="95">
                  <c:v>17.260000000000002</c:v>
                </c:pt>
                <c:pt idx="96">
                  <c:v>17.260000000000002</c:v>
                </c:pt>
                <c:pt idx="97">
                  <c:v>17.260000000000002</c:v>
                </c:pt>
                <c:pt idx="98">
                  <c:v>17.260000000000002</c:v>
                </c:pt>
                <c:pt idx="99">
                  <c:v>17.260000000000002</c:v>
                </c:pt>
                <c:pt idx="100">
                  <c:v>17.260000000000002</c:v>
                </c:pt>
                <c:pt idx="101">
                  <c:v>16.420000000000002</c:v>
                </c:pt>
                <c:pt idx="102">
                  <c:v>16.420000000000002</c:v>
                </c:pt>
                <c:pt idx="103">
                  <c:v>16.420000000000002</c:v>
                </c:pt>
                <c:pt idx="104">
                  <c:v>16.420000000000002</c:v>
                </c:pt>
                <c:pt idx="105">
                  <c:v>16.420000000000002</c:v>
                </c:pt>
                <c:pt idx="106">
                  <c:v>16.420000000000002</c:v>
                </c:pt>
                <c:pt idx="107">
                  <c:v>16.16</c:v>
                </c:pt>
                <c:pt idx="108">
                  <c:v>16.16</c:v>
                </c:pt>
                <c:pt idx="109">
                  <c:v>16.16</c:v>
                </c:pt>
                <c:pt idx="110">
                  <c:v>16.16</c:v>
                </c:pt>
                <c:pt idx="111">
                  <c:v>16.16</c:v>
                </c:pt>
                <c:pt idx="112">
                  <c:v>16.16</c:v>
                </c:pt>
                <c:pt idx="113">
                  <c:v>16.16</c:v>
                </c:pt>
                <c:pt idx="114">
                  <c:v>16.16</c:v>
                </c:pt>
                <c:pt idx="115">
                  <c:v>16.8</c:v>
                </c:pt>
                <c:pt idx="116">
                  <c:v>16.8</c:v>
                </c:pt>
                <c:pt idx="117">
                  <c:v>16.8</c:v>
                </c:pt>
                <c:pt idx="118">
                  <c:v>16.920000000000002</c:v>
                </c:pt>
                <c:pt idx="119">
                  <c:v>16.920000000000002</c:v>
                </c:pt>
                <c:pt idx="120">
                  <c:v>16.920000000000002</c:v>
                </c:pt>
                <c:pt idx="121">
                  <c:v>16.920000000000002</c:v>
                </c:pt>
                <c:pt idx="122">
                  <c:v>16.920000000000002</c:v>
                </c:pt>
                <c:pt idx="123">
                  <c:v>16.920000000000002</c:v>
                </c:pt>
                <c:pt idx="124">
                  <c:v>16.489999999999998</c:v>
                </c:pt>
                <c:pt idx="125">
                  <c:v>16.489999999999998</c:v>
                </c:pt>
                <c:pt idx="126">
                  <c:v>16.489999999999998</c:v>
                </c:pt>
                <c:pt idx="127">
                  <c:v>16.489999999999998</c:v>
                </c:pt>
                <c:pt idx="128">
                  <c:v>16.399999999999999</c:v>
                </c:pt>
                <c:pt idx="129">
                  <c:v>16.399999999999999</c:v>
                </c:pt>
                <c:pt idx="130">
                  <c:v>16.399999999999999</c:v>
                </c:pt>
                <c:pt idx="131">
                  <c:v>16.399999999999999</c:v>
                </c:pt>
                <c:pt idx="132">
                  <c:v>16.079999999999998</c:v>
                </c:pt>
                <c:pt idx="133">
                  <c:v>16.079999999999998</c:v>
                </c:pt>
                <c:pt idx="134">
                  <c:v>16.079999999999998</c:v>
                </c:pt>
                <c:pt idx="135">
                  <c:v>16.079999999999998</c:v>
                </c:pt>
                <c:pt idx="136">
                  <c:v>16.079999999999998</c:v>
                </c:pt>
                <c:pt idx="137">
                  <c:v>16.079999999999998</c:v>
                </c:pt>
                <c:pt idx="138">
                  <c:v>16.34</c:v>
                </c:pt>
                <c:pt idx="139">
                  <c:v>16.34</c:v>
                </c:pt>
                <c:pt idx="140">
                  <c:v>16.34</c:v>
                </c:pt>
                <c:pt idx="141">
                  <c:v>16.34</c:v>
                </c:pt>
                <c:pt idx="142">
                  <c:v>16.34</c:v>
                </c:pt>
                <c:pt idx="143">
                  <c:v>16.46</c:v>
                </c:pt>
                <c:pt idx="144">
                  <c:v>16.46</c:v>
                </c:pt>
                <c:pt idx="145">
                  <c:v>16.46</c:v>
                </c:pt>
                <c:pt idx="146">
                  <c:v>16.46</c:v>
                </c:pt>
                <c:pt idx="147">
                  <c:v>15.92</c:v>
                </c:pt>
                <c:pt idx="148">
                  <c:v>15.92</c:v>
                </c:pt>
                <c:pt idx="149">
                  <c:v>15.92</c:v>
                </c:pt>
                <c:pt idx="150">
                  <c:v>15.92</c:v>
                </c:pt>
                <c:pt idx="151">
                  <c:v>15.92</c:v>
                </c:pt>
                <c:pt idx="152">
                  <c:v>15.92</c:v>
                </c:pt>
                <c:pt idx="153">
                  <c:v>15.92</c:v>
                </c:pt>
                <c:pt idx="154">
                  <c:v>15.92</c:v>
                </c:pt>
                <c:pt idx="155">
                  <c:v>15.45</c:v>
                </c:pt>
                <c:pt idx="156">
                  <c:v>15.45</c:v>
                </c:pt>
                <c:pt idx="157">
                  <c:v>15.45</c:v>
                </c:pt>
                <c:pt idx="158">
                  <c:v>15.45</c:v>
                </c:pt>
                <c:pt idx="159">
                  <c:v>15.45</c:v>
                </c:pt>
                <c:pt idx="160">
                  <c:v>15.45</c:v>
                </c:pt>
                <c:pt idx="161">
                  <c:v>14.98</c:v>
                </c:pt>
                <c:pt idx="162">
                  <c:v>14.98</c:v>
                </c:pt>
                <c:pt idx="163">
                  <c:v>14.98</c:v>
                </c:pt>
                <c:pt idx="164">
                  <c:v>14.98</c:v>
                </c:pt>
                <c:pt idx="165">
                  <c:v>14.98</c:v>
                </c:pt>
                <c:pt idx="166">
                  <c:v>14.98</c:v>
                </c:pt>
                <c:pt idx="167">
                  <c:v>14.98</c:v>
                </c:pt>
                <c:pt idx="168">
                  <c:v>14.98</c:v>
                </c:pt>
                <c:pt idx="169">
                  <c:v>14.98</c:v>
                </c:pt>
                <c:pt idx="170">
                  <c:v>14.98</c:v>
                </c:pt>
                <c:pt idx="171">
                  <c:v>14.98</c:v>
                </c:pt>
                <c:pt idx="172">
                  <c:v>14.98</c:v>
                </c:pt>
                <c:pt idx="173">
                  <c:v>14.98</c:v>
                </c:pt>
                <c:pt idx="174">
                  <c:v>14.98</c:v>
                </c:pt>
                <c:pt idx="175">
                  <c:v>14.46</c:v>
                </c:pt>
                <c:pt idx="176">
                  <c:v>14.46</c:v>
                </c:pt>
                <c:pt idx="177">
                  <c:v>14.46</c:v>
                </c:pt>
                <c:pt idx="178">
                  <c:v>14.46</c:v>
                </c:pt>
                <c:pt idx="179">
                  <c:v>14.46</c:v>
                </c:pt>
                <c:pt idx="180">
                  <c:v>14.46</c:v>
                </c:pt>
                <c:pt idx="181">
                  <c:v>14.46</c:v>
                </c:pt>
                <c:pt idx="182">
                  <c:v>14.46</c:v>
                </c:pt>
                <c:pt idx="183">
                  <c:v>14.46</c:v>
                </c:pt>
                <c:pt idx="184">
                  <c:v>14.43</c:v>
                </c:pt>
                <c:pt idx="185">
                  <c:v>14.43</c:v>
                </c:pt>
                <c:pt idx="186">
                  <c:v>14.43</c:v>
                </c:pt>
                <c:pt idx="187">
                  <c:v>14.43</c:v>
                </c:pt>
                <c:pt idx="188">
                  <c:v>14.43</c:v>
                </c:pt>
                <c:pt idx="189">
                  <c:v>14.24</c:v>
                </c:pt>
                <c:pt idx="190">
                  <c:v>14.24</c:v>
                </c:pt>
                <c:pt idx="191">
                  <c:v>14.28</c:v>
                </c:pt>
                <c:pt idx="192">
                  <c:v>14.28</c:v>
                </c:pt>
                <c:pt idx="193">
                  <c:v>14.28</c:v>
                </c:pt>
                <c:pt idx="194">
                  <c:v>14.28</c:v>
                </c:pt>
                <c:pt idx="195">
                  <c:v>14.28</c:v>
                </c:pt>
                <c:pt idx="196">
                  <c:v>14.03</c:v>
                </c:pt>
                <c:pt idx="197">
                  <c:v>14.03</c:v>
                </c:pt>
                <c:pt idx="198">
                  <c:v>13.64</c:v>
                </c:pt>
                <c:pt idx="199">
                  <c:v>13.64</c:v>
                </c:pt>
                <c:pt idx="200">
                  <c:v>13.64</c:v>
                </c:pt>
                <c:pt idx="201">
                  <c:v>13.49</c:v>
                </c:pt>
                <c:pt idx="202">
                  <c:v>13.49</c:v>
                </c:pt>
                <c:pt idx="203">
                  <c:v>13.49</c:v>
                </c:pt>
                <c:pt idx="204">
                  <c:v>13.49</c:v>
                </c:pt>
                <c:pt idx="205">
                  <c:v>13.49</c:v>
                </c:pt>
                <c:pt idx="206">
                  <c:v>13.49</c:v>
                </c:pt>
                <c:pt idx="207">
                  <c:v>13.49</c:v>
                </c:pt>
                <c:pt idx="208">
                  <c:v>13.65</c:v>
                </c:pt>
                <c:pt idx="209">
                  <c:v>13.65</c:v>
                </c:pt>
                <c:pt idx="210">
                  <c:v>13.57</c:v>
                </c:pt>
                <c:pt idx="211">
                  <c:v>13.57</c:v>
                </c:pt>
                <c:pt idx="212">
                  <c:v>13.57</c:v>
                </c:pt>
                <c:pt idx="213">
                  <c:v>13.57</c:v>
                </c:pt>
                <c:pt idx="214">
                  <c:v>13.57</c:v>
                </c:pt>
                <c:pt idx="215">
                  <c:v>13.57</c:v>
                </c:pt>
                <c:pt idx="216">
                  <c:v>13.57</c:v>
                </c:pt>
                <c:pt idx="217">
                  <c:v>13.57</c:v>
                </c:pt>
                <c:pt idx="218">
                  <c:v>13.57</c:v>
                </c:pt>
                <c:pt idx="219">
                  <c:v>13.57</c:v>
                </c:pt>
                <c:pt idx="220">
                  <c:v>13.44</c:v>
                </c:pt>
                <c:pt idx="221">
                  <c:v>13.44</c:v>
                </c:pt>
                <c:pt idx="222">
                  <c:v>13.44</c:v>
                </c:pt>
                <c:pt idx="223">
                  <c:v>13.44</c:v>
                </c:pt>
                <c:pt idx="224">
                  <c:v>13.44</c:v>
                </c:pt>
                <c:pt idx="225">
                  <c:v>13.44</c:v>
                </c:pt>
                <c:pt idx="226">
                  <c:v>13.44</c:v>
                </c:pt>
                <c:pt idx="227">
                  <c:v>13.25</c:v>
                </c:pt>
                <c:pt idx="228">
                  <c:v>13.25</c:v>
                </c:pt>
                <c:pt idx="229">
                  <c:v>13.25</c:v>
                </c:pt>
                <c:pt idx="230">
                  <c:v>13.25</c:v>
                </c:pt>
                <c:pt idx="231">
                  <c:v>13.38</c:v>
                </c:pt>
                <c:pt idx="232">
                  <c:v>13.38</c:v>
                </c:pt>
                <c:pt idx="233">
                  <c:v>13.38</c:v>
                </c:pt>
                <c:pt idx="234">
                  <c:v>13.38</c:v>
                </c:pt>
                <c:pt idx="235">
                  <c:v>13.38</c:v>
                </c:pt>
                <c:pt idx="236">
                  <c:v>13.38</c:v>
                </c:pt>
                <c:pt idx="237">
                  <c:v>13.52</c:v>
                </c:pt>
                <c:pt idx="238">
                  <c:v>13.52</c:v>
                </c:pt>
                <c:pt idx="239">
                  <c:v>13.4</c:v>
                </c:pt>
                <c:pt idx="240">
                  <c:v>13.4</c:v>
                </c:pt>
                <c:pt idx="241">
                  <c:v>13.4</c:v>
                </c:pt>
                <c:pt idx="242">
                  <c:v>13.4</c:v>
                </c:pt>
                <c:pt idx="243">
                  <c:v>13.77</c:v>
                </c:pt>
                <c:pt idx="244">
                  <c:v>13.77</c:v>
                </c:pt>
                <c:pt idx="245">
                  <c:v>14.13</c:v>
                </c:pt>
                <c:pt idx="246">
                  <c:v>14.13</c:v>
                </c:pt>
                <c:pt idx="247">
                  <c:v>14.13</c:v>
                </c:pt>
                <c:pt idx="248">
                  <c:v>14.13</c:v>
                </c:pt>
                <c:pt idx="249">
                  <c:v>14.88</c:v>
                </c:pt>
                <c:pt idx="250">
                  <c:v>15.1</c:v>
                </c:pt>
                <c:pt idx="251">
                  <c:v>14.86</c:v>
                </c:pt>
                <c:pt idx="252">
                  <c:v>14.86</c:v>
                </c:pt>
                <c:pt idx="253">
                  <c:v>14.86</c:v>
                </c:pt>
                <c:pt idx="254">
                  <c:v>14.86</c:v>
                </c:pt>
                <c:pt idx="255">
                  <c:v>14.86</c:v>
                </c:pt>
                <c:pt idx="256">
                  <c:v>14.86</c:v>
                </c:pt>
                <c:pt idx="257">
                  <c:v>14.86</c:v>
                </c:pt>
                <c:pt idx="258">
                  <c:v>14.43</c:v>
                </c:pt>
                <c:pt idx="259">
                  <c:v>14.43</c:v>
                </c:pt>
                <c:pt idx="260">
                  <c:v>14.43</c:v>
                </c:pt>
                <c:pt idx="261">
                  <c:v>14.43</c:v>
                </c:pt>
                <c:pt idx="262">
                  <c:v>14.19</c:v>
                </c:pt>
                <c:pt idx="263">
                  <c:v>14.19</c:v>
                </c:pt>
                <c:pt idx="264">
                  <c:v>13.83</c:v>
                </c:pt>
                <c:pt idx="265">
                  <c:v>13.83</c:v>
                </c:pt>
                <c:pt idx="266">
                  <c:v>13.25</c:v>
                </c:pt>
                <c:pt idx="267">
                  <c:v>13.25</c:v>
                </c:pt>
                <c:pt idx="268">
                  <c:v>13.25</c:v>
                </c:pt>
                <c:pt idx="269">
                  <c:v>13.25</c:v>
                </c:pt>
                <c:pt idx="270">
                  <c:v>13.07</c:v>
                </c:pt>
                <c:pt idx="271">
                  <c:v>13.07</c:v>
                </c:pt>
                <c:pt idx="272">
                  <c:v>12.99</c:v>
                </c:pt>
                <c:pt idx="273">
                  <c:v>12.99</c:v>
                </c:pt>
                <c:pt idx="274">
                  <c:v>12.99</c:v>
                </c:pt>
                <c:pt idx="275">
                  <c:v>12.99</c:v>
                </c:pt>
                <c:pt idx="276">
                  <c:v>13.03</c:v>
                </c:pt>
                <c:pt idx="277">
                  <c:v>13.8</c:v>
                </c:pt>
                <c:pt idx="278">
                  <c:v>13.59</c:v>
                </c:pt>
                <c:pt idx="279">
                  <c:v>13.17</c:v>
                </c:pt>
                <c:pt idx="280">
                  <c:v>13.17</c:v>
                </c:pt>
                <c:pt idx="281">
                  <c:v>12.14</c:v>
                </c:pt>
                <c:pt idx="282">
                  <c:v>12.06</c:v>
                </c:pt>
                <c:pt idx="283">
                  <c:v>12.14</c:v>
                </c:pt>
                <c:pt idx="284">
                  <c:v>12.14</c:v>
                </c:pt>
                <c:pt idx="285">
                  <c:v>12.14</c:v>
                </c:pt>
                <c:pt idx="286">
                  <c:v>12.14</c:v>
                </c:pt>
                <c:pt idx="287">
                  <c:v>12.13</c:v>
                </c:pt>
                <c:pt idx="288">
                  <c:v>12.13</c:v>
                </c:pt>
                <c:pt idx="289">
                  <c:v>12.01</c:v>
                </c:pt>
                <c:pt idx="290">
                  <c:v>12.01</c:v>
                </c:pt>
                <c:pt idx="291">
                  <c:v>12.01</c:v>
                </c:pt>
                <c:pt idx="292">
                  <c:v>12.01</c:v>
                </c:pt>
                <c:pt idx="293">
                  <c:v>11.51</c:v>
                </c:pt>
                <c:pt idx="294">
                  <c:v>11.51</c:v>
                </c:pt>
                <c:pt idx="295">
                  <c:v>11.51</c:v>
                </c:pt>
                <c:pt idx="296">
                  <c:v>11.51</c:v>
                </c:pt>
                <c:pt idx="297">
                  <c:v>11.51</c:v>
                </c:pt>
                <c:pt idx="298">
                  <c:v>11.01</c:v>
                </c:pt>
                <c:pt idx="299">
                  <c:v>11.01</c:v>
                </c:pt>
                <c:pt idx="300">
                  <c:v>11.01</c:v>
                </c:pt>
                <c:pt idx="301">
                  <c:v>10.8</c:v>
                </c:pt>
                <c:pt idx="302">
                  <c:v>10.32</c:v>
                </c:pt>
                <c:pt idx="303">
                  <c:v>9.51</c:v>
                </c:pt>
                <c:pt idx="304">
                  <c:v>9.1300000000000008</c:v>
                </c:pt>
                <c:pt idx="305">
                  <c:v>9.1300000000000008</c:v>
                </c:pt>
                <c:pt idx="306">
                  <c:v>9.1300000000000008</c:v>
                </c:pt>
                <c:pt idx="307">
                  <c:v>9.1300000000000008</c:v>
                </c:pt>
                <c:pt idx="308">
                  <c:v>9.1300000000000008</c:v>
                </c:pt>
                <c:pt idx="309">
                  <c:v>9.57</c:v>
                </c:pt>
                <c:pt idx="310">
                  <c:v>9.57</c:v>
                </c:pt>
                <c:pt idx="311">
                  <c:v>9.65</c:v>
                </c:pt>
                <c:pt idx="312">
                  <c:v>9.65</c:v>
                </c:pt>
                <c:pt idx="313">
                  <c:v>9.35</c:v>
                </c:pt>
                <c:pt idx="314">
                  <c:v>9.31</c:v>
                </c:pt>
                <c:pt idx="315">
                  <c:v>9.5</c:v>
                </c:pt>
                <c:pt idx="316">
                  <c:v>9.5</c:v>
                </c:pt>
                <c:pt idx="317">
                  <c:v>9.5</c:v>
                </c:pt>
                <c:pt idx="318">
                  <c:v>9.5299999999999994</c:v>
                </c:pt>
                <c:pt idx="319">
                  <c:v>9.5299999999999994</c:v>
                </c:pt>
                <c:pt idx="320">
                  <c:v>9.2899999999999991</c:v>
                </c:pt>
                <c:pt idx="321">
                  <c:v>9.2899999999999991</c:v>
                </c:pt>
                <c:pt idx="322">
                  <c:v>9.1199999999999992</c:v>
                </c:pt>
                <c:pt idx="323">
                  <c:v>9.1199999999999992</c:v>
                </c:pt>
                <c:pt idx="324">
                  <c:v>9.1199999999999992</c:v>
                </c:pt>
                <c:pt idx="325">
                  <c:v>8.94</c:v>
                </c:pt>
                <c:pt idx="326">
                  <c:v>9</c:v>
                </c:pt>
                <c:pt idx="327">
                  <c:v>8.93</c:v>
                </c:pt>
                <c:pt idx="328">
                  <c:v>9.35</c:v>
                </c:pt>
                <c:pt idx="329">
                  <c:v>9.8699999999999992</c:v>
                </c:pt>
                <c:pt idx="330">
                  <c:v>9.8699999999999992</c:v>
                </c:pt>
                <c:pt idx="331">
                  <c:v>9.8699999999999992</c:v>
                </c:pt>
                <c:pt idx="332">
                  <c:v>10.44</c:v>
                </c:pt>
                <c:pt idx="333">
                  <c:v>11.18</c:v>
                </c:pt>
                <c:pt idx="334">
                  <c:v>11.18</c:v>
                </c:pt>
                <c:pt idx="335">
                  <c:v>11.18</c:v>
                </c:pt>
                <c:pt idx="336">
                  <c:v>11.36</c:v>
                </c:pt>
                <c:pt idx="337">
                  <c:v>10.82</c:v>
                </c:pt>
                <c:pt idx="338">
                  <c:v>10.82</c:v>
                </c:pt>
                <c:pt idx="339">
                  <c:v>10.94</c:v>
                </c:pt>
                <c:pt idx="340">
                  <c:v>10.94</c:v>
                </c:pt>
                <c:pt idx="341">
                  <c:v>10.94</c:v>
                </c:pt>
                <c:pt idx="342">
                  <c:v>10.94</c:v>
                </c:pt>
                <c:pt idx="343">
                  <c:v>10.52</c:v>
                </c:pt>
                <c:pt idx="344">
                  <c:v>10.52</c:v>
                </c:pt>
                <c:pt idx="345">
                  <c:v>10.79</c:v>
                </c:pt>
                <c:pt idx="346">
                  <c:v>10.79</c:v>
                </c:pt>
                <c:pt idx="347">
                  <c:v>10.79</c:v>
                </c:pt>
                <c:pt idx="348">
                  <c:v>10.79</c:v>
                </c:pt>
                <c:pt idx="349">
                  <c:v>10.81</c:v>
                </c:pt>
                <c:pt idx="350">
                  <c:v>10.81</c:v>
                </c:pt>
                <c:pt idx="351">
                  <c:v>10.81</c:v>
                </c:pt>
                <c:pt idx="352">
                  <c:v>11.17</c:v>
                </c:pt>
                <c:pt idx="353">
                  <c:v>11.17</c:v>
                </c:pt>
                <c:pt idx="354">
                  <c:v>11.17</c:v>
                </c:pt>
                <c:pt idx="355">
                  <c:v>11.17</c:v>
                </c:pt>
                <c:pt idx="356">
                  <c:v>11.17</c:v>
                </c:pt>
                <c:pt idx="357">
                  <c:v>10.67</c:v>
                </c:pt>
                <c:pt idx="358">
                  <c:v>10.67</c:v>
                </c:pt>
                <c:pt idx="359">
                  <c:v>10.67</c:v>
                </c:pt>
                <c:pt idx="360">
                  <c:v>10.67</c:v>
                </c:pt>
                <c:pt idx="361">
                  <c:v>9.98</c:v>
                </c:pt>
                <c:pt idx="362">
                  <c:v>9.98</c:v>
                </c:pt>
                <c:pt idx="363">
                  <c:v>9.89</c:v>
                </c:pt>
                <c:pt idx="364">
                  <c:v>9.89</c:v>
                </c:pt>
                <c:pt idx="365">
                  <c:v>9.89</c:v>
                </c:pt>
                <c:pt idx="366">
                  <c:v>10.050000000000001</c:v>
                </c:pt>
                <c:pt idx="367">
                  <c:v>10.050000000000001</c:v>
                </c:pt>
                <c:pt idx="368">
                  <c:v>10.050000000000001</c:v>
                </c:pt>
                <c:pt idx="369">
                  <c:v>10.24</c:v>
                </c:pt>
                <c:pt idx="370">
                  <c:v>10.19</c:v>
                </c:pt>
                <c:pt idx="371">
                  <c:v>10</c:v>
                </c:pt>
                <c:pt idx="372">
                  <c:v>9.66</c:v>
                </c:pt>
                <c:pt idx="373">
                  <c:v>9.66</c:v>
                </c:pt>
                <c:pt idx="374">
                  <c:v>9.51</c:v>
                </c:pt>
                <c:pt idx="375">
                  <c:v>9.58</c:v>
                </c:pt>
                <c:pt idx="376">
                  <c:v>9.58</c:v>
                </c:pt>
                <c:pt idx="377">
                  <c:v>9.58</c:v>
                </c:pt>
                <c:pt idx="378">
                  <c:v>9.58</c:v>
                </c:pt>
                <c:pt idx="379">
                  <c:v>9.5399999999999991</c:v>
                </c:pt>
                <c:pt idx="380">
                  <c:v>9.5399999999999991</c:v>
                </c:pt>
                <c:pt idx="381">
                  <c:v>9.52</c:v>
                </c:pt>
                <c:pt idx="382">
                  <c:v>9.52</c:v>
                </c:pt>
                <c:pt idx="383">
                  <c:v>9.52</c:v>
                </c:pt>
                <c:pt idx="384">
                  <c:v>9.52</c:v>
                </c:pt>
                <c:pt idx="385">
                  <c:v>9.52</c:v>
                </c:pt>
                <c:pt idx="386">
                  <c:v>9.52</c:v>
                </c:pt>
                <c:pt idx="387">
                  <c:v>9.43</c:v>
                </c:pt>
                <c:pt idx="388">
                  <c:v>9.43</c:v>
                </c:pt>
                <c:pt idx="389">
                  <c:v>9.76</c:v>
                </c:pt>
                <c:pt idx="390">
                  <c:v>9.76</c:v>
                </c:pt>
                <c:pt idx="391">
                  <c:v>9.76</c:v>
                </c:pt>
                <c:pt idx="392">
                  <c:v>9.85</c:v>
                </c:pt>
                <c:pt idx="393">
                  <c:v>10.01</c:v>
                </c:pt>
                <c:pt idx="394">
                  <c:v>10.01</c:v>
                </c:pt>
                <c:pt idx="395">
                  <c:v>10.01</c:v>
                </c:pt>
                <c:pt idx="396">
                  <c:v>10.01</c:v>
                </c:pt>
                <c:pt idx="397">
                  <c:v>9.81</c:v>
                </c:pt>
                <c:pt idx="398">
                  <c:v>9.76</c:v>
                </c:pt>
                <c:pt idx="399">
                  <c:v>9.76</c:v>
                </c:pt>
                <c:pt idx="400">
                  <c:v>9.76</c:v>
                </c:pt>
                <c:pt idx="401">
                  <c:v>9.9</c:v>
                </c:pt>
                <c:pt idx="402">
                  <c:v>9.9</c:v>
                </c:pt>
                <c:pt idx="403">
                  <c:v>9.9</c:v>
                </c:pt>
                <c:pt idx="404">
                  <c:v>10.119999999999999</c:v>
                </c:pt>
                <c:pt idx="405">
                  <c:v>10.06</c:v>
                </c:pt>
                <c:pt idx="406">
                  <c:v>10.06</c:v>
                </c:pt>
                <c:pt idx="407">
                  <c:v>10.06</c:v>
                </c:pt>
                <c:pt idx="408">
                  <c:v>10.06</c:v>
                </c:pt>
                <c:pt idx="409">
                  <c:v>9.91</c:v>
                </c:pt>
                <c:pt idx="410">
                  <c:v>9.91</c:v>
                </c:pt>
                <c:pt idx="411">
                  <c:v>9.91</c:v>
                </c:pt>
                <c:pt idx="412">
                  <c:v>9.91</c:v>
                </c:pt>
                <c:pt idx="413">
                  <c:v>9.91</c:v>
                </c:pt>
                <c:pt idx="414">
                  <c:v>9.73</c:v>
                </c:pt>
                <c:pt idx="415">
                  <c:v>9.73</c:v>
                </c:pt>
                <c:pt idx="416">
                  <c:v>9.7100000000000009</c:v>
                </c:pt>
                <c:pt idx="417">
                  <c:v>9.43</c:v>
                </c:pt>
                <c:pt idx="418">
                  <c:v>9.43</c:v>
                </c:pt>
                <c:pt idx="419">
                  <c:v>9.58</c:v>
                </c:pt>
                <c:pt idx="420">
                  <c:v>9.58</c:v>
                </c:pt>
                <c:pt idx="421">
                  <c:v>9.5500000000000007</c:v>
                </c:pt>
                <c:pt idx="422">
                  <c:v>9.5500000000000007</c:v>
                </c:pt>
                <c:pt idx="423">
                  <c:v>9.31</c:v>
                </c:pt>
                <c:pt idx="424">
                  <c:v>9.17</c:v>
                </c:pt>
                <c:pt idx="425">
                  <c:v>9.17</c:v>
                </c:pt>
                <c:pt idx="426">
                  <c:v>9.1199999999999992</c:v>
                </c:pt>
                <c:pt idx="427">
                  <c:v>9.1199999999999992</c:v>
                </c:pt>
                <c:pt idx="428">
                  <c:v>9.1199999999999992</c:v>
                </c:pt>
                <c:pt idx="429">
                  <c:v>9.0500000000000007</c:v>
                </c:pt>
                <c:pt idx="430">
                  <c:v>9.0500000000000007</c:v>
                </c:pt>
                <c:pt idx="431">
                  <c:v>9.0500000000000007</c:v>
                </c:pt>
                <c:pt idx="432">
                  <c:v>8.9</c:v>
                </c:pt>
                <c:pt idx="433">
                  <c:v>8.9</c:v>
                </c:pt>
                <c:pt idx="434">
                  <c:v>8.83</c:v>
                </c:pt>
                <c:pt idx="435">
                  <c:v>8.93</c:v>
                </c:pt>
                <c:pt idx="436">
                  <c:v>8.93</c:v>
                </c:pt>
                <c:pt idx="437">
                  <c:v>8.8800000000000008</c:v>
                </c:pt>
                <c:pt idx="438">
                  <c:v>8.7899999999999991</c:v>
                </c:pt>
                <c:pt idx="439">
                  <c:v>8.58</c:v>
                </c:pt>
                <c:pt idx="440">
                  <c:v>8.44</c:v>
                </c:pt>
                <c:pt idx="441">
                  <c:v>8.44</c:v>
                </c:pt>
                <c:pt idx="442">
                  <c:v>8.44</c:v>
                </c:pt>
                <c:pt idx="443">
                  <c:v>8.41</c:v>
                </c:pt>
                <c:pt idx="444">
                  <c:v>8.41</c:v>
                </c:pt>
                <c:pt idx="445">
                  <c:v>8.5299999999999994</c:v>
                </c:pt>
                <c:pt idx="446">
                  <c:v>8.5299999999999994</c:v>
                </c:pt>
                <c:pt idx="447">
                  <c:v>8.5299999999999994</c:v>
                </c:pt>
                <c:pt idx="448">
                  <c:v>8.6300000000000008</c:v>
                </c:pt>
                <c:pt idx="449">
                  <c:v>8.6300000000000008</c:v>
                </c:pt>
                <c:pt idx="450">
                  <c:v>8.6300000000000008</c:v>
                </c:pt>
                <c:pt idx="451">
                  <c:v>8.6300000000000008</c:v>
                </c:pt>
                <c:pt idx="452">
                  <c:v>8.6300000000000008</c:v>
                </c:pt>
                <c:pt idx="453">
                  <c:v>7.9</c:v>
                </c:pt>
                <c:pt idx="454">
                  <c:v>7.82</c:v>
                </c:pt>
                <c:pt idx="455">
                  <c:v>7.82</c:v>
                </c:pt>
                <c:pt idx="456">
                  <c:v>7.86</c:v>
                </c:pt>
                <c:pt idx="457">
                  <c:v>7.76</c:v>
                </c:pt>
                <c:pt idx="458">
                  <c:v>7.76</c:v>
                </c:pt>
                <c:pt idx="459">
                  <c:v>7.76</c:v>
                </c:pt>
                <c:pt idx="460">
                  <c:v>7.54</c:v>
                </c:pt>
                <c:pt idx="461">
                  <c:v>7.54</c:v>
                </c:pt>
                <c:pt idx="462">
                  <c:v>7.54</c:v>
                </c:pt>
                <c:pt idx="463">
                  <c:v>7.27</c:v>
                </c:pt>
                <c:pt idx="464">
                  <c:v>7.27</c:v>
                </c:pt>
                <c:pt idx="465">
                  <c:v>7.27</c:v>
                </c:pt>
                <c:pt idx="466">
                  <c:v>7.27</c:v>
                </c:pt>
                <c:pt idx="467">
                  <c:v>7.27</c:v>
                </c:pt>
                <c:pt idx="468">
                  <c:v>7.04</c:v>
                </c:pt>
                <c:pt idx="469">
                  <c:v>7.04</c:v>
                </c:pt>
                <c:pt idx="470">
                  <c:v>7.04</c:v>
                </c:pt>
                <c:pt idx="471">
                  <c:v>7.04</c:v>
                </c:pt>
                <c:pt idx="472">
                  <c:v>7.04</c:v>
                </c:pt>
                <c:pt idx="473">
                  <c:v>7.04</c:v>
                </c:pt>
                <c:pt idx="474">
                  <c:v>7.04</c:v>
                </c:pt>
                <c:pt idx="475">
                  <c:v>7.03</c:v>
                </c:pt>
                <c:pt idx="476">
                  <c:v>7.03</c:v>
                </c:pt>
                <c:pt idx="477">
                  <c:v>7.28</c:v>
                </c:pt>
                <c:pt idx="478">
                  <c:v>7.28</c:v>
                </c:pt>
                <c:pt idx="479">
                  <c:v>7.28</c:v>
                </c:pt>
                <c:pt idx="480">
                  <c:v>7.28</c:v>
                </c:pt>
                <c:pt idx="481">
                  <c:v>7.28</c:v>
                </c:pt>
                <c:pt idx="482">
                  <c:v>7.34</c:v>
                </c:pt>
                <c:pt idx="483">
                  <c:v>7.34</c:v>
                </c:pt>
                <c:pt idx="484">
                  <c:v>7.45</c:v>
                </c:pt>
                <c:pt idx="485">
                  <c:v>7.83</c:v>
                </c:pt>
                <c:pt idx="486">
                  <c:v>8.33</c:v>
                </c:pt>
                <c:pt idx="487">
                  <c:v>8.31</c:v>
                </c:pt>
                <c:pt idx="488">
                  <c:v>8.41</c:v>
                </c:pt>
                <c:pt idx="489">
                  <c:v>8.85</c:v>
                </c:pt>
                <c:pt idx="490">
                  <c:v>8.85</c:v>
                </c:pt>
                <c:pt idx="491">
                  <c:v>8.85</c:v>
                </c:pt>
                <c:pt idx="492">
                  <c:v>8.85</c:v>
                </c:pt>
                <c:pt idx="493">
                  <c:v>8.85</c:v>
                </c:pt>
                <c:pt idx="494">
                  <c:v>8.89</c:v>
                </c:pt>
                <c:pt idx="495">
                  <c:v>8.3699999999999992</c:v>
                </c:pt>
                <c:pt idx="496">
                  <c:v>7.69</c:v>
                </c:pt>
                <c:pt idx="497">
                  <c:v>7.84</c:v>
                </c:pt>
                <c:pt idx="498">
                  <c:v>7.84</c:v>
                </c:pt>
                <c:pt idx="499">
                  <c:v>7.84</c:v>
                </c:pt>
                <c:pt idx="500">
                  <c:v>7.62</c:v>
                </c:pt>
                <c:pt idx="501">
                  <c:v>7.62</c:v>
                </c:pt>
                <c:pt idx="502">
                  <c:v>7.62</c:v>
                </c:pt>
                <c:pt idx="503">
                  <c:v>7.47</c:v>
                </c:pt>
                <c:pt idx="504">
                  <c:v>7.47</c:v>
                </c:pt>
                <c:pt idx="505">
                  <c:v>7.47</c:v>
                </c:pt>
                <c:pt idx="506">
                  <c:v>7.47</c:v>
                </c:pt>
                <c:pt idx="507">
                  <c:v>7.44</c:v>
                </c:pt>
                <c:pt idx="508">
                  <c:v>7.25</c:v>
                </c:pt>
                <c:pt idx="509">
                  <c:v>7.21</c:v>
                </c:pt>
                <c:pt idx="510">
                  <c:v>7.35</c:v>
                </c:pt>
                <c:pt idx="511">
                  <c:v>7.72</c:v>
                </c:pt>
                <c:pt idx="512">
                  <c:v>7.72</c:v>
                </c:pt>
                <c:pt idx="513">
                  <c:v>7.84</c:v>
                </c:pt>
                <c:pt idx="514">
                  <c:v>8.02</c:v>
                </c:pt>
                <c:pt idx="515">
                  <c:v>7.78</c:v>
                </c:pt>
                <c:pt idx="516">
                  <c:v>7.78</c:v>
                </c:pt>
                <c:pt idx="517">
                  <c:v>7.78</c:v>
                </c:pt>
                <c:pt idx="518">
                  <c:v>7.78</c:v>
                </c:pt>
                <c:pt idx="519">
                  <c:v>7.5</c:v>
                </c:pt>
                <c:pt idx="520">
                  <c:v>7.57</c:v>
                </c:pt>
                <c:pt idx="521">
                  <c:v>7.57</c:v>
                </c:pt>
                <c:pt idx="522">
                  <c:v>7.57</c:v>
                </c:pt>
                <c:pt idx="523">
                  <c:v>7.57</c:v>
                </c:pt>
                <c:pt idx="524">
                  <c:v>7.77</c:v>
                </c:pt>
                <c:pt idx="525">
                  <c:v>7.64</c:v>
                </c:pt>
                <c:pt idx="526">
                  <c:v>7.87</c:v>
                </c:pt>
                <c:pt idx="527">
                  <c:v>7.72</c:v>
                </c:pt>
                <c:pt idx="528">
                  <c:v>7.16</c:v>
                </c:pt>
                <c:pt idx="529">
                  <c:v>7.16</c:v>
                </c:pt>
                <c:pt idx="530">
                  <c:v>7.16</c:v>
                </c:pt>
                <c:pt idx="531">
                  <c:v>7.02</c:v>
                </c:pt>
                <c:pt idx="532">
                  <c:v>7</c:v>
                </c:pt>
                <c:pt idx="533">
                  <c:v>7</c:v>
                </c:pt>
                <c:pt idx="534">
                  <c:v>6.94</c:v>
                </c:pt>
                <c:pt idx="535">
                  <c:v>6.96</c:v>
                </c:pt>
                <c:pt idx="536">
                  <c:v>7.04</c:v>
                </c:pt>
                <c:pt idx="537">
                  <c:v>6.97</c:v>
                </c:pt>
                <c:pt idx="538">
                  <c:v>6.97</c:v>
                </c:pt>
                <c:pt idx="539">
                  <c:v>6.97</c:v>
                </c:pt>
                <c:pt idx="540">
                  <c:v>7.21</c:v>
                </c:pt>
                <c:pt idx="541">
                  <c:v>7.93</c:v>
                </c:pt>
                <c:pt idx="542">
                  <c:v>8.06</c:v>
                </c:pt>
                <c:pt idx="543">
                  <c:v>8.1199999999999992</c:v>
                </c:pt>
                <c:pt idx="544">
                  <c:v>8.35</c:v>
                </c:pt>
                <c:pt idx="545">
                  <c:v>8.2799999999999994</c:v>
                </c:pt>
                <c:pt idx="546">
                  <c:v>8.69</c:v>
                </c:pt>
                <c:pt idx="547">
                  <c:v>8.3800000000000008</c:v>
                </c:pt>
                <c:pt idx="548">
                  <c:v>8.3800000000000008</c:v>
                </c:pt>
                <c:pt idx="549">
                  <c:v>8.3800000000000008</c:v>
                </c:pt>
                <c:pt idx="550">
                  <c:v>8.1300000000000008</c:v>
                </c:pt>
                <c:pt idx="551">
                  <c:v>8.1300000000000008</c:v>
                </c:pt>
                <c:pt idx="552">
                  <c:v>8.14</c:v>
                </c:pt>
                <c:pt idx="553">
                  <c:v>8.14</c:v>
                </c:pt>
                <c:pt idx="554">
                  <c:v>7.86</c:v>
                </c:pt>
                <c:pt idx="555">
                  <c:v>7.74</c:v>
                </c:pt>
                <c:pt idx="556">
                  <c:v>7.67</c:v>
                </c:pt>
                <c:pt idx="557">
                  <c:v>7.71</c:v>
                </c:pt>
                <c:pt idx="558">
                  <c:v>7.83</c:v>
                </c:pt>
                <c:pt idx="559">
                  <c:v>7.83</c:v>
                </c:pt>
                <c:pt idx="560">
                  <c:v>7.74</c:v>
                </c:pt>
                <c:pt idx="561">
                  <c:v>7.53</c:v>
                </c:pt>
                <c:pt idx="562">
                  <c:v>7.32</c:v>
                </c:pt>
                <c:pt idx="563">
                  <c:v>7.32</c:v>
                </c:pt>
                <c:pt idx="564">
                  <c:v>7.09</c:v>
                </c:pt>
                <c:pt idx="565">
                  <c:v>7.09</c:v>
                </c:pt>
                <c:pt idx="566">
                  <c:v>7.09</c:v>
                </c:pt>
                <c:pt idx="567">
                  <c:v>7.14</c:v>
                </c:pt>
                <c:pt idx="568">
                  <c:v>7.06</c:v>
                </c:pt>
                <c:pt idx="569">
                  <c:v>7.06</c:v>
                </c:pt>
                <c:pt idx="570">
                  <c:v>6.93</c:v>
                </c:pt>
                <c:pt idx="571">
                  <c:v>6.93</c:v>
                </c:pt>
                <c:pt idx="572">
                  <c:v>6.65</c:v>
                </c:pt>
                <c:pt idx="573">
                  <c:v>6.58</c:v>
                </c:pt>
                <c:pt idx="574">
                  <c:v>6.58</c:v>
                </c:pt>
                <c:pt idx="575">
                  <c:v>6.58</c:v>
                </c:pt>
                <c:pt idx="576">
                  <c:v>6.58</c:v>
                </c:pt>
                <c:pt idx="577">
                  <c:v>6.58</c:v>
                </c:pt>
                <c:pt idx="578">
                  <c:v>6.58</c:v>
                </c:pt>
                <c:pt idx="579">
                  <c:v>6.37</c:v>
                </c:pt>
                <c:pt idx="580">
                  <c:v>6.37</c:v>
                </c:pt>
                <c:pt idx="581">
                  <c:v>6.37</c:v>
                </c:pt>
                <c:pt idx="582">
                  <c:v>6.37</c:v>
                </c:pt>
                <c:pt idx="583">
                  <c:v>6.28</c:v>
                </c:pt>
                <c:pt idx="584">
                  <c:v>6.15</c:v>
                </c:pt>
                <c:pt idx="585">
                  <c:v>6.15</c:v>
                </c:pt>
                <c:pt idx="586">
                  <c:v>6.33</c:v>
                </c:pt>
                <c:pt idx="587">
                  <c:v>6.27</c:v>
                </c:pt>
                <c:pt idx="588">
                  <c:v>6.27</c:v>
                </c:pt>
                <c:pt idx="589">
                  <c:v>6.27</c:v>
                </c:pt>
                <c:pt idx="590">
                  <c:v>6.15</c:v>
                </c:pt>
                <c:pt idx="591">
                  <c:v>5.98</c:v>
                </c:pt>
                <c:pt idx="592">
                  <c:v>5.96</c:v>
                </c:pt>
                <c:pt idx="593">
                  <c:v>5.96</c:v>
                </c:pt>
                <c:pt idx="594">
                  <c:v>5.79</c:v>
                </c:pt>
                <c:pt idx="595">
                  <c:v>5.83</c:v>
                </c:pt>
                <c:pt idx="596">
                  <c:v>5.4</c:v>
                </c:pt>
                <c:pt idx="597">
                  <c:v>5.51</c:v>
                </c:pt>
                <c:pt idx="598">
                  <c:v>5.51</c:v>
                </c:pt>
                <c:pt idx="599">
                  <c:v>5.5</c:v>
                </c:pt>
                <c:pt idx="600">
                  <c:v>5.77</c:v>
                </c:pt>
                <c:pt idx="601">
                  <c:v>5.77</c:v>
                </c:pt>
                <c:pt idx="602">
                  <c:v>5.77</c:v>
                </c:pt>
                <c:pt idx="603">
                  <c:v>5.88</c:v>
                </c:pt>
                <c:pt idx="604">
                  <c:v>5.88</c:v>
                </c:pt>
                <c:pt idx="605">
                  <c:v>5.88</c:v>
                </c:pt>
                <c:pt idx="606">
                  <c:v>5.88</c:v>
                </c:pt>
                <c:pt idx="607">
                  <c:v>5.88</c:v>
                </c:pt>
                <c:pt idx="608">
                  <c:v>5.82</c:v>
                </c:pt>
                <c:pt idx="609">
                  <c:v>5.82</c:v>
                </c:pt>
                <c:pt idx="610">
                  <c:v>5.75</c:v>
                </c:pt>
                <c:pt idx="611">
                  <c:v>5.98</c:v>
                </c:pt>
                <c:pt idx="612">
                  <c:v>6.4</c:v>
                </c:pt>
                <c:pt idx="613">
                  <c:v>6</c:v>
                </c:pt>
                <c:pt idx="614">
                  <c:v>5.98</c:v>
                </c:pt>
                <c:pt idx="615">
                  <c:v>5.8</c:v>
                </c:pt>
                <c:pt idx="616">
                  <c:v>5.8</c:v>
                </c:pt>
                <c:pt idx="617">
                  <c:v>5.81</c:v>
                </c:pt>
                <c:pt idx="618">
                  <c:v>5.81</c:v>
                </c:pt>
                <c:pt idx="619">
                  <c:v>5.9</c:v>
                </c:pt>
                <c:pt idx="620">
                  <c:v>5.9</c:v>
                </c:pt>
                <c:pt idx="621">
                  <c:v>5.99</c:v>
                </c:pt>
                <c:pt idx="622">
                  <c:v>6.3</c:v>
                </c:pt>
                <c:pt idx="623">
                  <c:v>6.25</c:v>
                </c:pt>
                <c:pt idx="624">
                  <c:v>6.11</c:v>
                </c:pt>
                <c:pt idx="625">
                  <c:v>6.11</c:v>
                </c:pt>
                <c:pt idx="626">
                  <c:v>6.11</c:v>
                </c:pt>
                <c:pt idx="627">
                  <c:v>5.97</c:v>
                </c:pt>
                <c:pt idx="628">
                  <c:v>5.97</c:v>
                </c:pt>
                <c:pt idx="629">
                  <c:v>6.16</c:v>
                </c:pt>
                <c:pt idx="630">
                  <c:v>6.16</c:v>
                </c:pt>
                <c:pt idx="631">
                  <c:v>6.16</c:v>
                </c:pt>
                <c:pt idx="632">
                  <c:v>6.16</c:v>
                </c:pt>
                <c:pt idx="633">
                  <c:v>6.27</c:v>
                </c:pt>
                <c:pt idx="634">
                  <c:v>6.37</c:v>
                </c:pt>
                <c:pt idx="635">
                  <c:v>6.37</c:v>
                </c:pt>
                <c:pt idx="636">
                  <c:v>6.37</c:v>
                </c:pt>
                <c:pt idx="637">
                  <c:v>6.37</c:v>
                </c:pt>
                <c:pt idx="638">
                  <c:v>7.56</c:v>
                </c:pt>
                <c:pt idx="639">
                  <c:v>7.6</c:v>
                </c:pt>
                <c:pt idx="640">
                  <c:v>6.54</c:v>
                </c:pt>
                <c:pt idx="641">
                  <c:v>6.3</c:v>
                </c:pt>
                <c:pt idx="642">
                  <c:v>6.42</c:v>
                </c:pt>
                <c:pt idx="643">
                  <c:v>6.48</c:v>
                </c:pt>
                <c:pt idx="644">
                  <c:v>6.49</c:v>
                </c:pt>
                <c:pt idx="645">
                  <c:v>6.49</c:v>
                </c:pt>
                <c:pt idx="646">
                  <c:v>6.49</c:v>
                </c:pt>
                <c:pt idx="647">
                  <c:v>6.2</c:v>
                </c:pt>
                <c:pt idx="648">
                  <c:v>5.53</c:v>
                </c:pt>
                <c:pt idx="649">
                  <c:v>5.53</c:v>
                </c:pt>
                <c:pt idx="650">
                  <c:v>5.53</c:v>
                </c:pt>
                <c:pt idx="651">
                  <c:v>5.55</c:v>
                </c:pt>
                <c:pt idx="652">
                  <c:v>5.64</c:v>
                </c:pt>
                <c:pt idx="653">
                  <c:v>5.64</c:v>
                </c:pt>
                <c:pt idx="654">
                  <c:v>5.64</c:v>
                </c:pt>
                <c:pt idx="655">
                  <c:v>5.64</c:v>
                </c:pt>
                <c:pt idx="656">
                  <c:v>5.64</c:v>
                </c:pt>
                <c:pt idx="657">
                  <c:v>5.64</c:v>
                </c:pt>
                <c:pt idx="658">
                  <c:v>5.79</c:v>
                </c:pt>
                <c:pt idx="659">
                  <c:v>5.79</c:v>
                </c:pt>
                <c:pt idx="660">
                  <c:v>5.79</c:v>
                </c:pt>
                <c:pt idx="661">
                  <c:v>5.79</c:v>
                </c:pt>
                <c:pt idx="662">
                  <c:v>5.77</c:v>
                </c:pt>
                <c:pt idx="663">
                  <c:v>5.77</c:v>
                </c:pt>
                <c:pt idx="664">
                  <c:v>5.87</c:v>
                </c:pt>
                <c:pt idx="665">
                  <c:v>5.87</c:v>
                </c:pt>
                <c:pt idx="666">
                  <c:v>5.87</c:v>
                </c:pt>
                <c:pt idx="667">
                  <c:v>5.87</c:v>
                </c:pt>
                <c:pt idx="668">
                  <c:v>5.84</c:v>
                </c:pt>
                <c:pt idx="669">
                  <c:v>5.84</c:v>
                </c:pt>
                <c:pt idx="670">
                  <c:v>5.84</c:v>
                </c:pt>
                <c:pt idx="671">
                  <c:v>5.81</c:v>
                </c:pt>
                <c:pt idx="672">
                  <c:v>5.81</c:v>
                </c:pt>
                <c:pt idx="673">
                  <c:v>5.81</c:v>
                </c:pt>
                <c:pt idx="674">
                  <c:v>5.26</c:v>
                </c:pt>
                <c:pt idx="675">
                  <c:v>5.01</c:v>
                </c:pt>
                <c:pt idx="676">
                  <c:v>5.01</c:v>
                </c:pt>
                <c:pt idx="677">
                  <c:v>5.01</c:v>
                </c:pt>
                <c:pt idx="678">
                  <c:v>5.01</c:v>
                </c:pt>
                <c:pt idx="679">
                  <c:v>5.0999999999999996</c:v>
                </c:pt>
                <c:pt idx="680">
                  <c:v>5.0999999999999996</c:v>
                </c:pt>
                <c:pt idx="681">
                  <c:v>5.0999999999999996</c:v>
                </c:pt>
                <c:pt idx="682">
                  <c:v>5.37</c:v>
                </c:pt>
                <c:pt idx="683">
                  <c:v>5.37</c:v>
                </c:pt>
                <c:pt idx="684">
                  <c:v>5.37</c:v>
                </c:pt>
                <c:pt idx="685">
                  <c:v>5.37</c:v>
                </c:pt>
                <c:pt idx="686">
                  <c:v>5.68</c:v>
                </c:pt>
                <c:pt idx="687">
                  <c:v>5.32</c:v>
                </c:pt>
                <c:pt idx="688">
                  <c:v>5.26</c:v>
                </c:pt>
                <c:pt idx="689">
                  <c:v>4.4800000000000004</c:v>
                </c:pt>
                <c:pt idx="690">
                  <c:v>4.25</c:v>
                </c:pt>
                <c:pt idx="691">
                  <c:v>4.25</c:v>
                </c:pt>
                <c:pt idx="692">
                  <c:v>4.25</c:v>
                </c:pt>
                <c:pt idx="693">
                  <c:v>4.25</c:v>
                </c:pt>
                <c:pt idx="694">
                  <c:v>4.4800000000000004</c:v>
                </c:pt>
                <c:pt idx="695">
                  <c:v>4.4800000000000004</c:v>
                </c:pt>
                <c:pt idx="696">
                  <c:v>4.4000000000000004</c:v>
                </c:pt>
                <c:pt idx="697">
                  <c:v>4.4000000000000004</c:v>
                </c:pt>
                <c:pt idx="698">
                  <c:v>4.2</c:v>
                </c:pt>
                <c:pt idx="699">
                  <c:v>4.0199999999999996</c:v>
                </c:pt>
                <c:pt idx="700">
                  <c:v>4.0199999999999996</c:v>
                </c:pt>
                <c:pt idx="701">
                  <c:v>4.0199999999999996</c:v>
                </c:pt>
                <c:pt idx="702">
                  <c:v>4.0199999999999996</c:v>
                </c:pt>
                <c:pt idx="703">
                  <c:v>4.0199999999999996</c:v>
                </c:pt>
                <c:pt idx="704">
                  <c:v>4.0199999999999996</c:v>
                </c:pt>
                <c:pt idx="705">
                  <c:v>3.91</c:v>
                </c:pt>
                <c:pt idx="706">
                  <c:v>3.91</c:v>
                </c:pt>
                <c:pt idx="707">
                  <c:v>3.91</c:v>
                </c:pt>
                <c:pt idx="708">
                  <c:v>3.84</c:v>
                </c:pt>
                <c:pt idx="709">
                  <c:v>3.84</c:v>
                </c:pt>
                <c:pt idx="710">
                  <c:v>3.84</c:v>
                </c:pt>
                <c:pt idx="711">
                  <c:v>4.1500000000000004</c:v>
                </c:pt>
                <c:pt idx="712">
                  <c:v>4.2</c:v>
                </c:pt>
                <c:pt idx="713">
                  <c:v>4.17</c:v>
                </c:pt>
                <c:pt idx="714">
                  <c:v>4.17</c:v>
                </c:pt>
                <c:pt idx="715">
                  <c:v>4.7300000000000004</c:v>
                </c:pt>
                <c:pt idx="716">
                  <c:v>4.8</c:v>
                </c:pt>
                <c:pt idx="717">
                  <c:v>4.7</c:v>
                </c:pt>
                <c:pt idx="718">
                  <c:v>4.7</c:v>
                </c:pt>
                <c:pt idx="719">
                  <c:v>4.7</c:v>
                </c:pt>
                <c:pt idx="720">
                  <c:v>4.7699999999999996</c:v>
                </c:pt>
                <c:pt idx="721">
                  <c:v>4.7699999999999996</c:v>
                </c:pt>
                <c:pt idx="722">
                  <c:v>4.7699999999999996</c:v>
                </c:pt>
                <c:pt idx="723">
                  <c:v>4.8099999999999996</c:v>
                </c:pt>
                <c:pt idx="724">
                  <c:v>4.63</c:v>
                </c:pt>
                <c:pt idx="725">
                  <c:v>4.63</c:v>
                </c:pt>
                <c:pt idx="726">
                  <c:v>4.51</c:v>
                </c:pt>
                <c:pt idx="727">
                  <c:v>4.51</c:v>
                </c:pt>
                <c:pt idx="728">
                  <c:v>4.41</c:v>
                </c:pt>
                <c:pt idx="729">
                  <c:v>4.41</c:v>
                </c:pt>
                <c:pt idx="730">
                  <c:v>4.41</c:v>
                </c:pt>
                <c:pt idx="731">
                  <c:v>4.41</c:v>
                </c:pt>
                <c:pt idx="732">
                  <c:v>4.13</c:v>
                </c:pt>
                <c:pt idx="733">
                  <c:v>4.24</c:v>
                </c:pt>
                <c:pt idx="734">
                  <c:v>4.24</c:v>
                </c:pt>
                <c:pt idx="735">
                  <c:v>4.24</c:v>
                </c:pt>
                <c:pt idx="736">
                  <c:v>4.24</c:v>
                </c:pt>
                <c:pt idx="737">
                  <c:v>4.0599999999999996</c:v>
                </c:pt>
                <c:pt idx="738">
                  <c:v>3.95</c:v>
                </c:pt>
                <c:pt idx="739">
                  <c:v>3.95</c:v>
                </c:pt>
                <c:pt idx="740">
                  <c:v>4.3899999999999997</c:v>
                </c:pt>
                <c:pt idx="741">
                  <c:v>4.29</c:v>
                </c:pt>
                <c:pt idx="742">
                  <c:v>4.29</c:v>
                </c:pt>
                <c:pt idx="743">
                  <c:v>4.2699999999999996</c:v>
                </c:pt>
                <c:pt idx="744">
                  <c:v>4.2699999999999996</c:v>
                </c:pt>
                <c:pt idx="745">
                  <c:v>4.16</c:v>
                </c:pt>
                <c:pt idx="746">
                  <c:v>4.16</c:v>
                </c:pt>
                <c:pt idx="747">
                  <c:v>4</c:v>
                </c:pt>
                <c:pt idx="748">
                  <c:v>3.59</c:v>
                </c:pt>
                <c:pt idx="749">
                  <c:v>3.59</c:v>
                </c:pt>
                <c:pt idx="750">
                  <c:v>3.66</c:v>
                </c:pt>
                <c:pt idx="751">
                  <c:v>3.77</c:v>
                </c:pt>
                <c:pt idx="752">
                  <c:v>4.1399999999999997</c:v>
                </c:pt>
                <c:pt idx="753">
                  <c:v>4.2300000000000004</c:v>
                </c:pt>
                <c:pt idx="754">
                  <c:v>4.2300000000000004</c:v>
                </c:pt>
                <c:pt idx="755">
                  <c:v>3.94</c:v>
                </c:pt>
                <c:pt idx="756">
                  <c:v>3.86</c:v>
                </c:pt>
                <c:pt idx="757">
                  <c:v>3.91</c:v>
                </c:pt>
                <c:pt idx="758">
                  <c:v>3.79</c:v>
                </c:pt>
                <c:pt idx="759">
                  <c:v>3.86</c:v>
                </c:pt>
                <c:pt idx="760">
                  <c:v>3.86</c:v>
                </c:pt>
                <c:pt idx="761">
                  <c:v>3.86</c:v>
                </c:pt>
                <c:pt idx="762">
                  <c:v>4.13</c:v>
                </c:pt>
                <c:pt idx="763">
                  <c:v>4.13</c:v>
                </c:pt>
                <c:pt idx="764">
                  <c:v>4.13</c:v>
                </c:pt>
                <c:pt idx="765">
                  <c:v>4.2699999999999996</c:v>
                </c:pt>
                <c:pt idx="766">
                  <c:v>4.26</c:v>
                </c:pt>
                <c:pt idx="767">
                  <c:v>4.26</c:v>
                </c:pt>
                <c:pt idx="768">
                  <c:v>4.26</c:v>
                </c:pt>
                <c:pt idx="769">
                  <c:v>4.32</c:v>
                </c:pt>
                <c:pt idx="770">
                  <c:v>4.45</c:v>
                </c:pt>
                <c:pt idx="771">
                  <c:v>4.5199999999999996</c:v>
                </c:pt>
                <c:pt idx="772">
                  <c:v>4.5199999999999996</c:v>
                </c:pt>
                <c:pt idx="773">
                  <c:v>4.5199999999999996</c:v>
                </c:pt>
                <c:pt idx="774">
                  <c:v>4.5199999999999996</c:v>
                </c:pt>
                <c:pt idx="775">
                  <c:v>4.16</c:v>
                </c:pt>
                <c:pt idx="776">
                  <c:v>3.29</c:v>
                </c:pt>
                <c:pt idx="777">
                  <c:v>3.29</c:v>
                </c:pt>
                <c:pt idx="778">
                  <c:v>3.37</c:v>
                </c:pt>
                <c:pt idx="779">
                  <c:v>3.42</c:v>
                </c:pt>
                <c:pt idx="780">
                  <c:v>3.42</c:v>
                </c:pt>
                <c:pt idx="781">
                  <c:v>3.42</c:v>
                </c:pt>
                <c:pt idx="782">
                  <c:v>3.42</c:v>
                </c:pt>
                <c:pt idx="783">
                  <c:v>3.42</c:v>
                </c:pt>
                <c:pt idx="784">
                  <c:v>3.4</c:v>
                </c:pt>
                <c:pt idx="785">
                  <c:v>3.29</c:v>
                </c:pt>
                <c:pt idx="786">
                  <c:v>3.29</c:v>
                </c:pt>
                <c:pt idx="787">
                  <c:v>3.11</c:v>
                </c:pt>
                <c:pt idx="788">
                  <c:v>3.19</c:v>
                </c:pt>
                <c:pt idx="789">
                  <c:v>3.14</c:v>
                </c:pt>
                <c:pt idx="790">
                  <c:v>2.73</c:v>
                </c:pt>
                <c:pt idx="791">
                  <c:v>2.73</c:v>
                </c:pt>
                <c:pt idx="792">
                  <c:v>2.84</c:v>
                </c:pt>
                <c:pt idx="793">
                  <c:v>2.95</c:v>
                </c:pt>
                <c:pt idx="794">
                  <c:v>2.85</c:v>
                </c:pt>
                <c:pt idx="795">
                  <c:v>2.85</c:v>
                </c:pt>
                <c:pt idx="796">
                  <c:v>2.85</c:v>
                </c:pt>
                <c:pt idx="797">
                  <c:v>2.91</c:v>
                </c:pt>
                <c:pt idx="798">
                  <c:v>3.09</c:v>
                </c:pt>
                <c:pt idx="799">
                  <c:v>3.3</c:v>
                </c:pt>
                <c:pt idx="800">
                  <c:v>3.3</c:v>
                </c:pt>
                <c:pt idx="801">
                  <c:v>3.33</c:v>
                </c:pt>
                <c:pt idx="802">
                  <c:v>3.16</c:v>
                </c:pt>
                <c:pt idx="803">
                  <c:v>2.95</c:v>
                </c:pt>
                <c:pt idx="804">
                  <c:v>2.95</c:v>
                </c:pt>
                <c:pt idx="805">
                  <c:v>2.96</c:v>
                </c:pt>
                <c:pt idx="806">
                  <c:v>3.09</c:v>
                </c:pt>
                <c:pt idx="807">
                  <c:v>3.09</c:v>
                </c:pt>
                <c:pt idx="808">
                  <c:v>3.09</c:v>
                </c:pt>
                <c:pt idx="809">
                  <c:v>4.3</c:v>
                </c:pt>
                <c:pt idx="810">
                  <c:v>4.76</c:v>
                </c:pt>
                <c:pt idx="811">
                  <c:v>5.28</c:v>
                </c:pt>
                <c:pt idx="812">
                  <c:v>5.28</c:v>
                </c:pt>
                <c:pt idx="813">
                  <c:v>5.75</c:v>
                </c:pt>
                <c:pt idx="814">
                  <c:v>5.75</c:v>
                </c:pt>
                <c:pt idx="815">
                  <c:v>5.75</c:v>
                </c:pt>
                <c:pt idx="816">
                  <c:v>5.75</c:v>
                </c:pt>
                <c:pt idx="817">
                  <c:v>5.75</c:v>
                </c:pt>
                <c:pt idx="818">
                  <c:v>5.29</c:v>
                </c:pt>
                <c:pt idx="819">
                  <c:v>5.29</c:v>
                </c:pt>
                <c:pt idx="820">
                  <c:v>5.29</c:v>
                </c:pt>
                <c:pt idx="821">
                  <c:v>5.86</c:v>
                </c:pt>
                <c:pt idx="822">
                  <c:v>5.86</c:v>
                </c:pt>
                <c:pt idx="823">
                  <c:v>5.86</c:v>
                </c:pt>
                <c:pt idx="824">
                  <c:v>5.86</c:v>
                </c:pt>
                <c:pt idx="825">
                  <c:v>6.34</c:v>
                </c:pt>
                <c:pt idx="826">
                  <c:v>6.34</c:v>
                </c:pt>
                <c:pt idx="827">
                  <c:v>6.34</c:v>
                </c:pt>
                <c:pt idx="828">
                  <c:v>6.34</c:v>
                </c:pt>
                <c:pt idx="829">
                  <c:v>6.34</c:v>
                </c:pt>
                <c:pt idx="830">
                  <c:v>6.34</c:v>
                </c:pt>
                <c:pt idx="831">
                  <c:v>6.05</c:v>
                </c:pt>
                <c:pt idx="832">
                  <c:v>6.05</c:v>
                </c:pt>
                <c:pt idx="833">
                  <c:v>5.56</c:v>
                </c:pt>
                <c:pt idx="834">
                  <c:v>5.74</c:v>
                </c:pt>
                <c:pt idx="835">
                  <c:v>5.61</c:v>
                </c:pt>
                <c:pt idx="836">
                  <c:v>5.38</c:v>
                </c:pt>
                <c:pt idx="837">
                  <c:v>5.2</c:v>
                </c:pt>
                <c:pt idx="838">
                  <c:v>5.2</c:v>
                </c:pt>
                <c:pt idx="839">
                  <c:v>5.2</c:v>
                </c:pt>
                <c:pt idx="840">
                  <c:v>5.2</c:v>
                </c:pt>
                <c:pt idx="841">
                  <c:v>5.41</c:v>
                </c:pt>
                <c:pt idx="842">
                  <c:v>5.41</c:v>
                </c:pt>
                <c:pt idx="843">
                  <c:v>5.56</c:v>
                </c:pt>
                <c:pt idx="844">
                  <c:v>5.56</c:v>
                </c:pt>
                <c:pt idx="845">
                  <c:v>5.56</c:v>
                </c:pt>
                <c:pt idx="846">
                  <c:v>5.56</c:v>
                </c:pt>
                <c:pt idx="847" formatCode="General">
                  <c:v>5.58</c:v>
                </c:pt>
              </c:numCache>
            </c:numRef>
          </c:xVal>
          <c:yVal>
            <c:numRef>
              <c:f>'1.20 Past Rate Cases Gas'!$K$6:$K$853</c:f>
              <c:numCache>
                <c:formatCode>_(* #,##0.00_);_(* \(#,##0.00\);_(* "-"??_);_(@_)</c:formatCode>
                <c:ptCount val="848"/>
                <c:pt idx="0">
                  <c:v>0.66000000000000014</c:v>
                </c:pt>
                <c:pt idx="1">
                  <c:v>1.8599999999999994</c:v>
                </c:pt>
                <c:pt idx="2">
                  <c:v>1.3099999999999987</c:v>
                </c:pt>
                <c:pt idx="3">
                  <c:v>1.8499999999999996</c:v>
                </c:pt>
                <c:pt idx="4">
                  <c:v>0.45999999999999908</c:v>
                </c:pt>
                <c:pt idx="5">
                  <c:v>2.3499999999999996</c:v>
                </c:pt>
                <c:pt idx="6">
                  <c:v>0.84999999999999964</c:v>
                </c:pt>
                <c:pt idx="7">
                  <c:v>0.78999999999999915</c:v>
                </c:pt>
                <c:pt idx="8">
                  <c:v>1.7899999999999991</c:v>
                </c:pt>
                <c:pt idx="9">
                  <c:v>1.7899999999999991</c:v>
                </c:pt>
                <c:pt idx="10">
                  <c:v>1.2899999999999991</c:v>
                </c:pt>
                <c:pt idx="11">
                  <c:v>1.7899999999999991</c:v>
                </c:pt>
                <c:pt idx="12">
                  <c:v>-0.54000000000000092</c:v>
                </c:pt>
                <c:pt idx="13">
                  <c:v>-2.09</c:v>
                </c:pt>
                <c:pt idx="14">
                  <c:v>-0.32000000000000028</c:v>
                </c:pt>
                <c:pt idx="15">
                  <c:v>-0.83999999999999986</c:v>
                </c:pt>
                <c:pt idx="16">
                  <c:v>0.91000000000000014</c:v>
                </c:pt>
                <c:pt idx="17">
                  <c:v>0.3100000000000005</c:v>
                </c:pt>
                <c:pt idx="18">
                  <c:v>1.7100000000000009</c:v>
                </c:pt>
                <c:pt idx="19">
                  <c:v>-0.50999999999999979</c:v>
                </c:pt>
                <c:pt idx="20">
                  <c:v>1.5099999999999998</c:v>
                </c:pt>
                <c:pt idx="21">
                  <c:v>1.7699999999999996</c:v>
                </c:pt>
                <c:pt idx="22">
                  <c:v>0.5</c:v>
                </c:pt>
                <c:pt idx="23">
                  <c:v>1.4000000000000004</c:v>
                </c:pt>
                <c:pt idx="24">
                  <c:v>1.6999999999999993</c:v>
                </c:pt>
                <c:pt idx="25">
                  <c:v>1.7899999999999991</c:v>
                </c:pt>
                <c:pt idx="26">
                  <c:v>9.9999999999999645E-2</c:v>
                </c:pt>
                <c:pt idx="27">
                  <c:v>2.4499999999999993</c:v>
                </c:pt>
                <c:pt idx="28">
                  <c:v>1.8499999999999996</c:v>
                </c:pt>
                <c:pt idx="29">
                  <c:v>1.8499999999999996</c:v>
                </c:pt>
                <c:pt idx="30">
                  <c:v>2.34</c:v>
                </c:pt>
                <c:pt idx="31">
                  <c:v>1.8399999999999999</c:v>
                </c:pt>
                <c:pt idx="32">
                  <c:v>1.8399999999999999</c:v>
                </c:pt>
                <c:pt idx="33">
                  <c:v>1.9100000000000001</c:v>
                </c:pt>
                <c:pt idx="34">
                  <c:v>1.9100000000000001</c:v>
                </c:pt>
                <c:pt idx="35">
                  <c:v>-0.28999999999999915</c:v>
                </c:pt>
                <c:pt idx="36">
                  <c:v>-1.2899999999999991</c:v>
                </c:pt>
                <c:pt idx="37">
                  <c:v>1.2100000000000009</c:v>
                </c:pt>
                <c:pt idx="38">
                  <c:v>1.7100000000000009</c:v>
                </c:pt>
                <c:pt idx="39">
                  <c:v>1.0600000000000005</c:v>
                </c:pt>
                <c:pt idx="40">
                  <c:v>-3.9999999999999147E-2</c:v>
                </c:pt>
                <c:pt idx="41">
                  <c:v>1.9600000000000009</c:v>
                </c:pt>
                <c:pt idx="42">
                  <c:v>-3.9999999999999147E-2</c:v>
                </c:pt>
                <c:pt idx="43">
                  <c:v>1.0600000000000005</c:v>
                </c:pt>
                <c:pt idx="44">
                  <c:v>2.8599999999999994</c:v>
                </c:pt>
                <c:pt idx="45">
                  <c:v>1.9100000000000001</c:v>
                </c:pt>
                <c:pt idx="46">
                  <c:v>0.39000000000000057</c:v>
                </c:pt>
                <c:pt idx="47">
                  <c:v>0.1899999999999995</c:v>
                </c:pt>
                <c:pt idx="48">
                  <c:v>-9.9999999999997868E-3</c:v>
                </c:pt>
                <c:pt idx="49">
                  <c:v>-0.5600000000000005</c:v>
                </c:pt>
                <c:pt idx="50">
                  <c:v>-9.9999999999997868E-3</c:v>
                </c:pt>
                <c:pt idx="51">
                  <c:v>0.49000000000000021</c:v>
                </c:pt>
                <c:pt idx="52">
                  <c:v>0.29000000000000092</c:v>
                </c:pt>
                <c:pt idx="53">
                  <c:v>0.9399999999999995</c:v>
                </c:pt>
                <c:pt idx="54">
                  <c:v>0.58999999999999986</c:v>
                </c:pt>
                <c:pt idx="55">
                  <c:v>-1.4100000000000001</c:v>
                </c:pt>
                <c:pt idx="56">
                  <c:v>-0.16000000000000014</c:v>
                </c:pt>
                <c:pt idx="57">
                  <c:v>0.23000000000000043</c:v>
                </c:pt>
                <c:pt idx="58">
                  <c:v>1.3800000000000008</c:v>
                </c:pt>
                <c:pt idx="59">
                  <c:v>0.62000000000000099</c:v>
                </c:pt>
                <c:pt idx="60">
                  <c:v>0.32000000000000028</c:v>
                </c:pt>
                <c:pt idx="61">
                  <c:v>-0.88000000000000078</c:v>
                </c:pt>
                <c:pt idx="62">
                  <c:v>-1.6300000000000008</c:v>
                </c:pt>
                <c:pt idx="63">
                  <c:v>-0.13000000000000078</c:v>
                </c:pt>
                <c:pt idx="64">
                  <c:v>-1.5300000000000011</c:v>
                </c:pt>
                <c:pt idx="65">
                  <c:v>-1.25</c:v>
                </c:pt>
                <c:pt idx="66">
                  <c:v>-0.58000000000000007</c:v>
                </c:pt>
                <c:pt idx="67">
                  <c:v>-0.12000000000000099</c:v>
                </c:pt>
                <c:pt idx="68">
                  <c:v>-1.370000000000001</c:v>
                </c:pt>
                <c:pt idx="69">
                  <c:v>-2.120000000000001</c:v>
                </c:pt>
                <c:pt idx="70">
                  <c:v>-0.12000000000000099</c:v>
                </c:pt>
                <c:pt idx="71">
                  <c:v>0.77999999999999758</c:v>
                </c:pt>
                <c:pt idx="72">
                  <c:v>-9.9999999999997868E-3</c:v>
                </c:pt>
                <c:pt idx="73">
                  <c:v>-0.28999999999999915</c:v>
                </c:pt>
                <c:pt idx="74">
                  <c:v>-2.0199999999999996</c:v>
                </c:pt>
                <c:pt idx="75">
                  <c:v>-1.5899999999999999</c:v>
                </c:pt>
                <c:pt idx="76">
                  <c:v>-2.2899999999999991</c:v>
                </c:pt>
                <c:pt idx="77">
                  <c:v>-1.379999999999999</c:v>
                </c:pt>
                <c:pt idx="78">
                  <c:v>-2.0699999999999985</c:v>
                </c:pt>
                <c:pt idx="79">
                  <c:v>-2.0699999999999985</c:v>
                </c:pt>
                <c:pt idx="80">
                  <c:v>-0.62000000000000099</c:v>
                </c:pt>
                <c:pt idx="81">
                  <c:v>-1.6400000000000006</c:v>
                </c:pt>
                <c:pt idx="82">
                  <c:v>-1.0700000000000003</c:v>
                </c:pt>
                <c:pt idx="83">
                  <c:v>-0.19999999999999929</c:v>
                </c:pt>
                <c:pt idx="84">
                  <c:v>-1.9499999999999993</c:v>
                </c:pt>
                <c:pt idx="85">
                  <c:v>-0.50999999999999979</c:v>
                </c:pt>
                <c:pt idx="86">
                  <c:v>-1.6499999999999986</c:v>
                </c:pt>
                <c:pt idx="87">
                  <c:v>-0.19999999999999929</c:v>
                </c:pt>
                <c:pt idx="88">
                  <c:v>-3.0000000000001137E-2</c:v>
                </c:pt>
                <c:pt idx="89">
                  <c:v>-0.53000000000000114</c:v>
                </c:pt>
                <c:pt idx="90">
                  <c:v>-1.7800000000000011</c:v>
                </c:pt>
                <c:pt idx="91">
                  <c:v>-3.5300000000000011</c:v>
                </c:pt>
                <c:pt idx="92">
                  <c:v>-0.53000000000000114</c:v>
                </c:pt>
                <c:pt idx="93">
                  <c:v>-1.7000000000000011</c:v>
                </c:pt>
                <c:pt idx="94">
                  <c:v>-1.8600000000000012</c:v>
                </c:pt>
                <c:pt idx="95">
                  <c:v>-1.1600000000000001</c:v>
                </c:pt>
                <c:pt idx="96">
                  <c:v>-1.1600000000000001</c:v>
                </c:pt>
                <c:pt idx="97">
                  <c:v>-2.0100000000000016</c:v>
                </c:pt>
                <c:pt idx="98">
                  <c:v>-0.51000000000000156</c:v>
                </c:pt>
                <c:pt idx="99">
                  <c:v>-1.2600000000000016</c:v>
                </c:pt>
                <c:pt idx="100">
                  <c:v>-1.5600000000000023</c:v>
                </c:pt>
                <c:pt idx="101">
                  <c:v>-0.61000000000000121</c:v>
                </c:pt>
                <c:pt idx="102">
                  <c:v>-0.42000000000000171</c:v>
                </c:pt>
                <c:pt idx="103">
                  <c:v>-0.72000000000000242</c:v>
                </c:pt>
                <c:pt idx="104">
                  <c:v>-0.17000000000000171</c:v>
                </c:pt>
                <c:pt idx="105">
                  <c:v>-0.42000000000000171</c:v>
                </c:pt>
                <c:pt idx="106">
                  <c:v>-0.92000000000000171</c:v>
                </c:pt>
                <c:pt idx="107">
                  <c:v>8.9999999999999858E-2</c:v>
                </c:pt>
                <c:pt idx="108">
                  <c:v>0.67999999999999972</c:v>
                </c:pt>
                <c:pt idx="109">
                  <c:v>-2.16</c:v>
                </c:pt>
                <c:pt idx="110">
                  <c:v>7.9999999999998295E-2</c:v>
                </c:pt>
                <c:pt idx="111">
                  <c:v>-0.66000000000000014</c:v>
                </c:pt>
                <c:pt idx="112">
                  <c:v>-0.41000000000000014</c:v>
                </c:pt>
                <c:pt idx="113">
                  <c:v>-1.2100000000000009</c:v>
                </c:pt>
                <c:pt idx="114">
                  <c:v>-0.16000000000000014</c:v>
                </c:pt>
                <c:pt idx="115">
                  <c:v>-0.83999999999999986</c:v>
                </c:pt>
                <c:pt idx="116">
                  <c:v>-1.8000000000000007</c:v>
                </c:pt>
                <c:pt idx="117">
                  <c:v>0.30000000000000071</c:v>
                </c:pt>
                <c:pt idx="118">
                  <c:v>-0.92000000000000171</c:v>
                </c:pt>
                <c:pt idx="119">
                  <c:v>-0.67000000000000171</c:v>
                </c:pt>
                <c:pt idx="120">
                  <c:v>-1.9200000000000017</c:v>
                </c:pt>
                <c:pt idx="121">
                  <c:v>-0.42000000000000171</c:v>
                </c:pt>
                <c:pt idx="122">
                  <c:v>-0.22000000000000242</c:v>
                </c:pt>
                <c:pt idx="123">
                  <c:v>-1.8200000000000021</c:v>
                </c:pt>
                <c:pt idx="124">
                  <c:v>-1.7899999999999991</c:v>
                </c:pt>
                <c:pt idx="125">
                  <c:v>-1.4899999999999984</c:v>
                </c:pt>
                <c:pt idx="126">
                  <c:v>-1.9199999999999982</c:v>
                </c:pt>
                <c:pt idx="127">
                  <c:v>-0.68999999999999773</c:v>
                </c:pt>
                <c:pt idx="128">
                  <c:v>-0.57999999999999829</c:v>
                </c:pt>
                <c:pt idx="129">
                  <c:v>-0.14999999999999858</c:v>
                </c:pt>
                <c:pt idx="130">
                  <c:v>-1.8999999999999986</c:v>
                </c:pt>
                <c:pt idx="131">
                  <c:v>-0.39999999999999858</c:v>
                </c:pt>
                <c:pt idx="132">
                  <c:v>-0.57999999999999829</c:v>
                </c:pt>
                <c:pt idx="133">
                  <c:v>0.42000000000000171</c:v>
                </c:pt>
                <c:pt idx="134">
                  <c:v>-7.9999999999998295E-2</c:v>
                </c:pt>
                <c:pt idx="135">
                  <c:v>-0.52999999999999758</c:v>
                </c:pt>
                <c:pt idx="136">
                  <c:v>-0.97999999999999865</c:v>
                </c:pt>
                <c:pt idx="137">
                  <c:v>0.72000000000000242</c:v>
                </c:pt>
                <c:pt idx="138">
                  <c:v>-1.8399999999999999</c:v>
                </c:pt>
                <c:pt idx="139">
                  <c:v>-1.5199999999999996</c:v>
                </c:pt>
                <c:pt idx="140">
                  <c:v>-0.75999999999999979</c:v>
                </c:pt>
                <c:pt idx="141">
                  <c:v>0.16000000000000014</c:v>
                </c:pt>
                <c:pt idx="142">
                  <c:v>0.76999999999999957</c:v>
                </c:pt>
                <c:pt idx="143">
                  <c:v>-0.46000000000000085</c:v>
                </c:pt>
                <c:pt idx="144">
                  <c:v>-0.21000000000000085</c:v>
                </c:pt>
                <c:pt idx="145">
                  <c:v>-0.96000000000000085</c:v>
                </c:pt>
                <c:pt idx="146">
                  <c:v>-0.42000000000000171</c:v>
                </c:pt>
                <c:pt idx="147">
                  <c:v>0.11999999999999922</c:v>
                </c:pt>
                <c:pt idx="148">
                  <c:v>-0.66999999999999993</c:v>
                </c:pt>
                <c:pt idx="149">
                  <c:v>-1.42</c:v>
                </c:pt>
                <c:pt idx="150">
                  <c:v>0.77999999999999936</c:v>
                </c:pt>
                <c:pt idx="151">
                  <c:v>0.58000000000000007</c:v>
                </c:pt>
                <c:pt idx="152">
                  <c:v>-0.41999999999999993</c:v>
                </c:pt>
                <c:pt idx="153">
                  <c:v>-1.1799999999999997</c:v>
                </c:pt>
                <c:pt idx="154">
                  <c:v>-0.91999999999999993</c:v>
                </c:pt>
                <c:pt idx="155">
                  <c:v>0.45000000000000107</c:v>
                </c:pt>
                <c:pt idx="156">
                  <c:v>0.45000000000000107</c:v>
                </c:pt>
                <c:pt idx="157">
                  <c:v>1.5500000000000007</c:v>
                </c:pt>
                <c:pt idx="158">
                  <c:v>-0.69999999999999929</c:v>
                </c:pt>
                <c:pt idx="159">
                  <c:v>0.80000000000000071</c:v>
                </c:pt>
                <c:pt idx="160">
                  <c:v>0.30000000000000071</c:v>
                </c:pt>
                <c:pt idx="161">
                  <c:v>1.0199999999999996</c:v>
                </c:pt>
                <c:pt idx="162">
                  <c:v>0.51999999999999957</c:v>
                </c:pt>
                <c:pt idx="163">
                  <c:v>1.0399999999999991</c:v>
                </c:pt>
                <c:pt idx="164">
                  <c:v>-0.48000000000000043</c:v>
                </c:pt>
                <c:pt idx="165">
                  <c:v>1.120000000000001</c:v>
                </c:pt>
                <c:pt idx="166">
                  <c:v>1.0199999999999996</c:v>
                </c:pt>
                <c:pt idx="167">
                  <c:v>0.66999999999999993</c:v>
                </c:pt>
                <c:pt idx="168">
                  <c:v>0.51999999999999957</c:v>
                </c:pt>
                <c:pt idx="169">
                  <c:v>0.51999999999999957</c:v>
                </c:pt>
                <c:pt idx="170">
                  <c:v>-2</c:v>
                </c:pt>
                <c:pt idx="171">
                  <c:v>0.34999999999999964</c:v>
                </c:pt>
                <c:pt idx="172">
                  <c:v>0.76999999999999957</c:v>
                </c:pt>
                <c:pt idx="173">
                  <c:v>1.0199999999999996</c:v>
                </c:pt>
                <c:pt idx="174">
                  <c:v>1.4199999999999982</c:v>
                </c:pt>
                <c:pt idx="175">
                  <c:v>1.7899999999999991</c:v>
                </c:pt>
                <c:pt idx="176">
                  <c:v>0.53999999999999915</c:v>
                </c:pt>
                <c:pt idx="177">
                  <c:v>1.2399999999999984</c:v>
                </c:pt>
                <c:pt idx="178">
                  <c:v>0.78999999999999915</c:v>
                </c:pt>
                <c:pt idx="179">
                  <c:v>0.78999999999999915</c:v>
                </c:pt>
                <c:pt idx="180">
                  <c:v>1.7899999999999991</c:v>
                </c:pt>
                <c:pt idx="181">
                  <c:v>1.7899999999999991</c:v>
                </c:pt>
                <c:pt idx="182">
                  <c:v>1.4399999999999995</c:v>
                </c:pt>
                <c:pt idx="183">
                  <c:v>1.0399999999999991</c:v>
                </c:pt>
                <c:pt idx="184">
                  <c:v>0.57000000000000028</c:v>
                </c:pt>
                <c:pt idx="185">
                  <c:v>1.5700000000000003</c:v>
                </c:pt>
                <c:pt idx="186">
                  <c:v>1.0700000000000003</c:v>
                </c:pt>
                <c:pt idx="187">
                  <c:v>0.47000000000000064</c:v>
                </c:pt>
                <c:pt idx="188">
                  <c:v>0.57000000000000028</c:v>
                </c:pt>
                <c:pt idx="189">
                  <c:v>1.4599999999999991</c:v>
                </c:pt>
                <c:pt idx="190">
                  <c:v>1.0099999999999998</c:v>
                </c:pt>
                <c:pt idx="191">
                  <c:v>1.7200000000000006</c:v>
                </c:pt>
                <c:pt idx="192">
                  <c:v>0.68000000000000149</c:v>
                </c:pt>
                <c:pt idx="193">
                  <c:v>1.120000000000001</c:v>
                </c:pt>
                <c:pt idx="194">
                  <c:v>0.72000000000000064</c:v>
                </c:pt>
                <c:pt idx="195">
                  <c:v>-1.0299999999999994</c:v>
                </c:pt>
                <c:pt idx="196">
                  <c:v>1.370000000000001</c:v>
                </c:pt>
                <c:pt idx="197">
                  <c:v>1.4700000000000006</c:v>
                </c:pt>
                <c:pt idx="198">
                  <c:v>0.35999999999999943</c:v>
                </c:pt>
                <c:pt idx="199">
                  <c:v>0.85999999999999943</c:v>
                </c:pt>
                <c:pt idx="200">
                  <c:v>0.85999999999999943</c:v>
                </c:pt>
                <c:pt idx="201">
                  <c:v>0.66000000000000014</c:v>
                </c:pt>
                <c:pt idx="202">
                  <c:v>1.0099999999999998</c:v>
                </c:pt>
                <c:pt idx="203">
                  <c:v>2.41</c:v>
                </c:pt>
                <c:pt idx="204">
                  <c:v>1.3100000000000005</c:v>
                </c:pt>
                <c:pt idx="205">
                  <c:v>1.3100000000000005</c:v>
                </c:pt>
                <c:pt idx="206">
                  <c:v>1.5099999999999998</c:v>
                </c:pt>
                <c:pt idx="207">
                  <c:v>2.0099999999999998</c:v>
                </c:pt>
                <c:pt idx="208">
                  <c:v>1.4499999999999993</c:v>
                </c:pt>
                <c:pt idx="209">
                  <c:v>1.3499999999999996</c:v>
                </c:pt>
                <c:pt idx="210">
                  <c:v>1.7300000000000004</c:v>
                </c:pt>
                <c:pt idx="211">
                  <c:v>2.2199999999999989</c:v>
                </c:pt>
                <c:pt idx="212">
                  <c:v>1.1799999999999997</c:v>
                </c:pt>
                <c:pt idx="213">
                  <c:v>1.1799999999999997</c:v>
                </c:pt>
                <c:pt idx="214">
                  <c:v>1.9399999999999995</c:v>
                </c:pt>
                <c:pt idx="215">
                  <c:v>0.92999999999999972</c:v>
                </c:pt>
                <c:pt idx="216">
                  <c:v>0.67999999999999972</c:v>
                </c:pt>
                <c:pt idx="217">
                  <c:v>2.6799999999999997</c:v>
                </c:pt>
                <c:pt idx="218">
                  <c:v>2.5799999999999983</c:v>
                </c:pt>
                <c:pt idx="219">
                  <c:v>1.9499999999999993</c:v>
                </c:pt>
                <c:pt idx="220">
                  <c:v>1.7599999999999998</c:v>
                </c:pt>
                <c:pt idx="221">
                  <c:v>1.3100000000000005</c:v>
                </c:pt>
                <c:pt idx="222">
                  <c:v>1.8900000000000006</c:v>
                </c:pt>
                <c:pt idx="223">
                  <c:v>1.4400000000000013</c:v>
                </c:pt>
                <c:pt idx="224">
                  <c:v>3.0700000000000021</c:v>
                </c:pt>
                <c:pt idx="225">
                  <c:v>3.0700000000000021</c:v>
                </c:pt>
                <c:pt idx="226">
                  <c:v>1.3800000000000008</c:v>
                </c:pt>
                <c:pt idx="227">
                  <c:v>1.25</c:v>
                </c:pt>
                <c:pt idx="228">
                  <c:v>2.6500000000000004</c:v>
                </c:pt>
                <c:pt idx="229">
                  <c:v>2.25</c:v>
                </c:pt>
                <c:pt idx="230">
                  <c:v>1.25</c:v>
                </c:pt>
                <c:pt idx="231">
                  <c:v>2.6199999999999992</c:v>
                </c:pt>
                <c:pt idx="232">
                  <c:v>2.0199999999999996</c:v>
                </c:pt>
                <c:pt idx="233">
                  <c:v>2.3699999999999992</c:v>
                </c:pt>
                <c:pt idx="234">
                  <c:v>1.6199999999999992</c:v>
                </c:pt>
                <c:pt idx="235">
                  <c:v>2.5199999999999996</c:v>
                </c:pt>
                <c:pt idx="236">
                  <c:v>2.1199999999999992</c:v>
                </c:pt>
                <c:pt idx="237">
                  <c:v>2.0099999999999998</c:v>
                </c:pt>
                <c:pt idx="238">
                  <c:v>2.3800000000000008</c:v>
                </c:pt>
                <c:pt idx="239">
                  <c:v>1.0999999999999996</c:v>
                </c:pt>
                <c:pt idx="240">
                  <c:v>2.5999999999999996</c:v>
                </c:pt>
                <c:pt idx="241">
                  <c:v>2.0999999999999996</c:v>
                </c:pt>
                <c:pt idx="242">
                  <c:v>1.7999999999999989</c:v>
                </c:pt>
                <c:pt idx="243">
                  <c:v>2.4299999999999997</c:v>
                </c:pt>
                <c:pt idx="244">
                  <c:v>2.08</c:v>
                </c:pt>
                <c:pt idx="245">
                  <c:v>-0.78000000000000114</c:v>
                </c:pt>
                <c:pt idx="246">
                  <c:v>0.86999999999999922</c:v>
                </c:pt>
                <c:pt idx="247">
                  <c:v>0.26999999999999957</c:v>
                </c:pt>
                <c:pt idx="248">
                  <c:v>1.3699999999999992</c:v>
                </c:pt>
                <c:pt idx="249">
                  <c:v>1.1199999999999992</c:v>
                </c:pt>
                <c:pt idx="250">
                  <c:v>0.23000000000000043</c:v>
                </c:pt>
                <c:pt idx="251">
                  <c:v>-3.9999999999999147E-2</c:v>
                </c:pt>
                <c:pt idx="252">
                  <c:v>-0.21999999999999886</c:v>
                </c:pt>
                <c:pt idx="253">
                  <c:v>-0.33999999999999986</c:v>
                </c:pt>
                <c:pt idx="254">
                  <c:v>-0.10999999999999943</c:v>
                </c:pt>
                <c:pt idx="255">
                  <c:v>0.74000000000000021</c:v>
                </c:pt>
                <c:pt idx="256">
                  <c:v>1.0400000000000009</c:v>
                </c:pt>
                <c:pt idx="257">
                  <c:v>0.74000000000000021</c:v>
                </c:pt>
                <c:pt idx="258">
                  <c:v>1.8200000000000003</c:v>
                </c:pt>
                <c:pt idx="259">
                  <c:v>0.37000000000000099</c:v>
                </c:pt>
                <c:pt idx="260">
                  <c:v>0.32000000000000028</c:v>
                </c:pt>
                <c:pt idx="261">
                  <c:v>1.0700000000000003</c:v>
                </c:pt>
                <c:pt idx="262">
                  <c:v>0.8100000000000005</c:v>
                </c:pt>
                <c:pt idx="263">
                  <c:v>1.3100000000000005</c:v>
                </c:pt>
                <c:pt idx="264">
                  <c:v>2.09</c:v>
                </c:pt>
                <c:pt idx="265">
                  <c:v>1.67</c:v>
                </c:pt>
                <c:pt idx="266">
                  <c:v>1.75</c:v>
                </c:pt>
                <c:pt idx="267">
                  <c:v>1.75</c:v>
                </c:pt>
                <c:pt idx="268">
                  <c:v>2.5</c:v>
                </c:pt>
                <c:pt idx="269">
                  <c:v>2.75</c:v>
                </c:pt>
                <c:pt idx="270">
                  <c:v>1.6799999999999997</c:v>
                </c:pt>
                <c:pt idx="271">
                  <c:v>1.7799999999999994</c:v>
                </c:pt>
                <c:pt idx="272">
                  <c:v>2.0099999999999998</c:v>
                </c:pt>
                <c:pt idx="273">
                  <c:v>1.5099999999999998</c:v>
                </c:pt>
                <c:pt idx="274">
                  <c:v>1.8699999999999992</c:v>
                </c:pt>
                <c:pt idx="275">
                  <c:v>2.5099999999999998</c:v>
                </c:pt>
                <c:pt idx="276">
                  <c:v>2.4700000000000006</c:v>
                </c:pt>
                <c:pt idx="277">
                  <c:v>1.8999999999999986</c:v>
                </c:pt>
                <c:pt idx="278">
                  <c:v>2.16</c:v>
                </c:pt>
                <c:pt idx="279">
                  <c:v>1.6500000000000004</c:v>
                </c:pt>
                <c:pt idx="280">
                  <c:v>1.83</c:v>
                </c:pt>
                <c:pt idx="281">
                  <c:v>2.3599999999999994</c:v>
                </c:pt>
                <c:pt idx="282">
                  <c:v>2.4399999999999995</c:v>
                </c:pt>
                <c:pt idx="283">
                  <c:v>3.16</c:v>
                </c:pt>
                <c:pt idx="284">
                  <c:v>2.3599999999999994</c:v>
                </c:pt>
                <c:pt idx="285">
                  <c:v>2.3599999999999994</c:v>
                </c:pt>
                <c:pt idx="286">
                  <c:v>1.6600000000000001</c:v>
                </c:pt>
                <c:pt idx="287">
                  <c:v>3.1199999999999992</c:v>
                </c:pt>
                <c:pt idx="288">
                  <c:v>0.80999999999999872</c:v>
                </c:pt>
                <c:pt idx="289">
                  <c:v>2.8900000000000006</c:v>
                </c:pt>
                <c:pt idx="290">
                  <c:v>1.2900000000000009</c:v>
                </c:pt>
                <c:pt idx="291">
                  <c:v>-9.9999999999997868E-3</c:v>
                </c:pt>
                <c:pt idx="292">
                  <c:v>2.8900000000000006</c:v>
                </c:pt>
                <c:pt idx="293">
                  <c:v>3.49</c:v>
                </c:pt>
                <c:pt idx="294">
                  <c:v>3.49</c:v>
                </c:pt>
                <c:pt idx="295">
                  <c:v>3.370000000000001</c:v>
                </c:pt>
                <c:pt idx="296">
                  <c:v>2.99</c:v>
                </c:pt>
                <c:pt idx="297">
                  <c:v>2.4900000000000002</c:v>
                </c:pt>
                <c:pt idx="298">
                  <c:v>3.49</c:v>
                </c:pt>
                <c:pt idx="299">
                  <c:v>1.4900000000000002</c:v>
                </c:pt>
                <c:pt idx="300">
                  <c:v>4.1899999999999995</c:v>
                </c:pt>
                <c:pt idx="301">
                  <c:v>3.1999999999999993</c:v>
                </c:pt>
                <c:pt idx="302">
                  <c:v>2.58</c:v>
                </c:pt>
                <c:pt idx="303">
                  <c:v>3.5</c:v>
                </c:pt>
                <c:pt idx="304">
                  <c:v>4.8699999999999992</c:v>
                </c:pt>
                <c:pt idx="305">
                  <c:v>4.7699999999999996</c:v>
                </c:pt>
                <c:pt idx="306">
                  <c:v>3.8699999999999992</c:v>
                </c:pt>
                <c:pt idx="307">
                  <c:v>4.8699999999999992</c:v>
                </c:pt>
                <c:pt idx="308">
                  <c:v>4.42</c:v>
                </c:pt>
                <c:pt idx="309">
                  <c:v>2.3100000000000005</c:v>
                </c:pt>
                <c:pt idx="310">
                  <c:v>3.0299999999999994</c:v>
                </c:pt>
                <c:pt idx="311">
                  <c:v>3.6500000000000004</c:v>
                </c:pt>
                <c:pt idx="312">
                  <c:v>3.8499999999999996</c:v>
                </c:pt>
                <c:pt idx="313">
                  <c:v>3.9500000000000011</c:v>
                </c:pt>
                <c:pt idx="314">
                  <c:v>3.4399999999999995</c:v>
                </c:pt>
                <c:pt idx="315">
                  <c:v>3.5</c:v>
                </c:pt>
                <c:pt idx="316">
                  <c:v>4.25</c:v>
                </c:pt>
                <c:pt idx="317">
                  <c:v>4.5</c:v>
                </c:pt>
                <c:pt idx="318">
                  <c:v>4.2200000000000006</c:v>
                </c:pt>
                <c:pt idx="319">
                  <c:v>3.620000000000001</c:v>
                </c:pt>
                <c:pt idx="320">
                  <c:v>4.5100000000000016</c:v>
                </c:pt>
                <c:pt idx="321">
                  <c:v>4.6100000000000012</c:v>
                </c:pt>
                <c:pt idx="322">
                  <c:v>3.6300000000000008</c:v>
                </c:pt>
                <c:pt idx="323">
                  <c:v>3.0400000000000009</c:v>
                </c:pt>
                <c:pt idx="324">
                  <c:v>3.4800000000000004</c:v>
                </c:pt>
                <c:pt idx="325">
                  <c:v>3.0600000000000005</c:v>
                </c:pt>
                <c:pt idx="326">
                  <c:v>3.1999999999999993</c:v>
                </c:pt>
                <c:pt idx="327">
                  <c:v>3.92</c:v>
                </c:pt>
                <c:pt idx="328">
                  <c:v>4.1500000000000004</c:v>
                </c:pt>
                <c:pt idx="329">
                  <c:v>3.33</c:v>
                </c:pt>
                <c:pt idx="330">
                  <c:v>2.7300000000000004</c:v>
                </c:pt>
                <c:pt idx="331">
                  <c:v>3.0300000000000011</c:v>
                </c:pt>
                <c:pt idx="332">
                  <c:v>2.5600000000000005</c:v>
                </c:pt>
                <c:pt idx="333">
                  <c:v>1.8000000000000007</c:v>
                </c:pt>
                <c:pt idx="334">
                  <c:v>1.42</c:v>
                </c:pt>
                <c:pt idx="335">
                  <c:v>1.5700000000000003</c:v>
                </c:pt>
                <c:pt idx="336">
                  <c:v>1.1400000000000006</c:v>
                </c:pt>
                <c:pt idx="337">
                  <c:v>1.1799999999999997</c:v>
                </c:pt>
                <c:pt idx="338">
                  <c:v>2.4299999999999997</c:v>
                </c:pt>
                <c:pt idx="339">
                  <c:v>2.2100000000000009</c:v>
                </c:pt>
                <c:pt idx="340">
                  <c:v>1.8100000000000005</c:v>
                </c:pt>
                <c:pt idx="341">
                  <c:v>2.2599999999999998</c:v>
                </c:pt>
                <c:pt idx="342">
                  <c:v>1.6600000000000001</c:v>
                </c:pt>
                <c:pt idx="343">
                  <c:v>2.66</c:v>
                </c:pt>
                <c:pt idx="344">
                  <c:v>2.9800000000000004</c:v>
                </c:pt>
                <c:pt idx="345">
                  <c:v>0.93000000000000149</c:v>
                </c:pt>
                <c:pt idx="346">
                  <c:v>0.71000000000000085</c:v>
                </c:pt>
                <c:pt idx="347">
                  <c:v>1.9600000000000009</c:v>
                </c:pt>
                <c:pt idx="348">
                  <c:v>1.2100000000000009</c:v>
                </c:pt>
                <c:pt idx="349">
                  <c:v>1.1899999999999995</c:v>
                </c:pt>
                <c:pt idx="350">
                  <c:v>2.59</c:v>
                </c:pt>
                <c:pt idx="351">
                  <c:v>1.9299999999999997</c:v>
                </c:pt>
                <c:pt idx="352">
                  <c:v>1.7300000000000004</c:v>
                </c:pt>
                <c:pt idx="353">
                  <c:v>1.2300000000000004</c:v>
                </c:pt>
                <c:pt idx="354">
                  <c:v>2.4800000000000004</c:v>
                </c:pt>
                <c:pt idx="355">
                  <c:v>2.08</c:v>
                </c:pt>
                <c:pt idx="356">
                  <c:v>1.9299999999999997</c:v>
                </c:pt>
                <c:pt idx="357">
                  <c:v>2.1300000000000008</c:v>
                </c:pt>
                <c:pt idx="358">
                  <c:v>2.83</c:v>
                </c:pt>
                <c:pt idx="359">
                  <c:v>2.2799999999999994</c:v>
                </c:pt>
                <c:pt idx="360">
                  <c:v>2.33</c:v>
                </c:pt>
                <c:pt idx="361">
                  <c:v>2.0199999999999996</c:v>
                </c:pt>
                <c:pt idx="362">
                  <c:v>2.7699999999999996</c:v>
                </c:pt>
                <c:pt idx="363">
                  <c:v>3.1099999999999994</c:v>
                </c:pt>
                <c:pt idx="364">
                  <c:v>3.01</c:v>
                </c:pt>
                <c:pt idx="365">
                  <c:v>3.6099999999999994</c:v>
                </c:pt>
                <c:pt idx="366">
                  <c:v>2.5499999999999989</c:v>
                </c:pt>
                <c:pt idx="367">
                  <c:v>2.9499999999999993</c:v>
                </c:pt>
                <c:pt idx="368">
                  <c:v>3.3199999999999985</c:v>
                </c:pt>
                <c:pt idx="369">
                  <c:v>2.76</c:v>
                </c:pt>
                <c:pt idx="370">
                  <c:v>3.3100000000000005</c:v>
                </c:pt>
                <c:pt idx="371">
                  <c:v>1.8000000000000007</c:v>
                </c:pt>
                <c:pt idx="372">
                  <c:v>2.84</c:v>
                </c:pt>
                <c:pt idx="373">
                  <c:v>3.24</c:v>
                </c:pt>
                <c:pt idx="374">
                  <c:v>3.49</c:v>
                </c:pt>
                <c:pt idx="375">
                  <c:v>2.83</c:v>
                </c:pt>
                <c:pt idx="376">
                  <c:v>4.0199999999999996</c:v>
                </c:pt>
                <c:pt idx="377">
                  <c:v>3.6199999999999992</c:v>
                </c:pt>
                <c:pt idx="378">
                  <c:v>3.42</c:v>
                </c:pt>
                <c:pt idx="379">
                  <c:v>3.2100000000000009</c:v>
                </c:pt>
                <c:pt idx="380">
                  <c:v>3.7100000000000009</c:v>
                </c:pt>
                <c:pt idx="381">
                  <c:v>3.4800000000000004</c:v>
                </c:pt>
                <c:pt idx="382">
                  <c:v>3.3800000000000008</c:v>
                </c:pt>
                <c:pt idx="383">
                  <c:v>3.3800000000000008</c:v>
                </c:pt>
                <c:pt idx="384">
                  <c:v>3.2800000000000011</c:v>
                </c:pt>
                <c:pt idx="385">
                  <c:v>2.9800000000000004</c:v>
                </c:pt>
                <c:pt idx="386">
                  <c:v>3.4800000000000004</c:v>
                </c:pt>
                <c:pt idx="387">
                  <c:v>3.0700000000000003</c:v>
                </c:pt>
                <c:pt idx="388">
                  <c:v>2.67</c:v>
                </c:pt>
                <c:pt idx="389">
                  <c:v>3.0400000000000009</c:v>
                </c:pt>
                <c:pt idx="390">
                  <c:v>3.24</c:v>
                </c:pt>
                <c:pt idx="391">
                  <c:v>2.4399999999999995</c:v>
                </c:pt>
                <c:pt idx="392">
                  <c:v>2.5999999999999996</c:v>
                </c:pt>
                <c:pt idx="393">
                  <c:v>3.1899999999999995</c:v>
                </c:pt>
                <c:pt idx="394">
                  <c:v>2.8900000000000006</c:v>
                </c:pt>
                <c:pt idx="395">
                  <c:v>3.24</c:v>
                </c:pt>
                <c:pt idx="396">
                  <c:v>2.09</c:v>
                </c:pt>
                <c:pt idx="397">
                  <c:v>1.8899999999999988</c:v>
                </c:pt>
                <c:pt idx="398">
                  <c:v>2.74</c:v>
                </c:pt>
                <c:pt idx="399">
                  <c:v>2.74</c:v>
                </c:pt>
                <c:pt idx="400">
                  <c:v>2.74</c:v>
                </c:pt>
                <c:pt idx="401">
                  <c:v>2.8499999999999996</c:v>
                </c:pt>
                <c:pt idx="402">
                  <c:v>2.5999999999999996</c:v>
                </c:pt>
                <c:pt idx="403">
                  <c:v>3.0999999999999996</c:v>
                </c:pt>
                <c:pt idx="404">
                  <c:v>3.1300000000000008</c:v>
                </c:pt>
                <c:pt idx="405">
                  <c:v>2.4399999999999995</c:v>
                </c:pt>
                <c:pt idx="406">
                  <c:v>2.0399999999999991</c:v>
                </c:pt>
                <c:pt idx="407">
                  <c:v>2.6899999999999995</c:v>
                </c:pt>
                <c:pt idx="408">
                  <c:v>2.6899999999999995</c:v>
                </c:pt>
                <c:pt idx="409">
                  <c:v>3.1899999999999995</c:v>
                </c:pt>
                <c:pt idx="410">
                  <c:v>2.59</c:v>
                </c:pt>
                <c:pt idx="411">
                  <c:v>3.6899999999999995</c:v>
                </c:pt>
                <c:pt idx="412">
                  <c:v>3.09</c:v>
                </c:pt>
                <c:pt idx="413">
                  <c:v>2.59</c:v>
                </c:pt>
                <c:pt idx="414">
                  <c:v>3.5199999999999996</c:v>
                </c:pt>
                <c:pt idx="415">
                  <c:v>1.9699999999999989</c:v>
                </c:pt>
                <c:pt idx="416">
                  <c:v>3.09</c:v>
                </c:pt>
                <c:pt idx="417">
                  <c:v>2.2699999999999996</c:v>
                </c:pt>
                <c:pt idx="418">
                  <c:v>2.2699999999999996</c:v>
                </c:pt>
                <c:pt idx="419">
                  <c:v>2.7200000000000006</c:v>
                </c:pt>
                <c:pt idx="420">
                  <c:v>2.5199999999999996</c:v>
                </c:pt>
                <c:pt idx="421">
                  <c:v>2.6999999999999993</c:v>
                </c:pt>
                <c:pt idx="422">
                  <c:v>3.75</c:v>
                </c:pt>
                <c:pt idx="423">
                  <c:v>1.9900000000000002</c:v>
                </c:pt>
                <c:pt idx="424">
                  <c:v>4.2300000000000004</c:v>
                </c:pt>
                <c:pt idx="425">
                  <c:v>3.58</c:v>
                </c:pt>
                <c:pt idx="426">
                  <c:v>2.8800000000000008</c:v>
                </c:pt>
                <c:pt idx="427">
                  <c:v>2.4800000000000004</c:v>
                </c:pt>
                <c:pt idx="428">
                  <c:v>3.58</c:v>
                </c:pt>
                <c:pt idx="429">
                  <c:v>3.75</c:v>
                </c:pt>
                <c:pt idx="430">
                  <c:v>3.5499999999999989</c:v>
                </c:pt>
                <c:pt idx="431">
                  <c:v>3.0499999999999989</c:v>
                </c:pt>
                <c:pt idx="432">
                  <c:v>3.9399999999999995</c:v>
                </c:pt>
                <c:pt idx="433">
                  <c:v>3.0999999999999996</c:v>
                </c:pt>
                <c:pt idx="434">
                  <c:v>2.92</c:v>
                </c:pt>
                <c:pt idx="435">
                  <c:v>3.5700000000000003</c:v>
                </c:pt>
                <c:pt idx="436">
                  <c:v>3.8200000000000003</c:v>
                </c:pt>
                <c:pt idx="437">
                  <c:v>2.1199999999999992</c:v>
                </c:pt>
                <c:pt idx="438">
                  <c:v>2.41</c:v>
                </c:pt>
                <c:pt idx="439">
                  <c:v>3.8499999999999996</c:v>
                </c:pt>
                <c:pt idx="440">
                  <c:v>3.16</c:v>
                </c:pt>
                <c:pt idx="441">
                  <c:v>3.8100000000000005</c:v>
                </c:pt>
                <c:pt idx="442">
                  <c:v>4.3100000000000005</c:v>
                </c:pt>
                <c:pt idx="443">
                  <c:v>4.34</c:v>
                </c:pt>
                <c:pt idx="444">
                  <c:v>2.99</c:v>
                </c:pt>
                <c:pt idx="445">
                  <c:v>3.4700000000000006</c:v>
                </c:pt>
                <c:pt idx="446">
                  <c:v>2.4700000000000006</c:v>
                </c:pt>
                <c:pt idx="447">
                  <c:v>3.3200000000000003</c:v>
                </c:pt>
                <c:pt idx="448">
                  <c:v>3.2699999999999996</c:v>
                </c:pt>
                <c:pt idx="449">
                  <c:v>3.7699999999999996</c:v>
                </c:pt>
                <c:pt idx="450">
                  <c:v>3.67</c:v>
                </c:pt>
                <c:pt idx="451">
                  <c:v>3.3699999999999992</c:v>
                </c:pt>
                <c:pt idx="452">
                  <c:v>3.3699999999999992</c:v>
                </c:pt>
                <c:pt idx="453">
                  <c:v>3.8499999999999996</c:v>
                </c:pt>
                <c:pt idx="454">
                  <c:v>4.18</c:v>
                </c:pt>
                <c:pt idx="455">
                  <c:v>3.6799999999999997</c:v>
                </c:pt>
                <c:pt idx="456">
                  <c:v>3.8899999999999997</c:v>
                </c:pt>
                <c:pt idx="457">
                  <c:v>4.0199999999999996</c:v>
                </c:pt>
                <c:pt idx="458">
                  <c:v>3.74</c:v>
                </c:pt>
                <c:pt idx="459">
                  <c:v>2.99</c:v>
                </c:pt>
                <c:pt idx="460">
                  <c:v>4.3600000000000003</c:v>
                </c:pt>
                <c:pt idx="461">
                  <c:v>3.9300000000000006</c:v>
                </c:pt>
                <c:pt idx="462">
                  <c:v>3.71</c:v>
                </c:pt>
                <c:pt idx="463">
                  <c:v>3.2300000000000004</c:v>
                </c:pt>
                <c:pt idx="464">
                  <c:v>3.7300000000000004</c:v>
                </c:pt>
                <c:pt idx="465">
                  <c:v>4.33</c:v>
                </c:pt>
                <c:pt idx="466">
                  <c:v>4.2300000000000004</c:v>
                </c:pt>
                <c:pt idx="467">
                  <c:v>3.9299999999999997</c:v>
                </c:pt>
                <c:pt idx="468">
                  <c:v>4.71</c:v>
                </c:pt>
                <c:pt idx="469">
                  <c:v>4.5100000000000007</c:v>
                </c:pt>
                <c:pt idx="470">
                  <c:v>4.46</c:v>
                </c:pt>
                <c:pt idx="471">
                  <c:v>4.21</c:v>
                </c:pt>
                <c:pt idx="472">
                  <c:v>3.1599999999999993</c:v>
                </c:pt>
                <c:pt idx="473">
                  <c:v>3.0599999999999996</c:v>
                </c:pt>
                <c:pt idx="474">
                  <c:v>4.7600000000000007</c:v>
                </c:pt>
                <c:pt idx="475">
                  <c:v>5.47</c:v>
                </c:pt>
                <c:pt idx="476">
                  <c:v>3.9699999999999998</c:v>
                </c:pt>
                <c:pt idx="477">
                  <c:v>3.919999999999999</c:v>
                </c:pt>
                <c:pt idx="478">
                  <c:v>3.3199999999999994</c:v>
                </c:pt>
                <c:pt idx="479">
                  <c:v>4.0200000000000005</c:v>
                </c:pt>
                <c:pt idx="480">
                  <c:v>3.7199999999999998</c:v>
                </c:pt>
                <c:pt idx="481">
                  <c:v>3.7199999999999998</c:v>
                </c:pt>
                <c:pt idx="482">
                  <c:v>3.0600000000000005</c:v>
                </c:pt>
                <c:pt idx="483">
                  <c:v>3.3599999999999994</c:v>
                </c:pt>
                <c:pt idx="484">
                  <c:v>3.79</c:v>
                </c:pt>
                <c:pt idx="485">
                  <c:v>3.17</c:v>
                </c:pt>
                <c:pt idx="486">
                  <c:v>2.17</c:v>
                </c:pt>
                <c:pt idx="487">
                  <c:v>2.3899999999999988</c:v>
                </c:pt>
                <c:pt idx="488">
                  <c:v>3.4599999999999991</c:v>
                </c:pt>
                <c:pt idx="489">
                  <c:v>3.2699999999999996</c:v>
                </c:pt>
                <c:pt idx="490">
                  <c:v>2.1500000000000004</c:v>
                </c:pt>
                <c:pt idx="491">
                  <c:v>2.8499999999999996</c:v>
                </c:pt>
                <c:pt idx="492">
                  <c:v>2.6500000000000004</c:v>
                </c:pt>
                <c:pt idx="493">
                  <c:v>2.9700000000000006</c:v>
                </c:pt>
                <c:pt idx="494">
                  <c:v>2.6099999999999994</c:v>
                </c:pt>
                <c:pt idx="495">
                  <c:v>2.6300000000000008</c:v>
                </c:pt>
                <c:pt idx="496">
                  <c:v>3.6100000000000003</c:v>
                </c:pt>
                <c:pt idx="497">
                  <c:v>2.5600000000000005</c:v>
                </c:pt>
                <c:pt idx="498">
                  <c:v>3.66</c:v>
                </c:pt>
                <c:pt idx="499">
                  <c:v>2.92</c:v>
                </c:pt>
                <c:pt idx="500">
                  <c:v>4.88</c:v>
                </c:pt>
                <c:pt idx="501">
                  <c:v>3.6800000000000006</c:v>
                </c:pt>
                <c:pt idx="502">
                  <c:v>3.4799999999999995</c:v>
                </c:pt>
                <c:pt idx="503">
                  <c:v>3.4300000000000006</c:v>
                </c:pt>
                <c:pt idx="504">
                  <c:v>3.9300000000000006</c:v>
                </c:pt>
                <c:pt idx="505">
                  <c:v>6.13</c:v>
                </c:pt>
                <c:pt idx="506">
                  <c:v>3.830000000000001</c:v>
                </c:pt>
                <c:pt idx="507">
                  <c:v>4.1599999999999993</c:v>
                </c:pt>
                <c:pt idx="508">
                  <c:v>4.0500000000000007</c:v>
                </c:pt>
                <c:pt idx="509">
                  <c:v>4.3899999999999997</c:v>
                </c:pt>
                <c:pt idx="510">
                  <c:v>3.7800000000000011</c:v>
                </c:pt>
                <c:pt idx="511">
                  <c:v>2.7800000000000002</c:v>
                </c:pt>
                <c:pt idx="512">
                  <c:v>3.2800000000000002</c:v>
                </c:pt>
                <c:pt idx="513">
                  <c:v>2.16</c:v>
                </c:pt>
                <c:pt idx="514">
                  <c:v>3.2800000000000011</c:v>
                </c:pt>
                <c:pt idx="515">
                  <c:v>3.5200000000000005</c:v>
                </c:pt>
                <c:pt idx="516">
                  <c:v>3.5200000000000005</c:v>
                </c:pt>
                <c:pt idx="517">
                  <c:v>3.2199999999999998</c:v>
                </c:pt>
                <c:pt idx="518">
                  <c:v>4.1800000000000006</c:v>
                </c:pt>
                <c:pt idx="519">
                  <c:v>4</c:v>
                </c:pt>
                <c:pt idx="520">
                  <c:v>3.7300000000000004</c:v>
                </c:pt>
                <c:pt idx="521">
                  <c:v>3.6799999999999997</c:v>
                </c:pt>
                <c:pt idx="522">
                  <c:v>4.2300000000000004</c:v>
                </c:pt>
                <c:pt idx="523">
                  <c:v>3.4299999999999997</c:v>
                </c:pt>
                <c:pt idx="524">
                  <c:v>4.0300000000000011</c:v>
                </c:pt>
                <c:pt idx="525">
                  <c:v>3.1100000000000003</c:v>
                </c:pt>
                <c:pt idx="526">
                  <c:v>3.8299999999999992</c:v>
                </c:pt>
                <c:pt idx="527">
                  <c:v>4.28</c:v>
                </c:pt>
                <c:pt idx="528">
                  <c:v>3.74</c:v>
                </c:pt>
                <c:pt idx="529">
                  <c:v>5.0399999999999991</c:v>
                </c:pt>
                <c:pt idx="530">
                  <c:v>3.84</c:v>
                </c:pt>
                <c:pt idx="531">
                  <c:v>3.91</c:v>
                </c:pt>
                <c:pt idx="532">
                  <c:v>4.9000000000000004</c:v>
                </c:pt>
                <c:pt idx="533">
                  <c:v>4.0600000000000005</c:v>
                </c:pt>
                <c:pt idx="534">
                  <c:v>4.46</c:v>
                </c:pt>
                <c:pt idx="535">
                  <c:v>5.2399999999999993</c:v>
                </c:pt>
                <c:pt idx="536">
                  <c:v>5.0599999999999996</c:v>
                </c:pt>
                <c:pt idx="537">
                  <c:v>4.1800000000000006</c:v>
                </c:pt>
                <c:pt idx="538">
                  <c:v>3.6800000000000006</c:v>
                </c:pt>
                <c:pt idx="539">
                  <c:v>3.6800000000000006</c:v>
                </c:pt>
                <c:pt idx="540">
                  <c:v>4.04</c:v>
                </c:pt>
                <c:pt idx="541">
                  <c:v>2.3200000000000003</c:v>
                </c:pt>
                <c:pt idx="542">
                  <c:v>2.4399999999999995</c:v>
                </c:pt>
                <c:pt idx="543">
                  <c:v>2.5900000000000016</c:v>
                </c:pt>
                <c:pt idx="544">
                  <c:v>2.25</c:v>
                </c:pt>
                <c:pt idx="545">
                  <c:v>2.5200000000000014</c:v>
                </c:pt>
                <c:pt idx="546">
                  <c:v>2.3600000000000012</c:v>
                </c:pt>
                <c:pt idx="547">
                  <c:v>2.6799999999999997</c:v>
                </c:pt>
                <c:pt idx="548">
                  <c:v>3.8199999999999985</c:v>
                </c:pt>
                <c:pt idx="549">
                  <c:v>2.6199999999999992</c:v>
                </c:pt>
                <c:pt idx="550">
                  <c:v>3.1199999999999992</c:v>
                </c:pt>
                <c:pt idx="551">
                  <c:v>3.0299999999999994</c:v>
                </c:pt>
                <c:pt idx="552">
                  <c:v>4.76</c:v>
                </c:pt>
                <c:pt idx="553">
                  <c:v>3.9599999999999991</c:v>
                </c:pt>
                <c:pt idx="554">
                  <c:v>3.6399999999999997</c:v>
                </c:pt>
                <c:pt idx="555">
                  <c:v>3.51</c:v>
                </c:pt>
                <c:pt idx="556">
                  <c:v>3.08</c:v>
                </c:pt>
                <c:pt idx="557">
                  <c:v>3.29</c:v>
                </c:pt>
                <c:pt idx="558">
                  <c:v>3.17</c:v>
                </c:pt>
                <c:pt idx="559">
                  <c:v>3.17</c:v>
                </c:pt>
                <c:pt idx="560">
                  <c:v>3.26</c:v>
                </c:pt>
                <c:pt idx="561">
                  <c:v>4.7700000000000005</c:v>
                </c:pt>
                <c:pt idx="562">
                  <c:v>3.879999999999999</c:v>
                </c:pt>
                <c:pt idx="563">
                  <c:v>4.9800000000000004</c:v>
                </c:pt>
                <c:pt idx="564">
                  <c:v>3.51</c:v>
                </c:pt>
                <c:pt idx="565">
                  <c:v>5.51</c:v>
                </c:pt>
                <c:pt idx="566">
                  <c:v>4.3100000000000005</c:v>
                </c:pt>
                <c:pt idx="567">
                  <c:v>4.0599999999999996</c:v>
                </c:pt>
                <c:pt idx="568">
                  <c:v>5.2400000000000011</c:v>
                </c:pt>
                <c:pt idx="569">
                  <c:v>2.9000000000000012</c:v>
                </c:pt>
                <c:pt idx="570">
                  <c:v>5.07</c:v>
                </c:pt>
                <c:pt idx="571">
                  <c:v>5.07</c:v>
                </c:pt>
                <c:pt idx="572">
                  <c:v>4.4000000000000004</c:v>
                </c:pt>
                <c:pt idx="573">
                  <c:v>3.9599999999999991</c:v>
                </c:pt>
                <c:pt idx="574">
                  <c:v>4.1300000000000008</c:v>
                </c:pt>
                <c:pt idx="575">
                  <c:v>3.8800000000000008</c:v>
                </c:pt>
                <c:pt idx="576">
                  <c:v>4.17</c:v>
                </c:pt>
                <c:pt idx="577">
                  <c:v>3.6199999999999992</c:v>
                </c:pt>
                <c:pt idx="578">
                  <c:v>4.0199999999999996</c:v>
                </c:pt>
                <c:pt idx="579">
                  <c:v>4.13</c:v>
                </c:pt>
                <c:pt idx="580">
                  <c:v>5.63</c:v>
                </c:pt>
                <c:pt idx="581">
                  <c:v>5.63</c:v>
                </c:pt>
                <c:pt idx="582">
                  <c:v>5.63</c:v>
                </c:pt>
                <c:pt idx="583">
                  <c:v>4.97</c:v>
                </c:pt>
                <c:pt idx="584">
                  <c:v>4.75</c:v>
                </c:pt>
                <c:pt idx="585">
                  <c:v>4.75</c:v>
                </c:pt>
                <c:pt idx="586">
                  <c:v>3.67</c:v>
                </c:pt>
                <c:pt idx="587">
                  <c:v>4.2300000000000004</c:v>
                </c:pt>
                <c:pt idx="588">
                  <c:v>4.2300000000000004</c:v>
                </c:pt>
                <c:pt idx="589">
                  <c:v>4.1300000000000008</c:v>
                </c:pt>
                <c:pt idx="590">
                  <c:v>4.3499999999999996</c:v>
                </c:pt>
                <c:pt idx="591">
                  <c:v>4.2199999999999989</c:v>
                </c:pt>
                <c:pt idx="592">
                  <c:v>5.54</c:v>
                </c:pt>
                <c:pt idx="593">
                  <c:v>5.54</c:v>
                </c:pt>
                <c:pt idx="594">
                  <c:v>4.5100000000000007</c:v>
                </c:pt>
                <c:pt idx="595">
                  <c:v>5.17</c:v>
                </c:pt>
                <c:pt idx="596">
                  <c:v>6.1</c:v>
                </c:pt>
                <c:pt idx="597">
                  <c:v>3.9399999999999995</c:v>
                </c:pt>
                <c:pt idx="598">
                  <c:v>5</c:v>
                </c:pt>
                <c:pt idx="599">
                  <c:v>4.1999999999999993</c:v>
                </c:pt>
                <c:pt idx="600">
                  <c:v>4.2300000000000004</c:v>
                </c:pt>
                <c:pt idx="601">
                  <c:v>3.9299999999999997</c:v>
                </c:pt>
                <c:pt idx="602">
                  <c:v>5.23</c:v>
                </c:pt>
                <c:pt idx="603">
                  <c:v>4.2500000000000009</c:v>
                </c:pt>
                <c:pt idx="604">
                  <c:v>5.12</c:v>
                </c:pt>
                <c:pt idx="605">
                  <c:v>5.12</c:v>
                </c:pt>
                <c:pt idx="606">
                  <c:v>4.3199999999999994</c:v>
                </c:pt>
                <c:pt idx="607">
                  <c:v>5.12</c:v>
                </c:pt>
                <c:pt idx="608">
                  <c:v>5.379999999999999</c:v>
                </c:pt>
                <c:pt idx="609">
                  <c:v>5.379999999999999</c:v>
                </c:pt>
                <c:pt idx="610">
                  <c:v>3.75</c:v>
                </c:pt>
                <c:pt idx="611">
                  <c:v>4.6199999999999992</c:v>
                </c:pt>
                <c:pt idx="612">
                  <c:v>3.5999999999999996</c:v>
                </c:pt>
                <c:pt idx="613">
                  <c:v>3.7100000000000009</c:v>
                </c:pt>
                <c:pt idx="614">
                  <c:v>5.0199999999999996</c:v>
                </c:pt>
                <c:pt idx="615">
                  <c:v>4.6000000000000005</c:v>
                </c:pt>
                <c:pt idx="616">
                  <c:v>5.1000000000000005</c:v>
                </c:pt>
                <c:pt idx="617">
                  <c:v>4.9900000000000011</c:v>
                </c:pt>
                <c:pt idx="618">
                  <c:v>4.5900000000000007</c:v>
                </c:pt>
                <c:pt idx="619">
                  <c:v>4.5999999999999996</c:v>
                </c:pt>
                <c:pt idx="620">
                  <c:v>4.0999999999999996</c:v>
                </c:pt>
                <c:pt idx="621">
                  <c:v>3.5399999999999991</c:v>
                </c:pt>
                <c:pt idx="622">
                  <c:v>4.1000000000000005</c:v>
                </c:pt>
                <c:pt idx="623">
                  <c:v>3.4600000000000009</c:v>
                </c:pt>
                <c:pt idx="624">
                  <c:v>3.8899999999999997</c:v>
                </c:pt>
                <c:pt idx="625">
                  <c:v>3.8899999999999997</c:v>
                </c:pt>
                <c:pt idx="626">
                  <c:v>4.6900000000000004</c:v>
                </c:pt>
                <c:pt idx="627">
                  <c:v>3.13</c:v>
                </c:pt>
                <c:pt idx="628">
                  <c:v>4.78</c:v>
                </c:pt>
                <c:pt idx="629">
                  <c:v>4.59</c:v>
                </c:pt>
                <c:pt idx="630">
                  <c:v>4.59</c:v>
                </c:pt>
                <c:pt idx="631">
                  <c:v>4.0299999999999994</c:v>
                </c:pt>
                <c:pt idx="632">
                  <c:v>3.83</c:v>
                </c:pt>
                <c:pt idx="633">
                  <c:v>3.7300000000000004</c:v>
                </c:pt>
                <c:pt idx="634">
                  <c:v>4.3299999999999992</c:v>
                </c:pt>
                <c:pt idx="635">
                  <c:v>4.3099999999999996</c:v>
                </c:pt>
                <c:pt idx="636">
                  <c:v>4.3099999999999996</c:v>
                </c:pt>
                <c:pt idx="637">
                  <c:v>4.3099999999999996</c:v>
                </c:pt>
                <c:pt idx="638">
                  <c:v>2.9400000000000004</c:v>
                </c:pt>
                <c:pt idx="639">
                  <c:v>2.4000000000000004</c:v>
                </c:pt>
                <c:pt idx="640">
                  <c:v>3.5100000000000007</c:v>
                </c:pt>
                <c:pt idx="641">
                  <c:v>3.87</c:v>
                </c:pt>
                <c:pt idx="642">
                  <c:v>4.33</c:v>
                </c:pt>
                <c:pt idx="643">
                  <c:v>3.0599999999999987</c:v>
                </c:pt>
                <c:pt idx="644">
                  <c:v>3.51</c:v>
                </c:pt>
                <c:pt idx="645">
                  <c:v>3.7200000000000006</c:v>
                </c:pt>
                <c:pt idx="646">
                  <c:v>2.8200000000000003</c:v>
                </c:pt>
                <c:pt idx="647">
                  <c:v>3.0599999999999996</c:v>
                </c:pt>
                <c:pt idx="648">
                  <c:v>4.62</c:v>
                </c:pt>
                <c:pt idx="649">
                  <c:v>4.62</c:v>
                </c:pt>
                <c:pt idx="650">
                  <c:v>4.419999999999999</c:v>
                </c:pt>
                <c:pt idx="651">
                  <c:v>3.8999999999999995</c:v>
                </c:pt>
                <c:pt idx="652">
                  <c:v>4.8600000000000003</c:v>
                </c:pt>
                <c:pt idx="653">
                  <c:v>4.7600000000000007</c:v>
                </c:pt>
                <c:pt idx="654">
                  <c:v>4.7600000000000007</c:v>
                </c:pt>
                <c:pt idx="655">
                  <c:v>4.7600000000000007</c:v>
                </c:pt>
                <c:pt idx="656">
                  <c:v>4.5599999999999996</c:v>
                </c:pt>
                <c:pt idx="657">
                  <c:v>4.6000000000000005</c:v>
                </c:pt>
                <c:pt idx="658">
                  <c:v>4.54</c:v>
                </c:pt>
                <c:pt idx="659">
                  <c:v>4.4400000000000004</c:v>
                </c:pt>
                <c:pt idx="660">
                  <c:v>4.6100000000000003</c:v>
                </c:pt>
                <c:pt idx="661">
                  <c:v>4.21</c:v>
                </c:pt>
                <c:pt idx="662">
                  <c:v>4.7300000000000004</c:v>
                </c:pt>
                <c:pt idx="663">
                  <c:v>3.83</c:v>
                </c:pt>
                <c:pt idx="664">
                  <c:v>4.2600000000000007</c:v>
                </c:pt>
                <c:pt idx="665">
                  <c:v>4.8299999999999992</c:v>
                </c:pt>
                <c:pt idx="666">
                  <c:v>3.63</c:v>
                </c:pt>
                <c:pt idx="667">
                  <c:v>4.2299999999999995</c:v>
                </c:pt>
                <c:pt idx="668">
                  <c:v>3.5600000000000005</c:v>
                </c:pt>
                <c:pt idx="669">
                  <c:v>3.5600000000000005</c:v>
                </c:pt>
                <c:pt idx="670">
                  <c:v>3.3499999999999996</c:v>
                </c:pt>
                <c:pt idx="671">
                  <c:v>4.7400000000000011</c:v>
                </c:pt>
                <c:pt idx="672">
                  <c:v>4.2400000000000011</c:v>
                </c:pt>
                <c:pt idx="673">
                  <c:v>5.19</c:v>
                </c:pt>
                <c:pt idx="674">
                  <c:v>4.84</c:v>
                </c:pt>
                <c:pt idx="675">
                  <c:v>5.3900000000000006</c:v>
                </c:pt>
                <c:pt idx="676">
                  <c:v>4.74</c:v>
                </c:pt>
                <c:pt idx="677">
                  <c:v>4.74</c:v>
                </c:pt>
                <c:pt idx="678">
                  <c:v>5.74</c:v>
                </c:pt>
                <c:pt idx="679">
                  <c:v>4.99</c:v>
                </c:pt>
                <c:pt idx="680">
                  <c:v>4.4600000000000009</c:v>
                </c:pt>
                <c:pt idx="681">
                  <c:v>5.23</c:v>
                </c:pt>
                <c:pt idx="682">
                  <c:v>4.7299999999999995</c:v>
                </c:pt>
                <c:pt idx="683">
                  <c:v>4.55</c:v>
                </c:pt>
                <c:pt idx="684">
                  <c:v>4.9300000000000006</c:v>
                </c:pt>
                <c:pt idx="685">
                  <c:v>4.9300000000000006</c:v>
                </c:pt>
                <c:pt idx="686">
                  <c:v>3.7699999999999996</c:v>
                </c:pt>
                <c:pt idx="687">
                  <c:v>3.51</c:v>
                </c:pt>
                <c:pt idx="688">
                  <c:v>3.9399999999999995</c:v>
                </c:pt>
                <c:pt idx="689">
                  <c:v>5.1199999999999992</c:v>
                </c:pt>
                <c:pt idx="690">
                  <c:v>6.15</c:v>
                </c:pt>
                <c:pt idx="691">
                  <c:v>5.1999999999999993</c:v>
                </c:pt>
                <c:pt idx="692">
                  <c:v>5.1999999999999993</c:v>
                </c:pt>
                <c:pt idx="693">
                  <c:v>4.8100000000000005</c:v>
                </c:pt>
                <c:pt idx="694">
                  <c:v>5.27</c:v>
                </c:pt>
                <c:pt idx="695">
                  <c:v>5.32</c:v>
                </c:pt>
                <c:pt idx="696">
                  <c:v>5.1999999999999993</c:v>
                </c:pt>
                <c:pt idx="697">
                  <c:v>5.2999999999999989</c:v>
                </c:pt>
                <c:pt idx="698">
                  <c:v>6.2</c:v>
                </c:pt>
                <c:pt idx="699">
                  <c:v>5.48</c:v>
                </c:pt>
                <c:pt idx="700">
                  <c:v>5.98</c:v>
                </c:pt>
                <c:pt idx="701">
                  <c:v>5.8800000000000008</c:v>
                </c:pt>
                <c:pt idx="702">
                  <c:v>5.2800000000000011</c:v>
                </c:pt>
                <c:pt idx="703">
                  <c:v>5.43</c:v>
                </c:pt>
                <c:pt idx="704">
                  <c:v>6.2800000000000011</c:v>
                </c:pt>
                <c:pt idx="705">
                  <c:v>6.59</c:v>
                </c:pt>
                <c:pt idx="706">
                  <c:v>6.49</c:v>
                </c:pt>
                <c:pt idx="707">
                  <c:v>6.59</c:v>
                </c:pt>
                <c:pt idx="708">
                  <c:v>6.5600000000000005</c:v>
                </c:pt>
                <c:pt idx="709">
                  <c:v>6.4600000000000009</c:v>
                </c:pt>
                <c:pt idx="710">
                  <c:v>6.26</c:v>
                </c:pt>
                <c:pt idx="711">
                  <c:v>5.4499999999999993</c:v>
                </c:pt>
                <c:pt idx="712">
                  <c:v>5.05</c:v>
                </c:pt>
                <c:pt idx="713">
                  <c:v>5.1099999999999994</c:v>
                </c:pt>
                <c:pt idx="714">
                  <c:v>5.1099999999999994</c:v>
                </c:pt>
                <c:pt idx="715">
                  <c:v>4.8699999999999992</c:v>
                </c:pt>
                <c:pt idx="716">
                  <c:v>5.3999999999999995</c:v>
                </c:pt>
                <c:pt idx="717">
                  <c:v>4.8</c:v>
                </c:pt>
                <c:pt idx="718">
                  <c:v>5.4999999999999991</c:v>
                </c:pt>
                <c:pt idx="719">
                  <c:v>4.8999999999999995</c:v>
                </c:pt>
                <c:pt idx="720">
                  <c:v>4.9600000000000009</c:v>
                </c:pt>
                <c:pt idx="721">
                  <c:v>4.3100000000000005</c:v>
                </c:pt>
                <c:pt idx="722">
                  <c:v>4.9500000000000011</c:v>
                </c:pt>
                <c:pt idx="723">
                  <c:v>4.37</c:v>
                </c:pt>
                <c:pt idx="724">
                  <c:v>5.22</c:v>
                </c:pt>
                <c:pt idx="725">
                  <c:v>4.9200000000000008</c:v>
                </c:pt>
                <c:pt idx="726">
                  <c:v>5.2900000000000009</c:v>
                </c:pt>
                <c:pt idx="727">
                  <c:v>5.08</c:v>
                </c:pt>
                <c:pt idx="728">
                  <c:v>5.99</c:v>
                </c:pt>
                <c:pt idx="729">
                  <c:v>5.6899999999999995</c:v>
                </c:pt>
                <c:pt idx="730">
                  <c:v>5.6899999999999995</c:v>
                </c:pt>
                <c:pt idx="731">
                  <c:v>5.6899999999999995</c:v>
                </c:pt>
                <c:pt idx="732">
                  <c:v>5.22</c:v>
                </c:pt>
                <c:pt idx="733">
                  <c:v>6.5600000000000005</c:v>
                </c:pt>
                <c:pt idx="734">
                  <c:v>5.9599999999999991</c:v>
                </c:pt>
                <c:pt idx="735">
                  <c:v>6.0600000000000005</c:v>
                </c:pt>
                <c:pt idx="736">
                  <c:v>5.9599999999999991</c:v>
                </c:pt>
                <c:pt idx="737">
                  <c:v>6.14</c:v>
                </c:pt>
                <c:pt idx="738">
                  <c:v>5.1000000000000005</c:v>
                </c:pt>
                <c:pt idx="739">
                  <c:v>5.1000000000000005</c:v>
                </c:pt>
                <c:pt idx="740">
                  <c:v>5.410000000000001</c:v>
                </c:pt>
                <c:pt idx="741">
                  <c:v>5.71</c:v>
                </c:pt>
                <c:pt idx="742">
                  <c:v>5.71</c:v>
                </c:pt>
                <c:pt idx="743">
                  <c:v>5.23</c:v>
                </c:pt>
                <c:pt idx="744">
                  <c:v>5.1300000000000008</c:v>
                </c:pt>
                <c:pt idx="745">
                  <c:v>5.6400000000000006</c:v>
                </c:pt>
                <c:pt idx="746">
                  <c:v>5.33</c:v>
                </c:pt>
                <c:pt idx="747">
                  <c:v>5.65</c:v>
                </c:pt>
                <c:pt idx="748">
                  <c:v>5.91</c:v>
                </c:pt>
                <c:pt idx="749">
                  <c:v>5.52</c:v>
                </c:pt>
                <c:pt idx="750">
                  <c:v>6.1400000000000006</c:v>
                </c:pt>
                <c:pt idx="751">
                  <c:v>6.33</c:v>
                </c:pt>
                <c:pt idx="752">
                  <c:v>5.1100000000000003</c:v>
                </c:pt>
                <c:pt idx="753">
                  <c:v>4.4699999999999989</c:v>
                </c:pt>
                <c:pt idx="754">
                  <c:v>5.27</c:v>
                </c:pt>
                <c:pt idx="755">
                  <c:v>6.16</c:v>
                </c:pt>
                <c:pt idx="756">
                  <c:v>8.0200000000000014</c:v>
                </c:pt>
                <c:pt idx="757">
                  <c:v>5.8900000000000006</c:v>
                </c:pt>
                <c:pt idx="758">
                  <c:v>6.0100000000000007</c:v>
                </c:pt>
                <c:pt idx="759">
                  <c:v>5.9400000000000013</c:v>
                </c:pt>
                <c:pt idx="760">
                  <c:v>5.9400000000000013</c:v>
                </c:pt>
                <c:pt idx="761">
                  <c:v>5.6400000000000006</c:v>
                </c:pt>
                <c:pt idx="762">
                  <c:v>5.37</c:v>
                </c:pt>
                <c:pt idx="763">
                  <c:v>5.1700000000000008</c:v>
                </c:pt>
                <c:pt idx="764">
                  <c:v>5.5699999999999994</c:v>
                </c:pt>
                <c:pt idx="765">
                  <c:v>5.73</c:v>
                </c:pt>
                <c:pt idx="766">
                  <c:v>5.24</c:v>
                </c:pt>
                <c:pt idx="767">
                  <c:v>5.24</c:v>
                </c:pt>
                <c:pt idx="768">
                  <c:v>5.5400000000000009</c:v>
                </c:pt>
                <c:pt idx="769">
                  <c:v>5.379999999999999</c:v>
                </c:pt>
                <c:pt idx="770">
                  <c:v>5.2499999999999991</c:v>
                </c:pt>
                <c:pt idx="771">
                  <c:v>4.83</c:v>
                </c:pt>
                <c:pt idx="772">
                  <c:v>4.7300000000000004</c:v>
                </c:pt>
                <c:pt idx="773">
                  <c:v>4.7300000000000004</c:v>
                </c:pt>
                <c:pt idx="774">
                  <c:v>5.2800000000000011</c:v>
                </c:pt>
                <c:pt idx="775">
                  <c:v>5.49</c:v>
                </c:pt>
                <c:pt idx="776">
                  <c:v>6.61</c:v>
                </c:pt>
                <c:pt idx="777">
                  <c:v>6.44</c:v>
                </c:pt>
                <c:pt idx="778">
                  <c:v>5.9799999999999995</c:v>
                </c:pt>
                <c:pt idx="779">
                  <c:v>6.18</c:v>
                </c:pt>
                <c:pt idx="780">
                  <c:v>6.83</c:v>
                </c:pt>
                <c:pt idx="781">
                  <c:v>6.7799999999999994</c:v>
                </c:pt>
                <c:pt idx="782">
                  <c:v>6.6300000000000008</c:v>
                </c:pt>
                <c:pt idx="783">
                  <c:v>5.7799999999999994</c:v>
                </c:pt>
                <c:pt idx="784">
                  <c:v>6.0399999999999991</c:v>
                </c:pt>
                <c:pt idx="785">
                  <c:v>5.81</c:v>
                </c:pt>
                <c:pt idx="786">
                  <c:v>6.21</c:v>
                </c:pt>
                <c:pt idx="787">
                  <c:v>6.370000000000001</c:v>
                </c:pt>
                <c:pt idx="788">
                  <c:v>6.01</c:v>
                </c:pt>
                <c:pt idx="789">
                  <c:v>6.26</c:v>
                </c:pt>
                <c:pt idx="790">
                  <c:v>6.52</c:v>
                </c:pt>
                <c:pt idx="791">
                  <c:v>6.52</c:v>
                </c:pt>
                <c:pt idx="792">
                  <c:v>7.0600000000000005</c:v>
                </c:pt>
                <c:pt idx="793">
                  <c:v>6.1499999999999995</c:v>
                </c:pt>
                <c:pt idx="794">
                  <c:v>6.8000000000000007</c:v>
                </c:pt>
                <c:pt idx="795">
                  <c:v>7.15</c:v>
                </c:pt>
                <c:pt idx="796">
                  <c:v>6.82</c:v>
                </c:pt>
                <c:pt idx="797">
                  <c:v>6.9499999999999993</c:v>
                </c:pt>
                <c:pt idx="798">
                  <c:v>6.6099999999999994</c:v>
                </c:pt>
                <c:pt idx="799">
                  <c:v>6.1000000000000005</c:v>
                </c:pt>
                <c:pt idx="800">
                  <c:v>5.5000000000000009</c:v>
                </c:pt>
                <c:pt idx="801">
                  <c:v>6.91</c:v>
                </c:pt>
                <c:pt idx="802">
                  <c:v>6.379999999999999</c:v>
                </c:pt>
                <c:pt idx="803">
                  <c:v>6.72</c:v>
                </c:pt>
                <c:pt idx="804">
                  <c:v>6.7499999999999991</c:v>
                </c:pt>
                <c:pt idx="805">
                  <c:v>6.4099999999999993</c:v>
                </c:pt>
                <c:pt idx="806">
                  <c:v>6.66</c:v>
                </c:pt>
                <c:pt idx="807">
                  <c:v>6.5600000000000005</c:v>
                </c:pt>
                <c:pt idx="808">
                  <c:v>6.8100000000000005</c:v>
                </c:pt>
                <c:pt idx="809">
                  <c:v>4.9300000000000006</c:v>
                </c:pt>
                <c:pt idx="810">
                  <c:v>4.84</c:v>
                </c:pt>
                <c:pt idx="811">
                  <c:v>3.919999999999999</c:v>
                </c:pt>
                <c:pt idx="812">
                  <c:v>4.919999999999999</c:v>
                </c:pt>
                <c:pt idx="813">
                  <c:v>4.0500000000000007</c:v>
                </c:pt>
                <c:pt idx="814">
                  <c:v>4.0500000000000007</c:v>
                </c:pt>
                <c:pt idx="815">
                  <c:v>3.8499999999999996</c:v>
                </c:pt>
                <c:pt idx="816">
                  <c:v>4.0500000000000007</c:v>
                </c:pt>
                <c:pt idx="817">
                  <c:v>4.0500000000000007</c:v>
                </c:pt>
                <c:pt idx="818">
                  <c:v>4.3099999999999996</c:v>
                </c:pt>
                <c:pt idx="819">
                  <c:v>4.96</c:v>
                </c:pt>
                <c:pt idx="820">
                  <c:v>4.21</c:v>
                </c:pt>
                <c:pt idx="821">
                  <c:v>3.839999999999999</c:v>
                </c:pt>
                <c:pt idx="822">
                  <c:v>4.29</c:v>
                </c:pt>
                <c:pt idx="823">
                  <c:v>3.9400000000000004</c:v>
                </c:pt>
                <c:pt idx="824">
                  <c:v>3.9400000000000004</c:v>
                </c:pt>
                <c:pt idx="825">
                  <c:v>3.17</c:v>
                </c:pt>
                <c:pt idx="826">
                  <c:v>3.0999999999999996</c:v>
                </c:pt>
                <c:pt idx="827">
                  <c:v>3.0400000000000009</c:v>
                </c:pt>
                <c:pt idx="828">
                  <c:v>3.0400000000000009</c:v>
                </c:pt>
                <c:pt idx="829">
                  <c:v>3.1099999999999994</c:v>
                </c:pt>
                <c:pt idx="830">
                  <c:v>3.16</c:v>
                </c:pt>
                <c:pt idx="831">
                  <c:v>3.6000000000000005</c:v>
                </c:pt>
                <c:pt idx="832">
                  <c:v>4.45</c:v>
                </c:pt>
                <c:pt idx="833">
                  <c:v>6.3200000000000012</c:v>
                </c:pt>
                <c:pt idx="834">
                  <c:v>3.66</c:v>
                </c:pt>
                <c:pt idx="835">
                  <c:v>3.8899999999999997</c:v>
                </c:pt>
                <c:pt idx="836">
                  <c:v>4.0699999999999994</c:v>
                </c:pt>
                <c:pt idx="837">
                  <c:v>4.88</c:v>
                </c:pt>
                <c:pt idx="838">
                  <c:v>4.1499999999999995</c:v>
                </c:pt>
                <c:pt idx="839">
                  <c:v>4.7</c:v>
                </c:pt>
                <c:pt idx="840">
                  <c:v>4.6000000000000005</c:v>
                </c:pt>
                <c:pt idx="841">
                  <c:v>3.74</c:v>
                </c:pt>
                <c:pt idx="842">
                  <c:v>3.74</c:v>
                </c:pt>
                <c:pt idx="843">
                  <c:v>4.2400000000000011</c:v>
                </c:pt>
                <c:pt idx="844">
                  <c:v>4.2400000000000011</c:v>
                </c:pt>
                <c:pt idx="845">
                  <c:v>4.2400000000000011</c:v>
                </c:pt>
                <c:pt idx="846">
                  <c:v>4.2400000000000011</c:v>
                </c:pt>
                <c:pt idx="847">
                  <c:v>4.32</c:v>
                </c:pt>
              </c:numCache>
            </c:numRef>
          </c:yVal>
          <c:smooth val="0"/>
          <c:extLst>
            <c:ext xmlns:c16="http://schemas.microsoft.com/office/drawing/2014/chart" uri="{C3380CC4-5D6E-409C-BE32-E72D297353CC}">
              <c16:uniqueId val="{00000001-ADBF-4F66-9A46-32C5DB490102}"/>
            </c:ext>
          </c:extLst>
        </c:ser>
        <c:dLbls>
          <c:showLegendKey val="0"/>
          <c:showVal val="0"/>
          <c:showCatName val="0"/>
          <c:showSerName val="0"/>
          <c:showPercent val="0"/>
          <c:showBubbleSize val="0"/>
        </c:dLbls>
        <c:axId val="714141496"/>
        <c:axId val="714144632"/>
      </c:scatterChart>
      <c:valAx>
        <c:axId val="714141496"/>
        <c:scaling>
          <c:orientation val="minMax"/>
          <c:min val="3"/>
        </c:scaling>
        <c:delete val="0"/>
        <c:axPos val="b"/>
        <c:title>
          <c:tx>
            <c:rich>
              <a:bodyPr/>
              <a:lstStyle/>
              <a:p>
                <a:pPr>
                  <a:defRPr sz="1200"/>
                </a:pPr>
                <a:r>
                  <a:rPr lang="en-US" sz="1200"/>
                  <a:t>A2 Rated Moody's Bond Yield (%)</a:t>
                </a:r>
              </a:p>
            </c:rich>
          </c:tx>
          <c:overlay val="0"/>
        </c:title>
        <c:numFmt formatCode="#,##0.00" sourceLinked="0"/>
        <c:majorTickMark val="out"/>
        <c:minorTickMark val="none"/>
        <c:tickLblPos val="nextTo"/>
        <c:crossAx val="714144632"/>
        <c:crosses val="autoZero"/>
        <c:crossBetween val="midCat"/>
        <c:majorUnit val="3"/>
      </c:valAx>
      <c:valAx>
        <c:axId val="714144632"/>
        <c:scaling>
          <c:orientation val="minMax"/>
          <c:min val="-4"/>
        </c:scaling>
        <c:delete val="0"/>
        <c:axPos val="l"/>
        <c:title>
          <c:tx>
            <c:rich>
              <a:bodyPr/>
              <a:lstStyle/>
              <a:p>
                <a:pPr>
                  <a:defRPr sz="1200"/>
                </a:pPr>
                <a:r>
                  <a:rPr lang="en-US" sz="1200"/>
                  <a:t>Equity Risk Premium (%)</a:t>
                </a:r>
              </a:p>
            </c:rich>
          </c:tx>
          <c:overlay val="0"/>
        </c:title>
        <c:numFmt formatCode="_(* #,##0.00_);_(* \(#,##0.00\);_(* &quot;-&quot;??_);_(@_)" sourceLinked="1"/>
        <c:majorTickMark val="out"/>
        <c:minorTickMark val="none"/>
        <c:tickLblPos val="nextTo"/>
        <c:crossAx val="714141496"/>
        <c:crosses val="autoZero"/>
        <c:crossBetween val="midCat"/>
      </c:valAx>
    </c:plotArea>
    <c:plotVisOnly val="1"/>
    <c:dispBlanksAs val="gap"/>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ROE vs. A Utility Yield</c:v>
          </c:tx>
          <c:spPr>
            <a:ln w="38100">
              <a:noFill/>
            </a:ln>
          </c:spPr>
          <c:xVal>
            <c:numRef>
              <c:f>'3.1 Past Rate Cases Regression'!$I$4:$I$1338</c:f>
              <c:numCache>
                <c:formatCode>0.00</c:formatCode>
                <c:ptCount val="1335"/>
                <c:pt idx="0">
                  <c:v>11.89</c:v>
                </c:pt>
                <c:pt idx="1">
                  <c:v>11.89</c:v>
                </c:pt>
                <c:pt idx="2">
                  <c:v>11.89</c:v>
                </c:pt>
                <c:pt idx="3">
                  <c:v>12.15</c:v>
                </c:pt>
                <c:pt idx="4">
                  <c:v>12.15</c:v>
                </c:pt>
                <c:pt idx="5">
                  <c:v>12.15</c:v>
                </c:pt>
                <c:pt idx="6">
                  <c:v>12.15</c:v>
                </c:pt>
                <c:pt idx="7">
                  <c:v>12.15</c:v>
                </c:pt>
                <c:pt idx="8">
                  <c:v>12.2125</c:v>
                </c:pt>
                <c:pt idx="9">
                  <c:v>12.2125</c:v>
                </c:pt>
                <c:pt idx="10">
                  <c:v>12.2125</c:v>
                </c:pt>
                <c:pt idx="11">
                  <c:v>12.2125</c:v>
                </c:pt>
                <c:pt idx="12">
                  <c:v>13.234</c:v>
                </c:pt>
                <c:pt idx="13">
                  <c:v>13.234</c:v>
                </c:pt>
                <c:pt idx="14">
                  <c:v>14.59</c:v>
                </c:pt>
                <c:pt idx="15">
                  <c:v>14.59</c:v>
                </c:pt>
                <c:pt idx="16">
                  <c:v>14.59</c:v>
                </c:pt>
                <c:pt idx="17">
                  <c:v>14.290000000000001</c:v>
                </c:pt>
                <c:pt idx="18">
                  <c:v>14.290000000000001</c:v>
                </c:pt>
                <c:pt idx="19">
                  <c:v>14.290000000000001</c:v>
                </c:pt>
                <c:pt idx="20">
                  <c:v>14.290000000000001</c:v>
                </c:pt>
                <c:pt idx="21">
                  <c:v>12.736000000000001</c:v>
                </c:pt>
                <c:pt idx="22">
                  <c:v>12.736000000000001</c:v>
                </c:pt>
                <c:pt idx="23">
                  <c:v>12.397500000000001</c:v>
                </c:pt>
                <c:pt idx="24">
                  <c:v>12.397500000000001</c:v>
                </c:pt>
                <c:pt idx="25">
                  <c:v>12.397500000000001</c:v>
                </c:pt>
                <c:pt idx="26">
                  <c:v>12.397500000000001</c:v>
                </c:pt>
                <c:pt idx="27">
                  <c:v>12.397500000000001</c:v>
                </c:pt>
                <c:pt idx="28">
                  <c:v>12.397500000000001</c:v>
                </c:pt>
                <c:pt idx="29">
                  <c:v>12.1525</c:v>
                </c:pt>
                <c:pt idx="30">
                  <c:v>12.1525</c:v>
                </c:pt>
                <c:pt idx="31">
                  <c:v>12.1525</c:v>
                </c:pt>
                <c:pt idx="32">
                  <c:v>12.1525</c:v>
                </c:pt>
                <c:pt idx="33">
                  <c:v>12.66</c:v>
                </c:pt>
                <c:pt idx="34">
                  <c:v>12.66</c:v>
                </c:pt>
                <c:pt idx="35">
                  <c:v>12.66</c:v>
                </c:pt>
                <c:pt idx="36">
                  <c:v>13.2925</c:v>
                </c:pt>
                <c:pt idx="37">
                  <c:v>13.2925</c:v>
                </c:pt>
                <c:pt idx="38">
                  <c:v>13.2925</c:v>
                </c:pt>
                <c:pt idx="39">
                  <c:v>13.2925</c:v>
                </c:pt>
                <c:pt idx="40">
                  <c:v>13.2925</c:v>
                </c:pt>
                <c:pt idx="41">
                  <c:v>13.2925</c:v>
                </c:pt>
                <c:pt idx="42">
                  <c:v>13.2925</c:v>
                </c:pt>
                <c:pt idx="43">
                  <c:v>13.2925</c:v>
                </c:pt>
                <c:pt idx="44">
                  <c:v>13.2925</c:v>
                </c:pt>
                <c:pt idx="45">
                  <c:v>13.536</c:v>
                </c:pt>
                <c:pt idx="46">
                  <c:v>13.536</c:v>
                </c:pt>
                <c:pt idx="47">
                  <c:v>13.536</c:v>
                </c:pt>
                <c:pt idx="48">
                  <c:v>13.536</c:v>
                </c:pt>
                <c:pt idx="49">
                  <c:v>13.536</c:v>
                </c:pt>
                <c:pt idx="50">
                  <c:v>14.012500000000001</c:v>
                </c:pt>
                <c:pt idx="51">
                  <c:v>14.012500000000001</c:v>
                </c:pt>
                <c:pt idx="52">
                  <c:v>14.012500000000001</c:v>
                </c:pt>
                <c:pt idx="53">
                  <c:v>14.012500000000001</c:v>
                </c:pt>
                <c:pt idx="54">
                  <c:v>14.012500000000001</c:v>
                </c:pt>
                <c:pt idx="55">
                  <c:v>14.012500000000001</c:v>
                </c:pt>
                <c:pt idx="56">
                  <c:v>14.012500000000001</c:v>
                </c:pt>
                <c:pt idx="57">
                  <c:v>14.012500000000001</c:v>
                </c:pt>
                <c:pt idx="58">
                  <c:v>14.012500000000001</c:v>
                </c:pt>
                <c:pt idx="59">
                  <c:v>14.66</c:v>
                </c:pt>
                <c:pt idx="60">
                  <c:v>14.66</c:v>
                </c:pt>
                <c:pt idx="61">
                  <c:v>14.66</c:v>
                </c:pt>
                <c:pt idx="62">
                  <c:v>14.273999999999999</c:v>
                </c:pt>
                <c:pt idx="63">
                  <c:v>14.273999999999999</c:v>
                </c:pt>
                <c:pt idx="64">
                  <c:v>14.68</c:v>
                </c:pt>
                <c:pt idx="65">
                  <c:v>14.68</c:v>
                </c:pt>
                <c:pt idx="66">
                  <c:v>14.68</c:v>
                </c:pt>
                <c:pt idx="67">
                  <c:v>15.125</c:v>
                </c:pt>
                <c:pt idx="68">
                  <c:v>15.125</c:v>
                </c:pt>
                <c:pt idx="69">
                  <c:v>15.125</c:v>
                </c:pt>
                <c:pt idx="70">
                  <c:v>15.125</c:v>
                </c:pt>
                <c:pt idx="71">
                  <c:v>15.25</c:v>
                </c:pt>
                <c:pt idx="72">
                  <c:v>15.25</c:v>
                </c:pt>
                <c:pt idx="73">
                  <c:v>16.116</c:v>
                </c:pt>
                <c:pt idx="74">
                  <c:v>16.116</c:v>
                </c:pt>
                <c:pt idx="75">
                  <c:v>16.116</c:v>
                </c:pt>
                <c:pt idx="76">
                  <c:v>16.116</c:v>
                </c:pt>
                <c:pt idx="77">
                  <c:v>16.116</c:v>
                </c:pt>
                <c:pt idx="78">
                  <c:v>15.7925</c:v>
                </c:pt>
                <c:pt idx="79">
                  <c:v>15.7925</c:v>
                </c:pt>
                <c:pt idx="80">
                  <c:v>15.7925</c:v>
                </c:pt>
                <c:pt idx="81">
                  <c:v>15.7925</c:v>
                </c:pt>
                <c:pt idx="82">
                  <c:v>15.7925</c:v>
                </c:pt>
                <c:pt idx="83">
                  <c:v>15.7925</c:v>
                </c:pt>
                <c:pt idx="84">
                  <c:v>15.7925</c:v>
                </c:pt>
                <c:pt idx="85">
                  <c:v>15.7925</c:v>
                </c:pt>
                <c:pt idx="86">
                  <c:v>16.071999999999999</c:v>
                </c:pt>
                <c:pt idx="87">
                  <c:v>16.071999999999999</c:v>
                </c:pt>
                <c:pt idx="88">
                  <c:v>16.071999999999999</c:v>
                </c:pt>
                <c:pt idx="89">
                  <c:v>16.447500000000002</c:v>
                </c:pt>
                <c:pt idx="90">
                  <c:v>16.447500000000002</c:v>
                </c:pt>
                <c:pt idx="91">
                  <c:v>16.447500000000002</c:v>
                </c:pt>
                <c:pt idx="92">
                  <c:v>16.447500000000002</c:v>
                </c:pt>
                <c:pt idx="93">
                  <c:v>16.447500000000002</c:v>
                </c:pt>
                <c:pt idx="94">
                  <c:v>16.447500000000002</c:v>
                </c:pt>
                <c:pt idx="95">
                  <c:v>17.03</c:v>
                </c:pt>
                <c:pt idx="96">
                  <c:v>17.03</c:v>
                </c:pt>
                <c:pt idx="97">
                  <c:v>17.03</c:v>
                </c:pt>
                <c:pt idx="98">
                  <c:v>17.03</c:v>
                </c:pt>
                <c:pt idx="99">
                  <c:v>17.03</c:v>
                </c:pt>
                <c:pt idx="100">
                  <c:v>17.03</c:v>
                </c:pt>
                <c:pt idx="101">
                  <c:v>17.03</c:v>
                </c:pt>
                <c:pt idx="102">
                  <c:v>17.03</c:v>
                </c:pt>
                <c:pt idx="103">
                  <c:v>17.03</c:v>
                </c:pt>
                <c:pt idx="104">
                  <c:v>17.254999999999999</c:v>
                </c:pt>
                <c:pt idx="105">
                  <c:v>17.254999999999999</c:v>
                </c:pt>
                <c:pt idx="106">
                  <c:v>17.254999999999999</c:v>
                </c:pt>
                <c:pt idx="107">
                  <c:v>17.254999999999999</c:v>
                </c:pt>
                <c:pt idx="108">
                  <c:v>17.254999999999999</c:v>
                </c:pt>
                <c:pt idx="109">
                  <c:v>17.254999999999999</c:v>
                </c:pt>
                <c:pt idx="110">
                  <c:v>17.254999999999999</c:v>
                </c:pt>
                <c:pt idx="111">
                  <c:v>16.414999999999999</c:v>
                </c:pt>
                <c:pt idx="112">
                  <c:v>16.414999999999999</c:v>
                </c:pt>
                <c:pt idx="113">
                  <c:v>16.414999999999999</c:v>
                </c:pt>
                <c:pt idx="114">
                  <c:v>16.414999999999999</c:v>
                </c:pt>
                <c:pt idx="115">
                  <c:v>16.414999999999999</c:v>
                </c:pt>
                <c:pt idx="116">
                  <c:v>16.414999999999999</c:v>
                </c:pt>
                <c:pt idx="117">
                  <c:v>16.414999999999999</c:v>
                </c:pt>
                <c:pt idx="118">
                  <c:v>16.161999999999999</c:v>
                </c:pt>
                <c:pt idx="119">
                  <c:v>16.161999999999999</c:v>
                </c:pt>
                <c:pt idx="120">
                  <c:v>16.161999999999999</c:v>
                </c:pt>
                <c:pt idx="121">
                  <c:v>16.161999999999999</c:v>
                </c:pt>
                <c:pt idx="122">
                  <c:v>16.161999999999999</c:v>
                </c:pt>
                <c:pt idx="123">
                  <c:v>16.161999999999999</c:v>
                </c:pt>
                <c:pt idx="124">
                  <c:v>16.161999999999999</c:v>
                </c:pt>
                <c:pt idx="125">
                  <c:v>16.161999999999999</c:v>
                </c:pt>
                <c:pt idx="126">
                  <c:v>16.8</c:v>
                </c:pt>
                <c:pt idx="127">
                  <c:v>16.8</c:v>
                </c:pt>
                <c:pt idx="128">
                  <c:v>16.8</c:v>
                </c:pt>
                <c:pt idx="129">
                  <c:v>16.914999999999999</c:v>
                </c:pt>
                <c:pt idx="130">
                  <c:v>16.914999999999999</c:v>
                </c:pt>
                <c:pt idx="131">
                  <c:v>16.914999999999999</c:v>
                </c:pt>
                <c:pt idx="132">
                  <c:v>16.914999999999999</c:v>
                </c:pt>
                <c:pt idx="133">
                  <c:v>16.914999999999999</c:v>
                </c:pt>
                <c:pt idx="134">
                  <c:v>16.914999999999999</c:v>
                </c:pt>
                <c:pt idx="135">
                  <c:v>16.914999999999999</c:v>
                </c:pt>
                <c:pt idx="136">
                  <c:v>16.488</c:v>
                </c:pt>
                <c:pt idx="137">
                  <c:v>16.488</c:v>
                </c:pt>
                <c:pt idx="138">
                  <c:v>16.488</c:v>
                </c:pt>
                <c:pt idx="139">
                  <c:v>16.488</c:v>
                </c:pt>
                <c:pt idx="140">
                  <c:v>16.397500000000001</c:v>
                </c:pt>
                <c:pt idx="141">
                  <c:v>16.397500000000001</c:v>
                </c:pt>
                <c:pt idx="142">
                  <c:v>16.397500000000001</c:v>
                </c:pt>
                <c:pt idx="143">
                  <c:v>16.397500000000001</c:v>
                </c:pt>
                <c:pt idx="144">
                  <c:v>16.397500000000001</c:v>
                </c:pt>
                <c:pt idx="145">
                  <c:v>16.079999999999998</c:v>
                </c:pt>
                <c:pt idx="146">
                  <c:v>16.079999999999998</c:v>
                </c:pt>
                <c:pt idx="147">
                  <c:v>16.079999999999998</c:v>
                </c:pt>
                <c:pt idx="148">
                  <c:v>16.079999999999998</c:v>
                </c:pt>
                <c:pt idx="149">
                  <c:v>16.079999999999998</c:v>
                </c:pt>
                <c:pt idx="150">
                  <c:v>16.079999999999998</c:v>
                </c:pt>
                <c:pt idx="151">
                  <c:v>16.34</c:v>
                </c:pt>
                <c:pt idx="152">
                  <c:v>16.34</c:v>
                </c:pt>
                <c:pt idx="153">
                  <c:v>16.34</c:v>
                </c:pt>
                <c:pt idx="154">
                  <c:v>16.34</c:v>
                </c:pt>
                <c:pt idx="155">
                  <c:v>16.34</c:v>
                </c:pt>
                <c:pt idx="156">
                  <c:v>16.34</c:v>
                </c:pt>
                <c:pt idx="157">
                  <c:v>16.46</c:v>
                </c:pt>
                <c:pt idx="158">
                  <c:v>16.46</c:v>
                </c:pt>
                <c:pt idx="159">
                  <c:v>16.46</c:v>
                </c:pt>
                <c:pt idx="160">
                  <c:v>16.46</c:v>
                </c:pt>
                <c:pt idx="161">
                  <c:v>16.46</c:v>
                </c:pt>
                <c:pt idx="162">
                  <c:v>15.92</c:v>
                </c:pt>
                <c:pt idx="163">
                  <c:v>15.92</c:v>
                </c:pt>
                <c:pt idx="164">
                  <c:v>15.92</c:v>
                </c:pt>
                <c:pt idx="165">
                  <c:v>15.92</c:v>
                </c:pt>
                <c:pt idx="166">
                  <c:v>15.92</c:v>
                </c:pt>
                <c:pt idx="167">
                  <c:v>15.92</c:v>
                </c:pt>
                <c:pt idx="168">
                  <c:v>15.92</c:v>
                </c:pt>
                <c:pt idx="169">
                  <c:v>15.92</c:v>
                </c:pt>
                <c:pt idx="170">
                  <c:v>15.92</c:v>
                </c:pt>
                <c:pt idx="171">
                  <c:v>15.450000000000001</c:v>
                </c:pt>
                <c:pt idx="172">
                  <c:v>15.450000000000001</c:v>
                </c:pt>
                <c:pt idx="173">
                  <c:v>15.450000000000001</c:v>
                </c:pt>
                <c:pt idx="174">
                  <c:v>15.450000000000001</c:v>
                </c:pt>
                <c:pt idx="175">
                  <c:v>15.450000000000001</c:v>
                </c:pt>
                <c:pt idx="176">
                  <c:v>15.450000000000001</c:v>
                </c:pt>
                <c:pt idx="177">
                  <c:v>14.984</c:v>
                </c:pt>
                <c:pt idx="178">
                  <c:v>14.984</c:v>
                </c:pt>
                <c:pt idx="179">
                  <c:v>14.984</c:v>
                </c:pt>
                <c:pt idx="180">
                  <c:v>14.984</c:v>
                </c:pt>
                <c:pt idx="181">
                  <c:v>14.984</c:v>
                </c:pt>
                <c:pt idx="182">
                  <c:v>14.984</c:v>
                </c:pt>
                <c:pt idx="183">
                  <c:v>14.984</c:v>
                </c:pt>
                <c:pt idx="184">
                  <c:v>14.984</c:v>
                </c:pt>
                <c:pt idx="185">
                  <c:v>14.984</c:v>
                </c:pt>
                <c:pt idx="186">
                  <c:v>14.984</c:v>
                </c:pt>
                <c:pt idx="187">
                  <c:v>14.984</c:v>
                </c:pt>
                <c:pt idx="188">
                  <c:v>14.984</c:v>
                </c:pt>
                <c:pt idx="189">
                  <c:v>14.984</c:v>
                </c:pt>
                <c:pt idx="190">
                  <c:v>14.984</c:v>
                </c:pt>
                <c:pt idx="191">
                  <c:v>14.4625</c:v>
                </c:pt>
                <c:pt idx="192">
                  <c:v>14.4625</c:v>
                </c:pt>
                <c:pt idx="193">
                  <c:v>14.4625</c:v>
                </c:pt>
                <c:pt idx="194">
                  <c:v>14.4625</c:v>
                </c:pt>
                <c:pt idx="195">
                  <c:v>14.4625</c:v>
                </c:pt>
                <c:pt idx="196">
                  <c:v>14.4625</c:v>
                </c:pt>
                <c:pt idx="197">
                  <c:v>14.4625</c:v>
                </c:pt>
                <c:pt idx="198">
                  <c:v>14.4625</c:v>
                </c:pt>
                <c:pt idx="199">
                  <c:v>14.4625</c:v>
                </c:pt>
                <c:pt idx="200">
                  <c:v>14.425599999999999</c:v>
                </c:pt>
                <c:pt idx="201">
                  <c:v>14.425599999999999</c:v>
                </c:pt>
                <c:pt idx="202">
                  <c:v>14.425599999999999</c:v>
                </c:pt>
                <c:pt idx="203">
                  <c:v>14.425599999999999</c:v>
                </c:pt>
                <c:pt idx="204">
                  <c:v>14.425599999999999</c:v>
                </c:pt>
                <c:pt idx="205">
                  <c:v>14.425599999999999</c:v>
                </c:pt>
                <c:pt idx="206">
                  <c:v>14.241</c:v>
                </c:pt>
                <c:pt idx="207">
                  <c:v>14.241</c:v>
                </c:pt>
                <c:pt idx="208">
                  <c:v>14.277900000000001</c:v>
                </c:pt>
                <c:pt idx="209">
                  <c:v>14.277900000000001</c:v>
                </c:pt>
                <c:pt idx="210">
                  <c:v>14.277900000000001</c:v>
                </c:pt>
                <c:pt idx="211">
                  <c:v>14.277900000000001</c:v>
                </c:pt>
                <c:pt idx="212">
                  <c:v>14.277900000000001</c:v>
                </c:pt>
                <c:pt idx="213">
                  <c:v>14.277900000000001</c:v>
                </c:pt>
                <c:pt idx="214">
                  <c:v>14.0274</c:v>
                </c:pt>
                <c:pt idx="215">
                  <c:v>14.0274</c:v>
                </c:pt>
                <c:pt idx="216">
                  <c:v>14.0274</c:v>
                </c:pt>
                <c:pt idx="217">
                  <c:v>13.637500000000001</c:v>
                </c:pt>
                <c:pt idx="218">
                  <c:v>13.637500000000001</c:v>
                </c:pt>
                <c:pt idx="219">
                  <c:v>13.637500000000001</c:v>
                </c:pt>
                <c:pt idx="220">
                  <c:v>13.637500000000001</c:v>
                </c:pt>
                <c:pt idx="221">
                  <c:v>13.637500000000001</c:v>
                </c:pt>
                <c:pt idx="222">
                  <c:v>13.491400000000001</c:v>
                </c:pt>
                <c:pt idx="223">
                  <c:v>13.491400000000001</c:v>
                </c:pt>
                <c:pt idx="224">
                  <c:v>13.491400000000001</c:v>
                </c:pt>
                <c:pt idx="225">
                  <c:v>13.491400000000001</c:v>
                </c:pt>
                <c:pt idx="226">
                  <c:v>13.491400000000001</c:v>
                </c:pt>
                <c:pt idx="227">
                  <c:v>13.491400000000001</c:v>
                </c:pt>
                <c:pt idx="228">
                  <c:v>13.491400000000001</c:v>
                </c:pt>
                <c:pt idx="229">
                  <c:v>13.491400000000001</c:v>
                </c:pt>
                <c:pt idx="230">
                  <c:v>13.6473</c:v>
                </c:pt>
                <c:pt idx="231">
                  <c:v>13.6473</c:v>
                </c:pt>
                <c:pt idx="232">
                  <c:v>13.571999999999999</c:v>
                </c:pt>
                <c:pt idx="233">
                  <c:v>13.571999999999999</c:v>
                </c:pt>
                <c:pt idx="234">
                  <c:v>13.571999999999999</c:v>
                </c:pt>
                <c:pt idx="235">
                  <c:v>13.571999999999999</c:v>
                </c:pt>
                <c:pt idx="236">
                  <c:v>13.571999999999999</c:v>
                </c:pt>
                <c:pt idx="237">
                  <c:v>13.571999999999999</c:v>
                </c:pt>
                <c:pt idx="238">
                  <c:v>13.567</c:v>
                </c:pt>
                <c:pt idx="239">
                  <c:v>13.567</c:v>
                </c:pt>
                <c:pt idx="240">
                  <c:v>13.567</c:v>
                </c:pt>
                <c:pt idx="241">
                  <c:v>13.567</c:v>
                </c:pt>
                <c:pt idx="242">
                  <c:v>13.567</c:v>
                </c:pt>
                <c:pt idx="243">
                  <c:v>13.567</c:v>
                </c:pt>
                <c:pt idx="244">
                  <c:v>13.567</c:v>
                </c:pt>
                <c:pt idx="245">
                  <c:v>13.4367</c:v>
                </c:pt>
                <c:pt idx="246">
                  <c:v>13.4367</c:v>
                </c:pt>
                <c:pt idx="247">
                  <c:v>13.4367</c:v>
                </c:pt>
                <c:pt idx="248">
                  <c:v>13.4367</c:v>
                </c:pt>
                <c:pt idx="249">
                  <c:v>13.4367</c:v>
                </c:pt>
                <c:pt idx="250">
                  <c:v>13.4367</c:v>
                </c:pt>
                <c:pt idx="251">
                  <c:v>13.4367</c:v>
                </c:pt>
                <c:pt idx="252">
                  <c:v>13.2524</c:v>
                </c:pt>
                <c:pt idx="253">
                  <c:v>13.2524</c:v>
                </c:pt>
                <c:pt idx="254">
                  <c:v>13.2524</c:v>
                </c:pt>
                <c:pt idx="255">
                  <c:v>13.2524</c:v>
                </c:pt>
                <c:pt idx="256">
                  <c:v>13.2524</c:v>
                </c:pt>
                <c:pt idx="257">
                  <c:v>13.3833</c:v>
                </c:pt>
                <c:pt idx="258">
                  <c:v>13.3833</c:v>
                </c:pt>
                <c:pt idx="259">
                  <c:v>13.3833</c:v>
                </c:pt>
                <c:pt idx="260">
                  <c:v>13.3833</c:v>
                </c:pt>
                <c:pt idx="261">
                  <c:v>13.3833</c:v>
                </c:pt>
                <c:pt idx="262">
                  <c:v>13.3833</c:v>
                </c:pt>
                <c:pt idx="263">
                  <c:v>13.3833</c:v>
                </c:pt>
                <c:pt idx="264">
                  <c:v>13.517099999999999</c:v>
                </c:pt>
                <c:pt idx="265">
                  <c:v>13.517099999999999</c:v>
                </c:pt>
                <c:pt idx="266">
                  <c:v>13.517099999999999</c:v>
                </c:pt>
                <c:pt idx="267">
                  <c:v>13.400499999999999</c:v>
                </c:pt>
                <c:pt idx="268">
                  <c:v>13.397</c:v>
                </c:pt>
                <c:pt idx="269">
                  <c:v>13.397</c:v>
                </c:pt>
                <c:pt idx="270">
                  <c:v>13.397</c:v>
                </c:pt>
                <c:pt idx="271">
                  <c:v>13.7723</c:v>
                </c:pt>
                <c:pt idx="272">
                  <c:v>13.7723</c:v>
                </c:pt>
                <c:pt idx="273">
                  <c:v>13.7723</c:v>
                </c:pt>
                <c:pt idx="274">
                  <c:v>14.129</c:v>
                </c:pt>
                <c:pt idx="275">
                  <c:v>14.129</c:v>
                </c:pt>
                <c:pt idx="276">
                  <c:v>14.129</c:v>
                </c:pt>
                <c:pt idx="277">
                  <c:v>14.8795</c:v>
                </c:pt>
                <c:pt idx="278">
                  <c:v>15.097099999999999</c:v>
                </c:pt>
                <c:pt idx="279">
                  <c:v>15.097099999999999</c:v>
                </c:pt>
                <c:pt idx="280">
                  <c:v>14.8605</c:v>
                </c:pt>
                <c:pt idx="281">
                  <c:v>14.8605</c:v>
                </c:pt>
                <c:pt idx="282">
                  <c:v>14.8605</c:v>
                </c:pt>
                <c:pt idx="283">
                  <c:v>14.8605</c:v>
                </c:pt>
                <c:pt idx="284">
                  <c:v>14.8605</c:v>
                </c:pt>
                <c:pt idx="285">
                  <c:v>14.8605</c:v>
                </c:pt>
                <c:pt idx="286">
                  <c:v>14.8605</c:v>
                </c:pt>
                <c:pt idx="287">
                  <c:v>14.4291</c:v>
                </c:pt>
                <c:pt idx="288">
                  <c:v>14.4291</c:v>
                </c:pt>
                <c:pt idx="289">
                  <c:v>14.4291</c:v>
                </c:pt>
                <c:pt idx="290">
                  <c:v>14.4291</c:v>
                </c:pt>
                <c:pt idx="291">
                  <c:v>14.1874</c:v>
                </c:pt>
                <c:pt idx="292">
                  <c:v>14.1874</c:v>
                </c:pt>
                <c:pt idx="293">
                  <c:v>14.1874</c:v>
                </c:pt>
                <c:pt idx="294">
                  <c:v>13.829599999999999</c:v>
                </c:pt>
                <c:pt idx="295">
                  <c:v>13.829599999999999</c:v>
                </c:pt>
                <c:pt idx="296">
                  <c:v>13.246700000000001</c:v>
                </c:pt>
                <c:pt idx="297">
                  <c:v>13.246700000000001</c:v>
                </c:pt>
                <c:pt idx="298">
                  <c:v>13.246700000000001</c:v>
                </c:pt>
                <c:pt idx="299">
                  <c:v>13.246700000000001</c:v>
                </c:pt>
                <c:pt idx="300">
                  <c:v>13.246700000000001</c:v>
                </c:pt>
                <c:pt idx="301">
                  <c:v>13.0695</c:v>
                </c:pt>
                <c:pt idx="302">
                  <c:v>13.0695</c:v>
                </c:pt>
                <c:pt idx="303">
                  <c:v>13.0695</c:v>
                </c:pt>
                <c:pt idx="304">
                  <c:v>12.985900000000001</c:v>
                </c:pt>
                <c:pt idx="305">
                  <c:v>12.985900000000001</c:v>
                </c:pt>
                <c:pt idx="306">
                  <c:v>12.985900000000001</c:v>
                </c:pt>
                <c:pt idx="307">
                  <c:v>13.0342</c:v>
                </c:pt>
                <c:pt idx="308">
                  <c:v>13.0342</c:v>
                </c:pt>
                <c:pt idx="309">
                  <c:v>13.801399999999999</c:v>
                </c:pt>
                <c:pt idx="310">
                  <c:v>13.5867</c:v>
                </c:pt>
                <c:pt idx="311">
                  <c:v>13.174099999999999</c:v>
                </c:pt>
                <c:pt idx="312">
                  <c:v>13.174099999999999</c:v>
                </c:pt>
                <c:pt idx="313">
                  <c:v>12.1435</c:v>
                </c:pt>
                <c:pt idx="314">
                  <c:v>12.064500000000001</c:v>
                </c:pt>
                <c:pt idx="315">
                  <c:v>12.064500000000001</c:v>
                </c:pt>
                <c:pt idx="316">
                  <c:v>12.064500000000001</c:v>
                </c:pt>
                <c:pt idx="317">
                  <c:v>12.1373</c:v>
                </c:pt>
                <c:pt idx="318">
                  <c:v>12.1373</c:v>
                </c:pt>
                <c:pt idx="319">
                  <c:v>12.1373</c:v>
                </c:pt>
                <c:pt idx="320">
                  <c:v>12.1373</c:v>
                </c:pt>
                <c:pt idx="321">
                  <c:v>12.132099999999999</c:v>
                </c:pt>
                <c:pt idx="322">
                  <c:v>12.132099999999999</c:v>
                </c:pt>
                <c:pt idx="323">
                  <c:v>12.0139</c:v>
                </c:pt>
                <c:pt idx="324">
                  <c:v>12.0139</c:v>
                </c:pt>
                <c:pt idx="325">
                  <c:v>12.0139</c:v>
                </c:pt>
                <c:pt idx="326">
                  <c:v>12.0139</c:v>
                </c:pt>
                <c:pt idx="327">
                  <c:v>11.513999999999999</c:v>
                </c:pt>
                <c:pt idx="328">
                  <c:v>11.513999999999999</c:v>
                </c:pt>
                <c:pt idx="329">
                  <c:v>11.513999999999999</c:v>
                </c:pt>
                <c:pt idx="330">
                  <c:v>11.513999999999999</c:v>
                </c:pt>
                <c:pt idx="331">
                  <c:v>11.513999999999999</c:v>
                </c:pt>
                <c:pt idx="332">
                  <c:v>11.513999999999999</c:v>
                </c:pt>
                <c:pt idx="333">
                  <c:v>11.007999999999999</c:v>
                </c:pt>
                <c:pt idx="334">
                  <c:v>11.007999999999999</c:v>
                </c:pt>
                <c:pt idx="335">
                  <c:v>11.007999999999999</c:v>
                </c:pt>
                <c:pt idx="336">
                  <c:v>10.7986</c:v>
                </c:pt>
                <c:pt idx="337">
                  <c:v>10.3163</c:v>
                </c:pt>
                <c:pt idx="338">
                  <c:v>9.5129999999999999</c:v>
                </c:pt>
                <c:pt idx="339">
                  <c:v>9.1309000000000005</c:v>
                </c:pt>
                <c:pt idx="340">
                  <c:v>9.1309000000000005</c:v>
                </c:pt>
                <c:pt idx="341">
                  <c:v>9.1309000000000005</c:v>
                </c:pt>
                <c:pt idx="342">
                  <c:v>9.1309000000000005</c:v>
                </c:pt>
                <c:pt idx="343">
                  <c:v>9.1309000000000005</c:v>
                </c:pt>
                <c:pt idx="344">
                  <c:v>9.1309000000000005</c:v>
                </c:pt>
                <c:pt idx="345">
                  <c:v>9.5667000000000009</c:v>
                </c:pt>
                <c:pt idx="346">
                  <c:v>9.5667000000000009</c:v>
                </c:pt>
                <c:pt idx="347">
                  <c:v>9.6547999999999998</c:v>
                </c:pt>
                <c:pt idx="348">
                  <c:v>9.6547999999999998</c:v>
                </c:pt>
                <c:pt idx="349">
                  <c:v>9.3544999999999998</c:v>
                </c:pt>
                <c:pt idx="350">
                  <c:v>9.3066999999999993</c:v>
                </c:pt>
                <c:pt idx="351">
                  <c:v>9.5032999999999994</c:v>
                </c:pt>
                <c:pt idx="352">
                  <c:v>9.5032999999999994</c:v>
                </c:pt>
                <c:pt idx="353">
                  <c:v>9.5032999999999994</c:v>
                </c:pt>
                <c:pt idx="354">
                  <c:v>9.5274000000000001</c:v>
                </c:pt>
                <c:pt idx="355">
                  <c:v>9.5274000000000001</c:v>
                </c:pt>
                <c:pt idx="356">
                  <c:v>9.2936999999999994</c:v>
                </c:pt>
                <c:pt idx="357">
                  <c:v>9.2936999999999994</c:v>
                </c:pt>
                <c:pt idx="358">
                  <c:v>9.1195000000000004</c:v>
                </c:pt>
                <c:pt idx="359">
                  <c:v>9.1195000000000004</c:v>
                </c:pt>
                <c:pt idx="360">
                  <c:v>9.1195000000000004</c:v>
                </c:pt>
                <c:pt idx="361">
                  <c:v>9.1195000000000004</c:v>
                </c:pt>
                <c:pt idx="362">
                  <c:v>8.9444999999999997</c:v>
                </c:pt>
                <c:pt idx="363">
                  <c:v>9.0037000000000003</c:v>
                </c:pt>
                <c:pt idx="364">
                  <c:v>9.0037000000000003</c:v>
                </c:pt>
                <c:pt idx="365">
                  <c:v>8.9291</c:v>
                </c:pt>
                <c:pt idx="366">
                  <c:v>9.3529</c:v>
                </c:pt>
                <c:pt idx="367">
                  <c:v>9.3529</c:v>
                </c:pt>
                <c:pt idx="368">
                  <c:v>9.8650000000000002</c:v>
                </c:pt>
                <c:pt idx="369">
                  <c:v>9.8650000000000002</c:v>
                </c:pt>
                <c:pt idx="370">
                  <c:v>10.0182</c:v>
                </c:pt>
                <c:pt idx="371">
                  <c:v>10.135</c:v>
                </c:pt>
                <c:pt idx="372">
                  <c:v>10.443300000000001</c:v>
                </c:pt>
                <c:pt idx="373">
                  <c:v>11.1762</c:v>
                </c:pt>
                <c:pt idx="374">
                  <c:v>11.1762</c:v>
                </c:pt>
                <c:pt idx="375">
                  <c:v>11.1762</c:v>
                </c:pt>
                <c:pt idx="376">
                  <c:v>11.1762</c:v>
                </c:pt>
                <c:pt idx="377">
                  <c:v>11.358599999999999</c:v>
                </c:pt>
                <c:pt idx="378">
                  <c:v>11.358599999999999</c:v>
                </c:pt>
                <c:pt idx="379">
                  <c:v>10.8245</c:v>
                </c:pt>
                <c:pt idx="380">
                  <c:v>10.8245</c:v>
                </c:pt>
                <c:pt idx="381">
                  <c:v>10.8245</c:v>
                </c:pt>
                <c:pt idx="382">
                  <c:v>10.8245</c:v>
                </c:pt>
                <c:pt idx="383">
                  <c:v>10.9368</c:v>
                </c:pt>
                <c:pt idx="384">
                  <c:v>10.9368</c:v>
                </c:pt>
                <c:pt idx="385">
                  <c:v>10.9368</c:v>
                </c:pt>
                <c:pt idx="386">
                  <c:v>10.115500000000001</c:v>
                </c:pt>
                <c:pt idx="387">
                  <c:v>10.522</c:v>
                </c:pt>
                <c:pt idx="388">
                  <c:v>10.522</c:v>
                </c:pt>
                <c:pt idx="389">
                  <c:v>10.7919</c:v>
                </c:pt>
                <c:pt idx="390">
                  <c:v>10.7919</c:v>
                </c:pt>
                <c:pt idx="391">
                  <c:v>10.7919</c:v>
                </c:pt>
                <c:pt idx="392">
                  <c:v>10.7919</c:v>
                </c:pt>
                <c:pt idx="393">
                  <c:v>10.8055</c:v>
                </c:pt>
                <c:pt idx="394">
                  <c:v>10.8055</c:v>
                </c:pt>
                <c:pt idx="395">
                  <c:v>10.8055</c:v>
                </c:pt>
                <c:pt idx="396">
                  <c:v>11.169600000000001</c:v>
                </c:pt>
                <c:pt idx="397">
                  <c:v>11.169600000000001</c:v>
                </c:pt>
                <c:pt idx="398">
                  <c:v>11.169600000000001</c:v>
                </c:pt>
                <c:pt idx="399">
                  <c:v>11.169600000000001</c:v>
                </c:pt>
                <c:pt idx="400">
                  <c:v>11.169600000000001</c:v>
                </c:pt>
                <c:pt idx="401">
                  <c:v>10.6662</c:v>
                </c:pt>
                <c:pt idx="402">
                  <c:v>10.6662</c:v>
                </c:pt>
                <c:pt idx="403">
                  <c:v>10.6662</c:v>
                </c:pt>
                <c:pt idx="404">
                  <c:v>10.6662</c:v>
                </c:pt>
                <c:pt idx="405">
                  <c:v>10.6662</c:v>
                </c:pt>
                <c:pt idx="406">
                  <c:v>10.6662</c:v>
                </c:pt>
                <c:pt idx="407">
                  <c:v>9.9814000000000007</c:v>
                </c:pt>
                <c:pt idx="408">
                  <c:v>9.89</c:v>
                </c:pt>
                <c:pt idx="409">
                  <c:v>9.89</c:v>
                </c:pt>
                <c:pt idx="410">
                  <c:v>9.89</c:v>
                </c:pt>
                <c:pt idx="411">
                  <c:v>10.0519</c:v>
                </c:pt>
                <c:pt idx="412">
                  <c:v>10.0519</c:v>
                </c:pt>
                <c:pt idx="413">
                  <c:v>10.0519</c:v>
                </c:pt>
                <c:pt idx="414">
                  <c:v>10.0848</c:v>
                </c:pt>
                <c:pt idx="415">
                  <c:v>10.241400000000001</c:v>
                </c:pt>
                <c:pt idx="416">
                  <c:v>10.1905</c:v>
                </c:pt>
                <c:pt idx="417">
                  <c:v>9.6582000000000008</c:v>
                </c:pt>
                <c:pt idx="418">
                  <c:v>9.6582000000000008</c:v>
                </c:pt>
                <c:pt idx="419">
                  <c:v>9.6582000000000008</c:v>
                </c:pt>
                <c:pt idx="420">
                  <c:v>9.6582000000000008</c:v>
                </c:pt>
                <c:pt idx="421">
                  <c:v>9.5045000000000002</c:v>
                </c:pt>
                <c:pt idx="422">
                  <c:v>9.5045000000000002</c:v>
                </c:pt>
                <c:pt idx="423">
                  <c:v>9.5147999999999993</c:v>
                </c:pt>
                <c:pt idx="424">
                  <c:v>9.5147999999999993</c:v>
                </c:pt>
                <c:pt idx="425">
                  <c:v>9.5839999999999996</c:v>
                </c:pt>
                <c:pt idx="426">
                  <c:v>9.5839999999999996</c:v>
                </c:pt>
                <c:pt idx="427">
                  <c:v>9.5839999999999996</c:v>
                </c:pt>
                <c:pt idx="428">
                  <c:v>9.5839999999999996</c:v>
                </c:pt>
                <c:pt idx="429">
                  <c:v>9.5839999999999996</c:v>
                </c:pt>
                <c:pt idx="430">
                  <c:v>9.5839999999999996</c:v>
                </c:pt>
                <c:pt idx="431">
                  <c:v>9.5839999999999996</c:v>
                </c:pt>
                <c:pt idx="432">
                  <c:v>9.5839999999999996</c:v>
                </c:pt>
                <c:pt idx="433">
                  <c:v>9.5381999999999998</c:v>
                </c:pt>
                <c:pt idx="434">
                  <c:v>9.5381999999999998</c:v>
                </c:pt>
                <c:pt idx="435">
                  <c:v>9.5381999999999998</c:v>
                </c:pt>
                <c:pt idx="436">
                  <c:v>9.5157000000000007</c:v>
                </c:pt>
                <c:pt idx="437">
                  <c:v>9.5157000000000007</c:v>
                </c:pt>
                <c:pt idx="438">
                  <c:v>9.5157000000000007</c:v>
                </c:pt>
                <c:pt idx="439">
                  <c:v>9.5157000000000007</c:v>
                </c:pt>
                <c:pt idx="440">
                  <c:v>9.5157000000000007</c:v>
                </c:pt>
                <c:pt idx="441">
                  <c:v>9.4335000000000004</c:v>
                </c:pt>
                <c:pt idx="442">
                  <c:v>9.4335000000000004</c:v>
                </c:pt>
                <c:pt idx="443">
                  <c:v>9.7562999999999995</c:v>
                </c:pt>
                <c:pt idx="444">
                  <c:v>9.7562999999999995</c:v>
                </c:pt>
                <c:pt idx="445">
                  <c:v>9.7562999999999995</c:v>
                </c:pt>
                <c:pt idx="446">
                  <c:v>9.7562999999999995</c:v>
                </c:pt>
                <c:pt idx="447">
                  <c:v>9.8463999999999992</c:v>
                </c:pt>
                <c:pt idx="448">
                  <c:v>9.9105000000000008</c:v>
                </c:pt>
                <c:pt idx="449">
                  <c:v>9.9105000000000008</c:v>
                </c:pt>
                <c:pt idx="450">
                  <c:v>10.0059</c:v>
                </c:pt>
                <c:pt idx="451">
                  <c:v>10.0059</c:v>
                </c:pt>
                <c:pt idx="452">
                  <c:v>10.0059</c:v>
                </c:pt>
                <c:pt idx="453">
                  <c:v>9.81</c:v>
                </c:pt>
                <c:pt idx="454">
                  <c:v>9.7581000000000007</c:v>
                </c:pt>
                <c:pt idx="455">
                  <c:v>9.7581000000000007</c:v>
                </c:pt>
                <c:pt idx="456">
                  <c:v>9.7581000000000007</c:v>
                </c:pt>
                <c:pt idx="457">
                  <c:v>9.8956999999999997</c:v>
                </c:pt>
                <c:pt idx="458">
                  <c:v>9.8956999999999997</c:v>
                </c:pt>
                <c:pt idx="459">
                  <c:v>9.8956999999999997</c:v>
                </c:pt>
                <c:pt idx="460">
                  <c:v>10.1168</c:v>
                </c:pt>
                <c:pt idx="461">
                  <c:v>10.1168</c:v>
                </c:pt>
                <c:pt idx="462">
                  <c:v>10.1168</c:v>
                </c:pt>
                <c:pt idx="463">
                  <c:v>10.0626</c:v>
                </c:pt>
                <c:pt idx="464">
                  <c:v>10.0626</c:v>
                </c:pt>
                <c:pt idx="465">
                  <c:v>10.0626</c:v>
                </c:pt>
                <c:pt idx="466">
                  <c:v>10.0626</c:v>
                </c:pt>
                <c:pt idx="467">
                  <c:v>10.0626</c:v>
                </c:pt>
                <c:pt idx="468">
                  <c:v>9.9123999999999999</c:v>
                </c:pt>
                <c:pt idx="469">
                  <c:v>9.9123999999999999</c:v>
                </c:pt>
                <c:pt idx="470">
                  <c:v>9.9123999999999999</c:v>
                </c:pt>
                <c:pt idx="471">
                  <c:v>9.9123999999999999</c:v>
                </c:pt>
                <c:pt idx="472">
                  <c:v>9.9123999999999999</c:v>
                </c:pt>
                <c:pt idx="473">
                  <c:v>9.9123999999999999</c:v>
                </c:pt>
                <c:pt idx="474">
                  <c:v>9.7309999999999999</c:v>
                </c:pt>
                <c:pt idx="475">
                  <c:v>9.7309999999999999</c:v>
                </c:pt>
                <c:pt idx="476">
                  <c:v>9.7309999999999999</c:v>
                </c:pt>
                <c:pt idx="477">
                  <c:v>9.7309999999999999</c:v>
                </c:pt>
                <c:pt idx="478">
                  <c:v>9.4773999999999994</c:v>
                </c:pt>
                <c:pt idx="479">
                  <c:v>9.5530000000000008</c:v>
                </c:pt>
                <c:pt idx="480">
                  <c:v>9.5530000000000008</c:v>
                </c:pt>
                <c:pt idx="481">
                  <c:v>9.4322999999999997</c:v>
                </c:pt>
                <c:pt idx="482">
                  <c:v>9.4322999999999997</c:v>
                </c:pt>
                <c:pt idx="483">
                  <c:v>9.4322999999999997</c:v>
                </c:pt>
                <c:pt idx="484">
                  <c:v>9.5835000000000008</c:v>
                </c:pt>
                <c:pt idx="485">
                  <c:v>9.5835000000000008</c:v>
                </c:pt>
                <c:pt idx="486">
                  <c:v>9.5835000000000008</c:v>
                </c:pt>
                <c:pt idx="487">
                  <c:v>9.5835000000000008</c:v>
                </c:pt>
                <c:pt idx="488">
                  <c:v>9.5477000000000007</c:v>
                </c:pt>
                <c:pt idx="489">
                  <c:v>9.3049999999999997</c:v>
                </c:pt>
                <c:pt idx="490">
                  <c:v>9.3049999999999997</c:v>
                </c:pt>
                <c:pt idx="491">
                  <c:v>9.3049999999999997</c:v>
                </c:pt>
                <c:pt idx="492">
                  <c:v>9.3049999999999997</c:v>
                </c:pt>
                <c:pt idx="493">
                  <c:v>9.3049999999999997</c:v>
                </c:pt>
                <c:pt idx="494">
                  <c:v>9.1660000000000004</c:v>
                </c:pt>
                <c:pt idx="495">
                  <c:v>9.1660000000000004</c:v>
                </c:pt>
                <c:pt idx="496">
                  <c:v>9.1209000000000007</c:v>
                </c:pt>
                <c:pt idx="497">
                  <c:v>9.1209000000000007</c:v>
                </c:pt>
                <c:pt idx="498">
                  <c:v>9.1209000000000007</c:v>
                </c:pt>
                <c:pt idx="499">
                  <c:v>9.1209000000000007</c:v>
                </c:pt>
                <c:pt idx="500">
                  <c:v>9.1209000000000007</c:v>
                </c:pt>
                <c:pt idx="501">
                  <c:v>9.0534999999999997</c:v>
                </c:pt>
                <c:pt idx="502">
                  <c:v>9.0534999999999997</c:v>
                </c:pt>
                <c:pt idx="503">
                  <c:v>9.0534999999999997</c:v>
                </c:pt>
                <c:pt idx="504">
                  <c:v>8.8994999999999997</c:v>
                </c:pt>
                <c:pt idx="505">
                  <c:v>8.8994999999999997</c:v>
                </c:pt>
                <c:pt idx="506">
                  <c:v>8.8323</c:v>
                </c:pt>
                <c:pt idx="507">
                  <c:v>8.8323</c:v>
                </c:pt>
                <c:pt idx="508">
                  <c:v>8.9305000000000003</c:v>
                </c:pt>
                <c:pt idx="509">
                  <c:v>8.9672999999999998</c:v>
                </c:pt>
                <c:pt idx="510">
                  <c:v>8.8795000000000002</c:v>
                </c:pt>
                <c:pt idx="511">
                  <c:v>8.8795000000000002</c:v>
                </c:pt>
                <c:pt idx="512">
                  <c:v>8.8795000000000002</c:v>
                </c:pt>
                <c:pt idx="513">
                  <c:v>8.7876999999999992</c:v>
                </c:pt>
                <c:pt idx="514">
                  <c:v>8.7876999999999992</c:v>
                </c:pt>
                <c:pt idx="515">
                  <c:v>8.5791000000000004</c:v>
                </c:pt>
                <c:pt idx="516">
                  <c:v>8.4375999999999998</c:v>
                </c:pt>
                <c:pt idx="517">
                  <c:v>8.4375999999999998</c:v>
                </c:pt>
                <c:pt idx="518">
                  <c:v>8.4375999999999998</c:v>
                </c:pt>
                <c:pt idx="519">
                  <c:v>8.4070999999999998</c:v>
                </c:pt>
                <c:pt idx="520">
                  <c:v>8.4070999999999998</c:v>
                </c:pt>
                <c:pt idx="521">
                  <c:v>8.4070999999999998</c:v>
                </c:pt>
                <c:pt idx="522">
                  <c:v>8.4070999999999998</c:v>
                </c:pt>
                <c:pt idx="523">
                  <c:v>8.4070999999999998</c:v>
                </c:pt>
                <c:pt idx="524">
                  <c:v>8.5267999999999997</c:v>
                </c:pt>
                <c:pt idx="525">
                  <c:v>8.5267999999999997</c:v>
                </c:pt>
                <c:pt idx="526">
                  <c:v>8.5267999999999997</c:v>
                </c:pt>
                <c:pt idx="527">
                  <c:v>8.6311</c:v>
                </c:pt>
                <c:pt idx="528">
                  <c:v>8.6311</c:v>
                </c:pt>
                <c:pt idx="529">
                  <c:v>8.6311</c:v>
                </c:pt>
                <c:pt idx="530">
                  <c:v>8.6311</c:v>
                </c:pt>
                <c:pt idx="531">
                  <c:v>8.6311</c:v>
                </c:pt>
                <c:pt idx="532">
                  <c:v>8.6311</c:v>
                </c:pt>
                <c:pt idx="533">
                  <c:v>8.6311</c:v>
                </c:pt>
                <c:pt idx="534">
                  <c:v>8.4504999999999999</c:v>
                </c:pt>
                <c:pt idx="535">
                  <c:v>8.2811000000000003</c:v>
                </c:pt>
                <c:pt idx="536">
                  <c:v>7.9025999999999996</c:v>
                </c:pt>
                <c:pt idx="537">
                  <c:v>7.9025999999999996</c:v>
                </c:pt>
                <c:pt idx="538">
                  <c:v>7.9025999999999996</c:v>
                </c:pt>
                <c:pt idx="539">
                  <c:v>7.8175999999999997</c:v>
                </c:pt>
                <c:pt idx="540">
                  <c:v>7.8175999999999997</c:v>
                </c:pt>
                <c:pt idx="541">
                  <c:v>7.859</c:v>
                </c:pt>
                <c:pt idx="542">
                  <c:v>7.7632000000000003</c:v>
                </c:pt>
                <c:pt idx="543">
                  <c:v>7.7632000000000003</c:v>
                </c:pt>
                <c:pt idx="544">
                  <c:v>7.7632000000000003</c:v>
                </c:pt>
                <c:pt idx="545">
                  <c:v>7.7632000000000003</c:v>
                </c:pt>
                <c:pt idx="546">
                  <c:v>7.7632000000000003</c:v>
                </c:pt>
                <c:pt idx="547">
                  <c:v>7.5414000000000003</c:v>
                </c:pt>
                <c:pt idx="548">
                  <c:v>7.5414000000000003</c:v>
                </c:pt>
                <c:pt idx="549">
                  <c:v>7.5414000000000003</c:v>
                </c:pt>
                <c:pt idx="550">
                  <c:v>7.5414000000000003</c:v>
                </c:pt>
                <c:pt idx="551">
                  <c:v>7.2705000000000002</c:v>
                </c:pt>
                <c:pt idx="552">
                  <c:v>7.2705000000000002</c:v>
                </c:pt>
                <c:pt idx="553">
                  <c:v>7.2705000000000002</c:v>
                </c:pt>
                <c:pt idx="554">
                  <c:v>7.2705000000000002</c:v>
                </c:pt>
                <c:pt idx="555">
                  <c:v>7.2705000000000002</c:v>
                </c:pt>
                <c:pt idx="556">
                  <c:v>7.2705000000000002</c:v>
                </c:pt>
                <c:pt idx="557">
                  <c:v>7.0362</c:v>
                </c:pt>
                <c:pt idx="558">
                  <c:v>7.0362</c:v>
                </c:pt>
                <c:pt idx="559">
                  <c:v>7.0362</c:v>
                </c:pt>
                <c:pt idx="560">
                  <c:v>7.0362</c:v>
                </c:pt>
                <c:pt idx="561">
                  <c:v>7.0362</c:v>
                </c:pt>
                <c:pt idx="562">
                  <c:v>7.0362</c:v>
                </c:pt>
                <c:pt idx="563">
                  <c:v>7.0362</c:v>
                </c:pt>
                <c:pt idx="564">
                  <c:v>7.0281000000000002</c:v>
                </c:pt>
                <c:pt idx="565">
                  <c:v>7.0281000000000002</c:v>
                </c:pt>
                <c:pt idx="566">
                  <c:v>7.0281000000000002</c:v>
                </c:pt>
                <c:pt idx="567">
                  <c:v>7.2805</c:v>
                </c:pt>
                <c:pt idx="568">
                  <c:v>7.2805</c:v>
                </c:pt>
                <c:pt idx="569">
                  <c:v>7.2805</c:v>
                </c:pt>
                <c:pt idx="570">
                  <c:v>7.2805</c:v>
                </c:pt>
                <c:pt idx="571">
                  <c:v>7.2805</c:v>
                </c:pt>
                <c:pt idx="572">
                  <c:v>7.2805</c:v>
                </c:pt>
                <c:pt idx="573">
                  <c:v>7.2805</c:v>
                </c:pt>
                <c:pt idx="574">
                  <c:v>7.3357999999999999</c:v>
                </c:pt>
                <c:pt idx="575">
                  <c:v>7.3357999999999999</c:v>
                </c:pt>
                <c:pt idx="576">
                  <c:v>7.3357999999999999</c:v>
                </c:pt>
                <c:pt idx="577">
                  <c:v>7.4462999999999999</c:v>
                </c:pt>
                <c:pt idx="578">
                  <c:v>7.8331999999999997</c:v>
                </c:pt>
                <c:pt idx="579">
                  <c:v>8.3262</c:v>
                </c:pt>
                <c:pt idx="580">
                  <c:v>8.3262</c:v>
                </c:pt>
                <c:pt idx="581">
                  <c:v>8.3080999999999996</c:v>
                </c:pt>
                <c:pt idx="582">
                  <c:v>8.407</c:v>
                </c:pt>
                <c:pt idx="583">
                  <c:v>8.407</c:v>
                </c:pt>
                <c:pt idx="584">
                  <c:v>8.407</c:v>
                </c:pt>
                <c:pt idx="585">
                  <c:v>8.6242999999999999</c:v>
                </c:pt>
                <c:pt idx="586">
                  <c:v>8.6242999999999999</c:v>
                </c:pt>
                <c:pt idx="587">
                  <c:v>8.6242999999999999</c:v>
                </c:pt>
                <c:pt idx="588">
                  <c:v>8.8523999999999994</c:v>
                </c:pt>
                <c:pt idx="589">
                  <c:v>8.8523999999999994</c:v>
                </c:pt>
                <c:pt idx="590">
                  <c:v>8.8523999999999994</c:v>
                </c:pt>
                <c:pt idx="591">
                  <c:v>8.8523999999999994</c:v>
                </c:pt>
                <c:pt idx="592">
                  <c:v>8.8523999999999994</c:v>
                </c:pt>
                <c:pt idx="593">
                  <c:v>8.8523999999999994</c:v>
                </c:pt>
                <c:pt idx="594">
                  <c:v>8.8523999999999994</c:v>
                </c:pt>
                <c:pt idx="595">
                  <c:v>8.9834999999999994</c:v>
                </c:pt>
                <c:pt idx="596">
                  <c:v>8.3742999999999999</c:v>
                </c:pt>
                <c:pt idx="597">
                  <c:v>7.6894999999999998</c:v>
                </c:pt>
                <c:pt idx="598">
                  <c:v>7.6894999999999998</c:v>
                </c:pt>
                <c:pt idx="599">
                  <c:v>7.8387000000000002</c:v>
                </c:pt>
                <c:pt idx="600">
                  <c:v>7.8387000000000002</c:v>
                </c:pt>
                <c:pt idx="601">
                  <c:v>7.62</c:v>
                </c:pt>
                <c:pt idx="602">
                  <c:v>7.62</c:v>
                </c:pt>
                <c:pt idx="603">
                  <c:v>7.62</c:v>
                </c:pt>
                <c:pt idx="604">
                  <c:v>7.4686000000000003</c:v>
                </c:pt>
                <c:pt idx="605">
                  <c:v>7.4686000000000003</c:v>
                </c:pt>
                <c:pt idx="606">
                  <c:v>7.4686000000000003</c:v>
                </c:pt>
                <c:pt idx="607">
                  <c:v>7.4686000000000003</c:v>
                </c:pt>
                <c:pt idx="608">
                  <c:v>7.44</c:v>
                </c:pt>
                <c:pt idx="609">
                  <c:v>7.2537000000000003</c:v>
                </c:pt>
                <c:pt idx="610">
                  <c:v>7.2068000000000003</c:v>
                </c:pt>
                <c:pt idx="611">
                  <c:v>7.3500000000000005</c:v>
                </c:pt>
                <c:pt idx="612">
                  <c:v>7.3500000000000005</c:v>
                </c:pt>
                <c:pt idx="613">
                  <c:v>7.7224000000000004</c:v>
                </c:pt>
                <c:pt idx="614">
                  <c:v>7.7224000000000004</c:v>
                </c:pt>
                <c:pt idx="615">
                  <c:v>7.7224000000000004</c:v>
                </c:pt>
                <c:pt idx="616">
                  <c:v>7.7224000000000004</c:v>
                </c:pt>
                <c:pt idx="617">
                  <c:v>7.9805000000000001</c:v>
                </c:pt>
                <c:pt idx="618">
                  <c:v>8.0640000000000001</c:v>
                </c:pt>
                <c:pt idx="619">
                  <c:v>7.8381999999999996</c:v>
                </c:pt>
                <c:pt idx="620">
                  <c:v>8.0175000000000001</c:v>
                </c:pt>
                <c:pt idx="621">
                  <c:v>7.7785000000000002</c:v>
                </c:pt>
                <c:pt idx="622">
                  <c:v>7.7785000000000002</c:v>
                </c:pt>
                <c:pt idx="623">
                  <c:v>7.7785000000000002</c:v>
                </c:pt>
                <c:pt idx="624">
                  <c:v>7.7785000000000002</c:v>
                </c:pt>
                <c:pt idx="625">
                  <c:v>7.5033000000000003</c:v>
                </c:pt>
                <c:pt idx="626">
                  <c:v>7.5709999999999997</c:v>
                </c:pt>
                <c:pt idx="627">
                  <c:v>7.5709999999999997</c:v>
                </c:pt>
                <c:pt idx="628">
                  <c:v>7.5709999999999997</c:v>
                </c:pt>
                <c:pt idx="629">
                  <c:v>7.5709999999999997</c:v>
                </c:pt>
                <c:pt idx="630">
                  <c:v>7.5709999999999997</c:v>
                </c:pt>
                <c:pt idx="631">
                  <c:v>7.7667000000000002</c:v>
                </c:pt>
                <c:pt idx="632">
                  <c:v>7.6425999999999998</c:v>
                </c:pt>
                <c:pt idx="633">
                  <c:v>7.8654999999999999</c:v>
                </c:pt>
                <c:pt idx="634">
                  <c:v>7.7248000000000001</c:v>
                </c:pt>
                <c:pt idx="635">
                  <c:v>7.4743000000000004</c:v>
                </c:pt>
                <c:pt idx="636">
                  <c:v>7.4743000000000004</c:v>
                </c:pt>
                <c:pt idx="637">
                  <c:v>7.2468000000000004</c:v>
                </c:pt>
                <c:pt idx="638">
                  <c:v>7.1618000000000004</c:v>
                </c:pt>
                <c:pt idx="639">
                  <c:v>7.1618000000000004</c:v>
                </c:pt>
                <c:pt idx="640">
                  <c:v>7.1630000000000003</c:v>
                </c:pt>
                <c:pt idx="641">
                  <c:v>7.0240999999999998</c:v>
                </c:pt>
                <c:pt idx="642">
                  <c:v>7.0240999999999998</c:v>
                </c:pt>
                <c:pt idx="643">
                  <c:v>7.0240999999999998</c:v>
                </c:pt>
                <c:pt idx="644">
                  <c:v>7.0019</c:v>
                </c:pt>
                <c:pt idx="645">
                  <c:v>6.9362000000000004</c:v>
                </c:pt>
                <c:pt idx="646">
                  <c:v>6.9554999999999998</c:v>
                </c:pt>
                <c:pt idx="647">
                  <c:v>7.0362999999999998</c:v>
                </c:pt>
                <c:pt idx="648">
                  <c:v>6.97</c:v>
                </c:pt>
                <c:pt idx="649">
                  <c:v>6.97</c:v>
                </c:pt>
                <c:pt idx="650">
                  <c:v>6.97</c:v>
                </c:pt>
                <c:pt idx="651">
                  <c:v>7.2142999999999997</c:v>
                </c:pt>
                <c:pt idx="652">
                  <c:v>7.9318999999999997</c:v>
                </c:pt>
                <c:pt idx="653">
                  <c:v>8.0647000000000002</c:v>
                </c:pt>
                <c:pt idx="654">
                  <c:v>8.1189999999999998</c:v>
                </c:pt>
                <c:pt idx="655">
                  <c:v>8.3475000000000001</c:v>
                </c:pt>
                <c:pt idx="656">
                  <c:v>8.2779000000000007</c:v>
                </c:pt>
                <c:pt idx="657">
                  <c:v>8.6922999999999995</c:v>
                </c:pt>
                <c:pt idx="658">
                  <c:v>8.6922999999999995</c:v>
                </c:pt>
                <c:pt idx="659">
                  <c:v>8.3755000000000006</c:v>
                </c:pt>
                <c:pt idx="660">
                  <c:v>8.3755000000000006</c:v>
                </c:pt>
                <c:pt idx="661">
                  <c:v>8.3755000000000006</c:v>
                </c:pt>
                <c:pt idx="662">
                  <c:v>8.1287000000000003</c:v>
                </c:pt>
                <c:pt idx="663">
                  <c:v>8.1287000000000003</c:v>
                </c:pt>
                <c:pt idx="664">
                  <c:v>8.1287000000000003</c:v>
                </c:pt>
                <c:pt idx="665">
                  <c:v>8.1441999999999997</c:v>
                </c:pt>
                <c:pt idx="666">
                  <c:v>8.1441999999999997</c:v>
                </c:pt>
                <c:pt idx="667">
                  <c:v>7.8558000000000003</c:v>
                </c:pt>
                <c:pt idx="668">
                  <c:v>7.7986000000000004</c:v>
                </c:pt>
                <c:pt idx="669">
                  <c:v>7.6722999999999999</c:v>
                </c:pt>
                <c:pt idx="670">
                  <c:v>7.7073</c:v>
                </c:pt>
                <c:pt idx="671">
                  <c:v>7.7073</c:v>
                </c:pt>
                <c:pt idx="672">
                  <c:v>7.5446999999999997</c:v>
                </c:pt>
                <c:pt idx="673">
                  <c:v>7.8311000000000002</c:v>
                </c:pt>
                <c:pt idx="674">
                  <c:v>7.8311000000000002</c:v>
                </c:pt>
                <c:pt idx="675">
                  <c:v>7.7435</c:v>
                </c:pt>
                <c:pt idx="676">
                  <c:v>7.7435</c:v>
                </c:pt>
                <c:pt idx="677">
                  <c:v>7.5791000000000004</c:v>
                </c:pt>
                <c:pt idx="678">
                  <c:v>7.5267999999999997</c:v>
                </c:pt>
                <c:pt idx="679">
                  <c:v>7.3209999999999997</c:v>
                </c:pt>
                <c:pt idx="680">
                  <c:v>7.3209999999999997</c:v>
                </c:pt>
                <c:pt idx="681">
                  <c:v>7.3209999999999997</c:v>
                </c:pt>
                <c:pt idx="682">
                  <c:v>7.0875000000000004</c:v>
                </c:pt>
                <c:pt idx="683">
                  <c:v>7.0875000000000004</c:v>
                </c:pt>
                <c:pt idx="684">
                  <c:v>7.0875000000000004</c:v>
                </c:pt>
                <c:pt idx="685">
                  <c:v>7.0875000000000004</c:v>
                </c:pt>
                <c:pt idx="686">
                  <c:v>7.0875000000000004</c:v>
                </c:pt>
                <c:pt idx="687">
                  <c:v>7.2195</c:v>
                </c:pt>
                <c:pt idx="688">
                  <c:v>7.2195</c:v>
                </c:pt>
                <c:pt idx="689">
                  <c:v>7.2195</c:v>
                </c:pt>
                <c:pt idx="690">
                  <c:v>7.1428000000000003</c:v>
                </c:pt>
                <c:pt idx="691">
                  <c:v>7.1428000000000003</c:v>
                </c:pt>
                <c:pt idx="692">
                  <c:v>7.0643000000000002</c:v>
                </c:pt>
                <c:pt idx="693">
                  <c:v>7.0643000000000002</c:v>
                </c:pt>
                <c:pt idx="694">
                  <c:v>7.0643000000000002</c:v>
                </c:pt>
                <c:pt idx="695">
                  <c:v>6.9330999999999996</c:v>
                </c:pt>
                <c:pt idx="696">
                  <c:v>6.9330999999999996</c:v>
                </c:pt>
                <c:pt idx="697">
                  <c:v>6.7952000000000004</c:v>
                </c:pt>
                <c:pt idx="698">
                  <c:v>6.7952000000000004</c:v>
                </c:pt>
                <c:pt idx="699">
                  <c:v>6.3723999999999998</c:v>
                </c:pt>
                <c:pt idx="700">
                  <c:v>6.3723999999999998</c:v>
                </c:pt>
                <c:pt idx="701">
                  <c:v>6.2076000000000002</c:v>
                </c:pt>
                <c:pt idx="702">
                  <c:v>6.5481999999999996</c:v>
                </c:pt>
                <c:pt idx="703">
                  <c:v>6.7910000000000004</c:v>
                </c:pt>
                <c:pt idx="704">
                  <c:v>6.7910000000000004</c:v>
                </c:pt>
                <c:pt idx="705">
                  <c:v>6.5842999999999998</c:v>
                </c:pt>
                <c:pt idx="706">
                  <c:v>6.5842999999999998</c:v>
                </c:pt>
                <c:pt idx="707">
                  <c:v>6.5842999999999998</c:v>
                </c:pt>
                <c:pt idx="708">
                  <c:v>6.5842999999999998</c:v>
                </c:pt>
                <c:pt idx="709">
                  <c:v>6.5842999999999998</c:v>
                </c:pt>
                <c:pt idx="710">
                  <c:v>6.5842999999999998</c:v>
                </c:pt>
                <c:pt idx="711">
                  <c:v>6.5842999999999998</c:v>
                </c:pt>
                <c:pt idx="712">
                  <c:v>6.42</c:v>
                </c:pt>
                <c:pt idx="713">
                  <c:v>6.3712</c:v>
                </c:pt>
                <c:pt idx="714">
                  <c:v>6.3712</c:v>
                </c:pt>
                <c:pt idx="715">
                  <c:v>6.3712</c:v>
                </c:pt>
                <c:pt idx="716">
                  <c:v>6.3712</c:v>
                </c:pt>
                <c:pt idx="717">
                  <c:v>6.3712</c:v>
                </c:pt>
                <c:pt idx="718">
                  <c:v>6.2789999999999999</c:v>
                </c:pt>
                <c:pt idx="719">
                  <c:v>6.15</c:v>
                </c:pt>
                <c:pt idx="720">
                  <c:v>6.15</c:v>
                </c:pt>
                <c:pt idx="721">
                  <c:v>6.3251999999999997</c:v>
                </c:pt>
                <c:pt idx="722">
                  <c:v>6.3251999999999997</c:v>
                </c:pt>
                <c:pt idx="723">
                  <c:v>6.6204999999999998</c:v>
                </c:pt>
                <c:pt idx="724">
                  <c:v>6.6204999999999998</c:v>
                </c:pt>
                <c:pt idx="725">
                  <c:v>6.4652000000000003</c:v>
                </c:pt>
                <c:pt idx="726">
                  <c:v>6.2724000000000002</c:v>
                </c:pt>
                <c:pt idx="727">
                  <c:v>6.2724000000000002</c:v>
                </c:pt>
                <c:pt idx="728">
                  <c:v>6.2724000000000002</c:v>
                </c:pt>
                <c:pt idx="729">
                  <c:v>6.1482000000000001</c:v>
                </c:pt>
                <c:pt idx="730">
                  <c:v>6.1482000000000001</c:v>
                </c:pt>
                <c:pt idx="731">
                  <c:v>6.1482000000000001</c:v>
                </c:pt>
                <c:pt idx="732">
                  <c:v>5.9824000000000002</c:v>
                </c:pt>
                <c:pt idx="733">
                  <c:v>5.9904999999999999</c:v>
                </c:pt>
                <c:pt idx="734">
                  <c:v>5.9904999999999999</c:v>
                </c:pt>
                <c:pt idx="735">
                  <c:v>5.9553000000000003</c:v>
                </c:pt>
                <c:pt idx="736">
                  <c:v>5.9553000000000003</c:v>
                </c:pt>
                <c:pt idx="737">
                  <c:v>5.9553000000000003</c:v>
                </c:pt>
                <c:pt idx="738">
                  <c:v>5.7934999999999999</c:v>
                </c:pt>
                <c:pt idx="739">
                  <c:v>5.6142000000000003</c:v>
                </c:pt>
                <c:pt idx="740">
                  <c:v>5.6142000000000003</c:v>
                </c:pt>
                <c:pt idx="741">
                  <c:v>5.8263999999999996</c:v>
                </c:pt>
                <c:pt idx="742">
                  <c:v>5.6494999999999997</c:v>
                </c:pt>
                <c:pt idx="743">
                  <c:v>5.6494999999999997</c:v>
                </c:pt>
                <c:pt idx="744">
                  <c:v>5.6494999999999997</c:v>
                </c:pt>
                <c:pt idx="745">
                  <c:v>5.5395000000000003</c:v>
                </c:pt>
                <c:pt idx="746">
                  <c:v>5.4023000000000003</c:v>
                </c:pt>
                <c:pt idx="747">
                  <c:v>5.4023000000000003</c:v>
                </c:pt>
                <c:pt idx="748">
                  <c:v>5.5091000000000001</c:v>
                </c:pt>
                <c:pt idx="749">
                  <c:v>5.5091000000000001</c:v>
                </c:pt>
                <c:pt idx="750">
                  <c:v>5.5091000000000001</c:v>
                </c:pt>
                <c:pt idx="751">
                  <c:v>5.5091000000000001</c:v>
                </c:pt>
                <c:pt idx="752">
                  <c:v>5.5091000000000001</c:v>
                </c:pt>
                <c:pt idx="753">
                  <c:v>5.5023999999999997</c:v>
                </c:pt>
                <c:pt idx="754">
                  <c:v>5.5023999999999997</c:v>
                </c:pt>
                <c:pt idx="755">
                  <c:v>5.7747999999999999</c:v>
                </c:pt>
                <c:pt idx="756">
                  <c:v>5.7747999999999999</c:v>
                </c:pt>
                <c:pt idx="757">
                  <c:v>5.7747999999999999</c:v>
                </c:pt>
                <c:pt idx="758">
                  <c:v>5.8784000000000001</c:v>
                </c:pt>
                <c:pt idx="759">
                  <c:v>5.8784000000000001</c:v>
                </c:pt>
                <c:pt idx="760">
                  <c:v>5.8784000000000001</c:v>
                </c:pt>
                <c:pt idx="761">
                  <c:v>5.8784000000000001</c:v>
                </c:pt>
                <c:pt idx="762">
                  <c:v>5.8784000000000001</c:v>
                </c:pt>
                <c:pt idx="763">
                  <c:v>5.8784000000000001</c:v>
                </c:pt>
                <c:pt idx="764">
                  <c:v>5.8784000000000001</c:v>
                </c:pt>
                <c:pt idx="765">
                  <c:v>5.8178000000000001</c:v>
                </c:pt>
                <c:pt idx="766">
                  <c:v>5.8178000000000001</c:v>
                </c:pt>
                <c:pt idx="767">
                  <c:v>5.8178000000000001</c:v>
                </c:pt>
                <c:pt idx="768">
                  <c:v>5.8178000000000001</c:v>
                </c:pt>
                <c:pt idx="769">
                  <c:v>5.98</c:v>
                </c:pt>
                <c:pt idx="770">
                  <c:v>6.4</c:v>
                </c:pt>
                <c:pt idx="771">
                  <c:v>6.4</c:v>
                </c:pt>
                <c:pt idx="772">
                  <c:v>6.2</c:v>
                </c:pt>
                <c:pt idx="773">
                  <c:v>6.2</c:v>
                </c:pt>
                <c:pt idx="774">
                  <c:v>6</c:v>
                </c:pt>
                <c:pt idx="775">
                  <c:v>6</c:v>
                </c:pt>
                <c:pt idx="776">
                  <c:v>6</c:v>
                </c:pt>
                <c:pt idx="777">
                  <c:v>5.98</c:v>
                </c:pt>
                <c:pt idx="778">
                  <c:v>5.98</c:v>
                </c:pt>
                <c:pt idx="779">
                  <c:v>5.8</c:v>
                </c:pt>
                <c:pt idx="780">
                  <c:v>5.8</c:v>
                </c:pt>
                <c:pt idx="781">
                  <c:v>5.8</c:v>
                </c:pt>
                <c:pt idx="782">
                  <c:v>5.8100000000000005</c:v>
                </c:pt>
                <c:pt idx="783">
                  <c:v>5.8100000000000005</c:v>
                </c:pt>
                <c:pt idx="784">
                  <c:v>5.8100000000000005</c:v>
                </c:pt>
                <c:pt idx="785">
                  <c:v>5.96</c:v>
                </c:pt>
                <c:pt idx="786">
                  <c:v>5.9</c:v>
                </c:pt>
                <c:pt idx="787">
                  <c:v>5.9</c:v>
                </c:pt>
                <c:pt idx="788">
                  <c:v>5.9</c:v>
                </c:pt>
                <c:pt idx="789">
                  <c:v>5.9</c:v>
                </c:pt>
                <c:pt idx="790">
                  <c:v>5.97</c:v>
                </c:pt>
                <c:pt idx="791">
                  <c:v>5.99</c:v>
                </c:pt>
                <c:pt idx="792">
                  <c:v>5.99</c:v>
                </c:pt>
                <c:pt idx="793">
                  <c:v>5.99</c:v>
                </c:pt>
                <c:pt idx="794">
                  <c:v>5.99</c:v>
                </c:pt>
                <c:pt idx="795">
                  <c:v>6.3</c:v>
                </c:pt>
                <c:pt idx="796">
                  <c:v>6.3</c:v>
                </c:pt>
                <c:pt idx="797">
                  <c:v>6.25</c:v>
                </c:pt>
                <c:pt idx="798">
                  <c:v>6.25</c:v>
                </c:pt>
                <c:pt idx="799">
                  <c:v>6.24</c:v>
                </c:pt>
                <c:pt idx="800">
                  <c:v>6.24</c:v>
                </c:pt>
                <c:pt idx="801">
                  <c:v>6.24</c:v>
                </c:pt>
                <c:pt idx="802">
                  <c:v>6.18</c:v>
                </c:pt>
                <c:pt idx="803">
                  <c:v>6.18</c:v>
                </c:pt>
                <c:pt idx="804">
                  <c:v>6.18</c:v>
                </c:pt>
                <c:pt idx="805">
                  <c:v>6.11</c:v>
                </c:pt>
                <c:pt idx="806">
                  <c:v>6.11</c:v>
                </c:pt>
                <c:pt idx="807">
                  <c:v>6.11</c:v>
                </c:pt>
                <c:pt idx="808">
                  <c:v>6.11</c:v>
                </c:pt>
                <c:pt idx="809">
                  <c:v>5.97</c:v>
                </c:pt>
                <c:pt idx="810">
                  <c:v>5.97</c:v>
                </c:pt>
                <c:pt idx="811">
                  <c:v>5.97</c:v>
                </c:pt>
                <c:pt idx="812">
                  <c:v>5.97</c:v>
                </c:pt>
                <c:pt idx="813">
                  <c:v>5.97</c:v>
                </c:pt>
                <c:pt idx="814">
                  <c:v>5.97</c:v>
                </c:pt>
                <c:pt idx="815">
                  <c:v>6.16</c:v>
                </c:pt>
                <c:pt idx="816">
                  <c:v>6.16</c:v>
                </c:pt>
                <c:pt idx="817">
                  <c:v>6.16</c:v>
                </c:pt>
                <c:pt idx="818">
                  <c:v>6.16</c:v>
                </c:pt>
                <c:pt idx="819">
                  <c:v>6.16</c:v>
                </c:pt>
                <c:pt idx="820">
                  <c:v>6.21</c:v>
                </c:pt>
                <c:pt idx="821">
                  <c:v>6.29</c:v>
                </c:pt>
                <c:pt idx="822">
                  <c:v>6.27</c:v>
                </c:pt>
                <c:pt idx="823">
                  <c:v>6.27</c:v>
                </c:pt>
                <c:pt idx="824">
                  <c:v>6.38</c:v>
                </c:pt>
                <c:pt idx="825">
                  <c:v>6.38</c:v>
                </c:pt>
                <c:pt idx="826">
                  <c:v>6.4</c:v>
                </c:pt>
                <c:pt idx="827">
                  <c:v>6.4</c:v>
                </c:pt>
                <c:pt idx="828">
                  <c:v>6.370000000000001</c:v>
                </c:pt>
                <c:pt idx="829">
                  <c:v>6.370000000000001</c:v>
                </c:pt>
                <c:pt idx="830">
                  <c:v>6.370000000000001</c:v>
                </c:pt>
                <c:pt idx="831">
                  <c:v>6.370000000000001</c:v>
                </c:pt>
                <c:pt idx="832">
                  <c:v>6.370000000000001</c:v>
                </c:pt>
                <c:pt idx="833">
                  <c:v>6.370000000000001</c:v>
                </c:pt>
                <c:pt idx="834">
                  <c:v>6.370000000000001</c:v>
                </c:pt>
                <c:pt idx="835">
                  <c:v>6.49</c:v>
                </c:pt>
                <c:pt idx="836">
                  <c:v>6.49</c:v>
                </c:pt>
                <c:pt idx="837">
                  <c:v>6.49</c:v>
                </c:pt>
                <c:pt idx="838">
                  <c:v>7.5600000000000005</c:v>
                </c:pt>
                <c:pt idx="839">
                  <c:v>7.5600000000000005</c:v>
                </c:pt>
                <c:pt idx="840">
                  <c:v>7.5600000000000005</c:v>
                </c:pt>
                <c:pt idx="841">
                  <c:v>7.5600000000000005</c:v>
                </c:pt>
                <c:pt idx="842">
                  <c:v>7.5600000000000005</c:v>
                </c:pt>
                <c:pt idx="843">
                  <c:v>7.6</c:v>
                </c:pt>
                <c:pt idx="844">
                  <c:v>7.6</c:v>
                </c:pt>
                <c:pt idx="845">
                  <c:v>7.6</c:v>
                </c:pt>
                <c:pt idx="846">
                  <c:v>7.6</c:v>
                </c:pt>
                <c:pt idx="847">
                  <c:v>6.54</c:v>
                </c:pt>
                <c:pt idx="848">
                  <c:v>6.39</c:v>
                </c:pt>
                <c:pt idx="849">
                  <c:v>6.3</c:v>
                </c:pt>
                <c:pt idx="850">
                  <c:v>6.3</c:v>
                </c:pt>
                <c:pt idx="851">
                  <c:v>6.42</c:v>
                </c:pt>
                <c:pt idx="852">
                  <c:v>6.42</c:v>
                </c:pt>
                <c:pt idx="853">
                  <c:v>6.48</c:v>
                </c:pt>
                <c:pt idx="854">
                  <c:v>6.48</c:v>
                </c:pt>
                <c:pt idx="855">
                  <c:v>6.49</c:v>
                </c:pt>
                <c:pt idx="856">
                  <c:v>6.49</c:v>
                </c:pt>
                <c:pt idx="857">
                  <c:v>6.49</c:v>
                </c:pt>
                <c:pt idx="858">
                  <c:v>6.2</c:v>
                </c:pt>
                <c:pt idx="859">
                  <c:v>6.2</c:v>
                </c:pt>
                <c:pt idx="860">
                  <c:v>5.53</c:v>
                </c:pt>
                <c:pt idx="861">
                  <c:v>5.53</c:v>
                </c:pt>
                <c:pt idx="862">
                  <c:v>5.53</c:v>
                </c:pt>
                <c:pt idx="863">
                  <c:v>5.53</c:v>
                </c:pt>
                <c:pt idx="864">
                  <c:v>5.53</c:v>
                </c:pt>
                <c:pt idx="865">
                  <c:v>5.55</c:v>
                </c:pt>
                <c:pt idx="866">
                  <c:v>5.55</c:v>
                </c:pt>
                <c:pt idx="867">
                  <c:v>5.64</c:v>
                </c:pt>
                <c:pt idx="868">
                  <c:v>5.64</c:v>
                </c:pt>
                <c:pt idx="869">
                  <c:v>5.64</c:v>
                </c:pt>
                <c:pt idx="870">
                  <c:v>5.64</c:v>
                </c:pt>
                <c:pt idx="871">
                  <c:v>5.64</c:v>
                </c:pt>
                <c:pt idx="872">
                  <c:v>5.64</c:v>
                </c:pt>
                <c:pt idx="873">
                  <c:v>5.64</c:v>
                </c:pt>
                <c:pt idx="874">
                  <c:v>5.64</c:v>
                </c:pt>
                <c:pt idx="875">
                  <c:v>5.64</c:v>
                </c:pt>
                <c:pt idx="876">
                  <c:v>5.64</c:v>
                </c:pt>
                <c:pt idx="877">
                  <c:v>5.79</c:v>
                </c:pt>
                <c:pt idx="878">
                  <c:v>5.79</c:v>
                </c:pt>
                <c:pt idx="879">
                  <c:v>5.79</c:v>
                </c:pt>
                <c:pt idx="880">
                  <c:v>5.79</c:v>
                </c:pt>
                <c:pt idx="881">
                  <c:v>5.77</c:v>
                </c:pt>
                <c:pt idx="882">
                  <c:v>5.77</c:v>
                </c:pt>
                <c:pt idx="883">
                  <c:v>5.87</c:v>
                </c:pt>
                <c:pt idx="884">
                  <c:v>5.87</c:v>
                </c:pt>
                <c:pt idx="885">
                  <c:v>5.87</c:v>
                </c:pt>
                <c:pt idx="886">
                  <c:v>5.87</c:v>
                </c:pt>
                <c:pt idx="887">
                  <c:v>5.87</c:v>
                </c:pt>
                <c:pt idx="888">
                  <c:v>5.84</c:v>
                </c:pt>
                <c:pt idx="889">
                  <c:v>5.84</c:v>
                </c:pt>
                <c:pt idx="890">
                  <c:v>5.84</c:v>
                </c:pt>
                <c:pt idx="891">
                  <c:v>5.81</c:v>
                </c:pt>
                <c:pt idx="892">
                  <c:v>5.81</c:v>
                </c:pt>
                <c:pt idx="893">
                  <c:v>5.81</c:v>
                </c:pt>
                <c:pt idx="894">
                  <c:v>5.5</c:v>
                </c:pt>
                <c:pt idx="895">
                  <c:v>5.5</c:v>
                </c:pt>
                <c:pt idx="896">
                  <c:v>5.46</c:v>
                </c:pt>
                <c:pt idx="897">
                  <c:v>5.26</c:v>
                </c:pt>
                <c:pt idx="898">
                  <c:v>5.01</c:v>
                </c:pt>
                <c:pt idx="899">
                  <c:v>5.01</c:v>
                </c:pt>
                <c:pt idx="900">
                  <c:v>5.01</c:v>
                </c:pt>
                <c:pt idx="901">
                  <c:v>5.01</c:v>
                </c:pt>
                <c:pt idx="902">
                  <c:v>5.01</c:v>
                </c:pt>
                <c:pt idx="903">
                  <c:v>5.01</c:v>
                </c:pt>
                <c:pt idx="904">
                  <c:v>5.01</c:v>
                </c:pt>
                <c:pt idx="905">
                  <c:v>5.01</c:v>
                </c:pt>
                <c:pt idx="906">
                  <c:v>5.0999999999999996</c:v>
                </c:pt>
                <c:pt idx="907">
                  <c:v>5.0999999999999996</c:v>
                </c:pt>
                <c:pt idx="908">
                  <c:v>5.0999999999999996</c:v>
                </c:pt>
                <c:pt idx="909">
                  <c:v>5.0999999999999996</c:v>
                </c:pt>
                <c:pt idx="910">
                  <c:v>5.0999999999999996</c:v>
                </c:pt>
                <c:pt idx="911">
                  <c:v>5.0999999999999996</c:v>
                </c:pt>
                <c:pt idx="912">
                  <c:v>5.37</c:v>
                </c:pt>
                <c:pt idx="913">
                  <c:v>5.37</c:v>
                </c:pt>
                <c:pt idx="914">
                  <c:v>5.37</c:v>
                </c:pt>
                <c:pt idx="915">
                  <c:v>5.37</c:v>
                </c:pt>
                <c:pt idx="916">
                  <c:v>5.37</c:v>
                </c:pt>
                <c:pt idx="917">
                  <c:v>5.37</c:v>
                </c:pt>
                <c:pt idx="918">
                  <c:v>5.57</c:v>
                </c:pt>
                <c:pt idx="919">
                  <c:v>5.68</c:v>
                </c:pt>
                <c:pt idx="920">
                  <c:v>5.56</c:v>
                </c:pt>
                <c:pt idx="921">
                  <c:v>5.55</c:v>
                </c:pt>
                <c:pt idx="922">
                  <c:v>5.32</c:v>
                </c:pt>
                <c:pt idx="923">
                  <c:v>5.32</c:v>
                </c:pt>
                <c:pt idx="924">
                  <c:v>5.26</c:v>
                </c:pt>
                <c:pt idx="925">
                  <c:v>5.27</c:v>
                </c:pt>
                <c:pt idx="926">
                  <c:v>4.4800000000000004</c:v>
                </c:pt>
                <c:pt idx="927">
                  <c:v>4.5199999999999996</c:v>
                </c:pt>
                <c:pt idx="928">
                  <c:v>4.25</c:v>
                </c:pt>
                <c:pt idx="929">
                  <c:v>4.25</c:v>
                </c:pt>
                <c:pt idx="930">
                  <c:v>4.25</c:v>
                </c:pt>
                <c:pt idx="931">
                  <c:v>4.25</c:v>
                </c:pt>
                <c:pt idx="932">
                  <c:v>4.25</c:v>
                </c:pt>
                <c:pt idx="933">
                  <c:v>4.33</c:v>
                </c:pt>
                <c:pt idx="934">
                  <c:v>4.33</c:v>
                </c:pt>
                <c:pt idx="935">
                  <c:v>4.4800000000000004</c:v>
                </c:pt>
                <c:pt idx="936">
                  <c:v>4.4800000000000004</c:v>
                </c:pt>
                <c:pt idx="937">
                  <c:v>4.4800000000000004</c:v>
                </c:pt>
                <c:pt idx="938">
                  <c:v>4.4000000000000004</c:v>
                </c:pt>
                <c:pt idx="939">
                  <c:v>4.4000000000000004</c:v>
                </c:pt>
                <c:pt idx="940">
                  <c:v>4.4000000000000004</c:v>
                </c:pt>
                <c:pt idx="941">
                  <c:v>4.4000000000000004</c:v>
                </c:pt>
                <c:pt idx="942">
                  <c:v>4.2</c:v>
                </c:pt>
                <c:pt idx="943">
                  <c:v>4.2</c:v>
                </c:pt>
                <c:pt idx="944">
                  <c:v>4.0199999999999996</c:v>
                </c:pt>
                <c:pt idx="945">
                  <c:v>4.0199999999999996</c:v>
                </c:pt>
                <c:pt idx="946">
                  <c:v>4.0199999999999996</c:v>
                </c:pt>
                <c:pt idx="947">
                  <c:v>4.0199999999999996</c:v>
                </c:pt>
                <c:pt idx="948">
                  <c:v>4.0199999999999996</c:v>
                </c:pt>
                <c:pt idx="949">
                  <c:v>4.0199999999999996</c:v>
                </c:pt>
                <c:pt idx="950">
                  <c:v>4.0199999999999996</c:v>
                </c:pt>
                <c:pt idx="951">
                  <c:v>4.0199999999999996</c:v>
                </c:pt>
                <c:pt idx="952">
                  <c:v>3.91</c:v>
                </c:pt>
                <c:pt idx="953">
                  <c:v>3.91</c:v>
                </c:pt>
                <c:pt idx="954">
                  <c:v>3.91</c:v>
                </c:pt>
                <c:pt idx="955">
                  <c:v>3.91</c:v>
                </c:pt>
                <c:pt idx="956">
                  <c:v>3.91</c:v>
                </c:pt>
                <c:pt idx="957">
                  <c:v>3.84</c:v>
                </c:pt>
                <c:pt idx="958">
                  <c:v>3.84</c:v>
                </c:pt>
                <c:pt idx="959">
                  <c:v>3.84</c:v>
                </c:pt>
                <c:pt idx="960">
                  <c:v>3.84</c:v>
                </c:pt>
                <c:pt idx="961">
                  <c:v>3.84</c:v>
                </c:pt>
                <c:pt idx="962">
                  <c:v>3.84</c:v>
                </c:pt>
                <c:pt idx="963">
                  <c:v>3.84</c:v>
                </c:pt>
                <c:pt idx="964">
                  <c:v>4.1500000000000004</c:v>
                </c:pt>
                <c:pt idx="965">
                  <c:v>4.1500000000000004</c:v>
                </c:pt>
                <c:pt idx="966">
                  <c:v>4.18</c:v>
                </c:pt>
                <c:pt idx="967">
                  <c:v>4.2</c:v>
                </c:pt>
                <c:pt idx="968">
                  <c:v>4.2</c:v>
                </c:pt>
                <c:pt idx="969">
                  <c:v>4</c:v>
                </c:pt>
                <c:pt idx="970">
                  <c:v>4.17</c:v>
                </c:pt>
                <c:pt idx="971">
                  <c:v>4.17</c:v>
                </c:pt>
                <c:pt idx="972">
                  <c:v>4.17</c:v>
                </c:pt>
                <c:pt idx="973">
                  <c:v>4.7300000000000004</c:v>
                </c:pt>
                <c:pt idx="974">
                  <c:v>4.8</c:v>
                </c:pt>
                <c:pt idx="975">
                  <c:v>4.8</c:v>
                </c:pt>
                <c:pt idx="976">
                  <c:v>4.8</c:v>
                </c:pt>
                <c:pt idx="977">
                  <c:v>4.7</c:v>
                </c:pt>
                <c:pt idx="978">
                  <c:v>4.7</c:v>
                </c:pt>
                <c:pt idx="979">
                  <c:v>4.7</c:v>
                </c:pt>
                <c:pt idx="980">
                  <c:v>4.7699999999999996</c:v>
                </c:pt>
                <c:pt idx="981">
                  <c:v>4.7699999999999996</c:v>
                </c:pt>
                <c:pt idx="982">
                  <c:v>4.7699999999999996</c:v>
                </c:pt>
                <c:pt idx="983">
                  <c:v>4.7699999999999996</c:v>
                </c:pt>
                <c:pt idx="984">
                  <c:v>4.7699999999999996</c:v>
                </c:pt>
                <c:pt idx="985">
                  <c:v>4.8099999999999996</c:v>
                </c:pt>
                <c:pt idx="986">
                  <c:v>4.8099999999999996</c:v>
                </c:pt>
                <c:pt idx="987">
                  <c:v>4.63</c:v>
                </c:pt>
                <c:pt idx="988">
                  <c:v>4.63</c:v>
                </c:pt>
                <c:pt idx="989">
                  <c:v>4.63</c:v>
                </c:pt>
                <c:pt idx="990">
                  <c:v>4.53</c:v>
                </c:pt>
                <c:pt idx="991">
                  <c:v>4.51</c:v>
                </c:pt>
                <c:pt idx="992">
                  <c:v>4.51</c:v>
                </c:pt>
                <c:pt idx="993">
                  <c:v>4.51</c:v>
                </c:pt>
                <c:pt idx="994">
                  <c:v>4.51</c:v>
                </c:pt>
                <c:pt idx="995">
                  <c:v>4.41</c:v>
                </c:pt>
                <c:pt idx="996">
                  <c:v>4.41</c:v>
                </c:pt>
                <c:pt idx="997">
                  <c:v>4.41</c:v>
                </c:pt>
                <c:pt idx="998">
                  <c:v>4.41</c:v>
                </c:pt>
                <c:pt idx="999">
                  <c:v>4.26</c:v>
                </c:pt>
                <c:pt idx="1000">
                  <c:v>4.29</c:v>
                </c:pt>
                <c:pt idx="1001">
                  <c:v>4.29</c:v>
                </c:pt>
                <c:pt idx="1002">
                  <c:v>4.2300000000000004</c:v>
                </c:pt>
                <c:pt idx="1003">
                  <c:v>4.13</c:v>
                </c:pt>
                <c:pt idx="1004">
                  <c:v>4.13</c:v>
                </c:pt>
                <c:pt idx="1005">
                  <c:v>4.24</c:v>
                </c:pt>
                <c:pt idx="1006">
                  <c:v>4.24</c:v>
                </c:pt>
                <c:pt idx="1007">
                  <c:v>4.24</c:v>
                </c:pt>
                <c:pt idx="1008">
                  <c:v>4.24</c:v>
                </c:pt>
                <c:pt idx="1009">
                  <c:v>4.0599999999999996</c:v>
                </c:pt>
                <c:pt idx="1010">
                  <c:v>4.0599999999999996</c:v>
                </c:pt>
                <c:pt idx="1011">
                  <c:v>4.09</c:v>
                </c:pt>
                <c:pt idx="1012">
                  <c:v>3.95</c:v>
                </c:pt>
                <c:pt idx="1013">
                  <c:v>3.95</c:v>
                </c:pt>
                <c:pt idx="1014">
                  <c:v>3.6700000000000004</c:v>
                </c:pt>
                <c:pt idx="1015">
                  <c:v>3.74</c:v>
                </c:pt>
                <c:pt idx="1016">
                  <c:v>4.17</c:v>
                </c:pt>
                <c:pt idx="1017">
                  <c:v>4.4000000000000004</c:v>
                </c:pt>
                <c:pt idx="1018">
                  <c:v>4.25</c:v>
                </c:pt>
                <c:pt idx="1019">
                  <c:v>4.25</c:v>
                </c:pt>
                <c:pt idx="1020">
                  <c:v>4.25</c:v>
                </c:pt>
                <c:pt idx="1021">
                  <c:v>4.3899999999999997</c:v>
                </c:pt>
                <c:pt idx="1022">
                  <c:v>4.29</c:v>
                </c:pt>
                <c:pt idx="1023">
                  <c:v>4.29</c:v>
                </c:pt>
                <c:pt idx="1024">
                  <c:v>4.29</c:v>
                </c:pt>
                <c:pt idx="1025">
                  <c:v>4.29</c:v>
                </c:pt>
                <c:pt idx="1026">
                  <c:v>4.4000000000000004</c:v>
                </c:pt>
                <c:pt idx="1027">
                  <c:v>4.4000000000000004</c:v>
                </c:pt>
                <c:pt idx="1028">
                  <c:v>4.4000000000000004</c:v>
                </c:pt>
                <c:pt idx="1029">
                  <c:v>4.3499999999999996</c:v>
                </c:pt>
                <c:pt idx="1030">
                  <c:v>4.3499999999999996</c:v>
                </c:pt>
                <c:pt idx="1031">
                  <c:v>4.2699999999999996</c:v>
                </c:pt>
                <c:pt idx="1032">
                  <c:v>4.2699999999999996</c:v>
                </c:pt>
                <c:pt idx="1033">
                  <c:v>4.16</c:v>
                </c:pt>
                <c:pt idx="1034">
                  <c:v>4.16</c:v>
                </c:pt>
                <c:pt idx="1035">
                  <c:v>4.16</c:v>
                </c:pt>
                <c:pt idx="1036">
                  <c:v>4.16</c:v>
                </c:pt>
                <c:pt idx="1037">
                  <c:v>4.16</c:v>
                </c:pt>
                <c:pt idx="1038">
                  <c:v>4.16</c:v>
                </c:pt>
                <c:pt idx="1039">
                  <c:v>3.57</c:v>
                </c:pt>
                <c:pt idx="1040">
                  <c:v>3.5899999999999994</c:v>
                </c:pt>
                <c:pt idx="1041">
                  <c:v>3.5899999999999994</c:v>
                </c:pt>
                <c:pt idx="1042">
                  <c:v>3.5899999999999994</c:v>
                </c:pt>
                <c:pt idx="1043">
                  <c:v>3.5899999999999994</c:v>
                </c:pt>
                <c:pt idx="1044">
                  <c:v>3.6599999999999997</c:v>
                </c:pt>
                <c:pt idx="1045">
                  <c:v>3.6599999999999997</c:v>
                </c:pt>
                <c:pt idx="1046">
                  <c:v>3.6599999999999997</c:v>
                </c:pt>
                <c:pt idx="1047">
                  <c:v>3.6599999999999997</c:v>
                </c:pt>
                <c:pt idx="1048">
                  <c:v>3.6599999999999997</c:v>
                </c:pt>
                <c:pt idx="1049">
                  <c:v>3.6599999999999997</c:v>
                </c:pt>
                <c:pt idx="1050">
                  <c:v>4.08</c:v>
                </c:pt>
                <c:pt idx="1051">
                  <c:v>4.08</c:v>
                </c:pt>
                <c:pt idx="1052">
                  <c:v>4.2699999999999996</c:v>
                </c:pt>
                <c:pt idx="1053">
                  <c:v>4.1399999999999997</c:v>
                </c:pt>
                <c:pt idx="1054">
                  <c:v>4.1399999999999997</c:v>
                </c:pt>
                <c:pt idx="1055">
                  <c:v>4.1100000000000003</c:v>
                </c:pt>
                <c:pt idx="1056">
                  <c:v>4.18</c:v>
                </c:pt>
                <c:pt idx="1057">
                  <c:v>4.18</c:v>
                </c:pt>
                <c:pt idx="1058">
                  <c:v>4.12</c:v>
                </c:pt>
                <c:pt idx="1059">
                  <c:v>4.12</c:v>
                </c:pt>
                <c:pt idx="1060">
                  <c:v>4.13</c:v>
                </c:pt>
                <c:pt idx="1061">
                  <c:v>4.13</c:v>
                </c:pt>
                <c:pt idx="1062">
                  <c:v>3.9399999999999995</c:v>
                </c:pt>
                <c:pt idx="1063">
                  <c:v>3.9399999999999995</c:v>
                </c:pt>
                <c:pt idx="1064">
                  <c:v>4.05</c:v>
                </c:pt>
                <c:pt idx="1065">
                  <c:v>3.99</c:v>
                </c:pt>
                <c:pt idx="1066">
                  <c:v>3.99</c:v>
                </c:pt>
                <c:pt idx="1067">
                  <c:v>3.99</c:v>
                </c:pt>
                <c:pt idx="1068">
                  <c:v>3.86</c:v>
                </c:pt>
                <c:pt idx="1069">
                  <c:v>3.86</c:v>
                </c:pt>
                <c:pt idx="1070">
                  <c:v>3.86</c:v>
                </c:pt>
                <c:pt idx="1071">
                  <c:v>3.91</c:v>
                </c:pt>
                <c:pt idx="1072">
                  <c:v>3.91</c:v>
                </c:pt>
                <c:pt idx="1073">
                  <c:v>3.91</c:v>
                </c:pt>
                <c:pt idx="1074">
                  <c:v>3.91</c:v>
                </c:pt>
                <c:pt idx="1075">
                  <c:v>3.7900000000000005</c:v>
                </c:pt>
                <c:pt idx="1076">
                  <c:v>3.7900000000000005</c:v>
                </c:pt>
                <c:pt idx="1077">
                  <c:v>3.7900000000000005</c:v>
                </c:pt>
                <c:pt idx="1078">
                  <c:v>3.7900000000000005</c:v>
                </c:pt>
                <c:pt idx="1079">
                  <c:v>3.7900000000000005</c:v>
                </c:pt>
                <c:pt idx="1080">
                  <c:v>3.86</c:v>
                </c:pt>
                <c:pt idx="1081">
                  <c:v>4.13</c:v>
                </c:pt>
                <c:pt idx="1082">
                  <c:v>4.13</c:v>
                </c:pt>
                <c:pt idx="1083">
                  <c:v>4.13</c:v>
                </c:pt>
                <c:pt idx="1084">
                  <c:v>4.13</c:v>
                </c:pt>
                <c:pt idx="1085">
                  <c:v>4.17</c:v>
                </c:pt>
                <c:pt idx="1086">
                  <c:v>4.17</c:v>
                </c:pt>
                <c:pt idx="1087">
                  <c:v>4.17</c:v>
                </c:pt>
                <c:pt idx="1088">
                  <c:v>4.2699999999999996</c:v>
                </c:pt>
                <c:pt idx="1089">
                  <c:v>4.2699999999999996</c:v>
                </c:pt>
                <c:pt idx="1090">
                  <c:v>4.2699999999999996</c:v>
                </c:pt>
                <c:pt idx="1091">
                  <c:v>4.2699999999999996</c:v>
                </c:pt>
                <c:pt idx="1092">
                  <c:v>4.2699999999999996</c:v>
                </c:pt>
                <c:pt idx="1093">
                  <c:v>4.2699999999999996</c:v>
                </c:pt>
                <c:pt idx="1094">
                  <c:v>4.26</c:v>
                </c:pt>
                <c:pt idx="1095">
                  <c:v>4.26</c:v>
                </c:pt>
                <c:pt idx="1096">
                  <c:v>4.26</c:v>
                </c:pt>
                <c:pt idx="1097">
                  <c:v>4.26</c:v>
                </c:pt>
                <c:pt idx="1098">
                  <c:v>4.26</c:v>
                </c:pt>
                <c:pt idx="1099">
                  <c:v>4.26</c:v>
                </c:pt>
                <c:pt idx="1100">
                  <c:v>4.26</c:v>
                </c:pt>
                <c:pt idx="1101">
                  <c:v>4.26</c:v>
                </c:pt>
                <c:pt idx="1102">
                  <c:v>4.26</c:v>
                </c:pt>
                <c:pt idx="1103">
                  <c:v>4.26</c:v>
                </c:pt>
                <c:pt idx="1104">
                  <c:v>4.26</c:v>
                </c:pt>
                <c:pt idx="1105">
                  <c:v>4.26</c:v>
                </c:pt>
                <c:pt idx="1106">
                  <c:v>4.26</c:v>
                </c:pt>
                <c:pt idx="1107">
                  <c:v>4.45</c:v>
                </c:pt>
                <c:pt idx="1108">
                  <c:v>4.45</c:v>
                </c:pt>
                <c:pt idx="1109">
                  <c:v>4.45</c:v>
                </c:pt>
                <c:pt idx="1110">
                  <c:v>4.5199999999999996</c:v>
                </c:pt>
                <c:pt idx="1111">
                  <c:v>4.5199999999999996</c:v>
                </c:pt>
                <c:pt idx="1112">
                  <c:v>4.5199999999999996</c:v>
                </c:pt>
                <c:pt idx="1113">
                  <c:v>4.5199999999999996</c:v>
                </c:pt>
                <c:pt idx="1114">
                  <c:v>4.5199999999999996</c:v>
                </c:pt>
                <c:pt idx="1115">
                  <c:v>4.37</c:v>
                </c:pt>
                <c:pt idx="1116">
                  <c:v>4.3499999999999996</c:v>
                </c:pt>
                <c:pt idx="1117">
                  <c:v>4.25</c:v>
                </c:pt>
                <c:pt idx="1118">
                  <c:v>4.16</c:v>
                </c:pt>
                <c:pt idx="1119">
                  <c:v>4.16</c:v>
                </c:pt>
                <c:pt idx="1120">
                  <c:v>4.08</c:v>
                </c:pt>
                <c:pt idx="1121">
                  <c:v>3.69</c:v>
                </c:pt>
                <c:pt idx="1122">
                  <c:v>3.29</c:v>
                </c:pt>
                <c:pt idx="1123">
                  <c:v>3.29</c:v>
                </c:pt>
                <c:pt idx="1124">
                  <c:v>3.29</c:v>
                </c:pt>
                <c:pt idx="1125">
                  <c:v>3.29</c:v>
                </c:pt>
                <c:pt idx="1126">
                  <c:v>3.29</c:v>
                </c:pt>
                <c:pt idx="1127">
                  <c:v>3.37</c:v>
                </c:pt>
                <c:pt idx="1128">
                  <c:v>3.37</c:v>
                </c:pt>
                <c:pt idx="1129">
                  <c:v>3.37</c:v>
                </c:pt>
                <c:pt idx="1130">
                  <c:v>3.37</c:v>
                </c:pt>
                <c:pt idx="1131">
                  <c:v>3.37</c:v>
                </c:pt>
                <c:pt idx="1132">
                  <c:v>3.37</c:v>
                </c:pt>
                <c:pt idx="1133">
                  <c:v>3.37</c:v>
                </c:pt>
                <c:pt idx="1134">
                  <c:v>3.37</c:v>
                </c:pt>
                <c:pt idx="1135">
                  <c:v>3.39</c:v>
                </c:pt>
                <c:pt idx="1136">
                  <c:v>3.39</c:v>
                </c:pt>
                <c:pt idx="1137">
                  <c:v>3.42</c:v>
                </c:pt>
                <c:pt idx="1138">
                  <c:v>3.42</c:v>
                </c:pt>
                <c:pt idx="1139">
                  <c:v>3.42</c:v>
                </c:pt>
                <c:pt idx="1140">
                  <c:v>3.42</c:v>
                </c:pt>
                <c:pt idx="1141">
                  <c:v>3.42</c:v>
                </c:pt>
                <c:pt idx="1142">
                  <c:v>3.42</c:v>
                </c:pt>
                <c:pt idx="1143">
                  <c:v>3.42</c:v>
                </c:pt>
                <c:pt idx="1144">
                  <c:v>3.42</c:v>
                </c:pt>
                <c:pt idx="1145">
                  <c:v>3.42</c:v>
                </c:pt>
                <c:pt idx="1146">
                  <c:v>3.4</c:v>
                </c:pt>
                <c:pt idx="1147">
                  <c:v>3.4</c:v>
                </c:pt>
                <c:pt idx="1148">
                  <c:v>3.4</c:v>
                </c:pt>
                <c:pt idx="1149">
                  <c:v>3.2800000000000002</c:v>
                </c:pt>
                <c:pt idx="1150">
                  <c:v>3.2800000000000002</c:v>
                </c:pt>
                <c:pt idx="1151">
                  <c:v>3.2800000000000002</c:v>
                </c:pt>
                <c:pt idx="1152">
                  <c:v>3.11</c:v>
                </c:pt>
                <c:pt idx="1153">
                  <c:v>3.11</c:v>
                </c:pt>
                <c:pt idx="1154">
                  <c:v>3.5</c:v>
                </c:pt>
                <c:pt idx="1155">
                  <c:v>3.19</c:v>
                </c:pt>
                <c:pt idx="1156">
                  <c:v>3.14</c:v>
                </c:pt>
                <c:pt idx="1157">
                  <c:v>3.14</c:v>
                </c:pt>
                <c:pt idx="1158">
                  <c:v>3.07</c:v>
                </c:pt>
                <c:pt idx="1159">
                  <c:v>2.74</c:v>
                </c:pt>
                <c:pt idx="1160">
                  <c:v>2.74</c:v>
                </c:pt>
                <c:pt idx="1161">
                  <c:v>2.74</c:v>
                </c:pt>
                <c:pt idx="1162">
                  <c:v>2.73</c:v>
                </c:pt>
                <c:pt idx="1163">
                  <c:v>2.73</c:v>
                </c:pt>
                <c:pt idx="1164">
                  <c:v>2.73</c:v>
                </c:pt>
                <c:pt idx="1165">
                  <c:v>2.73</c:v>
                </c:pt>
                <c:pt idx="1166">
                  <c:v>2.73</c:v>
                </c:pt>
                <c:pt idx="1167">
                  <c:v>2.73</c:v>
                </c:pt>
                <c:pt idx="1168">
                  <c:v>2.84</c:v>
                </c:pt>
                <c:pt idx="1169">
                  <c:v>2.84</c:v>
                </c:pt>
                <c:pt idx="1170">
                  <c:v>2.84</c:v>
                </c:pt>
                <c:pt idx="1171">
                  <c:v>2.95</c:v>
                </c:pt>
                <c:pt idx="1172">
                  <c:v>2.95</c:v>
                </c:pt>
                <c:pt idx="1173">
                  <c:v>2.95</c:v>
                </c:pt>
                <c:pt idx="1174">
                  <c:v>2.95</c:v>
                </c:pt>
                <c:pt idx="1175">
                  <c:v>2.95</c:v>
                </c:pt>
                <c:pt idx="1176">
                  <c:v>2.95</c:v>
                </c:pt>
                <c:pt idx="1177">
                  <c:v>2.85</c:v>
                </c:pt>
                <c:pt idx="1178">
                  <c:v>2.85</c:v>
                </c:pt>
                <c:pt idx="1179">
                  <c:v>2.85</c:v>
                </c:pt>
                <c:pt idx="1180">
                  <c:v>2.85</c:v>
                </c:pt>
                <c:pt idx="1181">
                  <c:v>2.85</c:v>
                </c:pt>
                <c:pt idx="1182">
                  <c:v>2.85</c:v>
                </c:pt>
                <c:pt idx="1183">
                  <c:v>2.77</c:v>
                </c:pt>
                <c:pt idx="1184">
                  <c:v>2.91</c:v>
                </c:pt>
                <c:pt idx="1185">
                  <c:v>2.91</c:v>
                </c:pt>
                <c:pt idx="1186">
                  <c:v>2.91</c:v>
                </c:pt>
                <c:pt idx="1187">
                  <c:v>3.09</c:v>
                </c:pt>
                <c:pt idx="1188">
                  <c:v>3.09</c:v>
                </c:pt>
                <c:pt idx="1189">
                  <c:v>3.09</c:v>
                </c:pt>
                <c:pt idx="1190">
                  <c:v>3.09</c:v>
                </c:pt>
                <c:pt idx="1191">
                  <c:v>3.44</c:v>
                </c:pt>
                <c:pt idx="1192">
                  <c:v>3.3</c:v>
                </c:pt>
                <c:pt idx="1193">
                  <c:v>3.3</c:v>
                </c:pt>
                <c:pt idx="1194">
                  <c:v>3.33</c:v>
                </c:pt>
                <c:pt idx="1195">
                  <c:v>3.33</c:v>
                </c:pt>
                <c:pt idx="1196">
                  <c:v>3.16</c:v>
                </c:pt>
                <c:pt idx="1197">
                  <c:v>3.16</c:v>
                </c:pt>
                <c:pt idx="1198">
                  <c:v>3.16</c:v>
                </c:pt>
                <c:pt idx="1199">
                  <c:v>3.16</c:v>
                </c:pt>
                <c:pt idx="1200">
                  <c:v>2.95</c:v>
                </c:pt>
                <c:pt idx="1201">
                  <c:v>2.95</c:v>
                </c:pt>
                <c:pt idx="1202">
                  <c:v>2.95</c:v>
                </c:pt>
                <c:pt idx="1203">
                  <c:v>2.95</c:v>
                </c:pt>
                <c:pt idx="1204">
                  <c:v>2.95</c:v>
                </c:pt>
                <c:pt idx="1205">
                  <c:v>2.95</c:v>
                </c:pt>
                <c:pt idx="1206">
                  <c:v>2.95</c:v>
                </c:pt>
                <c:pt idx="1207">
                  <c:v>2.95</c:v>
                </c:pt>
                <c:pt idx="1208">
                  <c:v>2.96</c:v>
                </c:pt>
                <c:pt idx="1209">
                  <c:v>3.09</c:v>
                </c:pt>
                <c:pt idx="1210">
                  <c:v>3.09</c:v>
                </c:pt>
                <c:pt idx="1211">
                  <c:v>3.09</c:v>
                </c:pt>
                <c:pt idx="1212">
                  <c:v>3.09</c:v>
                </c:pt>
                <c:pt idx="1213">
                  <c:v>3.09</c:v>
                </c:pt>
                <c:pt idx="1214">
                  <c:v>3.09</c:v>
                </c:pt>
                <c:pt idx="1215">
                  <c:v>3.09</c:v>
                </c:pt>
                <c:pt idx="1216">
                  <c:v>3.09</c:v>
                </c:pt>
                <c:pt idx="1217">
                  <c:v>3.09</c:v>
                </c:pt>
                <c:pt idx="1218">
                  <c:v>3.09</c:v>
                </c:pt>
                <c:pt idx="1219">
                  <c:v>3.09</c:v>
                </c:pt>
                <c:pt idx="1220">
                  <c:v>3.02</c:v>
                </c:pt>
                <c:pt idx="1221">
                  <c:v>3.02</c:v>
                </c:pt>
                <c:pt idx="1222">
                  <c:v>3.02</c:v>
                </c:pt>
                <c:pt idx="1223">
                  <c:v>3.02</c:v>
                </c:pt>
                <c:pt idx="1224">
                  <c:v>3.02</c:v>
                </c:pt>
                <c:pt idx="1225">
                  <c:v>3.04</c:v>
                </c:pt>
                <c:pt idx="1226">
                  <c:v>3.04</c:v>
                </c:pt>
                <c:pt idx="1227">
                  <c:v>3.68</c:v>
                </c:pt>
                <c:pt idx="1228">
                  <c:v>3.68</c:v>
                </c:pt>
                <c:pt idx="1229">
                  <c:v>3.68</c:v>
                </c:pt>
                <c:pt idx="1230">
                  <c:v>4.32</c:v>
                </c:pt>
                <c:pt idx="1231">
                  <c:v>4.75</c:v>
                </c:pt>
                <c:pt idx="1232">
                  <c:v>4.75</c:v>
                </c:pt>
                <c:pt idx="1233">
                  <c:v>4.8600000000000003</c:v>
                </c:pt>
                <c:pt idx="1234">
                  <c:v>4.8600000000000003</c:v>
                </c:pt>
                <c:pt idx="1235">
                  <c:v>4.8600000000000003</c:v>
                </c:pt>
                <c:pt idx="1236">
                  <c:v>4.78</c:v>
                </c:pt>
                <c:pt idx="1237">
                  <c:v>4.78</c:v>
                </c:pt>
                <c:pt idx="1238">
                  <c:v>4.78</c:v>
                </c:pt>
                <c:pt idx="1239">
                  <c:v>4.78</c:v>
                </c:pt>
                <c:pt idx="1240">
                  <c:v>4.76</c:v>
                </c:pt>
                <c:pt idx="1241">
                  <c:v>4.76</c:v>
                </c:pt>
                <c:pt idx="1242">
                  <c:v>5.28</c:v>
                </c:pt>
                <c:pt idx="1243">
                  <c:v>5.28</c:v>
                </c:pt>
                <c:pt idx="1244">
                  <c:v>5.28</c:v>
                </c:pt>
                <c:pt idx="1245">
                  <c:v>5.28</c:v>
                </c:pt>
                <c:pt idx="1246">
                  <c:v>5.28</c:v>
                </c:pt>
                <c:pt idx="1247">
                  <c:v>5.88</c:v>
                </c:pt>
                <c:pt idx="1248">
                  <c:v>5.88</c:v>
                </c:pt>
                <c:pt idx="1249">
                  <c:v>5.88</c:v>
                </c:pt>
                <c:pt idx="1250">
                  <c:v>5.75</c:v>
                </c:pt>
                <c:pt idx="1251">
                  <c:v>5.75</c:v>
                </c:pt>
                <c:pt idx="1252">
                  <c:v>5.75</c:v>
                </c:pt>
                <c:pt idx="1253">
                  <c:v>5.75</c:v>
                </c:pt>
                <c:pt idx="1254">
                  <c:v>5.75</c:v>
                </c:pt>
                <c:pt idx="1255">
                  <c:v>5.75</c:v>
                </c:pt>
                <c:pt idx="1256">
                  <c:v>5.29</c:v>
                </c:pt>
                <c:pt idx="1257">
                  <c:v>5.29</c:v>
                </c:pt>
                <c:pt idx="1258">
                  <c:v>5.29</c:v>
                </c:pt>
                <c:pt idx="1259">
                  <c:v>5.29</c:v>
                </c:pt>
                <c:pt idx="1260">
                  <c:v>5.29</c:v>
                </c:pt>
                <c:pt idx="1261">
                  <c:v>5.29</c:v>
                </c:pt>
                <c:pt idx="1262">
                  <c:v>5.39</c:v>
                </c:pt>
                <c:pt idx="1263">
                  <c:v>5.36</c:v>
                </c:pt>
                <c:pt idx="1264">
                  <c:v>5.38</c:v>
                </c:pt>
                <c:pt idx="1265">
                  <c:v>5.41</c:v>
                </c:pt>
                <c:pt idx="1266">
                  <c:v>5.41</c:v>
                </c:pt>
                <c:pt idx="1267">
                  <c:v>5.41</c:v>
                </c:pt>
                <c:pt idx="1268">
                  <c:v>5.71</c:v>
                </c:pt>
                <c:pt idx="1269">
                  <c:v>5.71</c:v>
                </c:pt>
                <c:pt idx="1270">
                  <c:v>5.71</c:v>
                </c:pt>
                <c:pt idx="1271">
                  <c:v>5.71</c:v>
                </c:pt>
                <c:pt idx="1272">
                  <c:v>5.71</c:v>
                </c:pt>
                <c:pt idx="1273">
                  <c:v>5.71</c:v>
                </c:pt>
                <c:pt idx="1274">
                  <c:v>5.86</c:v>
                </c:pt>
                <c:pt idx="1275">
                  <c:v>5.86</c:v>
                </c:pt>
                <c:pt idx="1276">
                  <c:v>5.86</c:v>
                </c:pt>
                <c:pt idx="1277">
                  <c:v>5.86</c:v>
                </c:pt>
                <c:pt idx="1278">
                  <c:v>5.86</c:v>
                </c:pt>
                <c:pt idx="1279">
                  <c:v>5.86</c:v>
                </c:pt>
                <c:pt idx="1280">
                  <c:v>5.86</c:v>
                </c:pt>
                <c:pt idx="1281">
                  <c:v>5.86</c:v>
                </c:pt>
                <c:pt idx="1282">
                  <c:v>5.86</c:v>
                </c:pt>
                <c:pt idx="1283">
                  <c:v>6.34</c:v>
                </c:pt>
                <c:pt idx="1284">
                  <c:v>6.34</c:v>
                </c:pt>
                <c:pt idx="1285">
                  <c:v>6.34</c:v>
                </c:pt>
                <c:pt idx="1286">
                  <c:v>6.34</c:v>
                </c:pt>
                <c:pt idx="1287">
                  <c:v>6.34</c:v>
                </c:pt>
                <c:pt idx="1288">
                  <c:v>6.34</c:v>
                </c:pt>
                <c:pt idx="1289">
                  <c:v>6.34</c:v>
                </c:pt>
                <c:pt idx="1290">
                  <c:v>6.34</c:v>
                </c:pt>
                <c:pt idx="1291">
                  <c:v>6.05</c:v>
                </c:pt>
                <c:pt idx="1292">
                  <c:v>6.05</c:v>
                </c:pt>
                <c:pt idx="1293">
                  <c:v>5.42</c:v>
                </c:pt>
                <c:pt idx="1294">
                  <c:v>5.42</c:v>
                </c:pt>
                <c:pt idx="1295">
                  <c:v>5.56</c:v>
                </c:pt>
                <c:pt idx="1296">
                  <c:v>5.56</c:v>
                </c:pt>
                <c:pt idx="1297">
                  <c:v>5.56</c:v>
                </c:pt>
                <c:pt idx="1298">
                  <c:v>5.56</c:v>
                </c:pt>
                <c:pt idx="1299">
                  <c:v>5.55</c:v>
                </c:pt>
                <c:pt idx="1300">
                  <c:v>5.74</c:v>
                </c:pt>
                <c:pt idx="1301">
                  <c:v>5.74</c:v>
                </c:pt>
                <c:pt idx="1302">
                  <c:v>5.61</c:v>
                </c:pt>
                <c:pt idx="1303">
                  <c:v>5.61</c:v>
                </c:pt>
                <c:pt idx="1304">
                  <c:v>5.61</c:v>
                </c:pt>
                <c:pt idx="1305">
                  <c:v>5.61</c:v>
                </c:pt>
                <c:pt idx="1306">
                  <c:v>5.61</c:v>
                </c:pt>
                <c:pt idx="1307">
                  <c:v>5.61</c:v>
                </c:pt>
                <c:pt idx="1308">
                  <c:v>5.38</c:v>
                </c:pt>
                <c:pt idx="1309">
                  <c:v>5.38</c:v>
                </c:pt>
                <c:pt idx="1310">
                  <c:v>5.38</c:v>
                </c:pt>
                <c:pt idx="1311">
                  <c:v>5.38</c:v>
                </c:pt>
                <c:pt idx="1312">
                  <c:v>5.38</c:v>
                </c:pt>
                <c:pt idx="1313">
                  <c:v>5.2</c:v>
                </c:pt>
                <c:pt idx="1314">
                  <c:v>5.2</c:v>
                </c:pt>
                <c:pt idx="1315">
                  <c:v>5.2</c:v>
                </c:pt>
                <c:pt idx="1316">
                  <c:v>5.2</c:v>
                </c:pt>
                <c:pt idx="1317">
                  <c:v>5.2</c:v>
                </c:pt>
                <c:pt idx="1318">
                  <c:v>5.2</c:v>
                </c:pt>
                <c:pt idx="1319">
                  <c:v>5.2</c:v>
                </c:pt>
                <c:pt idx="1320">
                  <c:v>5.2</c:v>
                </c:pt>
                <c:pt idx="1321">
                  <c:v>5.41</c:v>
                </c:pt>
                <c:pt idx="1322">
                  <c:v>5.41</c:v>
                </c:pt>
                <c:pt idx="1323">
                  <c:v>5.41</c:v>
                </c:pt>
                <c:pt idx="1324">
                  <c:v>5.41</c:v>
                </c:pt>
                <c:pt idx="1325">
                  <c:v>5.41</c:v>
                </c:pt>
                <c:pt idx="1326">
                  <c:v>5.41</c:v>
                </c:pt>
                <c:pt idx="1327">
                  <c:v>5.56</c:v>
                </c:pt>
                <c:pt idx="1328">
                  <c:v>5.56</c:v>
                </c:pt>
                <c:pt idx="1329">
                  <c:v>5.56</c:v>
                </c:pt>
                <c:pt idx="1330">
                  <c:v>5.56</c:v>
                </c:pt>
                <c:pt idx="1331">
                  <c:v>5.56</c:v>
                </c:pt>
                <c:pt idx="1332">
                  <c:v>5.56</c:v>
                </c:pt>
                <c:pt idx="1333">
                  <c:v>5.56</c:v>
                </c:pt>
                <c:pt idx="1334">
                  <c:v>5.56</c:v>
                </c:pt>
              </c:numCache>
            </c:numRef>
          </c:xVal>
          <c:yVal>
            <c:numRef>
              <c:f>'3.1 Past Rate Cases Regression'!$H$4:$H$1338</c:f>
              <c:numCache>
                <c:formatCode>#,##0.00_);\(#,##0.00\)</c:formatCode>
                <c:ptCount val="1335"/>
                <c:pt idx="0">
                  <c:v>12.55</c:v>
                </c:pt>
                <c:pt idx="1">
                  <c:v>13.75</c:v>
                </c:pt>
                <c:pt idx="2">
                  <c:v>13.2</c:v>
                </c:pt>
                <c:pt idx="3">
                  <c:v>14</c:v>
                </c:pt>
                <c:pt idx="4">
                  <c:v>12.61</c:v>
                </c:pt>
                <c:pt idx="5">
                  <c:v>14.5</c:v>
                </c:pt>
                <c:pt idx="6">
                  <c:v>13</c:v>
                </c:pt>
                <c:pt idx="7">
                  <c:v>13</c:v>
                </c:pt>
                <c:pt idx="8">
                  <c:v>14</c:v>
                </c:pt>
                <c:pt idx="9">
                  <c:v>14</c:v>
                </c:pt>
                <c:pt idx="10">
                  <c:v>13.5</c:v>
                </c:pt>
                <c:pt idx="11">
                  <c:v>14</c:v>
                </c:pt>
                <c:pt idx="12">
                  <c:v>12.69</c:v>
                </c:pt>
                <c:pt idx="13">
                  <c:v>14.75</c:v>
                </c:pt>
                <c:pt idx="14">
                  <c:v>12.5</c:v>
                </c:pt>
                <c:pt idx="15">
                  <c:v>14.27</c:v>
                </c:pt>
                <c:pt idx="16">
                  <c:v>13.75</c:v>
                </c:pt>
                <c:pt idx="17">
                  <c:v>15.5</c:v>
                </c:pt>
                <c:pt idx="18">
                  <c:v>14.6</c:v>
                </c:pt>
                <c:pt idx="19">
                  <c:v>16</c:v>
                </c:pt>
                <c:pt idx="20">
                  <c:v>13.78</c:v>
                </c:pt>
                <c:pt idx="21">
                  <c:v>14.25</c:v>
                </c:pt>
                <c:pt idx="22">
                  <c:v>14.51</c:v>
                </c:pt>
                <c:pt idx="23">
                  <c:v>12.9</c:v>
                </c:pt>
                <c:pt idx="24">
                  <c:v>13.8</c:v>
                </c:pt>
                <c:pt idx="25">
                  <c:v>14.1</c:v>
                </c:pt>
                <c:pt idx="26">
                  <c:v>14.19</c:v>
                </c:pt>
                <c:pt idx="27">
                  <c:v>12.5</c:v>
                </c:pt>
                <c:pt idx="28">
                  <c:v>14.85</c:v>
                </c:pt>
                <c:pt idx="29">
                  <c:v>13.03</c:v>
                </c:pt>
                <c:pt idx="30">
                  <c:v>14</c:v>
                </c:pt>
                <c:pt idx="31">
                  <c:v>13.61</c:v>
                </c:pt>
                <c:pt idx="32">
                  <c:v>14</c:v>
                </c:pt>
                <c:pt idx="33">
                  <c:v>15</c:v>
                </c:pt>
                <c:pt idx="34">
                  <c:v>14.5</c:v>
                </c:pt>
                <c:pt idx="35">
                  <c:v>14.5</c:v>
                </c:pt>
                <c:pt idx="36">
                  <c:v>14</c:v>
                </c:pt>
                <c:pt idx="37">
                  <c:v>15.2</c:v>
                </c:pt>
                <c:pt idx="38">
                  <c:v>15.2</c:v>
                </c:pt>
                <c:pt idx="39">
                  <c:v>13</c:v>
                </c:pt>
                <c:pt idx="40">
                  <c:v>12</c:v>
                </c:pt>
                <c:pt idx="41">
                  <c:v>14.5</c:v>
                </c:pt>
                <c:pt idx="42">
                  <c:v>15</c:v>
                </c:pt>
                <c:pt idx="43">
                  <c:v>14.35</c:v>
                </c:pt>
                <c:pt idx="44">
                  <c:v>13.25</c:v>
                </c:pt>
                <c:pt idx="45">
                  <c:v>15.5</c:v>
                </c:pt>
                <c:pt idx="46">
                  <c:v>13.5</c:v>
                </c:pt>
                <c:pt idx="47">
                  <c:v>14.6</c:v>
                </c:pt>
                <c:pt idx="48">
                  <c:v>16.399999999999999</c:v>
                </c:pt>
                <c:pt idx="49">
                  <c:v>15.45</c:v>
                </c:pt>
                <c:pt idx="50">
                  <c:v>14.4</c:v>
                </c:pt>
                <c:pt idx="51">
                  <c:v>14.2</c:v>
                </c:pt>
                <c:pt idx="52">
                  <c:v>14</c:v>
                </c:pt>
                <c:pt idx="53">
                  <c:v>13.45</c:v>
                </c:pt>
                <c:pt idx="54">
                  <c:v>14</c:v>
                </c:pt>
                <c:pt idx="55">
                  <c:v>14.5</c:v>
                </c:pt>
                <c:pt idx="56">
                  <c:v>14.56</c:v>
                </c:pt>
                <c:pt idx="57">
                  <c:v>14.3</c:v>
                </c:pt>
                <c:pt idx="58">
                  <c:v>14.95</c:v>
                </c:pt>
                <c:pt idx="59">
                  <c:v>15.25</c:v>
                </c:pt>
                <c:pt idx="60">
                  <c:v>13.25</c:v>
                </c:pt>
                <c:pt idx="61">
                  <c:v>14.5</c:v>
                </c:pt>
                <c:pt idx="62">
                  <c:v>14.5</c:v>
                </c:pt>
                <c:pt idx="63">
                  <c:v>15.65</c:v>
                </c:pt>
                <c:pt idx="64">
                  <c:v>15.3</c:v>
                </c:pt>
                <c:pt idx="65">
                  <c:v>15.3</c:v>
                </c:pt>
                <c:pt idx="66">
                  <c:v>15</c:v>
                </c:pt>
                <c:pt idx="67">
                  <c:v>14.25</c:v>
                </c:pt>
                <c:pt idx="68">
                  <c:v>13.5</c:v>
                </c:pt>
                <c:pt idx="69">
                  <c:v>15</c:v>
                </c:pt>
                <c:pt idx="70">
                  <c:v>13.6</c:v>
                </c:pt>
                <c:pt idx="71">
                  <c:v>14</c:v>
                </c:pt>
                <c:pt idx="72">
                  <c:v>14.67</c:v>
                </c:pt>
                <c:pt idx="73">
                  <c:v>16</c:v>
                </c:pt>
                <c:pt idx="74">
                  <c:v>14.75</c:v>
                </c:pt>
                <c:pt idx="75">
                  <c:v>14</c:v>
                </c:pt>
                <c:pt idx="76">
                  <c:v>16</c:v>
                </c:pt>
                <c:pt idx="77">
                  <c:v>16.899999999999999</c:v>
                </c:pt>
                <c:pt idx="78">
                  <c:v>15.78</c:v>
                </c:pt>
                <c:pt idx="79">
                  <c:v>15.5</c:v>
                </c:pt>
                <c:pt idx="80">
                  <c:v>13.77</c:v>
                </c:pt>
                <c:pt idx="81">
                  <c:v>14.2</c:v>
                </c:pt>
                <c:pt idx="82">
                  <c:v>13.5</c:v>
                </c:pt>
                <c:pt idx="83">
                  <c:v>14.41</c:v>
                </c:pt>
                <c:pt idx="84">
                  <c:v>13.72</c:v>
                </c:pt>
                <c:pt idx="85">
                  <c:v>13.72</c:v>
                </c:pt>
                <c:pt idx="86">
                  <c:v>15.45</c:v>
                </c:pt>
                <c:pt idx="87">
                  <c:v>14.43</c:v>
                </c:pt>
                <c:pt idx="88">
                  <c:v>15</c:v>
                </c:pt>
                <c:pt idx="89">
                  <c:v>14.34</c:v>
                </c:pt>
                <c:pt idx="90">
                  <c:v>16.25</c:v>
                </c:pt>
                <c:pt idx="91">
                  <c:v>14.5</c:v>
                </c:pt>
                <c:pt idx="92">
                  <c:v>15.94</c:v>
                </c:pt>
                <c:pt idx="93">
                  <c:v>14.8</c:v>
                </c:pt>
                <c:pt idx="94">
                  <c:v>16.25</c:v>
                </c:pt>
                <c:pt idx="95">
                  <c:v>17</c:v>
                </c:pt>
                <c:pt idx="96">
                  <c:v>16.5</c:v>
                </c:pt>
                <c:pt idx="97">
                  <c:v>15.25</c:v>
                </c:pt>
                <c:pt idx="98">
                  <c:v>15.5</c:v>
                </c:pt>
                <c:pt idx="99">
                  <c:v>13.5</c:v>
                </c:pt>
                <c:pt idx="100">
                  <c:v>16.5</c:v>
                </c:pt>
                <c:pt idx="101">
                  <c:v>15.33</c:v>
                </c:pt>
                <c:pt idx="102">
                  <c:v>15.17</c:v>
                </c:pt>
                <c:pt idx="103">
                  <c:v>15</c:v>
                </c:pt>
                <c:pt idx="104">
                  <c:v>16.100000000000001</c:v>
                </c:pt>
                <c:pt idx="105">
                  <c:v>16.100000000000001</c:v>
                </c:pt>
                <c:pt idx="106">
                  <c:v>15.25</c:v>
                </c:pt>
                <c:pt idx="107">
                  <c:v>16.75</c:v>
                </c:pt>
                <c:pt idx="108">
                  <c:v>16</c:v>
                </c:pt>
                <c:pt idx="109">
                  <c:v>15.7</c:v>
                </c:pt>
                <c:pt idx="110">
                  <c:v>15.81</c:v>
                </c:pt>
                <c:pt idx="111">
                  <c:v>14.75</c:v>
                </c:pt>
                <c:pt idx="112">
                  <c:v>16</c:v>
                </c:pt>
                <c:pt idx="113">
                  <c:v>15.7</c:v>
                </c:pt>
                <c:pt idx="114">
                  <c:v>16.25</c:v>
                </c:pt>
                <c:pt idx="115">
                  <c:v>16</c:v>
                </c:pt>
                <c:pt idx="116">
                  <c:v>15.5</c:v>
                </c:pt>
                <c:pt idx="117">
                  <c:v>11.95</c:v>
                </c:pt>
                <c:pt idx="118">
                  <c:v>16.25</c:v>
                </c:pt>
                <c:pt idx="119">
                  <c:v>16.84</c:v>
                </c:pt>
                <c:pt idx="120">
                  <c:v>14</c:v>
                </c:pt>
                <c:pt idx="121">
                  <c:v>16.239999999999998</c:v>
                </c:pt>
                <c:pt idx="122">
                  <c:v>15.5</c:v>
                </c:pt>
                <c:pt idx="123">
                  <c:v>15.75</c:v>
                </c:pt>
                <c:pt idx="124">
                  <c:v>14.95</c:v>
                </c:pt>
                <c:pt idx="125">
                  <c:v>16</c:v>
                </c:pt>
                <c:pt idx="126">
                  <c:v>15.96</c:v>
                </c:pt>
                <c:pt idx="127">
                  <c:v>15</c:v>
                </c:pt>
                <c:pt idx="128">
                  <c:v>17.100000000000001</c:v>
                </c:pt>
                <c:pt idx="129">
                  <c:v>16</c:v>
                </c:pt>
                <c:pt idx="130">
                  <c:v>16.25</c:v>
                </c:pt>
                <c:pt idx="131">
                  <c:v>16.5</c:v>
                </c:pt>
                <c:pt idx="132">
                  <c:v>15</c:v>
                </c:pt>
                <c:pt idx="133">
                  <c:v>16.5</c:v>
                </c:pt>
                <c:pt idx="134">
                  <c:v>16.7</c:v>
                </c:pt>
                <c:pt idx="135">
                  <c:v>15.1</c:v>
                </c:pt>
                <c:pt idx="136">
                  <c:v>14.7</c:v>
                </c:pt>
                <c:pt idx="137">
                  <c:v>15</c:v>
                </c:pt>
                <c:pt idx="138">
                  <c:v>14.57</c:v>
                </c:pt>
                <c:pt idx="139">
                  <c:v>15.8</c:v>
                </c:pt>
                <c:pt idx="140">
                  <c:v>15.82</c:v>
                </c:pt>
                <c:pt idx="141">
                  <c:v>15.5</c:v>
                </c:pt>
                <c:pt idx="142">
                  <c:v>16.25</c:v>
                </c:pt>
                <c:pt idx="143">
                  <c:v>14.5</c:v>
                </c:pt>
                <c:pt idx="144">
                  <c:v>16</c:v>
                </c:pt>
                <c:pt idx="145">
                  <c:v>15.5</c:v>
                </c:pt>
                <c:pt idx="146">
                  <c:v>16.5</c:v>
                </c:pt>
                <c:pt idx="147">
                  <c:v>16</c:v>
                </c:pt>
                <c:pt idx="148">
                  <c:v>15.55</c:v>
                </c:pt>
                <c:pt idx="149">
                  <c:v>15.1</c:v>
                </c:pt>
                <c:pt idx="150">
                  <c:v>16.8</c:v>
                </c:pt>
                <c:pt idx="151">
                  <c:v>14.5</c:v>
                </c:pt>
                <c:pt idx="152">
                  <c:v>16.100000000000001</c:v>
                </c:pt>
                <c:pt idx="153">
                  <c:v>14.82</c:v>
                </c:pt>
                <c:pt idx="154">
                  <c:v>15.58</c:v>
                </c:pt>
                <c:pt idx="155">
                  <c:v>16.5</c:v>
                </c:pt>
                <c:pt idx="156">
                  <c:v>17.11</c:v>
                </c:pt>
                <c:pt idx="157">
                  <c:v>16</c:v>
                </c:pt>
                <c:pt idx="158">
                  <c:v>16.25</c:v>
                </c:pt>
                <c:pt idx="159">
                  <c:v>15.5</c:v>
                </c:pt>
                <c:pt idx="160">
                  <c:v>16.04</c:v>
                </c:pt>
                <c:pt idx="161">
                  <c:v>16.04</c:v>
                </c:pt>
                <c:pt idx="162">
                  <c:v>15.25</c:v>
                </c:pt>
                <c:pt idx="163">
                  <c:v>14.5</c:v>
                </c:pt>
                <c:pt idx="164">
                  <c:v>16.7</c:v>
                </c:pt>
                <c:pt idx="165">
                  <c:v>16.5</c:v>
                </c:pt>
                <c:pt idx="166">
                  <c:v>15.5</c:v>
                </c:pt>
                <c:pt idx="167">
                  <c:v>14.74</c:v>
                </c:pt>
                <c:pt idx="168">
                  <c:v>16.5</c:v>
                </c:pt>
                <c:pt idx="169">
                  <c:v>15</c:v>
                </c:pt>
                <c:pt idx="170">
                  <c:v>15.9</c:v>
                </c:pt>
                <c:pt idx="171">
                  <c:v>15.9</c:v>
                </c:pt>
                <c:pt idx="172">
                  <c:v>17</c:v>
                </c:pt>
                <c:pt idx="173">
                  <c:v>14.75</c:v>
                </c:pt>
                <c:pt idx="174">
                  <c:v>16.25</c:v>
                </c:pt>
                <c:pt idx="175">
                  <c:v>15.75</c:v>
                </c:pt>
                <c:pt idx="176">
                  <c:v>14.73</c:v>
                </c:pt>
                <c:pt idx="177">
                  <c:v>16</c:v>
                </c:pt>
                <c:pt idx="178">
                  <c:v>15.5</c:v>
                </c:pt>
                <c:pt idx="179">
                  <c:v>16.02</c:v>
                </c:pt>
                <c:pt idx="180">
                  <c:v>14.5</c:v>
                </c:pt>
                <c:pt idx="181">
                  <c:v>16.100000000000001</c:v>
                </c:pt>
                <c:pt idx="182">
                  <c:v>16</c:v>
                </c:pt>
                <c:pt idx="183">
                  <c:v>15.65</c:v>
                </c:pt>
                <c:pt idx="184">
                  <c:v>15.5</c:v>
                </c:pt>
                <c:pt idx="185">
                  <c:v>15.5</c:v>
                </c:pt>
                <c:pt idx="186">
                  <c:v>12.98</c:v>
                </c:pt>
                <c:pt idx="187">
                  <c:v>15.33</c:v>
                </c:pt>
                <c:pt idx="188">
                  <c:v>15.75</c:v>
                </c:pt>
                <c:pt idx="189">
                  <c:v>16</c:v>
                </c:pt>
                <c:pt idx="190">
                  <c:v>16.399999999999999</c:v>
                </c:pt>
                <c:pt idx="191">
                  <c:v>16.25</c:v>
                </c:pt>
                <c:pt idx="192">
                  <c:v>15</c:v>
                </c:pt>
                <c:pt idx="193">
                  <c:v>15.7</c:v>
                </c:pt>
                <c:pt idx="194">
                  <c:v>15.25</c:v>
                </c:pt>
                <c:pt idx="195">
                  <c:v>15.25</c:v>
                </c:pt>
                <c:pt idx="196">
                  <c:v>16.25</c:v>
                </c:pt>
                <c:pt idx="197">
                  <c:v>16.25</c:v>
                </c:pt>
                <c:pt idx="198">
                  <c:v>15.9</c:v>
                </c:pt>
                <c:pt idx="199">
                  <c:v>15.5</c:v>
                </c:pt>
                <c:pt idx="200">
                  <c:v>15</c:v>
                </c:pt>
                <c:pt idx="201">
                  <c:v>16</c:v>
                </c:pt>
                <c:pt idx="202">
                  <c:v>15.5</c:v>
                </c:pt>
                <c:pt idx="203">
                  <c:v>14.9</c:v>
                </c:pt>
                <c:pt idx="204">
                  <c:v>15</c:v>
                </c:pt>
                <c:pt idx="205">
                  <c:v>15</c:v>
                </c:pt>
                <c:pt idx="206">
                  <c:v>15.7</c:v>
                </c:pt>
                <c:pt idx="207">
                  <c:v>15.25</c:v>
                </c:pt>
                <c:pt idx="208">
                  <c:v>16</c:v>
                </c:pt>
                <c:pt idx="209">
                  <c:v>14.96</c:v>
                </c:pt>
                <c:pt idx="210">
                  <c:v>16.100000000000001</c:v>
                </c:pt>
                <c:pt idx="211">
                  <c:v>15.4</c:v>
                </c:pt>
                <c:pt idx="212">
                  <c:v>15</c:v>
                </c:pt>
                <c:pt idx="213">
                  <c:v>13.25</c:v>
                </c:pt>
                <c:pt idx="214">
                  <c:v>15.05</c:v>
                </c:pt>
                <c:pt idx="215">
                  <c:v>15.4</c:v>
                </c:pt>
                <c:pt idx="216">
                  <c:v>15.5</c:v>
                </c:pt>
                <c:pt idx="217">
                  <c:v>14.85</c:v>
                </c:pt>
                <c:pt idx="218">
                  <c:v>14</c:v>
                </c:pt>
                <c:pt idx="219">
                  <c:v>14.5</c:v>
                </c:pt>
                <c:pt idx="220">
                  <c:v>14.5</c:v>
                </c:pt>
                <c:pt idx="221">
                  <c:v>14.85</c:v>
                </c:pt>
                <c:pt idx="222">
                  <c:v>16.5</c:v>
                </c:pt>
                <c:pt idx="223">
                  <c:v>14.15</c:v>
                </c:pt>
                <c:pt idx="224">
                  <c:v>14.5</c:v>
                </c:pt>
                <c:pt idx="225">
                  <c:v>15.9</c:v>
                </c:pt>
                <c:pt idx="226">
                  <c:v>14.8</c:v>
                </c:pt>
                <c:pt idx="227">
                  <c:v>14.8</c:v>
                </c:pt>
                <c:pt idx="228">
                  <c:v>15</c:v>
                </c:pt>
                <c:pt idx="229">
                  <c:v>15.5</c:v>
                </c:pt>
                <c:pt idx="230">
                  <c:v>15.1</c:v>
                </c:pt>
                <c:pt idx="231">
                  <c:v>15</c:v>
                </c:pt>
                <c:pt idx="232">
                  <c:v>15.3</c:v>
                </c:pt>
                <c:pt idx="233">
                  <c:v>15.79</c:v>
                </c:pt>
                <c:pt idx="234">
                  <c:v>16</c:v>
                </c:pt>
                <c:pt idx="235">
                  <c:v>15.25</c:v>
                </c:pt>
                <c:pt idx="236">
                  <c:v>14.75</c:v>
                </c:pt>
                <c:pt idx="237">
                  <c:v>14.75</c:v>
                </c:pt>
                <c:pt idx="238">
                  <c:v>15.51</c:v>
                </c:pt>
                <c:pt idx="239">
                  <c:v>14.5</c:v>
                </c:pt>
                <c:pt idx="240">
                  <c:v>14.25</c:v>
                </c:pt>
                <c:pt idx="241">
                  <c:v>16.25</c:v>
                </c:pt>
                <c:pt idx="242">
                  <c:v>16.149999999999999</c:v>
                </c:pt>
                <c:pt idx="243">
                  <c:v>16.25</c:v>
                </c:pt>
                <c:pt idx="244">
                  <c:v>15.52</c:v>
                </c:pt>
                <c:pt idx="245">
                  <c:v>15.2</c:v>
                </c:pt>
                <c:pt idx="246">
                  <c:v>14.75</c:v>
                </c:pt>
                <c:pt idx="247">
                  <c:v>15.33</c:v>
                </c:pt>
                <c:pt idx="248">
                  <c:v>14.88</c:v>
                </c:pt>
                <c:pt idx="249">
                  <c:v>16.510000000000002</c:v>
                </c:pt>
                <c:pt idx="250">
                  <c:v>16.510000000000002</c:v>
                </c:pt>
                <c:pt idx="251">
                  <c:v>14.82</c:v>
                </c:pt>
                <c:pt idx="252">
                  <c:v>14.5</c:v>
                </c:pt>
                <c:pt idx="253">
                  <c:v>15.9</c:v>
                </c:pt>
                <c:pt idx="254">
                  <c:v>15.3</c:v>
                </c:pt>
                <c:pt idx="255">
                  <c:v>15.5</c:v>
                </c:pt>
                <c:pt idx="256">
                  <c:v>14.5</c:v>
                </c:pt>
                <c:pt idx="257">
                  <c:v>16</c:v>
                </c:pt>
                <c:pt idx="258">
                  <c:v>15.4</c:v>
                </c:pt>
                <c:pt idx="259">
                  <c:v>15.75</c:v>
                </c:pt>
                <c:pt idx="260">
                  <c:v>15</c:v>
                </c:pt>
                <c:pt idx="261">
                  <c:v>15</c:v>
                </c:pt>
                <c:pt idx="262">
                  <c:v>15.9</c:v>
                </c:pt>
                <c:pt idx="263">
                  <c:v>15.5</c:v>
                </c:pt>
                <c:pt idx="264">
                  <c:v>15.53</c:v>
                </c:pt>
                <c:pt idx="265">
                  <c:v>15.9</c:v>
                </c:pt>
                <c:pt idx="266">
                  <c:v>14.25</c:v>
                </c:pt>
                <c:pt idx="267">
                  <c:v>14.5</c:v>
                </c:pt>
                <c:pt idx="268">
                  <c:v>16</c:v>
                </c:pt>
                <c:pt idx="269">
                  <c:v>15.5</c:v>
                </c:pt>
                <c:pt idx="270">
                  <c:v>15.2</c:v>
                </c:pt>
                <c:pt idx="271">
                  <c:v>16.2</c:v>
                </c:pt>
                <c:pt idx="272">
                  <c:v>15.85</c:v>
                </c:pt>
                <c:pt idx="273">
                  <c:v>13.35</c:v>
                </c:pt>
                <c:pt idx="274">
                  <c:v>15</c:v>
                </c:pt>
                <c:pt idx="275">
                  <c:v>14.4</c:v>
                </c:pt>
                <c:pt idx="276">
                  <c:v>15.5</c:v>
                </c:pt>
                <c:pt idx="277">
                  <c:v>16</c:v>
                </c:pt>
                <c:pt idx="278">
                  <c:v>16.690000000000001</c:v>
                </c:pt>
                <c:pt idx="279">
                  <c:v>15.33</c:v>
                </c:pt>
                <c:pt idx="280">
                  <c:v>14.82</c:v>
                </c:pt>
                <c:pt idx="281">
                  <c:v>14.64</c:v>
                </c:pt>
                <c:pt idx="282">
                  <c:v>14.52</c:v>
                </c:pt>
                <c:pt idx="283">
                  <c:v>14.75</c:v>
                </c:pt>
                <c:pt idx="284">
                  <c:v>15.6</c:v>
                </c:pt>
                <c:pt idx="285">
                  <c:v>15.9</c:v>
                </c:pt>
                <c:pt idx="286">
                  <c:v>15.6</c:v>
                </c:pt>
                <c:pt idx="287">
                  <c:v>16.25</c:v>
                </c:pt>
                <c:pt idx="288">
                  <c:v>14.8</c:v>
                </c:pt>
                <c:pt idx="289">
                  <c:v>14.75</c:v>
                </c:pt>
                <c:pt idx="290">
                  <c:v>15.5</c:v>
                </c:pt>
                <c:pt idx="291">
                  <c:v>15</c:v>
                </c:pt>
                <c:pt idx="292">
                  <c:v>15.5</c:v>
                </c:pt>
                <c:pt idx="293">
                  <c:v>15</c:v>
                </c:pt>
                <c:pt idx="294">
                  <c:v>15.92</c:v>
                </c:pt>
                <c:pt idx="295">
                  <c:v>15.5</c:v>
                </c:pt>
                <c:pt idx="296">
                  <c:v>15</c:v>
                </c:pt>
                <c:pt idx="297">
                  <c:v>15</c:v>
                </c:pt>
                <c:pt idx="298">
                  <c:v>16.25</c:v>
                </c:pt>
                <c:pt idx="299">
                  <c:v>15.75</c:v>
                </c:pt>
                <c:pt idx="300">
                  <c:v>16</c:v>
                </c:pt>
                <c:pt idx="301">
                  <c:v>14.75</c:v>
                </c:pt>
                <c:pt idx="302">
                  <c:v>14.85</c:v>
                </c:pt>
                <c:pt idx="303">
                  <c:v>15</c:v>
                </c:pt>
                <c:pt idx="304">
                  <c:v>14.5</c:v>
                </c:pt>
                <c:pt idx="305">
                  <c:v>14.86</c:v>
                </c:pt>
                <c:pt idx="306">
                  <c:v>15.5</c:v>
                </c:pt>
                <c:pt idx="307">
                  <c:v>14.8</c:v>
                </c:pt>
                <c:pt idx="308">
                  <c:v>15.5</c:v>
                </c:pt>
                <c:pt idx="309">
                  <c:v>15.7</c:v>
                </c:pt>
                <c:pt idx="310">
                  <c:v>15.75</c:v>
                </c:pt>
                <c:pt idx="311">
                  <c:v>14.82</c:v>
                </c:pt>
                <c:pt idx="312">
                  <c:v>15</c:v>
                </c:pt>
                <c:pt idx="313">
                  <c:v>14.5</c:v>
                </c:pt>
                <c:pt idx="314">
                  <c:v>14.5</c:v>
                </c:pt>
                <c:pt idx="315">
                  <c:v>14.38</c:v>
                </c:pt>
                <c:pt idx="316">
                  <c:v>15.25</c:v>
                </c:pt>
                <c:pt idx="317">
                  <c:v>15.3</c:v>
                </c:pt>
                <c:pt idx="318">
                  <c:v>14.5</c:v>
                </c:pt>
                <c:pt idx="319">
                  <c:v>14.5</c:v>
                </c:pt>
                <c:pt idx="320">
                  <c:v>13.8</c:v>
                </c:pt>
                <c:pt idx="321">
                  <c:v>15.25</c:v>
                </c:pt>
                <c:pt idx="322">
                  <c:v>12.94</c:v>
                </c:pt>
                <c:pt idx="323">
                  <c:v>14.9</c:v>
                </c:pt>
                <c:pt idx="324">
                  <c:v>13.3</c:v>
                </c:pt>
                <c:pt idx="325">
                  <c:v>12</c:v>
                </c:pt>
                <c:pt idx="326">
                  <c:v>14.9</c:v>
                </c:pt>
                <c:pt idx="327">
                  <c:v>15</c:v>
                </c:pt>
                <c:pt idx="328">
                  <c:v>15</c:v>
                </c:pt>
                <c:pt idx="329">
                  <c:v>14.88</c:v>
                </c:pt>
                <c:pt idx="330">
                  <c:v>15.75</c:v>
                </c:pt>
                <c:pt idx="331">
                  <c:v>14.5</c:v>
                </c:pt>
                <c:pt idx="332">
                  <c:v>14</c:v>
                </c:pt>
                <c:pt idx="333">
                  <c:v>14.5</c:v>
                </c:pt>
                <c:pt idx="334">
                  <c:v>12.5</c:v>
                </c:pt>
                <c:pt idx="335">
                  <c:v>15.2</c:v>
                </c:pt>
                <c:pt idx="336">
                  <c:v>14</c:v>
                </c:pt>
                <c:pt idx="337">
                  <c:v>12.9</c:v>
                </c:pt>
                <c:pt idx="338">
                  <c:v>13.01</c:v>
                </c:pt>
                <c:pt idx="339">
                  <c:v>13.25</c:v>
                </c:pt>
                <c:pt idx="340">
                  <c:v>14</c:v>
                </c:pt>
                <c:pt idx="341">
                  <c:v>13.9</c:v>
                </c:pt>
                <c:pt idx="342">
                  <c:v>13</c:v>
                </c:pt>
                <c:pt idx="343">
                  <c:v>14</c:v>
                </c:pt>
                <c:pt idx="344">
                  <c:v>13.55</c:v>
                </c:pt>
                <c:pt idx="345">
                  <c:v>11.88</c:v>
                </c:pt>
                <c:pt idx="346">
                  <c:v>12.6</c:v>
                </c:pt>
                <c:pt idx="347">
                  <c:v>13.3</c:v>
                </c:pt>
                <c:pt idx="348">
                  <c:v>13.5</c:v>
                </c:pt>
                <c:pt idx="349">
                  <c:v>13.3</c:v>
                </c:pt>
                <c:pt idx="350">
                  <c:v>12.75</c:v>
                </c:pt>
                <c:pt idx="351">
                  <c:v>13</c:v>
                </c:pt>
                <c:pt idx="352">
                  <c:v>13.75</c:v>
                </c:pt>
                <c:pt idx="353">
                  <c:v>14</c:v>
                </c:pt>
                <c:pt idx="354">
                  <c:v>13.75</c:v>
                </c:pt>
                <c:pt idx="355">
                  <c:v>13.15</c:v>
                </c:pt>
                <c:pt idx="356">
                  <c:v>13.8</c:v>
                </c:pt>
                <c:pt idx="357">
                  <c:v>13.9</c:v>
                </c:pt>
                <c:pt idx="358">
                  <c:v>12.75</c:v>
                </c:pt>
                <c:pt idx="359">
                  <c:v>13.55</c:v>
                </c:pt>
                <c:pt idx="360">
                  <c:v>12.16</c:v>
                </c:pt>
                <c:pt idx="361">
                  <c:v>12.6</c:v>
                </c:pt>
                <c:pt idx="362">
                  <c:v>12</c:v>
                </c:pt>
                <c:pt idx="363">
                  <c:v>12.2</c:v>
                </c:pt>
                <c:pt idx="364">
                  <c:v>13</c:v>
                </c:pt>
                <c:pt idx="365">
                  <c:v>12.85</c:v>
                </c:pt>
                <c:pt idx="366">
                  <c:v>13.5</c:v>
                </c:pt>
                <c:pt idx="367">
                  <c:v>13.2</c:v>
                </c:pt>
                <c:pt idx="368">
                  <c:v>12.6</c:v>
                </c:pt>
                <c:pt idx="369">
                  <c:v>12.9</c:v>
                </c:pt>
                <c:pt idx="370">
                  <c:v>13.5</c:v>
                </c:pt>
                <c:pt idx="371">
                  <c:v>11.4</c:v>
                </c:pt>
                <c:pt idx="372">
                  <c:v>13</c:v>
                </c:pt>
                <c:pt idx="373">
                  <c:v>12.98</c:v>
                </c:pt>
                <c:pt idx="374">
                  <c:v>12.6</c:v>
                </c:pt>
                <c:pt idx="375">
                  <c:v>12.75</c:v>
                </c:pt>
                <c:pt idx="376">
                  <c:v>12.75</c:v>
                </c:pt>
                <c:pt idx="377">
                  <c:v>12.5</c:v>
                </c:pt>
                <c:pt idx="378">
                  <c:v>12.5</c:v>
                </c:pt>
                <c:pt idx="379">
                  <c:v>12</c:v>
                </c:pt>
                <c:pt idx="380">
                  <c:v>13.25</c:v>
                </c:pt>
                <c:pt idx="381">
                  <c:v>12.85</c:v>
                </c:pt>
                <c:pt idx="382">
                  <c:v>13.15</c:v>
                </c:pt>
                <c:pt idx="383">
                  <c:v>12.75</c:v>
                </c:pt>
                <c:pt idx="384">
                  <c:v>13.2</c:v>
                </c:pt>
                <c:pt idx="385">
                  <c:v>12.6</c:v>
                </c:pt>
                <c:pt idx="386">
                  <c:v>13</c:v>
                </c:pt>
                <c:pt idx="387">
                  <c:v>13.18</c:v>
                </c:pt>
                <c:pt idx="388">
                  <c:v>13.5</c:v>
                </c:pt>
                <c:pt idx="389">
                  <c:v>11.72</c:v>
                </c:pt>
                <c:pt idx="390">
                  <c:v>11.5</c:v>
                </c:pt>
                <c:pt idx="391">
                  <c:v>12.75</c:v>
                </c:pt>
                <c:pt idx="392">
                  <c:v>12</c:v>
                </c:pt>
                <c:pt idx="393">
                  <c:v>12</c:v>
                </c:pt>
                <c:pt idx="394">
                  <c:v>13.4</c:v>
                </c:pt>
                <c:pt idx="395">
                  <c:v>12.74</c:v>
                </c:pt>
                <c:pt idx="396">
                  <c:v>12.9</c:v>
                </c:pt>
                <c:pt idx="397">
                  <c:v>12.4</c:v>
                </c:pt>
                <c:pt idx="398">
                  <c:v>13.65</c:v>
                </c:pt>
                <c:pt idx="399">
                  <c:v>13.25</c:v>
                </c:pt>
                <c:pt idx="400">
                  <c:v>13.1</c:v>
                </c:pt>
                <c:pt idx="401">
                  <c:v>12.8</c:v>
                </c:pt>
                <c:pt idx="402">
                  <c:v>13.25</c:v>
                </c:pt>
                <c:pt idx="403">
                  <c:v>13.5</c:v>
                </c:pt>
                <c:pt idx="404">
                  <c:v>12.95</c:v>
                </c:pt>
                <c:pt idx="405">
                  <c:v>13</c:v>
                </c:pt>
                <c:pt idx="406">
                  <c:v>12</c:v>
                </c:pt>
                <c:pt idx="407">
                  <c:v>12.75</c:v>
                </c:pt>
                <c:pt idx="408">
                  <c:v>13</c:v>
                </c:pt>
                <c:pt idx="409">
                  <c:v>12.9</c:v>
                </c:pt>
                <c:pt idx="410">
                  <c:v>13.5</c:v>
                </c:pt>
                <c:pt idx="411">
                  <c:v>12.6</c:v>
                </c:pt>
                <c:pt idx="412">
                  <c:v>13</c:v>
                </c:pt>
                <c:pt idx="413">
                  <c:v>13.37</c:v>
                </c:pt>
                <c:pt idx="414">
                  <c:v>13</c:v>
                </c:pt>
                <c:pt idx="415">
                  <c:v>13</c:v>
                </c:pt>
                <c:pt idx="416">
                  <c:v>13.5</c:v>
                </c:pt>
                <c:pt idx="417">
                  <c:v>11.8</c:v>
                </c:pt>
                <c:pt idx="418">
                  <c:v>12.8</c:v>
                </c:pt>
                <c:pt idx="419">
                  <c:v>13</c:v>
                </c:pt>
                <c:pt idx="420">
                  <c:v>12.5</c:v>
                </c:pt>
                <c:pt idx="421">
                  <c:v>12.8</c:v>
                </c:pt>
                <c:pt idx="422">
                  <c:v>12.9</c:v>
                </c:pt>
                <c:pt idx="423">
                  <c:v>12.1</c:v>
                </c:pt>
                <c:pt idx="424">
                  <c:v>13</c:v>
                </c:pt>
                <c:pt idx="425">
                  <c:v>12.41</c:v>
                </c:pt>
                <c:pt idx="426">
                  <c:v>13.25</c:v>
                </c:pt>
                <c:pt idx="427">
                  <c:v>12.9</c:v>
                </c:pt>
                <c:pt idx="428">
                  <c:v>13.6</c:v>
                </c:pt>
                <c:pt idx="429">
                  <c:v>12.93</c:v>
                </c:pt>
                <c:pt idx="430">
                  <c:v>13.2</c:v>
                </c:pt>
                <c:pt idx="431">
                  <c:v>13</c:v>
                </c:pt>
                <c:pt idx="432">
                  <c:v>12.6</c:v>
                </c:pt>
                <c:pt idx="433">
                  <c:v>12.75</c:v>
                </c:pt>
                <c:pt idx="434">
                  <c:v>13.25</c:v>
                </c:pt>
                <c:pt idx="435">
                  <c:v>13</c:v>
                </c:pt>
                <c:pt idx="436">
                  <c:v>12.9</c:v>
                </c:pt>
                <c:pt idx="437">
                  <c:v>12.9</c:v>
                </c:pt>
                <c:pt idx="438">
                  <c:v>12.8</c:v>
                </c:pt>
                <c:pt idx="439">
                  <c:v>12.5</c:v>
                </c:pt>
                <c:pt idx="440">
                  <c:v>13</c:v>
                </c:pt>
                <c:pt idx="441">
                  <c:v>12.5</c:v>
                </c:pt>
                <c:pt idx="442">
                  <c:v>12.1</c:v>
                </c:pt>
                <c:pt idx="443">
                  <c:v>12.8</c:v>
                </c:pt>
                <c:pt idx="444">
                  <c:v>13</c:v>
                </c:pt>
                <c:pt idx="445">
                  <c:v>12.2</c:v>
                </c:pt>
                <c:pt idx="446">
                  <c:v>13.25</c:v>
                </c:pt>
                <c:pt idx="447">
                  <c:v>12.45</c:v>
                </c:pt>
                <c:pt idx="448">
                  <c:v>12.4</c:v>
                </c:pt>
                <c:pt idx="449">
                  <c:v>13.2</c:v>
                </c:pt>
                <c:pt idx="450">
                  <c:v>12.9</c:v>
                </c:pt>
                <c:pt idx="451">
                  <c:v>13.25</c:v>
                </c:pt>
                <c:pt idx="452">
                  <c:v>12.1</c:v>
                </c:pt>
                <c:pt idx="453">
                  <c:v>11.7</c:v>
                </c:pt>
                <c:pt idx="454">
                  <c:v>12.5</c:v>
                </c:pt>
                <c:pt idx="455">
                  <c:v>12.5</c:v>
                </c:pt>
                <c:pt idx="456">
                  <c:v>12.5</c:v>
                </c:pt>
                <c:pt idx="457">
                  <c:v>12.75</c:v>
                </c:pt>
                <c:pt idx="458">
                  <c:v>12.5</c:v>
                </c:pt>
                <c:pt idx="459">
                  <c:v>13</c:v>
                </c:pt>
                <c:pt idx="460">
                  <c:v>11.9</c:v>
                </c:pt>
                <c:pt idx="461">
                  <c:v>12.95</c:v>
                </c:pt>
                <c:pt idx="462">
                  <c:v>13.25</c:v>
                </c:pt>
                <c:pt idx="463">
                  <c:v>13</c:v>
                </c:pt>
                <c:pt idx="464">
                  <c:v>12.5</c:v>
                </c:pt>
                <c:pt idx="465">
                  <c:v>12.1</c:v>
                </c:pt>
                <c:pt idx="466">
                  <c:v>12.75</c:v>
                </c:pt>
                <c:pt idx="467">
                  <c:v>12.75</c:v>
                </c:pt>
                <c:pt idx="468">
                  <c:v>13.1</c:v>
                </c:pt>
                <c:pt idx="469">
                  <c:v>12.5</c:v>
                </c:pt>
                <c:pt idx="470">
                  <c:v>13.6</c:v>
                </c:pt>
                <c:pt idx="471">
                  <c:v>13</c:v>
                </c:pt>
                <c:pt idx="472">
                  <c:v>12.5</c:v>
                </c:pt>
                <c:pt idx="473">
                  <c:v>13.02</c:v>
                </c:pt>
                <c:pt idx="474">
                  <c:v>13.25</c:v>
                </c:pt>
                <c:pt idx="475">
                  <c:v>11.7</c:v>
                </c:pt>
                <c:pt idx="476">
                  <c:v>12.8</c:v>
                </c:pt>
                <c:pt idx="477">
                  <c:v>12.7</c:v>
                </c:pt>
                <c:pt idx="478">
                  <c:v>13</c:v>
                </c:pt>
                <c:pt idx="479">
                  <c:v>13</c:v>
                </c:pt>
                <c:pt idx="480">
                  <c:v>12.45</c:v>
                </c:pt>
                <c:pt idx="481">
                  <c:v>11.7</c:v>
                </c:pt>
                <c:pt idx="482">
                  <c:v>12.5</c:v>
                </c:pt>
                <c:pt idx="483">
                  <c:v>11.7</c:v>
                </c:pt>
                <c:pt idx="484">
                  <c:v>12.3</c:v>
                </c:pt>
                <c:pt idx="485">
                  <c:v>12.1</c:v>
                </c:pt>
                <c:pt idx="486">
                  <c:v>12.9</c:v>
                </c:pt>
                <c:pt idx="487">
                  <c:v>12.25</c:v>
                </c:pt>
                <c:pt idx="488">
                  <c:v>13.3</c:v>
                </c:pt>
                <c:pt idx="489">
                  <c:v>12.5</c:v>
                </c:pt>
                <c:pt idx="490">
                  <c:v>12.4</c:v>
                </c:pt>
                <c:pt idx="491">
                  <c:v>11.3</c:v>
                </c:pt>
                <c:pt idx="492">
                  <c:v>11.7</c:v>
                </c:pt>
                <c:pt idx="493">
                  <c:v>13.4</c:v>
                </c:pt>
                <c:pt idx="494">
                  <c:v>12.9</c:v>
                </c:pt>
                <c:pt idx="495">
                  <c:v>12.75</c:v>
                </c:pt>
                <c:pt idx="496">
                  <c:v>12</c:v>
                </c:pt>
                <c:pt idx="497">
                  <c:v>11.6</c:v>
                </c:pt>
                <c:pt idx="498">
                  <c:v>12.7</c:v>
                </c:pt>
                <c:pt idx="499">
                  <c:v>12.7</c:v>
                </c:pt>
                <c:pt idx="500">
                  <c:v>11.75</c:v>
                </c:pt>
                <c:pt idx="501">
                  <c:v>12.8</c:v>
                </c:pt>
                <c:pt idx="502">
                  <c:v>12.6</c:v>
                </c:pt>
                <c:pt idx="503">
                  <c:v>12.1</c:v>
                </c:pt>
                <c:pt idx="504">
                  <c:v>12.84</c:v>
                </c:pt>
                <c:pt idx="505">
                  <c:v>12</c:v>
                </c:pt>
                <c:pt idx="506">
                  <c:v>13</c:v>
                </c:pt>
                <c:pt idx="507">
                  <c:v>11.75</c:v>
                </c:pt>
                <c:pt idx="508">
                  <c:v>12.5</c:v>
                </c:pt>
                <c:pt idx="509">
                  <c:v>12.75</c:v>
                </c:pt>
                <c:pt idx="510">
                  <c:v>12.2</c:v>
                </c:pt>
                <c:pt idx="511">
                  <c:v>11</c:v>
                </c:pt>
                <c:pt idx="512">
                  <c:v>12</c:v>
                </c:pt>
                <c:pt idx="513">
                  <c:v>11.2</c:v>
                </c:pt>
                <c:pt idx="514">
                  <c:v>12.1</c:v>
                </c:pt>
                <c:pt idx="515">
                  <c:v>12.43</c:v>
                </c:pt>
                <c:pt idx="516">
                  <c:v>11.6</c:v>
                </c:pt>
                <c:pt idx="517">
                  <c:v>12.25</c:v>
                </c:pt>
                <c:pt idx="518">
                  <c:v>12.75</c:v>
                </c:pt>
                <c:pt idx="519">
                  <c:v>11.65</c:v>
                </c:pt>
                <c:pt idx="520">
                  <c:v>12.25</c:v>
                </c:pt>
                <c:pt idx="521">
                  <c:v>12.75</c:v>
                </c:pt>
                <c:pt idx="522">
                  <c:v>11.4</c:v>
                </c:pt>
                <c:pt idx="523">
                  <c:v>10.6</c:v>
                </c:pt>
                <c:pt idx="524">
                  <c:v>12</c:v>
                </c:pt>
                <c:pt idx="525">
                  <c:v>11</c:v>
                </c:pt>
                <c:pt idx="526">
                  <c:v>11.85</c:v>
                </c:pt>
                <c:pt idx="527">
                  <c:v>11.9</c:v>
                </c:pt>
                <c:pt idx="528">
                  <c:v>12.4</c:v>
                </c:pt>
                <c:pt idx="529">
                  <c:v>12.3</c:v>
                </c:pt>
                <c:pt idx="530">
                  <c:v>12</c:v>
                </c:pt>
                <c:pt idx="531">
                  <c:v>12</c:v>
                </c:pt>
                <c:pt idx="532">
                  <c:v>12</c:v>
                </c:pt>
                <c:pt idx="533">
                  <c:v>12</c:v>
                </c:pt>
                <c:pt idx="534">
                  <c:v>11.4</c:v>
                </c:pt>
                <c:pt idx="535">
                  <c:v>11.6</c:v>
                </c:pt>
                <c:pt idx="536">
                  <c:v>11.75</c:v>
                </c:pt>
                <c:pt idx="537">
                  <c:v>11.75</c:v>
                </c:pt>
                <c:pt idx="538">
                  <c:v>11.5</c:v>
                </c:pt>
                <c:pt idx="539">
                  <c:v>12</c:v>
                </c:pt>
                <c:pt idx="540">
                  <c:v>11.5</c:v>
                </c:pt>
                <c:pt idx="541">
                  <c:v>11.75</c:v>
                </c:pt>
                <c:pt idx="542">
                  <c:v>11.9</c:v>
                </c:pt>
                <c:pt idx="543">
                  <c:v>11.78</c:v>
                </c:pt>
                <c:pt idx="544">
                  <c:v>11.5</c:v>
                </c:pt>
                <c:pt idx="545">
                  <c:v>11.5</c:v>
                </c:pt>
                <c:pt idx="546">
                  <c:v>10.75</c:v>
                </c:pt>
                <c:pt idx="547">
                  <c:v>11.5</c:v>
                </c:pt>
                <c:pt idx="548">
                  <c:v>11.9</c:v>
                </c:pt>
                <c:pt idx="549">
                  <c:v>11.47</c:v>
                </c:pt>
                <c:pt idx="550">
                  <c:v>11.25</c:v>
                </c:pt>
                <c:pt idx="551">
                  <c:v>10.5</c:v>
                </c:pt>
                <c:pt idx="552">
                  <c:v>11</c:v>
                </c:pt>
                <c:pt idx="553">
                  <c:v>11.6</c:v>
                </c:pt>
                <c:pt idx="554">
                  <c:v>11.5</c:v>
                </c:pt>
                <c:pt idx="555">
                  <c:v>11.2</c:v>
                </c:pt>
                <c:pt idx="556">
                  <c:v>11.75</c:v>
                </c:pt>
                <c:pt idx="557">
                  <c:v>11.55</c:v>
                </c:pt>
                <c:pt idx="558">
                  <c:v>11.5</c:v>
                </c:pt>
                <c:pt idx="559">
                  <c:v>11.25</c:v>
                </c:pt>
                <c:pt idx="560">
                  <c:v>10.199999999999999</c:v>
                </c:pt>
                <c:pt idx="561">
                  <c:v>10.1</c:v>
                </c:pt>
                <c:pt idx="562">
                  <c:v>10.8</c:v>
                </c:pt>
                <c:pt idx="563">
                  <c:v>11.8</c:v>
                </c:pt>
                <c:pt idx="564">
                  <c:v>12.5</c:v>
                </c:pt>
                <c:pt idx="565">
                  <c:v>11</c:v>
                </c:pt>
                <c:pt idx="566">
                  <c:v>11.45</c:v>
                </c:pt>
                <c:pt idx="567">
                  <c:v>11.2</c:v>
                </c:pt>
                <c:pt idx="568">
                  <c:v>10.6</c:v>
                </c:pt>
                <c:pt idx="569">
                  <c:v>11.3</c:v>
                </c:pt>
                <c:pt idx="570">
                  <c:v>11</c:v>
                </c:pt>
                <c:pt idx="571">
                  <c:v>10.1</c:v>
                </c:pt>
                <c:pt idx="572">
                  <c:v>11.5</c:v>
                </c:pt>
                <c:pt idx="573">
                  <c:v>11</c:v>
                </c:pt>
                <c:pt idx="574">
                  <c:v>12</c:v>
                </c:pt>
                <c:pt idx="575">
                  <c:v>10.4</c:v>
                </c:pt>
                <c:pt idx="576">
                  <c:v>10.7</c:v>
                </c:pt>
                <c:pt idx="577">
                  <c:v>11.24</c:v>
                </c:pt>
                <c:pt idx="578">
                  <c:v>11</c:v>
                </c:pt>
                <c:pt idx="579">
                  <c:v>10.5</c:v>
                </c:pt>
                <c:pt idx="580">
                  <c:v>10.6</c:v>
                </c:pt>
                <c:pt idx="581">
                  <c:v>10.7</c:v>
                </c:pt>
                <c:pt idx="582">
                  <c:v>11</c:v>
                </c:pt>
                <c:pt idx="583">
                  <c:v>10.9</c:v>
                </c:pt>
                <c:pt idx="584">
                  <c:v>11.87</c:v>
                </c:pt>
                <c:pt idx="585">
                  <c:v>11.5</c:v>
                </c:pt>
                <c:pt idx="586">
                  <c:v>11.5</c:v>
                </c:pt>
                <c:pt idx="587">
                  <c:v>11</c:v>
                </c:pt>
                <c:pt idx="588">
                  <c:v>12.12</c:v>
                </c:pt>
                <c:pt idx="589">
                  <c:v>11.3</c:v>
                </c:pt>
                <c:pt idx="590">
                  <c:v>11</c:v>
                </c:pt>
                <c:pt idx="591">
                  <c:v>11.7</c:v>
                </c:pt>
                <c:pt idx="592">
                  <c:v>11.5</c:v>
                </c:pt>
                <c:pt idx="593">
                  <c:v>11.82</c:v>
                </c:pt>
                <c:pt idx="594">
                  <c:v>11.5</c:v>
                </c:pt>
                <c:pt idx="595">
                  <c:v>11.5</c:v>
                </c:pt>
                <c:pt idx="596">
                  <c:v>11</c:v>
                </c:pt>
                <c:pt idx="597">
                  <c:v>11.3</c:v>
                </c:pt>
                <c:pt idx="598">
                  <c:v>10.4</c:v>
                </c:pt>
                <c:pt idx="599">
                  <c:v>11.5</c:v>
                </c:pt>
                <c:pt idx="600">
                  <c:v>10.76</c:v>
                </c:pt>
                <c:pt idx="601">
                  <c:v>12.5</c:v>
                </c:pt>
                <c:pt idx="602">
                  <c:v>11.3</c:v>
                </c:pt>
                <c:pt idx="603">
                  <c:v>11.1</c:v>
                </c:pt>
                <c:pt idx="604">
                  <c:v>10.9</c:v>
                </c:pt>
                <c:pt idx="605">
                  <c:v>11.4</c:v>
                </c:pt>
                <c:pt idx="606">
                  <c:v>13.6</c:v>
                </c:pt>
                <c:pt idx="607">
                  <c:v>11.3</c:v>
                </c:pt>
                <c:pt idx="608">
                  <c:v>11.6</c:v>
                </c:pt>
                <c:pt idx="609">
                  <c:v>11.3</c:v>
                </c:pt>
                <c:pt idx="610">
                  <c:v>11.6</c:v>
                </c:pt>
                <c:pt idx="611">
                  <c:v>11.13</c:v>
                </c:pt>
                <c:pt idx="612">
                  <c:v>10.5</c:v>
                </c:pt>
                <c:pt idx="613">
                  <c:v>10.77</c:v>
                </c:pt>
                <c:pt idx="614">
                  <c:v>10.6</c:v>
                </c:pt>
                <c:pt idx="615">
                  <c:v>11</c:v>
                </c:pt>
                <c:pt idx="616">
                  <c:v>11.25</c:v>
                </c:pt>
                <c:pt idx="617">
                  <c:v>11.25</c:v>
                </c:pt>
                <c:pt idx="618">
                  <c:v>11.25</c:v>
                </c:pt>
                <c:pt idx="619">
                  <c:v>10</c:v>
                </c:pt>
                <c:pt idx="620">
                  <c:v>11.3</c:v>
                </c:pt>
                <c:pt idx="621">
                  <c:v>11.3</c:v>
                </c:pt>
                <c:pt idx="622">
                  <c:v>11.3</c:v>
                </c:pt>
                <c:pt idx="623">
                  <c:v>11</c:v>
                </c:pt>
                <c:pt idx="624">
                  <c:v>11.96</c:v>
                </c:pt>
                <c:pt idx="625">
                  <c:v>11.5</c:v>
                </c:pt>
                <c:pt idx="626">
                  <c:v>11.3</c:v>
                </c:pt>
                <c:pt idx="627">
                  <c:v>11.25</c:v>
                </c:pt>
                <c:pt idx="628">
                  <c:v>11.25</c:v>
                </c:pt>
                <c:pt idx="629">
                  <c:v>11.8</c:v>
                </c:pt>
                <c:pt idx="630">
                  <c:v>11</c:v>
                </c:pt>
                <c:pt idx="631">
                  <c:v>11.8</c:v>
                </c:pt>
                <c:pt idx="632">
                  <c:v>10.75</c:v>
                </c:pt>
                <c:pt idx="633">
                  <c:v>11.7</c:v>
                </c:pt>
                <c:pt idx="634">
                  <c:v>12</c:v>
                </c:pt>
                <c:pt idx="635">
                  <c:v>10.75</c:v>
                </c:pt>
                <c:pt idx="636">
                  <c:v>11.25</c:v>
                </c:pt>
                <c:pt idx="637">
                  <c:v>10.75</c:v>
                </c:pt>
                <c:pt idx="638">
                  <c:v>10.9</c:v>
                </c:pt>
                <c:pt idx="639">
                  <c:v>12.2</c:v>
                </c:pt>
                <c:pt idx="640">
                  <c:v>11</c:v>
                </c:pt>
                <c:pt idx="641">
                  <c:v>10.93</c:v>
                </c:pt>
                <c:pt idx="642">
                  <c:v>11.4</c:v>
                </c:pt>
                <c:pt idx="643">
                  <c:v>11.9</c:v>
                </c:pt>
                <c:pt idx="644">
                  <c:v>11.06</c:v>
                </c:pt>
                <c:pt idx="645">
                  <c:v>11.4</c:v>
                </c:pt>
                <c:pt idx="646">
                  <c:v>12.2</c:v>
                </c:pt>
                <c:pt idx="647">
                  <c:v>12.1</c:v>
                </c:pt>
                <c:pt idx="648">
                  <c:v>11.15</c:v>
                </c:pt>
                <c:pt idx="649">
                  <c:v>10.65</c:v>
                </c:pt>
                <c:pt idx="650">
                  <c:v>10.65</c:v>
                </c:pt>
                <c:pt idx="651">
                  <c:v>11.25</c:v>
                </c:pt>
                <c:pt idx="652">
                  <c:v>10.25</c:v>
                </c:pt>
                <c:pt idx="653">
                  <c:v>10.5</c:v>
                </c:pt>
                <c:pt idx="654">
                  <c:v>10.71</c:v>
                </c:pt>
                <c:pt idx="655">
                  <c:v>10.6</c:v>
                </c:pt>
                <c:pt idx="656">
                  <c:v>10.8</c:v>
                </c:pt>
                <c:pt idx="657">
                  <c:v>11.05</c:v>
                </c:pt>
                <c:pt idx="658">
                  <c:v>11.25</c:v>
                </c:pt>
                <c:pt idx="659">
                  <c:v>11.06</c:v>
                </c:pt>
                <c:pt idx="660">
                  <c:v>12.2</c:v>
                </c:pt>
                <c:pt idx="661">
                  <c:v>11</c:v>
                </c:pt>
                <c:pt idx="662">
                  <c:v>11.25</c:v>
                </c:pt>
                <c:pt idx="663">
                  <c:v>11.16</c:v>
                </c:pt>
                <c:pt idx="664">
                  <c:v>11.3</c:v>
                </c:pt>
                <c:pt idx="665">
                  <c:v>12.9</c:v>
                </c:pt>
                <c:pt idx="666">
                  <c:v>12.1</c:v>
                </c:pt>
                <c:pt idx="667">
                  <c:v>11.5</c:v>
                </c:pt>
                <c:pt idx="668">
                  <c:v>11.25</c:v>
                </c:pt>
                <c:pt idx="669">
                  <c:v>10.75</c:v>
                </c:pt>
                <c:pt idx="670">
                  <c:v>11</c:v>
                </c:pt>
                <c:pt idx="671">
                  <c:v>10.3</c:v>
                </c:pt>
                <c:pt idx="672">
                  <c:v>10</c:v>
                </c:pt>
                <c:pt idx="673">
                  <c:v>11</c:v>
                </c:pt>
                <c:pt idx="674">
                  <c:v>11</c:v>
                </c:pt>
                <c:pt idx="675">
                  <c:v>11.5</c:v>
                </c:pt>
                <c:pt idx="676">
                  <c:v>11</c:v>
                </c:pt>
                <c:pt idx="677">
                  <c:v>11.77</c:v>
                </c:pt>
                <c:pt idx="678">
                  <c:v>12.3</c:v>
                </c:pt>
                <c:pt idx="679">
                  <c:v>11</c:v>
                </c:pt>
                <c:pt idx="680">
                  <c:v>11.2</c:v>
                </c:pt>
                <c:pt idx="681">
                  <c:v>12.3</c:v>
                </c:pt>
                <c:pt idx="682">
                  <c:v>11.3</c:v>
                </c:pt>
                <c:pt idx="683">
                  <c:v>10.6</c:v>
                </c:pt>
                <c:pt idx="684">
                  <c:v>12.6</c:v>
                </c:pt>
                <c:pt idx="685">
                  <c:v>11.4</c:v>
                </c:pt>
                <c:pt idx="686">
                  <c:v>10.75</c:v>
                </c:pt>
                <c:pt idx="687">
                  <c:v>10.5</c:v>
                </c:pt>
                <c:pt idx="688">
                  <c:v>10</c:v>
                </c:pt>
                <c:pt idx="689">
                  <c:v>10.75</c:v>
                </c:pt>
                <c:pt idx="690">
                  <c:v>11.2</c:v>
                </c:pt>
                <c:pt idx="691">
                  <c:v>11.25</c:v>
                </c:pt>
                <c:pt idx="692">
                  <c:v>12.3</c:v>
                </c:pt>
                <c:pt idx="693">
                  <c:v>9.9600000000000009</c:v>
                </c:pt>
                <c:pt idx="694">
                  <c:v>11.4</c:v>
                </c:pt>
                <c:pt idx="695">
                  <c:v>12</c:v>
                </c:pt>
                <c:pt idx="696">
                  <c:v>12</c:v>
                </c:pt>
                <c:pt idx="697">
                  <c:v>11.4</c:v>
                </c:pt>
                <c:pt idx="698">
                  <c:v>11.05</c:v>
                </c:pt>
                <c:pt idx="699">
                  <c:v>11</c:v>
                </c:pt>
                <c:pt idx="700">
                  <c:v>11</c:v>
                </c:pt>
                <c:pt idx="701">
                  <c:v>11.71</c:v>
                </c:pt>
                <c:pt idx="702">
                  <c:v>10.199999999999999</c:v>
                </c:pt>
                <c:pt idx="703">
                  <c:v>9.9</c:v>
                </c:pt>
                <c:pt idx="704">
                  <c:v>10.25</c:v>
                </c:pt>
                <c:pt idx="705">
                  <c:v>10.54</c:v>
                </c:pt>
                <c:pt idx="706">
                  <c:v>10.71</c:v>
                </c:pt>
                <c:pt idx="707">
                  <c:v>10.46</c:v>
                </c:pt>
                <c:pt idx="708">
                  <c:v>11</c:v>
                </c:pt>
                <c:pt idx="709">
                  <c:v>10.75</c:v>
                </c:pt>
                <c:pt idx="710">
                  <c:v>10.199999999999999</c:v>
                </c:pt>
                <c:pt idx="711">
                  <c:v>10.6</c:v>
                </c:pt>
                <c:pt idx="712">
                  <c:v>10.5</c:v>
                </c:pt>
                <c:pt idx="713">
                  <c:v>10.5</c:v>
                </c:pt>
                <c:pt idx="714">
                  <c:v>12</c:v>
                </c:pt>
                <c:pt idx="715">
                  <c:v>12</c:v>
                </c:pt>
                <c:pt idx="716">
                  <c:v>12</c:v>
                </c:pt>
                <c:pt idx="717">
                  <c:v>10.25</c:v>
                </c:pt>
                <c:pt idx="718">
                  <c:v>11.25</c:v>
                </c:pt>
                <c:pt idx="719">
                  <c:v>10.9</c:v>
                </c:pt>
                <c:pt idx="720">
                  <c:v>10.9</c:v>
                </c:pt>
                <c:pt idx="721">
                  <c:v>10</c:v>
                </c:pt>
                <c:pt idx="722">
                  <c:v>11.22</c:v>
                </c:pt>
                <c:pt idx="723">
                  <c:v>10.5</c:v>
                </c:pt>
                <c:pt idx="724">
                  <c:v>10</c:v>
                </c:pt>
                <c:pt idx="725">
                  <c:v>10.25</c:v>
                </c:pt>
                <c:pt idx="726">
                  <c:v>10.5</c:v>
                </c:pt>
                <c:pt idx="727">
                  <c:v>10.5</c:v>
                </c:pt>
                <c:pt idx="728">
                  <c:v>10.4</c:v>
                </c:pt>
                <c:pt idx="729">
                  <c:v>10.5</c:v>
                </c:pt>
                <c:pt idx="730">
                  <c:v>10.5</c:v>
                </c:pt>
                <c:pt idx="731">
                  <c:v>10.3</c:v>
                </c:pt>
                <c:pt idx="732">
                  <c:v>10.199999999999999</c:v>
                </c:pt>
                <c:pt idx="733">
                  <c:v>10.6</c:v>
                </c:pt>
                <c:pt idx="734">
                  <c:v>9.9</c:v>
                </c:pt>
                <c:pt idx="735">
                  <c:v>11.5</c:v>
                </c:pt>
                <c:pt idx="736">
                  <c:v>11.5</c:v>
                </c:pt>
                <c:pt idx="737">
                  <c:v>10.25</c:v>
                </c:pt>
                <c:pt idx="738">
                  <c:v>10.3</c:v>
                </c:pt>
                <c:pt idx="739">
                  <c:v>11</c:v>
                </c:pt>
                <c:pt idx="740">
                  <c:v>10.6</c:v>
                </c:pt>
                <c:pt idx="741">
                  <c:v>11</c:v>
                </c:pt>
                <c:pt idx="742">
                  <c:v>10</c:v>
                </c:pt>
                <c:pt idx="743">
                  <c:v>10.18</c:v>
                </c:pt>
                <c:pt idx="744">
                  <c:v>10.9</c:v>
                </c:pt>
                <c:pt idx="745">
                  <c:v>10.5</c:v>
                </c:pt>
                <c:pt idx="746">
                  <c:v>11.5</c:v>
                </c:pt>
                <c:pt idx="747">
                  <c:v>10.4</c:v>
                </c:pt>
                <c:pt idx="748">
                  <c:v>9.4499999999999993</c:v>
                </c:pt>
                <c:pt idx="749">
                  <c:v>10.51</c:v>
                </c:pt>
                <c:pt idx="750">
                  <c:v>10.75</c:v>
                </c:pt>
                <c:pt idx="751">
                  <c:v>9.9</c:v>
                </c:pt>
                <c:pt idx="752">
                  <c:v>10.4</c:v>
                </c:pt>
                <c:pt idx="753">
                  <c:v>10.25</c:v>
                </c:pt>
                <c:pt idx="754">
                  <c:v>9.6999999999999993</c:v>
                </c:pt>
                <c:pt idx="755">
                  <c:v>10</c:v>
                </c:pt>
                <c:pt idx="756">
                  <c:v>9.6999999999999993</c:v>
                </c:pt>
                <c:pt idx="757">
                  <c:v>11</c:v>
                </c:pt>
                <c:pt idx="758">
                  <c:v>10.130000000000001</c:v>
                </c:pt>
                <c:pt idx="759">
                  <c:v>11</c:v>
                </c:pt>
                <c:pt idx="760">
                  <c:v>10.4</c:v>
                </c:pt>
                <c:pt idx="761">
                  <c:v>11</c:v>
                </c:pt>
                <c:pt idx="762">
                  <c:v>10.199999999999999</c:v>
                </c:pt>
                <c:pt idx="763">
                  <c:v>10</c:v>
                </c:pt>
                <c:pt idx="764">
                  <c:v>11</c:v>
                </c:pt>
                <c:pt idx="765">
                  <c:v>11.2</c:v>
                </c:pt>
                <c:pt idx="766">
                  <c:v>11.2</c:v>
                </c:pt>
                <c:pt idx="767">
                  <c:v>10.5</c:v>
                </c:pt>
                <c:pt idx="768">
                  <c:v>9.5</c:v>
                </c:pt>
                <c:pt idx="769">
                  <c:v>10.6</c:v>
                </c:pt>
                <c:pt idx="770">
                  <c:v>10</c:v>
                </c:pt>
                <c:pt idx="771">
                  <c:v>9.6</c:v>
                </c:pt>
                <c:pt idx="772">
                  <c:v>11</c:v>
                </c:pt>
                <c:pt idx="773">
                  <c:v>10.75</c:v>
                </c:pt>
                <c:pt idx="774">
                  <c:v>9.8000000000000007</c:v>
                </c:pt>
                <c:pt idx="775">
                  <c:v>9.7100000000000009</c:v>
                </c:pt>
                <c:pt idx="776">
                  <c:v>10</c:v>
                </c:pt>
                <c:pt idx="777">
                  <c:v>11</c:v>
                </c:pt>
                <c:pt idx="778">
                  <c:v>10.199999999999999</c:v>
                </c:pt>
                <c:pt idx="779">
                  <c:v>10.4</c:v>
                </c:pt>
                <c:pt idx="780">
                  <c:v>11</c:v>
                </c:pt>
                <c:pt idx="781">
                  <c:v>10.9</c:v>
                </c:pt>
                <c:pt idx="782">
                  <c:v>10.8</c:v>
                </c:pt>
                <c:pt idx="783">
                  <c:v>10</c:v>
                </c:pt>
                <c:pt idx="784">
                  <c:v>10.4</c:v>
                </c:pt>
                <c:pt idx="785">
                  <c:v>10.1</c:v>
                </c:pt>
                <c:pt idx="786">
                  <c:v>10.25</c:v>
                </c:pt>
                <c:pt idx="787">
                  <c:v>11.35</c:v>
                </c:pt>
                <c:pt idx="788">
                  <c:v>10.5</c:v>
                </c:pt>
                <c:pt idx="789">
                  <c:v>10</c:v>
                </c:pt>
                <c:pt idx="790">
                  <c:v>10.75</c:v>
                </c:pt>
                <c:pt idx="791">
                  <c:v>10.1</c:v>
                </c:pt>
                <c:pt idx="792">
                  <c:v>9.5299999999999994</c:v>
                </c:pt>
                <c:pt idx="793">
                  <c:v>10.25</c:v>
                </c:pt>
                <c:pt idx="794">
                  <c:v>9.5</c:v>
                </c:pt>
                <c:pt idx="795">
                  <c:v>10.4</c:v>
                </c:pt>
                <c:pt idx="796">
                  <c:v>10.15</c:v>
                </c:pt>
                <c:pt idx="797">
                  <c:v>10.5</c:v>
                </c:pt>
                <c:pt idx="798">
                  <c:v>9.7100000000000009</c:v>
                </c:pt>
                <c:pt idx="799">
                  <c:v>10</c:v>
                </c:pt>
                <c:pt idx="800">
                  <c:v>9.6999999999999993</c:v>
                </c:pt>
                <c:pt idx="801">
                  <c:v>10.48</c:v>
                </c:pt>
                <c:pt idx="802">
                  <c:v>10.5</c:v>
                </c:pt>
                <c:pt idx="803">
                  <c:v>9.65</c:v>
                </c:pt>
                <c:pt idx="804">
                  <c:v>10</c:v>
                </c:pt>
                <c:pt idx="805">
                  <c:v>9.9</c:v>
                </c:pt>
                <c:pt idx="806">
                  <c:v>10</c:v>
                </c:pt>
                <c:pt idx="807">
                  <c:v>10.9</c:v>
                </c:pt>
                <c:pt idx="808">
                  <c:v>10.8</c:v>
                </c:pt>
                <c:pt idx="809">
                  <c:v>10.4</c:v>
                </c:pt>
                <c:pt idx="810">
                  <c:v>10.199999999999999</c:v>
                </c:pt>
                <c:pt idx="811">
                  <c:v>9.8000000000000007</c:v>
                </c:pt>
                <c:pt idx="812">
                  <c:v>9.8000000000000007</c:v>
                </c:pt>
                <c:pt idx="813">
                  <c:v>9.1</c:v>
                </c:pt>
                <c:pt idx="814">
                  <c:v>10.75</c:v>
                </c:pt>
                <c:pt idx="815">
                  <c:v>10.75</c:v>
                </c:pt>
                <c:pt idx="816">
                  <c:v>10.75</c:v>
                </c:pt>
                <c:pt idx="817">
                  <c:v>10.19</c:v>
                </c:pt>
                <c:pt idx="818">
                  <c:v>9.99</c:v>
                </c:pt>
                <c:pt idx="819">
                  <c:v>10.199999999999999</c:v>
                </c:pt>
                <c:pt idx="820">
                  <c:v>10</c:v>
                </c:pt>
                <c:pt idx="821">
                  <c:v>10.5</c:v>
                </c:pt>
                <c:pt idx="822">
                  <c:v>10</c:v>
                </c:pt>
                <c:pt idx="823">
                  <c:v>10</c:v>
                </c:pt>
                <c:pt idx="824">
                  <c:v>10.82</c:v>
                </c:pt>
                <c:pt idx="825">
                  <c:v>10.7</c:v>
                </c:pt>
                <c:pt idx="826">
                  <c:v>10.25</c:v>
                </c:pt>
                <c:pt idx="827">
                  <c:v>10.25</c:v>
                </c:pt>
                <c:pt idx="828">
                  <c:v>10.7</c:v>
                </c:pt>
                <c:pt idx="829">
                  <c:v>10.68</c:v>
                </c:pt>
                <c:pt idx="830">
                  <c:v>10.68</c:v>
                </c:pt>
                <c:pt idx="831">
                  <c:v>10.68</c:v>
                </c:pt>
                <c:pt idx="832">
                  <c:v>10.199999999999999</c:v>
                </c:pt>
                <c:pt idx="833">
                  <c:v>10.3</c:v>
                </c:pt>
                <c:pt idx="834">
                  <c:v>10.15</c:v>
                </c:pt>
                <c:pt idx="835">
                  <c:v>10.06</c:v>
                </c:pt>
                <c:pt idx="836">
                  <c:v>10.6</c:v>
                </c:pt>
                <c:pt idx="837">
                  <c:v>10.6</c:v>
                </c:pt>
                <c:pt idx="838">
                  <c:v>10.5</c:v>
                </c:pt>
                <c:pt idx="839">
                  <c:v>10.5</c:v>
                </c:pt>
                <c:pt idx="840">
                  <c:v>10.5</c:v>
                </c:pt>
                <c:pt idx="841">
                  <c:v>10.5</c:v>
                </c:pt>
                <c:pt idx="842">
                  <c:v>10.39</c:v>
                </c:pt>
                <c:pt idx="843">
                  <c:v>10</c:v>
                </c:pt>
                <c:pt idx="844">
                  <c:v>10.1</c:v>
                </c:pt>
                <c:pt idx="845">
                  <c:v>10.199999999999999</c:v>
                </c:pt>
                <c:pt idx="846">
                  <c:v>10.45</c:v>
                </c:pt>
                <c:pt idx="847">
                  <c:v>10.050000000000001</c:v>
                </c:pt>
                <c:pt idx="848">
                  <c:v>10.3</c:v>
                </c:pt>
                <c:pt idx="849">
                  <c:v>10.17</c:v>
                </c:pt>
                <c:pt idx="850">
                  <c:v>10.75</c:v>
                </c:pt>
                <c:pt idx="851">
                  <c:v>10.75</c:v>
                </c:pt>
                <c:pt idx="852">
                  <c:v>10.199999999999999</c:v>
                </c:pt>
                <c:pt idx="853">
                  <c:v>9.5399999999999991</c:v>
                </c:pt>
                <c:pt idx="854">
                  <c:v>10.1</c:v>
                </c:pt>
                <c:pt idx="855">
                  <c:v>10</c:v>
                </c:pt>
                <c:pt idx="856">
                  <c:v>10.210000000000001</c:v>
                </c:pt>
                <c:pt idx="857">
                  <c:v>9.31</c:v>
                </c:pt>
                <c:pt idx="858">
                  <c:v>10.5</c:v>
                </c:pt>
                <c:pt idx="859">
                  <c:v>9.26</c:v>
                </c:pt>
                <c:pt idx="860">
                  <c:v>10.4</c:v>
                </c:pt>
                <c:pt idx="861">
                  <c:v>10.1</c:v>
                </c:pt>
                <c:pt idx="862">
                  <c:v>10.15</c:v>
                </c:pt>
                <c:pt idx="863">
                  <c:v>10.15</c:v>
                </c:pt>
                <c:pt idx="864">
                  <c:v>9.9499999999999993</c:v>
                </c:pt>
                <c:pt idx="865">
                  <c:v>9.4499999999999993</c:v>
                </c:pt>
                <c:pt idx="866">
                  <c:v>10.5</c:v>
                </c:pt>
                <c:pt idx="867">
                  <c:v>10.75</c:v>
                </c:pt>
                <c:pt idx="868">
                  <c:v>10.3</c:v>
                </c:pt>
                <c:pt idx="869">
                  <c:v>10.5</c:v>
                </c:pt>
                <c:pt idx="870">
                  <c:v>10.4</c:v>
                </c:pt>
                <c:pt idx="871">
                  <c:v>10.4</c:v>
                </c:pt>
                <c:pt idx="872">
                  <c:v>10.4</c:v>
                </c:pt>
                <c:pt idx="873">
                  <c:v>10.199999999999999</c:v>
                </c:pt>
                <c:pt idx="874">
                  <c:v>10.85</c:v>
                </c:pt>
                <c:pt idx="875">
                  <c:v>10.38</c:v>
                </c:pt>
                <c:pt idx="876">
                  <c:v>10.24</c:v>
                </c:pt>
                <c:pt idx="877">
                  <c:v>10.33</c:v>
                </c:pt>
                <c:pt idx="878">
                  <c:v>10.23</c:v>
                </c:pt>
                <c:pt idx="879">
                  <c:v>10.4</c:v>
                </c:pt>
                <c:pt idx="880">
                  <c:v>10</c:v>
                </c:pt>
                <c:pt idx="881">
                  <c:v>10.5</c:v>
                </c:pt>
                <c:pt idx="882">
                  <c:v>9.6</c:v>
                </c:pt>
                <c:pt idx="883">
                  <c:v>10.130000000000001</c:v>
                </c:pt>
                <c:pt idx="884">
                  <c:v>10.7</c:v>
                </c:pt>
                <c:pt idx="885">
                  <c:v>9.5</c:v>
                </c:pt>
                <c:pt idx="886">
                  <c:v>10.1</c:v>
                </c:pt>
                <c:pt idx="887">
                  <c:v>10.35</c:v>
                </c:pt>
                <c:pt idx="888">
                  <c:v>9.4</c:v>
                </c:pt>
                <c:pt idx="889">
                  <c:v>9.4</c:v>
                </c:pt>
                <c:pt idx="890">
                  <c:v>9.19</c:v>
                </c:pt>
                <c:pt idx="891">
                  <c:v>10.55</c:v>
                </c:pt>
                <c:pt idx="892">
                  <c:v>10.050000000000001</c:v>
                </c:pt>
                <c:pt idx="893">
                  <c:v>11</c:v>
                </c:pt>
                <c:pt idx="894">
                  <c:v>10</c:v>
                </c:pt>
                <c:pt idx="895">
                  <c:v>10.3</c:v>
                </c:pt>
                <c:pt idx="896">
                  <c:v>12.55</c:v>
                </c:pt>
                <c:pt idx="897">
                  <c:v>10.1</c:v>
                </c:pt>
                <c:pt idx="898">
                  <c:v>10.3</c:v>
                </c:pt>
                <c:pt idx="899">
                  <c:v>10</c:v>
                </c:pt>
                <c:pt idx="900">
                  <c:v>10</c:v>
                </c:pt>
                <c:pt idx="901">
                  <c:v>9.6</c:v>
                </c:pt>
                <c:pt idx="902">
                  <c:v>10.4</c:v>
                </c:pt>
                <c:pt idx="903">
                  <c:v>9.75</c:v>
                </c:pt>
                <c:pt idx="904">
                  <c:v>9.75</c:v>
                </c:pt>
                <c:pt idx="905">
                  <c:v>10.75</c:v>
                </c:pt>
                <c:pt idx="906">
                  <c:v>10.199999999999999</c:v>
                </c:pt>
                <c:pt idx="907">
                  <c:v>10</c:v>
                </c:pt>
                <c:pt idx="908">
                  <c:v>10.09</c:v>
                </c:pt>
                <c:pt idx="909">
                  <c:v>9.56</c:v>
                </c:pt>
                <c:pt idx="910">
                  <c:v>10.25</c:v>
                </c:pt>
                <c:pt idx="911">
                  <c:v>10.33</c:v>
                </c:pt>
                <c:pt idx="912">
                  <c:v>10.1</c:v>
                </c:pt>
                <c:pt idx="913">
                  <c:v>10.1</c:v>
                </c:pt>
                <c:pt idx="914">
                  <c:v>9.92</c:v>
                </c:pt>
                <c:pt idx="915">
                  <c:v>10.35</c:v>
                </c:pt>
                <c:pt idx="916">
                  <c:v>10.3</c:v>
                </c:pt>
                <c:pt idx="917">
                  <c:v>10.3</c:v>
                </c:pt>
                <c:pt idx="918">
                  <c:v>10.1</c:v>
                </c:pt>
                <c:pt idx="919">
                  <c:v>9.4499999999999993</c:v>
                </c:pt>
                <c:pt idx="920">
                  <c:v>10.050000000000001</c:v>
                </c:pt>
                <c:pt idx="921">
                  <c:v>10.5</c:v>
                </c:pt>
                <c:pt idx="922">
                  <c:v>10</c:v>
                </c:pt>
                <c:pt idx="923">
                  <c:v>8.83</c:v>
                </c:pt>
                <c:pt idx="924">
                  <c:v>9.1999999999999993</c:v>
                </c:pt>
                <c:pt idx="925">
                  <c:v>10.1</c:v>
                </c:pt>
                <c:pt idx="926">
                  <c:v>9.6</c:v>
                </c:pt>
                <c:pt idx="927">
                  <c:v>9.5</c:v>
                </c:pt>
                <c:pt idx="928">
                  <c:v>10</c:v>
                </c:pt>
                <c:pt idx="929">
                  <c:v>10.4</c:v>
                </c:pt>
                <c:pt idx="930">
                  <c:v>9.4499999999999993</c:v>
                </c:pt>
                <c:pt idx="931">
                  <c:v>9.4499999999999993</c:v>
                </c:pt>
                <c:pt idx="932">
                  <c:v>9.06</c:v>
                </c:pt>
                <c:pt idx="933">
                  <c:v>10.199999999999999</c:v>
                </c:pt>
                <c:pt idx="934">
                  <c:v>10</c:v>
                </c:pt>
                <c:pt idx="935">
                  <c:v>9.75</c:v>
                </c:pt>
                <c:pt idx="936">
                  <c:v>9.5</c:v>
                </c:pt>
                <c:pt idx="937">
                  <c:v>9.8000000000000007</c:v>
                </c:pt>
                <c:pt idx="938">
                  <c:v>9.6</c:v>
                </c:pt>
                <c:pt idx="939">
                  <c:v>9.6999999999999993</c:v>
                </c:pt>
                <c:pt idx="940">
                  <c:v>10.3</c:v>
                </c:pt>
                <c:pt idx="941">
                  <c:v>10.4</c:v>
                </c:pt>
                <c:pt idx="942">
                  <c:v>9.6</c:v>
                </c:pt>
                <c:pt idx="943">
                  <c:v>9.75</c:v>
                </c:pt>
                <c:pt idx="944">
                  <c:v>10.3</c:v>
                </c:pt>
                <c:pt idx="945">
                  <c:v>9.5</c:v>
                </c:pt>
                <c:pt idx="946">
                  <c:v>10</c:v>
                </c:pt>
                <c:pt idx="947">
                  <c:v>9.9</c:v>
                </c:pt>
                <c:pt idx="948">
                  <c:v>9.3000000000000007</c:v>
                </c:pt>
                <c:pt idx="949">
                  <c:v>9.4499999999999993</c:v>
                </c:pt>
                <c:pt idx="950">
                  <c:v>10.1</c:v>
                </c:pt>
                <c:pt idx="951">
                  <c:v>10.3</c:v>
                </c:pt>
                <c:pt idx="952">
                  <c:v>10</c:v>
                </c:pt>
                <c:pt idx="953">
                  <c:v>10.5</c:v>
                </c:pt>
                <c:pt idx="954">
                  <c:v>10.4</c:v>
                </c:pt>
                <c:pt idx="955">
                  <c:v>10.5</c:v>
                </c:pt>
                <c:pt idx="956">
                  <c:v>10</c:v>
                </c:pt>
                <c:pt idx="957">
                  <c:v>10.5</c:v>
                </c:pt>
                <c:pt idx="958">
                  <c:v>10.4</c:v>
                </c:pt>
                <c:pt idx="959">
                  <c:v>10.3</c:v>
                </c:pt>
                <c:pt idx="960">
                  <c:v>10.25</c:v>
                </c:pt>
                <c:pt idx="961">
                  <c:v>10.1</c:v>
                </c:pt>
                <c:pt idx="962">
                  <c:v>9.5</c:v>
                </c:pt>
                <c:pt idx="963">
                  <c:v>9.8000000000000007</c:v>
                </c:pt>
                <c:pt idx="964">
                  <c:v>9.6</c:v>
                </c:pt>
                <c:pt idx="965">
                  <c:v>9.3000000000000007</c:v>
                </c:pt>
                <c:pt idx="966">
                  <c:v>9.8000000000000007</c:v>
                </c:pt>
                <c:pt idx="967">
                  <c:v>9.8000000000000007</c:v>
                </c:pt>
                <c:pt idx="968">
                  <c:v>9.25</c:v>
                </c:pt>
                <c:pt idx="969">
                  <c:v>9.4</c:v>
                </c:pt>
                <c:pt idx="970">
                  <c:v>9.2799999999999994</c:v>
                </c:pt>
                <c:pt idx="971">
                  <c:v>9.2799999999999994</c:v>
                </c:pt>
                <c:pt idx="972">
                  <c:v>9.8000000000000007</c:v>
                </c:pt>
                <c:pt idx="973">
                  <c:v>9.6</c:v>
                </c:pt>
                <c:pt idx="974">
                  <c:v>10.199999999999999</c:v>
                </c:pt>
                <c:pt idx="975">
                  <c:v>9.84</c:v>
                </c:pt>
                <c:pt idx="976">
                  <c:v>10.25</c:v>
                </c:pt>
                <c:pt idx="977">
                  <c:v>9.5</c:v>
                </c:pt>
                <c:pt idx="978">
                  <c:v>10.199999999999999</c:v>
                </c:pt>
                <c:pt idx="979">
                  <c:v>9.6</c:v>
                </c:pt>
                <c:pt idx="980">
                  <c:v>9.73</c:v>
                </c:pt>
                <c:pt idx="981">
                  <c:v>10</c:v>
                </c:pt>
                <c:pt idx="982">
                  <c:v>9.08</c:v>
                </c:pt>
                <c:pt idx="983">
                  <c:v>9.7200000000000006</c:v>
                </c:pt>
                <c:pt idx="984">
                  <c:v>10</c:v>
                </c:pt>
                <c:pt idx="985">
                  <c:v>9.65</c:v>
                </c:pt>
                <c:pt idx="986">
                  <c:v>9.18</c:v>
                </c:pt>
                <c:pt idx="987">
                  <c:v>9.3000000000000007</c:v>
                </c:pt>
                <c:pt idx="988">
                  <c:v>9.85</c:v>
                </c:pt>
                <c:pt idx="989">
                  <c:v>9.5500000000000007</c:v>
                </c:pt>
                <c:pt idx="990">
                  <c:v>9.7200000000000006</c:v>
                </c:pt>
                <c:pt idx="991">
                  <c:v>9.5</c:v>
                </c:pt>
                <c:pt idx="992">
                  <c:v>9.8000000000000007</c:v>
                </c:pt>
                <c:pt idx="993">
                  <c:v>9.59</c:v>
                </c:pt>
                <c:pt idx="994">
                  <c:v>9.1</c:v>
                </c:pt>
                <c:pt idx="995">
                  <c:v>10.4</c:v>
                </c:pt>
                <c:pt idx="996">
                  <c:v>10.1</c:v>
                </c:pt>
                <c:pt idx="997">
                  <c:v>10.1</c:v>
                </c:pt>
                <c:pt idx="998">
                  <c:v>10.1</c:v>
                </c:pt>
                <c:pt idx="999">
                  <c:v>9.3000000000000007</c:v>
                </c:pt>
                <c:pt idx="1000">
                  <c:v>9.3000000000000007</c:v>
                </c:pt>
                <c:pt idx="1001">
                  <c:v>9.9</c:v>
                </c:pt>
                <c:pt idx="1002">
                  <c:v>9.1</c:v>
                </c:pt>
                <c:pt idx="1003">
                  <c:v>9.35</c:v>
                </c:pt>
                <c:pt idx="1004">
                  <c:v>9.75</c:v>
                </c:pt>
                <c:pt idx="1005">
                  <c:v>10.8</c:v>
                </c:pt>
                <c:pt idx="1006">
                  <c:v>10.199999999999999</c:v>
                </c:pt>
                <c:pt idx="1007">
                  <c:v>10.3</c:v>
                </c:pt>
                <c:pt idx="1008">
                  <c:v>10.199999999999999</c:v>
                </c:pt>
                <c:pt idx="1009">
                  <c:v>10.199999999999999</c:v>
                </c:pt>
                <c:pt idx="1010">
                  <c:v>10</c:v>
                </c:pt>
                <c:pt idx="1011">
                  <c:v>10.3</c:v>
                </c:pt>
                <c:pt idx="1012">
                  <c:v>9.0500000000000007</c:v>
                </c:pt>
                <c:pt idx="1013">
                  <c:v>9.0500000000000007</c:v>
                </c:pt>
                <c:pt idx="1014">
                  <c:v>9.5</c:v>
                </c:pt>
                <c:pt idx="1015">
                  <c:v>9.8000000000000007</c:v>
                </c:pt>
                <c:pt idx="1016">
                  <c:v>9</c:v>
                </c:pt>
                <c:pt idx="1017">
                  <c:v>9.75</c:v>
                </c:pt>
                <c:pt idx="1018">
                  <c:v>9.5500000000000007</c:v>
                </c:pt>
                <c:pt idx="1019">
                  <c:v>9.75</c:v>
                </c:pt>
                <c:pt idx="1020">
                  <c:v>9</c:v>
                </c:pt>
                <c:pt idx="1021">
                  <c:v>9.8000000000000007</c:v>
                </c:pt>
                <c:pt idx="1022">
                  <c:v>10</c:v>
                </c:pt>
                <c:pt idx="1023">
                  <c:v>10</c:v>
                </c:pt>
                <c:pt idx="1024">
                  <c:v>9.6</c:v>
                </c:pt>
                <c:pt idx="1025">
                  <c:v>9.9</c:v>
                </c:pt>
                <c:pt idx="1026">
                  <c:v>9.5</c:v>
                </c:pt>
                <c:pt idx="1027">
                  <c:v>9.5</c:v>
                </c:pt>
                <c:pt idx="1028">
                  <c:v>9.5</c:v>
                </c:pt>
                <c:pt idx="1029">
                  <c:v>9.4</c:v>
                </c:pt>
                <c:pt idx="1030">
                  <c:v>9.6</c:v>
                </c:pt>
                <c:pt idx="1031">
                  <c:v>9.5</c:v>
                </c:pt>
                <c:pt idx="1032">
                  <c:v>9.4</c:v>
                </c:pt>
                <c:pt idx="1033">
                  <c:v>9.8000000000000007</c:v>
                </c:pt>
                <c:pt idx="1034">
                  <c:v>9.49</c:v>
                </c:pt>
                <c:pt idx="1035">
                  <c:v>9.5500000000000007</c:v>
                </c:pt>
                <c:pt idx="1036">
                  <c:v>9.65</c:v>
                </c:pt>
                <c:pt idx="1037">
                  <c:v>9</c:v>
                </c:pt>
                <c:pt idx="1038">
                  <c:v>9</c:v>
                </c:pt>
                <c:pt idx="1039">
                  <c:v>9.5</c:v>
                </c:pt>
                <c:pt idx="1040">
                  <c:v>9.75</c:v>
                </c:pt>
                <c:pt idx="1041">
                  <c:v>9.5</c:v>
                </c:pt>
                <c:pt idx="1042">
                  <c:v>9.11</c:v>
                </c:pt>
                <c:pt idx="1043">
                  <c:v>10.199999999999999</c:v>
                </c:pt>
                <c:pt idx="1044">
                  <c:v>9.6999999999999993</c:v>
                </c:pt>
                <c:pt idx="1045">
                  <c:v>9.8000000000000007</c:v>
                </c:pt>
                <c:pt idx="1046">
                  <c:v>10</c:v>
                </c:pt>
                <c:pt idx="1047">
                  <c:v>10.1</c:v>
                </c:pt>
                <c:pt idx="1048">
                  <c:v>9</c:v>
                </c:pt>
                <c:pt idx="1049">
                  <c:v>9</c:v>
                </c:pt>
                <c:pt idx="1050">
                  <c:v>9.75</c:v>
                </c:pt>
                <c:pt idx="1051">
                  <c:v>9.5</c:v>
                </c:pt>
                <c:pt idx="1052">
                  <c:v>9</c:v>
                </c:pt>
                <c:pt idx="1053">
                  <c:v>10.55</c:v>
                </c:pt>
                <c:pt idx="1054">
                  <c:v>9.25</c:v>
                </c:pt>
                <c:pt idx="1055">
                  <c:v>9.5</c:v>
                </c:pt>
                <c:pt idx="1056">
                  <c:v>8.6999999999999993</c:v>
                </c:pt>
                <c:pt idx="1057">
                  <c:v>9.5</c:v>
                </c:pt>
                <c:pt idx="1058">
                  <c:v>9.6</c:v>
                </c:pt>
                <c:pt idx="1059">
                  <c:v>9.6999999999999993</c:v>
                </c:pt>
                <c:pt idx="1060">
                  <c:v>9.6999999999999993</c:v>
                </c:pt>
                <c:pt idx="1061">
                  <c:v>9.6</c:v>
                </c:pt>
                <c:pt idx="1062">
                  <c:v>9.5500000000000007</c:v>
                </c:pt>
                <c:pt idx="1063">
                  <c:v>10.1</c:v>
                </c:pt>
                <c:pt idx="1064">
                  <c:v>9.4</c:v>
                </c:pt>
                <c:pt idx="1065">
                  <c:v>9.6999999999999993</c:v>
                </c:pt>
                <c:pt idx="1066">
                  <c:v>11.88</c:v>
                </c:pt>
                <c:pt idx="1067">
                  <c:v>10.199999999999999</c:v>
                </c:pt>
                <c:pt idx="1068">
                  <c:v>9.6</c:v>
                </c:pt>
                <c:pt idx="1069">
                  <c:v>10.199999999999999</c:v>
                </c:pt>
                <c:pt idx="1070">
                  <c:v>10.050000000000001</c:v>
                </c:pt>
                <c:pt idx="1071">
                  <c:v>9.5</c:v>
                </c:pt>
                <c:pt idx="1072">
                  <c:v>9.8000000000000007</c:v>
                </c:pt>
                <c:pt idx="1073">
                  <c:v>9.25</c:v>
                </c:pt>
                <c:pt idx="1074">
                  <c:v>9.5</c:v>
                </c:pt>
                <c:pt idx="1075">
                  <c:v>9.8000000000000007</c:v>
                </c:pt>
                <c:pt idx="1076">
                  <c:v>9.8000000000000007</c:v>
                </c:pt>
                <c:pt idx="1077">
                  <c:v>9.8000000000000007</c:v>
                </c:pt>
                <c:pt idx="1078">
                  <c:v>9.5</c:v>
                </c:pt>
                <c:pt idx="1079">
                  <c:v>9</c:v>
                </c:pt>
                <c:pt idx="1080">
                  <c:v>10.19</c:v>
                </c:pt>
                <c:pt idx="1081">
                  <c:v>9.5</c:v>
                </c:pt>
                <c:pt idx="1082">
                  <c:v>9.3000000000000007</c:v>
                </c:pt>
                <c:pt idx="1083">
                  <c:v>9.5</c:v>
                </c:pt>
                <c:pt idx="1084">
                  <c:v>9.6999999999999993</c:v>
                </c:pt>
                <c:pt idx="1085">
                  <c:v>9.4</c:v>
                </c:pt>
                <c:pt idx="1086">
                  <c:v>9.8000000000000007</c:v>
                </c:pt>
                <c:pt idx="1087">
                  <c:v>8.8000000000000007</c:v>
                </c:pt>
                <c:pt idx="1088">
                  <c:v>9.6</c:v>
                </c:pt>
                <c:pt idx="1089">
                  <c:v>9.4</c:v>
                </c:pt>
                <c:pt idx="1090">
                  <c:v>9.2799999999999994</c:v>
                </c:pt>
                <c:pt idx="1091">
                  <c:v>10</c:v>
                </c:pt>
                <c:pt idx="1092">
                  <c:v>10</c:v>
                </c:pt>
                <c:pt idx="1093">
                  <c:v>10</c:v>
                </c:pt>
                <c:pt idx="1094">
                  <c:v>9.85</c:v>
                </c:pt>
                <c:pt idx="1095">
                  <c:v>9.8000000000000007</c:v>
                </c:pt>
                <c:pt idx="1096">
                  <c:v>10.199999999999999</c:v>
                </c:pt>
                <c:pt idx="1097">
                  <c:v>9.4</c:v>
                </c:pt>
                <c:pt idx="1098">
                  <c:v>9.5</c:v>
                </c:pt>
                <c:pt idx="1099">
                  <c:v>9.5</c:v>
                </c:pt>
                <c:pt idx="1100">
                  <c:v>9.61</c:v>
                </c:pt>
                <c:pt idx="1101">
                  <c:v>9.8000000000000007</c:v>
                </c:pt>
                <c:pt idx="1102">
                  <c:v>9.4</c:v>
                </c:pt>
                <c:pt idx="1103">
                  <c:v>9.6</c:v>
                </c:pt>
                <c:pt idx="1104">
                  <c:v>9.8699999999999992</c:v>
                </c:pt>
                <c:pt idx="1105">
                  <c:v>9.6999999999999993</c:v>
                </c:pt>
                <c:pt idx="1106">
                  <c:v>9.6999999999999993</c:v>
                </c:pt>
                <c:pt idx="1107">
                  <c:v>9.6999999999999993</c:v>
                </c:pt>
                <c:pt idx="1108">
                  <c:v>9.3000000000000007</c:v>
                </c:pt>
                <c:pt idx="1109">
                  <c:v>9.6</c:v>
                </c:pt>
                <c:pt idx="1110">
                  <c:v>9.3000000000000007</c:v>
                </c:pt>
                <c:pt idx="1111">
                  <c:v>9.35</c:v>
                </c:pt>
                <c:pt idx="1112">
                  <c:v>9.25</c:v>
                </c:pt>
                <c:pt idx="1113">
                  <c:v>9.25</c:v>
                </c:pt>
                <c:pt idx="1114">
                  <c:v>9.8000000000000007</c:v>
                </c:pt>
                <c:pt idx="1115">
                  <c:v>9.6999999999999993</c:v>
                </c:pt>
                <c:pt idx="1116">
                  <c:v>9</c:v>
                </c:pt>
                <c:pt idx="1117">
                  <c:v>9.6999999999999993</c:v>
                </c:pt>
                <c:pt idx="1118">
                  <c:v>9.73</c:v>
                </c:pt>
                <c:pt idx="1119">
                  <c:v>9.65</c:v>
                </c:pt>
                <c:pt idx="1120">
                  <c:v>9.8000000000000007</c:v>
                </c:pt>
                <c:pt idx="1121">
                  <c:v>10</c:v>
                </c:pt>
                <c:pt idx="1122">
                  <c:v>9.9</c:v>
                </c:pt>
                <c:pt idx="1123">
                  <c:v>9.9</c:v>
                </c:pt>
                <c:pt idx="1124">
                  <c:v>9.73</c:v>
                </c:pt>
                <c:pt idx="1125">
                  <c:v>9.4</c:v>
                </c:pt>
                <c:pt idx="1126">
                  <c:v>9.6999999999999993</c:v>
                </c:pt>
                <c:pt idx="1127">
                  <c:v>9.4</c:v>
                </c:pt>
                <c:pt idx="1128">
                  <c:v>10.199999999999999</c:v>
                </c:pt>
                <c:pt idx="1129">
                  <c:v>10</c:v>
                </c:pt>
                <c:pt idx="1130">
                  <c:v>10</c:v>
                </c:pt>
                <c:pt idx="1131">
                  <c:v>9.6999999999999993</c:v>
                </c:pt>
                <c:pt idx="1132">
                  <c:v>9.35</c:v>
                </c:pt>
                <c:pt idx="1133">
                  <c:v>9.6</c:v>
                </c:pt>
                <c:pt idx="1134">
                  <c:v>9.6</c:v>
                </c:pt>
                <c:pt idx="1135">
                  <c:v>9.8699999999999992</c:v>
                </c:pt>
                <c:pt idx="1136">
                  <c:v>9.4</c:v>
                </c:pt>
                <c:pt idx="1137">
                  <c:v>9.75</c:v>
                </c:pt>
                <c:pt idx="1138">
                  <c:v>9.6</c:v>
                </c:pt>
                <c:pt idx="1139">
                  <c:v>9.6</c:v>
                </c:pt>
                <c:pt idx="1140">
                  <c:v>10.25</c:v>
                </c:pt>
                <c:pt idx="1141">
                  <c:v>10.199999999999999</c:v>
                </c:pt>
                <c:pt idx="1142">
                  <c:v>10.050000000000001</c:v>
                </c:pt>
                <c:pt idx="1143">
                  <c:v>9.1999999999999993</c:v>
                </c:pt>
                <c:pt idx="1144">
                  <c:v>9.75</c:v>
                </c:pt>
                <c:pt idx="1145">
                  <c:v>9.35</c:v>
                </c:pt>
                <c:pt idx="1146">
                  <c:v>8.8000000000000007</c:v>
                </c:pt>
                <c:pt idx="1147">
                  <c:v>9.44</c:v>
                </c:pt>
                <c:pt idx="1148">
                  <c:v>9.4</c:v>
                </c:pt>
                <c:pt idx="1149">
                  <c:v>9.1</c:v>
                </c:pt>
                <c:pt idx="1150">
                  <c:v>9.5</c:v>
                </c:pt>
                <c:pt idx="1151">
                  <c:v>9.6999999999999993</c:v>
                </c:pt>
                <c:pt idx="1152">
                  <c:v>9.4</c:v>
                </c:pt>
                <c:pt idx="1153">
                  <c:v>9.48</c:v>
                </c:pt>
                <c:pt idx="1154">
                  <c:v>9.8000000000000007</c:v>
                </c:pt>
                <c:pt idx="1155">
                  <c:v>9.1999999999999993</c:v>
                </c:pt>
                <c:pt idx="1156">
                  <c:v>9.65</c:v>
                </c:pt>
                <c:pt idx="1157">
                  <c:v>9.4</c:v>
                </c:pt>
                <c:pt idx="1158">
                  <c:v>9.5</c:v>
                </c:pt>
                <c:pt idx="1159">
                  <c:v>9.9</c:v>
                </c:pt>
                <c:pt idx="1160">
                  <c:v>9.35</c:v>
                </c:pt>
                <c:pt idx="1161">
                  <c:v>9.9</c:v>
                </c:pt>
                <c:pt idx="1162">
                  <c:v>9.6</c:v>
                </c:pt>
                <c:pt idx="1163">
                  <c:v>9.25</c:v>
                </c:pt>
                <c:pt idx="1164">
                  <c:v>9.25</c:v>
                </c:pt>
                <c:pt idx="1165">
                  <c:v>9.8000000000000007</c:v>
                </c:pt>
                <c:pt idx="1166">
                  <c:v>9.6999999999999993</c:v>
                </c:pt>
                <c:pt idx="1167">
                  <c:v>9.1999999999999993</c:v>
                </c:pt>
                <c:pt idx="1168">
                  <c:v>9.4</c:v>
                </c:pt>
                <c:pt idx="1169">
                  <c:v>9.9</c:v>
                </c:pt>
                <c:pt idx="1170">
                  <c:v>9.6</c:v>
                </c:pt>
                <c:pt idx="1171">
                  <c:v>9.9</c:v>
                </c:pt>
                <c:pt idx="1172">
                  <c:v>8.8000000000000007</c:v>
                </c:pt>
                <c:pt idx="1173">
                  <c:v>8.8000000000000007</c:v>
                </c:pt>
                <c:pt idx="1174">
                  <c:v>9.8000000000000007</c:v>
                </c:pt>
                <c:pt idx="1175">
                  <c:v>9.1</c:v>
                </c:pt>
                <c:pt idx="1176">
                  <c:v>9.4</c:v>
                </c:pt>
                <c:pt idx="1177">
                  <c:v>9.65</c:v>
                </c:pt>
                <c:pt idx="1178">
                  <c:v>9.3800000000000008</c:v>
                </c:pt>
                <c:pt idx="1179">
                  <c:v>10</c:v>
                </c:pt>
                <c:pt idx="1180">
                  <c:v>9.6</c:v>
                </c:pt>
                <c:pt idx="1181">
                  <c:v>9.4</c:v>
                </c:pt>
                <c:pt idx="1182">
                  <c:v>9.67</c:v>
                </c:pt>
                <c:pt idx="1183">
                  <c:v>9.5</c:v>
                </c:pt>
                <c:pt idx="1184">
                  <c:v>9.8000000000000007</c:v>
                </c:pt>
                <c:pt idx="1185">
                  <c:v>9.86</c:v>
                </c:pt>
                <c:pt idx="1186">
                  <c:v>9.25</c:v>
                </c:pt>
                <c:pt idx="1187">
                  <c:v>10</c:v>
                </c:pt>
                <c:pt idx="1188">
                  <c:v>10</c:v>
                </c:pt>
                <c:pt idx="1189">
                  <c:v>10</c:v>
                </c:pt>
                <c:pt idx="1190">
                  <c:v>9.6999999999999993</c:v>
                </c:pt>
                <c:pt idx="1191">
                  <c:v>9.3000000000000007</c:v>
                </c:pt>
                <c:pt idx="1192">
                  <c:v>9.4</c:v>
                </c:pt>
                <c:pt idx="1193">
                  <c:v>8.8000000000000007</c:v>
                </c:pt>
                <c:pt idx="1194">
                  <c:v>10.24</c:v>
                </c:pt>
                <c:pt idx="1195">
                  <c:v>9.43</c:v>
                </c:pt>
                <c:pt idx="1196">
                  <c:v>9.5399999999999991</c:v>
                </c:pt>
                <c:pt idx="1197">
                  <c:v>9.3000000000000007</c:v>
                </c:pt>
                <c:pt idx="1198">
                  <c:v>8.8000000000000007</c:v>
                </c:pt>
                <c:pt idx="1199">
                  <c:v>8.8000000000000007</c:v>
                </c:pt>
                <c:pt idx="1200">
                  <c:v>9.4</c:v>
                </c:pt>
                <c:pt idx="1201">
                  <c:v>9.67</c:v>
                </c:pt>
                <c:pt idx="1202">
                  <c:v>9.85</c:v>
                </c:pt>
                <c:pt idx="1203">
                  <c:v>9.5</c:v>
                </c:pt>
                <c:pt idx="1204">
                  <c:v>9.4</c:v>
                </c:pt>
                <c:pt idx="1205">
                  <c:v>9.8000000000000007</c:v>
                </c:pt>
                <c:pt idx="1206">
                  <c:v>9.6999999999999993</c:v>
                </c:pt>
                <c:pt idx="1207">
                  <c:v>9.6999999999999993</c:v>
                </c:pt>
                <c:pt idx="1208">
                  <c:v>9.3699999999999992</c:v>
                </c:pt>
                <c:pt idx="1209">
                  <c:v>9.8000000000000007</c:v>
                </c:pt>
                <c:pt idx="1210">
                  <c:v>9.6</c:v>
                </c:pt>
                <c:pt idx="1211">
                  <c:v>10</c:v>
                </c:pt>
                <c:pt idx="1212">
                  <c:v>10</c:v>
                </c:pt>
                <c:pt idx="1213">
                  <c:v>9.75</c:v>
                </c:pt>
                <c:pt idx="1214">
                  <c:v>9</c:v>
                </c:pt>
                <c:pt idx="1215">
                  <c:v>9.8000000000000007</c:v>
                </c:pt>
                <c:pt idx="1216">
                  <c:v>9.4</c:v>
                </c:pt>
                <c:pt idx="1217">
                  <c:v>9.65</c:v>
                </c:pt>
                <c:pt idx="1218">
                  <c:v>9.9</c:v>
                </c:pt>
                <c:pt idx="1219">
                  <c:v>9.1999999999999993</c:v>
                </c:pt>
                <c:pt idx="1220">
                  <c:v>9.6</c:v>
                </c:pt>
                <c:pt idx="1221">
                  <c:v>9.3800000000000008</c:v>
                </c:pt>
                <c:pt idx="1222">
                  <c:v>9.35</c:v>
                </c:pt>
                <c:pt idx="1223">
                  <c:v>9.25</c:v>
                </c:pt>
                <c:pt idx="1224">
                  <c:v>9.6</c:v>
                </c:pt>
                <c:pt idx="1225">
                  <c:v>9</c:v>
                </c:pt>
                <c:pt idx="1226">
                  <c:v>9.6</c:v>
                </c:pt>
                <c:pt idx="1227">
                  <c:v>9.4</c:v>
                </c:pt>
                <c:pt idx="1228">
                  <c:v>9.4</c:v>
                </c:pt>
                <c:pt idx="1229">
                  <c:v>9.1999999999999993</c:v>
                </c:pt>
                <c:pt idx="1230">
                  <c:v>9.23</c:v>
                </c:pt>
                <c:pt idx="1231">
                  <c:v>9.25</c:v>
                </c:pt>
                <c:pt idx="1232">
                  <c:v>9.9</c:v>
                </c:pt>
                <c:pt idx="1233">
                  <c:v>9.3000000000000007</c:v>
                </c:pt>
                <c:pt idx="1234">
                  <c:v>9.85</c:v>
                </c:pt>
                <c:pt idx="1235">
                  <c:v>9.4</c:v>
                </c:pt>
                <c:pt idx="1236">
                  <c:v>9.6</c:v>
                </c:pt>
                <c:pt idx="1237">
                  <c:v>9.39</c:v>
                </c:pt>
                <c:pt idx="1238">
                  <c:v>9.4</c:v>
                </c:pt>
                <c:pt idx="1239">
                  <c:v>9.3000000000000007</c:v>
                </c:pt>
                <c:pt idx="1240">
                  <c:v>9.6</c:v>
                </c:pt>
                <c:pt idx="1241">
                  <c:v>9.6</c:v>
                </c:pt>
                <c:pt idx="1242">
                  <c:v>9.4</c:v>
                </c:pt>
                <c:pt idx="1243">
                  <c:v>9.1999999999999993</c:v>
                </c:pt>
                <c:pt idx="1244">
                  <c:v>9.8000000000000007</c:v>
                </c:pt>
                <c:pt idx="1245">
                  <c:v>9.6999999999999993</c:v>
                </c:pt>
                <c:pt idx="1246">
                  <c:v>10.199999999999999</c:v>
                </c:pt>
                <c:pt idx="1247">
                  <c:v>9.65</c:v>
                </c:pt>
                <c:pt idx="1248">
                  <c:v>9.3800000000000008</c:v>
                </c:pt>
                <c:pt idx="1249">
                  <c:v>9.8000000000000007</c:v>
                </c:pt>
                <c:pt idx="1250">
                  <c:v>9.6</c:v>
                </c:pt>
                <c:pt idx="1251">
                  <c:v>9.8000000000000007</c:v>
                </c:pt>
                <c:pt idx="1252">
                  <c:v>9.4</c:v>
                </c:pt>
                <c:pt idx="1253">
                  <c:v>9.6</c:v>
                </c:pt>
                <c:pt idx="1254">
                  <c:v>9.8000000000000007</c:v>
                </c:pt>
                <c:pt idx="1255">
                  <c:v>9.8000000000000007</c:v>
                </c:pt>
                <c:pt idx="1256">
                  <c:v>9.6</c:v>
                </c:pt>
                <c:pt idx="1257">
                  <c:v>9.3000000000000007</c:v>
                </c:pt>
                <c:pt idx="1258">
                  <c:v>10.25</c:v>
                </c:pt>
                <c:pt idx="1259">
                  <c:v>9.6</c:v>
                </c:pt>
                <c:pt idx="1260">
                  <c:v>9.57</c:v>
                </c:pt>
                <c:pt idx="1261">
                  <c:v>9.5</c:v>
                </c:pt>
                <c:pt idx="1262">
                  <c:v>9.3000000000000007</c:v>
                </c:pt>
                <c:pt idx="1263">
                  <c:v>9.5</c:v>
                </c:pt>
                <c:pt idx="1264">
                  <c:v>9.25</c:v>
                </c:pt>
                <c:pt idx="1265">
                  <c:v>9.9</c:v>
                </c:pt>
                <c:pt idx="1266">
                  <c:v>9.8000000000000007</c:v>
                </c:pt>
                <c:pt idx="1267">
                  <c:v>9.4</c:v>
                </c:pt>
                <c:pt idx="1268">
                  <c:v>9.49</c:v>
                </c:pt>
                <c:pt idx="1269">
                  <c:v>9.35</c:v>
                </c:pt>
                <c:pt idx="1270">
                  <c:v>9.3000000000000007</c:v>
                </c:pt>
                <c:pt idx="1271">
                  <c:v>9.8000000000000007</c:v>
                </c:pt>
                <c:pt idx="1272">
                  <c:v>9.1999999999999993</c:v>
                </c:pt>
                <c:pt idx="1273">
                  <c:v>9.1999999999999993</c:v>
                </c:pt>
                <c:pt idx="1274">
                  <c:v>9.5500000000000007</c:v>
                </c:pt>
                <c:pt idx="1275">
                  <c:v>9.65</c:v>
                </c:pt>
                <c:pt idx="1276">
                  <c:v>9.5</c:v>
                </c:pt>
                <c:pt idx="1277">
                  <c:v>9.6</c:v>
                </c:pt>
                <c:pt idx="1278">
                  <c:v>9.6999999999999993</c:v>
                </c:pt>
                <c:pt idx="1279">
                  <c:v>9.65</c:v>
                </c:pt>
                <c:pt idx="1280">
                  <c:v>10.15</c:v>
                </c:pt>
                <c:pt idx="1281">
                  <c:v>9.8000000000000007</c:v>
                </c:pt>
                <c:pt idx="1282">
                  <c:v>9.8000000000000007</c:v>
                </c:pt>
                <c:pt idx="1283">
                  <c:v>9.51</c:v>
                </c:pt>
                <c:pt idx="1284">
                  <c:v>9.44</c:v>
                </c:pt>
                <c:pt idx="1285">
                  <c:v>9.3800000000000008</c:v>
                </c:pt>
                <c:pt idx="1286">
                  <c:v>9.3800000000000008</c:v>
                </c:pt>
                <c:pt idx="1287">
                  <c:v>9.8000000000000007</c:v>
                </c:pt>
                <c:pt idx="1288">
                  <c:v>9.5</c:v>
                </c:pt>
                <c:pt idx="1289">
                  <c:v>9.4499999999999993</c:v>
                </c:pt>
                <c:pt idx="1290">
                  <c:v>9.65</c:v>
                </c:pt>
                <c:pt idx="1291">
                  <c:v>9.75</c:v>
                </c:pt>
                <c:pt idx="1292">
                  <c:v>10.5</c:v>
                </c:pt>
                <c:pt idx="1293">
                  <c:v>9.85</c:v>
                </c:pt>
                <c:pt idx="1294">
                  <c:v>9.6999999999999993</c:v>
                </c:pt>
                <c:pt idx="1295">
                  <c:v>9.3000000000000007</c:v>
                </c:pt>
                <c:pt idx="1296">
                  <c:v>11.88</c:v>
                </c:pt>
                <c:pt idx="1297">
                  <c:v>9.5</c:v>
                </c:pt>
                <c:pt idx="1298">
                  <c:v>9.5</c:v>
                </c:pt>
                <c:pt idx="1299">
                  <c:v>9.75</c:v>
                </c:pt>
                <c:pt idx="1300">
                  <c:v>9.8000000000000007</c:v>
                </c:pt>
                <c:pt idx="1301">
                  <c:v>9.4</c:v>
                </c:pt>
                <c:pt idx="1302">
                  <c:v>9.5</c:v>
                </c:pt>
                <c:pt idx="1303">
                  <c:v>9.9</c:v>
                </c:pt>
                <c:pt idx="1304">
                  <c:v>9.3800000000000008</c:v>
                </c:pt>
                <c:pt idx="1305">
                  <c:v>9.75</c:v>
                </c:pt>
                <c:pt idx="1306">
                  <c:v>9.35</c:v>
                </c:pt>
                <c:pt idx="1307">
                  <c:v>9.35</c:v>
                </c:pt>
                <c:pt idx="1308">
                  <c:v>9.65</c:v>
                </c:pt>
                <c:pt idx="1309">
                  <c:v>9.4499999999999993</c:v>
                </c:pt>
                <c:pt idx="1310">
                  <c:v>9.86</c:v>
                </c:pt>
                <c:pt idx="1311">
                  <c:v>9.85</c:v>
                </c:pt>
                <c:pt idx="1312">
                  <c:v>9.6</c:v>
                </c:pt>
                <c:pt idx="1313">
                  <c:v>10.08</c:v>
                </c:pt>
                <c:pt idx="1314">
                  <c:v>9.4</c:v>
                </c:pt>
                <c:pt idx="1315">
                  <c:v>9.35</c:v>
                </c:pt>
                <c:pt idx="1316">
                  <c:v>9.9</c:v>
                </c:pt>
                <c:pt idx="1317">
                  <c:v>10</c:v>
                </c:pt>
                <c:pt idx="1318">
                  <c:v>9.9</c:v>
                </c:pt>
                <c:pt idx="1319">
                  <c:v>9.9</c:v>
                </c:pt>
                <c:pt idx="1320">
                  <c:v>9.8000000000000007</c:v>
                </c:pt>
                <c:pt idx="1321">
                  <c:v>9.15</c:v>
                </c:pt>
                <c:pt idx="1322">
                  <c:v>9.15</c:v>
                </c:pt>
                <c:pt idx="1323">
                  <c:v>9.6999999999999993</c:v>
                </c:pt>
                <c:pt idx="1324">
                  <c:v>9.85</c:v>
                </c:pt>
                <c:pt idx="1325">
                  <c:v>9.6</c:v>
                </c:pt>
                <c:pt idx="1326">
                  <c:v>9.6</c:v>
                </c:pt>
                <c:pt idx="1327">
                  <c:v>9.8000000000000007</c:v>
                </c:pt>
                <c:pt idx="1328">
                  <c:v>9.8000000000000007</c:v>
                </c:pt>
                <c:pt idx="1329">
                  <c:v>9.8000000000000007</c:v>
                </c:pt>
                <c:pt idx="1330">
                  <c:v>9.6999999999999993</c:v>
                </c:pt>
                <c:pt idx="1331">
                  <c:v>9.8000000000000007</c:v>
                </c:pt>
                <c:pt idx="1332">
                  <c:v>9.75</c:v>
                </c:pt>
                <c:pt idx="1333">
                  <c:v>9.8000000000000007</c:v>
                </c:pt>
                <c:pt idx="1334">
                  <c:v>9.9</c:v>
                </c:pt>
              </c:numCache>
            </c:numRef>
          </c:yVal>
          <c:smooth val="0"/>
          <c:extLst>
            <c:ext xmlns:c16="http://schemas.microsoft.com/office/drawing/2014/chart" uri="{C3380CC4-5D6E-409C-BE32-E72D297353CC}">
              <c16:uniqueId val="{00000000-62DC-4750-AEC6-CB9ABD46C017}"/>
            </c:ext>
          </c:extLst>
        </c:ser>
        <c:dLbls>
          <c:showLegendKey val="0"/>
          <c:showVal val="0"/>
          <c:showCatName val="0"/>
          <c:showSerName val="0"/>
          <c:showPercent val="0"/>
          <c:showBubbleSize val="0"/>
        </c:dLbls>
        <c:axId val="714141496"/>
        <c:axId val="714144632"/>
      </c:scatterChart>
      <c:valAx>
        <c:axId val="714141496"/>
        <c:scaling>
          <c:orientation val="minMax"/>
          <c:min val="3"/>
        </c:scaling>
        <c:delete val="0"/>
        <c:axPos val="b"/>
        <c:title>
          <c:tx>
            <c:rich>
              <a:bodyPr/>
              <a:lstStyle/>
              <a:p>
                <a:pPr>
                  <a:defRPr sz="1200"/>
                </a:pPr>
                <a:r>
                  <a:rPr lang="en-US" sz="1200"/>
                  <a:t>A Rated Utility Bond Yield (%)</a:t>
                </a:r>
              </a:p>
            </c:rich>
          </c:tx>
          <c:overlay val="0"/>
        </c:title>
        <c:numFmt formatCode="#,##0.00" sourceLinked="0"/>
        <c:majorTickMark val="out"/>
        <c:minorTickMark val="none"/>
        <c:tickLblPos val="nextTo"/>
        <c:crossAx val="714144632"/>
        <c:crosses val="autoZero"/>
        <c:crossBetween val="midCat"/>
        <c:majorUnit val="3"/>
      </c:valAx>
      <c:valAx>
        <c:axId val="714144632"/>
        <c:scaling>
          <c:orientation val="minMax"/>
          <c:max val="17"/>
          <c:min val="6"/>
        </c:scaling>
        <c:delete val="0"/>
        <c:axPos val="l"/>
        <c:title>
          <c:tx>
            <c:rich>
              <a:bodyPr/>
              <a:lstStyle/>
              <a:p>
                <a:pPr>
                  <a:defRPr sz="1200"/>
                </a:pPr>
                <a:r>
                  <a:rPr lang="en-US" sz="1200"/>
                  <a:t>Return</a:t>
                </a:r>
                <a:r>
                  <a:rPr lang="en-US" sz="1200" baseline="0"/>
                  <a:t> on Equity</a:t>
                </a:r>
                <a:r>
                  <a:rPr lang="en-US" sz="1200"/>
                  <a:t> (%)</a:t>
                </a:r>
              </a:p>
            </c:rich>
          </c:tx>
          <c:overlay val="0"/>
        </c:title>
        <c:numFmt formatCode="#,##0.00_);\(#,##0.00\)" sourceLinked="1"/>
        <c:majorTickMark val="out"/>
        <c:minorTickMark val="none"/>
        <c:tickLblPos val="nextTo"/>
        <c:crossAx val="714141496"/>
        <c:crosses val="autoZero"/>
        <c:crossBetween val="midCat"/>
      </c:valAx>
    </c:plotArea>
    <c:plotVisOnly val="1"/>
    <c:dispBlanksAs val="gap"/>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18022747156601E-2"/>
          <c:y val="5.0925925925925923E-2"/>
          <c:w val="0.8821237970253718"/>
          <c:h val="0.79638013998250223"/>
        </c:manualLayout>
      </c:layout>
      <c:barChart>
        <c:barDir val="col"/>
        <c:grouping val="clustered"/>
        <c:varyColors val="0"/>
        <c:ser>
          <c:idx val="0"/>
          <c:order val="0"/>
          <c:spPr>
            <a:solidFill>
              <a:schemeClr val="tx1"/>
            </a:solidFill>
            <a:ln>
              <a:noFill/>
            </a:ln>
            <a:effectLst/>
          </c:spPr>
          <c:invertIfNegative val="0"/>
          <c:cat>
            <c:numRef>
              <c:f>'9.1 ERP Freq Dis'!$H$37:$H$62</c:f>
              <c:numCache>
                <c:formatCode>0.00%</c:formatCode>
                <c:ptCount val="26"/>
                <c:pt idx="0">
                  <c:v>-0.5</c:v>
                </c:pt>
                <c:pt idx="1">
                  <c:v>-0.45</c:v>
                </c:pt>
                <c:pt idx="2">
                  <c:v>-0.4</c:v>
                </c:pt>
                <c:pt idx="3">
                  <c:v>-0.35000000000000003</c:v>
                </c:pt>
                <c:pt idx="4">
                  <c:v>-0.30000000000000004</c:v>
                </c:pt>
                <c:pt idx="5">
                  <c:v>-0.25000000000000006</c:v>
                </c:pt>
                <c:pt idx="6">
                  <c:v>-0.20000000000000007</c:v>
                </c:pt>
                <c:pt idx="7">
                  <c:v>-0.15000000000000008</c:v>
                </c:pt>
                <c:pt idx="8">
                  <c:v>-0.10000000000000007</c:v>
                </c:pt>
                <c:pt idx="9">
                  <c:v>-5.0000000000000072E-2</c:v>
                </c:pt>
                <c:pt idx="10">
                  <c:v>-6.9388939039072284E-17</c:v>
                </c:pt>
                <c:pt idx="11">
                  <c:v>4.9999999999999933E-2</c:v>
                </c:pt>
                <c:pt idx="12">
                  <c:v>9.9999999999999936E-2</c:v>
                </c:pt>
                <c:pt idx="13">
                  <c:v>0.14999999999999994</c:v>
                </c:pt>
                <c:pt idx="14">
                  <c:v>0.19999999999999996</c:v>
                </c:pt>
                <c:pt idx="15">
                  <c:v>0.24999999999999994</c:v>
                </c:pt>
                <c:pt idx="16">
                  <c:v>0.29999999999999993</c:v>
                </c:pt>
                <c:pt idx="17">
                  <c:v>0.34999999999999992</c:v>
                </c:pt>
                <c:pt idx="18">
                  <c:v>0.39999999999999991</c:v>
                </c:pt>
                <c:pt idx="19">
                  <c:v>0.4499999999999999</c:v>
                </c:pt>
                <c:pt idx="20">
                  <c:v>0.49999999999999989</c:v>
                </c:pt>
                <c:pt idx="21">
                  <c:v>0.54999999999999993</c:v>
                </c:pt>
                <c:pt idx="22">
                  <c:v>0.6</c:v>
                </c:pt>
                <c:pt idx="23">
                  <c:v>0.65</c:v>
                </c:pt>
                <c:pt idx="24">
                  <c:v>0.70000000000000007</c:v>
                </c:pt>
                <c:pt idx="25">
                  <c:v>0.75000000000000011</c:v>
                </c:pt>
              </c:numCache>
            </c:numRef>
          </c:cat>
          <c:val>
            <c:numRef>
              <c:f>'9.1 ERP Freq Dis'!$I$37:$I$62</c:f>
              <c:numCache>
                <c:formatCode>General</c:formatCode>
                <c:ptCount val="26"/>
                <c:pt idx="0">
                  <c:v>0</c:v>
                </c:pt>
                <c:pt idx="1">
                  <c:v>2</c:v>
                </c:pt>
                <c:pt idx="2">
                  <c:v>3</c:v>
                </c:pt>
                <c:pt idx="3">
                  <c:v>2</c:v>
                </c:pt>
                <c:pt idx="4">
                  <c:v>4</c:v>
                </c:pt>
                <c:pt idx="5">
                  <c:v>2</c:v>
                </c:pt>
                <c:pt idx="6">
                  <c:v>3</c:v>
                </c:pt>
                <c:pt idx="7">
                  <c:v>5</c:v>
                </c:pt>
                <c:pt idx="8">
                  <c:v>6</c:v>
                </c:pt>
                <c:pt idx="9">
                  <c:v>8</c:v>
                </c:pt>
                <c:pt idx="10">
                  <c:v>12</c:v>
                </c:pt>
                <c:pt idx="11">
                  <c:v>12</c:v>
                </c:pt>
                <c:pt idx="12">
                  <c:v>11</c:v>
                </c:pt>
                <c:pt idx="13">
                  <c:v>11</c:v>
                </c:pt>
                <c:pt idx="14">
                  <c:v>6</c:v>
                </c:pt>
                <c:pt idx="15">
                  <c:v>1</c:v>
                </c:pt>
                <c:pt idx="16">
                  <c:v>2</c:v>
                </c:pt>
                <c:pt idx="17">
                  <c:v>2</c:v>
                </c:pt>
                <c:pt idx="18">
                  <c:v>1</c:v>
                </c:pt>
                <c:pt idx="19">
                  <c:v>0</c:v>
                </c:pt>
                <c:pt idx="20">
                  <c:v>3</c:v>
                </c:pt>
                <c:pt idx="21">
                  <c:v>0</c:v>
                </c:pt>
                <c:pt idx="22">
                  <c:v>0</c:v>
                </c:pt>
                <c:pt idx="23">
                  <c:v>0</c:v>
                </c:pt>
                <c:pt idx="24">
                  <c:v>1</c:v>
                </c:pt>
                <c:pt idx="25" formatCode="0">
                  <c:v>0</c:v>
                </c:pt>
              </c:numCache>
            </c:numRef>
          </c:val>
          <c:extLst>
            <c:ext xmlns:c16="http://schemas.microsoft.com/office/drawing/2014/chart" uri="{C3380CC4-5D6E-409C-BE32-E72D297353CC}">
              <c16:uniqueId val="{00000000-07FE-4A70-8A11-8A1CB61DD2D5}"/>
            </c:ext>
          </c:extLst>
        </c:ser>
        <c:dLbls>
          <c:showLegendKey val="0"/>
          <c:showVal val="0"/>
          <c:showCatName val="0"/>
          <c:showSerName val="0"/>
          <c:showPercent val="0"/>
          <c:showBubbleSize val="0"/>
        </c:dLbls>
        <c:gapWidth val="140"/>
        <c:axId val="712391056"/>
        <c:axId val="712392232"/>
      </c:barChart>
      <c:catAx>
        <c:axId val="712391056"/>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Cambria" panose="02040503050406030204" pitchFamily="18" charset="0"/>
                <a:cs typeface="+mn-cs"/>
              </a:defRPr>
            </a:pPr>
            <a:endParaRPr lang="en-US"/>
          </a:p>
        </c:txPr>
        <c:crossAx val="712392232"/>
        <c:crosses val="autoZero"/>
        <c:auto val="1"/>
        <c:lblAlgn val="ctr"/>
        <c:lblOffset val="100"/>
        <c:tickLblSkip val="2"/>
        <c:noMultiLvlLbl val="0"/>
      </c:catAx>
      <c:valAx>
        <c:axId val="71239223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Cambria" panose="02040503050406030204" pitchFamily="18" charset="0"/>
                <a:cs typeface="+mn-cs"/>
              </a:defRPr>
            </a:pPr>
            <a:endParaRPr lang="en-US"/>
          </a:p>
        </c:txPr>
        <c:crossAx val="71239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18022747156601E-2"/>
          <c:y val="5.0925925925925923E-2"/>
          <c:w val="0.8821237970253718"/>
          <c:h val="0.79638013998250223"/>
        </c:manualLayout>
      </c:layout>
      <c:barChart>
        <c:barDir val="col"/>
        <c:grouping val="clustered"/>
        <c:varyColors val="0"/>
        <c:ser>
          <c:idx val="0"/>
          <c:order val="0"/>
          <c:spPr>
            <a:solidFill>
              <a:schemeClr val="tx1"/>
            </a:solidFill>
            <a:ln>
              <a:noFill/>
            </a:ln>
            <a:effectLst/>
          </c:spPr>
          <c:invertIfNegative val="0"/>
          <c:cat>
            <c:numRef>
              <c:f>'10.1 MKT Rtns Freq'!$I$34:$I$79</c:f>
              <c:numCache>
                <c:formatCode>0.00%</c:formatCode>
                <c:ptCount val="46"/>
                <c:pt idx="0">
                  <c:v>-0.5</c:v>
                </c:pt>
                <c:pt idx="1">
                  <c:v>-0.47499999999999998</c:v>
                </c:pt>
                <c:pt idx="2">
                  <c:v>-0.45</c:v>
                </c:pt>
                <c:pt idx="3">
                  <c:v>-0.42499999999999999</c:v>
                </c:pt>
                <c:pt idx="4">
                  <c:v>-0.4</c:v>
                </c:pt>
                <c:pt idx="5">
                  <c:v>-0.375</c:v>
                </c:pt>
                <c:pt idx="6">
                  <c:v>-0.35</c:v>
                </c:pt>
                <c:pt idx="7">
                  <c:v>-0.32500000000000001</c:v>
                </c:pt>
                <c:pt idx="8">
                  <c:v>-0.3</c:v>
                </c:pt>
                <c:pt idx="9">
                  <c:v>-0.27500000000000002</c:v>
                </c:pt>
                <c:pt idx="10">
                  <c:v>-0.25</c:v>
                </c:pt>
                <c:pt idx="11">
                  <c:v>-0.22500000000000001</c:v>
                </c:pt>
                <c:pt idx="12">
                  <c:v>-0.2</c:v>
                </c:pt>
                <c:pt idx="13">
                  <c:v>-0.17499999999999999</c:v>
                </c:pt>
                <c:pt idx="14">
                  <c:v>-0.15</c:v>
                </c:pt>
                <c:pt idx="15">
                  <c:v>-0.125</c:v>
                </c:pt>
                <c:pt idx="16">
                  <c:v>-0.1</c:v>
                </c:pt>
                <c:pt idx="17">
                  <c:v>-7.4999999999999997E-2</c:v>
                </c:pt>
                <c:pt idx="18">
                  <c:v>-0.05</c:v>
                </c:pt>
                <c:pt idx="19">
                  <c:v>-2.5000000000000001E-2</c:v>
                </c:pt>
                <c:pt idx="20">
                  <c:v>0</c:v>
                </c:pt>
                <c:pt idx="21">
                  <c:v>2.5000000000000001E-2</c:v>
                </c:pt>
                <c:pt idx="22">
                  <c:v>0.05</c:v>
                </c:pt>
                <c:pt idx="23">
                  <c:v>7.4999999999999997E-2</c:v>
                </c:pt>
                <c:pt idx="24">
                  <c:v>0.1</c:v>
                </c:pt>
                <c:pt idx="25">
                  <c:v>0.125</c:v>
                </c:pt>
                <c:pt idx="26">
                  <c:v>0.15</c:v>
                </c:pt>
                <c:pt idx="27">
                  <c:v>0.17499999999999999</c:v>
                </c:pt>
                <c:pt idx="28">
                  <c:v>0.2</c:v>
                </c:pt>
                <c:pt idx="29">
                  <c:v>0.22500000000000001</c:v>
                </c:pt>
                <c:pt idx="30">
                  <c:v>0.25</c:v>
                </c:pt>
                <c:pt idx="31">
                  <c:v>0.27500000000000002</c:v>
                </c:pt>
                <c:pt idx="32">
                  <c:v>0.3</c:v>
                </c:pt>
                <c:pt idx="33">
                  <c:v>0.32500000000000001</c:v>
                </c:pt>
                <c:pt idx="34">
                  <c:v>0.35</c:v>
                </c:pt>
                <c:pt idx="35">
                  <c:v>0.375</c:v>
                </c:pt>
                <c:pt idx="36">
                  <c:v>0.4</c:v>
                </c:pt>
                <c:pt idx="37">
                  <c:v>0.42499999999999999</c:v>
                </c:pt>
                <c:pt idx="38">
                  <c:v>0.45</c:v>
                </c:pt>
                <c:pt idx="39">
                  <c:v>0.47499999999999998</c:v>
                </c:pt>
                <c:pt idx="40">
                  <c:v>0.5</c:v>
                </c:pt>
                <c:pt idx="41">
                  <c:v>0.52500000000000002</c:v>
                </c:pt>
                <c:pt idx="42">
                  <c:v>0.55000000000000004</c:v>
                </c:pt>
                <c:pt idx="43">
                  <c:v>0.57499999999999996</c:v>
                </c:pt>
                <c:pt idx="44">
                  <c:v>0.6</c:v>
                </c:pt>
                <c:pt idx="45">
                  <c:v>0.625</c:v>
                </c:pt>
              </c:numCache>
            </c:numRef>
          </c:cat>
          <c:val>
            <c:numRef>
              <c:f>'10.1 MKT Rtns Freq'!$J$34:$J$79</c:f>
              <c:numCache>
                <c:formatCode>General</c:formatCode>
                <c:ptCount val="46"/>
                <c:pt idx="0">
                  <c:v>0</c:v>
                </c:pt>
                <c:pt idx="1">
                  <c:v>0</c:v>
                </c:pt>
                <c:pt idx="2">
                  <c:v>0</c:v>
                </c:pt>
                <c:pt idx="3">
                  <c:v>1</c:v>
                </c:pt>
                <c:pt idx="4">
                  <c:v>0</c:v>
                </c:pt>
                <c:pt idx="5">
                  <c:v>0</c:v>
                </c:pt>
                <c:pt idx="6">
                  <c:v>2</c:v>
                </c:pt>
                <c:pt idx="7">
                  <c:v>0</c:v>
                </c:pt>
                <c:pt idx="8">
                  <c:v>0</c:v>
                </c:pt>
                <c:pt idx="9">
                  <c:v>0</c:v>
                </c:pt>
                <c:pt idx="10">
                  <c:v>1</c:v>
                </c:pt>
                <c:pt idx="11">
                  <c:v>1</c:v>
                </c:pt>
                <c:pt idx="12">
                  <c:v>1</c:v>
                </c:pt>
                <c:pt idx="13">
                  <c:v>1</c:v>
                </c:pt>
                <c:pt idx="14">
                  <c:v>0</c:v>
                </c:pt>
                <c:pt idx="15">
                  <c:v>1</c:v>
                </c:pt>
                <c:pt idx="16">
                  <c:v>4</c:v>
                </c:pt>
                <c:pt idx="17">
                  <c:v>7</c:v>
                </c:pt>
                <c:pt idx="18">
                  <c:v>1</c:v>
                </c:pt>
                <c:pt idx="19">
                  <c:v>3</c:v>
                </c:pt>
                <c:pt idx="20">
                  <c:v>3</c:v>
                </c:pt>
                <c:pt idx="21">
                  <c:v>4</c:v>
                </c:pt>
                <c:pt idx="22">
                  <c:v>2</c:v>
                </c:pt>
                <c:pt idx="23">
                  <c:v>7</c:v>
                </c:pt>
                <c:pt idx="24">
                  <c:v>1</c:v>
                </c:pt>
                <c:pt idx="25">
                  <c:v>7</c:v>
                </c:pt>
                <c:pt idx="26">
                  <c:v>2</c:v>
                </c:pt>
                <c:pt idx="27">
                  <c:v>5</c:v>
                </c:pt>
                <c:pt idx="28">
                  <c:v>7</c:v>
                </c:pt>
                <c:pt idx="29">
                  <c:v>4</c:v>
                </c:pt>
                <c:pt idx="30">
                  <c:v>6</c:v>
                </c:pt>
                <c:pt idx="31">
                  <c:v>5</c:v>
                </c:pt>
                <c:pt idx="32">
                  <c:v>3</c:v>
                </c:pt>
                <c:pt idx="33">
                  <c:v>9</c:v>
                </c:pt>
                <c:pt idx="34">
                  <c:v>2</c:v>
                </c:pt>
                <c:pt idx="35">
                  <c:v>3</c:v>
                </c:pt>
                <c:pt idx="36">
                  <c:v>1</c:v>
                </c:pt>
                <c:pt idx="37">
                  <c:v>0</c:v>
                </c:pt>
                <c:pt idx="38">
                  <c:v>2</c:v>
                </c:pt>
                <c:pt idx="39">
                  <c:v>0</c:v>
                </c:pt>
                <c:pt idx="40">
                  <c:v>1</c:v>
                </c:pt>
                <c:pt idx="41">
                  <c:v>0</c:v>
                </c:pt>
                <c:pt idx="42">
                  <c:v>2</c:v>
                </c:pt>
                <c:pt idx="43">
                  <c:v>0</c:v>
                </c:pt>
                <c:pt idx="44">
                  <c:v>0</c:v>
                </c:pt>
                <c:pt idx="45">
                  <c:v>0</c:v>
                </c:pt>
              </c:numCache>
            </c:numRef>
          </c:val>
          <c:extLst>
            <c:ext xmlns:c16="http://schemas.microsoft.com/office/drawing/2014/chart" uri="{C3380CC4-5D6E-409C-BE32-E72D297353CC}">
              <c16:uniqueId val="{00000000-54E2-413F-84AF-CB61F72AD58F}"/>
            </c:ext>
          </c:extLst>
        </c:ser>
        <c:dLbls>
          <c:showLegendKey val="0"/>
          <c:showVal val="0"/>
          <c:showCatName val="0"/>
          <c:showSerName val="0"/>
          <c:showPercent val="0"/>
          <c:showBubbleSize val="0"/>
        </c:dLbls>
        <c:gapWidth val="100"/>
        <c:axId val="712391056"/>
        <c:axId val="712392232"/>
      </c:barChart>
      <c:catAx>
        <c:axId val="712391056"/>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392232"/>
        <c:crosses val="autoZero"/>
        <c:auto val="1"/>
        <c:lblAlgn val="ctr"/>
        <c:lblOffset val="100"/>
        <c:tickLblSkip val="2"/>
        <c:noMultiLvlLbl val="0"/>
      </c:catAx>
      <c:valAx>
        <c:axId val="71239223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39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18022747156601E-2"/>
          <c:y val="5.0925925925925923E-2"/>
          <c:w val="0.8821237970253718"/>
          <c:h val="0.79638013998250223"/>
        </c:manualLayout>
      </c:layout>
      <c:barChart>
        <c:barDir val="col"/>
        <c:grouping val="clustered"/>
        <c:varyColors val="0"/>
        <c:ser>
          <c:idx val="0"/>
          <c:order val="0"/>
          <c:spPr>
            <a:solidFill>
              <a:schemeClr val="tx1"/>
            </a:solidFill>
            <a:ln>
              <a:noFill/>
            </a:ln>
            <a:effectLst/>
          </c:spPr>
          <c:invertIfNegative val="0"/>
          <c:cat>
            <c:numRef>
              <c:f>'10.2 MRP Rtns Freq'!$I$34:$I$75</c:f>
              <c:numCache>
                <c:formatCode>0.00%</c:formatCode>
                <c:ptCount val="42"/>
                <c:pt idx="0">
                  <c:v>-0.5</c:v>
                </c:pt>
                <c:pt idx="1">
                  <c:v>-0.47499999999999998</c:v>
                </c:pt>
                <c:pt idx="2">
                  <c:v>-0.45</c:v>
                </c:pt>
                <c:pt idx="3">
                  <c:v>-0.42499999999999999</c:v>
                </c:pt>
                <c:pt idx="4">
                  <c:v>-0.4</c:v>
                </c:pt>
                <c:pt idx="5">
                  <c:v>-0.375</c:v>
                </c:pt>
                <c:pt idx="6">
                  <c:v>-0.35</c:v>
                </c:pt>
                <c:pt idx="7">
                  <c:v>-0.32500000000000001</c:v>
                </c:pt>
                <c:pt idx="8">
                  <c:v>-0.3</c:v>
                </c:pt>
                <c:pt idx="9">
                  <c:v>-0.27500000000000002</c:v>
                </c:pt>
                <c:pt idx="10">
                  <c:v>-0.25</c:v>
                </c:pt>
                <c:pt idx="11">
                  <c:v>-0.22500000000000001</c:v>
                </c:pt>
                <c:pt idx="12">
                  <c:v>-0.2</c:v>
                </c:pt>
                <c:pt idx="13">
                  <c:v>-0.17499999999999999</c:v>
                </c:pt>
                <c:pt idx="14">
                  <c:v>-0.15</c:v>
                </c:pt>
                <c:pt idx="15">
                  <c:v>-0.125</c:v>
                </c:pt>
                <c:pt idx="16">
                  <c:v>-0.1</c:v>
                </c:pt>
                <c:pt idx="17">
                  <c:v>-7.4999999999999997E-2</c:v>
                </c:pt>
                <c:pt idx="18">
                  <c:v>-0.05</c:v>
                </c:pt>
                <c:pt idx="19">
                  <c:v>-2.5000000000000001E-2</c:v>
                </c:pt>
                <c:pt idx="20">
                  <c:v>0</c:v>
                </c:pt>
                <c:pt idx="21">
                  <c:v>2.5000000000000001E-2</c:v>
                </c:pt>
                <c:pt idx="22">
                  <c:v>0.05</c:v>
                </c:pt>
                <c:pt idx="23">
                  <c:v>7.4999999999999997E-2</c:v>
                </c:pt>
                <c:pt idx="24">
                  <c:v>0.1</c:v>
                </c:pt>
                <c:pt idx="25">
                  <c:v>0.125</c:v>
                </c:pt>
                <c:pt idx="26">
                  <c:v>0.15</c:v>
                </c:pt>
                <c:pt idx="27">
                  <c:v>0.17499999999999999</c:v>
                </c:pt>
                <c:pt idx="28">
                  <c:v>0.2</c:v>
                </c:pt>
                <c:pt idx="29">
                  <c:v>0.22500000000000001</c:v>
                </c:pt>
                <c:pt idx="30">
                  <c:v>0.25</c:v>
                </c:pt>
                <c:pt idx="31">
                  <c:v>0.27500000000000002</c:v>
                </c:pt>
                <c:pt idx="32">
                  <c:v>0.3</c:v>
                </c:pt>
                <c:pt idx="33">
                  <c:v>0.32500000000000001</c:v>
                </c:pt>
                <c:pt idx="34">
                  <c:v>0.35</c:v>
                </c:pt>
                <c:pt idx="35">
                  <c:v>0.375</c:v>
                </c:pt>
                <c:pt idx="36">
                  <c:v>0.4</c:v>
                </c:pt>
                <c:pt idx="37">
                  <c:v>0.42499999999999999</c:v>
                </c:pt>
                <c:pt idx="38">
                  <c:v>0.45</c:v>
                </c:pt>
                <c:pt idx="39">
                  <c:v>0.47499999999999998</c:v>
                </c:pt>
                <c:pt idx="40">
                  <c:v>0.5</c:v>
                </c:pt>
                <c:pt idx="41">
                  <c:v>0.51</c:v>
                </c:pt>
              </c:numCache>
            </c:numRef>
          </c:cat>
          <c:val>
            <c:numRef>
              <c:f>'10.2 MRP Rtns Freq'!$J$34:$J$75</c:f>
              <c:numCache>
                <c:formatCode>General</c:formatCode>
                <c:ptCount val="42"/>
                <c:pt idx="0">
                  <c:v>0</c:v>
                </c:pt>
                <c:pt idx="1">
                  <c:v>0</c:v>
                </c:pt>
                <c:pt idx="2">
                  <c:v>1</c:v>
                </c:pt>
                <c:pt idx="3">
                  <c:v>0</c:v>
                </c:pt>
                <c:pt idx="4">
                  <c:v>1</c:v>
                </c:pt>
                <c:pt idx="5">
                  <c:v>1</c:v>
                </c:pt>
                <c:pt idx="6">
                  <c:v>0</c:v>
                </c:pt>
                <c:pt idx="7">
                  <c:v>1</c:v>
                </c:pt>
                <c:pt idx="8">
                  <c:v>0</c:v>
                </c:pt>
                <c:pt idx="9">
                  <c:v>2</c:v>
                </c:pt>
                <c:pt idx="10">
                  <c:v>0</c:v>
                </c:pt>
                <c:pt idx="11">
                  <c:v>0</c:v>
                </c:pt>
                <c:pt idx="12">
                  <c:v>2</c:v>
                </c:pt>
                <c:pt idx="13">
                  <c:v>0</c:v>
                </c:pt>
                <c:pt idx="14">
                  <c:v>3</c:v>
                </c:pt>
                <c:pt idx="15">
                  <c:v>6</c:v>
                </c:pt>
                <c:pt idx="16">
                  <c:v>5</c:v>
                </c:pt>
                <c:pt idx="17">
                  <c:v>0</c:v>
                </c:pt>
                <c:pt idx="18">
                  <c:v>3</c:v>
                </c:pt>
                <c:pt idx="19">
                  <c:v>6</c:v>
                </c:pt>
                <c:pt idx="20">
                  <c:v>3</c:v>
                </c:pt>
                <c:pt idx="21">
                  <c:v>3</c:v>
                </c:pt>
                <c:pt idx="22">
                  <c:v>4</c:v>
                </c:pt>
                <c:pt idx="23">
                  <c:v>2</c:v>
                </c:pt>
                <c:pt idx="24">
                  <c:v>9</c:v>
                </c:pt>
                <c:pt idx="25">
                  <c:v>5</c:v>
                </c:pt>
                <c:pt idx="26">
                  <c:v>2</c:v>
                </c:pt>
                <c:pt idx="27">
                  <c:v>7</c:v>
                </c:pt>
                <c:pt idx="28">
                  <c:v>4</c:v>
                </c:pt>
                <c:pt idx="29">
                  <c:v>5</c:v>
                </c:pt>
                <c:pt idx="30">
                  <c:v>7</c:v>
                </c:pt>
                <c:pt idx="31">
                  <c:v>2</c:v>
                </c:pt>
                <c:pt idx="32">
                  <c:v>7</c:v>
                </c:pt>
                <c:pt idx="33">
                  <c:v>1</c:v>
                </c:pt>
                <c:pt idx="34">
                  <c:v>2</c:v>
                </c:pt>
                <c:pt idx="35">
                  <c:v>0</c:v>
                </c:pt>
                <c:pt idx="36">
                  <c:v>0</c:v>
                </c:pt>
                <c:pt idx="37">
                  <c:v>2</c:v>
                </c:pt>
                <c:pt idx="38">
                  <c:v>1</c:v>
                </c:pt>
                <c:pt idx="39">
                  <c:v>0</c:v>
                </c:pt>
                <c:pt idx="40">
                  <c:v>1</c:v>
                </c:pt>
                <c:pt idx="41">
                  <c:v>1</c:v>
                </c:pt>
              </c:numCache>
            </c:numRef>
          </c:val>
          <c:extLst>
            <c:ext xmlns:c16="http://schemas.microsoft.com/office/drawing/2014/chart" uri="{C3380CC4-5D6E-409C-BE32-E72D297353CC}">
              <c16:uniqueId val="{00000000-DB8A-4DC3-99E1-F6E94F066BCD}"/>
            </c:ext>
          </c:extLst>
        </c:ser>
        <c:dLbls>
          <c:showLegendKey val="0"/>
          <c:showVal val="0"/>
          <c:showCatName val="0"/>
          <c:showSerName val="0"/>
          <c:showPercent val="0"/>
          <c:showBubbleSize val="0"/>
        </c:dLbls>
        <c:gapWidth val="100"/>
        <c:axId val="712391056"/>
        <c:axId val="712392232"/>
      </c:barChart>
      <c:catAx>
        <c:axId val="712391056"/>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392232"/>
        <c:crosses val="autoZero"/>
        <c:auto val="1"/>
        <c:lblAlgn val="ctr"/>
        <c:lblOffset val="100"/>
        <c:tickLblSkip val="2"/>
        <c:noMultiLvlLbl val="0"/>
      </c:catAx>
      <c:valAx>
        <c:axId val="71239223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239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'Chart 1'!$B$1</c:f>
              <c:strCache>
                <c:ptCount val="1"/>
                <c:pt idx="0">
                  <c:v>30 Year Treasury</c:v>
                </c:pt>
              </c:strCache>
            </c:strRef>
          </c:tx>
          <c:spPr>
            <a:ln w="19050" cap="rnd">
              <a:solidFill>
                <a:schemeClr val="tx1"/>
              </a:solidFill>
              <a:round/>
            </a:ln>
            <a:effectLst/>
          </c:spPr>
          <c:marker>
            <c:symbol val="none"/>
          </c:marker>
          <c:cat>
            <c:numRef>
              <c:f>'Chart 1'!$A$3:$A$95</c:f>
              <c:numCache>
                <c:formatCode>m/d/yyyy</c:formatCode>
                <c:ptCount val="9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numCache>
            </c:numRef>
          </c:cat>
          <c:val>
            <c:numRef>
              <c:f>'Chart 1'!$B$3:$B$95</c:f>
              <c:numCache>
                <c:formatCode>General</c:formatCode>
                <c:ptCount val="93"/>
                <c:pt idx="0">
                  <c:v>3.96</c:v>
                </c:pt>
                <c:pt idx="1">
                  <c:v>4.03</c:v>
                </c:pt>
                <c:pt idx="2">
                  <c:v>4.0599999999999996</c:v>
                </c:pt>
                <c:pt idx="3">
                  <c:v>4.07</c:v>
                </c:pt>
                <c:pt idx="4">
                  <c:v>4.09</c:v>
                </c:pt>
                <c:pt idx="5">
                  <c:v>4.09</c:v>
                </c:pt>
                <c:pt idx="6">
                  <c:v>4.1399999999999997</c:v>
                </c:pt>
                <c:pt idx="7">
                  <c:v>4.12</c:v>
                </c:pt>
                <c:pt idx="8">
                  <c:v>4.0999999999999996</c:v>
                </c:pt>
                <c:pt idx="9">
                  <c:v>4.1399999999999997</c:v>
                </c:pt>
                <c:pt idx="10">
                  <c:v>4.08</c:v>
                </c:pt>
                <c:pt idx="11">
                  <c:v>4.1399999999999997</c:v>
                </c:pt>
                <c:pt idx="12">
                  <c:v>4.18</c:v>
                </c:pt>
                <c:pt idx="13">
                  <c:v>4.26</c:v>
                </c:pt>
                <c:pt idx="14">
                  <c:v>4.3</c:v>
                </c:pt>
                <c:pt idx="15">
                  <c:v>4.32</c:v>
                </c:pt>
                <c:pt idx="16">
                  <c:v>4.34</c:v>
                </c:pt>
                <c:pt idx="17">
                  <c:v>4.38</c:v>
                </c:pt>
                <c:pt idx="18">
                  <c:v>4.3899999999999997</c:v>
                </c:pt>
                <c:pt idx="19">
                  <c:v>4.32</c:v>
                </c:pt>
                <c:pt idx="20">
                  <c:v>4.3</c:v>
                </c:pt>
                <c:pt idx="21">
                  <c:v>4.3899999999999997</c:v>
                </c:pt>
                <c:pt idx="22">
                  <c:v>4.38</c:v>
                </c:pt>
                <c:pt idx="23">
                  <c:v>4.49</c:v>
                </c:pt>
                <c:pt idx="24">
                  <c:v>4.49</c:v>
                </c:pt>
                <c:pt idx="25">
                  <c:v>4.51</c:v>
                </c:pt>
                <c:pt idx="26">
                  <c:v>4.47</c:v>
                </c:pt>
                <c:pt idx="27">
                  <c:v>4.51</c:v>
                </c:pt>
                <c:pt idx="28">
                  <c:v>4.53</c:v>
                </c:pt>
                <c:pt idx="29">
                  <c:v>4.5199999999999996</c:v>
                </c:pt>
                <c:pt idx="30">
                  <c:v>4.49</c:v>
                </c:pt>
                <c:pt idx="31">
                  <c:v>4.47</c:v>
                </c:pt>
                <c:pt idx="32">
                  <c:v>4.57</c:v>
                </c:pt>
                <c:pt idx="33">
                  <c:v>4.5</c:v>
                </c:pt>
                <c:pt idx="34">
                  <c:v>4.4400000000000004</c:v>
                </c:pt>
                <c:pt idx="35">
                  <c:v>4.5999999999999996</c:v>
                </c:pt>
                <c:pt idx="36">
                  <c:v>4.5199999999999996</c:v>
                </c:pt>
                <c:pt idx="37">
                  <c:v>4.47</c:v>
                </c:pt>
                <c:pt idx="38">
                  <c:v>4.58</c:v>
                </c:pt>
                <c:pt idx="39">
                  <c:v>4.63</c:v>
                </c:pt>
                <c:pt idx="40">
                  <c:v>4.58</c:v>
                </c:pt>
                <c:pt idx="41">
                  <c:v>4.5999999999999996</c:v>
                </c:pt>
                <c:pt idx="42">
                  <c:v>4.6100000000000003</c:v>
                </c:pt>
                <c:pt idx="43">
                  <c:v>4.57</c:v>
                </c:pt>
                <c:pt idx="44">
                  <c:v>4.59</c:v>
                </c:pt>
                <c:pt idx="45">
                  <c:v>4.6100000000000003</c:v>
                </c:pt>
                <c:pt idx="46">
                  <c:v>4.5999999999999996</c:v>
                </c:pt>
                <c:pt idx="47">
                  <c:v>4.45</c:v>
                </c:pt>
                <c:pt idx="48">
                  <c:v>4.4800000000000004</c:v>
                </c:pt>
                <c:pt idx="49">
                  <c:v>4.4400000000000004</c:v>
                </c:pt>
                <c:pt idx="50">
                  <c:v>4.3600000000000003</c:v>
                </c:pt>
                <c:pt idx="51">
                  <c:v>4.3600000000000003</c:v>
                </c:pt>
                <c:pt idx="52">
                  <c:v>4.4000000000000004</c:v>
                </c:pt>
                <c:pt idx="53">
                  <c:v>4.3499999999999996</c:v>
                </c:pt>
                <c:pt idx="54">
                  <c:v>4.33</c:v>
                </c:pt>
                <c:pt idx="55">
                  <c:v>4.34</c:v>
                </c:pt>
                <c:pt idx="56">
                  <c:v>4.3899999999999997</c:v>
                </c:pt>
                <c:pt idx="57">
                  <c:v>4.41</c:v>
                </c:pt>
                <c:pt idx="58">
                  <c:v>4.4800000000000004</c:v>
                </c:pt>
                <c:pt idx="59">
                  <c:v>4.55</c:v>
                </c:pt>
                <c:pt idx="60">
                  <c:v>4.6100000000000003</c:v>
                </c:pt>
                <c:pt idx="61">
                  <c:v>4.5999999999999996</c:v>
                </c:pt>
                <c:pt idx="62">
                  <c:v>4.59</c:v>
                </c:pt>
                <c:pt idx="63">
                  <c:v>4.6500000000000004</c:v>
                </c:pt>
                <c:pt idx="64">
                  <c:v>4.74</c:v>
                </c:pt>
                <c:pt idx="65">
                  <c:v>4.72</c:v>
                </c:pt>
                <c:pt idx="66">
                  <c:v>4.78</c:v>
                </c:pt>
                <c:pt idx="67">
                  <c:v>4.76</c:v>
                </c:pt>
                <c:pt idx="68">
                  <c:v>4.76</c:v>
                </c:pt>
                <c:pt idx="69">
                  <c:v>4.82</c:v>
                </c:pt>
                <c:pt idx="70">
                  <c:v>4.7699999999999996</c:v>
                </c:pt>
                <c:pt idx="71">
                  <c:v>4.78</c:v>
                </c:pt>
                <c:pt idx="72">
                  <c:v>4.79</c:v>
                </c:pt>
                <c:pt idx="73">
                  <c:v>4.82</c:v>
                </c:pt>
                <c:pt idx="74">
                  <c:v>4.8499999999999996</c:v>
                </c:pt>
                <c:pt idx="75">
                  <c:v>4.91</c:v>
                </c:pt>
                <c:pt idx="76">
                  <c:v>4.91</c:v>
                </c:pt>
                <c:pt idx="77">
                  <c:v>4.92</c:v>
                </c:pt>
                <c:pt idx="78">
                  <c:v>4.96</c:v>
                </c:pt>
                <c:pt idx="79">
                  <c:v>4.97</c:v>
                </c:pt>
                <c:pt idx="80">
                  <c:v>4.9800000000000004</c:v>
                </c:pt>
                <c:pt idx="81">
                  <c:v>4.88</c:v>
                </c:pt>
                <c:pt idx="82">
                  <c:v>4.84</c:v>
                </c:pt>
                <c:pt idx="83">
                  <c:v>4.84</c:v>
                </c:pt>
                <c:pt idx="84">
                  <c:v>4.8</c:v>
                </c:pt>
                <c:pt idx="85">
                  <c:v>4.82</c:v>
                </c:pt>
                <c:pt idx="86">
                  <c:v>4.87</c:v>
                </c:pt>
                <c:pt idx="87">
                  <c:v>4.8499999999999996</c:v>
                </c:pt>
                <c:pt idx="88">
                  <c:v>4.76</c:v>
                </c:pt>
                <c:pt idx="89">
                  <c:v>4.78</c:v>
                </c:pt>
                <c:pt idx="90">
                  <c:v>4.79</c:v>
                </c:pt>
                <c:pt idx="91">
                  <c:v>4.76</c:v>
                </c:pt>
                <c:pt idx="92">
                  <c:v>4.83</c:v>
                </c:pt>
              </c:numCache>
            </c:numRef>
          </c:val>
          <c:smooth val="0"/>
          <c:extLst>
            <c:ext xmlns:c16="http://schemas.microsoft.com/office/drawing/2014/chart" uri="{C3380CC4-5D6E-409C-BE32-E72D297353CC}">
              <c16:uniqueId val="{00000000-0096-49FE-9651-AC437D210EBA}"/>
            </c:ext>
          </c:extLst>
        </c:ser>
        <c:ser>
          <c:idx val="0"/>
          <c:order val="1"/>
          <c:tx>
            <c:strRef>
              <c:f>'Chart 1'!$C$1</c:f>
              <c:strCache>
                <c:ptCount val="1"/>
                <c:pt idx="0">
                  <c:v>Targe Fed Funds Rate (Top)</c:v>
                </c:pt>
              </c:strCache>
            </c:strRef>
          </c:tx>
          <c:spPr>
            <a:ln w="12700" cap="rnd">
              <a:solidFill>
                <a:schemeClr val="tx1"/>
              </a:solidFill>
              <a:prstDash val="dash"/>
              <a:round/>
            </a:ln>
            <a:effectLst/>
          </c:spPr>
          <c:marker>
            <c:symbol val="none"/>
          </c:marker>
          <c:cat>
            <c:numRef>
              <c:f>'Chart 1'!$A$3:$A$95</c:f>
              <c:numCache>
                <c:formatCode>m/d/yyyy</c:formatCode>
                <c:ptCount val="9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numCache>
            </c:numRef>
          </c:cat>
          <c:val>
            <c:numRef>
              <c:f>'Chart 1'!$C$3:$C$95</c:f>
              <c:numCache>
                <c:formatCode>General</c:formatCode>
                <c:ptCount val="93"/>
                <c:pt idx="0">
                  <c:v>5.5</c:v>
                </c:pt>
                <c:pt idx="1">
                  <c:v>5.5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4.75</c:v>
                </c:pt>
                <c:pt idx="38">
                  <c:v>4.75</c:v>
                </c:pt>
                <c:pt idx="39">
                  <c:v>4.75</c:v>
                </c:pt>
                <c:pt idx="40">
                  <c:v>4.75</c:v>
                </c:pt>
                <c:pt idx="41">
                  <c:v>4.75</c:v>
                </c:pt>
                <c:pt idx="42">
                  <c:v>4.75</c:v>
                </c:pt>
                <c:pt idx="43">
                  <c:v>4.75</c:v>
                </c:pt>
                <c:pt idx="44">
                  <c:v>4.75</c:v>
                </c:pt>
                <c:pt idx="45">
                  <c:v>4.75</c:v>
                </c:pt>
                <c:pt idx="46">
                  <c:v>4.75</c:v>
                </c:pt>
                <c:pt idx="47">
                  <c:v>4.75</c:v>
                </c:pt>
                <c:pt idx="48">
                  <c:v>4.75</c:v>
                </c:pt>
                <c:pt idx="49">
                  <c:v>4.75</c:v>
                </c:pt>
                <c:pt idx="50">
                  <c:v>4.75</c:v>
                </c:pt>
                <c:pt idx="51">
                  <c:v>4.75</c:v>
                </c:pt>
                <c:pt idx="52">
                  <c:v>4.75</c:v>
                </c:pt>
                <c:pt idx="53">
                  <c:v>4.75</c:v>
                </c:pt>
                <c:pt idx="54">
                  <c:v>4.75</c:v>
                </c:pt>
                <c:pt idx="55">
                  <c:v>4.75</c:v>
                </c:pt>
                <c:pt idx="56">
                  <c:v>4.75</c:v>
                </c:pt>
                <c:pt idx="57">
                  <c:v>4.75</c:v>
                </c:pt>
                <c:pt idx="58">
                  <c:v>4.75</c:v>
                </c:pt>
                <c:pt idx="59">
                  <c:v>4.75</c:v>
                </c:pt>
                <c:pt idx="60">
                  <c:v>4.75</c:v>
                </c:pt>
                <c:pt idx="61">
                  <c:v>4.75</c:v>
                </c:pt>
                <c:pt idx="62">
                  <c:v>4.75</c:v>
                </c:pt>
                <c:pt idx="63">
                  <c:v>4.75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numCache>
            </c:numRef>
          </c:val>
          <c:smooth val="0"/>
          <c:extLst>
            <c:ext xmlns:c16="http://schemas.microsoft.com/office/drawing/2014/chart" uri="{C3380CC4-5D6E-409C-BE32-E72D297353CC}">
              <c16:uniqueId val="{00000001-0096-49FE-9651-AC437D210EBA}"/>
            </c:ext>
          </c:extLst>
        </c:ser>
        <c:dLbls>
          <c:showLegendKey val="0"/>
          <c:showVal val="0"/>
          <c:showCatName val="0"/>
          <c:showSerName val="0"/>
          <c:showPercent val="0"/>
          <c:showBubbleSize val="0"/>
        </c:dLbls>
        <c:smooth val="0"/>
        <c:axId val="1056212672"/>
        <c:axId val="1056195872"/>
      </c:lineChart>
      <c:dateAx>
        <c:axId val="1056212672"/>
        <c:scaling>
          <c:orientation val="minMax"/>
        </c:scaling>
        <c:delete val="0"/>
        <c:axPos val="b"/>
        <c:numFmt formatCode="m/d/yy;@" sourceLinked="0"/>
        <c:majorTickMark val="out"/>
        <c:minorTickMark val="none"/>
        <c:tickLblPos val="nextTo"/>
        <c:spPr>
          <a:noFill/>
          <a:ln w="9525" cap="flat" cmpd="sng" algn="ctr">
            <a:solidFill>
              <a:schemeClr val="tx1">
                <a:lumMod val="15000"/>
                <a:lumOff val="85000"/>
              </a:schemeClr>
            </a:solidFill>
            <a:round/>
          </a:ln>
          <a:effectLst/>
        </c:spPr>
        <c:txPr>
          <a:bodyPr rot="-9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195872"/>
        <c:crosses val="autoZero"/>
        <c:auto val="1"/>
        <c:lblOffset val="100"/>
        <c:baseTimeUnit val="days"/>
        <c:majorUnit val="14"/>
        <c:majorTimeUnit val="days"/>
        <c:minorUnit val="14"/>
        <c:minorTimeUnit val="days"/>
      </c:dateAx>
      <c:valAx>
        <c:axId val="1056195872"/>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2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WP'!$M$16:$M$1192</c:f>
              <c:numCache>
                <c:formatCode>0.00%</c:formatCode>
                <c:ptCount val="1177"/>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pt idx="1117">
                  <c:v>2.4E-2</c:v>
                </c:pt>
                <c:pt idx="1118">
                  <c:v>1.8000000000000002E-2</c:v>
                </c:pt>
                <c:pt idx="1119">
                  <c:v>1.5599999999999999E-2</c:v>
                </c:pt>
                <c:pt idx="1120">
                  <c:v>1.0800000000000001E-2</c:v>
                </c:pt>
                <c:pt idx="1121">
                  <c:v>1.0800000000000001E-2</c:v>
                </c:pt>
                <c:pt idx="1122">
                  <c:v>1.0800000000000001E-2</c:v>
                </c:pt>
                <c:pt idx="1123">
                  <c:v>1.2E-2</c:v>
                </c:pt>
                <c:pt idx="1124">
                  <c:v>9.6000000000000009E-3</c:v>
                </c:pt>
                <c:pt idx="1125">
                  <c:v>0</c:v>
                </c:pt>
                <c:pt idx="1126">
                  <c:v>1.0800000000000001E-2</c:v>
                </c:pt>
                <c:pt idx="1127">
                  <c:v>1.32E-2</c:v>
                </c:pt>
                <c:pt idx="1128">
                  <c:v>1.32E-2</c:v>
                </c:pt>
                <c:pt idx="1129">
                  <c:v>1.32E-2</c:v>
                </c:pt>
                <c:pt idx="1130">
                  <c:v>1.44E-2</c:v>
                </c:pt>
                <c:pt idx="1131">
                  <c:v>2.1600000000000001E-2</c:v>
                </c:pt>
                <c:pt idx="1132">
                  <c:v>2.2800000000000001E-2</c:v>
                </c:pt>
                <c:pt idx="1133">
                  <c:v>2.1600000000000001E-2</c:v>
                </c:pt>
                <c:pt idx="1134">
                  <c:v>2.0399999999999998E-2</c:v>
                </c:pt>
                <c:pt idx="1135">
                  <c:v>1.9200000000000002E-2</c:v>
                </c:pt>
                <c:pt idx="1136">
                  <c:v>1.8000000000000002E-2</c:v>
                </c:pt>
                <c:pt idx="1137">
                  <c:v>1.6799999999999999E-2</c:v>
                </c:pt>
                <c:pt idx="1138">
                  <c:v>1.8000000000000002E-2</c:v>
                </c:pt>
                <c:pt idx="1139">
                  <c:v>2.0399999999999998E-2</c:v>
                </c:pt>
                <c:pt idx="1140">
                  <c:v>1.8000000000000002E-2</c:v>
                </c:pt>
                <c:pt idx="1141">
                  <c:v>2.0399999999999998E-2</c:v>
                </c:pt>
                <c:pt idx="1142">
                  <c:v>2.0399999999999998E-2</c:v>
                </c:pt>
                <c:pt idx="1143">
                  <c:v>2.4E-2</c:v>
                </c:pt>
                <c:pt idx="1144">
                  <c:v>2.52E-2</c:v>
                </c:pt>
                <c:pt idx="1145">
                  <c:v>3.3599999999999998E-2</c:v>
                </c:pt>
                <c:pt idx="1146">
                  <c:v>3.3599999999999998E-2</c:v>
                </c:pt>
                <c:pt idx="1147">
                  <c:v>3.2399999999999998E-2</c:v>
                </c:pt>
                <c:pt idx="1148">
                  <c:v>3.4799999999999998E-2</c:v>
                </c:pt>
                <c:pt idx="1149">
                  <c:v>3.4799999999999998E-2</c:v>
                </c:pt>
                <c:pt idx="1150">
                  <c:v>4.2000000000000003E-2</c:v>
                </c:pt>
                <c:pt idx="1151">
                  <c:v>4.3200000000000002E-2</c:v>
                </c:pt>
                <c:pt idx="1152">
                  <c:v>3.9599999999999996E-2</c:v>
                </c:pt>
                <c:pt idx="1153">
                  <c:v>3.6600000000000001E-2</c:v>
                </c:pt>
                <c:pt idx="1154">
                  <c:v>3.7999999999999999E-2</c:v>
                </c:pt>
                <c:pt idx="1155">
                  <c:v>3.7699999999999997E-2</c:v>
                </c:pt>
                <c:pt idx="1156">
                  <c:v>3.6799999999999999E-2</c:v>
                </c:pt>
                <c:pt idx="1157">
                  <c:v>3.8600000000000002E-2</c:v>
                </c:pt>
                <c:pt idx="1158">
                  <c:v>3.8699999999999998E-2</c:v>
                </c:pt>
                <c:pt idx="1159">
                  <c:v>3.9599999999999996E-2</c:v>
                </c:pt>
                <c:pt idx="1160">
                  <c:v>4.2800000000000005E-2</c:v>
                </c:pt>
                <c:pt idx="1161">
                  <c:v>4.4699999999999997E-2</c:v>
                </c:pt>
                <c:pt idx="1162">
                  <c:v>4.9500000000000002E-2</c:v>
                </c:pt>
                <c:pt idx="1163">
                  <c:v>4.6600000000000003E-2</c:v>
                </c:pt>
                <c:pt idx="1164">
                  <c:v>4.1399999999999999E-2</c:v>
                </c:pt>
                <c:pt idx="1165">
                  <c:v>4.2599999999999999E-2</c:v>
                </c:pt>
                <c:pt idx="1166">
                  <c:v>4.3799999999999999E-2</c:v>
                </c:pt>
                <c:pt idx="1167">
                  <c:v>4.36E-2</c:v>
                </c:pt>
                <c:pt idx="1168">
                  <c:v>4.6600000000000003E-2</c:v>
                </c:pt>
                <c:pt idx="1169">
                  <c:v>4.6200000000000005E-2</c:v>
                </c:pt>
                <c:pt idx="1170">
                  <c:v>4.4400000000000002E-2</c:v>
                </c:pt>
                <c:pt idx="1171">
                  <c:v>4.4600000000000001E-2</c:v>
                </c:pt>
                <c:pt idx="1172">
                  <c:v>4.1500000000000002E-2</c:v>
                </c:pt>
                <c:pt idx="1173">
                  <c:v>4.0399999999999998E-2</c:v>
                </c:pt>
                <c:pt idx="1174">
                  <c:v>4.3799999999999999E-2</c:v>
                </c:pt>
                <c:pt idx="1175">
                  <c:v>4.5400000000000003E-2</c:v>
                </c:pt>
                <c:pt idx="1176">
                  <c:v>4.58E-2</c:v>
                </c:pt>
              </c:numCache>
            </c:numRef>
          </c:xVal>
          <c:yVal>
            <c:numRef>
              <c:f>'MRP ERP WP'!$O$16:$O$1192</c:f>
              <c:numCache>
                <c:formatCode>0.00%</c:formatCode>
                <c:ptCount val="1177"/>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pt idx="1117">
                  <c:v>0.19302230297685499</c:v>
                </c:pt>
                <c:pt idx="1118">
                  <c:v>6.4125150122913657E-2</c:v>
                </c:pt>
                <c:pt idx="1119">
                  <c:v>-8.5167692679287643E-2</c:v>
                </c:pt>
                <c:pt idx="1120">
                  <c:v>-1.9449023361575966E-3</c:v>
                </c:pt>
                <c:pt idx="1121">
                  <c:v>0.11773881506955788</c:v>
                </c:pt>
                <c:pt idx="1122">
                  <c:v>6.4395457720170329E-2</c:v>
                </c:pt>
                <c:pt idx="1123">
                  <c:v>0.10771261981031933</c:v>
                </c:pt>
                <c:pt idx="1124">
                  <c:v>0.20988786544877219</c:v>
                </c:pt>
                <c:pt idx="1125">
                  <c:v>0.15161217881782529</c:v>
                </c:pt>
                <c:pt idx="1126">
                  <c:v>8.6370690869404992E-2</c:v>
                </c:pt>
                <c:pt idx="1127">
                  <c:v>0.161470347891156</c:v>
                </c:pt>
                <c:pt idx="1128">
                  <c:v>0.17082027688815404</c:v>
                </c:pt>
                <c:pt idx="1129">
                  <c:v>0.15933068436532982</c:v>
                </c:pt>
                <c:pt idx="1130">
                  <c:v>0.29854816525423716</c:v>
                </c:pt>
                <c:pt idx="1131">
                  <c:v>0.54195424403008896</c:v>
                </c:pt>
                <c:pt idx="1132">
                  <c:v>0.43709012645035855</c:v>
                </c:pt>
                <c:pt idx="1133">
                  <c:v>0.38171171948788768</c:v>
                </c:pt>
                <c:pt idx="1134">
                  <c:v>0.38758988386308002</c:v>
                </c:pt>
                <c:pt idx="1135">
                  <c:v>0.34533998778779018</c:v>
                </c:pt>
                <c:pt idx="1136">
                  <c:v>0.29371005076643208</c:v>
                </c:pt>
                <c:pt idx="1137">
                  <c:v>0.28332009709541878</c:v>
                </c:pt>
                <c:pt idx="1138">
                  <c:v>0.41127729186542838</c:v>
                </c:pt>
                <c:pt idx="1139">
                  <c:v>0.25892877742366593</c:v>
                </c:pt>
                <c:pt idx="1140">
                  <c:v>0.26921370055108418</c:v>
                </c:pt>
                <c:pt idx="1141">
                  <c:v>0.21271925672552136</c:v>
                </c:pt>
                <c:pt idx="1142">
                  <c:v>0.14371929831590877</c:v>
                </c:pt>
                <c:pt idx="1143">
                  <c:v>0.13264698628418173</c:v>
                </c:pt>
                <c:pt idx="1144">
                  <c:v>-2.293365380653023E-2</c:v>
                </c:pt>
                <c:pt idx="1145">
                  <c:v>-3.6509209913984021E-2</c:v>
                </c:pt>
                <c:pt idx="1146">
                  <c:v>-0.13959941375557552</c:v>
                </c:pt>
                <c:pt idx="1147">
                  <c:v>-7.8671302699589565E-2</c:v>
                </c:pt>
                <c:pt idx="1148">
                  <c:v>-0.14697336330497496</c:v>
                </c:pt>
                <c:pt idx="1149">
                  <c:v>-0.18943261305148013</c:v>
                </c:pt>
                <c:pt idx="1150">
                  <c:v>-0.18802173134160391</c:v>
                </c:pt>
                <c:pt idx="1151">
                  <c:v>-0.13521927914973275</c:v>
                </c:pt>
                <c:pt idx="1152">
                  <c:v>-0.22060973264807429</c:v>
                </c:pt>
                <c:pt idx="1153">
                  <c:v>-0.11869329191643421</c:v>
                </c:pt>
                <c:pt idx="1154">
                  <c:v>-0.11488899897016588</c:v>
                </c:pt>
                <c:pt idx="1155">
                  <c:v>-0.11493229790797081</c:v>
                </c:pt>
                <c:pt idx="1156">
                  <c:v>-1.8613662466630709E-2</c:v>
                </c:pt>
                <c:pt idx="1157">
                  <c:v>-1.7825176470061245E-2</c:v>
                </c:pt>
                <c:pt idx="1158">
                  <c:v>0.14737419959311299</c:v>
                </c:pt>
                <c:pt idx="1159">
                  <c:v>8.1235275132205492E-2</c:v>
                </c:pt>
                <c:pt idx="1160">
                  <c:v>0.1071065111880995</c:v>
                </c:pt>
                <c:pt idx="1161">
                  <c:v>0.16146923258222909</c:v>
                </c:pt>
                <c:pt idx="1162">
                  <c:v>3.5727307308404885E-2</c:v>
                </c:pt>
                <c:pt idx="1163">
                  <c:v>7.0472911617199568E-2</c:v>
                </c:pt>
                <c:pt idx="1164">
                  <c:v>0.19780015510501092</c:v>
                </c:pt>
                <c:pt idx="1165">
                  <c:v>0.14293177607688998</c:v>
                </c:pt>
                <c:pt idx="1166">
                  <c:v>0.23626761450188299</c:v>
                </c:pt>
                <c:pt idx="1167">
                  <c:v>0.23086239137867856</c:v>
                </c:pt>
                <c:pt idx="1168">
                  <c:v>0.16708304692992534</c:v>
                </c:pt>
                <c:pt idx="1169">
                  <c:v>0.22215043475278806</c:v>
                </c:pt>
                <c:pt idx="1170">
                  <c:v>0.18802773672928397</c:v>
                </c:pt>
                <c:pt idx="1171">
                  <c:v>0.16400364965314937</c:v>
                </c:pt>
                <c:pt idx="1172">
                  <c:v>0.21644792773467678</c:v>
                </c:pt>
                <c:pt idx="1173">
                  <c:v>0.30873840412369202</c:v>
                </c:pt>
                <c:pt idx="1174">
                  <c:v>0.33075523552992375</c:v>
                </c:pt>
                <c:pt idx="1175">
                  <c:v>0.29351114705709624</c:v>
                </c:pt>
                <c:pt idx="1176">
                  <c:v>0.20966411976184768</c:v>
                </c:pt>
              </c:numCache>
            </c:numRef>
          </c:yVal>
          <c:smooth val="0"/>
          <c:extLst>
            <c:ext xmlns:c16="http://schemas.microsoft.com/office/drawing/2014/chart" uri="{C3380CC4-5D6E-409C-BE32-E72D297353CC}">
              <c16:uniqueId val="{00000001-9E7B-4A7F-8B8E-65179AB09DDA}"/>
            </c:ext>
          </c:extLst>
        </c:ser>
        <c:dLbls>
          <c:showLegendKey val="0"/>
          <c:showVal val="0"/>
          <c:showCatName val="0"/>
          <c:showSerName val="0"/>
          <c:showPercent val="0"/>
          <c:showBubbleSize val="0"/>
        </c:dLbls>
        <c:axId val="-2035267600"/>
        <c:axId val="-2035246912"/>
      </c:scatterChart>
      <c:valAx>
        <c:axId val="-2035267600"/>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2035246912"/>
        <c:crosses val="autoZero"/>
        <c:crossBetween val="midCat"/>
      </c:valAx>
      <c:valAx>
        <c:axId val="-203524691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26760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WP'!$N$40:$N$1192</c:f>
              <c:numCache>
                <c:formatCode>0.00%</c:formatCode>
                <c:ptCount val="1153"/>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pt idx="1081">
                  <c:v>4.0349999999999997E-2</c:v>
                </c:pt>
                <c:pt idx="1082">
                  <c:v>3.8900000000000004E-2</c:v>
                </c:pt>
                <c:pt idx="1083">
                  <c:v>3.8900000000000004E-2</c:v>
                </c:pt>
                <c:pt idx="1084">
                  <c:v>3.7699999999999997E-2</c:v>
                </c:pt>
                <c:pt idx="1085">
                  <c:v>3.7349999999999994E-2</c:v>
                </c:pt>
                <c:pt idx="1086">
                  <c:v>3.7349999999999994E-2</c:v>
                </c:pt>
                <c:pt idx="1087">
                  <c:v>3.3750000000000002E-2</c:v>
                </c:pt>
                <c:pt idx="1088">
                  <c:v>3.3750000000000002E-2</c:v>
                </c:pt>
                <c:pt idx="1089">
                  <c:v>3.0300000000000001E-2</c:v>
                </c:pt>
                <c:pt idx="1090">
                  <c:v>3.0800000000000001E-2</c:v>
                </c:pt>
                <c:pt idx="1091">
                  <c:v>3.1199999999999999E-2</c:v>
                </c:pt>
                <c:pt idx="1092">
                  <c:v>3.0599999999999995E-2</c:v>
                </c:pt>
                <c:pt idx="1093">
                  <c:v>2.9750000000000002E-2</c:v>
                </c:pt>
                <c:pt idx="1094">
                  <c:v>2.8150000000000001E-2</c:v>
                </c:pt>
                <c:pt idx="1095">
                  <c:v>3.0500000000000003E-2</c:v>
                </c:pt>
                <c:pt idx="1096">
                  <c:v>2.5899999999999999E-2</c:v>
                </c:pt>
                <c:pt idx="1097">
                  <c:v>2.6049999999999997E-2</c:v>
                </c:pt>
                <c:pt idx="1098">
                  <c:v>2.52E-2</c:v>
                </c:pt>
                <c:pt idx="1099">
                  <c:v>2.23E-2</c:v>
                </c:pt>
                <c:pt idx="1100">
                  <c:v>2.3100000000000002E-2</c:v>
                </c:pt>
                <c:pt idx="1101">
                  <c:v>2.3900000000000001E-2</c:v>
                </c:pt>
                <c:pt idx="1102">
                  <c:v>2.4499999999999997E-2</c:v>
                </c:pt>
                <c:pt idx="1103">
                  <c:v>2.3849999999999996E-2</c:v>
                </c:pt>
                <c:pt idx="1104">
                  <c:v>2.35E-2</c:v>
                </c:pt>
                <c:pt idx="1105">
                  <c:v>2.5300000000000003E-2</c:v>
                </c:pt>
                <c:pt idx="1106">
                  <c:v>2.7650000000000004E-2</c:v>
                </c:pt>
                <c:pt idx="1107">
                  <c:v>3.1050000000000005E-2</c:v>
                </c:pt>
                <c:pt idx="1108">
                  <c:v>2.9650000000000003E-2</c:v>
                </c:pt>
                <c:pt idx="1109">
                  <c:v>3.015E-2</c:v>
                </c:pt>
                <c:pt idx="1110">
                  <c:v>2.8500000000000004E-2</c:v>
                </c:pt>
                <c:pt idx="1111">
                  <c:v>2.6399999999999996E-2</c:v>
                </c:pt>
                <c:pt idx="1112">
                  <c:v>2.64E-2</c:v>
                </c:pt>
                <c:pt idx="1113">
                  <c:v>2.6299999999999997E-2</c:v>
                </c:pt>
                <c:pt idx="1114">
                  <c:v>2.7699999999999999E-2</c:v>
                </c:pt>
                <c:pt idx="1115">
                  <c:v>2.6949999999999998E-2</c:v>
                </c:pt>
                <c:pt idx="1116">
                  <c:v>2.7049999999999998E-2</c:v>
                </c:pt>
                <c:pt idx="1117">
                  <c:v>2.9750000000000002E-2</c:v>
                </c:pt>
                <c:pt idx="1118">
                  <c:v>3.3049999999999996E-2</c:v>
                </c:pt>
                <c:pt idx="1119">
                  <c:v>3.5250000000000004E-2</c:v>
                </c:pt>
                <c:pt idx="1120">
                  <c:v>3.8350000000000002E-2</c:v>
                </c:pt>
                <c:pt idx="1121">
                  <c:v>4.2450000000000002E-2</c:v>
                </c:pt>
                <c:pt idx="1122">
                  <c:v>4.3650000000000001E-2</c:v>
                </c:pt>
                <c:pt idx="1123">
                  <c:v>4.215E-2</c:v>
                </c:pt>
                <c:pt idx="1124">
                  <c:v>4.215E-2</c:v>
                </c:pt>
                <c:pt idx="1125">
                  <c:v>4.7150000000000011E-2</c:v>
                </c:pt>
                <c:pt idx="1126">
                  <c:v>5.2500000000000005E-2</c:v>
                </c:pt>
                <c:pt idx="1127">
                  <c:v>5.0650000000000001E-2</c:v>
                </c:pt>
                <c:pt idx="1128">
                  <c:v>4.5799999999999993E-2</c:v>
                </c:pt>
                <c:pt idx="1129">
                  <c:v>4.5600000000000002E-2</c:v>
                </c:pt>
                <c:pt idx="1130">
                  <c:v>4.7E-2</c:v>
                </c:pt>
                <c:pt idx="1131">
                  <c:v>4.7700000000000006E-2</c:v>
                </c:pt>
                <c:pt idx="1132">
                  <c:v>4.6449999999999998E-2</c:v>
                </c:pt>
                <c:pt idx="1133">
                  <c:v>4.8649999999999992E-2</c:v>
                </c:pt>
                <c:pt idx="1134">
                  <c:v>4.8350000000000004E-2</c:v>
                </c:pt>
                <c:pt idx="1135">
                  <c:v>4.8649999999999999E-2</c:v>
                </c:pt>
                <c:pt idx="1136">
                  <c:v>5.1649999999999995E-2</c:v>
                </c:pt>
                <c:pt idx="1137">
                  <c:v>5.3199999999999997E-2</c:v>
                </c:pt>
                <c:pt idx="1138">
                  <c:v>5.7900000000000007E-2</c:v>
                </c:pt>
                <c:pt idx="1139">
                  <c:v>5.4750000000000007E-2</c:v>
                </c:pt>
                <c:pt idx="1140">
                  <c:v>4.8999999999999995E-2</c:v>
                </c:pt>
                <c:pt idx="1141">
                  <c:v>0.05</c:v>
                </c:pt>
                <c:pt idx="1142">
                  <c:v>5.1400000000000001E-2</c:v>
                </c:pt>
                <c:pt idx="1143">
                  <c:v>5.1349999999999993E-2</c:v>
                </c:pt>
                <c:pt idx="1144">
                  <c:v>5.3899999999999997E-2</c:v>
                </c:pt>
                <c:pt idx="1145">
                  <c:v>5.3499999999999999E-2</c:v>
                </c:pt>
                <c:pt idx="1146">
                  <c:v>5.2399999999999995E-2</c:v>
                </c:pt>
                <c:pt idx="1147">
                  <c:v>5.2500000000000005E-2</c:v>
                </c:pt>
                <c:pt idx="1148">
                  <c:v>4.9949999999999994E-2</c:v>
                </c:pt>
                <c:pt idx="1149">
                  <c:v>4.8100000000000004E-2</c:v>
                </c:pt>
                <c:pt idx="1150">
                  <c:v>5.0600000000000006E-2</c:v>
                </c:pt>
                <c:pt idx="1151">
                  <c:v>5.2350000000000001E-2</c:v>
                </c:pt>
                <c:pt idx="1152">
                  <c:v>5.2849999999999994E-2</c:v>
                </c:pt>
              </c:numCache>
            </c:numRef>
          </c:xVal>
          <c:yVal>
            <c:numRef>
              <c:f>'MRP ERP WP'!$P$40:$P$1192</c:f>
              <c:numCache>
                <c:formatCode>0.00%</c:formatCode>
                <c:ptCount val="1153"/>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pt idx="1081">
                  <c:v>-6.356983975284336E-2</c:v>
                </c:pt>
                <c:pt idx="1082">
                  <c:v>7.8602568695775171E-3</c:v>
                </c:pt>
                <c:pt idx="1083">
                  <c:v>5.5977288993276739E-2</c:v>
                </c:pt>
                <c:pt idx="1084">
                  <c:v>9.7207171944116613E-2</c:v>
                </c:pt>
                <c:pt idx="1085">
                  <c:v>4.7889027015446395E-4</c:v>
                </c:pt>
                <c:pt idx="1086">
                  <c:v>6.6800096436295142E-2</c:v>
                </c:pt>
                <c:pt idx="1087">
                  <c:v>4.6128382014055391E-2</c:v>
                </c:pt>
                <c:pt idx="1088">
                  <c:v>-4.4876490623347309E-3</c:v>
                </c:pt>
                <c:pt idx="1089">
                  <c:v>1.2266925425275625E-2</c:v>
                </c:pt>
                <c:pt idx="1090">
                  <c:v>0.1125991280667708</c:v>
                </c:pt>
                <c:pt idx="1091">
                  <c:v>0.13001571581300941</c:v>
                </c:pt>
                <c:pt idx="1092">
                  <c:v>0.28443180216616731</c:v>
                </c:pt>
                <c:pt idx="1093">
                  <c:v>0.18727230297685499</c:v>
                </c:pt>
                <c:pt idx="1094">
                  <c:v>5.3975150122913658E-2</c:v>
                </c:pt>
                <c:pt idx="1095">
                  <c:v>-0.10006769267928764</c:v>
                </c:pt>
                <c:pt idx="1096">
                  <c:v>-1.7044902336157595E-2</c:v>
                </c:pt>
                <c:pt idx="1097">
                  <c:v>0.1024888150695579</c:v>
                </c:pt>
                <c:pt idx="1098">
                  <c:v>4.9995457720170333E-2</c:v>
                </c:pt>
                <c:pt idx="1099">
                  <c:v>9.7412619810319331E-2</c:v>
                </c:pt>
                <c:pt idx="1100">
                  <c:v>0.19638786544877218</c:v>
                </c:pt>
                <c:pt idx="1101">
                  <c:v>0.12771217881782529</c:v>
                </c:pt>
                <c:pt idx="1102">
                  <c:v>7.2670690869405002E-2</c:v>
                </c:pt>
                <c:pt idx="1103">
                  <c:v>0.150820347891156</c:v>
                </c:pt>
                <c:pt idx="1104">
                  <c:v>0.16052027688815404</c:v>
                </c:pt>
                <c:pt idx="1105">
                  <c:v>0.14723068436532982</c:v>
                </c:pt>
                <c:pt idx="1106">
                  <c:v>0.28529816525423718</c:v>
                </c:pt>
                <c:pt idx="1107">
                  <c:v>0.53250424403008889</c:v>
                </c:pt>
                <c:pt idx="1108">
                  <c:v>0.43024012645035853</c:v>
                </c:pt>
                <c:pt idx="1109">
                  <c:v>0.37316171948788768</c:v>
                </c:pt>
                <c:pt idx="1110">
                  <c:v>0.37948988386307997</c:v>
                </c:pt>
                <c:pt idx="1111">
                  <c:v>0.3381399877877902</c:v>
                </c:pt>
                <c:pt idx="1112">
                  <c:v>0.28531005076643212</c:v>
                </c:pt>
                <c:pt idx="1113">
                  <c:v>0.27382009709541877</c:v>
                </c:pt>
                <c:pt idx="1114">
                  <c:v>0.4015772918654284</c:v>
                </c:pt>
                <c:pt idx="1115">
                  <c:v>0.25237877742366593</c:v>
                </c:pt>
                <c:pt idx="1116">
                  <c:v>0.26016370055108418</c:v>
                </c:pt>
                <c:pt idx="1117">
                  <c:v>0.20336925672552136</c:v>
                </c:pt>
                <c:pt idx="1118">
                  <c:v>0.13106929831590877</c:v>
                </c:pt>
                <c:pt idx="1119">
                  <c:v>0.12139698628418172</c:v>
                </c:pt>
                <c:pt idx="1120">
                  <c:v>-3.6083653806530232E-2</c:v>
                </c:pt>
                <c:pt idx="1121">
                  <c:v>-4.5359209913984025E-2</c:v>
                </c:pt>
                <c:pt idx="1122">
                  <c:v>-0.14964941375557553</c:v>
                </c:pt>
                <c:pt idx="1123">
                  <c:v>-8.842130269958956E-2</c:v>
                </c:pt>
                <c:pt idx="1124">
                  <c:v>-0.15432336330497495</c:v>
                </c:pt>
                <c:pt idx="1125">
                  <c:v>-0.20178261305148015</c:v>
                </c:pt>
                <c:pt idx="1126">
                  <c:v>-0.19852173134160389</c:v>
                </c:pt>
                <c:pt idx="1127">
                  <c:v>-0.14266927914973274</c:v>
                </c:pt>
                <c:pt idx="1128">
                  <c:v>-0.2268097326480743</c:v>
                </c:pt>
                <c:pt idx="1129">
                  <c:v>-0.12769329191643422</c:v>
                </c:pt>
                <c:pt idx="1130">
                  <c:v>-0.12388899897016588</c:v>
                </c:pt>
                <c:pt idx="1131">
                  <c:v>-0.12493229790797082</c:v>
                </c:pt>
                <c:pt idx="1132">
                  <c:v>-2.8263662466630708E-2</c:v>
                </c:pt>
                <c:pt idx="1133">
                  <c:v>-2.7875176470061235E-2</c:v>
                </c:pt>
                <c:pt idx="1134">
                  <c:v>0.13772419959311299</c:v>
                </c:pt>
                <c:pt idx="1135">
                  <c:v>7.218527513220549E-2</c:v>
                </c:pt>
                <c:pt idx="1136">
                  <c:v>9.8256511188099499E-2</c:v>
                </c:pt>
                <c:pt idx="1137">
                  <c:v>0.15296923258222908</c:v>
                </c:pt>
                <c:pt idx="1138">
                  <c:v>2.732730730840488E-2</c:v>
                </c:pt>
                <c:pt idx="1139">
                  <c:v>6.2322911617199564E-2</c:v>
                </c:pt>
                <c:pt idx="1140">
                  <c:v>0.19020015510501093</c:v>
                </c:pt>
                <c:pt idx="1141">
                  <c:v>0.13553177607688999</c:v>
                </c:pt>
                <c:pt idx="1142">
                  <c:v>0.228667614501883</c:v>
                </c:pt>
                <c:pt idx="1143">
                  <c:v>0.22311239137867855</c:v>
                </c:pt>
                <c:pt idx="1144">
                  <c:v>0.15978304692992534</c:v>
                </c:pt>
                <c:pt idx="1145">
                  <c:v>0.21485043475278809</c:v>
                </c:pt>
                <c:pt idx="1146">
                  <c:v>0.18002773672928396</c:v>
                </c:pt>
                <c:pt idx="1147">
                  <c:v>0.15610364965314938</c:v>
                </c:pt>
                <c:pt idx="1148">
                  <c:v>0.20799792773467679</c:v>
                </c:pt>
                <c:pt idx="1149">
                  <c:v>0.30103840412369198</c:v>
                </c:pt>
                <c:pt idx="1150">
                  <c:v>0.32395523552992378</c:v>
                </c:pt>
                <c:pt idx="1151">
                  <c:v>0.28656114705709623</c:v>
                </c:pt>
                <c:pt idx="1152">
                  <c:v>0.20261411976184768</c:v>
                </c:pt>
              </c:numCache>
            </c:numRef>
          </c:yVal>
          <c:smooth val="0"/>
          <c:extLst>
            <c:ext xmlns:c16="http://schemas.microsoft.com/office/drawing/2014/chart" uri="{C3380CC4-5D6E-409C-BE32-E72D297353CC}">
              <c16:uniqueId val="{00000001-35CB-4CA1-99D0-7519B20FF1A7}"/>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WP'!$R$40:$R$1192</c:f>
              <c:numCache>
                <c:formatCode>0.00%</c:formatCode>
                <c:ptCount val="1153"/>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pt idx="1081">
                  <c:v>4.3499999999999997E-2</c:v>
                </c:pt>
                <c:pt idx="1082">
                  <c:v>4.2500000000000003E-2</c:v>
                </c:pt>
                <c:pt idx="1083">
                  <c:v>4.2500000000000003E-2</c:v>
                </c:pt>
                <c:pt idx="1084">
                  <c:v>4.0800000000000003E-2</c:v>
                </c:pt>
                <c:pt idx="1085">
                  <c:v>3.9800000000000002E-2</c:v>
                </c:pt>
                <c:pt idx="1086">
                  <c:v>3.9800000000000002E-2</c:v>
                </c:pt>
                <c:pt idx="1087">
                  <c:v>3.6900000000000002E-2</c:v>
                </c:pt>
                <c:pt idx="1088">
                  <c:v>3.6900000000000002E-2</c:v>
                </c:pt>
                <c:pt idx="1089">
                  <c:v>3.2899999999999999E-2</c:v>
                </c:pt>
                <c:pt idx="1090">
                  <c:v>3.3700000000000001E-2</c:v>
                </c:pt>
                <c:pt idx="1091">
                  <c:v>3.4299999999999997E-2</c:v>
                </c:pt>
                <c:pt idx="1092">
                  <c:v>3.3999999999999996E-2</c:v>
                </c:pt>
                <c:pt idx="1093">
                  <c:v>3.2800000000000003E-2</c:v>
                </c:pt>
                <c:pt idx="1094">
                  <c:v>3.1099999999999999E-2</c:v>
                </c:pt>
                <c:pt idx="1095">
                  <c:v>3.5000000000000003E-2</c:v>
                </c:pt>
                <c:pt idx="1096">
                  <c:v>3.1899999999999998E-2</c:v>
                </c:pt>
                <c:pt idx="1097">
                  <c:v>3.1400000000000004E-2</c:v>
                </c:pt>
                <c:pt idx="1098">
                  <c:v>3.0699999999999998E-2</c:v>
                </c:pt>
                <c:pt idx="1099">
                  <c:v>2.7400000000000001E-2</c:v>
                </c:pt>
                <c:pt idx="1100">
                  <c:v>2.7300000000000001E-2</c:v>
                </c:pt>
                <c:pt idx="1101">
                  <c:v>2.8400000000000002E-2</c:v>
                </c:pt>
                <c:pt idx="1102">
                  <c:v>2.9500000000000005E-2</c:v>
                </c:pt>
                <c:pt idx="1103">
                  <c:v>2.8499999999999998E-2</c:v>
                </c:pt>
                <c:pt idx="1104">
                  <c:v>2.7699999999999999E-2</c:v>
                </c:pt>
                <c:pt idx="1105">
                  <c:v>2.9100000000000001E-2</c:v>
                </c:pt>
                <c:pt idx="1106">
                  <c:v>3.09E-2</c:v>
                </c:pt>
                <c:pt idx="1107">
                  <c:v>3.44E-2</c:v>
                </c:pt>
                <c:pt idx="1108">
                  <c:v>3.3000000000000002E-2</c:v>
                </c:pt>
                <c:pt idx="1109">
                  <c:v>3.3300000000000003E-2</c:v>
                </c:pt>
                <c:pt idx="1110">
                  <c:v>3.1600000000000003E-2</c:v>
                </c:pt>
                <c:pt idx="1111">
                  <c:v>2.9500000000000005E-2</c:v>
                </c:pt>
                <c:pt idx="1112">
                  <c:v>2.9500000000000005E-2</c:v>
                </c:pt>
                <c:pt idx="1113">
                  <c:v>2.9600000000000001E-2</c:v>
                </c:pt>
                <c:pt idx="1114">
                  <c:v>3.09E-2</c:v>
                </c:pt>
                <c:pt idx="1115">
                  <c:v>3.0199999999999998E-2</c:v>
                </c:pt>
                <c:pt idx="1116">
                  <c:v>3.0400000000000003E-2</c:v>
                </c:pt>
                <c:pt idx="1117">
                  <c:v>3.3300000000000003E-2</c:v>
                </c:pt>
                <c:pt idx="1118">
                  <c:v>3.6800000000000006E-2</c:v>
                </c:pt>
                <c:pt idx="1119">
                  <c:v>3.9800000000000002E-2</c:v>
                </c:pt>
                <c:pt idx="1120">
                  <c:v>4.2999999999999997E-2</c:v>
                </c:pt>
                <c:pt idx="1121">
                  <c:v>4.7499999999999994E-2</c:v>
                </c:pt>
                <c:pt idx="1122">
                  <c:v>4.8600000000000004E-2</c:v>
                </c:pt>
                <c:pt idx="1123">
                  <c:v>4.7800000000000002E-2</c:v>
                </c:pt>
                <c:pt idx="1124">
                  <c:v>4.7600000000000003E-2</c:v>
                </c:pt>
                <c:pt idx="1125">
                  <c:v>5.2599999999999994E-2</c:v>
                </c:pt>
                <c:pt idx="1126">
                  <c:v>5.8799999999999998E-2</c:v>
                </c:pt>
                <c:pt idx="1127">
                  <c:v>5.7500000000000009E-2</c:v>
                </c:pt>
                <c:pt idx="1128">
                  <c:v>5.2699999999999997E-2</c:v>
                </c:pt>
                <c:pt idx="1129">
                  <c:v>5.1999999999999998E-2</c:v>
                </c:pt>
                <c:pt idx="1130">
                  <c:v>5.2900000000000003E-2</c:v>
                </c:pt>
                <c:pt idx="1131">
                  <c:v>5.3899999999999997E-2</c:v>
                </c:pt>
                <c:pt idx="1132">
                  <c:v>5.1299999999999998E-2</c:v>
                </c:pt>
                <c:pt idx="1133">
                  <c:v>5.3600000000000009E-2</c:v>
                </c:pt>
                <c:pt idx="1134">
                  <c:v>5.3800000000000001E-2</c:v>
                </c:pt>
                <c:pt idx="1135">
                  <c:v>5.4100000000000009E-2</c:v>
                </c:pt>
                <c:pt idx="1136">
                  <c:v>5.7200000000000001E-2</c:v>
                </c:pt>
                <c:pt idx="1137">
                  <c:v>5.8599999999999999E-2</c:v>
                </c:pt>
                <c:pt idx="1138">
                  <c:v>6.3399999999999998E-2</c:v>
                </c:pt>
                <c:pt idx="1139">
                  <c:v>6.0499999999999998E-2</c:v>
                </c:pt>
                <c:pt idx="1140">
                  <c:v>5.4299999999999994E-2</c:v>
                </c:pt>
                <c:pt idx="1141">
                  <c:v>5.4800000000000001E-2</c:v>
                </c:pt>
                <c:pt idx="1142">
                  <c:v>5.5599999999999997E-2</c:v>
                </c:pt>
                <c:pt idx="1143">
                  <c:v>5.5499999999999994E-2</c:v>
                </c:pt>
                <c:pt idx="1144">
                  <c:v>5.7899999999999993E-2</c:v>
                </c:pt>
                <c:pt idx="1145">
                  <c:v>5.7399999999999993E-2</c:v>
                </c:pt>
                <c:pt idx="1146">
                  <c:v>5.6100000000000004E-2</c:v>
                </c:pt>
                <c:pt idx="1147">
                  <c:v>5.6399999999999992E-2</c:v>
                </c:pt>
                <c:pt idx="1148">
                  <c:v>5.3800000000000001E-2</c:v>
                </c:pt>
                <c:pt idx="1149">
                  <c:v>5.1999999999999998E-2</c:v>
                </c:pt>
                <c:pt idx="1150">
                  <c:v>5.4100000000000009E-2</c:v>
                </c:pt>
                <c:pt idx="1151">
                  <c:v>5.5599999999999997E-2</c:v>
                </c:pt>
                <c:pt idx="1152">
                  <c:v>5.5800000000000002E-2</c:v>
                </c:pt>
              </c:numCache>
            </c:numRef>
          </c:xVal>
          <c:yVal>
            <c:numRef>
              <c:f>'MRP ERP WP'!$S$40:$S$1192</c:f>
              <c:numCache>
                <c:formatCode>0.00%</c:formatCode>
                <c:ptCount val="1153"/>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pt idx="1081">
                  <c:v>8.2064296232975717E-2</c:v>
                </c:pt>
                <c:pt idx="1082">
                  <c:v>0.1761199966806892</c:v>
                </c:pt>
                <c:pt idx="1083">
                  <c:v>0.16566830739625413</c:v>
                </c:pt>
                <c:pt idx="1084">
                  <c:v>0.15352347958378004</c:v>
                </c:pt>
                <c:pt idx="1085">
                  <c:v>0.15887262436073885</c:v>
                </c:pt>
                <c:pt idx="1086">
                  <c:v>0.16459003491205576</c:v>
                </c:pt>
                <c:pt idx="1087">
                  <c:v>0.14230496938719156</c:v>
                </c:pt>
                <c:pt idx="1088">
                  <c:v>0.18894612312543674</c:v>
                </c:pt>
                <c:pt idx="1089">
                  <c:v>0.25275853456566127</c:v>
                </c:pt>
                <c:pt idx="1090">
                  <c:v>0.21765749274105556</c:v>
                </c:pt>
                <c:pt idx="1091">
                  <c:v>0.15167995497447739</c:v>
                </c:pt>
                <c:pt idx="1092">
                  <c:v>0.24390297679977294</c:v>
                </c:pt>
                <c:pt idx="1093">
                  <c:v>0.26721050056474821</c:v>
                </c:pt>
                <c:pt idx="1094">
                  <c:v>9.4651962172058193E-2</c:v>
                </c:pt>
                <c:pt idx="1095">
                  <c:v>-5.0024625997535849E-2</c:v>
                </c:pt>
                <c:pt idx="1096">
                  <c:v>-2.4491936879772427E-2</c:v>
                </c:pt>
                <c:pt idx="1097">
                  <c:v>2.8133108084899529E-2</c:v>
                </c:pt>
                <c:pt idx="1098">
                  <c:v>-5.1966794329057535E-2</c:v>
                </c:pt>
                <c:pt idx="1099">
                  <c:v>3.0683550748332379E-2</c:v>
                </c:pt>
                <c:pt idx="1100">
                  <c:v>-4.7514488686469028E-2</c:v>
                </c:pt>
                <c:pt idx="1101">
                  <c:v>-7.8023434565094557E-2</c:v>
                </c:pt>
                <c:pt idx="1102">
                  <c:v>-2.3462097144369455E-2</c:v>
                </c:pt>
                <c:pt idx="1103">
                  <c:v>4.1417121318349792E-3</c:v>
                </c:pt>
                <c:pt idx="1104">
                  <c:v>-2.2282017134773676E-2</c:v>
                </c:pt>
                <c:pt idx="1105">
                  <c:v>-9.5030972916153686E-2</c:v>
                </c:pt>
                <c:pt idx="1106">
                  <c:v>-5.7974562979447877E-2</c:v>
                </c:pt>
                <c:pt idx="1107">
                  <c:v>0.15992807643231521</c:v>
                </c:pt>
                <c:pt idx="1108">
                  <c:v>0.17345826189458227</c:v>
                </c:pt>
                <c:pt idx="1109">
                  <c:v>9.5390337256184732E-2</c:v>
                </c:pt>
                <c:pt idx="1110">
                  <c:v>0.12654904159604669</c:v>
                </c:pt>
                <c:pt idx="1111">
                  <c:v>8.6137239524275516E-2</c:v>
                </c:pt>
                <c:pt idx="1112">
                  <c:v>0.16206106269542939</c:v>
                </c:pt>
                <c:pt idx="1113">
                  <c:v>7.6055270762372132E-2</c:v>
                </c:pt>
                <c:pt idx="1114">
                  <c:v>7.1514938509745704E-2</c:v>
                </c:pt>
                <c:pt idx="1115">
                  <c:v>4.6227862033716434E-2</c:v>
                </c:pt>
                <c:pt idx="1116">
                  <c:v>0.14135739138849199</c:v>
                </c:pt>
                <c:pt idx="1117">
                  <c:v>0.1105481548847721</c:v>
                </c:pt>
                <c:pt idx="1118">
                  <c:v>0.13976330046707836</c:v>
                </c:pt>
                <c:pt idx="1119">
                  <c:v>0.13507397474619581</c:v>
                </c:pt>
                <c:pt idx="1120">
                  <c:v>3.5798983269698922E-2</c:v>
                </c:pt>
                <c:pt idx="1121">
                  <c:v>0.10507994908855489</c:v>
                </c:pt>
                <c:pt idx="1122">
                  <c:v>7.0881299520244995E-2</c:v>
                </c:pt>
                <c:pt idx="1123">
                  <c:v>8.9365188662327066E-2</c:v>
                </c:pt>
                <c:pt idx="1124">
                  <c:v>5.166351580328063E-2</c:v>
                </c:pt>
                <c:pt idx="1125">
                  <c:v>-1.3635927087943159E-2</c:v>
                </c:pt>
                <c:pt idx="1126">
                  <c:v>-5.0175572326786745E-2</c:v>
                </c:pt>
                <c:pt idx="1127">
                  <c:v>3.9591701047486313E-2</c:v>
                </c:pt>
                <c:pt idx="1128">
                  <c:v>-5.680594963288102E-2</c:v>
                </c:pt>
                <c:pt idx="1129">
                  <c:v>-4.3034523120264408E-2</c:v>
                </c:pt>
                <c:pt idx="1130">
                  <c:v>-6.944728967283248E-2</c:v>
                </c:pt>
                <c:pt idx="1131">
                  <c:v>-0.11903456161809417</c:v>
                </c:pt>
                <c:pt idx="1132">
                  <c:v>-5.6484296468231152E-2</c:v>
                </c:pt>
                <c:pt idx="1133">
                  <c:v>-0.15523700052737724</c:v>
                </c:pt>
                <c:pt idx="1134">
                  <c:v>-9.2761408713048651E-2</c:v>
                </c:pt>
                <c:pt idx="1135">
                  <c:v>-0.12067052670119657</c:v>
                </c:pt>
                <c:pt idx="1136">
                  <c:v>-0.18553566509278571</c:v>
                </c:pt>
                <c:pt idx="1137">
                  <c:v>-0.13068785931157267</c:v>
                </c:pt>
                <c:pt idx="1138">
                  <c:v>-0.13897038623238589</c:v>
                </c:pt>
                <c:pt idx="1139">
                  <c:v>-0.15186751450981872</c:v>
                </c:pt>
                <c:pt idx="1140">
                  <c:v>-0.12372005396371719</c:v>
                </c:pt>
                <c:pt idx="1141">
                  <c:v>-0.1317518014078673</c:v>
                </c:pt>
                <c:pt idx="1142">
                  <c:v>-6.6405968756558922E-2</c:v>
                </c:pt>
                <c:pt idx="1143">
                  <c:v>-5.0355274083176194E-2</c:v>
                </c:pt>
                <c:pt idx="1144">
                  <c:v>-5.5254517502956554E-2</c:v>
                </c:pt>
                <c:pt idx="1145">
                  <c:v>9.710739588931995E-2</c:v>
                </c:pt>
                <c:pt idx="1146">
                  <c:v>1.6835270307713514E-2</c:v>
                </c:pt>
                <c:pt idx="1147">
                  <c:v>6.1521106237321335E-2</c:v>
                </c:pt>
                <c:pt idx="1148">
                  <c:v>0.19511693147774484</c:v>
                </c:pt>
                <c:pt idx="1149">
                  <c:v>0.35811442342734195</c:v>
                </c:pt>
                <c:pt idx="1150">
                  <c:v>0.32361698360385005</c:v>
                </c:pt>
                <c:pt idx="1151">
                  <c:v>0.30262313376392613</c:v>
                </c:pt>
                <c:pt idx="1152">
                  <c:v>0.17124634318447735</c:v>
                </c:pt>
              </c:numCache>
            </c:numRef>
          </c:yVal>
          <c:smooth val="0"/>
          <c:extLst>
            <c:ext xmlns:c16="http://schemas.microsoft.com/office/drawing/2014/chart" uri="{C3380CC4-5D6E-409C-BE32-E72D297353CC}">
              <c16:uniqueId val="{00000001-3A2C-4C7A-A3A2-7EBE56C8FBBC}"/>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25</xdr:col>
      <xdr:colOff>23813</xdr:colOff>
      <xdr:row>3</xdr:row>
      <xdr:rowOff>142875</xdr:rowOff>
    </xdr:from>
    <xdr:to>
      <xdr:col>32</xdr:col>
      <xdr:colOff>198532</xdr:colOff>
      <xdr:row>16</xdr:row>
      <xdr:rowOff>95251</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304800</xdr:colOff>
          <xdr:row>13</xdr:row>
          <xdr:rowOff>190500</xdr:rowOff>
        </xdr:from>
        <xdr:to>
          <xdr:col>7</xdr:col>
          <xdr:colOff>19050</xdr:colOff>
          <xdr:row>15</xdr:row>
          <xdr:rowOff>19050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19</xdr:row>
          <xdr:rowOff>38100</xdr:rowOff>
        </xdr:from>
        <xdr:to>
          <xdr:col>3</xdr:col>
          <xdr:colOff>438150</xdr:colOff>
          <xdr:row>20</xdr:row>
          <xdr:rowOff>57150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269875</xdr:colOff>
      <xdr:row>7</xdr:row>
      <xdr:rowOff>15882</xdr:rowOff>
    </xdr:from>
    <xdr:to>
      <xdr:col>29</xdr:col>
      <xdr:colOff>412750</xdr:colOff>
      <xdr:row>30</xdr:row>
      <xdr:rowOff>139072</xdr:rowOff>
    </xdr:to>
    <xdr:graphicFrame macro="">
      <xdr:nvGraphicFramePr>
        <xdr:cNvPr id="2" name="Chart 1">
          <a:extLst>
            <a:ext uri="{FF2B5EF4-FFF2-40B4-BE49-F238E27FC236}">
              <a16:creationId xmlns:a16="http://schemas.microsoft.com/office/drawing/2014/main" id="{ECD598F2-F2BB-44F3-92BB-ECF23B4E7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1179761</xdr:colOff>
      <xdr:row>44</xdr:row>
      <xdr:rowOff>97501</xdr:rowOff>
    </xdr:from>
    <xdr:ext cx="860557" cy="33861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3A8C2BC-ADCF-4C41-8515-D490ACDAE4B7}"/>
                </a:ext>
              </a:extLst>
            </xdr:cNvPr>
            <xdr:cNvSpPr txBox="1"/>
          </xdr:nvSpPr>
          <xdr:spPr>
            <a:xfrm>
              <a:off x="1179761" y="9095451"/>
              <a:ext cx="860557"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𝐴</m:t>
                        </m:r>
                      </m:sub>
                    </m:sSub>
                    <m:r>
                      <a:rPr lang="en-US" sz="1100" i="1">
                        <a:latin typeface="Cambria Math" panose="02040503050406030204" pitchFamily="18" charset="0"/>
                      </a:rPr>
                      <m:t>=</m:t>
                    </m:r>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𝐺</m:t>
                        </m:r>
                      </m:sub>
                    </m:sSub>
                    <m:r>
                      <a:rPr lang="en-US" sz="1100" b="0" i="1">
                        <a:latin typeface="Cambria Math" panose="02040503050406030204" pitchFamily="18" charset="0"/>
                      </a:rPr>
                      <m:t>+</m:t>
                    </m:r>
                    <m:f>
                      <m:fPr>
                        <m:ctrlPr>
                          <a:rPr lang="en-US" sz="1100" b="0" i="1">
                            <a:latin typeface="Cambria Math" panose="02040503050406030204" pitchFamily="18" charset="0"/>
                          </a:rPr>
                        </m:ctrlPr>
                      </m:fPr>
                      <m:num>
                        <m:sSup>
                          <m:sSupPr>
                            <m:ctrlPr>
                              <a:rPr lang="en-US" sz="1100" b="0" i="1">
                                <a:latin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𝜎</m:t>
                            </m:r>
                          </m:e>
                          <m:sup>
                            <m:r>
                              <a:rPr lang="en-US" sz="1100" b="0" i="1">
                                <a:latin typeface="Cambria Math" panose="02040503050406030204" pitchFamily="18" charset="0"/>
                              </a:rPr>
                              <m:t>2</m:t>
                            </m:r>
                          </m:sup>
                        </m:sSup>
                      </m:num>
                      <m:den>
                        <m:r>
                          <a:rPr lang="en-US" sz="1100" b="0" i="1">
                            <a:latin typeface="Cambria Math" panose="02040503050406030204" pitchFamily="18" charset="0"/>
                          </a:rPr>
                          <m:t>2</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53A8C2BC-ADCF-4C41-8515-D490ACDAE4B7}"/>
                </a:ext>
              </a:extLst>
            </xdr:cNvPr>
            <xdr:cNvSpPr txBox="1"/>
          </xdr:nvSpPr>
          <xdr:spPr>
            <a:xfrm>
              <a:off x="1179761" y="9095451"/>
              <a:ext cx="860557"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𝑅_𝐴</a:t>
              </a:r>
              <a:r>
                <a:rPr lang="en-US" sz="1100" i="0">
                  <a:latin typeface="Cambria Math" panose="02040503050406030204" pitchFamily="18" charset="0"/>
                </a:rPr>
                <a:t>=</a:t>
              </a:r>
              <a:r>
                <a:rPr lang="en-US" sz="1100" b="0" i="0">
                  <a:latin typeface="Cambria Math" panose="02040503050406030204" pitchFamily="18" charset="0"/>
                </a:rPr>
                <a:t>𝑅_𝐺+</a:t>
              </a:r>
              <a:r>
                <a:rPr lang="en-US" sz="1100" b="0" i="0">
                  <a:latin typeface="Cambria Math" panose="02040503050406030204" pitchFamily="18" charset="0"/>
                  <a:ea typeface="Cambria Math" panose="02040503050406030204" pitchFamily="18" charset="0"/>
                </a:rPr>
                <a:t>𝜎^</a:t>
              </a:r>
              <a:r>
                <a:rPr lang="en-US" sz="1100" b="0" i="0">
                  <a:latin typeface="Cambria Math" panose="02040503050406030204" pitchFamily="18" charset="0"/>
                </a:rPr>
                <a:t>2/2</a:t>
              </a:r>
              <a:endParaRPr lang="en-US"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1</xdr:col>
      <xdr:colOff>115624</xdr:colOff>
      <xdr:row>3</xdr:row>
      <xdr:rowOff>27013</xdr:rowOff>
    </xdr:from>
    <xdr:to>
      <xdr:col>5</xdr:col>
      <xdr:colOff>653483</xdr:colOff>
      <xdr:row>17</xdr:row>
      <xdr:rowOff>103213</xdr:rowOff>
    </xdr:to>
    <xdr:graphicFrame macro="">
      <xdr:nvGraphicFramePr>
        <xdr:cNvPr id="2" name="Chart 1">
          <a:extLst>
            <a:ext uri="{FF2B5EF4-FFF2-40B4-BE49-F238E27FC236}">
              <a16:creationId xmlns:a16="http://schemas.microsoft.com/office/drawing/2014/main" id="{58989370-2B64-4D83-BACD-36D6B9866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7055</xdr:colOff>
      <xdr:row>3</xdr:row>
      <xdr:rowOff>19272</xdr:rowOff>
    </xdr:from>
    <xdr:to>
      <xdr:col>6</xdr:col>
      <xdr:colOff>677333</xdr:colOff>
      <xdr:row>17</xdr:row>
      <xdr:rowOff>95472</xdr:rowOff>
    </xdr:to>
    <xdr:graphicFrame macro="">
      <xdr:nvGraphicFramePr>
        <xdr:cNvPr id="3" name="Chart 2">
          <a:extLst>
            <a:ext uri="{FF2B5EF4-FFF2-40B4-BE49-F238E27FC236}">
              <a16:creationId xmlns:a16="http://schemas.microsoft.com/office/drawing/2014/main" id="{6F5B4324-E933-4197-AE99-EF45E45FA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21168</xdr:colOff>
      <xdr:row>3</xdr:row>
      <xdr:rowOff>26834</xdr:rowOff>
    </xdr:from>
    <xdr:to>
      <xdr:col>6</xdr:col>
      <xdr:colOff>695728</xdr:colOff>
      <xdr:row>17</xdr:row>
      <xdr:rowOff>103034</xdr:rowOff>
    </xdr:to>
    <xdr:graphicFrame macro="">
      <xdr:nvGraphicFramePr>
        <xdr:cNvPr id="2" name="Chart 1">
          <a:extLst>
            <a:ext uri="{FF2B5EF4-FFF2-40B4-BE49-F238E27FC236}">
              <a16:creationId xmlns:a16="http://schemas.microsoft.com/office/drawing/2014/main" id="{AE6A46C4-B96D-411E-97BA-B427D1BA0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415925</xdr:colOff>
      <xdr:row>6</xdr:row>
      <xdr:rowOff>135572</xdr:rowOff>
    </xdr:from>
    <xdr:to>
      <xdr:col>12</xdr:col>
      <xdr:colOff>111125</xdr:colOff>
      <xdr:row>21</xdr:row>
      <xdr:rowOff>116522</xdr:rowOff>
    </xdr:to>
    <xdr:graphicFrame macro="">
      <xdr:nvGraphicFramePr>
        <xdr:cNvPr id="2" name="Chart 1">
          <a:extLst>
            <a:ext uri="{FF2B5EF4-FFF2-40B4-BE49-F238E27FC236}">
              <a16:creationId xmlns:a16="http://schemas.microsoft.com/office/drawing/2014/main" id="{D5A85E6B-6887-44F1-A2A9-C48C6051B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23</xdr:col>
      <xdr:colOff>81643</xdr:colOff>
      <xdr:row>20</xdr:row>
      <xdr:rowOff>122464</xdr:rowOff>
    </xdr:from>
    <xdr:to>
      <xdr:col>29</xdr:col>
      <xdr:colOff>81643</xdr:colOff>
      <xdr:row>38</xdr:row>
      <xdr:rowOff>68034</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654505</xdr:colOff>
      <xdr:row>20</xdr:row>
      <xdr:rowOff>80130</xdr:rowOff>
    </xdr:from>
    <xdr:to>
      <xdr:col>38</xdr:col>
      <xdr:colOff>654505</xdr:colOff>
      <xdr:row>37</xdr:row>
      <xdr:rowOff>160084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566858</xdr:colOff>
      <xdr:row>21</xdr:row>
      <xdr:rowOff>76847</xdr:rowOff>
    </xdr:from>
    <xdr:to>
      <xdr:col>48</xdr:col>
      <xdr:colOff>577744</xdr:colOff>
      <xdr:row>38</xdr:row>
      <xdr:rowOff>36019</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w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bea.gov/national/"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CFEB-A945-4A1F-91A8-B09E8C87973E}">
  <sheetPr codeName="Sheet3"/>
  <dimension ref="A1"/>
  <sheetViews>
    <sheetView workbookViewId="0"/>
  </sheetViews>
  <sheetFormatPr defaultRowHeight="14.4" x14ac:dyDescent="0.55000000000000004"/>
  <sheetData>
    <row r="1" spans="1:1" x14ac:dyDescent="0.55000000000000004">
      <c r="A1" t="s">
        <v>3875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H61"/>
  <sheetViews>
    <sheetView view="pageBreakPreview" zoomScale="80" zoomScaleNormal="100" zoomScaleSheetLayoutView="80" workbookViewId="0"/>
  </sheetViews>
  <sheetFormatPr defaultColWidth="8.7890625" defaultRowHeight="15" x14ac:dyDescent="0.5"/>
  <cols>
    <col min="1" max="1" width="9.26171875" style="110" customWidth="1"/>
    <col min="2" max="2" width="5.26171875" style="110" customWidth="1"/>
    <col min="3" max="3" width="51.5234375" style="110" customWidth="1"/>
    <col min="4" max="4" width="5.734375" style="110" customWidth="1"/>
    <col min="5" max="5" width="18.7890625" style="110" customWidth="1"/>
    <col min="6" max="6" width="4" style="110" customWidth="1"/>
    <col min="7" max="7" width="18.7890625" style="108" customWidth="1"/>
    <col min="8" max="8" width="4" style="108" customWidth="1"/>
    <col min="9" max="16384" width="8.7890625" style="108"/>
  </cols>
  <sheetData>
    <row r="1" spans="1:8" x14ac:dyDescent="0.5">
      <c r="A1" s="283" t="str">
        <f>Input!G28</f>
        <v>Atmos Energy Corporation</v>
      </c>
      <c r="B1" s="283"/>
      <c r="C1" s="283"/>
      <c r="D1" s="283"/>
      <c r="E1" s="283"/>
      <c r="F1" s="283"/>
      <c r="G1" s="606"/>
      <c r="H1" s="606"/>
    </row>
    <row r="2" spans="1:8" x14ac:dyDescent="0.5">
      <c r="A2" s="420" t="s">
        <v>1188</v>
      </c>
      <c r="B2" s="420"/>
      <c r="C2" s="420"/>
      <c r="D2" s="420"/>
      <c r="E2" s="420"/>
      <c r="F2" s="420"/>
      <c r="G2" s="606"/>
      <c r="H2" s="606"/>
    </row>
    <row r="3" spans="1:8" x14ac:dyDescent="0.5">
      <c r="A3" s="420" t="s">
        <v>1189</v>
      </c>
      <c r="B3" s="420"/>
      <c r="C3" s="420"/>
      <c r="D3" s="420"/>
      <c r="E3" s="420"/>
      <c r="F3" s="420"/>
      <c r="G3" s="606"/>
      <c r="H3" s="606"/>
    </row>
    <row r="4" spans="1:8" x14ac:dyDescent="0.5">
      <c r="A4" s="283" t="str">
        <f>Input!I32</f>
        <v>Proxy Group of Seven Natural Gas Companies</v>
      </c>
      <c r="B4" s="283"/>
      <c r="C4" s="283"/>
      <c r="D4" s="283"/>
      <c r="E4" s="283"/>
      <c r="F4" s="283"/>
      <c r="G4" s="606"/>
      <c r="H4" s="606"/>
    </row>
    <row r="5" spans="1:8" x14ac:dyDescent="0.5">
      <c r="A5" s="109"/>
      <c r="B5" s="214"/>
      <c r="C5" s="214"/>
      <c r="D5" s="214"/>
      <c r="E5" s="214"/>
      <c r="F5" s="214"/>
    </row>
    <row r="6" spans="1:8" ht="66.75" customHeight="1" x14ac:dyDescent="0.5">
      <c r="A6" s="186" t="s">
        <v>1144</v>
      </c>
      <c r="C6" s="424" t="s">
        <v>1195</v>
      </c>
      <c r="D6" s="420"/>
      <c r="E6" s="1393" t="str">
        <f>CONCATENATE(Input!$I$32)</f>
        <v>Proxy Group of Seven Natural Gas Companies</v>
      </c>
      <c r="F6" s="1393"/>
      <c r="G6" s="425" t="str">
        <f>E6&amp;" (excl. PRPM)"</f>
        <v>Proxy Group of Seven Natural Gas Companies (excl. PRPM)</v>
      </c>
      <c r="H6" s="425"/>
    </row>
    <row r="8" spans="1:8" x14ac:dyDescent="0.5">
      <c r="A8" s="109" t="s">
        <v>1145</v>
      </c>
      <c r="C8" s="426" t="s">
        <v>1190</v>
      </c>
      <c r="D8" s="426"/>
      <c r="E8" s="426">
        <f>('MRP WP1'!C65-'MRP WP1'!C66)*100</f>
        <v>6.1026365413537675</v>
      </c>
      <c r="F8" s="427" t="s">
        <v>1090</v>
      </c>
      <c r="G8" s="607">
        <f>E8</f>
        <v>6.1026365413537675</v>
      </c>
      <c r="H8" s="427" t="s">
        <v>1090</v>
      </c>
    </row>
    <row r="9" spans="1:8" x14ac:dyDescent="0.5">
      <c r="C9" s="426"/>
      <c r="D9" s="426"/>
      <c r="E9" s="426"/>
      <c r="F9" s="426"/>
      <c r="H9" s="426"/>
    </row>
    <row r="10" spans="1:8" x14ac:dyDescent="0.5">
      <c r="A10" s="109" t="s">
        <v>1148</v>
      </c>
      <c r="C10" s="426" t="s">
        <v>2612</v>
      </c>
      <c r="D10" s="426"/>
      <c r="E10" s="426">
        <f>'MRP ERP WP'!AK42*100</f>
        <v>6.817379097376854</v>
      </c>
      <c r="F10" s="427"/>
      <c r="G10" s="607">
        <f>E10</f>
        <v>6.817379097376854</v>
      </c>
      <c r="H10" s="427"/>
    </row>
    <row r="11" spans="1:8" x14ac:dyDescent="0.5">
      <c r="C11" s="426"/>
      <c r="D11" s="426"/>
      <c r="E11" s="426"/>
      <c r="F11" s="426"/>
      <c r="H11" s="426"/>
    </row>
    <row r="12" spans="1:8" x14ac:dyDescent="0.5">
      <c r="A12" s="423" t="s">
        <v>1150</v>
      </c>
      <c r="C12" s="426" t="s">
        <v>2596</v>
      </c>
      <c r="D12" s="426"/>
      <c r="E12" s="426">
        <f>'PRPM WP1'!$D$1206*100</f>
        <v>7.5033935869840862</v>
      </c>
      <c r="F12" s="426"/>
      <c r="G12" s="608" t="s">
        <v>14</v>
      </c>
      <c r="H12" s="426"/>
    </row>
    <row r="13" spans="1:8" x14ac:dyDescent="0.5">
      <c r="C13" s="426"/>
      <c r="D13" s="426"/>
      <c r="E13" s="426"/>
      <c r="F13" s="426"/>
      <c r="H13" s="426"/>
    </row>
    <row r="14" spans="1:8" ht="30" x14ac:dyDescent="0.5">
      <c r="A14" s="200">
        <v>4</v>
      </c>
      <c r="C14" s="428" t="s">
        <v>2613</v>
      </c>
      <c r="D14" s="426"/>
      <c r="E14" s="426">
        <f>'MRP WP1'!$F$22*100-'MRP WP1'!C35</f>
        <v>5.4500000000000011</v>
      </c>
      <c r="F14" s="427"/>
      <c r="G14" s="426">
        <f>E14</f>
        <v>5.4500000000000011</v>
      </c>
      <c r="H14" s="427"/>
    </row>
    <row r="15" spans="1:8" x14ac:dyDescent="0.5">
      <c r="A15" s="423"/>
      <c r="C15" s="428"/>
      <c r="D15" s="426"/>
      <c r="E15" s="426"/>
      <c r="F15" s="427"/>
      <c r="H15" s="427"/>
    </row>
    <row r="16" spans="1:8" ht="54" customHeight="1" x14ac:dyDescent="0.5">
      <c r="A16" s="423" t="s">
        <v>1154</v>
      </c>
      <c r="C16" s="428" t="s">
        <v>2614</v>
      </c>
      <c r="D16" s="426"/>
      <c r="E16" s="429">
        <f>'MRP WP2 Combined'!$K$505*100-'MRP WP1'!C35</f>
        <v>10.739458939520672</v>
      </c>
      <c r="F16" s="427"/>
      <c r="G16" s="609">
        <f>E16</f>
        <v>10.739458939520672</v>
      </c>
      <c r="H16" s="427"/>
    </row>
    <row r="17" spans="1:8" x14ac:dyDescent="0.5">
      <c r="C17" s="426"/>
      <c r="D17" s="426"/>
      <c r="E17" s="426"/>
      <c r="F17" s="426"/>
      <c r="H17" s="426"/>
    </row>
    <row r="18" spans="1:8" x14ac:dyDescent="0.5">
      <c r="A18" s="423" t="s">
        <v>1156</v>
      </c>
      <c r="C18" s="430" t="s">
        <v>1191</v>
      </c>
      <c r="D18" s="426"/>
      <c r="E18" s="431">
        <f>ROUND(AVERAGE(E8:E16),2)</f>
        <v>7.32</v>
      </c>
      <c r="F18" s="427" t="s">
        <v>1090</v>
      </c>
      <c r="G18" s="431">
        <f>ROUND(AVERAGE(G8:G16),2)</f>
        <v>7.28</v>
      </c>
      <c r="H18" s="427" t="s">
        <v>1090</v>
      </c>
    </row>
    <row r="19" spans="1:8" x14ac:dyDescent="0.5">
      <c r="C19" s="426"/>
      <c r="D19" s="426"/>
      <c r="E19" s="426"/>
      <c r="F19" s="426"/>
      <c r="H19" s="426"/>
    </row>
    <row r="20" spans="1:8" x14ac:dyDescent="0.5">
      <c r="A20" s="432" t="s">
        <v>1157</v>
      </c>
      <c r="C20" s="426" t="s">
        <v>2615</v>
      </c>
      <c r="D20" s="426"/>
      <c r="E20" s="429">
        <f>'1.21 CAPM'!H23</f>
        <v>0.79</v>
      </c>
      <c r="F20" s="426"/>
      <c r="G20" s="609">
        <f>E20</f>
        <v>0.79</v>
      </c>
      <c r="H20" s="426"/>
    </row>
    <row r="21" spans="1:8" x14ac:dyDescent="0.5">
      <c r="C21" s="426"/>
      <c r="D21" s="426"/>
      <c r="E21" s="426"/>
      <c r="F21" s="426"/>
      <c r="H21" s="426"/>
    </row>
    <row r="22" spans="1:8" ht="15.3" thickBot="1" x14ac:dyDescent="0.55000000000000004">
      <c r="A22" s="432" t="s">
        <v>2598</v>
      </c>
      <c r="C22" s="426" t="s">
        <v>1192</v>
      </c>
      <c r="D22" s="426"/>
      <c r="E22" s="433">
        <f>ROUND(E18*E20,2)</f>
        <v>5.78</v>
      </c>
      <c r="F22" s="426" t="s">
        <v>1090</v>
      </c>
      <c r="G22" s="433">
        <f>ROUND(G18*G20,2)</f>
        <v>5.75</v>
      </c>
      <c r="H22" s="426" t="s">
        <v>1090</v>
      </c>
    </row>
    <row r="23" spans="1:8" ht="15.3" thickTop="1" x14ac:dyDescent="0.5">
      <c r="C23" s="426"/>
      <c r="D23" s="426"/>
      <c r="E23" s="426"/>
      <c r="F23" s="426"/>
    </row>
    <row r="24" spans="1:8" x14ac:dyDescent="0.5">
      <c r="B24" s="610" t="s">
        <v>1159</v>
      </c>
      <c r="C24" s="426"/>
      <c r="D24" s="426"/>
      <c r="E24" s="426"/>
      <c r="F24" s="426"/>
    </row>
    <row r="25" spans="1:8" ht="15" customHeight="1" x14ac:dyDescent="0.5">
      <c r="A25" s="1396"/>
      <c r="B25" s="1402" t="s">
        <v>1146</v>
      </c>
      <c r="C25" s="1386" t="str">
        <f>CONCATENATE("Based on the arithmetic mean historical monthly returns on large company common stocks from Kroll 2023 SBBI® Yearbook and Bloomberg Professional Services"," minus the arithmetic mean monthly yield of Moody's average Aaa and Aa2 corporate bonds from 1928-2024.")</f>
        <v>Based on the arithmetic mean historical monthly returns on large company common stocks from Kroll 2023 SBBI® Yearbook and Bloomberg Professional Services minus the arithmetic mean monthly yield of Moody's average Aaa and Aa2 corporate bonds from 1928-2024.</v>
      </c>
      <c r="D25" s="1386"/>
      <c r="E25" s="1386"/>
      <c r="F25" s="1386"/>
      <c r="G25" s="1386"/>
      <c r="H25" s="1386"/>
    </row>
    <row r="26" spans="1:8" ht="36" customHeight="1" x14ac:dyDescent="0.5">
      <c r="A26" s="1396"/>
      <c r="B26" s="1402"/>
      <c r="C26" s="1386"/>
      <c r="D26" s="1386"/>
      <c r="E26" s="1386"/>
      <c r="F26" s="1386"/>
      <c r="G26" s="1386"/>
      <c r="H26" s="1386"/>
    </row>
    <row r="27" spans="1:8" ht="80.25" customHeight="1" x14ac:dyDescent="0.5">
      <c r="A27" s="137"/>
      <c r="B27" s="434" t="s">
        <v>1147</v>
      </c>
      <c r="C27" s="1401" t="str">
        <f>CONCATENATE("This equity risk premium is based on a regression of the monthly equity risk premiums of large company common stocks relative to Moody's average Aaa and Aa2 rated corporate bond yields from 1928-2024 referenced in Note 1 above.","  Using the equation generated from the regression, an expected equity risk premium is calculated using the average consensus forecast of Aaa corporate bonds of ",TEXT('MRP WP1'!$C$35,"#0.00"),"% (from page 11 of this Exhibit).")</f>
        <v>This equity risk premium is based on a regression of the monthly equity risk premiums of large company common stocks relative to Moody's average Aaa and Aa2 rated corporate bond yields from 1928-2024 referenced in Note 1 above.  Using the equation generated from the regression, an expected equity risk premium is calculated using the average consensus forecast of Aaa corporate bonds of 5.35% (from page 11 of this Exhibit).</v>
      </c>
      <c r="D27" s="1401"/>
      <c r="E27" s="1401"/>
      <c r="F27" s="1401"/>
      <c r="G27" s="1401"/>
      <c r="H27" s="1401"/>
    </row>
    <row r="28" spans="1:8" ht="64.5" customHeight="1" x14ac:dyDescent="0.5">
      <c r="A28" s="137"/>
      <c r="B28" s="434" t="s">
        <v>1149</v>
      </c>
      <c r="C28" s="1401" t="str">
        <f>CONCATENATE("The Predictive Risk Premium Model (PRPM) is discussed in the accompanying direct testimony.", " The Ibbotson equity risk premium based on the PRPM is derived by applying the PRPM to the monthly risk premiums between Ibbotson", " large company common stock monthly returns and average Aaa and Aa corporate monthly bond yields, from January 1928 through ", TEXT('PRPM WP1'!$B$1208, "mmmm yyyy"), ".")</f>
        <v>The Predictive Risk Premium Model (PRPM) is discussed in the accompanying direct testimony. The Ibbotson equity risk premium based on the PRPM is derived by applying the PRPM to the monthly risk premiums between Ibbotson large company common stock monthly returns and average Aaa and Aa corporate monthly bond yields, from January 1928 through January 2025.</v>
      </c>
      <c r="D28" s="1401"/>
      <c r="E28" s="1401"/>
      <c r="F28" s="1401"/>
      <c r="G28" s="1401"/>
      <c r="H28" s="1401"/>
    </row>
    <row r="29" spans="1:8" ht="50.5" customHeight="1" x14ac:dyDescent="0.5">
      <c r="A29" s="137"/>
      <c r="B29" s="434" t="s">
        <v>1153</v>
      </c>
      <c r="C29" s="1401" t="str">
        <f>CONCATENATE("The equity risk premium based on the Value Line Summary and Index is derived by subtracting the average consensus forecast of Aaa corporate bonds of ",TEXT('MRP WP1'!$C$35,"#0.00"),"% (from page 11 of this ", TEXT(Input!I49, "Word"), ") from the projected 3-5 year total annual market return of ",TEXT('MRP WP1'!$F$22*100,"#0.00"),"% (described fully in note 1 on page 22 of this ", TEXT(Input!I49, "Word"), " ", ").")</f>
        <v>The equity risk premium based on the Value Line Summary and Index is derived by subtracting the average consensus forecast of Aaa corporate bonds of 5.35% (from page 11 of this Exhibit) from the projected 3-5 year total annual market return of 10.80% (described fully in note 1 on page 22 of this Exhibit ).</v>
      </c>
      <c r="D29" s="1401"/>
      <c r="E29" s="1401"/>
      <c r="F29" s="1401"/>
      <c r="G29" s="1401"/>
      <c r="H29" s="1401"/>
    </row>
    <row r="30" spans="1:8" ht="78.7" customHeight="1" x14ac:dyDescent="0.5">
      <c r="A30" s="137"/>
      <c r="B30" s="434" t="s">
        <v>1155</v>
      </c>
      <c r="C30" s="1401" t="str">
        <f>CONCATENATE("Using data from the Bloomberg Professional Services, Value Line, and S&amp;P Global Market Intelligence for the S&amp;P 500, an expected total return of ",TEXT('MRP WP2 Combined'!$K$505*100,"#0.00"), "% was derived based upon expected dividend yields as a proxy for income returns and long-term earnings growth estimates as a proxy for capital appreciation.  Subtracting the average consensus forecast of Aaa corporate bonds of ",TEXT('MRP WP1'!$C$35,"#0.00"), "% results in an expected equity risk premium of ", TEXT('1.16 Beta Adjusted ERP'!$E$16,"#0.00"),"%.")</f>
        <v>Using data from the Bloomberg Professional Services, Value Line, and S&amp;P Global Market Intelligence for the S&amp;P 500, an expected total return of 16.09% was derived based upon expected dividend yields as a proxy for income returns and long-term earnings growth estimates as a proxy for capital appreciation.  Subtracting the average consensus forecast of Aaa corporate bonds of 5.35% results in an expected equity risk premium of 10.74%.</v>
      </c>
      <c r="D30" s="1401"/>
      <c r="E30" s="1401"/>
      <c r="F30" s="1401"/>
      <c r="G30" s="1401"/>
      <c r="H30" s="1401"/>
    </row>
    <row r="31" spans="1:8" x14ac:dyDescent="0.5">
      <c r="A31" s="137"/>
      <c r="B31" s="434" t="s">
        <v>1158</v>
      </c>
      <c r="C31" s="1401" t="str">
        <f>"Average of mean and median beta from page 21 of this " &amp; Input!I49 &amp; "."</f>
        <v>Average of mean and median beta from page 21 of this Exhibit.</v>
      </c>
      <c r="D31" s="1401"/>
      <c r="E31" s="1401"/>
      <c r="F31" s="1401"/>
    </row>
    <row r="32" spans="1:8" x14ac:dyDescent="0.5">
      <c r="C32" s="426"/>
      <c r="D32" s="426"/>
      <c r="E32" s="426"/>
      <c r="F32" s="426"/>
    </row>
    <row r="33" spans="2:6" x14ac:dyDescent="0.5">
      <c r="B33" s="110" t="s">
        <v>1161</v>
      </c>
      <c r="C33" s="426"/>
      <c r="D33" s="426"/>
      <c r="E33" s="426"/>
      <c r="F33" s="426"/>
    </row>
    <row r="34" spans="2:6" x14ac:dyDescent="0.5">
      <c r="C34" s="1401" t="s">
        <v>1353</v>
      </c>
      <c r="D34" s="1401"/>
      <c r="E34" s="1401"/>
      <c r="F34" s="1401"/>
    </row>
    <row r="35" spans="2:6" x14ac:dyDescent="0.5">
      <c r="C35" s="1401" t="s">
        <v>1193</v>
      </c>
      <c r="D35" s="1401"/>
      <c r="E35" s="1401"/>
      <c r="F35" s="1401"/>
    </row>
    <row r="36" spans="2:6" x14ac:dyDescent="0.5">
      <c r="C36" s="1401" t="s">
        <v>1093</v>
      </c>
      <c r="D36" s="1401"/>
      <c r="E36" s="1401"/>
      <c r="F36" s="1401"/>
    </row>
    <row r="37" spans="2:6" x14ac:dyDescent="0.5">
      <c r="C37" s="1401" t="str">
        <f>CONCATENATE("Blue Chip Financial Forecasts, ",Input!I25)</f>
        <v>Blue Chip Financial Forecasts, November 27, 2024 and January 31, 2025</v>
      </c>
      <c r="D37" s="1401"/>
      <c r="E37" s="1401"/>
      <c r="F37" s="1401"/>
    </row>
    <row r="38" spans="2:6" x14ac:dyDescent="0.5">
      <c r="C38" s="110" t="s">
        <v>1279</v>
      </c>
      <c r="D38" s="426"/>
      <c r="E38" s="426"/>
      <c r="F38" s="426"/>
    </row>
    <row r="39" spans="2:6" x14ac:dyDescent="0.5">
      <c r="C39" s="426" t="s">
        <v>1194</v>
      </c>
      <c r="D39" s="426"/>
      <c r="E39" s="426"/>
      <c r="F39" s="426"/>
    </row>
    <row r="40" spans="2:6" x14ac:dyDescent="0.5">
      <c r="C40" s="426"/>
      <c r="D40" s="426"/>
      <c r="E40" s="426"/>
      <c r="F40" s="426"/>
    </row>
    <row r="41" spans="2:6" x14ac:dyDescent="0.5">
      <c r="C41" s="426"/>
      <c r="D41" s="426"/>
      <c r="E41" s="426"/>
      <c r="F41" s="426"/>
    </row>
    <row r="42" spans="2:6" x14ac:dyDescent="0.5">
      <c r="C42" s="426"/>
      <c r="D42" s="426"/>
      <c r="E42" s="426"/>
      <c r="F42" s="426"/>
    </row>
    <row r="43" spans="2:6" x14ac:dyDescent="0.5">
      <c r="C43" s="426"/>
      <c r="D43" s="426"/>
      <c r="E43" s="426"/>
      <c r="F43" s="426"/>
    </row>
    <row r="44" spans="2:6" x14ac:dyDescent="0.5">
      <c r="C44" s="426"/>
      <c r="D44" s="426"/>
      <c r="E44" s="426"/>
      <c r="F44" s="426"/>
    </row>
    <row r="45" spans="2:6" x14ac:dyDescent="0.5">
      <c r="C45" s="426"/>
      <c r="D45" s="426"/>
      <c r="E45" s="426"/>
      <c r="F45" s="426"/>
    </row>
    <row r="46" spans="2:6" x14ac:dyDescent="0.5">
      <c r="C46" s="426"/>
      <c r="D46" s="426"/>
      <c r="E46" s="426"/>
      <c r="F46" s="426"/>
    </row>
    <row r="47" spans="2:6" x14ac:dyDescent="0.5">
      <c r="C47" s="426"/>
      <c r="D47" s="426"/>
      <c r="E47" s="426"/>
      <c r="F47" s="426"/>
    </row>
    <row r="48" spans="2:6" x14ac:dyDescent="0.5">
      <c r="C48" s="426"/>
      <c r="D48" s="426"/>
      <c r="E48" s="426"/>
      <c r="F48" s="426"/>
    </row>
    <row r="49" spans="3:6" x14ac:dyDescent="0.5">
      <c r="C49" s="426"/>
      <c r="D49" s="426"/>
      <c r="E49" s="426"/>
      <c r="F49" s="426"/>
    </row>
    <row r="50" spans="3:6" x14ac:dyDescent="0.5">
      <c r="C50" s="426"/>
      <c r="D50" s="426"/>
      <c r="E50" s="426"/>
      <c r="F50" s="426"/>
    </row>
    <row r="51" spans="3:6" x14ac:dyDescent="0.5">
      <c r="C51" s="426"/>
      <c r="D51" s="426"/>
      <c r="E51" s="426"/>
      <c r="F51" s="426"/>
    </row>
    <row r="52" spans="3:6" x14ac:dyDescent="0.5">
      <c r="C52" s="426"/>
      <c r="D52" s="426"/>
      <c r="E52" s="426"/>
      <c r="F52" s="426"/>
    </row>
    <row r="53" spans="3:6" x14ac:dyDescent="0.5">
      <c r="C53" s="426"/>
      <c r="D53" s="426"/>
      <c r="E53" s="426"/>
      <c r="F53" s="426"/>
    </row>
    <row r="54" spans="3:6" x14ac:dyDescent="0.5">
      <c r="C54" s="426"/>
      <c r="D54" s="426"/>
      <c r="E54" s="426"/>
      <c r="F54" s="426"/>
    </row>
    <row r="55" spans="3:6" x14ac:dyDescent="0.5">
      <c r="C55" s="426"/>
      <c r="D55" s="426"/>
      <c r="E55" s="426"/>
      <c r="F55" s="426"/>
    </row>
    <row r="56" spans="3:6" x14ac:dyDescent="0.5">
      <c r="C56" s="426"/>
      <c r="D56" s="426"/>
      <c r="E56" s="426"/>
      <c r="F56" s="426"/>
    </row>
    <row r="57" spans="3:6" x14ac:dyDescent="0.5">
      <c r="C57" s="426"/>
      <c r="D57" s="426"/>
      <c r="E57" s="426"/>
      <c r="F57" s="426"/>
    </row>
    <row r="58" spans="3:6" x14ac:dyDescent="0.5">
      <c r="C58" s="426"/>
      <c r="D58" s="426"/>
      <c r="E58" s="426"/>
      <c r="F58" s="426"/>
    </row>
    <row r="59" spans="3:6" x14ac:dyDescent="0.5">
      <c r="C59" s="426"/>
      <c r="D59" s="426"/>
      <c r="E59" s="426"/>
      <c r="F59" s="426"/>
    </row>
    <row r="60" spans="3:6" x14ac:dyDescent="0.5">
      <c r="C60" s="426"/>
      <c r="D60" s="426"/>
      <c r="E60" s="426"/>
      <c r="F60" s="426"/>
    </row>
    <row r="61" spans="3:6" x14ac:dyDescent="0.5">
      <c r="C61" s="426"/>
      <c r="D61" s="426"/>
      <c r="E61" s="426"/>
      <c r="F61" s="426"/>
    </row>
  </sheetData>
  <mergeCells count="13">
    <mergeCell ref="A25:A26"/>
    <mergeCell ref="B25:B26"/>
    <mergeCell ref="E6:F6"/>
    <mergeCell ref="C25:H26"/>
    <mergeCell ref="C27:H27"/>
    <mergeCell ref="C30:H30"/>
    <mergeCell ref="C29:H29"/>
    <mergeCell ref="C28:H28"/>
    <mergeCell ref="C36:F36"/>
    <mergeCell ref="C37:F37"/>
    <mergeCell ref="C34:F34"/>
    <mergeCell ref="C35:F35"/>
    <mergeCell ref="C31:F31"/>
  </mergeCells>
  <printOptions horizontalCentered="1"/>
  <pageMargins left="0.7" right="0.7" top="0.75" bottom="0.75" header="0.3" footer="0.3"/>
  <pageSetup scale="7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H22"/>
  <sheetViews>
    <sheetView view="pageBreakPreview" zoomScale="80" zoomScaleNormal="100" zoomScaleSheetLayoutView="80" workbookViewId="0"/>
  </sheetViews>
  <sheetFormatPr defaultColWidth="11.5234375" defaultRowHeight="15" x14ac:dyDescent="0.5"/>
  <cols>
    <col min="1" max="1" width="9" style="110" bestFit="1" customWidth="1"/>
    <col min="2" max="2" width="4" style="110" bestFit="1" customWidth="1"/>
    <col min="3" max="3" width="44.5234375" style="110" customWidth="1"/>
    <col min="4" max="4" width="4.47265625" style="110" customWidth="1"/>
    <col min="5" max="5" width="16.734375" style="110" customWidth="1"/>
    <col min="6" max="6" width="4.26171875" style="110" customWidth="1"/>
    <col min="7" max="7" width="16.734375" style="110" customWidth="1"/>
    <col min="8" max="8" width="4.26171875" style="110" customWidth="1"/>
    <col min="9" max="16384" width="11.5234375" style="110"/>
  </cols>
  <sheetData>
    <row r="1" spans="1:8" x14ac:dyDescent="0.5">
      <c r="A1" s="283" t="s">
        <v>1186</v>
      </c>
      <c r="B1" s="283"/>
      <c r="C1" s="283"/>
      <c r="D1" s="283"/>
      <c r="E1" s="283"/>
      <c r="F1" s="283"/>
      <c r="G1" s="420"/>
      <c r="H1" s="420"/>
    </row>
    <row r="2" spans="1:8" x14ac:dyDescent="0.5">
      <c r="A2" s="420" t="s">
        <v>1184</v>
      </c>
      <c r="B2" s="420"/>
      <c r="C2" s="420"/>
      <c r="D2" s="420"/>
      <c r="E2" s="420"/>
      <c r="F2" s="420"/>
      <c r="G2" s="420"/>
      <c r="H2" s="420"/>
    </row>
    <row r="3" spans="1:8" x14ac:dyDescent="0.5">
      <c r="A3" s="420" t="s">
        <v>1185</v>
      </c>
      <c r="B3" s="420"/>
      <c r="C3" s="420"/>
      <c r="D3" s="420"/>
      <c r="E3" s="420"/>
      <c r="F3" s="420"/>
      <c r="G3" s="420"/>
      <c r="H3" s="420"/>
    </row>
    <row r="4" spans="1:8" x14ac:dyDescent="0.5">
      <c r="A4" s="283" t="s">
        <v>1186</v>
      </c>
      <c r="B4" s="283"/>
      <c r="C4" s="283"/>
      <c r="D4" s="283"/>
      <c r="E4" s="283"/>
      <c r="F4" s="283"/>
      <c r="G4" s="420"/>
      <c r="H4" s="420"/>
    </row>
    <row r="5" spans="1:8" x14ac:dyDescent="0.5">
      <c r="A5" s="421"/>
      <c r="B5" s="421"/>
      <c r="C5" s="421"/>
      <c r="D5" s="421"/>
      <c r="E5" s="421"/>
      <c r="F5" s="421"/>
    </row>
    <row r="6" spans="1:8" ht="62.25" customHeight="1" x14ac:dyDescent="0.5">
      <c r="A6" s="421" t="s">
        <v>1144</v>
      </c>
      <c r="E6" s="1393" t="s">
        <v>2622</v>
      </c>
      <c r="F6" s="1393"/>
      <c r="G6" s="422" t="str">
        <f>E6&amp;" (excl. PRPM)"</f>
        <v>Implied Equity Risk Premium (excl. PRPM)</v>
      </c>
      <c r="H6" s="422"/>
    </row>
    <row r="8" spans="1:8" x14ac:dyDescent="0.5">
      <c r="A8" s="200" t="s">
        <v>1145</v>
      </c>
      <c r="C8" s="110" t="s">
        <v>1187</v>
      </c>
      <c r="E8" s="612">
        <f>('MRP WP1'!C67-'MRP WP1'!C68)*100</f>
        <v>4.163886999829991</v>
      </c>
      <c r="F8" s="111" t="s">
        <v>1090</v>
      </c>
      <c r="G8" s="612">
        <f>E8</f>
        <v>4.163886999829991</v>
      </c>
      <c r="H8" s="111" t="s">
        <v>1090</v>
      </c>
    </row>
    <row r="9" spans="1:8" x14ac:dyDescent="0.5">
      <c r="A9" s="613"/>
    </row>
    <row r="10" spans="1:8" ht="30" x14ac:dyDescent="0.5">
      <c r="A10" s="200" t="s">
        <v>1148</v>
      </c>
      <c r="C10" s="614" t="s">
        <v>2616</v>
      </c>
      <c r="E10" s="28">
        <f>'MRP ERP WP'!AU42*100</f>
        <v>4.7837071276559833</v>
      </c>
      <c r="F10" s="111"/>
      <c r="G10" s="28">
        <f>E10</f>
        <v>4.7837071276559833</v>
      </c>
      <c r="H10" s="111"/>
    </row>
    <row r="11" spans="1:8" x14ac:dyDescent="0.5">
      <c r="A11" s="200"/>
      <c r="C11" s="614"/>
      <c r="E11" s="28"/>
      <c r="F11" s="111"/>
      <c r="G11" s="28"/>
      <c r="H11" s="111"/>
    </row>
    <row r="12" spans="1:8" ht="30" x14ac:dyDescent="0.5">
      <c r="A12" s="200">
        <v>3</v>
      </c>
      <c r="C12" s="614" t="s">
        <v>2617</v>
      </c>
      <c r="E12" s="28">
        <f>'PRPM WP1'!$C$1206*100</f>
        <v>5.2955394409279766</v>
      </c>
      <c r="F12" s="111"/>
      <c r="G12" s="330" t="s">
        <v>14</v>
      </c>
      <c r="H12" s="111"/>
    </row>
    <row r="13" spans="1:8" x14ac:dyDescent="0.5">
      <c r="A13" s="613"/>
      <c r="C13" s="614"/>
      <c r="E13" s="28"/>
      <c r="G13" s="28"/>
    </row>
    <row r="14" spans="1:8" ht="67.5" customHeight="1" x14ac:dyDescent="0.5">
      <c r="A14" s="423" t="s">
        <v>1152</v>
      </c>
      <c r="C14" s="138" t="s">
        <v>2618</v>
      </c>
      <c r="E14" s="87">
        <f>ROUND(('ERP WP1 Combined'!$K$35*100)-'1.11 Risk Premium Summary'!G18,2)</f>
        <v>6.22</v>
      </c>
      <c r="F14" s="111"/>
      <c r="G14" s="87">
        <f>E14</f>
        <v>6.22</v>
      </c>
      <c r="H14" s="111"/>
    </row>
    <row r="15" spans="1:8" x14ac:dyDescent="0.5">
      <c r="A15" s="423"/>
      <c r="C15" s="614"/>
      <c r="E15" s="28"/>
      <c r="G15" s="28"/>
    </row>
    <row r="16" spans="1:8" ht="15.3" thickBot="1" x14ac:dyDescent="0.55000000000000004">
      <c r="A16" s="423" t="s">
        <v>1154</v>
      </c>
      <c r="C16" s="614" t="s">
        <v>2619</v>
      </c>
      <c r="E16" s="615">
        <f>ROUND(AVERAGE(E8,E10,E12,E14),2)</f>
        <v>5.12</v>
      </c>
      <c r="F16" s="111" t="s">
        <v>1090</v>
      </c>
      <c r="G16" s="615">
        <f>ROUND(AVERAGE(G8,G10,G12,G14),2)</f>
        <v>5.0599999999999996</v>
      </c>
      <c r="H16" s="111" t="s">
        <v>1090</v>
      </c>
    </row>
    <row r="17" spans="1:8" ht="15.3" thickTop="1" x14ac:dyDescent="0.5"/>
    <row r="18" spans="1:8" ht="64.5" customHeight="1" x14ac:dyDescent="0.5">
      <c r="A18" s="610" t="s">
        <v>1159</v>
      </c>
      <c r="B18" s="137" t="s">
        <v>1146</v>
      </c>
      <c r="C18" s="1386" t="s">
        <v>4436</v>
      </c>
      <c r="D18" s="1386"/>
      <c r="E18" s="1386"/>
      <c r="F18" s="1386"/>
      <c r="G18" s="1386"/>
      <c r="H18" s="1386"/>
    </row>
    <row r="19" spans="1:8" ht="82.5" customHeight="1" x14ac:dyDescent="0.5">
      <c r="A19" s="611"/>
      <c r="B19" s="137" t="s">
        <v>1147</v>
      </c>
      <c r="C19" s="1394" t="str">
        <f>CONCATENATE("This equity risk premium is based on a regression of the monthly equity risk premiums of the S&amp;P Utility Index relative to Moody's A2 rated public utility bond yields from 1928 - 2024 referenced in note 1 above."," Using the equation generated from the regression, an expected equity risk premium is calculated using the prospective A2 rated public utility bond yield of ",TEXT('1.11 Risk Premium Summary'!$G$18,"#0.00"),"% (from line 3, page 11 of this Exhibit).")</f>
        <v>This equity risk premium is based on a regression of the monthly equity risk premiums of the S&amp;P Utility Index relative to Moody's A2 rated public utility bond yields from 1928 - 2024 referenced in note 1 above. Using the equation generated from the regression, an expected equity risk premium is calculated using the prospective A2 rated public utility bond yield of 5.75% (from line 3, page 11 of this Exhibit).</v>
      </c>
      <c r="D19" s="1394"/>
      <c r="E19" s="1394"/>
      <c r="F19" s="1394"/>
      <c r="G19" s="1394"/>
      <c r="H19" s="1394"/>
    </row>
    <row r="20" spans="1:8" ht="48" customHeight="1" x14ac:dyDescent="0.5">
      <c r="A20" s="611"/>
      <c r="B20" s="203" t="s">
        <v>1149</v>
      </c>
      <c r="C20" s="1386" t="str">
        <f>CONCATENATE("The Predictive Risk Premium Model (PRPM) is applied to the risk premium of the monthly total returns of the S&amp;P Utility Index and the monthly yields on Moody's A2 rated public utility bonds from January 1928 through ", TEXT('PRPM WP1'!$B$1208, "mmmm yyyy"), ".")</f>
        <v>The Predictive Risk Premium Model (PRPM) is applied to the risk premium of the monthly total returns of the S&amp;P Utility Index and the monthly yields on Moody's A2 rated public utility bonds from January 1928 through January 2025.</v>
      </c>
      <c r="D20" s="1386"/>
      <c r="E20" s="1386"/>
      <c r="F20" s="1386"/>
      <c r="G20" s="1386"/>
      <c r="H20" s="1386"/>
    </row>
    <row r="21" spans="1:8" ht="81.75" customHeight="1" x14ac:dyDescent="0.5">
      <c r="A21" s="610"/>
      <c r="B21" s="203" t="s">
        <v>1153</v>
      </c>
      <c r="C21" s="1386" t="str">
        <f>CONCATENATE("Using data from Bloomberg, Value Line, and S&amp;P Capital IQ for the S&amp;P Utilities Index, an expected return of ", TEXT('ERP WP1 Combined'!$K$35,"#0.00%")," was derived based on expected dividend yields as a proxy for income returns and long-term growth estimates as a proxy for market appreciation. Subtracting the expected A2 rated public utility bond yield of ",TEXT('1.11 Risk Premium Summary'!$G$18/100,"#0.00%"),", calculated on line 3 of page 11 of this Exhibit", " results in an equity risk premium of ",TEXT('1.19 S&amp;P RPM Study Returns'!$E$14/100,"#0.00%"),". (",TEXT('ERP WP1 Combined'!$K$35,"#0.00%")," - ",TEXT('1.11 Risk Premium Summary'!$G$18/100,"#0.00%")," = ",TEXT('1.19 S&amp;P RPM Study Returns'!$E$14/100,"0.00%"),").")</f>
        <v>Using data from Bloomberg, Value Line, and S&amp;P Capital IQ for the S&amp;P Utilities Index, an expected return of 11.97% was derived based on expected dividend yields as a proxy for income returns and long-term growth estimates as a proxy for market appreciation. Subtracting the expected A2 rated public utility bond yield of 5.75%, calculated on line 3 of page 11 of this Exhibit results in an equity risk premium of 6.22%. (11.97% - 5.75% = 6.22%).</v>
      </c>
      <c r="D21" s="1386"/>
      <c r="E21" s="1386"/>
      <c r="F21" s="1386"/>
      <c r="G21" s="1386"/>
      <c r="H21" s="1386"/>
    </row>
    <row r="22" spans="1:8" x14ac:dyDescent="0.5">
      <c r="B22" s="203" t="s">
        <v>1155</v>
      </c>
      <c r="C22" s="611" t="s">
        <v>2605</v>
      </c>
      <c r="D22" s="611"/>
      <c r="E22" s="611"/>
      <c r="F22" s="611"/>
    </row>
  </sheetData>
  <mergeCells count="5">
    <mergeCell ref="E6:F6"/>
    <mergeCell ref="C18:H18"/>
    <mergeCell ref="C19:H19"/>
    <mergeCell ref="C20:H20"/>
    <mergeCell ref="C21:H21"/>
  </mergeCells>
  <printOptions horizontalCentered="1"/>
  <pageMargins left="0.7" right="0.7" top="0.75" bottom="0.75" header="0.3" footer="0.3"/>
  <pageSetup scale="86"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3D11-6B44-464F-BA14-80B8229C5FF5}">
  <sheetPr codeName="Sheet7">
    <outlinePr summaryBelow="0" summaryRight="0"/>
  </sheetPr>
  <dimension ref="A1:AI1034"/>
  <sheetViews>
    <sheetView view="pageBreakPreview" topLeftCell="K1" zoomScale="80" zoomScaleNormal="80" zoomScaleSheetLayoutView="80" workbookViewId="0">
      <selection activeCell="Z1" sqref="Z1"/>
    </sheetView>
  </sheetViews>
  <sheetFormatPr defaultColWidth="9" defaultRowHeight="15" x14ac:dyDescent="0.5"/>
  <cols>
    <col min="1" max="1" width="25" style="81" bestFit="1" customWidth="1"/>
    <col min="2" max="2" width="30.26171875" style="81" bestFit="1" customWidth="1"/>
    <col min="3" max="3" width="30" style="81" bestFit="1" customWidth="1"/>
    <col min="4" max="4" width="11.5234375" style="81" bestFit="1" customWidth="1"/>
    <col min="5" max="5" width="13" style="81" bestFit="1" customWidth="1"/>
    <col min="6" max="6" width="14.7890625" style="81" customWidth="1"/>
    <col min="7" max="7" width="17.5234375" style="81" bestFit="1" customWidth="1"/>
    <col min="8" max="8" width="12.5234375" style="81" bestFit="1" customWidth="1"/>
    <col min="9" max="9" width="19" style="81" bestFit="1" customWidth="1"/>
    <col min="10" max="10" width="12" style="81" customWidth="1"/>
    <col min="11" max="11" width="15.26171875" style="81" customWidth="1"/>
    <col min="12" max="12" width="11.7890625" style="81" bestFit="1" customWidth="1"/>
    <col min="13" max="13" width="9" style="81"/>
    <col min="14" max="14" width="25" style="81" customWidth="1"/>
    <col min="15" max="15" width="25.26171875" style="81" customWidth="1"/>
    <col min="16" max="16" width="16" style="81" customWidth="1"/>
    <col min="17" max="17" width="14" style="81" bestFit="1" customWidth="1"/>
    <col min="18" max="19" width="13" style="81" bestFit="1" customWidth="1"/>
    <col min="20" max="23" width="13.734375" style="81" bestFit="1" customWidth="1"/>
    <col min="24" max="25" width="9" style="81"/>
    <col min="26" max="26" width="11" style="81" customWidth="1"/>
    <col min="27" max="27" width="9" style="81"/>
    <col min="28" max="29" width="9" style="81" customWidth="1"/>
    <col min="30" max="30" width="17.7890625" style="81" customWidth="1"/>
    <col min="31" max="31" width="9" style="81" customWidth="1"/>
    <col min="32" max="32" width="14.5234375" style="81" customWidth="1"/>
    <col min="33" max="33" width="3.26171875" style="81" bestFit="1" customWidth="1"/>
    <col min="34" max="16384" width="9" style="81"/>
  </cols>
  <sheetData>
    <row r="1" spans="1:33" ht="15.3" x14ac:dyDescent="0.55000000000000004">
      <c r="A1" s="216" t="s">
        <v>2680</v>
      </c>
      <c r="O1" t="s">
        <v>1096</v>
      </c>
      <c r="P1"/>
      <c r="Q1"/>
      <c r="R1"/>
      <c r="S1"/>
      <c r="T1"/>
      <c r="U1"/>
      <c r="V1"/>
      <c r="W1"/>
      <c r="Z1" s="113" t="str">
        <f>'1.21 CAPM'!B1</f>
        <v>Atmos Energy Corporation</v>
      </c>
      <c r="AA1" s="113"/>
      <c r="AB1" s="113"/>
      <c r="AC1" s="113"/>
      <c r="AD1" s="113"/>
      <c r="AE1" s="113"/>
      <c r="AF1" s="113"/>
      <c r="AG1" s="113"/>
    </row>
    <row r="2" spans="1:33" ht="15.6" thickBot="1" x14ac:dyDescent="0.6">
      <c r="O2"/>
      <c r="P2"/>
      <c r="Q2"/>
      <c r="R2"/>
      <c r="S2"/>
      <c r="T2"/>
      <c r="U2"/>
      <c r="V2"/>
      <c r="W2"/>
      <c r="Z2" s="113" t="s">
        <v>2681</v>
      </c>
      <c r="AA2" s="113"/>
      <c r="AB2" s="113"/>
      <c r="AC2" s="113"/>
      <c r="AD2" s="113"/>
      <c r="AE2" s="113"/>
      <c r="AF2" s="113"/>
      <c r="AG2" s="113"/>
    </row>
    <row r="3" spans="1:33" ht="19.5" customHeight="1" thickBot="1" x14ac:dyDescent="0.6">
      <c r="A3" s="82" t="s">
        <v>2682</v>
      </c>
      <c r="O3" s="419" t="s">
        <v>1099</v>
      </c>
      <c r="P3" s="419"/>
      <c r="Q3"/>
      <c r="R3"/>
      <c r="S3"/>
      <c r="T3"/>
      <c r="U3"/>
      <c r="V3"/>
      <c r="W3"/>
      <c r="Z3" s="113" t="s">
        <v>4527</v>
      </c>
      <c r="AA3" s="113"/>
      <c r="AB3" s="113"/>
      <c r="AC3" s="113"/>
      <c r="AD3" s="113"/>
      <c r="AE3" s="113"/>
      <c r="AF3" s="113"/>
      <c r="AG3" s="113"/>
    </row>
    <row r="4" spans="1:33" ht="15.6" thickBot="1" x14ac:dyDescent="0.6">
      <c r="F4" s="1403" t="s">
        <v>2683</v>
      </c>
      <c r="G4" s="1404"/>
      <c r="H4" s="1404"/>
      <c r="I4" s="1404"/>
      <c r="J4" s="1404"/>
      <c r="K4" s="1405"/>
      <c r="O4" t="s">
        <v>1118</v>
      </c>
      <c r="P4">
        <v>0.93234807910085327</v>
      </c>
      <c r="Q4"/>
      <c r="R4"/>
      <c r="S4"/>
      <c r="T4"/>
      <c r="U4"/>
      <c r="V4"/>
      <c r="W4"/>
      <c r="Z4" s="60"/>
      <c r="AA4" s="60"/>
      <c r="AB4" s="60"/>
      <c r="AC4" s="60"/>
      <c r="AD4" s="60"/>
      <c r="AE4" s="60"/>
      <c r="AF4" s="60"/>
      <c r="AG4" s="60"/>
    </row>
    <row r="5" spans="1:33" ht="45.3" x14ac:dyDescent="0.55000000000000004">
      <c r="A5" s="217" t="s">
        <v>2684</v>
      </c>
      <c r="B5" s="217" t="s">
        <v>611</v>
      </c>
      <c r="C5" s="218" t="s">
        <v>2685</v>
      </c>
      <c r="D5" s="218" t="s">
        <v>2686</v>
      </c>
      <c r="E5" s="218" t="s">
        <v>2687</v>
      </c>
      <c r="F5" s="218" t="s">
        <v>120</v>
      </c>
      <c r="G5" s="218" t="s">
        <v>2688</v>
      </c>
      <c r="H5" s="219" t="s">
        <v>2689</v>
      </c>
      <c r="I5" s="219" t="s">
        <v>2690</v>
      </c>
      <c r="J5" s="219" t="s">
        <v>2691</v>
      </c>
      <c r="K5" s="219" t="s">
        <v>2692</v>
      </c>
      <c r="O5" t="s">
        <v>1119</v>
      </c>
      <c r="P5">
        <v>0.86927294060305094</v>
      </c>
      <c r="Q5"/>
      <c r="R5"/>
      <c r="S5"/>
      <c r="T5"/>
      <c r="U5"/>
      <c r="V5"/>
      <c r="W5"/>
      <c r="Z5" s="60"/>
      <c r="AA5" s="60"/>
      <c r="AB5" s="60"/>
      <c r="AC5" s="60"/>
      <c r="AD5" s="60"/>
      <c r="AE5" s="60"/>
      <c r="AF5" s="60"/>
      <c r="AG5" s="60"/>
    </row>
    <row r="6" spans="1:33" ht="18" customHeight="1" x14ac:dyDescent="0.55000000000000004">
      <c r="A6" s="102" t="s">
        <v>2693</v>
      </c>
      <c r="B6" s="102" t="s">
        <v>2629</v>
      </c>
      <c r="C6" s="102" t="s">
        <v>2892</v>
      </c>
      <c r="D6" s="102" t="s">
        <v>2893</v>
      </c>
      <c r="E6" s="102" t="s">
        <v>2694</v>
      </c>
      <c r="F6" s="220">
        <v>29223</v>
      </c>
      <c r="G6" s="102" t="s">
        <v>2695</v>
      </c>
      <c r="H6" s="221">
        <v>12.55</v>
      </c>
      <c r="I6" s="221">
        <v>51.81</v>
      </c>
      <c r="J6" s="221">
        <v>11.89</v>
      </c>
      <c r="K6" s="221">
        <f>H6-J6</f>
        <v>0.66000000000000014</v>
      </c>
      <c r="L6" s="93"/>
      <c r="O6" t="s">
        <v>1120</v>
      </c>
      <c r="P6">
        <v>0.86911841689217995</v>
      </c>
      <c r="Q6"/>
      <c r="R6"/>
      <c r="S6"/>
      <c r="T6"/>
      <c r="U6"/>
      <c r="V6"/>
      <c r="W6"/>
      <c r="Z6" s="60"/>
      <c r="AA6" s="60"/>
      <c r="AB6" s="60"/>
      <c r="AC6" s="60"/>
      <c r="AD6" s="60"/>
      <c r="AE6" s="60"/>
      <c r="AF6" s="60"/>
      <c r="AG6" s="60"/>
    </row>
    <row r="7" spans="1:33" ht="30" x14ac:dyDescent="0.55000000000000004">
      <c r="A7" s="102" t="s">
        <v>2696</v>
      </c>
      <c r="B7" s="102" t="s">
        <v>2697</v>
      </c>
      <c r="C7" s="102" t="s">
        <v>2894</v>
      </c>
      <c r="D7" s="102" t="s">
        <v>2893</v>
      </c>
      <c r="E7" s="102" t="s">
        <v>2694</v>
      </c>
      <c r="F7" s="220">
        <v>29224</v>
      </c>
      <c r="G7" s="102" t="s">
        <v>2695</v>
      </c>
      <c r="H7" s="221">
        <v>13.75</v>
      </c>
      <c r="I7" s="221">
        <v>35.1</v>
      </c>
      <c r="J7" s="221">
        <v>11.89</v>
      </c>
      <c r="K7" s="221">
        <f t="shared" ref="K7:K70" si="0">H7-J7</f>
        <v>1.8599999999999994</v>
      </c>
      <c r="L7" s="93"/>
      <c r="O7" t="s">
        <v>1121</v>
      </c>
      <c r="P7">
        <v>0.7707118667086813</v>
      </c>
      <c r="Q7"/>
      <c r="R7"/>
      <c r="S7"/>
      <c r="T7"/>
      <c r="U7"/>
      <c r="V7"/>
      <c r="W7"/>
      <c r="Z7" s="60"/>
      <c r="AA7" s="60"/>
      <c r="AB7" s="60"/>
      <c r="AC7" s="60"/>
      <c r="AD7" s="60"/>
      <c r="AE7" s="60"/>
      <c r="AF7" s="60"/>
      <c r="AG7" s="60"/>
    </row>
    <row r="8" spans="1:33" ht="18.75" customHeight="1" thickBot="1" x14ac:dyDescent="0.6">
      <c r="A8" s="102" t="s">
        <v>2698</v>
      </c>
      <c r="B8" s="102" t="s">
        <v>2895</v>
      </c>
      <c r="C8" s="102" t="s">
        <v>2896</v>
      </c>
      <c r="D8" s="102" t="s">
        <v>2893</v>
      </c>
      <c r="E8" s="102" t="s">
        <v>2694</v>
      </c>
      <c r="F8" s="220">
        <v>29234</v>
      </c>
      <c r="G8" s="102" t="s">
        <v>2695</v>
      </c>
      <c r="H8" s="221">
        <v>13.2</v>
      </c>
      <c r="I8" s="221">
        <v>36.6</v>
      </c>
      <c r="J8" s="221">
        <v>11.89</v>
      </c>
      <c r="K8" s="221">
        <f t="shared" si="0"/>
        <v>1.3099999999999987</v>
      </c>
      <c r="L8" s="93"/>
      <c r="O8" s="281" t="s">
        <v>1122</v>
      </c>
      <c r="P8" s="281">
        <v>848</v>
      </c>
      <c r="Q8"/>
      <c r="R8"/>
      <c r="S8"/>
      <c r="T8"/>
      <c r="U8"/>
      <c r="V8"/>
      <c r="W8"/>
      <c r="Z8" s="60"/>
      <c r="AA8" s="60"/>
      <c r="AB8" s="60"/>
      <c r="AC8" s="60"/>
      <c r="AD8" s="60"/>
      <c r="AE8" s="60"/>
      <c r="AF8" s="60"/>
      <c r="AG8" s="60"/>
    </row>
    <row r="9" spans="1:33" ht="30" x14ac:dyDescent="0.55000000000000004">
      <c r="A9" s="102" t="s">
        <v>2699</v>
      </c>
      <c r="B9" s="102" t="s">
        <v>2628</v>
      </c>
      <c r="C9" s="102" t="s">
        <v>2897</v>
      </c>
      <c r="D9" s="102" t="s">
        <v>2893</v>
      </c>
      <c r="E9" s="102" t="s">
        <v>2694</v>
      </c>
      <c r="F9" s="220">
        <v>29238</v>
      </c>
      <c r="G9" s="102" t="s">
        <v>2695</v>
      </c>
      <c r="H9" s="221">
        <v>14</v>
      </c>
      <c r="I9" s="221">
        <v>35.090000000000003</v>
      </c>
      <c r="J9" s="221">
        <v>12.15</v>
      </c>
      <c r="K9" s="221">
        <f t="shared" si="0"/>
        <v>1.8499999999999996</v>
      </c>
      <c r="L9" s="93"/>
      <c r="O9"/>
      <c r="P9"/>
      <c r="Q9"/>
      <c r="R9"/>
      <c r="S9"/>
      <c r="T9"/>
      <c r="U9"/>
      <c r="V9"/>
      <c r="W9"/>
      <c r="Z9" s="60"/>
      <c r="AA9" s="60"/>
      <c r="AB9" s="60"/>
      <c r="AC9" s="60"/>
      <c r="AD9" s="60"/>
      <c r="AE9" s="60"/>
      <c r="AF9" s="60"/>
      <c r="AG9" s="60"/>
    </row>
    <row r="10" spans="1:33" ht="30.3" thickBot="1" x14ac:dyDescent="0.6">
      <c r="A10" s="102" t="s">
        <v>2700</v>
      </c>
      <c r="B10" s="102" t="s">
        <v>2898</v>
      </c>
      <c r="C10" s="102" t="s">
        <v>2899</v>
      </c>
      <c r="D10" s="102" t="s">
        <v>2893</v>
      </c>
      <c r="E10" s="102" t="s">
        <v>2694</v>
      </c>
      <c r="F10" s="220">
        <v>29251</v>
      </c>
      <c r="G10" s="102" t="s">
        <v>2695</v>
      </c>
      <c r="H10" s="221">
        <v>12.61</v>
      </c>
      <c r="I10" s="221">
        <v>52</v>
      </c>
      <c r="J10" s="221">
        <v>12.15</v>
      </c>
      <c r="K10" s="221">
        <f t="shared" si="0"/>
        <v>0.45999999999999908</v>
      </c>
      <c r="L10" s="93"/>
      <c r="O10" t="s">
        <v>1123</v>
      </c>
      <c r="P10"/>
      <c r="Q10"/>
      <c r="R10"/>
      <c r="S10"/>
      <c r="T10"/>
      <c r="U10"/>
      <c r="V10"/>
      <c r="W10"/>
      <c r="Z10" s="60"/>
      <c r="AA10" s="60"/>
      <c r="AB10" s="60"/>
      <c r="AC10" s="60"/>
      <c r="AD10" s="60"/>
      <c r="AE10" s="60"/>
      <c r="AF10" s="60"/>
      <c r="AG10" s="60"/>
    </row>
    <row r="11" spans="1:33" ht="30" x14ac:dyDescent="0.55000000000000004">
      <c r="A11" s="102" t="s">
        <v>2701</v>
      </c>
      <c r="B11" s="102" t="s">
        <v>2900</v>
      </c>
      <c r="C11" s="102" t="s">
        <v>2901</v>
      </c>
      <c r="D11" s="102" t="s">
        <v>2893</v>
      </c>
      <c r="E11" s="102" t="s">
        <v>2694</v>
      </c>
      <c r="F11" s="220">
        <v>29259</v>
      </c>
      <c r="G11" s="102" t="s">
        <v>2695</v>
      </c>
      <c r="H11" s="221">
        <v>14.5</v>
      </c>
      <c r="I11" s="221">
        <v>49.31</v>
      </c>
      <c r="J11" s="221">
        <v>12.15</v>
      </c>
      <c r="K11" s="221">
        <f t="shared" si="0"/>
        <v>2.3499999999999996</v>
      </c>
      <c r="L11" s="93"/>
      <c r="O11" s="418"/>
      <c r="P11" s="418" t="s">
        <v>1124</v>
      </c>
      <c r="Q11" s="418" t="s">
        <v>1125</v>
      </c>
      <c r="R11" s="418" t="s">
        <v>433</v>
      </c>
      <c r="S11" s="418" t="s">
        <v>290</v>
      </c>
      <c r="T11" s="418" t="s">
        <v>1126</v>
      </c>
      <c r="U11"/>
      <c r="V11"/>
      <c r="W11"/>
      <c r="Z11" s="60"/>
      <c r="AA11" s="60"/>
      <c r="AB11" s="60"/>
      <c r="AC11" s="60"/>
      <c r="AD11" s="60"/>
      <c r="AE11" s="60"/>
      <c r="AF11" s="60"/>
      <c r="AG11" s="60"/>
    </row>
    <row r="12" spans="1:33" ht="30" x14ac:dyDescent="0.55000000000000004">
      <c r="A12" s="102" t="s">
        <v>2702</v>
      </c>
      <c r="B12" s="102" t="s">
        <v>2703</v>
      </c>
      <c r="C12" s="102" t="s">
        <v>2902</v>
      </c>
      <c r="D12" s="102" t="s">
        <v>2893</v>
      </c>
      <c r="E12" s="102" t="s">
        <v>2694</v>
      </c>
      <c r="F12" s="220">
        <v>29265</v>
      </c>
      <c r="G12" s="102" t="s">
        <v>2695</v>
      </c>
      <c r="H12" s="221">
        <v>13</v>
      </c>
      <c r="I12" s="221">
        <v>40</v>
      </c>
      <c r="J12" s="221">
        <v>12.15</v>
      </c>
      <c r="K12" s="221">
        <f t="shared" si="0"/>
        <v>0.84999999999999964</v>
      </c>
      <c r="L12" s="93"/>
      <c r="O12" t="s">
        <v>1127</v>
      </c>
      <c r="P12">
        <v>1</v>
      </c>
      <c r="Q12">
        <v>3341.5281450330117</v>
      </c>
      <c r="R12">
        <v>3341.5281450330117</v>
      </c>
      <c r="S12">
        <v>5625.4987386899338</v>
      </c>
      <c r="T12">
        <v>0</v>
      </c>
      <c r="U12"/>
      <c r="V12"/>
      <c r="W12"/>
      <c r="Z12" s="60"/>
      <c r="AA12" s="60"/>
      <c r="AB12" s="60"/>
      <c r="AC12" s="60"/>
      <c r="AD12" s="60"/>
      <c r="AE12" s="60"/>
      <c r="AF12" s="60"/>
      <c r="AG12" s="60"/>
    </row>
    <row r="13" spans="1:33" ht="30" x14ac:dyDescent="0.55000000000000004">
      <c r="A13" s="102" t="s">
        <v>2702</v>
      </c>
      <c r="B13" s="102" t="s">
        <v>2903</v>
      </c>
      <c r="C13" s="102" t="s">
        <v>2904</v>
      </c>
      <c r="D13" s="102" t="s">
        <v>2893</v>
      </c>
      <c r="E13" s="102" t="s">
        <v>2694</v>
      </c>
      <c r="F13" s="220">
        <v>29266</v>
      </c>
      <c r="G13" s="102" t="s">
        <v>2695</v>
      </c>
      <c r="H13" s="221">
        <v>13</v>
      </c>
      <c r="I13" s="221">
        <v>41.2</v>
      </c>
      <c r="J13" s="221">
        <v>12.21</v>
      </c>
      <c r="K13" s="221">
        <f t="shared" si="0"/>
        <v>0.78999999999999915</v>
      </c>
      <c r="L13" s="93"/>
      <c r="O13" t="s">
        <v>1128</v>
      </c>
      <c r="P13">
        <v>846</v>
      </c>
      <c r="Q13">
        <v>502.5212771368009</v>
      </c>
      <c r="R13">
        <v>0.59399678148558022</v>
      </c>
      <c r="S13"/>
      <c r="T13"/>
      <c r="U13"/>
      <c r="V13"/>
      <c r="W13"/>
      <c r="Z13" s="60"/>
      <c r="AA13" s="60"/>
      <c r="AB13" s="60"/>
      <c r="AC13" s="60"/>
      <c r="AD13" s="60"/>
      <c r="AE13" s="60"/>
      <c r="AF13" s="60"/>
      <c r="AG13" s="60"/>
    </row>
    <row r="14" spans="1:33" ht="30.3" thickBot="1" x14ac:dyDescent="0.6">
      <c r="A14" s="102" t="s">
        <v>2704</v>
      </c>
      <c r="B14" s="102" t="s">
        <v>2705</v>
      </c>
      <c r="C14" s="102" t="s">
        <v>2905</v>
      </c>
      <c r="D14" s="102" t="s">
        <v>2893</v>
      </c>
      <c r="E14" s="102" t="s">
        <v>2694</v>
      </c>
      <c r="F14" s="220">
        <v>29280</v>
      </c>
      <c r="G14" s="102" t="s">
        <v>2695</v>
      </c>
      <c r="H14" s="221">
        <v>14</v>
      </c>
      <c r="I14" s="221">
        <v>38.5</v>
      </c>
      <c r="J14" s="221">
        <v>12.21</v>
      </c>
      <c r="K14" s="221">
        <f t="shared" si="0"/>
        <v>1.7899999999999991</v>
      </c>
      <c r="L14" s="93"/>
      <c r="O14" s="281" t="s">
        <v>1129</v>
      </c>
      <c r="P14" s="281">
        <v>847</v>
      </c>
      <c r="Q14" s="281">
        <v>3844.0494221698127</v>
      </c>
      <c r="R14" s="281"/>
      <c r="S14" s="281"/>
      <c r="T14" s="281"/>
      <c r="U14"/>
      <c r="V14"/>
      <c r="W14"/>
      <c r="Z14" s="60"/>
      <c r="AA14" s="60"/>
      <c r="AB14" s="60"/>
      <c r="AC14" s="60"/>
      <c r="AD14" s="60"/>
      <c r="AE14" s="60"/>
      <c r="AF14" s="60"/>
      <c r="AG14" s="60"/>
    </row>
    <row r="15" spans="1:33" ht="30.3" thickBot="1" x14ac:dyDescent="0.6">
      <c r="A15" s="102" t="s">
        <v>2706</v>
      </c>
      <c r="B15" s="102" t="s">
        <v>2906</v>
      </c>
      <c r="C15" s="102" t="s">
        <v>2907</v>
      </c>
      <c r="D15" s="102" t="s">
        <v>2893</v>
      </c>
      <c r="E15" s="102" t="s">
        <v>2694</v>
      </c>
      <c r="F15" s="220">
        <v>29285</v>
      </c>
      <c r="G15" s="102" t="s">
        <v>2695</v>
      </c>
      <c r="H15" s="221">
        <v>14</v>
      </c>
      <c r="I15" s="221">
        <v>33.65</v>
      </c>
      <c r="J15" s="221">
        <v>12.21</v>
      </c>
      <c r="K15" s="221">
        <f t="shared" si="0"/>
        <v>1.7899999999999991</v>
      </c>
      <c r="L15" s="93"/>
      <c r="O15"/>
      <c r="P15"/>
      <c r="Q15"/>
      <c r="R15"/>
      <c r="S15"/>
      <c r="T15"/>
      <c r="U15"/>
      <c r="V15"/>
      <c r="W15"/>
      <c r="Z15" s="60"/>
      <c r="AA15" s="60"/>
      <c r="AB15" s="60"/>
      <c r="AC15" s="60"/>
      <c r="AD15" s="60"/>
      <c r="AE15" s="60"/>
      <c r="AF15" s="60"/>
      <c r="AG15" s="60"/>
    </row>
    <row r="16" spans="1:33" ht="30" x14ac:dyDescent="0.55000000000000004">
      <c r="A16" s="102" t="s">
        <v>2704</v>
      </c>
      <c r="B16" s="102" t="s">
        <v>2908</v>
      </c>
      <c r="C16" s="102" t="s">
        <v>2909</v>
      </c>
      <c r="D16" s="102" t="s">
        <v>2893</v>
      </c>
      <c r="E16" s="102" t="s">
        <v>2694</v>
      </c>
      <c r="F16" s="220">
        <v>29287</v>
      </c>
      <c r="G16" s="102" t="s">
        <v>2695</v>
      </c>
      <c r="H16" s="221">
        <v>13.5</v>
      </c>
      <c r="I16" s="221">
        <v>44.69</v>
      </c>
      <c r="J16" s="221">
        <v>12.21</v>
      </c>
      <c r="K16" s="221">
        <f t="shared" si="0"/>
        <v>1.2899999999999991</v>
      </c>
      <c r="L16" s="93"/>
      <c r="O16" s="418"/>
      <c r="P16" s="418" t="s">
        <v>1130</v>
      </c>
      <c r="Q16" s="418" t="s">
        <v>1121</v>
      </c>
      <c r="R16" s="418" t="s">
        <v>1131</v>
      </c>
      <c r="S16" s="418" t="s">
        <v>1132</v>
      </c>
      <c r="T16" s="418" t="s">
        <v>1133</v>
      </c>
      <c r="U16" s="418" t="s">
        <v>1134</v>
      </c>
      <c r="V16" s="418" t="s">
        <v>1135</v>
      </c>
      <c r="W16" s="418" t="s">
        <v>1136</v>
      </c>
      <c r="Z16" s="60"/>
      <c r="AA16" s="60"/>
      <c r="AB16" s="60"/>
      <c r="AC16" s="60"/>
      <c r="AD16" s="60"/>
      <c r="AE16" s="60"/>
      <c r="AF16" s="60"/>
      <c r="AG16" s="60"/>
    </row>
    <row r="17" spans="1:35" ht="15" customHeight="1" x14ac:dyDescent="0.55000000000000004">
      <c r="A17" s="102" t="s">
        <v>2704</v>
      </c>
      <c r="B17" s="102" t="s">
        <v>2910</v>
      </c>
      <c r="C17" s="102" t="s">
        <v>2911</v>
      </c>
      <c r="D17" s="102" t="s">
        <v>2893</v>
      </c>
      <c r="E17" s="102" t="s">
        <v>2694</v>
      </c>
      <c r="F17" s="220">
        <v>29294</v>
      </c>
      <c r="G17" s="102" t="s">
        <v>2695</v>
      </c>
      <c r="H17" s="221">
        <v>14</v>
      </c>
      <c r="I17" s="221">
        <v>42.1</v>
      </c>
      <c r="J17" s="221">
        <v>12.21</v>
      </c>
      <c r="K17" s="221">
        <f t="shared" si="0"/>
        <v>1.7899999999999991</v>
      </c>
      <c r="L17" s="93"/>
      <c r="O17" t="s">
        <v>1137</v>
      </c>
      <c r="P17">
        <v>7.4848124447881705</v>
      </c>
      <c r="Q17">
        <v>6.6805355331754745E-2</v>
      </c>
      <c r="R17">
        <v>112.03910835618888</v>
      </c>
      <c r="S17">
        <v>0</v>
      </c>
      <c r="T17">
        <v>7.3536887615230491</v>
      </c>
      <c r="U17">
        <v>7.615936128053292</v>
      </c>
      <c r="V17">
        <v>7.3536887615230491</v>
      </c>
      <c r="W17">
        <v>7.615936128053292</v>
      </c>
      <c r="Z17" s="60"/>
      <c r="AA17" s="60"/>
      <c r="AB17" s="60"/>
      <c r="AC17" s="60"/>
      <c r="AD17" s="60"/>
      <c r="AE17" s="60"/>
      <c r="AF17" s="60"/>
      <c r="AG17" s="60"/>
    </row>
    <row r="18" spans="1:35" ht="15" customHeight="1" thickBot="1" x14ac:dyDescent="0.6">
      <c r="A18" s="102" t="s">
        <v>2704</v>
      </c>
      <c r="B18" s="102" t="s">
        <v>2707</v>
      </c>
      <c r="C18" s="102" t="s">
        <v>2912</v>
      </c>
      <c r="D18" s="102" t="s">
        <v>2893</v>
      </c>
      <c r="E18" s="102" t="s">
        <v>2694</v>
      </c>
      <c r="F18" s="220">
        <v>29307</v>
      </c>
      <c r="G18" s="102" t="s">
        <v>2695</v>
      </c>
      <c r="H18" s="221">
        <v>12.69</v>
      </c>
      <c r="I18" s="221">
        <v>39.25</v>
      </c>
      <c r="J18" s="221">
        <v>13.23</v>
      </c>
      <c r="K18" s="221">
        <f t="shared" si="0"/>
        <v>-0.54000000000000092</v>
      </c>
      <c r="L18" s="93"/>
      <c r="O18" s="281" t="s">
        <v>2691</v>
      </c>
      <c r="P18" s="281">
        <v>-0.48049562137893753</v>
      </c>
      <c r="Q18" s="281">
        <v>6.406324284078173E-3</v>
      </c>
      <c r="R18" s="281">
        <v>-75.003324850902018</v>
      </c>
      <c r="S18" s="281">
        <v>0</v>
      </c>
      <c r="T18" s="281">
        <v>-0.49306977553390891</v>
      </c>
      <c r="U18" s="281">
        <v>-0.46792146722396616</v>
      </c>
      <c r="V18" s="281">
        <v>-0.49306977553390891</v>
      </c>
      <c r="W18" s="281">
        <v>-0.46792146722396616</v>
      </c>
      <c r="Z18" s="60"/>
      <c r="AA18" s="60"/>
      <c r="AB18" s="60"/>
      <c r="AC18" s="60"/>
      <c r="AD18" s="60"/>
      <c r="AE18" s="60"/>
      <c r="AF18" s="60"/>
      <c r="AG18" s="60"/>
    </row>
    <row r="19" spans="1:35" ht="15" customHeight="1" x14ac:dyDescent="0.55000000000000004">
      <c r="A19" s="102" t="s">
        <v>2708</v>
      </c>
      <c r="B19" s="102" t="s">
        <v>2709</v>
      </c>
      <c r="C19" s="102" t="s">
        <v>2913</v>
      </c>
      <c r="D19" s="102" t="s">
        <v>2893</v>
      </c>
      <c r="E19" s="102" t="s">
        <v>2694</v>
      </c>
      <c r="F19" s="220">
        <v>29340</v>
      </c>
      <c r="G19" s="102" t="s">
        <v>2695</v>
      </c>
      <c r="H19" s="221">
        <v>12.5</v>
      </c>
      <c r="I19" s="221">
        <v>36.5</v>
      </c>
      <c r="J19" s="221">
        <v>14.59</v>
      </c>
      <c r="K19" s="221">
        <f t="shared" si="0"/>
        <v>-2.09</v>
      </c>
      <c r="L19" s="93"/>
      <c r="O19"/>
      <c r="P19"/>
      <c r="Q19"/>
      <c r="R19"/>
      <c r="S19"/>
      <c r="T19"/>
      <c r="U19"/>
      <c r="V19"/>
      <c r="W19"/>
      <c r="Z19" s="60"/>
      <c r="AA19" s="60"/>
      <c r="AB19" s="60"/>
      <c r="AC19" s="60"/>
      <c r="AD19" s="60"/>
      <c r="AE19" s="60"/>
      <c r="AF19" s="60"/>
      <c r="AG19" s="60"/>
    </row>
    <row r="20" spans="1:35" ht="51" customHeight="1" x14ac:dyDescent="0.5">
      <c r="A20" s="102" t="s">
        <v>2710</v>
      </c>
      <c r="B20" s="102" t="s">
        <v>2711</v>
      </c>
      <c r="C20" s="102" t="s">
        <v>2914</v>
      </c>
      <c r="D20" s="102" t="s">
        <v>2893</v>
      </c>
      <c r="E20" s="102" t="s">
        <v>2694</v>
      </c>
      <c r="F20" s="220">
        <v>29348</v>
      </c>
      <c r="G20" s="102" t="s">
        <v>2695</v>
      </c>
      <c r="H20" s="221">
        <v>14.27</v>
      </c>
      <c r="I20" s="221">
        <v>34.24</v>
      </c>
      <c r="J20" s="221">
        <v>14.59</v>
      </c>
      <c r="K20" s="221">
        <f t="shared" si="0"/>
        <v>-0.32000000000000028</v>
      </c>
      <c r="L20" s="93"/>
      <c r="Z20" s="115" t="s">
        <v>2718</v>
      </c>
      <c r="AA20" s="59"/>
      <c r="AB20" s="115" t="s">
        <v>2719</v>
      </c>
      <c r="AC20" s="59"/>
      <c r="AD20" s="123" t="s">
        <v>2720</v>
      </c>
      <c r="AE20" s="59"/>
      <c r="AF20" s="123" t="s">
        <v>2721</v>
      </c>
      <c r="AG20" s="60"/>
    </row>
    <row r="21" spans="1:35" ht="15" customHeight="1" x14ac:dyDescent="0.5">
      <c r="A21" s="102" t="s">
        <v>2712</v>
      </c>
      <c r="B21" s="102" t="s">
        <v>2713</v>
      </c>
      <c r="C21" s="102" t="s">
        <v>2915</v>
      </c>
      <c r="D21" s="102" t="s">
        <v>2893</v>
      </c>
      <c r="E21" s="102" t="s">
        <v>2694</v>
      </c>
      <c r="F21" s="220">
        <v>29349</v>
      </c>
      <c r="G21" s="102" t="s">
        <v>2695</v>
      </c>
      <c r="H21" s="221">
        <v>13.75</v>
      </c>
      <c r="I21" s="221">
        <v>35.909999999999997</v>
      </c>
      <c r="J21" s="221">
        <v>14.59</v>
      </c>
      <c r="K21" s="221">
        <f t="shared" si="0"/>
        <v>-0.83999999999999986</v>
      </c>
      <c r="L21" s="93"/>
      <c r="Z21" s="222">
        <f>P17</f>
        <v>7.4848124447881705</v>
      </c>
      <c r="AA21" s="133" t="s">
        <v>1090</v>
      </c>
      <c r="AB21" s="60">
        <f>P18</f>
        <v>-0.48049562137893753</v>
      </c>
      <c r="AC21" s="60"/>
      <c r="AD21" s="140">
        <f>'1.11 Risk Premium Summary'!G18</f>
        <v>5.75</v>
      </c>
      <c r="AE21" s="133" t="s">
        <v>1090</v>
      </c>
      <c r="AF21" s="140">
        <f>AB21*AD21+Z21</f>
        <v>4.7219626218592801</v>
      </c>
      <c r="AG21" s="133" t="s">
        <v>1090</v>
      </c>
    </row>
    <row r="22" spans="1:35" ht="15" customHeight="1" x14ac:dyDescent="0.5">
      <c r="A22" s="102" t="s">
        <v>2714</v>
      </c>
      <c r="B22" s="102" t="s">
        <v>2916</v>
      </c>
      <c r="C22" s="102" t="s">
        <v>2917</v>
      </c>
      <c r="D22" s="102" t="s">
        <v>2893</v>
      </c>
      <c r="E22" s="102" t="s">
        <v>2694</v>
      </c>
      <c r="F22" s="220">
        <v>29360</v>
      </c>
      <c r="G22" s="102" t="s">
        <v>2695</v>
      </c>
      <c r="H22" s="221">
        <v>15.5</v>
      </c>
      <c r="I22" s="221">
        <v>44.87</v>
      </c>
      <c r="J22" s="221">
        <v>14.59</v>
      </c>
      <c r="K22" s="221">
        <f t="shared" si="0"/>
        <v>0.91000000000000014</v>
      </c>
      <c r="L22" s="93"/>
      <c r="Z22" s="60"/>
      <c r="AA22" s="60"/>
      <c r="AB22" s="60"/>
      <c r="AC22" s="60"/>
      <c r="AD22" s="60"/>
      <c r="AE22" s="60"/>
      <c r="AF22" s="60"/>
      <c r="AG22" s="60"/>
    </row>
    <row r="23" spans="1:35" ht="15" customHeight="1" x14ac:dyDescent="0.5">
      <c r="A23" s="102" t="s">
        <v>2715</v>
      </c>
      <c r="B23" s="102" t="s">
        <v>2716</v>
      </c>
      <c r="C23" s="102" t="s">
        <v>2918</v>
      </c>
      <c r="D23" s="102" t="s">
        <v>2893</v>
      </c>
      <c r="E23" s="102" t="s">
        <v>2694</v>
      </c>
      <c r="F23" s="220">
        <v>29368</v>
      </c>
      <c r="G23" s="102" t="s">
        <v>2695</v>
      </c>
      <c r="H23" s="221">
        <v>14.6</v>
      </c>
      <c r="I23" s="221">
        <v>35.799999999999997</v>
      </c>
      <c r="J23" s="221">
        <v>14.29</v>
      </c>
      <c r="K23" s="221">
        <f t="shared" si="0"/>
        <v>0.3100000000000005</v>
      </c>
      <c r="L23" s="93"/>
      <c r="Z23" s="60"/>
      <c r="AA23" s="60"/>
      <c r="AB23" s="60"/>
      <c r="AC23" s="60"/>
      <c r="AD23" s="60"/>
      <c r="AE23" s="60"/>
      <c r="AF23" s="60"/>
      <c r="AG23" s="60"/>
    </row>
    <row r="24" spans="1:35" ht="15" customHeight="1" x14ac:dyDescent="0.5">
      <c r="A24" s="102" t="s">
        <v>2717</v>
      </c>
      <c r="B24" s="102" t="s">
        <v>2627</v>
      </c>
      <c r="C24" s="102" t="s">
        <v>2919</v>
      </c>
      <c r="D24" s="102" t="s">
        <v>2893</v>
      </c>
      <c r="E24" s="102" t="s">
        <v>2694</v>
      </c>
      <c r="F24" s="220">
        <v>29370</v>
      </c>
      <c r="G24" s="102" t="s">
        <v>2695</v>
      </c>
      <c r="H24" s="221">
        <v>16</v>
      </c>
      <c r="I24" s="221">
        <v>37.21</v>
      </c>
      <c r="J24" s="221">
        <v>14.29</v>
      </c>
      <c r="K24" s="221">
        <f t="shared" si="0"/>
        <v>1.7100000000000009</v>
      </c>
      <c r="L24" s="93"/>
      <c r="Z24" s="60" t="s">
        <v>17</v>
      </c>
      <c r="AA24" s="60"/>
      <c r="AB24" s="60"/>
      <c r="AC24" s="60"/>
      <c r="AD24" s="60"/>
      <c r="AE24" s="60"/>
      <c r="AF24" s="60"/>
      <c r="AG24" s="60"/>
    </row>
    <row r="25" spans="1:35" ht="15" customHeight="1" x14ac:dyDescent="0.5">
      <c r="A25" s="102" t="s">
        <v>2698</v>
      </c>
      <c r="B25" s="102" t="s">
        <v>2722</v>
      </c>
      <c r="C25" s="102" t="s">
        <v>2920</v>
      </c>
      <c r="D25" s="102" t="s">
        <v>2893</v>
      </c>
      <c r="E25" s="102" t="s">
        <v>2694</v>
      </c>
      <c r="F25" s="220">
        <v>29382</v>
      </c>
      <c r="G25" s="102" t="s">
        <v>2695</v>
      </c>
      <c r="H25" s="221">
        <v>13.78</v>
      </c>
      <c r="I25" s="221">
        <v>38.5</v>
      </c>
      <c r="J25" s="221">
        <v>14.29</v>
      </c>
      <c r="K25" s="221">
        <f t="shared" si="0"/>
        <v>-0.50999999999999979</v>
      </c>
      <c r="L25" s="93"/>
      <c r="Z25" s="223" t="s">
        <v>1146</v>
      </c>
      <c r="AA25" s="81" t="s">
        <v>7110</v>
      </c>
      <c r="AI25" s="94"/>
    </row>
    <row r="26" spans="1:35" ht="15" customHeight="1" x14ac:dyDescent="0.5">
      <c r="A26" s="102" t="s">
        <v>2723</v>
      </c>
      <c r="B26" s="102" t="s">
        <v>2921</v>
      </c>
      <c r="C26" s="102" t="s">
        <v>2922</v>
      </c>
      <c r="D26" s="102" t="s">
        <v>2893</v>
      </c>
      <c r="E26" s="102" t="s">
        <v>2694</v>
      </c>
      <c r="F26" s="220">
        <v>29397</v>
      </c>
      <c r="G26" s="102" t="s">
        <v>2695</v>
      </c>
      <c r="H26" s="221">
        <v>14.25</v>
      </c>
      <c r="I26" s="221">
        <v>41.76</v>
      </c>
      <c r="J26" s="221">
        <v>12.74</v>
      </c>
      <c r="K26" s="221">
        <f t="shared" si="0"/>
        <v>1.5099999999999998</v>
      </c>
      <c r="L26" s="93"/>
    </row>
    <row r="27" spans="1:35" ht="15" customHeight="1" x14ac:dyDescent="0.5">
      <c r="A27" s="102" t="s">
        <v>2710</v>
      </c>
      <c r="B27" s="102" t="s">
        <v>2923</v>
      </c>
      <c r="C27" s="102" t="s">
        <v>2924</v>
      </c>
      <c r="D27" s="102" t="s">
        <v>2893</v>
      </c>
      <c r="E27" s="102" t="s">
        <v>2694</v>
      </c>
      <c r="F27" s="220">
        <v>29411</v>
      </c>
      <c r="G27" s="102" t="s">
        <v>2695</v>
      </c>
      <c r="H27" s="221">
        <v>14.51</v>
      </c>
      <c r="I27" s="221">
        <v>53.69</v>
      </c>
      <c r="J27" s="221">
        <v>12.74</v>
      </c>
      <c r="K27" s="221">
        <f t="shared" si="0"/>
        <v>1.7699999999999996</v>
      </c>
      <c r="L27" s="93"/>
      <c r="Z27" s="81" t="s">
        <v>2782</v>
      </c>
      <c r="AI27" s="94"/>
    </row>
    <row r="28" spans="1:35" ht="15" customHeight="1" x14ac:dyDescent="0.5">
      <c r="A28" s="102" t="s">
        <v>2724</v>
      </c>
      <c r="B28" s="102" t="s">
        <v>2925</v>
      </c>
      <c r="C28" s="102" t="s">
        <v>2926</v>
      </c>
      <c r="D28" s="102" t="s">
        <v>2893</v>
      </c>
      <c r="E28" s="102" t="s">
        <v>2694</v>
      </c>
      <c r="F28" s="220">
        <v>29419</v>
      </c>
      <c r="G28" s="102" t="s">
        <v>2695</v>
      </c>
      <c r="H28" s="221">
        <v>12.9</v>
      </c>
      <c r="I28" s="221">
        <v>42</v>
      </c>
      <c r="J28" s="221">
        <v>12.4</v>
      </c>
      <c r="K28" s="221">
        <f t="shared" si="0"/>
        <v>0.5</v>
      </c>
      <c r="L28" s="93"/>
    </row>
    <row r="29" spans="1:35" ht="30" x14ac:dyDescent="0.5">
      <c r="A29" s="102" t="s">
        <v>2704</v>
      </c>
      <c r="B29" s="102" t="s">
        <v>2927</v>
      </c>
      <c r="C29" s="102" t="s">
        <v>2928</v>
      </c>
      <c r="D29" s="102" t="s">
        <v>2893</v>
      </c>
      <c r="E29" s="102" t="s">
        <v>2694</v>
      </c>
      <c r="F29" s="220">
        <v>29420</v>
      </c>
      <c r="G29" s="102" t="s">
        <v>2695</v>
      </c>
      <c r="H29" s="221">
        <v>13.8</v>
      </c>
      <c r="I29" s="221">
        <v>39.9</v>
      </c>
      <c r="J29" s="221">
        <v>12.4</v>
      </c>
      <c r="K29" s="221">
        <f t="shared" si="0"/>
        <v>1.4000000000000004</v>
      </c>
      <c r="L29" s="93"/>
    </row>
    <row r="30" spans="1:35" ht="30" x14ac:dyDescent="0.5">
      <c r="A30" s="102" t="s">
        <v>2704</v>
      </c>
      <c r="B30" s="102" t="s">
        <v>2725</v>
      </c>
      <c r="C30" s="102" t="s">
        <v>2929</v>
      </c>
      <c r="D30" s="102" t="s">
        <v>2893</v>
      </c>
      <c r="E30" s="102" t="s">
        <v>2694</v>
      </c>
      <c r="F30" s="220">
        <v>29424</v>
      </c>
      <c r="G30" s="102" t="s">
        <v>2695</v>
      </c>
      <c r="H30" s="221">
        <v>14.1</v>
      </c>
      <c r="I30" s="221">
        <v>39.9</v>
      </c>
      <c r="J30" s="221">
        <v>12.4</v>
      </c>
      <c r="K30" s="221">
        <f t="shared" si="0"/>
        <v>1.6999999999999993</v>
      </c>
      <c r="L30" s="93"/>
    </row>
    <row r="31" spans="1:35" ht="30" x14ac:dyDescent="0.5">
      <c r="A31" s="102" t="s">
        <v>2706</v>
      </c>
      <c r="B31" s="102" t="s">
        <v>2906</v>
      </c>
      <c r="C31" s="102" t="s">
        <v>2930</v>
      </c>
      <c r="D31" s="102" t="s">
        <v>2893</v>
      </c>
      <c r="E31" s="102" t="s">
        <v>2694</v>
      </c>
      <c r="F31" s="220">
        <v>29425</v>
      </c>
      <c r="G31" s="102" t="s">
        <v>2695</v>
      </c>
      <c r="H31" s="221">
        <v>14.19</v>
      </c>
      <c r="I31" s="221">
        <v>32.51</v>
      </c>
      <c r="J31" s="221">
        <v>12.4</v>
      </c>
      <c r="K31" s="221">
        <f t="shared" si="0"/>
        <v>1.7899999999999991</v>
      </c>
      <c r="L31" s="93"/>
    </row>
    <row r="32" spans="1:35" ht="30" x14ac:dyDescent="0.5">
      <c r="A32" s="102" t="s">
        <v>2708</v>
      </c>
      <c r="B32" s="102" t="s">
        <v>2709</v>
      </c>
      <c r="C32" s="102" t="s">
        <v>2931</v>
      </c>
      <c r="D32" s="102" t="s">
        <v>2893</v>
      </c>
      <c r="E32" s="102" t="s">
        <v>2694</v>
      </c>
      <c r="F32" s="220">
        <v>29434</v>
      </c>
      <c r="G32" s="102" t="s">
        <v>2695</v>
      </c>
      <c r="H32" s="221">
        <v>12.5</v>
      </c>
      <c r="I32" s="221">
        <v>36.44</v>
      </c>
      <c r="J32" s="221">
        <v>12.4</v>
      </c>
      <c r="K32" s="221">
        <f t="shared" si="0"/>
        <v>9.9999999999999645E-2</v>
      </c>
      <c r="L32" s="93"/>
    </row>
    <row r="33" spans="1:24" ht="30" x14ac:dyDescent="0.5">
      <c r="A33" s="102" t="s">
        <v>2726</v>
      </c>
      <c r="B33" s="102" t="s">
        <v>2727</v>
      </c>
      <c r="C33" s="102" t="s">
        <v>2932</v>
      </c>
      <c r="D33" s="102" t="s">
        <v>2893</v>
      </c>
      <c r="E33" s="102" t="s">
        <v>2694</v>
      </c>
      <c r="F33" s="220">
        <v>29444</v>
      </c>
      <c r="G33" s="102" t="s">
        <v>2695</v>
      </c>
      <c r="H33" s="221">
        <v>14.85</v>
      </c>
      <c r="I33" s="221">
        <v>36.619999999999997</v>
      </c>
      <c r="J33" s="221">
        <v>12.4</v>
      </c>
      <c r="K33" s="221">
        <f t="shared" si="0"/>
        <v>2.4499999999999993</v>
      </c>
      <c r="L33" s="93"/>
    </row>
    <row r="34" spans="1:24" ht="30" x14ac:dyDescent="0.5">
      <c r="A34" s="102" t="s">
        <v>2696</v>
      </c>
      <c r="B34" s="102" t="s">
        <v>2910</v>
      </c>
      <c r="C34" s="102" t="s">
        <v>2933</v>
      </c>
      <c r="D34" s="102" t="s">
        <v>2893</v>
      </c>
      <c r="E34" s="102" t="s">
        <v>2694</v>
      </c>
      <c r="F34" s="220">
        <v>29461</v>
      </c>
      <c r="G34" s="102" t="s">
        <v>2695</v>
      </c>
      <c r="H34" s="221">
        <v>14</v>
      </c>
      <c r="I34" s="221">
        <v>44.5</v>
      </c>
      <c r="J34" s="221">
        <v>12.15</v>
      </c>
      <c r="K34" s="221">
        <f t="shared" si="0"/>
        <v>1.8499999999999996</v>
      </c>
      <c r="L34" s="93"/>
    </row>
    <row r="35" spans="1:24" ht="30" x14ac:dyDescent="0.5">
      <c r="A35" s="102" t="s">
        <v>2704</v>
      </c>
      <c r="B35" s="102" t="s">
        <v>2934</v>
      </c>
      <c r="C35" s="102" t="s">
        <v>2935</v>
      </c>
      <c r="D35" s="102" t="s">
        <v>2893</v>
      </c>
      <c r="E35" s="102" t="s">
        <v>2694</v>
      </c>
      <c r="F35" s="220">
        <v>29468</v>
      </c>
      <c r="G35" s="102" t="s">
        <v>2695</v>
      </c>
      <c r="H35" s="221">
        <v>14</v>
      </c>
      <c r="I35" s="221">
        <v>41.14</v>
      </c>
      <c r="J35" s="221">
        <v>12.15</v>
      </c>
      <c r="K35" s="221">
        <f t="shared" si="0"/>
        <v>1.8499999999999996</v>
      </c>
      <c r="L35" s="93"/>
    </row>
    <row r="36" spans="1:24" ht="30" x14ac:dyDescent="0.5">
      <c r="A36" s="102" t="s">
        <v>2728</v>
      </c>
      <c r="B36" s="102" t="s">
        <v>2729</v>
      </c>
      <c r="C36" s="102" t="s">
        <v>2936</v>
      </c>
      <c r="D36" s="102" t="s">
        <v>2893</v>
      </c>
      <c r="E36" s="102" t="s">
        <v>2694</v>
      </c>
      <c r="F36" s="220">
        <v>29488</v>
      </c>
      <c r="G36" s="102" t="s">
        <v>2695</v>
      </c>
      <c r="H36" s="221">
        <v>15</v>
      </c>
      <c r="I36" s="221">
        <v>36.43</v>
      </c>
      <c r="J36" s="221">
        <v>12.66</v>
      </c>
      <c r="K36" s="221">
        <f t="shared" si="0"/>
        <v>2.34</v>
      </c>
      <c r="L36" s="93"/>
    </row>
    <row r="37" spans="1:24" ht="30" x14ac:dyDescent="0.5">
      <c r="A37" s="102" t="s">
        <v>2723</v>
      </c>
      <c r="B37" s="102" t="s">
        <v>2730</v>
      </c>
      <c r="C37" s="102" t="s">
        <v>2937</v>
      </c>
      <c r="D37" s="102" t="s">
        <v>2893</v>
      </c>
      <c r="E37" s="102" t="s">
        <v>2694</v>
      </c>
      <c r="F37" s="220">
        <v>29503</v>
      </c>
      <c r="G37" s="102" t="s">
        <v>2695</v>
      </c>
      <c r="H37" s="221">
        <v>14.5</v>
      </c>
      <c r="I37" s="221">
        <v>35.119999999999997</v>
      </c>
      <c r="J37" s="221">
        <v>12.66</v>
      </c>
      <c r="K37" s="221">
        <f t="shared" si="0"/>
        <v>1.8399999999999999</v>
      </c>
      <c r="L37" s="93"/>
    </row>
    <row r="38" spans="1:24" ht="30" x14ac:dyDescent="0.5">
      <c r="A38" s="102" t="s">
        <v>2723</v>
      </c>
      <c r="B38" s="102" t="s">
        <v>2730</v>
      </c>
      <c r="C38" s="102" t="s">
        <v>2938</v>
      </c>
      <c r="D38" s="102" t="s">
        <v>2893</v>
      </c>
      <c r="E38" s="102" t="s">
        <v>2694</v>
      </c>
      <c r="F38" s="220">
        <v>29503</v>
      </c>
      <c r="G38" s="102" t="s">
        <v>2695</v>
      </c>
      <c r="H38" s="221">
        <v>14.5</v>
      </c>
      <c r="I38" s="221">
        <v>37.1</v>
      </c>
      <c r="J38" s="221">
        <v>12.66</v>
      </c>
      <c r="K38" s="221">
        <f t="shared" si="0"/>
        <v>1.8399999999999999</v>
      </c>
      <c r="L38" s="93"/>
    </row>
    <row r="39" spans="1:24" ht="30" x14ac:dyDescent="0.5">
      <c r="A39" s="102" t="s">
        <v>2731</v>
      </c>
      <c r="B39" s="102" t="s">
        <v>2939</v>
      </c>
      <c r="C39" s="102" t="s">
        <v>2940</v>
      </c>
      <c r="D39" s="102" t="s">
        <v>2893</v>
      </c>
      <c r="E39" s="102" t="s">
        <v>2694</v>
      </c>
      <c r="F39" s="220">
        <v>29521</v>
      </c>
      <c r="G39" s="102" t="s">
        <v>2695</v>
      </c>
      <c r="H39" s="221">
        <v>15.2</v>
      </c>
      <c r="I39" s="221">
        <v>34.68</v>
      </c>
      <c r="J39" s="221">
        <v>13.29</v>
      </c>
      <c r="K39" s="221">
        <f t="shared" si="0"/>
        <v>1.9100000000000001</v>
      </c>
      <c r="L39" s="93"/>
    </row>
    <row r="40" spans="1:24" ht="30" x14ac:dyDescent="0.55000000000000004">
      <c r="A40" s="102" t="s">
        <v>2731</v>
      </c>
      <c r="B40" s="102" t="s">
        <v>2939</v>
      </c>
      <c r="C40" s="102" t="s">
        <v>2941</v>
      </c>
      <c r="D40" s="102" t="s">
        <v>2893</v>
      </c>
      <c r="E40" s="102" t="s">
        <v>2694</v>
      </c>
      <c r="F40" s="220">
        <v>29521</v>
      </c>
      <c r="G40" s="102" t="s">
        <v>2695</v>
      </c>
      <c r="H40" s="221">
        <v>15.2</v>
      </c>
      <c r="I40" s="221">
        <v>34.68</v>
      </c>
      <c r="J40" s="221">
        <v>13.29</v>
      </c>
      <c r="K40" s="221">
        <f t="shared" si="0"/>
        <v>1.9100000000000001</v>
      </c>
      <c r="L40" s="93"/>
      <c r="N40" s="60"/>
      <c r="O40"/>
      <c r="P40"/>
      <c r="Q40"/>
      <c r="R40"/>
      <c r="S40"/>
      <c r="T40"/>
      <c r="U40"/>
      <c r="V40"/>
      <c r="W40"/>
      <c r="X40" s="60"/>
    </row>
    <row r="41" spans="1:24" ht="30" x14ac:dyDescent="0.5">
      <c r="A41" s="102" t="s">
        <v>2724</v>
      </c>
      <c r="B41" s="102" t="s">
        <v>2942</v>
      </c>
      <c r="C41" s="102" t="s">
        <v>2943</v>
      </c>
      <c r="D41" s="102" t="s">
        <v>2893</v>
      </c>
      <c r="E41" s="102" t="s">
        <v>2694</v>
      </c>
      <c r="F41" s="220">
        <v>29522</v>
      </c>
      <c r="G41" s="102" t="s">
        <v>2695</v>
      </c>
      <c r="H41" s="221">
        <v>13</v>
      </c>
      <c r="I41" s="221">
        <v>52</v>
      </c>
      <c r="J41" s="221">
        <v>13.29</v>
      </c>
      <c r="K41" s="221">
        <f t="shared" si="0"/>
        <v>-0.28999999999999915</v>
      </c>
      <c r="L41" s="93"/>
      <c r="N41" s="60"/>
      <c r="O41" s="60"/>
      <c r="P41" s="60"/>
      <c r="Q41" s="60"/>
      <c r="R41" s="60"/>
      <c r="S41" s="60"/>
      <c r="T41" s="60"/>
      <c r="U41" s="60"/>
      <c r="V41" s="60"/>
      <c r="W41" s="60"/>
      <c r="X41" s="60"/>
    </row>
    <row r="42" spans="1:24" ht="30" x14ac:dyDescent="0.5">
      <c r="A42" s="102" t="s">
        <v>2732</v>
      </c>
      <c r="B42" s="102" t="s">
        <v>2944</v>
      </c>
      <c r="C42" s="102" t="s">
        <v>2945</v>
      </c>
      <c r="D42" s="102" t="s">
        <v>2893</v>
      </c>
      <c r="E42" s="102" t="s">
        <v>2694</v>
      </c>
      <c r="F42" s="220">
        <v>29522</v>
      </c>
      <c r="G42" s="102" t="s">
        <v>2695</v>
      </c>
      <c r="H42" s="221">
        <v>12</v>
      </c>
      <c r="I42" s="221">
        <v>50.96</v>
      </c>
      <c r="J42" s="221">
        <v>13.29</v>
      </c>
      <c r="K42" s="221">
        <f t="shared" si="0"/>
        <v>-1.2899999999999991</v>
      </c>
      <c r="L42" s="93"/>
      <c r="O42" s="60"/>
      <c r="P42" s="60"/>
      <c r="Q42" s="60"/>
      <c r="R42" s="60"/>
      <c r="S42" s="60"/>
      <c r="T42" s="60"/>
      <c r="U42" s="60"/>
      <c r="V42" s="60"/>
      <c r="W42" s="60"/>
    </row>
    <row r="43" spans="1:24" ht="30" x14ac:dyDescent="0.5">
      <c r="A43" s="102" t="s">
        <v>2726</v>
      </c>
      <c r="B43" s="102" t="s">
        <v>2946</v>
      </c>
      <c r="C43" s="102" t="s">
        <v>2947</v>
      </c>
      <c r="D43" s="102" t="s">
        <v>2893</v>
      </c>
      <c r="E43" s="102" t="s">
        <v>2694</v>
      </c>
      <c r="F43" s="220">
        <v>29525</v>
      </c>
      <c r="G43" s="102" t="s">
        <v>2695</v>
      </c>
      <c r="H43" s="221">
        <v>14.5</v>
      </c>
      <c r="I43" s="221">
        <v>31.7</v>
      </c>
      <c r="J43" s="221">
        <v>13.29</v>
      </c>
      <c r="K43" s="221">
        <f t="shared" si="0"/>
        <v>1.2100000000000009</v>
      </c>
      <c r="L43" s="93"/>
      <c r="O43" s="60"/>
      <c r="P43" s="60"/>
      <c r="Q43" s="60"/>
      <c r="R43" s="60"/>
      <c r="S43" s="60"/>
      <c r="T43" s="60"/>
      <c r="U43" s="60"/>
      <c r="V43" s="60"/>
      <c r="W43" s="60"/>
    </row>
    <row r="44" spans="1:24" ht="30" x14ac:dyDescent="0.5">
      <c r="A44" s="102" t="s">
        <v>2731</v>
      </c>
      <c r="B44" s="102" t="s">
        <v>2733</v>
      </c>
      <c r="C44" s="102" t="s">
        <v>2948</v>
      </c>
      <c r="D44" s="102" t="s">
        <v>2893</v>
      </c>
      <c r="E44" s="102" t="s">
        <v>2694</v>
      </c>
      <c r="F44" s="220">
        <v>29529</v>
      </c>
      <c r="G44" s="102" t="s">
        <v>2695</v>
      </c>
      <c r="H44" s="221">
        <v>15</v>
      </c>
      <c r="I44" s="221">
        <v>37.35</v>
      </c>
      <c r="J44" s="221">
        <v>13.29</v>
      </c>
      <c r="K44" s="221">
        <f t="shared" si="0"/>
        <v>1.7100000000000009</v>
      </c>
      <c r="L44" s="93"/>
      <c r="O44" s="60"/>
      <c r="P44" s="60"/>
      <c r="Q44" s="60"/>
      <c r="R44" s="60"/>
      <c r="S44" s="60"/>
      <c r="T44" s="60"/>
      <c r="U44" s="60"/>
      <c r="V44" s="60"/>
      <c r="W44" s="60"/>
    </row>
    <row r="45" spans="1:24" ht="30" x14ac:dyDescent="0.5">
      <c r="A45" s="102" t="s">
        <v>2723</v>
      </c>
      <c r="B45" s="102" t="s">
        <v>2949</v>
      </c>
      <c r="C45" s="102" t="s">
        <v>2950</v>
      </c>
      <c r="D45" s="102" t="s">
        <v>2893</v>
      </c>
      <c r="E45" s="102" t="s">
        <v>2694</v>
      </c>
      <c r="F45" s="220">
        <v>29531</v>
      </c>
      <c r="G45" s="102" t="s">
        <v>2695</v>
      </c>
      <c r="H45" s="221">
        <v>14.35</v>
      </c>
      <c r="I45" s="221">
        <v>42.2</v>
      </c>
      <c r="J45" s="221">
        <v>13.29</v>
      </c>
      <c r="K45" s="221">
        <f t="shared" si="0"/>
        <v>1.0600000000000005</v>
      </c>
      <c r="L45" s="93"/>
      <c r="O45" s="60"/>
      <c r="P45" s="60"/>
      <c r="Q45" s="60"/>
      <c r="R45" s="60"/>
      <c r="S45" s="60"/>
      <c r="T45" s="60"/>
      <c r="U45" s="60"/>
      <c r="V45" s="60"/>
      <c r="W45" s="60"/>
    </row>
    <row r="46" spans="1:24" ht="30" x14ac:dyDescent="0.5">
      <c r="A46" s="102" t="s">
        <v>2734</v>
      </c>
      <c r="B46" s="102" t="s">
        <v>2895</v>
      </c>
      <c r="C46" s="102" t="s">
        <v>2951</v>
      </c>
      <c r="D46" s="102" t="s">
        <v>2893</v>
      </c>
      <c r="E46" s="102" t="s">
        <v>2694</v>
      </c>
      <c r="F46" s="220">
        <v>29535</v>
      </c>
      <c r="G46" s="102" t="s">
        <v>2695</v>
      </c>
      <c r="H46" s="221">
        <v>13.25</v>
      </c>
      <c r="I46" s="221">
        <v>40.1</v>
      </c>
      <c r="J46" s="221">
        <v>13.29</v>
      </c>
      <c r="K46" s="221">
        <f t="shared" si="0"/>
        <v>-3.9999999999999147E-2</v>
      </c>
      <c r="L46" s="93"/>
      <c r="O46" s="60"/>
      <c r="P46" s="60"/>
      <c r="Q46" s="60"/>
      <c r="R46" s="60"/>
      <c r="S46" s="60"/>
      <c r="T46" s="60"/>
      <c r="U46" s="60"/>
      <c r="V46" s="60"/>
      <c r="W46" s="60"/>
    </row>
    <row r="47" spans="1:24" ht="30" x14ac:dyDescent="0.5">
      <c r="A47" s="102" t="s">
        <v>2732</v>
      </c>
      <c r="B47" s="102" t="s">
        <v>2735</v>
      </c>
      <c r="C47" s="102" t="s">
        <v>2952</v>
      </c>
      <c r="D47" s="102" t="s">
        <v>2893</v>
      </c>
      <c r="E47" s="102" t="s">
        <v>2694</v>
      </c>
      <c r="F47" s="220">
        <v>29542</v>
      </c>
      <c r="G47" s="102" t="s">
        <v>2695</v>
      </c>
      <c r="H47" s="221">
        <v>15.5</v>
      </c>
      <c r="I47" s="221">
        <v>38.659999999999997</v>
      </c>
      <c r="J47" s="221">
        <v>13.54</v>
      </c>
      <c r="K47" s="221">
        <f t="shared" si="0"/>
        <v>1.9600000000000009</v>
      </c>
      <c r="L47" s="93"/>
      <c r="O47" s="95"/>
      <c r="P47" s="95"/>
      <c r="Q47" s="60"/>
      <c r="R47" s="60"/>
      <c r="S47" s="60"/>
      <c r="T47" s="60"/>
      <c r="U47" s="60"/>
      <c r="V47" s="60"/>
      <c r="W47" s="60"/>
    </row>
    <row r="48" spans="1:24" ht="30" x14ac:dyDescent="0.5">
      <c r="A48" s="102" t="s">
        <v>2736</v>
      </c>
      <c r="B48" s="102" t="s">
        <v>2737</v>
      </c>
      <c r="C48" s="102" t="s">
        <v>2953</v>
      </c>
      <c r="D48" s="102" t="s">
        <v>2893</v>
      </c>
      <c r="E48" s="102" t="s">
        <v>2694</v>
      </c>
      <c r="F48" s="220">
        <v>29544</v>
      </c>
      <c r="G48" s="102" t="s">
        <v>2695</v>
      </c>
      <c r="H48" s="221">
        <v>13.5</v>
      </c>
      <c r="I48" s="221">
        <v>34.270000000000003</v>
      </c>
      <c r="J48" s="221">
        <v>13.54</v>
      </c>
      <c r="K48" s="221">
        <f t="shared" si="0"/>
        <v>-3.9999999999999147E-2</v>
      </c>
      <c r="L48" s="93"/>
      <c r="O48" s="60"/>
      <c r="P48" s="60"/>
      <c r="Q48" s="60"/>
      <c r="R48" s="60"/>
      <c r="S48" s="60"/>
      <c r="T48" s="60"/>
      <c r="U48" s="60"/>
      <c r="V48" s="60"/>
      <c r="W48" s="60"/>
    </row>
    <row r="49" spans="1:23" ht="30" x14ac:dyDescent="0.5">
      <c r="A49" s="102" t="s">
        <v>2738</v>
      </c>
      <c r="B49" s="102" t="s">
        <v>2954</v>
      </c>
      <c r="C49" s="102" t="s">
        <v>2955</v>
      </c>
      <c r="D49" s="102" t="s">
        <v>2893</v>
      </c>
      <c r="E49" s="102" t="s">
        <v>2694</v>
      </c>
      <c r="F49" s="220">
        <v>29560</v>
      </c>
      <c r="G49" s="102" t="s">
        <v>2695</v>
      </c>
      <c r="H49" s="221">
        <v>14.6</v>
      </c>
      <c r="I49" s="221">
        <v>39.65</v>
      </c>
      <c r="J49" s="221">
        <v>13.54</v>
      </c>
      <c r="K49" s="221">
        <f t="shared" si="0"/>
        <v>1.0600000000000005</v>
      </c>
      <c r="L49" s="93"/>
      <c r="O49" s="60"/>
      <c r="P49" s="60"/>
      <c r="Q49" s="60"/>
      <c r="R49" s="60"/>
      <c r="S49" s="60"/>
      <c r="T49" s="60"/>
      <c r="U49" s="60"/>
      <c r="V49" s="60"/>
      <c r="W49" s="60"/>
    </row>
    <row r="50" spans="1:23" ht="30" x14ac:dyDescent="0.5">
      <c r="A50" s="102" t="s">
        <v>2739</v>
      </c>
      <c r="B50" s="102" t="s">
        <v>2956</v>
      </c>
      <c r="C50" s="102" t="s">
        <v>2957</v>
      </c>
      <c r="D50" s="102" t="s">
        <v>2893</v>
      </c>
      <c r="E50" s="102" t="s">
        <v>2694</v>
      </c>
      <c r="F50" s="220">
        <v>29563</v>
      </c>
      <c r="G50" s="102" t="s">
        <v>2695</v>
      </c>
      <c r="H50" s="221">
        <v>16.399999999999999</v>
      </c>
      <c r="I50" s="221">
        <v>49.1</v>
      </c>
      <c r="J50" s="221">
        <v>13.54</v>
      </c>
      <c r="K50" s="221">
        <f t="shared" si="0"/>
        <v>2.8599999999999994</v>
      </c>
      <c r="L50" s="93"/>
      <c r="O50" s="60"/>
      <c r="P50" s="60"/>
      <c r="Q50" s="60"/>
      <c r="R50" s="60"/>
      <c r="S50" s="60"/>
      <c r="T50" s="60"/>
      <c r="U50" s="60"/>
      <c r="V50" s="60"/>
      <c r="W50" s="60"/>
    </row>
    <row r="51" spans="1:23" ht="30" x14ac:dyDescent="0.5">
      <c r="A51" s="102" t="s">
        <v>2715</v>
      </c>
      <c r="B51" s="102" t="s">
        <v>2716</v>
      </c>
      <c r="C51" s="102" t="s">
        <v>2958</v>
      </c>
      <c r="D51" s="102" t="s">
        <v>2893</v>
      </c>
      <c r="E51" s="102" t="s">
        <v>2694</v>
      </c>
      <c r="F51" s="220">
        <v>29567</v>
      </c>
      <c r="G51" s="102" t="s">
        <v>2695</v>
      </c>
      <c r="H51" s="221">
        <v>15.45</v>
      </c>
      <c r="I51" s="221">
        <v>34.619999999999997</v>
      </c>
      <c r="J51" s="221">
        <v>13.54</v>
      </c>
      <c r="K51" s="221">
        <f t="shared" si="0"/>
        <v>1.9100000000000001</v>
      </c>
      <c r="L51" s="93"/>
      <c r="O51" s="60"/>
      <c r="P51" s="60"/>
      <c r="Q51" s="60"/>
      <c r="R51" s="60"/>
      <c r="S51" s="60"/>
      <c r="T51" s="60"/>
      <c r="U51" s="60"/>
      <c r="V51" s="60"/>
      <c r="W51" s="60"/>
    </row>
    <row r="52" spans="1:23" ht="30" x14ac:dyDescent="0.5">
      <c r="A52" s="102" t="s">
        <v>2693</v>
      </c>
      <c r="B52" s="102" t="s">
        <v>2959</v>
      </c>
      <c r="C52" s="102" t="s">
        <v>2960</v>
      </c>
      <c r="D52" s="102" t="s">
        <v>2893</v>
      </c>
      <c r="E52" s="102" t="s">
        <v>2694</v>
      </c>
      <c r="F52" s="220">
        <v>29572</v>
      </c>
      <c r="G52" s="102" t="s">
        <v>2695</v>
      </c>
      <c r="H52" s="221">
        <v>14.4</v>
      </c>
      <c r="I52" s="221">
        <v>39.5</v>
      </c>
      <c r="J52" s="221">
        <v>14.01</v>
      </c>
      <c r="K52" s="221">
        <f t="shared" si="0"/>
        <v>0.39000000000000057</v>
      </c>
      <c r="L52" s="93"/>
      <c r="O52" s="60"/>
      <c r="P52" s="60"/>
      <c r="Q52" s="60"/>
      <c r="R52" s="60"/>
      <c r="S52" s="60"/>
      <c r="T52" s="60"/>
      <c r="U52" s="60"/>
      <c r="V52" s="60"/>
      <c r="W52" s="60"/>
    </row>
    <row r="53" spans="1:23" ht="30" x14ac:dyDescent="0.5">
      <c r="A53" s="102" t="s">
        <v>2693</v>
      </c>
      <c r="B53" s="102" t="s">
        <v>2961</v>
      </c>
      <c r="C53" s="102" t="s">
        <v>2962</v>
      </c>
      <c r="D53" s="102" t="s">
        <v>2893</v>
      </c>
      <c r="E53" s="102" t="s">
        <v>2694</v>
      </c>
      <c r="F53" s="220">
        <v>29572</v>
      </c>
      <c r="G53" s="102" t="s">
        <v>2695</v>
      </c>
      <c r="H53" s="221">
        <v>14.2</v>
      </c>
      <c r="I53" s="221">
        <v>40.020000000000003</v>
      </c>
      <c r="J53" s="221">
        <v>14.01</v>
      </c>
      <c r="K53" s="221">
        <f t="shared" si="0"/>
        <v>0.1899999999999995</v>
      </c>
      <c r="L53" s="93"/>
      <c r="O53" s="60"/>
      <c r="P53" s="60"/>
      <c r="Q53" s="60"/>
      <c r="R53" s="60"/>
      <c r="S53" s="60"/>
      <c r="T53" s="60"/>
      <c r="U53" s="60"/>
      <c r="V53" s="60"/>
      <c r="W53" s="60"/>
    </row>
    <row r="54" spans="1:23" ht="30" x14ac:dyDescent="0.5">
      <c r="A54" s="102" t="s">
        <v>2702</v>
      </c>
      <c r="B54" s="102" t="s">
        <v>2903</v>
      </c>
      <c r="C54" s="102" t="s">
        <v>2963</v>
      </c>
      <c r="D54" s="102" t="s">
        <v>2893</v>
      </c>
      <c r="E54" s="102" t="s">
        <v>2694</v>
      </c>
      <c r="F54" s="220">
        <v>29573</v>
      </c>
      <c r="G54" s="102" t="s">
        <v>2695</v>
      </c>
      <c r="H54" s="221">
        <v>14</v>
      </c>
      <c r="I54" s="221">
        <v>42.2</v>
      </c>
      <c r="J54" s="221">
        <v>14.01</v>
      </c>
      <c r="K54" s="221">
        <f t="shared" si="0"/>
        <v>-9.9999999999997868E-3</v>
      </c>
      <c r="L54" s="93"/>
      <c r="O54" s="60"/>
      <c r="P54" s="60"/>
      <c r="Q54" s="60"/>
      <c r="R54" s="60"/>
      <c r="S54" s="60"/>
      <c r="T54" s="60"/>
      <c r="U54" s="60"/>
      <c r="V54" s="60"/>
      <c r="W54" s="60"/>
    </row>
    <row r="55" spans="1:23" ht="30" x14ac:dyDescent="0.5">
      <c r="A55" s="102" t="s">
        <v>2740</v>
      </c>
      <c r="B55" s="102" t="s">
        <v>2964</v>
      </c>
      <c r="C55" s="102" t="s">
        <v>2965</v>
      </c>
      <c r="D55" s="102" t="s">
        <v>2893</v>
      </c>
      <c r="E55" s="102" t="s">
        <v>2694</v>
      </c>
      <c r="F55" s="220">
        <v>29577</v>
      </c>
      <c r="G55" s="102" t="s">
        <v>2695</v>
      </c>
      <c r="H55" s="221">
        <v>13.45</v>
      </c>
      <c r="I55" s="221">
        <v>39.46</v>
      </c>
      <c r="J55" s="221">
        <v>14.01</v>
      </c>
      <c r="K55" s="221">
        <f t="shared" si="0"/>
        <v>-0.5600000000000005</v>
      </c>
      <c r="L55" s="93"/>
      <c r="O55" s="96"/>
      <c r="P55" s="96"/>
      <c r="Q55" s="96"/>
      <c r="R55" s="96"/>
      <c r="S55" s="96"/>
      <c r="T55" s="96"/>
      <c r="U55" s="60"/>
      <c r="V55" s="60"/>
      <c r="W55" s="60"/>
    </row>
    <row r="56" spans="1:23" ht="30" x14ac:dyDescent="0.5">
      <c r="A56" s="102" t="s">
        <v>2704</v>
      </c>
      <c r="B56" s="102" t="s">
        <v>2910</v>
      </c>
      <c r="C56" s="102" t="s">
        <v>2966</v>
      </c>
      <c r="D56" s="102" t="s">
        <v>2893</v>
      </c>
      <c r="E56" s="102" t="s">
        <v>2694</v>
      </c>
      <c r="F56" s="220">
        <v>29581</v>
      </c>
      <c r="G56" s="102" t="s">
        <v>2695</v>
      </c>
      <c r="H56" s="221">
        <v>14</v>
      </c>
      <c r="I56" s="221">
        <v>42.6</v>
      </c>
      <c r="J56" s="221">
        <v>14.01</v>
      </c>
      <c r="K56" s="221">
        <f t="shared" si="0"/>
        <v>-9.9999999999997868E-3</v>
      </c>
      <c r="L56" s="93"/>
      <c r="O56" s="60"/>
      <c r="P56" s="60"/>
      <c r="Q56" s="60"/>
      <c r="R56" s="60"/>
      <c r="S56" s="60"/>
      <c r="T56" s="60"/>
      <c r="U56" s="60"/>
      <c r="V56" s="60"/>
      <c r="W56" s="60"/>
    </row>
    <row r="57" spans="1:23" ht="30" x14ac:dyDescent="0.5">
      <c r="A57" s="102" t="s">
        <v>2738</v>
      </c>
      <c r="B57" s="102" t="s">
        <v>2741</v>
      </c>
      <c r="C57" s="102" t="s">
        <v>2967</v>
      </c>
      <c r="D57" s="102" t="s">
        <v>2893</v>
      </c>
      <c r="E57" s="102" t="s">
        <v>2694</v>
      </c>
      <c r="F57" s="220">
        <v>29585</v>
      </c>
      <c r="G57" s="102" t="s">
        <v>2695</v>
      </c>
      <c r="H57" s="221">
        <v>14.5</v>
      </c>
      <c r="I57" s="221">
        <v>36.25</v>
      </c>
      <c r="J57" s="221">
        <v>14.01</v>
      </c>
      <c r="K57" s="221">
        <f t="shared" si="0"/>
        <v>0.49000000000000021</v>
      </c>
      <c r="L57" s="93"/>
      <c r="O57" s="60"/>
      <c r="P57" s="60"/>
      <c r="Q57" s="60"/>
      <c r="R57" s="60"/>
      <c r="S57" s="60"/>
      <c r="T57" s="60"/>
      <c r="U57" s="60"/>
      <c r="V57" s="60"/>
      <c r="W57" s="60"/>
    </row>
    <row r="58" spans="1:23" ht="30" x14ac:dyDescent="0.5">
      <c r="A58" s="102" t="s">
        <v>2693</v>
      </c>
      <c r="B58" s="102" t="s">
        <v>2742</v>
      </c>
      <c r="C58" s="102" t="s">
        <v>2968</v>
      </c>
      <c r="D58" s="102" t="s">
        <v>2893</v>
      </c>
      <c r="E58" s="102" t="s">
        <v>2694</v>
      </c>
      <c r="F58" s="220">
        <v>29593</v>
      </c>
      <c r="G58" s="102" t="s">
        <v>2695</v>
      </c>
      <c r="H58" s="221">
        <v>14.3</v>
      </c>
      <c r="I58" s="221">
        <v>35.56</v>
      </c>
      <c r="J58" s="221">
        <v>14.01</v>
      </c>
      <c r="K58" s="221">
        <f t="shared" si="0"/>
        <v>0.29000000000000092</v>
      </c>
      <c r="L58" s="93"/>
      <c r="O58" s="60"/>
      <c r="P58" s="60"/>
      <c r="Q58" s="60"/>
      <c r="R58" s="60"/>
      <c r="S58" s="60"/>
      <c r="T58" s="60"/>
      <c r="U58" s="60"/>
      <c r="V58" s="60"/>
      <c r="W58" s="60"/>
    </row>
    <row r="59" spans="1:23" ht="30" x14ac:dyDescent="0.5">
      <c r="A59" s="102" t="s">
        <v>2743</v>
      </c>
      <c r="B59" s="102" t="s">
        <v>2969</v>
      </c>
      <c r="C59" s="102" t="s">
        <v>2970</v>
      </c>
      <c r="D59" s="102" t="s">
        <v>2893</v>
      </c>
      <c r="E59" s="102" t="s">
        <v>2694</v>
      </c>
      <c r="F59" s="220">
        <v>29598</v>
      </c>
      <c r="G59" s="102" t="s">
        <v>2695</v>
      </c>
      <c r="H59" s="221">
        <v>14.95</v>
      </c>
      <c r="I59" s="221">
        <v>37.590000000000003</v>
      </c>
      <c r="J59" s="221">
        <v>14.01</v>
      </c>
      <c r="K59" s="221">
        <f t="shared" si="0"/>
        <v>0.9399999999999995</v>
      </c>
      <c r="L59" s="93"/>
      <c r="O59" s="60"/>
      <c r="P59" s="60"/>
      <c r="Q59" s="60"/>
      <c r="R59" s="60"/>
      <c r="S59" s="60"/>
      <c r="T59" s="60"/>
      <c r="U59" s="60"/>
      <c r="V59" s="60"/>
      <c r="W59" s="60"/>
    </row>
    <row r="60" spans="1:23" ht="30" x14ac:dyDescent="0.5">
      <c r="A60" s="102" t="s">
        <v>2736</v>
      </c>
      <c r="B60" s="102" t="s">
        <v>2727</v>
      </c>
      <c r="C60" s="102" t="s">
        <v>2971</v>
      </c>
      <c r="D60" s="102" t="s">
        <v>2893</v>
      </c>
      <c r="E60" s="102" t="s">
        <v>2694</v>
      </c>
      <c r="F60" s="220">
        <v>29612</v>
      </c>
      <c r="G60" s="102" t="s">
        <v>2695</v>
      </c>
      <c r="H60" s="221">
        <v>15.25</v>
      </c>
      <c r="I60" s="221">
        <v>36.020000000000003</v>
      </c>
      <c r="J60" s="221">
        <v>14.66</v>
      </c>
      <c r="K60" s="221">
        <f t="shared" si="0"/>
        <v>0.58999999999999986</v>
      </c>
      <c r="L60" s="93"/>
      <c r="O60" s="96"/>
      <c r="P60" s="96"/>
      <c r="Q60" s="96"/>
      <c r="R60" s="96"/>
      <c r="S60" s="96"/>
      <c r="T60" s="96"/>
      <c r="U60" s="96"/>
      <c r="V60" s="96"/>
      <c r="W60" s="96"/>
    </row>
    <row r="61" spans="1:23" ht="30" x14ac:dyDescent="0.5">
      <c r="A61" s="102" t="s">
        <v>2744</v>
      </c>
      <c r="B61" s="102" t="s">
        <v>2972</v>
      </c>
      <c r="C61" s="102" t="s">
        <v>2973</v>
      </c>
      <c r="D61" s="102" t="s">
        <v>2893</v>
      </c>
      <c r="E61" s="102" t="s">
        <v>2694</v>
      </c>
      <c r="F61" s="220">
        <v>29616</v>
      </c>
      <c r="G61" s="102" t="s">
        <v>2695</v>
      </c>
      <c r="H61" s="221">
        <v>13.25</v>
      </c>
      <c r="I61" s="221">
        <v>34.4</v>
      </c>
      <c r="J61" s="221">
        <v>14.66</v>
      </c>
      <c r="K61" s="221">
        <f t="shared" si="0"/>
        <v>-1.4100000000000001</v>
      </c>
      <c r="L61" s="93"/>
      <c r="O61" s="60"/>
      <c r="P61" s="60"/>
      <c r="Q61" s="60"/>
      <c r="R61" s="60"/>
      <c r="S61" s="60"/>
      <c r="T61" s="60"/>
      <c r="U61" s="60"/>
      <c r="V61" s="60"/>
      <c r="W61" s="60"/>
    </row>
    <row r="62" spans="1:23" ht="30" x14ac:dyDescent="0.5">
      <c r="A62" s="102" t="s">
        <v>2701</v>
      </c>
      <c r="B62" s="102" t="s">
        <v>2900</v>
      </c>
      <c r="C62" s="102" t="s">
        <v>2974</v>
      </c>
      <c r="D62" s="102" t="s">
        <v>2893</v>
      </c>
      <c r="E62" s="102" t="s">
        <v>2694</v>
      </c>
      <c r="F62" s="220">
        <v>29628</v>
      </c>
      <c r="G62" s="102" t="s">
        <v>2695</v>
      </c>
      <c r="H62" s="221">
        <v>14.5</v>
      </c>
      <c r="I62" s="221">
        <v>48.94</v>
      </c>
      <c r="J62" s="221">
        <v>14.66</v>
      </c>
      <c r="K62" s="221">
        <f t="shared" si="0"/>
        <v>-0.16000000000000014</v>
      </c>
      <c r="L62" s="93"/>
      <c r="O62" s="60"/>
      <c r="P62" s="60"/>
      <c r="Q62" s="60"/>
      <c r="R62" s="60"/>
      <c r="S62" s="60"/>
      <c r="T62" s="60"/>
      <c r="U62" s="60"/>
      <c r="V62" s="60"/>
      <c r="W62" s="60"/>
    </row>
    <row r="63" spans="1:23" ht="30" x14ac:dyDescent="0.5">
      <c r="A63" s="102" t="s">
        <v>2701</v>
      </c>
      <c r="B63" s="102" t="s">
        <v>2975</v>
      </c>
      <c r="C63" s="102" t="s">
        <v>2976</v>
      </c>
      <c r="D63" s="102" t="s">
        <v>2893</v>
      </c>
      <c r="E63" s="102" t="s">
        <v>2694</v>
      </c>
      <c r="F63" s="220">
        <v>29637</v>
      </c>
      <c r="G63" s="102" t="s">
        <v>2695</v>
      </c>
      <c r="H63" s="221">
        <v>14.5</v>
      </c>
      <c r="I63" s="221">
        <v>55.03</v>
      </c>
      <c r="J63" s="221">
        <v>14.27</v>
      </c>
      <c r="K63" s="221">
        <f t="shared" si="0"/>
        <v>0.23000000000000043</v>
      </c>
      <c r="L63" s="93"/>
      <c r="O63" s="60"/>
      <c r="P63" s="60"/>
      <c r="Q63" s="60"/>
      <c r="R63" s="60"/>
      <c r="S63" s="60"/>
      <c r="T63" s="60"/>
      <c r="U63" s="60"/>
      <c r="V63" s="60"/>
      <c r="W63" s="60"/>
    </row>
    <row r="64" spans="1:23" ht="30" x14ac:dyDescent="0.5">
      <c r="A64" s="102" t="s">
        <v>2704</v>
      </c>
      <c r="B64" s="102" t="s">
        <v>2705</v>
      </c>
      <c r="C64" s="102" t="s">
        <v>2977</v>
      </c>
      <c r="D64" s="102" t="s">
        <v>2893</v>
      </c>
      <c r="E64" s="102" t="s">
        <v>2694</v>
      </c>
      <c r="F64" s="220">
        <v>29657</v>
      </c>
      <c r="G64" s="102" t="s">
        <v>2695</v>
      </c>
      <c r="H64" s="221">
        <v>15.65</v>
      </c>
      <c r="I64" s="221">
        <v>39.5</v>
      </c>
      <c r="J64" s="221">
        <v>14.27</v>
      </c>
      <c r="K64" s="221">
        <f t="shared" si="0"/>
        <v>1.3800000000000008</v>
      </c>
      <c r="L64" s="93"/>
      <c r="O64" s="60"/>
      <c r="P64" s="60"/>
      <c r="Q64" s="60"/>
      <c r="R64" s="60"/>
      <c r="S64" s="60"/>
      <c r="T64" s="60"/>
      <c r="U64" s="60"/>
      <c r="V64" s="60"/>
      <c r="W64" s="60"/>
    </row>
    <row r="65" spans="1:23" ht="30" x14ac:dyDescent="0.5">
      <c r="A65" s="102" t="s">
        <v>2693</v>
      </c>
      <c r="B65" s="102" t="s">
        <v>2742</v>
      </c>
      <c r="C65" s="102" t="s">
        <v>2978</v>
      </c>
      <c r="D65" s="102" t="s">
        <v>2893</v>
      </c>
      <c r="E65" s="102" t="s">
        <v>2694</v>
      </c>
      <c r="F65" s="220">
        <v>29670</v>
      </c>
      <c r="G65" s="102" t="s">
        <v>2695</v>
      </c>
      <c r="H65" s="221">
        <v>15.3</v>
      </c>
      <c r="I65" s="221">
        <v>37.6</v>
      </c>
      <c r="J65" s="221">
        <v>14.68</v>
      </c>
      <c r="K65" s="221">
        <f t="shared" si="0"/>
        <v>0.62000000000000099</v>
      </c>
      <c r="L65" s="93"/>
      <c r="O65" s="60"/>
      <c r="P65" s="60"/>
      <c r="Q65" s="60"/>
      <c r="R65" s="60"/>
      <c r="S65" s="60"/>
      <c r="T65" s="60"/>
      <c r="U65" s="60"/>
      <c r="V65" s="60"/>
      <c r="W65" s="60"/>
    </row>
    <row r="66" spans="1:23" ht="30" x14ac:dyDescent="0.5">
      <c r="A66" s="102" t="s">
        <v>2732</v>
      </c>
      <c r="B66" s="102" t="s">
        <v>2745</v>
      </c>
      <c r="C66" s="102" t="s">
        <v>2979</v>
      </c>
      <c r="D66" s="102" t="s">
        <v>2893</v>
      </c>
      <c r="E66" s="102" t="s">
        <v>2694</v>
      </c>
      <c r="F66" s="220">
        <v>29685</v>
      </c>
      <c r="G66" s="102" t="s">
        <v>2695</v>
      </c>
      <c r="H66" s="221">
        <v>15</v>
      </c>
      <c r="I66" s="221">
        <v>30.16</v>
      </c>
      <c r="J66" s="221">
        <v>14.68</v>
      </c>
      <c r="K66" s="221">
        <f t="shared" si="0"/>
        <v>0.32000000000000028</v>
      </c>
      <c r="L66" s="93"/>
    </row>
    <row r="67" spans="1:23" ht="30" x14ac:dyDescent="0.5">
      <c r="A67" s="102" t="s">
        <v>2736</v>
      </c>
      <c r="B67" s="102" t="s">
        <v>2980</v>
      </c>
      <c r="C67" s="102" t="s">
        <v>2981</v>
      </c>
      <c r="D67" s="102" t="s">
        <v>2893</v>
      </c>
      <c r="E67" s="102" t="s">
        <v>2694</v>
      </c>
      <c r="F67" s="220">
        <v>29705</v>
      </c>
      <c r="G67" s="102" t="s">
        <v>2695</v>
      </c>
      <c r="H67" s="221">
        <v>14.25</v>
      </c>
      <c r="I67" s="221">
        <v>37.17</v>
      </c>
      <c r="J67" s="221">
        <v>15.13</v>
      </c>
      <c r="K67" s="221">
        <f t="shared" si="0"/>
        <v>-0.88000000000000078</v>
      </c>
      <c r="L67" s="93"/>
    </row>
    <row r="68" spans="1:23" ht="30" x14ac:dyDescent="0.5">
      <c r="A68" s="102" t="s">
        <v>2740</v>
      </c>
      <c r="B68" s="102" t="s">
        <v>2746</v>
      </c>
      <c r="C68" s="102" t="s">
        <v>2982</v>
      </c>
      <c r="D68" s="102" t="s">
        <v>2893</v>
      </c>
      <c r="E68" s="102" t="s">
        <v>2694</v>
      </c>
      <c r="F68" s="220">
        <v>29705</v>
      </c>
      <c r="G68" s="102" t="s">
        <v>2695</v>
      </c>
      <c r="H68" s="221">
        <v>13.5</v>
      </c>
      <c r="I68" s="221">
        <v>46.11</v>
      </c>
      <c r="J68" s="221">
        <v>15.13</v>
      </c>
      <c r="K68" s="221">
        <f t="shared" si="0"/>
        <v>-1.6300000000000008</v>
      </c>
      <c r="L68" s="93"/>
    </row>
    <row r="69" spans="1:23" ht="30" x14ac:dyDescent="0.5">
      <c r="A69" s="102" t="s">
        <v>2717</v>
      </c>
      <c r="B69" s="102" t="s">
        <v>2939</v>
      </c>
      <c r="C69" s="102" t="s">
        <v>2983</v>
      </c>
      <c r="D69" s="102" t="s">
        <v>2893</v>
      </c>
      <c r="E69" s="102" t="s">
        <v>2694</v>
      </c>
      <c r="F69" s="220">
        <v>29706</v>
      </c>
      <c r="G69" s="102" t="s">
        <v>2695</v>
      </c>
      <c r="H69" s="221">
        <v>15</v>
      </c>
      <c r="I69" s="221" t="s">
        <v>14</v>
      </c>
      <c r="J69" s="221">
        <v>15.13</v>
      </c>
      <c r="K69" s="221">
        <f t="shared" si="0"/>
        <v>-0.13000000000000078</v>
      </c>
      <c r="L69" s="93"/>
    </row>
    <row r="70" spans="1:23" ht="30" x14ac:dyDescent="0.5">
      <c r="A70" s="102" t="s">
        <v>2708</v>
      </c>
      <c r="B70" s="102" t="s">
        <v>2747</v>
      </c>
      <c r="C70" s="102" t="s">
        <v>2984</v>
      </c>
      <c r="D70" s="102" t="s">
        <v>2893</v>
      </c>
      <c r="E70" s="102" t="s">
        <v>2694</v>
      </c>
      <c r="F70" s="220">
        <v>29706</v>
      </c>
      <c r="G70" s="102" t="s">
        <v>2695</v>
      </c>
      <c r="H70" s="221">
        <v>13.6</v>
      </c>
      <c r="I70" s="221">
        <v>34.56</v>
      </c>
      <c r="J70" s="221">
        <v>15.13</v>
      </c>
      <c r="K70" s="221">
        <f t="shared" si="0"/>
        <v>-1.5300000000000011</v>
      </c>
      <c r="L70" s="93"/>
    </row>
    <row r="71" spans="1:23" ht="30" x14ac:dyDescent="0.5">
      <c r="A71" s="102" t="s">
        <v>2702</v>
      </c>
      <c r="B71" s="102" t="s">
        <v>2748</v>
      </c>
      <c r="C71" s="102" t="s">
        <v>2985</v>
      </c>
      <c r="D71" s="102" t="s">
        <v>2893</v>
      </c>
      <c r="E71" s="102" t="s">
        <v>2694</v>
      </c>
      <c r="F71" s="220">
        <v>29727</v>
      </c>
      <c r="G71" s="102" t="s">
        <v>2695</v>
      </c>
      <c r="H71" s="221">
        <v>14</v>
      </c>
      <c r="I71" s="221">
        <v>38.200000000000003</v>
      </c>
      <c r="J71" s="221">
        <v>15.25</v>
      </c>
      <c r="K71" s="221">
        <f t="shared" ref="K71:K134" si="1">H71-J71</f>
        <v>-1.25</v>
      </c>
      <c r="L71" s="93"/>
    </row>
    <row r="72" spans="1:23" ht="30" x14ac:dyDescent="0.5">
      <c r="A72" s="102" t="s">
        <v>2693</v>
      </c>
      <c r="B72" s="102" t="s">
        <v>2709</v>
      </c>
      <c r="C72" s="102" t="s">
        <v>2986</v>
      </c>
      <c r="D72" s="102" t="s">
        <v>2893</v>
      </c>
      <c r="E72" s="102" t="s">
        <v>2694</v>
      </c>
      <c r="F72" s="220">
        <v>29740</v>
      </c>
      <c r="G72" s="102" t="s">
        <v>2695</v>
      </c>
      <c r="H72" s="221">
        <v>14.67</v>
      </c>
      <c r="I72" s="221">
        <v>35.799999999999997</v>
      </c>
      <c r="J72" s="221">
        <v>15.25</v>
      </c>
      <c r="K72" s="221">
        <f t="shared" si="1"/>
        <v>-0.58000000000000007</v>
      </c>
      <c r="L72" s="93"/>
    </row>
    <row r="73" spans="1:23" ht="30" x14ac:dyDescent="0.5">
      <c r="A73" s="102" t="s">
        <v>2714</v>
      </c>
      <c r="B73" s="102" t="s">
        <v>2916</v>
      </c>
      <c r="C73" s="102" t="s">
        <v>2987</v>
      </c>
      <c r="D73" s="102" t="s">
        <v>2893</v>
      </c>
      <c r="E73" s="102" t="s">
        <v>2694</v>
      </c>
      <c r="F73" s="220">
        <v>29759</v>
      </c>
      <c r="G73" s="102" t="s">
        <v>2695</v>
      </c>
      <c r="H73" s="221">
        <v>16</v>
      </c>
      <c r="I73" s="221">
        <v>35.520000000000003</v>
      </c>
      <c r="J73" s="221">
        <v>16.12</v>
      </c>
      <c r="K73" s="221">
        <f t="shared" si="1"/>
        <v>-0.12000000000000099</v>
      </c>
      <c r="L73" s="93"/>
    </row>
    <row r="74" spans="1:23" ht="30" x14ac:dyDescent="0.5">
      <c r="A74" s="102" t="s">
        <v>2702</v>
      </c>
      <c r="B74" s="102" t="s">
        <v>2749</v>
      </c>
      <c r="C74" s="102" t="s">
        <v>2988</v>
      </c>
      <c r="D74" s="102" t="s">
        <v>2893</v>
      </c>
      <c r="E74" s="102" t="s">
        <v>2694</v>
      </c>
      <c r="F74" s="220">
        <v>29762</v>
      </c>
      <c r="G74" s="102" t="s">
        <v>2695</v>
      </c>
      <c r="H74" s="221">
        <v>14.75</v>
      </c>
      <c r="I74" s="221">
        <v>39.4</v>
      </c>
      <c r="J74" s="221">
        <v>16.12</v>
      </c>
      <c r="K74" s="221">
        <f t="shared" si="1"/>
        <v>-1.370000000000001</v>
      </c>
      <c r="L74" s="93"/>
    </row>
    <row r="75" spans="1:23" ht="30" x14ac:dyDescent="0.5">
      <c r="A75" s="102" t="s">
        <v>2989</v>
      </c>
      <c r="B75" s="102" t="s">
        <v>2874</v>
      </c>
      <c r="C75" s="102" t="s">
        <v>2990</v>
      </c>
      <c r="D75" s="102" t="s">
        <v>2893</v>
      </c>
      <c r="E75" s="102" t="s">
        <v>2694</v>
      </c>
      <c r="F75" s="220">
        <v>29769</v>
      </c>
      <c r="G75" s="102" t="s">
        <v>2695</v>
      </c>
      <c r="H75" s="221">
        <v>14</v>
      </c>
      <c r="I75" s="221">
        <v>37.19</v>
      </c>
      <c r="J75" s="221">
        <v>16.12</v>
      </c>
      <c r="K75" s="221">
        <f t="shared" si="1"/>
        <v>-2.120000000000001</v>
      </c>
      <c r="L75" s="93"/>
    </row>
    <row r="76" spans="1:23" ht="30" x14ac:dyDescent="0.5">
      <c r="A76" s="102" t="s">
        <v>2704</v>
      </c>
      <c r="B76" s="102" t="s">
        <v>2927</v>
      </c>
      <c r="C76" s="102" t="s">
        <v>2991</v>
      </c>
      <c r="D76" s="102" t="s">
        <v>2893</v>
      </c>
      <c r="E76" s="102" t="s">
        <v>2694</v>
      </c>
      <c r="F76" s="220">
        <v>29777</v>
      </c>
      <c r="G76" s="102" t="s">
        <v>2695</v>
      </c>
      <c r="H76" s="221">
        <v>16</v>
      </c>
      <c r="I76" s="221">
        <v>40.15</v>
      </c>
      <c r="J76" s="221">
        <v>16.12</v>
      </c>
      <c r="K76" s="221">
        <f t="shared" si="1"/>
        <v>-0.12000000000000099</v>
      </c>
      <c r="L76" s="93"/>
    </row>
    <row r="77" spans="1:23" ht="30" x14ac:dyDescent="0.5">
      <c r="A77" s="102" t="s">
        <v>2704</v>
      </c>
      <c r="B77" s="102" t="s">
        <v>2750</v>
      </c>
      <c r="C77" s="102" t="s">
        <v>2992</v>
      </c>
      <c r="D77" s="102" t="s">
        <v>2893</v>
      </c>
      <c r="E77" s="102" t="s">
        <v>2694</v>
      </c>
      <c r="F77" s="220">
        <v>29781</v>
      </c>
      <c r="G77" s="102" t="s">
        <v>2695</v>
      </c>
      <c r="H77" s="221">
        <v>16.899999999999999</v>
      </c>
      <c r="I77" s="221">
        <v>38.04</v>
      </c>
      <c r="J77" s="221">
        <v>16.12</v>
      </c>
      <c r="K77" s="221">
        <f t="shared" si="1"/>
        <v>0.77999999999999758</v>
      </c>
      <c r="L77" s="93"/>
    </row>
    <row r="78" spans="1:23" ht="30" x14ac:dyDescent="0.5">
      <c r="A78" s="102" t="s">
        <v>2751</v>
      </c>
      <c r="B78" s="102" t="s">
        <v>2993</v>
      </c>
      <c r="C78" s="102" t="s">
        <v>2994</v>
      </c>
      <c r="D78" s="102" t="s">
        <v>2893</v>
      </c>
      <c r="E78" s="102" t="s">
        <v>2694</v>
      </c>
      <c r="F78" s="220">
        <v>29788</v>
      </c>
      <c r="G78" s="102" t="s">
        <v>2695</v>
      </c>
      <c r="H78" s="221">
        <v>15.78</v>
      </c>
      <c r="I78" s="221">
        <v>54</v>
      </c>
      <c r="J78" s="221">
        <v>15.79</v>
      </c>
      <c r="K78" s="221">
        <f t="shared" si="1"/>
        <v>-9.9999999999997868E-3</v>
      </c>
      <c r="L78" s="93"/>
    </row>
    <row r="79" spans="1:23" ht="30" x14ac:dyDescent="0.5">
      <c r="A79" s="102" t="s">
        <v>2752</v>
      </c>
      <c r="B79" s="102" t="s">
        <v>2753</v>
      </c>
      <c r="C79" s="102" t="s">
        <v>2995</v>
      </c>
      <c r="D79" s="102" t="s">
        <v>2893</v>
      </c>
      <c r="E79" s="102" t="s">
        <v>2694</v>
      </c>
      <c r="F79" s="220">
        <v>29794</v>
      </c>
      <c r="G79" s="102" t="s">
        <v>2695</v>
      </c>
      <c r="H79" s="221">
        <v>15.5</v>
      </c>
      <c r="I79" s="221">
        <v>47.5</v>
      </c>
      <c r="J79" s="221">
        <v>15.79</v>
      </c>
      <c r="K79" s="221">
        <f t="shared" si="1"/>
        <v>-0.28999999999999915</v>
      </c>
      <c r="L79" s="93"/>
    </row>
    <row r="80" spans="1:23" ht="30" x14ac:dyDescent="0.5">
      <c r="A80" s="102" t="s">
        <v>2754</v>
      </c>
      <c r="B80" s="102" t="s">
        <v>2755</v>
      </c>
      <c r="C80" s="102" t="s">
        <v>2996</v>
      </c>
      <c r="D80" s="102" t="s">
        <v>2893</v>
      </c>
      <c r="E80" s="102" t="s">
        <v>2694</v>
      </c>
      <c r="F80" s="220">
        <v>29794</v>
      </c>
      <c r="G80" s="102" t="s">
        <v>2695</v>
      </c>
      <c r="H80" s="221">
        <v>13.77</v>
      </c>
      <c r="I80" s="221">
        <v>41.46</v>
      </c>
      <c r="J80" s="221">
        <v>15.79</v>
      </c>
      <c r="K80" s="221">
        <f t="shared" si="1"/>
        <v>-2.0199999999999996</v>
      </c>
      <c r="L80" s="93"/>
    </row>
    <row r="81" spans="1:12" ht="30" x14ac:dyDescent="0.5">
      <c r="A81" s="102" t="s">
        <v>2708</v>
      </c>
      <c r="B81" s="102" t="s">
        <v>2709</v>
      </c>
      <c r="C81" s="102" t="s">
        <v>2997</v>
      </c>
      <c r="D81" s="102" t="s">
        <v>2893</v>
      </c>
      <c r="E81" s="102" t="s">
        <v>2694</v>
      </c>
      <c r="F81" s="220">
        <v>29798</v>
      </c>
      <c r="G81" s="102" t="s">
        <v>2695</v>
      </c>
      <c r="H81" s="221">
        <v>14.2</v>
      </c>
      <c r="I81" s="221">
        <v>40.01</v>
      </c>
      <c r="J81" s="221">
        <v>15.79</v>
      </c>
      <c r="K81" s="221">
        <f t="shared" si="1"/>
        <v>-1.5899999999999999</v>
      </c>
      <c r="L81" s="93"/>
    </row>
    <row r="82" spans="1:12" ht="30" x14ac:dyDescent="0.5">
      <c r="A82" s="102" t="s">
        <v>2708</v>
      </c>
      <c r="B82" s="102" t="s">
        <v>2709</v>
      </c>
      <c r="C82" s="102" t="s">
        <v>2998</v>
      </c>
      <c r="D82" s="102" t="s">
        <v>2893</v>
      </c>
      <c r="E82" s="102" t="s">
        <v>2694</v>
      </c>
      <c r="F82" s="220">
        <v>29798</v>
      </c>
      <c r="G82" s="102" t="s">
        <v>2695</v>
      </c>
      <c r="H82" s="221">
        <v>13.5</v>
      </c>
      <c r="I82" s="221">
        <v>39.4</v>
      </c>
      <c r="J82" s="221">
        <v>15.79</v>
      </c>
      <c r="K82" s="221">
        <f t="shared" si="1"/>
        <v>-2.2899999999999991</v>
      </c>
      <c r="L82" s="93"/>
    </row>
    <row r="83" spans="1:12" ht="30" x14ac:dyDescent="0.5">
      <c r="A83" s="102" t="s">
        <v>2710</v>
      </c>
      <c r="B83" s="102" t="s">
        <v>2923</v>
      </c>
      <c r="C83" s="102" t="s">
        <v>2999</v>
      </c>
      <c r="D83" s="102" t="s">
        <v>2893</v>
      </c>
      <c r="E83" s="102" t="s">
        <v>2694</v>
      </c>
      <c r="F83" s="220">
        <v>29810</v>
      </c>
      <c r="G83" s="102" t="s">
        <v>2695</v>
      </c>
      <c r="H83" s="221">
        <v>14.41</v>
      </c>
      <c r="I83" s="221">
        <v>57.6</v>
      </c>
      <c r="J83" s="221">
        <v>15.79</v>
      </c>
      <c r="K83" s="221">
        <f t="shared" si="1"/>
        <v>-1.379999999999999</v>
      </c>
      <c r="L83" s="93"/>
    </row>
    <row r="84" spans="1:12" ht="30" x14ac:dyDescent="0.5">
      <c r="A84" s="102" t="s">
        <v>2710</v>
      </c>
      <c r="B84" s="102" t="s">
        <v>3000</v>
      </c>
      <c r="C84" s="102" t="s">
        <v>3001</v>
      </c>
      <c r="D84" s="102" t="s">
        <v>2893</v>
      </c>
      <c r="E84" s="102" t="s">
        <v>2694</v>
      </c>
      <c r="F84" s="220">
        <v>29810</v>
      </c>
      <c r="G84" s="102" t="s">
        <v>2695</v>
      </c>
      <c r="H84" s="221">
        <v>13.72</v>
      </c>
      <c r="I84" s="221">
        <v>48.32</v>
      </c>
      <c r="J84" s="221">
        <v>15.79</v>
      </c>
      <c r="K84" s="221">
        <f t="shared" si="1"/>
        <v>-2.0699999999999985</v>
      </c>
      <c r="L84" s="93"/>
    </row>
    <row r="85" spans="1:12" ht="30" x14ac:dyDescent="0.5">
      <c r="A85" s="102" t="s">
        <v>2710</v>
      </c>
      <c r="B85" s="102" t="s">
        <v>3000</v>
      </c>
      <c r="C85" s="102" t="s">
        <v>3002</v>
      </c>
      <c r="D85" s="102" t="s">
        <v>2893</v>
      </c>
      <c r="E85" s="102" t="s">
        <v>2694</v>
      </c>
      <c r="F85" s="220">
        <v>29810</v>
      </c>
      <c r="G85" s="102" t="s">
        <v>2695</v>
      </c>
      <c r="H85" s="221">
        <v>13.72</v>
      </c>
      <c r="I85" s="221">
        <v>48.32</v>
      </c>
      <c r="J85" s="221">
        <v>15.79</v>
      </c>
      <c r="K85" s="221">
        <f t="shared" si="1"/>
        <v>-2.0699999999999985</v>
      </c>
      <c r="L85" s="93"/>
    </row>
    <row r="86" spans="1:12" ht="30" x14ac:dyDescent="0.5">
      <c r="A86" s="102" t="s">
        <v>2723</v>
      </c>
      <c r="B86" s="102" t="s">
        <v>2949</v>
      </c>
      <c r="C86" s="102" t="s">
        <v>3003</v>
      </c>
      <c r="D86" s="102" t="s">
        <v>2893</v>
      </c>
      <c r="E86" s="102" t="s">
        <v>2694</v>
      </c>
      <c r="F86" s="220">
        <v>29823</v>
      </c>
      <c r="G86" s="102" t="s">
        <v>2695</v>
      </c>
      <c r="H86" s="221">
        <v>15.45</v>
      </c>
      <c r="I86" s="221">
        <v>39.9</v>
      </c>
      <c r="J86" s="221">
        <v>16.07</v>
      </c>
      <c r="K86" s="221">
        <f t="shared" si="1"/>
        <v>-0.62000000000000099</v>
      </c>
      <c r="L86" s="93"/>
    </row>
    <row r="87" spans="1:12" ht="30" x14ac:dyDescent="0.5">
      <c r="A87" s="102" t="s">
        <v>2754</v>
      </c>
      <c r="B87" s="102" t="s">
        <v>2975</v>
      </c>
      <c r="C87" s="102" t="s">
        <v>3004</v>
      </c>
      <c r="D87" s="102" t="s">
        <v>2893</v>
      </c>
      <c r="E87" s="102" t="s">
        <v>2694</v>
      </c>
      <c r="F87" s="220">
        <v>29825</v>
      </c>
      <c r="G87" s="102" t="s">
        <v>2695</v>
      </c>
      <c r="H87" s="221">
        <v>14.43</v>
      </c>
      <c r="I87" s="221">
        <v>52.87</v>
      </c>
      <c r="J87" s="221">
        <v>16.07</v>
      </c>
      <c r="K87" s="221">
        <f t="shared" si="1"/>
        <v>-1.6400000000000006</v>
      </c>
      <c r="L87" s="93"/>
    </row>
    <row r="88" spans="1:12" ht="30" x14ac:dyDescent="0.5">
      <c r="A88" s="102" t="s">
        <v>2731</v>
      </c>
      <c r="B88" s="102" t="s">
        <v>2733</v>
      </c>
      <c r="C88" s="102" t="s">
        <v>3005</v>
      </c>
      <c r="D88" s="102" t="s">
        <v>2893</v>
      </c>
      <c r="E88" s="102" t="s">
        <v>2694</v>
      </c>
      <c r="F88" s="220">
        <v>29826</v>
      </c>
      <c r="G88" s="102" t="s">
        <v>2695</v>
      </c>
      <c r="H88" s="221">
        <v>15</v>
      </c>
      <c r="I88" s="221">
        <v>35.1</v>
      </c>
      <c r="J88" s="221">
        <v>16.07</v>
      </c>
      <c r="K88" s="221">
        <f t="shared" si="1"/>
        <v>-1.0700000000000003</v>
      </c>
      <c r="L88" s="93"/>
    </row>
    <row r="89" spans="1:12" ht="30" x14ac:dyDescent="0.5">
      <c r="A89" s="102" t="s">
        <v>2736</v>
      </c>
      <c r="B89" s="102" t="s">
        <v>2737</v>
      </c>
      <c r="C89" s="102" t="s">
        <v>3006</v>
      </c>
      <c r="D89" s="102" t="s">
        <v>2893</v>
      </c>
      <c r="E89" s="102" t="s">
        <v>2694</v>
      </c>
      <c r="F89" s="220">
        <v>29853</v>
      </c>
      <c r="G89" s="102" t="s">
        <v>2695</v>
      </c>
      <c r="H89" s="221">
        <v>16.25</v>
      </c>
      <c r="I89" s="221">
        <v>35</v>
      </c>
      <c r="J89" s="221">
        <v>16.45</v>
      </c>
      <c r="K89" s="221">
        <f t="shared" si="1"/>
        <v>-0.19999999999999929</v>
      </c>
      <c r="L89" s="93"/>
    </row>
    <row r="90" spans="1:12" ht="30" x14ac:dyDescent="0.5">
      <c r="A90" s="102" t="s">
        <v>2702</v>
      </c>
      <c r="B90" s="102" t="s">
        <v>3007</v>
      </c>
      <c r="C90" s="102" t="s">
        <v>3008</v>
      </c>
      <c r="D90" s="102" t="s">
        <v>2893</v>
      </c>
      <c r="E90" s="102" t="s">
        <v>2694</v>
      </c>
      <c r="F90" s="220">
        <v>29858</v>
      </c>
      <c r="G90" s="102" t="s">
        <v>2695</v>
      </c>
      <c r="H90" s="221">
        <v>14.5</v>
      </c>
      <c r="I90" s="221">
        <v>38</v>
      </c>
      <c r="J90" s="221">
        <v>16.45</v>
      </c>
      <c r="K90" s="221">
        <f t="shared" si="1"/>
        <v>-1.9499999999999993</v>
      </c>
      <c r="L90" s="93"/>
    </row>
    <row r="91" spans="1:12" ht="30" x14ac:dyDescent="0.5">
      <c r="A91" s="102" t="s">
        <v>2710</v>
      </c>
      <c r="B91" s="102" t="s">
        <v>2711</v>
      </c>
      <c r="C91" s="102" t="s">
        <v>3009</v>
      </c>
      <c r="D91" s="102" t="s">
        <v>2893</v>
      </c>
      <c r="E91" s="102" t="s">
        <v>2694</v>
      </c>
      <c r="F91" s="220">
        <v>29859</v>
      </c>
      <c r="G91" s="102" t="s">
        <v>2695</v>
      </c>
      <c r="H91" s="221">
        <v>15.94</v>
      </c>
      <c r="I91" s="221">
        <v>36.74</v>
      </c>
      <c r="J91" s="221">
        <v>16.45</v>
      </c>
      <c r="K91" s="221">
        <f t="shared" si="1"/>
        <v>-0.50999999999999979</v>
      </c>
      <c r="L91" s="93"/>
    </row>
    <row r="92" spans="1:12" ht="30" x14ac:dyDescent="0.5">
      <c r="A92" s="102" t="s">
        <v>2756</v>
      </c>
      <c r="B92" s="102" t="s">
        <v>3010</v>
      </c>
      <c r="C92" s="102" t="s">
        <v>3011</v>
      </c>
      <c r="D92" s="102" t="s">
        <v>2893</v>
      </c>
      <c r="E92" s="102" t="s">
        <v>2694</v>
      </c>
      <c r="F92" s="220">
        <v>29861</v>
      </c>
      <c r="G92" s="102" t="s">
        <v>2695</v>
      </c>
      <c r="H92" s="221">
        <v>14.8</v>
      </c>
      <c r="I92" s="221">
        <v>38.58</v>
      </c>
      <c r="J92" s="221">
        <v>16.45</v>
      </c>
      <c r="K92" s="221">
        <f t="shared" si="1"/>
        <v>-1.6499999999999986</v>
      </c>
      <c r="L92" s="93"/>
    </row>
    <row r="93" spans="1:12" ht="30" x14ac:dyDescent="0.5">
      <c r="A93" s="102" t="s">
        <v>2757</v>
      </c>
      <c r="B93" s="102" t="s">
        <v>3012</v>
      </c>
      <c r="C93" s="102" t="s">
        <v>3013</v>
      </c>
      <c r="D93" s="102" t="s">
        <v>2893</v>
      </c>
      <c r="E93" s="102" t="s">
        <v>2694</v>
      </c>
      <c r="F93" s="220">
        <v>29871</v>
      </c>
      <c r="G93" s="102" t="s">
        <v>2695</v>
      </c>
      <c r="H93" s="221">
        <v>16.25</v>
      </c>
      <c r="I93" s="221">
        <v>50.14</v>
      </c>
      <c r="J93" s="221">
        <v>16.45</v>
      </c>
      <c r="K93" s="221">
        <f t="shared" si="1"/>
        <v>-0.19999999999999929</v>
      </c>
      <c r="L93" s="93"/>
    </row>
    <row r="94" spans="1:12" ht="30" x14ac:dyDescent="0.5">
      <c r="A94" s="102" t="s">
        <v>2704</v>
      </c>
      <c r="B94" s="102" t="s">
        <v>2725</v>
      </c>
      <c r="C94" s="102" t="s">
        <v>3014</v>
      </c>
      <c r="D94" s="102" t="s">
        <v>2893</v>
      </c>
      <c r="E94" s="102" t="s">
        <v>2694</v>
      </c>
      <c r="F94" s="220">
        <v>29879</v>
      </c>
      <c r="G94" s="102" t="s">
        <v>2695</v>
      </c>
      <c r="H94" s="221">
        <v>17</v>
      </c>
      <c r="I94" s="221">
        <v>39.659999999999997</v>
      </c>
      <c r="J94" s="221">
        <v>17.03</v>
      </c>
      <c r="K94" s="221">
        <f t="shared" si="1"/>
        <v>-3.0000000000001137E-2</v>
      </c>
      <c r="L94" s="93"/>
    </row>
    <row r="95" spans="1:12" ht="30" x14ac:dyDescent="0.5">
      <c r="A95" s="102" t="s">
        <v>2704</v>
      </c>
      <c r="B95" s="102" t="s">
        <v>2934</v>
      </c>
      <c r="C95" s="102" t="s">
        <v>3015</v>
      </c>
      <c r="D95" s="102" t="s">
        <v>2893</v>
      </c>
      <c r="E95" s="102" t="s">
        <v>2694</v>
      </c>
      <c r="F95" s="220">
        <v>29879</v>
      </c>
      <c r="G95" s="102" t="s">
        <v>2695</v>
      </c>
      <c r="H95" s="221">
        <v>16.5</v>
      </c>
      <c r="I95" s="221">
        <v>39.22</v>
      </c>
      <c r="J95" s="221">
        <v>17.03</v>
      </c>
      <c r="K95" s="221">
        <f t="shared" si="1"/>
        <v>-0.53000000000000114</v>
      </c>
      <c r="L95" s="93"/>
    </row>
    <row r="96" spans="1:12" ht="30" x14ac:dyDescent="0.5">
      <c r="A96" s="102" t="s">
        <v>2726</v>
      </c>
      <c r="B96" s="102" t="s">
        <v>2727</v>
      </c>
      <c r="C96" s="102" t="s">
        <v>3016</v>
      </c>
      <c r="D96" s="102" t="s">
        <v>2893</v>
      </c>
      <c r="E96" s="102" t="s">
        <v>2694</v>
      </c>
      <c r="F96" s="220">
        <v>29879</v>
      </c>
      <c r="G96" s="102" t="s">
        <v>2695</v>
      </c>
      <c r="H96" s="221">
        <v>15.25</v>
      </c>
      <c r="I96" s="221">
        <v>40</v>
      </c>
      <c r="J96" s="221">
        <v>17.03</v>
      </c>
      <c r="K96" s="221">
        <f t="shared" si="1"/>
        <v>-1.7800000000000011</v>
      </c>
      <c r="L96" s="93"/>
    </row>
    <row r="97" spans="1:12" ht="30" x14ac:dyDescent="0.5">
      <c r="A97" s="102" t="s">
        <v>2732</v>
      </c>
      <c r="B97" s="102" t="s">
        <v>2975</v>
      </c>
      <c r="C97" s="102" t="s">
        <v>3017</v>
      </c>
      <c r="D97" s="102" t="s">
        <v>2893</v>
      </c>
      <c r="E97" s="102" t="s">
        <v>2694</v>
      </c>
      <c r="F97" s="220">
        <v>29885</v>
      </c>
      <c r="G97" s="102" t="s">
        <v>2695</v>
      </c>
      <c r="H97" s="221">
        <v>13.5</v>
      </c>
      <c r="I97" s="221">
        <v>55.33</v>
      </c>
      <c r="J97" s="221">
        <v>17.03</v>
      </c>
      <c r="K97" s="221">
        <f t="shared" si="1"/>
        <v>-3.5300000000000011</v>
      </c>
      <c r="L97" s="93"/>
    </row>
    <row r="98" spans="1:12" ht="30" x14ac:dyDescent="0.5">
      <c r="A98" s="102" t="s">
        <v>2717</v>
      </c>
      <c r="B98" s="102" t="s">
        <v>2627</v>
      </c>
      <c r="C98" s="102" t="s">
        <v>3018</v>
      </c>
      <c r="D98" s="102" t="s">
        <v>2893</v>
      </c>
      <c r="E98" s="102" t="s">
        <v>2694</v>
      </c>
      <c r="F98" s="220">
        <v>29888</v>
      </c>
      <c r="G98" s="102" t="s">
        <v>2695</v>
      </c>
      <c r="H98" s="221">
        <v>16.5</v>
      </c>
      <c r="I98" s="221">
        <v>40.35</v>
      </c>
      <c r="J98" s="221">
        <v>17.03</v>
      </c>
      <c r="K98" s="221">
        <f t="shared" si="1"/>
        <v>-0.53000000000000114</v>
      </c>
      <c r="L98" s="93"/>
    </row>
    <row r="99" spans="1:12" ht="30" x14ac:dyDescent="0.5">
      <c r="A99" s="102" t="s">
        <v>2706</v>
      </c>
      <c r="B99" s="102" t="s">
        <v>2906</v>
      </c>
      <c r="C99" s="102" t="s">
        <v>3019</v>
      </c>
      <c r="D99" s="102" t="s">
        <v>2893</v>
      </c>
      <c r="E99" s="102" t="s">
        <v>2694</v>
      </c>
      <c r="F99" s="220">
        <v>29894</v>
      </c>
      <c r="G99" s="102" t="s">
        <v>2695</v>
      </c>
      <c r="H99" s="221">
        <v>15.33</v>
      </c>
      <c r="I99" s="221">
        <v>32.630000000000003</v>
      </c>
      <c r="J99" s="221">
        <v>17.03</v>
      </c>
      <c r="K99" s="221">
        <f t="shared" si="1"/>
        <v>-1.7000000000000011</v>
      </c>
      <c r="L99" s="93"/>
    </row>
    <row r="100" spans="1:12" ht="30" x14ac:dyDescent="0.5">
      <c r="A100" s="102" t="s">
        <v>2708</v>
      </c>
      <c r="B100" s="102" t="s">
        <v>2709</v>
      </c>
      <c r="C100" s="102" t="s">
        <v>3020</v>
      </c>
      <c r="D100" s="102" t="s">
        <v>2893</v>
      </c>
      <c r="E100" s="102" t="s">
        <v>2694</v>
      </c>
      <c r="F100" s="220">
        <v>29896</v>
      </c>
      <c r="G100" s="102" t="s">
        <v>2695</v>
      </c>
      <c r="H100" s="221">
        <v>15.17</v>
      </c>
      <c r="I100" s="221">
        <v>37.1</v>
      </c>
      <c r="J100" s="221">
        <v>17.03</v>
      </c>
      <c r="K100" s="221">
        <f t="shared" si="1"/>
        <v>-1.8600000000000012</v>
      </c>
      <c r="L100" s="93"/>
    </row>
    <row r="101" spans="1:12" ht="30" x14ac:dyDescent="0.5">
      <c r="A101" s="102" t="s">
        <v>2723</v>
      </c>
      <c r="B101" s="102" t="s">
        <v>2730</v>
      </c>
      <c r="C101" s="102" t="s">
        <v>3021</v>
      </c>
      <c r="D101" s="102" t="s">
        <v>2893</v>
      </c>
      <c r="E101" s="102" t="s">
        <v>2694</v>
      </c>
      <c r="F101" s="220">
        <v>29915</v>
      </c>
      <c r="G101" s="102" t="s">
        <v>2695</v>
      </c>
      <c r="H101" s="221">
        <v>16.100000000000001</v>
      </c>
      <c r="I101" s="221">
        <v>33.520000000000003</v>
      </c>
      <c r="J101" s="221">
        <v>17.260000000000002</v>
      </c>
      <c r="K101" s="221">
        <f t="shared" si="1"/>
        <v>-1.1600000000000001</v>
      </c>
      <c r="L101" s="93"/>
    </row>
    <row r="102" spans="1:12" ht="30" x14ac:dyDescent="0.5">
      <c r="A102" s="102" t="s">
        <v>2723</v>
      </c>
      <c r="B102" s="102" t="s">
        <v>2730</v>
      </c>
      <c r="C102" s="102" t="s">
        <v>3022</v>
      </c>
      <c r="D102" s="102" t="s">
        <v>2893</v>
      </c>
      <c r="E102" s="102" t="s">
        <v>2694</v>
      </c>
      <c r="F102" s="220">
        <v>29915</v>
      </c>
      <c r="G102" s="102" t="s">
        <v>2695</v>
      </c>
      <c r="H102" s="221">
        <v>16.100000000000001</v>
      </c>
      <c r="I102" s="221">
        <v>36.74</v>
      </c>
      <c r="J102" s="221">
        <v>17.260000000000002</v>
      </c>
      <c r="K102" s="221">
        <f t="shared" si="1"/>
        <v>-1.1600000000000001</v>
      </c>
      <c r="L102" s="93"/>
    </row>
    <row r="103" spans="1:12" ht="30" x14ac:dyDescent="0.5">
      <c r="A103" s="102" t="s">
        <v>2736</v>
      </c>
      <c r="B103" s="102" t="s">
        <v>2727</v>
      </c>
      <c r="C103" s="102" t="s">
        <v>3023</v>
      </c>
      <c r="D103" s="102" t="s">
        <v>2893</v>
      </c>
      <c r="E103" s="102" t="s">
        <v>2694</v>
      </c>
      <c r="F103" s="220">
        <v>29915</v>
      </c>
      <c r="G103" s="102" t="s">
        <v>2695</v>
      </c>
      <c r="H103" s="221">
        <v>15.25</v>
      </c>
      <c r="I103" s="221">
        <v>38</v>
      </c>
      <c r="J103" s="221">
        <v>17.260000000000002</v>
      </c>
      <c r="K103" s="221">
        <f t="shared" si="1"/>
        <v>-2.0100000000000016</v>
      </c>
      <c r="L103" s="93"/>
    </row>
    <row r="104" spans="1:12" ht="30" x14ac:dyDescent="0.5">
      <c r="A104" s="102" t="s">
        <v>2717</v>
      </c>
      <c r="B104" s="102" t="s">
        <v>2939</v>
      </c>
      <c r="C104" s="102" t="s">
        <v>3024</v>
      </c>
      <c r="D104" s="102" t="s">
        <v>2893</v>
      </c>
      <c r="E104" s="102" t="s">
        <v>2694</v>
      </c>
      <c r="F104" s="220">
        <v>29920</v>
      </c>
      <c r="G104" s="102" t="s">
        <v>2695</v>
      </c>
      <c r="H104" s="221">
        <v>16.75</v>
      </c>
      <c r="I104" s="221">
        <v>35.6</v>
      </c>
      <c r="J104" s="221">
        <v>17.260000000000002</v>
      </c>
      <c r="K104" s="221">
        <f t="shared" si="1"/>
        <v>-0.51000000000000156</v>
      </c>
      <c r="L104" s="93"/>
    </row>
    <row r="105" spans="1:12" ht="30" x14ac:dyDescent="0.5">
      <c r="A105" s="102" t="s">
        <v>2704</v>
      </c>
      <c r="B105" s="102" t="s">
        <v>2707</v>
      </c>
      <c r="C105" s="102" t="s">
        <v>3025</v>
      </c>
      <c r="D105" s="102" t="s">
        <v>2893</v>
      </c>
      <c r="E105" s="102" t="s">
        <v>2694</v>
      </c>
      <c r="F105" s="220">
        <v>29921</v>
      </c>
      <c r="G105" s="102" t="s">
        <v>2695</v>
      </c>
      <c r="H105" s="221">
        <v>16</v>
      </c>
      <c r="I105" s="221">
        <v>43.11</v>
      </c>
      <c r="J105" s="221">
        <v>17.260000000000002</v>
      </c>
      <c r="K105" s="221">
        <f t="shared" si="1"/>
        <v>-1.2600000000000016</v>
      </c>
      <c r="L105" s="93"/>
    </row>
    <row r="106" spans="1:12" ht="30" x14ac:dyDescent="0.5">
      <c r="A106" s="102" t="s">
        <v>2715</v>
      </c>
      <c r="B106" s="102" t="s">
        <v>2716</v>
      </c>
      <c r="C106" s="102" t="s">
        <v>3026</v>
      </c>
      <c r="D106" s="102" t="s">
        <v>2893</v>
      </c>
      <c r="E106" s="102" t="s">
        <v>2694</v>
      </c>
      <c r="F106" s="220">
        <v>29921</v>
      </c>
      <c r="G106" s="102" t="s">
        <v>2695</v>
      </c>
      <c r="H106" s="221">
        <v>15.7</v>
      </c>
      <c r="I106" s="221">
        <v>39.090000000000003</v>
      </c>
      <c r="J106" s="221">
        <v>17.260000000000002</v>
      </c>
      <c r="K106" s="221">
        <f t="shared" si="1"/>
        <v>-1.5600000000000023</v>
      </c>
      <c r="L106" s="93"/>
    </row>
    <row r="107" spans="1:12" ht="30" x14ac:dyDescent="0.5">
      <c r="A107" s="102" t="s">
        <v>2758</v>
      </c>
      <c r="B107" s="102" t="s">
        <v>2759</v>
      </c>
      <c r="C107" s="102" t="s">
        <v>3027</v>
      </c>
      <c r="D107" s="102" t="s">
        <v>2893</v>
      </c>
      <c r="E107" s="102" t="s">
        <v>2694</v>
      </c>
      <c r="F107" s="220">
        <v>29935</v>
      </c>
      <c r="G107" s="102" t="s">
        <v>2695</v>
      </c>
      <c r="H107" s="221">
        <v>15.81</v>
      </c>
      <c r="I107" s="221">
        <v>36.06</v>
      </c>
      <c r="J107" s="221">
        <v>16.420000000000002</v>
      </c>
      <c r="K107" s="221">
        <f t="shared" si="1"/>
        <v>-0.61000000000000121</v>
      </c>
      <c r="L107" s="93"/>
    </row>
    <row r="108" spans="1:12" ht="30" x14ac:dyDescent="0.5">
      <c r="A108" s="102" t="s">
        <v>2699</v>
      </c>
      <c r="B108" s="102" t="s">
        <v>2628</v>
      </c>
      <c r="C108" s="102" t="s">
        <v>3028</v>
      </c>
      <c r="D108" s="102" t="s">
        <v>2893</v>
      </c>
      <c r="E108" s="102" t="s">
        <v>2694</v>
      </c>
      <c r="F108" s="220">
        <v>29942</v>
      </c>
      <c r="G108" s="102" t="s">
        <v>2695</v>
      </c>
      <c r="H108" s="221">
        <v>16</v>
      </c>
      <c r="I108" s="221">
        <v>38.369999999999997</v>
      </c>
      <c r="J108" s="221">
        <v>16.420000000000002</v>
      </c>
      <c r="K108" s="221">
        <f t="shared" si="1"/>
        <v>-0.42000000000000171</v>
      </c>
      <c r="L108" s="93"/>
    </row>
    <row r="109" spans="1:12" ht="30" x14ac:dyDescent="0.5">
      <c r="A109" s="102" t="s">
        <v>2704</v>
      </c>
      <c r="B109" s="102" t="s">
        <v>2910</v>
      </c>
      <c r="C109" s="102" t="s">
        <v>3029</v>
      </c>
      <c r="D109" s="102" t="s">
        <v>2893</v>
      </c>
      <c r="E109" s="102" t="s">
        <v>2694</v>
      </c>
      <c r="F109" s="220">
        <v>29942</v>
      </c>
      <c r="G109" s="102" t="s">
        <v>2695</v>
      </c>
      <c r="H109" s="221">
        <v>15.7</v>
      </c>
      <c r="I109" s="221">
        <v>43</v>
      </c>
      <c r="J109" s="221">
        <v>16.420000000000002</v>
      </c>
      <c r="K109" s="221">
        <f t="shared" si="1"/>
        <v>-0.72000000000000242</v>
      </c>
      <c r="L109" s="93"/>
    </row>
    <row r="110" spans="1:12" ht="30" x14ac:dyDescent="0.5">
      <c r="A110" s="102" t="s">
        <v>2738</v>
      </c>
      <c r="B110" s="102" t="s">
        <v>2741</v>
      </c>
      <c r="C110" s="102" t="s">
        <v>3030</v>
      </c>
      <c r="D110" s="102" t="s">
        <v>2893</v>
      </c>
      <c r="E110" s="102" t="s">
        <v>2694</v>
      </c>
      <c r="F110" s="220">
        <v>29950</v>
      </c>
      <c r="G110" s="102" t="s">
        <v>2695</v>
      </c>
      <c r="H110" s="221">
        <v>16.25</v>
      </c>
      <c r="I110" s="221">
        <v>37.25</v>
      </c>
      <c r="J110" s="221">
        <v>16.420000000000002</v>
      </c>
      <c r="K110" s="221">
        <f t="shared" si="1"/>
        <v>-0.17000000000000171</v>
      </c>
      <c r="L110" s="93"/>
    </row>
    <row r="111" spans="1:12" ht="30" x14ac:dyDescent="0.5">
      <c r="A111" s="102" t="s">
        <v>2738</v>
      </c>
      <c r="B111" s="102" t="s">
        <v>2760</v>
      </c>
      <c r="C111" s="102" t="s">
        <v>3031</v>
      </c>
      <c r="D111" s="102" t="s">
        <v>2893</v>
      </c>
      <c r="E111" s="102" t="s">
        <v>2694</v>
      </c>
      <c r="F111" s="220">
        <v>29950</v>
      </c>
      <c r="G111" s="102" t="s">
        <v>2695</v>
      </c>
      <c r="H111" s="221">
        <v>16</v>
      </c>
      <c r="I111" s="221">
        <v>41</v>
      </c>
      <c r="J111" s="221">
        <v>16.420000000000002</v>
      </c>
      <c r="K111" s="221">
        <f t="shared" si="1"/>
        <v>-0.42000000000000171</v>
      </c>
      <c r="L111" s="93"/>
    </row>
    <row r="112" spans="1:12" ht="30" x14ac:dyDescent="0.5">
      <c r="A112" s="102" t="s">
        <v>2728</v>
      </c>
      <c r="B112" s="102" t="s">
        <v>2729</v>
      </c>
      <c r="C112" s="102" t="s">
        <v>3032</v>
      </c>
      <c r="D112" s="102" t="s">
        <v>2893</v>
      </c>
      <c r="E112" s="102" t="s">
        <v>2694</v>
      </c>
      <c r="F112" s="220">
        <v>29955</v>
      </c>
      <c r="G112" s="102" t="s">
        <v>2695</v>
      </c>
      <c r="H112" s="221">
        <v>15.5</v>
      </c>
      <c r="I112" s="221">
        <v>38.6</v>
      </c>
      <c r="J112" s="221">
        <v>16.420000000000002</v>
      </c>
      <c r="K112" s="221">
        <f t="shared" si="1"/>
        <v>-0.92000000000000171</v>
      </c>
      <c r="L112" s="93"/>
    </row>
    <row r="113" spans="1:12" ht="30" x14ac:dyDescent="0.5">
      <c r="A113" s="102" t="s">
        <v>2706</v>
      </c>
      <c r="B113" s="102" t="s">
        <v>2906</v>
      </c>
      <c r="C113" s="102" t="s">
        <v>3033</v>
      </c>
      <c r="D113" s="102" t="s">
        <v>2893</v>
      </c>
      <c r="E113" s="102" t="s">
        <v>2694</v>
      </c>
      <c r="F113" s="220">
        <v>29976</v>
      </c>
      <c r="G113" s="102" t="s">
        <v>2695</v>
      </c>
      <c r="H113" s="221">
        <v>16.25</v>
      </c>
      <c r="I113" s="221">
        <v>33.799999999999997</v>
      </c>
      <c r="J113" s="221">
        <v>16.16</v>
      </c>
      <c r="K113" s="221">
        <f t="shared" si="1"/>
        <v>8.9999999999999858E-2</v>
      </c>
      <c r="L113" s="93"/>
    </row>
    <row r="114" spans="1:12" ht="30" x14ac:dyDescent="0.5">
      <c r="A114" s="102" t="s">
        <v>2710</v>
      </c>
      <c r="B114" s="102" t="s">
        <v>2761</v>
      </c>
      <c r="C114" s="102" t="s">
        <v>3034</v>
      </c>
      <c r="D114" s="102" t="s">
        <v>2893</v>
      </c>
      <c r="E114" s="102" t="s">
        <v>2694</v>
      </c>
      <c r="F114" s="220">
        <v>29978</v>
      </c>
      <c r="G114" s="102" t="s">
        <v>2695</v>
      </c>
      <c r="H114" s="221">
        <v>16.84</v>
      </c>
      <c r="I114" s="221">
        <v>34.5</v>
      </c>
      <c r="J114" s="221">
        <v>16.16</v>
      </c>
      <c r="K114" s="221">
        <f t="shared" si="1"/>
        <v>0.67999999999999972</v>
      </c>
      <c r="L114" s="93"/>
    </row>
    <row r="115" spans="1:12" ht="30" x14ac:dyDescent="0.5">
      <c r="A115" s="102" t="s">
        <v>2700</v>
      </c>
      <c r="B115" s="102" t="s">
        <v>3035</v>
      </c>
      <c r="C115" s="102" t="s">
        <v>3036</v>
      </c>
      <c r="D115" s="102" t="s">
        <v>2893</v>
      </c>
      <c r="E115" s="102" t="s">
        <v>2694</v>
      </c>
      <c r="F115" s="220">
        <v>29982</v>
      </c>
      <c r="G115" s="102" t="s">
        <v>2695</v>
      </c>
      <c r="H115" s="221">
        <v>14</v>
      </c>
      <c r="I115" s="221">
        <v>38.29</v>
      </c>
      <c r="J115" s="221">
        <v>16.16</v>
      </c>
      <c r="K115" s="221">
        <f t="shared" si="1"/>
        <v>-2.16</v>
      </c>
      <c r="L115" s="93"/>
    </row>
    <row r="116" spans="1:12" ht="30" x14ac:dyDescent="0.5">
      <c r="A116" s="102" t="s">
        <v>2743</v>
      </c>
      <c r="B116" s="102" t="s">
        <v>3012</v>
      </c>
      <c r="C116" s="102" t="s">
        <v>3037</v>
      </c>
      <c r="D116" s="102" t="s">
        <v>2893</v>
      </c>
      <c r="E116" s="102" t="s">
        <v>2694</v>
      </c>
      <c r="F116" s="220">
        <v>29984</v>
      </c>
      <c r="G116" s="102" t="s">
        <v>2695</v>
      </c>
      <c r="H116" s="221">
        <v>16.239999999999998</v>
      </c>
      <c r="I116" s="221">
        <v>50.81</v>
      </c>
      <c r="J116" s="221">
        <v>16.16</v>
      </c>
      <c r="K116" s="221">
        <f t="shared" si="1"/>
        <v>7.9999999999998295E-2</v>
      </c>
      <c r="L116" s="93"/>
    </row>
    <row r="117" spans="1:12" ht="30" x14ac:dyDescent="0.5">
      <c r="A117" s="102" t="s">
        <v>2698</v>
      </c>
      <c r="B117" s="102" t="s">
        <v>2722</v>
      </c>
      <c r="C117" s="102" t="s">
        <v>3038</v>
      </c>
      <c r="D117" s="102" t="s">
        <v>2893</v>
      </c>
      <c r="E117" s="102" t="s">
        <v>2694</v>
      </c>
      <c r="F117" s="220">
        <v>29990</v>
      </c>
      <c r="G117" s="102" t="s">
        <v>2695</v>
      </c>
      <c r="H117" s="221">
        <v>15.5</v>
      </c>
      <c r="I117" s="221">
        <v>38.61</v>
      </c>
      <c r="J117" s="221">
        <v>16.16</v>
      </c>
      <c r="K117" s="221">
        <f t="shared" si="1"/>
        <v>-0.66000000000000014</v>
      </c>
      <c r="L117" s="93"/>
    </row>
    <row r="118" spans="1:12" ht="30" x14ac:dyDescent="0.5">
      <c r="A118" s="102" t="s">
        <v>2726</v>
      </c>
      <c r="B118" s="102" t="s">
        <v>2946</v>
      </c>
      <c r="C118" s="102" t="s">
        <v>3039</v>
      </c>
      <c r="D118" s="102" t="s">
        <v>2893</v>
      </c>
      <c r="E118" s="102" t="s">
        <v>2694</v>
      </c>
      <c r="F118" s="220">
        <v>29991</v>
      </c>
      <c r="G118" s="102" t="s">
        <v>2695</v>
      </c>
      <c r="H118" s="221">
        <v>15.75</v>
      </c>
      <c r="I118" s="221">
        <v>33.340000000000003</v>
      </c>
      <c r="J118" s="221">
        <v>16.16</v>
      </c>
      <c r="K118" s="221">
        <f t="shared" si="1"/>
        <v>-0.41000000000000014</v>
      </c>
      <c r="L118" s="93"/>
    </row>
    <row r="119" spans="1:12" ht="30" x14ac:dyDescent="0.5">
      <c r="A119" s="102" t="s">
        <v>2734</v>
      </c>
      <c r="B119" s="102" t="s">
        <v>2895</v>
      </c>
      <c r="C119" s="102" t="s">
        <v>3040</v>
      </c>
      <c r="D119" s="102" t="s">
        <v>2893</v>
      </c>
      <c r="E119" s="102" t="s">
        <v>2694</v>
      </c>
      <c r="F119" s="220">
        <v>29991</v>
      </c>
      <c r="G119" s="102" t="s">
        <v>2695</v>
      </c>
      <c r="H119" s="221">
        <v>14.95</v>
      </c>
      <c r="I119" s="221">
        <v>44</v>
      </c>
      <c r="J119" s="221">
        <v>16.16</v>
      </c>
      <c r="K119" s="221">
        <f t="shared" si="1"/>
        <v>-1.2100000000000009</v>
      </c>
      <c r="L119" s="93"/>
    </row>
    <row r="120" spans="1:12" ht="30" x14ac:dyDescent="0.5">
      <c r="A120" s="102" t="s">
        <v>2712</v>
      </c>
      <c r="B120" s="102" t="s">
        <v>2713</v>
      </c>
      <c r="C120" s="102" t="s">
        <v>3041</v>
      </c>
      <c r="D120" s="102" t="s">
        <v>2893</v>
      </c>
      <c r="E120" s="102" t="s">
        <v>2694</v>
      </c>
      <c r="F120" s="220">
        <v>29993</v>
      </c>
      <c r="G120" s="102" t="s">
        <v>2695</v>
      </c>
      <c r="H120" s="221">
        <v>16</v>
      </c>
      <c r="I120" s="221" t="s">
        <v>14</v>
      </c>
      <c r="J120" s="221">
        <v>16.16</v>
      </c>
      <c r="K120" s="221">
        <f t="shared" si="1"/>
        <v>-0.16000000000000014</v>
      </c>
      <c r="L120" s="93"/>
    </row>
    <row r="121" spans="1:12" ht="30" x14ac:dyDescent="0.5">
      <c r="A121" s="102" t="s">
        <v>2698</v>
      </c>
      <c r="B121" s="102" t="s">
        <v>2895</v>
      </c>
      <c r="C121" s="102" t="s">
        <v>3042</v>
      </c>
      <c r="D121" s="102" t="s">
        <v>2893</v>
      </c>
      <c r="E121" s="102" t="s">
        <v>2694</v>
      </c>
      <c r="F121" s="220">
        <v>30011</v>
      </c>
      <c r="G121" s="102" t="s">
        <v>2695</v>
      </c>
      <c r="H121" s="221">
        <v>15.96</v>
      </c>
      <c r="I121" s="221">
        <v>38.4</v>
      </c>
      <c r="J121" s="221">
        <v>16.8</v>
      </c>
      <c r="K121" s="221">
        <f t="shared" si="1"/>
        <v>-0.83999999999999986</v>
      </c>
      <c r="L121" s="93"/>
    </row>
    <row r="122" spans="1:12" ht="30" x14ac:dyDescent="0.5">
      <c r="A122" s="102" t="s">
        <v>2708</v>
      </c>
      <c r="B122" s="102" t="s">
        <v>2709</v>
      </c>
      <c r="C122" s="102" t="s">
        <v>3043</v>
      </c>
      <c r="D122" s="102" t="s">
        <v>2893</v>
      </c>
      <c r="E122" s="102" t="s">
        <v>2694</v>
      </c>
      <c r="F122" s="220">
        <v>30013</v>
      </c>
      <c r="G122" s="102" t="s">
        <v>2695</v>
      </c>
      <c r="H122" s="221">
        <v>15</v>
      </c>
      <c r="I122" s="221">
        <v>36.75</v>
      </c>
      <c r="J122" s="221">
        <v>16.8</v>
      </c>
      <c r="K122" s="221">
        <f t="shared" si="1"/>
        <v>-1.8000000000000007</v>
      </c>
      <c r="L122" s="93"/>
    </row>
    <row r="123" spans="1:12" ht="30" x14ac:dyDescent="0.5">
      <c r="A123" s="102" t="s">
        <v>2704</v>
      </c>
      <c r="B123" s="102" t="s">
        <v>2705</v>
      </c>
      <c r="C123" s="102" t="s">
        <v>3044</v>
      </c>
      <c r="D123" s="102" t="s">
        <v>2893</v>
      </c>
      <c r="E123" s="102" t="s">
        <v>2694</v>
      </c>
      <c r="F123" s="220">
        <v>30018</v>
      </c>
      <c r="G123" s="102" t="s">
        <v>2695</v>
      </c>
      <c r="H123" s="221">
        <v>17.100000000000001</v>
      </c>
      <c r="I123" s="221">
        <v>41.48</v>
      </c>
      <c r="J123" s="221">
        <v>16.8</v>
      </c>
      <c r="K123" s="221">
        <f t="shared" si="1"/>
        <v>0.30000000000000071</v>
      </c>
      <c r="L123" s="93"/>
    </row>
    <row r="124" spans="1:12" ht="30" x14ac:dyDescent="0.5">
      <c r="A124" s="102" t="s">
        <v>2696</v>
      </c>
      <c r="B124" s="102" t="s">
        <v>2910</v>
      </c>
      <c r="C124" s="102" t="s">
        <v>3045</v>
      </c>
      <c r="D124" s="102" t="s">
        <v>2893</v>
      </c>
      <c r="E124" s="102" t="s">
        <v>2694</v>
      </c>
      <c r="F124" s="220">
        <v>30036</v>
      </c>
      <c r="G124" s="102" t="s">
        <v>2695</v>
      </c>
      <c r="H124" s="221">
        <v>16</v>
      </c>
      <c r="I124" s="221">
        <v>48</v>
      </c>
      <c r="J124" s="221">
        <v>16.920000000000002</v>
      </c>
      <c r="K124" s="221">
        <f t="shared" si="1"/>
        <v>-0.92000000000000171</v>
      </c>
      <c r="L124" s="93"/>
    </row>
    <row r="125" spans="1:12" ht="30" x14ac:dyDescent="0.5">
      <c r="A125" s="102" t="s">
        <v>2701</v>
      </c>
      <c r="B125" s="102" t="s">
        <v>2900</v>
      </c>
      <c r="C125" s="102" t="s">
        <v>3046</v>
      </c>
      <c r="D125" s="102" t="s">
        <v>2893</v>
      </c>
      <c r="E125" s="102" t="s">
        <v>2694</v>
      </c>
      <c r="F125" s="220">
        <v>30041</v>
      </c>
      <c r="G125" s="102" t="s">
        <v>2695</v>
      </c>
      <c r="H125" s="221">
        <v>16.25</v>
      </c>
      <c r="I125" s="221">
        <v>48.67</v>
      </c>
      <c r="J125" s="221">
        <v>16.920000000000002</v>
      </c>
      <c r="K125" s="221">
        <f t="shared" si="1"/>
        <v>-0.67000000000000171</v>
      </c>
      <c r="L125" s="93"/>
    </row>
    <row r="126" spans="1:12" ht="30" x14ac:dyDescent="0.5">
      <c r="A126" s="102" t="s">
        <v>2702</v>
      </c>
      <c r="B126" s="102" t="s">
        <v>2903</v>
      </c>
      <c r="C126" s="102" t="s">
        <v>3047</v>
      </c>
      <c r="D126" s="102" t="s">
        <v>2893</v>
      </c>
      <c r="E126" s="102" t="s">
        <v>2694</v>
      </c>
      <c r="F126" s="220">
        <v>30047</v>
      </c>
      <c r="G126" s="102" t="s">
        <v>2695</v>
      </c>
      <c r="H126" s="221">
        <v>15</v>
      </c>
      <c r="I126" s="221">
        <v>41.11</v>
      </c>
      <c r="J126" s="221">
        <v>16.920000000000002</v>
      </c>
      <c r="K126" s="221">
        <f t="shared" si="1"/>
        <v>-1.9200000000000017</v>
      </c>
      <c r="L126" s="93"/>
    </row>
    <row r="127" spans="1:12" ht="30" x14ac:dyDescent="0.5">
      <c r="A127" s="102" t="s">
        <v>2736</v>
      </c>
      <c r="B127" s="102" t="s">
        <v>2980</v>
      </c>
      <c r="C127" s="102" t="s">
        <v>3048</v>
      </c>
      <c r="D127" s="102" t="s">
        <v>2893</v>
      </c>
      <c r="E127" s="102" t="s">
        <v>2694</v>
      </c>
      <c r="F127" s="220">
        <v>30050</v>
      </c>
      <c r="G127" s="102" t="s">
        <v>2695</v>
      </c>
      <c r="H127" s="221">
        <v>16.5</v>
      </c>
      <c r="I127" s="221">
        <v>38.979999999999997</v>
      </c>
      <c r="J127" s="221">
        <v>16.920000000000002</v>
      </c>
      <c r="K127" s="221">
        <f t="shared" si="1"/>
        <v>-0.42000000000000171</v>
      </c>
      <c r="L127" s="93"/>
    </row>
    <row r="128" spans="1:12" ht="30" x14ac:dyDescent="0.5">
      <c r="A128" s="102" t="s">
        <v>2731</v>
      </c>
      <c r="B128" s="102" t="s">
        <v>2939</v>
      </c>
      <c r="C128" s="102" t="s">
        <v>3049</v>
      </c>
      <c r="D128" s="102" t="s">
        <v>2893</v>
      </c>
      <c r="E128" s="102" t="s">
        <v>2694</v>
      </c>
      <c r="F128" s="220">
        <v>30053</v>
      </c>
      <c r="G128" s="102" t="s">
        <v>2695</v>
      </c>
      <c r="H128" s="221">
        <v>16.7</v>
      </c>
      <c r="I128" s="221">
        <v>31.84</v>
      </c>
      <c r="J128" s="221">
        <v>16.920000000000002</v>
      </c>
      <c r="K128" s="221">
        <f t="shared" si="1"/>
        <v>-0.22000000000000242</v>
      </c>
      <c r="L128" s="93"/>
    </row>
    <row r="129" spans="1:12" ht="30" x14ac:dyDescent="0.5">
      <c r="A129" s="102" t="s">
        <v>2762</v>
      </c>
      <c r="B129" s="102" t="s">
        <v>2746</v>
      </c>
      <c r="C129" s="102" t="s">
        <v>3050</v>
      </c>
      <c r="D129" s="102" t="s">
        <v>2893</v>
      </c>
      <c r="E129" s="102" t="s">
        <v>2694</v>
      </c>
      <c r="F129" s="220">
        <v>30053</v>
      </c>
      <c r="G129" s="102" t="s">
        <v>2695</v>
      </c>
      <c r="H129" s="221">
        <v>15.1</v>
      </c>
      <c r="I129" s="221">
        <v>38.479999999999997</v>
      </c>
      <c r="J129" s="221">
        <v>16.920000000000002</v>
      </c>
      <c r="K129" s="221">
        <f t="shared" si="1"/>
        <v>-1.8200000000000021</v>
      </c>
      <c r="L129" s="93"/>
    </row>
    <row r="130" spans="1:12" ht="30" x14ac:dyDescent="0.5">
      <c r="A130" s="102" t="s">
        <v>2740</v>
      </c>
      <c r="B130" s="102" t="s">
        <v>2746</v>
      </c>
      <c r="C130" s="102" t="s">
        <v>3051</v>
      </c>
      <c r="D130" s="102" t="s">
        <v>2893</v>
      </c>
      <c r="E130" s="102" t="s">
        <v>2694</v>
      </c>
      <c r="F130" s="220">
        <v>30059</v>
      </c>
      <c r="G130" s="102" t="s">
        <v>2695</v>
      </c>
      <c r="H130" s="221">
        <v>14.7</v>
      </c>
      <c r="I130" s="221">
        <v>38.79</v>
      </c>
      <c r="J130" s="221">
        <v>16.489999999999998</v>
      </c>
      <c r="K130" s="221">
        <f t="shared" si="1"/>
        <v>-1.7899999999999991</v>
      </c>
      <c r="L130" s="93"/>
    </row>
    <row r="131" spans="1:12" ht="30" x14ac:dyDescent="0.5">
      <c r="A131" s="102" t="s">
        <v>2702</v>
      </c>
      <c r="B131" s="102" t="s">
        <v>2748</v>
      </c>
      <c r="C131" s="102" t="s">
        <v>3052</v>
      </c>
      <c r="D131" s="102" t="s">
        <v>2893</v>
      </c>
      <c r="E131" s="102" t="s">
        <v>2694</v>
      </c>
      <c r="F131" s="220">
        <v>30068</v>
      </c>
      <c r="G131" s="102" t="s">
        <v>2695</v>
      </c>
      <c r="H131" s="221">
        <v>15</v>
      </c>
      <c r="I131" s="221">
        <v>39.090000000000003</v>
      </c>
      <c r="J131" s="221">
        <v>16.489999999999998</v>
      </c>
      <c r="K131" s="221">
        <f t="shared" si="1"/>
        <v>-1.4899999999999984</v>
      </c>
      <c r="L131" s="93"/>
    </row>
    <row r="132" spans="1:12" ht="30" x14ac:dyDescent="0.5">
      <c r="A132" s="102" t="s">
        <v>2740</v>
      </c>
      <c r="B132" s="102" t="s">
        <v>2964</v>
      </c>
      <c r="C132" s="102" t="s">
        <v>3053</v>
      </c>
      <c r="D132" s="102" t="s">
        <v>2893</v>
      </c>
      <c r="E132" s="102" t="s">
        <v>2694</v>
      </c>
      <c r="F132" s="220">
        <v>30081</v>
      </c>
      <c r="G132" s="102" t="s">
        <v>2695</v>
      </c>
      <c r="H132" s="221">
        <v>14.57</v>
      </c>
      <c r="I132" s="221">
        <v>38.090000000000003</v>
      </c>
      <c r="J132" s="221">
        <v>16.489999999999998</v>
      </c>
      <c r="K132" s="221">
        <f t="shared" si="1"/>
        <v>-1.9199999999999982</v>
      </c>
      <c r="L132" s="93"/>
    </row>
    <row r="133" spans="1:12" ht="30" x14ac:dyDescent="0.5">
      <c r="A133" s="102" t="s">
        <v>2743</v>
      </c>
      <c r="B133" s="102" t="s">
        <v>2969</v>
      </c>
      <c r="C133" s="102" t="s">
        <v>3054</v>
      </c>
      <c r="D133" s="102" t="s">
        <v>2893</v>
      </c>
      <c r="E133" s="102" t="s">
        <v>2694</v>
      </c>
      <c r="F133" s="220">
        <v>30085</v>
      </c>
      <c r="G133" s="102" t="s">
        <v>2695</v>
      </c>
      <c r="H133" s="221">
        <v>15.8</v>
      </c>
      <c r="I133" s="221">
        <v>44.26</v>
      </c>
      <c r="J133" s="221">
        <v>16.489999999999998</v>
      </c>
      <c r="K133" s="221">
        <f t="shared" si="1"/>
        <v>-0.68999999999999773</v>
      </c>
      <c r="L133" s="93"/>
    </row>
    <row r="134" spans="1:12" ht="30" x14ac:dyDescent="0.5">
      <c r="A134" s="102" t="s">
        <v>2732</v>
      </c>
      <c r="B134" s="102" t="s">
        <v>2944</v>
      </c>
      <c r="C134" s="102" t="s">
        <v>3055</v>
      </c>
      <c r="D134" s="102" t="s">
        <v>2893</v>
      </c>
      <c r="E134" s="102" t="s">
        <v>2694</v>
      </c>
      <c r="F134" s="220">
        <v>30091</v>
      </c>
      <c r="G134" s="102" t="s">
        <v>2695</v>
      </c>
      <c r="H134" s="221">
        <v>15.82</v>
      </c>
      <c r="I134" s="221">
        <v>47.15</v>
      </c>
      <c r="J134" s="221">
        <v>16.399999999999999</v>
      </c>
      <c r="K134" s="221">
        <f t="shared" si="1"/>
        <v>-0.57999999999999829</v>
      </c>
      <c r="L134" s="93"/>
    </row>
    <row r="135" spans="1:12" ht="30" x14ac:dyDescent="0.5">
      <c r="A135" s="102" t="s">
        <v>2723</v>
      </c>
      <c r="B135" s="102" t="s">
        <v>2921</v>
      </c>
      <c r="C135" s="102" t="s">
        <v>3056</v>
      </c>
      <c r="D135" s="102" t="s">
        <v>2893</v>
      </c>
      <c r="E135" s="102" t="s">
        <v>2694</v>
      </c>
      <c r="F135" s="220">
        <v>30096</v>
      </c>
      <c r="G135" s="102" t="s">
        <v>2695</v>
      </c>
      <c r="H135" s="221">
        <v>16.25</v>
      </c>
      <c r="I135" s="221">
        <v>39.630000000000003</v>
      </c>
      <c r="J135" s="221">
        <v>16.399999999999999</v>
      </c>
      <c r="K135" s="221">
        <f t="shared" ref="K135:K198" si="2">H135-J135</f>
        <v>-0.14999999999999858</v>
      </c>
      <c r="L135" s="93"/>
    </row>
    <row r="136" spans="1:12" ht="30" x14ac:dyDescent="0.5">
      <c r="A136" s="102" t="s">
        <v>2724</v>
      </c>
      <c r="B136" s="102" t="s">
        <v>2925</v>
      </c>
      <c r="C136" s="102" t="s">
        <v>3057</v>
      </c>
      <c r="D136" s="102" t="s">
        <v>2893</v>
      </c>
      <c r="E136" s="102" t="s">
        <v>2694</v>
      </c>
      <c r="F136" s="220">
        <v>30104</v>
      </c>
      <c r="G136" s="102" t="s">
        <v>2695</v>
      </c>
      <c r="H136" s="221">
        <v>14.5</v>
      </c>
      <c r="I136" s="221" t="s">
        <v>14</v>
      </c>
      <c r="J136" s="221">
        <v>16.399999999999999</v>
      </c>
      <c r="K136" s="221">
        <f t="shared" si="2"/>
        <v>-1.8999999999999986</v>
      </c>
      <c r="L136" s="93"/>
    </row>
    <row r="137" spans="1:12" ht="30" x14ac:dyDescent="0.5">
      <c r="A137" s="102" t="s">
        <v>2704</v>
      </c>
      <c r="B137" s="102" t="s">
        <v>2908</v>
      </c>
      <c r="C137" s="102" t="s">
        <v>3058</v>
      </c>
      <c r="D137" s="102" t="s">
        <v>2893</v>
      </c>
      <c r="E137" s="102" t="s">
        <v>2694</v>
      </c>
      <c r="F137" s="220">
        <v>30109</v>
      </c>
      <c r="G137" s="102" t="s">
        <v>2695</v>
      </c>
      <c r="H137" s="221">
        <v>16</v>
      </c>
      <c r="I137" s="221">
        <v>48.03</v>
      </c>
      <c r="J137" s="221">
        <v>16.399999999999999</v>
      </c>
      <c r="K137" s="221">
        <f t="shared" si="2"/>
        <v>-0.39999999999999858</v>
      </c>
      <c r="L137" s="93"/>
    </row>
    <row r="138" spans="1:12" ht="30" x14ac:dyDescent="0.5">
      <c r="A138" s="102" t="s">
        <v>2763</v>
      </c>
      <c r="B138" s="102" t="s">
        <v>3059</v>
      </c>
      <c r="C138" s="102" t="s">
        <v>3060</v>
      </c>
      <c r="D138" s="102" t="s">
        <v>2893</v>
      </c>
      <c r="E138" s="102" t="s">
        <v>2694</v>
      </c>
      <c r="F138" s="220">
        <v>30125</v>
      </c>
      <c r="G138" s="102" t="s">
        <v>2695</v>
      </c>
      <c r="H138" s="221">
        <v>15.5</v>
      </c>
      <c r="I138" s="221">
        <v>42.2</v>
      </c>
      <c r="J138" s="221">
        <v>16.079999999999998</v>
      </c>
      <c r="K138" s="221">
        <f t="shared" si="2"/>
        <v>-0.57999999999999829</v>
      </c>
      <c r="L138" s="93"/>
    </row>
    <row r="139" spans="1:12" ht="30" x14ac:dyDescent="0.5">
      <c r="A139" s="102" t="s">
        <v>2696</v>
      </c>
      <c r="B139" s="102" t="s">
        <v>2697</v>
      </c>
      <c r="C139" s="102" t="s">
        <v>3061</v>
      </c>
      <c r="D139" s="102" t="s">
        <v>2893</v>
      </c>
      <c r="E139" s="102" t="s">
        <v>2694</v>
      </c>
      <c r="F139" s="220">
        <v>30127</v>
      </c>
      <c r="G139" s="102" t="s">
        <v>2695</v>
      </c>
      <c r="H139" s="221">
        <v>16.5</v>
      </c>
      <c r="I139" s="221">
        <v>37.4</v>
      </c>
      <c r="J139" s="221">
        <v>16.079999999999998</v>
      </c>
      <c r="K139" s="221">
        <f t="shared" si="2"/>
        <v>0.42000000000000171</v>
      </c>
      <c r="L139" s="93"/>
    </row>
    <row r="140" spans="1:12" ht="30" x14ac:dyDescent="0.5">
      <c r="A140" s="102" t="s">
        <v>2693</v>
      </c>
      <c r="B140" s="102" t="s">
        <v>2742</v>
      </c>
      <c r="C140" s="102" t="s">
        <v>3062</v>
      </c>
      <c r="D140" s="102" t="s">
        <v>2893</v>
      </c>
      <c r="E140" s="102" t="s">
        <v>2694</v>
      </c>
      <c r="F140" s="220">
        <v>30133</v>
      </c>
      <c r="G140" s="102" t="s">
        <v>2695</v>
      </c>
      <c r="H140" s="221">
        <v>16</v>
      </c>
      <c r="I140" s="221">
        <v>41.29</v>
      </c>
      <c r="J140" s="221">
        <v>16.079999999999998</v>
      </c>
      <c r="K140" s="221">
        <f t="shared" si="2"/>
        <v>-7.9999999999998295E-2</v>
      </c>
      <c r="L140" s="93"/>
    </row>
    <row r="141" spans="1:12" ht="30" x14ac:dyDescent="0.5">
      <c r="A141" s="102" t="s">
        <v>2693</v>
      </c>
      <c r="B141" s="102" t="s">
        <v>2629</v>
      </c>
      <c r="C141" s="102" t="s">
        <v>3063</v>
      </c>
      <c r="D141" s="102" t="s">
        <v>2893</v>
      </c>
      <c r="E141" s="102" t="s">
        <v>2694</v>
      </c>
      <c r="F141" s="220">
        <v>30133</v>
      </c>
      <c r="G141" s="102" t="s">
        <v>2695</v>
      </c>
      <c r="H141" s="221">
        <v>15.55</v>
      </c>
      <c r="I141" s="221">
        <v>55.59</v>
      </c>
      <c r="J141" s="221">
        <v>16.079999999999998</v>
      </c>
      <c r="K141" s="221">
        <f t="shared" si="2"/>
        <v>-0.52999999999999758</v>
      </c>
      <c r="L141" s="93"/>
    </row>
    <row r="142" spans="1:12" ht="30" x14ac:dyDescent="0.5">
      <c r="A142" s="102" t="s">
        <v>2708</v>
      </c>
      <c r="B142" s="102" t="s">
        <v>2747</v>
      </c>
      <c r="C142" s="102" t="s">
        <v>3064</v>
      </c>
      <c r="D142" s="102" t="s">
        <v>2893</v>
      </c>
      <c r="E142" s="102" t="s">
        <v>2694</v>
      </c>
      <c r="F142" s="220">
        <v>30134</v>
      </c>
      <c r="G142" s="102" t="s">
        <v>2695</v>
      </c>
      <c r="H142" s="221">
        <v>15.1</v>
      </c>
      <c r="I142" s="221">
        <v>36.08</v>
      </c>
      <c r="J142" s="221">
        <v>16.079999999999998</v>
      </c>
      <c r="K142" s="221">
        <f t="shared" si="2"/>
        <v>-0.97999999999999865</v>
      </c>
      <c r="L142" s="93"/>
    </row>
    <row r="143" spans="1:12" ht="30" x14ac:dyDescent="0.5">
      <c r="A143" s="102" t="s">
        <v>2704</v>
      </c>
      <c r="B143" s="102" t="s">
        <v>2927</v>
      </c>
      <c r="C143" s="102" t="s">
        <v>3065</v>
      </c>
      <c r="D143" s="102" t="s">
        <v>2893</v>
      </c>
      <c r="E143" s="102" t="s">
        <v>2694</v>
      </c>
      <c r="F143" s="220">
        <v>30145</v>
      </c>
      <c r="G143" s="102" t="s">
        <v>2695</v>
      </c>
      <c r="H143" s="221">
        <v>16.8</v>
      </c>
      <c r="I143" s="221">
        <v>41.7</v>
      </c>
      <c r="J143" s="221">
        <v>16.079999999999998</v>
      </c>
      <c r="K143" s="221">
        <f t="shared" si="2"/>
        <v>0.72000000000000242</v>
      </c>
      <c r="L143" s="93"/>
    </row>
    <row r="144" spans="1:12" ht="30" x14ac:dyDescent="0.5">
      <c r="A144" s="102" t="s">
        <v>2702</v>
      </c>
      <c r="B144" s="102" t="s">
        <v>2703</v>
      </c>
      <c r="C144" s="102" t="s">
        <v>3066</v>
      </c>
      <c r="D144" s="102" t="s">
        <v>2893</v>
      </c>
      <c r="E144" s="102" t="s">
        <v>2694</v>
      </c>
      <c r="F144" s="220">
        <v>30154</v>
      </c>
      <c r="G144" s="102" t="s">
        <v>2695</v>
      </c>
      <c r="H144" s="221">
        <v>14.5</v>
      </c>
      <c r="I144" s="221">
        <v>41.2</v>
      </c>
      <c r="J144" s="221">
        <v>16.34</v>
      </c>
      <c r="K144" s="221">
        <f t="shared" si="2"/>
        <v>-1.8399999999999999</v>
      </c>
      <c r="L144" s="93"/>
    </row>
    <row r="145" spans="1:12" ht="30" x14ac:dyDescent="0.5">
      <c r="A145" s="102" t="s">
        <v>2744</v>
      </c>
      <c r="B145" s="102" t="s">
        <v>2972</v>
      </c>
      <c r="C145" s="102" t="s">
        <v>3067</v>
      </c>
      <c r="D145" s="102" t="s">
        <v>2893</v>
      </c>
      <c r="E145" s="102" t="s">
        <v>2694</v>
      </c>
      <c r="F145" s="220">
        <v>30162</v>
      </c>
      <c r="G145" s="102" t="s">
        <v>2695</v>
      </c>
      <c r="H145" s="221">
        <v>14.82</v>
      </c>
      <c r="I145" s="221">
        <v>30.27</v>
      </c>
      <c r="J145" s="221">
        <v>16.34</v>
      </c>
      <c r="K145" s="221">
        <f t="shared" si="2"/>
        <v>-1.5199999999999996</v>
      </c>
      <c r="L145" s="93"/>
    </row>
    <row r="146" spans="1:12" ht="30" x14ac:dyDescent="0.5">
      <c r="A146" s="102" t="s">
        <v>2710</v>
      </c>
      <c r="B146" s="102" t="s">
        <v>2923</v>
      </c>
      <c r="C146" s="102" t="s">
        <v>3068</v>
      </c>
      <c r="D146" s="102" t="s">
        <v>2893</v>
      </c>
      <c r="E146" s="102" t="s">
        <v>2694</v>
      </c>
      <c r="F146" s="220">
        <v>30167</v>
      </c>
      <c r="G146" s="102" t="s">
        <v>2695</v>
      </c>
      <c r="H146" s="221">
        <v>15.58</v>
      </c>
      <c r="I146" s="221">
        <v>59.46</v>
      </c>
      <c r="J146" s="221">
        <v>16.34</v>
      </c>
      <c r="K146" s="221">
        <f t="shared" si="2"/>
        <v>-0.75999999999999979</v>
      </c>
      <c r="L146" s="93"/>
    </row>
    <row r="147" spans="1:12" ht="30" x14ac:dyDescent="0.5">
      <c r="A147" s="102" t="s">
        <v>2736</v>
      </c>
      <c r="B147" s="102" t="s">
        <v>2980</v>
      </c>
      <c r="C147" s="102" t="s">
        <v>3069</v>
      </c>
      <c r="D147" s="102" t="s">
        <v>2893</v>
      </c>
      <c r="E147" s="102" t="s">
        <v>2694</v>
      </c>
      <c r="F147" s="220">
        <v>30169</v>
      </c>
      <c r="G147" s="102" t="s">
        <v>2695</v>
      </c>
      <c r="H147" s="221">
        <v>16.5</v>
      </c>
      <c r="I147" s="221">
        <v>38.979999999999997</v>
      </c>
      <c r="J147" s="221">
        <v>16.34</v>
      </c>
      <c r="K147" s="221">
        <f t="shared" si="2"/>
        <v>0.16000000000000014</v>
      </c>
      <c r="L147" s="93"/>
    </row>
    <row r="148" spans="1:12" ht="30" x14ac:dyDescent="0.5">
      <c r="A148" s="102" t="s">
        <v>2739</v>
      </c>
      <c r="B148" s="102" t="s">
        <v>3070</v>
      </c>
      <c r="C148" s="102" t="s">
        <v>3071</v>
      </c>
      <c r="D148" s="102" t="s">
        <v>2893</v>
      </c>
      <c r="E148" s="102" t="s">
        <v>2694</v>
      </c>
      <c r="F148" s="220">
        <v>30174</v>
      </c>
      <c r="G148" s="102" t="s">
        <v>2695</v>
      </c>
      <c r="H148" s="221">
        <v>17.11</v>
      </c>
      <c r="I148" s="221">
        <v>32.74</v>
      </c>
      <c r="J148" s="221">
        <v>16.34</v>
      </c>
      <c r="K148" s="221">
        <f t="shared" si="2"/>
        <v>0.76999999999999957</v>
      </c>
      <c r="L148" s="93"/>
    </row>
    <row r="149" spans="1:12" ht="30" x14ac:dyDescent="0.5">
      <c r="A149" s="102" t="s">
        <v>2693</v>
      </c>
      <c r="B149" s="102" t="s">
        <v>2709</v>
      </c>
      <c r="C149" s="102" t="s">
        <v>3072</v>
      </c>
      <c r="D149" s="102" t="s">
        <v>2893</v>
      </c>
      <c r="E149" s="102" t="s">
        <v>2694</v>
      </c>
      <c r="F149" s="220">
        <v>30188</v>
      </c>
      <c r="G149" s="102" t="s">
        <v>2695</v>
      </c>
      <c r="H149" s="221">
        <v>16</v>
      </c>
      <c r="I149" s="221">
        <v>37.08</v>
      </c>
      <c r="J149" s="221">
        <v>16.46</v>
      </c>
      <c r="K149" s="221">
        <f t="shared" si="2"/>
        <v>-0.46000000000000085</v>
      </c>
      <c r="L149" s="93"/>
    </row>
    <row r="150" spans="1:12" ht="30" x14ac:dyDescent="0.5">
      <c r="A150" s="102" t="s">
        <v>2752</v>
      </c>
      <c r="B150" s="102" t="s">
        <v>2753</v>
      </c>
      <c r="C150" s="102" t="s">
        <v>3073</v>
      </c>
      <c r="D150" s="102" t="s">
        <v>2893</v>
      </c>
      <c r="E150" s="102" t="s">
        <v>2694</v>
      </c>
      <c r="F150" s="220">
        <v>30193</v>
      </c>
      <c r="G150" s="102" t="s">
        <v>2695</v>
      </c>
      <c r="H150" s="221">
        <v>16.25</v>
      </c>
      <c r="I150" s="221">
        <v>44</v>
      </c>
      <c r="J150" s="221">
        <v>16.46</v>
      </c>
      <c r="K150" s="221">
        <f t="shared" si="2"/>
        <v>-0.21000000000000085</v>
      </c>
      <c r="L150" s="93"/>
    </row>
    <row r="151" spans="1:12" ht="30" x14ac:dyDescent="0.5">
      <c r="A151" s="102" t="s">
        <v>2764</v>
      </c>
      <c r="B151" s="102" t="s">
        <v>3074</v>
      </c>
      <c r="C151" s="102" t="s">
        <v>3075</v>
      </c>
      <c r="D151" s="102" t="s">
        <v>2893</v>
      </c>
      <c r="E151" s="102" t="s">
        <v>2694</v>
      </c>
      <c r="F151" s="220">
        <v>30197</v>
      </c>
      <c r="G151" s="102" t="s">
        <v>2695</v>
      </c>
      <c r="H151" s="221">
        <v>15.5</v>
      </c>
      <c r="I151" s="221">
        <v>37.9</v>
      </c>
      <c r="J151" s="221">
        <v>16.46</v>
      </c>
      <c r="K151" s="221">
        <f t="shared" si="2"/>
        <v>-0.96000000000000085</v>
      </c>
      <c r="L151" s="93"/>
    </row>
    <row r="152" spans="1:12" ht="30" x14ac:dyDescent="0.5">
      <c r="A152" s="102" t="s">
        <v>2710</v>
      </c>
      <c r="B152" s="102" t="s">
        <v>3000</v>
      </c>
      <c r="C152" s="102" t="s">
        <v>3076</v>
      </c>
      <c r="D152" s="102" t="s">
        <v>2893</v>
      </c>
      <c r="E152" s="102" t="s">
        <v>2694</v>
      </c>
      <c r="F152" s="220">
        <v>30203</v>
      </c>
      <c r="G152" s="102" t="s">
        <v>2695</v>
      </c>
      <c r="H152" s="221">
        <v>16.04</v>
      </c>
      <c r="I152" s="221">
        <v>49.07</v>
      </c>
      <c r="J152" s="221">
        <v>16.46</v>
      </c>
      <c r="K152" s="221">
        <f t="shared" si="2"/>
        <v>-0.42000000000000171</v>
      </c>
      <c r="L152" s="93"/>
    </row>
    <row r="153" spans="1:12" ht="30" x14ac:dyDescent="0.5">
      <c r="A153" s="102" t="s">
        <v>2710</v>
      </c>
      <c r="B153" s="102" t="s">
        <v>3000</v>
      </c>
      <c r="C153" s="102" t="s">
        <v>3077</v>
      </c>
      <c r="D153" s="102" t="s">
        <v>2893</v>
      </c>
      <c r="E153" s="102" t="s">
        <v>2694</v>
      </c>
      <c r="F153" s="220">
        <v>30209</v>
      </c>
      <c r="G153" s="102" t="s">
        <v>2695</v>
      </c>
      <c r="H153" s="221">
        <v>16.04</v>
      </c>
      <c r="I153" s="221">
        <v>49.07</v>
      </c>
      <c r="J153" s="221">
        <v>15.92</v>
      </c>
      <c r="K153" s="221">
        <f t="shared" si="2"/>
        <v>0.11999999999999922</v>
      </c>
      <c r="L153" s="93"/>
    </row>
    <row r="154" spans="1:12" ht="30" x14ac:dyDescent="0.5">
      <c r="A154" s="102" t="s">
        <v>2726</v>
      </c>
      <c r="B154" s="102" t="s">
        <v>2727</v>
      </c>
      <c r="C154" s="102" t="s">
        <v>3078</v>
      </c>
      <c r="D154" s="102" t="s">
        <v>2893</v>
      </c>
      <c r="E154" s="102" t="s">
        <v>2694</v>
      </c>
      <c r="F154" s="220">
        <v>30211</v>
      </c>
      <c r="G154" s="102" t="s">
        <v>2695</v>
      </c>
      <c r="H154" s="221">
        <v>15.25</v>
      </c>
      <c r="I154" s="221">
        <v>40</v>
      </c>
      <c r="J154" s="221">
        <v>15.92</v>
      </c>
      <c r="K154" s="221">
        <f t="shared" si="2"/>
        <v>-0.66999999999999993</v>
      </c>
      <c r="L154" s="93"/>
    </row>
    <row r="155" spans="1:12" ht="30" x14ac:dyDescent="0.5">
      <c r="A155" s="102" t="s">
        <v>2757</v>
      </c>
      <c r="B155" s="102" t="s">
        <v>2765</v>
      </c>
      <c r="C155" s="102" t="s">
        <v>3079</v>
      </c>
      <c r="D155" s="102" t="s">
        <v>2893</v>
      </c>
      <c r="E155" s="102" t="s">
        <v>2694</v>
      </c>
      <c r="F155" s="220">
        <v>30223</v>
      </c>
      <c r="G155" s="102" t="s">
        <v>2695</v>
      </c>
      <c r="H155" s="221">
        <v>14.5</v>
      </c>
      <c r="I155" s="221">
        <v>38.25</v>
      </c>
      <c r="J155" s="221">
        <v>15.92</v>
      </c>
      <c r="K155" s="221">
        <f t="shared" si="2"/>
        <v>-1.42</v>
      </c>
      <c r="L155" s="93"/>
    </row>
    <row r="156" spans="1:12" ht="30" x14ac:dyDescent="0.5">
      <c r="A156" s="102" t="s">
        <v>2699</v>
      </c>
      <c r="B156" s="102" t="s">
        <v>2628</v>
      </c>
      <c r="C156" s="102" t="s">
        <v>3080</v>
      </c>
      <c r="D156" s="102" t="s">
        <v>2893</v>
      </c>
      <c r="E156" s="102" t="s">
        <v>2694</v>
      </c>
      <c r="F156" s="220">
        <v>30224</v>
      </c>
      <c r="G156" s="102" t="s">
        <v>2695</v>
      </c>
      <c r="H156" s="221">
        <v>16.7</v>
      </c>
      <c r="I156" s="221">
        <v>33.799999999999997</v>
      </c>
      <c r="J156" s="221">
        <v>15.92</v>
      </c>
      <c r="K156" s="221">
        <f t="shared" si="2"/>
        <v>0.77999999999999936</v>
      </c>
      <c r="L156" s="93"/>
    </row>
    <row r="157" spans="1:12" ht="30" x14ac:dyDescent="0.5">
      <c r="A157" s="102" t="s">
        <v>2717</v>
      </c>
      <c r="B157" s="102" t="s">
        <v>2939</v>
      </c>
      <c r="C157" s="102" t="s">
        <v>3081</v>
      </c>
      <c r="D157" s="102" t="s">
        <v>2893</v>
      </c>
      <c r="E157" s="102" t="s">
        <v>2694</v>
      </c>
      <c r="F157" s="220">
        <v>30224</v>
      </c>
      <c r="G157" s="102" t="s">
        <v>2695</v>
      </c>
      <c r="H157" s="221">
        <v>16.5</v>
      </c>
      <c r="I157" s="221">
        <v>33.14</v>
      </c>
      <c r="J157" s="221">
        <v>15.92</v>
      </c>
      <c r="K157" s="221">
        <f t="shared" si="2"/>
        <v>0.58000000000000007</v>
      </c>
      <c r="L157" s="93"/>
    </row>
    <row r="158" spans="1:12" ht="30" x14ac:dyDescent="0.5">
      <c r="A158" s="102" t="s">
        <v>2700</v>
      </c>
      <c r="B158" s="102" t="s">
        <v>3082</v>
      </c>
      <c r="C158" s="102" t="s">
        <v>3083</v>
      </c>
      <c r="D158" s="102" t="s">
        <v>2893</v>
      </c>
      <c r="E158" s="102" t="s">
        <v>2694</v>
      </c>
      <c r="F158" s="220">
        <v>30224</v>
      </c>
      <c r="G158" s="102" t="s">
        <v>2695</v>
      </c>
      <c r="H158" s="221">
        <v>15.5</v>
      </c>
      <c r="I158" s="221">
        <v>52</v>
      </c>
      <c r="J158" s="221">
        <v>15.92</v>
      </c>
      <c r="K158" s="221">
        <f t="shared" si="2"/>
        <v>-0.41999999999999993</v>
      </c>
      <c r="L158" s="93"/>
    </row>
    <row r="159" spans="1:12" ht="30" x14ac:dyDescent="0.5">
      <c r="A159" s="102" t="s">
        <v>2754</v>
      </c>
      <c r="B159" s="102" t="s">
        <v>2755</v>
      </c>
      <c r="C159" s="102" t="s">
        <v>3084</v>
      </c>
      <c r="D159" s="102" t="s">
        <v>2893</v>
      </c>
      <c r="E159" s="102" t="s">
        <v>2694</v>
      </c>
      <c r="F159" s="220">
        <v>30224</v>
      </c>
      <c r="G159" s="102" t="s">
        <v>2695</v>
      </c>
      <c r="H159" s="221">
        <v>14.74</v>
      </c>
      <c r="I159" s="221">
        <v>41.75</v>
      </c>
      <c r="J159" s="221">
        <v>15.92</v>
      </c>
      <c r="K159" s="221">
        <f t="shared" si="2"/>
        <v>-1.1799999999999997</v>
      </c>
      <c r="L159" s="93"/>
    </row>
    <row r="160" spans="1:12" ht="30" x14ac:dyDescent="0.5">
      <c r="A160" s="102" t="s">
        <v>2712</v>
      </c>
      <c r="B160" s="102" t="s">
        <v>3085</v>
      </c>
      <c r="C160" s="102" t="s">
        <v>3086</v>
      </c>
      <c r="D160" s="102" t="s">
        <v>2893</v>
      </c>
      <c r="E160" s="102" t="s">
        <v>2694</v>
      </c>
      <c r="F160" s="220">
        <v>30232</v>
      </c>
      <c r="G160" s="102" t="s">
        <v>2695</v>
      </c>
      <c r="H160" s="221">
        <v>15</v>
      </c>
      <c r="I160" s="221">
        <v>38</v>
      </c>
      <c r="J160" s="221">
        <v>15.92</v>
      </c>
      <c r="K160" s="221">
        <f t="shared" si="2"/>
        <v>-0.91999999999999993</v>
      </c>
      <c r="L160" s="93"/>
    </row>
    <row r="161" spans="1:12" ht="30" x14ac:dyDescent="0.5">
      <c r="A161" s="102" t="s">
        <v>2704</v>
      </c>
      <c r="B161" s="102" t="s">
        <v>2750</v>
      </c>
      <c r="C161" s="102" t="s">
        <v>3087</v>
      </c>
      <c r="D161" s="102" t="s">
        <v>2893</v>
      </c>
      <c r="E161" s="102" t="s">
        <v>2694</v>
      </c>
      <c r="F161" s="220">
        <v>30239</v>
      </c>
      <c r="G161" s="102" t="s">
        <v>2695</v>
      </c>
      <c r="H161" s="221">
        <v>15.9</v>
      </c>
      <c r="I161" s="221">
        <v>40.46</v>
      </c>
      <c r="J161" s="221">
        <v>15.45</v>
      </c>
      <c r="K161" s="221">
        <f t="shared" si="2"/>
        <v>0.45000000000000107</v>
      </c>
      <c r="L161" s="93"/>
    </row>
    <row r="162" spans="1:12" ht="30" x14ac:dyDescent="0.5">
      <c r="A162" s="102" t="s">
        <v>2704</v>
      </c>
      <c r="B162" s="102" t="s">
        <v>2934</v>
      </c>
      <c r="C162" s="102" t="s">
        <v>3088</v>
      </c>
      <c r="D162" s="102" t="s">
        <v>2893</v>
      </c>
      <c r="E162" s="102" t="s">
        <v>2694</v>
      </c>
      <c r="F162" s="220">
        <v>30243</v>
      </c>
      <c r="G162" s="102" t="s">
        <v>2695</v>
      </c>
      <c r="H162" s="221">
        <v>15.9</v>
      </c>
      <c r="I162" s="221">
        <v>40.299999999999997</v>
      </c>
      <c r="J162" s="221">
        <v>15.45</v>
      </c>
      <c r="K162" s="221">
        <f t="shared" si="2"/>
        <v>0.45000000000000107</v>
      </c>
      <c r="L162" s="93"/>
    </row>
    <row r="163" spans="1:12" ht="30" x14ac:dyDescent="0.5">
      <c r="A163" s="102" t="s">
        <v>2739</v>
      </c>
      <c r="B163" s="102" t="s">
        <v>2956</v>
      </c>
      <c r="C163" s="102" t="s">
        <v>3089</v>
      </c>
      <c r="D163" s="102" t="s">
        <v>2893</v>
      </c>
      <c r="E163" s="102" t="s">
        <v>2694</v>
      </c>
      <c r="F163" s="220">
        <v>30251</v>
      </c>
      <c r="G163" s="102" t="s">
        <v>2695</v>
      </c>
      <c r="H163" s="221">
        <v>17</v>
      </c>
      <c r="I163" s="221">
        <v>36.6</v>
      </c>
      <c r="J163" s="221">
        <v>15.45</v>
      </c>
      <c r="K163" s="221">
        <f t="shared" si="2"/>
        <v>1.5500000000000007</v>
      </c>
      <c r="L163" s="93"/>
    </row>
    <row r="164" spans="1:12" ht="30" x14ac:dyDescent="0.5">
      <c r="A164" s="102" t="s">
        <v>2702</v>
      </c>
      <c r="B164" s="102" t="s">
        <v>3007</v>
      </c>
      <c r="C164" s="102" t="s">
        <v>3090</v>
      </c>
      <c r="D164" s="102" t="s">
        <v>2893</v>
      </c>
      <c r="E164" s="102" t="s">
        <v>2694</v>
      </c>
      <c r="F164" s="220">
        <v>30252</v>
      </c>
      <c r="G164" s="102" t="s">
        <v>2695</v>
      </c>
      <c r="H164" s="221">
        <v>14.75</v>
      </c>
      <c r="I164" s="221">
        <v>44.73</v>
      </c>
      <c r="J164" s="221">
        <v>15.45</v>
      </c>
      <c r="K164" s="221">
        <f t="shared" si="2"/>
        <v>-0.69999999999999929</v>
      </c>
      <c r="L164" s="93"/>
    </row>
    <row r="165" spans="1:12" ht="30" x14ac:dyDescent="0.5">
      <c r="A165" s="102" t="s">
        <v>2723</v>
      </c>
      <c r="B165" s="102" t="s">
        <v>2949</v>
      </c>
      <c r="C165" s="102" t="s">
        <v>3091</v>
      </c>
      <c r="D165" s="102" t="s">
        <v>2893</v>
      </c>
      <c r="E165" s="102" t="s">
        <v>2694</v>
      </c>
      <c r="F165" s="220">
        <v>30257</v>
      </c>
      <c r="G165" s="102" t="s">
        <v>2695</v>
      </c>
      <c r="H165" s="221">
        <v>16.25</v>
      </c>
      <c r="I165" s="221">
        <v>36.64</v>
      </c>
      <c r="J165" s="221">
        <v>15.45</v>
      </c>
      <c r="K165" s="221">
        <f t="shared" si="2"/>
        <v>0.80000000000000071</v>
      </c>
      <c r="L165" s="93"/>
    </row>
    <row r="166" spans="1:12" ht="30" x14ac:dyDescent="0.5">
      <c r="A166" s="102" t="s">
        <v>2726</v>
      </c>
      <c r="B166" s="102" t="s">
        <v>2946</v>
      </c>
      <c r="C166" s="102" t="s">
        <v>3092</v>
      </c>
      <c r="D166" s="102" t="s">
        <v>2893</v>
      </c>
      <c r="E166" s="102" t="s">
        <v>2694</v>
      </c>
      <c r="F166" s="220">
        <v>30259</v>
      </c>
      <c r="G166" s="102" t="s">
        <v>2695</v>
      </c>
      <c r="H166" s="221">
        <v>15.75</v>
      </c>
      <c r="I166" s="221">
        <v>41.09</v>
      </c>
      <c r="J166" s="221">
        <v>15.45</v>
      </c>
      <c r="K166" s="221">
        <f t="shared" si="2"/>
        <v>0.30000000000000071</v>
      </c>
      <c r="L166" s="93"/>
    </row>
    <row r="167" spans="1:12" ht="30" x14ac:dyDescent="0.5">
      <c r="A167" s="102" t="s">
        <v>2738</v>
      </c>
      <c r="B167" s="102" t="s">
        <v>2939</v>
      </c>
      <c r="C167" s="102" t="s">
        <v>3093</v>
      </c>
      <c r="D167" s="102" t="s">
        <v>2893</v>
      </c>
      <c r="E167" s="102" t="s">
        <v>2694</v>
      </c>
      <c r="F167" s="220">
        <v>30272</v>
      </c>
      <c r="G167" s="102" t="s">
        <v>2695</v>
      </c>
      <c r="H167" s="221">
        <v>16</v>
      </c>
      <c r="I167" s="221">
        <v>40.5</v>
      </c>
      <c r="J167" s="221">
        <v>14.98</v>
      </c>
      <c r="K167" s="221">
        <f t="shared" si="2"/>
        <v>1.0199999999999996</v>
      </c>
      <c r="L167" s="93"/>
    </row>
    <row r="168" spans="1:12" ht="30" x14ac:dyDescent="0.5">
      <c r="A168" s="102" t="s">
        <v>2693</v>
      </c>
      <c r="B168" s="102" t="s">
        <v>2742</v>
      </c>
      <c r="C168" s="102" t="s">
        <v>3094</v>
      </c>
      <c r="D168" s="102" t="s">
        <v>2893</v>
      </c>
      <c r="E168" s="102" t="s">
        <v>2694</v>
      </c>
      <c r="F168" s="220">
        <v>30278</v>
      </c>
      <c r="G168" s="102" t="s">
        <v>2695</v>
      </c>
      <c r="H168" s="221">
        <v>15.5</v>
      </c>
      <c r="I168" s="221">
        <v>40.68</v>
      </c>
      <c r="J168" s="221">
        <v>14.98</v>
      </c>
      <c r="K168" s="221">
        <f t="shared" si="2"/>
        <v>0.51999999999999957</v>
      </c>
      <c r="L168" s="93"/>
    </row>
    <row r="169" spans="1:12" ht="30" x14ac:dyDescent="0.5">
      <c r="A169" s="102" t="s">
        <v>2698</v>
      </c>
      <c r="B169" s="102" t="s">
        <v>2895</v>
      </c>
      <c r="C169" s="102" t="s">
        <v>3095</v>
      </c>
      <c r="D169" s="102" t="s">
        <v>2893</v>
      </c>
      <c r="E169" s="102" t="s">
        <v>2694</v>
      </c>
      <c r="F169" s="220">
        <v>30279</v>
      </c>
      <c r="G169" s="102" t="s">
        <v>2695</v>
      </c>
      <c r="H169" s="221">
        <v>16.02</v>
      </c>
      <c r="I169" s="221">
        <v>39.5</v>
      </c>
      <c r="J169" s="221">
        <v>14.98</v>
      </c>
      <c r="K169" s="221">
        <f t="shared" si="2"/>
        <v>1.0399999999999991</v>
      </c>
      <c r="L169" s="93"/>
    </row>
    <row r="170" spans="1:12" ht="30" x14ac:dyDescent="0.5">
      <c r="A170" s="102" t="s">
        <v>2766</v>
      </c>
      <c r="B170" s="102" t="s">
        <v>2895</v>
      </c>
      <c r="C170" s="102" t="s">
        <v>3096</v>
      </c>
      <c r="D170" s="102" t="s">
        <v>2893</v>
      </c>
      <c r="E170" s="102" t="s">
        <v>2694</v>
      </c>
      <c r="F170" s="220">
        <v>30279</v>
      </c>
      <c r="G170" s="102" t="s">
        <v>2695</v>
      </c>
      <c r="H170" s="221">
        <v>14.5</v>
      </c>
      <c r="I170" s="221">
        <v>36.82</v>
      </c>
      <c r="J170" s="221">
        <v>14.98</v>
      </c>
      <c r="K170" s="221">
        <f t="shared" si="2"/>
        <v>-0.48000000000000043</v>
      </c>
      <c r="L170" s="93"/>
    </row>
    <row r="171" spans="1:12" ht="30" x14ac:dyDescent="0.5">
      <c r="A171" s="102" t="s">
        <v>2700</v>
      </c>
      <c r="B171" s="102" t="s">
        <v>3097</v>
      </c>
      <c r="C171" s="102" t="s">
        <v>3098</v>
      </c>
      <c r="D171" s="102" t="s">
        <v>2893</v>
      </c>
      <c r="E171" s="102" t="s">
        <v>2694</v>
      </c>
      <c r="F171" s="220">
        <v>30285</v>
      </c>
      <c r="G171" s="102" t="s">
        <v>2695</v>
      </c>
      <c r="H171" s="221">
        <v>16.100000000000001</v>
      </c>
      <c r="I171" s="221">
        <v>32.92</v>
      </c>
      <c r="J171" s="221">
        <v>14.98</v>
      </c>
      <c r="K171" s="221">
        <f t="shared" si="2"/>
        <v>1.120000000000001</v>
      </c>
      <c r="L171" s="93"/>
    </row>
    <row r="172" spans="1:12" ht="30" x14ac:dyDescent="0.5">
      <c r="A172" s="102" t="s">
        <v>2731</v>
      </c>
      <c r="B172" s="102" t="s">
        <v>2939</v>
      </c>
      <c r="C172" s="102" t="s">
        <v>3099</v>
      </c>
      <c r="D172" s="102" t="s">
        <v>2893</v>
      </c>
      <c r="E172" s="102" t="s">
        <v>2694</v>
      </c>
      <c r="F172" s="220">
        <v>30285</v>
      </c>
      <c r="G172" s="102" t="s">
        <v>2695</v>
      </c>
      <c r="H172" s="221">
        <v>16</v>
      </c>
      <c r="I172" s="221" t="s">
        <v>14</v>
      </c>
      <c r="J172" s="221">
        <v>14.98</v>
      </c>
      <c r="K172" s="221">
        <f t="shared" si="2"/>
        <v>1.0199999999999996</v>
      </c>
      <c r="L172" s="93"/>
    </row>
    <row r="173" spans="1:12" ht="30" x14ac:dyDescent="0.5">
      <c r="A173" s="102" t="s">
        <v>2743</v>
      </c>
      <c r="B173" s="102" t="s">
        <v>3012</v>
      </c>
      <c r="C173" s="102" t="s">
        <v>3100</v>
      </c>
      <c r="D173" s="102" t="s">
        <v>2893</v>
      </c>
      <c r="E173" s="102" t="s">
        <v>2694</v>
      </c>
      <c r="F173" s="220">
        <v>30285</v>
      </c>
      <c r="G173" s="102" t="s">
        <v>2695</v>
      </c>
      <c r="H173" s="221">
        <v>15.65</v>
      </c>
      <c r="I173" s="221">
        <v>53.17</v>
      </c>
      <c r="J173" s="221">
        <v>14.98</v>
      </c>
      <c r="K173" s="221">
        <f t="shared" si="2"/>
        <v>0.66999999999999993</v>
      </c>
      <c r="L173" s="93"/>
    </row>
    <row r="174" spans="1:12" ht="30" x14ac:dyDescent="0.5">
      <c r="A174" s="102" t="s">
        <v>2700</v>
      </c>
      <c r="B174" s="102" t="s">
        <v>3035</v>
      </c>
      <c r="C174" s="102" t="s">
        <v>3101</v>
      </c>
      <c r="D174" s="102" t="s">
        <v>2893</v>
      </c>
      <c r="E174" s="102" t="s">
        <v>2694</v>
      </c>
      <c r="F174" s="220">
        <v>30285</v>
      </c>
      <c r="G174" s="102" t="s">
        <v>2695</v>
      </c>
      <c r="H174" s="221">
        <v>15.5</v>
      </c>
      <c r="I174" s="221">
        <v>33.200000000000003</v>
      </c>
      <c r="J174" s="221">
        <v>14.98</v>
      </c>
      <c r="K174" s="221">
        <f t="shared" si="2"/>
        <v>0.51999999999999957</v>
      </c>
      <c r="L174" s="93"/>
    </row>
    <row r="175" spans="1:12" ht="30" x14ac:dyDescent="0.5">
      <c r="A175" s="102" t="s">
        <v>2700</v>
      </c>
      <c r="B175" s="102" t="s">
        <v>2898</v>
      </c>
      <c r="C175" s="102" t="s">
        <v>3102</v>
      </c>
      <c r="D175" s="102" t="s">
        <v>2893</v>
      </c>
      <c r="E175" s="102" t="s">
        <v>2694</v>
      </c>
      <c r="F175" s="220">
        <v>30285</v>
      </c>
      <c r="G175" s="102" t="s">
        <v>2695</v>
      </c>
      <c r="H175" s="221">
        <v>15.5</v>
      </c>
      <c r="I175" s="221">
        <v>51.72</v>
      </c>
      <c r="J175" s="221">
        <v>14.98</v>
      </c>
      <c r="K175" s="221">
        <f t="shared" si="2"/>
        <v>0.51999999999999957</v>
      </c>
      <c r="L175" s="93"/>
    </row>
    <row r="176" spans="1:12" ht="30" x14ac:dyDescent="0.5">
      <c r="A176" s="102" t="s">
        <v>2767</v>
      </c>
      <c r="B176" s="102" t="s">
        <v>2944</v>
      </c>
      <c r="C176" s="102" t="s">
        <v>3103</v>
      </c>
      <c r="D176" s="102" t="s">
        <v>2893</v>
      </c>
      <c r="E176" s="102" t="s">
        <v>2694</v>
      </c>
      <c r="F176" s="220">
        <v>30285</v>
      </c>
      <c r="G176" s="102" t="s">
        <v>2695</v>
      </c>
      <c r="H176" s="221">
        <v>12.98</v>
      </c>
      <c r="I176" s="221" t="s">
        <v>14</v>
      </c>
      <c r="J176" s="221">
        <v>14.98</v>
      </c>
      <c r="K176" s="221">
        <f t="shared" si="2"/>
        <v>-2</v>
      </c>
      <c r="L176" s="93"/>
    </row>
    <row r="177" spans="1:12" ht="30" x14ac:dyDescent="0.5">
      <c r="A177" s="102" t="s">
        <v>2706</v>
      </c>
      <c r="B177" s="102" t="s">
        <v>2906</v>
      </c>
      <c r="C177" s="102" t="s">
        <v>3104</v>
      </c>
      <c r="D177" s="102" t="s">
        <v>2893</v>
      </c>
      <c r="E177" s="102" t="s">
        <v>2694</v>
      </c>
      <c r="F177" s="220">
        <v>30288</v>
      </c>
      <c r="G177" s="102" t="s">
        <v>2695</v>
      </c>
      <c r="H177" s="221">
        <v>15.33</v>
      </c>
      <c r="I177" s="221">
        <v>32.78</v>
      </c>
      <c r="J177" s="221">
        <v>14.98</v>
      </c>
      <c r="K177" s="221">
        <f t="shared" si="2"/>
        <v>0.34999999999999964</v>
      </c>
      <c r="L177" s="93"/>
    </row>
    <row r="178" spans="1:12" ht="30" x14ac:dyDescent="0.5">
      <c r="A178" s="102" t="s">
        <v>2738</v>
      </c>
      <c r="B178" s="102" t="s">
        <v>2954</v>
      </c>
      <c r="C178" s="102" t="s">
        <v>3105</v>
      </c>
      <c r="D178" s="102" t="s">
        <v>2893</v>
      </c>
      <c r="E178" s="102" t="s">
        <v>2694</v>
      </c>
      <c r="F178" s="220">
        <v>30293</v>
      </c>
      <c r="G178" s="102" t="s">
        <v>2695</v>
      </c>
      <c r="H178" s="221">
        <v>15.75</v>
      </c>
      <c r="I178" s="221">
        <v>42</v>
      </c>
      <c r="J178" s="221">
        <v>14.98</v>
      </c>
      <c r="K178" s="221">
        <f t="shared" si="2"/>
        <v>0.76999999999999957</v>
      </c>
      <c r="L178" s="93"/>
    </row>
    <row r="179" spans="1:12" ht="30" x14ac:dyDescent="0.5">
      <c r="A179" s="102" t="s">
        <v>2768</v>
      </c>
      <c r="B179" s="102" t="s">
        <v>3106</v>
      </c>
      <c r="C179" s="102" t="s">
        <v>3107</v>
      </c>
      <c r="D179" s="102" t="s">
        <v>2893</v>
      </c>
      <c r="E179" s="102" t="s">
        <v>2694</v>
      </c>
      <c r="F179" s="220">
        <v>30298</v>
      </c>
      <c r="G179" s="102" t="s">
        <v>2695</v>
      </c>
      <c r="H179" s="221">
        <v>16</v>
      </c>
      <c r="I179" s="221">
        <v>49.72</v>
      </c>
      <c r="J179" s="221">
        <v>14.98</v>
      </c>
      <c r="K179" s="221">
        <f t="shared" si="2"/>
        <v>1.0199999999999996</v>
      </c>
      <c r="L179" s="93"/>
    </row>
    <row r="180" spans="1:12" ht="30" x14ac:dyDescent="0.5">
      <c r="A180" s="102" t="s">
        <v>2723</v>
      </c>
      <c r="B180" s="102" t="s">
        <v>2730</v>
      </c>
      <c r="C180" s="102" t="s">
        <v>3108</v>
      </c>
      <c r="D180" s="102" t="s">
        <v>2893</v>
      </c>
      <c r="E180" s="102" t="s">
        <v>2694</v>
      </c>
      <c r="F180" s="220">
        <v>30299</v>
      </c>
      <c r="G180" s="102" t="s">
        <v>2695</v>
      </c>
      <c r="H180" s="221">
        <v>16.399999999999999</v>
      </c>
      <c r="I180" s="221">
        <v>37.369999999999997</v>
      </c>
      <c r="J180" s="221">
        <v>14.98</v>
      </c>
      <c r="K180" s="221">
        <f t="shared" si="2"/>
        <v>1.4199999999999982</v>
      </c>
      <c r="L180" s="93"/>
    </row>
    <row r="181" spans="1:12" ht="30" x14ac:dyDescent="0.5">
      <c r="A181" s="102" t="s">
        <v>2696</v>
      </c>
      <c r="B181" s="102" t="s">
        <v>2769</v>
      </c>
      <c r="C181" s="102" t="s">
        <v>3109</v>
      </c>
      <c r="D181" s="102" t="s">
        <v>2893</v>
      </c>
      <c r="E181" s="102" t="s">
        <v>2694</v>
      </c>
      <c r="F181" s="220">
        <v>30302</v>
      </c>
      <c r="G181" s="102" t="s">
        <v>2695</v>
      </c>
      <c r="H181" s="221">
        <v>16.25</v>
      </c>
      <c r="I181" s="221">
        <v>43.7</v>
      </c>
      <c r="J181" s="221">
        <v>14.46</v>
      </c>
      <c r="K181" s="221">
        <f t="shared" si="2"/>
        <v>1.7899999999999991</v>
      </c>
      <c r="L181" s="93"/>
    </row>
    <row r="182" spans="1:12" ht="30" x14ac:dyDescent="0.5">
      <c r="A182" s="102" t="s">
        <v>2766</v>
      </c>
      <c r="B182" s="102" t="s">
        <v>3110</v>
      </c>
      <c r="C182" s="102" t="s">
        <v>3111</v>
      </c>
      <c r="D182" s="102" t="s">
        <v>2893</v>
      </c>
      <c r="E182" s="102" t="s">
        <v>2694</v>
      </c>
      <c r="F182" s="220">
        <v>30305</v>
      </c>
      <c r="G182" s="102" t="s">
        <v>2695</v>
      </c>
      <c r="H182" s="221">
        <v>15</v>
      </c>
      <c r="I182" s="221">
        <v>35.6</v>
      </c>
      <c r="J182" s="221">
        <v>14.46</v>
      </c>
      <c r="K182" s="221">
        <f t="shared" si="2"/>
        <v>0.53999999999999915</v>
      </c>
      <c r="L182" s="93"/>
    </row>
    <row r="183" spans="1:12" ht="30" x14ac:dyDescent="0.5">
      <c r="A183" s="102" t="s">
        <v>2704</v>
      </c>
      <c r="B183" s="102" t="s">
        <v>2910</v>
      </c>
      <c r="C183" s="102" t="s">
        <v>3112</v>
      </c>
      <c r="D183" s="102" t="s">
        <v>2893</v>
      </c>
      <c r="E183" s="102" t="s">
        <v>2694</v>
      </c>
      <c r="F183" s="220">
        <v>30306</v>
      </c>
      <c r="G183" s="102" t="s">
        <v>2695</v>
      </c>
      <c r="H183" s="221">
        <v>15.7</v>
      </c>
      <c r="I183" s="221">
        <v>46</v>
      </c>
      <c r="J183" s="221">
        <v>14.46</v>
      </c>
      <c r="K183" s="221">
        <f t="shared" si="2"/>
        <v>1.2399999999999984</v>
      </c>
      <c r="L183" s="93"/>
    </row>
    <row r="184" spans="1:12" ht="30" x14ac:dyDescent="0.5">
      <c r="A184" s="102" t="s">
        <v>2693</v>
      </c>
      <c r="B184" s="102" t="s">
        <v>2959</v>
      </c>
      <c r="C184" s="102" t="s">
        <v>3113</v>
      </c>
      <c r="D184" s="102" t="s">
        <v>2893</v>
      </c>
      <c r="E184" s="102" t="s">
        <v>2694</v>
      </c>
      <c r="F184" s="220">
        <v>30313</v>
      </c>
      <c r="G184" s="102" t="s">
        <v>2695</v>
      </c>
      <c r="H184" s="221">
        <v>15.25</v>
      </c>
      <c r="I184" s="221">
        <v>42.41</v>
      </c>
      <c r="J184" s="221">
        <v>14.46</v>
      </c>
      <c r="K184" s="221">
        <f t="shared" si="2"/>
        <v>0.78999999999999915</v>
      </c>
      <c r="L184" s="93"/>
    </row>
    <row r="185" spans="1:12" ht="30" x14ac:dyDescent="0.5">
      <c r="A185" s="102" t="s">
        <v>2693</v>
      </c>
      <c r="B185" s="102" t="s">
        <v>2961</v>
      </c>
      <c r="C185" s="102" t="s">
        <v>3114</v>
      </c>
      <c r="D185" s="102" t="s">
        <v>2893</v>
      </c>
      <c r="E185" s="102" t="s">
        <v>2694</v>
      </c>
      <c r="F185" s="220">
        <v>30313</v>
      </c>
      <c r="G185" s="102" t="s">
        <v>2695</v>
      </c>
      <c r="H185" s="221">
        <v>15.25</v>
      </c>
      <c r="I185" s="221">
        <v>42.75</v>
      </c>
      <c r="J185" s="221">
        <v>14.46</v>
      </c>
      <c r="K185" s="221">
        <f t="shared" si="2"/>
        <v>0.78999999999999915</v>
      </c>
      <c r="L185" s="93"/>
    </row>
    <row r="186" spans="1:12" ht="30" x14ac:dyDescent="0.5">
      <c r="A186" s="102" t="s">
        <v>2736</v>
      </c>
      <c r="B186" s="102" t="s">
        <v>2727</v>
      </c>
      <c r="C186" s="102" t="s">
        <v>3115</v>
      </c>
      <c r="D186" s="102" t="s">
        <v>2893</v>
      </c>
      <c r="E186" s="102" t="s">
        <v>2694</v>
      </c>
      <c r="F186" s="220">
        <v>30314</v>
      </c>
      <c r="G186" s="102" t="s">
        <v>2695</v>
      </c>
      <c r="H186" s="221">
        <v>16.25</v>
      </c>
      <c r="I186" s="221">
        <v>38</v>
      </c>
      <c r="J186" s="221">
        <v>14.46</v>
      </c>
      <c r="K186" s="221">
        <f t="shared" si="2"/>
        <v>1.7899999999999991</v>
      </c>
      <c r="L186" s="93"/>
    </row>
    <row r="187" spans="1:12" ht="30" x14ac:dyDescent="0.5">
      <c r="A187" s="102" t="s">
        <v>2736</v>
      </c>
      <c r="B187" s="102" t="s">
        <v>2737</v>
      </c>
      <c r="C187" s="102" t="s">
        <v>3116</v>
      </c>
      <c r="D187" s="102" t="s">
        <v>2893</v>
      </c>
      <c r="E187" s="102" t="s">
        <v>2694</v>
      </c>
      <c r="F187" s="220">
        <v>30314</v>
      </c>
      <c r="G187" s="102" t="s">
        <v>2695</v>
      </c>
      <c r="H187" s="221">
        <v>16.25</v>
      </c>
      <c r="I187" s="221">
        <v>35</v>
      </c>
      <c r="J187" s="221">
        <v>14.46</v>
      </c>
      <c r="K187" s="221">
        <f t="shared" si="2"/>
        <v>1.7899999999999991</v>
      </c>
      <c r="L187" s="93"/>
    </row>
    <row r="188" spans="1:12" ht="30" x14ac:dyDescent="0.5">
      <c r="A188" s="102" t="s">
        <v>2704</v>
      </c>
      <c r="B188" s="102" t="s">
        <v>2725</v>
      </c>
      <c r="C188" s="102" t="s">
        <v>3117</v>
      </c>
      <c r="D188" s="102" t="s">
        <v>2893</v>
      </c>
      <c r="E188" s="102" t="s">
        <v>2694</v>
      </c>
      <c r="F188" s="220">
        <v>30327</v>
      </c>
      <c r="G188" s="102" t="s">
        <v>2695</v>
      </c>
      <c r="H188" s="221">
        <v>15.9</v>
      </c>
      <c r="I188" s="221">
        <v>40.69</v>
      </c>
      <c r="J188" s="221">
        <v>14.46</v>
      </c>
      <c r="K188" s="221">
        <f t="shared" si="2"/>
        <v>1.4399999999999995</v>
      </c>
      <c r="L188" s="93"/>
    </row>
    <row r="189" spans="1:12" ht="30" x14ac:dyDescent="0.5">
      <c r="A189" s="102" t="s">
        <v>2693</v>
      </c>
      <c r="B189" s="102" t="s">
        <v>2742</v>
      </c>
      <c r="C189" s="102" t="s">
        <v>3118</v>
      </c>
      <c r="D189" s="102" t="s">
        <v>2893</v>
      </c>
      <c r="E189" s="102" t="s">
        <v>2694</v>
      </c>
      <c r="F189" s="220">
        <v>30328</v>
      </c>
      <c r="G189" s="102" t="s">
        <v>2695</v>
      </c>
      <c r="H189" s="221">
        <v>15.5</v>
      </c>
      <c r="I189" s="221">
        <v>42.82</v>
      </c>
      <c r="J189" s="221">
        <v>14.46</v>
      </c>
      <c r="K189" s="221">
        <f t="shared" si="2"/>
        <v>1.0399999999999991</v>
      </c>
      <c r="L189" s="93"/>
    </row>
    <row r="190" spans="1:12" ht="30" x14ac:dyDescent="0.5">
      <c r="A190" s="102" t="s">
        <v>2702</v>
      </c>
      <c r="B190" s="102" t="s">
        <v>2903</v>
      </c>
      <c r="C190" s="102" t="s">
        <v>3119</v>
      </c>
      <c r="D190" s="102" t="s">
        <v>2893</v>
      </c>
      <c r="E190" s="102" t="s">
        <v>2694</v>
      </c>
      <c r="F190" s="220">
        <v>30334</v>
      </c>
      <c r="G190" s="102" t="s">
        <v>2695</v>
      </c>
      <c r="H190" s="221">
        <v>15</v>
      </c>
      <c r="I190" s="221">
        <v>43.07</v>
      </c>
      <c r="J190" s="221">
        <v>14.43</v>
      </c>
      <c r="K190" s="221">
        <f t="shared" si="2"/>
        <v>0.57000000000000028</v>
      </c>
      <c r="L190" s="93"/>
    </row>
    <row r="191" spans="1:12" ht="30" x14ac:dyDescent="0.5">
      <c r="A191" s="102" t="s">
        <v>2731</v>
      </c>
      <c r="B191" s="102" t="s">
        <v>2939</v>
      </c>
      <c r="C191" s="102" t="s">
        <v>3120</v>
      </c>
      <c r="D191" s="102" t="s">
        <v>2893</v>
      </c>
      <c r="E191" s="102" t="s">
        <v>2694</v>
      </c>
      <c r="F191" s="220">
        <v>30340</v>
      </c>
      <c r="G191" s="102" t="s">
        <v>2695</v>
      </c>
      <c r="H191" s="221">
        <v>16</v>
      </c>
      <c r="I191" s="221">
        <v>34.229999999999997</v>
      </c>
      <c r="J191" s="221">
        <v>14.43</v>
      </c>
      <c r="K191" s="221">
        <f t="shared" si="2"/>
        <v>1.5700000000000003</v>
      </c>
      <c r="L191" s="93"/>
    </row>
    <row r="192" spans="1:12" ht="30" x14ac:dyDescent="0.5">
      <c r="A192" s="102" t="s">
        <v>2704</v>
      </c>
      <c r="B192" s="102" t="s">
        <v>3121</v>
      </c>
      <c r="C192" s="102" t="s">
        <v>3122</v>
      </c>
      <c r="D192" s="102" t="s">
        <v>2893</v>
      </c>
      <c r="E192" s="102" t="s">
        <v>2694</v>
      </c>
      <c r="F192" s="220">
        <v>30340</v>
      </c>
      <c r="G192" s="102" t="s">
        <v>2695</v>
      </c>
      <c r="H192" s="221">
        <v>15.5</v>
      </c>
      <c r="I192" s="221">
        <v>44.59</v>
      </c>
      <c r="J192" s="221">
        <v>14.43</v>
      </c>
      <c r="K192" s="221">
        <f t="shared" si="2"/>
        <v>1.0700000000000003</v>
      </c>
      <c r="L192" s="93"/>
    </row>
    <row r="193" spans="1:12" ht="30" x14ac:dyDescent="0.5">
      <c r="A193" s="102" t="s">
        <v>2754</v>
      </c>
      <c r="B193" s="102" t="s">
        <v>3123</v>
      </c>
      <c r="C193" s="102" t="s">
        <v>3124</v>
      </c>
      <c r="D193" s="102" t="s">
        <v>2893</v>
      </c>
      <c r="E193" s="102" t="s">
        <v>2694</v>
      </c>
      <c r="F193" s="220">
        <v>30344</v>
      </c>
      <c r="G193" s="102" t="s">
        <v>2695</v>
      </c>
      <c r="H193" s="221">
        <v>14.9</v>
      </c>
      <c r="I193" s="221">
        <v>49.9</v>
      </c>
      <c r="J193" s="221">
        <v>14.43</v>
      </c>
      <c r="K193" s="221">
        <f t="shared" si="2"/>
        <v>0.47000000000000064</v>
      </c>
      <c r="L193" s="93"/>
    </row>
    <row r="194" spans="1:12" ht="30" x14ac:dyDescent="0.5">
      <c r="A194" s="102" t="s">
        <v>2708</v>
      </c>
      <c r="B194" s="102" t="s">
        <v>2709</v>
      </c>
      <c r="C194" s="102" t="s">
        <v>3125</v>
      </c>
      <c r="D194" s="102" t="s">
        <v>2893</v>
      </c>
      <c r="E194" s="102" t="s">
        <v>2694</v>
      </c>
      <c r="F194" s="220">
        <v>30357</v>
      </c>
      <c r="G194" s="102" t="s">
        <v>2695</v>
      </c>
      <c r="H194" s="221">
        <v>15</v>
      </c>
      <c r="I194" s="221">
        <v>40.29</v>
      </c>
      <c r="J194" s="221">
        <v>14.43</v>
      </c>
      <c r="K194" s="221">
        <f t="shared" si="2"/>
        <v>0.57000000000000028</v>
      </c>
      <c r="L194" s="93"/>
    </row>
    <row r="195" spans="1:12" ht="30" x14ac:dyDescent="0.5">
      <c r="A195" s="102" t="s">
        <v>2734</v>
      </c>
      <c r="B195" s="102" t="s">
        <v>2895</v>
      </c>
      <c r="C195" s="102" t="s">
        <v>3126</v>
      </c>
      <c r="D195" s="102" t="s">
        <v>2893</v>
      </c>
      <c r="E195" s="102" t="s">
        <v>2694</v>
      </c>
      <c r="F195" s="220">
        <v>30372</v>
      </c>
      <c r="G195" s="102" t="s">
        <v>2695</v>
      </c>
      <c r="H195" s="221">
        <v>15.7</v>
      </c>
      <c r="I195" s="221">
        <v>41.9</v>
      </c>
      <c r="J195" s="221">
        <v>14.24</v>
      </c>
      <c r="K195" s="221">
        <f t="shared" si="2"/>
        <v>1.4599999999999991</v>
      </c>
      <c r="L195" s="93"/>
    </row>
    <row r="196" spans="1:12" ht="30" x14ac:dyDescent="0.5">
      <c r="A196" s="102" t="s">
        <v>2728</v>
      </c>
      <c r="B196" s="102" t="s">
        <v>2729</v>
      </c>
      <c r="C196" s="102" t="s">
        <v>3127</v>
      </c>
      <c r="D196" s="102" t="s">
        <v>2893</v>
      </c>
      <c r="E196" s="102" t="s">
        <v>2694</v>
      </c>
      <c r="F196" s="220">
        <v>30377</v>
      </c>
      <c r="G196" s="102" t="s">
        <v>2695</v>
      </c>
      <c r="H196" s="221">
        <v>15.25</v>
      </c>
      <c r="I196" s="221">
        <v>39.46</v>
      </c>
      <c r="J196" s="221">
        <v>14.24</v>
      </c>
      <c r="K196" s="221">
        <f t="shared" si="2"/>
        <v>1.0099999999999998</v>
      </c>
      <c r="L196" s="93"/>
    </row>
    <row r="197" spans="1:12" ht="30" x14ac:dyDescent="0.5">
      <c r="A197" s="102" t="s">
        <v>2768</v>
      </c>
      <c r="B197" s="102" t="s">
        <v>3012</v>
      </c>
      <c r="C197" s="102" t="s">
        <v>3128</v>
      </c>
      <c r="D197" s="102" t="s">
        <v>2893</v>
      </c>
      <c r="E197" s="102" t="s">
        <v>2694</v>
      </c>
      <c r="F197" s="220">
        <v>30391</v>
      </c>
      <c r="G197" s="102" t="s">
        <v>2695</v>
      </c>
      <c r="H197" s="221">
        <v>16</v>
      </c>
      <c r="I197" s="221">
        <v>57.44</v>
      </c>
      <c r="J197" s="221">
        <v>14.28</v>
      </c>
      <c r="K197" s="221">
        <f t="shared" si="2"/>
        <v>1.7200000000000006</v>
      </c>
      <c r="L197" s="93"/>
    </row>
    <row r="198" spans="1:12" ht="30" x14ac:dyDescent="0.5">
      <c r="A198" s="102" t="s">
        <v>2754</v>
      </c>
      <c r="B198" s="102" t="s">
        <v>2975</v>
      </c>
      <c r="C198" s="102" t="s">
        <v>3129</v>
      </c>
      <c r="D198" s="102" t="s">
        <v>2893</v>
      </c>
      <c r="E198" s="102" t="s">
        <v>2694</v>
      </c>
      <c r="F198" s="220">
        <v>30396</v>
      </c>
      <c r="G198" s="102" t="s">
        <v>2695</v>
      </c>
      <c r="H198" s="221">
        <v>14.96</v>
      </c>
      <c r="I198" s="221">
        <v>55.07</v>
      </c>
      <c r="J198" s="221">
        <v>14.28</v>
      </c>
      <c r="K198" s="221">
        <f t="shared" si="2"/>
        <v>0.68000000000000149</v>
      </c>
      <c r="L198" s="93"/>
    </row>
    <row r="199" spans="1:12" ht="30" x14ac:dyDescent="0.5">
      <c r="A199" s="102" t="s">
        <v>2704</v>
      </c>
      <c r="B199" s="102" t="s">
        <v>2705</v>
      </c>
      <c r="C199" s="102" t="s">
        <v>3130</v>
      </c>
      <c r="D199" s="102" t="s">
        <v>2893</v>
      </c>
      <c r="E199" s="102" t="s">
        <v>2694</v>
      </c>
      <c r="F199" s="220">
        <v>30398</v>
      </c>
      <c r="G199" s="102" t="s">
        <v>2695</v>
      </c>
      <c r="H199" s="221">
        <v>15.4</v>
      </c>
      <c r="I199" s="221">
        <v>41.97</v>
      </c>
      <c r="J199" s="221">
        <v>14.28</v>
      </c>
      <c r="K199" s="221">
        <f t="shared" ref="K199:K262" si="3">H199-J199</f>
        <v>1.120000000000001</v>
      </c>
      <c r="L199" s="93"/>
    </row>
    <row r="200" spans="1:12" ht="30" x14ac:dyDescent="0.5">
      <c r="A200" s="102" t="s">
        <v>2702</v>
      </c>
      <c r="B200" s="102" t="s">
        <v>2748</v>
      </c>
      <c r="C200" s="102" t="s">
        <v>3131</v>
      </c>
      <c r="D200" s="102" t="s">
        <v>2893</v>
      </c>
      <c r="E200" s="102" t="s">
        <v>2694</v>
      </c>
      <c r="F200" s="220">
        <v>30399</v>
      </c>
      <c r="G200" s="102" t="s">
        <v>2695</v>
      </c>
      <c r="H200" s="221">
        <v>15</v>
      </c>
      <c r="I200" s="221">
        <v>42.5</v>
      </c>
      <c r="J200" s="221">
        <v>14.28</v>
      </c>
      <c r="K200" s="221">
        <f t="shared" si="3"/>
        <v>0.72000000000000064</v>
      </c>
      <c r="L200" s="93"/>
    </row>
    <row r="201" spans="1:12" ht="30" x14ac:dyDescent="0.5">
      <c r="A201" s="102" t="s">
        <v>2744</v>
      </c>
      <c r="B201" s="102" t="s">
        <v>2770</v>
      </c>
      <c r="C201" s="102" t="s">
        <v>3132</v>
      </c>
      <c r="D201" s="102" t="s">
        <v>2893</v>
      </c>
      <c r="E201" s="102" t="s">
        <v>2694</v>
      </c>
      <c r="F201" s="220">
        <v>30418</v>
      </c>
      <c r="G201" s="102" t="s">
        <v>2695</v>
      </c>
      <c r="H201" s="221">
        <v>13.25</v>
      </c>
      <c r="I201" s="221">
        <v>28.42</v>
      </c>
      <c r="J201" s="221">
        <v>14.28</v>
      </c>
      <c r="K201" s="221">
        <f t="shared" si="3"/>
        <v>-1.0299999999999994</v>
      </c>
      <c r="L201" s="93"/>
    </row>
    <row r="202" spans="1:12" ht="30" x14ac:dyDescent="0.5">
      <c r="A202" s="102" t="s">
        <v>2714</v>
      </c>
      <c r="B202" s="102" t="s">
        <v>2916</v>
      </c>
      <c r="C202" s="102" t="s">
        <v>3133</v>
      </c>
      <c r="D202" s="102" t="s">
        <v>2893</v>
      </c>
      <c r="E202" s="102" t="s">
        <v>2694</v>
      </c>
      <c r="F202" s="220">
        <v>30439</v>
      </c>
      <c r="G202" s="102" t="s">
        <v>2695</v>
      </c>
      <c r="H202" s="221">
        <v>15.4</v>
      </c>
      <c r="I202" s="221">
        <v>43</v>
      </c>
      <c r="J202" s="221">
        <v>14.03</v>
      </c>
      <c r="K202" s="221">
        <f t="shared" si="3"/>
        <v>1.370000000000001</v>
      </c>
      <c r="L202" s="93"/>
    </row>
    <row r="203" spans="1:12" ht="30" x14ac:dyDescent="0.5">
      <c r="A203" s="102" t="s">
        <v>2731</v>
      </c>
      <c r="B203" s="102" t="s">
        <v>2733</v>
      </c>
      <c r="C203" s="102" t="s">
        <v>3134</v>
      </c>
      <c r="D203" s="102" t="s">
        <v>2893</v>
      </c>
      <c r="E203" s="102" t="s">
        <v>2694</v>
      </c>
      <c r="F203" s="220">
        <v>30445</v>
      </c>
      <c r="G203" s="102" t="s">
        <v>2695</v>
      </c>
      <c r="H203" s="221">
        <v>15.5</v>
      </c>
      <c r="I203" s="221">
        <v>38.340000000000003</v>
      </c>
      <c r="J203" s="221">
        <v>14.03</v>
      </c>
      <c r="K203" s="221">
        <f t="shared" si="3"/>
        <v>1.4700000000000006</v>
      </c>
      <c r="L203" s="93"/>
    </row>
    <row r="204" spans="1:12" ht="30" x14ac:dyDescent="0.5">
      <c r="A204" s="102" t="s">
        <v>2704</v>
      </c>
      <c r="B204" s="102" t="s">
        <v>2707</v>
      </c>
      <c r="C204" s="102" t="s">
        <v>3135</v>
      </c>
      <c r="D204" s="102" t="s">
        <v>2893</v>
      </c>
      <c r="E204" s="102" t="s">
        <v>2694</v>
      </c>
      <c r="F204" s="220">
        <v>30467</v>
      </c>
      <c r="G204" s="102" t="s">
        <v>2695</v>
      </c>
      <c r="H204" s="221">
        <v>14</v>
      </c>
      <c r="I204" s="221">
        <v>47.12</v>
      </c>
      <c r="J204" s="221">
        <v>13.64</v>
      </c>
      <c r="K204" s="221">
        <f t="shared" si="3"/>
        <v>0.35999999999999943</v>
      </c>
      <c r="L204" s="93"/>
    </row>
    <row r="205" spans="1:12" ht="30" x14ac:dyDescent="0.5">
      <c r="A205" s="102" t="s">
        <v>2702</v>
      </c>
      <c r="B205" s="102" t="s">
        <v>2703</v>
      </c>
      <c r="C205" s="102" t="s">
        <v>3136</v>
      </c>
      <c r="D205" s="102" t="s">
        <v>2893</v>
      </c>
      <c r="E205" s="102" t="s">
        <v>2694</v>
      </c>
      <c r="F205" s="220">
        <v>30469</v>
      </c>
      <c r="G205" s="102" t="s">
        <v>2695</v>
      </c>
      <c r="H205" s="221">
        <v>14.5</v>
      </c>
      <c r="I205" s="221">
        <v>42.75</v>
      </c>
      <c r="J205" s="221">
        <v>13.64</v>
      </c>
      <c r="K205" s="221">
        <f t="shared" si="3"/>
        <v>0.85999999999999943</v>
      </c>
      <c r="L205" s="93"/>
    </row>
    <row r="206" spans="1:12" ht="30" x14ac:dyDescent="0.5">
      <c r="A206" s="102" t="s">
        <v>2724</v>
      </c>
      <c r="B206" s="102" t="s">
        <v>2925</v>
      </c>
      <c r="C206" s="102" t="s">
        <v>3137</v>
      </c>
      <c r="D206" s="102" t="s">
        <v>2893</v>
      </c>
      <c r="E206" s="102" t="s">
        <v>2694</v>
      </c>
      <c r="F206" s="220">
        <v>30474</v>
      </c>
      <c r="G206" s="102" t="s">
        <v>2695</v>
      </c>
      <c r="H206" s="221">
        <v>14.5</v>
      </c>
      <c r="I206" s="221">
        <v>44.18</v>
      </c>
      <c r="J206" s="221">
        <v>13.64</v>
      </c>
      <c r="K206" s="221">
        <f t="shared" si="3"/>
        <v>0.85999999999999943</v>
      </c>
      <c r="L206" s="93"/>
    </row>
    <row r="207" spans="1:12" ht="30" x14ac:dyDescent="0.5">
      <c r="A207" s="102" t="s">
        <v>2740</v>
      </c>
      <c r="B207" s="102" t="s">
        <v>2746</v>
      </c>
      <c r="C207" s="102" t="s">
        <v>3138</v>
      </c>
      <c r="D207" s="102" t="s">
        <v>2893</v>
      </c>
      <c r="E207" s="102" t="s">
        <v>2694</v>
      </c>
      <c r="F207" s="220">
        <v>30487</v>
      </c>
      <c r="G207" s="102" t="s">
        <v>2695</v>
      </c>
      <c r="H207" s="221">
        <v>14.15</v>
      </c>
      <c r="I207" s="221">
        <v>40.93</v>
      </c>
      <c r="J207" s="221">
        <v>13.49</v>
      </c>
      <c r="K207" s="221">
        <f t="shared" si="3"/>
        <v>0.66000000000000014</v>
      </c>
      <c r="L207" s="93"/>
    </row>
    <row r="208" spans="1:12" ht="30" x14ac:dyDescent="0.5">
      <c r="A208" s="102" t="s">
        <v>2732</v>
      </c>
      <c r="B208" s="102" t="s">
        <v>2944</v>
      </c>
      <c r="C208" s="102" t="s">
        <v>3139</v>
      </c>
      <c r="D208" s="102" t="s">
        <v>2893</v>
      </c>
      <c r="E208" s="102" t="s">
        <v>2694</v>
      </c>
      <c r="F208" s="220">
        <v>30494</v>
      </c>
      <c r="G208" s="102" t="s">
        <v>2695</v>
      </c>
      <c r="H208" s="221">
        <v>14.5</v>
      </c>
      <c r="I208" s="221" t="s">
        <v>14</v>
      </c>
      <c r="J208" s="221">
        <v>13.49</v>
      </c>
      <c r="K208" s="221">
        <f t="shared" si="3"/>
        <v>1.0099999999999998</v>
      </c>
      <c r="L208" s="93"/>
    </row>
    <row r="209" spans="1:12" ht="30" x14ac:dyDescent="0.5">
      <c r="A209" s="102" t="s">
        <v>2723</v>
      </c>
      <c r="B209" s="102" t="s">
        <v>2921</v>
      </c>
      <c r="C209" s="102" t="s">
        <v>3140</v>
      </c>
      <c r="D209" s="102" t="s">
        <v>2893</v>
      </c>
      <c r="E209" s="102" t="s">
        <v>2694</v>
      </c>
      <c r="F209" s="220">
        <v>30497</v>
      </c>
      <c r="G209" s="102" t="s">
        <v>2695</v>
      </c>
      <c r="H209" s="221">
        <v>15.9</v>
      </c>
      <c r="I209" s="221">
        <v>32.75</v>
      </c>
      <c r="J209" s="221">
        <v>13.49</v>
      </c>
      <c r="K209" s="221">
        <f t="shared" si="3"/>
        <v>2.41</v>
      </c>
      <c r="L209" s="93"/>
    </row>
    <row r="210" spans="1:12" ht="30" x14ac:dyDescent="0.5">
      <c r="A210" s="102" t="s">
        <v>2989</v>
      </c>
      <c r="B210" s="102" t="s">
        <v>3141</v>
      </c>
      <c r="C210" s="102" t="s">
        <v>3142</v>
      </c>
      <c r="D210" s="102" t="s">
        <v>2893</v>
      </c>
      <c r="E210" s="102" t="s">
        <v>2694</v>
      </c>
      <c r="F210" s="220">
        <v>30497</v>
      </c>
      <c r="G210" s="102" t="s">
        <v>2695</v>
      </c>
      <c r="H210" s="221">
        <v>14.8</v>
      </c>
      <c r="I210" s="221">
        <v>46</v>
      </c>
      <c r="J210" s="221">
        <v>13.49</v>
      </c>
      <c r="K210" s="221">
        <f t="shared" si="3"/>
        <v>1.3100000000000005</v>
      </c>
      <c r="L210" s="93"/>
    </row>
    <row r="211" spans="1:12" ht="30" x14ac:dyDescent="0.5">
      <c r="A211" s="102" t="s">
        <v>2698</v>
      </c>
      <c r="B211" s="102" t="s">
        <v>2722</v>
      </c>
      <c r="C211" s="102" t="s">
        <v>3143</v>
      </c>
      <c r="D211" s="102" t="s">
        <v>2893</v>
      </c>
      <c r="E211" s="102" t="s">
        <v>2694</v>
      </c>
      <c r="F211" s="220">
        <v>30498</v>
      </c>
      <c r="G211" s="102" t="s">
        <v>2695</v>
      </c>
      <c r="H211" s="221">
        <v>14.8</v>
      </c>
      <c r="I211" s="221">
        <v>40.299999999999997</v>
      </c>
      <c r="J211" s="221">
        <v>13.49</v>
      </c>
      <c r="K211" s="221">
        <f t="shared" si="3"/>
        <v>1.3100000000000005</v>
      </c>
      <c r="L211" s="93"/>
    </row>
    <row r="212" spans="1:12" ht="30" x14ac:dyDescent="0.5">
      <c r="A212" s="102" t="s">
        <v>2728</v>
      </c>
      <c r="B212" s="102" t="s">
        <v>3144</v>
      </c>
      <c r="C212" s="102" t="s">
        <v>3145</v>
      </c>
      <c r="D212" s="102" t="s">
        <v>2893</v>
      </c>
      <c r="E212" s="102" t="s">
        <v>2694</v>
      </c>
      <c r="F212" s="220">
        <v>30502</v>
      </c>
      <c r="G212" s="102" t="s">
        <v>2695</v>
      </c>
      <c r="H212" s="221">
        <v>15</v>
      </c>
      <c r="I212" s="221">
        <v>43.06</v>
      </c>
      <c r="J212" s="221">
        <v>13.49</v>
      </c>
      <c r="K212" s="221">
        <f t="shared" si="3"/>
        <v>1.5099999999999998</v>
      </c>
      <c r="L212" s="93"/>
    </row>
    <row r="213" spans="1:12" ht="30" x14ac:dyDescent="0.5">
      <c r="A213" s="102" t="s">
        <v>2696</v>
      </c>
      <c r="B213" s="102" t="s">
        <v>3146</v>
      </c>
      <c r="C213" s="102" t="s">
        <v>3147</v>
      </c>
      <c r="D213" s="102" t="s">
        <v>2893</v>
      </c>
      <c r="E213" s="102" t="s">
        <v>2694</v>
      </c>
      <c r="F213" s="220">
        <v>30505</v>
      </c>
      <c r="G213" s="102" t="s">
        <v>2695</v>
      </c>
      <c r="H213" s="221">
        <v>15.5</v>
      </c>
      <c r="I213" s="221">
        <v>54</v>
      </c>
      <c r="J213" s="221">
        <v>13.49</v>
      </c>
      <c r="K213" s="221">
        <f t="shared" si="3"/>
        <v>2.0099999999999998</v>
      </c>
      <c r="L213" s="93"/>
    </row>
    <row r="214" spans="1:12" ht="30" x14ac:dyDescent="0.5">
      <c r="A214" s="102" t="s">
        <v>2704</v>
      </c>
      <c r="B214" s="102" t="s">
        <v>2927</v>
      </c>
      <c r="C214" s="102" t="s">
        <v>3148</v>
      </c>
      <c r="D214" s="102" t="s">
        <v>2893</v>
      </c>
      <c r="E214" s="102" t="s">
        <v>2694</v>
      </c>
      <c r="F214" s="220">
        <v>30516</v>
      </c>
      <c r="G214" s="102" t="s">
        <v>2695</v>
      </c>
      <c r="H214" s="221">
        <v>15.1</v>
      </c>
      <c r="I214" s="221">
        <v>41.92</v>
      </c>
      <c r="J214" s="221">
        <v>13.65</v>
      </c>
      <c r="K214" s="221">
        <f t="shared" si="3"/>
        <v>1.4499999999999993</v>
      </c>
      <c r="L214" s="93"/>
    </row>
    <row r="215" spans="1:12" ht="30" x14ac:dyDescent="0.5">
      <c r="A215" s="102" t="s">
        <v>2702</v>
      </c>
      <c r="B215" s="102" t="s">
        <v>2755</v>
      </c>
      <c r="C215" s="102" t="s">
        <v>3149</v>
      </c>
      <c r="D215" s="102" t="s">
        <v>2893</v>
      </c>
      <c r="E215" s="102" t="s">
        <v>2694</v>
      </c>
      <c r="F215" s="220">
        <v>30516</v>
      </c>
      <c r="G215" s="102" t="s">
        <v>2695</v>
      </c>
      <c r="H215" s="221">
        <v>15</v>
      </c>
      <c r="I215" s="221">
        <v>43.7</v>
      </c>
      <c r="J215" s="221">
        <v>13.65</v>
      </c>
      <c r="K215" s="221">
        <f t="shared" si="3"/>
        <v>1.3499999999999996</v>
      </c>
      <c r="L215" s="93"/>
    </row>
    <row r="216" spans="1:12" ht="30" x14ac:dyDescent="0.5">
      <c r="A216" s="102" t="s">
        <v>2743</v>
      </c>
      <c r="B216" s="102" t="s">
        <v>2969</v>
      </c>
      <c r="C216" s="102" t="s">
        <v>3150</v>
      </c>
      <c r="D216" s="102" t="s">
        <v>2893</v>
      </c>
      <c r="E216" s="102" t="s">
        <v>2694</v>
      </c>
      <c r="F216" s="220">
        <v>30546</v>
      </c>
      <c r="G216" s="102" t="s">
        <v>2695</v>
      </c>
      <c r="H216" s="221">
        <v>15.3</v>
      </c>
      <c r="I216" s="221">
        <v>42.97</v>
      </c>
      <c r="J216" s="221">
        <v>13.57</v>
      </c>
      <c r="K216" s="221">
        <f t="shared" si="3"/>
        <v>1.7300000000000004</v>
      </c>
      <c r="L216" s="93"/>
    </row>
    <row r="217" spans="1:12" ht="30" x14ac:dyDescent="0.5">
      <c r="A217" s="102" t="s">
        <v>2710</v>
      </c>
      <c r="B217" s="102" t="s">
        <v>2923</v>
      </c>
      <c r="C217" s="102" t="s">
        <v>3151</v>
      </c>
      <c r="D217" s="102" t="s">
        <v>2893</v>
      </c>
      <c r="E217" s="102" t="s">
        <v>2694</v>
      </c>
      <c r="F217" s="220">
        <v>30547</v>
      </c>
      <c r="G217" s="102" t="s">
        <v>2695</v>
      </c>
      <c r="H217" s="221">
        <v>15.79</v>
      </c>
      <c r="I217" s="221">
        <v>64.489999999999995</v>
      </c>
      <c r="J217" s="221">
        <v>13.57</v>
      </c>
      <c r="K217" s="221">
        <f t="shared" si="3"/>
        <v>2.2199999999999989</v>
      </c>
      <c r="L217" s="93"/>
    </row>
    <row r="218" spans="1:12" ht="30" x14ac:dyDescent="0.5">
      <c r="A218" s="102" t="s">
        <v>2702</v>
      </c>
      <c r="B218" s="102" t="s">
        <v>2749</v>
      </c>
      <c r="C218" s="102" t="s">
        <v>3152</v>
      </c>
      <c r="D218" s="102" t="s">
        <v>2893</v>
      </c>
      <c r="E218" s="102" t="s">
        <v>2694</v>
      </c>
      <c r="F218" s="220">
        <v>30559</v>
      </c>
      <c r="G218" s="102" t="s">
        <v>2695</v>
      </c>
      <c r="H218" s="221">
        <v>14.75</v>
      </c>
      <c r="I218" s="221">
        <v>45.5</v>
      </c>
      <c r="J218" s="221">
        <v>13.57</v>
      </c>
      <c r="K218" s="221">
        <f t="shared" si="3"/>
        <v>1.1799999999999997</v>
      </c>
      <c r="L218" s="93"/>
    </row>
    <row r="219" spans="1:12" ht="30" x14ac:dyDescent="0.5">
      <c r="A219" s="102" t="s">
        <v>2702</v>
      </c>
      <c r="B219" s="102" t="s">
        <v>3007</v>
      </c>
      <c r="C219" s="102" t="s">
        <v>3153</v>
      </c>
      <c r="D219" s="102" t="s">
        <v>2893</v>
      </c>
      <c r="E219" s="102" t="s">
        <v>2694</v>
      </c>
      <c r="F219" s="220">
        <v>30567</v>
      </c>
      <c r="G219" s="102" t="s">
        <v>2695</v>
      </c>
      <c r="H219" s="221">
        <v>14.75</v>
      </c>
      <c r="I219" s="221">
        <v>47.79</v>
      </c>
      <c r="J219" s="221">
        <v>13.57</v>
      </c>
      <c r="K219" s="221">
        <f t="shared" si="3"/>
        <v>1.1799999999999997</v>
      </c>
      <c r="L219" s="93"/>
    </row>
    <row r="220" spans="1:12" ht="30" x14ac:dyDescent="0.5">
      <c r="A220" s="102" t="s">
        <v>2701</v>
      </c>
      <c r="B220" s="102" t="s">
        <v>2975</v>
      </c>
      <c r="C220" s="102" t="s">
        <v>3154</v>
      </c>
      <c r="D220" s="102" t="s">
        <v>2893</v>
      </c>
      <c r="E220" s="102" t="s">
        <v>2694</v>
      </c>
      <c r="F220" s="220">
        <v>30575</v>
      </c>
      <c r="G220" s="102" t="s">
        <v>2695</v>
      </c>
      <c r="H220" s="221">
        <v>15.51</v>
      </c>
      <c r="I220" s="221">
        <v>50.87</v>
      </c>
      <c r="J220" s="221">
        <v>13.57</v>
      </c>
      <c r="K220" s="221">
        <f t="shared" si="3"/>
        <v>1.9399999999999995</v>
      </c>
      <c r="L220" s="93"/>
    </row>
    <row r="221" spans="1:12" ht="30" x14ac:dyDescent="0.5">
      <c r="A221" s="102" t="s">
        <v>2732</v>
      </c>
      <c r="B221" s="102" t="s">
        <v>2975</v>
      </c>
      <c r="C221" s="102" t="s">
        <v>3155</v>
      </c>
      <c r="D221" s="102" t="s">
        <v>2893</v>
      </c>
      <c r="E221" s="102" t="s">
        <v>2694</v>
      </c>
      <c r="F221" s="220">
        <v>30585</v>
      </c>
      <c r="G221" s="102" t="s">
        <v>2695</v>
      </c>
      <c r="H221" s="221">
        <v>14.5</v>
      </c>
      <c r="I221" s="221">
        <v>49.09</v>
      </c>
      <c r="J221" s="221">
        <v>13.57</v>
      </c>
      <c r="K221" s="221">
        <f t="shared" si="3"/>
        <v>0.92999999999999972</v>
      </c>
      <c r="L221" s="93"/>
    </row>
    <row r="222" spans="1:12" ht="30" x14ac:dyDescent="0.5">
      <c r="A222" s="102" t="s">
        <v>2757</v>
      </c>
      <c r="B222" s="102" t="s">
        <v>2765</v>
      </c>
      <c r="C222" s="102" t="s">
        <v>3156</v>
      </c>
      <c r="D222" s="102" t="s">
        <v>2893</v>
      </c>
      <c r="E222" s="102" t="s">
        <v>2694</v>
      </c>
      <c r="F222" s="220">
        <v>30587</v>
      </c>
      <c r="G222" s="102" t="s">
        <v>2695</v>
      </c>
      <c r="H222" s="221">
        <v>14.25</v>
      </c>
      <c r="I222" s="221">
        <v>41.77</v>
      </c>
      <c r="J222" s="221">
        <v>13.57</v>
      </c>
      <c r="K222" s="221">
        <f t="shared" si="3"/>
        <v>0.67999999999999972</v>
      </c>
      <c r="L222" s="93"/>
    </row>
    <row r="223" spans="1:12" ht="30" x14ac:dyDescent="0.5">
      <c r="A223" s="102" t="s">
        <v>2699</v>
      </c>
      <c r="B223" s="102" t="s">
        <v>2628</v>
      </c>
      <c r="C223" s="102" t="s">
        <v>3157</v>
      </c>
      <c r="D223" s="102" t="s">
        <v>2893</v>
      </c>
      <c r="E223" s="102" t="s">
        <v>2694</v>
      </c>
      <c r="F223" s="220">
        <v>30589</v>
      </c>
      <c r="G223" s="102" t="s">
        <v>2695</v>
      </c>
      <c r="H223" s="221">
        <v>16.25</v>
      </c>
      <c r="I223" s="221">
        <v>34.409999999999997</v>
      </c>
      <c r="J223" s="221">
        <v>13.57</v>
      </c>
      <c r="K223" s="221">
        <f t="shared" si="3"/>
        <v>2.6799999999999997</v>
      </c>
      <c r="L223" s="93"/>
    </row>
    <row r="224" spans="1:12" ht="30" x14ac:dyDescent="0.5">
      <c r="A224" s="102" t="s">
        <v>2717</v>
      </c>
      <c r="B224" s="102" t="s">
        <v>2627</v>
      </c>
      <c r="C224" s="102" t="s">
        <v>3158</v>
      </c>
      <c r="D224" s="102" t="s">
        <v>2893</v>
      </c>
      <c r="E224" s="102" t="s">
        <v>2694</v>
      </c>
      <c r="F224" s="220">
        <v>30589</v>
      </c>
      <c r="G224" s="102" t="s">
        <v>2695</v>
      </c>
      <c r="H224" s="221">
        <v>16.149999999999999</v>
      </c>
      <c r="I224" s="221">
        <v>42.5</v>
      </c>
      <c r="J224" s="221">
        <v>13.57</v>
      </c>
      <c r="K224" s="221">
        <f t="shared" si="3"/>
        <v>2.5799999999999983</v>
      </c>
      <c r="L224" s="93"/>
    </row>
    <row r="225" spans="1:12" ht="30" x14ac:dyDescent="0.5">
      <c r="A225" s="102" t="s">
        <v>2693</v>
      </c>
      <c r="B225" s="102" t="s">
        <v>2709</v>
      </c>
      <c r="C225" s="102" t="s">
        <v>3159</v>
      </c>
      <c r="D225" s="102" t="s">
        <v>2893</v>
      </c>
      <c r="E225" s="102" t="s">
        <v>2694</v>
      </c>
      <c r="F225" s="220">
        <v>30602</v>
      </c>
      <c r="G225" s="102" t="s">
        <v>2695</v>
      </c>
      <c r="H225" s="221">
        <v>15.52</v>
      </c>
      <c r="I225" s="221">
        <v>36.159999999999997</v>
      </c>
      <c r="J225" s="221">
        <v>13.57</v>
      </c>
      <c r="K225" s="221">
        <f t="shared" si="3"/>
        <v>1.9499999999999993</v>
      </c>
      <c r="L225" s="93"/>
    </row>
    <row r="226" spans="1:12" ht="30" x14ac:dyDescent="0.5">
      <c r="A226" s="102" t="s">
        <v>2704</v>
      </c>
      <c r="B226" s="102" t="s">
        <v>2934</v>
      </c>
      <c r="C226" s="102" t="s">
        <v>3160</v>
      </c>
      <c r="D226" s="102" t="s">
        <v>2893</v>
      </c>
      <c r="E226" s="102" t="s">
        <v>2694</v>
      </c>
      <c r="F226" s="220">
        <v>30608</v>
      </c>
      <c r="G226" s="102" t="s">
        <v>2695</v>
      </c>
      <c r="H226" s="221">
        <v>15.2</v>
      </c>
      <c r="I226" s="221">
        <v>42.6</v>
      </c>
      <c r="J226" s="221">
        <v>13.44</v>
      </c>
      <c r="K226" s="221">
        <f t="shared" si="3"/>
        <v>1.7599999999999998</v>
      </c>
      <c r="L226" s="93"/>
    </row>
    <row r="227" spans="1:12" ht="30" x14ac:dyDescent="0.5">
      <c r="A227" s="102" t="s">
        <v>2752</v>
      </c>
      <c r="B227" s="102" t="s">
        <v>2753</v>
      </c>
      <c r="C227" s="102" t="s">
        <v>3161</v>
      </c>
      <c r="D227" s="102" t="s">
        <v>2893</v>
      </c>
      <c r="E227" s="102" t="s">
        <v>2694</v>
      </c>
      <c r="F227" s="220">
        <v>30615</v>
      </c>
      <c r="G227" s="102" t="s">
        <v>2695</v>
      </c>
      <c r="H227" s="221">
        <v>14.75</v>
      </c>
      <c r="I227" s="221">
        <v>46</v>
      </c>
      <c r="J227" s="221">
        <v>13.44</v>
      </c>
      <c r="K227" s="221">
        <f t="shared" si="3"/>
        <v>1.3100000000000005</v>
      </c>
      <c r="L227" s="93"/>
    </row>
    <row r="228" spans="1:12" ht="30" x14ac:dyDescent="0.5">
      <c r="A228" s="102" t="s">
        <v>2706</v>
      </c>
      <c r="B228" s="102" t="s">
        <v>2906</v>
      </c>
      <c r="C228" s="102" t="s">
        <v>3162</v>
      </c>
      <c r="D228" s="102" t="s">
        <v>2893</v>
      </c>
      <c r="E228" s="102" t="s">
        <v>2694</v>
      </c>
      <c r="F228" s="220">
        <v>30616</v>
      </c>
      <c r="G228" s="102" t="s">
        <v>2695</v>
      </c>
      <c r="H228" s="221">
        <v>15.33</v>
      </c>
      <c r="I228" s="221">
        <v>31.18</v>
      </c>
      <c r="J228" s="221">
        <v>13.44</v>
      </c>
      <c r="K228" s="221">
        <f t="shared" si="3"/>
        <v>1.8900000000000006</v>
      </c>
      <c r="L228" s="93"/>
    </row>
    <row r="229" spans="1:12" ht="30" x14ac:dyDescent="0.5">
      <c r="A229" s="102" t="s">
        <v>2701</v>
      </c>
      <c r="B229" s="102" t="s">
        <v>2900</v>
      </c>
      <c r="C229" s="102" t="s">
        <v>3163</v>
      </c>
      <c r="D229" s="102" t="s">
        <v>2893</v>
      </c>
      <c r="E229" s="102" t="s">
        <v>2694</v>
      </c>
      <c r="F229" s="220">
        <v>30616</v>
      </c>
      <c r="G229" s="102" t="s">
        <v>2695</v>
      </c>
      <c r="H229" s="221">
        <v>14.88</v>
      </c>
      <c r="I229" s="221">
        <v>48.08</v>
      </c>
      <c r="J229" s="221">
        <v>13.44</v>
      </c>
      <c r="K229" s="221">
        <f t="shared" si="3"/>
        <v>1.4400000000000013</v>
      </c>
      <c r="L229" s="93"/>
    </row>
    <row r="230" spans="1:12" ht="30" x14ac:dyDescent="0.5">
      <c r="A230" s="102" t="s">
        <v>2710</v>
      </c>
      <c r="B230" s="102" t="s">
        <v>3000</v>
      </c>
      <c r="C230" s="102" t="s">
        <v>3164</v>
      </c>
      <c r="D230" s="102" t="s">
        <v>2893</v>
      </c>
      <c r="E230" s="102" t="s">
        <v>2694</v>
      </c>
      <c r="F230" s="220">
        <v>30629</v>
      </c>
      <c r="G230" s="102" t="s">
        <v>2695</v>
      </c>
      <c r="H230" s="221">
        <v>16.510000000000002</v>
      </c>
      <c r="I230" s="221">
        <v>49.28</v>
      </c>
      <c r="J230" s="221">
        <v>13.44</v>
      </c>
      <c r="K230" s="221">
        <f t="shared" si="3"/>
        <v>3.0700000000000021</v>
      </c>
      <c r="L230" s="93"/>
    </row>
    <row r="231" spans="1:12" ht="30" x14ac:dyDescent="0.5">
      <c r="A231" s="102" t="s">
        <v>2710</v>
      </c>
      <c r="B231" s="102" t="s">
        <v>3000</v>
      </c>
      <c r="C231" s="102" t="s">
        <v>3165</v>
      </c>
      <c r="D231" s="102" t="s">
        <v>2893</v>
      </c>
      <c r="E231" s="102" t="s">
        <v>2694</v>
      </c>
      <c r="F231" s="220">
        <v>30629</v>
      </c>
      <c r="G231" s="102" t="s">
        <v>2695</v>
      </c>
      <c r="H231" s="221">
        <v>16.510000000000002</v>
      </c>
      <c r="I231" s="221">
        <v>49.28</v>
      </c>
      <c r="J231" s="221">
        <v>13.44</v>
      </c>
      <c r="K231" s="221">
        <f t="shared" si="3"/>
        <v>3.0700000000000021</v>
      </c>
      <c r="L231" s="93"/>
    </row>
    <row r="232" spans="1:12" ht="30" x14ac:dyDescent="0.5">
      <c r="A232" s="102" t="s">
        <v>2744</v>
      </c>
      <c r="B232" s="102" t="s">
        <v>2972</v>
      </c>
      <c r="C232" s="102" t="s">
        <v>3166</v>
      </c>
      <c r="D232" s="102" t="s">
        <v>2893</v>
      </c>
      <c r="E232" s="102" t="s">
        <v>2694</v>
      </c>
      <c r="F232" s="220">
        <v>30629</v>
      </c>
      <c r="G232" s="102" t="s">
        <v>2695</v>
      </c>
      <c r="H232" s="221">
        <v>14.82</v>
      </c>
      <c r="I232" s="221">
        <v>31.09</v>
      </c>
      <c r="J232" s="221">
        <v>13.44</v>
      </c>
      <c r="K232" s="221">
        <f t="shared" si="3"/>
        <v>1.3800000000000008</v>
      </c>
      <c r="L232" s="93"/>
    </row>
    <row r="233" spans="1:12" ht="30" x14ac:dyDescent="0.5">
      <c r="A233" s="102" t="s">
        <v>2728</v>
      </c>
      <c r="B233" s="102" t="s">
        <v>2944</v>
      </c>
      <c r="C233" s="102" t="s">
        <v>3167</v>
      </c>
      <c r="D233" s="102" t="s">
        <v>2893</v>
      </c>
      <c r="E233" s="102" t="s">
        <v>2694</v>
      </c>
      <c r="F233" s="220">
        <v>30651</v>
      </c>
      <c r="G233" s="102" t="s">
        <v>2695</v>
      </c>
      <c r="H233" s="221">
        <v>14.5</v>
      </c>
      <c r="I233" s="221">
        <v>48.4</v>
      </c>
      <c r="J233" s="221">
        <v>13.25</v>
      </c>
      <c r="K233" s="221">
        <f t="shared" si="3"/>
        <v>1.25</v>
      </c>
      <c r="L233" s="93"/>
    </row>
    <row r="234" spans="1:12" ht="30" x14ac:dyDescent="0.5">
      <c r="A234" s="102" t="s">
        <v>2723</v>
      </c>
      <c r="B234" s="102" t="s">
        <v>2730</v>
      </c>
      <c r="C234" s="102" t="s">
        <v>3168</v>
      </c>
      <c r="D234" s="102" t="s">
        <v>2893</v>
      </c>
      <c r="E234" s="102" t="s">
        <v>2694</v>
      </c>
      <c r="F234" s="220">
        <v>30658</v>
      </c>
      <c r="G234" s="102" t="s">
        <v>2695</v>
      </c>
      <c r="H234" s="221">
        <v>15.9</v>
      </c>
      <c r="I234" s="221">
        <v>36.96</v>
      </c>
      <c r="J234" s="221">
        <v>13.25</v>
      </c>
      <c r="K234" s="221">
        <f t="shared" si="3"/>
        <v>2.6500000000000004</v>
      </c>
      <c r="L234" s="93"/>
    </row>
    <row r="235" spans="1:12" ht="30" x14ac:dyDescent="0.5">
      <c r="A235" s="102" t="s">
        <v>2743</v>
      </c>
      <c r="B235" s="102" t="s">
        <v>3169</v>
      </c>
      <c r="C235" s="102" t="s">
        <v>3170</v>
      </c>
      <c r="D235" s="102" t="s">
        <v>2893</v>
      </c>
      <c r="E235" s="102" t="s">
        <v>2694</v>
      </c>
      <c r="F235" s="220">
        <v>30662</v>
      </c>
      <c r="G235" s="102" t="s">
        <v>2695</v>
      </c>
      <c r="H235" s="221">
        <v>15.5</v>
      </c>
      <c r="I235" s="221">
        <v>55</v>
      </c>
      <c r="J235" s="221">
        <v>13.25</v>
      </c>
      <c r="K235" s="221">
        <f t="shared" si="3"/>
        <v>2.25</v>
      </c>
      <c r="L235" s="93"/>
    </row>
    <row r="236" spans="1:12" ht="30" x14ac:dyDescent="0.5">
      <c r="A236" s="102" t="s">
        <v>2732</v>
      </c>
      <c r="B236" s="102" t="s">
        <v>2735</v>
      </c>
      <c r="C236" s="102" t="s">
        <v>3171</v>
      </c>
      <c r="D236" s="102" t="s">
        <v>2893</v>
      </c>
      <c r="E236" s="102" t="s">
        <v>2694</v>
      </c>
      <c r="F236" s="220">
        <v>30662</v>
      </c>
      <c r="G236" s="102" t="s">
        <v>2695</v>
      </c>
      <c r="H236" s="221">
        <v>14.5</v>
      </c>
      <c r="I236" s="221">
        <v>38</v>
      </c>
      <c r="J236" s="221">
        <v>13.25</v>
      </c>
      <c r="K236" s="221">
        <f t="shared" si="3"/>
        <v>1.25</v>
      </c>
      <c r="L236" s="93"/>
    </row>
    <row r="237" spans="1:12" ht="30" x14ac:dyDescent="0.5">
      <c r="A237" s="102" t="s">
        <v>2738</v>
      </c>
      <c r="B237" s="102" t="s">
        <v>2741</v>
      </c>
      <c r="C237" s="102" t="s">
        <v>3172</v>
      </c>
      <c r="D237" s="102" t="s">
        <v>2893</v>
      </c>
      <c r="E237" s="102" t="s">
        <v>2694</v>
      </c>
      <c r="F237" s="220">
        <v>30670</v>
      </c>
      <c r="G237" s="102" t="s">
        <v>2695</v>
      </c>
      <c r="H237" s="221">
        <v>16</v>
      </c>
      <c r="I237" s="221">
        <v>43</v>
      </c>
      <c r="J237" s="221">
        <v>13.38</v>
      </c>
      <c r="K237" s="221">
        <f t="shared" si="3"/>
        <v>2.6199999999999992</v>
      </c>
      <c r="L237" s="93"/>
    </row>
    <row r="238" spans="1:12" ht="30" x14ac:dyDescent="0.5">
      <c r="A238" s="102" t="s">
        <v>2704</v>
      </c>
      <c r="B238" s="102" t="s">
        <v>2910</v>
      </c>
      <c r="C238" s="102" t="s">
        <v>3173</v>
      </c>
      <c r="D238" s="102" t="s">
        <v>2893</v>
      </c>
      <c r="E238" s="102" t="s">
        <v>2694</v>
      </c>
      <c r="F238" s="220">
        <v>30670</v>
      </c>
      <c r="G238" s="102" t="s">
        <v>2695</v>
      </c>
      <c r="H238" s="221">
        <v>15.4</v>
      </c>
      <c r="I238" s="221">
        <v>41.3</v>
      </c>
      <c r="J238" s="221">
        <v>13.38</v>
      </c>
      <c r="K238" s="221">
        <f t="shared" si="3"/>
        <v>2.0199999999999996</v>
      </c>
      <c r="L238" s="93"/>
    </row>
    <row r="239" spans="1:12" ht="30" x14ac:dyDescent="0.5">
      <c r="A239" s="102" t="s">
        <v>2738</v>
      </c>
      <c r="B239" s="102" t="s">
        <v>2760</v>
      </c>
      <c r="C239" s="102" t="s">
        <v>3174</v>
      </c>
      <c r="D239" s="102" t="s">
        <v>2893</v>
      </c>
      <c r="E239" s="102" t="s">
        <v>2694</v>
      </c>
      <c r="F239" s="220">
        <v>30672</v>
      </c>
      <c r="G239" s="102" t="s">
        <v>2695</v>
      </c>
      <c r="H239" s="221">
        <v>15.75</v>
      </c>
      <c r="I239" s="221">
        <v>42.25</v>
      </c>
      <c r="J239" s="221">
        <v>13.38</v>
      </c>
      <c r="K239" s="221">
        <f t="shared" si="3"/>
        <v>2.3699999999999992</v>
      </c>
      <c r="L239" s="93"/>
    </row>
    <row r="240" spans="1:12" ht="30" x14ac:dyDescent="0.5">
      <c r="A240" s="102" t="s">
        <v>2702</v>
      </c>
      <c r="B240" s="102" t="s">
        <v>2903</v>
      </c>
      <c r="C240" s="102" t="s">
        <v>3175</v>
      </c>
      <c r="D240" s="102" t="s">
        <v>2893</v>
      </c>
      <c r="E240" s="102" t="s">
        <v>2694</v>
      </c>
      <c r="F240" s="220">
        <v>30679</v>
      </c>
      <c r="G240" s="102" t="s">
        <v>2695</v>
      </c>
      <c r="H240" s="221">
        <v>15</v>
      </c>
      <c r="I240" s="221">
        <v>44.27</v>
      </c>
      <c r="J240" s="221">
        <v>13.38</v>
      </c>
      <c r="K240" s="221">
        <f t="shared" si="3"/>
        <v>1.6199999999999992</v>
      </c>
      <c r="L240" s="93"/>
    </row>
    <row r="241" spans="1:12" ht="30" x14ac:dyDescent="0.5">
      <c r="A241" s="102" t="s">
        <v>2704</v>
      </c>
      <c r="B241" s="102" t="s">
        <v>2750</v>
      </c>
      <c r="C241" s="102" t="s">
        <v>3176</v>
      </c>
      <c r="D241" s="102" t="s">
        <v>2893</v>
      </c>
      <c r="E241" s="102" t="s">
        <v>2694</v>
      </c>
      <c r="F241" s="220">
        <v>30691</v>
      </c>
      <c r="G241" s="102" t="s">
        <v>2695</v>
      </c>
      <c r="H241" s="221">
        <v>15.9</v>
      </c>
      <c r="I241" s="221">
        <v>40.96</v>
      </c>
      <c r="J241" s="221">
        <v>13.38</v>
      </c>
      <c r="K241" s="221">
        <f t="shared" si="3"/>
        <v>2.5199999999999996</v>
      </c>
      <c r="L241" s="93"/>
    </row>
    <row r="242" spans="1:12" ht="30" x14ac:dyDescent="0.5">
      <c r="A242" s="102" t="s">
        <v>2696</v>
      </c>
      <c r="B242" s="102" t="s">
        <v>3177</v>
      </c>
      <c r="C242" s="102" t="s">
        <v>3178</v>
      </c>
      <c r="D242" s="102" t="s">
        <v>2893</v>
      </c>
      <c r="E242" s="102" t="s">
        <v>2694</v>
      </c>
      <c r="F242" s="220">
        <v>30694</v>
      </c>
      <c r="G242" s="102" t="s">
        <v>2695</v>
      </c>
      <c r="H242" s="221">
        <v>15.5</v>
      </c>
      <c r="I242" s="221">
        <v>57</v>
      </c>
      <c r="J242" s="221">
        <v>13.38</v>
      </c>
      <c r="K242" s="221">
        <f t="shared" si="3"/>
        <v>2.1199999999999992</v>
      </c>
      <c r="L242" s="93"/>
    </row>
    <row r="243" spans="1:12" ht="30" x14ac:dyDescent="0.5">
      <c r="A243" s="102" t="s">
        <v>2739</v>
      </c>
      <c r="B243" s="102" t="s">
        <v>2956</v>
      </c>
      <c r="C243" s="102" t="s">
        <v>3179</v>
      </c>
      <c r="D243" s="102" t="s">
        <v>2893</v>
      </c>
      <c r="E243" s="102" t="s">
        <v>2694</v>
      </c>
      <c r="F243" s="220">
        <v>30699</v>
      </c>
      <c r="G243" s="102" t="s">
        <v>2695</v>
      </c>
      <c r="H243" s="221">
        <v>15.53</v>
      </c>
      <c r="I243" s="221">
        <v>38.4</v>
      </c>
      <c r="J243" s="221">
        <v>13.52</v>
      </c>
      <c r="K243" s="221">
        <f t="shared" si="3"/>
        <v>2.0099999999999998</v>
      </c>
      <c r="L243" s="93"/>
    </row>
    <row r="244" spans="1:12" ht="30" x14ac:dyDescent="0.5">
      <c r="A244" s="102" t="s">
        <v>2696</v>
      </c>
      <c r="B244" s="102" t="s">
        <v>2769</v>
      </c>
      <c r="C244" s="102" t="s">
        <v>3180</v>
      </c>
      <c r="D244" s="102" t="s">
        <v>2893</v>
      </c>
      <c r="E244" s="102" t="s">
        <v>2694</v>
      </c>
      <c r="F244" s="220">
        <v>30707</v>
      </c>
      <c r="G244" s="102" t="s">
        <v>2695</v>
      </c>
      <c r="H244" s="221">
        <v>15.9</v>
      </c>
      <c r="I244" s="221">
        <v>47</v>
      </c>
      <c r="J244" s="221">
        <v>13.52</v>
      </c>
      <c r="K244" s="221">
        <f t="shared" si="3"/>
        <v>2.3800000000000008</v>
      </c>
      <c r="L244" s="93"/>
    </row>
    <row r="245" spans="1:12" ht="30" x14ac:dyDescent="0.5">
      <c r="A245" s="102" t="s">
        <v>2702</v>
      </c>
      <c r="B245" s="102" t="s">
        <v>2703</v>
      </c>
      <c r="C245" s="102" t="s">
        <v>3181</v>
      </c>
      <c r="D245" s="102" t="s">
        <v>2893</v>
      </c>
      <c r="E245" s="102" t="s">
        <v>2694</v>
      </c>
      <c r="F245" s="220">
        <v>30740</v>
      </c>
      <c r="G245" s="102" t="s">
        <v>2695</v>
      </c>
      <c r="H245" s="221">
        <v>14.5</v>
      </c>
      <c r="I245" s="221">
        <v>45.5</v>
      </c>
      <c r="J245" s="221">
        <v>13.4</v>
      </c>
      <c r="K245" s="221">
        <f t="shared" si="3"/>
        <v>1.0999999999999996</v>
      </c>
      <c r="L245" s="93"/>
    </row>
    <row r="246" spans="1:12" ht="30" x14ac:dyDescent="0.5">
      <c r="A246" s="102" t="s">
        <v>2704</v>
      </c>
      <c r="B246" s="102" t="s">
        <v>2705</v>
      </c>
      <c r="C246" s="102" t="s">
        <v>3182</v>
      </c>
      <c r="D246" s="102" t="s">
        <v>2893</v>
      </c>
      <c r="E246" s="102" t="s">
        <v>2694</v>
      </c>
      <c r="F246" s="220">
        <v>30761</v>
      </c>
      <c r="G246" s="102" t="s">
        <v>2695</v>
      </c>
      <c r="H246" s="221">
        <v>16</v>
      </c>
      <c r="I246" s="221">
        <v>43.13</v>
      </c>
      <c r="J246" s="221">
        <v>13.4</v>
      </c>
      <c r="K246" s="221">
        <f t="shared" si="3"/>
        <v>2.5999999999999996</v>
      </c>
      <c r="L246" s="93"/>
    </row>
    <row r="247" spans="1:12" ht="30" x14ac:dyDescent="0.5">
      <c r="A247" s="102" t="s">
        <v>2712</v>
      </c>
      <c r="B247" s="102" t="s">
        <v>2713</v>
      </c>
      <c r="C247" s="102" t="s">
        <v>3183</v>
      </c>
      <c r="D247" s="102" t="s">
        <v>2893</v>
      </c>
      <c r="E247" s="102" t="s">
        <v>2694</v>
      </c>
      <c r="F247" s="220">
        <v>30764</v>
      </c>
      <c r="G247" s="102" t="s">
        <v>2695</v>
      </c>
      <c r="H247" s="221">
        <v>15.5</v>
      </c>
      <c r="I247" s="221">
        <v>40.49</v>
      </c>
      <c r="J247" s="221">
        <v>13.4</v>
      </c>
      <c r="K247" s="221">
        <f t="shared" si="3"/>
        <v>2.0999999999999996</v>
      </c>
      <c r="L247" s="93"/>
    </row>
    <row r="248" spans="1:12" ht="30" x14ac:dyDescent="0.5">
      <c r="A248" s="102" t="s">
        <v>2731</v>
      </c>
      <c r="B248" s="102" t="s">
        <v>2939</v>
      </c>
      <c r="C248" s="102" t="s">
        <v>3184</v>
      </c>
      <c r="D248" s="102" t="s">
        <v>2893</v>
      </c>
      <c r="E248" s="102" t="s">
        <v>2694</v>
      </c>
      <c r="F248" s="220">
        <v>30781</v>
      </c>
      <c r="G248" s="102" t="s">
        <v>2695</v>
      </c>
      <c r="H248" s="221">
        <v>15.2</v>
      </c>
      <c r="I248" s="221">
        <v>36.89</v>
      </c>
      <c r="J248" s="221">
        <v>13.4</v>
      </c>
      <c r="K248" s="221">
        <f t="shared" si="3"/>
        <v>1.7999999999999989</v>
      </c>
      <c r="L248" s="93"/>
    </row>
    <row r="249" spans="1:12" ht="30" x14ac:dyDescent="0.5">
      <c r="A249" s="102" t="s">
        <v>2704</v>
      </c>
      <c r="B249" s="102" t="s">
        <v>2725</v>
      </c>
      <c r="C249" s="102" t="s">
        <v>3185</v>
      </c>
      <c r="D249" s="102" t="s">
        <v>2893</v>
      </c>
      <c r="E249" s="102" t="s">
        <v>2694</v>
      </c>
      <c r="F249" s="220">
        <v>30790</v>
      </c>
      <c r="G249" s="102" t="s">
        <v>2695</v>
      </c>
      <c r="H249" s="221">
        <v>16.2</v>
      </c>
      <c r="I249" s="221">
        <v>41.42</v>
      </c>
      <c r="J249" s="221">
        <v>13.77</v>
      </c>
      <c r="K249" s="221">
        <f t="shared" si="3"/>
        <v>2.4299999999999997</v>
      </c>
      <c r="L249" s="93"/>
    </row>
    <row r="250" spans="1:12" ht="30" x14ac:dyDescent="0.5">
      <c r="A250" s="102" t="s">
        <v>2696</v>
      </c>
      <c r="B250" s="102" t="s">
        <v>2697</v>
      </c>
      <c r="C250" s="102" t="s">
        <v>3186</v>
      </c>
      <c r="D250" s="102" t="s">
        <v>2893</v>
      </c>
      <c r="E250" s="102" t="s">
        <v>2694</v>
      </c>
      <c r="F250" s="220">
        <v>30799</v>
      </c>
      <c r="G250" s="102" t="s">
        <v>2695</v>
      </c>
      <c r="H250" s="221">
        <v>15.85</v>
      </c>
      <c r="I250" s="221">
        <v>38.1</v>
      </c>
      <c r="J250" s="221">
        <v>13.77</v>
      </c>
      <c r="K250" s="221">
        <f t="shared" si="3"/>
        <v>2.08</v>
      </c>
      <c r="L250" s="93"/>
    </row>
    <row r="251" spans="1:12" ht="30" x14ac:dyDescent="0.5">
      <c r="A251" s="102" t="s">
        <v>2740</v>
      </c>
      <c r="B251" s="102" t="s">
        <v>2746</v>
      </c>
      <c r="C251" s="102" t="s">
        <v>3187</v>
      </c>
      <c r="D251" s="102" t="s">
        <v>2893</v>
      </c>
      <c r="E251" s="102" t="s">
        <v>2694</v>
      </c>
      <c r="F251" s="220">
        <v>30817</v>
      </c>
      <c r="G251" s="102" t="s">
        <v>2695</v>
      </c>
      <c r="H251" s="221">
        <v>13.35</v>
      </c>
      <c r="I251" s="221">
        <v>42.74</v>
      </c>
      <c r="J251" s="221">
        <v>14.13</v>
      </c>
      <c r="K251" s="221">
        <f t="shared" si="3"/>
        <v>-0.78000000000000114</v>
      </c>
      <c r="L251" s="93"/>
    </row>
    <row r="252" spans="1:12" ht="30" x14ac:dyDescent="0.5">
      <c r="A252" s="102" t="s">
        <v>2728</v>
      </c>
      <c r="B252" s="102" t="s">
        <v>2729</v>
      </c>
      <c r="C252" s="102" t="s">
        <v>3188</v>
      </c>
      <c r="D252" s="102" t="s">
        <v>2893</v>
      </c>
      <c r="E252" s="102" t="s">
        <v>2694</v>
      </c>
      <c r="F252" s="220">
        <v>30818</v>
      </c>
      <c r="G252" s="102" t="s">
        <v>2695</v>
      </c>
      <c r="H252" s="221">
        <v>15</v>
      </c>
      <c r="I252" s="221">
        <v>40.130000000000003</v>
      </c>
      <c r="J252" s="221">
        <v>14.13</v>
      </c>
      <c r="K252" s="221">
        <f t="shared" si="3"/>
        <v>0.86999999999999922</v>
      </c>
      <c r="L252" s="93"/>
    </row>
    <row r="253" spans="1:12" ht="30" x14ac:dyDescent="0.5">
      <c r="A253" s="102" t="s">
        <v>2715</v>
      </c>
      <c r="B253" s="102" t="s">
        <v>2716</v>
      </c>
      <c r="C253" s="102" t="s">
        <v>3189</v>
      </c>
      <c r="D253" s="102" t="s">
        <v>2893</v>
      </c>
      <c r="E253" s="102" t="s">
        <v>2694</v>
      </c>
      <c r="F253" s="220">
        <v>30824</v>
      </c>
      <c r="G253" s="102" t="s">
        <v>2695</v>
      </c>
      <c r="H253" s="221">
        <v>14.4</v>
      </c>
      <c r="I253" s="221">
        <v>38.590000000000003</v>
      </c>
      <c r="J253" s="221">
        <v>14.13</v>
      </c>
      <c r="K253" s="221">
        <f t="shared" si="3"/>
        <v>0.26999999999999957</v>
      </c>
      <c r="L253" s="93"/>
    </row>
    <row r="254" spans="1:12" ht="30" x14ac:dyDescent="0.5">
      <c r="A254" s="102" t="s">
        <v>2717</v>
      </c>
      <c r="B254" s="102" t="s">
        <v>2939</v>
      </c>
      <c r="C254" s="102" t="s">
        <v>3190</v>
      </c>
      <c r="D254" s="102" t="s">
        <v>2893</v>
      </c>
      <c r="E254" s="102" t="s">
        <v>2694</v>
      </c>
      <c r="F254" s="220">
        <v>30846</v>
      </c>
      <c r="G254" s="102" t="s">
        <v>2695</v>
      </c>
      <c r="H254" s="221">
        <v>15.5</v>
      </c>
      <c r="I254" s="221">
        <v>44.6</v>
      </c>
      <c r="J254" s="221">
        <v>14.13</v>
      </c>
      <c r="K254" s="221">
        <f t="shared" si="3"/>
        <v>1.3699999999999992</v>
      </c>
      <c r="L254" s="93"/>
    </row>
    <row r="255" spans="1:12" ht="30" x14ac:dyDescent="0.5">
      <c r="A255" s="102" t="s">
        <v>2704</v>
      </c>
      <c r="B255" s="102" t="s">
        <v>2927</v>
      </c>
      <c r="C255" s="102" t="s">
        <v>3191</v>
      </c>
      <c r="D255" s="102" t="s">
        <v>2893</v>
      </c>
      <c r="E255" s="102" t="s">
        <v>2694</v>
      </c>
      <c r="F255" s="220">
        <v>30873</v>
      </c>
      <c r="G255" s="102" t="s">
        <v>2695</v>
      </c>
      <c r="H255" s="221">
        <v>16</v>
      </c>
      <c r="I255" s="221">
        <v>42.74</v>
      </c>
      <c r="J255" s="221">
        <v>14.88</v>
      </c>
      <c r="K255" s="221">
        <f t="shared" si="3"/>
        <v>1.1199999999999992</v>
      </c>
      <c r="L255" s="93"/>
    </row>
    <row r="256" spans="1:12" ht="30" x14ac:dyDescent="0.5">
      <c r="A256" s="102" t="s">
        <v>2706</v>
      </c>
      <c r="B256" s="102" t="s">
        <v>2906</v>
      </c>
      <c r="C256" s="102" t="s">
        <v>3192</v>
      </c>
      <c r="D256" s="102" t="s">
        <v>2893</v>
      </c>
      <c r="E256" s="102" t="s">
        <v>2694</v>
      </c>
      <c r="F256" s="220">
        <v>30903</v>
      </c>
      <c r="G256" s="102" t="s">
        <v>2695</v>
      </c>
      <c r="H256" s="221">
        <v>15.33</v>
      </c>
      <c r="I256" s="221">
        <v>34.9</v>
      </c>
      <c r="J256" s="221">
        <v>15.1</v>
      </c>
      <c r="K256" s="221">
        <f t="shared" si="3"/>
        <v>0.23000000000000043</v>
      </c>
      <c r="L256" s="93"/>
    </row>
    <row r="257" spans="1:12" ht="30" x14ac:dyDescent="0.5">
      <c r="A257" s="102" t="s">
        <v>2744</v>
      </c>
      <c r="B257" s="102" t="s">
        <v>2770</v>
      </c>
      <c r="C257" s="102" t="s">
        <v>3193</v>
      </c>
      <c r="D257" s="102" t="s">
        <v>2893</v>
      </c>
      <c r="E257" s="102" t="s">
        <v>2694</v>
      </c>
      <c r="F257" s="220">
        <v>30911</v>
      </c>
      <c r="G257" s="102" t="s">
        <v>2695</v>
      </c>
      <c r="H257" s="221">
        <v>14.82</v>
      </c>
      <c r="I257" s="221">
        <v>29.24</v>
      </c>
      <c r="J257" s="221">
        <v>14.86</v>
      </c>
      <c r="K257" s="221">
        <f t="shared" si="3"/>
        <v>-3.9999999999999147E-2</v>
      </c>
      <c r="L257" s="93"/>
    </row>
    <row r="258" spans="1:12" ht="30" x14ac:dyDescent="0.5">
      <c r="A258" s="102" t="s">
        <v>2708</v>
      </c>
      <c r="B258" s="102" t="s">
        <v>2709</v>
      </c>
      <c r="C258" s="102" t="s">
        <v>3194</v>
      </c>
      <c r="D258" s="102" t="s">
        <v>2893</v>
      </c>
      <c r="E258" s="102" t="s">
        <v>2694</v>
      </c>
      <c r="F258" s="220">
        <v>30915</v>
      </c>
      <c r="G258" s="102" t="s">
        <v>2695</v>
      </c>
      <c r="H258" s="221">
        <v>14.64</v>
      </c>
      <c r="I258" s="221">
        <v>38.700000000000003</v>
      </c>
      <c r="J258" s="221">
        <v>14.86</v>
      </c>
      <c r="K258" s="221">
        <f t="shared" si="3"/>
        <v>-0.21999999999999886</v>
      </c>
      <c r="L258" s="93"/>
    </row>
    <row r="259" spans="1:12" ht="30" x14ac:dyDescent="0.5">
      <c r="A259" s="102" t="s">
        <v>2696</v>
      </c>
      <c r="B259" s="102" t="s">
        <v>3195</v>
      </c>
      <c r="C259" s="102" t="s">
        <v>3196</v>
      </c>
      <c r="D259" s="102" t="s">
        <v>2893</v>
      </c>
      <c r="E259" s="102" t="s">
        <v>2694</v>
      </c>
      <c r="F259" s="220">
        <v>30921</v>
      </c>
      <c r="G259" s="102" t="s">
        <v>2695</v>
      </c>
      <c r="H259" s="221">
        <v>14.52</v>
      </c>
      <c r="I259" s="221">
        <v>49.36</v>
      </c>
      <c r="J259" s="221">
        <v>14.86</v>
      </c>
      <c r="K259" s="221">
        <f t="shared" si="3"/>
        <v>-0.33999999999999986</v>
      </c>
      <c r="L259" s="93"/>
    </row>
    <row r="260" spans="1:12" ht="30" x14ac:dyDescent="0.5">
      <c r="A260" s="102" t="s">
        <v>2702</v>
      </c>
      <c r="B260" s="102" t="s">
        <v>3007</v>
      </c>
      <c r="C260" s="102" t="s">
        <v>3197</v>
      </c>
      <c r="D260" s="102" t="s">
        <v>2893</v>
      </c>
      <c r="E260" s="102" t="s">
        <v>2694</v>
      </c>
      <c r="F260" s="220">
        <v>30922</v>
      </c>
      <c r="G260" s="102" t="s">
        <v>2695</v>
      </c>
      <c r="H260" s="221">
        <v>14.75</v>
      </c>
      <c r="I260" s="221">
        <v>50.82</v>
      </c>
      <c r="J260" s="221">
        <v>14.86</v>
      </c>
      <c r="K260" s="221">
        <f t="shared" si="3"/>
        <v>-0.10999999999999943</v>
      </c>
      <c r="L260" s="93"/>
    </row>
    <row r="261" spans="1:12" ht="30" x14ac:dyDescent="0.5">
      <c r="A261" s="102" t="s">
        <v>2693</v>
      </c>
      <c r="B261" s="102" t="s">
        <v>2961</v>
      </c>
      <c r="C261" s="102" t="s">
        <v>3198</v>
      </c>
      <c r="D261" s="102" t="s">
        <v>2893</v>
      </c>
      <c r="E261" s="102" t="s">
        <v>2694</v>
      </c>
      <c r="F261" s="220">
        <v>30924</v>
      </c>
      <c r="G261" s="102" t="s">
        <v>2695</v>
      </c>
      <c r="H261" s="221">
        <v>15.6</v>
      </c>
      <c r="I261" s="221">
        <v>44.1</v>
      </c>
      <c r="J261" s="221">
        <v>14.86</v>
      </c>
      <c r="K261" s="221">
        <f t="shared" si="3"/>
        <v>0.74000000000000021</v>
      </c>
      <c r="L261" s="93"/>
    </row>
    <row r="262" spans="1:12" ht="30" x14ac:dyDescent="0.5">
      <c r="A262" s="102" t="s">
        <v>2723</v>
      </c>
      <c r="B262" s="102" t="s">
        <v>2921</v>
      </c>
      <c r="C262" s="102" t="s">
        <v>3199</v>
      </c>
      <c r="D262" s="102" t="s">
        <v>2893</v>
      </c>
      <c r="E262" s="102" t="s">
        <v>2694</v>
      </c>
      <c r="F262" s="220">
        <v>30937</v>
      </c>
      <c r="G262" s="102" t="s">
        <v>2695</v>
      </c>
      <c r="H262" s="221">
        <v>15.9</v>
      </c>
      <c r="I262" s="221">
        <v>48.44</v>
      </c>
      <c r="J262" s="221">
        <v>14.86</v>
      </c>
      <c r="K262" s="221">
        <f t="shared" si="3"/>
        <v>1.0400000000000009</v>
      </c>
      <c r="L262" s="93"/>
    </row>
    <row r="263" spans="1:12" ht="30" x14ac:dyDescent="0.5">
      <c r="A263" s="102" t="s">
        <v>2693</v>
      </c>
      <c r="B263" s="102" t="s">
        <v>2959</v>
      </c>
      <c r="C263" s="102" t="s">
        <v>3200</v>
      </c>
      <c r="D263" s="102" t="s">
        <v>2893</v>
      </c>
      <c r="E263" s="102" t="s">
        <v>2694</v>
      </c>
      <c r="F263" s="220">
        <v>30937</v>
      </c>
      <c r="G263" s="102" t="s">
        <v>2695</v>
      </c>
      <c r="H263" s="221">
        <v>15.6</v>
      </c>
      <c r="I263" s="221">
        <v>45.96</v>
      </c>
      <c r="J263" s="221">
        <v>14.86</v>
      </c>
      <c r="K263" s="221">
        <f t="shared" ref="K263:K326" si="4">H263-J263</f>
        <v>0.74000000000000021</v>
      </c>
      <c r="L263" s="93"/>
    </row>
    <row r="264" spans="1:12" ht="30" x14ac:dyDescent="0.5">
      <c r="A264" s="102" t="s">
        <v>2699</v>
      </c>
      <c r="B264" s="102" t="s">
        <v>2628</v>
      </c>
      <c r="C264" s="102" t="s">
        <v>3201</v>
      </c>
      <c r="D264" s="102" t="s">
        <v>2893</v>
      </c>
      <c r="E264" s="102" t="s">
        <v>2694</v>
      </c>
      <c r="F264" s="220">
        <v>30950</v>
      </c>
      <c r="G264" s="102" t="s">
        <v>2695</v>
      </c>
      <c r="H264" s="221">
        <v>16.25</v>
      </c>
      <c r="I264" s="221">
        <v>41.52</v>
      </c>
      <c r="J264" s="221">
        <v>14.43</v>
      </c>
      <c r="K264" s="221">
        <f t="shared" si="4"/>
        <v>1.8200000000000003</v>
      </c>
      <c r="L264" s="93"/>
    </row>
    <row r="265" spans="1:12" ht="30" x14ac:dyDescent="0.5">
      <c r="A265" s="102" t="s">
        <v>2732</v>
      </c>
      <c r="B265" s="102" t="s">
        <v>2944</v>
      </c>
      <c r="C265" s="102" t="s">
        <v>3202</v>
      </c>
      <c r="D265" s="102" t="s">
        <v>2893</v>
      </c>
      <c r="E265" s="102" t="s">
        <v>2694</v>
      </c>
      <c r="F265" s="220">
        <v>30957</v>
      </c>
      <c r="G265" s="102" t="s">
        <v>2695</v>
      </c>
      <c r="H265" s="221">
        <v>14.8</v>
      </c>
      <c r="I265" s="221">
        <v>60.49</v>
      </c>
      <c r="J265" s="221">
        <v>14.43</v>
      </c>
      <c r="K265" s="221">
        <f t="shared" si="4"/>
        <v>0.37000000000000099</v>
      </c>
      <c r="L265" s="93"/>
    </row>
    <row r="266" spans="1:12" ht="30" x14ac:dyDescent="0.5">
      <c r="A266" s="102" t="s">
        <v>2702</v>
      </c>
      <c r="B266" s="102" t="s">
        <v>2749</v>
      </c>
      <c r="C266" s="102" t="s">
        <v>3203</v>
      </c>
      <c r="D266" s="102" t="s">
        <v>2893</v>
      </c>
      <c r="E266" s="102" t="s">
        <v>2694</v>
      </c>
      <c r="F266" s="220">
        <v>30964</v>
      </c>
      <c r="G266" s="102" t="s">
        <v>2695</v>
      </c>
      <c r="H266" s="221">
        <v>14.75</v>
      </c>
      <c r="I266" s="221">
        <v>45.27</v>
      </c>
      <c r="J266" s="221">
        <v>14.43</v>
      </c>
      <c r="K266" s="221">
        <f t="shared" si="4"/>
        <v>0.32000000000000028</v>
      </c>
      <c r="L266" s="93"/>
    </row>
    <row r="267" spans="1:12" ht="30" x14ac:dyDescent="0.5">
      <c r="A267" s="102" t="s">
        <v>2704</v>
      </c>
      <c r="B267" s="102" t="s">
        <v>2934</v>
      </c>
      <c r="C267" s="102" t="s">
        <v>3204</v>
      </c>
      <c r="D267" s="102" t="s">
        <v>2893</v>
      </c>
      <c r="E267" s="102" t="s">
        <v>2694</v>
      </c>
      <c r="F267" s="220">
        <v>30965</v>
      </c>
      <c r="G267" s="102" t="s">
        <v>2695</v>
      </c>
      <c r="H267" s="221">
        <v>15.5</v>
      </c>
      <c r="I267" s="221">
        <v>45.58</v>
      </c>
      <c r="J267" s="221">
        <v>14.43</v>
      </c>
      <c r="K267" s="221">
        <f t="shared" si="4"/>
        <v>1.0700000000000003</v>
      </c>
      <c r="L267" s="93"/>
    </row>
    <row r="268" spans="1:12" ht="30" x14ac:dyDescent="0.5">
      <c r="A268" s="102" t="s">
        <v>2728</v>
      </c>
      <c r="B268" s="102" t="s">
        <v>3144</v>
      </c>
      <c r="C268" s="102" t="s">
        <v>3205</v>
      </c>
      <c r="D268" s="102" t="s">
        <v>2893</v>
      </c>
      <c r="E268" s="102" t="s">
        <v>2694</v>
      </c>
      <c r="F268" s="220">
        <v>30973</v>
      </c>
      <c r="G268" s="102" t="s">
        <v>2695</v>
      </c>
      <c r="H268" s="221">
        <v>15</v>
      </c>
      <c r="I268" s="221">
        <v>45.77</v>
      </c>
      <c r="J268" s="221">
        <v>14.19</v>
      </c>
      <c r="K268" s="221">
        <f t="shared" si="4"/>
        <v>0.8100000000000005</v>
      </c>
      <c r="L268" s="93"/>
    </row>
    <row r="269" spans="1:12" ht="30" x14ac:dyDescent="0.5">
      <c r="A269" s="102" t="s">
        <v>2728</v>
      </c>
      <c r="B269" s="102" t="s">
        <v>2771</v>
      </c>
      <c r="C269" s="102" t="s">
        <v>3206</v>
      </c>
      <c r="D269" s="102" t="s">
        <v>2893</v>
      </c>
      <c r="E269" s="102" t="s">
        <v>2694</v>
      </c>
      <c r="F269" s="220">
        <v>30979</v>
      </c>
      <c r="G269" s="102" t="s">
        <v>2695</v>
      </c>
      <c r="H269" s="221">
        <v>15.5</v>
      </c>
      <c r="I269" s="221">
        <v>36</v>
      </c>
      <c r="J269" s="221">
        <v>14.19</v>
      </c>
      <c r="K269" s="221">
        <f t="shared" si="4"/>
        <v>1.3100000000000005</v>
      </c>
      <c r="L269" s="93"/>
    </row>
    <row r="270" spans="1:12" ht="30" x14ac:dyDescent="0.5">
      <c r="A270" s="102" t="s">
        <v>2710</v>
      </c>
      <c r="B270" s="102" t="s">
        <v>2761</v>
      </c>
      <c r="C270" s="102" t="s">
        <v>3207</v>
      </c>
      <c r="D270" s="102" t="s">
        <v>2893</v>
      </c>
      <c r="E270" s="102" t="s">
        <v>2694</v>
      </c>
      <c r="F270" s="220">
        <v>31006</v>
      </c>
      <c r="G270" s="102" t="s">
        <v>2695</v>
      </c>
      <c r="H270" s="221">
        <v>15.92</v>
      </c>
      <c r="I270" s="221">
        <v>37.799999999999997</v>
      </c>
      <c r="J270" s="221">
        <v>13.83</v>
      </c>
      <c r="K270" s="221">
        <f t="shared" si="4"/>
        <v>2.09</v>
      </c>
      <c r="L270" s="93"/>
    </row>
    <row r="271" spans="1:12" ht="30" x14ac:dyDescent="0.5">
      <c r="A271" s="102" t="s">
        <v>2763</v>
      </c>
      <c r="B271" s="102" t="s">
        <v>3059</v>
      </c>
      <c r="C271" s="102" t="s">
        <v>3208</v>
      </c>
      <c r="D271" s="102" t="s">
        <v>2893</v>
      </c>
      <c r="E271" s="102" t="s">
        <v>2694</v>
      </c>
      <c r="F271" s="220">
        <v>31016</v>
      </c>
      <c r="G271" s="102" t="s">
        <v>2695</v>
      </c>
      <c r="H271" s="221">
        <v>15.5</v>
      </c>
      <c r="I271" s="221">
        <v>48.07</v>
      </c>
      <c r="J271" s="221">
        <v>13.83</v>
      </c>
      <c r="K271" s="221">
        <f t="shared" si="4"/>
        <v>1.67</v>
      </c>
      <c r="L271" s="93"/>
    </row>
    <row r="272" spans="1:12" ht="30" x14ac:dyDescent="0.5">
      <c r="A272" s="102" t="s">
        <v>2766</v>
      </c>
      <c r="B272" s="102" t="s">
        <v>3110</v>
      </c>
      <c r="C272" s="102" t="s">
        <v>3209</v>
      </c>
      <c r="D272" s="102" t="s">
        <v>2893</v>
      </c>
      <c r="E272" s="102" t="s">
        <v>2694</v>
      </c>
      <c r="F272" s="220">
        <v>31034</v>
      </c>
      <c r="G272" s="102" t="s">
        <v>2695</v>
      </c>
      <c r="H272" s="221">
        <v>15</v>
      </c>
      <c r="I272" s="221">
        <v>35.89</v>
      </c>
      <c r="J272" s="221">
        <v>13.25</v>
      </c>
      <c r="K272" s="221">
        <f t="shared" si="4"/>
        <v>1.75</v>
      </c>
      <c r="L272" s="93"/>
    </row>
    <row r="273" spans="1:12" ht="30" x14ac:dyDescent="0.5">
      <c r="A273" s="102" t="s">
        <v>2702</v>
      </c>
      <c r="B273" s="102" t="s">
        <v>2903</v>
      </c>
      <c r="C273" s="102" t="s">
        <v>3210</v>
      </c>
      <c r="D273" s="102" t="s">
        <v>2893</v>
      </c>
      <c r="E273" s="102" t="s">
        <v>2694</v>
      </c>
      <c r="F273" s="220">
        <v>31036</v>
      </c>
      <c r="G273" s="102" t="s">
        <v>2695</v>
      </c>
      <c r="H273" s="221">
        <v>15</v>
      </c>
      <c r="I273" s="221">
        <v>45.49</v>
      </c>
      <c r="J273" s="221">
        <v>13.25</v>
      </c>
      <c r="K273" s="221">
        <f t="shared" si="4"/>
        <v>1.75</v>
      </c>
      <c r="L273" s="93"/>
    </row>
    <row r="274" spans="1:12" ht="30" x14ac:dyDescent="0.5">
      <c r="A274" s="102" t="s">
        <v>2738</v>
      </c>
      <c r="B274" s="102" t="s">
        <v>2954</v>
      </c>
      <c r="C274" s="102" t="s">
        <v>3211</v>
      </c>
      <c r="D274" s="102" t="s">
        <v>2893</v>
      </c>
      <c r="E274" s="102" t="s">
        <v>2694</v>
      </c>
      <c r="F274" s="220">
        <v>31044</v>
      </c>
      <c r="G274" s="102" t="s">
        <v>2695</v>
      </c>
      <c r="H274" s="221">
        <v>15.75</v>
      </c>
      <c r="I274" s="221">
        <v>42.2</v>
      </c>
      <c r="J274" s="221">
        <v>13.25</v>
      </c>
      <c r="K274" s="221">
        <f t="shared" si="4"/>
        <v>2.5</v>
      </c>
      <c r="L274" s="93"/>
    </row>
    <row r="275" spans="1:12" ht="30" x14ac:dyDescent="0.5">
      <c r="A275" s="102" t="s">
        <v>2723</v>
      </c>
      <c r="B275" s="102" t="s">
        <v>2949</v>
      </c>
      <c r="C275" s="102" t="s">
        <v>3212</v>
      </c>
      <c r="D275" s="102" t="s">
        <v>2893</v>
      </c>
      <c r="E275" s="102" t="s">
        <v>2694</v>
      </c>
      <c r="F275" s="220">
        <v>31049</v>
      </c>
      <c r="G275" s="102" t="s">
        <v>2695</v>
      </c>
      <c r="H275" s="221">
        <v>16</v>
      </c>
      <c r="I275" s="221">
        <v>35.58</v>
      </c>
      <c r="J275" s="221">
        <v>13.25</v>
      </c>
      <c r="K275" s="221">
        <f t="shared" si="4"/>
        <v>2.75</v>
      </c>
      <c r="L275" s="93"/>
    </row>
    <row r="276" spans="1:12" ht="30" x14ac:dyDescent="0.5">
      <c r="A276" s="102" t="s">
        <v>2702</v>
      </c>
      <c r="B276" s="102" t="s">
        <v>2748</v>
      </c>
      <c r="C276" s="102" t="s">
        <v>3213</v>
      </c>
      <c r="D276" s="102" t="s">
        <v>2893</v>
      </c>
      <c r="E276" s="102" t="s">
        <v>2694</v>
      </c>
      <c r="F276" s="220">
        <v>31078</v>
      </c>
      <c r="G276" s="102" t="s">
        <v>2695</v>
      </c>
      <c r="H276" s="221">
        <v>14.75</v>
      </c>
      <c r="I276" s="221">
        <v>50</v>
      </c>
      <c r="J276" s="221">
        <v>13.07</v>
      </c>
      <c r="K276" s="221">
        <f t="shared" si="4"/>
        <v>1.6799999999999997</v>
      </c>
      <c r="L276" s="93"/>
    </row>
    <row r="277" spans="1:12" ht="30" x14ac:dyDescent="0.5">
      <c r="A277" s="102" t="s">
        <v>2714</v>
      </c>
      <c r="B277" s="102" t="s">
        <v>2916</v>
      </c>
      <c r="C277" s="102" t="s">
        <v>3214</v>
      </c>
      <c r="D277" s="102" t="s">
        <v>2893</v>
      </c>
      <c r="E277" s="102" t="s">
        <v>2694</v>
      </c>
      <c r="F277" s="220">
        <v>31085</v>
      </c>
      <c r="G277" s="102" t="s">
        <v>2695</v>
      </c>
      <c r="H277" s="221">
        <v>14.85</v>
      </c>
      <c r="I277" s="221">
        <v>44.8</v>
      </c>
      <c r="J277" s="221">
        <v>13.07</v>
      </c>
      <c r="K277" s="221">
        <f t="shared" si="4"/>
        <v>1.7799999999999994</v>
      </c>
      <c r="L277" s="93"/>
    </row>
    <row r="278" spans="1:12" ht="30" x14ac:dyDescent="0.5">
      <c r="A278" s="102" t="s">
        <v>2712</v>
      </c>
      <c r="B278" s="102" t="s">
        <v>3085</v>
      </c>
      <c r="C278" s="102" t="s">
        <v>3215</v>
      </c>
      <c r="D278" s="102" t="s">
        <v>2893</v>
      </c>
      <c r="E278" s="102" t="s">
        <v>2694</v>
      </c>
      <c r="F278" s="220">
        <v>31093</v>
      </c>
      <c r="G278" s="102" t="s">
        <v>2695</v>
      </c>
      <c r="H278" s="221">
        <v>15</v>
      </c>
      <c r="I278" s="221" t="s">
        <v>14</v>
      </c>
      <c r="J278" s="221">
        <v>12.99</v>
      </c>
      <c r="K278" s="221">
        <f t="shared" si="4"/>
        <v>2.0099999999999998</v>
      </c>
      <c r="L278" s="93"/>
    </row>
    <row r="279" spans="1:12" ht="30" x14ac:dyDescent="0.5">
      <c r="A279" s="102" t="s">
        <v>2766</v>
      </c>
      <c r="B279" s="102" t="s">
        <v>2895</v>
      </c>
      <c r="C279" s="102" t="s">
        <v>3216</v>
      </c>
      <c r="D279" s="102" t="s">
        <v>2893</v>
      </c>
      <c r="E279" s="102" t="s">
        <v>2694</v>
      </c>
      <c r="F279" s="220">
        <v>31098</v>
      </c>
      <c r="G279" s="102" t="s">
        <v>2695</v>
      </c>
      <c r="H279" s="221">
        <v>14.5</v>
      </c>
      <c r="I279" s="221">
        <v>43.91</v>
      </c>
      <c r="J279" s="221">
        <v>12.99</v>
      </c>
      <c r="K279" s="221">
        <f t="shared" si="4"/>
        <v>1.5099999999999998</v>
      </c>
      <c r="L279" s="93"/>
    </row>
    <row r="280" spans="1:12" ht="30" x14ac:dyDescent="0.5">
      <c r="A280" s="102" t="s">
        <v>2758</v>
      </c>
      <c r="B280" s="102" t="s">
        <v>2759</v>
      </c>
      <c r="C280" s="102" t="s">
        <v>3217</v>
      </c>
      <c r="D280" s="102" t="s">
        <v>2893</v>
      </c>
      <c r="E280" s="102" t="s">
        <v>2694</v>
      </c>
      <c r="F280" s="220">
        <v>31100</v>
      </c>
      <c r="G280" s="102" t="s">
        <v>2695</v>
      </c>
      <c r="H280" s="221">
        <v>14.86</v>
      </c>
      <c r="I280" s="221">
        <v>42.18</v>
      </c>
      <c r="J280" s="221">
        <v>12.99</v>
      </c>
      <c r="K280" s="221">
        <f t="shared" si="4"/>
        <v>1.8699999999999992</v>
      </c>
      <c r="L280" s="93"/>
    </row>
    <row r="281" spans="1:12" ht="30" x14ac:dyDescent="0.5">
      <c r="A281" s="102" t="s">
        <v>2704</v>
      </c>
      <c r="B281" s="102" t="s">
        <v>2705</v>
      </c>
      <c r="C281" s="102" t="s">
        <v>3218</v>
      </c>
      <c r="D281" s="102" t="s">
        <v>2893</v>
      </c>
      <c r="E281" s="102" t="s">
        <v>2694</v>
      </c>
      <c r="F281" s="220">
        <v>31120</v>
      </c>
      <c r="G281" s="102" t="s">
        <v>2695</v>
      </c>
      <c r="H281" s="221">
        <v>15.5</v>
      </c>
      <c r="I281" s="221">
        <v>43.35</v>
      </c>
      <c r="J281" s="221">
        <v>12.99</v>
      </c>
      <c r="K281" s="221">
        <f t="shared" si="4"/>
        <v>2.5099999999999998</v>
      </c>
      <c r="L281" s="93"/>
    </row>
    <row r="282" spans="1:12" ht="30" x14ac:dyDescent="0.5">
      <c r="A282" s="102" t="s">
        <v>2704</v>
      </c>
      <c r="B282" s="102" t="s">
        <v>2725</v>
      </c>
      <c r="C282" s="102" t="s">
        <v>3219</v>
      </c>
      <c r="D282" s="102" t="s">
        <v>2893</v>
      </c>
      <c r="E282" s="102" t="s">
        <v>2694</v>
      </c>
      <c r="F282" s="220">
        <v>31146</v>
      </c>
      <c r="G282" s="102" t="s">
        <v>2695</v>
      </c>
      <c r="H282" s="221">
        <v>15.5</v>
      </c>
      <c r="I282" s="221">
        <v>40.97</v>
      </c>
      <c r="J282" s="221">
        <v>13.03</v>
      </c>
      <c r="K282" s="221">
        <f t="shared" si="4"/>
        <v>2.4700000000000006</v>
      </c>
      <c r="L282" s="93"/>
    </row>
    <row r="283" spans="1:12" ht="30" x14ac:dyDescent="0.5">
      <c r="A283" s="102" t="s">
        <v>2704</v>
      </c>
      <c r="B283" s="102" t="s">
        <v>2750</v>
      </c>
      <c r="C283" s="102" t="s">
        <v>3220</v>
      </c>
      <c r="D283" s="102" t="s">
        <v>2893</v>
      </c>
      <c r="E283" s="102" t="s">
        <v>2694</v>
      </c>
      <c r="F283" s="220">
        <v>31153</v>
      </c>
      <c r="G283" s="102" t="s">
        <v>2695</v>
      </c>
      <c r="H283" s="221">
        <v>15.7</v>
      </c>
      <c r="I283" s="221">
        <v>42.09</v>
      </c>
      <c r="J283" s="221">
        <v>13.8</v>
      </c>
      <c r="K283" s="221">
        <f t="shared" si="4"/>
        <v>1.8999999999999986</v>
      </c>
      <c r="L283" s="93"/>
    </row>
    <row r="284" spans="1:12" ht="30" x14ac:dyDescent="0.5">
      <c r="A284" s="102" t="s">
        <v>2768</v>
      </c>
      <c r="B284" s="102" t="s">
        <v>2944</v>
      </c>
      <c r="C284" s="102" t="s">
        <v>3221</v>
      </c>
      <c r="D284" s="102" t="s">
        <v>2893</v>
      </c>
      <c r="E284" s="102" t="s">
        <v>2694</v>
      </c>
      <c r="F284" s="220">
        <v>31208</v>
      </c>
      <c r="G284" s="102" t="s">
        <v>2695</v>
      </c>
      <c r="H284" s="221">
        <v>15.75</v>
      </c>
      <c r="I284" s="221">
        <v>37.9</v>
      </c>
      <c r="J284" s="221">
        <v>13.59</v>
      </c>
      <c r="K284" s="221">
        <f t="shared" si="4"/>
        <v>2.16</v>
      </c>
      <c r="L284" s="93"/>
    </row>
    <row r="285" spans="1:12" ht="30" x14ac:dyDescent="0.5">
      <c r="A285" s="102" t="s">
        <v>2744</v>
      </c>
      <c r="B285" s="102" t="s">
        <v>2972</v>
      </c>
      <c r="C285" s="102" t="s">
        <v>3222</v>
      </c>
      <c r="D285" s="102" t="s">
        <v>2893</v>
      </c>
      <c r="E285" s="102" t="s">
        <v>2694</v>
      </c>
      <c r="F285" s="220">
        <v>31224</v>
      </c>
      <c r="G285" s="102" t="s">
        <v>2695</v>
      </c>
      <c r="H285" s="221">
        <v>14.82</v>
      </c>
      <c r="I285" s="221">
        <v>28.01</v>
      </c>
      <c r="J285" s="221">
        <v>13.17</v>
      </c>
      <c r="K285" s="221">
        <f t="shared" si="4"/>
        <v>1.6500000000000004</v>
      </c>
      <c r="L285" s="93"/>
    </row>
    <row r="286" spans="1:12" ht="30" x14ac:dyDescent="0.5">
      <c r="A286" s="102" t="s">
        <v>2704</v>
      </c>
      <c r="B286" s="102" t="s">
        <v>2927</v>
      </c>
      <c r="C286" s="102" t="s">
        <v>3223</v>
      </c>
      <c r="D286" s="102" t="s">
        <v>2893</v>
      </c>
      <c r="E286" s="102" t="s">
        <v>2694</v>
      </c>
      <c r="F286" s="220">
        <v>31237</v>
      </c>
      <c r="G286" s="102" t="s">
        <v>2695</v>
      </c>
      <c r="H286" s="221">
        <v>15</v>
      </c>
      <c r="I286" s="221">
        <v>44.23</v>
      </c>
      <c r="J286" s="221">
        <v>13.17</v>
      </c>
      <c r="K286" s="221">
        <f t="shared" si="4"/>
        <v>1.83</v>
      </c>
      <c r="L286" s="93"/>
    </row>
    <row r="287" spans="1:12" ht="30" x14ac:dyDescent="0.5">
      <c r="A287" s="102" t="s">
        <v>2702</v>
      </c>
      <c r="B287" s="102" t="s">
        <v>2703</v>
      </c>
      <c r="C287" s="102" t="s">
        <v>3224</v>
      </c>
      <c r="D287" s="102" t="s">
        <v>2893</v>
      </c>
      <c r="E287" s="102" t="s">
        <v>2694</v>
      </c>
      <c r="F287" s="220">
        <v>31254</v>
      </c>
      <c r="G287" s="102" t="s">
        <v>2695</v>
      </c>
      <c r="H287" s="221">
        <v>14.5</v>
      </c>
      <c r="I287" s="221">
        <v>47.88</v>
      </c>
      <c r="J287" s="221">
        <v>12.14</v>
      </c>
      <c r="K287" s="221">
        <f t="shared" si="4"/>
        <v>2.3599999999999994</v>
      </c>
      <c r="L287" s="93"/>
    </row>
    <row r="288" spans="1:12" ht="30" x14ac:dyDescent="0.5">
      <c r="A288" s="102" t="s">
        <v>2702</v>
      </c>
      <c r="B288" s="102" t="s">
        <v>2749</v>
      </c>
      <c r="C288" s="102" t="s">
        <v>3225</v>
      </c>
      <c r="D288" s="102" t="s">
        <v>2893</v>
      </c>
      <c r="E288" s="102" t="s">
        <v>2694</v>
      </c>
      <c r="F288" s="220">
        <v>31288</v>
      </c>
      <c r="G288" s="102" t="s">
        <v>2695</v>
      </c>
      <c r="H288" s="221">
        <v>14.5</v>
      </c>
      <c r="I288" s="221">
        <v>46.94</v>
      </c>
      <c r="J288" s="221">
        <v>12.06</v>
      </c>
      <c r="K288" s="221">
        <f t="shared" si="4"/>
        <v>2.4399999999999995</v>
      </c>
      <c r="L288" s="93"/>
    </row>
    <row r="289" spans="1:12" ht="30" x14ac:dyDescent="0.5">
      <c r="A289" s="102" t="s">
        <v>2699</v>
      </c>
      <c r="B289" s="102" t="s">
        <v>2628</v>
      </c>
      <c r="C289" s="102" t="s">
        <v>3226</v>
      </c>
      <c r="D289" s="102" t="s">
        <v>2893</v>
      </c>
      <c r="E289" s="102" t="s">
        <v>2694</v>
      </c>
      <c r="F289" s="220">
        <v>31313</v>
      </c>
      <c r="G289" s="102" t="s">
        <v>2695</v>
      </c>
      <c r="H289" s="221">
        <v>15.3</v>
      </c>
      <c r="I289" s="221">
        <v>43.06</v>
      </c>
      <c r="J289" s="221">
        <v>12.14</v>
      </c>
      <c r="K289" s="221">
        <f t="shared" si="4"/>
        <v>3.16</v>
      </c>
      <c r="L289" s="93"/>
    </row>
    <row r="290" spans="1:12" ht="30" x14ac:dyDescent="0.5">
      <c r="A290" s="102" t="s">
        <v>2732</v>
      </c>
      <c r="B290" s="102" t="s">
        <v>2944</v>
      </c>
      <c r="C290" s="102" t="s">
        <v>3227</v>
      </c>
      <c r="D290" s="102" t="s">
        <v>2893</v>
      </c>
      <c r="E290" s="102" t="s">
        <v>2694</v>
      </c>
      <c r="F290" s="220">
        <v>31315</v>
      </c>
      <c r="G290" s="102" t="s">
        <v>2695</v>
      </c>
      <c r="H290" s="221">
        <v>14.5</v>
      </c>
      <c r="I290" s="221" t="s">
        <v>14</v>
      </c>
      <c r="J290" s="221">
        <v>12.14</v>
      </c>
      <c r="K290" s="221">
        <f t="shared" si="4"/>
        <v>2.3599999999999994</v>
      </c>
      <c r="L290" s="93"/>
    </row>
    <row r="291" spans="1:12" ht="30" x14ac:dyDescent="0.5">
      <c r="A291" s="102" t="s">
        <v>2696</v>
      </c>
      <c r="B291" s="102" t="s">
        <v>3146</v>
      </c>
      <c r="C291" s="102" t="s">
        <v>3228</v>
      </c>
      <c r="D291" s="102" t="s">
        <v>2893</v>
      </c>
      <c r="E291" s="102" t="s">
        <v>2694</v>
      </c>
      <c r="F291" s="220">
        <v>31316</v>
      </c>
      <c r="G291" s="102" t="s">
        <v>2695</v>
      </c>
      <c r="H291" s="221">
        <v>14.5</v>
      </c>
      <c r="I291" s="221">
        <v>54</v>
      </c>
      <c r="J291" s="221">
        <v>12.14</v>
      </c>
      <c r="K291" s="221">
        <f t="shared" si="4"/>
        <v>2.3599999999999994</v>
      </c>
      <c r="L291" s="93"/>
    </row>
    <row r="292" spans="1:12" ht="30" x14ac:dyDescent="0.5">
      <c r="A292" s="102" t="s">
        <v>2704</v>
      </c>
      <c r="B292" s="102" t="s">
        <v>2934</v>
      </c>
      <c r="C292" s="102" t="s">
        <v>3229</v>
      </c>
      <c r="D292" s="102" t="s">
        <v>2893</v>
      </c>
      <c r="E292" s="102" t="s">
        <v>2694</v>
      </c>
      <c r="F292" s="220">
        <v>31316</v>
      </c>
      <c r="G292" s="102" t="s">
        <v>2695</v>
      </c>
      <c r="H292" s="221">
        <v>13.8</v>
      </c>
      <c r="I292" s="221">
        <v>49.09</v>
      </c>
      <c r="J292" s="221">
        <v>12.14</v>
      </c>
      <c r="K292" s="221">
        <f t="shared" si="4"/>
        <v>1.6600000000000001</v>
      </c>
      <c r="L292" s="93"/>
    </row>
    <row r="293" spans="1:12" ht="30" x14ac:dyDescent="0.5">
      <c r="A293" s="102" t="s">
        <v>2768</v>
      </c>
      <c r="B293" s="102" t="s">
        <v>3012</v>
      </c>
      <c r="C293" s="102" t="s">
        <v>3230</v>
      </c>
      <c r="D293" s="102" t="s">
        <v>2893</v>
      </c>
      <c r="E293" s="102" t="s">
        <v>2694</v>
      </c>
      <c r="F293" s="220">
        <v>31345</v>
      </c>
      <c r="G293" s="102" t="s">
        <v>2695</v>
      </c>
      <c r="H293" s="221">
        <v>15.25</v>
      </c>
      <c r="I293" s="221">
        <v>41.41</v>
      </c>
      <c r="J293" s="221">
        <v>12.13</v>
      </c>
      <c r="K293" s="221">
        <f t="shared" si="4"/>
        <v>3.1199999999999992</v>
      </c>
      <c r="L293" s="93"/>
    </row>
    <row r="294" spans="1:12" ht="30" x14ac:dyDescent="0.5">
      <c r="A294" s="102" t="s">
        <v>2767</v>
      </c>
      <c r="B294" s="102" t="s">
        <v>2944</v>
      </c>
      <c r="C294" s="102" t="s">
        <v>3231</v>
      </c>
      <c r="D294" s="102" t="s">
        <v>2893</v>
      </c>
      <c r="E294" s="102" t="s">
        <v>2694</v>
      </c>
      <c r="F294" s="220">
        <v>31359</v>
      </c>
      <c r="G294" s="102" t="s">
        <v>2695</v>
      </c>
      <c r="H294" s="221">
        <v>12.94</v>
      </c>
      <c r="I294" s="221">
        <v>77.760000000000005</v>
      </c>
      <c r="J294" s="221">
        <v>12.13</v>
      </c>
      <c r="K294" s="221">
        <f t="shared" si="4"/>
        <v>0.80999999999999872</v>
      </c>
      <c r="L294" s="93"/>
    </row>
    <row r="295" spans="1:12" ht="30" x14ac:dyDescent="0.5">
      <c r="A295" s="102" t="s">
        <v>2743</v>
      </c>
      <c r="B295" s="102" t="s">
        <v>2969</v>
      </c>
      <c r="C295" s="102" t="s">
        <v>3232</v>
      </c>
      <c r="D295" s="102" t="s">
        <v>2893</v>
      </c>
      <c r="E295" s="102" t="s">
        <v>2694</v>
      </c>
      <c r="F295" s="220">
        <v>31371</v>
      </c>
      <c r="G295" s="102" t="s">
        <v>2695</v>
      </c>
      <c r="H295" s="221">
        <v>14.9</v>
      </c>
      <c r="I295" s="221">
        <v>41.87</v>
      </c>
      <c r="J295" s="221">
        <v>12.01</v>
      </c>
      <c r="K295" s="221">
        <f t="shared" si="4"/>
        <v>2.8900000000000006</v>
      </c>
      <c r="L295" s="93"/>
    </row>
    <row r="296" spans="1:12" ht="30" x14ac:dyDescent="0.5">
      <c r="A296" s="102" t="s">
        <v>2704</v>
      </c>
      <c r="B296" s="102" t="s">
        <v>2908</v>
      </c>
      <c r="C296" s="102" t="s">
        <v>3233</v>
      </c>
      <c r="D296" s="102" t="s">
        <v>2893</v>
      </c>
      <c r="E296" s="102" t="s">
        <v>2694</v>
      </c>
      <c r="F296" s="220">
        <v>31376</v>
      </c>
      <c r="G296" s="102" t="s">
        <v>2695</v>
      </c>
      <c r="H296" s="221">
        <v>13.3</v>
      </c>
      <c r="I296" s="221">
        <v>50</v>
      </c>
      <c r="J296" s="221">
        <v>12.01</v>
      </c>
      <c r="K296" s="221">
        <f t="shared" si="4"/>
        <v>1.2900000000000009</v>
      </c>
      <c r="L296" s="93"/>
    </row>
    <row r="297" spans="1:12" ht="30" x14ac:dyDescent="0.5">
      <c r="A297" s="102" t="s">
        <v>2751</v>
      </c>
      <c r="B297" s="102" t="s">
        <v>2975</v>
      </c>
      <c r="C297" s="102" t="s">
        <v>3234</v>
      </c>
      <c r="D297" s="102" t="s">
        <v>2893</v>
      </c>
      <c r="E297" s="102" t="s">
        <v>2694</v>
      </c>
      <c r="F297" s="220">
        <v>31387</v>
      </c>
      <c r="G297" s="102" t="s">
        <v>2695</v>
      </c>
      <c r="H297" s="221">
        <v>12</v>
      </c>
      <c r="I297" s="221">
        <v>31.84</v>
      </c>
      <c r="J297" s="221">
        <v>12.01</v>
      </c>
      <c r="K297" s="221">
        <f t="shared" si="4"/>
        <v>-9.9999999999997868E-3</v>
      </c>
      <c r="L297" s="93"/>
    </row>
    <row r="298" spans="1:12" ht="30" x14ac:dyDescent="0.5">
      <c r="A298" s="102" t="s">
        <v>2743</v>
      </c>
      <c r="B298" s="102" t="s">
        <v>3012</v>
      </c>
      <c r="C298" s="102" t="s">
        <v>3235</v>
      </c>
      <c r="D298" s="102" t="s">
        <v>2893</v>
      </c>
      <c r="E298" s="102" t="s">
        <v>2694</v>
      </c>
      <c r="F298" s="220">
        <v>31392</v>
      </c>
      <c r="G298" s="102" t="s">
        <v>2695</v>
      </c>
      <c r="H298" s="221">
        <v>14.9</v>
      </c>
      <c r="I298" s="221">
        <v>46.04</v>
      </c>
      <c r="J298" s="221">
        <v>12.01</v>
      </c>
      <c r="K298" s="221">
        <f t="shared" si="4"/>
        <v>2.8900000000000006</v>
      </c>
      <c r="L298" s="93"/>
    </row>
    <row r="299" spans="1:12" ht="30" x14ac:dyDescent="0.5">
      <c r="A299" s="102" t="s">
        <v>2738</v>
      </c>
      <c r="B299" s="102" t="s">
        <v>2741</v>
      </c>
      <c r="C299" s="102" t="s">
        <v>3236</v>
      </c>
      <c r="D299" s="102" t="s">
        <v>2893</v>
      </c>
      <c r="E299" s="102" t="s">
        <v>2694</v>
      </c>
      <c r="F299" s="220">
        <v>31401</v>
      </c>
      <c r="G299" s="102" t="s">
        <v>2695</v>
      </c>
      <c r="H299" s="221">
        <v>15</v>
      </c>
      <c r="I299" s="221">
        <v>48</v>
      </c>
      <c r="J299" s="221">
        <v>11.51</v>
      </c>
      <c r="K299" s="221">
        <f t="shared" si="4"/>
        <v>3.49</v>
      </c>
      <c r="L299" s="93"/>
    </row>
    <row r="300" spans="1:12" ht="30" x14ac:dyDescent="0.5">
      <c r="A300" s="102" t="s">
        <v>2702</v>
      </c>
      <c r="B300" s="102" t="s">
        <v>2903</v>
      </c>
      <c r="C300" s="102" t="s">
        <v>3237</v>
      </c>
      <c r="D300" s="102" t="s">
        <v>2893</v>
      </c>
      <c r="E300" s="102" t="s">
        <v>2694</v>
      </c>
      <c r="F300" s="220">
        <v>31401</v>
      </c>
      <c r="G300" s="102" t="s">
        <v>2695</v>
      </c>
      <c r="H300" s="221">
        <v>15</v>
      </c>
      <c r="I300" s="221">
        <v>43.75</v>
      </c>
      <c r="J300" s="221">
        <v>11.51</v>
      </c>
      <c r="K300" s="221">
        <f t="shared" si="4"/>
        <v>3.49</v>
      </c>
      <c r="L300" s="93"/>
    </row>
    <row r="301" spans="1:12" ht="30" x14ac:dyDescent="0.5">
      <c r="A301" s="102" t="s">
        <v>2701</v>
      </c>
      <c r="B301" s="102" t="s">
        <v>2900</v>
      </c>
      <c r="C301" s="102" t="s">
        <v>3238</v>
      </c>
      <c r="D301" s="102" t="s">
        <v>2893</v>
      </c>
      <c r="E301" s="102" t="s">
        <v>2694</v>
      </c>
      <c r="F301" s="220">
        <v>31401</v>
      </c>
      <c r="G301" s="102" t="s">
        <v>2695</v>
      </c>
      <c r="H301" s="221">
        <v>14.88</v>
      </c>
      <c r="I301" s="221">
        <v>54.24</v>
      </c>
      <c r="J301" s="221">
        <v>11.51</v>
      </c>
      <c r="K301" s="221">
        <f t="shared" si="4"/>
        <v>3.370000000000001</v>
      </c>
      <c r="L301" s="93"/>
    </row>
    <row r="302" spans="1:12" ht="30" x14ac:dyDescent="0.5">
      <c r="A302" s="102" t="s">
        <v>2766</v>
      </c>
      <c r="B302" s="102" t="s">
        <v>2895</v>
      </c>
      <c r="C302" s="102" t="s">
        <v>3239</v>
      </c>
      <c r="D302" s="102" t="s">
        <v>2893</v>
      </c>
      <c r="E302" s="102" t="s">
        <v>2694</v>
      </c>
      <c r="F302" s="220">
        <v>31412</v>
      </c>
      <c r="G302" s="102" t="s">
        <v>2695</v>
      </c>
      <c r="H302" s="221">
        <v>14.5</v>
      </c>
      <c r="I302" s="221">
        <v>48.96</v>
      </c>
      <c r="J302" s="221">
        <v>11.51</v>
      </c>
      <c r="K302" s="221">
        <f t="shared" si="4"/>
        <v>2.99</v>
      </c>
      <c r="L302" s="93"/>
    </row>
    <row r="303" spans="1:12" ht="30" x14ac:dyDescent="0.5">
      <c r="A303" s="102" t="s">
        <v>2754</v>
      </c>
      <c r="B303" s="102" t="s">
        <v>2755</v>
      </c>
      <c r="C303" s="102" t="s">
        <v>3240</v>
      </c>
      <c r="D303" s="102" t="s">
        <v>2893</v>
      </c>
      <c r="E303" s="102" t="s">
        <v>2694</v>
      </c>
      <c r="F303" s="220">
        <v>31412</v>
      </c>
      <c r="G303" s="102" t="s">
        <v>2695</v>
      </c>
      <c r="H303" s="221">
        <v>14</v>
      </c>
      <c r="I303" s="221">
        <v>45.56</v>
      </c>
      <c r="J303" s="221">
        <v>11.51</v>
      </c>
      <c r="K303" s="221">
        <f t="shared" si="4"/>
        <v>2.4900000000000002</v>
      </c>
      <c r="L303" s="93"/>
    </row>
    <row r="304" spans="1:12" ht="30" x14ac:dyDescent="0.5">
      <c r="A304" s="102" t="s">
        <v>2701</v>
      </c>
      <c r="B304" s="102" t="s">
        <v>2975</v>
      </c>
      <c r="C304" s="102" t="s">
        <v>3241</v>
      </c>
      <c r="D304" s="102" t="s">
        <v>2893</v>
      </c>
      <c r="E304" s="102" t="s">
        <v>2694</v>
      </c>
      <c r="F304" s="220">
        <v>31429</v>
      </c>
      <c r="G304" s="102" t="s">
        <v>2695</v>
      </c>
      <c r="H304" s="221">
        <v>14.5</v>
      </c>
      <c r="I304" s="221">
        <v>54</v>
      </c>
      <c r="J304" s="221">
        <v>11.01</v>
      </c>
      <c r="K304" s="221">
        <f t="shared" si="4"/>
        <v>3.49</v>
      </c>
      <c r="L304" s="93"/>
    </row>
    <row r="305" spans="1:12" ht="30" x14ac:dyDescent="0.5">
      <c r="A305" s="102" t="s">
        <v>2704</v>
      </c>
      <c r="B305" s="102" t="s">
        <v>2707</v>
      </c>
      <c r="C305" s="102" t="s">
        <v>3242</v>
      </c>
      <c r="D305" s="102" t="s">
        <v>2893</v>
      </c>
      <c r="E305" s="102" t="s">
        <v>2694</v>
      </c>
      <c r="F305" s="220">
        <v>31454</v>
      </c>
      <c r="G305" s="102" t="s">
        <v>2695</v>
      </c>
      <c r="H305" s="221">
        <v>12.5</v>
      </c>
      <c r="I305" s="221">
        <v>43.01</v>
      </c>
      <c r="J305" s="221">
        <v>11.01</v>
      </c>
      <c r="K305" s="221">
        <f t="shared" si="4"/>
        <v>1.4900000000000002</v>
      </c>
      <c r="L305" s="93"/>
    </row>
    <row r="306" spans="1:12" ht="30" x14ac:dyDescent="0.5">
      <c r="A306" s="102" t="s">
        <v>2768</v>
      </c>
      <c r="B306" s="102" t="s">
        <v>3106</v>
      </c>
      <c r="C306" s="102" t="s">
        <v>3243</v>
      </c>
      <c r="D306" s="102" t="s">
        <v>2893</v>
      </c>
      <c r="E306" s="102" t="s">
        <v>2694</v>
      </c>
      <c r="F306" s="220">
        <v>31455</v>
      </c>
      <c r="G306" s="102" t="s">
        <v>2695</v>
      </c>
      <c r="H306" s="221">
        <v>15.2</v>
      </c>
      <c r="I306" s="221">
        <v>51.5</v>
      </c>
      <c r="J306" s="221">
        <v>11.01</v>
      </c>
      <c r="K306" s="221">
        <f t="shared" si="4"/>
        <v>4.1899999999999995</v>
      </c>
      <c r="L306" s="93"/>
    </row>
    <row r="307" spans="1:12" ht="30" x14ac:dyDescent="0.5">
      <c r="A307" s="102" t="s">
        <v>2744</v>
      </c>
      <c r="B307" s="102" t="s">
        <v>3244</v>
      </c>
      <c r="C307" s="102" t="s">
        <v>3245</v>
      </c>
      <c r="D307" s="102" t="s">
        <v>2893</v>
      </c>
      <c r="E307" s="102" t="s">
        <v>2694</v>
      </c>
      <c r="F307" s="220">
        <v>31482</v>
      </c>
      <c r="G307" s="102" t="s">
        <v>2695</v>
      </c>
      <c r="H307" s="221">
        <v>14</v>
      </c>
      <c r="I307" s="221">
        <v>33.14</v>
      </c>
      <c r="J307" s="221">
        <v>10.8</v>
      </c>
      <c r="K307" s="221">
        <f t="shared" si="4"/>
        <v>3.1999999999999993</v>
      </c>
      <c r="L307" s="93"/>
    </row>
    <row r="308" spans="1:12" ht="30" x14ac:dyDescent="0.5">
      <c r="A308" s="102" t="s">
        <v>2704</v>
      </c>
      <c r="B308" s="102" t="s">
        <v>2910</v>
      </c>
      <c r="C308" s="102" t="s">
        <v>3246</v>
      </c>
      <c r="D308" s="102" t="s">
        <v>2893</v>
      </c>
      <c r="E308" s="102" t="s">
        <v>2694</v>
      </c>
      <c r="F308" s="220">
        <v>31504</v>
      </c>
      <c r="G308" s="102" t="s">
        <v>2695</v>
      </c>
      <c r="H308" s="221">
        <v>12.9</v>
      </c>
      <c r="I308" s="221">
        <v>52.19</v>
      </c>
      <c r="J308" s="221">
        <v>10.32</v>
      </c>
      <c r="K308" s="221">
        <f t="shared" si="4"/>
        <v>2.58</v>
      </c>
      <c r="L308" s="93"/>
    </row>
    <row r="309" spans="1:12" ht="30" x14ac:dyDescent="0.5">
      <c r="A309" s="102" t="s">
        <v>2708</v>
      </c>
      <c r="B309" s="102" t="s">
        <v>2709</v>
      </c>
      <c r="C309" s="102" t="s">
        <v>3247</v>
      </c>
      <c r="D309" s="102" t="s">
        <v>2893</v>
      </c>
      <c r="E309" s="102" t="s">
        <v>2694</v>
      </c>
      <c r="F309" s="220">
        <v>31530</v>
      </c>
      <c r="G309" s="102" t="s">
        <v>2695</v>
      </c>
      <c r="H309" s="221">
        <v>13.01</v>
      </c>
      <c r="I309" s="221">
        <v>33.83</v>
      </c>
      <c r="J309" s="221">
        <v>9.51</v>
      </c>
      <c r="K309" s="221">
        <f t="shared" si="4"/>
        <v>3.5</v>
      </c>
      <c r="L309" s="93"/>
    </row>
    <row r="310" spans="1:12" ht="30" x14ac:dyDescent="0.5">
      <c r="A310" s="102" t="s">
        <v>2732</v>
      </c>
      <c r="B310" s="102" t="s">
        <v>2975</v>
      </c>
      <c r="C310" s="102" t="s">
        <v>3248</v>
      </c>
      <c r="D310" s="102" t="s">
        <v>2893</v>
      </c>
      <c r="E310" s="102" t="s">
        <v>2694</v>
      </c>
      <c r="F310" s="220">
        <v>31560</v>
      </c>
      <c r="G310" s="102" t="s">
        <v>2695</v>
      </c>
      <c r="H310" s="221">
        <v>14</v>
      </c>
      <c r="I310" s="221" t="s">
        <v>14</v>
      </c>
      <c r="J310" s="221">
        <v>9.1300000000000008</v>
      </c>
      <c r="K310" s="221">
        <f t="shared" si="4"/>
        <v>4.8699999999999992</v>
      </c>
      <c r="L310" s="93"/>
    </row>
    <row r="311" spans="1:12" ht="30" x14ac:dyDescent="0.5">
      <c r="A311" s="102" t="s">
        <v>2702</v>
      </c>
      <c r="B311" s="102" t="s">
        <v>2703</v>
      </c>
      <c r="C311" s="102" t="s">
        <v>3249</v>
      </c>
      <c r="D311" s="102" t="s">
        <v>2893</v>
      </c>
      <c r="E311" s="102" t="s">
        <v>2694</v>
      </c>
      <c r="F311" s="220">
        <v>31561</v>
      </c>
      <c r="G311" s="102" t="s">
        <v>2695</v>
      </c>
      <c r="H311" s="221">
        <v>13.9</v>
      </c>
      <c r="I311" s="221">
        <v>49</v>
      </c>
      <c r="J311" s="221">
        <v>9.1300000000000008</v>
      </c>
      <c r="K311" s="221">
        <f t="shared" si="4"/>
        <v>4.7699999999999996</v>
      </c>
      <c r="L311" s="93"/>
    </row>
    <row r="312" spans="1:12" ht="30" x14ac:dyDescent="0.5">
      <c r="A312" s="102" t="s">
        <v>2740</v>
      </c>
      <c r="B312" s="102" t="s">
        <v>2746</v>
      </c>
      <c r="C312" s="102" t="s">
        <v>3250</v>
      </c>
      <c r="D312" s="102" t="s">
        <v>2893</v>
      </c>
      <c r="E312" s="102" t="s">
        <v>2694</v>
      </c>
      <c r="F312" s="220">
        <v>31565</v>
      </c>
      <c r="G312" s="102" t="s">
        <v>2695</v>
      </c>
      <c r="H312" s="221">
        <v>13</v>
      </c>
      <c r="I312" s="221">
        <v>39.83</v>
      </c>
      <c r="J312" s="221">
        <v>9.1300000000000008</v>
      </c>
      <c r="K312" s="221">
        <f t="shared" si="4"/>
        <v>3.8699999999999992</v>
      </c>
      <c r="L312" s="93"/>
    </row>
    <row r="313" spans="1:12" ht="30" x14ac:dyDescent="0.5">
      <c r="A313" s="102" t="s">
        <v>2723</v>
      </c>
      <c r="B313" s="102" t="s">
        <v>2730</v>
      </c>
      <c r="C313" s="102" t="s">
        <v>3251</v>
      </c>
      <c r="D313" s="102" t="s">
        <v>2893</v>
      </c>
      <c r="E313" s="102" t="s">
        <v>2694</v>
      </c>
      <c r="F313" s="220">
        <v>31574</v>
      </c>
      <c r="G313" s="102" t="s">
        <v>2695</v>
      </c>
      <c r="H313" s="221">
        <v>14</v>
      </c>
      <c r="I313" s="221">
        <v>39.520000000000003</v>
      </c>
      <c r="J313" s="221">
        <v>9.1300000000000008</v>
      </c>
      <c r="K313" s="221">
        <f t="shared" si="4"/>
        <v>4.8699999999999992</v>
      </c>
      <c r="L313" s="93"/>
    </row>
    <row r="314" spans="1:12" ht="30" x14ac:dyDescent="0.5">
      <c r="A314" s="102" t="s">
        <v>2706</v>
      </c>
      <c r="B314" s="102" t="s">
        <v>2906</v>
      </c>
      <c r="C314" s="102" t="s">
        <v>3252</v>
      </c>
      <c r="D314" s="102" t="s">
        <v>2893</v>
      </c>
      <c r="E314" s="102" t="s">
        <v>2694</v>
      </c>
      <c r="F314" s="220">
        <v>31576</v>
      </c>
      <c r="G314" s="102" t="s">
        <v>2695</v>
      </c>
      <c r="H314" s="221">
        <v>13.55</v>
      </c>
      <c r="I314" s="221">
        <v>36.96</v>
      </c>
      <c r="J314" s="221">
        <v>9.1300000000000008</v>
      </c>
      <c r="K314" s="221">
        <f t="shared" si="4"/>
        <v>4.42</v>
      </c>
      <c r="L314" s="93"/>
    </row>
    <row r="315" spans="1:12" ht="30" x14ac:dyDescent="0.5">
      <c r="A315" s="102" t="s">
        <v>2708</v>
      </c>
      <c r="B315" s="102" t="s">
        <v>2709</v>
      </c>
      <c r="C315" s="102" t="s">
        <v>3253</v>
      </c>
      <c r="D315" s="102" t="s">
        <v>2893</v>
      </c>
      <c r="E315" s="102" t="s">
        <v>2694</v>
      </c>
      <c r="F315" s="220">
        <v>31590</v>
      </c>
      <c r="G315" s="102" t="s">
        <v>2695</v>
      </c>
      <c r="H315" s="221">
        <v>11.88</v>
      </c>
      <c r="I315" s="221">
        <v>45</v>
      </c>
      <c r="J315" s="221">
        <v>9.57</v>
      </c>
      <c r="K315" s="221">
        <f t="shared" si="4"/>
        <v>2.3100000000000005</v>
      </c>
      <c r="L315" s="93"/>
    </row>
    <row r="316" spans="1:12" ht="30" x14ac:dyDescent="0.5">
      <c r="A316" s="102" t="s">
        <v>2704</v>
      </c>
      <c r="B316" s="102" t="s">
        <v>2927</v>
      </c>
      <c r="C316" s="102" t="s">
        <v>3254</v>
      </c>
      <c r="D316" s="102" t="s">
        <v>2893</v>
      </c>
      <c r="E316" s="102" t="s">
        <v>2694</v>
      </c>
      <c r="F316" s="220">
        <v>31607</v>
      </c>
      <c r="G316" s="102" t="s">
        <v>2695</v>
      </c>
      <c r="H316" s="221">
        <v>12.6</v>
      </c>
      <c r="I316" s="221">
        <v>45.86</v>
      </c>
      <c r="J316" s="221">
        <v>9.57</v>
      </c>
      <c r="K316" s="221">
        <f t="shared" si="4"/>
        <v>3.0299999999999994</v>
      </c>
      <c r="L316" s="93"/>
    </row>
    <row r="317" spans="1:12" ht="30" x14ac:dyDescent="0.5">
      <c r="A317" s="102" t="s">
        <v>2712</v>
      </c>
      <c r="B317" s="102" t="s">
        <v>3255</v>
      </c>
      <c r="C317" s="102" t="s">
        <v>3256</v>
      </c>
      <c r="D317" s="102" t="s">
        <v>2893</v>
      </c>
      <c r="E317" s="102" t="s">
        <v>2694</v>
      </c>
      <c r="F317" s="220">
        <v>31623</v>
      </c>
      <c r="G317" s="102" t="s">
        <v>2695</v>
      </c>
      <c r="H317" s="221">
        <v>13.3</v>
      </c>
      <c r="I317" s="221">
        <v>45.41</v>
      </c>
      <c r="J317" s="221">
        <v>9.65</v>
      </c>
      <c r="K317" s="221">
        <f t="shared" si="4"/>
        <v>3.6500000000000004</v>
      </c>
      <c r="L317" s="93"/>
    </row>
    <row r="318" spans="1:12" ht="30" x14ac:dyDescent="0.5">
      <c r="A318" s="102" t="s">
        <v>2702</v>
      </c>
      <c r="B318" s="102" t="s">
        <v>2749</v>
      </c>
      <c r="C318" s="102" t="s">
        <v>3257</v>
      </c>
      <c r="D318" s="102" t="s">
        <v>2893</v>
      </c>
      <c r="E318" s="102" t="s">
        <v>2694</v>
      </c>
      <c r="F318" s="220">
        <v>31638</v>
      </c>
      <c r="G318" s="102" t="s">
        <v>2695</v>
      </c>
      <c r="H318" s="221">
        <v>13.5</v>
      </c>
      <c r="I318" s="221">
        <v>46.78</v>
      </c>
      <c r="J318" s="221">
        <v>9.65</v>
      </c>
      <c r="K318" s="221">
        <f t="shared" si="4"/>
        <v>3.8499999999999996</v>
      </c>
      <c r="L318" s="93"/>
    </row>
    <row r="319" spans="1:12" ht="30" x14ac:dyDescent="0.5">
      <c r="A319" s="102" t="s">
        <v>2734</v>
      </c>
      <c r="B319" s="102" t="s">
        <v>2895</v>
      </c>
      <c r="C319" s="102" t="s">
        <v>3258</v>
      </c>
      <c r="D319" s="102" t="s">
        <v>2893</v>
      </c>
      <c r="E319" s="102" t="s">
        <v>2694</v>
      </c>
      <c r="F319" s="220">
        <v>31660</v>
      </c>
      <c r="G319" s="102" t="s">
        <v>2695</v>
      </c>
      <c r="H319" s="221">
        <v>13.3</v>
      </c>
      <c r="I319" s="221">
        <v>54.1</v>
      </c>
      <c r="J319" s="221">
        <v>9.35</v>
      </c>
      <c r="K319" s="221">
        <f t="shared" si="4"/>
        <v>3.9500000000000011</v>
      </c>
      <c r="L319" s="93"/>
    </row>
    <row r="320" spans="1:12" ht="30" x14ac:dyDescent="0.5">
      <c r="A320" s="102" t="s">
        <v>2699</v>
      </c>
      <c r="B320" s="102" t="s">
        <v>2628</v>
      </c>
      <c r="C320" s="102" t="s">
        <v>3259</v>
      </c>
      <c r="D320" s="102" t="s">
        <v>2893</v>
      </c>
      <c r="E320" s="102" t="s">
        <v>2694</v>
      </c>
      <c r="F320" s="220">
        <v>31678</v>
      </c>
      <c r="G320" s="102" t="s">
        <v>2695</v>
      </c>
      <c r="H320" s="221">
        <v>12.75</v>
      </c>
      <c r="I320" s="221">
        <v>45.47</v>
      </c>
      <c r="J320" s="221">
        <v>9.31</v>
      </c>
      <c r="K320" s="221">
        <f t="shared" si="4"/>
        <v>3.4399999999999995</v>
      </c>
      <c r="L320" s="93"/>
    </row>
    <row r="321" spans="1:12" ht="30" x14ac:dyDescent="0.5">
      <c r="A321" s="102" t="s">
        <v>2696</v>
      </c>
      <c r="B321" s="102" t="s">
        <v>3177</v>
      </c>
      <c r="C321" s="102" t="s">
        <v>3260</v>
      </c>
      <c r="D321" s="102" t="s">
        <v>2893</v>
      </c>
      <c r="E321" s="102" t="s">
        <v>2694</v>
      </c>
      <c r="F321" s="220">
        <v>31715</v>
      </c>
      <c r="G321" s="102" t="s">
        <v>2695</v>
      </c>
      <c r="H321" s="221">
        <v>13</v>
      </c>
      <c r="I321" s="221">
        <v>61.2</v>
      </c>
      <c r="J321" s="221">
        <v>9.5</v>
      </c>
      <c r="K321" s="221">
        <f t="shared" si="4"/>
        <v>3.5</v>
      </c>
      <c r="L321" s="93"/>
    </row>
    <row r="322" spans="1:12" ht="30" x14ac:dyDescent="0.5">
      <c r="A322" s="102" t="s">
        <v>2728</v>
      </c>
      <c r="B322" s="102" t="s">
        <v>2944</v>
      </c>
      <c r="C322" s="102" t="s">
        <v>3261</v>
      </c>
      <c r="D322" s="102" t="s">
        <v>2893</v>
      </c>
      <c r="E322" s="102" t="s">
        <v>2694</v>
      </c>
      <c r="F322" s="220">
        <v>31716</v>
      </c>
      <c r="G322" s="102" t="s">
        <v>2695</v>
      </c>
      <c r="H322" s="221">
        <v>13.75</v>
      </c>
      <c r="I322" s="221">
        <v>53.46</v>
      </c>
      <c r="J322" s="221">
        <v>9.5</v>
      </c>
      <c r="K322" s="221">
        <f t="shared" si="4"/>
        <v>4.25</v>
      </c>
      <c r="L322" s="93"/>
    </row>
    <row r="323" spans="1:12" ht="30" x14ac:dyDescent="0.5">
      <c r="A323" s="102" t="s">
        <v>2743</v>
      </c>
      <c r="B323" s="102" t="s">
        <v>3169</v>
      </c>
      <c r="C323" s="102" t="s">
        <v>3262</v>
      </c>
      <c r="D323" s="102" t="s">
        <v>2893</v>
      </c>
      <c r="E323" s="102" t="s">
        <v>2694</v>
      </c>
      <c r="F323" s="220">
        <v>31726</v>
      </c>
      <c r="G323" s="102" t="s">
        <v>2695</v>
      </c>
      <c r="H323" s="221">
        <v>14</v>
      </c>
      <c r="I323" s="221">
        <v>43.59</v>
      </c>
      <c r="J323" s="221">
        <v>9.5</v>
      </c>
      <c r="K323" s="221">
        <f t="shared" si="4"/>
        <v>4.5</v>
      </c>
      <c r="L323" s="93"/>
    </row>
    <row r="324" spans="1:12" ht="30" x14ac:dyDescent="0.5">
      <c r="A324" s="102" t="s">
        <v>2743</v>
      </c>
      <c r="B324" s="102" t="s">
        <v>2969</v>
      </c>
      <c r="C324" s="102" t="s">
        <v>3263</v>
      </c>
      <c r="D324" s="102" t="s">
        <v>2893</v>
      </c>
      <c r="E324" s="102" t="s">
        <v>2694</v>
      </c>
      <c r="F324" s="220">
        <v>31735</v>
      </c>
      <c r="G324" s="102" t="s">
        <v>2695</v>
      </c>
      <c r="H324" s="221">
        <v>13.75</v>
      </c>
      <c r="I324" s="221">
        <v>40.57</v>
      </c>
      <c r="J324" s="221">
        <v>9.5299999999999994</v>
      </c>
      <c r="K324" s="221">
        <f t="shared" si="4"/>
        <v>4.2200000000000006</v>
      </c>
      <c r="L324" s="93"/>
    </row>
    <row r="325" spans="1:12" ht="30" x14ac:dyDescent="0.5">
      <c r="A325" s="102" t="s">
        <v>2696</v>
      </c>
      <c r="B325" s="102" t="s">
        <v>2910</v>
      </c>
      <c r="C325" s="102" t="s">
        <v>3264</v>
      </c>
      <c r="D325" s="102" t="s">
        <v>2893</v>
      </c>
      <c r="E325" s="102" t="s">
        <v>2694</v>
      </c>
      <c r="F325" s="220">
        <v>31741</v>
      </c>
      <c r="G325" s="102" t="s">
        <v>2695</v>
      </c>
      <c r="H325" s="221">
        <v>13.15</v>
      </c>
      <c r="I325" s="221">
        <v>51.2</v>
      </c>
      <c r="J325" s="221">
        <v>9.5299999999999994</v>
      </c>
      <c r="K325" s="221">
        <f t="shared" si="4"/>
        <v>3.620000000000001</v>
      </c>
      <c r="L325" s="93"/>
    </row>
    <row r="326" spans="1:12" ht="30" x14ac:dyDescent="0.5">
      <c r="A326" s="102" t="s">
        <v>2738</v>
      </c>
      <c r="B326" s="102" t="s">
        <v>2760</v>
      </c>
      <c r="C326" s="102" t="s">
        <v>3265</v>
      </c>
      <c r="D326" s="102" t="s">
        <v>2893</v>
      </c>
      <c r="E326" s="102" t="s">
        <v>2694</v>
      </c>
      <c r="F326" s="220">
        <v>31768</v>
      </c>
      <c r="G326" s="102" t="s">
        <v>2695</v>
      </c>
      <c r="H326" s="221">
        <v>13.8</v>
      </c>
      <c r="I326" s="221">
        <v>44.5</v>
      </c>
      <c r="J326" s="221">
        <v>9.2899999999999991</v>
      </c>
      <c r="K326" s="221">
        <f t="shared" si="4"/>
        <v>4.5100000000000016</v>
      </c>
      <c r="L326" s="93"/>
    </row>
    <row r="327" spans="1:12" ht="30" x14ac:dyDescent="0.5">
      <c r="A327" s="102" t="s">
        <v>2702</v>
      </c>
      <c r="B327" s="102" t="s">
        <v>2903</v>
      </c>
      <c r="C327" s="102" t="s">
        <v>3266</v>
      </c>
      <c r="D327" s="102" t="s">
        <v>2893</v>
      </c>
      <c r="E327" s="102" t="s">
        <v>2694</v>
      </c>
      <c r="F327" s="220">
        <v>31776</v>
      </c>
      <c r="G327" s="102" t="s">
        <v>2695</v>
      </c>
      <c r="H327" s="221">
        <v>13.9</v>
      </c>
      <c r="I327" s="221">
        <v>45.86</v>
      </c>
      <c r="J327" s="221">
        <v>9.2899999999999991</v>
      </c>
      <c r="K327" s="221">
        <f t="shared" ref="K327:K390" si="5">H327-J327</f>
        <v>4.6100000000000012</v>
      </c>
      <c r="L327" s="93"/>
    </row>
    <row r="328" spans="1:12" ht="30" x14ac:dyDescent="0.5">
      <c r="A328" s="102" t="s">
        <v>2754</v>
      </c>
      <c r="B328" s="102" t="s">
        <v>3123</v>
      </c>
      <c r="C328" s="102" t="s">
        <v>3267</v>
      </c>
      <c r="D328" s="102" t="s">
        <v>2893</v>
      </c>
      <c r="E328" s="102" t="s">
        <v>2694</v>
      </c>
      <c r="F328" s="220">
        <v>31797</v>
      </c>
      <c r="G328" s="102" t="s">
        <v>2695</v>
      </c>
      <c r="H328" s="221">
        <v>12.75</v>
      </c>
      <c r="I328" s="221">
        <v>37.799999999999997</v>
      </c>
      <c r="J328" s="221">
        <v>9.1199999999999992</v>
      </c>
      <c r="K328" s="221">
        <f t="shared" si="5"/>
        <v>3.6300000000000008</v>
      </c>
      <c r="L328" s="93"/>
    </row>
    <row r="329" spans="1:12" ht="30" x14ac:dyDescent="0.5">
      <c r="A329" s="102" t="s">
        <v>2754</v>
      </c>
      <c r="B329" s="102" t="s">
        <v>2755</v>
      </c>
      <c r="C329" s="102" t="s">
        <v>3268</v>
      </c>
      <c r="D329" s="102" t="s">
        <v>2893</v>
      </c>
      <c r="E329" s="102" t="s">
        <v>2694</v>
      </c>
      <c r="F329" s="220">
        <v>31804</v>
      </c>
      <c r="G329" s="102" t="s">
        <v>2695</v>
      </c>
      <c r="H329" s="221">
        <v>12.16</v>
      </c>
      <c r="I329" s="221">
        <v>45</v>
      </c>
      <c r="J329" s="221">
        <v>9.1199999999999992</v>
      </c>
      <c r="K329" s="221">
        <f t="shared" si="5"/>
        <v>3.0400000000000009</v>
      </c>
      <c r="L329" s="93"/>
    </row>
    <row r="330" spans="1:12" ht="30" x14ac:dyDescent="0.5">
      <c r="A330" s="102" t="s">
        <v>2768</v>
      </c>
      <c r="B330" s="102" t="s">
        <v>2944</v>
      </c>
      <c r="C330" s="102" t="s">
        <v>3269</v>
      </c>
      <c r="D330" s="102" t="s">
        <v>2893</v>
      </c>
      <c r="E330" s="102" t="s">
        <v>2694</v>
      </c>
      <c r="F330" s="220">
        <v>31821</v>
      </c>
      <c r="G330" s="102" t="s">
        <v>2695</v>
      </c>
      <c r="H330" s="221">
        <v>12.6</v>
      </c>
      <c r="I330" s="221">
        <v>45.8</v>
      </c>
      <c r="J330" s="221">
        <v>9.1199999999999992</v>
      </c>
      <c r="K330" s="221">
        <f t="shared" si="5"/>
        <v>3.4800000000000004</v>
      </c>
      <c r="L330" s="93"/>
    </row>
    <row r="331" spans="1:12" ht="30" x14ac:dyDescent="0.5">
      <c r="A331" s="102" t="s">
        <v>2732</v>
      </c>
      <c r="B331" s="102" t="s">
        <v>2944</v>
      </c>
      <c r="C331" s="102" t="s">
        <v>3270</v>
      </c>
      <c r="D331" s="102" t="s">
        <v>2893</v>
      </c>
      <c r="E331" s="102" t="s">
        <v>2694</v>
      </c>
      <c r="F331" s="220">
        <v>31832</v>
      </c>
      <c r="G331" s="102" t="s">
        <v>2695</v>
      </c>
      <c r="H331" s="221">
        <v>12</v>
      </c>
      <c r="I331" s="221" t="s">
        <v>14</v>
      </c>
      <c r="J331" s="221">
        <v>8.94</v>
      </c>
      <c r="K331" s="221">
        <f t="shared" si="5"/>
        <v>3.0600000000000005</v>
      </c>
      <c r="L331" s="93"/>
    </row>
    <row r="332" spans="1:12" ht="30" x14ac:dyDescent="0.5">
      <c r="A332" s="102" t="s">
        <v>2708</v>
      </c>
      <c r="B332" s="102" t="s">
        <v>3271</v>
      </c>
      <c r="C332" s="102" t="s">
        <v>3272</v>
      </c>
      <c r="D332" s="102" t="s">
        <v>2893</v>
      </c>
      <c r="E332" s="102" t="s">
        <v>2694</v>
      </c>
      <c r="F332" s="220">
        <v>31866</v>
      </c>
      <c r="G332" s="102" t="s">
        <v>2695</v>
      </c>
      <c r="H332" s="221">
        <v>12.2</v>
      </c>
      <c r="I332" s="221">
        <v>37.119999999999997</v>
      </c>
      <c r="J332" s="221">
        <v>9</v>
      </c>
      <c r="K332" s="221">
        <f t="shared" si="5"/>
        <v>3.1999999999999993</v>
      </c>
      <c r="L332" s="93"/>
    </row>
    <row r="333" spans="1:12" ht="30" x14ac:dyDescent="0.5">
      <c r="A333" s="102" t="s">
        <v>2698</v>
      </c>
      <c r="B333" s="102" t="s">
        <v>2722</v>
      </c>
      <c r="C333" s="102" t="s">
        <v>3273</v>
      </c>
      <c r="D333" s="102" t="s">
        <v>2893</v>
      </c>
      <c r="E333" s="102" t="s">
        <v>2694</v>
      </c>
      <c r="F333" s="220">
        <v>31902</v>
      </c>
      <c r="G333" s="102" t="s">
        <v>2695</v>
      </c>
      <c r="H333" s="221">
        <v>12.85</v>
      </c>
      <c r="I333" s="221">
        <v>42.98</v>
      </c>
      <c r="J333" s="221">
        <v>8.93</v>
      </c>
      <c r="K333" s="221">
        <f t="shared" si="5"/>
        <v>3.92</v>
      </c>
      <c r="L333" s="93"/>
    </row>
    <row r="334" spans="1:12" ht="30" x14ac:dyDescent="0.5">
      <c r="A334" s="102" t="s">
        <v>2702</v>
      </c>
      <c r="B334" s="102" t="s">
        <v>2703</v>
      </c>
      <c r="C334" s="102" t="s">
        <v>3274</v>
      </c>
      <c r="D334" s="102" t="s">
        <v>2893</v>
      </c>
      <c r="E334" s="102" t="s">
        <v>2694</v>
      </c>
      <c r="F334" s="220">
        <v>31925</v>
      </c>
      <c r="G334" s="102" t="s">
        <v>2695</v>
      </c>
      <c r="H334" s="221">
        <v>13.5</v>
      </c>
      <c r="I334" s="221">
        <v>47.9</v>
      </c>
      <c r="J334" s="221">
        <v>9.35</v>
      </c>
      <c r="K334" s="221">
        <f t="shared" si="5"/>
        <v>4.1500000000000004</v>
      </c>
      <c r="L334" s="93"/>
    </row>
    <row r="335" spans="1:12" ht="30" x14ac:dyDescent="0.5">
      <c r="A335" s="102" t="s">
        <v>2704</v>
      </c>
      <c r="B335" s="102" t="s">
        <v>2927</v>
      </c>
      <c r="C335" s="102" t="s">
        <v>3275</v>
      </c>
      <c r="D335" s="102" t="s">
        <v>2893</v>
      </c>
      <c r="E335" s="102" t="s">
        <v>2694</v>
      </c>
      <c r="F335" s="220">
        <v>31943</v>
      </c>
      <c r="G335" s="102" t="s">
        <v>2695</v>
      </c>
      <c r="H335" s="221">
        <v>13.2</v>
      </c>
      <c r="I335" s="221">
        <v>36.9</v>
      </c>
      <c r="J335" s="221">
        <v>9.8699999999999992</v>
      </c>
      <c r="K335" s="221">
        <f t="shared" si="5"/>
        <v>3.33</v>
      </c>
      <c r="L335" s="93"/>
    </row>
    <row r="336" spans="1:12" ht="30" x14ac:dyDescent="0.5">
      <c r="A336" s="102" t="s">
        <v>2723</v>
      </c>
      <c r="B336" s="102" t="s">
        <v>2921</v>
      </c>
      <c r="C336" s="102" t="s">
        <v>3276</v>
      </c>
      <c r="D336" s="102" t="s">
        <v>2893</v>
      </c>
      <c r="E336" s="102" t="s">
        <v>2694</v>
      </c>
      <c r="F336" s="220">
        <v>31958</v>
      </c>
      <c r="G336" s="102" t="s">
        <v>2695</v>
      </c>
      <c r="H336" s="221">
        <v>12.6</v>
      </c>
      <c r="I336" s="221">
        <v>47.99</v>
      </c>
      <c r="J336" s="221">
        <v>9.8699999999999992</v>
      </c>
      <c r="K336" s="221">
        <f t="shared" si="5"/>
        <v>2.7300000000000004</v>
      </c>
      <c r="L336" s="93"/>
    </row>
    <row r="337" spans="1:12" ht="30" x14ac:dyDescent="0.5">
      <c r="A337" s="102" t="s">
        <v>2702</v>
      </c>
      <c r="B337" s="102" t="s">
        <v>2748</v>
      </c>
      <c r="C337" s="102" t="s">
        <v>3277</v>
      </c>
      <c r="D337" s="102" t="s">
        <v>2893</v>
      </c>
      <c r="E337" s="102" t="s">
        <v>2694</v>
      </c>
      <c r="F337" s="220">
        <v>31968</v>
      </c>
      <c r="G337" s="102" t="s">
        <v>2695</v>
      </c>
      <c r="H337" s="221">
        <v>12.9</v>
      </c>
      <c r="I337" s="221">
        <v>48.01</v>
      </c>
      <c r="J337" s="221">
        <v>9.8699999999999992</v>
      </c>
      <c r="K337" s="221">
        <f t="shared" si="5"/>
        <v>3.0300000000000011</v>
      </c>
      <c r="L337" s="93"/>
    </row>
    <row r="338" spans="1:12" ht="30" x14ac:dyDescent="0.5">
      <c r="A338" s="102" t="s">
        <v>2739</v>
      </c>
      <c r="B338" s="102" t="s">
        <v>2956</v>
      </c>
      <c r="C338" s="102" t="s">
        <v>3278</v>
      </c>
      <c r="D338" s="102" t="s">
        <v>2893</v>
      </c>
      <c r="E338" s="102" t="s">
        <v>2694</v>
      </c>
      <c r="F338" s="220">
        <v>32038</v>
      </c>
      <c r="G338" s="102" t="s">
        <v>2695</v>
      </c>
      <c r="H338" s="221">
        <v>13</v>
      </c>
      <c r="I338" s="221">
        <v>41.67</v>
      </c>
      <c r="J338" s="221">
        <v>10.44</v>
      </c>
      <c r="K338" s="221">
        <f t="shared" si="5"/>
        <v>2.5600000000000005</v>
      </c>
      <c r="L338" s="93"/>
    </row>
    <row r="339" spans="1:12" ht="30" x14ac:dyDescent="0.5">
      <c r="A339" s="102" t="s">
        <v>2706</v>
      </c>
      <c r="B339" s="102" t="s">
        <v>2906</v>
      </c>
      <c r="C339" s="102" t="s">
        <v>3279</v>
      </c>
      <c r="D339" s="102" t="s">
        <v>2893</v>
      </c>
      <c r="E339" s="102" t="s">
        <v>2694</v>
      </c>
      <c r="F339" s="220">
        <v>32070</v>
      </c>
      <c r="G339" s="102" t="s">
        <v>2695</v>
      </c>
      <c r="H339" s="221">
        <v>12.98</v>
      </c>
      <c r="I339" s="221" t="s">
        <v>14</v>
      </c>
      <c r="J339" s="221">
        <v>11.18</v>
      </c>
      <c r="K339" s="221">
        <f t="shared" si="5"/>
        <v>1.8000000000000007</v>
      </c>
      <c r="L339" s="93"/>
    </row>
    <row r="340" spans="1:12" ht="30" x14ac:dyDescent="0.5">
      <c r="A340" s="102" t="s">
        <v>2723</v>
      </c>
      <c r="B340" s="102" t="s">
        <v>2949</v>
      </c>
      <c r="C340" s="102" t="s">
        <v>3280</v>
      </c>
      <c r="D340" s="102" t="s">
        <v>2893</v>
      </c>
      <c r="E340" s="102" t="s">
        <v>2694</v>
      </c>
      <c r="F340" s="220">
        <v>32070</v>
      </c>
      <c r="G340" s="102" t="s">
        <v>2695</v>
      </c>
      <c r="H340" s="221">
        <v>12.6</v>
      </c>
      <c r="I340" s="221">
        <v>41.2</v>
      </c>
      <c r="J340" s="221">
        <v>11.18</v>
      </c>
      <c r="K340" s="221">
        <f t="shared" si="5"/>
        <v>1.42</v>
      </c>
      <c r="L340" s="93"/>
    </row>
    <row r="341" spans="1:12" ht="30" x14ac:dyDescent="0.5">
      <c r="A341" s="102" t="s">
        <v>2757</v>
      </c>
      <c r="B341" s="102" t="s">
        <v>2765</v>
      </c>
      <c r="C341" s="102" t="s">
        <v>3281</v>
      </c>
      <c r="D341" s="102" t="s">
        <v>2893</v>
      </c>
      <c r="E341" s="102" t="s">
        <v>2694</v>
      </c>
      <c r="F341" s="220">
        <v>32093</v>
      </c>
      <c r="G341" s="102" t="s">
        <v>2695</v>
      </c>
      <c r="H341" s="221">
        <v>12.75</v>
      </c>
      <c r="I341" s="221">
        <v>44.18</v>
      </c>
      <c r="J341" s="221">
        <v>11.18</v>
      </c>
      <c r="K341" s="221">
        <f t="shared" si="5"/>
        <v>1.5700000000000003</v>
      </c>
      <c r="L341" s="93"/>
    </row>
    <row r="342" spans="1:12" ht="30" x14ac:dyDescent="0.5">
      <c r="A342" s="102" t="s">
        <v>2732</v>
      </c>
      <c r="B342" s="102" t="s">
        <v>2975</v>
      </c>
      <c r="C342" s="102" t="s">
        <v>3282</v>
      </c>
      <c r="D342" s="102" t="s">
        <v>2893</v>
      </c>
      <c r="E342" s="102" t="s">
        <v>2694</v>
      </c>
      <c r="F342" s="220">
        <v>32105</v>
      </c>
      <c r="G342" s="102" t="s">
        <v>2695</v>
      </c>
      <c r="H342" s="221">
        <v>12.5</v>
      </c>
      <c r="I342" s="221">
        <v>51.71</v>
      </c>
      <c r="J342" s="221">
        <v>11.36</v>
      </c>
      <c r="K342" s="221">
        <f t="shared" si="5"/>
        <v>1.1400000000000006</v>
      </c>
      <c r="L342" s="93"/>
    </row>
    <row r="343" spans="1:12" ht="30" x14ac:dyDescent="0.5">
      <c r="A343" s="102" t="s">
        <v>2702</v>
      </c>
      <c r="B343" s="102" t="s">
        <v>2755</v>
      </c>
      <c r="C343" s="102" t="s">
        <v>3283</v>
      </c>
      <c r="D343" s="102" t="s">
        <v>2893</v>
      </c>
      <c r="E343" s="102" t="s">
        <v>2694</v>
      </c>
      <c r="F343" s="220">
        <v>32133</v>
      </c>
      <c r="G343" s="102" t="s">
        <v>2695</v>
      </c>
      <c r="H343" s="221">
        <v>12</v>
      </c>
      <c r="I343" s="221">
        <v>58.57</v>
      </c>
      <c r="J343" s="221">
        <v>10.82</v>
      </c>
      <c r="K343" s="221">
        <f t="shared" si="5"/>
        <v>1.1799999999999997</v>
      </c>
      <c r="L343" s="93"/>
    </row>
    <row r="344" spans="1:12" ht="30" x14ac:dyDescent="0.5">
      <c r="A344" s="102" t="s">
        <v>2700</v>
      </c>
      <c r="B344" s="102" t="s">
        <v>2898</v>
      </c>
      <c r="C344" s="102" t="s">
        <v>3284</v>
      </c>
      <c r="D344" s="102" t="s">
        <v>2893</v>
      </c>
      <c r="E344" s="102" t="s">
        <v>2694</v>
      </c>
      <c r="F344" s="220">
        <v>32142</v>
      </c>
      <c r="G344" s="102" t="s">
        <v>2695</v>
      </c>
      <c r="H344" s="221">
        <v>13.25</v>
      </c>
      <c r="I344" s="221">
        <v>51.09</v>
      </c>
      <c r="J344" s="221">
        <v>10.82</v>
      </c>
      <c r="K344" s="221">
        <f t="shared" si="5"/>
        <v>2.4299999999999997</v>
      </c>
      <c r="L344" s="93"/>
    </row>
    <row r="345" spans="1:12" ht="30" x14ac:dyDescent="0.5">
      <c r="A345" s="102" t="s">
        <v>2696</v>
      </c>
      <c r="B345" s="102" t="s">
        <v>2697</v>
      </c>
      <c r="C345" s="102" t="s">
        <v>3285</v>
      </c>
      <c r="D345" s="102" t="s">
        <v>2893</v>
      </c>
      <c r="E345" s="102" t="s">
        <v>2694</v>
      </c>
      <c r="F345" s="220">
        <v>32157</v>
      </c>
      <c r="G345" s="102" t="s">
        <v>2695</v>
      </c>
      <c r="H345" s="221">
        <v>13.15</v>
      </c>
      <c r="I345" s="221">
        <v>38.6</v>
      </c>
      <c r="J345" s="221">
        <v>10.94</v>
      </c>
      <c r="K345" s="221">
        <f t="shared" si="5"/>
        <v>2.2100000000000009</v>
      </c>
      <c r="L345" s="93"/>
    </row>
    <row r="346" spans="1:12" ht="30" x14ac:dyDescent="0.5">
      <c r="A346" s="102" t="s">
        <v>2693</v>
      </c>
      <c r="B346" s="102" t="s">
        <v>2629</v>
      </c>
      <c r="C346" s="102" t="s">
        <v>3286</v>
      </c>
      <c r="D346" s="102" t="s">
        <v>2893</v>
      </c>
      <c r="E346" s="102" t="s">
        <v>2694</v>
      </c>
      <c r="F346" s="220">
        <v>32162</v>
      </c>
      <c r="G346" s="102" t="s">
        <v>2695</v>
      </c>
      <c r="H346" s="221">
        <v>12.75</v>
      </c>
      <c r="I346" s="221">
        <v>59.18</v>
      </c>
      <c r="J346" s="221">
        <v>10.94</v>
      </c>
      <c r="K346" s="221">
        <f t="shared" si="5"/>
        <v>1.8100000000000005</v>
      </c>
      <c r="L346" s="93"/>
    </row>
    <row r="347" spans="1:12" ht="30" x14ac:dyDescent="0.5">
      <c r="A347" s="102" t="s">
        <v>2702</v>
      </c>
      <c r="B347" s="102" t="s">
        <v>2748</v>
      </c>
      <c r="C347" s="102" t="s">
        <v>3287</v>
      </c>
      <c r="D347" s="102" t="s">
        <v>2893</v>
      </c>
      <c r="E347" s="102" t="s">
        <v>2694</v>
      </c>
      <c r="F347" s="220">
        <v>32171</v>
      </c>
      <c r="G347" s="102" t="s">
        <v>2695</v>
      </c>
      <c r="H347" s="221">
        <v>13.2</v>
      </c>
      <c r="I347" s="221">
        <v>50.79</v>
      </c>
      <c r="J347" s="221">
        <v>10.94</v>
      </c>
      <c r="K347" s="221">
        <f t="shared" si="5"/>
        <v>2.2599999999999998</v>
      </c>
      <c r="L347" s="93"/>
    </row>
    <row r="348" spans="1:12" ht="30" x14ac:dyDescent="0.5">
      <c r="A348" s="102" t="s">
        <v>2723</v>
      </c>
      <c r="B348" s="102" t="s">
        <v>2730</v>
      </c>
      <c r="C348" s="102" t="s">
        <v>3288</v>
      </c>
      <c r="D348" s="102" t="s">
        <v>2893</v>
      </c>
      <c r="E348" s="102" t="s">
        <v>2694</v>
      </c>
      <c r="F348" s="220">
        <v>32177</v>
      </c>
      <c r="G348" s="102" t="s">
        <v>2695</v>
      </c>
      <c r="H348" s="221">
        <v>12.6</v>
      </c>
      <c r="I348" s="221">
        <v>37.72</v>
      </c>
      <c r="J348" s="221">
        <v>10.94</v>
      </c>
      <c r="K348" s="221">
        <f t="shared" si="5"/>
        <v>1.6600000000000001</v>
      </c>
      <c r="L348" s="93"/>
    </row>
    <row r="349" spans="1:12" ht="30" x14ac:dyDescent="0.5">
      <c r="A349" s="102" t="s">
        <v>2696</v>
      </c>
      <c r="B349" s="102" t="s">
        <v>2910</v>
      </c>
      <c r="C349" s="102" t="s">
        <v>3289</v>
      </c>
      <c r="D349" s="102" t="s">
        <v>2893</v>
      </c>
      <c r="E349" s="102" t="s">
        <v>2694</v>
      </c>
      <c r="F349" s="220">
        <v>32290</v>
      </c>
      <c r="G349" s="102" t="s">
        <v>2695</v>
      </c>
      <c r="H349" s="221">
        <v>13.18</v>
      </c>
      <c r="I349" s="221">
        <v>50.1</v>
      </c>
      <c r="J349" s="221">
        <v>10.52</v>
      </c>
      <c r="K349" s="221">
        <f t="shared" si="5"/>
        <v>2.66</v>
      </c>
      <c r="L349" s="93"/>
    </row>
    <row r="350" spans="1:12" ht="30" x14ac:dyDescent="0.5">
      <c r="A350" s="102" t="s">
        <v>2702</v>
      </c>
      <c r="B350" s="102" t="s">
        <v>2703</v>
      </c>
      <c r="C350" s="102" t="s">
        <v>3290</v>
      </c>
      <c r="D350" s="102" t="s">
        <v>2893</v>
      </c>
      <c r="E350" s="102" t="s">
        <v>2694</v>
      </c>
      <c r="F350" s="220">
        <v>32308</v>
      </c>
      <c r="G350" s="102" t="s">
        <v>2695</v>
      </c>
      <c r="H350" s="221">
        <v>13.5</v>
      </c>
      <c r="I350" s="221">
        <v>48.09</v>
      </c>
      <c r="J350" s="221">
        <v>10.52</v>
      </c>
      <c r="K350" s="221">
        <f t="shared" si="5"/>
        <v>2.9800000000000004</v>
      </c>
      <c r="L350" s="93"/>
    </row>
    <row r="351" spans="1:12" ht="30" x14ac:dyDescent="0.5">
      <c r="A351" s="102" t="s">
        <v>2708</v>
      </c>
      <c r="B351" s="102" t="s">
        <v>2709</v>
      </c>
      <c r="C351" s="102" t="s">
        <v>3291</v>
      </c>
      <c r="D351" s="102" t="s">
        <v>2893</v>
      </c>
      <c r="E351" s="102" t="s">
        <v>2694</v>
      </c>
      <c r="F351" s="220">
        <v>32311</v>
      </c>
      <c r="G351" s="102" t="s">
        <v>2695</v>
      </c>
      <c r="H351" s="221">
        <v>11.72</v>
      </c>
      <c r="I351" s="221">
        <v>39.770000000000003</v>
      </c>
      <c r="J351" s="221">
        <v>10.79</v>
      </c>
      <c r="K351" s="221">
        <f t="shared" si="5"/>
        <v>0.93000000000000149</v>
      </c>
      <c r="L351" s="93"/>
    </row>
    <row r="352" spans="1:12" ht="30" x14ac:dyDescent="0.5">
      <c r="A352" s="102" t="s">
        <v>2731</v>
      </c>
      <c r="B352" s="102" t="s">
        <v>2733</v>
      </c>
      <c r="C352" s="102" t="s">
        <v>3292</v>
      </c>
      <c r="D352" s="102" t="s">
        <v>2893</v>
      </c>
      <c r="E352" s="102" t="s">
        <v>2694</v>
      </c>
      <c r="F352" s="220">
        <v>32318</v>
      </c>
      <c r="G352" s="102" t="s">
        <v>2695</v>
      </c>
      <c r="H352" s="221">
        <v>11.5</v>
      </c>
      <c r="I352" s="221">
        <v>41.49</v>
      </c>
      <c r="J352" s="221">
        <v>10.79</v>
      </c>
      <c r="K352" s="221">
        <f t="shared" si="5"/>
        <v>0.71000000000000085</v>
      </c>
      <c r="L352" s="93"/>
    </row>
    <row r="353" spans="1:12" ht="30" x14ac:dyDescent="0.5">
      <c r="A353" s="102" t="s">
        <v>2728</v>
      </c>
      <c r="B353" s="102" t="s">
        <v>2729</v>
      </c>
      <c r="C353" s="102" t="s">
        <v>3293</v>
      </c>
      <c r="D353" s="102" t="s">
        <v>2893</v>
      </c>
      <c r="E353" s="102" t="s">
        <v>2694</v>
      </c>
      <c r="F353" s="220">
        <v>32325</v>
      </c>
      <c r="G353" s="102" t="s">
        <v>2695</v>
      </c>
      <c r="H353" s="221">
        <v>12.75</v>
      </c>
      <c r="I353" s="221">
        <v>44.43</v>
      </c>
      <c r="J353" s="221">
        <v>10.79</v>
      </c>
      <c r="K353" s="221">
        <f t="shared" si="5"/>
        <v>1.9600000000000009</v>
      </c>
      <c r="L353" s="93"/>
    </row>
    <row r="354" spans="1:12" ht="30" x14ac:dyDescent="0.5">
      <c r="A354" s="102" t="s">
        <v>2732</v>
      </c>
      <c r="B354" s="102" t="s">
        <v>2975</v>
      </c>
      <c r="C354" s="102" t="s">
        <v>3294</v>
      </c>
      <c r="D354" s="102" t="s">
        <v>2893</v>
      </c>
      <c r="E354" s="102" t="s">
        <v>2694</v>
      </c>
      <c r="F354" s="220">
        <v>32332</v>
      </c>
      <c r="G354" s="102" t="s">
        <v>2695</v>
      </c>
      <c r="H354" s="221">
        <v>12</v>
      </c>
      <c r="I354" s="221" t="s">
        <v>14</v>
      </c>
      <c r="J354" s="221">
        <v>10.79</v>
      </c>
      <c r="K354" s="221">
        <f t="shared" si="5"/>
        <v>1.2100000000000009</v>
      </c>
      <c r="L354" s="93"/>
    </row>
    <row r="355" spans="1:12" ht="30" x14ac:dyDescent="0.5">
      <c r="A355" s="102" t="s">
        <v>2704</v>
      </c>
      <c r="B355" s="102" t="s">
        <v>2910</v>
      </c>
      <c r="C355" s="102" t="s">
        <v>3295</v>
      </c>
      <c r="D355" s="102" t="s">
        <v>2893</v>
      </c>
      <c r="E355" s="102" t="s">
        <v>2694</v>
      </c>
      <c r="F355" s="220">
        <v>32342</v>
      </c>
      <c r="G355" s="102" t="s">
        <v>2695</v>
      </c>
      <c r="H355" s="221">
        <v>12</v>
      </c>
      <c r="I355" s="221">
        <v>49.7</v>
      </c>
      <c r="J355" s="221">
        <v>10.81</v>
      </c>
      <c r="K355" s="221">
        <f t="shared" si="5"/>
        <v>1.1899999999999995</v>
      </c>
      <c r="L355" s="93"/>
    </row>
    <row r="356" spans="1:12" ht="30" x14ac:dyDescent="0.5">
      <c r="A356" s="102" t="s">
        <v>2704</v>
      </c>
      <c r="B356" s="102" t="s">
        <v>2927</v>
      </c>
      <c r="C356" s="102" t="s">
        <v>3296</v>
      </c>
      <c r="D356" s="102" t="s">
        <v>2893</v>
      </c>
      <c r="E356" s="102" t="s">
        <v>2694</v>
      </c>
      <c r="F356" s="220">
        <v>32344</v>
      </c>
      <c r="G356" s="102" t="s">
        <v>2695</v>
      </c>
      <c r="H356" s="221">
        <v>13.4</v>
      </c>
      <c r="I356" s="221" t="s">
        <v>14</v>
      </c>
      <c r="J356" s="221">
        <v>10.81</v>
      </c>
      <c r="K356" s="221">
        <f t="shared" si="5"/>
        <v>2.59</v>
      </c>
      <c r="L356" s="93"/>
    </row>
    <row r="357" spans="1:12" ht="30" x14ac:dyDescent="0.5">
      <c r="A357" s="102" t="s">
        <v>2752</v>
      </c>
      <c r="B357" s="102" t="s">
        <v>2753</v>
      </c>
      <c r="C357" s="102" t="s">
        <v>3297</v>
      </c>
      <c r="D357" s="102" t="s">
        <v>2893</v>
      </c>
      <c r="E357" s="102" t="s">
        <v>2694</v>
      </c>
      <c r="F357" s="220">
        <v>32363</v>
      </c>
      <c r="G357" s="102" t="s">
        <v>2695</v>
      </c>
      <c r="H357" s="221">
        <v>12.74</v>
      </c>
      <c r="I357" s="221">
        <v>50.7</v>
      </c>
      <c r="J357" s="221">
        <v>10.81</v>
      </c>
      <c r="K357" s="221">
        <f t="shared" si="5"/>
        <v>1.9299999999999997</v>
      </c>
      <c r="L357" s="93"/>
    </row>
    <row r="358" spans="1:12" ht="30" x14ac:dyDescent="0.5">
      <c r="A358" s="102" t="s">
        <v>2698</v>
      </c>
      <c r="B358" s="102" t="s">
        <v>2895</v>
      </c>
      <c r="C358" s="102" t="s">
        <v>3298</v>
      </c>
      <c r="D358" s="102" t="s">
        <v>2893</v>
      </c>
      <c r="E358" s="102" t="s">
        <v>2694</v>
      </c>
      <c r="F358" s="220">
        <v>32406</v>
      </c>
      <c r="G358" s="102" t="s">
        <v>2695</v>
      </c>
      <c r="H358" s="221">
        <v>12.9</v>
      </c>
      <c r="I358" s="221">
        <v>51.4</v>
      </c>
      <c r="J358" s="221">
        <v>11.17</v>
      </c>
      <c r="K358" s="221">
        <f t="shared" si="5"/>
        <v>1.7300000000000004</v>
      </c>
      <c r="L358" s="93"/>
    </row>
    <row r="359" spans="1:12" ht="30" x14ac:dyDescent="0.5">
      <c r="A359" s="102" t="s">
        <v>2706</v>
      </c>
      <c r="B359" s="102" t="s">
        <v>2906</v>
      </c>
      <c r="C359" s="102" t="s">
        <v>3299</v>
      </c>
      <c r="D359" s="102" t="s">
        <v>2893</v>
      </c>
      <c r="E359" s="102" t="s">
        <v>2694</v>
      </c>
      <c r="F359" s="220">
        <v>32412</v>
      </c>
      <c r="G359" s="102" t="s">
        <v>2695</v>
      </c>
      <c r="H359" s="221">
        <v>12.4</v>
      </c>
      <c r="I359" s="221">
        <v>41.32</v>
      </c>
      <c r="J359" s="221">
        <v>11.17</v>
      </c>
      <c r="K359" s="221">
        <f t="shared" si="5"/>
        <v>1.2300000000000004</v>
      </c>
      <c r="L359" s="93"/>
    </row>
    <row r="360" spans="1:12" ht="30" x14ac:dyDescent="0.5">
      <c r="A360" s="102" t="s">
        <v>2702</v>
      </c>
      <c r="B360" s="102" t="s">
        <v>3007</v>
      </c>
      <c r="C360" s="102" t="s">
        <v>3300</v>
      </c>
      <c r="D360" s="102" t="s">
        <v>2893</v>
      </c>
      <c r="E360" s="102" t="s">
        <v>2694</v>
      </c>
      <c r="F360" s="220">
        <v>32413</v>
      </c>
      <c r="G360" s="102" t="s">
        <v>2695</v>
      </c>
      <c r="H360" s="221">
        <v>13.65</v>
      </c>
      <c r="I360" s="221">
        <v>51.15</v>
      </c>
      <c r="J360" s="221">
        <v>11.17</v>
      </c>
      <c r="K360" s="221">
        <f t="shared" si="5"/>
        <v>2.4800000000000004</v>
      </c>
      <c r="L360" s="93"/>
    </row>
    <row r="361" spans="1:12" ht="30" x14ac:dyDescent="0.5">
      <c r="A361" s="102" t="s">
        <v>2700</v>
      </c>
      <c r="B361" s="102" t="s">
        <v>3082</v>
      </c>
      <c r="C361" s="102" t="s">
        <v>3301</v>
      </c>
      <c r="D361" s="102" t="s">
        <v>2893</v>
      </c>
      <c r="E361" s="102" t="s">
        <v>2694</v>
      </c>
      <c r="F361" s="220">
        <v>32416</v>
      </c>
      <c r="G361" s="102" t="s">
        <v>2695</v>
      </c>
      <c r="H361" s="221">
        <v>13.25</v>
      </c>
      <c r="I361" s="221">
        <v>50.2</v>
      </c>
      <c r="J361" s="221">
        <v>11.17</v>
      </c>
      <c r="K361" s="221">
        <f t="shared" si="5"/>
        <v>2.08</v>
      </c>
      <c r="L361" s="93"/>
    </row>
    <row r="362" spans="1:12" ht="30" x14ac:dyDescent="0.5">
      <c r="A362" s="102" t="s">
        <v>2702</v>
      </c>
      <c r="B362" s="102" t="s">
        <v>2749</v>
      </c>
      <c r="C362" s="102" t="s">
        <v>3302</v>
      </c>
      <c r="D362" s="102" t="s">
        <v>2893</v>
      </c>
      <c r="E362" s="102" t="s">
        <v>2694</v>
      </c>
      <c r="F362" s="220">
        <v>32429</v>
      </c>
      <c r="G362" s="102" t="s">
        <v>2695</v>
      </c>
      <c r="H362" s="221">
        <v>13.1</v>
      </c>
      <c r="I362" s="221">
        <v>49.52</v>
      </c>
      <c r="J362" s="221">
        <v>11.17</v>
      </c>
      <c r="K362" s="221">
        <f t="shared" si="5"/>
        <v>1.9299999999999997</v>
      </c>
      <c r="L362" s="93"/>
    </row>
    <row r="363" spans="1:12" ht="30" x14ac:dyDescent="0.5">
      <c r="A363" s="102" t="s">
        <v>2728</v>
      </c>
      <c r="B363" s="102" t="s">
        <v>3144</v>
      </c>
      <c r="C363" s="102" t="s">
        <v>3303</v>
      </c>
      <c r="D363" s="102" t="s">
        <v>2893</v>
      </c>
      <c r="E363" s="102" t="s">
        <v>2694</v>
      </c>
      <c r="F363" s="220">
        <v>32437</v>
      </c>
      <c r="G363" s="102" t="s">
        <v>2695</v>
      </c>
      <c r="H363" s="221">
        <v>12.8</v>
      </c>
      <c r="I363" s="221">
        <v>48.43</v>
      </c>
      <c r="J363" s="221">
        <v>10.67</v>
      </c>
      <c r="K363" s="221">
        <f t="shared" si="5"/>
        <v>2.1300000000000008</v>
      </c>
      <c r="L363" s="93"/>
    </row>
    <row r="364" spans="1:12" ht="30" x14ac:dyDescent="0.5">
      <c r="A364" s="102" t="s">
        <v>2739</v>
      </c>
      <c r="B364" s="102" t="s">
        <v>3070</v>
      </c>
      <c r="C364" s="102" t="s">
        <v>3304</v>
      </c>
      <c r="D364" s="102" t="s">
        <v>2893</v>
      </c>
      <c r="E364" s="102" t="s">
        <v>2694</v>
      </c>
      <c r="F364" s="220">
        <v>32442</v>
      </c>
      <c r="G364" s="102" t="s">
        <v>2695</v>
      </c>
      <c r="H364" s="221">
        <v>13.5</v>
      </c>
      <c r="I364" s="221">
        <v>28.46</v>
      </c>
      <c r="J364" s="221">
        <v>10.67</v>
      </c>
      <c r="K364" s="221">
        <f t="shared" si="5"/>
        <v>2.83</v>
      </c>
      <c r="L364" s="93"/>
    </row>
    <row r="365" spans="1:12" ht="30" x14ac:dyDescent="0.5">
      <c r="A365" s="102" t="s">
        <v>2734</v>
      </c>
      <c r="B365" s="102" t="s">
        <v>2895</v>
      </c>
      <c r="C365" s="102" t="s">
        <v>3305</v>
      </c>
      <c r="D365" s="102" t="s">
        <v>2893</v>
      </c>
      <c r="E365" s="102" t="s">
        <v>2694</v>
      </c>
      <c r="F365" s="220">
        <v>32443</v>
      </c>
      <c r="G365" s="102" t="s">
        <v>2695</v>
      </c>
      <c r="H365" s="221">
        <v>12.95</v>
      </c>
      <c r="I365" s="221">
        <v>53.3</v>
      </c>
      <c r="J365" s="221">
        <v>10.67</v>
      </c>
      <c r="K365" s="221">
        <f t="shared" si="5"/>
        <v>2.2799999999999994</v>
      </c>
      <c r="L365" s="93"/>
    </row>
    <row r="366" spans="1:12" ht="30" x14ac:dyDescent="0.5">
      <c r="A366" s="102" t="s">
        <v>2766</v>
      </c>
      <c r="B366" s="102" t="s">
        <v>2895</v>
      </c>
      <c r="C366" s="102" t="s">
        <v>3306</v>
      </c>
      <c r="D366" s="102" t="s">
        <v>2893</v>
      </c>
      <c r="E366" s="102" t="s">
        <v>2694</v>
      </c>
      <c r="F366" s="220">
        <v>32444</v>
      </c>
      <c r="G366" s="102" t="s">
        <v>2695</v>
      </c>
      <c r="H366" s="221">
        <v>13</v>
      </c>
      <c r="I366" s="221">
        <v>49.83</v>
      </c>
      <c r="J366" s="221">
        <v>10.67</v>
      </c>
      <c r="K366" s="221">
        <f t="shared" si="5"/>
        <v>2.33</v>
      </c>
      <c r="L366" s="93"/>
    </row>
    <row r="367" spans="1:12" ht="30" x14ac:dyDescent="0.5">
      <c r="A367" s="102" t="s">
        <v>2732</v>
      </c>
      <c r="B367" s="102" t="s">
        <v>2944</v>
      </c>
      <c r="C367" s="102" t="s">
        <v>3307</v>
      </c>
      <c r="D367" s="102" t="s">
        <v>2893</v>
      </c>
      <c r="E367" s="102" t="s">
        <v>2694</v>
      </c>
      <c r="F367" s="220">
        <v>32462</v>
      </c>
      <c r="G367" s="102" t="s">
        <v>2695</v>
      </c>
      <c r="H367" s="221">
        <v>12</v>
      </c>
      <c r="I367" s="221" t="s">
        <v>14</v>
      </c>
      <c r="J367" s="221">
        <v>9.98</v>
      </c>
      <c r="K367" s="221">
        <f t="shared" si="5"/>
        <v>2.0199999999999996</v>
      </c>
      <c r="L367" s="93"/>
    </row>
    <row r="368" spans="1:12" ht="30" x14ac:dyDescent="0.5">
      <c r="A368" s="102" t="s">
        <v>2699</v>
      </c>
      <c r="B368" s="102" t="s">
        <v>2628</v>
      </c>
      <c r="C368" s="102" t="s">
        <v>3308</v>
      </c>
      <c r="D368" s="102" t="s">
        <v>2893</v>
      </c>
      <c r="E368" s="102" t="s">
        <v>2694</v>
      </c>
      <c r="F368" s="220">
        <v>32476</v>
      </c>
      <c r="G368" s="102" t="s">
        <v>2695</v>
      </c>
      <c r="H368" s="221">
        <v>12.75</v>
      </c>
      <c r="I368" s="221">
        <v>47.36</v>
      </c>
      <c r="J368" s="221">
        <v>9.98</v>
      </c>
      <c r="K368" s="221">
        <f t="shared" si="5"/>
        <v>2.7699999999999996</v>
      </c>
      <c r="L368" s="93"/>
    </row>
    <row r="369" spans="1:12" ht="30" x14ac:dyDescent="0.5">
      <c r="A369" s="102" t="s">
        <v>2738</v>
      </c>
      <c r="B369" s="102" t="s">
        <v>2741</v>
      </c>
      <c r="C369" s="102" t="s">
        <v>3309</v>
      </c>
      <c r="D369" s="102" t="s">
        <v>2893</v>
      </c>
      <c r="E369" s="102" t="s">
        <v>2694</v>
      </c>
      <c r="F369" s="220">
        <v>32496</v>
      </c>
      <c r="G369" s="102" t="s">
        <v>2695</v>
      </c>
      <c r="H369" s="221">
        <v>13</v>
      </c>
      <c r="I369" s="221">
        <v>48</v>
      </c>
      <c r="J369" s="221">
        <v>9.89</v>
      </c>
      <c r="K369" s="221">
        <f t="shared" si="5"/>
        <v>3.1099999999999994</v>
      </c>
      <c r="L369" s="93"/>
    </row>
    <row r="370" spans="1:12" ht="30" x14ac:dyDescent="0.5">
      <c r="A370" s="102" t="s">
        <v>2723</v>
      </c>
      <c r="B370" s="102" t="s">
        <v>2730</v>
      </c>
      <c r="C370" s="102" t="s">
        <v>3310</v>
      </c>
      <c r="D370" s="102" t="s">
        <v>2893</v>
      </c>
      <c r="E370" s="102" t="s">
        <v>2694</v>
      </c>
      <c r="F370" s="220">
        <v>32498</v>
      </c>
      <c r="G370" s="102" t="s">
        <v>2695</v>
      </c>
      <c r="H370" s="221">
        <v>12.9</v>
      </c>
      <c r="I370" s="221">
        <v>36.950000000000003</v>
      </c>
      <c r="J370" s="221">
        <v>9.89</v>
      </c>
      <c r="K370" s="221">
        <f t="shared" si="5"/>
        <v>3.01</v>
      </c>
      <c r="L370" s="93"/>
    </row>
    <row r="371" spans="1:12" ht="30" x14ac:dyDescent="0.5">
      <c r="A371" s="102" t="s">
        <v>2744</v>
      </c>
      <c r="B371" s="102" t="s">
        <v>2972</v>
      </c>
      <c r="C371" s="102" t="s">
        <v>3311</v>
      </c>
      <c r="D371" s="102" t="s">
        <v>2893</v>
      </c>
      <c r="E371" s="102" t="s">
        <v>2694</v>
      </c>
      <c r="F371" s="220">
        <v>32499</v>
      </c>
      <c r="G371" s="102" t="s">
        <v>2695</v>
      </c>
      <c r="H371" s="221">
        <v>13.5</v>
      </c>
      <c r="I371" s="221">
        <v>31.12</v>
      </c>
      <c r="J371" s="221">
        <v>9.89</v>
      </c>
      <c r="K371" s="221">
        <f t="shared" si="5"/>
        <v>3.6099999999999994</v>
      </c>
      <c r="L371" s="93"/>
    </row>
    <row r="372" spans="1:12" ht="30" x14ac:dyDescent="0.5">
      <c r="A372" s="102" t="s">
        <v>2696</v>
      </c>
      <c r="B372" s="102" t="s">
        <v>3177</v>
      </c>
      <c r="C372" s="102" t="s">
        <v>3312</v>
      </c>
      <c r="D372" s="102" t="s">
        <v>2893</v>
      </c>
      <c r="E372" s="102" t="s">
        <v>2694</v>
      </c>
      <c r="F372" s="220">
        <v>32534</v>
      </c>
      <c r="G372" s="102" t="s">
        <v>2695</v>
      </c>
      <c r="H372" s="221">
        <v>12.6</v>
      </c>
      <c r="I372" s="221">
        <v>59.5</v>
      </c>
      <c r="J372" s="221">
        <v>10.050000000000001</v>
      </c>
      <c r="K372" s="221">
        <f t="shared" si="5"/>
        <v>2.5499999999999989</v>
      </c>
      <c r="L372" s="93"/>
    </row>
    <row r="373" spans="1:12" ht="30" x14ac:dyDescent="0.5">
      <c r="A373" s="102" t="s">
        <v>2702</v>
      </c>
      <c r="B373" s="102" t="s">
        <v>2748</v>
      </c>
      <c r="C373" s="102" t="s">
        <v>3313</v>
      </c>
      <c r="D373" s="102" t="s">
        <v>2893</v>
      </c>
      <c r="E373" s="102" t="s">
        <v>2694</v>
      </c>
      <c r="F373" s="220">
        <v>32535</v>
      </c>
      <c r="G373" s="102" t="s">
        <v>2695</v>
      </c>
      <c r="H373" s="221">
        <v>13</v>
      </c>
      <c r="I373" s="221">
        <v>52.76</v>
      </c>
      <c r="J373" s="221">
        <v>10.050000000000001</v>
      </c>
      <c r="K373" s="221">
        <f t="shared" si="5"/>
        <v>2.9499999999999993</v>
      </c>
      <c r="L373" s="93"/>
    </row>
    <row r="374" spans="1:12" ht="30" x14ac:dyDescent="0.5">
      <c r="A374" s="102" t="s">
        <v>2743</v>
      </c>
      <c r="B374" s="102" t="s">
        <v>3012</v>
      </c>
      <c r="C374" s="102" t="s">
        <v>3314</v>
      </c>
      <c r="D374" s="102" t="s">
        <v>2893</v>
      </c>
      <c r="E374" s="102" t="s">
        <v>2694</v>
      </c>
      <c r="F374" s="220">
        <v>32547</v>
      </c>
      <c r="G374" s="102" t="s">
        <v>2695</v>
      </c>
      <c r="H374" s="221">
        <v>13.37</v>
      </c>
      <c r="I374" s="221">
        <v>49.81</v>
      </c>
      <c r="J374" s="221">
        <v>10.050000000000001</v>
      </c>
      <c r="K374" s="221">
        <f t="shared" si="5"/>
        <v>3.3199999999999985</v>
      </c>
      <c r="L374" s="93"/>
    </row>
    <row r="375" spans="1:12" ht="30" x14ac:dyDescent="0.5">
      <c r="A375" s="102" t="s">
        <v>2763</v>
      </c>
      <c r="B375" s="102" t="s">
        <v>3059</v>
      </c>
      <c r="C375" s="102" t="s">
        <v>3315</v>
      </c>
      <c r="D375" s="102" t="s">
        <v>2893</v>
      </c>
      <c r="E375" s="102" t="s">
        <v>2694</v>
      </c>
      <c r="F375" s="220">
        <v>32632</v>
      </c>
      <c r="G375" s="102" t="s">
        <v>2695</v>
      </c>
      <c r="H375" s="221">
        <v>13</v>
      </c>
      <c r="I375" s="221">
        <v>49.35</v>
      </c>
      <c r="J375" s="221">
        <v>10.24</v>
      </c>
      <c r="K375" s="221">
        <f t="shared" si="5"/>
        <v>2.76</v>
      </c>
      <c r="L375" s="93"/>
    </row>
    <row r="376" spans="1:12" ht="30" x14ac:dyDescent="0.5">
      <c r="A376" s="102" t="s">
        <v>2702</v>
      </c>
      <c r="B376" s="102" t="s">
        <v>2703</v>
      </c>
      <c r="C376" s="102" t="s">
        <v>3316</v>
      </c>
      <c r="D376" s="102" t="s">
        <v>2893</v>
      </c>
      <c r="E376" s="102" t="s">
        <v>2694</v>
      </c>
      <c r="F376" s="220">
        <v>32667</v>
      </c>
      <c r="G376" s="102" t="s">
        <v>2695</v>
      </c>
      <c r="H376" s="221">
        <v>13.5</v>
      </c>
      <c r="I376" s="221">
        <v>47.81</v>
      </c>
      <c r="J376" s="221">
        <v>10.19</v>
      </c>
      <c r="K376" s="221">
        <f t="shared" si="5"/>
        <v>3.3100000000000005</v>
      </c>
      <c r="L376" s="93"/>
    </row>
    <row r="377" spans="1:12" ht="30" x14ac:dyDescent="0.5">
      <c r="A377" s="102" t="s">
        <v>2704</v>
      </c>
      <c r="B377" s="102" t="s">
        <v>2910</v>
      </c>
      <c r="C377" s="102" t="s">
        <v>3317</v>
      </c>
      <c r="D377" s="102" t="s">
        <v>2893</v>
      </c>
      <c r="E377" s="102" t="s">
        <v>2694</v>
      </c>
      <c r="F377" s="220">
        <v>32708</v>
      </c>
      <c r="G377" s="102" t="s">
        <v>2695</v>
      </c>
      <c r="H377" s="221">
        <v>11.8</v>
      </c>
      <c r="I377" s="221">
        <v>49.75</v>
      </c>
      <c r="J377" s="221">
        <v>10</v>
      </c>
      <c r="K377" s="221">
        <f t="shared" si="5"/>
        <v>1.8000000000000007</v>
      </c>
      <c r="L377" s="93"/>
    </row>
    <row r="378" spans="1:12" ht="30" x14ac:dyDescent="0.5">
      <c r="A378" s="102" t="s">
        <v>2740</v>
      </c>
      <c r="B378" s="102" t="s">
        <v>2964</v>
      </c>
      <c r="C378" s="102" t="s">
        <v>3318</v>
      </c>
      <c r="D378" s="102" t="s">
        <v>2893</v>
      </c>
      <c r="E378" s="102" t="s">
        <v>2694</v>
      </c>
      <c r="F378" s="220">
        <v>32734</v>
      </c>
      <c r="G378" s="102" t="s">
        <v>2695</v>
      </c>
      <c r="H378" s="221">
        <v>12.5</v>
      </c>
      <c r="I378" s="221">
        <v>44</v>
      </c>
      <c r="J378" s="221">
        <v>9.66</v>
      </c>
      <c r="K378" s="221">
        <f t="shared" si="5"/>
        <v>2.84</v>
      </c>
      <c r="L378" s="93"/>
    </row>
    <row r="379" spans="1:12" ht="30" x14ac:dyDescent="0.5">
      <c r="A379" s="102" t="s">
        <v>2723</v>
      </c>
      <c r="B379" s="102" t="s">
        <v>2921</v>
      </c>
      <c r="C379" s="102" t="s">
        <v>3319</v>
      </c>
      <c r="D379" s="102" t="s">
        <v>2893</v>
      </c>
      <c r="E379" s="102" t="s">
        <v>2694</v>
      </c>
      <c r="F379" s="220">
        <v>32743</v>
      </c>
      <c r="G379" s="102" t="s">
        <v>2695</v>
      </c>
      <c r="H379" s="221">
        <v>12.9</v>
      </c>
      <c r="I379" s="221">
        <v>50.88</v>
      </c>
      <c r="J379" s="221">
        <v>9.66</v>
      </c>
      <c r="K379" s="221">
        <f t="shared" si="5"/>
        <v>3.24</v>
      </c>
      <c r="L379" s="93"/>
    </row>
    <row r="380" spans="1:12" ht="30" x14ac:dyDescent="0.5">
      <c r="A380" s="102" t="s">
        <v>2728</v>
      </c>
      <c r="B380" s="102" t="s">
        <v>3144</v>
      </c>
      <c r="C380" s="102" t="s">
        <v>3320</v>
      </c>
      <c r="D380" s="102" t="s">
        <v>2893</v>
      </c>
      <c r="E380" s="102" t="s">
        <v>2694</v>
      </c>
      <c r="F380" s="220">
        <v>32787</v>
      </c>
      <c r="G380" s="102" t="s">
        <v>2695</v>
      </c>
      <c r="H380" s="221">
        <v>13</v>
      </c>
      <c r="I380" s="221">
        <v>47.24</v>
      </c>
      <c r="J380" s="221">
        <v>9.51</v>
      </c>
      <c r="K380" s="221">
        <f t="shared" si="5"/>
        <v>3.49</v>
      </c>
      <c r="L380" s="93"/>
    </row>
    <row r="381" spans="1:12" ht="30" x14ac:dyDescent="0.5">
      <c r="A381" s="102" t="s">
        <v>2710</v>
      </c>
      <c r="B381" s="102" t="s">
        <v>3000</v>
      </c>
      <c r="C381" s="102" t="s">
        <v>3321</v>
      </c>
      <c r="D381" s="102" t="s">
        <v>2893</v>
      </c>
      <c r="E381" s="102" t="s">
        <v>2694</v>
      </c>
      <c r="F381" s="220">
        <v>32798</v>
      </c>
      <c r="G381" s="102" t="s">
        <v>2695</v>
      </c>
      <c r="H381" s="221">
        <v>12.41</v>
      </c>
      <c r="I381" s="221">
        <v>52.48</v>
      </c>
      <c r="J381" s="221">
        <v>9.58</v>
      </c>
      <c r="K381" s="221">
        <f t="shared" si="5"/>
        <v>2.83</v>
      </c>
      <c r="L381" s="93"/>
    </row>
    <row r="382" spans="1:12" ht="30" x14ac:dyDescent="0.5">
      <c r="A382" s="102" t="s">
        <v>2702</v>
      </c>
      <c r="B382" s="102" t="s">
        <v>2903</v>
      </c>
      <c r="C382" s="102" t="s">
        <v>3322</v>
      </c>
      <c r="D382" s="102" t="s">
        <v>2893</v>
      </c>
      <c r="E382" s="102" t="s">
        <v>2694</v>
      </c>
      <c r="F382" s="220">
        <v>32812</v>
      </c>
      <c r="G382" s="102" t="s">
        <v>2695</v>
      </c>
      <c r="H382" s="221">
        <v>13.6</v>
      </c>
      <c r="I382" s="221">
        <v>49.41</v>
      </c>
      <c r="J382" s="221">
        <v>9.58</v>
      </c>
      <c r="K382" s="221">
        <f t="shared" si="5"/>
        <v>4.0199999999999996</v>
      </c>
      <c r="L382" s="93"/>
    </row>
    <row r="383" spans="1:12" ht="30" x14ac:dyDescent="0.5">
      <c r="A383" s="102" t="s">
        <v>2743</v>
      </c>
      <c r="B383" s="102" t="s">
        <v>2969</v>
      </c>
      <c r="C383" s="102" t="s">
        <v>3323</v>
      </c>
      <c r="D383" s="102" t="s">
        <v>2893</v>
      </c>
      <c r="E383" s="102" t="s">
        <v>2694</v>
      </c>
      <c r="F383" s="220">
        <v>32817</v>
      </c>
      <c r="G383" s="102" t="s">
        <v>2695</v>
      </c>
      <c r="H383" s="221">
        <v>13.2</v>
      </c>
      <c r="I383" s="221">
        <v>50.71</v>
      </c>
      <c r="J383" s="221">
        <v>9.58</v>
      </c>
      <c r="K383" s="221">
        <f t="shared" si="5"/>
        <v>3.6199999999999992</v>
      </c>
      <c r="L383" s="93"/>
    </row>
    <row r="384" spans="1:12" ht="30" x14ac:dyDescent="0.5">
      <c r="A384" s="102" t="s">
        <v>2702</v>
      </c>
      <c r="B384" s="102" t="s">
        <v>2749</v>
      </c>
      <c r="C384" s="102" t="s">
        <v>3324</v>
      </c>
      <c r="D384" s="102" t="s">
        <v>2893</v>
      </c>
      <c r="E384" s="102" t="s">
        <v>2694</v>
      </c>
      <c r="F384" s="220">
        <v>32821</v>
      </c>
      <c r="G384" s="102" t="s">
        <v>2695</v>
      </c>
      <c r="H384" s="221">
        <v>13</v>
      </c>
      <c r="I384" s="221">
        <v>49.5</v>
      </c>
      <c r="J384" s="221">
        <v>9.58</v>
      </c>
      <c r="K384" s="221">
        <f t="shared" si="5"/>
        <v>3.42</v>
      </c>
      <c r="L384" s="93"/>
    </row>
    <row r="385" spans="1:17" ht="30" x14ac:dyDescent="0.5">
      <c r="A385" s="102" t="s">
        <v>2757</v>
      </c>
      <c r="B385" s="102" t="s">
        <v>2765</v>
      </c>
      <c r="C385" s="102" t="s">
        <v>3325</v>
      </c>
      <c r="D385" s="102" t="s">
        <v>2893</v>
      </c>
      <c r="E385" s="102" t="s">
        <v>2694</v>
      </c>
      <c r="F385" s="220">
        <v>32840</v>
      </c>
      <c r="G385" s="102" t="s">
        <v>2695</v>
      </c>
      <c r="H385" s="221">
        <v>12.75</v>
      </c>
      <c r="I385" s="221">
        <v>45</v>
      </c>
      <c r="J385" s="221">
        <v>9.5399999999999991</v>
      </c>
      <c r="K385" s="221">
        <f t="shared" si="5"/>
        <v>3.2100000000000009</v>
      </c>
      <c r="L385" s="93"/>
    </row>
    <row r="386" spans="1:17" ht="30" x14ac:dyDescent="0.5">
      <c r="A386" s="102" t="s">
        <v>2744</v>
      </c>
      <c r="B386" s="102" t="s">
        <v>2770</v>
      </c>
      <c r="C386" s="102" t="s">
        <v>3326</v>
      </c>
      <c r="D386" s="102" t="s">
        <v>2893</v>
      </c>
      <c r="E386" s="102" t="s">
        <v>2694</v>
      </c>
      <c r="F386" s="220">
        <v>32849</v>
      </c>
      <c r="G386" s="102" t="s">
        <v>2695</v>
      </c>
      <c r="H386" s="221">
        <v>13.25</v>
      </c>
      <c r="I386" s="221">
        <v>35.520000000000003</v>
      </c>
      <c r="J386" s="221">
        <v>9.5399999999999991</v>
      </c>
      <c r="K386" s="221">
        <f t="shared" si="5"/>
        <v>3.7100000000000009</v>
      </c>
      <c r="L386" s="93"/>
    </row>
    <row r="387" spans="1:17" ht="30" x14ac:dyDescent="0.5">
      <c r="A387" s="102" t="s">
        <v>2698</v>
      </c>
      <c r="B387" s="102" t="s">
        <v>2722</v>
      </c>
      <c r="C387" s="102" t="s">
        <v>3327</v>
      </c>
      <c r="D387" s="102" t="s">
        <v>2893</v>
      </c>
      <c r="E387" s="102" t="s">
        <v>2694</v>
      </c>
      <c r="F387" s="220">
        <v>32857</v>
      </c>
      <c r="G387" s="102" t="s">
        <v>2695</v>
      </c>
      <c r="H387" s="221">
        <v>13</v>
      </c>
      <c r="I387" s="221">
        <v>43.06</v>
      </c>
      <c r="J387" s="221">
        <v>9.52</v>
      </c>
      <c r="K387" s="221">
        <f t="shared" si="5"/>
        <v>3.4800000000000004</v>
      </c>
      <c r="L387" s="93"/>
    </row>
    <row r="388" spans="1:17" ht="30" x14ac:dyDescent="0.5">
      <c r="A388" s="102" t="s">
        <v>2738</v>
      </c>
      <c r="B388" s="102" t="s">
        <v>2760</v>
      </c>
      <c r="C388" s="102" t="s">
        <v>3328</v>
      </c>
      <c r="D388" s="102" t="s">
        <v>2893</v>
      </c>
      <c r="E388" s="102" t="s">
        <v>2694</v>
      </c>
      <c r="F388" s="220">
        <v>32862</v>
      </c>
      <c r="G388" s="102" t="s">
        <v>2695</v>
      </c>
      <c r="H388" s="221">
        <v>12.9</v>
      </c>
      <c r="I388" s="221">
        <v>46.75</v>
      </c>
      <c r="J388" s="221">
        <v>9.52</v>
      </c>
      <c r="K388" s="221">
        <f t="shared" si="5"/>
        <v>3.3800000000000008</v>
      </c>
      <c r="L388" s="93"/>
    </row>
    <row r="389" spans="1:17" ht="30" x14ac:dyDescent="0.5">
      <c r="A389" s="102" t="s">
        <v>2702</v>
      </c>
      <c r="B389" s="102" t="s">
        <v>2748</v>
      </c>
      <c r="C389" s="102" t="s">
        <v>3329</v>
      </c>
      <c r="D389" s="102" t="s">
        <v>2893</v>
      </c>
      <c r="E389" s="102" t="s">
        <v>2694</v>
      </c>
      <c r="F389" s="220">
        <v>32863</v>
      </c>
      <c r="G389" s="102" t="s">
        <v>2695</v>
      </c>
      <c r="H389" s="221">
        <v>12.9</v>
      </c>
      <c r="I389" s="221">
        <v>53.6</v>
      </c>
      <c r="J389" s="221">
        <v>9.52</v>
      </c>
      <c r="K389" s="221">
        <f t="shared" si="5"/>
        <v>3.3800000000000008</v>
      </c>
      <c r="L389" s="93"/>
    </row>
    <row r="390" spans="1:17" ht="30" x14ac:dyDescent="0.5">
      <c r="A390" s="102" t="s">
        <v>2696</v>
      </c>
      <c r="B390" s="102" t="s">
        <v>2910</v>
      </c>
      <c r="C390" s="102" t="s">
        <v>3330</v>
      </c>
      <c r="D390" s="102" t="s">
        <v>2893</v>
      </c>
      <c r="E390" s="102" t="s">
        <v>2694</v>
      </c>
      <c r="F390" s="220">
        <v>32863</v>
      </c>
      <c r="G390" s="102" t="s">
        <v>2695</v>
      </c>
      <c r="H390" s="221">
        <v>12.8</v>
      </c>
      <c r="I390" s="221">
        <v>48.3</v>
      </c>
      <c r="J390" s="221">
        <v>9.52</v>
      </c>
      <c r="K390" s="221">
        <f t="shared" si="5"/>
        <v>3.2800000000000011</v>
      </c>
      <c r="L390" s="93"/>
    </row>
    <row r="391" spans="1:17" ht="30" x14ac:dyDescent="0.5">
      <c r="A391" s="102" t="s">
        <v>2702</v>
      </c>
      <c r="B391" s="102" t="s">
        <v>2755</v>
      </c>
      <c r="C391" s="102" t="s">
        <v>3331</v>
      </c>
      <c r="D391" s="102" t="s">
        <v>2893</v>
      </c>
      <c r="E391" s="102" t="s">
        <v>2694</v>
      </c>
      <c r="F391" s="220">
        <v>32869</v>
      </c>
      <c r="G391" s="102" t="s">
        <v>2695</v>
      </c>
      <c r="H391" s="221">
        <v>12.5</v>
      </c>
      <c r="I391" s="221">
        <v>56.61</v>
      </c>
      <c r="J391" s="221">
        <v>9.52</v>
      </c>
      <c r="K391" s="221">
        <f t="shared" ref="K391:K454" si="6">H391-J391</f>
        <v>2.9800000000000004</v>
      </c>
      <c r="L391" s="93"/>
      <c r="N391" s="83"/>
      <c r="O391" s="97"/>
      <c r="P391" s="97"/>
      <c r="Q391" s="97"/>
    </row>
    <row r="392" spans="1:17" ht="30" x14ac:dyDescent="0.5">
      <c r="A392" s="102" t="s">
        <v>2738</v>
      </c>
      <c r="B392" s="102" t="s">
        <v>2954</v>
      </c>
      <c r="C392" s="102" t="s">
        <v>3332</v>
      </c>
      <c r="D392" s="102" t="s">
        <v>2893</v>
      </c>
      <c r="E392" s="102" t="s">
        <v>2694</v>
      </c>
      <c r="F392" s="220">
        <v>32882</v>
      </c>
      <c r="G392" s="102" t="s">
        <v>2695</v>
      </c>
      <c r="H392" s="221">
        <v>13</v>
      </c>
      <c r="I392" s="221">
        <v>45.3</v>
      </c>
      <c r="J392" s="221">
        <v>9.52</v>
      </c>
      <c r="K392" s="221">
        <f t="shared" si="6"/>
        <v>3.4800000000000004</v>
      </c>
      <c r="L392" s="93"/>
      <c r="N392" s="83"/>
      <c r="O392" s="97"/>
      <c r="P392" s="97"/>
      <c r="Q392" s="97"/>
    </row>
    <row r="393" spans="1:17" ht="30" x14ac:dyDescent="0.5">
      <c r="A393" s="102" t="s">
        <v>2712</v>
      </c>
      <c r="B393" s="102" t="s">
        <v>3333</v>
      </c>
      <c r="C393" s="102" t="s">
        <v>3334</v>
      </c>
      <c r="D393" s="102" t="s">
        <v>2893</v>
      </c>
      <c r="E393" s="102" t="s">
        <v>2694</v>
      </c>
      <c r="F393" s="220">
        <v>32891</v>
      </c>
      <c r="G393" s="102" t="s">
        <v>2695</v>
      </c>
      <c r="H393" s="221">
        <v>12.5</v>
      </c>
      <c r="I393" s="221">
        <v>54.82</v>
      </c>
      <c r="J393" s="221">
        <v>9.43</v>
      </c>
      <c r="K393" s="221">
        <f t="shared" si="6"/>
        <v>3.0700000000000003</v>
      </c>
      <c r="L393" s="93"/>
      <c r="N393" s="83"/>
      <c r="O393" s="97"/>
      <c r="P393" s="97"/>
      <c r="Q393" s="97"/>
    </row>
    <row r="394" spans="1:17" ht="30" x14ac:dyDescent="0.5">
      <c r="A394" s="102" t="s">
        <v>2704</v>
      </c>
      <c r="B394" s="102" t="s">
        <v>3121</v>
      </c>
      <c r="C394" s="102" t="s">
        <v>3335</v>
      </c>
      <c r="D394" s="102" t="s">
        <v>2893</v>
      </c>
      <c r="E394" s="102" t="s">
        <v>2694</v>
      </c>
      <c r="F394" s="220">
        <v>32899</v>
      </c>
      <c r="G394" s="102" t="s">
        <v>2695</v>
      </c>
      <c r="H394" s="221">
        <v>12.1</v>
      </c>
      <c r="I394" s="221">
        <v>29.67</v>
      </c>
      <c r="J394" s="221">
        <v>9.43</v>
      </c>
      <c r="K394" s="221">
        <f t="shared" si="6"/>
        <v>2.67</v>
      </c>
      <c r="L394" s="93"/>
      <c r="N394" s="83"/>
      <c r="O394" s="97"/>
      <c r="P394" s="97"/>
      <c r="Q394" s="97"/>
    </row>
    <row r="395" spans="1:17" ht="30" x14ac:dyDescent="0.5">
      <c r="A395" s="102" t="s">
        <v>2712</v>
      </c>
      <c r="B395" s="102" t="s">
        <v>3255</v>
      </c>
      <c r="C395" s="102" t="s">
        <v>3336</v>
      </c>
      <c r="D395" s="102" t="s">
        <v>2893</v>
      </c>
      <c r="E395" s="102" t="s">
        <v>2694</v>
      </c>
      <c r="F395" s="220">
        <v>32953</v>
      </c>
      <c r="G395" s="102" t="s">
        <v>2695</v>
      </c>
      <c r="H395" s="221">
        <v>12.8</v>
      </c>
      <c r="I395" s="221">
        <v>52.6</v>
      </c>
      <c r="J395" s="221">
        <v>9.76</v>
      </c>
      <c r="K395" s="221">
        <f t="shared" si="6"/>
        <v>3.0400000000000009</v>
      </c>
      <c r="L395" s="93"/>
      <c r="N395" s="83"/>
      <c r="O395" s="97"/>
      <c r="P395" s="97"/>
      <c r="Q395" s="97"/>
    </row>
    <row r="396" spans="1:17" ht="30" x14ac:dyDescent="0.5">
      <c r="A396" s="102" t="s">
        <v>2723</v>
      </c>
      <c r="B396" s="102" t="s">
        <v>2949</v>
      </c>
      <c r="C396" s="102" t="s">
        <v>3337</v>
      </c>
      <c r="D396" s="102" t="s">
        <v>2893</v>
      </c>
      <c r="E396" s="102" t="s">
        <v>2694</v>
      </c>
      <c r="F396" s="220">
        <v>32960</v>
      </c>
      <c r="G396" s="102" t="s">
        <v>2695</v>
      </c>
      <c r="H396" s="221">
        <v>13</v>
      </c>
      <c r="I396" s="221">
        <v>44.7</v>
      </c>
      <c r="J396" s="221">
        <v>9.76</v>
      </c>
      <c r="K396" s="221">
        <f t="shared" si="6"/>
        <v>3.24</v>
      </c>
      <c r="L396" s="93"/>
      <c r="N396" s="83"/>
      <c r="O396" s="97"/>
      <c r="P396" s="97"/>
      <c r="Q396" s="97"/>
    </row>
    <row r="397" spans="1:17" ht="30" x14ac:dyDescent="0.5">
      <c r="A397" s="102" t="s">
        <v>2710</v>
      </c>
      <c r="B397" s="102" t="s">
        <v>3000</v>
      </c>
      <c r="C397" s="102" t="s">
        <v>3338</v>
      </c>
      <c r="D397" s="102" t="s">
        <v>2893</v>
      </c>
      <c r="E397" s="102" t="s">
        <v>2694</v>
      </c>
      <c r="F397" s="220">
        <v>32968</v>
      </c>
      <c r="G397" s="102" t="s">
        <v>2695</v>
      </c>
      <c r="H397" s="221">
        <v>12.2</v>
      </c>
      <c r="I397" s="221">
        <v>52.68</v>
      </c>
      <c r="J397" s="221">
        <v>9.76</v>
      </c>
      <c r="K397" s="221">
        <f t="shared" si="6"/>
        <v>2.4399999999999995</v>
      </c>
      <c r="L397" s="93"/>
      <c r="N397" s="83"/>
      <c r="O397" s="97"/>
      <c r="P397" s="97"/>
      <c r="Q397" s="97"/>
    </row>
    <row r="398" spans="1:17" ht="30" x14ac:dyDescent="0.5">
      <c r="A398" s="102" t="s">
        <v>2708</v>
      </c>
      <c r="B398" s="102" t="s">
        <v>2747</v>
      </c>
      <c r="C398" s="102" t="s">
        <v>3339</v>
      </c>
      <c r="D398" s="102" t="s">
        <v>2893</v>
      </c>
      <c r="E398" s="102" t="s">
        <v>2694</v>
      </c>
      <c r="F398" s="220">
        <v>32993</v>
      </c>
      <c r="G398" s="102" t="s">
        <v>2695</v>
      </c>
      <c r="H398" s="221">
        <v>12.45</v>
      </c>
      <c r="I398" s="221">
        <v>48.81</v>
      </c>
      <c r="J398" s="221">
        <v>9.85</v>
      </c>
      <c r="K398" s="221">
        <f t="shared" si="6"/>
        <v>2.5999999999999996</v>
      </c>
      <c r="L398" s="93"/>
      <c r="N398" s="83"/>
      <c r="O398" s="97"/>
      <c r="P398" s="97"/>
      <c r="Q398" s="97"/>
    </row>
    <row r="399" spans="1:17" ht="30" x14ac:dyDescent="0.5">
      <c r="A399" s="102" t="s">
        <v>2702</v>
      </c>
      <c r="B399" s="102" t="s">
        <v>2703</v>
      </c>
      <c r="C399" s="102" t="s">
        <v>3340</v>
      </c>
      <c r="D399" s="102" t="s">
        <v>2893</v>
      </c>
      <c r="E399" s="102" t="s">
        <v>2694</v>
      </c>
      <c r="F399" s="220">
        <v>33039</v>
      </c>
      <c r="G399" s="102" t="s">
        <v>2695</v>
      </c>
      <c r="H399" s="221">
        <v>13.2</v>
      </c>
      <c r="I399" s="221">
        <v>51.37</v>
      </c>
      <c r="J399" s="221">
        <v>10.01</v>
      </c>
      <c r="K399" s="221">
        <f t="shared" si="6"/>
        <v>3.1899999999999995</v>
      </c>
      <c r="L399" s="93"/>
      <c r="N399" s="83"/>
      <c r="O399" s="97"/>
      <c r="P399" s="97"/>
      <c r="Q399" s="97"/>
    </row>
    <row r="400" spans="1:17" ht="30" x14ac:dyDescent="0.5">
      <c r="A400" s="102" t="s">
        <v>2702</v>
      </c>
      <c r="B400" s="102" t="s">
        <v>2749</v>
      </c>
      <c r="C400" s="102" t="s">
        <v>3341</v>
      </c>
      <c r="D400" s="102" t="s">
        <v>2893</v>
      </c>
      <c r="E400" s="102" t="s">
        <v>2694</v>
      </c>
      <c r="F400" s="220">
        <v>33051</v>
      </c>
      <c r="G400" s="102" t="s">
        <v>2695</v>
      </c>
      <c r="H400" s="221">
        <v>12.9</v>
      </c>
      <c r="I400" s="221">
        <v>50.16</v>
      </c>
      <c r="J400" s="221">
        <v>10.01</v>
      </c>
      <c r="K400" s="221">
        <f t="shared" si="6"/>
        <v>2.8900000000000006</v>
      </c>
      <c r="L400" s="93"/>
      <c r="N400" s="83"/>
      <c r="O400" s="97"/>
      <c r="P400" s="97"/>
      <c r="Q400" s="97"/>
    </row>
    <row r="401" spans="1:17" ht="30" x14ac:dyDescent="0.5">
      <c r="A401" s="102" t="s">
        <v>2744</v>
      </c>
      <c r="B401" s="102" t="s">
        <v>3342</v>
      </c>
      <c r="C401" s="102" t="s">
        <v>3343</v>
      </c>
      <c r="D401" s="102" t="s">
        <v>2893</v>
      </c>
      <c r="E401" s="102" t="s">
        <v>2694</v>
      </c>
      <c r="F401" s="220">
        <v>33053</v>
      </c>
      <c r="G401" s="102" t="s">
        <v>2695</v>
      </c>
      <c r="H401" s="221">
        <v>13.25</v>
      </c>
      <c r="I401" s="221">
        <v>38.61</v>
      </c>
      <c r="J401" s="221">
        <v>10.01</v>
      </c>
      <c r="K401" s="221">
        <f t="shared" si="6"/>
        <v>3.24</v>
      </c>
      <c r="L401" s="93"/>
      <c r="N401" s="83"/>
      <c r="O401" s="97"/>
      <c r="P401" s="97"/>
      <c r="Q401" s="97"/>
    </row>
    <row r="402" spans="1:17" ht="30" x14ac:dyDescent="0.5">
      <c r="A402" s="102" t="s">
        <v>2704</v>
      </c>
      <c r="B402" s="102" t="s">
        <v>2927</v>
      </c>
      <c r="C402" s="102" t="s">
        <v>3344</v>
      </c>
      <c r="D402" s="102" t="s">
        <v>2893</v>
      </c>
      <c r="E402" s="102" t="s">
        <v>2694</v>
      </c>
      <c r="F402" s="220">
        <v>33060</v>
      </c>
      <c r="G402" s="102" t="s">
        <v>2695</v>
      </c>
      <c r="H402" s="221">
        <v>12.1</v>
      </c>
      <c r="I402" s="221">
        <v>40.479999999999997</v>
      </c>
      <c r="J402" s="221">
        <v>10.01</v>
      </c>
      <c r="K402" s="221">
        <f t="shared" si="6"/>
        <v>2.09</v>
      </c>
      <c r="L402" s="93"/>
      <c r="N402" s="83"/>
      <c r="O402" s="97"/>
      <c r="P402" s="97"/>
      <c r="Q402" s="97"/>
    </row>
    <row r="403" spans="1:17" ht="30" x14ac:dyDescent="0.5">
      <c r="A403" s="102" t="s">
        <v>2704</v>
      </c>
      <c r="B403" s="102" t="s">
        <v>2910</v>
      </c>
      <c r="C403" s="102" t="s">
        <v>3345</v>
      </c>
      <c r="D403" s="102" t="s">
        <v>2893</v>
      </c>
      <c r="E403" s="102" t="s">
        <v>2694</v>
      </c>
      <c r="F403" s="220">
        <v>33073</v>
      </c>
      <c r="G403" s="102" t="s">
        <v>2695</v>
      </c>
      <c r="H403" s="221">
        <v>11.7</v>
      </c>
      <c r="I403" s="221">
        <v>52.8</v>
      </c>
      <c r="J403" s="221">
        <v>9.81</v>
      </c>
      <c r="K403" s="221">
        <f t="shared" si="6"/>
        <v>1.8899999999999988</v>
      </c>
      <c r="L403" s="93"/>
      <c r="N403" s="83"/>
      <c r="O403" s="97"/>
      <c r="P403" s="97"/>
      <c r="Q403" s="97"/>
    </row>
    <row r="404" spans="1:17" ht="30" x14ac:dyDescent="0.5">
      <c r="A404" s="102" t="s">
        <v>2717</v>
      </c>
      <c r="B404" s="102" t="s">
        <v>2939</v>
      </c>
      <c r="C404" s="102" t="s">
        <v>3346</v>
      </c>
      <c r="D404" s="102" t="s">
        <v>2893</v>
      </c>
      <c r="E404" s="102" t="s">
        <v>2694</v>
      </c>
      <c r="F404" s="220">
        <v>33116</v>
      </c>
      <c r="G404" s="102" t="s">
        <v>2695</v>
      </c>
      <c r="H404" s="221">
        <v>12.5</v>
      </c>
      <c r="I404" s="221">
        <v>45</v>
      </c>
      <c r="J404" s="221">
        <v>9.76</v>
      </c>
      <c r="K404" s="221">
        <f t="shared" si="6"/>
        <v>2.74</v>
      </c>
      <c r="L404" s="93"/>
      <c r="N404" s="83"/>
      <c r="O404" s="97"/>
      <c r="P404" s="97"/>
      <c r="Q404" s="97"/>
    </row>
    <row r="405" spans="1:17" ht="30" x14ac:dyDescent="0.5">
      <c r="A405" s="102" t="s">
        <v>2717</v>
      </c>
      <c r="B405" s="102" t="s">
        <v>2939</v>
      </c>
      <c r="C405" s="102" t="s">
        <v>3347</v>
      </c>
      <c r="D405" s="102" t="s">
        <v>2893</v>
      </c>
      <c r="E405" s="102" t="s">
        <v>2694</v>
      </c>
      <c r="F405" s="220">
        <v>33116</v>
      </c>
      <c r="G405" s="102" t="s">
        <v>2695</v>
      </c>
      <c r="H405" s="221">
        <v>12.5</v>
      </c>
      <c r="I405" s="221">
        <v>45</v>
      </c>
      <c r="J405" s="221">
        <v>9.76</v>
      </c>
      <c r="K405" s="221">
        <f t="shared" si="6"/>
        <v>2.74</v>
      </c>
      <c r="L405" s="93"/>
      <c r="N405" s="83"/>
      <c r="O405" s="97"/>
      <c r="P405" s="97"/>
      <c r="Q405" s="97"/>
    </row>
    <row r="406" spans="1:17" ht="30" x14ac:dyDescent="0.5">
      <c r="A406" s="102" t="s">
        <v>2728</v>
      </c>
      <c r="B406" s="102" t="s">
        <v>2944</v>
      </c>
      <c r="C406" s="102" t="s">
        <v>3348</v>
      </c>
      <c r="D406" s="102" t="s">
        <v>2893</v>
      </c>
      <c r="E406" s="102" t="s">
        <v>2694</v>
      </c>
      <c r="F406" s="220">
        <v>33129</v>
      </c>
      <c r="G406" s="102" t="s">
        <v>2695</v>
      </c>
      <c r="H406" s="221">
        <v>12.5</v>
      </c>
      <c r="I406" s="221">
        <v>41.54</v>
      </c>
      <c r="J406" s="221">
        <v>9.76</v>
      </c>
      <c r="K406" s="221">
        <f t="shared" si="6"/>
        <v>2.74</v>
      </c>
      <c r="L406" s="93"/>
      <c r="N406" s="83"/>
      <c r="O406" s="97"/>
      <c r="P406" s="97"/>
      <c r="Q406" s="97"/>
    </row>
    <row r="407" spans="1:17" ht="30" x14ac:dyDescent="0.5">
      <c r="A407" s="102" t="s">
        <v>2699</v>
      </c>
      <c r="B407" s="102" t="s">
        <v>2628</v>
      </c>
      <c r="C407" s="102" t="s">
        <v>3349</v>
      </c>
      <c r="D407" s="102" t="s">
        <v>2893</v>
      </c>
      <c r="E407" s="102" t="s">
        <v>2694</v>
      </c>
      <c r="F407" s="220">
        <v>33134</v>
      </c>
      <c r="G407" s="102" t="s">
        <v>2695</v>
      </c>
      <c r="H407" s="221">
        <v>12.75</v>
      </c>
      <c r="I407" s="221">
        <v>48.96</v>
      </c>
      <c r="J407" s="221">
        <v>9.9</v>
      </c>
      <c r="K407" s="221">
        <f t="shared" si="6"/>
        <v>2.8499999999999996</v>
      </c>
      <c r="L407" s="93"/>
      <c r="N407" s="83"/>
      <c r="O407" s="97"/>
      <c r="P407" s="97"/>
      <c r="Q407" s="97"/>
    </row>
    <row r="408" spans="1:17" ht="30" x14ac:dyDescent="0.5">
      <c r="A408" s="102" t="s">
        <v>2696</v>
      </c>
      <c r="B408" s="102" t="s">
        <v>3195</v>
      </c>
      <c r="C408" s="102" t="s">
        <v>3350</v>
      </c>
      <c r="D408" s="102" t="s">
        <v>2893</v>
      </c>
      <c r="E408" s="102" t="s">
        <v>2694</v>
      </c>
      <c r="F408" s="220">
        <v>33136</v>
      </c>
      <c r="G408" s="102" t="s">
        <v>2695</v>
      </c>
      <c r="H408" s="221">
        <v>12.5</v>
      </c>
      <c r="I408" s="221">
        <v>47.5</v>
      </c>
      <c r="J408" s="221">
        <v>9.9</v>
      </c>
      <c r="K408" s="221">
        <f t="shared" si="6"/>
        <v>2.5999999999999996</v>
      </c>
      <c r="L408" s="93"/>
      <c r="N408" s="83"/>
      <c r="O408" s="97"/>
      <c r="P408" s="97"/>
      <c r="Q408" s="97"/>
    </row>
    <row r="409" spans="1:17" ht="30" x14ac:dyDescent="0.5">
      <c r="A409" s="102" t="s">
        <v>2728</v>
      </c>
      <c r="B409" s="102" t="s">
        <v>2771</v>
      </c>
      <c r="C409" s="102" t="s">
        <v>3351</v>
      </c>
      <c r="D409" s="102" t="s">
        <v>2893</v>
      </c>
      <c r="E409" s="102" t="s">
        <v>2694</v>
      </c>
      <c r="F409" s="220">
        <v>33148</v>
      </c>
      <c r="G409" s="102" t="s">
        <v>2695</v>
      </c>
      <c r="H409" s="221">
        <v>13</v>
      </c>
      <c r="I409" s="221">
        <v>49.9</v>
      </c>
      <c r="J409" s="221">
        <v>9.9</v>
      </c>
      <c r="K409" s="221">
        <f t="shared" si="6"/>
        <v>3.0999999999999996</v>
      </c>
      <c r="L409" s="93"/>
      <c r="N409" s="83"/>
      <c r="O409" s="97"/>
      <c r="P409" s="97"/>
      <c r="Q409" s="97"/>
    </row>
    <row r="410" spans="1:17" ht="30" x14ac:dyDescent="0.5">
      <c r="A410" s="102" t="s">
        <v>2693</v>
      </c>
      <c r="B410" s="102" t="s">
        <v>2961</v>
      </c>
      <c r="C410" s="102" t="s">
        <v>3352</v>
      </c>
      <c r="D410" s="102" t="s">
        <v>2893</v>
      </c>
      <c r="E410" s="102" t="s">
        <v>2694</v>
      </c>
      <c r="F410" s="220">
        <v>33186</v>
      </c>
      <c r="G410" s="102" t="s">
        <v>2695</v>
      </c>
      <c r="H410" s="221">
        <v>13.25</v>
      </c>
      <c r="I410" s="221">
        <v>47.76</v>
      </c>
      <c r="J410" s="221">
        <v>10.119999999999999</v>
      </c>
      <c r="K410" s="221">
        <f t="shared" si="6"/>
        <v>3.1300000000000008</v>
      </c>
      <c r="L410" s="93"/>
      <c r="N410" s="83"/>
      <c r="O410" s="97"/>
      <c r="P410" s="97"/>
      <c r="Q410" s="97"/>
    </row>
    <row r="411" spans="1:17" ht="30" x14ac:dyDescent="0.5">
      <c r="A411" s="102" t="s">
        <v>2696</v>
      </c>
      <c r="B411" s="102" t="s">
        <v>3146</v>
      </c>
      <c r="C411" s="102" t="s">
        <v>3353</v>
      </c>
      <c r="D411" s="102" t="s">
        <v>2893</v>
      </c>
      <c r="E411" s="102" t="s">
        <v>2694</v>
      </c>
      <c r="F411" s="220">
        <v>33198</v>
      </c>
      <c r="G411" s="102" t="s">
        <v>2695</v>
      </c>
      <c r="H411" s="221">
        <v>12.5</v>
      </c>
      <c r="I411" s="221">
        <v>49.2</v>
      </c>
      <c r="J411" s="221">
        <v>10.06</v>
      </c>
      <c r="K411" s="221">
        <f t="shared" si="6"/>
        <v>2.4399999999999995</v>
      </c>
      <c r="L411" s="93"/>
      <c r="N411" s="83"/>
      <c r="O411" s="97"/>
      <c r="P411" s="97"/>
      <c r="Q411" s="97"/>
    </row>
    <row r="412" spans="1:17" ht="30" x14ac:dyDescent="0.5">
      <c r="A412" s="102" t="s">
        <v>2714</v>
      </c>
      <c r="B412" s="102" t="s">
        <v>2916</v>
      </c>
      <c r="C412" s="102" t="s">
        <v>3354</v>
      </c>
      <c r="D412" s="102" t="s">
        <v>2893</v>
      </c>
      <c r="E412" s="102" t="s">
        <v>2694</v>
      </c>
      <c r="F412" s="220">
        <v>33198</v>
      </c>
      <c r="G412" s="102" t="s">
        <v>2695</v>
      </c>
      <c r="H412" s="221">
        <v>12.1</v>
      </c>
      <c r="I412" s="221">
        <v>51.09</v>
      </c>
      <c r="J412" s="221">
        <v>10.06</v>
      </c>
      <c r="K412" s="221">
        <f t="shared" si="6"/>
        <v>2.0399999999999991</v>
      </c>
      <c r="L412" s="93"/>
      <c r="N412" s="83"/>
      <c r="O412" s="97"/>
      <c r="P412" s="97"/>
      <c r="Q412" s="97"/>
    </row>
    <row r="413" spans="1:17" ht="30" x14ac:dyDescent="0.5">
      <c r="A413" s="102" t="s">
        <v>2693</v>
      </c>
      <c r="B413" s="102" t="s">
        <v>2742</v>
      </c>
      <c r="C413" s="102" t="s">
        <v>3355</v>
      </c>
      <c r="D413" s="102" t="s">
        <v>2893</v>
      </c>
      <c r="E413" s="102" t="s">
        <v>2694</v>
      </c>
      <c r="F413" s="220">
        <v>33205</v>
      </c>
      <c r="G413" s="102" t="s">
        <v>2695</v>
      </c>
      <c r="H413" s="221">
        <v>12.75</v>
      </c>
      <c r="I413" s="221">
        <v>48.76</v>
      </c>
      <c r="J413" s="221">
        <v>10.06</v>
      </c>
      <c r="K413" s="221">
        <f t="shared" si="6"/>
        <v>2.6899999999999995</v>
      </c>
      <c r="L413" s="93"/>
      <c r="N413" s="83"/>
      <c r="O413" s="97"/>
      <c r="P413" s="97"/>
      <c r="Q413" s="97"/>
    </row>
    <row r="414" spans="1:17" ht="30" x14ac:dyDescent="0.5">
      <c r="A414" s="102" t="s">
        <v>2766</v>
      </c>
      <c r="B414" s="102" t="s">
        <v>3356</v>
      </c>
      <c r="C414" s="102" t="s">
        <v>3357</v>
      </c>
      <c r="D414" s="102" t="s">
        <v>2893</v>
      </c>
      <c r="E414" s="102" t="s">
        <v>2694</v>
      </c>
      <c r="F414" s="220">
        <v>33206</v>
      </c>
      <c r="G414" s="102" t="s">
        <v>2695</v>
      </c>
      <c r="H414" s="221">
        <v>12.75</v>
      </c>
      <c r="I414" s="221">
        <v>44.2</v>
      </c>
      <c r="J414" s="221">
        <v>10.06</v>
      </c>
      <c r="K414" s="221">
        <f t="shared" si="6"/>
        <v>2.6899999999999995</v>
      </c>
      <c r="L414" s="93"/>
      <c r="N414" s="83"/>
      <c r="O414" s="97"/>
      <c r="P414" s="97"/>
      <c r="Q414" s="97"/>
    </row>
    <row r="415" spans="1:17" ht="30" x14ac:dyDescent="0.5">
      <c r="A415" s="102" t="s">
        <v>2702</v>
      </c>
      <c r="B415" s="102" t="s">
        <v>2748</v>
      </c>
      <c r="C415" s="102" t="s">
        <v>3358</v>
      </c>
      <c r="D415" s="102" t="s">
        <v>2893</v>
      </c>
      <c r="E415" s="102" t="s">
        <v>2694</v>
      </c>
      <c r="F415" s="220">
        <v>33225</v>
      </c>
      <c r="G415" s="102" t="s">
        <v>2695</v>
      </c>
      <c r="H415" s="221">
        <v>13.1</v>
      </c>
      <c r="I415" s="221">
        <v>50.98</v>
      </c>
      <c r="J415" s="221">
        <v>9.91</v>
      </c>
      <c r="K415" s="221">
        <f t="shared" si="6"/>
        <v>3.1899999999999995</v>
      </c>
      <c r="L415" s="93"/>
      <c r="N415" s="83"/>
      <c r="O415" s="97"/>
      <c r="P415" s="97"/>
      <c r="Q415" s="97"/>
    </row>
    <row r="416" spans="1:17" ht="30" x14ac:dyDescent="0.5">
      <c r="A416" s="102" t="s">
        <v>2696</v>
      </c>
      <c r="B416" s="102" t="s">
        <v>2910</v>
      </c>
      <c r="C416" s="102" t="s">
        <v>3359</v>
      </c>
      <c r="D416" s="102" t="s">
        <v>2893</v>
      </c>
      <c r="E416" s="102" t="s">
        <v>2694</v>
      </c>
      <c r="F416" s="220">
        <v>33227</v>
      </c>
      <c r="G416" s="102" t="s">
        <v>2695</v>
      </c>
      <c r="H416" s="221">
        <v>12.5</v>
      </c>
      <c r="I416" s="221">
        <v>49.2</v>
      </c>
      <c r="J416" s="221">
        <v>9.91</v>
      </c>
      <c r="K416" s="221">
        <f t="shared" si="6"/>
        <v>2.59</v>
      </c>
      <c r="L416" s="93"/>
      <c r="N416" s="83"/>
      <c r="O416" s="97"/>
      <c r="P416" s="97"/>
      <c r="Q416" s="97"/>
    </row>
    <row r="417" spans="1:17" ht="30" x14ac:dyDescent="0.5">
      <c r="A417" s="102" t="s">
        <v>2989</v>
      </c>
      <c r="B417" s="102" t="s">
        <v>3141</v>
      </c>
      <c r="C417" s="102" t="s">
        <v>3360</v>
      </c>
      <c r="D417" s="102" t="s">
        <v>2893</v>
      </c>
      <c r="E417" s="102" t="s">
        <v>2694</v>
      </c>
      <c r="F417" s="220">
        <v>33228</v>
      </c>
      <c r="G417" s="102" t="s">
        <v>2695</v>
      </c>
      <c r="H417" s="221">
        <v>13.6</v>
      </c>
      <c r="I417" s="221">
        <v>47.06</v>
      </c>
      <c r="J417" s="221">
        <v>9.91</v>
      </c>
      <c r="K417" s="221">
        <f t="shared" si="6"/>
        <v>3.6899999999999995</v>
      </c>
      <c r="L417" s="93"/>
      <c r="N417" s="83"/>
      <c r="O417" s="97"/>
      <c r="P417" s="97"/>
      <c r="Q417" s="97"/>
    </row>
    <row r="418" spans="1:17" ht="30" x14ac:dyDescent="0.5">
      <c r="A418" s="102" t="s">
        <v>2772</v>
      </c>
      <c r="B418" s="102" t="s">
        <v>3361</v>
      </c>
      <c r="C418" s="102" t="s">
        <v>3362</v>
      </c>
      <c r="D418" s="102" t="s">
        <v>2893</v>
      </c>
      <c r="E418" s="102" t="s">
        <v>2694</v>
      </c>
      <c r="F418" s="220">
        <v>33228</v>
      </c>
      <c r="G418" s="102" t="s">
        <v>2695</v>
      </c>
      <c r="H418" s="221">
        <v>13</v>
      </c>
      <c r="I418" s="221">
        <v>50.75</v>
      </c>
      <c r="J418" s="221">
        <v>9.91</v>
      </c>
      <c r="K418" s="221">
        <f t="shared" si="6"/>
        <v>3.09</v>
      </c>
      <c r="L418" s="93"/>
      <c r="N418" s="83"/>
      <c r="O418" s="97"/>
      <c r="P418" s="97"/>
      <c r="Q418" s="97"/>
    </row>
    <row r="419" spans="1:17" ht="30" x14ac:dyDescent="0.5">
      <c r="A419" s="102" t="s">
        <v>2728</v>
      </c>
      <c r="B419" s="102" t="s">
        <v>2729</v>
      </c>
      <c r="C419" s="102" t="s">
        <v>3363</v>
      </c>
      <c r="D419" s="102" t="s">
        <v>2893</v>
      </c>
      <c r="E419" s="102" t="s">
        <v>2694</v>
      </c>
      <c r="F419" s="220">
        <v>33228</v>
      </c>
      <c r="G419" s="102" t="s">
        <v>2695</v>
      </c>
      <c r="H419" s="221">
        <v>12.5</v>
      </c>
      <c r="I419" s="221">
        <v>44</v>
      </c>
      <c r="J419" s="221">
        <v>9.91</v>
      </c>
      <c r="K419" s="221">
        <f t="shared" si="6"/>
        <v>2.59</v>
      </c>
      <c r="L419" s="93"/>
      <c r="N419" s="83"/>
      <c r="O419" s="97"/>
      <c r="P419" s="97"/>
      <c r="Q419" s="97"/>
    </row>
    <row r="420" spans="1:17" ht="30" x14ac:dyDescent="0.5">
      <c r="A420" s="102" t="s">
        <v>2693</v>
      </c>
      <c r="B420" s="102" t="s">
        <v>2742</v>
      </c>
      <c r="C420" s="102" t="s">
        <v>3364</v>
      </c>
      <c r="D420" s="102" t="s">
        <v>2893</v>
      </c>
      <c r="E420" s="102" t="s">
        <v>2694</v>
      </c>
      <c r="F420" s="220">
        <v>33254</v>
      </c>
      <c r="G420" s="102" t="s">
        <v>2695</v>
      </c>
      <c r="H420" s="221">
        <v>13.25</v>
      </c>
      <c r="I420" s="221">
        <v>46.52</v>
      </c>
      <c r="J420" s="221">
        <v>9.73</v>
      </c>
      <c r="K420" s="221">
        <f t="shared" si="6"/>
        <v>3.5199999999999996</v>
      </c>
      <c r="L420" s="93"/>
      <c r="N420" s="83"/>
      <c r="O420" s="97"/>
      <c r="P420" s="97"/>
      <c r="Q420" s="97"/>
    </row>
    <row r="421" spans="1:17" ht="30" x14ac:dyDescent="0.5">
      <c r="A421" s="102" t="s">
        <v>2704</v>
      </c>
      <c r="B421" s="102" t="s">
        <v>2725</v>
      </c>
      <c r="C421" s="102" t="s">
        <v>3365</v>
      </c>
      <c r="D421" s="102" t="s">
        <v>2893</v>
      </c>
      <c r="E421" s="102" t="s">
        <v>2694</v>
      </c>
      <c r="F421" s="220">
        <v>33263</v>
      </c>
      <c r="G421" s="102" t="s">
        <v>2695</v>
      </c>
      <c r="H421" s="221">
        <v>11.7</v>
      </c>
      <c r="I421" s="221">
        <v>41.96</v>
      </c>
      <c r="J421" s="221">
        <v>9.73</v>
      </c>
      <c r="K421" s="221">
        <f t="shared" si="6"/>
        <v>1.9699999999999989</v>
      </c>
      <c r="L421" s="93"/>
      <c r="N421" s="83"/>
      <c r="O421" s="97"/>
      <c r="P421" s="97"/>
      <c r="Q421" s="97"/>
    </row>
    <row r="422" spans="1:17" ht="30" x14ac:dyDescent="0.5">
      <c r="A422" s="102" t="s">
        <v>2763</v>
      </c>
      <c r="B422" s="102" t="s">
        <v>3059</v>
      </c>
      <c r="C422" s="102" t="s">
        <v>3366</v>
      </c>
      <c r="D422" s="102" t="s">
        <v>2893</v>
      </c>
      <c r="E422" s="102" t="s">
        <v>2694</v>
      </c>
      <c r="F422" s="220">
        <v>33284</v>
      </c>
      <c r="G422" s="102" t="s">
        <v>2695</v>
      </c>
      <c r="H422" s="221">
        <v>12.8</v>
      </c>
      <c r="I422" s="221">
        <v>41.02</v>
      </c>
      <c r="J422" s="221">
        <v>9.7100000000000009</v>
      </c>
      <c r="K422" s="221">
        <f t="shared" si="6"/>
        <v>3.09</v>
      </c>
      <c r="L422" s="93"/>
      <c r="N422" s="83"/>
      <c r="O422" s="97"/>
      <c r="P422" s="97"/>
      <c r="Q422" s="97"/>
    </row>
    <row r="423" spans="1:17" ht="30" x14ac:dyDescent="0.5">
      <c r="A423" s="102" t="s">
        <v>2704</v>
      </c>
      <c r="B423" s="102" t="s">
        <v>2927</v>
      </c>
      <c r="C423" s="102" t="s">
        <v>3367</v>
      </c>
      <c r="D423" s="102" t="s">
        <v>2893</v>
      </c>
      <c r="E423" s="102" t="s">
        <v>2694</v>
      </c>
      <c r="F423" s="220">
        <v>33414</v>
      </c>
      <c r="G423" s="102" t="s">
        <v>2695</v>
      </c>
      <c r="H423" s="221">
        <v>11.7</v>
      </c>
      <c r="I423" s="221">
        <v>41.79</v>
      </c>
      <c r="J423" s="221">
        <v>9.43</v>
      </c>
      <c r="K423" s="221">
        <f t="shared" si="6"/>
        <v>2.2699999999999996</v>
      </c>
      <c r="L423" s="93"/>
      <c r="N423" s="83"/>
      <c r="O423" s="97"/>
      <c r="P423" s="97"/>
      <c r="Q423" s="97"/>
    </row>
    <row r="424" spans="1:17" ht="30" x14ac:dyDescent="0.5">
      <c r="A424" s="102" t="s">
        <v>2704</v>
      </c>
      <c r="B424" s="102" t="s">
        <v>2750</v>
      </c>
      <c r="C424" s="102" t="s">
        <v>3368</v>
      </c>
      <c r="D424" s="102" t="s">
        <v>2893</v>
      </c>
      <c r="E424" s="102" t="s">
        <v>2694</v>
      </c>
      <c r="F424" s="220">
        <v>33420</v>
      </c>
      <c r="G424" s="102" t="s">
        <v>2695</v>
      </c>
      <c r="H424" s="221">
        <v>11.7</v>
      </c>
      <c r="I424" s="221">
        <v>41.48</v>
      </c>
      <c r="J424" s="221">
        <v>9.43</v>
      </c>
      <c r="K424" s="221">
        <f t="shared" si="6"/>
        <v>2.2699999999999996</v>
      </c>
      <c r="L424" s="93"/>
      <c r="N424" s="83"/>
      <c r="O424" s="97"/>
      <c r="P424" s="97"/>
      <c r="Q424" s="97"/>
    </row>
    <row r="425" spans="1:17" ht="30" x14ac:dyDescent="0.5">
      <c r="A425" s="102" t="s">
        <v>2704</v>
      </c>
      <c r="B425" s="102" t="s">
        <v>2910</v>
      </c>
      <c r="C425" s="102" t="s">
        <v>3369</v>
      </c>
      <c r="D425" s="102" t="s">
        <v>2893</v>
      </c>
      <c r="E425" s="102" t="s">
        <v>2694</v>
      </c>
      <c r="F425" s="220">
        <v>33438</v>
      </c>
      <c r="G425" s="102" t="s">
        <v>2695</v>
      </c>
      <c r="H425" s="221">
        <v>12.3</v>
      </c>
      <c r="I425" s="221">
        <v>49.36</v>
      </c>
      <c r="J425" s="221">
        <v>9.58</v>
      </c>
      <c r="K425" s="221">
        <f t="shared" si="6"/>
        <v>2.7200000000000006</v>
      </c>
      <c r="L425" s="93"/>
      <c r="N425" s="83"/>
      <c r="O425" s="97"/>
      <c r="P425" s="97"/>
      <c r="Q425" s="97"/>
    </row>
    <row r="426" spans="1:17" ht="30" x14ac:dyDescent="0.5">
      <c r="A426" s="102" t="s">
        <v>2740</v>
      </c>
      <c r="B426" s="102" t="s">
        <v>2964</v>
      </c>
      <c r="C426" s="102" t="s">
        <v>3370</v>
      </c>
      <c r="D426" s="102" t="s">
        <v>2893</v>
      </c>
      <c r="E426" s="102" t="s">
        <v>2694</v>
      </c>
      <c r="F426" s="220">
        <v>33438</v>
      </c>
      <c r="G426" s="102" t="s">
        <v>2695</v>
      </c>
      <c r="H426" s="221">
        <v>12.1</v>
      </c>
      <c r="I426" s="221">
        <v>44.78</v>
      </c>
      <c r="J426" s="221">
        <v>9.58</v>
      </c>
      <c r="K426" s="221">
        <f t="shared" si="6"/>
        <v>2.5199999999999996</v>
      </c>
      <c r="L426" s="93"/>
      <c r="N426" s="83"/>
      <c r="O426" s="97"/>
      <c r="P426" s="97"/>
      <c r="Q426" s="97"/>
    </row>
    <row r="427" spans="1:17" ht="30" x14ac:dyDescent="0.5">
      <c r="A427" s="102" t="s">
        <v>2766</v>
      </c>
      <c r="B427" s="102" t="s">
        <v>3110</v>
      </c>
      <c r="C427" s="102" t="s">
        <v>3371</v>
      </c>
      <c r="D427" s="102" t="s">
        <v>2893</v>
      </c>
      <c r="E427" s="102" t="s">
        <v>2694</v>
      </c>
      <c r="F427" s="220">
        <v>33465</v>
      </c>
      <c r="G427" s="102" t="s">
        <v>2695</v>
      </c>
      <c r="H427" s="221">
        <v>12.25</v>
      </c>
      <c r="I427" s="221">
        <v>60.34</v>
      </c>
      <c r="J427" s="221">
        <v>9.5500000000000007</v>
      </c>
      <c r="K427" s="221">
        <f t="shared" si="6"/>
        <v>2.6999999999999993</v>
      </c>
      <c r="L427" s="93"/>
      <c r="N427" s="83"/>
      <c r="O427" s="97"/>
      <c r="P427" s="97"/>
      <c r="Q427" s="97"/>
    </row>
    <row r="428" spans="1:17" ht="30" x14ac:dyDescent="0.5">
      <c r="A428" s="102" t="s">
        <v>2702</v>
      </c>
      <c r="B428" s="102" t="s">
        <v>3007</v>
      </c>
      <c r="C428" s="102" t="s">
        <v>3372</v>
      </c>
      <c r="D428" s="102" t="s">
        <v>2893</v>
      </c>
      <c r="E428" s="102" t="s">
        <v>2694</v>
      </c>
      <c r="F428" s="220">
        <v>33479</v>
      </c>
      <c r="G428" s="102" t="s">
        <v>2695</v>
      </c>
      <c r="H428" s="221">
        <v>13.3</v>
      </c>
      <c r="I428" s="221">
        <v>52.73</v>
      </c>
      <c r="J428" s="221">
        <v>9.5500000000000007</v>
      </c>
      <c r="K428" s="221">
        <f t="shared" si="6"/>
        <v>3.75</v>
      </c>
      <c r="L428" s="93"/>
      <c r="N428" s="83"/>
      <c r="O428" s="97"/>
      <c r="P428" s="97"/>
      <c r="Q428" s="97"/>
    </row>
    <row r="429" spans="1:17" ht="30" x14ac:dyDescent="0.5">
      <c r="A429" s="102" t="s">
        <v>2704</v>
      </c>
      <c r="B429" s="102" t="s">
        <v>2908</v>
      </c>
      <c r="C429" s="102" t="s">
        <v>3373</v>
      </c>
      <c r="D429" s="102" t="s">
        <v>2893</v>
      </c>
      <c r="E429" s="102" t="s">
        <v>2694</v>
      </c>
      <c r="F429" s="220">
        <v>33514</v>
      </c>
      <c r="G429" s="102" t="s">
        <v>2695</v>
      </c>
      <c r="H429" s="221">
        <v>11.3</v>
      </c>
      <c r="I429" s="221">
        <v>50</v>
      </c>
      <c r="J429" s="221">
        <v>9.31</v>
      </c>
      <c r="K429" s="221">
        <f t="shared" si="6"/>
        <v>1.9900000000000002</v>
      </c>
      <c r="L429" s="93"/>
      <c r="N429" s="83"/>
      <c r="O429" s="97"/>
      <c r="P429" s="97"/>
      <c r="Q429" s="97"/>
    </row>
    <row r="430" spans="1:17" ht="30" x14ac:dyDescent="0.5">
      <c r="A430" s="102" t="s">
        <v>2702</v>
      </c>
      <c r="B430" s="102" t="s">
        <v>2903</v>
      </c>
      <c r="C430" s="102" t="s">
        <v>3374</v>
      </c>
      <c r="D430" s="102" t="s">
        <v>2893</v>
      </c>
      <c r="E430" s="102" t="s">
        <v>2694</v>
      </c>
      <c r="F430" s="220">
        <v>33526</v>
      </c>
      <c r="G430" s="102" t="s">
        <v>2695</v>
      </c>
      <c r="H430" s="221">
        <v>13.4</v>
      </c>
      <c r="I430" s="221">
        <v>49.09</v>
      </c>
      <c r="J430" s="221">
        <v>9.17</v>
      </c>
      <c r="K430" s="221">
        <f t="shared" si="6"/>
        <v>4.2300000000000004</v>
      </c>
      <c r="L430" s="93"/>
      <c r="N430" s="83"/>
      <c r="O430" s="97"/>
      <c r="P430" s="97"/>
      <c r="Q430" s="97"/>
    </row>
    <row r="431" spans="1:17" ht="30" x14ac:dyDescent="0.5">
      <c r="A431" s="102" t="s">
        <v>2693</v>
      </c>
      <c r="B431" s="102" t="s">
        <v>2959</v>
      </c>
      <c r="C431" s="102" t="s">
        <v>3375</v>
      </c>
      <c r="D431" s="102" t="s">
        <v>2893</v>
      </c>
      <c r="E431" s="102" t="s">
        <v>2694</v>
      </c>
      <c r="F431" s="220">
        <v>33550</v>
      </c>
      <c r="G431" s="102" t="s">
        <v>2695</v>
      </c>
      <c r="H431" s="221">
        <v>12.75</v>
      </c>
      <c r="I431" s="221">
        <v>53.63</v>
      </c>
      <c r="J431" s="221">
        <v>9.17</v>
      </c>
      <c r="K431" s="221">
        <f t="shared" si="6"/>
        <v>3.58</v>
      </c>
      <c r="L431" s="93"/>
      <c r="N431" s="83"/>
      <c r="O431" s="97"/>
      <c r="P431" s="97"/>
      <c r="Q431" s="97"/>
    </row>
    <row r="432" spans="1:17" ht="30" x14ac:dyDescent="0.5">
      <c r="A432" s="102" t="s">
        <v>2699</v>
      </c>
      <c r="B432" s="102" t="s">
        <v>2628</v>
      </c>
      <c r="C432" s="102" t="s">
        <v>3376</v>
      </c>
      <c r="D432" s="102" t="s">
        <v>2893</v>
      </c>
      <c r="E432" s="102" t="s">
        <v>2694</v>
      </c>
      <c r="F432" s="220">
        <v>33568</v>
      </c>
      <c r="G432" s="102" t="s">
        <v>2695</v>
      </c>
      <c r="H432" s="221">
        <v>12</v>
      </c>
      <c r="I432" s="221">
        <v>44.25</v>
      </c>
      <c r="J432" s="221">
        <v>9.1199999999999992</v>
      </c>
      <c r="K432" s="221">
        <f t="shared" si="6"/>
        <v>2.8800000000000008</v>
      </c>
      <c r="L432" s="93"/>
      <c r="N432" s="83"/>
      <c r="O432" s="97"/>
      <c r="P432" s="97"/>
      <c r="Q432" s="97"/>
    </row>
    <row r="433" spans="1:17" ht="30" x14ac:dyDescent="0.5">
      <c r="A433" s="102" t="s">
        <v>2704</v>
      </c>
      <c r="B433" s="102" t="s">
        <v>3121</v>
      </c>
      <c r="C433" s="102" t="s">
        <v>3377</v>
      </c>
      <c r="D433" s="102" t="s">
        <v>2893</v>
      </c>
      <c r="E433" s="102" t="s">
        <v>2694</v>
      </c>
      <c r="F433" s="220">
        <v>33568</v>
      </c>
      <c r="G433" s="102" t="s">
        <v>2695</v>
      </c>
      <c r="H433" s="221">
        <v>11.6</v>
      </c>
      <c r="I433" s="221">
        <v>28.4</v>
      </c>
      <c r="J433" s="221">
        <v>9.1199999999999992</v>
      </c>
      <c r="K433" s="221">
        <f t="shared" si="6"/>
        <v>2.4800000000000004</v>
      </c>
      <c r="L433" s="93"/>
      <c r="N433" s="83"/>
      <c r="O433" s="97"/>
      <c r="P433" s="97"/>
      <c r="Q433" s="97"/>
    </row>
    <row r="434" spans="1:17" ht="30" x14ac:dyDescent="0.5">
      <c r="A434" s="102" t="s">
        <v>2743</v>
      </c>
      <c r="B434" s="102" t="s">
        <v>3169</v>
      </c>
      <c r="C434" s="102" t="s">
        <v>3378</v>
      </c>
      <c r="D434" s="102" t="s">
        <v>2893</v>
      </c>
      <c r="E434" s="102" t="s">
        <v>2694</v>
      </c>
      <c r="F434" s="220">
        <v>33578</v>
      </c>
      <c r="G434" s="102" t="s">
        <v>2695</v>
      </c>
      <c r="H434" s="221">
        <v>12.7</v>
      </c>
      <c r="I434" s="221">
        <v>49</v>
      </c>
      <c r="J434" s="221">
        <v>9.1199999999999992</v>
      </c>
      <c r="K434" s="221">
        <f t="shared" si="6"/>
        <v>3.58</v>
      </c>
      <c r="L434" s="93"/>
      <c r="N434" s="83"/>
      <c r="O434" s="97"/>
      <c r="P434" s="97"/>
      <c r="Q434" s="97"/>
    </row>
    <row r="435" spans="1:17" ht="30" x14ac:dyDescent="0.5">
      <c r="A435" s="102" t="s">
        <v>2702</v>
      </c>
      <c r="B435" s="102" t="s">
        <v>2748</v>
      </c>
      <c r="C435" s="102" t="s">
        <v>3379</v>
      </c>
      <c r="D435" s="102" t="s">
        <v>2893</v>
      </c>
      <c r="E435" s="102" t="s">
        <v>2694</v>
      </c>
      <c r="F435" s="220">
        <v>33591</v>
      </c>
      <c r="G435" s="102" t="s">
        <v>2695</v>
      </c>
      <c r="H435" s="221">
        <v>12.8</v>
      </c>
      <c r="I435" s="221">
        <v>52.97</v>
      </c>
      <c r="J435" s="221">
        <v>9.0500000000000007</v>
      </c>
      <c r="K435" s="221">
        <f t="shared" si="6"/>
        <v>3.75</v>
      </c>
      <c r="L435" s="93"/>
      <c r="N435" s="83"/>
      <c r="O435" s="97"/>
      <c r="P435" s="97"/>
      <c r="Q435" s="97"/>
    </row>
    <row r="436" spans="1:17" ht="30" x14ac:dyDescent="0.5">
      <c r="A436" s="102" t="s">
        <v>2702</v>
      </c>
      <c r="B436" s="102" t="s">
        <v>2755</v>
      </c>
      <c r="C436" s="102" t="s">
        <v>3380</v>
      </c>
      <c r="D436" s="102" t="s">
        <v>2893</v>
      </c>
      <c r="E436" s="102" t="s">
        <v>2694</v>
      </c>
      <c r="F436" s="220">
        <v>33591</v>
      </c>
      <c r="G436" s="102" t="s">
        <v>2695</v>
      </c>
      <c r="H436" s="221">
        <v>12.6</v>
      </c>
      <c r="I436" s="221">
        <v>57.08</v>
      </c>
      <c r="J436" s="221">
        <v>9.0500000000000007</v>
      </c>
      <c r="K436" s="221">
        <f t="shared" si="6"/>
        <v>3.5499999999999989</v>
      </c>
      <c r="L436" s="93"/>
      <c r="N436" s="83"/>
      <c r="O436" s="97"/>
      <c r="P436" s="97"/>
      <c r="Q436" s="97"/>
    </row>
    <row r="437" spans="1:17" ht="30" x14ac:dyDescent="0.5">
      <c r="A437" s="102" t="s">
        <v>2706</v>
      </c>
      <c r="B437" s="102" t="s">
        <v>2906</v>
      </c>
      <c r="C437" s="102" t="s">
        <v>3381</v>
      </c>
      <c r="D437" s="102" t="s">
        <v>2893</v>
      </c>
      <c r="E437" s="102" t="s">
        <v>2694</v>
      </c>
      <c r="F437" s="220">
        <v>33602</v>
      </c>
      <c r="G437" s="102" t="s">
        <v>2695</v>
      </c>
      <c r="H437" s="221">
        <v>12.1</v>
      </c>
      <c r="I437" s="221">
        <v>36.840000000000003</v>
      </c>
      <c r="J437" s="221">
        <v>9.0500000000000007</v>
      </c>
      <c r="K437" s="221">
        <f t="shared" si="6"/>
        <v>3.0499999999999989</v>
      </c>
      <c r="L437" s="93"/>
      <c r="N437" s="83"/>
      <c r="O437" s="97"/>
      <c r="P437" s="97"/>
      <c r="Q437" s="97"/>
    </row>
    <row r="438" spans="1:17" ht="30" x14ac:dyDescent="0.5">
      <c r="A438" s="102" t="s">
        <v>2756</v>
      </c>
      <c r="B438" s="102" t="s">
        <v>3010</v>
      </c>
      <c r="C438" s="102" t="s">
        <v>3382</v>
      </c>
      <c r="D438" s="102" t="s">
        <v>2893</v>
      </c>
      <c r="E438" s="102" t="s">
        <v>2694</v>
      </c>
      <c r="F438" s="220">
        <v>33625</v>
      </c>
      <c r="G438" s="102" t="s">
        <v>2695</v>
      </c>
      <c r="H438" s="221">
        <v>12.84</v>
      </c>
      <c r="I438" s="221">
        <v>45.25</v>
      </c>
      <c r="J438" s="221">
        <v>8.9</v>
      </c>
      <c r="K438" s="221">
        <f t="shared" si="6"/>
        <v>3.9399999999999995</v>
      </c>
      <c r="L438" s="93"/>
      <c r="N438" s="83"/>
      <c r="O438" s="97"/>
      <c r="P438" s="97"/>
      <c r="Q438" s="97"/>
    </row>
    <row r="439" spans="1:17" ht="30" x14ac:dyDescent="0.5">
      <c r="A439" s="102" t="s">
        <v>2731</v>
      </c>
      <c r="B439" s="102" t="s">
        <v>2733</v>
      </c>
      <c r="C439" s="102" t="s">
        <v>3383</v>
      </c>
      <c r="D439" s="102" t="s">
        <v>2893</v>
      </c>
      <c r="E439" s="102" t="s">
        <v>2694</v>
      </c>
      <c r="F439" s="220">
        <v>33634</v>
      </c>
      <c r="G439" s="102" t="s">
        <v>2695</v>
      </c>
      <c r="H439" s="221">
        <v>12</v>
      </c>
      <c r="I439" s="221">
        <v>42.01</v>
      </c>
      <c r="J439" s="221">
        <v>8.9</v>
      </c>
      <c r="K439" s="221">
        <f t="shared" si="6"/>
        <v>3.0999999999999996</v>
      </c>
      <c r="L439" s="93"/>
      <c r="N439" s="83"/>
      <c r="O439" s="97"/>
      <c r="P439" s="97"/>
      <c r="Q439" s="97"/>
    </row>
    <row r="440" spans="1:17" ht="30" x14ac:dyDescent="0.5">
      <c r="A440" s="102" t="s">
        <v>2717</v>
      </c>
      <c r="B440" s="102" t="s">
        <v>2939</v>
      </c>
      <c r="C440" s="102" t="s">
        <v>3384</v>
      </c>
      <c r="D440" s="102" t="s">
        <v>2893</v>
      </c>
      <c r="E440" s="102" t="s">
        <v>2694</v>
      </c>
      <c r="F440" s="220">
        <v>33661</v>
      </c>
      <c r="G440" s="102" t="s">
        <v>2695</v>
      </c>
      <c r="H440" s="221">
        <v>11.75</v>
      </c>
      <c r="I440" s="221">
        <v>40</v>
      </c>
      <c r="J440" s="221">
        <v>8.83</v>
      </c>
      <c r="K440" s="221">
        <f t="shared" si="6"/>
        <v>2.92</v>
      </c>
      <c r="L440" s="93"/>
      <c r="N440" s="83"/>
      <c r="O440" s="97"/>
      <c r="P440" s="97"/>
      <c r="Q440" s="97"/>
    </row>
    <row r="441" spans="1:17" ht="30" x14ac:dyDescent="0.5">
      <c r="A441" s="102" t="s">
        <v>2693</v>
      </c>
      <c r="B441" s="102" t="s">
        <v>2742</v>
      </c>
      <c r="C441" s="102" t="s">
        <v>3385</v>
      </c>
      <c r="D441" s="102" t="s">
        <v>2893</v>
      </c>
      <c r="E441" s="102" t="s">
        <v>2694</v>
      </c>
      <c r="F441" s="220">
        <v>33681</v>
      </c>
      <c r="G441" s="102" t="s">
        <v>2695</v>
      </c>
      <c r="H441" s="221">
        <v>12.5</v>
      </c>
      <c r="I441" s="221">
        <v>49.11</v>
      </c>
      <c r="J441" s="221">
        <v>8.93</v>
      </c>
      <c r="K441" s="221">
        <f t="shared" si="6"/>
        <v>3.5700000000000003</v>
      </c>
      <c r="L441" s="93"/>
      <c r="N441" s="83"/>
      <c r="O441" s="97"/>
      <c r="P441" s="97"/>
      <c r="Q441" s="97"/>
    </row>
    <row r="442" spans="1:17" ht="30" x14ac:dyDescent="0.5">
      <c r="A442" s="102" t="s">
        <v>2708</v>
      </c>
      <c r="B442" s="102" t="s">
        <v>2709</v>
      </c>
      <c r="C442" s="102" t="s">
        <v>3386</v>
      </c>
      <c r="D442" s="102" t="s">
        <v>2893</v>
      </c>
      <c r="E442" s="102" t="s">
        <v>2694</v>
      </c>
      <c r="F442" s="220">
        <v>33739</v>
      </c>
      <c r="G442" s="102" t="s">
        <v>2695</v>
      </c>
      <c r="H442" s="221">
        <v>12.75</v>
      </c>
      <c r="I442" s="221">
        <v>40.86</v>
      </c>
      <c r="J442" s="221">
        <v>8.93</v>
      </c>
      <c r="K442" s="221">
        <f t="shared" si="6"/>
        <v>3.8200000000000003</v>
      </c>
      <c r="L442" s="93"/>
      <c r="N442" s="83"/>
      <c r="O442" s="97"/>
      <c r="P442" s="97"/>
      <c r="Q442" s="97"/>
    </row>
    <row r="443" spans="1:17" ht="30" x14ac:dyDescent="0.5">
      <c r="A443" s="102" t="s">
        <v>2704</v>
      </c>
      <c r="B443" s="102" t="s">
        <v>2927</v>
      </c>
      <c r="C443" s="102" t="s">
        <v>3387</v>
      </c>
      <c r="D443" s="102" t="s">
        <v>2893</v>
      </c>
      <c r="E443" s="102" t="s">
        <v>2694</v>
      </c>
      <c r="F443" s="220">
        <v>33784</v>
      </c>
      <c r="G443" s="102" t="s">
        <v>2695</v>
      </c>
      <c r="H443" s="221">
        <v>11</v>
      </c>
      <c r="I443" s="221">
        <v>42.79</v>
      </c>
      <c r="J443" s="221">
        <v>8.8800000000000008</v>
      </c>
      <c r="K443" s="221">
        <f t="shared" si="6"/>
        <v>2.1199999999999992</v>
      </c>
      <c r="L443" s="93"/>
      <c r="N443" s="83"/>
      <c r="O443" s="97"/>
      <c r="P443" s="97"/>
      <c r="Q443" s="97"/>
    </row>
    <row r="444" spans="1:17" ht="30" x14ac:dyDescent="0.5">
      <c r="A444" s="102" t="s">
        <v>2704</v>
      </c>
      <c r="B444" s="102" t="s">
        <v>2725</v>
      </c>
      <c r="C444" s="102" t="s">
        <v>3388</v>
      </c>
      <c r="D444" s="102" t="s">
        <v>2893</v>
      </c>
      <c r="E444" s="102" t="s">
        <v>2694</v>
      </c>
      <c r="F444" s="220">
        <v>33807</v>
      </c>
      <c r="G444" s="102" t="s">
        <v>2695</v>
      </c>
      <c r="H444" s="221">
        <v>11.2</v>
      </c>
      <c r="I444" s="221">
        <v>45.02</v>
      </c>
      <c r="J444" s="221">
        <v>8.7899999999999991</v>
      </c>
      <c r="K444" s="221">
        <f t="shared" si="6"/>
        <v>2.41</v>
      </c>
      <c r="L444" s="93"/>
      <c r="N444" s="83"/>
      <c r="O444" s="97"/>
      <c r="P444" s="97"/>
      <c r="Q444" s="97"/>
    </row>
    <row r="445" spans="1:17" ht="30" x14ac:dyDescent="0.5">
      <c r="A445" s="102" t="s">
        <v>2723</v>
      </c>
      <c r="B445" s="102" t="s">
        <v>3389</v>
      </c>
      <c r="C445" s="102" t="s">
        <v>3390</v>
      </c>
      <c r="D445" s="102" t="s">
        <v>2893</v>
      </c>
      <c r="E445" s="102" t="s">
        <v>2694</v>
      </c>
      <c r="F445" s="220">
        <v>33842</v>
      </c>
      <c r="G445" s="102" t="s">
        <v>2695</v>
      </c>
      <c r="H445" s="221">
        <v>12.43</v>
      </c>
      <c r="I445" s="221">
        <v>46.61</v>
      </c>
      <c r="J445" s="221">
        <v>8.58</v>
      </c>
      <c r="K445" s="221">
        <f t="shared" si="6"/>
        <v>3.8499999999999996</v>
      </c>
      <c r="L445" s="93"/>
      <c r="N445" s="83"/>
      <c r="O445" s="97"/>
      <c r="P445" s="97"/>
      <c r="Q445" s="97"/>
    </row>
    <row r="446" spans="1:17" ht="30" x14ac:dyDescent="0.5">
      <c r="A446" s="102" t="s">
        <v>2699</v>
      </c>
      <c r="B446" s="102" t="s">
        <v>2628</v>
      </c>
      <c r="C446" s="102" t="s">
        <v>3391</v>
      </c>
      <c r="D446" s="102" t="s">
        <v>2893</v>
      </c>
      <c r="E446" s="102" t="s">
        <v>2694</v>
      </c>
      <c r="F446" s="220">
        <v>33877</v>
      </c>
      <c r="G446" s="102" t="s">
        <v>2695</v>
      </c>
      <c r="H446" s="221">
        <v>11.6</v>
      </c>
      <c r="I446" s="221">
        <v>44.2</v>
      </c>
      <c r="J446" s="221">
        <v>8.44</v>
      </c>
      <c r="K446" s="221">
        <f t="shared" si="6"/>
        <v>3.16</v>
      </c>
      <c r="L446" s="93"/>
      <c r="N446" s="83"/>
      <c r="O446" s="97"/>
      <c r="P446" s="97"/>
      <c r="Q446" s="97"/>
    </row>
    <row r="447" spans="1:17" ht="30" x14ac:dyDescent="0.5">
      <c r="A447" s="102" t="s">
        <v>2693</v>
      </c>
      <c r="B447" s="102" t="s">
        <v>2961</v>
      </c>
      <c r="C447" s="102" t="s">
        <v>3392</v>
      </c>
      <c r="D447" s="102" t="s">
        <v>2893</v>
      </c>
      <c r="E447" s="102" t="s">
        <v>2694</v>
      </c>
      <c r="F447" s="220">
        <v>33883</v>
      </c>
      <c r="G447" s="102" t="s">
        <v>2695</v>
      </c>
      <c r="H447" s="221">
        <v>12.25</v>
      </c>
      <c r="I447" s="221">
        <v>53.08</v>
      </c>
      <c r="J447" s="221">
        <v>8.44</v>
      </c>
      <c r="K447" s="221">
        <f t="shared" si="6"/>
        <v>3.8100000000000005</v>
      </c>
      <c r="L447" s="93"/>
      <c r="N447" s="83"/>
      <c r="O447" s="97"/>
      <c r="P447" s="97"/>
      <c r="Q447" s="97"/>
    </row>
    <row r="448" spans="1:17" ht="30" x14ac:dyDescent="0.5">
      <c r="A448" s="102" t="s">
        <v>2702</v>
      </c>
      <c r="B448" s="102" t="s">
        <v>3007</v>
      </c>
      <c r="C448" s="102" t="s">
        <v>3393</v>
      </c>
      <c r="D448" s="102" t="s">
        <v>2893</v>
      </c>
      <c r="E448" s="102" t="s">
        <v>2694</v>
      </c>
      <c r="F448" s="220">
        <v>33890</v>
      </c>
      <c r="G448" s="102" t="s">
        <v>2695</v>
      </c>
      <c r="H448" s="221">
        <v>12.75</v>
      </c>
      <c r="I448" s="221">
        <v>53.69</v>
      </c>
      <c r="J448" s="221">
        <v>8.44</v>
      </c>
      <c r="K448" s="221">
        <f t="shared" si="6"/>
        <v>4.3100000000000005</v>
      </c>
      <c r="L448" s="93"/>
      <c r="N448" s="83"/>
      <c r="O448" s="97"/>
      <c r="P448" s="97"/>
      <c r="Q448" s="97"/>
    </row>
    <row r="449" spans="1:17" ht="30" x14ac:dyDescent="0.5">
      <c r="A449" s="102" t="s">
        <v>2702</v>
      </c>
      <c r="B449" s="102" t="s">
        <v>2903</v>
      </c>
      <c r="C449" s="102" t="s">
        <v>3394</v>
      </c>
      <c r="D449" s="102" t="s">
        <v>2893</v>
      </c>
      <c r="E449" s="102" t="s">
        <v>2694</v>
      </c>
      <c r="F449" s="220">
        <v>33906</v>
      </c>
      <c r="G449" s="102" t="s">
        <v>2695</v>
      </c>
      <c r="H449" s="221">
        <v>12.75</v>
      </c>
      <c r="I449" s="221">
        <v>49.45</v>
      </c>
      <c r="J449" s="221">
        <v>8.41</v>
      </c>
      <c r="K449" s="221">
        <f t="shared" si="6"/>
        <v>4.34</v>
      </c>
      <c r="L449" s="93"/>
      <c r="N449" s="83"/>
      <c r="O449" s="97"/>
      <c r="P449" s="97"/>
      <c r="Q449" s="97"/>
    </row>
    <row r="450" spans="1:17" ht="30" x14ac:dyDescent="0.5">
      <c r="A450" s="102" t="s">
        <v>2700</v>
      </c>
      <c r="B450" s="102" t="s">
        <v>3035</v>
      </c>
      <c r="C450" s="102" t="s">
        <v>3395</v>
      </c>
      <c r="D450" s="102" t="s">
        <v>2893</v>
      </c>
      <c r="E450" s="102" t="s">
        <v>2694</v>
      </c>
      <c r="F450" s="220">
        <v>33907</v>
      </c>
      <c r="G450" s="102" t="s">
        <v>2695</v>
      </c>
      <c r="H450" s="221">
        <v>11.4</v>
      </c>
      <c r="I450" s="221">
        <v>57.06</v>
      </c>
      <c r="J450" s="221">
        <v>8.41</v>
      </c>
      <c r="K450" s="221">
        <f t="shared" si="6"/>
        <v>2.99</v>
      </c>
      <c r="L450" s="93"/>
      <c r="N450" s="83"/>
      <c r="O450" s="97"/>
      <c r="P450" s="97"/>
      <c r="Q450" s="97"/>
    </row>
    <row r="451" spans="1:17" ht="30" x14ac:dyDescent="0.5">
      <c r="A451" s="102" t="s">
        <v>2708</v>
      </c>
      <c r="B451" s="102" t="s">
        <v>3271</v>
      </c>
      <c r="C451" s="102" t="s">
        <v>3396</v>
      </c>
      <c r="D451" s="102" t="s">
        <v>2893</v>
      </c>
      <c r="E451" s="102" t="s">
        <v>2694</v>
      </c>
      <c r="F451" s="220">
        <v>33933</v>
      </c>
      <c r="G451" s="102" t="s">
        <v>2695</v>
      </c>
      <c r="H451" s="221">
        <v>12</v>
      </c>
      <c r="I451" s="221">
        <v>40.200000000000003</v>
      </c>
      <c r="J451" s="221">
        <v>8.5299999999999994</v>
      </c>
      <c r="K451" s="221">
        <f t="shared" si="6"/>
        <v>3.4700000000000006</v>
      </c>
      <c r="L451" s="93"/>
      <c r="N451" s="83"/>
      <c r="O451" s="97"/>
      <c r="P451" s="97"/>
      <c r="Q451" s="97"/>
    </row>
    <row r="452" spans="1:17" ht="30" x14ac:dyDescent="0.5">
      <c r="A452" s="102" t="s">
        <v>2704</v>
      </c>
      <c r="B452" s="102" t="s">
        <v>3121</v>
      </c>
      <c r="C452" s="102" t="s">
        <v>3397</v>
      </c>
      <c r="D452" s="102" t="s">
        <v>2893</v>
      </c>
      <c r="E452" s="102" t="s">
        <v>2694</v>
      </c>
      <c r="F452" s="220">
        <v>33933</v>
      </c>
      <c r="G452" s="102" t="s">
        <v>2695</v>
      </c>
      <c r="H452" s="221">
        <v>11</v>
      </c>
      <c r="I452" s="221">
        <v>26.79</v>
      </c>
      <c r="J452" s="221">
        <v>8.5299999999999994</v>
      </c>
      <c r="K452" s="221">
        <f t="shared" si="6"/>
        <v>2.4700000000000006</v>
      </c>
      <c r="L452" s="93"/>
      <c r="N452" s="83"/>
      <c r="O452" s="97"/>
      <c r="P452" s="97"/>
      <c r="Q452" s="97"/>
    </row>
    <row r="453" spans="1:17" ht="30" x14ac:dyDescent="0.5">
      <c r="A453" s="102" t="s">
        <v>2738</v>
      </c>
      <c r="B453" s="102" t="s">
        <v>2741</v>
      </c>
      <c r="C453" s="102" t="s">
        <v>3398</v>
      </c>
      <c r="D453" s="102" t="s">
        <v>2893</v>
      </c>
      <c r="E453" s="102" t="s">
        <v>2694</v>
      </c>
      <c r="F453" s="220">
        <v>33941</v>
      </c>
      <c r="G453" s="102" t="s">
        <v>2695</v>
      </c>
      <c r="H453" s="221">
        <v>11.85</v>
      </c>
      <c r="I453" s="221">
        <v>49.5</v>
      </c>
      <c r="J453" s="221">
        <v>8.5299999999999994</v>
      </c>
      <c r="K453" s="221">
        <f t="shared" si="6"/>
        <v>3.3200000000000003</v>
      </c>
      <c r="L453" s="93"/>
      <c r="N453" s="83"/>
      <c r="O453" s="97"/>
      <c r="P453" s="97"/>
      <c r="Q453" s="97"/>
    </row>
    <row r="454" spans="1:17" ht="30" x14ac:dyDescent="0.5">
      <c r="A454" s="102" t="s">
        <v>2738</v>
      </c>
      <c r="B454" s="102" t="s">
        <v>2760</v>
      </c>
      <c r="C454" s="102" t="s">
        <v>3399</v>
      </c>
      <c r="D454" s="102" t="s">
        <v>2893</v>
      </c>
      <c r="E454" s="102" t="s">
        <v>2694</v>
      </c>
      <c r="F454" s="220">
        <v>33954</v>
      </c>
      <c r="G454" s="102" t="s">
        <v>2695</v>
      </c>
      <c r="H454" s="221">
        <v>11.9</v>
      </c>
      <c r="I454" s="221">
        <v>46.75</v>
      </c>
      <c r="J454" s="221">
        <v>8.6300000000000008</v>
      </c>
      <c r="K454" s="221">
        <f t="shared" si="6"/>
        <v>3.2699999999999996</v>
      </c>
      <c r="L454" s="93"/>
      <c r="N454" s="83"/>
      <c r="O454" s="97"/>
      <c r="P454" s="97"/>
      <c r="Q454" s="97"/>
    </row>
    <row r="455" spans="1:17" ht="30" x14ac:dyDescent="0.5">
      <c r="A455" s="102" t="s">
        <v>2702</v>
      </c>
      <c r="B455" s="102" t="s">
        <v>2749</v>
      </c>
      <c r="C455" s="102" t="s">
        <v>3400</v>
      </c>
      <c r="D455" s="102" t="s">
        <v>2893</v>
      </c>
      <c r="E455" s="102" t="s">
        <v>2694</v>
      </c>
      <c r="F455" s="220">
        <v>33960</v>
      </c>
      <c r="G455" s="102" t="s">
        <v>2695</v>
      </c>
      <c r="H455" s="221">
        <v>12.4</v>
      </c>
      <c r="I455" s="221">
        <v>49.53</v>
      </c>
      <c r="J455" s="221">
        <v>8.6300000000000008</v>
      </c>
      <c r="K455" s="221">
        <f t="shared" ref="K455:K518" si="7">H455-J455</f>
        <v>3.7699999999999996</v>
      </c>
      <c r="L455" s="93"/>
      <c r="N455" s="83"/>
      <c r="O455" s="97"/>
      <c r="P455" s="97"/>
      <c r="Q455" s="97"/>
    </row>
    <row r="456" spans="1:17" ht="30" x14ac:dyDescent="0.5">
      <c r="A456" s="102" t="s">
        <v>2702</v>
      </c>
      <c r="B456" s="102" t="s">
        <v>2748</v>
      </c>
      <c r="C456" s="102" t="s">
        <v>3401</v>
      </c>
      <c r="D456" s="102" t="s">
        <v>2893</v>
      </c>
      <c r="E456" s="102" t="s">
        <v>2694</v>
      </c>
      <c r="F456" s="220">
        <v>33960</v>
      </c>
      <c r="G456" s="102" t="s">
        <v>2695</v>
      </c>
      <c r="H456" s="221">
        <v>12.3</v>
      </c>
      <c r="I456" s="221">
        <v>54.15</v>
      </c>
      <c r="J456" s="221">
        <v>8.6300000000000008</v>
      </c>
      <c r="K456" s="221">
        <f t="shared" si="7"/>
        <v>3.67</v>
      </c>
      <c r="L456" s="93"/>
      <c r="N456" s="83"/>
      <c r="O456" s="97"/>
      <c r="P456" s="97"/>
      <c r="Q456" s="97"/>
    </row>
    <row r="457" spans="1:17" ht="30" x14ac:dyDescent="0.5">
      <c r="A457" s="102" t="s">
        <v>2706</v>
      </c>
      <c r="B457" s="102" t="s">
        <v>2944</v>
      </c>
      <c r="C457" s="102" t="s">
        <v>3402</v>
      </c>
      <c r="D457" s="102" t="s">
        <v>2893</v>
      </c>
      <c r="E457" s="102" t="s">
        <v>2694</v>
      </c>
      <c r="F457" s="220">
        <v>33981</v>
      </c>
      <c r="G457" s="102" t="s">
        <v>2695</v>
      </c>
      <c r="H457" s="221">
        <v>12</v>
      </c>
      <c r="I457" s="221">
        <v>41.09</v>
      </c>
      <c r="J457" s="221">
        <v>8.6300000000000008</v>
      </c>
      <c r="K457" s="221">
        <f t="shared" si="7"/>
        <v>3.3699999999999992</v>
      </c>
      <c r="L457" s="93"/>
      <c r="N457" s="83"/>
      <c r="O457" s="97"/>
      <c r="P457" s="97"/>
      <c r="Q457" s="97"/>
    </row>
    <row r="458" spans="1:17" ht="30" x14ac:dyDescent="0.5">
      <c r="A458" s="102" t="s">
        <v>2702</v>
      </c>
      <c r="B458" s="102" t="s">
        <v>2755</v>
      </c>
      <c r="C458" s="102" t="s">
        <v>3403</v>
      </c>
      <c r="D458" s="102" t="s">
        <v>2893</v>
      </c>
      <c r="E458" s="102" t="s">
        <v>2694</v>
      </c>
      <c r="F458" s="220">
        <v>33981</v>
      </c>
      <c r="G458" s="102" t="s">
        <v>2695</v>
      </c>
      <c r="H458" s="221">
        <v>12</v>
      </c>
      <c r="I458" s="221">
        <v>56.94</v>
      </c>
      <c r="J458" s="221">
        <v>8.6300000000000008</v>
      </c>
      <c r="K458" s="221">
        <f t="shared" si="7"/>
        <v>3.3699999999999992</v>
      </c>
      <c r="L458" s="93"/>
      <c r="N458" s="83"/>
      <c r="O458" s="97"/>
      <c r="P458" s="97"/>
      <c r="Q458" s="97"/>
    </row>
    <row r="459" spans="1:17" ht="30" x14ac:dyDescent="0.5">
      <c r="A459" s="102" t="s">
        <v>2698</v>
      </c>
      <c r="B459" s="102" t="s">
        <v>2722</v>
      </c>
      <c r="C459" s="102" t="s">
        <v>3404</v>
      </c>
      <c r="D459" s="102" t="s">
        <v>2893</v>
      </c>
      <c r="E459" s="102" t="s">
        <v>2694</v>
      </c>
      <c r="F459" s="220">
        <v>34082</v>
      </c>
      <c r="G459" s="102" t="s">
        <v>2695</v>
      </c>
      <c r="H459" s="221">
        <v>11.75</v>
      </c>
      <c r="I459" s="221">
        <v>44.55</v>
      </c>
      <c r="J459" s="221">
        <v>7.9</v>
      </c>
      <c r="K459" s="221">
        <f t="shared" si="7"/>
        <v>3.8499999999999996</v>
      </c>
      <c r="L459" s="93"/>
      <c r="N459" s="83"/>
      <c r="O459" s="97"/>
      <c r="P459" s="97"/>
      <c r="Q459" s="97"/>
    </row>
    <row r="460" spans="1:17" ht="30" x14ac:dyDescent="0.5">
      <c r="A460" s="102" t="s">
        <v>2702</v>
      </c>
      <c r="B460" s="102" t="s">
        <v>2703</v>
      </c>
      <c r="C460" s="102" t="s">
        <v>3405</v>
      </c>
      <c r="D460" s="102" t="s">
        <v>2893</v>
      </c>
      <c r="E460" s="102" t="s">
        <v>2694</v>
      </c>
      <c r="F460" s="220">
        <v>34123</v>
      </c>
      <c r="G460" s="102" t="s">
        <v>2695</v>
      </c>
      <c r="H460" s="221">
        <v>12</v>
      </c>
      <c r="I460" s="221">
        <v>50.66</v>
      </c>
      <c r="J460" s="221">
        <v>7.82</v>
      </c>
      <c r="K460" s="221">
        <f t="shared" si="7"/>
        <v>4.18</v>
      </c>
      <c r="L460" s="93"/>
      <c r="N460" s="83"/>
      <c r="O460" s="97"/>
      <c r="P460" s="97"/>
      <c r="Q460" s="97"/>
    </row>
    <row r="461" spans="1:17" ht="30" x14ac:dyDescent="0.5">
      <c r="A461" s="102" t="s">
        <v>2731</v>
      </c>
      <c r="B461" s="102" t="s">
        <v>2733</v>
      </c>
      <c r="C461" s="102" t="s">
        <v>3406</v>
      </c>
      <c r="D461" s="102" t="s">
        <v>2893</v>
      </c>
      <c r="E461" s="102" t="s">
        <v>2694</v>
      </c>
      <c r="F461" s="220">
        <v>34127</v>
      </c>
      <c r="G461" s="102" t="s">
        <v>2695</v>
      </c>
      <c r="H461" s="221">
        <v>11.5</v>
      </c>
      <c r="I461" s="221">
        <v>38.22</v>
      </c>
      <c r="J461" s="221">
        <v>7.82</v>
      </c>
      <c r="K461" s="221">
        <f t="shared" si="7"/>
        <v>3.6799999999999997</v>
      </c>
      <c r="L461" s="93"/>
      <c r="N461" s="83"/>
      <c r="O461" s="97"/>
      <c r="P461" s="97"/>
      <c r="Q461" s="97"/>
    </row>
    <row r="462" spans="1:17" ht="30" x14ac:dyDescent="0.5">
      <c r="A462" s="102" t="s">
        <v>2766</v>
      </c>
      <c r="B462" s="102" t="s">
        <v>3110</v>
      </c>
      <c r="C462" s="102" t="s">
        <v>3407</v>
      </c>
      <c r="D462" s="102" t="s">
        <v>2893</v>
      </c>
      <c r="E462" s="102" t="s">
        <v>2694</v>
      </c>
      <c r="F462" s="220">
        <v>34142</v>
      </c>
      <c r="G462" s="102" t="s">
        <v>2695</v>
      </c>
      <c r="H462" s="221">
        <v>11.75</v>
      </c>
      <c r="I462" s="221">
        <v>56.79</v>
      </c>
      <c r="J462" s="221">
        <v>7.86</v>
      </c>
      <c r="K462" s="221">
        <f t="shared" si="7"/>
        <v>3.8899999999999997</v>
      </c>
      <c r="L462" s="93"/>
      <c r="N462" s="83"/>
      <c r="O462" s="97"/>
      <c r="P462" s="97"/>
      <c r="Q462" s="97"/>
    </row>
    <row r="463" spans="1:17" ht="30" x14ac:dyDescent="0.5">
      <c r="A463" s="102" t="s">
        <v>2693</v>
      </c>
      <c r="B463" s="102" t="s">
        <v>2709</v>
      </c>
      <c r="C463" s="102" t="s">
        <v>3408</v>
      </c>
      <c r="D463" s="102" t="s">
        <v>2893</v>
      </c>
      <c r="E463" s="102" t="s">
        <v>2694</v>
      </c>
      <c r="F463" s="220">
        <v>34171</v>
      </c>
      <c r="G463" s="102" t="s">
        <v>2695</v>
      </c>
      <c r="H463" s="221">
        <v>11.78</v>
      </c>
      <c r="I463" s="221">
        <v>48.05</v>
      </c>
      <c r="J463" s="221">
        <v>7.76</v>
      </c>
      <c r="K463" s="221">
        <f t="shared" si="7"/>
        <v>4.0199999999999996</v>
      </c>
      <c r="L463" s="93"/>
      <c r="N463" s="83"/>
      <c r="O463" s="97"/>
      <c r="P463" s="97"/>
      <c r="Q463" s="97"/>
    </row>
    <row r="464" spans="1:17" ht="30" x14ac:dyDescent="0.5">
      <c r="A464" s="102" t="s">
        <v>2728</v>
      </c>
      <c r="B464" s="102" t="s">
        <v>2771</v>
      </c>
      <c r="C464" s="102" t="s">
        <v>3409</v>
      </c>
      <c r="D464" s="102" t="s">
        <v>2893</v>
      </c>
      <c r="E464" s="102" t="s">
        <v>2694</v>
      </c>
      <c r="F464" s="220">
        <v>34173</v>
      </c>
      <c r="G464" s="102" t="s">
        <v>2695</v>
      </c>
      <c r="H464" s="221">
        <v>11.5</v>
      </c>
      <c r="I464" s="221">
        <v>46.8</v>
      </c>
      <c r="J464" s="221">
        <v>7.76</v>
      </c>
      <c r="K464" s="221">
        <f t="shared" si="7"/>
        <v>3.74</v>
      </c>
      <c r="L464" s="93"/>
      <c r="N464" s="83"/>
      <c r="O464" s="97"/>
      <c r="P464" s="97"/>
      <c r="Q464" s="97"/>
    </row>
    <row r="465" spans="1:17" ht="30" x14ac:dyDescent="0.5">
      <c r="A465" s="102" t="s">
        <v>2717</v>
      </c>
      <c r="B465" s="102" t="s">
        <v>2939</v>
      </c>
      <c r="C465" s="102" t="s">
        <v>3410</v>
      </c>
      <c r="D465" s="102" t="s">
        <v>2893</v>
      </c>
      <c r="E465" s="102" t="s">
        <v>2694</v>
      </c>
      <c r="F465" s="220">
        <v>34193</v>
      </c>
      <c r="G465" s="102" t="s">
        <v>2695</v>
      </c>
      <c r="H465" s="221">
        <v>10.75</v>
      </c>
      <c r="I465" s="221">
        <v>40</v>
      </c>
      <c r="J465" s="221">
        <v>7.76</v>
      </c>
      <c r="K465" s="221">
        <f t="shared" si="7"/>
        <v>2.99</v>
      </c>
      <c r="L465" s="93"/>
      <c r="N465" s="83"/>
      <c r="O465" s="97"/>
      <c r="P465" s="97"/>
      <c r="Q465" s="97"/>
    </row>
    <row r="466" spans="1:17" ht="30" x14ac:dyDescent="0.5">
      <c r="A466" s="102" t="s">
        <v>2702</v>
      </c>
      <c r="B466" s="102" t="s">
        <v>3007</v>
      </c>
      <c r="C466" s="102" t="s">
        <v>3411</v>
      </c>
      <c r="D466" s="102" t="s">
        <v>2893</v>
      </c>
      <c r="E466" s="102" t="s">
        <v>2694</v>
      </c>
      <c r="F466" s="220">
        <v>34212</v>
      </c>
      <c r="G466" s="102" t="s">
        <v>2695</v>
      </c>
      <c r="H466" s="221">
        <v>11.9</v>
      </c>
      <c r="I466" s="221">
        <v>51.12</v>
      </c>
      <c r="J466" s="221">
        <v>7.54</v>
      </c>
      <c r="K466" s="221">
        <f t="shared" si="7"/>
        <v>4.3600000000000003</v>
      </c>
      <c r="L466" s="93"/>
      <c r="N466" s="83"/>
      <c r="O466" s="97"/>
      <c r="P466" s="97"/>
      <c r="Q466" s="97"/>
    </row>
    <row r="467" spans="1:17" ht="30" x14ac:dyDescent="0.5">
      <c r="A467" s="102" t="s">
        <v>2754</v>
      </c>
      <c r="B467" s="102" t="s">
        <v>2755</v>
      </c>
      <c r="C467" s="102" t="s">
        <v>3412</v>
      </c>
      <c r="D467" s="102" t="s">
        <v>2893</v>
      </c>
      <c r="E467" s="102" t="s">
        <v>2694</v>
      </c>
      <c r="F467" s="220">
        <v>34213</v>
      </c>
      <c r="G467" s="102" t="s">
        <v>2695</v>
      </c>
      <c r="H467" s="221">
        <v>11.47</v>
      </c>
      <c r="I467" s="221">
        <v>48.39</v>
      </c>
      <c r="J467" s="221">
        <v>7.54</v>
      </c>
      <c r="K467" s="221">
        <f t="shared" si="7"/>
        <v>3.9300000000000006</v>
      </c>
      <c r="L467" s="93"/>
      <c r="N467" s="83"/>
      <c r="O467" s="97"/>
      <c r="P467" s="97"/>
      <c r="Q467" s="97"/>
    </row>
    <row r="468" spans="1:17" ht="30" x14ac:dyDescent="0.5">
      <c r="A468" s="102" t="s">
        <v>2708</v>
      </c>
      <c r="B468" s="102" t="s">
        <v>2747</v>
      </c>
      <c r="C468" s="102" t="s">
        <v>3413</v>
      </c>
      <c r="D468" s="102" t="s">
        <v>2893</v>
      </c>
      <c r="E468" s="102" t="s">
        <v>2694</v>
      </c>
      <c r="F468" s="220">
        <v>34213</v>
      </c>
      <c r="G468" s="102" t="s">
        <v>2695</v>
      </c>
      <c r="H468" s="221">
        <v>11.25</v>
      </c>
      <c r="I468" s="221">
        <v>44.26</v>
      </c>
      <c r="J468" s="221">
        <v>7.54</v>
      </c>
      <c r="K468" s="221">
        <f t="shared" si="7"/>
        <v>3.71</v>
      </c>
      <c r="L468" s="93"/>
      <c r="N468" s="83"/>
      <c r="O468" s="97"/>
      <c r="P468" s="97"/>
      <c r="Q468" s="97"/>
    </row>
    <row r="469" spans="1:17" ht="30" x14ac:dyDescent="0.5">
      <c r="A469" s="102" t="s">
        <v>2736</v>
      </c>
      <c r="B469" s="102" t="s">
        <v>2737</v>
      </c>
      <c r="C469" s="102" t="s">
        <v>3414</v>
      </c>
      <c r="D469" s="102" t="s">
        <v>2893</v>
      </c>
      <c r="E469" s="102" t="s">
        <v>2694</v>
      </c>
      <c r="F469" s="220">
        <v>34239</v>
      </c>
      <c r="G469" s="102" t="s">
        <v>2695</v>
      </c>
      <c r="H469" s="221">
        <v>10.5</v>
      </c>
      <c r="I469" s="221">
        <v>44</v>
      </c>
      <c r="J469" s="221">
        <v>7.27</v>
      </c>
      <c r="K469" s="221">
        <f t="shared" si="7"/>
        <v>3.2300000000000004</v>
      </c>
      <c r="L469" s="93"/>
      <c r="N469" s="83"/>
      <c r="O469" s="97"/>
      <c r="P469" s="97"/>
      <c r="Q469" s="97"/>
    </row>
    <row r="470" spans="1:17" ht="30" x14ac:dyDescent="0.5">
      <c r="A470" s="102" t="s">
        <v>2699</v>
      </c>
      <c r="B470" s="102" t="s">
        <v>2628</v>
      </c>
      <c r="C470" s="102" t="s">
        <v>3415</v>
      </c>
      <c r="D470" s="102" t="s">
        <v>2893</v>
      </c>
      <c r="E470" s="102" t="s">
        <v>2694</v>
      </c>
      <c r="F470" s="220">
        <v>34241</v>
      </c>
      <c r="G470" s="102" t="s">
        <v>2695</v>
      </c>
      <c r="H470" s="221">
        <v>11</v>
      </c>
      <c r="I470" s="221">
        <v>42.97</v>
      </c>
      <c r="J470" s="221">
        <v>7.27</v>
      </c>
      <c r="K470" s="221">
        <f t="shared" si="7"/>
        <v>3.7300000000000004</v>
      </c>
      <c r="L470" s="93"/>
      <c r="N470" s="83"/>
      <c r="O470" s="97"/>
      <c r="P470" s="97"/>
      <c r="Q470" s="97"/>
    </row>
    <row r="471" spans="1:17" ht="30" x14ac:dyDescent="0.5">
      <c r="A471" s="102" t="s">
        <v>2702</v>
      </c>
      <c r="B471" s="102" t="s">
        <v>2749</v>
      </c>
      <c r="C471" s="102" t="s">
        <v>3416</v>
      </c>
      <c r="D471" s="102" t="s">
        <v>2893</v>
      </c>
      <c r="E471" s="102" t="s">
        <v>2694</v>
      </c>
      <c r="F471" s="220">
        <v>34242</v>
      </c>
      <c r="G471" s="102" t="s">
        <v>2695</v>
      </c>
      <c r="H471" s="221">
        <v>11.6</v>
      </c>
      <c r="I471" s="221">
        <v>50.31</v>
      </c>
      <c r="J471" s="221">
        <v>7.27</v>
      </c>
      <c r="K471" s="221">
        <f t="shared" si="7"/>
        <v>4.33</v>
      </c>
      <c r="L471" s="93"/>
      <c r="N471" s="83"/>
      <c r="O471" s="97"/>
      <c r="P471" s="97"/>
      <c r="Q471" s="97"/>
    </row>
    <row r="472" spans="1:17" ht="30" x14ac:dyDescent="0.5">
      <c r="A472" s="102" t="s">
        <v>2734</v>
      </c>
      <c r="B472" s="102" t="s">
        <v>2895</v>
      </c>
      <c r="C472" s="102" t="s">
        <v>3417</v>
      </c>
      <c r="D472" s="102" t="s">
        <v>2893</v>
      </c>
      <c r="E472" s="102" t="s">
        <v>2694</v>
      </c>
      <c r="F472" s="220">
        <v>34250</v>
      </c>
      <c r="G472" s="102" t="s">
        <v>2695</v>
      </c>
      <c r="H472" s="221">
        <v>11.5</v>
      </c>
      <c r="I472" s="221">
        <v>54</v>
      </c>
      <c r="J472" s="221">
        <v>7.27</v>
      </c>
      <c r="K472" s="221">
        <f t="shared" si="7"/>
        <v>4.2300000000000004</v>
      </c>
      <c r="L472" s="93"/>
      <c r="N472" s="83"/>
      <c r="O472" s="97"/>
      <c r="P472" s="97"/>
      <c r="Q472" s="97"/>
    </row>
    <row r="473" spans="1:17" ht="30" x14ac:dyDescent="0.5">
      <c r="A473" s="102" t="s">
        <v>2763</v>
      </c>
      <c r="B473" s="102" t="s">
        <v>3059</v>
      </c>
      <c r="C473" s="102" t="s">
        <v>3418</v>
      </c>
      <c r="D473" s="102" t="s">
        <v>2893</v>
      </c>
      <c r="E473" s="102" t="s">
        <v>2694</v>
      </c>
      <c r="F473" s="220">
        <v>34256</v>
      </c>
      <c r="G473" s="102" t="s">
        <v>2695</v>
      </c>
      <c r="H473" s="221">
        <v>11.2</v>
      </c>
      <c r="I473" s="221">
        <v>43.09</v>
      </c>
      <c r="J473" s="221">
        <v>7.27</v>
      </c>
      <c r="K473" s="221">
        <f t="shared" si="7"/>
        <v>3.9299999999999997</v>
      </c>
      <c r="L473" s="93"/>
      <c r="N473" s="83"/>
      <c r="O473" s="97"/>
      <c r="P473" s="97"/>
      <c r="Q473" s="97"/>
    </row>
    <row r="474" spans="1:17" ht="30" x14ac:dyDescent="0.5">
      <c r="A474" s="102" t="s">
        <v>2766</v>
      </c>
      <c r="B474" s="102" t="s">
        <v>3356</v>
      </c>
      <c r="C474" s="102" t="s">
        <v>3419</v>
      </c>
      <c r="D474" s="102" t="s">
        <v>2893</v>
      </c>
      <c r="E474" s="102" t="s">
        <v>2694</v>
      </c>
      <c r="F474" s="220">
        <v>34257</v>
      </c>
      <c r="G474" s="102" t="s">
        <v>2695</v>
      </c>
      <c r="H474" s="221">
        <v>11.75</v>
      </c>
      <c r="I474" s="221">
        <v>46.31</v>
      </c>
      <c r="J474" s="221">
        <v>7.04</v>
      </c>
      <c r="K474" s="221">
        <f t="shared" si="7"/>
        <v>4.71</v>
      </c>
      <c r="L474" s="93"/>
      <c r="N474" s="83"/>
      <c r="O474" s="97"/>
      <c r="P474" s="97"/>
      <c r="Q474" s="97"/>
    </row>
    <row r="475" spans="1:17" ht="30" x14ac:dyDescent="0.5">
      <c r="A475" s="102" t="s">
        <v>2731</v>
      </c>
      <c r="B475" s="102" t="s">
        <v>2939</v>
      </c>
      <c r="C475" s="102" t="s">
        <v>3420</v>
      </c>
      <c r="D475" s="102" t="s">
        <v>2893</v>
      </c>
      <c r="E475" s="102" t="s">
        <v>2694</v>
      </c>
      <c r="F475" s="220">
        <v>34267</v>
      </c>
      <c r="G475" s="102" t="s">
        <v>2695</v>
      </c>
      <c r="H475" s="221">
        <v>11.55</v>
      </c>
      <c r="I475" s="221">
        <v>36</v>
      </c>
      <c r="J475" s="221">
        <v>7.04</v>
      </c>
      <c r="K475" s="221">
        <f t="shared" si="7"/>
        <v>4.5100000000000007</v>
      </c>
      <c r="L475" s="93"/>
      <c r="N475" s="83"/>
      <c r="O475" s="97"/>
      <c r="P475" s="97"/>
      <c r="Q475" s="97"/>
    </row>
    <row r="476" spans="1:17" ht="30" x14ac:dyDescent="0.5">
      <c r="A476" s="102" t="s">
        <v>2744</v>
      </c>
      <c r="B476" s="102" t="s">
        <v>2972</v>
      </c>
      <c r="C476" s="102" t="s">
        <v>3421</v>
      </c>
      <c r="D476" s="102" t="s">
        <v>2893</v>
      </c>
      <c r="E476" s="102" t="s">
        <v>2694</v>
      </c>
      <c r="F476" s="220">
        <v>34270</v>
      </c>
      <c r="G476" s="102" t="s">
        <v>2695</v>
      </c>
      <c r="H476" s="221">
        <v>11.5</v>
      </c>
      <c r="I476" s="221">
        <v>34.97</v>
      </c>
      <c r="J476" s="221">
        <v>7.04</v>
      </c>
      <c r="K476" s="221">
        <f t="shared" si="7"/>
        <v>4.46</v>
      </c>
      <c r="L476" s="93"/>
      <c r="N476" s="83"/>
      <c r="O476" s="97"/>
      <c r="P476" s="97"/>
      <c r="Q476" s="97"/>
    </row>
    <row r="477" spans="1:17" ht="30" x14ac:dyDescent="0.5">
      <c r="A477" s="102" t="s">
        <v>2700</v>
      </c>
      <c r="B477" s="102" t="s">
        <v>3082</v>
      </c>
      <c r="C477" s="102" t="s">
        <v>3422</v>
      </c>
      <c r="D477" s="102" t="s">
        <v>2893</v>
      </c>
      <c r="E477" s="102" t="s">
        <v>2694</v>
      </c>
      <c r="F477" s="220">
        <v>34271</v>
      </c>
      <c r="G477" s="102" t="s">
        <v>2695</v>
      </c>
      <c r="H477" s="221">
        <v>11.25</v>
      </c>
      <c r="I477" s="221">
        <v>47.99</v>
      </c>
      <c r="J477" s="221">
        <v>7.04</v>
      </c>
      <c r="K477" s="221">
        <f t="shared" si="7"/>
        <v>4.21</v>
      </c>
      <c r="L477" s="93"/>
      <c r="N477" s="83"/>
      <c r="O477" s="97"/>
      <c r="P477" s="97"/>
      <c r="Q477" s="97"/>
    </row>
    <row r="478" spans="1:17" ht="30" x14ac:dyDescent="0.5">
      <c r="A478" s="102" t="s">
        <v>2724</v>
      </c>
      <c r="B478" s="102" t="s">
        <v>2942</v>
      </c>
      <c r="C478" s="102" t="s">
        <v>3423</v>
      </c>
      <c r="D478" s="102" t="s">
        <v>2893</v>
      </c>
      <c r="E478" s="102" t="s">
        <v>2694</v>
      </c>
      <c r="F478" s="220">
        <v>34271</v>
      </c>
      <c r="G478" s="102" t="s">
        <v>2695</v>
      </c>
      <c r="H478" s="221">
        <v>10.199999999999999</v>
      </c>
      <c r="I478" s="221">
        <v>52</v>
      </c>
      <c r="J478" s="221">
        <v>7.04</v>
      </c>
      <c r="K478" s="221">
        <f t="shared" si="7"/>
        <v>3.1599999999999993</v>
      </c>
      <c r="L478" s="93"/>
      <c r="N478" s="83"/>
      <c r="O478" s="97"/>
      <c r="P478" s="97"/>
      <c r="Q478" s="97"/>
    </row>
    <row r="479" spans="1:17" ht="30" x14ac:dyDescent="0.5">
      <c r="A479" s="102" t="s">
        <v>2724</v>
      </c>
      <c r="B479" s="102" t="s">
        <v>2925</v>
      </c>
      <c r="C479" s="102" t="s">
        <v>3424</v>
      </c>
      <c r="D479" s="102" t="s">
        <v>2893</v>
      </c>
      <c r="E479" s="102" t="s">
        <v>2694</v>
      </c>
      <c r="F479" s="220">
        <v>34271</v>
      </c>
      <c r="G479" s="102" t="s">
        <v>2695</v>
      </c>
      <c r="H479" s="221">
        <v>10.1</v>
      </c>
      <c r="I479" s="221">
        <v>52.22</v>
      </c>
      <c r="J479" s="221">
        <v>7.04</v>
      </c>
      <c r="K479" s="221">
        <f t="shared" si="7"/>
        <v>3.0599999999999996</v>
      </c>
      <c r="L479" s="93"/>
      <c r="N479" s="83"/>
      <c r="O479" s="97"/>
      <c r="P479" s="97"/>
      <c r="Q479" s="97"/>
    </row>
    <row r="480" spans="1:17" ht="30" x14ac:dyDescent="0.5">
      <c r="A480" s="102" t="s">
        <v>2702</v>
      </c>
      <c r="B480" s="102" t="s">
        <v>2903</v>
      </c>
      <c r="C480" s="102" t="s">
        <v>3425</v>
      </c>
      <c r="D480" s="102" t="s">
        <v>2893</v>
      </c>
      <c r="E480" s="102" t="s">
        <v>2694</v>
      </c>
      <c r="F480" s="220">
        <v>34285</v>
      </c>
      <c r="G480" s="102" t="s">
        <v>2695</v>
      </c>
      <c r="H480" s="221">
        <v>11.8</v>
      </c>
      <c r="I480" s="221">
        <v>48.43</v>
      </c>
      <c r="J480" s="221">
        <v>7.04</v>
      </c>
      <c r="K480" s="221">
        <f t="shared" si="7"/>
        <v>4.7600000000000007</v>
      </c>
      <c r="L480" s="93"/>
      <c r="N480" s="83"/>
      <c r="O480" s="97"/>
      <c r="P480" s="97"/>
      <c r="Q480" s="97"/>
    </row>
    <row r="481" spans="1:17" ht="30" x14ac:dyDescent="0.5">
      <c r="A481" s="102" t="s">
        <v>2758</v>
      </c>
      <c r="B481" s="102" t="s">
        <v>2759</v>
      </c>
      <c r="C481" s="102" t="s">
        <v>3426</v>
      </c>
      <c r="D481" s="102" t="s">
        <v>2893</v>
      </c>
      <c r="E481" s="102" t="s">
        <v>2694</v>
      </c>
      <c r="F481" s="220">
        <v>34296</v>
      </c>
      <c r="G481" s="102" t="s">
        <v>2695</v>
      </c>
      <c r="H481" s="221">
        <v>12.5</v>
      </c>
      <c r="I481" s="221">
        <v>42.86</v>
      </c>
      <c r="J481" s="221">
        <v>7.03</v>
      </c>
      <c r="K481" s="221">
        <f t="shared" si="7"/>
        <v>5.47</v>
      </c>
      <c r="L481" s="93"/>
      <c r="N481" s="83"/>
      <c r="O481" s="97"/>
      <c r="P481" s="97"/>
      <c r="Q481" s="97"/>
    </row>
    <row r="482" spans="1:17" ht="30" x14ac:dyDescent="0.5">
      <c r="A482" s="102" t="s">
        <v>2715</v>
      </c>
      <c r="B482" s="102" t="s">
        <v>2716</v>
      </c>
      <c r="C482" s="102" t="s">
        <v>3427</v>
      </c>
      <c r="D482" s="102" t="s">
        <v>2893</v>
      </c>
      <c r="E482" s="102" t="s">
        <v>2694</v>
      </c>
      <c r="F482" s="220">
        <v>34299</v>
      </c>
      <c r="G482" s="102" t="s">
        <v>2695</v>
      </c>
      <c r="H482" s="221">
        <v>11</v>
      </c>
      <c r="I482" s="221">
        <v>44.62</v>
      </c>
      <c r="J482" s="221">
        <v>7.03</v>
      </c>
      <c r="K482" s="221">
        <f t="shared" si="7"/>
        <v>3.9699999999999998</v>
      </c>
      <c r="L482" s="93"/>
      <c r="N482" s="83"/>
      <c r="O482" s="97"/>
      <c r="P482" s="97"/>
      <c r="Q482" s="97"/>
    </row>
    <row r="483" spans="1:17" ht="30" x14ac:dyDescent="0.5">
      <c r="A483" s="102" t="s">
        <v>2723</v>
      </c>
      <c r="B483" s="102" t="s">
        <v>2921</v>
      </c>
      <c r="C483" s="102" t="s">
        <v>3428</v>
      </c>
      <c r="D483" s="102" t="s">
        <v>2893</v>
      </c>
      <c r="E483" s="102" t="s">
        <v>2694</v>
      </c>
      <c r="F483" s="220">
        <v>34319</v>
      </c>
      <c r="G483" s="102" t="s">
        <v>2695</v>
      </c>
      <c r="H483" s="221">
        <v>11.2</v>
      </c>
      <c r="I483" s="221">
        <v>50.35</v>
      </c>
      <c r="J483" s="221">
        <v>7.28</v>
      </c>
      <c r="K483" s="221">
        <f t="shared" si="7"/>
        <v>3.919999999999999</v>
      </c>
      <c r="L483" s="93"/>
      <c r="N483" s="83"/>
      <c r="O483" s="97"/>
      <c r="P483" s="97"/>
      <c r="Q483" s="97"/>
    </row>
    <row r="484" spans="1:17" ht="30" x14ac:dyDescent="0.5">
      <c r="A484" s="102" t="s">
        <v>2704</v>
      </c>
      <c r="B484" s="102" t="s">
        <v>2750</v>
      </c>
      <c r="C484" s="102" t="s">
        <v>3429</v>
      </c>
      <c r="D484" s="102" t="s">
        <v>2893</v>
      </c>
      <c r="E484" s="102" t="s">
        <v>2694</v>
      </c>
      <c r="F484" s="220">
        <v>34319</v>
      </c>
      <c r="G484" s="102" t="s">
        <v>2695</v>
      </c>
      <c r="H484" s="221">
        <v>10.6</v>
      </c>
      <c r="I484" s="221">
        <v>44.61</v>
      </c>
      <c r="J484" s="221">
        <v>7.28</v>
      </c>
      <c r="K484" s="221">
        <f t="shared" si="7"/>
        <v>3.3199999999999994</v>
      </c>
      <c r="L484" s="93"/>
      <c r="N484" s="83"/>
      <c r="O484" s="97"/>
      <c r="P484" s="97"/>
      <c r="Q484" s="97"/>
    </row>
    <row r="485" spans="1:17" ht="30" x14ac:dyDescent="0.5">
      <c r="A485" s="102" t="s">
        <v>2702</v>
      </c>
      <c r="B485" s="102" t="s">
        <v>2748</v>
      </c>
      <c r="C485" s="102" t="s">
        <v>3430</v>
      </c>
      <c r="D485" s="102" t="s">
        <v>2893</v>
      </c>
      <c r="E485" s="102" t="s">
        <v>2694</v>
      </c>
      <c r="F485" s="220">
        <v>34324</v>
      </c>
      <c r="G485" s="102" t="s">
        <v>2695</v>
      </c>
      <c r="H485" s="221">
        <v>11.3</v>
      </c>
      <c r="I485" s="221">
        <v>55.61</v>
      </c>
      <c r="J485" s="221">
        <v>7.28</v>
      </c>
      <c r="K485" s="221">
        <f t="shared" si="7"/>
        <v>4.0200000000000005</v>
      </c>
      <c r="L485" s="93"/>
      <c r="N485" s="83"/>
      <c r="O485" s="97"/>
      <c r="P485" s="97"/>
      <c r="Q485" s="97"/>
    </row>
    <row r="486" spans="1:17" ht="30" x14ac:dyDescent="0.5">
      <c r="A486" s="102" t="s">
        <v>2738</v>
      </c>
      <c r="B486" s="102" t="s">
        <v>2954</v>
      </c>
      <c r="C486" s="102" t="s">
        <v>3431</v>
      </c>
      <c r="D486" s="102" t="s">
        <v>2893</v>
      </c>
      <c r="E486" s="102" t="s">
        <v>2694</v>
      </c>
      <c r="F486" s="220">
        <v>34325</v>
      </c>
      <c r="G486" s="102" t="s">
        <v>2695</v>
      </c>
      <c r="H486" s="221">
        <v>11</v>
      </c>
      <c r="I486" s="221">
        <v>46.8</v>
      </c>
      <c r="J486" s="221">
        <v>7.28</v>
      </c>
      <c r="K486" s="221">
        <f t="shared" si="7"/>
        <v>3.7199999999999998</v>
      </c>
      <c r="L486" s="93"/>
      <c r="N486" s="83"/>
      <c r="O486" s="97"/>
      <c r="P486" s="97"/>
      <c r="Q486" s="97"/>
    </row>
    <row r="487" spans="1:17" ht="30" x14ac:dyDescent="0.5">
      <c r="A487" s="102" t="s">
        <v>2714</v>
      </c>
      <c r="B487" s="102" t="s">
        <v>2916</v>
      </c>
      <c r="C487" s="102" t="s">
        <v>3432</v>
      </c>
      <c r="D487" s="102" t="s">
        <v>2893</v>
      </c>
      <c r="E487" s="102" t="s">
        <v>2694</v>
      </c>
      <c r="F487" s="220">
        <v>34344</v>
      </c>
      <c r="G487" s="102" t="s">
        <v>2695</v>
      </c>
      <c r="H487" s="221">
        <v>11</v>
      </c>
      <c r="I487" s="221">
        <v>53.59</v>
      </c>
      <c r="J487" s="221">
        <v>7.28</v>
      </c>
      <c r="K487" s="221">
        <f t="shared" si="7"/>
        <v>3.7199999999999998</v>
      </c>
      <c r="L487" s="93"/>
      <c r="N487" s="83"/>
      <c r="O487" s="97"/>
      <c r="P487" s="97"/>
      <c r="Q487" s="97"/>
    </row>
    <row r="488" spans="1:17" ht="30" x14ac:dyDescent="0.5">
      <c r="A488" s="102" t="s">
        <v>2704</v>
      </c>
      <c r="B488" s="102" t="s">
        <v>2705</v>
      </c>
      <c r="C488" s="102" t="s">
        <v>3433</v>
      </c>
      <c r="D488" s="102" t="s">
        <v>2893</v>
      </c>
      <c r="E488" s="102" t="s">
        <v>2694</v>
      </c>
      <c r="F488" s="220">
        <v>34367</v>
      </c>
      <c r="G488" s="102" t="s">
        <v>2695</v>
      </c>
      <c r="H488" s="221">
        <v>10.4</v>
      </c>
      <c r="I488" s="221">
        <v>40.26</v>
      </c>
      <c r="J488" s="221">
        <v>7.34</v>
      </c>
      <c r="K488" s="221">
        <f t="shared" si="7"/>
        <v>3.0600000000000005</v>
      </c>
      <c r="L488" s="93"/>
      <c r="N488" s="83"/>
      <c r="O488" s="97"/>
      <c r="P488" s="97"/>
      <c r="Q488" s="97"/>
    </row>
    <row r="489" spans="1:17" ht="30" x14ac:dyDescent="0.5">
      <c r="A489" s="102" t="s">
        <v>2751</v>
      </c>
      <c r="B489" s="102" t="s">
        <v>2975</v>
      </c>
      <c r="C489" s="102" t="s">
        <v>3434</v>
      </c>
      <c r="D489" s="102" t="s">
        <v>2893</v>
      </c>
      <c r="E489" s="102" t="s">
        <v>2694</v>
      </c>
      <c r="F489" s="220">
        <v>34374</v>
      </c>
      <c r="G489" s="102" t="s">
        <v>2695</v>
      </c>
      <c r="H489" s="221">
        <v>10.7</v>
      </c>
      <c r="I489" s="221">
        <v>33.56</v>
      </c>
      <c r="J489" s="221">
        <v>7.34</v>
      </c>
      <c r="K489" s="221">
        <f t="shared" si="7"/>
        <v>3.3599999999999994</v>
      </c>
      <c r="L489" s="93"/>
      <c r="N489" s="83"/>
      <c r="O489" s="97"/>
      <c r="P489" s="97"/>
      <c r="Q489" s="97"/>
    </row>
    <row r="490" spans="1:17" ht="30" x14ac:dyDescent="0.5">
      <c r="A490" s="102" t="s">
        <v>2693</v>
      </c>
      <c r="B490" s="102" t="s">
        <v>2742</v>
      </c>
      <c r="C490" s="102" t="s">
        <v>3435</v>
      </c>
      <c r="D490" s="102" t="s">
        <v>2893</v>
      </c>
      <c r="E490" s="102" t="s">
        <v>2694</v>
      </c>
      <c r="F490" s="220">
        <v>34430</v>
      </c>
      <c r="G490" s="102" t="s">
        <v>2695</v>
      </c>
      <c r="H490" s="221">
        <v>11.24</v>
      </c>
      <c r="I490" s="221">
        <v>40.630000000000003</v>
      </c>
      <c r="J490" s="221">
        <v>7.45</v>
      </c>
      <c r="K490" s="221">
        <f t="shared" si="7"/>
        <v>3.79</v>
      </c>
      <c r="L490" s="93"/>
      <c r="N490" s="83"/>
      <c r="O490" s="97"/>
      <c r="P490" s="97"/>
      <c r="Q490" s="97"/>
    </row>
    <row r="491" spans="1:17" ht="30" x14ac:dyDescent="0.5">
      <c r="A491" s="102" t="s">
        <v>2740</v>
      </c>
      <c r="B491" s="102" t="s">
        <v>2964</v>
      </c>
      <c r="C491" s="102" t="s">
        <v>3436</v>
      </c>
      <c r="D491" s="102" t="s">
        <v>2893</v>
      </c>
      <c r="E491" s="102" t="s">
        <v>2694</v>
      </c>
      <c r="F491" s="220">
        <v>34449</v>
      </c>
      <c r="G491" s="102" t="s">
        <v>2695</v>
      </c>
      <c r="H491" s="221">
        <v>11</v>
      </c>
      <c r="I491" s="221">
        <v>44.12</v>
      </c>
      <c r="J491" s="221">
        <v>7.83</v>
      </c>
      <c r="K491" s="221">
        <f t="shared" si="7"/>
        <v>3.17</v>
      </c>
      <c r="L491" s="93"/>
      <c r="N491" s="83"/>
      <c r="O491" s="97"/>
      <c r="P491" s="97"/>
      <c r="Q491" s="97"/>
    </row>
    <row r="492" spans="1:17" ht="30" x14ac:dyDescent="0.5">
      <c r="A492" s="102" t="s">
        <v>2717</v>
      </c>
      <c r="B492" s="102" t="s">
        <v>3437</v>
      </c>
      <c r="C492" s="102" t="s">
        <v>3438</v>
      </c>
      <c r="D492" s="102" t="s">
        <v>2893</v>
      </c>
      <c r="E492" s="102" t="s">
        <v>2694</v>
      </c>
      <c r="F492" s="220">
        <v>34501</v>
      </c>
      <c r="G492" s="102" t="s">
        <v>2695</v>
      </c>
      <c r="H492" s="221">
        <v>10.5</v>
      </c>
      <c r="I492" s="221">
        <v>61.57</v>
      </c>
      <c r="J492" s="221">
        <v>8.33</v>
      </c>
      <c r="K492" s="221">
        <f t="shared" si="7"/>
        <v>2.17</v>
      </c>
      <c r="L492" s="93"/>
      <c r="N492" s="83"/>
      <c r="O492" s="97"/>
      <c r="P492" s="97"/>
      <c r="Q492" s="97"/>
    </row>
    <row r="493" spans="1:17" ht="30" x14ac:dyDescent="0.5">
      <c r="A493" s="102" t="s">
        <v>2704</v>
      </c>
      <c r="B493" s="102" t="s">
        <v>2910</v>
      </c>
      <c r="C493" s="102" t="s">
        <v>3439</v>
      </c>
      <c r="D493" s="102" t="s">
        <v>2893</v>
      </c>
      <c r="E493" s="102" t="s">
        <v>2694</v>
      </c>
      <c r="F493" s="220">
        <v>34534</v>
      </c>
      <c r="G493" s="102" t="s">
        <v>2695</v>
      </c>
      <c r="H493" s="221">
        <v>10.7</v>
      </c>
      <c r="I493" s="221">
        <v>53.4</v>
      </c>
      <c r="J493" s="221">
        <v>8.31</v>
      </c>
      <c r="K493" s="221">
        <f t="shared" si="7"/>
        <v>2.3899999999999988</v>
      </c>
      <c r="L493" s="93"/>
      <c r="N493" s="83"/>
      <c r="O493" s="97"/>
      <c r="P493" s="97"/>
      <c r="Q493" s="97"/>
    </row>
    <row r="494" spans="1:17" ht="30" x14ac:dyDescent="0.5">
      <c r="A494" s="102" t="s">
        <v>2743</v>
      </c>
      <c r="B494" s="102" t="s">
        <v>2969</v>
      </c>
      <c r="C494" s="102" t="s">
        <v>3440</v>
      </c>
      <c r="D494" s="102" t="s">
        <v>2893</v>
      </c>
      <c r="E494" s="102" t="s">
        <v>2694</v>
      </c>
      <c r="F494" s="220">
        <v>34614</v>
      </c>
      <c r="G494" s="102" t="s">
        <v>2695</v>
      </c>
      <c r="H494" s="221">
        <v>11.87</v>
      </c>
      <c r="I494" s="221">
        <v>50</v>
      </c>
      <c r="J494" s="221">
        <v>8.41</v>
      </c>
      <c r="K494" s="221">
        <f t="shared" si="7"/>
        <v>3.4599999999999991</v>
      </c>
      <c r="L494" s="93"/>
      <c r="N494" s="83"/>
      <c r="O494" s="97"/>
      <c r="P494" s="97"/>
      <c r="Q494" s="97"/>
    </row>
    <row r="495" spans="1:17" ht="30" x14ac:dyDescent="0.5">
      <c r="A495" s="102" t="s">
        <v>2701</v>
      </c>
      <c r="B495" s="102" t="s">
        <v>2900</v>
      </c>
      <c r="C495" s="102" t="s">
        <v>3441</v>
      </c>
      <c r="D495" s="102" t="s">
        <v>2893</v>
      </c>
      <c r="E495" s="102" t="s">
        <v>2694</v>
      </c>
      <c r="F495" s="220">
        <v>34660</v>
      </c>
      <c r="G495" s="102" t="s">
        <v>2695</v>
      </c>
      <c r="H495" s="221">
        <v>12.12</v>
      </c>
      <c r="I495" s="221">
        <v>48.21</v>
      </c>
      <c r="J495" s="221">
        <v>8.85</v>
      </c>
      <c r="K495" s="221">
        <f t="shared" si="7"/>
        <v>3.2699999999999996</v>
      </c>
      <c r="L495" s="93"/>
      <c r="N495" s="83"/>
      <c r="O495" s="97"/>
      <c r="P495" s="97"/>
      <c r="Q495" s="97"/>
    </row>
    <row r="496" spans="1:17" ht="30" x14ac:dyDescent="0.5">
      <c r="A496" s="102" t="s">
        <v>2696</v>
      </c>
      <c r="B496" s="102" t="s">
        <v>2910</v>
      </c>
      <c r="C496" s="102" t="s">
        <v>3442</v>
      </c>
      <c r="D496" s="102" t="s">
        <v>2893</v>
      </c>
      <c r="E496" s="102" t="s">
        <v>2694</v>
      </c>
      <c r="F496" s="220">
        <v>34669</v>
      </c>
      <c r="G496" s="102" t="s">
        <v>2695</v>
      </c>
      <c r="H496" s="221">
        <v>11</v>
      </c>
      <c r="I496" s="221">
        <v>53.2</v>
      </c>
      <c r="J496" s="221">
        <v>8.85</v>
      </c>
      <c r="K496" s="221">
        <f t="shared" si="7"/>
        <v>2.1500000000000004</v>
      </c>
      <c r="L496" s="93"/>
      <c r="N496" s="83"/>
      <c r="O496" s="97"/>
      <c r="P496" s="97"/>
      <c r="Q496" s="97"/>
    </row>
    <row r="497" spans="1:17" ht="30" x14ac:dyDescent="0.5">
      <c r="A497" s="102" t="s">
        <v>2702</v>
      </c>
      <c r="B497" s="102" t="s">
        <v>2703</v>
      </c>
      <c r="C497" s="102" t="s">
        <v>3443</v>
      </c>
      <c r="D497" s="102" t="s">
        <v>2893</v>
      </c>
      <c r="E497" s="102" t="s">
        <v>2694</v>
      </c>
      <c r="F497" s="220">
        <v>34676</v>
      </c>
      <c r="G497" s="102" t="s">
        <v>2695</v>
      </c>
      <c r="H497" s="221">
        <v>11.7</v>
      </c>
      <c r="I497" s="221">
        <v>53.89</v>
      </c>
      <c r="J497" s="221">
        <v>8.85</v>
      </c>
      <c r="K497" s="221">
        <f t="shared" si="7"/>
        <v>2.8499999999999996</v>
      </c>
      <c r="L497" s="93"/>
      <c r="N497" s="83"/>
      <c r="O497" s="97"/>
      <c r="P497" s="97"/>
      <c r="Q497" s="97"/>
    </row>
    <row r="498" spans="1:17" ht="30" x14ac:dyDescent="0.5">
      <c r="A498" s="102" t="s">
        <v>2702</v>
      </c>
      <c r="B498" s="102" t="s">
        <v>2749</v>
      </c>
      <c r="C498" s="102" t="s">
        <v>3444</v>
      </c>
      <c r="D498" s="102" t="s">
        <v>2893</v>
      </c>
      <c r="E498" s="102" t="s">
        <v>2694</v>
      </c>
      <c r="F498" s="220">
        <v>34676</v>
      </c>
      <c r="G498" s="102" t="s">
        <v>2695</v>
      </c>
      <c r="H498" s="221">
        <v>11.5</v>
      </c>
      <c r="I498" s="221">
        <v>51.93</v>
      </c>
      <c r="J498" s="221">
        <v>8.85</v>
      </c>
      <c r="K498" s="221">
        <f t="shared" si="7"/>
        <v>2.6500000000000004</v>
      </c>
      <c r="L498" s="93"/>
      <c r="N498" s="83"/>
      <c r="O498" s="97"/>
      <c r="P498" s="97"/>
      <c r="Q498" s="97"/>
    </row>
    <row r="499" spans="1:17" ht="30" x14ac:dyDescent="0.5">
      <c r="A499" s="102" t="s">
        <v>2693</v>
      </c>
      <c r="B499" s="102" t="s">
        <v>2742</v>
      </c>
      <c r="C499" s="102" t="s">
        <v>3445</v>
      </c>
      <c r="D499" s="102" t="s">
        <v>2893</v>
      </c>
      <c r="E499" s="102" t="s">
        <v>2694</v>
      </c>
      <c r="F499" s="220">
        <v>34680</v>
      </c>
      <c r="G499" s="102" t="s">
        <v>2695</v>
      </c>
      <c r="H499" s="221">
        <v>11.82</v>
      </c>
      <c r="I499" s="221">
        <v>47.9</v>
      </c>
      <c r="J499" s="221">
        <v>8.85</v>
      </c>
      <c r="K499" s="221">
        <f t="shared" si="7"/>
        <v>2.9700000000000006</v>
      </c>
      <c r="L499" s="93"/>
      <c r="N499" s="83"/>
      <c r="O499" s="97"/>
      <c r="P499" s="97"/>
      <c r="Q499" s="97"/>
    </row>
    <row r="500" spans="1:17" ht="30" x14ac:dyDescent="0.5">
      <c r="A500" s="102" t="s">
        <v>2702</v>
      </c>
      <c r="B500" s="102" t="s">
        <v>2748</v>
      </c>
      <c r="C500" s="102" t="s">
        <v>3446</v>
      </c>
      <c r="D500" s="102" t="s">
        <v>2893</v>
      </c>
      <c r="E500" s="102" t="s">
        <v>2694</v>
      </c>
      <c r="F500" s="220">
        <v>34687</v>
      </c>
      <c r="G500" s="102" t="s">
        <v>2695</v>
      </c>
      <c r="H500" s="221">
        <v>11.5</v>
      </c>
      <c r="I500" s="221">
        <v>55.43</v>
      </c>
      <c r="J500" s="221">
        <v>8.89</v>
      </c>
      <c r="K500" s="221">
        <f t="shared" si="7"/>
        <v>2.6099999999999994</v>
      </c>
      <c r="L500" s="93"/>
      <c r="N500" s="83"/>
      <c r="O500" s="97"/>
      <c r="P500" s="97"/>
      <c r="Q500" s="97"/>
    </row>
    <row r="501" spans="1:17" ht="30" x14ac:dyDescent="0.5">
      <c r="A501" s="102" t="s">
        <v>2704</v>
      </c>
      <c r="B501" s="102" t="s">
        <v>2705</v>
      </c>
      <c r="C501" s="102" t="s">
        <v>3447</v>
      </c>
      <c r="D501" s="102" t="s">
        <v>2893</v>
      </c>
      <c r="E501" s="102" t="s">
        <v>2694</v>
      </c>
      <c r="F501" s="220">
        <v>34808</v>
      </c>
      <c r="G501" s="102" t="s">
        <v>2695</v>
      </c>
      <c r="H501" s="221">
        <v>11</v>
      </c>
      <c r="I501" s="221">
        <v>39.85</v>
      </c>
      <c r="J501" s="221">
        <v>8.3699999999999992</v>
      </c>
      <c r="K501" s="221">
        <f t="shared" si="7"/>
        <v>2.6300000000000008</v>
      </c>
      <c r="L501" s="93"/>
      <c r="N501" s="83"/>
      <c r="O501" s="97"/>
      <c r="P501" s="97"/>
      <c r="Q501" s="97"/>
    </row>
    <row r="502" spans="1:17" ht="30" x14ac:dyDescent="0.5">
      <c r="A502" s="102" t="s">
        <v>2702</v>
      </c>
      <c r="B502" s="102" t="s">
        <v>3007</v>
      </c>
      <c r="C502" s="102" t="s">
        <v>3448</v>
      </c>
      <c r="D502" s="102" t="s">
        <v>2893</v>
      </c>
      <c r="E502" s="102" t="s">
        <v>2694</v>
      </c>
      <c r="F502" s="220">
        <v>34953</v>
      </c>
      <c r="G502" s="102" t="s">
        <v>2695</v>
      </c>
      <c r="H502" s="221">
        <v>11.3</v>
      </c>
      <c r="I502" s="221">
        <v>53.96</v>
      </c>
      <c r="J502" s="221">
        <v>7.69</v>
      </c>
      <c r="K502" s="221">
        <f t="shared" si="7"/>
        <v>3.6100000000000003</v>
      </c>
      <c r="L502" s="93"/>
      <c r="N502" s="83"/>
      <c r="O502" s="97"/>
      <c r="P502" s="97"/>
      <c r="Q502" s="97"/>
    </row>
    <row r="503" spans="1:17" ht="30" x14ac:dyDescent="0.5">
      <c r="A503" s="102" t="s">
        <v>2704</v>
      </c>
      <c r="B503" s="102" t="s">
        <v>2910</v>
      </c>
      <c r="C503" s="102" t="s">
        <v>3449</v>
      </c>
      <c r="D503" s="102" t="s">
        <v>2893</v>
      </c>
      <c r="E503" s="102" t="s">
        <v>2694</v>
      </c>
      <c r="F503" s="220">
        <v>34957</v>
      </c>
      <c r="G503" s="102" t="s">
        <v>2695</v>
      </c>
      <c r="H503" s="221">
        <v>10.4</v>
      </c>
      <c r="I503" s="221">
        <v>54.7</v>
      </c>
      <c r="J503" s="221">
        <v>7.84</v>
      </c>
      <c r="K503" s="221">
        <f t="shared" si="7"/>
        <v>2.5600000000000005</v>
      </c>
      <c r="L503" s="93"/>
      <c r="N503" s="83"/>
      <c r="O503" s="97"/>
      <c r="P503" s="97"/>
      <c r="Q503" s="97"/>
    </row>
    <row r="504" spans="1:17" ht="30" x14ac:dyDescent="0.5">
      <c r="A504" s="102" t="s">
        <v>2766</v>
      </c>
      <c r="B504" s="102" t="s">
        <v>2895</v>
      </c>
      <c r="C504" s="102" t="s">
        <v>3450</v>
      </c>
      <c r="D504" s="102" t="s">
        <v>2893</v>
      </c>
      <c r="E504" s="102" t="s">
        <v>2694</v>
      </c>
      <c r="F504" s="220">
        <v>34971</v>
      </c>
      <c r="G504" s="102" t="s">
        <v>2695</v>
      </c>
      <c r="H504" s="221">
        <v>11.5</v>
      </c>
      <c r="I504" s="221">
        <v>51.61</v>
      </c>
      <c r="J504" s="221">
        <v>7.84</v>
      </c>
      <c r="K504" s="221">
        <f t="shared" si="7"/>
        <v>3.66</v>
      </c>
      <c r="L504" s="93"/>
      <c r="N504" s="83"/>
      <c r="O504" s="97"/>
      <c r="P504" s="97"/>
      <c r="Q504" s="97"/>
    </row>
    <row r="505" spans="1:17" ht="30" x14ac:dyDescent="0.5">
      <c r="A505" s="102" t="s">
        <v>2723</v>
      </c>
      <c r="B505" s="102" t="s">
        <v>2921</v>
      </c>
      <c r="C505" s="102" t="s">
        <v>3451</v>
      </c>
      <c r="D505" s="102" t="s">
        <v>2893</v>
      </c>
      <c r="E505" s="102" t="s">
        <v>2694</v>
      </c>
      <c r="F505" s="220">
        <v>34985</v>
      </c>
      <c r="G505" s="102" t="s">
        <v>2695</v>
      </c>
      <c r="H505" s="221">
        <v>10.76</v>
      </c>
      <c r="I505" s="221">
        <v>51.16</v>
      </c>
      <c r="J505" s="221">
        <v>7.84</v>
      </c>
      <c r="K505" s="221">
        <f t="shared" si="7"/>
        <v>2.92</v>
      </c>
      <c r="L505" s="93"/>
      <c r="N505" s="83"/>
      <c r="O505" s="97"/>
      <c r="P505" s="97"/>
      <c r="Q505" s="97"/>
    </row>
    <row r="506" spans="1:17" ht="30" x14ac:dyDescent="0.5">
      <c r="A506" s="102" t="s">
        <v>2757</v>
      </c>
      <c r="B506" s="102" t="s">
        <v>3012</v>
      </c>
      <c r="C506" s="102" t="s">
        <v>3452</v>
      </c>
      <c r="D506" s="102" t="s">
        <v>2893</v>
      </c>
      <c r="E506" s="102" t="s">
        <v>2694</v>
      </c>
      <c r="F506" s="220">
        <v>35010</v>
      </c>
      <c r="G506" s="102" t="s">
        <v>2695</v>
      </c>
      <c r="H506" s="221">
        <v>12.5</v>
      </c>
      <c r="I506" s="221">
        <v>54.19</v>
      </c>
      <c r="J506" s="221">
        <v>7.62</v>
      </c>
      <c r="K506" s="221">
        <f t="shared" si="7"/>
        <v>4.88</v>
      </c>
      <c r="L506" s="93"/>
      <c r="N506" s="83"/>
      <c r="O506" s="97"/>
      <c r="P506" s="97"/>
      <c r="Q506" s="97"/>
    </row>
    <row r="507" spans="1:17" ht="30" x14ac:dyDescent="0.5">
      <c r="A507" s="102" t="s">
        <v>2693</v>
      </c>
      <c r="B507" s="102" t="s">
        <v>2959</v>
      </c>
      <c r="C507" s="102" t="s">
        <v>3453</v>
      </c>
      <c r="D507" s="102" t="s">
        <v>2893</v>
      </c>
      <c r="E507" s="102" t="s">
        <v>2694</v>
      </c>
      <c r="F507" s="220">
        <v>35011</v>
      </c>
      <c r="G507" s="102" t="s">
        <v>2695</v>
      </c>
      <c r="H507" s="221">
        <v>11.3</v>
      </c>
      <c r="I507" s="221">
        <v>57.04</v>
      </c>
      <c r="J507" s="221">
        <v>7.62</v>
      </c>
      <c r="K507" s="221">
        <f t="shared" si="7"/>
        <v>3.6800000000000006</v>
      </c>
      <c r="L507" s="93"/>
      <c r="N507" s="83"/>
      <c r="O507" s="97"/>
      <c r="P507" s="97"/>
      <c r="Q507" s="97"/>
    </row>
    <row r="508" spans="1:17" ht="30" x14ac:dyDescent="0.5">
      <c r="A508" s="102" t="s">
        <v>2693</v>
      </c>
      <c r="B508" s="102" t="s">
        <v>2961</v>
      </c>
      <c r="C508" s="102" t="s">
        <v>3454</v>
      </c>
      <c r="D508" s="102" t="s">
        <v>2893</v>
      </c>
      <c r="E508" s="102" t="s">
        <v>2694</v>
      </c>
      <c r="F508" s="220">
        <v>35011</v>
      </c>
      <c r="G508" s="102" t="s">
        <v>2695</v>
      </c>
      <c r="H508" s="221">
        <v>11.1</v>
      </c>
      <c r="I508" s="221">
        <v>51.08</v>
      </c>
      <c r="J508" s="221">
        <v>7.62</v>
      </c>
      <c r="K508" s="221">
        <f t="shared" si="7"/>
        <v>3.4799999999999995</v>
      </c>
      <c r="L508" s="93"/>
      <c r="N508" s="83"/>
      <c r="O508" s="97"/>
      <c r="P508" s="97"/>
      <c r="Q508" s="97"/>
    </row>
    <row r="509" spans="1:17" ht="30" x14ac:dyDescent="0.5">
      <c r="A509" s="102" t="s">
        <v>2763</v>
      </c>
      <c r="B509" s="102" t="s">
        <v>3059</v>
      </c>
      <c r="C509" s="102" t="s">
        <v>3455</v>
      </c>
      <c r="D509" s="102" t="s">
        <v>2893</v>
      </c>
      <c r="E509" s="102" t="s">
        <v>2694</v>
      </c>
      <c r="F509" s="220">
        <v>35020</v>
      </c>
      <c r="G509" s="102" t="s">
        <v>2695</v>
      </c>
      <c r="H509" s="221">
        <v>10.9</v>
      </c>
      <c r="I509" s="221">
        <v>43.13</v>
      </c>
      <c r="J509" s="221">
        <v>7.47</v>
      </c>
      <c r="K509" s="221">
        <f t="shared" si="7"/>
        <v>3.4300000000000006</v>
      </c>
      <c r="L509" s="93"/>
      <c r="N509" s="83"/>
      <c r="O509" s="97"/>
      <c r="P509" s="97"/>
      <c r="Q509" s="97"/>
    </row>
    <row r="510" spans="1:17" ht="30" x14ac:dyDescent="0.5">
      <c r="A510" s="102" t="s">
        <v>2698</v>
      </c>
      <c r="B510" s="102" t="s">
        <v>2722</v>
      </c>
      <c r="C510" s="102" t="s">
        <v>3456</v>
      </c>
      <c r="D510" s="102" t="s">
        <v>2893</v>
      </c>
      <c r="E510" s="102" t="s">
        <v>2694</v>
      </c>
      <c r="F510" s="220">
        <v>35023</v>
      </c>
      <c r="G510" s="102" t="s">
        <v>2695</v>
      </c>
      <c r="H510" s="221">
        <v>11.4</v>
      </c>
      <c r="I510" s="221">
        <v>45.2</v>
      </c>
      <c r="J510" s="221">
        <v>7.47</v>
      </c>
      <c r="K510" s="221">
        <f t="shared" si="7"/>
        <v>3.9300000000000006</v>
      </c>
      <c r="L510" s="93"/>
      <c r="N510" s="83"/>
      <c r="O510" s="97"/>
      <c r="P510" s="97"/>
      <c r="Q510" s="97"/>
    </row>
    <row r="511" spans="1:17" ht="30" x14ac:dyDescent="0.5">
      <c r="A511" s="102" t="s">
        <v>2989</v>
      </c>
      <c r="B511" s="102" t="s">
        <v>3141</v>
      </c>
      <c r="C511" s="102" t="s">
        <v>3457</v>
      </c>
      <c r="D511" s="102" t="s">
        <v>2893</v>
      </c>
      <c r="E511" s="102" t="s">
        <v>2694</v>
      </c>
      <c r="F511" s="220">
        <v>35030</v>
      </c>
      <c r="G511" s="102" t="s">
        <v>2695</v>
      </c>
      <c r="H511" s="221">
        <v>13.6</v>
      </c>
      <c r="I511" s="221">
        <v>46.99</v>
      </c>
      <c r="J511" s="221">
        <v>7.47</v>
      </c>
      <c r="K511" s="221">
        <f t="shared" si="7"/>
        <v>6.13</v>
      </c>
      <c r="L511" s="93"/>
      <c r="N511" s="83"/>
      <c r="O511" s="97"/>
      <c r="P511" s="97"/>
      <c r="Q511" s="97"/>
    </row>
    <row r="512" spans="1:17" ht="30" x14ac:dyDescent="0.5">
      <c r="A512" s="102" t="s">
        <v>2702</v>
      </c>
      <c r="B512" s="102" t="s">
        <v>2755</v>
      </c>
      <c r="C512" s="102" t="s">
        <v>3458</v>
      </c>
      <c r="D512" s="102" t="s">
        <v>2893</v>
      </c>
      <c r="E512" s="102" t="s">
        <v>2694</v>
      </c>
      <c r="F512" s="220">
        <v>35047</v>
      </c>
      <c r="G512" s="102" t="s">
        <v>2695</v>
      </c>
      <c r="H512" s="221">
        <v>11.3</v>
      </c>
      <c r="I512" s="221">
        <v>54.99</v>
      </c>
      <c r="J512" s="221">
        <v>7.47</v>
      </c>
      <c r="K512" s="221">
        <f t="shared" si="7"/>
        <v>3.830000000000001</v>
      </c>
      <c r="L512" s="93"/>
      <c r="N512" s="83"/>
      <c r="O512" s="97"/>
      <c r="P512" s="97"/>
      <c r="Q512" s="97"/>
    </row>
    <row r="513" spans="1:17" ht="30" x14ac:dyDescent="0.5">
      <c r="A513" s="102" t="s">
        <v>2738</v>
      </c>
      <c r="B513" s="102" t="s">
        <v>2760</v>
      </c>
      <c r="C513" s="102" t="s">
        <v>3459</v>
      </c>
      <c r="D513" s="102" t="s">
        <v>2893</v>
      </c>
      <c r="E513" s="102" t="s">
        <v>2694</v>
      </c>
      <c r="F513" s="220">
        <v>35053</v>
      </c>
      <c r="G513" s="102" t="s">
        <v>2695</v>
      </c>
      <c r="H513" s="221">
        <v>11.6</v>
      </c>
      <c r="I513" s="221">
        <v>48</v>
      </c>
      <c r="J513" s="221">
        <v>7.44</v>
      </c>
      <c r="K513" s="221">
        <f t="shared" si="7"/>
        <v>4.1599999999999993</v>
      </c>
      <c r="L513" s="93"/>
      <c r="N513" s="83"/>
      <c r="O513" s="97"/>
      <c r="P513" s="97"/>
      <c r="Q513" s="97"/>
    </row>
    <row r="514" spans="1:17" ht="30" x14ac:dyDescent="0.5">
      <c r="A514" s="102" t="s">
        <v>2766</v>
      </c>
      <c r="B514" s="102" t="s">
        <v>3110</v>
      </c>
      <c r="C514" s="102" t="s">
        <v>3460</v>
      </c>
      <c r="D514" s="102" t="s">
        <v>2893</v>
      </c>
      <c r="E514" s="102" t="s">
        <v>2694</v>
      </c>
      <c r="F514" s="220">
        <v>35095</v>
      </c>
      <c r="G514" s="102" t="s">
        <v>2695</v>
      </c>
      <c r="H514" s="221">
        <v>11.3</v>
      </c>
      <c r="I514" s="221">
        <v>59.16</v>
      </c>
      <c r="J514" s="221">
        <v>7.25</v>
      </c>
      <c r="K514" s="221">
        <f t="shared" si="7"/>
        <v>4.0500000000000007</v>
      </c>
      <c r="L514" s="93"/>
      <c r="N514" s="83"/>
      <c r="O514" s="97"/>
      <c r="P514" s="97"/>
      <c r="Q514" s="97"/>
    </row>
    <row r="515" spans="1:17" ht="30" x14ac:dyDescent="0.5">
      <c r="A515" s="102" t="s">
        <v>2744</v>
      </c>
      <c r="B515" s="102" t="s">
        <v>2770</v>
      </c>
      <c r="C515" s="102" t="s">
        <v>3461</v>
      </c>
      <c r="D515" s="102" t="s">
        <v>2893</v>
      </c>
      <c r="E515" s="102" t="s">
        <v>2694</v>
      </c>
      <c r="F515" s="220">
        <v>35135</v>
      </c>
      <c r="G515" s="102" t="s">
        <v>2695</v>
      </c>
      <c r="H515" s="221">
        <v>11.6</v>
      </c>
      <c r="I515" s="221">
        <v>29.71</v>
      </c>
      <c r="J515" s="221">
        <v>7.21</v>
      </c>
      <c r="K515" s="221">
        <f t="shared" si="7"/>
        <v>4.3899999999999997</v>
      </c>
      <c r="L515" s="93"/>
      <c r="N515" s="83"/>
      <c r="O515" s="97"/>
      <c r="P515" s="97"/>
      <c r="Q515" s="97"/>
    </row>
    <row r="516" spans="1:17" ht="30" x14ac:dyDescent="0.5">
      <c r="A516" s="102" t="s">
        <v>2693</v>
      </c>
      <c r="B516" s="102" t="s">
        <v>2629</v>
      </c>
      <c r="C516" s="102" t="s">
        <v>3462</v>
      </c>
      <c r="D516" s="102" t="s">
        <v>2893</v>
      </c>
      <c r="E516" s="102" t="s">
        <v>2694</v>
      </c>
      <c r="F516" s="220">
        <v>35158</v>
      </c>
      <c r="G516" s="102" t="s">
        <v>2695</v>
      </c>
      <c r="H516" s="221">
        <v>11.13</v>
      </c>
      <c r="I516" s="221">
        <v>58.08</v>
      </c>
      <c r="J516" s="221">
        <v>7.35</v>
      </c>
      <c r="K516" s="221">
        <f t="shared" si="7"/>
        <v>3.7800000000000011</v>
      </c>
      <c r="L516" s="93"/>
      <c r="N516" s="83"/>
      <c r="O516" s="97"/>
      <c r="P516" s="97"/>
      <c r="Q516" s="97"/>
    </row>
    <row r="517" spans="1:17" ht="30" x14ac:dyDescent="0.5">
      <c r="A517" s="102" t="s">
        <v>2706</v>
      </c>
      <c r="B517" s="102" t="s">
        <v>2906</v>
      </c>
      <c r="C517" s="102" t="s">
        <v>3463</v>
      </c>
      <c r="D517" s="102" t="s">
        <v>2893</v>
      </c>
      <c r="E517" s="102" t="s">
        <v>2694</v>
      </c>
      <c r="F517" s="220">
        <v>35170</v>
      </c>
      <c r="G517" s="102" t="s">
        <v>2695</v>
      </c>
      <c r="H517" s="221">
        <v>10.5</v>
      </c>
      <c r="I517" s="221">
        <v>49.29</v>
      </c>
      <c r="J517" s="221">
        <v>7.72</v>
      </c>
      <c r="K517" s="221">
        <f t="shared" si="7"/>
        <v>2.7800000000000002</v>
      </c>
      <c r="L517" s="93"/>
      <c r="N517" s="83"/>
      <c r="O517" s="97"/>
      <c r="P517" s="97"/>
      <c r="Q517" s="97"/>
    </row>
    <row r="518" spans="1:17" ht="30" x14ac:dyDescent="0.5">
      <c r="A518" s="102" t="s">
        <v>2754</v>
      </c>
      <c r="B518" s="102" t="s">
        <v>2975</v>
      </c>
      <c r="C518" s="102" t="s">
        <v>3464</v>
      </c>
      <c r="D518" s="102" t="s">
        <v>2893</v>
      </c>
      <c r="E518" s="102" t="s">
        <v>2694</v>
      </c>
      <c r="F518" s="220">
        <v>35195</v>
      </c>
      <c r="G518" s="102" t="s">
        <v>2695</v>
      </c>
      <c r="H518" s="221">
        <v>11</v>
      </c>
      <c r="I518" s="221">
        <v>48.16</v>
      </c>
      <c r="J518" s="221">
        <v>7.72</v>
      </c>
      <c r="K518" s="221">
        <f t="shared" si="7"/>
        <v>3.2800000000000002</v>
      </c>
      <c r="L518" s="93"/>
      <c r="N518" s="83"/>
      <c r="O518" s="97"/>
      <c r="P518" s="97"/>
      <c r="Q518" s="97"/>
    </row>
    <row r="519" spans="1:17" ht="30" x14ac:dyDescent="0.5">
      <c r="A519" s="102" t="s">
        <v>2704</v>
      </c>
      <c r="B519" s="102" t="s">
        <v>2750</v>
      </c>
      <c r="C519" s="102" t="s">
        <v>3465</v>
      </c>
      <c r="D519" s="102" t="s">
        <v>2893</v>
      </c>
      <c r="E519" s="102" t="s">
        <v>2694</v>
      </c>
      <c r="F519" s="220">
        <v>35341</v>
      </c>
      <c r="G519" s="102" t="s">
        <v>2695</v>
      </c>
      <c r="H519" s="221">
        <v>10</v>
      </c>
      <c r="I519" s="221">
        <v>50.75</v>
      </c>
      <c r="J519" s="221">
        <v>7.84</v>
      </c>
      <c r="K519" s="221">
        <f t="shared" ref="K519:K582" si="8">H519-J519</f>
        <v>2.16</v>
      </c>
      <c r="L519" s="93"/>
      <c r="N519" s="83"/>
      <c r="O519" s="97"/>
      <c r="P519" s="97"/>
      <c r="Q519" s="97"/>
    </row>
    <row r="520" spans="1:17" ht="30" x14ac:dyDescent="0.5">
      <c r="A520" s="102" t="s">
        <v>2772</v>
      </c>
      <c r="B520" s="102" t="s">
        <v>3361</v>
      </c>
      <c r="C520" s="102" t="s">
        <v>3466</v>
      </c>
      <c r="D520" s="102" t="s">
        <v>2893</v>
      </c>
      <c r="E520" s="102" t="s">
        <v>2694</v>
      </c>
      <c r="F520" s="220">
        <v>35367</v>
      </c>
      <c r="G520" s="102" t="s">
        <v>2695</v>
      </c>
      <c r="H520" s="221">
        <v>11.3</v>
      </c>
      <c r="I520" s="221">
        <v>35.04</v>
      </c>
      <c r="J520" s="221">
        <v>8.02</v>
      </c>
      <c r="K520" s="221">
        <f t="shared" si="8"/>
        <v>3.2800000000000011</v>
      </c>
      <c r="L520" s="93"/>
      <c r="N520" s="83"/>
      <c r="O520" s="97"/>
      <c r="P520" s="97"/>
      <c r="Q520" s="97"/>
    </row>
    <row r="521" spans="1:17" ht="30" x14ac:dyDescent="0.5">
      <c r="A521" s="102" t="s">
        <v>2702</v>
      </c>
      <c r="B521" s="102" t="s">
        <v>2755</v>
      </c>
      <c r="C521" s="102" t="s">
        <v>3467</v>
      </c>
      <c r="D521" s="102" t="s">
        <v>2893</v>
      </c>
      <c r="E521" s="102" t="s">
        <v>2694</v>
      </c>
      <c r="F521" s="220">
        <v>35395</v>
      </c>
      <c r="G521" s="102" t="s">
        <v>2695</v>
      </c>
      <c r="H521" s="221">
        <v>11.3</v>
      </c>
      <c r="I521" s="221">
        <v>55</v>
      </c>
      <c r="J521" s="221">
        <v>7.78</v>
      </c>
      <c r="K521" s="221">
        <f t="shared" si="8"/>
        <v>3.5200000000000005</v>
      </c>
      <c r="L521" s="93"/>
      <c r="N521" s="83"/>
      <c r="O521" s="97"/>
      <c r="P521" s="97"/>
      <c r="Q521" s="97"/>
    </row>
    <row r="522" spans="1:17" ht="30" x14ac:dyDescent="0.5">
      <c r="A522" s="102" t="s">
        <v>2751</v>
      </c>
      <c r="B522" s="102" t="s">
        <v>2993</v>
      </c>
      <c r="C522" s="102" t="s">
        <v>3468</v>
      </c>
      <c r="D522" s="102" t="s">
        <v>2893</v>
      </c>
      <c r="E522" s="102" t="s">
        <v>2694</v>
      </c>
      <c r="F522" s="220">
        <v>35396</v>
      </c>
      <c r="G522" s="102" t="s">
        <v>2695</v>
      </c>
      <c r="H522" s="221">
        <v>11.3</v>
      </c>
      <c r="I522" s="221">
        <v>41.29</v>
      </c>
      <c r="J522" s="221">
        <v>7.78</v>
      </c>
      <c r="K522" s="221">
        <f t="shared" si="8"/>
        <v>3.5200000000000005</v>
      </c>
      <c r="L522" s="93"/>
      <c r="N522" s="83"/>
      <c r="O522" s="97"/>
      <c r="P522" s="97"/>
      <c r="Q522" s="97"/>
    </row>
    <row r="523" spans="1:17" ht="30" x14ac:dyDescent="0.5">
      <c r="A523" s="102" t="s">
        <v>2700</v>
      </c>
      <c r="B523" s="102" t="s">
        <v>3082</v>
      </c>
      <c r="C523" s="102" t="s">
        <v>3469</v>
      </c>
      <c r="D523" s="102" t="s">
        <v>2893</v>
      </c>
      <c r="E523" s="102" t="s">
        <v>2694</v>
      </c>
      <c r="F523" s="220">
        <v>35398</v>
      </c>
      <c r="G523" s="102" t="s">
        <v>2695</v>
      </c>
      <c r="H523" s="221">
        <v>11</v>
      </c>
      <c r="I523" s="221">
        <v>47.16</v>
      </c>
      <c r="J523" s="221">
        <v>7.78</v>
      </c>
      <c r="K523" s="221">
        <f t="shared" si="8"/>
        <v>3.2199999999999998</v>
      </c>
      <c r="L523" s="93"/>
      <c r="N523" s="83"/>
      <c r="O523" s="97"/>
      <c r="P523" s="97"/>
      <c r="Q523" s="97"/>
    </row>
    <row r="524" spans="1:17" ht="30" x14ac:dyDescent="0.5">
      <c r="A524" s="102" t="s">
        <v>2710</v>
      </c>
      <c r="B524" s="102" t="s">
        <v>2761</v>
      </c>
      <c r="C524" s="102" t="s">
        <v>3470</v>
      </c>
      <c r="D524" s="102" t="s">
        <v>2893</v>
      </c>
      <c r="E524" s="102" t="s">
        <v>2694</v>
      </c>
      <c r="F524" s="220">
        <v>35411</v>
      </c>
      <c r="G524" s="102" t="s">
        <v>2695</v>
      </c>
      <c r="H524" s="221">
        <v>11.96</v>
      </c>
      <c r="I524" s="221">
        <v>47.98</v>
      </c>
      <c r="J524" s="221">
        <v>7.78</v>
      </c>
      <c r="K524" s="221">
        <f t="shared" si="8"/>
        <v>4.1800000000000006</v>
      </c>
      <c r="L524" s="93"/>
      <c r="N524" s="83"/>
      <c r="O524" s="97"/>
      <c r="P524" s="97"/>
      <c r="Q524" s="97"/>
    </row>
    <row r="525" spans="1:17" ht="30" x14ac:dyDescent="0.5">
      <c r="A525" s="102" t="s">
        <v>2768</v>
      </c>
      <c r="B525" s="102" t="s">
        <v>3012</v>
      </c>
      <c r="C525" s="102" t="s">
        <v>3471</v>
      </c>
      <c r="D525" s="102" t="s">
        <v>2893</v>
      </c>
      <c r="E525" s="102" t="s">
        <v>2694</v>
      </c>
      <c r="F525" s="220">
        <v>35416</v>
      </c>
      <c r="G525" s="102" t="s">
        <v>2695</v>
      </c>
      <c r="H525" s="221">
        <v>11.5</v>
      </c>
      <c r="I525" s="221">
        <v>49.6</v>
      </c>
      <c r="J525" s="221">
        <v>7.5</v>
      </c>
      <c r="K525" s="221">
        <f t="shared" si="8"/>
        <v>4</v>
      </c>
      <c r="L525" s="93"/>
      <c r="N525" s="83"/>
      <c r="O525" s="97"/>
      <c r="P525" s="97"/>
      <c r="Q525" s="97"/>
    </row>
    <row r="526" spans="1:17" ht="30" x14ac:dyDescent="0.5">
      <c r="A526" s="102" t="s">
        <v>2756</v>
      </c>
      <c r="B526" s="102" t="s">
        <v>3010</v>
      </c>
      <c r="C526" s="102" t="s">
        <v>3472</v>
      </c>
      <c r="D526" s="102" t="s">
        <v>2893</v>
      </c>
      <c r="E526" s="102" t="s">
        <v>2694</v>
      </c>
      <c r="F526" s="220">
        <v>35452</v>
      </c>
      <c r="G526" s="102" t="s">
        <v>2695</v>
      </c>
      <c r="H526" s="221">
        <v>11.3</v>
      </c>
      <c r="I526" s="221">
        <v>33.130000000000003</v>
      </c>
      <c r="J526" s="221">
        <v>7.57</v>
      </c>
      <c r="K526" s="221">
        <f t="shared" si="8"/>
        <v>3.7300000000000004</v>
      </c>
      <c r="L526" s="93"/>
      <c r="N526" s="83"/>
      <c r="O526" s="97"/>
      <c r="P526" s="97"/>
      <c r="Q526" s="97"/>
    </row>
    <row r="527" spans="1:17" ht="30" x14ac:dyDescent="0.5">
      <c r="A527" s="102" t="s">
        <v>2715</v>
      </c>
      <c r="B527" s="102" t="s">
        <v>2716</v>
      </c>
      <c r="C527" s="102" t="s">
        <v>3473</v>
      </c>
      <c r="D527" s="102" t="s">
        <v>2893</v>
      </c>
      <c r="E527" s="102" t="s">
        <v>2694</v>
      </c>
      <c r="F527" s="220">
        <v>35461</v>
      </c>
      <c r="G527" s="102" t="s">
        <v>2695</v>
      </c>
      <c r="H527" s="221">
        <v>11.25</v>
      </c>
      <c r="I527" s="221">
        <v>52.79</v>
      </c>
      <c r="J527" s="221">
        <v>7.57</v>
      </c>
      <c r="K527" s="221">
        <f t="shared" si="8"/>
        <v>3.6799999999999997</v>
      </c>
      <c r="L527" s="93"/>
      <c r="N527" s="83"/>
      <c r="O527" s="97"/>
      <c r="P527" s="97"/>
      <c r="Q527" s="97"/>
    </row>
    <row r="528" spans="1:17" ht="30" x14ac:dyDescent="0.5">
      <c r="A528" s="102" t="s">
        <v>2702</v>
      </c>
      <c r="B528" s="102" t="s">
        <v>3007</v>
      </c>
      <c r="C528" s="102" t="s">
        <v>3474</v>
      </c>
      <c r="D528" s="102" t="s">
        <v>2893</v>
      </c>
      <c r="E528" s="102" t="s">
        <v>2694</v>
      </c>
      <c r="F528" s="220">
        <v>35474</v>
      </c>
      <c r="G528" s="102" t="s">
        <v>2695</v>
      </c>
      <c r="H528" s="221">
        <v>11.8</v>
      </c>
      <c r="I528" s="221">
        <v>53.35</v>
      </c>
      <c r="J528" s="221">
        <v>7.57</v>
      </c>
      <c r="K528" s="221">
        <f t="shared" si="8"/>
        <v>4.2300000000000004</v>
      </c>
      <c r="L528" s="93"/>
      <c r="N528" s="83"/>
      <c r="O528" s="97"/>
      <c r="P528" s="97"/>
      <c r="Q528" s="97"/>
    </row>
    <row r="529" spans="1:17" ht="30" x14ac:dyDescent="0.5">
      <c r="A529" s="102" t="s">
        <v>2752</v>
      </c>
      <c r="B529" s="102" t="s">
        <v>2753</v>
      </c>
      <c r="C529" s="102" t="s">
        <v>3475</v>
      </c>
      <c r="D529" s="102" t="s">
        <v>2893</v>
      </c>
      <c r="E529" s="102" t="s">
        <v>2694</v>
      </c>
      <c r="F529" s="220">
        <v>35474</v>
      </c>
      <c r="G529" s="102" t="s">
        <v>2695</v>
      </c>
      <c r="H529" s="221">
        <v>11</v>
      </c>
      <c r="I529" s="221">
        <v>50.5</v>
      </c>
      <c r="J529" s="221">
        <v>7.57</v>
      </c>
      <c r="K529" s="221">
        <f t="shared" si="8"/>
        <v>3.4299999999999997</v>
      </c>
      <c r="L529" s="93"/>
      <c r="N529" s="83"/>
      <c r="O529" s="97"/>
      <c r="P529" s="97"/>
      <c r="Q529" s="97"/>
    </row>
    <row r="530" spans="1:17" ht="30" x14ac:dyDescent="0.5">
      <c r="A530" s="102" t="s">
        <v>2702</v>
      </c>
      <c r="B530" s="102" t="s">
        <v>2748</v>
      </c>
      <c r="C530" s="102" t="s">
        <v>3476</v>
      </c>
      <c r="D530" s="102" t="s">
        <v>2893</v>
      </c>
      <c r="E530" s="102" t="s">
        <v>2694</v>
      </c>
      <c r="F530" s="220">
        <v>35481</v>
      </c>
      <c r="G530" s="102" t="s">
        <v>2695</v>
      </c>
      <c r="H530" s="221">
        <v>11.8</v>
      </c>
      <c r="I530" s="221">
        <v>54.8</v>
      </c>
      <c r="J530" s="221">
        <v>7.77</v>
      </c>
      <c r="K530" s="221">
        <f t="shared" si="8"/>
        <v>4.0300000000000011</v>
      </c>
      <c r="L530" s="93"/>
      <c r="N530" s="83"/>
      <c r="O530" s="97"/>
      <c r="P530" s="97"/>
      <c r="Q530" s="97"/>
    </row>
    <row r="531" spans="1:17" ht="30" x14ac:dyDescent="0.5">
      <c r="A531" s="102" t="s">
        <v>2744</v>
      </c>
      <c r="B531" s="102" t="s">
        <v>3244</v>
      </c>
      <c r="C531" s="102" t="s">
        <v>3477</v>
      </c>
      <c r="D531" s="102" t="s">
        <v>2893</v>
      </c>
      <c r="E531" s="102" t="s">
        <v>2694</v>
      </c>
      <c r="F531" s="220">
        <v>35516</v>
      </c>
      <c r="G531" s="102" t="s">
        <v>2695</v>
      </c>
      <c r="H531" s="221">
        <v>10.75</v>
      </c>
      <c r="I531" s="221">
        <v>42.44</v>
      </c>
      <c r="J531" s="221">
        <v>7.64</v>
      </c>
      <c r="K531" s="221">
        <f t="shared" si="8"/>
        <v>3.1100000000000003</v>
      </c>
      <c r="L531" s="93"/>
      <c r="N531" s="83"/>
      <c r="O531" s="97"/>
      <c r="P531" s="97"/>
      <c r="Q531" s="97"/>
    </row>
    <row r="532" spans="1:17" ht="30" x14ac:dyDescent="0.5">
      <c r="A532" s="102" t="s">
        <v>2702</v>
      </c>
      <c r="B532" s="102" t="s">
        <v>2749</v>
      </c>
      <c r="C532" s="102" t="s">
        <v>3478</v>
      </c>
      <c r="D532" s="102" t="s">
        <v>2893</v>
      </c>
      <c r="E532" s="102" t="s">
        <v>2694</v>
      </c>
      <c r="F532" s="220">
        <v>35549</v>
      </c>
      <c r="G532" s="102" t="s">
        <v>2695</v>
      </c>
      <c r="H532" s="221">
        <v>11.7</v>
      </c>
      <c r="I532" s="221">
        <v>52</v>
      </c>
      <c r="J532" s="221">
        <v>7.87</v>
      </c>
      <c r="K532" s="221">
        <f t="shared" si="8"/>
        <v>3.8299999999999992</v>
      </c>
      <c r="L532" s="93"/>
      <c r="N532" s="83"/>
      <c r="O532" s="97"/>
      <c r="P532" s="97"/>
      <c r="Q532" s="97"/>
    </row>
    <row r="533" spans="1:17" ht="30" x14ac:dyDescent="0.5">
      <c r="A533" s="102" t="s">
        <v>2702</v>
      </c>
      <c r="B533" s="102" t="s">
        <v>2703</v>
      </c>
      <c r="C533" s="102" t="s">
        <v>3479</v>
      </c>
      <c r="D533" s="102" t="s">
        <v>2893</v>
      </c>
      <c r="E533" s="102" t="s">
        <v>2694</v>
      </c>
      <c r="F533" s="220">
        <v>35628</v>
      </c>
      <c r="G533" s="102" t="s">
        <v>2695</v>
      </c>
      <c r="H533" s="221">
        <v>12</v>
      </c>
      <c r="I533" s="221">
        <v>53.01</v>
      </c>
      <c r="J533" s="221">
        <v>7.72</v>
      </c>
      <c r="K533" s="221">
        <f t="shared" si="8"/>
        <v>4.28</v>
      </c>
      <c r="L533" s="93"/>
      <c r="N533" s="83"/>
      <c r="O533" s="97"/>
      <c r="P533" s="97"/>
      <c r="Q533" s="97"/>
    </row>
    <row r="534" spans="1:17" ht="30" x14ac:dyDescent="0.5">
      <c r="A534" s="102" t="s">
        <v>2766</v>
      </c>
      <c r="B534" s="102" t="s">
        <v>3110</v>
      </c>
      <c r="C534" s="102" t="s">
        <v>3480</v>
      </c>
      <c r="D534" s="102" t="s">
        <v>2893</v>
      </c>
      <c r="E534" s="102" t="s">
        <v>2694</v>
      </c>
      <c r="F534" s="220">
        <v>35913</v>
      </c>
      <c r="G534" s="102" t="s">
        <v>2695</v>
      </c>
      <c r="H534" s="221">
        <v>10.9</v>
      </c>
      <c r="I534" s="221">
        <v>54.94</v>
      </c>
      <c r="J534" s="221">
        <v>7.16</v>
      </c>
      <c r="K534" s="221">
        <f t="shared" si="8"/>
        <v>3.74</v>
      </c>
      <c r="L534" s="93"/>
      <c r="N534" s="83"/>
      <c r="O534" s="97"/>
      <c r="P534" s="97"/>
      <c r="Q534" s="97"/>
    </row>
    <row r="535" spans="1:17" ht="30" x14ac:dyDescent="0.5">
      <c r="A535" s="102" t="s">
        <v>2702</v>
      </c>
      <c r="B535" s="102" t="s">
        <v>2773</v>
      </c>
      <c r="C535" s="102" t="s">
        <v>3481</v>
      </c>
      <c r="D535" s="102" t="s">
        <v>2893</v>
      </c>
      <c r="E535" s="102" t="s">
        <v>2694</v>
      </c>
      <c r="F535" s="220">
        <v>35915</v>
      </c>
      <c r="G535" s="102" t="s">
        <v>2695</v>
      </c>
      <c r="H535" s="221">
        <v>12.2</v>
      </c>
      <c r="I535" s="221">
        <v>53.14</v>
      </c>
      <c r="J535" s="221">
        <v>7.16</v>
      </c>
      <c r="K535" s="221">
        <f t="shared" si="8"/>
        <v>5.0399999999999991</v>
      </c>
      <c r="L535" s="93"/>
      <c r="N535" s="83"/>
      <c r="O535" s="97"/>
      <c r="P535" s="97"/>
      <c r="Q535" s="97"/>
    </row>
    <row r="536" spans="1:17" ht="30" x14ac:dyDescent="0.5">
      <c r="A536" s="102" t="s">
        <v>2699</v>
      </c>
      <c r="B536" s="102" t="s">
        <v>2628</v>
      </c>
      <c r="C536" s="102" t="s">
        <v>3482</v>
      </c>
      <c r="D536" s="102" t="s">
        <v>2893</v>
      </c>
      <c r="E536" s="102" t="s">
        <v>2694</v>
      </c>
      <c r="F536" s="220">
        <v>35976</v>
      </c>
      <c r="G536" s="102" t="s">
        <v>2695</v>
      </c>
      <c r="H536" s="221">
        <v>11</v>
      </c>
      <c r="I536" s="221">
        <v>43.88</v>
      </c>
      <c r="J536" s="221">
        <v>7.16</v>
      </c>
      <c r="K536" s="221">
        <f t="shared" si="8"/>
        <v>3.84</v>
      </c>
      <c r="L536" s="93"/>
      <c r="N536" s="83"/>
      <c r="O536" s="97"/>
      <c r="P536" s="97"/>
      <c r="Q536" s="97"/>
    </row>
    <row r="537" spans="1:17" ht="30" x14ac:dyDescent="0.5">
      <c r="A537" s="102" t="s">
        <v>2756</v>
      </c>
      <c r="B537" s="102" t="s">
        <v>3010</v>
      </c>
      <c r="C537" s="102" t="s">
        <v>3483</v>
      </c>
      <c r="D537" s="102" t="s">
        <v>2893</v>
      </c>
      <c r="E537" s="102" t="s">
        <v>2694</v>
      </c>
      <c r="F537" s="220">
        <v>36033</v>
      </c>
      <c r="G537" s="102" t="s">
        <v>2695</v>
      </c>
      <c r="H537" s="221">
        <v>10.93</v>
      </c>
      <c r="I537" s="221">
        <v>38.5</v>
      </c>
      <c r="J537" s="221">
        <v>7.02</v>
      </c>
      <c r="K537" s="221">
        <f t="shared" si="8"/>
        <v>3.91</v>
      </c>
      <c r="L537" s="93"/>
      <c r="N537" s="83"/>
      <c r="O537" s="97"/>
      <c r="P537" s="97"/>
      <c r="Q537" s="97"/>
    </row>
    <row r="538" spans="1:17" ht="30" x14ac:dyDescent="0.5">
      <c r="A538" s="102" t="s">
        <v>2702</v>
      </c>
      <c r="B538" s="102" t="s">
        <v>2755</v>
      </c>
      <c r="C538" s="102" t="s">
        <v>3484</v>
      </c>
      <c r="D538" s="102" t="s">
        <v>2893</v>
      </c>
      <c r="E538" s="102" t="s">
        <v>2694</v>
      </c>
      <c r="F538" s="220">
        <v>36053</v>
      </c>
      <c r="G538" s="102" t="s">
        <v>2695</v>
      </c>
      <c r="H538" s="221">
        <v>11.9</v>
      </c>
      <c r="I538" s="221">
        <v>55</v>
      </c>
      <c r="J538" s="221">
        <v>7</v>
      </c>
      <c r="K538" s="221">
        <f t="shared" si="8"/>
        <v>4.9000000000000004</v>
      </c>
      <c r="L538" s="93"/>
      <c r="N538" s="83"/>
      <c r="O538" s="97"/>
      <c r="P538" s="97"/>
      <c r="Q538" s="97"/>
    </row>
    <row r="539" spans="1:17" ht="30" x14ac:dyDescent="0.5">
      <c r="A539" s="102" t="s">
        <v>2768</v>
      </c>
      <c r="B539" s="102" t="s">
        <v>3106</v>
      </c>
      <c r="C539" s="102" t="s">
        <v>3485</v>
      </c>
      <c r="D539" s="102" t="s">
        <v>2893</v>
      </c>
      <c r="E539" s="102" t="s">
        <v>2694</v>
      </c>
      <c r="F539" s="220">
        <v>36075</v>
      </c>
      <c r="G539" s="102" t="s">
        <v>2695</v>
      </c>
      <c r="H539" s="221">
        <v>11.06</v>
      </c>
      <c r="I539" s="221">
        <v>44.16</v>
      </c>
      <c r="J539" s="221">
        <v>7</v>
      </c>
      <c r="K539" s="221">
        <f t="shared" si="8"/>
        <v>4.0600000000000005</v>
      </c>
      <c r="L539" s="93"/>
      <c r="N539" s="83"/>
      <c r="O539" s="97"/>
      <c r="P539" s="97"/>
      <c r="Q539" s="97"/>
    </row>
    <row r="540" spans="1:17" ht="30" x14ac:dyDescent="0.5">
      <c r="A540" s="102" t="s">
        <v>2743</v>
      </c>
      <c r="B540" s="102" t="s">
        <v>2969</v>
      </c>
      <c r="C540" s="102" t="s">
        <v>3486</v>
      </c>
      <c r="D540" s="102" t="s">
        <v>2893</v>
      </c>
      <c r="E540" s="102" t="s">
        <v>2694</v>
      </c>
      <c r="F540" s="220">
        <v>36098</v>
      </c>
      <c r="G540" s="102" t="s">
        <v>2695</v>
      </c>
      <c r="H540" s="221">
        <v>11.4</v>
      </c>
      <c r="I540" s="221">
        <v>51.91</v>
      </c>
      <c r="J540" s="221">
        <v>6.94</v>
      </c>
      <c r="K540" s="221">
        <f t="shared" si="8"/>
        <v>4.46</v>
      </c>
      <c r="L540" s="93"/>
      <c r="N540" s="83"/>
      <c r="O540" s="97"/>
      <c r="P540" s="97"/>
      <c r="Q540" s="97"/>
    </row>
    <row r="541" spans="1:17" ht="30" x14ac:dyDescent="0.5">
      <c r="A541" s="102" t="s">
        <v>2702</v>
      </c>
      <c r="B541" s="102" t="s">
        <v>2703</v>
      </c>
      <c r="C541" s="102" t="s">
        <v>3487</v>
      </c>
      <c r="D541" s="102" t="s">
        <v>2893</v>
      </c>
      <c r="E541" s="102" t="s">
        <v>2694</v>
      </c>
      <c r="F541" s="220">
        <v>36139</v>
      </c>
      <c r="G541" s="102" t="s">
        <v>2695</v>
      </c>
      <c r="H541" s="221">
        <v>12.2</v>
      </c>
      <c r="I541" s="221">
        <v>53.35</v>
      </c>
      <c r="J541" s="221">
        <v>6.96</v>
      </c>
      <c r="K541" s="221">
        <f t="shared" si="8"/>
        <v>5.2399999999999993</v>
      </c>
      <c r="L541" s="93"/>
      <c r="N541" s="83"/>
      <c r="O541" s="97"/>
      <c r="P541" s="97"/>
      <c r="Q541" s="97"/>
    </row>
    <row r="542" spans="1:17" ht="30" x14ac:dyDescent="0.5">
      <c r="A542" s="102" t="s">
        <v>2702</v>
      </c>
      <c r="B542" s="102" t="s">
        <v>2748</v>
      </c>
      <c r="C542" s="102" t="s">
        <v>3488</v>
      </c>
      <c r="D542" s="102" t="s">
        <v>2893</v>
      </c>
      <c r="E542" s="102" t="s">
        <v>2694</v>
      </c>
      <c r="F542" s="220">
        <v>36146</v>
      </c>
      <c r="G542" s="102" t="s">
        <v>2695</v>
      </c>
      <c r="H542" s="221">
        <v>12.1</v>
      </c>
      <c r="I542" s="221">
        <v>54.22</v>
      </c>
      <c r="J542" s="221">
        <v>7.04</v>
      </c>
      <c r="K542" s="221">
        <f t="shared" si="8"/>
        <v>5.0599999999999996</v>
      </c>
      <c r="L542" s="93"/>
      <c r="N542" s="83"/>
      <c r="O542" s="97"/>
      <c r="P542" s="97"/>
      <c r="Q542" s="97"/>
    </row>
    <row r="543" spans="1:17" ht="30" x14ac:dyDescent="0.5">
      <c r="A543" s="102" t="s">
        <v>2766</v>
      </c>
      <c r="B543" s="102" t="s">
        <v>3356</v>
      </c>
      <c r="C543" s="102" t="s">
        <v>3489</v>
      </c>
      <c r="D543" s="102" t="s">
        <v>2893</v>
      </c>
      <c r="E543" s="102" t="s">
        <v>2694</v>
      </c>
      <c r="F543" s="220">
        <v>36210</v>
      </c>
      <c r="G543" s="102" t="s">
        <v>2695</v>
      </c>
      <c r="H543" s="221">
        <v>11.15</v>
      </c>
      <c r="I543" s="221">
        <v>45.17</v>
      </c>
      <c r="J543" s="221">
        <v>6.97</v>
      </c>
      <c r="K543" s="221">
        <f t="shared" si="8"/>
        <v>4.1800000000000006</v>
      </c>
      <c r="L543" s="93"/>
      <c r="N543" s="83"/>
      <c r="O543" s="97"/>
      <c r="P543" s="97"/>
      <c r="Q543" s="97"/>
    </row>
    <row r="544" spans="1:17" ht="30" x14ac:dyDescent="0.5">
      <c r="A544" s="102" t="s">
        <v>2693</v>
      </c>
      <c r="B544" s="102" t="s">
        <v>2742</v>
      </c>
      <c r="C544" s="102" t="s">
        <v>3490</v>
      </c>
      <c r="D544" s="102" t="s">
        <v>2893</v>
      </c>
      <c r="E544" s="102" t="s">
        <v>2694</v>
      </c>
      <c r="F544" s="220">
        <v>36220</v>
      </c>
      <c r="G544" s="102" t="s">
        <v>2695</v>
      </c>
      <c r="H544" s="221">
        <v>10.65</v>
      </c>
      <c r="I544" s="221">
        <v>55.66</v>
      </c>
      <c r="J544" s="221">
        <v>6.97</v>
      </c>
      <c r="K544" s="221">
        <f t="shared" si="8"/>
        <v>3.6800000000000006</v>
      </c>
      <c r="L544" s="93"/>
      <c r="N544" s="83"/>
      <c r="O544" s="97"/>
      <c r="P544" s="97"/>
      <c r="Q544" s="97"/>
    </row>
    <row r="545" spans="1:17" ht="30" x14ac:dyDescent="0.5">
      <c r="A545" s="102" t="s">
        <v>2693</v>
      </c>
      <c r="B545" s="102" t="s">
        <v>2742</v>
      </c>
      <c r="C545" s="102" t="s">
        <v>3491</v>
      </c>
      <c r="D545" s="102" t="s">
        <v>2893</v>
      </c>
      <c r="E545" s="102" t="s">
        <v>2694</v>
      </c>
      <c r="F545" s="220">
        <v>36220</v>
      </c>
      <c r="G545" s="102" t="s">
        <v>2695</v>
      </c>
      <c r="H545" s="221">
        <v>10.65</v>
      </c>
      <c r="I545" s="221">
        <v>45.81</v>
      </c>
      <c r="J545" s="221">
        <v>6.97</v>
      </c>
      <c r="K545" s="221">
        <f t="shared" si="8"/>
        <v>3.6800000000000006</v>
      </c>
      <c r="L545" s="93"/>
      <c r="N545" s="83"/>
      <c r="O545" s="97"/>
      <c r="P545" s="97"/>
      <c r="Q545" s="97"/>
    </row>
    <row r="546" spans="1:17" ht="30" x14ac:dyDescent="0.5">
      <c r="A546" s="102" t="s">
        <v>2715</v>
      </c>
      <c r="B546" s="102" t="s">
        <v>2716</v>
      </c>
      <c r="C546" s="102" t="s">
        <v>3492</v>
      </c>
      <c r="D546" s="102" t="s">
        <v>2893</v>
      </c>
      <c r="E546" s="102" t="s">
        <v>2694</v>
      </c>
      <c r="F546" s="220">
        <v>36319</v>
      </c>
      <c r="G546" s="102" t="s">
        <v>2695</v>
      </c>
      <c r="H546" s="221">
        <v>11.25</v>
      </c>
      <c r="I546" s="221">
        <v>52.36</v>
      </c>
      <c r="J546" s="221">
        <v>7.21</v>
      </c>
      <c r="K546" s="221">
        <f t="shared" si="8"/>
        <v>4.04</v>
      </c>
      <c r="L546" s="93"/>
      <c r="N546" s="83"/>
      <c r="O546" s="97"/>
      <c r="P546" s="97"/>
      <c r="Q546" s="97"/>
    </row>
    <row r="547" spans="1:17" ht="30" x14ac:dyDescent="0.5">
      <c r="A547" s="102" t="s">
        <v>2774</v>
      </c>
      <c r="B547" s="102" t="s">
        <v>3493</v>
      </c>
      <c r="C547" s="102" t="s">
        <v>3494</v>
      </c>
      <c r="D547" s="102" t="s">
        <v>2893</v>
      </c>
      <c r="E547" s="102" t="s">
        <v>2694</v>
      </c>
      <c r="F547" s="220">
        <v>36476</v>
      </c>
      <c r="G547" s="102" t="s">
        <v>2695</v>
      </c>
      <c r="H547" s="221">
        <v>10.25</v>
      </c>
      <c r="I547" s="221">
        <v>47.71</v>
      </c>
      <c r="J547" s="221">
        <v>7.93</v>
      </c>
      <c r="K547" s="221">
        <f t="shared" si="8"/>
        <v>2.3200000000000003</v>
      </c>
      <c r="L547" s="93"/>
      <c r="N547" s="83"/>
      <c r="O547" s="97"/>
      <c r="P547" s="97"/>
      <c r="Q547" s="97"/>
    </row>
    <row r="548" spans="1:17" ht="30" x14ac:dyDescent="0.5">
      <c r="A548" s="102" t="s">
        <v>2756</v>
      </c>
      <c r="B548" s="102" t="s">
        <v>2875</v>
      </c>
      <c r="C548" s="102" t="s">
        <v>3495</v>
      </c>
      <c r="D548" s="102" t="s">
        <v>2893</v>
      </c>
      <c r="E548" s="102" t="s">
        <v>2694</v>
      </c>
      <c r="F548" s="220">
        <v>36508</v>
      </c>
      <c r="G548" s="102" t="s">
        <v>2695</v>
      </c>
      <c r="H548" s="221">
        <v>10.5</v>
      </c>
      <c r="I548" s="221">
        <v>52.66</v>
      </c>
      <c r="J548" s="221">
        <v>8.06</v>
      </c>
      <c r="K548" s="221">
        <f t="shared" si="8"/>
        <v>2.4399999999999995</v>
      </c>
      <c r="L548" s="93"/>
      <c r="N548" s="83"/>
      <c r="O548" s="97"/>
      <c r="P548" s="97"/>
      <c r="Q548" s="97"/>
    </row>
    <row r="549" spans="1:17" ht="30" x14ac:dyDescent="0.5">
      <c r="A549" s="102" t="s">
        <v>2723</v>
      </c>
      <c r="B549" s="102" t="s">
        <v>2949</v>
      </c>
      <c r="C549" s="102" t="s">
        <v>3496</v>
      </c>
      <c r="D549" s="102" t="s">
        <v>2893</v>
      </c>
      <c r="E549" s="102" t="s">
        <v>2694</v>
      </c>
      <c r="F549" s="220">
        <v>36553</v>
      </c>
      <c r="G549" s="102" t="s">
        <v>2695</v>
      </c>
      <c r="H549" s="221">
        <v>10.71</v>
      </c>
      <c r="I549" s="221">
        <v>53.95</v>
      </c>
      <c r="J549" s="221">
        <v>8.1199999999999992</v>
      </c>
      <c r="K549" s="221">
        <f t="shared" si="8"/>
        <v>2.5900000000000016</v>
      </c>
      <c r="L549" s="93"/>
      <c r="N549" s="83"/>
      <c r="O549" s="97"/>
      <c r="P549" s="97"/>
      <c r="Q549" s="97"/>
    </row>
    <row r="550" spans="1:17" ht="30" x14ac:dyDescent="0.5">
      <c r="A550" s="102" t="s">
        <v>2738</v>
      </c>
      <c r="B550" s="102" t="s">
        <v>2760</v>
      </c>
      <c r="C550" s="102" t="s">
        <v>3497</v>
      </c>
      <c r="D550" s="102" t="s">
        <v>2893</v>
      </c>
      <c r="E550" s="102" t="s">
        <v>2694</v>
      </c>
      <c r="F550" s="220">
        <v>36573</v>
      </c>
      <c r="G550" s="102" t="s">
        <v>2695</v>
      </c>
      <c r="H550" s="221">
        <v>10.6</v>
      </c>
      <c r="I550" s="221">
        <v>48</v>
      </c>
      <c r="J550" s="221">
        <v>8.35</v>
      </c>
      <c r="K550" s="221">
        <f t="shared" si="8"/>
        <v>2.25</v>
      </c>
      <c r="L550" s="93"/>
      <c r="N550" s="83"/>
      <c r="O550" s="97"/>
      <c r="P550" s="97"/>
      <c r="Q550" s="97"/>
    </row>
    <row r="551" spans="1:17" ht="30" x14ac:dyDescent="0.5">
      <c r="A551" s="102" t="s">
        <v>2723</v>
      </c>
      <c r="B551" s="102" t="s">
        <v>2921</v>
      </c>
      <c r="C551" s="102" t="s">
        <v>3498</v>
      </c>
      <c r="D551" s="102" t="s">
        <v>2893</v>
      </c>
      <c r="E551" s="102" t="s">
        <v>2694</v>
      </c>
      <c r="F551" s="220">
        <v>36671</v>
      </c>
      <c r="G551" s="102" t="s">
        <v>2695</v>
      </c>
      <c r="H551" s="221">
        <v>10.8</v>
      </c>
      <c r="I551" s="221">
        <v>50.35</v>
      </c>
      <c r="J551" s="221">
        <v>8.2799999999999994</v>
      </c>
      <c r="K551" s="221">
        <f t="shared" si="8"/>
        <v>2.5200000000000014</v>
      </c>
      <c r="L551" s="93"/>
      <c r="N551" s="83"/>
      <c r="O551" s="97"/>
      <c r="P551" s="97"/>
      <c r="Q551" s="97"/>
    </row>
    <row r="552" spans="1:17" ht="30" x14ac:dyDescent="0.5">
      <c r="A552" s="102" t="s">
        <v>2698</v>
      </c>
      <c r="B552" s="102" t="s">
        <v>2722</v>
      </c>
      <c r="C552" s="102" t="s">
        <v>3499</v>
      </c>
      <c r="D552" s="102" t="s">
        <v>2893</v>
      </c>
      <c r="E552" s="102" t="s">
        <v>2694</v>
      </c>
      <c r="F552" s="220">
        <v>36696</v>
      </c>
      <c r="G552" s="102" t="s">
        <v>2695</v>
      </c>
      <c r="H552" s="221">
        <v>11.05</v>
      </c>
      <c r="I552" s="221">
        <v>44.48</v>
      </c>
      <c r="J552" s="221">
        <v>8.69</v>
      </c>
      <c r="K552" s="221">
        <f t="shared" si="8"/>
        <v>2.3600000000000012</v>
      </c>
      <c r="L552" s="93"/>
      <c r="N552" s="83"/>
      <c r="O552" s="97"/>
      <c r="P552" s="97"/>
      <c r="Q552" s="97"/>
    </row>
    <row r="553" spans="1:17" ht="30" x14ac:dyDescent="0.5">
      <c r="A553" s="102" t="s">
        <v>2693</v>
      </c>
      <c r="B553" s="102" t="s">
        <v>2709</v>
      </c>
      <c r="C553" s="102" t="s">
        <v>3500</v>
      </c>
      <c r="D553" s="102" t="s">
        <v>2893</v>
      </c>
      <c r="E553" s="102" t="s">
        <v>2694</v>
      </c>
      <c r="F553" s="220">
        <v>36724</v>
      </c>
      <c r="G553" s="102" t="s">
        <v>2695</v>
      </c>
      <c r="H553" s="221">
        <v>11.06</v>
      </c>
      <c r="I553" s="221">
        <v>46</v>
      </c>
      <c r="J553" s="221">
        <v>8.3800000000000008</v>
      </c>
      <c r="K553" s="221">
        <f t="shared" si="8"/>
        <v>2.6799999999999997</v>
      </c>
      <c r="L553" s="93"/>
      <c r="N553" s="83"/>
      <c r="O553" s="97"/>
      <c r="P553" s="97"/>
      <c r="Q553" s="97"/>
    </row>
    <row r="554" spans="1:17" ht="30" x14ac:dyDescent="0.5">
      <c r="A554" s="102" t="s">
        <v>2702</v>
      </c>
      <c r="B554" s="102" t="s">
        <v>2773</v>
      </c>
      <c r="C554" s="102" t="s">
        <v>3501</v>
      </c>
      <c r="D554" s="102" t="s">
        <v>2893</v>
      </c>
      <c r="E554" s="102" t="s">
        <v>2694</v>
      </c>
      <c r="F554" s="220">
        <v>36727</v>
      </c>
      <c r="G554" s="102" t="s">
        <v>2695</v>
      </c>
      <c r="H554" s="221">
        <v>12.2</v>
      </c>
      <c r="I554" s="221">
        <v>53.45</v>
      </c>
      <c r="J554" s="221">
        <v>8.3800000000000008</v>
      </c>
      <c r="K554" s="221">
        <f t="shared" si="8"/>
        <v>3.8199999999999985</v>
      </c>
      <c r="L554" s="93"/>
      <c r="N554" s="83"/>
      <c r="O554" s="97"/>
      <c r="P554" s="97"/>
      <c r="Q554" s="97"/>
    </row>
    <row r="555" spans="1:17" ht="30" x14ac:dyDescent="0.5">
      <c r="A555" s="102" t="s">
        <v>2714</v>
      </c>
      <c r="B555" s="102" t="s">
        <v>2916</v>
      </c>
      <c r="C555" s="102" t="s">
        <v>3502</v>
      </c>
      <c r="D555" s="102" t="s">
        <v>2893</v>
      </c>
      <c r="E555" s="102" t="s">
        <v>2694</v>
      </c>
      <c r="F555" s="220">
        <v>36749</v>
      </c>
      <c r="G555" s="102" t="s">
        <v>2695</v>
      </c>
      <c r="H555" s="221">
        <v>11</v>
      </c>
      <c r="I555" s="221">
        <v>55.04</v>
      </c>
      <c r="J555" s="221">
        <v>8.3800000000000008</v>
      </c>
      <c r="K555" s="221">
        <f t="shared" si="8"/>
        <v>2.6199999999999992</v>
      </c>
      <c r="L555" s="93"/>
      <c r="N555" s="83"/>
      <c r="O555" s="97"/>
      <c r="P555" s="97"/>
      <c r="Q555" s="97"/>
    </row>
    <row r="556" spans="1:17" ht="30" x14ac:dyDescent="0.5">
      <c r="A556" s="102" t="s">
        <v>2728</v>
      </c>
      <c r="B556" s="102" t="s">
        <v>2729</v>
      </c>
      <c r="C556" s="102" t="s">
        <v>3503</v>
      </c>
      <c r="D556" s="102" t="s">
        <v>2893</v>
      </c>
      <c r="E556" s="102" t="s">
        <v>2694</v>
      </c>
      <c r="F556" s="220">
        <v>36796</v>
      </c>
      <c r="G556" s="102" t="s">
        <v>2695</v>
      </c>
      <c r="H556" s="221">
        <v>11.25</v>
      </c>
      <c r="I556" s="221">
        <v>44.79</v>
      </c>
      <c r="J556" s="221">
        <v>8.1300000000000008</v>
      </c>
      <c r="K556" s="221">
        <f t="shared" si="8"/>
        <v>3.1199999999999992</v>
      </c>
      <c r="L556" s="93"/>
      <c r="N556" s="83"/>
      <c r="O556" s="97"/>
      <c r="P556" s="97"/>
      <c r="Q556" s="97"/>
    </row>
    <row r="557" spans="1:17" ht="30" x14ac:dyDescent="0.5">
      <c r="A557" s="102" t="s">
        <v>2736</v>
      </c>
      <c r="B557" s="102" t="s">
        <v>2727</v>
      </c>
      <c r="C557" s="102" t="s">
        <v>3504</v>
      </c>
      <c r="D557" s="102" t="s">
        <v>2893</v>
      </c>
      <c r="E557" s="102" t="s">
        <v>2694</v>
      </c>
      <c r="F557" s="220">
        <v>36798</v>
      </c>
      <c r="G557" s="102" t="s">
        <v>2695</v>
      </c>
      <c r="H557" s="221">
        <v>11.16</v>
      </c>
      <c r="I557" s="221">
        <v>42</v>
      </c>
      <c r="J557" s="221">
        <v>8.1300000000000008</v>
      </c>
      <c r="K557" s="221">
        <f t="shared" si="8"/>
        <v>3.0299999999999994</v>
      </c>
      <c r="L557" s="93"/>
      <c r="N557" s="83"/>
      <c r="O557" s="97"/>
      <c r="P557" s="97"/>
      <c r="Q557" s="97"/>
    </row>
    <row r="558" spans="1:17" ht="30" x14ac:dyDescent="0.5">
      <c r="A558" s="102" t="s">
        <v>2702</v>
      </c>
      <c r="B558" s="102" t="s">
        <v>2703</v>
      </c>
      <c r="C558" s="102" t="s">
        <v>3505</v>
      </c>
      <c r="D558" s="102" t="s">
        <v>2893</v>
      </c>
      <c r="E558" s="102" t="s">
        <v>2694</v>
      </c>
      <c r="F558" s="220">
        <v>36858</v>
      </c>
      <c r="G558" s="102" t="s">
        <v>2695</v>
      </c>
      <c r="H558" s="221">
        <v>12.9</v>
      </c>
      <c r="I558" s="221">
        <v>50.69</v>
      </c>
      <c r="J558" s="221">
        <v>8.14</v>
      </c>
      <c r="K558" s="221">
        <f t="shared" si="8"/>
        <v>4.76</v>
      </c>
      <c r="L558" s="93"/>
      <c r="N558" s="83"/>
      <c r="O558" s="97"/>
      <c r="P558" s="97"/>
      <c r="Q558" s="97"/>
    </row>
    <row r="559" spans="1:17" ht="30" x14ac:dyDescent="0.5">
      <c r="A559" s="102" t="s">
        <v>2702</v>
      </c>
      <c r="B559" s="102" t="s">
        <v>2748</v>
      </c>
      <c r="C559" s="102" t="s">
        <v>3506</v>
      </c>
      <c r="D559" s="102" t="s">
        <v>2893</v>
      </c>
      <c r="E559" s="102" t="s">
        <v>2694</v>
      </c>
      <c r="F559" s="220">
        <v>36860</v>
      </c>
      <c r="G559" s="102" t="s">
        <v>2695</v>
      </c>
      <c r="H559" s="221">
        <v>12.1</v>
      </c>
      <c r="I559" s="221">
        <v>54.28</v>
      </c>
      <c r="J559" s="221">
        <v>8.14</v>
      </c>
      <c r="K559" s="221">
        <f t="shared" si="8"/>
        <v>3.9599999999999991</v>
      </c>
      <c r="L559" s="93"/>
      <c r="N559" s="83"/>
      <c r="O559" s="97"/>
      <c r="P559" s="97"/>
      <c r="Q559" s="97"/>
    </row>
    <row r="560" spans="1:17" ht="30" x14ac:dyDescent="0.5">
      <c r="A560" s="102" t="s">
        <v>2772</v>
      </c>
      <c r="B560" s="102" t="s">
        <v>3361</v>
      </c>
      <c r="C560" s="102" t="s">
        <v>3507</v>
      </c>
      <c r="D560" s="102" t="s">
        <v>2893</v>
      </c>
      <c r="E560" s="102" t="s">
        <v>2694</v>
      </c>
      <c r="F560" s="220">
        <v>36927</v>
      </c>
      <c r="G560" s="102" t="s">
        <v>2695</v>
      </c>
      <c r="H560" s="221">
        <v>11.5</v>
      </c>
      <c r="I560" s="221">
        <v>37.39</v>
      </c>
      <c r="J560" s="221">
        <v>7.86</v>
      </c>
      <c r="K560" s="221">
        <f t="shared" si="8"/>
        <v>3.6399999999999997</v>
      </c>
      <c r="L560" s="93"/>
      <c r="N560" s="83"/>
      <c r="O560" s="97"/>
      <c r="P560" s="97"/>
      <c r="Q560" s="97"/>
    </row>
    <row r="561" spans="1:17" ht="30" x14ac:dyDescent="0.5">
      <c r="A561" s="102" t="s">
        <v>2715</v>
      </c>
      <c r="B561" s="102" t="s">
        <v>2716</v>
      </c>
      <c r="C561" s="102" t="s">
        <v>3508</v>
      </c>
      <c r="D561" s="102" t="s">
        <v>2893</v>
      </c>
      <c r="E561" s="102" t="s">
        <v>2694</v>
      </c>
      <c r="F561" s="220">
        <v>36965</v>
      </c>
      <c r="G561" s="102" t="s">
        <v>2695</v>
      </c>
      <c r="H561" s="221">
        <v>11.25</v>
      </c>
      <c r="I561" s="221">
        <v>50.4</v>
      </c>
      <c r="J561" s="221">
        <v>7.74</v>
      </c>
      <c r="K561" s="221">
        <f t="shared" si="8"/>
        <v>3.51</v>
      </c>
      <c r="L561" s="93"/>
      <c r="N561" s="83"/>
      <c r="O561" s="97"/>
      <c r="P561" s="97"/>
      <c r="Q561" s="97"/>
    </row>
    <row r="562" spans="1:17" ht="30" x14ac:dyDescent="0.5">
      <c r="A562" s="102" t="s">
        <v>2740</v>
      </c>
      <c r="B562" s="102" t="s">
        <v>2964</v>
      </c>
      <c r="C562" s="102" t="s">
        <v>3509</v>
      </c>
      <c r="D562" s="102" t="s">
        <v>2893</v>
      </c>
      <c r="E562" s="102" t="s">
        <v>2694</v>
      </c>
      <c r="F562" s="220">
        <v>37019</v>
      </c>
      <c r="G562" s="102" t="s">
        <v>2695</v>
      </c>
      <c r="H562" s="221">
        <v>10.75</v>
      </c>
      <c r="I562" s="221">
        <v>45</v>
      </c>
      <c r="J562" s="221">
        <v>7.67</v>
      </c>
      <c r="K562" s="221">
        <f t="shared" si="8"/>
        <v>3.08</v>
      </c>
      <c r="L562" s="93"/>
      <c r="N562" s="83"/>
      <c r="O562" s="97"/>
      <c r="P562" s="97"/>
      <c r="Q562" s="97"/>
    </row>
    <row r="563" spans="1:17" ht="30" x14ac:dyDescent="0.5">
      <c r="A563" s="102" t="s">
        <v>2717</v>
      </c>
      <c r="B563" s="102" t="s">
        <v>2939</v>
      </c>
      <c r="C563" s="102" t="s">
        <v>3510</v>
      </c>
      <c r="D563" s="102" t="s">
        <v>2893</v>
      </c>
      <c r="E563" s="102" t="s">
        <v>2694</v>
      </c>
      <c r="F563" s="220">
        <v>37188</v>
      </c>
      <c r="G563" s="102" t="s">
        <v>2695</v>
      </c>
      <c r="H563" s="221">
        <v>11</v>
      </c>
      <c r="I563" s="221">
        <v>40</v>
      </c>
      <c r="J563" s="221">
        <v>7.71</v>
      </c>
      <c r="K563" s="221">
        <f t="shared" si="8"/>
        <v>3.29</v>
      </c>
      <c r="L563" s="93"/>
      <c r="N563" s="83"/>
      <c r="O563" s="97"/>
      <c r="P563" s="97"/>
      <c r="Q563" s="97"/>
    </row>
    <row r="564" spans="1:17" ht="30" x14ac:dyDescent="0.5">
      <c r="A564" s="102" t="s">
        <v>2723</v>
      </c>
      <c r="B564" s="102" t="s">
        <v>3389</v>
      </c>
      <c r="C564" s="102" t="s">
        <v>3511</v>
      </c>
      <c r="D564" s="102" t="s">
        <v>2893</v>
      </c>
      <c r="E564" s="102" t="s">
        <v>2694</v>
      </c>
      <c r="F564" s="220">
        <v>37286</v>
      </c>
      <c r="G564" s="102" t="s">
        <v>2695</v>
      </c>
      <c r="H564" s="221">
        <v>11</v>
      </c>
      <c r="I564" s="221">
        <v>45.46</v>
      </c>
      <c r="J564" s="221">
        <v>7.83</v>
      </c>
      <c r="K564" s="221">
        <f t="shared" si="8"/>
        <v>3.17</v>
      </c>
      <c r="L564" s="93"/>
      <c r="N564" s="83"/>
      <c r="O564" s="97"/>
      <c r="P564" s="97"/>
      <c r="Q564" s="97"/>
    </row>
    <row r="565" spans="1:17" ht="30" x14ac:dyDescent="0.5">
      <c r="A565" s="102" t="s">
        <v>2728</v>
      </c>
      <c r="B565" s="102" t="s">
        <v>2771</v>
      </c>
      <c r="C565" s="102" t="s">
        <v>3512</v>
      </c>
      <c r="D565" s="102" t="s">
        <v>2893</v>
      </c>
      <c r="E565" s="102" t="s">
        <v>2694</v>
      </c>
      <c r="F565" s="220">
        <v>37287</v>
      </c>
      <c r="G565" s="102" t="s">
        <v>2695</v>
      </c>
      <c r="H565" s="221">
        <v>11</v>
      </c>
      <c r="I565" s="221">
        <v>52.73</v>
      </c>
      <c r="J565" s="221">
        <v>7.83</v>
      </c>
      <c r="K565" s="221">
        <f t="shared" si="8"/>
        <v>3.17</v>
      </c>
      <c r="L565" s="93"/>
      <c r="N565" s="83"/>
      <c r="O565" s="97"/>
      <c r="P565" s="97"/>
      <c r="Q565" s="97"/>
    </row>
    <row r="566" spans="1:17" ht="30" x14ac:dyDescent="0.5">
      <c r="A566" s="102" t="s">
        <v>2699</v>
      </c>
      <c r="B566" s="102" t="s">
        <v>2628</v>
      </c>
      <c r="C566" s="102" t="s">
        <v>3513</v>
      </c>
      <c r="D566" s="102" t="s">
        <v>2893</v>
      </c>
      <c r="E566" s="102" t="s">
        <v>2694</v>
      </c>
      <c r="F566" s="220">
        <v>37375</v>
      </c>
      <c r="G566" s="102" t="s">
        <v>2695</v>
      </c>
      <c r="H566" s="221">
        <v>11</v>
      </c>
      <c r="I566" s="221">
        <v>47</v>
      </c>
      <c r="J566" s="221">
        <v>7.74</v>
      </c>
      <c r="K566" s="221">
        <f t="shared" si="8"/>
        <v>3.26</v>
      </c>
      <c r="L566" s="93"/>
      <c r="N566" s="83"/>
      <c r="O566" s="97"/>
      <c r="P566" s="97"/>
      <c r="Q566" s="97"/>
    </row>
    <row r="567" spans="1:17" ht="30" x14ac:dyDescent="0.5">
      <c r="A567" s="102" t="s">
        <v>2702</v>
      </c>
      <c r="B567" s="102" t="s">
        <v>2748</v>
      </c>
      <c r="C567" s="102" t="s">
        <v>3514</v>
      </c>
      <c r="D567" s="102" t="s">
        <v>2893</v>
      </c>
      <c r="E567" s="102" t="s">
        <v>2694</v>
      </c>
      <c r="F567" s="220">
        <v>37427</v>
      </c>
      <c r="G567" s="102" t="s">
        <v>2695</v>
      </c>
      <c r="H567" s="221">
        <v>12.3</v>
      </c>
      <c r="I567" s="221">
        <v>54.99</v>
      </c>
      <c r="J567" s="221">
        <v>7.53</v>
      </c>
      <c r="K567" s="221">
        <f t="shared" si="8"/>
        <v>4.7700000000000005</v>
      </c>
      <c r="L567" s="93"/>
      <c r="N567" s="83"/>
      <c r="O567" s="97"/>
      <c r="P567" s="97"/>
      <c r="Q567" s="97"/>
    </row>
    <row r="568" spans="1:17" ht="30" x14ac:dyDescent="0.5">
      <c r="A568" s="102" t="s">
        <v>2693</v>
      </c>
      <c r="B568" s="102" t="s">
        <v>2709</v>
      </c>
      <c r="C568" s="102" t="s">
        <v>3515</v>
      </c>
      <c r="D568" s="102" t="s">
        <v>2893</v>
      </c>
      <c r="E568" s="102" t="s">
        <v>2694</v>
      </c>
      <c r="F568" s="220">
        <v>37510</v>
      </c>
      <c r="G568" s="102" t="s">
        <v>2695</v>
      </c>
      <c r="H568" s="221">
        <v>11.2</v>
      </c>
      <c r="I568" s="221">
        <v>51.61</v>
      </c>
      <c r="J568" s="221">
        <v>7.32</v>
      </c>
      <c r="K568" s="221">
        <f t="shared" si="8"/>
        <v>3.879999999999999</v>
      </c>
      <c r="L568" s="93"/>
      <c r="N568" s="83"/>
      <c r="O568" s="97"/>
      <c r="P568" s="97"/>
      <c r="Q568" s="97"/>
    </row>
    <row r="569" spans="1:17" ht="30" x14ac:dyDescent="0.5">
      <c r="A569" s="102" t="s">
        <v>2702</v>
      </c>
      <c r="B569" s="102" t="s">
        <v>2749</v>
      </c>
      <c r="C569" s="102" t="s">
        <v>3516</v>
      </c>
      <c r="D569" s="102" t="s">
        <v>2893</v>
      </c>
      <c r="E569" s="102" t="s">
        <v>2694</v>
      </c>
      <c r="F569" s="220">
        <v>37511</v>
      </c>
      <c r="G569" s="102" t="s">
        <v>2695</v>
      </c>
      <c r="H569" s="221">
        <v>12.3</v>
      </c>
      <c r="I569" s="221">
        <v>44.67</v>
      </c>
      <c r="J569" s="221">
        <v>7.32</v>
      </c>
      <c r="K569" s="221">
        <f t="shared" si="8"/>
        <v>4.9800000000000004</v>
      </c>
      <c r="L569" s="93"/>
      <c r="N569" s="83"/>
      <c r="O569" s="97"/>
      <c r="P569" s="97"/>
      <c r="Q569" s="97"/>
    </row>
    <row r="570" spans="1:17" ht="30" x14ac:dyDescent="0.5">
      <c r="A570" s="102" t="s">
        <v>2734</v>
      </c>
      <c r="B570" s="102" t="s">
        <v>2895</v>
      </c>
      <c r="C570" s="102" t="s">
        <v>3517</v>
      </c>
      <c r="D570" s="102" t="s">
        <v>2893</v>
      </c>
      <c r="E570" s="102" t="s">
        <v>2694</v>
      </c>
      <c r="F570" s="220">
        <v>37559</v>
      </c>
      <c r="G570" s="102" t="s">
        <v>2695</v>
      </c>
      <c r="H570" s="221">
        <v>10.6</v>
      </c>
      <c r="I570" s="221">
        <v>54</v>
      </c>
      <c r="J570" s="221">
        <v>7.09</v>
      </c>
      <c r="K570" s="221">
        <f t="shared" si="8"/>
        <v>3.51</v>
      </c>
      <c r="L570" s="93"/>
      <c r="N570" s="83"/>
      <c r="O570" s="97"/>
      <c r="P570" s="97"/>
      <c r="Q570" s="97"/>
    </row>
    <row r="571" spans="1:17" ht="30" x14ac:dyDescent="0.5">
      <c r="A571" s="102" t="s">
        <v>2757</v>
      </c>
      <c r="B571" s="102" t="s">
        <v>3012</v>
      </c>
      <c r="C571" s="102" t="s">
        <v>3518</v>
      </c>
      <c r="D571" s="102" t="s">
        <v>2893</v>
      </c>
      <c r="E571" s="102" t="s">
        <v>2694</v>
      </c>
      <c r="F571" s="220">
        <v>37561</v>
      </c>
      <c r="G571" s="102" t="s">
        <v>2695</v>
      </c>
      <c r="H571" s="221">
        <v>12.6</v>
      </c>
      <c r="I571" s="221">
        <v>54.9</v>
      </c>
      <c r="J571" s="221">
        <v>7.09</v>
      </c>
      <c r="K571" s="221">
        <f t="shared" si="8"/>
        <v>5.51</v>
      </c>
      <c r="L571" s="93"/>
      <c r="N571" s="83"/>
      <c r="O571" s="97"/>
      <c r="P571" s="97"/>
      <c r="Q571" s="97"/>
    </row>
    <row r="572" spans="1:17" ht="30" x14ac:dyDescent="0.5">
      <c r="A572" s="102" t="s">
        <v>2744</v>
      </c>
      <c r="B572" s="102" t="s">
        <v>2770</v>
      </c>
      <c r="C572" s="102" t="s">
        <v>3519</v>
      </c>
      <c r="D572" s="102" t="s">
        <v>2893</v>
      </c>
      <c r="E572" s="102" t="s">
        <v>2694</v>
      </c>
      <c r="F572" s="220">
        <v>37567</v>
      </c>
      <c r="G572" s="102" t="s">
        <v>2695</v>
      </c>
      <c r="H572" s="221">
        <v>11.4</v>
      </c>
      <c r="I572" s="221">
        <v>34.590000000000003</v>
      </c>
      <c r="J572" s="221">
        <v>7.09</v>
      </c>
      <c r="K572" s="221">
        <f t="shared" si="8"/>
        <v>4.3100000000000005</v>
      </c>
      <c r="L572" s="93"/>
      <c r="N572" s="83"/>
      <c r="O572" s="97"/>
      <c r="P572" s="97"/>
      <c r="Q572" s="97"/>
    </row>
    <row r="573" spans="1:17" ht="30" x14ac:dyDescent="0.5">
      <c r="A573" s="102" t="s">
        <v>2714</v>
      </c>
      <c r="B573" s="102" t="s">
        <v>2916</v>
      </c>
      <c r="C573" s="102" t="s">
        <v>3520</v>
      </c>
      <c r="D573" s="102" t="s">
        <v>2893</v>
      </c>
      <c r="E573" s="102" t="s">
        <v>2694</v>
      </c>
      <c r="F573" s="220">
        <v>37620</v>
      </c>
      <c r="G573" s="102" t="s">
        <v>2695</v>
      </c>
      <c r="H573" s="221">
        <v>11.2</v>
      </c>
      <c r="I573" s="221">
        <v>52.61</v>
      </c>
      <c r="J573" s="221">
        <v>7.14</v>
      </c>
      <c r="K573" s="221">
        <f t="shared" si="8"/>
        <v>4.0599999999999996</v>
      </c>
      <c r="L573" s="93"/>
      <c r="N573" s="83"/>
      <c r="O573" s="97"/>
      <c r="P573" s="97"/>
      <c r="Q573" s="97"/>
    </row>
    <row r="574" spans="1:17" ht="30" x14ac:dyDescent="0.5">
      <c r="A574" s="102" t="s">
        <v>2702</v>
      </c>
      <c r="B574" s="102" t="s">
        <v>2703</v>
      </c>
      <c r="C574" s="102" t="s">
        <v>3521</v>
      </c>
      <c r="D574" s="102" t="s">
        <v>2893</v>
      </c>
      <c r="E574" s="102" t="s">
        <v>2694</v>
      </c>
      <c r="F574" s="220">
        <v>37680</v>
      </c>
      <c r="G574" s="102" t="s">
        <v>2695</v>
      </c>
      <c r="H574" s="221">
        <v>12.3</v>
      </c>
      <c r="I574" s="221">
        <v>55.42</v>
      </c>
      <c r="J574" s="221">
        <v>7.06</v>
      </c>
      <c r="K574" s="221">
        <f t="shared" si="8"/>
        <v>5.2400000000000011</v>
      </c>
      <c r="L574" s="93"/>
      <c r="N574" s="83"/>
      <c r="O574" s="97"/>
      <c r="P574" s="97"/>
      <c r="Q574" s="97"/>
    </row>
    <row r="575" spans="1:17" ht="30" x14ac:dyDescent="0.5">
      <c r="A575" s="102" t="s">
        <v>2704</v>
      </c>
      <c r="B575" s="102" t="s">
        <v>2927</v>
      </c>
      <c r="C575" s="102" t="s">
        <v>3522</v>
      </c>
      <c r="D575" s="102" t="s">
        <v>2893</v>
      </c>
      <c r="E575" s="102" t="s">
        <v>2694</v>
      </c>
      <c r="F575" s="220">
        <v>37687</v>
      </c>
      <c r="G575" s="102" t="s">
        <v>2695</v>
      </c>
      <c r="H575" s="221">
        <v>9.9600000000000009</v>
      </c>
      <c r="I575" s="221">
        <v>41.4</v>
      </c>
      <c r="J575" s="221">
        <v>7.06</v>
      </c>
      <c r="K575" s="221">
        <f t="shared" si="8"/>
        <v>2.9000000000000012</v>
      </c>
      <c r="L575" s="93"/>
      <c r="N575" s="83"/>
      <c r="O575" s="97"/>
      <c r="P575" s="97"/>
      <c r="Q575" s="97"/>
    </row>
    <row r="576" spans="1:17" ht="30" x14ac:dyDescent="0.5">
      <c r="A576" s="102" t="s">
        <v>2702</v>
      </c>
      <c r="B576" s="102" t="s">
        <v>2748</v>
      </c>
      <c r="C576" s="102" t="s">
        <v>3523</v>
      </c>
      <c r="D576" s="102" t="s">
        <v>2893</v>
      </c>
      <c r="E576" s="102" t="s">
        <v>2694</v>
      </c>
      <c r="F576" s="220">
        <v>37700</v>
      </c>
      <c r="G576" s="102" t="s">
        <v>2695</v>
      </c>
      <c r="H576" s="221">
        <v>12</v>
      </c>
      <c r="I576" s="221">
        <v>55</v>
      </c>
      <c r="J576" s="221">
        <v>6.93</v>
      </c>
      <c r="K576" s="221">
        <f t="shared" si="8"/>
        <v>5.07</v>
      </c>
      <c r="L576" s="93"/>
      <c r="N576" s="83"/>
      <c r="O576" s="97"/>
      <c r="P576" s="97"/>
      <c r="Q576" s="97"/>
    </row>
    <row r="577" spans="1:17" ht="30" x14ac:dyDescent="0.5">
      <c r="A577" s="102" t="s">
        <v>2702</v>
      </c>
      <c r="B577" s="102" t="s">
        <v>2749</v>
      </c>
      <c r="C577" s="102" t="s">
        <v>3524</v>
      </c>
      <c r="D577" s="102" t="s">
        <v>2893</v>
      </c>
      <c r="E577" s="102" t="s">
        <v>2694</v>
      </c>
      <c r="F577" s="220">
        <v>37714</v>
      </c>
      <c r="G577" s="102" t="s">
        <v>2695</v>
      </c>
      <c r="H577" s="221">
        <v>12</v>
      </c>
      <c r="I577" s="221">
        <v>51.72</v>
      </c>
      <c r="J577" s="221">
        <v>6.93</v>
      </c>
      <c r="K577" s="221">
        <f t="shared" si="8"/>
        <v>5.07</v>
      </c>
      <c r="L577" s="93"/>
      <c r="N577" s="83"/>
      <c r="O577" s="97"/>
      <c r="P577" s="97"/>
      <c r="Q577" s="97"/>
    </row>
    <row r="578" spans="1:17" ht="30" x14ac:dyDescent="0.5">
      <c r="A578" s="102" t="s">
        <v>2708</v>
      </c>
      <c r="B578" s="102" t="s">
        <v>2747</v>
      </c>
      <c r="C578" s="102" t="s">
        <v>3525</v>
      </c>
      <c r="D578" s="102" t="s">
        <v>2893</v>
      </c>
      <c r="E578" s="102" t="s">
        <v>2694</v>
      </c>
      <c r="F578" s="220">
        <v>37756</v>
      </c>
      <c r="G578" s="102" t="s">
        <v>2695</v>
      </c>
      <c r="H578" s="221">
        <v>11.05</v>
      </c>
      <c r="I578" s="221">
        <v>47.84</v>
      </c>
      <c r="J578" s="221">
        <v>6.65</v>
      </c>
      <c r="K578" s="221">
        <f t="shared" si="8"/>
        <v>4.4000000000000004</v>
      </c>
      <c r="L578" s="93"/>
      <c r="N578" s="83"/>
      <c r="O578" s="97"/>
      <c r="P578" s="97"/>
      <c r="Q578" s="97"/>
    </row>
    <row r="579" spans="1:17" ht="30" x14ac:dyDescent="0.5">
      <c r="A579" s="102" t="s">
        <v>2693</v>
      </c>
      <c r="B579" s="102" t="s">
        <v>2742</v>
      </c>
      <c r="C579" s="102" t="s">
        <v>3526</v>
      </c>
      <c r="D579" s="102" t="s">
        <v>2893</v>
      </c>
      <c r="E579" s="102" t="s">
        <v>2694</v>
      </c>
      <c r="F579" s="220">
        <v>37911</v>
      </c>
      <c r="G579" s="102" t="s">
        <v>2695</v>
      </c>
      <c r="H579" s="221">
        <v>10.54</v>
      </c>
      <c r="I579" s="221">
        <v>48.54</v>
      </c>
      <c r="J579" s="221">
        <v>6.58</v>
      </c>
      <c r="K579" s="221">
        <f t="shared" si="8"/>
        <v>3.9599999999999991</v>
      </c>
      <c r="L579" s="93"/>
      <c r="N579" s="83"/>
      <c r="O579" s="97"/>
      <c r="P579" s="97"/>
      <c r="Q579" s="97"/>
    </row>
    <row r="580" spans="1:17" ht="30" x14ac:dyDescent="0.5">
      <c r="A580" s="102" t="s">
        <v>2693</v>
      </c>
      <c r="B580" s="102" t="s">
        <v>2742</v>
      </c>
      <c r="C580" s="102" t="s">
        <v>3527</v>
      </c>
      <c r="D580" s="102" t="s">
        <v>2893</v>
      </c>
      <c r="E580" s="102" t="s">
        <v>2694</v>
      </c>
      <c r="F580" s="220">
        <v>37916</v>
      </c>
      <c r="G580" s="102" t="s">
        <v>2695</v>
      </c>
      <c r="H580" s="221">
        <v>10.71</v>
      </c>
      <c r="I580" s="221">
        <v>44.44</v>
      </c>
      <c r="J580" s="221">
        <v>6.58</v>
      </c>
      <c r="K580" s="221">
        <f t="shared" si="8"/>
        <v>4.1300000000000008</v>
      </c>
      <c r="L580" s="93"/>
      <c r="N580" s="83"/>
      <c r="O580" s="97"/>
      <c r="P580" s="97"/>
      <c r="Q580" s="97"/>
    </row>
    <row r="581" spans="1:17" ht="30" x14ac:dyDescent="0.5">
      <c r="A581" s="102" t="s">
        <v>2693</v>
      </c>
      <c r="B581" s="102" t="s">
        <v>2742</v>
      </c>
      <c r="C581" s="102" t="s">
        <v>3528</v>
      </c>
      <c r="D581" s="102" t="s">
        <v>2893</v>
      </c>
      <c r="E581" s="102" t="s">
        <v>2694</v>
      </c>
      <c r="F581" s="220">
        <v>37916</v>
      </c>
      <c r="G581" s="102" t="s">
        <v>2695</v>
      </c>
      <c r="H581" s="221">
        <v>10.46</v>
      </c>
      <c r="I581" s="221">
        <v>52.7</v>
      </c>
      <c r="J581" s="221">
        <v>6.58</v>
      </c>
      <c r="K581" s="221">
        <f t="shared" si="8"/>
        <v>3.8800000000000008</v>
      </c>
      <c r="L581" s="93"/>
      <c r="N581" s="83"/>
      <c r="O581" s="97"/>
      <c r="P581" s="97"/>
      <c r="Q581" s="97"/>
    </row>
    <row r="582" spans="1:17" ht="30" x14ac:dyDescent="0.5">
      <c r="A582" s="102" t="s">
        <v>2698</v>
      </c>
      <c r="B582" s="102" t="s">
        <v>2895</v>
      </c>
      <c r="C582" s="102" t="s">
        <v>3529</v>
      </c>
      <c r="D582" s="102" t="s">
        <v>2893</v>
      </c>
      <c r="E582" s="102" t="s">
        <v>2694</v>
      </c>
      <c r="F582" s="220">
        <v>37925</v>
      </c>
      <c r="G582" s="102" t="s">
        <v>2695</v>
      </c>
      <c r="H582" s="221">
        <v>10.75</v>
      </c>
      <c r="I582" s="221">
        <v>51.49</v>
      </c>
      <c r="J582" s="221">
        <v>6.58</v>
      </c>
      <c r="K582" s="221">
        <f t="shared" si="8"/>
        <v>4.17</v>
      </c>
      <c r="L582" s="93"/>
      <c r="N582" s="83"/>
      <c r="O582" s="97"/>
      <c r="P582" s="97"/>
      <c r="Q582" s="97"/>
    </row>
    <row r="583" spans="1:17" ht="30" x14ac:dyDescent="0.5">
      <c r="A583" s="102" t="s">
        <v>2700</v>
      </c>
      <c r="B583" s="102" t="s">
        <v>3082</v>
      </c>
      <c r="C583" s="102" t="s">
        <v>3530</v>
      </c>
      <c r="D583" s="102" t="s">
        <v>2893</v>
      </c>
      <c r="E583" s="102" t="s">
        <v>2694</v>
      </c>
      <c r="F583" s="220">
        <v>37925</v>
      </c>
      <c r="G583" s="102" t="s">
        <v>2695</v>
      </c>
      <c r="H583" s="221">
        <v>10.199999999999999</v>
      </c>
      <c r="I583" s="221">
        <v>50</v>
      </c>
      <c r="J583" s="221">
        <v>6.58</v>
      </c>
      <c r="K583" s="221">
        <f t="shared" ref="K583:K646" si="9">H583-J583</f>
        <v>3.6199999999999992</v>
      </c>
      <c r="L583" s="93"/>
      <c r="N583" s="83"/>
      <c r="O583" s="97"/>
      <c r="P583" s="97"/>
      <c r="Q583" s="97"/>
    </row>
    <row r="584" spans="1:17" ht="30" x14ac:dyDescent="0.5">
      <c r="A584" s="102" t="s">
        <v>2734</v>
      </c>
      <c r="B584" s="102" t="s">
        <v>2895</v>
      </c>
      <c r="C584" s="102" t="s">
        <v>3531</v>
      </c>
      <c r="D584" s="102" t="s">
        <v>2893</v>
      </c>
      <c r="E584" s="102" t="s">
        <v>2694</v>
      </c>
      <c r="F584" s="220">
        <v>37935</v>
      </c>
      <c r="G584" s="102" t="s">
        <v>2695</v>
      </c>
      <c r="H584" s="221">
        <v>10.6</v>
      </c>
      <c r="I584" s="221">
        <v>50.3</v>
      </c>
      <c r="J584" s="221">
        <v>6.58</v>
      </c>
      <c r="K584" s="221">
        <f t="shared" si="9"/>
        <v>4.0199999999999996</v>
      </c>
      <c r="L584" s="93"/>
      <c r="N584" s="83"/>
      <c r="O584" s="97"/>
      <c r="P584" s="97"/>
      <c r="Q584" s="97"/>
    </row>
    <row r="585" spans="1:17" ht="30" x14ac:dyDescent="0.5">
      <c r="A585" s="102" t="s">
        <v>2766</v>
      </c>
      <c r="B585" s="102" t="s">
        <v>2895</v>
      </c>
      <c r="C585" s="102" t="s">
        <v>3532</v>
      </c>
      <c r="D585" s="102" t="s">
        <v>2893</v>
      </c>
      <c r="E585" s="102" t="s">
        <v>2694</v>
      </c>
      <c r="F585" s="220">
        <v>37973</v>
      </c>
      <c r="G585" s="102" t="s">
        <v>2695</v>
      </c>
      <c r="H585" s="221">
        <v>10.5</v>
      </c>
      <c r="I585" s="221">
        <v>50.96</v>
      </c>
      <c r="J585" s="221">
        <v>6.37</v>
      </c>
      <c r="K585" s="221">
        <f t="shared" si="9"/>
        <v>4.13</v>
      </c>
      <c r="L585" s="93"/>
      <c r="N585" s="83"/>
      <c r="O585" s="97"/>
      <c r="P585" s="97"/>
      <c r="Q585" s="97"/>
    </row>
    <row r="586" spans="1:17" ht="30" x14ac:dyDescent="0.5">
      <c r="A586" s="102" t="s">
        <v>2702</v>
      </c>
      <c r="B586" s="102" t="s">
        <v>2749</v>
      </c>
      <c r="C586" s="102" t="s">
        <v>3533</v>
      </c>
      <c r="D586" s="102" t="s">
        <v>2893</v>
      </c>
      <c r="E586" s="102" t="s">
        <v>2694</v>
      </c>
      <c r="F586" s="220">
        <v>37974</v>
      </c>
      <c r="G586" s="102" t="s">
        <v>2695</v>
      </c>
      <c r="H586" s="221">
        <v>12</v>
      </c>
      <c r="I586" s="221">
        <v>60.27</v>
      </c>
      <c r="J586" s="221">
        <v>6.37</v>
      </c>
      <c r="K586" s="221">
        <f t="shared" si="9"/>
        <v>5.63</v>
      </c>
      <c r="L586" s="93"/>
      <c r="N586" s="83"/>
      <c r="O586" s="97"/>
      <c r="P586" s="97"/>
      <c r="Q586" s="97"/>
    </row>
    <row r="587" spans="1:17" ht="30" x14ac:dyDescent="0.5">
      <c r="A587" s="102" t="s">
        <v>2702</v>
      </c>
      <c r="B587" s="102" t="s">
        <v>2748</v>
      </c>
      <c r="C587" s="102" t="s">
        <v>3534</v>
      </c>
      <c r="D587" s="102" t="s">
        <v>2893</v>
      </c>
      <c r="E587" s="102" t="s">
        <v>2694</v>
      </c>
      <c r="F587" s="220">
        <v>37974</v>
      </c>
      <c r="G587" s="102" t="s">
        <v>2695</v>
      </c>
      <c r="H587" s="221">
        <v>12</v>
      </c>
      <c r="I587" s="221">
        <v>56</v>
      </c>
      <c r="J587" s="221">
        <v>6.37</v>
      </c>
      <c r="K587" s="221">
        <f t="shared" si="9"/>
        <v>5.63</v>
      </c>
      <c r="L587" s="93"/>
      <c r="N587" s="83"/>
      <c r="O587" s="97"/>
      <c r="P587" s="97"/>
      <c r="Q587" s="97"/>
    </row>
    <row r="588" spans="1:17" ht="30" x14ac:dyDescent="0.5">
      <c r="A588" s="102" t="s">
        <v>2702</v>
      </c>
      <c r="B588" s="102" t="s">
        <v>2703</v>
      </c>
      <c r="C588" s="102" t="s">
        <v>3535</v>
      </c>
      <c r="D588" s="102" t="s">
        <v>2893</v>
      </c>
      <c r="E588" s="102" t="s">
        <v>2694</v>
      </c>
      <c r="F588" s="220">
        <v>37999</v>
      </c>
      <c r="G588" s="102" t="s">
        <v>2695</v>
      </c>
      <c r="H588" s="221">
        <v>12</v>
      </c>
      <c r="I588" s="221">
        <v>55.91</v>
      </c>
      <c r="J588" s="221">
        <v>6.37</v>
      </c>
      <c r="K588" s="221">
        <f t="shared" si="9"/>
        <v>5.63</v>
      </c>
      <c r="L588" s="93"/>
      <c r="N588" s="83"/>
      <c r="O588" s="97"/>
      <c r="P588" s="97"/>
      <c r="Q588" s="97"/>
    </row>
    <row r="589" spans="1:17" ht="30" x14ac:dyDescent="0.5">
      <c r="A589" s="102" t="s">
        <v>2772</v>
      </c>
      <c r="B589" s="102" t="s">
        <v>3361</v>
      </c>
      <c r="C589" s="102" t="s">
        <v>3536</v>
      </c>
      <c r="D589" s="102" t="s">
        <v>2893</v>
      </c>
      <c r="E589" s="102" t="s">
        <v>2694</v>
      </c>
      <c r="F589" s="220">
        <v>38026</v>
      </c>
      <c r="G589" s="102" t="s">
        <v>2695</v>
      </c>
      <c r="H589" s="221">
        <v>11.25</v>
      </c>
      <c r="I589" s="221">
        <v>36.770000000000003</v>
      </c>
      <c r="J589" s="221">
        <v>6.28</v>
      </c>
      <c r="K589" s="221">
        <f t="shared" si="9"/>
        <v>4.97</v>
      </c>
      <c r="L589" s="93"/>
      <c r="N589" s="83"/>
      <c r="O589" s="97"/>
      <c r="P589" s="97"/>
      <c r="Q589" s="97"/>
    </row>
    <row r="590" spans="1:17" ht="30" x14ac:dyDescent="0.5">
      <c r="A590" s="102" t="s">
        <v>2738</v>
      </c>
      <c r="B590" s="102" t="s">
        <v>2939</v>
      </c>
      <c r="C590" s="102" t="s">
        <v>3537</v>
      </c>
      <c r="D590" s="102" t="s">
        <v>2893</v>
      </c>
      <c r="E590" s="102" t="s">
        <v>2694</v>
      </c>
      <c r="F590" s="220">
        <v>38062</v>
      </c>
      <c r="G590" s="102" t="s">
        <v>2695</v>
      </c>
      <c r="H590" s="221">
        <v>10.9</v>
      </c>
      <c r="I590" s="221">
        <v>42</v>
      </c>
      <c r="J590" s="221">
        <v>6.15</v>
      </c>
      <c r="K590" s="221">
        <f t="shared" si="9"/>
        <v>4.75</v>
      </c>
      <c r="L590" s="93"/>
      <c r="N590" s="83"/>
      <c r="O590" s="97"/>
      <c r="P590" s="97"/>
      <c r="Q590" s="97"/>
    </row>
    <row r="591" spans="1:17" ht="30" x14ac:dyDescent="0.5">
      <c r="A591" s="102" t="s">
        <v>2738</v>
      </c>
      <c r="B591" s="102" t="s">
        <v>2939</v>
      </c>
      <c r="C591" s="102" t="s">
        <v>3538</v>
      </c>
      <c r="D591" s="102" t="s">
        <v>2893</v>
      </c>
      <c r="E591" s="102" t="s">
        <v>2694</v>
      </c>
      <c r="F591" s="220">
        <v>38062</v>
      </c>
      <c r="G591" s="102" t="s">
        <v>2695</v>
      </c>
      <c r="H591" s="221">
        <v>10.9</v>
      </c>
      <c r="I591" s="221">
        <v>42</v>
      </c>
      <c r="J591" s="221">
        <v>6.15</v>
      </c>
      <c r="K591" s="221">
        <f t="shared" si="9"/>
        <v>4.75</v>
      </c>
      <c r="L591" s="93"/>
      <c r="N591" s="83"/>
      <c r="O591" s="97"/>
      <c r="P591" s="97"/>
      <c r="Q591" s="97"/>
    </row>
    <row r="592" spans="1:17" ht="30" x14ac:dyDescent="0.5">
      <c r="A592" s="102" t="s">
        <v>2775</v>
      </c>
      <c r="B592" s="102" t="s">
        <v>2944</v>
      </c>
      <c r="C592" s="102" t="s">
        <v>3539</v>
      </c>
      <c r="D592" s="102" t="s">
        <v>2893</v>
      </c>
      <c r="E592" s="102" t="s">
        <v>2694</v>
      </c>
      <c r="F592" s="220">
        <v>38132</v>
      </c>
      <c r="G592" s="102" t="s">
        <v>2695</v>
      </c>
      <c r="H592" s="221">
        <v>10</v>
      </c>
      <c r="I592" s="221">
        <v>49.8</v>
      </c>
      <c r="J592" s="221">
        <v>6.33</v>
      </c>
      <c r="K592" s="221">
        <f t="shared" si="9"/>
        <v>3.67</v>
      </c>
      <c r="L592" s="93"/>
      <c r="N592" s="83"/>
      <c r="O592" s="97"/>
      <c r="P592" s="97"/>
      <c r="Q592" s="97"/>
    </row>
    <row r="593" spans="1:17" ht="30" x14ac:dyDescent="0.5">
      <c r="A593" s="102" t="s">
        <v>2731</v>
      </c>
      <c r="B593" s="102" t="s">
        <v>2939</v>
      </c>
      <c r="C593" s="102" t="s">
        <v>3540</v>
      </c>
      <c r="D593" s="102" t="s">
        <v>2893</v>
      </c>
      <c r="E593" s="102" t="s">
        <v>2694</v>
      </c>
      <c r="F593" s="220">
        <v>38225</v>
      </c>
      <c r="G593" s="102" t="s">
        <v>2695</v>
      </c>
      <c r="H593" s="221">
        <v>10.5</v>
      </c>
      <c r="I593" s="221">
        <v>40</v>
      </c>
      <c r="J593" s="221">
        <v>6.27</v>
      </c>
      <c r="K593" s="221">
        <f t="shared" si="9"/>
        <v>4.2300000000000004</v>
      </c>
      <c r="L593" s="93"/>
      <c r="N593" s="83"/>
      <c r="O593" s="97"/>
      <c r="P593" s="97"/>
      <c r="Q593" s="97"/>
    </row>
    <row r="594" spans="1:17" ht="30" x14ac:dyDescent="0.5">
      <c r="A594" s="102" t="s">
        <v>2731</v>
      </c>
      <c r="B594" s="102" t="s">
        <v>2939</v>
      </c>
      <c r="C594" s="102" t="s">
        <v>3541</v>
      </c>
      <c r="D594" s="102" t="s">
        <v>2893</v>
      </c>
      <c r="E594" s="102" t="s">
        <v>2694</v>
      </c>
      <c r="F594" s="220">
        <v>38225</v>
      </c>
      <c r="G594" s="102" t="s">
        <v>2695</v>
      </c>
      <c r="H594" s="221">
        <v>10.5</v>
      </c>
      <c r="I594" s="221">
        <v>40</v>
      </c>
      <c r="J594" s="221">
        <v>6.27</v>
      </c>
      <c r="K594" s="221">
        <f t="shared" si="9"/>
        <v>4.2300000000000004</v>
      </c>
      <c r="L594" s="93"/>
      <c r="N594" s="83"/>
      <c r="O594" s="97"/>
      <c r="P594" s="97"/>
      <c r="Q594" s="97"/>
    </row>
    <row r="595" spans="1:17" ht="30" x14ac:dyDescent="0.5">
      <c r="A595" s="102" t="s">
        <v>2726</v>
      </c>
      <c r="B595" s="102" t="s">
        <v>2727</v>
      </c>
      <c r="C595" s="102" t="s">
        <v>3542</v>
      </c>
      <c r="D595" s="102" t="s">
        <v>2893</v>
      </c>
      <c r="E595" s="102" t="s">
        <v>2694</v>
      </c>
      <c r="F595" s="220">
        <v>38239</v>
      </c>
      <c r="G595" s="102" t="s">
        <v>2695</v>
      </c>
      <c r="H595" s="221">
        <v>10.4</v>
      </c>
      <c r="I595" s="221">
        <v>42.59</v>
      </c>
      <c r="J595" s="221">
        <v>6.27</v>
      </c>
      <c r="K595" s="221">
        <f t="shared" si="9"/>
        <v>4.1300000000000008</v>
      </c>
      <c r="L595" s="93"/>
      <c r="N595" s="83"/>
      <c r="O595" s="97"/>
      <c r="P595" s="97"/>
      <c r="Q595" s="97"/>
    </row>
    <row r="596" spans="1:17" ht="30" x14ac:dyDescent="0.5">
      <c r="A596" s="102" t="s">
        <v>2756</v>
      </c>
      <c r="B596" s="102" t="s">
        <v>3010</v>
      </c>
      <c r="C596" s="102" t="s">
        <v>3543</v>
      </c>
      <c r="D596" s="102" t="s">
        <v>2893</v>
      </c>
      <c r="E596" s="102" t="s">
        <v>2694</v>
      </c>
      <c r="F596" s="220">
        <v>38251</v>
      </c>
      <c r="G596" s="102" t="s">
        <v>2695</v>
      </c>
      <c r="H596" s="221">
        <v>10.5</v>
      </c>
      <c r="I596" s="221">
        <v>29.99</v>
      </c>
      <c r="J596" s="221">
        <v>6.15</v>
      </c>
      <c r="K596" s="221">
        <f t="shared" si="9"/>
        <v>4.3499999999999996</v>
      </c>
      <c r="L596" s="93"/>
      <c r="N596" s="83"/>
      <c r="O596" s="97"/>
      <c r="P596" s="97"/>
      <c r="Q596" s="97"/>
    </row>
    <row r="597" spans="1:17" ht="30" x14ac:dyDescent="0.5">
      <c r="A597" s="102" t="s">
        <v>2768</v>
      </c>
      <c r="B597" s="102" t="s">
        <v>3106</v>
      </c>
      <c r="C597" s="102" t="s">
        <v>3544</v>
      </c>
      <c r="D597" s="102" t="s">
        <v>2893</v>
      </c>
      <c r="E597" s="102" t="s">
        <v>2694</v>
      </c>
      <c r="F597" s="220">
        <v>38280</v>
      </c>
      <c r="G597" s="102" t="s">
        <v>2695</v>
      </c>
      <c r="H597" s="221">
        <v>10.199999999999999</v>
      </c>
      <c r="I597" s="221">
        <v>35.5</v>
      </c>
      <c r="J597" s="221">
        <v>5.98</v>
      </c>
      <c r="K597" s="221">
        <f t="shared" si="9"/>
        <v>4.2199999999999989</v>
      </c>
      <c r="L597" s="93"/>
      <c r="N597" s="83"/>
      <c r="O597" s="97"/>
      <c r="P597" s="97"/>
      <c r="Q597" s="97"/>
    </row>
    <row r="598" spans="1:17" ht="30" x14ac:dyDescent="0.5">
      <c r="A598" s="102" t="s">
        <v>2702</v>
      </c>
      <c r="B598" s="102" t="s">
        <v>2748</v>
      </c>
      <c r="C598" s="102" t="s">
        <v>3545</v>
      </c>
      <c r="D598" s="102" t="s">
        <v>2893</v>
      </c>
      <c r="E598" s="102" t="s">
        <v>2694</v>
      </c>
      <c r="F598" s="220">
        <v>38342</v>
      </c>
      <c r="G598" s="102" t="s">
        <v>2695</v>
      </c>
      <c r="H598" s="221">
        <v>11.5</v>
      </c>
      <c r="I598" s="221">
        <v>57.35</v>
      </c>
      <c r="J598" s="221">
        <v>5.96</v>
      </c>
      <c r="K598" s="221">
        <f t="shared" si="9"/>
        <v>5.54</v>
      </c>
      <c r="L598" s="93"/>
      <c r="N598" s="83"/>
      <c r="O598" s="97"/>
      <c r="P598" s="97"/>
      <c r="Q598" s="97"/>
    </row>
    <row r="599" spans="1:17" ht="30" x14ac:dyDescent="0.5">
      <c r="A599" s="102" t="s">
        <v>2702</v>
      </c>
      <c r="B599" s="102" t="s">
        <v>2703</v>
      </c>
      <c r="C599" s="102" t="s">
        <v>3546</v>
      </c>
      <c r="D599" s="102" t="s">
        <v>2893</v>
      </c>
      <c r="E599" s="102" t="s">
        <v>2694</v>
      </c>
      <c r="F599" s="220">
        <v>38343</v>
      </c>
      <c r="G599" s="102" t="s">
        <v>2695</v>
      </c>
      <c r="H599" s="221">
        <v>11.5</v>
      </c>
      <c r="I599" s="221">
        <v>57.64</v>
      </c>
      <c r="J599" s="221">
        <v>5.96</v>
      </c>
      <c r="K599" s="221">
        <f t="shared" si="9"/>
        <v>5.54</v>
      </c>
      <c r="L599" s="93"/>
      <c r="N599" s="83"/>
      <c r="O599" s="97"/>
      <c r="P599" s="97"/>
      <c r="Q599" s="97"/>
    </row>
    <row r="600" spans="1:17" ht="30" x14ac:dyDescent="0.5">
      <c r="A600" s="102" t="s">
        <v>2736</v>
      </c>
      <c r="B600" s="102" t="s">
        <v>2737</v>
      </c>
      <c r="C600" s="102" t="s">
        <v>3547</v>
      </c>
      <c r="D600" s="102" t="s">
        <v>2893</v>
      </c>
      <c r="E600" s="102" t="s">
        <v>2694</v>
      </c>
      <c r="F600" s="220">
        <v>38401</v>
      </c>
      <c r="G600" s="102" t="s">
        <v>2695</v>
      </c>
      <c r="H600" s="221">
        <v>10.3</v>
      </c>
      <c r="I600" s="221">
        <v>43</v>
      </c>
      <c r="J600" s="221">
        <v>5.79</v>
      </c>
      <c r="K600" s="221">
        <f t="shared" si="9"/>
        <v>4.5100000000000007</v>
      </c>
      <c r="L600" s="93"/>
      <c r="N600" s="83"/>
      <c r="O600" s="97"/>
      <c r="P600" s="97"/>
      <c r="Q600" s="97"/>
    </row>
    <row r="601" spans="1:17" ht="30" x14ac:dyDescent="0.5">
      <c r="A601" s="102" t="s">
        <v>2744</v>
      </c>
      <c r="B601" s="102" t="s">
        <v>2972</v>
      </c>
      <c r="C601" s="102" t="s">
        <v>3548</v>
      </c>
      <c r="D601" s="102" t="s">
        <v>2893</v>
      </c>
      <c r="E601" s="102" t="s">
        <v>2694</v>
      </c>
      <c r="F601" s="220">
        <v>38470</v>
      </c>
      <c r="G601" s="102" t="s">
        <v>2695</v>
      </c>
      <c r="H601" s="221">
        <v>11</v>
      </c>
      <c r="I601" s="221">
        <v>39.31</v>
      </c>
      <c r="J601" s="221">
        <v>5.83</v>
      </c>
      <c r="K601" s="221">
        <f t="shared" si="9"/>
        <v>5.17</v>
      </c>
      <c r="L601" s="93"/>
      <c r="N601" s="83"/>
      <c r="O601" s="97"/>
      <c r="P601" s="97"/>
      <c r="Q601" s="97"/>
    </row>
    <row r="602" spans="1:17" ht="30" x14ac:dyDescent="0.5">
      <c r="A602" s="102" t="s">
        <v>2702</v>
      </c>
      <c r="B602" s="102" t="s">
        <v>2749</v>
      </c>
      <c r="C602" s="102" t="s">
        <v>3549</v>
      </c>
      <c r="D602" s="102" t="s">
        <v>2893</v>
      </c>
      <c r="E602" s="102" t="s">
        <v>2694</v>
      </c>
      <c r="F602" s="220">
        <v>38552</v>
      </c>
      <c r="G602" s="102" t="s">
        <v>2695</v>
      </c>
      <c r="H602" s="221">
        <v>11.5</v>
      </c>
      <c r="I602" s="221">
        <v>61.75</v>
      </c>
      <c r="J602" s="221">
        <v>5.4</v>
      </c>
      <c r="K602" s="221">
        <f t="shared" si="9"/>
        <v>6.1</v>
      </c>
      <c r="L602" s="93"/>
      <c r="N602" s="83"/>
      <c r="O602" s="97"/>
      <c r="P602" s="97"/>
      <c r="Q602" s="97"/>
    </row>
    <row r="603" spans="1:17" ht="30" x14ac:dyDescent="0.5">
      <c r="A603" s="102" t="s">
        <v>2751</v>
      </c>
      <c r="B603" s="102" t="s">
        <v>2975</v>
      </c>
      <c r="C603" s="102" t="s">
        <v>3550</v>
      </c>
      <c r="D603" s="102" t="s">
        <v>2893</v>
      </c>
      <c r="E603" s="102" t="s">
        <v>2694</v>
      </c>
      <c r="F603" s="220">
        <v>38614</v>
      </c>
      <c r="G603" s="102" t="s">
        <v>2695</v>
      </c>
      <c r="H603" s="221">
        <v>9.4499999999999993</v>
      </c>
      <c r="I603" s="221">
        <v>31.8</v>
      </c>
      <c r="J603" s="221">
        <v>5.51</v>
      </c>
      <c r="K603" s="221">
        <f t="shared" si="9"/>
        <v>3.9399999999999995</v>
      </c>
      <c r="L603" s="93"/>
      <c r="N603" s="83"/>
      <c r="O603" s="97"/>
      <c r="P603" s="97"/>
      <c r="Q603" s="97"/>
    </row>
    <row r="604" spans="1:17" ht="30" x14ac:dyDescent="0.5">
      <c r="A604" s="102" t="s">
        <v>2693</v>
      </c>
      <c r="B604" s="102" t="s">
        <v>2629</v>
      </c>
      <c r="C604" s="102" t="s">
        <v>3551</v>
      </c>
      <c r="D604" s="102" t="s">
        <v>2893</v>
      </c>
      <c r="E604" s="102" t="s">
        <v>2694</v>
      </c>
      <c r="F604" s="220">
        <v>38625</v>
      </c>
      <c r="G604" s="102" t="s">
        <v>2695</v>
      </c>
      <c r="H604" s="221">
        <v>10.51</v>
      </c>
      <c r="I604" s="221">
        <v>56.37</v>
      </c>
      <c r="J604" s="221">
        <v>5.51</v>
      </c>
      <c r="K604" s="221">
        <f t="shared" si="9"/>
        <v>5</v>
      </c>
      <c r="L604" s="93"/>
      <c r="N604" s="83"/>
      <c r="O604" s="97"/>
      <c r="P604" s="97"/>
      <c r="Q604" s="97"/>
    </row>
    <row r="605" spans="1:17" ht="30" x14ac:dyDescent="0.5">
      <c r="A605" s="102" t="s">
        <v>2751</v>
      </c>
      <c r="B605" s="102" t="s">
        <v>2993</v>
      </c>
      <c r="C605" s="102" t="s">
        <v>3552</v>
      </c>
      <c r="D605" s="102" t="s">
        <v>2893</v>
      </c>
      <c r="E605" s="102" t="s">
        <v>2694</v>
      </c>
      <c r="F605" s="220">
        <v>38658</v>
      </c>
      <c r="G605" s="102" t="s">
        <v>2695</v>
      </c>
      <c r="H605" s="221">
        <v>9.6999999999999993</v>
      </c>
      <c r="I605" s="221">
        <v>33.03</v>
      </c>
      <c r="J605" s="221">
        <v>5.5</v>
      </c>
      <c r="K605" s="221">
        <f t="shared" si="9"/>
        <v>4.1999999999999993</v>
      </c>
      <c r="L605" s="93"/>
      <c r="N605" s="83"/>
      <c r="O605" s="97"/>
      <c r="P605" s="97"/>
      <c r="Q605" s="97"/>
    </row>
    <row r="606" spans="1:17" ht="30" x14ac:dyDescent="0.5">
      <c r="A606" s="102" t="s">
        <v>2700</v>
      </c>
      <c r="B606" s="102" t="s">
        <v>3035</v>
      </c>
      <c r="C606" s="102" t="s">
        <v>3553</v>
      </c>
      <c r="D606" s="102" t="s">
        <v>2893</v>
      </c>
      <c r="E606" s="102" t="s">
        <v>2694</v>
      </c>
      <c r="F606" s="220">
        <v>38686</v>
      </c>
      <c r="G606" s="102" t="s">
        <v>2695</v>
      </c>
      <c r="H606" s="221">
        <v>10</v>
      </c>
      <c r="I606" s="221">
        <v>53.95</v>
      </c>
      <c r="J606" s="221">
        <v>5.77</v>
      </c>
      <c r="K606" s="221">
        <f t="shared" si="9"/>
        <v>4.2300000000000004</v>
      </c>
      <c r="L606" s="93"/>
      <c r="N606" s="83"/>
      <c r="O606" s="97"/>
      <c r="P606" s="97"/>
      <c r="Q606" s="97"/>
    </row>
    <row r="607" spans="1:17" ht="30" x14ac:dyDescent="0.5">
      <c r="A607" s="102" t="s">
        <v>2751</v>
      </c>
      <c r="B607" s="102" t="s">
        <v>3554</v>
      </c>
      <c r="C607" s="102" t="s">
        <v>3555</v>
      </c>
      <c r="D607" s="102" t="s">
        <v>2893</v>
      </c>
      <c r="E607" s="102" t="s">
        <v>2694</v>
      </c>
      <c r="F607" s="220">
        <v>38695</v>
      </c>
      <c r="G607" s="102" t="s">
        <v>2695</v>
      </c>
      <c r="H607" s="221">
        <v>9.6999999999999993</v>
      </c>
      <c r="I607" s="221">
        <v>41.04</v>
      </c>
      <c r="J607" s="221">
        <v>5.77</v>
      </c>
      <c r="K607" s="221">
        <f t="shared" si="9"/>
        <v>3.9299999999999997</v>
      </c>
      <c r="L607" s="93"/>
      <c r="N607" s="83"/>
      <c r="O607" s="97"/>
      <c r="P607" s="97"/>
      <c r="Q607" s="97"/>
    </row>
    <row r="608" spans="1:17" ht="30" x14ac:dyDescent="0.5">
      <c r="A608" s="102" t="s">
        <v>2702</v>
      </c>
      <c r="B608" s="102" t="s">
        <v>2703</v>
      </c>
      <c r="C608" s="102" t="s">
        <v>3556</v>
      </c>
      <c r="D608" s="102" t="s">
        <v>2893</v>
      </c>
      <c r="E608" s="102" t="s">
        <v>2694</v>
      </c>
      <c r="F608" s="220">
        <v>38698</v>
      </c>
      <c r="G608" s="102" t="s">
        <v>2695</v>
      </c>
      <c r="H608" s="221">
        <v>11</v>
      </c>
      <c r="I608" s="221">
        <v>56.65</v>
      </c>
      <c r="J608" s="221">
        <v>5.77</v>
      </c>
      <c r="K608" s="221">
        <f t="shared" si="9"/>
        <v>5.23</v>
      </c>
      <c r="L608" s="93"/>
      <c r="N608" s="83"/>
      <c r="O608" s="97"/>
      <c r="P608" s="97"/>
      <c r="Q608" s="97"/>
    </row>
    <row r="609" spans="1:17" ht="30" x14ac:dyDescent="0.5">
      <c r="A609" s="102" t="s">
        <v>2699</v>
      </c>
      <c r="B609" s="102" t="s">
        <v>2944</v>
      </c>
      <c r="C609" s="102" t="s">
        <v>3557</v>
      </c>
      <c r="D609" s="102" t="s">
        <v>2893</v>
      </c>
      <c r="E609" s="102" t="s">
        <v>2694</v>
      </c>
      <c r="F609" s="220">
        <v>38706</v>
      </c>
      <c r="G609" s="102" t="s">
        <v>2695</v>
      </c>
      <c r="H609" s="221">
        <v>10.130000000000001</v>
      </c>
      <c r="I609" s="221">
        <v>45</v>
      </c>
      <c r="J609" s="221">
        <v>5.88</v>
      </c>
      <c r="K609" s="221">
        <f t="shared" si="9"/>
        <v>4.2500000000000009</v>
      </c>
      <c r="L609" s="93"/>
      <c r="N609" s="83"/>
      <c r="O609" s="97"/>
      <c r="P609" s="97"/>
      <c r="Q609" s="97"/>
    </row>
    <row r="610" spans="1:17" ht="30" x14ac:dyDescent="0.5">
      <c r="A610" s="102" t="s">
        <v>2698</v>
      </c>
      <c r="B610" s="102" t="s">
        <v>2722</v>
      </c>
      <c r="C610" s="102" t="s">
        <v>3558</v>
      </c>
      <c r="D610" s="102" t="s">
        <v>2893</v>
      </c>
      <c r="E610" s="102" t="s">
        <v>2694</v>
      </c>
      <c r="F610" s="220">
        <v>38707</v>
      </c>
      <c r="G610" s="102" t="s">
        <v>2695</v>
      </c>
      <c r="H610" s="221">
        <v>11</v>
      </c>
      <c r="I610" s="221">
        <v>48.4</v>
      </c>
      <c r="J610" s="221">
        <v>5.88</v>
      </c>
      <c r="K610" s="221">
        <f t="shared" si="9"/>
        <v>5.12</v>
      </c>
      <c r="L610" s="93"/>
      <c r="N610" s="83"/>
      <c r="O610" s="97"/>
      <c r="P610" s="97"/>
      <c r="Q610" s="97"/>
    </row>
    <row r="611" spans="1:17" ht="30" x14ac:dyDescent="0.5">
      <c r="A611" s="102" t="s">
        <v>2702</v>
      </c>
      <c r="B611" s="102" t="s">
        <v>2748</v>
      </c>
      <c r="C611" s="102" t="s">
        <v>3559</v>
      </c>
      <c r="D611" s="102" t="s">
        <v>2893</v>
      </c>
      <c r="E611" s="102" t="s">
        <v>2694</v>
      </c>
      <c r="F611" s="220">
        <v>38708</v>
      </c>
      <c r="G611" s="102" t="s">
        <v>2695</v>
      </c>
      <c r="H611" s="221">
        <v>11</v>
      </c>
      <c r="I611" s="221">
        <v>59.73</v>
      </c>
      <c r="J611" s="221">
        <v>5.88</v>
      </c>
      <c r="K611" s="221">
        <f t="shared" si="9"/>
        <v>5.12</v>
      </c>
      <c r="L611" s="93"/>
      <c r="N611" s="83"/>
      <c r="O611" s="97"/>
      <c r="P611" s="97"/>
      <c r="Q611" s="97"/>
    </row>
    <row r="612" spans="1:17" ht="30" x14ac:dyDescent="0.5">
      <c r="A612" s="102" t="s">
        <v>2728</v>
      </c>
      <c r="B612" s="102" t="s">
        <v>2771</v>
      </c>
      <c r="C612" s="102" t="s">
        <v>3560</v>
      </c>
      <c r="D612" s="102" t="s">
        <v>2893</v>
      </c>
      <c r="E612" s="102" t="s">
        <v>2694</v>
      </c>
      <c r="F612" s="220">
        <v>38708</v>
      </c>
      <c r="G612" s="102" t="s">
        <v>2695</v>
      </c>
      <c r="H612" s="221">
        <v>10.199999999999999</v>
      </c>
      <c r="I612" s="221">
        <v>54.45</v>
      </c>
      <c r="J612" s="221">
        <v>5.88</v>
      </c>
      <c r="K612" s="221">
        <f t="shared" si="9"/>
        <v>4.3199999999999994</v>
      </c>
      <c r="L612" s="93"/>
      <c r="N612" s="83"/>
      <c r="O612" s="97"/>
      <c r="P612" s="97"/>
      <c r="Q612" s="97"/>
    </row>
    <row r="613" spans="1:17" ht="30" x14ac:dyDescent="0.5">
      <c r="A613" s="102" t="s">
        <v>2702</v>
      </c>
      <c r="B613" s="102" t="s">
        <v>2755</v>
      </c>
      <c r="C613" s="102" t="s">
        <v>3561</v>
      </c>
      <c r="D613" s="102" t="s">
        <v>2893</v>
      </c>
      <c r="E613" s="102" t="s">
        <v>2694</v>
      </c>
      <c r="F613" s="220">
        <v>38722</v>
      </c>
      <c r="G613" s="102" t="s">
        <v>2695</v>
      </c>
      <c r="H613" s="221">
        <v>11</v>
      </c>
      <c r="I613" s="221">
        <v>53.66</v>
      </c>
      <c r="J613" s="221">
        <v>5.88</v>
      </c>
      <c r="K613" s="221">
        <f t="shared" si="9"/>
        <v>5.12</v>
      </c>
      <c r="L613" s="93"/>
      <c r="N613" s="83"/>
      <c r="O613" s="97"/>
      <c r="P613" s="97"/>
      <c r="Q613" s="97"/>
    </row>
    <row r="614" spans="1:17" ht="30" x14ac:dyDescent="0.5">
      <c r="A614" s="102" t="s">
        <v>2702</v>
      </c>
      <c r="B614" s="102" t="s">
        <v>2773</v>
      </c>
      <c r="C614" s="102" t="s">
        <v>3562</v>
      </c>
      <c r="D614" s="102" t="s">
        <v>2893</v>
      </c>
      <c r="E614" s="102" t="s">
        <v>2694</v>
      </c>
      <c r="F614" s="220">
        <v>38742</v>
      </c>
      <c r="G614" s="102" t="s">
        <v>2695</v>
      </c>
      <c r="H614" s="221">
        <v>11.2</v>
      </c>
      <c r="I614" s="221">
        <v>56.34</v>
      </c>
      <c r="J614" s="221">
        <v>5.82</v>
      </c>
      <c r="K614" s="221">
        <f t="shared" si="9"/>
        <v>5.379999999999999</v>
      </c>
      <c r="L614" s="93"/>
      <c r="N614" s="83"/>
      <c r="O614" s="97"/>
      <c r="P614" s="97"/>
      <c r="Q614" s="97"/>
    </row>
    <row r="615" spans="1:17" ht="30" x14ac:dyDescent="0.5">
      <c r="A615" s="102" t="s">
        <v>2702</v>
      </c>
      <c r="B615" s="102" t="s">
        <v>2903</v>
      </c>
      <c r="C615" s="102" t="s">
        <v>3563</v>
      </c>
      <c r="D615" s="102" t="s">
        <v>2893</v>
      </c>
      <c r="E615" s="102" t="s">
        <v>2694</v>
      </c>
      <c r="F615" s="220">
        <v>38742</v>
      </c>
      <c r="G615" s="102" t="s">
        <v>2695</v>
      </c>
      <c r="H615" s="221">
        <v>11.2</v>
      </c>
      <c r="I615" s="221">
        <v>50.2</v>
      </c>
      <c r="J615" s="221">
        <v>5.82</v>
      </c>
      <c r="K615" s="221">
        <f t="shared" si="9"/>
        <v>5.379999999999999</v>
      </c>
      <c r="L615" s="93"/>
      <c r="N615" s="83"/>
      <c r="O615" s="97"/>
      <c r="P615" s="97"/>
      <c r="Q615" s="97"/>
    </row>
    <row r="616" spans="1:17" ht="30" x14ac:dyDescent="0.5">
      <c r="A616" s="102" t="s">
        <v>2717</v>
      </c>
      <c r="B616" s="102" t="s">
        <v>2939</v>
      </c>
      <c r="C616" s="102" t="s">
        <v>3564</v>
      </c>
      <c r="D616" s="102" t="s">
        <v>2893</v>
      </c>
      <c r="E616" s="102" t="s">
        <v>2694</v>
      </c>
      <c r="F616" s="220">
        <v>38763</v>
      </c>
      <c r="G616" s="102" t="s">
        <v>2695</v>
      </c>
      <c r="H616" s="221">
        <v>9.5</v>
      </c>
      <c r="I616" s="221">
        <v>40</v>
      </c>
      <c r="J616" s="221">
        <v>5.75</v>
      </c>
      <c r="K616" s="221">
        <f t="shared" si="9"/>
        <v>3.75</v>
      </c>
      <c r="L616" s="93"/>
      <c r="N616" s="83"/>
      <c r="O616" s="97"/>
      <c r="P616" s="97"/>
      <c r="Q616" s="97"/>
    </row>
    <row r="617" spans="1:17" ht="30" x14ac:dyDescent="0.5">
      <c r="A617" s="102" t="s">
        <v>2731</v>
      </c>
      <c r="B617" s="102" t="s">
        <v>2733</v>
      </c>
      <c r="C617" s="102" t="s">
        <v>3565</v>
      </c>
      <c r="D617" s="102" t="s">
        <v>2893</v>
      </c>
      <c r="E617" s="102" t="s">
        <v>2694</v>
      </c>
      <c r="F617" s="220">
        <v>38833</v>
      </c>
      <c r="G617" s="102" t="s">
        <v>2695</v>
      </c>
      <c r="H617" s="221">
        <v>10.6</v>
      </c>
      <c r="I617" s="221">
        <v>40.76</v>
      </c>
      <c r="J617" s="221">
        <v>5.98</v>
      </c>
      <c r="K617" s="221">
        <f t="shared" si="9"/>
        <v>4.6199999999999992</v>
      </c>
      <c r="L617" s="93"/>
      <c r="N617" s="83"/>
      <c r="O617" s="97"/>
      <c r="P617" s="97"/>
      <c r="Q617" s="97"/>
    </row>
    <row r="618" spans="1:17" ht="30" x14ac:dyDescent="0.5">
      <c r="A618" s="102" t="s">
        <v>2766</v>
      </c>
      <c r="B618" s="102" t="s">
        <v>3110</v>
      </c>
      <c r="C618" s="102" t="s">
        <v>3566</v>
      </c>
      <c r="D618" s="102" t="s">
        <v>2893</v>
      </c>
      <c r="E618" s="102" t="s">
        <v>2694</v>
      </c>
      <c r="F618" s="220">
        <v>38922</v>
      </c>
      <c r="G618" s="102" t="s">
        <v>2695</v>
      </c>
      <c r="H618" s="221">
        <v>10</v>
      </c>
      <c r="I618" s="221">
        <v>44.96</v>
      </c>
      <c r="J618" s="221">
        <v>6.4</v>
      </c>
      <c r="K618" s="221">
        <f t="shared" si="9"/>
        <v>3.5999999999999996</v>
      </c>
      <c r="L618" s="93"/>
      <c r="N618" s="83"/>
      <c r="O618" s="97"/>
      <c r="P618" s="97"/>
      <c r="Q618" s="97"/>
    </row>
    <row r="619" spans="1:17" ht="30" x14ac:dyDescent="0.5">
      <c r="A619" s="102" t="s">
        <v>2754</v>
      </c>
      <c r="B619" s="102" t="s">
        <v>2975</v>
      </c>
      <c r="C619" s="102" t="s">
        <v>3567</v>
      </c>
      <c r="D619" s="102" t="s">
        <v>2893</v>
      </c>
      <c r="E619" s="102" t="s">
        <v>2694</v>
      </c>
      <c r="F619" s="220">
        <v>39023</v>
      </c>
      <c r="G619" s="102" t="s">
        <v>2695</v>
      </c>
      <c r="H619" s="221">
        <v>9.7100000000000009</v>
      </c>
      <c r="I619" s="221">
        <v>46.14</v>
      </c>
      <c r="J619" s="221">
        <v>6</v>
      </c>
      <c r="K619" s="221">
        <f t="shared" si="9"/>
        <v>3.7100000000000009</v>
      </c>
      <c r="L619" s="93"/>
      <c r="N619" s="83"/>
      <c r="O619" s="97"/>
      <c r="P619" s="97"/>
      <c r="Q619" s="97"/>
    </row>
    <row r="620" spans="1:17" ht="30" x14ac:dyDescent="0.5">
      <c r="A620" s="102" t="s">
        <v>2744</v>
      </c>
      <c r="B620" s="102" t="s">
        <v>2770</v>
      </c>
      <c r="C620" s="102" t="s">
        <v>3568</v>
      </c>
      <c r="D620" s="102" t="s">
        <v>2893</v>
      </c>
      <c r="E620" s="102" t="s">
        <v>2694</v>
      </c>
      <c r="F620" s="220">
        <v>39042</v>
      </c>
      <c r="G620" s="102" t="s">
        <v>2695</v>
      </c>
      <c r="H620" s="221">
        <v>11</v>
      </c>
      <c r="I620" s="221">
        <v>35.06</v>
      </c>
      <c r="J620" s="221">
        <v>5.98</v>
      </c>
      <c r="K620" s="221">
        <f t="shared" si="9"/>
        <v>5.0199999999999996</v>
      </c>
      <c r="L620" s="93"/>
      <c r="N620" s="83"/>
      <c r="O620" s="97"/>
      <c r="P620" s="97"/>
      <c r="Q620" s="97"/>
    </row>
    <row r="621" spans="1:17" ht="30" x14ac:dyDescent="0.5">
      <c r="A621" s="102" t="s">
        <v>2736</v>
      </c>
      <c r="B621" s="102" t="s">
        <v>2737</v>
      </c>
      <c r="C621" s="102" t="s">
        <v>3569</v>
      </c>
      <c r="D621" s="102" t="s">
        <v>2893</v>
      </c>
      <c r="E621" s="102" t="s">
        <v>2694</v>
      </c>
      <c r="F621" s="220">
        <v>39087</v>
      </c>
      <c r="G621" s="102" t="s">
        <v>2695</v>
      </c>
      <c r="H621" s="221">
        <v>10.4</v>
      </c>
      <c r="I621" s="221">
        <v>44</v>
      </c>
      <c r="J621" s="221">
        <v>5.8</v>
      </c>
      <c r="K621" s="221">
        <f t="shared" si="9"/>
        <v>4.6000000000000005</v>
      </c>
      <c r="L621" s="93"/>
      <c r="N621" s="83"/>
      <c r="O621" s="97"/>
      <c r="P621" s="97"/>
      <c r="Q621" s="97"/>
    </row>
    <row r="622" spans="1:17" ht="30" x14ac:dyDescent="0.5">
      <c r="A622" s="102" t="s">
        <v>2702</v>
      </c>
      <c r="B622" s="102" t="s">
        <v>2748</v>
      </c>
      <c r="C622" s="102" t="s">
        <v>3570</v>
      </c>
      <c r="D622" s="102" t="s">
        <v>2893</v>
      </c>
      <c r="E622" s="102" t="s">
        <v>2694</v>
      </c>
      <c r="F622" s="220">
        <v>39093</v>
      </c>
      <c r="G622" s="102" t="s">
        <v>2695</v>
      </c>
      <c r="H622" s="221">
        <v>10.9</v>
      </c>
      <c r="I622" s="221">
        <v>57.46</v>
      </c>
      <c r="J622" s="221">
        <v>5.8</v>
      </c>
      <c r="K622" s="221">
        <f t="shared" si="9"/>
        <v>5.1000000000000005</v>
      </c>
      <c r="L622" s="93"/>
      <c r="N622" s="83"/>
      <c r="O622" s="97"/>
      <c r="P622" s="97"/>
      <c r="Q622" s="97"/>
    </row>
    <row r="623" spans="1:17" ht="30" x14ac:dyDescent="0.5">
      <c r="A623" s="102" t="s">
        <v>2702</v>
      </c>
      <c r="B623" s="102" t="s">
        <v>2749</v>
      </c>
      <c r="C623" s="102" t="s">
        <v>3571</v>
      </c>
      <c r="D623" s="102" t="s">
        <v>2893</v>
      </c>
      <c r="E623" s="102" t="s">
        <v>2694</v>
      </c>
      <c r="F623" s="220">
        <v>39101</v>
      </c>
      <c r="G623" s="102" t="s">
        <v>2695</v>
      </c>
      <c r="H623" s="221">
        <v>10.8</v>
      </c>
      <c r="I623" s="221">
        <v>54.13</v>
      </c>
      <c r="J623" s="221">
        <v>5.81</v>
      </c>
      <c r="K623" s="221">
        <f t="shared" si="9"/>
        <v>4.9900000000000011</v>
      </c>
      <c r="L623" s="93"/>
      <c r="N623" s="83"/>
      <c r="O623" s="97"/>
      <c r="P623" s="97"/>
      <c r="Q623" s="97"/>
    </row>
    <row r="624" spans="1:17" ht="30" x14ac:dyDescent="0.5">
      <c r="A624" s="102" t="s">
        <v>2696</v>
      </c>
      <c r="B624" s="102" t="s">
        <v>3572</v>
      </c>
      <c r="C624" s="102" t="s">
        <v>3573</v>
      </c>
      <c r="D624" s="102" t="s">
        <v>2893</v>
      </c>
      <c r="E624" s="102" t="s">
        <v>2694</v>
      </c>
      <c r="F624" s="220">
        <v>39121</v>
      </c>
      <c r="G624" s="102" t="s">
        <v>2695</v>
      </c>
      <c r="H624" s="221">
        <v>10.4</v>
      </c>
      <c r="I624" s="221">
        <v>51.79</v>
      </c>
      <c r="J624" s="221">
        <v>5.81</v>
      </c>
      <c r="K624" s="221">
        <f t="shared" si="9"/>
        <v>4.5900000000000007</v>
      </c>
      <c r="L624" s="93"/>
      <c r="N624" s="83"/>
      <c r="O624" s="97"/>
      <c r="P624" s="97"/>
      <c r="Q624" s="97"/>
    </row>
    <row r="625" spans="1:17" ht="30" x14ac:dyDescent="0.5">
      <c r="A625" s="102" t="s">
        <v>2756</v>
      </c>
      <c r="B625" s="102" t="s">
        <v>3010</v>
      </c>
      <c r="C625" s="102" t="s">
        <v>3574</v>
      </c>
      <c r="D625" s="102" t="s">
        <v>2893</v>
      </c>
      <c r="E625" s="102" t="s">
        <v>2694</v>
      </c>
      <c r="F625" s="220">
        <v>39163</v>
      </c>
      <c r="G625" s="102" t="s">
        <v>2695</v>
      </c>
      <c r="H625" s="221">
        <v>10.5</v>
      </c>
      <c r="I625" s="221">
        <v>36.06</v>
      </c>
      <c r="J625" s="221">
        <v>5.9</v>
      </c>
      <c r="K625" s="221">
        <f t="shared" si="9"/>
        <v>4.5999999999999996</v>
      </c>
      <c r="L625" s="93"/>
      <c r="N625" s="83"/>
      <c r="O625" s="97"/>
      <c r="P625" s="97"/>
      <c r="Q625" s="97"/>
    </row>
    <row r="626" spans="1:17" ht="30" x14ac:dyDescent="0.5">
      <c r="A626" s="102" t="s">
        <v>2775</v>
      </c>
      <c r="B626" s="102" t="s">
        <v>2944</v>
      </c>
      <c r="C626" s="102" t="s">
        <v>3575</v>
      </c>
      <c r="D626" s="102" t="s">
        <v>2893</v>
      </c>
      <c r="E626" s="102" t="s">
        <v>2694</v>
      </c>
      <c r="F626" s="220">
        <v>39170</v>
      </c>
      <c r="G626" s="102" t="s">
        <v>2695</v>
      </c>
      <c r="H626" s="221">
        <v>10</v>
      </c>
      <c r="I626" s="221">
        <v>48.1</v>
      </c>
      <c r="J626" s="221">
        <v>5.9</v>
      </c>
      <c r="K626" s="221">
        <f t="shared" si="9"/>
        <v>4.0999999999999996</v>
      </c>
      <c r="L626" s="93"/>
      <c r="N626" s="83"/>
      <c r="O626" s="97"/>
      <c r="P626" s="97"/>
      <c r="Q626" s="97"/>
    </row>
    <row r="627" spans="1:17" ht="30" x14ac:dyDescent="0.5">
      <c r="A627" s="102" t="s">
        <v>2752</v>
      </c>
      <c r="B627" s="102" t="s">
        <v>2753</v>
      </c>
      <c r="C627" s="102" t="s">
        <v>3576</v>
      </c>
      <c r="D627" s="102" t="s">
        <v>2893</v>
      </c>
      <c r="E627" s="102" t="s">
        <v>2694</v>
      </c>
      <c r="F627" s="220">
        <v>39262</v>
      </c>
      <c r="G627" s="102" t="s">
        <v>2695</v>
      </c>
      <c r="H627" s="221">
        <v>9.5299999999999994</v>
      </c>
      <c r="I627" s="221">
        <v>51.8</v>
      </c>
      <c r="J627" s="221">
        <v>5.99</v>
      </c>
      <c r="K627" s="221">
        <f t="shared" si="9"/>
        <v>3.5399999999999991</v>
      </c>
      <c r="L627" s="93"/>
      <c r="N627" s="83"/>
      <c r="O627" s="97"/>
      <c r="P627" s="97"/>
      <c r="Q627" s="97"/>
    </row>
    <row r="628" spans="1:17" ht="30" x14ac:dyDescent="0.5">
      <c r="A628" s="102" t="s">
        <v>3577</v>
      </c>
      <c r="B628" s="102" t="s">
        <v>3578</v>
      </c>
      <c r="C628" s="102" t="s">
        <v>3579</v>
      </c>
      <c r="D628" s="102" t="s">
        <v>2893</v>
      </c>
      <c r="E628" s="102" t="s">
        <v>2694</v>
      </c>
      <c r="F628" s="220">
        <v>39287</v>
      </c>
      <c r="G628" s="102" t="s">
        <v>2695</v>
      </c>
      <c r="H628" s="221">
        <v>10.4</v>
      </c>
      <c r="I628" s="221">
        <v>51</v>
      </c>
      <c r="J628" s="221">
        <v>6.3</v>
      </c>
      <c r="K628" s="221">
        <f t="shared" si="9"/>
        <v>4.1000000000000005</v>
      </c>
      <c r="L628" s="93"/>
      <c r="N628" s="83"/>
      <c r="O628" s="97"/>
      <c r="P628" s="97"/>
      <c r="Q628" s="97"/>
    </row>
    <row r="629" spans="1:17" ht="30" x14ac:dyDescent="0.5">
      <c r="A629" s="102" t="s">
        <v>2754</v>
      </c>
      <c r="B629" s="102" t="s">
        <v>2755</v>
      </c>
      <c r="C629" s="102" t="s">
        <v>3580</v>
      </c>
      <c r="D629" s="102" t="s">
        <v>2893</v>
      </c>
      <c r="E629" s="102" t="s">
        <v>2694</v>
      </c>
      <c r="F629" s="220">
        <v>39335</v>
      </c>
      <c r="G629" s="102" t="s">
        <v>2695</v>
      </c>
      <c r="H629" s="221">
        <v>9.7100000000000009</v>
      </c>
      <c r="I629" s="221">
        <v>51.98</v>
      </c>
      <c r="J629" s="221">
        <v>6.25</v>
      </c>
      <c r="K629" s="221">
        <f t="shared" si="9"/>
        <v>3.4600000000000009</v>
      </c>
      <c r="L629" s="93"/>
      <c r="N629" s="83"/>
      <c r="O629" s="97"/>
      <c r="P629" s="97"/>
      <c r="Q629" s="97"/>
    </row>
    <row r="630" spans="1:17" ht="30" x14ac:dyDescent="0.5">
      <c r="A630" s="102" t="s">
        <v>2698</v>
      </c>
      <c r="B630" s="102" t="s">
        <v>2895</v>
      </c>
      <c r="C630" s="102" t="s">
        <v>3581</v>
      </c>
      <c r="D630" s="102" t="s">
        <v>2893</v>
      </c>
      <c r="E630" s="102" t="s">
        <v>2694</v>
      </c>
      <c r="F630" s="220">
        <v>39401</v>
      </c>
      <c r="G630" s="102" t="s">
        <v>2695</v>
      </c>
      <c r="H630" s="221">
        <v>10</v>
      </c>
      <c r="I630" s="221">
        <v>53.02</v>
      </c>
      <c r="J630" s="221">
        <v>6.11</v>
      </c>
      <c r="K630" s="221">
        <f t="shared" si="9"/>
        <v>3.8899999999999997</v>
      </c>
      <c r="L630" s="93"/>
      <c r="N630" s="83"/>
      <c r="O630" s="97"/>
      <c r="P630" s="97"/>
      <c r="Q630" s="97"/>
    </row>
    <row r="631" spans="1:17" ht="30" x14ac:dyDescent="0.5">
      <c r="A631" s="102" t="s">
        <v>2717</v>
      </c>
      <c r="B631" s="102" t="s">
        <v>3437</v>
      </c>
      <c r="C631" s="102" t="s">
        <v>3582</v>
      </c>
      <c r="D631" s="102" t="s">
        <v>2893</v>
      </c>
      <c r="E631" s="102" t="s">
        <v>2694</v>
      </c>
      <c r="F631" s="220">
        <v>39413</v>
      </c>
      <c r="G631" s="102" t="s">
        <v>2695</v>
      </c>
      <c r="H631" s="221">
        <v>10</v>
      </c>
      <c r="I631" s="221">
        <v>50</v>
      </c>
      <c r="J631" s="221">
        <v>6.11</v>
      </c>
      <c r="K631" s="221">
        <f t="shared" si="9"/>
        <v>3.8899999999999997</v>
      </c>
      <c r="L631" s="93"/>
      <c r="N631" s="83"/>
      <c r="O631" s="97"/>
      <c r="P631" s="97"/>
      <c r="Q631" s="97"/>
    </row>
    <row r="632" spans="1:17" ht="30" x14ac:dyDescent="0.5">
      <c r="A632" s="102" t="s">
        <v>2702</v>
      </c>
      <c r="B632" s="102" t="s">
        <v>2703</v>
      </c>
      <c r="C632" s="102" t="s">
        <v>3583</v>
      </c>
      <c r="D632" s="102" t="s">
        <v>2893</v>
      </c>
      <c r="E632" s="102" t="s">
        <v>2694</v>
      </c>
      <c r="F632" s="220">
        <v>39430</v>
      </c>
      <c r="G632" s="102" t="s">
        <v>2695</v>
      </c>
      <c r="H632" s="221">
        <v>10.8</v>
      </c>
      <c r="I632" s="221">
        <v>57.36</v>
      </c>
      <c r="J632" s="221">
        <v>6.11</v>
      </c>
      <c r="K632" s="221">
        <f t="shared" si="9"/>
        <v>4.6900000000000004</v>
      </c>
      <c r="L632" s="93"/>
      <c r="N632" s="83"/>
      <c r="O632" s="97"/>
      <c r="P632" s="97"/>
      <c r="Q632" s="97"/>
    </row>
    <row r="633" spans="1:17" ht="30" x14ac:dyDescent="0.5">
      <c r="A633" s="102" t="s">
        <v>2704</v>
      </c>
      <c r="B633" s="102" t="s">
        <v>2910</v>
      </c>
      <c r="C633" s="102" t="s">
        <v>3584</v>
      </c>
      <c r="D633" s="102" t="s">
        <v>2893</v>
      </c>
      <c r="E633" s="102" t="s">
        <v>2694</v>
      </c>
      <c r="F633" s="220">
        <v>39437</v>
      </c>
      <c r="G633" s="102" t="s">
        <v>2695</v>
      </c>
      <c r="H633" s="221">
        <v>9.1</v>
      </c>
      <c r="I633" s="221">
        <v>44.35</v>
      </c>
      <c r="J633" s="221">
        <v>5.97</v>
      </c>
      <c r="K633" s="221">
        <f t="shared" si="9"/>
        <v>3.13</v>
      </c>
      <c r="L633" s="93"/>
      <c r="N633" s="83"/>
      <c r="O633" s="97"/>
      <c r="P633" s="97"/>
      <c r="Q633" s="97"/>
    </row>
    <row r="634" spans="1:17" ht="30" x14ac:dyDescent="0.5">
      <c r="A634" s="102" t="s">
        <v>2702</v>
      </c>
      <c r="B634" s="102" t="s">
        <v>2755</v>
      </c>
      <c r="C634" s="102" t="s">
        <v>3585</v>
      </c>
      <c r="D634" s="102" t="s">
        <v>2893</v>
      </c>
      <c r="E634" s="102" t="s">
        <v>2694</v>
      </c>
      <c r="F634" s="220">
        <v>39455</v>
      </c>
      <c r="G634" s="102" t="s">
        <v>2695</v>
      </c>
      <c r="H634" s="221">
        <v>10.75</v>
      </c>
      <c r="I634" s="221">
        <v>52.51</v>
      </c>
      <c r="J634" s="221">
        <v>5.97</v>
      </c>
      <c r="K634" s="221">
        <f t="shared" si="9"/>
        <v>4.78</v>
      </c>
      <c r="L634" s="93"/>
      <c r="N634" s="83"/>
      <c r="O634" s="97"/>
      <c r="P634" s="97"/>
      <c r="Q634" s="97"/>
    </row>
    <row r="635" spans="1:17" ht="30" x14ac:dyDescent="0.5">
      <c r="A635" s="102" t="s">
        <v>2702</v>
      </c>
      <c r="B635" s="102" t="s">
        <v>2773</v>
      </c>
      <c r="C635" s="102" t="s">
        <v>3586</v>
      </c>
      <c r="D635" s="102" t="s">
        <v>2893</v>
      </c>
      <c r="E635" s="102" t="s">
        <v>2694</v>
      </c>
      <c r="F635" s="220">
        <v>39464</v>
      </c>
      <c r="G635" s="102" t="s">
        <v>2695</v>
      </c>
      <c r="H635" s="221">
        <v>10.75</v>
      </c>
      <c r="I635" s="221">
        <v>54.36</v>
      </c>
      <c r="J635" s="221">
        <v>6.16</v>
      </c>
      <c r="K635" s="221">
        <f t="shared" si="9"/>
        <v>4.59</v>
      </c>
      <c r="L635" s="93"/>
      <c r="N635" s="83"/>
      <c r="O635" s="97"/>
      <c r="P635" s="97"/>
      <c r="Q635" s="97"/>
    </row>
    <row r="636" spans="1:17" ht="30" x14ac:dyDescent="0.5">
      <c r="A636" s="102" t="s">
        <v>2702</v>
      </c>
      <c r="B636" s="102" t="s">
        <v>2903</v>
      </c>
      <c r="C636" s="102" t="s">
        <v>3587</v>
      </c>
      <c r="D636" s="102" t="s">
        <v>2893</v>
      </c>
      <c r="E636" s="102" t="s">
        <v>2694</v>
      </c>
      <c r="F636" s="220">
        <v>39464</v>
      </c>
      <c r="G636" s="102" t="s">
        <v>2695</v>
      </c>
      <c r="H636" s="221">
        <v>10.75</v>
      </c>
      <c r="I636" s="221">
        <v>46.64</v>
      </c>
      <c r="J636" s="221">
        <v>6.16</v>
      </c>
      <c r="K636" s="221">
        <f t="shared" si="9"/>
        <v>4.59</v>
      </c>
      <c r="L636" s="93"/>
      <c r="N636" s="83"/>
      <c r="O636" s="97"/>
      <c r="P636" s="97"/>
      <c r="Q636" s="97"/>
    </row>
    <row r="637" spans="1:17" ht="30" x14ac:dyDescent="0.5">
      <c r="A637" s="102" t="s">
        <v>2693</v>
      </c>
      <c r="B637" s="102" t="s">
        <v>2961</v>
      </c>
      <c r="C637" s="102" t="s">
        <v>3588</v>
      </c>
      <c r="D637" s="102" t="s">
        <v>2893</v>
      </c>
      <c r="E637" s="102" t="s">
        <v>2694</v>
      </c>
      <c r="F637" s="220">
        <v>39483</v>
      </c>
      <c r="G637" s="102" t="s">
        <v>2695</v>
      </c>
      <c r="H637" s="221">
        <v>10.19</v>
      </c>
      <c r="I637" s="221">
        <v>56</v>
      </c>
      <c r="J637" s="221">
        <v>6.16</v>
      </c>
      <c r="K637" s="221">
        <f t="shared" si="9"/>
        <v>4.0299999999999994</v>
      </c>
      <c r="L637" s="93"/>
      <c r="N637" s="83"/>
      <c r="O637" s="97"/>
      <c r="P637" s="97"/>
      <c r="Q637" s="97"/>
    </row>
    <row r="638" spans="1:17" ht="30" x14ac:dyDescent="0.5">
      <c r="A638" s="102" t="s">
        <v>2693</v>
      </c>
      <c r="B638" s="102" t="s">
        <v>2959</v>
      </c>
      <c r="C638" s="102" t="s">
        <v>3589</v>
      </c>
      <c r="D638" s="102" t="s">
        <v>2893</v>
      </c>
      <c r="E638" s="102" t="s">
        <v>2694</v>
      </c>
      <c r="F638" s="220">
        <v>39483</v>
      </c>
      <c r="G638" s="102" t="s">
        <v>2695</v>
      </c>
      <c r="H638" s="221">
        <v>9.99</v>
      </c>
      <c r="I638" s="221">
        <v>56</v>
      </c>
      <c r="J638" s="221">
        <v>6.16</v>
      </c>
      <c r="K638" s="221">
        <f t="shared" si="9"/>
        <v>3.83</v>
      </c>
      <c r="L638" s="93"/>
      <c r="N638" s="83"/>
      <c r="O638" s="97"/>
      <c r="P638" s="97"/>
      <c r="Q638" s="97"/>
    </row>
    <row r="639" spans="1:17" ht="30" x14ac:dyDescent="0.5">
      <c r="A639" s="102" t="s">
        <v>2714</v>
      </c>
      <c r="B639" s="102" t="s">
        <v>2916</v>
      </c>
      <c r="C639" s="102" t="s">
        <v>3590</v>
      </c>
      <c r="D639" s="102" t="s">
        <v>2893</v>
      </c>
      <c r="E639" s="102" t="s">
        <v>2694</v>
      </c>
      <c r="F639" s="220">
        <v>39626</v>
      </c>
      <c r="G639" s="102" t="s">
        <v>2695</v>
      </c>
      <c r="H639" s="221">
        <v>10</v>
      </c>
      <c r="I639" s="221">
        <v>51.38</v>
      </c>
      <c r="J639" s="221">
        <v>6.27</v>
      </c>
      <c r="K639" s="221">
        <f t="shared" si="9"/>
        <v>3.7300000000000004</v>
      </c>
      <c r="L639" s="93"/>
      <c r="N639" s="83"/>
      <c r="O639" s="97"/>
      <c r="P639" s="97"/>
      <c r="Q639" s="97"/>
    </row>
    <row r="640" spans="1:17" ht="30" x14ac:dyDescent="0.5">
      <c r="A640" s="102" t="s">
        <v>2699</v>
      </c>
      <c r="B640" s="102" t="s">
        <v>2944</v>
      </c>
      <c r="C640" s="102" t="s">
        <v>3591</v>
      </c>
      <c r="D640" s="102" t="s">
        <v>2893</v>
      </c>
      <c r="E640" s="102" t="s">
        <v>2694</v>
      </c>
      <c r="F640" s="220">
        <v>39710</v>
      </c>
      <c r="G640" s="102" t="s">
        <v>2695</v>
      </c>
      <c r="H640" s="221">
        <v>10.7</v>
      </c>
      <c r="I640" s="221">
        <v>45</v>
      </c>
      <c r="J640" s="221">
        <v>6.37</v>
      </c>
      <c r="K640" s="221">
        <f t="shared" si="9"/>
        <v>4.3299999999999992</v>
      </c>
      <c r="L640" s="93"/>
      <c r="N640" s="83"/>
      <c r="O640" s="97"/>
      <c r="P640" s="97"/>
      <c r="Q640" s="97"/>
    </row>
    <row r="641" spans="1:17" ht="30" x14ac:dyDescent="0.5">
      <c r="A641" s="102" t="s">
        <v>2693</v>
      </c>
      <c r="B641" s="102" t="s">
        <v>2742</v>
      </c>
      <c r="C641" s="102" t="s">
        <v>3592</v>
      </c>
      <c r="D641" s="102" t="s">
        <v>2893</v>
      </c>
      <c r="E641" s="102" t="s">
        <v>2694</v>
      </c>
      <c r="F641" s="220">
        <v>39715</v>
      </c>
      <c r="G641" s="102" t="s">
        <v>2695</v>
      </c>
      <c r="H641" s="221">
        <v>10.68</v>
      </c>
      <c r="I641" s="221">
        <v>46.5</v>
      </c>
      <c r="J641" s="221">
        <v>6.37</v>
      </c>
      <c r="K641" s="221">
        <f t="shared" si="9"/>
        <v>4.3099999999999996</v>
      </c>
      <c r="L641" s="93"/>
      <c r="N641" s="83"/>
      <c r="O641" s="97"/>
      <c r="P641" s="97"/>
      <c r="Q641" s="97"/>
    </row>
    <row r="642" spans="1:17" ht="30" x14ac:dyDescent="0.5">
      <c r="A642" s="102" t="s">
        <v>2693</v>
      </c>
      <c r="B642" s="102" t="s">
        <v>2742</v>
      </c>
      <c r="C642" s="102" t="s">
        <v>3593</v>
      </c>
      <c r="D642" s="102" t="s">
        <v>2893</v>
      </c>
      <c r="E642" s="102" t="s">
        <v>2694</v>
      </c>
      <c r="F642" s="220">
        <v>39715</v>
      </c>
      <c r="G642" s="102" t="s">
        <v>2695</v>
      </c>
      <c r="H642" s="221">
        <v>10.68</v>
      </c>
      <c r="I642" s="221">
        <v>47.91</v>
      </c>
      <c r="J642" s="221">
        <v>6.37</v>
      </c>
      <c r="K642" s="221">
        <f t="shared" si="9"/>
        <v>4.3099999999999996</v>
      </c>
      <c r="L642" s="93"/>
      <c r="N642" s="83"/>
      <c r="O642" s="97"/>
      <c r="P642" s="97"/>
      <c r="Q642" s="97"/>
    </row>
    <row r="643" spans="1:17" ht="30" x14ac:dyDescent="0.5">
      <c r="A643" s="102" t="s">
        <v>2693</v>
      </c>
      <c r="B643" s="102" t="s">
        <v>2742</v>
      </c>
      <c r="C643" s="102" t="s">
        <v>3594</v>
      </c>
      <c r="D643" s="102" t="s">
        <v>2893</v>
      </c>
      <c r="E643" s="102" t="s">
        <v>2694</v>
      </c>
      <c r="F643" s="220">
        <v>39715</v>
      </c>
      <c r="G643" s="102" t="s">
        <v>2695</v>
      </c>
      <c r="H643" s="221">
        <v>10.68</v>
      </c>
      <c r="I643" s="221">
        <v>51.76</v>
      </c>
      <c r="J643" s="221">
        <v>6.37</v>
      </c>
      <c r="K643" s="221">
        <f t="shared" si="9"/>
        <v>4.3099999999999996</v>
      </c>
      <c r="L643" s="93"/>
      <c r="N643" s="83"/>
      <c r="O643" s="97"/>
      <c r="P643" s="97"/>
      <c r="Q643" s="97"/>
    </row>
    <row r="644" spans="1:17" ht="30" x14ac:dyDescent="0.5">
      <c r="A644" s="102" t="s">
        <v>2763</v>
      </c>
      <c r="B644" s="102" t="s">
        <v>3059</v>
      </c>
      <c r="C644" s="102" t="s">
        <v>3595</v>
      </c>
      <c r="D644" s="102" t="s">
        <v>2893</v>
      </c>
      <c r="E644" s="102" t="s">
        <v>2694</v>
      </c>
      <c r="F644" s="220">
        <v>39776</v>
      </c>
      <c r="G644" s="102" t="s">
        <v>2695</v>
      </c>
      <c r="H644" s="221">
        <v>10.5</v>
      </c>
      <c r="I644" s="221">
        <v>47.71</v>
      </c>
      <c r="J644" s="221">
        <v>7.56</v>
      </c>
      <c r="K644" s="221">
        <f t="shared" si="9"/>
        <v>2.9400000000000004</v>
      </c>
      <c r="L644" s="93"/>
      <c r="N644" s="83"/>
      <c r="O644" s="97"/>
      <c r="P644" s="97"/>
      <c r="Q644" s="97"/>
    </row>
    <row r="645" spans="1:17" ht="30" x14ac:dyDescent="0.5">
      <c r="A645" s="102" t="s">
        <v>2717</v>
      </c>
      <c r="B645" s="102" t="s">
        <v>2939</v>
      </c>
      <c r="C645" s="102" t="s">
        <v>3596</v>
      </c>
      <c r="D645" s="102" t="s">
        <v>2893</v>
      </c>
      <c r="E645" s="102" t="s">
        <v>2694</v>
      </c>
      <c r="F645" s="220">
        <v>39806</v>
      </c>
      <c r="G645" s="102" t="s">
        <v>2695</v>
      </c>
      <c r="H645" s="221">
        <v>10</v>
      </c>
      <c r="I645" s="221">
        <v>43.44</v>
      </c>
      <c r="J645" s="221">
        <v>7.6</v>
      </c>
      <c r="K645" s="221">
        <f t="shared" si="9"/>
        <v>2.4000000000000004</v>
      </c>
      <c r="L645" s="93"/>
      <c r="N645" s="83"/>
      <c r="O645" s="97"/>
      <c r="P645" s="97"/>
      <c r="Q645" s="97"/>
    </row>
    <row r="646" spans="1:17" ht="30" x14ac:dyDescent="0.5">
      <c r="A646" s="102" t="s">
        <v>2700</v>
      </c>
      <c r="B646" s="102" t="s">
        <v>3597</v>
      </c>
      <c r="C646" s="102" t="s">
        <v>3598</v>
      </c>
      <c r="D646" s="102" t="s">
        <v>2893</v>
      </c>
      <c r="E646" s="102" t="s">
        <v>2694</v>
      </c>
      <c r="F646" s="220">
        <v>39846</v>
      </c>
      <c r="G646" s="102" t="s">
        <v>2695</v>
      </c>
      <c r="H646" s="221">
        <v>10.050000000000001</v>
      </c>
      <c r="I646" s="221">
        <v>34.19</v>
      </c>
      <c r="J646" s="221">
        <v>6.54</v>
      </c>
      <c r="K646" s="221">
        <f t="shared" si="9"/>
        <v>3.5100000000000007</v>
      </c>
      <c r="L646" s="93"/>
      <c r="N646" s="83"/>
      <c r="O646" s="97"/>
      <c r="P646" s="97"/>
      <c r="Q646" s="97"/>
    </row>
    <row r="647" spans="1:17" ht="30" x14ac:dyDescent="0.5">
      <c r="A647" s="102" t="s">
        <v>2693</v>
      </c>
      <c r="B647" s="102" t="s">
        <v>2629</v>
      </c>
      <c r="C647" s="102" t="s">
        <v>3599</v>
      </c>
      <c r="D647" s="102" t="s">
        <v>2893</v>
      </c>
      <c r="E647" s="102" t="s">
        <v>2694</v>
      </c>
      <c r="F647" s="220">
        <v>39897</v>
      </c>
      <c r="G647" s="102" t="s">
        <v>2695</v>
      </c>
      <c r="H647" s="221">
        <v>10.17</v>
      </c>
      <c r="I647" s="221">
        <v>51.07</v>
      </c>
      <c r="J647" s="221">
        <v>6.3</v>
      </c>
      <c r="K647" s="221">
        <f t="shared" ref="K647:K710" si="10">H647-J647</f>
        <v>3.87</v>
      </c>
      <c r="L647" s="93"/>
      <c r="N647" s="83"/>
      <c r="O647" s="97"/>
      <c r="P647" s="97"/>
      <c r="Q647" s="97"/>
    </row>
    <row r="648" spans="1:17" ht="30" x14ac:dyDescent="0.5">
      <c r="A648" s="102" t="s">
        <v>2772</v>
      </c>
      <c r="B648" s="102" t="s">
        <v>3600</v>
      </c>
      <c r="C648" s="102" t="s">
        <v>3601</v>
      </c>
      <c r="D648" s="102" t="s">
        <v>2893</v>
      </c>
      <c r="E648" s="102" t="s">
        <v>2694</v>
      </c>
      <c r="F648" s="220">
        <v>39938</v>
      </c>
      <c r="G648" s="102" t="s">
        <v>2695</v>
      </c>
      <c r="H648" s="221">
        <v>10.75</v>
      </c>
      <c r="I648" s="221">
        <v>48.51</v>
      </c>
      <c r="J648" s="221">
        <v>6.42</v>
      </c>
      <c r="K648" s="221">
        <f t="shared" si="10"/>
        <v>4.33</v>
      </c>
      <c r="L648" s="93"/>
      <c r="N648" s="83"/>
      <c r="O648" s="97"/>
      <c r="P648" s="97"/>
      <c r="Q648" s="97"/>
    </row>
    <row r="649" spans="1:17" ht="30" x14ac:dyDescent="0.5">
      <c r="A649" s="102" t="s">
        <v>2776</v>
      </c>
      <c r="B649" s="102" t="s">
        <v>3602</v>
      </c>
      <c r="C649" s="102" t="s">
        <v>3603</v>
      </c>
      <c r="D649" s="102" t="s">
        <v>2893</v>
      </c>
      <c r="E649" s="102" t="s">
        <v>2694</v>
      </c>
      <c r="F649" s="220">
        <v>39962</v>
      </c>
      <c r="G649" s="102" t="s">
        <v>2695</v>
      </c>
      <c r="H649" s="221">
        <v>9.5399999999999991</v>
      </c>
      <c r="I649" s="221">
        <v>50</v>
      </c>
      <c r="J649" s="221">
        <v>6.48</v>
      </c>
      <c r="K649" s="221">
        <f t="shared" si="10"/>
        <v>3.0599999999999987</v>
      </c>
      <c r="L649" s="93"/>
      <c r="N649" s="83"/>
      <c r="O649" s="97"/>
      <c r="P649" s="97"/>
      <c r="Q649" s="97"/>
    </row>
    <row r="650" spans="1:17" ht="30" x14ac:dyDescent="0.5">
      <c r="A650" s="102" t="s">
        <v>2704</v>
      </c>
      <c r="B650" s="102" t="s">
        <v>2750</v>
      </c>
      <c r="C650" s="102" t="s">
        <v>3604</v>
      </c>
      <c r="D650" s="102" t="s">
        <v>2893</v>
      </c>
      <c r="E650" s="102" t="s">
        <v>2694</v>
      </c>
      <c r="F650" s="220">
        <v>39986</v>
      </c>
      <c r="G650" s="102" t="s">
        <v>2695</v>
      </c>
      <c r="H650" s="221">
        <v>10</v>
      </c>
      <c r="I650" s="221">
        <v>47</v>
      </c>
      <c r="J650" s="221">
        <v>6.49</v>
      </c>
      <c r="K650" s="221">
        <f t="shared" si="10"/>
        <v>3.51</v>
      </c>
      <c r="L650" s="93"/>
      <c r="N650" s="83"/>
      <c r="O650" s="97"/>
      <c r="P650" s="97"/>
      <c r="Q650" s="97"/>
    </row>
    <row r="651" spans="1:17" ht="30" x14ac:dyDescent="0.5">
      <c r="A651" s="102" t="s">
        <v>2754</v>
      </c>
      <c r="B651" s="102" t="s">
        <v>3123</v>
      </c>
      <c r="C651" s="102" t="s">
        <v>3605</v>
      </c>
      <c r="D651" s="102" t="s">
        <v>2893</v>
      </c>
      <c r="E651" s="102" t="s">
        <v>2694</v>
      </c>
      <c r="F651" s="220">
        <v>39993</v>
      </c>
      <c r="G651" s="102" t="s">
        <v>2695</v>
      </c>
      <c r="H651" s="221">
        <v>10.210000000000001</v>
      </c>
      <c r="I651" s="221">
        <v>48.77</v>
      </c>
      <c r="J651" s="221">
        <v>6.49</v>
      </c>
      <c r="K651" s="221">
        <f t="shared" si="10"/>
        <v>3.7200000000000006</v>
      </c>
      <c r="L651" s="93"/>
      <c r="N651" s="83"/>
      <c r="O651" s="97"/>
      <c r="P651" s="97"/>
      <c r="Q651" s="97"/>
    </row>
    <row r="652" spans="1:17" ht="30" x14ac:dyDescent="0.5">
      <c r="A652" s="102" t="s">
        <v>2723</v>
      </c>
      <c r="B652" s="102" t="s">
        <v>2921</v>
      </c>
      <c r="C652" s="102" t="s">
        <v>3606</v>
      </c>
      <c r="D652" s="102" t="s">
        <v>2893</v>
      </c>
      <c r="E652" s="102" t="s">
        <v>2694</v>
      </c>
      <c r="F652" s="220">
        <v>39994</v>
      </c>
      <c r="G652" s="102" t="s">
        <v>2695</v>
      </c>
      <c r="H652" s="221">
        <v>9.31</v>
      </c>
      <c r="I652" s="221">
        <v>52.52</v>
      </c>
      <c r="J652" s="221">
        <v>6.49</v>
      </c>
      <c r="K652" s="221">
        <f t="shared" si="10"/>
        <v>2.8200000000000003</v>
      </c>
      <c r="L652" s="93"/>
      <c r="N652" s="83"/>
      <c r="O652" s="97"/>
      <c r="P652" s="97"/>
      <c r="Q652" s="97"/>
    </row>
    <row r="653" spans="1:17" ht="30" x14ac:dyDescent="0.5">
      <c r="A653" s="102" t="s">
        <v>2723</v>
      </c>
      <c r="B653" s="102" t="s">
        <v>2949</v>
      </c>
      <c r="C653" s="102" t="s">
        <v>3607</v>
      </c>
      <c r="D653" s="102" t="s">
        <v>2893</v>
      </c>
      <c r="E653" s="102" t="s">
        <v>2694</v>
      </c>
      <c r="F653" s="220">
        <v>40011</v>
      </c>
      <c r="G653" s="102" t="s">
        <v>2695</v>
      </c>
      <c r="H653" s="221">
        <v>9.26</v>
      </c>
      <c r="I653" s="221">
        <v>52</v>
      </c>
      <c r="J653" s="221">
        <v>6.2</v>
      </c>
      <c r="K653" s="221">
        <f t="shared" si="10"/>
        <v>3.0599999999999996</v>
      </c>
      <c r="L653" s="93"/>
      <c r="N653" s="98"/>
      <c r="O653" s="99"/>
      <c r="P653" s="99"/>
      <c r="Q653" s="99"/>
    </row>
    <row r="654" spans="1:17" ht="30" x14ac:dyDescent="0.5">
      <c r="A654" s="102" t="s">
        <v>2731</v>
      </c>
      <c r="B654" s="102" t="s">
        <v>2939</v>
      </c>
      <c r="C654" s="102" t="s">
        <v>3608</v>
      </c>
      <c r="D654" s="102" t="s">
        <v>2893</v>
      </c>
      <c r="E654" s="102" t="s">
        <v>2694</v>
      </c>
      <c r="F654" s="220">
        <v>40114</v>
      </c>
      <c r="G654" s="102" t="s">
        <v>2695</v>
      </c>
      <c r="H654" s="221">
        <v>10.15</v>
      </c>
      <c r="I654" s="221">
        <v>47.09</v>
      </c>
      <c r="J654" s="221">
        <v>5.53</v>
      </c>
      <c r="K654" s="221">
        <f t="shared" si="10"/>
        <v>4.62</v>
      </c>
      <c r="L654" s="93"/>
      <c r="N654" s="98"/>
      <c r="O654" s="99"/>
      <c r="P654" s="99"/>
      <c r="Q654" s="99"/>
    </row>
    <row r="655" spans="1:17" ht="30" x14ac:dyDescent="0.5">
      <c r="A655" s="102" t="s">
        <v>2731</v>
      </c>
      <c r="B655" s="102" t="s">
        <v>2939</v>
      </c>
      <c r="C655" s="102" t="s">
        <v>3609</v>
      </c>
      <c r="D655" s="102" t="s">
        <v>2893</v>
      </c>
      <c r="E655" s="102" t="s">
        <v>2694</v>
      </c>
      <c r="F655" s="220">
        <v>40114</v>
      </c>
      <c r="G655" s="102" t="s">
        <v>2695</v>
      </c>
      <c r="H655" s="221">
        <v>10.15</v>
      </c>
      <c r="I655" s="221">
        <v>47.09</v>
      </c>
      <c r="J655" s="221">
        <v>5.53</v>
      </c>
      <c r="K655" s="221">
        <f t="shared" si="10"/>
        <v>4.62</v>
      </c>
      <c r="L655" s="93"/>
      <c r="N655" s="98"/>
      <c r="O655" s="99"/>
      <c r="P655" s="99"/>
      <c r="Q655" s="99"/>
    </row>
    <row r="656" spans="1:17" ht="30" x14ac:dyDescent="0.5">
      <c r="A656" s="102" t="s">
        <v>2700</v>
      </c>
      <c r="B656" s="102" t="s">
        <v>3035</v>
      </c>
      <c r="C656" s="102" t="s">
        <v>3610</v>
      </c>
      <c r="D656" s="102" t="s">
        <v>2893</v>
      </c>
      <c r="E656" s="102" t="s">
        <v>2694</v>
      </c>
      <c r="F656" s="220">
        <v>40116</v>
      </c>
      <c r="G656" s="102" t="s">
        <v>2695</v>
      </c>
      <c r="H656" s="221">
        <v>9.9499999999999993</v>
      </c>
      <c r="I656" s="221">
        <v>53.57</v>
      </c>
      <c r="J656" s="221">
        <v>5.53</v>
      </c>
      <c r="K656" s="221">
        <f t="shared" si="10"/>
        <v>4.419999999999999</v>
      </c>
      <c r="L656" s="93"/>
      <c r="N656" s="98"/>
      <c r="O656" s="99"/>
      <c r="P656" s="99"/>
      <c r="Q656" s="99"/>
    </row>
    <row r="657" spans="1:17" ht="30" x14ac:dyDescent="0.5">
      <c r="A657" s="102" t="s">
        <v>2724</v>
      </c>
      <c r="B657" s="102" t="s">
        <v>2942</v>
      </c>
      <c r="C657" s="102" t="s">
        <v>3611</v>
      </c>
      <c r="D657" s="102" t="s">
        <v>2893</v>
      </c>
      <c r="E657" s="102" t="s">
        <v>2694</v>
      </c>
      <c r="F657" s="220">
        <v>40137</v>
      </c>
      <c r="G657" s="102" t="s">
        <v>2695</v>
      </c>
      <c r="H657" s="221">
        <v>9.4499999999999993</v>
      </c>
      <c r="I657" s="221">
        <v>42.34</v>
      </c>
      <c r="J657" s="221">
        <v>5.55</v>
      </c>
      <c r="K657" s="221">
        <f t="shared" si="10"/>
        <v>3.8999999999999995</v>
      </c>
      <c r="L657" s="93"/>
      <c r="N657" s="98"/>
      <c r="O657" s="99"/>
      <c r="P657" s="99"/>
      <c r="Q657" s="99"/>
    </row>
    <row r="658" spans="1:17" ht="30" x14ac:dyDescent="0.5">
      <c r="A658" s="102" t="s">
        <v>2702</v>
      </c>
      <c r="B658" s="102" t="s">
        <v>2903</v>
      </c>
      <c r="C658" s="102" t="s">
        <v>3612</v>
      </c>
      <c r="D658" s="102" t="s">
        <v>2893</v>
      </c>
      <c r="E658" s="102" t="s">
        <v>2694</v>
      </c>
      <c r="F658" s="220">
        <v>40165</v>
      </c>
      <c r="G658" s="102" t="s">
        <v>2695</v>
      </c>
      <c r="H658" s="221">
        <v>10.5</v>
      </c>
      <c r="I658" s="221">
        <v>46.62</v>
      </c>
      <c r="J658" s="221">
        <v>5.64</v>
      </c>
      <c r="K658" s="221">
        <f t="shared" si="10"/>
        <v>4.8600000000000003</v>
      </c>
      <c r="L658" s="93"/>
      <c r="N658" s="98"/>
      <c r="O658" s="99"/>
      <c r="P658" s="99"/>
      <c r="Q658" s="99"/>
    </row>
    <row r="659" spans="1:17" ht="30" x14ac:dyDescent="0.5">
      <c r="A659" s="102" t="s">
        <v>2702</v>
      </c>
      <c r="B659" s="102" t="s">
        <v>2773</v>
      </c>
      <c r="C659" s="102" t="s">
        <v>3613</v>
      </c>
      <c r="D659" s="102" t="s">
        <v>2893</v>
      </c>
      <c r="E659" s="102" t="s">
        <v>2694</v>
      </c>
      <c r="F659" s="220">
        <v>40165</v>
      </c>
      <c r="G659" s="102" t="s">
        <v>2695</v>
      </c>
      <c r="H659" s="221">
        <v>10.4</v>
      </c>
      <c r="I659" s="221">
        <v>53.02</v>
      </c>
      <c r="J659" s="221">
        <v>5.64</v>
      </c>
      <c r="K659" s="221">
        <f t="shared" si="10"/>
        <v>4.7600000000000007</v>
      </c>
      <c r="L659" s="93"/>
      <c r="N659" s="98"/>
      <c r="O659" s="99"/>
      <c r="P659" s="99"/>
      <c r="Q659" s="99"/>
    </row>
    <row r="660" spans="1:17" ht="30" x14ac:dyDescent="0.5">
      <c r="A660" s="102" t="s">
        <v>2702</v>
      </c>
      <c r="B660" s="102" t="s">
        <v>2749</v>
      </c>
      <c r="C660" s="102" t="s">
        <v>3614</v>
      </c>
      <c r="D660" s="102" t="s">
        <v>2893</v>
      </c>
      <c r="E660" s="102" t="s">
        <v>2694</v>
      </c>
      <c r="F660" s="220">
        <v>40165</v>
      </c>
      <c r="G660" s="102" t="s">
        <v>2695</v>
      </c>
      <c r="H660" s="221">
        <v>10.4</v>
      </c>
      <c r="I660" s="221">
        <v>50.38</v>
      </c>
      <c r="J660" s="221">
        <v>5.64</v>
      </c>
      <c r="K660" s="221">
        <f t="shared" si="10"/>
        <v>4.7600000000000007</v>
      </c>
      <c r="L660" s="93"/>
      <c r="N660" s="98"/>
      <c r="O660" s="99"/>
      <c r="P660" s="99"/>
      <c r="Q660" s="99"/>
    </row>
    <row r="661" spans="1:17" ht="30" x14ac:dyDescent="0.5">
      <c r="A661" s="102" t="s">
        <v>2702</v>
      </c>
      <c r="B661" s="102" t="s">
        <v>2703</v>
      </c>
      <c r="C661" s="102" t="s">
        <v>3615</v>
      </c>
      <c r="D661" s="102" t="s">
        <v>2893</v>
      </c>
      <c r="E661" s="102" t="s">
        <v>2694</v>
      </c>
      <c r="F661" s="220">
        <v>40169</v>
      </c>
      <c r="G661" s="102" t="s">
        <v>2695</v>
      </c>
      <c r="H661" s="221">
        <v>10.4</v>
      </c>
      <c r="I661" s="221">
        <v>55.34</v>
      </c>
      <c r="J661" s="221">
        <v>5.64</v>
      </c>
      <c r="K661" s="221">
        <f t="shared" si="10"/>
        <v>4.7600000000000007</v>
      </c>
      <c r="L661" s="93"/>
      <c r="N661" s="98"/>
      <c r="O661" s="99"/>
      <c r="P661" s="99"/>
      <c r="Q661" s="99"/>
    </row>
    <row r="662" spans="1:17" ht="30" x14ac:dyDescent="0.5">
      <c r="A662" s="102" t="s">
        <v>2736</v>
      </c>
      <c r="B662" s="102" t="s">
        <v>2727</v>
      </c>
      <c r="C662" s="102" t="s">
        <v>3616</v>
      </c>
      <c r="D662" s="102" t="s">
        <v>2893</v>
      </c>
      <c r="E662" s="102" t="s">
        <v>2694</v>
      </c>
      <c r="F662" s="220">
        <v>40169</v>
      </c>
      <c r="G662" s="102" t="s">
        <v>2695</v>
      </c>
      <c r="H662" s="221">
        <v>10.199999999999999</v>
      </c>
      <c r="I662" s="221">
        <v>46.5</v>
      </c>
      <c r="J662" s="221">
        <v>5.64</v>
      </c>
      <c r="K662" s="221">
        <f t="shared" si="10"/>
        <v>4.5599999999999996</v>
      </c>
      <c r="L662" s="93"/>
      <c r="N662" s="98"/>
      <c r="O662" s="99"/>
      <c r="P662" s="99"/>
      <c r="Q662" s="99"/>
    </row>
    <row r="663" spans="1:17" ht="30" x14ac:dyDescent="0.5">
      <c r="A663" s="102" t="s">
        <v>2754</v>
      </c>
      <c r="B663" s="102" t="s">
        <v>2975</v>
      </c>
      <c r="C663" s="102" t="s">
        <v>3617</v>
      </c>
      <c r="D663" s="102" t="s">
        <v>2893</v>
      </c>
      <c r="E663" s="102" t="s">
        <v>2694</v>
      </c>
      <c r="F663" s="220">
        <v>40189</v>
      </c>
      <c r="G663" s="102" t="s">
        <v>2695</v>
      </c>
      <c r="H663" s="221">
        <v>10.24</v>
      </c>
      <c r="I663" s="221">
        <v>52.55</v>
      </c>
      <c r="J663" s="221">
        <v>5.64</v>
      </c>
      <c r="K663" s="221">
        <f t="shared" si="10"/>
        <v>4.6000000000000005</v>
      </c>
      <c r="L663" s="93"/>
      <c r="N663" s="98"/>
      <c r="O663" s="99"/>
      <c r="P663" s="99"/>
      <c r="Q663" s="99"/>
    </row>
    <row r="664" spans="1:17" ht="30" x14ac:dyDescent="0.5">
      <c r="A664" s="102" t="s">
        <v>2693</v>
      </c>
      <c r="B664" s="102" t="s">
        <v>2959</v>
      </c>
      <c r="C664" s="102" t="s">
        <v>3618</v>
      </c>
      <c r="D664" s="102" t="s">
        <v>2893</v>
      </c>
      <c r="E664" s="102" t="s">
        <v>2694</v>
      </c>
      <c r="F664" s="220">
        <v>40199</v>
      </c>
      <c r="G664" s="102" t="s">
        <v>2695</v>
      </c>
      <c r="H664" s="221">
        <v>10.33</v>
      </c>
      <c r="I664" s="221">
        <v>56</v>
      </c>
      <c r="J664" s="221">
        <v>5.79</v>
      </c>
      <c r="K664" s="221">
        <f t="shared" si="10"/>
        <v>4.54</v>
      </c>
      <c r="L664" s="93"/>
      <c r="N664" s="98"/>
      <c r="O664" s="99"/>
      <c r="P664" s="99"/>
      <c r="Q664" s="99"/>
    </row>
    <row r="665" spans="1:17" ht="30" x14ac:dyDescent="0.5">
      <c r="A665" s="102" t="s">
        <v>2693</v>
      </c>
      <c r="B665" s="102" t="s">
        <v>2961</v>
      </c>
      <c r="C665" s="102" t="s">
        <v>3619</v>
      </c>
      <c r="D665" s="102" t="s">
        <v>2893</v>
      </c>
      <c r="E665" s="102" t="s">
        <v>2694</v>
      </c>
      <c r="F665" s="220">
        <v>40199</v>
      </c>
      <c r="G665" s="102" t="s">
        <v>2695</v>
      </c>
      <c r="H665" s="221">
        <v>10.23</v>
      </c>
      <c r="I665" s="221">
        <v>56</v>
      </c>
      <c r="J665" s="221">
        <v>5.79</v>
      </c>
      <c r="K665" s="221">
        <f t="shared" si="10"/>
        <v>4.4400000000000004</v>
      </c>
      <c r="L665" s="93"/>
      <c r="N665" s="98"/>
      <c r="O665" s="99"/>
      <c r="P665" s="99"/>
      <c r="Q665" s="99"/>
    </row>
    <row r="666" spans="1:17" ht="30" x14ac:dyDescent="0.5">
      <c r="A666" s="102" t="s">
        <v>2775</v>
      </c>
      <c r="B666" s="102" t="s">
        <v>2944</v>
      </c>
      <c r="C666" s="102" t="s">
        <v>3620</v>
      </c>
      <c r="D666" s="102" t="s">
        <v>2893</v>
      </c>
      <c r="E666" s="102" t="s">
        <v>2694</v>
      </c>
      <c r="F666" s="220">
        <v>40204</v>
      </c>
      <c r="G666" s="102" t="s">
        <v>2695</v>
      </c>
      <c r="H666" s="221">
        <v>10.4</v>
      </c>
      <c r="I666" s="221">
        <v>48.91</v>
      </c>
      <c r="J666" s="221">
        <v>5.79</v>
      </c>
      <c r="K666" s="221">
        <f t="shared" si="10"/>
        <v>4.6100000000000003</v>
      </c>
      <c r="L666" s="93"/>
      <c r="N666" s="98"/>
      <c r="O666" s="99"/>
      <c r="P666" s="99"/>
      <c r="Q666" s="99"/>
    </row>
    <row r="667" spans="1:17" ht="30" x14ac:dyDescent="0.5">
      <c r="A667" s="102" t="s">
        <v>2756</v>
      </c>
      <c r="B667" s="102" t="s">
        <v>3010</v>
      </c>
      <c r="C667" s="102" t="s">
        <v>3621</v>
      </c>
      <c r="D667" s="102" t="s">
        <v>2893</v>
      </c>
      <c r="E667" s="102" t="s">
        <v>2694</v>
      </c>
      <c r="F667" s="220">
        <v>40219</v>
      </c>
      <c r="G667" s="102" t="s">
        <v>2695</v>
      </c>
      <c r="H667" s="221">
        <v>10</v>
      </c>
      <c r="I667" s="221">
        <v>38.659999999999997</v>
      </c>
      <c r="J667" s="221">
        <v>5.79</v>
      </c>
      <c r="K667" s="221">
        <f t="shared" si="10"/>
        <v>4.21</v>
      </c>
      <c r="L667" s="93"/>
      <c r="N667" s="98"/>
      <c r="O667" s="99"/>
      <c r="P667" s="99"/>
      <c r="Q667" s="99"/>
    </row>
    <row r="668" spans="1:17" ht="30" x14ac:dyDescent="0.5">
      <c r="A668" s="102" t="s">
        <v>2775</v>
      </c>
      <c r="B668" s="102" t="s">
        <v>2975</v>
      </c>
      <c r="C668" s="102" t="s">
        <v>3622</v>
      </c>
      <c r="D668" s="102" t="s">
        <v>2893</v>
      </c>
      <c r="E668" s="102" t="s">
        <v>2694</v>
      </c>
      <c r="F668" s="220">
        <v>40232</v>
      </c>
      <c r="G668" s="102" t="s">
        <v>2695</v>
      </c>
      <c r="H668" s="221">
        <v>10.5</v>
      </c>
      <c r="I668" s="221">
        <v>55.6</v>
      </c>
      <c r="J668" s="221">
        <v>5.77</v>
      </c>
      <c r="K668" s="221">
        <f t="shared" si="10"/>
        <v>4.7300000000000004</v>
      </c>
      <c r="L668" s="93"/>
      <c r="N668" s="98"/>
      <c r="O668" s="99"/>
      <c r="P668" s="99"/>
      <c r="Q668" s="99"/>
    </row>
    <row r="669" spans="1:17" ht="30" x14ac:dyDescent="0.5">
      <c r="A669" s="102" t="s">
        <v>3577</v>
      </c>
      <c r="B669" s="102" t="s">
        <v>3623</v>
      </c>
      <c r="C669" s="102" t="s">
        <v>3624</v>
      </c>
      <c r="D669" s="102" t="s">
        <v>2893</v>
      </c>
      <c r="E669" s="102" t="s">
        <v>2694</v>
      </c>
      <c r="F669" s="220">
        <v>40246</v>
      </c>
      <c r="G669" s="102" t="s">
        <v>2695</v>
      </c>
      <c r="H669" s="221">
        <v>9.6</v>
      </c>
      <c r="I669" s="221">
        <v>49.96</v>
      </c>
      <c r="J669" s="221">
        <v>5.77</v>
      </c>
      <c r="K669" s="221">
        <f t="shared" si="10"/>
        <v>3.83</v>
      </c>
      <c r="L669" s="93"/>
      <c r="N669" s="98"/>
      <c r="O669" s="99"/>
      <c r="P669" s="99"/>
      <c r="Q669" s="99"/>
    </row>
    <row r="670" spans="1:17" ht="30" x14ac:dyDescent="0.5">
      <c r="A670" s="102" t="s">
        <v>2693</v>
      </c>
      <c r="B670" s="102" t="s">
        <v>2709</v>
      </c>
      <c r="C670" s="102" t="s">
        <v>3625</v>
      </c>
      <c r="D670" s="102" t="s">
        <v>2893</v>
      </c>
      <c r="E670" s="102" t="s">
        <v>2694</v>
      </c>
      <c r="F670" s="220">
        <v>40261</v>
      </c>
      <c r="G670" s="102" t="s">
        <v>2695</v>
      </c>
      <c r="H670" s="221">
        <v>10.130000000000001</v>
      </c>
      <c r="I670" s="221">
        <v>47.08</v>
      </c>
      <c r="J670" s="221">
        <v>5.87</v>
      </c>
      <c r="K670" s="221">
        <f t="shared" si="10"/>
        <v>4.2600000000000007</v>
      </c>
      <c r="L670" s="93"/>
      <c r="N670" s="98"/>
      <c r="O670" s="99"/>
      <c r="P670" s="99"/>
      <c r="Q670" s="99"/>
    </row>
    <row r="671" spans="1:17" ht="30" x14ac:dyDescent="0.5">
      <c r="A671" s="102" t="s">
        <v>2699</v>
      </c>
      <c r="B671" s="102" t="s">
        <v>2944</v>
      </c>
      <c r="C671" s="102" t="s">
        <v>3626</v>
      </c>
      <c r="D671" s="102" t="s">
        <v>2893</v>
      </c>
      <c r="E671" s="102" t="s">
        <v>2694</v>
      </c>
      <c r="F671" s="220">
        <v>40268</v>
      </c>
      <c r="G671" s="102" t="s">
        <v>2695</v>
      </c>
      <c r="H671" s="221">
        <v>10.7</v>
      </c>
      <c r="I671" s="221">
        <v>47.7</v>
      </c>
      <c r="J671" s="221">
        <v>5.87</v>
      </c>
      <c r="K671" s="221">
        <f t="shared" si="10"/>
        <v>4.8299999999999992</v>
      </c>
      <c r="L671" s="93"/>
      <c r="N671" s="98"/>
      <c r="O671" s="99"/>
      <c r="P671" s="99"/>
      <c r="Q671" s="99"/>
    </row>
    <row r="672" spans="1:17" ht="30" x14ac:dyDescent="0.5">
      <c r="A672" s="102" t="s">
        <v>2717</v>
      </c>
      <c r="B672" s="102" t="s">
        <v>3437</v>
      </c>
      <c r="C672" s="102" t="s">
        <v>3627</v>
      </c>
      <c r="D672" s="102" t="s">
        <v>2893</v>
      </c>
      <c r="E672" s="102" t="s">
        <v>2694</v>
      </c>
      <c r="F672" s="220">
        <v>40269</v>
      </c>
      <c r="G672" s="102" t="s">
        <v>2695</v>
      </c>
      <c r="H672" s="221">
        <v>9.5</v>
      </c>
      <c r="I672" s="221">
        <v>49.9</v>
      </c>
      <c r="J672" s="221">
        <v>5.87</v>
      </c>
      <c r="K672" s="221">
        <f t="shared" si="10"/>
        <v>3.63</v>
      </c>
      <c r="L672" s="93"/>
      <c r="N672" s="98"/>
      <c r="O672" s="99"/>
      <c r="P672" s="99"/>
      <c r="Q672" s="99"/>
    </row>
    <row r="673" spans="1:17" ht="30" x14ac:dyDescent="0.5">
      <c r="A673" s="102" t="s">
        <v>2736</v>
      </c>
      <c r="B673" s="102" t="s">
        <v>2737</v>
      </c>
      <c r="C673" s="102" t="s">
        <v>3628</v>
      </c>
      <c r="D673" s="102" t="s">
        <v>2893</v>
      </c>
      <c r="E673" s="102" t="s">
        <v>2694</v>
      </c>
      <c r="F673" s="220">
        <v>40270</v>
      </c>
      <c r="G673" s="102" t="s">
        <v>2695</v>
      </c>
      <c r="H673" s="221">
        <v>10.1</v>
      </c>
      <c r="I673" s="221">
        <v>46</v>
      </c>
      <c r="J673" s="221">
        <v>5.87</v>
      </c>
      <c r="K673" s="221">
        <f t="shared" si="10"/>
        <v>4.2299999999999995</v>
      </c>
      <c r="L673" s="93"/>
      <c r="N673" s="98"/>
      <c r="O673" s="99"/>
      <c r="P673" s="99"/>
      <c r="Q673" s="99"/>
    </row>
    <row r="674" spans="1:17" ht="30" x14ac:dyDescent="0.5">
      <c r="A674" s="102" t="s">
        <v>2693</v>
      </c>
      <c r="B674" s="102" t="s">
        <v>2742</v>
      </c>
      <c r="C674" s="102" t="s">
        <v>3629</v>
      </c>
      <c r="D674" s="102" t="s">
        <v>2893</v>
      </c>
      <c r="E674" s="102" t="s">
        <v>2694</v>
      </c>
      <c r="F674" s="220">
        <v>40297</v>
      </c>
      <c r="G674" s="102" t="s">
        <v>2695</v>
      </c>
      <c r="H674" s="221">
        <v>9.4</v>
      </c>
      <c r="I674" s="221">
        <v>43.61</v>
      </c>
      <c r="J674" s="221">
        <v>5.84</v>
      </c>
      <c r="K674" s="221">
        <f t="shared" si="10"/>
        <v>3.5600000000000005</v>
      </c>
      <c r="L674" s="93"/>
      <c r="N674" s="98"/>
      <c r="O674" s="99"/>
      <c r="P674" s="99"/>
      <c r="Q674" s="99"/>
    </row>
    <row r="675" spans="1:17" ht="30" x14ac:dyDescent="0.5">
      <c r="A675" s="102" t="s">
        <v>2693</v>
      </c>
      <c r="B675" s="102" t="s">
        <v>2742</v>
      </c>
      <c r="C675" s="102" t="s">
        <v>3630</v>
      </c>
      <c r="D675" s="102" t="s">
        <v>2893</v>
      </c>
      <c r="E675" s="102" t="s">
        <v>2694</v>
      </c>
      <c r="F675" s="220">
        <v>40297</v>
      </c>
      <c r="G675" s="102" t="s">
        <v>2695</v>
      </c>
      <c r="H675" s="221">
        <v>9.4</v>
      </c>
      <c r="I675" s="221">
        <v>43.55</v>
      </c>
      <c r="J675" s="221">
        <v>5.84</v>
      </c>
      <c r="K675" s="221">
        <f t="shared" si="10"/>
        <v>3.5600000000000005</v>
      </c>
      <c r="L675" s="93"/>
      <c r="N675" s="98"/>
      <c r="O675" s="99"/>
      <c r="P675" s="99"/>
      <c r="Q675" s="99"/>
    </row>
    <row r="676" spans="1:17" ht="30" x14ac:dyDescent="0.5">
      <c r="A676" s="102" t="s">
        <v>2693</v>
      </c>
      <c r="B676" s="102" t="s">
        <v>2742</v>
      </c>
      <c r="C676" s="102" t="s">
        <v>3631</v>
      </c>
      <c r="D676" s="102" t="s">
        <v>2893</v>
      </c>
      <c r="E676" s="102" t="s">
        <v>2694</v>
      </c>
      <c r="F676" s="220">
        <v>40297</v>
      </c>
      <c r="G676" s="102" t="s">
        <v>2695</v>
      </c>
      <c r="H676" s="221">
        <v>9.19</v>
      </c>
      <c r="I676" s="221">
        <v>48.67</v>
      </c>
      <c r="J676" s="221">
        <v>5.84</v>
      </c>
      <c r="K676" s="221">
        <f t="shared" si="10"/>
        <v>3.3499999999999996</v>
      </c>
      <c r="L676" s="93"/>
      <c r="N676" s="98"/>
      <c r="O676" s="99"/>
      <c r="P676" s="99"/>
      <c r="Q676" s="99"/>
    </row>
    <row r="677" spans="1:17" ht="30" x14ac:dyDescent="0.5">
      <c r="A677" s="102" t="s">
        <v>2744</v>
      </c>
      <c r="B677" s="102" t="s">
        <v>2770</v>
      </c>
      <c r="C677" s="102" t="s">
        <v>3632</v>
      </c>
      <c r="D677" s="102" t="s">
        <v>2893</v>
      </c>
      <c r="E677" s="102" t="s">
        <v>2694</v>
      </c>
      <c r="F677" s="220">
        <v>40315</v>
      </c>
      <c r="G677" s="102" t="s">
        <v>2695</v>
      </c>
      <c r="H677" s="221">
        <v>10.55</v>
      </c>
      <c r="I677" s="221">
        <v>40.78</v>
      </c>
      <c r="J677" s="221">
        <v>5.81</v>
      </c>
      <c r="K677" s="221">
        <f t="shared" si="10"/>
        <v>4.7400000000000011</v>
      </c>
      <c r="L677" s="93"/>
      <c r="N677" s="98"/>
      <c r="O677" s="99"/>
      <c r="P677" s="99"/>
      <c r="Q677" s="99"/>
    </row>
    <row r="678" spans="1:17" ht="30" x14ac:dyDescent="0.5">
      <c r="A678" s="102" t="s">
        <v>2768</v>
      </c>
      <c r="B678" s="102" t="s">
        <v>3106</v>
      </c>
      <c r="C678" s="102" t="s">
        <v>3633</v>
      </c>
      <c r="D678" s="102" t="s">
        <v>2893</v>
      </c>
      <c r="E678" s="102" t="s">
        <v>2694</v>
      </c>
      <c r="F678" s="220">
        <v>40322</v>
      </c>
      <c r="G678" s="102" t="s">
        <v>2695</v>
      </c>
      <c r="H678" s="221">
        <v>10.050000000000001</v>
      </c>
      <c r="I678" s="221">
        <v>46.06</v>
      </c>
      <c r="J678" s="221">
        <v>5.81</v>
      </c>
      <c r="K678" s="221">
        <f t="shared" si="10"/>
        <v>4.2400000000000011</v>
      </c>
      <c r="L678" s="93"/>
      <c r="N678" s="98"/>
      <c r="O678" s="99"/>
      <c r="P678" s="99"/>
      <c r="Q678" s="99"/>
    </row>
    <row r="679" spans="1:17" ht="30" x14ac:dyDescent="0.5">
      <c r="A679" s="102" t="s">
        <v>2744</v>
      </c>
      <c r="B679" s="102" t="s">
        <v>2972</v>
      </c>
      <c r="C679" s="102" t="s">
        <v>3634</v>
      </c>
      <c r="D679" s="102" t="s">
        <v>2893</v>
      </c>
      <c r="E679" s="102" t="s">
        <v>2694</v>
      </c>
      <c r="F679" s="220">
        <v>40332</v>
      </c>
      <c r="G679" s="102" t="s">
        <v>2695</v>
      </c>
      <c r="H679" s="221">
        <v>11</v>
      </c>
      <c r="I679" s="221">
        <v>38.78</v>
      </c>
      <c r="J679" s="221">
        <v>5.81</v>
      </c>
      <c r="K679" s="221">
        <f t="shared" si="10"/>
        <v>5.19</v>
      </c>
      <c r="L679" s="93"/>
      <c r="N679" s="98"/>
      <c r="O679" s="99"/>
      <c r="P679" s="99"/>
      <c r="Q679" s="99"/>
    </row>
    <row r="680" spans="1:17" ht="30" x14ac:dyDescent="0.5">
      <c r="A680" s="102" t="s">
        <v>3577</v>
      </c>
      <c r="B680" s="102" t="s">
        <v>3578</v>
      </c>
      <c r="C680" s="102" t="s">
        <v>3635</v>
      </c>
      <c r="D680" s="102" t="s">
        <v>2893</v>
      </c>
      <c r="E680" s="102" t="s">
        <v>2694</v>
      </c>
      <c r="F680" s="220">
        <v>40407</v>
      </c>
      <c r="G680" s="102" t="s">
        <v>2695</v>
      </c>
      <c r="H680" s="221">
        <v>10.1</v>
      </c>
      <c r="I680" s="221">
        <v>52</v>
      </c>
      <c r="J680" s="221">
        <v>5.26</v>
      </c>
      <c r="K680" s="221">
        <f t="shared" si="10"/>
        <v>4.84</v>
      </c>
      <c r="L680" s="93"/>
      <c r="N680" s="98"/>
      <c r="O680" s="99"/>
      <c r="P680" s="99"/>
      <c r="Q680" s="99"/>
    </row>
    <row r="681" spans="1:17" ht="30" x14ac:dyDescent="0.5">
      <c r="A681" s="102" t="s">
        <v>2728</v>
      </c>
      <c r="B681" s="102" t="s">
        <v>3636</v>
      </c>
      <c r="C681" s="102" t="s">
        <v>3637</v>
      </c>
      <c r="D681" s="102" t="s">
        <v>2893</v>
      </c>
      <c r="E681" s="102" t="s">
        <v>2694</v>
      </c>
      <c r="F681" s="220">
        <v>40472</v>
      </c>
      <c r="G681" s="102" t="s">
        <v>2695</v>
      </c>
      <c r="H681" s="221">
        <v>10.4</v>
      </c>
      <c r="I681" s="221">
        <v>44.49</v>
      </c>
      <c r="J681" s="221">
        <v>5.01</v>
      </c>
      <c r="K681" s="221">
        <f t="shared" si="10"/>
        <v>5.3900000000000006</v>
      </c>
      <c r="L681" s="93"/>
      <c r="N681" s="98"/>
      <c r="O681" s="99"/>
      <c r="P681" s="99"/>
      <c r="Q681" s="99"/>
    </row>
    <row r="682" spans="1:17" ht="30" x14ac:dyDescent="0.5">
      <c r="A682" s="102" t="s">
        <v>2700</v>
      </c>
      <c r="B682" s="102" t="s">
        <v>3082</v>
      </c>
      <c r="C682" s="102" t="s">
        <v>3638</v>
      </c>
      <c r="D682" s="102" t="s">
        <v>2893</v>
      </c>
      <c r="E682" s="102" t="s">
        <v>2694</v>
      </c>
      <c r="F682" s="220">
        <v>40484</v>
      </c>
      <c r="G682" s="102" t="s">
        <v>2695</v>
      </c>
      <c r="H682" s="221">
        <v>9.75</v>
      </c>
      <c r="I682" s="221">
        <v>50</v>
      </c>
      <c r="J682" s="221">
        <v>5.01</v>
      </c>
      <c r="K682" s="221">
        <f t="shared" si="10"/>
        <v>4.74</v>
      </c>
      <c r="L682" s="93"/>
      <c r="N682" s="98"/>
      <c r="O682" s="99"/>
      <c r="P682" s="99"/>
      <c r="Q682" s="99"/>
    </row>
    <row r="683" spans="1:17" ht="30" x14ac:dyDescent="0.5">
      <c r="A683" s="102" t="s">
        <v>2700</v>
      </c>
      <c r="B683" s="102" t="s">
        <v>3097</v>
      </c>
      <c r="C683" s="102" t="s">
        <v>3639</v>
      </c>
      <c r="D683" s="102" t="s">
        <v>2893</v>
      </c>
      <c r="E683" s="102" t="s">
        <v>2694</v>
      </c>
      <c r="F683" s="220">
        <v>40484</v>
      </c>
      <c r="G683" s="102" t="s">
        <v>2695</v>
      </c>
      <c r="H683" s="221">
        <v>9.75</v>
      </c>
      <c r="I683" s="221">
        <v>50</v>
      </c>
      <c r="J683" s="221">
        <v>5.01</v>
      </c>
      <c r="K683" s="221">
        <f t="shared" si="10"/>
        <v>4.74</v>
      </c>
      <c r="L683" s="93"/>
      <c r="N683" s="98"/>
      <c r="O683" s="99"/>
      <c r="P683" s="99"/>
      <c r="Q683" s="99"/>
    </row>
    <row r="684" spans="1:17" ht="30" x14ac:dyDescent="0.5">
      <c r="A684" s="102" t="s">
        <v>2699</v>
      </c>
      <c r="B684" s="102" t="s">
        <v>2628</v>
      </c>
      <c r="C684" s="102" t="s">
        <v>3640</v>
      </c>
      <c r="D684" s="102" t="s">
        <v>2893</v>
      </c>
      <c r="E684" s="102" t="s">
        <v>2694</v>
      </c>
      <c r="F684" s="220">
        <v>40485</v>
      </c>
      <c r="G684" s="102" t="s">
        <v>2695</v>
      </c>
      <c r="H684" s="221">
        <v>10.75</v>
      </c>
      <c r="I684" s="221">
        <v>51</v>
      </c>
      <c r="J684" s="221">
        <v>5.01</v>
      </c>
      <c r="K684" s="221">
        <f t="shared" si="10"/>
        <v>5.74</v>
      </c>
      <c r="L684" s="93"/>
      <c r="N684" s="98"/>
      <c r="O684" s="99"/>
      <c r="P684" s="99"/>
      <c r="Q684" s="99"/>
    </row>
    <row r="685" spans="1:17" ht="30" x14ac:dyDescent="0.5">
      <c r="A685" s="102" t="s">
        <v>2754</v>
      </c>
      <c r="B685" s="102" t="s">
        <v>2755</v>
      </c>
      <c r="C685" s="102" t="s">
        <v>3641</v>
      </c>
      <c r="D685" s="102" t="s">
        <v>2893</v>
      </c>
      <c r="E685" s="102" t="s">
        <v>2694</v>
      </c>
      <c r="F685" s="220">
        <v>40518</v>
      </c>
      <c r="G685" s="102" t="s">
        <v>2695</v>
      </c>
      <c r="H685" s="221">
        <v>10.09</v>
      </c>
      <c r="I685" s="221">
        <v>52.46</v>
      </c>
      <c r="J685" s="221">
        <v>5.0999999999999996</v>
      </c>
      <c r="K685" s="221">
        <f t="shared" si="10"/>
        <v>4.99</v>
      </c>
      <c r="L685" s="93"/>
      <c r="N685" s="98"/>
      <c r="O685" s="99"/>
      <c r="P685" s="99"/>
      <c r="Q685" s="99"/>
    </row>
    <row r="686" spans="1:17" ht="30" x14ac:dyDescent="0.5">
      <c r="A686" s="102" t="s">
        <v>2698</v>
      </c>
      <c r="B686" s="102" t="s">
        <v>2722</v>
      </c>
      <c r="C686" s="102" t="s">
        <v>3642</v>
      </c>
      <c r="D686" s="102" t="s">
        <v>2893</v>
      </c>
      <c r="E686" s="102" t="s">
        <v>2694</v>
      </c>
      <c r="F686" s="220">
        <v>40518</v>
      </c>
      <c r="G686" s="102" t="s">
        <v>2695</v>
      </c>
      <c r="H686" s="221">
        <v>9.56</v>
      </c>
      <c r="I686" s="221">
        <v>51.93</v>
      </c>
      <c r="J686" s="221">
        <v>5.0999999999999996</v>
      </c>
      <c r="K686" s="221">
        <f t="shared" si="10"/>
        <v>4.4600000000000009</v>
      </c>
      <c r="L686" s="93"/>
      <c r="N686" s="98"/>
      <c r="O686" s="99"/>
      <c r="P686" s="99"/>
      <c r="Q686" s="99"/>
    </row>
    <row r="687" spans="1:17" ht="30" x14ac:dyDescent="0.5">
      <c r="A687" s="102" t="s">
        <v>2775</v>
      </c>
      <c r="B687" s="102" t="s">
        <v>3643</v>
      </c>
      <c r="C687" s="102" t="s">
        <v>3644</v>
      </c>
      <c r="D687" s="102" t="s">
        <v>2893</v>
      </c>
      <c r="E687" s="102" t="s">
        <v>2694</v>
      </c>
      <c r="F687" s="220">
        <v>40526</v>
      </c>
      <c r="G687" s="102" t="s">
        <v>2695</v>
      </c>
      <c r="H687" s="221">
        <v>10.33</v>
      </c>
      <c r="I687" s="221">
        <v>59.24</v>
      </c>
      <c r="J687" s="221">
        <v>5.0999999999999996</v>
      </c>
      <c r="K687" s="221">
        <f t="shared" si="10"/>
        <v>5.23</v>
      </c>
      <c r="L687" s="93"/>
      <c r="N687" s="98"/>
      <c r="O687" s="99"/>
      <c r="P687" s="99"/>
      <c r="Q687" s="99"/>
    </row>
    <row r="688" spans="1:17" ht="30" x14ac:dyDescent="0.5">
      <c r="A688" s="102" t="s">
        <v>2731</v>
      </c>
      <c r="B688" s="102" t="s">
        <v>2733</v>
      </c>
      <c r="C688" s="102" t="s">
        <v>3645</v>
      </c>
      <c r="D688" s="102" t="s">
        <v>2893</v>
      </c>
      <c r="E688" s="102" t="s">
        <v>2694</v>
      </c>
      <c r="F688" s="220">
        <v>40532</v>
      </c>
      <c r="G688" s="102" t="s">
        <v>2695</v>
      </c>
      <c r="H688" s="221">
        <v>10.1</v>
      </c>
      <c r="I688" s="221">
        <v>44.11</v>
      </c>
      <c r="J688" s="221">
        <v>5.37</v>
      </c>
      <c r="K688" s="221">
        <f t="shared" si="10"/>
        <v>4.7299999999999995</v>
      </c>
      <c r="L688" s="93"/>
      <c r="N688" s="98"/>
      <c r="O688" s="99"/>
      <c r="P688" s="99"/>
      <c r="Q688" s="99"/>
    </row>
    <row r="689" spans="1:17" ht="30" x14ac:dyDescent="0.5">
      <c r="A689" s="102" t="s">
        <v>2777</v>
      </c>
      <c r="B689" s="102" t="s">
        <v>3623</v>
      </c>
      <c r="C689" s="102" t="s">
        <v>3646</v>
      </c>
      <c r="D689" s="102" t="s">
        <v>2893</v>
      </c>
      <c r="E689" s="102" t="s">
        <v>2694</v>
      </c>
      <c r="F689" s="220">
        <v>40535</v>
      </c>
      <c r="G689" s="102" t="s">
        <v>2695</v>
      </c>
      <c r="H689" s="221">
        <v>9.92</v>
      </c>
      <c r="I689" s="221">
        <v>50.34</v>
      </c>
      <c r="J689" s="221">
        <v>5.37</v>
      </c>
      <c r="K689" s="221">
        <f t="shared" si="10"/>
        <v>4.55</v>
      </c>
      <c r="L689" s="93"/>
      <c r="N689" s="98"/>
      <c r="O689" s="99"/>
      <c r="P689" s="99"/>
      <c r="Q689" s="99"/>
    </row>
    <row r="690" spans="1:17" ht="30" x14ac:dyDescent="0.5">
      <c r="A690" s="102" t="s">
        <v>2702</v>
      </c>
      <c r="B690" s="102" t="s">
        <v>2703</v>
      </c>
      <c r="C690" s="102" t="s">
        <v>3647</v>
      </c>
      <c r="D690" s="102" t="s">
        <v>2893</v>
      </c>
      <c r="E690" s="102" t="s">
        <v>2694</v>
      </c>
      <c r="F690" s="220">
        <v>40555</v>
      </c>
      <c r="G690" s="102" t="s">
        <v>2695</v>
      </c>
      <c r="H690" s="221">
        <v>10.3</v>
      </c>
      <c r="I690" s="221">
        <v>58.06</v>
      </c>
      <c r="J690" s="221">
        <v>5.37</v>
      </c>
      <c r="K690" s="221">
        <f t="shared" si="10"/>
        <v>4.9300000000000006</v>
      </c>
      <c r="L690" s="93"/>
      <c r="N690" s="98"/>
      <c r="O690" s="99"/>
      <c r="P690" s="99"/>
      <c r="Q690" s="99"/>
    </row>
    <row r="691" spans="1:17" ht="30" x14ac:dyDescent="0.5">
      <c r="A691" s="102" t="s">
        <v>2702</v>
      </c>
      <c r="B691" s="102" t="s">
        <v>2748</v>
      </c>
      <c r="C691" s="102" t="s">
        <v>3648</v>
      </c>
      <c r="D691" s="102" t="s">
        <v>2893</v>
      </c>
      <c r="E691" s="102" t="s">
        <v>2694</v>
      </c>
      <c r="F691" s="220">
        <v>40556</v>
      </c>
      <c r="G691" s="102" t="s">
        <v>2695</v>
      </c>
      <c r="H691" s="221">
        <v>10.3</v>
      </c>
      <c r="I691" s="221">
        <v>51.65</v>
      </c>
      <c r="J691" s="221">
        <v>5.37</v>
      </c>
      <c r="K691" s="221">
        <f t="shared" si="10"/>
        <v>4.9300000000000006</v>
      </c>
      <c r="L691" s="93"/>
      <c r="N691" s="98"/>
      <c r="O691" s="99"/>
      <c r="P691" s="99"/>
      <c r="Q691" s="99"/>
    </row>
    <row r="692" spans="1:17" ht="30" x14ac:dyDescent="0.5">
      <c r="A692" s="102" t="s">
        <v>2700</v>
      </c>
      <c r="B692" s="102" t="s">
        <v>3597</v>
      </c>
      <c r="C692" s="102" t="s">
        <v>3649</v>
      </c>
      <c r="D692" s="102" t="s">
        <v>2893</v>
      </c>
      <c r="E692" s="102" t="s">
        <v>2694</v>
      </c>
      <c r="F692" s="220">
        <v>40633</v>
      </c>
      <c r="G692" s="102" t="s">
        <v>2695</v>
      </c>
      <c r="H692" s="221">
        <v>9.4499999999999993</v>
      </c>
      <c r="I692" s="221">
        <v>50.17</v>
      </c>
      <c r="J692" s="221">
        <v>5.68</v>
      </c>
      <c r="K692" s="221">
        <f t="shared" si="10"/>
        <v>3.7699999999999996</v>
      </c>
      <c r="L692" s="93"/>
      <c r="N692" s="98"/>
      <c r="O692" s="99"/>
      <c r="P692" s="99"/>
      <c r="Q692" s="99"/>
    </row>
    <row r="693" spans="1:17" ht="30" x14ac:dyDescent="0.5">
      <c r="A693" s="102" t="s">
        <v>2723</v>
      </c>
      <c r="B693" s="102" t="s">
        <v>3389</v>
      </c>
      <c r="C693" s="102" t="s">
        <v>3650</v>
      </c>
      <c r="D693" s="102" t="s">
        <v>2893</v>
      </c>
      <c r="E693" s="102" t="s">
        <v>2694</v>
      </c>
      <c r="F693" s="220">
        <v>40723</v>
      </c>
      <c r="G693" s="102" t="s">
        <v>2695</v>
      </c>
      <c r="H693" s="221">
        <v>8.83</v>
      </c>
      <c r="I693" s="221">
        <v>52.2</v>
      </c>
      <c r="J693" s="221">
        <v>5.32</v>
      </c>
      <c r="K693" s="221">
        <f t="shared" si="10"/>
        <v>3.51</v>
      </c>
      <c r="L693" s="93"/>
      <c r="N693" s="98"/>
      <c r="O693" s="99"/>
      <c r="P693" s="99"/>
      <c r="Q693" s="99"/>
    </row>
    <row r="694" spans="1:17" ht="30" x14ac:dyDescent="0.5">
      <c r="A694" s="102" t="s">
        <v>2700</v>
      </c>
      <c r="B694" s="102" t="s">
        <v>2778</v>
      </c>
      <c r="C694" s="102" t="s">
        <v>3651</v>
      </c>
      <c r="D694" s="102" t="s">
        <v>2893</v>
      </c>
      <c r="E694" s="102" t="s">
        <v>2694</v>
      </c>
      <c r="F694" s="220">
        <v>40756</v>
      </c>
      <c r="G694" s="102" t="s">
        <v>2695</v>
      </c>
      <c r="H694" s="221">
        <v>9.1999999999999993</v>
      </c>
      <c r="I694" s="221">
        <v>42.88</v>
      </c>
      <c r="J694" s="221">
        <v>5.26</v>
      </c>
      <c r="K694" s="221">
        <f t="shared" si="10"/>
        <v>3.9399999999999995</v>
      </c>
      <c r="L694" s="93"/>
      <c r="N694" s="98"/>
      <c r="O694" s="99"/>
      <c r="P694" s="99"/>
      <c r="Q694" s="99"/>
    </row>
    <row r="695" spans="1:17" ht="30" x14ac:dyDescent="0.5">
      <c r="A695" s="102" t="s">
        <v>2698</v>
      </c>
      <c r="B695" s="102" t="s">
        <v>2895</v>
      </c>
      <c r="C695" s="102" t="s">
        <v>3652</v>
      </c>
      <c r="D695" s="102" t="s">
        <v>2893</v>
      </c>
      <c r="E695" s="102" t="s">
        <v>2694</v>
      </c>
      <c r="F695" s="220">
        <v>40861</v>
      </c>
      <c r="G695" s="102" t="s">
        <v>2695</v>
      </c>
      <c r="H695" s="221">
        <v>9.6</v>
      </c>
      <c r="I695" s="221">
        <v>57.88</v>
      </c>
      <c r="J695" s="221">
        <v>4.4800000000000004</v>
      </c>
      <c r="K695" s="221">
        <f t="shared" si="10"/>
        <v>5.1199999999999992</v>
      </c>
      <c r="L695" s="93"/>
      <c r="N695" s="98"/>
      <c r="O695" s="99"/>
      <c r="P695" s="99"/>
      <c r="Q695" s="99"/>
    </row>
    <row r="696" spans="1:17" ht="30" x14ac:dyDescent="0.5">
      <c r="A696" s="102" t="s">
        <v>2702</v>
      </c>
      <c r="B696" s="102" t="s">
        <v>2755</v>
      </c>
      <c r="C696" s="102" t="s">
        <v>3653</v>
      </c>
      <c r="D696" s="102" t="s">
        <v>2893</v>
      </c>
      <c r="E696" s="102" t="s">
        <v>2694</v>
      </c>
      <c r="F696" s="220">
        <v>40899</v>
      </c>
      <c r="G696" s="102" t="s">
        <v>2695</v>
      </c>
      <c r="H696" s="221">
        <v>10.4</v>
      </c>
      <c r="I696" s="221">
        <v>52.59</v>
      </c>
      <c r="J696" s="221">
        <v>4.25</v>
      </c>
      <c r="K696" s="221">
        <f t="shared" si="10"/>
        <v>6.15</v>
      </c>
      <c r="L696" s="93"/>
      <c r="N696" s="98"/>
      <c r="O696" s="99"/>
      <c r="P696" s="99"/>
      <c r="Q696" s="99"/>
    </row>
    <row r="697" spans="1:17" ht="30" x14ac:dyDescent="0.5">
      <c r="A697" s="102" t="s">
        <v>2693</v>
      </c>
      <c r="B697" s="102" t="s">
        <v>2959</v>
      </c>
      <c r="C697" s="102" t="s">
        <v>3654</v>
      </c>
      <c r="D697" s="102" t="s">
        <v>2893</v>
      </c>
      <c r="E697" s="102" t="s">
        <v>2694</v>
      </c>
      <c r="F697" s="220">
        <v>40918</v>
      </c>
      <c r="G697" s="102" t="s">
        <v>2695</v>
      </c>
      <c r="H697" s="221">
        <v>9.4499999999999993</v>
      </c>
      <c r="I697" s="221">
        <v>50</v>
      </c>
      <c r="J697" s="221">
        <v>4.25</v>
      </c>
      <c r="K697" s="221">
        <f t="shared" si="10"/>
        <v>5.1999999999999993</v>
      </c>
      <c r="L697" s="93"/>
      <c r="N697" s="98"/>
      <c r="O697" s="99"/>
      <c r="P697" s="99"/>
      <c r="Q697" s="99"/>
    </row>
    <row r="698" spans="1:17" ht="30" x14ac:dyDescent="0.5">
      <c r="A698" s="102" t="s">
        <v>2693</v>
      </c>
      <c r="B698" s="102" t="s">
        <v>2961</v>
      </c>
      <c r="C698" s="102" t="s">
        <v>3655</v>
      </c>
      <c r="D698" s="102" t="s">
        <v>2893</v>
      </c>
      <c r="E698" s="102" t="s">
        <v>2694</v>
      </c>
      <c r="F698" s="220">
        <v>40918</v>
      </c>
      <c r="G698" s="102" t="s">
        <v>2695</v>
      </c>
      <c r="H698" s="221">
        <v>9.4499999999999993</v>
      </c>
      <c r="I698" s="221">
        <v>49</v>
      </c>
      <c r="J698" s="221">
        <v>4.25</v>
      </c>
      <c r="K698" s="221">
        <f t="shared" si="10"/>
        <v>5.1999999999999993</v>
      </c>
      <c r="L698" s="93"/>
      <c r="N698" s="98"/>
      <c r="O698" s="99"/>
      <c r="P698" s="99"/>
      <c r="Q698" s="99"/>
    </row>
    <row r="699" spans="1:17" ht="30" x14ac:dyDescent="0.5">
      <c r="A699" s="102" t="s">
        <v>2693</v>
      </c>
      <c r="B699" s="102" t="s">
        <v>2742</v>
      </c>
      <c r="C699" s="102" t="s">
        <v>3656</v>
      </c>
      <c r="D699" s="102" t="s">
        <v>2893</v>
      </c>
      <c r="E699" s="102" t="s">
        <v>2694</v>
      </c>
      <c r="F699" s="220">
        <v>40918</v>
      </c>
      <c r="G699" s="102" t="s">
        <v>2695</v>
      </c>
      <c r="H699" s="221">
        <v>9.06</v>
      </c>
      <c r="I699" s="221">
        <v>53.27</v>
      </c>
      <c r="J699" s="221">
        <v>4.25</v>
      </c>
      <c r="K699" s="221">
        <f t="shared" si="10"/>
        <v>4.8100000000000005</v>
      </c>
      <c r="L699" s="93"/>
      <c r="N699" s="98"/>
      <c r="O699" s="99"/>
      <c r="P699" s="99"/>
      <c r="Q699" s="99"/>
    </row>
    <row r="700" spans="1:17" ht="30" x14ac:dyDescent="0.5">
      <c r="A700" s="102" t="s">
        <v>2717</v>
      </c>
      <c r="B700" s="102" t="s">
        <v>3437</v>
      </c>
      <c r="C700" s="102" t="s">
        <v>3657</v>
      </c>
      <c r="D700" s="102" t="s">
        <v>2893</v>
      </c>
      <c r="E700" s="102" t="s">
        <v>2694</v>
      </c>
      <c r="F700" s="220">
        <v>41023</v>
      </c>
      <c r="G700" s="102" t="s">
        <v>2695</v>
      </c>
      <c r="H700" s="221">
        <v>9.75</v>
      </c>
      <c r="I700" s="221">
        <v>50.82</v>
      </c>
      <c r="J700" s="221">
        <v>4.4800000000000004</v>
      </c>
      <c r="K700" s="221">
        <f t="shared" si="10"/>
        <v>5.27</v>
      </c>
      <c r="L700" s="93"/>
      <c r="N700" s="98"/>
      <c r="O700" s="99"/>
      <c r="P700" s="99"/>
      <c r="Q700" s="99"/>
    </row>
    <row r="701" spans="1:17" ht="30" x14ac:dyDescent="0.5">
      <c r="A701" s="102" t="s">
        <v>2736</v>
      </c>
      <c r="B701" s="102" t="s">
        <v>2737</v>
      </c>
      <c r="C701" s="102" t="s">
        <v>3658</v>
      </c>
      <c r="D701" s="102" t="s">
        <v>2893</v>
      </c>
      <c r="E701" s="102" t="s">
        <v>2694</v>
      </c>
      <c r="F701" s="220">
        <v>41036</v>
      </c>
      <c r="G701" s="102" t="s">
        <v>2695</v>
      </c>
      <c r="H701" s="221">
        <v>9.8000000000000007</v>
      </c>
      <c r="I701" s="221">
        <v>48</v>
      </c>
      <c r="J701" s="221">
        <v>4.4800000000000004</v>
      </c>
      <c r="K701" s="221">
        <f t="shared" si="10"/>
        <v>5.32</v>
      </c>
      <c r="L701" s="93"/>
      <c r="N701" s="100"/>
      <c r="O701" s="101"/>
      <c r="P701" s="101"/>
      <c r="Q701" s="101"/>
    </row>
    <row r="702" spans="1:17" ht="30" x14ac:dyDescent="0.5">
      <c r="A702" s="102" t="s">
        <v>3577</v>
      </c>
      <c r="B702" s="102" t="s">
        <v>3623</v>
      </c>
      <c r="C702" s="102" t="s">
        <v>3659</v>
      </c>
      <c r="D702" s="102" t="s">
        <v>2893</v>
      </c>
      <c r="E702" s="102" t="s">
        <v>2694</v>
      </c>
      <c r="F702" s="220">
        <v>41051</v>
      </c>
      <c r="G702" s="102" t="s">
        <v>2695</v>
      </c>
      <c r="H702" s="221">
        <v>9.6</v>
      </c>
      <c r="I702" s="221">
        <v>51.16</v>
      </c>
      <c r="J702" s="221">
        <v>4.4000000000000004</v>
      </c>
      <c r="K702" s="221">
        <f t="shared" si="10"/>
        <v>5.1999999999999993</v>
      </c>
      <c r="L702" s="93"/>
      <c r="N702" s="100"/>
      <c r="O702" s="101"/>
      <c r="P702" s="101"/>
      <c r="Q702" s="101"/>
    </row>
    <row r="703" spans="1:17" ht="30" x14ac:dyDescent="0.5">
      <c r="A703" s="102" t="s">
        <v>2754</v>
      </c>
      <c r="B703" s="102" t="s">
        <v>3123</v>
      </c>
      <c r="C703" s="102" t="s">
        <v>3660</v>
      </c>
      <c r="D703" s="102" t="s">
        <v>2893</v>
      </c>
      <c r="E703" s="102" t="s">
        <v>2694</v>
      </c>
      <c r="F703" s="220">
        <v>41053</v>
      </c>
      <c r="G703" s="102" t="s">
        <v>2695</v>
      </c>
      <c r="H703" s="221">
        <v>9.6999999999999993</v>
      </c>
      <c r="I703" s="221">
        <v>50.48</v>
      </c>
      <c r="J703" s="221">
        <v>4.4000000000000004</v>
      </c>
      <c r="K703" s="221">
        <f t="shared" si="10"/>
        <v>5.2999999999999989</v>
      </c>
      <c r="L703" s="93"/>
      <c r="N703" s="100"/>
      <c r="O703" s="101"/>
      <c r="P703" s="101"/>
      <c r="Q703" s="101"/>
    </row>
    <row r="704" spans="1:17" ht="30" x14ac:dyDescent="0.5">
      <c r="A704" s="102" t="s">
        <v>2702</v>
      </c>
      <c r="B704" s="102" t="s">
        <v>2749</v>
      </c>
      <c r="C704" s="102" t="s">
        <v>3661</v>
      </c>
      <c r="D704" s="102" t="s">
        <v>2893</v>
      </c>
      <c r="E704" s="102" t="s">
        <v>2694</v>
      </c>
      <c r="F704" s="220">
        <v>41075</v>
      </c>
      <c r="G704" s="102" t="s">
        <v>2695</v>
      </c>
      <c r="H704" s="221">
        <v>10.4</v>
      </c>
      <c r="I704" s="221">
        <v>49.31</v>
      </c>
      <c r="J704" s="221">
        <v>4.2</v>
      </c>
      <c r="K704" s="221">
        <f t="shared" si="10"/>
        <v>6.2</v>
      </c>
      <c r="L704" s="93"/>
      <c r="N704" s="100"/>
      <c r="O704" s="101"/>
      <c r="P704" s="101"/>
      <c r="Q704" s="101"/>
    </row>
    <row r="705" spans="1:17" ht="30" x14ac:dyDescent="0.5">
      <c r="A705" s="102" t="s">
        <v>2774</v>
      </c>
      <c r="B705" s="102" t="s">
        <v>3493</v>
      </c>
      <c r="C705" s="102" t="s">
        <v>3662</v>
      </c>
      <c r="D705" s="102" t="s">
        <v>2893</v>
      </c>
      <c r="E705" s="102" t="s">
        <v>2694</v>
      </c>
      <c r="F705" s="220">
        <v>41208</v>
      </c>
      <c r="G705" s="102" t="s">
        <v>2695</v>
      </c>
      <c r="H705" s="221">
        <v>9.5</v>
      </c>
      <c r="I705" s="221">
        <v>50</v>
      </c>
      <c r="J705" s="221">
        <v>4.0199999999999996</v>
      </c>
      <c r="K705" s="221">
        <f t="shared" si="10"/>
        <v>5.48</v>
      </c>
      <c r="L705" s="93"/>
      <c r="N705" s="100"/>
      <c r="O705" s="101"/>
      <c r="P705" s="101"/>
      <c r="Q705" s="101"/>
    </row>
    <row r="706" spans="1:17" ht="30" x14ac:dyDescent="0.5">
      <c r="A706" s="102" t="s">
        <v>2731</v>
      </c>
      <c r="B706" s="102" t="s">
        <v>2939</v>
      </c>
      <c r="C706" s="102" t="s">
        <v>3663</v>
      </c>
      <c r="D706" s="102" t="s">
        <v>2893</v>
      </c>
      <c r="E706" s="102" t="s">
        <v>2694</v>
      </c>
      <c r="F706" s="220">
        <v>41213</v>
      </c>
      <c r="G706" s="102" t="s">
        <v>2695</v>
      </c>
      <c r="H706" s="221">
        <v>10</v>
      </c>
      <c r="I706" s="221">
        <v>42.74</v>
      </c>
      <c r="J706" s="221">
        <v>4.0199999999999996</v>
      </c>
      <c r="K706" s="221">
        <f t="shared" si="10"/>
        <v>5.98</v>
      </c>
      <c r="L706" s="93"/>
      <c r="N706" s="100"/>
      <c r="O706" s="101"/>
      <c r="P706" s="101"/>
      <c r="Q706" s="101"/>
    </row>
    <row r="707" spans="1:17" ht="30" x14ac:dyDescent="0.5">
      <c r="A707" s="102" t="s">
        <v>2724</v>
      </c>
      <c r="B707" s="102" t="s">
        <v>2925</v>
      </c>
      <c r="C707" s="102" t="s">
        <v>3664</v>
      </c>
      <c r="D707" s="102" t="s">
        <v>2893</v>
      </c>
      <c r="E707" s="102" t="s">
        <v>2694</v>
      </c>
      <c r="F707" s="220">
        <v>41213</v>
      </c>
      <c r="G707" s="102" t="s">
        <v>2695</v>
      </c>
      <c r="H707" s="221">
        <v>9.9</v>
      </c>
      <c r="I707" s="221">
        <v>48.03</v>
      </c>
      <c r="J707" s="221">
        <v>4.0199999999999996</v>
      </c>
      <c r="K707" s="221">
        <f t="shared" si="10"/>
        <v>5.8800000000000008</v>
      </c>
      <c r="L707" s="93"/>
      <c r="N707" s="100"/>
      <c r="O707" s="101"/>
      <c r="P707" s="101"/>
      <c r="Q707" s="101"/>
    </row>
    <row r="708" spans="1:17" ht="30" x14ac:dyDescent="0.5">
      <c r="A708" s="102" t="s">
        <v>2731</v>
      </c>
      <c r="B708" s="102" t="s">
        <v>2939</v>
      </c>
      <c r="C708" s="102" t="s">
        <v>3665</v>
      </c>
      <c r="D708" s="102" t="s">
        <v>2893</v>
      </c>
      <c r="E708" s="102" t="s">
        <v>2694</v>
      </c>
      <c r="F708" s="220">
        <v>41213</v>
      </c>
      <c r="G708" s="102" t="s">
        <v>2695</v>
      </c>
      <c r="H708" s="221">
        <v>9.3000000000000007</v>
      </c>
      <c r="I708" s="221">
        <v>59.06</v>
      </c>
      <c r="J708" s="221">
        <v>4.0199999999999996</v>
      </c>
      <c r="K708" s="221">
        <f t="shared" si="10"/>
        <v>5.2800000000000011</v>
      </c>
      <c r="L708" s="93"/>
      <c r="N708" s="100"/>
      <c r="O708" s="101"/>
      <c r="P708" s="101"/>
      <c r="Q708" s="101"/>
    </row>
    <row r="709" spans="1:17" ht="30" x14ac:dyDescent="0.5">
      <c r="A709" s="102" t="s">
        <v>2700</v>
      </c>
      <c r="B709" s="102" t="s">
        <v>3035</v>
      </c>
      <c r="C709" s="102" t="s">
        <v>3666</v>
      </c>
      <c r="D709" s="102" t="s">
        <v>2893</v>
      </c>
      <c r="E709" s="102" t="s">
        <v>2694</v>
      </c>
      <c r="F709" s="220">
        <v>41214</v>
      </c>
      <c r="G709" s="102" t="s">
        <v>2695</v>
      </c>
      <c r="H709" s="221">
        <v>9.4499999999999993</v>
      </c>
      <c r="I709" s="221">
        <v>53.7</v>
      </c>
      <c r="J709" s="221">
        <v>4.0199999999999996</v>
      </c>
      <c r="K709" s="221">
        <f t="shared" si="10"/>
        <v>5.43</v>
      </c>
      <c r="L709" s="93"/>
      <c r="N709" s="100"/>
      <c r="O709" s="101"/>
      <c r="P709" s="101"/>
      <c r="Q709" s="101"/>
    </row>
    <row r="710" spans="1:17" ht="30" x14ac:dyDescent="0.5">
      <c r="A710" s="102" t="s">
        <v>2702</v>
      </c>
      <c r="B710" s="102" t="s">
        <v>2703</v>
      </c>
      <c r="C710" s="102" t="s">
        <v>3667</v>
      </c>
      <c r="D710" s="102" t="s">
        <v>2893</v>
      </c>
      <c r="E710" s="102" t="s">
        <v>2694</v>
      </c>
      <c r="F710" s="220">
        <v>41222</v>
      </c>
      <c r="G710" s="102" t="s">
        <v>2695</v>
      </c>
      <c r="H710" s="221">
        <v>10.3</v>
      </c>
      <c r="I710" s="221">
        <v>59.09</v>
      </c>
      <c r="J710" s="221">
        <v>4.0199999999999996</v>
      </c>
      <c r="K710" s="221">
        <f t="shared" si="10"/>
        <v>6.2800000000000011</v>
      </c>
      <c r="L710" s="93"/>
      <c r="N710" s="100"/>
      <c r="O710" s="101"/>
      <c r="P710" s="101"/>
      <c r="Q710" s="101"/>
    </row>
    <row r="711" spans="1:17" ht="30" x14ac:dyDescent="0.5">
      <c r="A711" s="102" t="s">
        <v>2702</v>
      </c>
      <c r="B711" s="102" t="s">
        <v>2903</v>
      </c>
      <c r="C711" s="102" t="s">
        <v>3668</v>
      </c>
      <c r="D711" s="102" t="s">
        <v>2893</v>
      </c>
      <c r="E711" s="102" t="s">
        <v>2694</v>
      </c>
      <c r="F711" s="220">
        <v>41241</v>
      </c>
      <c r="G711" s="102" t="s">
        <v>2695</v>
      </c>
      <c r="H711" s="221">
        <v>10.5</v>
      </c>
      <c r="I711" s="221">
        <v>46.75</v>
      </c>
      <c r="J711" s="221">
        <v>3.91</v>
      </c>
      <c r="K711" s="221">
        <f t="shared" ref="K711:K774" si="11">H711-J711</f>
        <v>6.59</v>
      </c>
      <c r="L711" s="93"/>
      <c r="N711" s="100"/>
      <c r="O711" s="101"/>
      <c r="P711" s="101"/>
      <c r="Q711" s="101"/>
    </row>
    <row r="712" spans="1:17" ht="30" x14ac:dyDescent="0.5">
      <c r="A712" s="102" t="s">
        <v>2702</v>
      </c>
      <c r="B712" s="102" t="s">
        <v>2773</v>
      </c>
      <c r="C712" s="102" t="s">
        <v>3669</v>
      </c>
      <c r="D712" s="102" t="s">
        <v>2893</v>
      </c>
      <c r="E712" s="102" t="s">
        <v>2694</v>
      </c>
      <c r="F712" s="220">
        <v>41241</v>
      </c>
      <c r="G712" s="102" t="s">
        <v>2695</v>
      </c>
      <c r="H712" s="221">
        <v>10.4</v>
      </c>
      <c r="I712" s="221">
        <v>52.09</v>
      </c>
      <c r="J712" s="221">
        <v>3.91</v>
      </c>
      <c r="K712" s="221">
        <f t="shared" si="11"/>
        <v>6.49</v>
      </c>
      <c r="L712" s="93"/>
      <c r="N712" s="100"/>
      <c r="O712" s="101"/>
      <c r="P712" s="101"/>
      <c r="Q712" s="101"/>
    </row>
    <row r="713" spans="1:17" ht="30" x14ac:dyDescent="0.5">
      <c r="A713" s="102" t="s">
        <v>2775</v>
      </c>
      <c r="B713" s="102" t="s">
        <v>2944</v>
      </c>
      <c r="C713" s="102" t="s">
        <v>3670</v>
      </c>
      <c r="D713" s="102" t="s">
        <v>2893</v>
      </c>
      <c r="E713" s="102" t="s">
        <v>2694</v>
      </c>
      <c r="F713" s="220">
        <v>41247</v>
      </c>
      <c r="G713" s="102" t="s">
        <v>2695</v>
      </c>
      <c r="H713" s="221">
        <v>10.5</v>
      </c>
      <c r="I713" s="221">
        <v>51.69</v>
      </c>
      <c r="J713" s="221">
        <v>3.91</v>
      </c>
      <c r="K713" s="221">
        <f t="shared" si="11"/>
        <v>6.59</v>
      </c>
      <c r="L713" s="93"/>
      <c r="N713" s="100"/>
      <c r="O713" s="101"/>
      <c r="P713" s="101"/>
      <c r="Q713" s="101"/>
    </row>
    <row r="714" spans="1:17" ht="30" x14ac:dyDescent="0.5">
      <c r="A714" s="102" t="s">
        <v>2738</v>
      </c>
      <c r="B714" s="102" t="s">
        <v>2760</v>
      </c>
      <c r="C714" s="102" t="s">
        <v>3671</v>
      </c>
      <c r="D714" s="102" t="s">
        <v>2893</v>
      </c>
      <c r="E714" s="102" t="s">
        <v>2694</v>
      </c>
      <c r="F714" s="220">
        <v>41263</v>
      </c>
      <c r="G714" s="102" t="s">
        <v>2695</v>
      </c>
      <c r="H714" s="221">
        <v>10.4</v>
      </c>
      <c r="I714" s="221">
        <v>52</v>
      </c>
      <c r="J714" s="221">
        <v>3.84</v>
      </c>
      <c r="K714" s="221">
        <f t="shared" si="11"/>
        <v>6.5600000000000005</v>
      </c>
      <c r="L714" s="93"/>
      <c r="N714" s="100"/>
      <c r="O714" s="101"/>
      <c r="P714" s="101"/>
      <c r="Q714" s="101"/>
    </row>
    <row r="715" spans="1:17" ht="30" x14ac:dyDescent="0.5">
      <c r="A715" s="102" t="s">
        <v>2738</v>
      </c>
      <c r="B715" s="102" t="s">
        <v>2741</v>
      </c>
      <c r="C715" s="102" t="s">
        <v>3672</v>
      </c>
      <c r="D715" s="102" t="s">
        <v>2893</v>
      </c>
      <c r="E715" s="102" t="s">
        <v>2694</v>
      </c>
      <c r="F715" s="220">
        <v>41263</v>
      </c>
      <c r="G715" s="102" t="s">
        <v>2695</v>
      </c>
      <c r="H715" s="221">
        <v>10.3</v>
      </c>
      <c r="I715" s="221">
        <v>52</v>
      </c>
      <c r="J715" s="221">
        <v>3.84</v>
      </c>
      <c r="K715" s="221">
        <f t="shared" si="11"/>
        <v>6.4600000000000009</v>
      </c>
      <c r="L715" s="93"/>
      <c r="N715" s="100"/>
      <c r="O715" s="101"/>
      <c r="P715" s="101"/>
      <c r="Q715" s="101"/>
    </row>
    <row r="716" spans="1:17" ht="30" x14ac:dyDescent="0.5">
      <c r="A716" s="102" t="s">
        <v>2738</v>
      </c>
      <c r="B716" s="102" t="s">
        <v>2954</v>
      </c>
      <c r="C716" s="102" t="s">
        <v>3673</v>
      </c>
      <c r="D716" s="102" t="s">
        <v>2893</v>
      </c>
      <c r="E716" s="102" t="s">
        <v>2694</v>
      </c>
      <c r="F716" s="220">
        <v>41263</v>
      </c>
      <c r="G716" s="102" t="s">
        <v>2695</v>
      </c>
      <c r="H716" s="221">
        <v>10.1</v>
      </c>
      <c r="I716" s="221">
        <v>52</v>
      </c>
      <c r="J716" s="221">
        <v>3.84</v>
      </c>
      <c r="K716" s="221">
        <f t="shared" si="11"/>
        <v>6.26</v>
      </c>
      <c r="L716" s="93"/>
      <c r="N716" s="100"/>
      <c r="O716" s="101"/>
      <c r="P716" s="101"/>
      <c r="Q716" s="101"/>
    </row>
    <row r="717" spans="1:17" ht="30" x14ac:dyDescent="0.5">
      <c r="A717" s="102" t="s">
        <v>2698</v>
      </c>
      <c r="B717" s="102" t="s">
        <v>2722</v>
      </c>
      <c r="C717" s="102" t="s">
        <v>3674</v>
      </c>
      <c r="D717" s="102" t="s">
        <v>2893</v>
      </c>
      <c r="E717" s="102" t="s">
        <v>2694</v>
      </c>
      <c r="F717" s="220">
        <v>41327</v>
      </c>
      <c r="G717" s="102" t="s">
        <v>2695</v>
      </c>
      <c r="H717" s="221">
        <v>9.6</v>
      </c>
      <c r="I717" s="221">
        <v>48.4</v>
      </c>
      <c r="J717" s="221">
        <v>4.1500000000000004</v>
      </c>
      <c r="K717" s="221">
        <f t="shared" si="11"/>
        <v>5.4499999999999993</v>
      </c>
      <c r="L717" s="93"/>
      <c r="N717" s="100"/>
      <c r="O717" s="101"/>
      <c r="P717" s="101"/>
      <c r="Q717" s="101"/>
    </row>
    <row r="718" spans="1:17" ht="30" x14ac:dyDescent="0.5">
      <c r="A718" s="102" t="s">
        <v>2734</v>
      </c>
      <c r="B718" s="102" t="s">
        <v>2895</v>
      </c>
      <c r="C718" s="102" t="s">
        <v>3675</v>
      </c>
      <c r="D718" s="102" t="s">
        <v>2893</v>
      </c>
      <c r="E718" s="102" t="s">
        <v>2694</v>
      </c>
      <c r="F718" s="220">
        <v>41404</v>
      </c>
      <c r="G718" s="102" t="s">
        <v>2695</v>
      </c>
      <c r="H718" s="221">
        <v>9.25</v>
      </c>
      <c r="I718" s="221">
        <v>59.3</v>
      </c>
      <c r="J718" s="221">
        <v>4.2</v>
      </c>
      <c r="K718" s="221">
        <f t="shared" si="11"/>
        <v>5.05</v>
      </c>
      <c r="L718" s="93"/>
      <c r="N718" s="100"/>
      <c r="O718" s="101"/>
      <c r="P718" s="101"/>
      <c r="Q718" s="101"/>
    </row>
    <row r="719" spans="1:17" ht="30" x14ac:dyDescent="0.5">
      <c r="A719" s="102" t="s">
        <v>2693</v>
      </c>
      <c r="B719" s="102" t="s">
        <v>2959</v>
      </c>
      <c r="C719" s="102" t="s">
        <v>3676</v>
      </c>
      <c r="D719" s="102" t="s">
        <v>2893</v>
      </c>
      <c r="E719" s="102" t="s">
        <v>2694</v>
      </c>
      <c r="F719" s="220">
        <v>41443</v>
      </c>
      <c r="G719" s="102" t="s">
        <v>2695</v>
      </c>
      <c r="H719" s="221">
        <v>9.2799999999999994</v>
      </c>
      <c r="I719" s="221">
        <v>50.32</v>
      </c>
      <c r="J719" s="221">
        <v>4.17</v>
      </c>
      <c r="K719" s="221">
        <f t="shared" si="11"/>
        <v>5.1099999999999994</v>
      </c>
      <c r="L719" s="93"/>
      <c r="N719" s="100"/>
      <c r="O719" s="101"/>
      <c r="P719" s="101"/>
      <c r="Q719" s="101"/>
    </row>
    <row r="720" spans="1:17" ht="30" x14ac:dyDescent="0.5">
      <c r="A720" s="102" t="s">
        <v>2693</v>
      </c>
      <c r="B720" s="102" t="s">
        <v>2961</v>
      </c>
      <c r="C720" s="102" t="s">
        <v>3677</v>
      </c>
      <c r="D720" s="102" t="s">
        <v>2893</v>
      </c>
      <c r="E720" s="102" t="s">
        <v>2694</v>
      </c>
      <c r="F720" s="220">
        <v>41443</v>
      </c>
      <c r="G720" s="102" t="s">
        <v>2695</v>
      </c>
      <c r="H720" s="221">
        <v>9.2799999999999994</v>
      </c>
      <c r="I720" s="221">
        <v>50.43</v>
      </c>
      <c r="J720" s="221">
        <v>4.17</v>
      </c>
      <c r="K720" s="221">
        <f t="shared" si="11"/>
        <v>5.1099999999999994</v>
      </c>
      <c r="L720" s="93"/>
      <c r="N720" s="100"/>
      <c r="O720" s="101"/>
      <c r="P720" s="101"/>
      <c r="Q720" s="101"/>
    </row>
    <row r="721" spans="1:17" ht="30" x14ac:dyDescent="0.5">
      <c r="A721" s="102" t="s">
        <v>2698</v>
      </c>
      <c r="B721" s="102" t="s">
        <v>3678</v>
      </c>
      <c r="C721" s="102" t="s">
        <v>3679</v>
      </c>
      <c r="D721" s="102" t="s">
        <v>2893</v>
      </c>
      <c r="E721" s="102" t="s">
        <v>2694</v>
      </c>
      <c r="F721" s="220">
        <v>41540</v>
      </c>
      <c r="G721" s="102" t="s">
        <v>2695</v>
      </c>
      <c r="H721" s="221">
        <v>9.6</v>
      </c>
      <c r="I721" s="221">
        <v>53.84</v>
      </c>
      <c r="J721" s="221">
        <v>4.7300000000000004</v>
      </c>
      <c r="K721" s="221">
        <f t="shared" si="11"/>
        <v>4.8699999999999992</v>
      </c>
      <c r="L721" s="93"/>
      <c r="N721" s="100"/>
      <c r="O721" s="101"/>
      <c r="P721" s="101"/>
      <c r="Q721" s="101"/>
    </row>
    <row r="722" spans="1:17" ht="30" x14ac:dyDescent="0.5">
      <c r="A722" s="102" t="s">
        <v>2702</v>
      </c>
      <c r="B722" s="102" t="s">
        <v>2748</v>
      </c>
      <c r="C722" s="102" t="s">
        <v>3680</v>
      </c>
      <c r="D722" s="102" t="s">
        <v>2893</v>
      </c>
      <c r="E722" s="102" t="s">
        <v>2694</v>
      </c>
      <c r="F722" s="220">
        <v>41584</v>
      </c>
      <c r="G722" s="102" t="s">
        <v>2695</v>
      </c>
      <c r="H722" s="221">
        <v>10.199999999999999</v>
      </c>
      <c r="I722" s="221">
        <v>50.14</v>
      </c>
      <c r="J722" s="221">
        <v>4.8</v>
      </c>
      <c r="K722" s="221">
        <f t="shared" si="11"/>
        <v>5.3999999999999995</v>
      </c>
      <c r="L722" s="93"/>
      <c r="N722" s="100"/>
      <c r="O722" s="101"/>
      <c r="P722" s="101"/>
      <c r="Q722" s="101"/>
    </row>
    <row r="723" spans="1:17" ht="30" x14ac:dyDescent="0.5">
      <c r="A723" s="102" t="s">
        <v>2698</v>
      </c>
      <c r="B723" s="102" t="s">
        <v>2895</v>
      </c>
      <c r="C723" s="102" t="s">
        <v>3681</v>
      </c>
      <c r="D723" s="102" t="s">
        <v>2893</v>
      </c>
      <c r="E723" s="102" t="s">
        <v>2694</v>
      </c>
      <c r="F723" s="220">
        <v>41600</v>
      </c>
      <c r="G723" s="102" t="s">
        <v>2695</v>
      </c>
      <c r="H723" s="221">
        <v>9.5</v>
      </c>
      <c r="I723" s="221">
        <v>53.02</v>
      </c>
      <c r="J723" s="221">
        <v>4.7</v>
      </c>
      <c r="K723" s="221">
        <f t="shared" si="11"/>
        <v>4.8</v>
      </c>
      <c r="L723" s="93"/>
      <c r="N723" s="100"/>
      <c r="O723" s="101"/>
      <c r="P723" s="101"/>
      <c r="Q723" s="101"/>
    </row>
    <row r="724" spans="1:17" ht="30" x14ac:dyDescent="0.5">
      <c r="A724" s="102" t="s">
        <v>2702</v>
      </c>
      <c r="B724" s="102" t="s">
        <v>2755</v>
      </c>
      <c r="C724" s="102" t="s">
        <v>3682</v>
      </c>
      <c r="D724" s="102" t="s">
        <v>2893</v>
      </c>
      <c r="E724" s="102" t="s">
        <v>2694</v>
      </c>
      <c r="F724" s="220">
        <v>41613</v>
      </c>
      <c r="G724" s="102" t="s">
        <v>2695</v>
      </c>
      <c r="H724" s="221">
        <v>10.199999999999999</v>
      </c>
      <c r="I724" s="221">
        <v>52.54</v>
      </c>
      <c r="J724" s="221">
        <v>4.7</v>
      </c>
      <c r="K724" s="221">
        <f t="shared" si="11"/>
        <v>5.4999999999999991</v>
      </c>
      <c r="L724" s="93"/>
      <c r="N724" s="100"/>
      <c r="O724" s="101"/>
      <c r="P724" s="101"/>
      <c r="Q724" s="101"/>
    </row>
    <row r="725" spans="1:17" ht="30" x14ac:dyDescent="0.5">
      <c r="A725" s="102" t="s">
        <v>2698</v>
      </c>
      <c r="B725" s="102" t="s">
        <v>2722</v>
      </c>
      <c r="C725" s="102" t="s">
        <v>3683</v>
      </c>
      <c r="D725" s="102" t="s">
        <v>2893</v>
      </c>
      <c r="E725" s="102" t="s">
        <v>2694</v>
      </c>
      <c r="F725" s="220">
        <v>41621</v>
      </c>
      <c r="G725" s="102" t="s">
        <v>2695</v>
      </c>
      <c r="H725" s="221">
        <v>9.6</v>
      </c>
      <c r="I725" s="221">
        <v>51.05</v>
      </c>
      <c r="J725" s="221">
        <v>4.7</v>
      </c>
      <c r="K725" s="221">
        <f t="shared" si="11"/>
        <v>4.8999999999999995</v>
      </c>
      <c r="L725" s="93"/>
      <c r="N725" s="100"/>
      <c r="O725" s="101"/>
      <c r="P725" s="101"/>
      <c r="Q725" s="101"/>
    </row>
    <row r="726" spans="1:17" ht="30" x14ac:dyDescent="0.5">
      <c r="A726" s="102" t="s">
        <v>2731</v>
      </c>
      <c r="B726" s="102" t="s">
        <v>2733</v>
      </c>
      <c r="C726" s="102" t="s">
        <v>3684</v>
      </c>
      <c r="D726" s="102" t="s">
        <v>2893</v>
      </c>
      <c r="E726" s="102" t="s">
        <v>2694</v>
      </c>
      <c r="F726" s="220">
        <v>41624</v>
      </c>
      <c r="G726" s="102" t="s">
        <v>2695</v>
      </c>
      <c r="H726" s="221">
        <v>9.73</v>
      </c>
      <c r="I726" s="221">
        <v>46.94</v>
      </c>
      <c r="J726" s="221">
        <v>4.7699999999999996</v>
      </c>
      <c r="K726" s="221">
        <f t="shared" si="11"/>
        <v>4.9600000000000009</v>
      </c>
      <c r="L726" s="93"/>
      <c r="N726" s="100"/>
      <c r="O726" s="101"/>
      <c r="P726" s="101"/>
      <c r="Q726" s="101"/>
    </row>
    <row r="727" spans="1:17" ht="30" x14ac:dyDescent="0.5">
      <c r="A727" s="102" t="s">
        <v>2693</v>
      </c>
      <c r="B727" s="102" t="s">
        <v>2742</v>
      </c>
      <c r="C727" s="102" t="s">
        <v>3685</v>
      </c>
      <c r="D727" s="102" t="s">
        <v>2893</v>
      </c>
      <c r="E727" s="102" t="s">
        <v>2694</v>
      </c>
      <c r="F727" s="220">
        <v>41626</v>
      </c>
      <c r="G727" s="102" t="s">
        <v>2695</v>
      </c>
      <c r="H727" s="221">
        <v>9.08</v>
      </c>
      <c r="I727" s="221">
        <v>51.68</v>
      </c>
      <c r="J727" s="221">
        <v>4.7699999999999996</v>
      </c>
      <c r="K727" s="221">
        <f t="shared" si="11"/>
        <v>4.3100000000000005</v>
      </c>
      <c r="L727" s="93"/>
      <c r="N727" s="100"/>
      <c r="O727" s="101"/>
      <c r="P727" s="101"/>
      <c r="Q727" s="101"/>
    </row>
    <row r="728" spans="1:17" ht="30" x14ac:dyDescent="0.5">
      <c r="A728" s="102" t="s">
        <v>2715</v>
      </c>
      <c r="B728" s="102" t="s">
        <v>2716</v>
      </c>
      <c r="C728" s="102" t="s">
        <v>3686</v>
      </c>
      <c r="D728" s="102" t="s">
        <v>2893</v>
      </c>
      <c r="E728" s="102" t="s">
        <v>2694</v>
      </c>
      <c r="F728" s="220">
        <v>41631</v>
      </c>
      <c r="G728" s="102" t="s">
        <v>2695</v>
      </c>
      <c r="H728" s="221">
        <v>9.7200000000000006</v>
      </c>
      <c r="I728" s="221">
        <v>56.06</v>
      </c>
      <c r="J728" s="221">
        <v>4.7699999999999996</v>
      </c>
      <c r="K728" s="221">
        <f t="shared" si="11"/>
        <v>4.9500000000000011</v>
      </c>
      <c r="L728" s="93"/>
      <c r="N728" s="100"/>
      <c r="O728" s="101"/>
      <c r="P728" s="101"/>
      <c r="Q728" s="101"/>
    </row>
    <row r="729" spans="1:17" ht="30" x14ac:dyDescent="0.5">
      <c r="A729" s="102" t="s">
        <v>2723</v>
      </c>
      <c r="B729" s="102" t="s">
        <v>2921</v>
      </c>
      <c r="C729" s="102" t="s">
        <v>3687</v>
      </c>
      <c r="D729" s="102" t="s">
        <v>2893</v>
      </c>
      <c r="E729" s="102" t="s">
        <v>2694</v>
      </c>
      <c r="F729" s="220">
        <v>41661</v>
      </c>
      <c r="G729" s="102" t="s">
        <v>2695</v>
      </c>
      <c r="H729" s="221">
        <v>9.18</v>
      </c>
      <c r="I729" s="221">
        <v>52.52</v>
      </c>
      <c r="J729" s="221">
        <v>4.8099999999999996</v>
      </c>
      <c r="K729" s="221">
        <f t="shared" si="11"/>
        <v>4.37</v>
      </c>
      <c r="L729" s="93"/>
      <c r="N729" s="100"/>
      <c r="O729" s="101"/>
      <c r="P729" s="101"/>
      <c r="Q729" s="101"/>
    </row>
    <row r="730" spans="1:17" ht="30" x14ac:dyDescent="0.5">
      <c r="A730" s="102" t="s">
        <v>2714</v>
      </c>
      <c r="B730" s="102" t="s">
        <v>2916</v>
      </c>
      <c r="C730" s="102" t="s">
        <v>3688</v>
      </c>
      <c r="D730" s="102" t="s">
        <v>2893</v>
      </c>
      <c r="E730" s="102" t="s">
        <v>2694</v>
      </c>
      <c r="F730" s="220">
        <v>41691</v>
      </c>
      <c r="G730" s="102" t="s">
        <v>2695</v>
      </c>
      <c r="H730" s="221">
        <v>9.85</v>
      </c>
      <c r="I730" s="221">
        <v>52.07</v>
      </c>
      <c r="J730" s="221">
        <v>4.63</v>
      </c>
      <c r="K730" s="221">
        <f t="shared" si="11"/>
        <v>5.22</v>
      </c>
      <c r="L730" s="93"/>
      <c r="N730" s="100"/>
      <c r="O730" s="101"/>
      <c r="P730" s="101"/>
      <c r="Q730" s="101"/>
    </row>
    <row r="731" spans="1:17" ht="30" x14ac:dyDescent="0.5">
      <c r="A731" s="102" t="s">
        <v>2700</v>
      </c>
      <c r="B731" s="102" t="s">
        <v>3035</v>
      </c>
      <c r="C731" s="102" t="s">
        <v>3689</v>
      </c>
      <c r="D731" s="102" t="s">
        <v>2893</v>
      </c>
      <c r="E731" s="102" t="s">
        <v>2694</v>
      </c>
      <c r="F731" s="220">
        <v>41698</v>
      </c>
      <c r="G731" s="102" t="s">
        <v>2695</v>
      </c>
      <c r="H731" s="221">
        <v>9.5500000000000007</v>
      </c>
      <c r="I731" s="221">
        <v>53.68</v>
      </c>
      <c r="J731" s="221">
        <v>4.63</v>
      </c>
      <c r="K731" s="221">
        <f t="shared" si="11"/>
        <v>4.9200000000000008</v>
      </c>
      <c r="L731" s="93"/>
      <c r="N731" s="100"/>
      <c r="O731" s="101"/>
      <c r="P731" s="101"/>
      <c r="Q731" s="101"/>
    </row>
    <row r="732" spans="1:17" ht="30" x14ac:dyDescent="0.5">
      <c r="A732" s="102" t="s">
        <v>2728</v>
      </c>
      <c r="B732" s="102" t="s">
        <v>2944</v>
      </c>
      <c r="C732" s="102" t="s">
        <v>3690</v>
      </c>
      <c r="D732" s="102" t="s">
        <v>2893</v>
      </c>
      <c r="E732" s="102" t="s">
        <v>2694</v>
      </c>
      <c r="F732" s="220">
        <v>41751</v>
      </c>
      <c r="G732" s="102" t="s">
        <v>2695</v>
      </c>
      <c r="H732" s="221">
        <v>9.8000000000000007</v>
      </c>
      <c r="I732" s="221">
        <v>49.16</v>
      </c>
      <c r="J732" s="221">
        <v>4.51</v>
      </c>
      <c r="K732" s="221">
        <f t="shared" si="11"/>
        <v>5.2900000000000009</v>
      </c>
      <c r="L732" s="93"/>
      <c r="N732" s="100"/>
      <c r="O732" s="101"/>
      <c r="P732" s="101"/>
      <c r="Q732" s="101"/>
    </row>
    <row r="733" spans="1:17" ht="30" x14ac:dyDescent="0.5">
      <c r="A733" s="102" t="s">
        <v>2754</v>
      </c>
      <c r="B733" s="102" t="s">
        <v>2975</v>
      </c>
      <c r="C733" s="102" t="s">
        <v>3691</v>
      </c>
      <c r="D733" s="102" t="s">
        <v>2893</v>
      </c>
      <c r="E733" s="102" t="s">
        <v>2694</v>
      </c>
      <c r="F733" s="220">
        <v>41767</v>
      </c>
      <c r="G733" s="102" t="s">
        <v>2695</v>
      </c>
      <c r="H733" s="221">
        <v>9.59</v>
      </c>
      <c r="I733" s="221">
        <v>52.6</v>
      </c>
      <c r="J733" s="221">
        <v>4.51</v>
      </c>
      <c r="K733" s="221">
        <f t="shared" si="11"/>
        <v>5.08</v>
      </c>
      <c r="L733" s="93"/>
      <c r="N733" s="100"/>
      <c r="O733" s="101"/>
      <c r="P733" s="101"/>
      <c r="Q733" s="101"/>
    </row>
    <row r="734" spans="1:17" ht="30" x14ac:dyDescent="0.5">
      <c r="A734" s="102" t="s">
        <v>2702</v>
      </c>
      <c r="B734" s="102" t="s">
        <v>2749</v>
      </c>
      <c r="C734" s="102" t="s">
        <v>3692</v>
      </c>
      <c r="D734" s="102" t="s">
        <v>2893</v>
      </c>
      <c r="E734" s="102" t="s">
        <v>2694</v>
      </c>
      <c r="F734" s="220">
        <v>41796</v>
      </c>
      <c r="G734" s="102" t="s">
        <v>2695</v>
      </c>
      <c r="H734" s="221">
        <v>10.4</v>
      </c>
      <c r="I734" s="221">
        <v>50.46</v>
      </c>
      <c r="J734" s="221">
        <v>4.41</v>
      </c>
      <c r="K734" s="221">
        <f t="shared" si="11"/>
        <v>5.99</v>
      </c>
      <c r="L734" s="93"/>
      <c r="N734" s="100"/>
      <c r="O734" s="101"/>
      <c r="P734" s="101"/>
      <c r="Q734" s="101"/>
    </row>
    <row r="735" spans="1:17" ht="30" x14ac:dyDescent="0.5">
      <c r="A735" s="102" t="s">
        <v>2738</v>
      </c>
      <c r="B735" s="102" t="s">
        <v>2939</v>
      </c>
      <c r="C735" s="102" t="s">
        <v>3693</v>
      </c>
      <c r="D735" s="102" t="s">
        <v>2893</v>
      </c>
      <c r="E735" s="102" t="s">
        <v>2694</v>
      </c>
      <c r="F735" s="220">
        <v>41802</v>
      </c>
      <c r="G735" s="102" t="s">
        <v>2695</v>
      </c>
      <c r="H735" s="221">
        <v>10.1</v>
      </c>
      <c r="I735" s="221">
        <v>55</v>
      </c>
      <c r="J735" s="221">
        <v>4.41</v>
      </c>
      <c r="K735" s="221">
        <f t="shared" si="11"/>
        <v>5.6899999999999995</v>
      </c>
      <c r="L735" s="93"/>
      <c r="N735" s="100"/>
      <c r="O735" s="101"/>
      <c r="P735" s="101"/>
      <c r="Q735" s="101"/>
    </row>
    <row r="736" spans="1:17" ht="30" x14ac:dyDescent="0.5">
      <c r="A736" s="102" t="s">
        <v>2738</v>
      </c>
      <c r="B736" s="102" t="s">
        <v>2939</v>
      </c>
      <c r="C736" s="102" t="s">
        <v>3694</v>
      </c>
      <c r="D736" s="102" t="s">
        <v>2893</v>
      </c>
      <c r="E736" s="102" t="s">
        <v>2694</v>
      </c>
      <c r="F736" s="220">
        <v>41802</v>
      </c>
      <c r="G736" s="102" t="s">
        <v>2695</v>
      </c>
      <c r="H736" s="221">
        <v>10.1</v>
      </c>
      <c r="I736" s="221">
        <v>55</v>
      </c>
      <c r="J736" s="221">
        <v>4.41</v>
      </c>
      <c r="K736" s="221">
        <f t="shared" si="11"/>
        <v>5.6899999999999995</v>
      </c>
      <c r="L736" s="93"/>
      <c r="N736" s="100"/>
      <c r="O736" s="101"/>
      <c r="P736" s="101"/>
      <c r="Q736" s="101"/>
    </row>
    <row r="737" spans="1:17" ht="30" x14ac:dyDescent="0.5">
      <c r="A737" s="102" t="s">
        <v>2738</v>
      </c>
      <c r="B737" s="102" t="s">
        <v>2939</v>
      </c>
      <c r="C737" s="102" t="s">
        <v>3695</v>
      </c>
      <c r="D737" s="102" t="s">
        <v>2893</v>
      </c>
      <c r="E737" s="102" t="s">
        <v>2694</v>
      </c>
      <c r="F737" s="220">
        <v>41802</v>
      </c>
      <c r="G737" s="102" t="s">
        <v>2695</v>
      </c>
      <c r="H737" s="221">
        <v>10.1</v>
      </c>
      <c r="I737" s="221">
        <v>55</v>
      </c>
      <c r="J737" s="221">
        <v>4.41</v>
      </c>
      <c r="K737" s="221">
        <f t="shared" si="11"/>
        <v>5.6899999999999995</v>
      </c>
      <c r="L737" s="93"/>
      <c r="N737" s="100"/>
      <c r="O737" s="101"/>
      <c r="P737" s="101"/>
      <c r="Q737" s="101"/>
    </row>
    <row r="738" spans="1:17" ht="30" x14ac:dyDescent="0.5">
      <c r="A738" s="102" t="s">
        <v>2754</v>
      </c>
      <c r="B738" s="102" t="s">
        <v>3123</v>
      </c>
      <c r="C738" s="102" t="s">
        <v>3696</v>
      </c>
      <c r="D738" s="102" t="s">
        <v>2893</v>
      </c>
      <c r="E738" s="102" t="s">
        <v>2694</v>
      </c>
      <c r="F738" s="220">
        <v>41906</v>
      </c>
      <c r="G738" s="102" t="s">
        <v>2695</v>
      </c>
      <c r="H738" s="221">
        <v>9.35</v>
      </c>
      <c r="I738" s="221">
        <v>50.31</v>
      </c>
      <c r="J738" s="221">
        <v>4.13</v>
      </c>
      <c r="K738" s="221">
        <f t="shared" si="11"/>
        <v>5.22</v>
      </c>
      <c r="L738" s="93"/>
      <c r="N738" s="100"/>
      <c r="O738" s="101"/>
      <c r="P738" s="101"/>
      <c r="Q738" s="101"/>
    </row>
    <row r="739" spans="1:17" ht="30" x14ac:dyDescent="0.5">
      <c r="A739" s="102" t="s">
        <v>2756</v>
      </c>
      <c r="B739" s="102" t="s">
        <v>3697</v>
      </c>
      <c r="C739" s="102" t="s">
        <v>3698</v>
      </c>
      <c r="D739" s="102" t="s">
        <v>2893</v>
      </c>
      <c r="E739" s="102" t="s">
        <v>2694</v>
      </c>
      <c r="F739" s="220">
        <v>41941</v>
      </c>
      <c r="G739" s="102" t="s">
        <v>2695</v>
      </c>
      <c r="H739" s="221">
        <v>10.8</v>
      </c>
      <c r="I739" s="221">
        <v>57</v>
      </c>
      <c r="J739" s="221">
        <v>4.24</v>
      </c>
      <c r="K739" s="221">
        <f t="shared" si="11"/>
        <v>6.5600000000000005</v>
      </c>
      <c r="L739" s="93"/>
      <c r="N739" s="100"/>
      <c r="O739" s="101"/>
      <c r="P739" s="101"/>
      <c r="Q739" s="101"/>
    </row>
    <row r="740" spans="1:17" ht="30" x14ac:dyDescent="0.5">
      <c r="A740" s="102" t="s">
        <v>2702</v>
      </c>
      <c r="B740" s="102" t="s">
        <v>2748</v>
      </c>
      <c r="C740" s="102" t="s">
        <v>3699</v>
      </c>
      <c r="D740" s="102" t="s">
        <v>2893</v>
      </c>
      <c r="E740" s="102" t="s">
        <v>2694</v>
      </c>
      <c r="F740" s="220">
        <v>41949</v>
      </c>
      <c r="G740" s="102" t="s">
        <v>2695</v>
      </c>
      <c r="H740" s="221">
        <v>10.199999999999999</v>
      </c>
      <c r="I740" s="221">
        <v>50.28</v>
      </c>
      <c r="J740" s="221">
        <v>4.24</v>
      </c>
      <c r="K740" s="221">
        <f t="shared" si="11"/>
        <v>5.9599999999999991</v>
      </c>
      <c r="L740" s="93"/>
      <c r="N740" s="100"/>
      <c r="O740" s="101"/>
      <c r="P740" s="101"/>
      <c r="Q740" s="101"/>
    </row>
    <row r="741" spans="1:17" ht="30" x14ac:dyDescent="0.5">
      <c r="A741" s="102" t="s">
        <v>2702</v>
      </c>
      <c r="B741" s="102" t="s">
        <v>2903</v>
      </c>
      <c r="C741" s="102" t="s">
        <v>3700</v>
      </c>
      <c r="D741" s="102" t="s">
        <v>2893</v>
      </c>
      <c r="E741" s="102" t="s">
        <v>2694</v>
      </c>
      <c r="F741" s="220">
        <v>41957</v>
      </c>
      <c r="G741" s="102" t="s">
        <v>2695</v>
      </c>
      <c r="H741" s="221">
        <v>10.3</v>
      </c>
      <c r="I741" s="221">
        <v>48.91</v>
      </c>
      <c r="J741" s="221">
        <v>4.24</v>
      </c>
      <c r="K741" s="221">
        <f t="shared" si="11"/>
        <v>6.0600000000000005</v>
      </c>
      <c r="L741" s="93"/>
      <c r="N741" s="100"/>
      <c r="O741" s="101"/>
      <c r="P741" s="101"/>
      <c r="Q741" s="101"/>
    </row>
    <row r="742" spans="1:17" ht="30" x14ac:dyDescent="0.5">
      <c r="A742" s="102" t="s">
        <v>2702</v>
      </c>
      <c r="B742" s="102" t="s">
        <v>2773</v>
      </c>
      <c r="C742" s="102" t="s">
        <v>3701</v>
      </c>
      <c r="D742" s="102" t="s">
        <v>2893</v>
      </c>
      <c r="E742" s="102" t="s">
        <v>2694</v>
      </c>
      <c r="F742" s="220">
        <v>41957</v>
      </c>
      <c r="G742" s="102" t="s">
        <v>2695</v>
      </c>
      <c r="H742" s="221">
        <v>10.199999999999999</v>
      </c>
      <c r="I742" s="221">
        <v>51.9</v>
      </c>
      <c r="J742" s="221">
        <v>4.24</v>
      </c>
      <c r="K742" s="221">
        <f t="shared" si="11"/>
        <v>5.9599999999999991</v>
      </c>
      <c r="L742" s="93"/>
      <c r="N742" s="100"/>
      <c r="O742" s="101"/>
      <c r="P742" s="101"/>
      <c r="Q742" s="101"/>
    </row>
    <row r="743" spans="1:17" ht="30" x14ac:dyDescent="0.5">
      <c r="A743" s="102" t="s">
        <v>2702</v>
      </c>
      <c r="B743" s="102" t="s">
        <v>2703</v>
      </c>
      <c r="C743" s="102" t="s">
        <v>3702</v>
      </c>
      <c r="D743" s="102" t="s">
        <v>2893</v>
      </c>
      <c r="E743" s="102" t="s">
        <v>2694</v>
      </c>
      <c r="F743" s="220">
        <v>41969</v>
      </c>
      <c r="G743" s="102" t="s">
        <v>2695</v>
      </c>
      <c r="H743" s="221">
        <v>10.199999999999999</v>
      </c>
      <c r="I743" s="221">
        <v>58.96</v>
      </c>
      <c r="J743" s="221">
        <v>4.0599999999999996</v>
      </c>
      <c r="K743" s="221">
        <f t="shared" si="11"/>
        <v>6.14</v>
      </c>
      <c r="L743" s="93"/>
      <c r="N743" s="100"/>
      <c r="O743" s="101"/>
      <c r="P743" s="101"/>
      <c r="Q743" s="101"/>
    </row>
    <row r="744" spans="1:17" ht="30" x14ac:dyDescent="0.5">
      <c r="A744" s="102" t="s">
        <v>2693</v>
      </c>
      <c r="B744" s="102" t="s">
        <v>2959</v>
      </c>
      <c r="C744" s="102" t="s">
        <v>3703</v>
      </c>
      <c r="D744" s="102" t="s">
        <v>2893</v>
      </c>
      <c r="E744" s="102" t="s">
        <v>2694</v>
      </c>
      <c r="F744" s="220">
        <v>42025</v>
      </c>
      <c r="G744" s="102" t="s">
        <v>2695</v>
      </c>
      <c r="H744" s="221">
        <v>9.0500000000000007</v>
      </c>
      <c r="I744" s="221">
        <v>50.48</v>
      </c>
      <c r="J744" s="221">
        <v>3.95</v>
      </c>
      <c r="K744" s="221">
        <f t="shared" si="11"/>
        <v>5.1000000000000005</v>
      </c>
      <c r="L744" s="93"/>
      <c r="N744" s="100"/>
      <c r="O744" s="101"/>
      <c r="P744" s="101"/>
      <c r="Q744" s="101"/>
    </row>
    <row r="745" spans="1:17" ht="30" x14ac:dyDescent="0.5">
      <c r="A745" s="102" t="s">
        <v>2693</v>
      </c>
      <c r="B745" s="102" t="s">
        <v>2961</v>
      </c>
      <c r="C745" s="102" t="s">
        <v>3704</v>
      </c>
      <c r="D745" s="102" t="s">
        <v>2893</v>
      </c>
      <c r="E745" s="102" t="s">
        <v>2694</v>
      </c>
      <c r="F745" s="220">
        <v>42025</v>
      </c>
      <c r="G745" s="102" t="s">
        <v>2695</v>
      </c>
      <c r="H745" s="221">
        <v>9.0500000000000007</v>
      </c>
      <c r="I745" s="221">
        <v>50.33</v>
      </c>
      <c r="J745" s="221">
        <v>3.95</v>
      </c>
      <c r="K745" s="221">
        <f t="shared" si="11"/>
        <v>5.1000000000000005</v>
      </c>
      <c r="L745" s="93"/>
      <c r="N745" s="100"/>
      <c r="O745" s="101"/>
      <c r="P745" s="101"/>
      <c r="Q745" s="101"/>
    </row>
    <row r="746" spans="1:17" ht="30" x14ac:dyDescent="0.5">
      <c r="A746" s="102" t="s">
        <v>2700</v>
      </c>
      <c r="B746" s="102" t="s">
        <v>2898</v>
      </c>
      <c r="C746" s="102" t="s">
        <v>3705</v>
      </c>
      <c r="D746" s="102" t="s">
        <v>2893</v>
      </c>
      <c r="E746" s="102" t="s">
        <v>2694</v>
      </c>
      <c r="F746" s="220">
        <v>42307</v>
      </c>
      <c r="G746" s="102" t="s">
        <v>2695</v>
      </c>
      <c r="H746" s="221">
        <v>9.8000000000000007</v>
      </c>
      <c r="I746" s="221">
        <v>52.1</v>
      </c>
      <c r="J746" s="221">
        <v>4.3899999999999997</v>
      </c>
      <c r="K746" s="221">
        <f t="shared" si="11"/>
        <v>5.410000000000001</v>
      </c>
      <c r="L746" s="93"/>
      <c r="N746" s="100"/>
      <c r="O746" s="101"/>
      <c r="P746" s="101"/>
      <c r="Q746" s="101"/>
    </row>
    <row r="747" spans="1:17" ht="30" x14ac:dyDescent="0.5">
      <c r="A747" s="102" t="s">
        <v>2702</v>
      </c>
      <c r="B747" s="102" t="s">
        <v>2748</v>
      </c>
      <c r="C747" s="102" t="s">
        <v>3706</v>
      </c>
      <c r="D747" s="102" t="s">
        <v>2893</v>
      </c>
      <c r="E747" s="102" t="s">
        <v>2694</v>
      </c>
      <c r="F747" s="220">
        <v>42327</v>
      </c>
      <c r="G747" s="102" t="s">
        <v>2695</v>
      </c>
      <c r="H747" s="221">
        <v>10</v>
      </c>
      <c r="I747" s="221">
        <v>50.47</v>
      </c>
      <c r="J747" s="221">
        <v>4.29</v>
      </c>
      <c r="K747" s="221">
        <f t="shared" si="11"/>
        <v>5.71</v>
      </c>
      <c r="L747" s="93"/>
      <c r="N747" s="100"/>
      <c r="O747" s="101"/>
      <c r="P747" s="101"/>
      <c r="Q747" s="101"/>
    </row>
    <row r="748" spans="1:17" ht="30" x14ac:dyDescent="0.5">
      <c r="A748" s="102" t="s">
        <v>2702</v>
      </c>
      <c r="B748" s="102" t="s">
        <v>2755</v>
      </c>
      <c r="C748" s="102" t="s">
        <v>3707</v>
      </c>
      <c r="D748" s="102" t="s">
        <v>2893</v>
      </c>
      <c r="E748" s="102" t="s">
        <v>2694</v>
      </c>
      <c r="F748" s="220">
        <v>42341</v>
      </c>
      <c r="G748" s="102" t="s">
        <v>2695</v>
      </c>
      <c r="H748" s="221">
        <v>10</v>
      </c>
      <c r="I748" s="221">
        <v>52.49</v>
      </c>
      <c r="J748" s="221">
        <v>4.29</v>
      </c>
      <c r="K748" s="221">
        <f t="shared" si="11"/>
        <v>5.71</v>
      </c>
      <c r="L748" s="93"/>
      <c r="N748" s="100"/>
      <c r="O748" s="101"/>
      <c r="P748" s="101"/>
      <c r="Q748" s="101"/>
    </row>
    <row r="749" spans="1:17" ht="30" x14ac:dyDescent="0.5">
      <c r="A749" s="102" t="s">
        <v>2715</v>
      </c>
      <c r="B749" s="102" t="s">
        <v>2716</v>
      </c>
      <c r="C749" s="102" t="s">
        <v>3708</v>
      </c>
      <c r="D749" s="102" t="s">
        <v>2893</v>
      </c>
      <c r="E749" s="102" t="s">
        <v>2694</v>
      </c>
      <c r="F749" s="220">
        <v>42416</v>
      </c>
      <c r="G749" s="102" t="s">
        <v>2695</v>
      </c>
      <c r="H749" s="221">
        <v>9.5</v>
      </c>
      <c r="I749" s="221">
        <v>56.51</v>
      </c>
      <c r="J749" s="221">
        <v>4.2699999999999996</v>
      </c>
      <c r="K749" s="221">
        <f t="shared" si="11"/>
        <v>5.23</v>
      </c>
      <c r="L749" s="93"/>
      <c r="N749" s="100"/>
      <c r="O749" s="101"/>
      <c r="P749" s="101"/>
      <c r="Q749" s="101"/>
    </row>
    <row r="750" spans="1:17" ht="30" x14ac:dyDescent="0.5">
      <c r="A750" s="102" t="s">
        <v>2774</v>
      </c>
      <c r="B750" s="102" t="s">
        <v>2727</v>
      </c>
      <c r="C750" s="102" t="s">
        <v>3709</v>
      </c>
      <c r="D750" s="102" t="s">
        <v>2893</v>
      </c>
      <c r="E750" s="102" t="s">
        <v>2694</v>
      </c>
      <c r="F750" s="220">
        <v>42429</v>
      </c>
      <c r="G750" s="102" t="s">
        <v>2695</v>
      </c>
      <c r="H750" s="221">
        <v>9.4</v>
      </c>
      <c r="I750" s="221">
        <v>50</v>
      </c>
      <c r="J750" s="221">
        <v>4.2699999999999996</v>
      </c>
      <c r="K750" s="221">
        <f t="shared" si="11"/>
        <v>5.1300000000000008</v>
      </c>
      <c r="L750" s="93"/>
      <c r="N750" s="100"/>
      <c r="O750" s="101"/>
      <c r="P750" s="101"/>
      <c r="Q750" s="101"/>
    </row>
    <row r="751" spans="1:17" ht="30" x14ac:dyDescent="0.5">
      <c r="A751" s="102" t="s">
        <v>2700</v>
      </c>
      <c r="B751" s="102" t="s">
        <v>2778</v>
      </c>
      <c r="C751" s="102" t="s">
        <v>3710</v>
      </c>
      <c r="D751" s="102" t="s">
        <v>2893</v>
      </c>
      <c r="E751" s="102" t="s">
        <v>2694</v>
      </c>
      <c r="F751" s="220">
        <v>42489</v>
      </c>
      <c r="G751" s="102" t="s">
        <v>2695</v>
      </c>
      <c r="H751" s="221">
        <v>9.8000000000000007</v>
      </c>
      <c r="I751" s="221">
        <v>52.17</v>
      </c>
      <c r="J751" s="221">
        <v>4.16</v>
      </c>
      <c r="K751" s="221">
        <f t="shared" si="11"/>
        <v>5.6400000000000006</v>
      </c>
      <c r="L751" s="93"/>
      <c r="N751" s="100"/>
      <c r="O751" s="101"/>
      <c r="P751" s="101"/>
      <c r="Q751" s="101"/>
    </row>
    <row r="752" spans="1:17" ht="30" x14ac:dyDescent="0.5">
      <c r="A752" s="102" t="s">
        <v>2754</v>
      </c>
      <c r="B752" s="102" t="s">
        <v>2975</v>
      </c>
      <c r="C752" s="102" t="s">
        <v>3711</v>
      </c>
      <c r="D752" s="102" t="s">
        <v>2893</v>
      </c>
      <c r="E752" s="102" t="s">
        <v>2694</v>
      </c>
      <c r="F752" s="220">
        <v>42495</v>
      </c>
      <c r="G752" s="102" t="s">
        <v>2695</v>
      </c>
      <c r="H752" s="221">
        <v>9.49</v>
      </c>
      <c r="I752" s="221">
        <v>50</v>
      </c>
      <c r="J752" s="221">
        <v>4.16</v>
      </c>
      <c r="K752" s="221">
        <f t="shared" si="11"/>
        <v>5.33</v>
      </c>
      <c r="L752" s="93"/>
      <c r="N752" s="100"/>
      <c r="O752" s="101"/>
      <c r="P752" s="101"/>
      <c r="Q752" s="101"/>
    </row>
    <row r="753" spans="1:12" ht="30" x14ac:dyDescent="0.5">
      <c r="A753" s="102" t="s">
        <v>2698</v>
      </c>
      <c r="B753" s="102" t="s">
        <v>2722</v>
      </c>
      <c r="C753" s="102" t="s">
        <v>3712</v>
      </c>
      <c r="D753" s="102" t="s">
        <v>2893</v>
      </c>
      <c r="E753" s="102" t="s">
        <v>2694</v>
      </c>
      <c r="F753" s="220">
        <v>42524</v>
      </c>
      <c r="G753" s="102" t="s">
        <v>2695</v>
      </c>
      <c r="H753" s="221">
        <v>9.65</v>
      </c>
      <c r="I753" s="221">
        <v>51.9</v>
      </c>
      <c r="J753" s="221">
        <v>4</v>
      </c>
      <c r="K753" s="221">
        <f t="shared" si="11"/>
        <v>5.65</v>
      </c>
      <c r="L753" s="93"/>
    </row>
    <row r="754" spans="1:12" ht="30" x14ac:dyDescent="0.5">
      <c r="A754" s="102" t="s">
        <v>2775</v>
      </c>
      <c r="B754" s="102" t="s">
        <v>3643</v>
      </c>
      <c r="C754" s="102" t="s">
        <v>3713</v>
      </c>
      <c r="D754" s="102" t="s">
        <v>2893</v>
      </c>
      <c r="E754" s="102" t="s">
        <v>2694</v>
      </c>
      <c r="F754" s="220">
        <v>42640</v>
      </c>
      <c r="G754" s="102" t="s">
        <v>2695</v>
      </c>
      <c r="H754" s="221">
        <v>9.5</v>
      </c>
      <c r="I754" s="221">
        <v>60.1</v>
      </c>
      <c r="J754" s="221">
        <v>3.59</v>
      </c>
      <c r="K754" s="221">
        <f t="shared" si="11"/>
        <v>5.91</v>
      </c>
      <c r="L754" s="93"/>
    </row>
    <row r="755" spans="1:12" ht="30" x14ac:dyDescent="0.5">
      <c r="A755" s="102" t="s">
        <v>2754</v>
      </c>
      <c r="B755" s="102" t="s">
        <v>3123</v>
      </c>
      <c r="C755" s="102" t="s">
        <v>3714</v>
      </c>
      <c r="D755" s="102" t="s">
        <v>2893</v>
      </c>
      <c r="E755" s="102" t="s">
        <v>2694</v>
      </c>
      <c r="F755" s="220">
        <v>42642</v>
      </c>
      <c r="G755" s="102" t="s">
        <v>2695</v>
      </c>
      <c r="H755" s="221">
        <v>9.11</v>
      </c>
      <c r="I755" s="221">
        <v>50.32</v>
      </c>
      <c r="J755" s="221">
        <v>3.59</v>
      </c>
      <c r="K755" s="221">
        <f t="shared" si="11"/>
        <v>5.52</v>
      </c>
      <c r="L755" s="93"/>
    </row>
    <row r="756" spans="1:12" ht="30" x14ac:dyDescent="0.5">
      <c r="A756" s="102" t="s">
        <v>2702</v>
      </c>
      <c r="B756" s="102" t="s">
        <v>2703</v>
      </c>
      <c r="C756" s="102" t="s">
        <v>3715</v>
      </c>
      <c r="D756" s="102" t="s">
        <v>2893</v>
      </c>
      <c r="E756" s="102" t="s">
        <v>2694</v>
      </c>
      <c r="F756" s="220">
        <v>42683</v>
      </c>
      <c r="G756" s="102" t="s">
        <v>2695</v>
      </c>
      <c r="H756" s="221">
        <v>9.8000000000000007</v>
      </c>
      <c r="I756" s="221">
        <v>57.16</v>
      </c>
      <c r="J756" s="221">
        <v>3.66</v>
      </c>
      <c r="K756" s="221">
        <f t="shared" si="11"/>
        <v>6.1400000000000006</v>
      </c>
      <c r="L756" s="93"/>
    </row>
    <row r="757" spans="1:12" ht="30" x14ac:dyDescent="0.5">
      <c r="A757" s="102" t="s">
        <v>2744</v>
      </c>
      <c r="B757" s="102" t="s">
        <v>2972</v>
      </c>
      <c r="C757" s="102" t="s">
        <v>3716</v>
      </c>
      <c r="D757" s="102" t="s">
        <v>2893</v>
      </c>
      <c r="E757" s="102" t="s">
        <v>2694</v>
      </c>
      <c r="F757" s="220">
        <v>42713</v>
      </c>
      <c r="G757" s="102" t="s">
        <v>2695</v>
      </c>
      <c r="H757" s="221">
        <v>10.1</v>
      </c>
      <c r="I757" s="221">
        <v>38.65</v>
      </c>
      <c r="J757" s="221">
        <v>3.77</v>
      </c>
      <c r="K757" s="221">
        <f t="shared" si="11"/>
        <v>6.33</v>
      </c>
      <c r="L757" s="93"/>
    </row>
    <row r="758" spans="1:12" ht="30" x14ac:dyDescent="0.5">
      <c r="A758" s="102" t="s">
        <v>2734</v>
      </c>
      <c r="B758" s="102" t="s">
        <v>2895</v>
      </c>
      <c r="C758" s="102" t="s">
        <v>3717</v>
      </c>
      <c r="D758" s="102" t="s">
        <v>2893</v>
      </c>
      <c r="E758" s="102" t="s">
        <v>2694</v>
      </c>
      <c r="F758" s="220">
        <v>42795</v>
      </c>
      <c r="G758" s="102" t="s">
        <v>2695</v>
      </c>
      <c r="H758" s="221">
        <v>9.25</v>
      </c>
      <c r="I758" s="221">
        <v>55.7</v>
      </c>
      <c r="J758" s="221">
        <v>4.1399999999999997</v>
      </c>
      <c r="K758" s="221">
        <f t="shared" si="11"/>
        <v>5.1100000000000003</v>
      </c>
      <c r="L758" s="93"/>
    </row>
    <row r="759" spans="1:12" ht="30" x14ac:dyDescent="0.5">
      <c r="A759" s="102" t="s">
        <v>2704</v>
      </c>
      <c r="B759" s="102" t="s">
        <v>2910</v>
      </c>
      <c r="C759" s="102" t="s">
        <v>3718</v>
      </c>
      <c r="D759" s="102" t="s">
        <v>2893</v>
      </c>
      <c r="E759" s="102" t="s">
        <v>2694</v>
      </c>
      <c r="F759" s="220">
        <v>42845</v>
      </c>
      <c r="G759" s="102" t="s">
        <v>2695</v>
      </c>
      <c r="H759" s="221">
        <v>8.6999999999999993</v>
      </c>
      <c r="I759" s="221">
        <v>42.9</v>
      </c>
      <c r="J759" s="221">
        <v>4.2300000000000004</v>
      </c>
      <c r="K759" s="221">
        <f t="shared" si="11"/>
        <v>4.4699999999999989</v>
      </c>
      <c r="L759" s="93"/>
    </row>
    <row r="760" spans="1:12" ht="30" x14ac:dyDescent="0.5">
      <c r="A760" s="102" t="s">
        <v>2726</v>
      </c>
      <c r="B760" s="102" t="s">
        <v>2946</v>
      </c>
      <c r="C760" s="102" t="s">
        <v>3719</v>
      </c>
      <c r="D760" s="102" t="s">
        <v>2893</v>
      </c>
      <c r="E760" s="102" t="s">
        <v>2694</v>
      </c>
      <c r="F760" s="220">
        <v>42853</v>
      </c>
      <c r="G760" s="102" t="s">
        <v>2695</v>
      </c>
      <c r="H760" s="221">
        <v>9.5</v>
      </c>
      <c r="I760" s="221">
        <v>50</v>
      </c>
      <c r="J760" s="221">
        <v>4.2300000000000004</v>
      </c>
      <c r="K760" s="221">
        <f t="shared" si="11"/>
        <v>5.27</v>
      </c>
      <c r="L760" s="93"/>
    </row>
    <row r="761" spans="1:12" ht="30" x14ac:dyDescent="0.5">
      <c r="A761" s="102" t="s">
        <v>2744</v>
      </c>
      <c r="B761" s="102" t="s">
        <v>2770</v>
      </c>
      <c r="C761" s="102" t="s">
        <v>3720</v>
      </c>
      <c r="D761" s="102" t="s">
        <v>2893</v>
      </c>
      <c r="E761" s="102" t="s">
        <v>2694</v>
      </c>
      <c r="F761" s="220">
        <v>42947</v>
      </c>
      <c r="G761" s="102" t="s">
        <v>2695</v>
      </c>
      <c r="H761" s="221">
        <v>10.1</v>
      </c>
      <c r="I761" s="221">
        <v>41.27</v>
      </c>
      <c r="J761" s="221">
        <v>3.94</v>
      </c>
      <c r="K761" s="221">
        <f t="shared" si="11"/>
        <v>6.16</v>
      </c>
      <c r="L761" s="93"/>
    </row>
    <row r="762" spans="1:12" ht="30" x14ac:dyDescent="0.5">
      <c r="A762" s="102" t="s">
        <v>2779</v>
      </c>
      <c r="B762" s="102" t="s">
        <v>3721</v>
      </c>
      <c r="C762" s="102" t="s">
        <v>3722</v>
      </c>
      <c r="D762" s="102" t="s">
        <v>2893</v>
      </c>
      <c r="E762" s="102" t="s">
        <v>2694</v>
      </c>
      <c r="F762" s="220">
        <v>43000</v>
      </c>
      <c r="G762" s="102" t="s">
        <v>2695</v>
      </c>
      <c r="H762" s="221">
        <v>11.88</v>
      </c>
      <c r="I762" s="221">
        <v>51.81</v>
      </c>
      <c r="J762" s="221">
        <v>3.86</v>
      </c>
      <c r="K762" s="221">
        <f t="shared" si="11"/>
        <v>8.0200000000000014</v>
      </c>
      <c r="L762" s="93"/>
    </row>
    <row r="763" spans="1:12" ht="30" x14ac:dyDescent="0.5">
      <c r="A763" s="102" t="s">
        <v>2702</v>
      </c>
      <c r="B763" s="102" t="s">
        <v>2755</v>
      </c>
      <c r="C763" s="102" t="s">
        <v>3723</v>
      </c>
      <c r="D763" s="102" t="s">
        <v>2893</v>
      </c>
      <c r="E763" s="102" t="s">
        <v>2694</v>
      </c>
      <c r="F763" s="220">
        <v>43076</v>
      </c>
      <c r="G763" s="102" t="s">
        <v>2695</v>
      </c>
      <c r="H763" s="221">
        <v>9.8000000000000007</v>
      </c>
      <c r="I763" s="221">
        <v>51.45</v>
      </c>
      <c r="J763" s="221">
        <v>3.91</v>
      </c>
      <c r="K763" s="221">
        <f t="shared" si="11"/>
        <v>5.8900000000000006</v>
      </c>
      <c r="L763" s="93"/>
    </row>
    <row r="764" spans="1:12" ht="30" x14ac:dyDescent="0.5">
      <c r="A764" s="102" t="s">
        <v>2693</v>
      </c>
      <c r="B764" s="102" t="s">
        <v>2629</v>
      </c>
      <c r="C764" s="102" t="s">
        <v>3724</v>
      </c>
      <c r="D764" s="102" t="s">
        <v>2893</v>
      </c>
      <c r="E764" s="102" t="s">
        <v>2694</v>
      </c>
      <c r="F764" s="220">
        <v>43131</v>
      </c>
      <c r="G764" s="102" t="s">
        <v>2695</v>
      </c>
      <c r="H764" s="221">
        <v>9.8000000000000007</v>
      </c>
      <c r="I764" s="221">
        <v>52</v>
      </c>
      <c r="J764" s="221">
        <v>3.79</v>
      </c>
      <c r="K764" s="221">
        <f t="shared" si="11"/>
        <v>6.0100000000000007</v>
      </c>
      <c r="L764" s="93"/>
    </row>
    <row r="765" spans="1:12" ht="30" x14ac:dyDescent="0.5">
      <c r="A765" s="102" t="s">
        <v>2756</v>
      </c>
      <c r="B765" s="102" t="s">
        <v>3010</v>
      </c>
      <c r="C765" s="102" t="s">
        <v>3725</v>
      </c>
      <c r="D765" s="102" t="s">
        <v>2893</v>
      </c>
      <c r="E765" s="102" t="s">
        <v>2694</v>
      </c>
      <c r="F765" s="220">
        <v>43152</v>
      </c>
      <c r="G765" s="102" t="s">
        <v>2695</v>
      </c>
      <c r="H765" s="221">
        <v>9.8000000000000007</v>
      </c>
      <c r="I765" s="221">
        <v>54.16</v>
      </c>
      <c r="J765" s="221">
        <v>3.86</v>
      </c>
      <c r="K765" s="221">
        <f t="shared" si="11"/>
        <v>5.9400000000000013</v>
      </c>
      <c r="L765" s="93"/>
    </row>
    <row r="766" spans="1:12" ht="30" x14ac:dyDescent="0.5">
      <c r="A766" s="102" t="s">
        <v>2756</v>
      </c>
      <c r="B766" s="102" t="s">
        <v>2875</v>
      </c>
      <c r="C766" s="102" t="s">
        <v>3726</v>
      </c>
      <c r="D766" s="102" t="s">
        <v>2893</v>
      </c>
      <c r="E766" s="102" t="s">
        <v>2694</v>
      </c>
      <c r="F766" s="220">
        <v>43152</v>
      </c>
      <c r="G766" s="102" t="s">
        <v>2695</v>
      </c>
      <c r="H766" s="221">
        <v>9.8000000000000007</v>
      </c>
      <c r="I766" s="221">
        <v>54.16</v>
      </c>
      <c r="J766" s="221">
        <v>3.86</v>
      </c>
      <c r="K766" s="221">
        <f t="shared" si="11"/>
        <v>5.9400000000000013</v>
      </c>
      <c r="L766" s="93"/>
    </row>
    <row r="767" spans="1:12" ht="30" x14ac:dyDescent="0.5">
      <c r="A767" s="102" t="s">
        <v>2780</v>
      </c>
      <c r="B767" s="102" t="s">
        <v>3727</v>
      </c>
      <c r="C767" s="102" t="s">
        <v>3728</v>
      </c>
      <c r="D767" s="102" t="s">
        <v>2893</v>
      </c>
      <c r="E767" s="102" t="s">
        <v>2694</v>
      </c>
      <c r="F767" s="220">
        <v>43159</v>
      </c>
      <c r="G767" s="102" t="s">
        <v>2695</v>
      </c>
      <c r="H767" s="221">
        <v>9.5</v>
      </c>
      <c r="I767" s="221">
        <v>50</v>
      </c>
      <c r="J767" s="221">
        <v>3.86</v>
      </c>
      <c r="K767" s="221">
        <f t="shared" si="11"/>
        <v>5.6400000000000006</v>
      </c>
      <c r="L767" s="93"/>
    </row>
    <row r="768" spans="1:12" ht="30" x14ac:dyDescent="0.5">
      <c r="A768" s="102" t="s">
        <v>2736</v>
      </c>
      <c r="B768" s="102" t="s">
        <v>2727</v>
      </c>
      <c r="C768" s="102" t="s">
        <v>3729</v>
      </c>
      <c r="D768" s="102" t="s">
        <v>2893</v>
      </c>
      <c r="E768" s="102" t="s">
        <v>2694</v>
      </c>
      <c r="F768" s="220">
        <v>43216</v>
      </c>
      <c r="G768" s="102" t="s">
        <v>2695</v>
      </c>
      <c r="H768" s="221">
        <v>9.5</v>
      </c>
      <c r="I768" s="221">
        <v>48.5</v>
      </c>
      <c r="J768" s="221">
        <v>4.13</v>
      </c>
      <c r="K768" s="221">
        <f t="shared" si="11"/>
        <v>5.37</v>
      </c>
      <c r="L768" s="93"/>
    </row>
    <row r="769" spans="1:12" ht="30" x14ac:dyDescent="0.5">
      <c r="A769" s="102" t="s">
        <v>2776</v>
      </c>
      <c r="B769" s="102" t="s">
        <v>3602</v>
      </c>
      <c r="C769" s="102" t="s">
        <v>3730</v>
      </c>
      <c r="D769" s="102" t="s">
        <v>2893</v>
      </c>
      <c r="E769" s="102" t="s">
        <v>2694</v>
      </c>
      <c r="F769" s="220">
        <v>43217</v>
      </c>
      <c r="G769" s="102" t="s">
        <v>2695</v>
      </c>
      <c r="H769" s="221">
        <v>9.3000000000000007</v>
      </c>
      <c r="I769" s="221">
        <v>49.21</v>
      </c>
      <c r="J769" s="221">
        <v>4.13</v>
      </c>
      <c r="K769" s="221">
        <f t="shared" si="11"/>
        <v>5.1700000000000008</v>
      </c>
      <c r="L769" s="93"/>
    </row>
    <row r="770" spans="1:12" ht="30" x14ac:dyDescent="0.5">
      <c r="A770" s="102" t="s">
        <v>2728</v>
      </c>
      <c r="B770" s="102" t="s">
        <v>2944</v>
      </c>
      <c r="C770" s="102" t="s">
        <v>3731</v>
      </c>
      <c r="D770" s="102" t="s">
        <v>2893</v>
      </c>
      <c r="E770" s="102" t="s">
        <v>2694</v>
      </c>
      <c r="F770" s="220">
        <v>43223</v>
      </c>
      <c r="G770" s="102" t="s">
        <v>2695</v>
      </c>
      <c r="H770" s="221">
        <v>9.6999999999999993</v>
      </c>
      <c r="I770" s="221">
        <v>52.57</v>
      </c>
      <c r="J770" s="221">
        <v>4.13</v>
      </c>
      <c r="K770" s="221">
        <f t="shared" si="11"/>
        <v>5.5699999999999994</v>
      </c>
      <c r="L770" s="93"/>
    </row>
    <row r="771" spans="1:12" ht="30" x14ac:dyDescent="0.5">
      <c r="A771" s="102" t="s">
        <v>2744</v>
      </c>
      <c r="B771" s="102" t="s">
        <v>2972</v>
      </c>
      <c r="C771" s="102" t="s">
        <v>3732</v>
      </c>
      <c r="D771" s="102" t="s">
        <v>2893</v>
      </c>
      <c r="E771" s="102" t="s">
        <v>2694</v>
      </c>
      <c r="F771" s="220">
        <v>43356</v>
      </c>
      <c r="G771" s="102" t="s">
        <v>2695</v>
      </c>
      <c r="H771" s="221">
        <v>10</v>
      </c>
      <c r="I771" s="221">
        <v>38.299999999999997</v>
      </c>
      <c r="J771" s="221">
        <v>4.2699999999999996</v>
      </c>
      <c r="K771" s="221">
        <f t="shared" si="11"/>
        <v>5.73</v>
      </c>
      <c r="L771" s="93"/>
    </row>
    <row r="772" spans="1:12" ht="30" x14ac:dyDescent="0.5">
      <c r="A772" s="102" t="s">
        <v>2700</v>
      </c>
      <c r="B772" s="102" t="s">
        <v>3082</v>
      </c>
      <c r="C772" s="102" t="s">
        <v>3733</v>
      </c>
      <c r="D772" s="102" t="s">
        <v>2893</v>
      </c>
      <c r="E772" s="102" t="s">
        <v>2694</v>
      </c>
      <c r="F772" s="220">
        <v>43371</v>
      </c>
      <c r="G772" s="102" t="s">
        <v>2695</v>
      </c>
      <c r="H772" s="221">
        <v>9.5</v>
      </c>
      <c r="I772" s="221">
        <v>53.04</v>
      </c>
      <c r="J772" s="221">
        <v>4.26</v>
      </c>
      <c r="K772" s="221">
        <f t="shared" si="11"/>
        <v>5.24</v>
      </c>
      <c r="L772" s="93"/>
    </row>
    <row r="773" spans="1:12" ht="30" x14ac:dyDescent="0.5">
      <c r="A773" s="102" t="s">
        <v>2700</v>
      </c>
      <c r="B773" s="102" t="s">
        <v>3097</v>
      </c>
      <c r="C773" s="102" t="s">
        <v>3734</v>
      </c>
      <c r="D773" s="102" t="s">
        <v>2893</v>
      </c>
      <c r="E773" s="102" t="s">
        <v>2694</v>
      </c>
      <c r="F773" s="220">
        <v>43371</v>
      </c>
      <c r="G773" s="102" t="s">
        <v>2695</v>
      </c>
      <c r="H773" s="221">
        <v>9.5</v>
      </c>
      <c r="I773" s="221">
        <v>53.04</v>
      </c>
      <c r="J773" s="221">
        <v>4.26</v>
      </c>
      <c r="K773" s="221">
        <f t="shared" si="11"/>
        <v>5.24</v>
      </c>
      <c r="L773" s="93"/>
    </row>
    <row r="774" spans="1:12" ht="30" x14ac:dyDescent="0.5">
      <c r="A774" s="102" t="s">
        <v>2768</v>
      </c>
      <c r="B774" s="102" t="s">
        <v>3106</v>
      </c>
      <c r="C774" s="102" t="s">
        <v>3735</v>
      </c>
      <c r="D774" s="102" t="s">
        <v>2893</v>
      </c>
      <c r="E774" s="102" t="s">
        <v>2694</v>
      </c>
      <c r="F774" s="220">
        <v>43388</v>
      </c>
      <c r="G774" s="102" t="s">
        <v>2695</v>
      </c>
      <c r="H774" s="221">
        <v>9.8000000000000007</v>
      </c>
      <c r="I774" s="221">
        <v>49.23</v>
      </c>
      <c r="J774" s="221">
        <v>4.26</v>
      </c>
      <c r="K774" s="221">
        <f t="shared" si="11"/>
        <v>5.5400000000000009</v>
      </c>
      <c r="L774" s="93"/>
    </row>
    <row r="775" spans="1:12" ht="30" x14ac:dyDescent="0.5">
      <c r="A775" s="102" t="s">
        <v>2754</v>
      </c>
      <c r="B775" s="102" t="s">
        <v>3123</v>
      </c>
      <c r="C775" s="102" t="s">
        <v>3736</v>
      </c>
      <c r="D775" s="102" t="s">
        <v>2893</v>
      </c>
      <c r="E775" s="102" t="s">
        <v>2694</v>
      </c>
      <c r="F775" s="220">
        <v>43412</v>
      </c>
      <c r="G775" s="102" t="s">
        <v>2695</v>
      </c>
      <c r="H775" s="221">
        <v>9.6999999999999993</v>
      </c>
      <c r="I775" s="221">
        <v>50.9</v>
      </c>
      <c r="J775" s="221">
        <v>4.32</v>
      </c>
      <c r="K775" s="221">
        <f t="shared" ref="K775:K838" si="12">H775-J775</f>
        <v>5.379999999999999</v>
      </c>
      <c r="L775" s="93"/>
    </row>
    <row r="776" spans="1:12" ht="30" x14ac:dyDescent="0.5">
      <c r="A776" s="102" t="s">
        <v>2698</v>
      </c>
      <c r="B776" s="102" t="s">
        <v>2895</v>
      </c>
      <c r="C776" s="102" t="s">
        <v>3737</v>
      </c>
      <c r="D776" s="102" t="s">
        <v>2893</v>
      </c>
      <c r="E776" s="102" t="s">
        <v>2694</v>
      </c>
      <c r="F776" s="220">
        <v>43445</v>
      </c>
      <c r="G776" s="102" t="s">
        <v>2695</v>
      </c>
      <c r="H776" s="221">
        <v>9.6999999999999993</v>
      </c>
      <c r="I776" s="221">
        <v>51.69</v>
      </c>
      <c r="J776" s="221">
        <v>4.45</v>
      </c>
      <c r="K776" s="221">
        <f t="shared" si="12"/>
        <v>5.2499999999999991</v>
      </c>
      <c r="L776" s="93"/>
    </row>
    <row r="777" spans="1:12" ht="30" x14ac:dyDescent="0.5">
      <c r="A777" s="102" t="s">
        <v>2715</v>
      </c>
      <c r="B777" s="102" t="s">
        <v>2716</v>
      </c>
      <c r="C777" s="102" t="s">
        <v>3738</v>
      </c>
      <c r="D777" s="102" t="s">
        <v>2893</v>
      </c>
      <c r="E777" s="102" t="s">
        <v>2694</v>
      </c>
      <c r="F777" s="220">
        <v>43455</v>
      </c>
      <c r="G777" s="102" t="s">
        <v>2695</v>
      </c>
      <c r="H777" s="221">
        <v>9.35</v>
      </c>
      <c r="I777" s="221">
        <v>54.6</v>
      </c>
      <c r="J777" s="221">
        <v>4.5199999999999996</v>
      </c>
      <c r="K777" s="221">
        <f t="shared" si="12"/>
        <v>4.83</v>
      </c>
      <c r="L777" s="93"/>
    </row>
    <row r="778" spans="1:12" ht="30" x14ac:dyDescent="0.5">
      <c r="A778" s="102" t="s">
        <v>2731</v>
      </c>
      <c r="B778" s="102" t="s">
        <v>2939</v>
      </c>
      <c r="C778" s="102" t="s">
        <v>3739</v>
      </c>
      <c r="D778" s="102" t="s">
        <v>2893</v>
      </c>
      <c r="E778" s="102" t="s">
        <v>2694</v>
      </c>
      <c r="F778" s="220">
        <v>43458</v>
      </c>
      <c r="G778" s="102" t="s">
        <v>2695</v>
      </c>
      <c r="H778" s="221">
        <v>9.25</v>
      </c>
      <c r="I778" s="221">
        <v>49.66</v>
      </c>
      <c r="J778" s="221">
        <v>4.5199999999999996</v>
      </c>
      <c r="K778" s="221">
        <f t="shared" si="12"/>
        <v>4.7300000000000004</v>
      </c>
      <c r="L778" s="93"/>
    </row>
    <row r="779" spans="1:12" ht="30" x14ac:dyDescent="0.5">
      <c r="A779" s="102" t="s">
        <v>2731</v>
      </c>
      <c r="B779" s="102" t="s">
        <v>2939</v>
      </c>
      <c r="C779" s="102" t="s">
        <v>3740</v>
      </c>
      <c r="D779" s="102" t="s">
        <v>2893</v>
      </c>
      <c r="E779" s="102" t="s">
        <v>2694</v>
      </c>
      <c r="F779" s="220">
        <v>43458</v>
      </c>
      <c r="G779" s="102" t="s">
        <v>2695</v>
      </c>
      <c r="H779" s="221">
        <v>9.25</v>
      </c>
      <c r="I779" s="221">
        <v>49.66</v>
      </c>
      <c r="J779" s="221">
        <v>4.5199999999999996</v>
      </c>
      <c r="K779" s="221">
        <f t="shared" si="12"/>
        <v>4.7300000000000004</v>
      </c>
      <c r="L779" s="93"/>
    </row>
    <row r="780" spans="1:12" ht="30" x14ac:dyDescent="0.5">
      <c r="A780" s="102" t="s">
        <v>2698</v>
      </c>
      <c r="B780" s="102" t="s">
        <v>2722</v>
      </c>
      <c r="C780" s="102" t="s">
        <v>3741</v>
      </c>
      <c r="D780" s="102" t="s">
        <v>2893</v>
      </c>
      <c r="E780" s="102" t="s">
        <v>2694</v>
      </c>
      <c r="F780" s="220">
        <v>43469</v>
      </c>
      <c r="G780" s="102" t="s">
        <v>2695</v>
      </c>
      <c r="H780" s="221">
        <v>9.8000000000000007</v>
      </c>
      <c r="I780" s="221">
        <v>52.85</v>
      </c>
      <c r="J780" s="221">
        <v>4.5199999999999996</v>
      </c>
      <c r="K780" s="221">
        <f t="shared" si="12"/>
        <v>5.2800000000000011</v>
      </c>
      <c r="L780" s="93"/>
    </row>
    <row r="781" spans="1:12" ht="30" x14ac:dyDescent="0.5">
      <c r="A781" s="102" t="s">
        <v>2728</v>
      </c>
      <c r="B781" s="102" t="s">
        <v>2944</v>
      </c>
      <c r="C781" s="102" t="s">
        <v>3742</v>
      </c>
      <c r="D781" s="102" t="s">
        <v>2893</v>
      </c>
      <c r="E781" s="102" t="s">
        <v>2694</v>
      </c>
      <c r="F781" s="220">
        <v>43592</v>
      </c>
      <c r="G781" s="224" t="s">
        <v>2695</v>
      </c>
      <c r="H781" s="103">
        <v>9.65</v>
      </c>
      <c r="I781" s="225">
        <v>58.06</v>
      </c>
      <c r="J781" s="221">
        <v>4.16</v>
      </c>
      <c r="K781" s="221">
        <f t="shared" si="12"/>
        <v>5.49</v>
      </c>
      <c r="L781" s="93"/>
    </row>
    <row r="782" spans="1:12" ht="30" x14ac:dyDescent="0.5">
      <c r="A782" s="102" t="s">
        <v>2744</v>
      </c>
      <c r="B782" s="102" t="s">
        <v>2770</v>
      </c>
      <c r="C782" s="102" t="s">
        <v>3743</v>
      </c>
      <c r="D782" s="102" t="s">
        <v>2893</v>
      </c>
      <c r="E782" s="102" t="s">
        <v>2694</v>
      </c>
      <c r="F782" s="220">
        <v>43734</v>
      </c>
      <c r="G782" s="224" t="s">
        <v>2695</v>
      </c>
      <c r="H782" s="103">
        <v>9.9</v>
      </c>
      <c r="I782" s="225">
        <v>41.78</v>
      </c>
      <c r="J782" s="221">
        <v>3.29</v>
      </c>
      <c r="K782" s="221">
        <f t="shared" si="12"/>
        <v>6.61</v>
      </c>
      <c r="L782" s="93"/>
    </row>
    <row r="783" spans="1:12" ht="30" x14ac:dyDescent="0.5">
      <c r="A783" s="102" t="s">
        <v>2693</v>
      </c>
      <c r="B783" s="102" t="s">
        <v>2629</v>
      </c>
      <c r="C783" s="102" t="s">
        <v>3744</v>
      </c>
      <c r="D783" s="102" t="s">
        <v>2893</v>
      </c>
      <c r="E783" s="102" t="s">
        <v>2694</v>
      </c>
      <c r="F783" s="220">
        <v>43740</v>
      </c>
      <c r="G783" s="102" t="s">
        <v>2695</v>
      </c>
      <c r="H783" s="103">
        <v>9.73</v>
      </c>
      <c r="I783" s="103">
        <v>54.2</v>
      </c>
      <c r="J783" s="221">
        <v>3.29</v>
      </c>
      <c r="K783" s="221">
        <f t="shared" si="12"/>
        <v>6.44</v>
      </c>
      <c r="L783" s="93"/>
    </row>
    <row r="784" spans="1:12" ht="30" x14ac:dyDescent="0.5">
      <c r="A784" s="102" t="s">
        <v>2732</v>
      </c>
      <c r="B784" s="102" t="s">
        <v>2745</v>
      </c>
      <c r="C784" s="102" t="s">
        <v>3745</v>
      </c>
      <c r="D784" s="102" t="s">
        <v>2893</v>
      </c>
      <c r="E784" s="102" t="s">
        <v>2694</v>
      </c>
      <c r="F784" s="220">
        <v>43776</v>
      </c>
      <c r="G784" s="102" t="s">
        <v>2695</v>
      </c>
      <c r="H784" s="103">
        <v>9.35</v>
      </c>
      <c r="I784" s="103">
        <v>50</v>
      </c>
      <c r="J784" s="221">
        <v>3.37</v>
      </c>
      <c r="K784" s="221">
        <f t="shared" si="12"/>
        <v>5.9799999999999995</v>
      </c>
      <c r="L784" s="93"/>
    </row>
    <row r="785" spans="1:33" ht="30" x14ac:dyDescent="0.5">
      <c r="A785" s="102" t="s">
        <v>2698</v>
      </c>
      <c r="B785" s="102" t="s">
        <v>3678</v>
      </c>
      <c r="C785" s="102" t="s">
        <v>3746</v>
      </c>
      <c r="D785" s="102" t="s">
        <v>2893</v>
      </c>
      <c r="E785" s="102" t="s">
        <v>2694</v>
      </c>
      <c r="F785" s="220">
        <v>43817</v>
      </c>
      <c r="G785" s="102" t="s">
        <v>2695</v>
      </c>
      <c r="H785" s="103">
        <v>9.6</v>
      </c>
      <c r="I785" s="103">
        <v>52.9</v>
      </c>
      <c r="J785" s="221">
        <v>3.42</v>
      </c>
      <c r="K785" s="221">
        <f t="shared" si="12"/>
        <v>6.18</v>
      </c>
      <c r="L785" s="93"/>
      <c r="Z785" s="60"/>
      <c r="AA785" s="60"/>
      <c r="AB785" s="60"/>
      <c r="AC785" s="60"/>
      <c r="AD785" s="60"/>
      <c r="AE785" s="60"/>
      <c r="AF785" s="60"/>
      <c r="AG785" s="60"/>
    </row>
    <row r="786" spans="1:33" ht="30" x14ac:dyDescent="0.5">
      <c r="A786" s="102" t="s">
        <v>2699</v>
      </c>
      <c r="B786" s="102" t="s">
        <v>2628</v>
      </c>
      <c r="C786" s="102" t="s">
        <v>3747</v>
      </c>
      <c r="D786" s="102" t="s">
        <v>2893</v>
      </c>
      <c r="E786" s="102" t="s">
        <v>2694</v>
      </c>
      <c r="F786" s="220">
        <v>43818</v>
      </c>
      <c r="G786" s="102" t="s">
        <v>2695</v>
      </c>
      <c r="H786" s="103">
        <v>10.25</v>
      </c>
      <c r="I786" s="103">
        <v>56</v>
      </c>
      <c r="J786" s="221">
        <v>3.42</v>
      </c>
      <c r="K786" s="221">
        <f t="shared" si="12"/>
        <v>6.83</v>
      </c>
      <c r="L786" s="93"/>
      <c r="Z786" s="60"/>
      <c r="AA786" s="60"/>
      <c r="AB786" s="60"/>
      <c r="AC786" s="60"/>
      <c r="AD786" s="60"/>
      <c r="AE786" s="60"/>
      <c r="AF786" s="60"/>
      <c r="AG786" s="60"/>
    </row>
    <row r="787" spans="1:33" ht="30" x14ac:dyDescent="0.5">
      <c r="A787" s="102" t="s">
        <v>2738</v>
      </c>
      <c r="B787" s="102" t="s">
        <v>2741</v>
      </c>
      <c r="C787" s="102" t="s">
        <v>3748</v>
      </c>
      <c r="D787" s="102" t="s">
        <v>2893</v>
      </c>
      <c r="E787" s="102" t="s">
        <v>2694</v>
      </c>
      <c r="F787" s="220">
        <v>43818</v>
      </c>
      <c r="G787" s="102" t="s">
        <v>2695</v>
      </c>
      <c r="H787" s="103">
        <v>10.199999999999999</v>
      </c>
      <c r="I787" s="103">
        <v>52</v>
      </c>
      <c r="J787" s="221">
        <v>3.42</v>
      </c>
      <c r="K787" s="221">
        <f t="shared" si="12"/>
        <v>6.7799999999999994</v>
      </c>
      <c r="L787" s="93"/>
    </row>
    <row r="788" spans="1:33" ht="30" x14ac:dyDescent="0.5">
      <c r="A788" s="102" t="s">
        <v>2738</v>
      </c>
      <c r="B788" s="102" t="s">
        <v>2954</v>
      </c>
      <c r="C788" s="102" t="s">
        <v>3749</v>
      </c>
      <c r="D788" s="102" t="s">
        <v>2893</v>
      </c>
      <c r="E788" s="102" t="s">
        <v>2694</v>
      </c>
      <c r="F788" s="220">
        <v>43818</v>
      </c>
      <c r="G788" s="102" t="s">
        <v>2695</v>
      </c>
      <c r="H788" s="103">
        <v>10.050000000000001</v>
      </c>
      <c r="I788" s="103">
        <v>52</v>
      </c>
      <c r="J788" s="221">
        <v>3.42</v>
      </c>
      <c r="K788" s="221">
        <f t="shared" si="12"/>
        <v>6.6300000000000008</v>
      </c>
      <c r="L788" s="93"/>
    </row>
    <row r="789" spans="1:33" ht="30" x14ac:dyDescent="0.5">
      <c r="A789" s="102" t="s">
        <v>2766</v>
      </c>
      <c r="B789" s="102" t="s">
        <v>2895</v>
      </c>
      <c r="C789" s="102" t="s">
        <v>3750</v>
      </c>
      <c r="D789" s="102" t="s">
        <v>2893</v>
      </c>
      <c r="E789" s="102" t="s">
        <v>2694</v>
      </c>
      <c r="F789" s="220">
        <v>43819</v>
      </c>
      <c r="G789" s="102" t="s">
        <v>2695</v>
      </c>
      <c r="H789" s="103">
        <v>9.1999999999999993</v>
      </c>
      <c r="I789" s="103">
        <v>53.48</v>
      </c>
      <c r="J789" s="221">
        <v>3.42</v>
      </c>
      <c r="K789" s="221">
        <f t="shared" si="12"/>
        <v>5.7799999999999994</v>
      </c>
      <c r="L789" s="93"/>
    </row>
    <row r="790" spans="1:33" ht="30" x14ac:dyDescent="0.5">
      <c r="A790" s="102" t="s">
        <v>2766</v>
      </c>
      <c r="B790" s="102" t="s">
        <v>3751</v>
      </c>
      <c r="C790" s="102" t="s">
        <v>3752</v>
      </c>
      <c r="D790" s="102" t="s">
        <v>2893</v>
      </c>
      <c r="E790" s="102" t="s">
        <v>2694</v>
      </c>
      <c r="F790" s="220">
        <v>43854</v>
      </c>
      <c r="G790" s="102" t="s">
        <v>2695</v>
      </c>
      <c r="H790" s="103">
        <v>9.44</v>
      </c>
      <c r="I790" s="103">
        <v>59.64</v>
      </c>
      <c r="J790" s="221">
        <v>3.4</v>
      </c>
      <c r="K790" s="221">
        <f t="shared" si="12"/>
        <v>6.0399999999999991</v>
      </c>
      <c r="L790" s="93"/>
    </row>
    <row r="791" spans="1:33" ht="30" x14ac:dyDescent="0.5">
      <c r="A791" s="102" t="s">
        <v>2706</v>
      </c>
      <c r="B791" s="102" t="s">
        <v>2944</v>
      </c>
      <c r="C791" s="102" t="s">
        <v>3753</v>
      </c>
      <c r="D791" s="102" t="s">
        <v>2893</v>
      </c>
      <c r="E791" s="102" t="s">
        <v>2694</v>
      </c>
      <c r="F791" s="220">
        <v>43885</v>
      </c>
      <c r="G791" s="102" t="s">
        <v>2695</v>
      </c>
      <c r="H791" s="103">
        <v>9.1</v>
      </c>
      <c r="I791" s="103">
        <v>56.32</v>
      </c>
      <c r="J791" s="221">
        <v>3.29</v>
      </c>
      <c r="K791" s="221">
        <f t="shared" si="12"/>
        <v>5.81</v>
      </c>
      <c r="L791" s="93"/>
    </row>
    <row r="792" spans="1:33" s="60" customFormat="1" ht="30" x14ac:dyDescent="0.5">
      <c r="A792" s="226" t="s">
        <v>2714</v>
      </c>
      <c r="B792" s="227" t="s">
        <v>2916</v>
      </c>
      <c r="C792" s="226" t="s">
        <v>3754</v>
      </c>
      <c r="D792" s="102" t="s">
        <v>2893</v>
      </c>
      <c r="E792" s="102" t="s">
        <v>2694</v>
      </c>
      <c r="F792" s="220">
        <v>43886</v>
      </c>
      <c r="G792" s="102" t="s">
        <v>2695</v>
      </c>
      <c r="H792" s="225">
        <v>9.5</v>
      </c>
      <c r="I792" s="228">
        <v>55</v>
      </c>
      <c r="J792" s="221">
        <v>3.29</v>
      </c>
      <c r="K792" s="221">
        <f t="shared" si="12"/>
        <v>6.21</v>
      </c>
      <c r="L792" s="93"/>
      <c r="M792" s="81"/>
      <c r="Z792" s="81"/>
      <c r="AA792" s="81"/>
      <c r="AB792" s="81"/>
      <c r="AC792" s="81"/>
      <c r="AD792" s="81"/>
      <c r="AE792" s="81"/>
      <c r="AF792" s="81"/>
      <c r="AG792" s="81"/>
    </row>
    <row r="793" spans="1:33" s="60" customFormat="1" ht="30" x14ac:dyDescent="0.5">
      <c r="A793" s="226" t="s">
        <v>2780</v>
      </c>
      <c r="B793" s="227" t="s">
        <v>3727</v>
      </c>
      <c r="C793" s="226" t="s">
        <v>3755</v>
      </c>
      <c r="D793" s="102" t="s">
        <v>2893</v>
      </c>
      <c r="E793" s="102" t="s">
        <v>2694</v>
      </c>
      <c r="F793" s="220">
        <v>43916</v>
      </c>
      <c r="G793" s="102" t="s">
        <v>2695</v>
      </c>
      <c r="H793" s="225">
        <v>9.48</v>
      </c>
      <c r="I793" s="225">
        <v>50</v>
      </c>
      <c r="J793" s="221">
        <v>3.11</v>
      </c>
      <c r="K793" s="221">
        <f t="shared" si="12"/>
        <v>6.370000000000001</v>
      </c>
      <c r="L793" s="93"/>
      <c r="M793" s="81"/>
      <c r="Z793" s="81"/>
      <c r="AA793" s="81"/>
      <c r="AB793" s="81"/>
      <c r="AC793" s="81"/>
      <c r="AD793" s="81"/>
      <c r="AE793" s="81"/>
      <c r="AF793" s="81"/>
      <c r="AG793" s="81"/>
    </row>
    <row r="794" spans="1:33" ht="30" x14ac:dyDescent="0.5">
      <c r="A794" s="226" t="s">
        <v>2715</v>
      </c>
      <c r="B794" s="227" t="s">
        <v>3756</v>
      </c>
      <c r="C794" s="226" t="s">
        <v>3757</v>
      </c>
      <c r="D794" s="102" t="s">
        <v>2893</v>
      </c>
      <c r="E794" s="102" t="s">
        <v>2694</v>
      </c>
      <c r="F794" s="220">
        <v>43970</v>
      </c>
      <c r="G794" s="102" t="s">
        <v>2695</v>
      </c>
      <c r="H794" s="225">
        <v>9.1999999999999993</v>
      </c>
      <c r="I794" s="225">
        <v>50.15</v>
      </c>
      <c r="J794" s="221">
        <v>3.19</v>
      </c>
      <c r="K794" s="221">
        <f t="shared" si="12"/>
        <v>6.01</v>
      </c>
      <c r="L794" s="93"/>
    </row>
    <row r="795" spans="1:33" ht="30" x14ac:dyDescent="0.5">
      <c r="A795" s="226" t="s">
        <v>2736</v>
      </c>
      <c r="B795" s="227" t="s">
        <v>2737</v>
      </c>
      <c r="C795" s="226" t="s">
        <v>3758</v>
      </c>
      <c r="D795" s="102" t="s">
        <v>2893</v>
      </c>
      <c r="E795" s="102" t="s">
        <v>2694</v>
      </c>
      <c r="F795" s="220">
        <v>44020</v>
      </c>
      <c r="G795" s="102" t="s">
        <v>2695</v>
      </c>
      <c r="H795" s="225">
        <v>9.4</v>
      </c>
      <c r="I795" s="225">
        <v>48.5</v>
      </c>
      <c r="J795" s="221">
        <v>3.14</v>
      </c>
      <c r="K795" s="221">
        <f t="shared" si="12"/>
        <v>6.26</v>
      </c>
      <c r="L795" s="93"/>
    </row>
    <row r="796" spans="1:33" ht="30" x14ac:dyDescent="0.5">
      <c r="A796" s="226" t="s">
        <v>2731</v>
      </c>
      <c r="B796" s="227" t="s">
        <v>2939</v>
      </c>
      <c r="C796" s="226" t="s">
        <v>3759</v>
      </c>
      <c r="D796" s="102" t="s">
        <v>2893</v>
      </c>
      <c r="E796" s="102" t="s">
        <v>2694</v>
      </c>
      <c r="F796" s="220">
        <v>44099</v>
      </c>
      <c r="G796" s="102" t="s">
        <v>2695</v>
      </c>
      <c r="H796" s="225">
        <v>9.25</v>
      </c>
      <c r="I796" s="225">
        <v>49.26</v>
      </c>
      <c r="J796" s="221">
        <v>2.73</v>
      </c>
      <c r="K796" s="221">
        <f t="shared" si="12"/>
        <v>6.52</v>
      </c>
      <c r="L796" s="93"/>
    </row>
    <row r="797" spans="1:33" ht="30" x14ac:dyDescent="0.5">
      <c r="A797" s="226" t="s">
        <v>2731</v>
      </c>
      <c r="B797" s="227" t="s">
        <v>2939</v>
      </c>
      <c r="C797" s="226" t="s">
        <v>3760</v>
      </c>
      <c r="D797" s="102" t="s">
        <v>2893</v>
      </c>
      <c r="E797" s="102" t="s">
        <v>2694</v>
      </c>
      <c r="F797" s="220">
        <v>44099</v>
      </c>
      <c r="G797" s="102" t="s">
        <v>2695</v>
      </c>
      <c r="H797" s="225">
        <v>9.25</v>
      </c>
      <c r="I797" s="225">
        <v>49.26</v>
      </c>
      <c r="J797" s="221">
        <v>2.73</v>
      </c>
      <c r="K797" s="221">
        <f t="shared" si="12"/>
        <v>6.52</v>
      </c>
      <c r="L797" s="93"/>
    </row>
    <row r="798" spans="1:33" ht="30" x14ac:dyDescent="0.5">
      <c r="A798" s="226" t="s">
        <v>2700</v>
      </c>
      <c r="B798" s="227" t="s">
        <v>2898</v>
      </c>
      <c r="C798" s="226" t="s">
        <v>3761</v>
      </c>
      <c r="D798" s="102" t="s">
        <v>2893</v>
      </c>
      <c r="E798" s="102" t="s">
        <v>2694</v>
      </c>
      <c r="F798" s="220">
        <v>44134</v>
      </c>
      <c r="G798" s="102" t="s">
        <v>2695</v>
      </c>
      <c r="H798" s="225">
        <v>9.9</v>
      </c>
      <c r="I798" s="225">
        <v>54.77</v>
      </c>
      <c r="J798" s="221">
        <v>2.84</v>
      </c>
      <c r="K798" s="221">
        <f t="shared" si="12"/>
        <v>7.0600000000000005</v>
      </c>
      <c r="L798" s="93"/>
    </row>
    <row r="799" spans="1:33" ht="30" x14ac:dyDescent="0.5">
      <c r="A799" s="226" t="s">
        <v>2717</v>
      </c>
      <c r="B799" s="227" t="s">
        <v>2939</v>
      </c>
      <c r="C799" s="226" t="s">
        <v>3762</v>
      </c>
      <c r="D799" s="102" t="s">
        <v>2893</v>
      </c>
      <c r="E799" s="102" t="s">
        <v>2694</v>
      </c>
      <c r="F799" s="220">
        <v>44174</v>
      </c>
      <c r="G799" s="102" t="s">
        <v>2695</v>
      </c>
      <c r="H799" s="225">
        <v>9.1</v>
      </c>
      <c r="I799" s="225">
        <v>51.1</v>
      </c>
      <c r="J799" s="221">
        <v>2.95</v>
      </c>
      <c r="K799" s="221">
        <f t="shared" si="12"/>
        <v>6.1499999999999995</v>
      </c>
      <c r="L799" s="93"/>
    </row>
    <row r="800" spans="1:33" ht="30" x14ac:dyDescent="0.5">
      <c r="A800" s="226" t="s">
        <v>2698</v>
      </c>
      <c r="B800" s="227" t="s">
        <v>2722</v>
      </c>
      <c r="C800" s="226" t="s">
        <v>3763</v>
      </c>
      <c r="D800" s="102" t="s">
        <v>2893</v>
      </c>
      <c r="E800" s="102" t="s">
        <v>2694</v>
      </c>
      <c r="F800" s="220">
        <v>44181</v>
      </c>
      <c r="G800" s="102" t="s">
        <v>2695</v>
      </c>
      <c r="H800" s="225">
        <v>9.65</v>
      </c>
      <c r="I800" s="225">
        <v>52</v>
      </c>
      <c r="J800" s="221">
        <v>2.85</v>
      </c>
      <c r="K800" s="221">
        <f t="shared" si="12"/>
        <v>6.8000000000000007</v>
      </c>
      <c r="L800" s="93"/>
    </row>
    <row r="801" spans="1:12" ht="30" x14ac:dyDescent="0.5">
      <c r="A801" s="226" t="s">
        <v>2702</v>
      </c>
      <c r="B801" s="227" t="s">
        <v>2749</v>
      </c>
      <c r="C801" s="226" t="s">
        <v>3764</v>
      </c>
      <c r="D801" s="102" t="s">
        <v>2893</v>
      </c>
      <c r="E801" s="102" t="s">
        <v>2694</v>
      </c>
      <c r="F801" s="220">
        <v>44188</v>
      </c>
      <c r="G801" s="102" t="s">
        <v>2695</v>
      </c>
      <c r="H801" s="225">
        <v>10</v>
      </c>
      <c r="I801" s="225">
        <v>52.53</v>
      </c>
      <c r="J801" s="221">
        <v>2.85</v>
      </c>
      <c r="K801" s="221">
        <f t="shared" si="12"/>
        <v>7.15</v>
      </c>
      <c r="L801" s="93"/>
    </row>
    <row r="802" spans="1:12" ht="30" x14ac:dyDescent="0.5">
      <c r="A802" s="226" t="s">
        <v>2693</v>
      </c>
      <c r="B802" s="227" t="s">
        <v>2742</v>
      </c>
      <c r="C802" s="226" t="s">
        <v>3765</v>
      </c>
      <c r="D802" s="102" t="s">
        <v>2893</v>
      </c>
      <c r="E802" s="102" t="s">
        <v>2694</v>
      </c>
      <c r="F802" s="220">
        <v>44209</v>
      </c>
      <c r="G802" s="102" t="s">
        <v>2695</v>
      </c>
      <c r="H802" s="225">
        <v>9.67</v>
      </c>
      <c r="I802" s="225">
        <v>52</v>
      </c>
      <c r="J802" s="221">
        <v>2.85</v>
      </c>
      <c r="K802" s="221">
        <f t="shared" si="12"/>
        <v>6.82</v>
      </c>
      <c r="L802" s="93"/>
    </row>
    <row r="803" spans="1:12" ht="30" x14ac:dyDescent="0.5">
      <c r="A803" s="102" t="s">
        <v>2696</v>
      </c>
      <c r="B803" s="102" t="s">
        <v>3195</v>
      </c>
      <c r="C803" s="102" t="s">
        <v>3766</v>
      </c>
      <c r="D803" s="102" t="s">
        <v>2893</v>
      </c>
      <c r="E803" s="102" t="s">
        <v>2694</v>
      </c>
      <c r="F803" s="220">
        <v>44246</v>
      </c>
      <c r="G803" s="102" t="s">
        <v>2695</v>
      </c>
      <c r="H803" s="103">
        <v>9.86</v>
      </c>
      <c r="I803" s="103">
        <v>54.19</v>
      </c>
      <c r="J803" s="221">
        <v>2.91</v>
      </c>
      <c r="K803" s="221">
        <f t="shared" si="12"/>
        <v>6.9499999999999993</v>
      </c>
      <c r="L803" s="93"/>
    </row>
    <row r="804" spans="1:12" ht="30" x14ac:dyDescent="0.5">
      <c r="A804" s="102" t="s">
        <v>2698</v>
      </c>
      <c r="B804" s="102" t="s">
        <v>2895</v>
      </c>
      <c r="C804" s="102" t="s">
        <v>3767</v>
      </c>
      <c r="D804" s="102" t="s">
        <v>2893</v>
      </c>
      <c r="E804" s="102" t="s">
        <v>2694</v>
      </c>
      <c r="F804" s="220">
        <v>44295</v>
      </c>
      <c r="G804" s="102" t="s">
        <v>2695</v>
      </c>
      <c r="H804" s="103">
        <v>9.6999999999999993</v>
      </c>
      <c r="I804" s="103">
        <v>52.03</v>
      </c>
      <c r="J804" s="221">
        <v>3.09</v>
      </c>
      <c r="K804" s="221">
        <f t="shared" si="12"/>
        <v>6.6099999999999994</v>
      </c>
      <c r="L804" s="93"/>
    </row>
    <row r="805" spans="1:12" ht="30" x14ac:dyDescent="0.5">
      <c r="A805" s="102" t="s">
        <v>2736</v>
      </c>
      <c r="B805" s="102" t="s">
        <v>2980</v>
      </c>
      <c r="C805" s="102" t="s">
        <v>3768</v>
      </c>
      <c r="D805" s="102" t="s">
        <v>2893</v>
      </c>
      <c r="E805" s="102" t="s">
        <v>2694</v>
      </c>
      <c r="F805" s="220">
        <v>44334</v>
      </c>
      <c r="G805" s="102" t="s">
        <v>2695</v>
      </c>
      <c r="H805" s="103">
        <v>9.4</v>
      </c>
      <c r="I805" s="103">
        <v>49.1</v>
      </c>
      <c r="J805" s="221">
        <v>3.3</v>
      </c>
      <c r="K805" s="221">
        <f t="shared" si="12"/>
        <v>6.1000000000000005</v>
      </c>
      <c r="L805" s="93"/>
    </row>
    <row r="806" spans="1:12" ht="30" x14ac:dyDescent="0.5">
      <c r="A806" s="102" t="s">
        <v>2704</v>
      </c>
      <c r="B806" s="102" t="s">
        <v>3769</v>
      </c>
      <c r="C806" s="102" t="s">
        <v>3770</v>
      </c>
      <c r="D806" s="102" t="s">
        <v>2893</v>
      </c>
      <c r="E806" s="102" t="s">
        <v>2694</v>
      </c>
      <c r="F806" s="220">
        <v>44335</v>
      </c>
      <c r="G806" s="102" t="s">
        <v>2695</v>
      </c>
      <c r="H806" s="103">
        <v>8.8000000000000007</v>
      </c>
      <c r="I806" s="103">
        <v>48</v>
      </c>
      <c r="J806" s="221">
        <v>3.3</v>
      </c>
      <c r="K806" s="221">
        <f t="shared" si="12"/>
        <v>5.5000000000000009</v>
      </c>
      <c r="L806" s="93"/>
    </row>
    <row r="807" spans="1:12" ht="30" x14ac:dyDescent="0.5">
      <c r="A807" s="102" t="s">
        <v>2696</v>
      </c>
      <c r="B807" s="102" t="s">
        <v>2697</v>
      </c>
      <c r="C807" s="102" t="s">
        <v>3771</v>
      </c>
      <c r="D807" s="102" t="s">
        <v>2893</v>
      </c>
      <c r="E807" s="102" t="s">
        <v>2694</v>
      </c>
      <c r="F807" s="220">
        <v>44364</v>
      </c>
      <c r="G807" s="102" t="s">
        <v>2695</v>
      </c>
      <c r="H807" s="103">
        <v>10.24</v>
      </c>
      <c r="I807" s="103">
        <v>53.38</v>
      </c>
      <c r="J807" s="221">
        <v>3.33</v>
      </c>
      <c r="K807" s="221">
        <f t="shared" si="12"/>
        <v>6.91</v>
      </c>
      <c r="L807" s="93"/>
    </row>
    <row r="808" spans="1:12" ht="30" x14ac:dyDescent="0.5">
      <c r="A808" s="102" t="s">
        <v>2724</v>
      </c>
      <c r="B808" s="102" t="s">
        <v>2942</v>
      </c>
      <c r="C808" s="102" t="s">
        <v>3772</v>
      </c>
      <c r="D808" s="102" t="s">
        <v>2893</v>
      </c>
      <c r="E808" s="102" t="s">
        <v>2694</v>
      </c>
      <c r="F808" s="220">
        <v>44404</v>
      </c>
      <c r="G808" s="102" t="s">
        <v>2695</v>
      </c>
      <c r="H808" s="103">
        <v>9.5399999999999991</v>
      </c>
      <c r="I808" s="103">
        <v>47.45</v>
      </c>
      <c r="J808" s="221">
        <v>3.16</v>
      </c>
      <c r="K808" s="221">
        <f t="shared" si="12"/>
        <v>6.379999999999999</v>
      </c>
      <c r="L808" s="93"/>
    </row>
    <row r="809" spans="1:12" ht="30" x14ac:dyDescent="0.5">
      <c r="A809" s="102" t="s">
        <v>2693</v>
      </c>
      <c r="B809" s="102" t="s">
        <v>2959</v>
      </c>
      <c r="C809" s="102" t="s">
        <v>3773</v>
      </c>
      <c r="D809" s="102" t="s">
        <v>2893</v>
      </c>
      <c r="E809" s="102" t="s">
        <v>2694</v>
      </c>
      <c r="F809" s="220">
        <v>44447</v>
      </c>
      <c r="G809" s="102" t="s">
        <v>2695</v>
      </c>
      <c r="H809" s="103">
        <v>9.67</v>
      </c>
      <c r="I809" s="103">
        <v>51.58</v>
      </c>
      <c r="J809" s="221">
        <v>2.95</v>
      </c>
      <c r="K809" s="221">
        <f t="shared" si="12"/>
        <v>6.72</v>
      </c>
      <c r="L809" s="93"/>
    </row>
    <row r="810" spans="1:12" ht="30" x14ac:dyDescent="0.5">
      <c r="A810" s="102" t="s">
        <v>2700</v>
      </c>
      <c r="B810" s="102" t="s">
        <v>3082</v>
      </c>
      <c r="C810" s="102" t="s">
        <v>3774</v>
      </c>
      <c r="D810" s="102" t="s">
        <v>2893</v>
      </c>
      <c r="E810" s="102" t="s">
        <v>2694</v>
      </c>
      <c r="F810" s="220">
        <v>44469</v>
      </c>
      <c r="G810" s="102" t="s">
        <v>2695</v>
      </c>
      <c r="H810" s="103">
        <v>9.6999999999999993</v>
      </c>
      <c r="I810" s="103">
        <v>53.44</v>
      </c>
      <c r="J810" s="221">
        <v>2.95</v>
      </c>
      <c r="K810" s="221">
        <f t="shared" si="12"/>
        <v>6.7499999999999991</v>
      </c>
      <c r="L810" s="93"/>
    </row>
    <row r="811" spans="1:12" ht="30" x14ac:dyDescent="0.5">
      <c r="A811" s="102" t="s">
        <v>2756</v>
      </c>
      <c r="B811" s="102" t="s">
        <v>2875</v>
      </c>
      <c r="C811" s="102" t="s">
        <v>3775</v>
      </c>
      <c r="D811" s="102" t="s">
        <v>2893</v>
      </c>
      <c r="E811" s="102" t="s">
        <v>2694</v>
      </c>
      <c r="F811" s="220">
        <v>44496</v>
      </c>
      <c r="G811" s="102" t="s">
        <v>2695</v>
      </c>
      <c r="H811" s="103">
        <v>9.3699999999999992</v>
      </c>
      <c r="I811" s="103">
        <v>49.86</v>
      </c>
      <c r="J811" s="221">
        <v>2.96</v>
      </c>
      <c r="K811" s="221">
        <f t="shared" si="12"/>
        <v>6.4099999999999993</v>
      </c>
    </row>
    <row r="812" spans="1:12" ht="30" x14ac:dyDescent="0.5">
      <c r="A812" s="102" t="s">
        <v>2693</v>
      </c>
      <c r="B812" s="102" t="s">
        <v>2629</v>
      </c>
      <c r="C812" s="102" t="s">
        <v>3776</v>
      </c>
      <c r="D812" s="102" t="s">
        <v>2893</v>
      </c>
      <c r="E812" s="102" t="s">
        <v>2694</v>
      </c>
      <c r="F812" s="220">
        <v>44518</v>
      </c>
      <c r="G812" s="102" t="s">
        <v>2695</v>
      </c>
      <c r="H812" s="103">
        <v>9.75</v>
      </c>
      <c r="I812" s="103">
        <v>54.46</v>
      </c>
      <c r="J812" s="221">
        <v>3.09</v>
      </c>
      <c r="K812" s="221">
        <f t="shared" si="12"/>
        <v>6.66</v>
      </c>
    </row>
    <row r="813" spans="1:12" ht="30" x14ac:dyDescent="0.5">
      <c r="A813" s="102" t="s">
        <v>2698</v>
      </c>
      <c r="B813" s="102" t="s">
        <v>3678</v>
      </c>
      <c r="C813" s="102" t="s">
        <v>3777</v>
      </c>
      <c r="D813" s="102" t="s">
        <v>2893</v>
      </c>
      <c r="E813" s="102" t="s">
        <v>2694</v>
      </c>
      <c r="F813" s="220">
        <v>44533</v>
      </c>
      <c r="G813" s="102" t="s">
        <v>2695</v>
      </c>
      <c r="H813" s="103">
        <v>9.65</v>
      </c>
      <c r="I813" s="103">
        <v>52.95</v>
      </c>
      <c r="J813" s="221">
        <v>3.09</v>
      </c>
      <c r="K813" s="221">
        <f t="shared" si="12"/>
        <v>6.5600000000000005</v>
      </c>
    </row>
    <row r="814" spans="1:12" ht="30" x14ac:dyDescent="0.5">
      <c r="A814" s="102" t="s">
        <v>2744</v>
      </c>
      <c r="B814" s="102" t="s">
        <v>2972</v>
      </c>
      <c r="C814" s="102" t="s">
        <v>3778</v>
      </c>
      <c r="D814" s="102" t="s">
        <v>2893</v>
      </c>
      <c r="E814" s="102" t="s">
        <v>2694</v>
      </c>
      <c r="F814" s="220">
        <v>44539</v>
      </c>
      <c r="G814" s="102" t="s">
        <v>2695</v>
      </c>
      <c r="H814" s="103">
        <v>9.9</v>
      </c>
      <c r="I814" s="103">
        <v>39.229999999999997</v>
      </c>
      <c r="J814" s="221">
        <v>3.09</v>
      </c>
      <c r="K814" s="221">
        <f t="shared" si="12"/>
        <v>6.8100000000000005</v>
      </c>
    </row>
    <row r="815" spans="1:12" ht="30" x14ac:dyDescent="0.5">
      <c r="A815" s="102" t="s">
        <v>2728</v>
      </c>
      <c r="B815" s="102" t="s">
        <v>2944</v>
      </c>
      <c r="C815" s="102" t="s">
        <v>3779</v>
      </c>
      <c r="D815" s="102" t="s">
        <v>2893</v>
      </c>
      <c r="E815" s="102" t="s">
        <v>2694</v>
      </c>
      <c r="F815" s="220">
        <v>44700</v>
      </c>
      <c r="G815" s="102" t="s">
        <v>2695</v>
      </c>
      <c r="H815" s="103">
        <v>9.23</v>
      </c>
      <c r="I815" s="103">
        <v>54.5</v>
      </c>
      <c r="J815" s="221">
        <v>4.3</v>
      </c>
      <c r="K815" s="221">
        <f t="shared" si="12"/>
        <v>4.9300000000000006</v>
      </c>
    </row>
    <row r="816" spans="1:12" ht="30" x14ac:dyDescent="0.5">
      <c r="A816" s="102" t="s">
        <v>2751</v>
      </c>
      <c r="B816" s="102" t="s">
        <v>2993</v>
      </c>
      <c r="C816" s="102" t="s">
        <v>3780</v>
      </c>
      <c r="D816" s="102" t="s">
        <v>2893</v>
      </c>
      <c r="E816" s="102" t="s">
        <v>2694</v>
      </c>
      <c r="F816" s="220">
        <v>44844</v>
      </c>
      <c r="G816" s="102" t="s">
        <v>2695</v>
      </c>
      <c r="H816" s="103">
        <v>9.6</v>
      </c>
      <c r="I816" s="103">
        <v>45</v>
      </c>
      <c r="J816" s="221">
        <v>4.76</v>
      </c>
      <c r="K816" s="221">
        <f t="shared" si="12"/>
        <v>4.84</v>
      </c>
    </row>
    <row r="817" spans="1:11" ht="30" x14ac:dyDescent="0.5">
      <c r="A817" s="102" t="s">
        <v>2715</v>
      </c>
      <c r="B817" s="102" t="s">
        <v>2716</v>
      </c>
      <c r="C817" s="102" t="s">
        <v>3781</v>
      </c>
      <c r="D817" s="102" t="s">
        <v>2893</v>
      </c>
      <c r="E817" s="102" t="s">
        <v>2694</v>
      </c>
      <c r="F817" s="220">
        <v>44859</v>
      </c>
      <c r="G817" s="102" t="s">
        <v>2695</v>
      </c>
      <c r="H817" s="103">
        <v>9.1999999999999993</v>
      </c>
      <c r="I817" s="103">
        <v>53.78</v>
      </c>
      <c r="J817" s="221">
        <v>5.28</v>
      </c>
      <c r="K817" s="221">
        <f t="shared" si="12"/>
        <v>3.919999999999999</v>
      </c>
    </row>
    <row r="818" spans="1:11" ht="30" x14ac:dyDescent="0.5">
      <c r="A818" s="102" t="s">
        <v>2738</v>
      </c>
      <c r="B818" s="102" t="s">
        <v>2741</v>
      </c>
      <c r="C818" s="102" t="s">
        <v>3782</v>
      </c>
      <c r="D818" s="102" t="s">
        <v>2893</v>
      </c>
      <c r="E818" s="102" t="s">
        <v>2694</v>
      </c>
      <c r="F818" s="220">
        <v>44868</v>
      </c>
      <c r="G818" s="102" t="s">
        <v>2695</v>
      </c>
      <c r="H818" s="103">
        <v>10.199999999999999</v>
      </c>
      <c r="I818" s="103">
        <v>52</v>
      </c>
      <c r="J818" s="221">
        <v>5.28</v>
      </c>
      <c r="K818" s="221">
        <f t="shared" si="12"/>
        <v>4.919999999999999</v>
      </c>
    </row>
    <row r="819" spans="1:11" ht="30" x14ac:dyDescent="0.5">
      <c r="A819" s="102" t="s">
        <v>2738</v>
      </c>
      <c r="B819" s="102" t="s">
        <v>2954</v>
      </c>
      <c r="C819" s="102" t="s">
        <v>3783</v>
      </c>
      <c r="D819" s="102" t="s">
        <v>2893</v>
      </c>
      <c r="E819" s="102" t="s">
        <v>2694</v>
      </c>
      <c r="F819" s="220">
        <v>44910</v>
      </c>
      <c r="G819" s="102" t="s">
        <v>2695</v>
      </c>
      <c r="H819" s="103">
        <v>9.8000000000000007</v>
      </c>
      <c r="I819" s="103">
        <v>52</v>
      </c>
      <c r="J819" s="221">
        <v>5.75</v>
      </c>
      <c r="K819" s="221">
        <f t="shared" si="12"/>
        <v>4.0500000000000007</v>
      </c>
    </row>
    <row r="820" spans="1:11" ht="30" x14ac:dyDescent="0.5">
      <c r="A820" s="102" t="s">
        <v>2702</v>
      </c>
      <c r="B820" s="102" t="s">
        <v>2748</v>
      </c>
      <c r="C820" s="102" t="s">
        <v>3784</v>
      </c>
      <c r="D820" s="102" t="s">
        <v>2893</v>
      </c>
      <c r="E820" s="102" t="s">
        <v>2694</v>
      </c>
      <c r="F820" s="220">
        <v>44917</v>
      </c>
      <c r="G820" s="102" t="s">
        <v>2695</v>
      </c>
      <c r="H820" s="103">
        <v>9.8000000000000007</v>
      </c>
      <c r="I820" s="103">
        <v>53.4</v>
      </c>
      <c r="J820" s="221">
        <v>5.75</v>
      </c>
      <c r="K820" s="221">
        <f t="shared" si="12"/>
        <v>4.0500000000000007</v>
      </c>
    </row>
    <row r="821" spans="1:11" ht="30" x14ac:dyDescent="0.5">
      <c r="A821" s="102" t="s">
        <v>2714</v>
      </c>
      <c r="B821" s="102" t="s">
        <v>2916</v>
      </c>
      <c r="C821" s="102" t="s">
        <v>3785</v>
      </c>
      <c r="D821" s="102" t="s">
        <v>2893</v>
      </c>
      <c r="E821" s="102" t="s">
        <v>2694</v>
      </c>
      <c r="F821" s="220">
        <v>44918</v>
      </c>
      <c r="G821" s="102" t="s">
        <v>2695</v>
      </c>
      <c r="H821" s="103">
        <v>9.6</v>
      </c>
      <c r="I821" s="103">
        <v>51</v>
      </c>
      <c r="J821" s="221">
        <v>5.75</v>
      </c>
      <c r="K821" s="221">
        <f t="shared" si="12"/>
        <v>3.8499999999999996</v>
      </c>
    </row>
    <row r="822" spans="1:11" ht="30" x14ac:dyDescent="0.5">
      <c r="A822" s="102" t="s">
        <v>2702</v>
      </c>
      <c r="B822" s="102" t="s">
        <v>2773</v>
      </c>
      <c r="C822" s="102" t="s">
        <v>3786</v>
      </c>
      <c r="D822" s="102" t="s">
        <v>2893</v>
      </c>
      <c r="E822" s="102" t="s">
        <v>2694</v>
      </c>
      <c r="F822" s="220">
        <v>44924</v>
      </c>
      <c r="G822" s="102" t="s">
        <v>2695</v>
      </c>
      <c r="H822" s="103">
        <v>9.8000000000000007</v>
      </c>
      <c r="I822" s="103">
        <v>58.22</v>
      </c>
      <c r="J822" s="221">
        <v>5.75</v>
      </c>
      <c r="K822" s="221">
        <f t="shared" si="12"/>
        <v>4.0500000000000007</v>
      </c>
    </row>
    <row r="823" spans="1:11" ht="30" x14ac:dyDescent="0.5">
      <c r="A823" s="102" t="s">
        <v>2702</v>
      </c>
      <c r="B823" s="102" t="s">
        <v>2903</v>
      </c>
      <c r="C823" s="102" t="s">
        <v>3787</v>
      </c>
      <c r="D823" s="102" t="s">
        <v>2893</v>
      </c>
      <c r="E823" s="102" t="s">
        <v>2694</v>
      </c>
      <c r="F823" s="220">
        <v>44924</v>
      </c>
      <c r="G823" s="102" t="s">
        <v>2695</v>
      </c>
      <c r="H823" s="103">
        <v>9.8000000000000007</v>
      </c>
      <c r="I823" s="103">
        <v>52.7</v>
      </c>
      <c r="J823" s="221">
        <v>5.75</v>
      </c>
      <c r="K823" s="221">
        <f t="shared" si="12"/>
        <v>4.0500000000000007</v>
      </c>
    </row>
    <row r="824" spans="1:11" ht="30" x14ac:dyDescent="0.5">
      <c r="A824" s="102" t="s">
        <v>2775</v>
      </c>
      <c r="B824" s="102" t="s">
        <v>3643</v>
      </c>
      <c r="C824" s="102" t="s">
        <v>3788</v>
      </c>
      <c r="D824" s="102" t="s">
        <v>2893</v>
      </c>
      <c r="E824" s="102" t="s">
        <v>2694</v>
      </c>
      <c r="F824" s="220">
        <v>44945</v>
      </c>
      <c r="G824" s="102" t="s">
        <v>2695</v>
      </c>
      <c r="H824" s="103">
        <v>9.6</v>
      </c>
      <c r="I824" s="103">
        <v>59.74</v>
      </c>
      <c r="J824" s="221">
        <v>5.29</v>
      </c>
      <c r="K824" s="221">
        <f t="shared" si="12"/>
        <v>4.3099999999999996</v>
      </c>
    </row>
    <row r="825" spans="1:11" ht="30" x14ac:dyDescent="0.5">
      <c r="A825" s="102" t="s">
        <v>2772</v>
      </c>
      <c r="B825" s="102" t="s">
        <v>2781</v>
      </c>
      <c r="C825" s="102" t="s">
        <v>3789</v>
      </c>
      <c r="D825" s="102" t="s">
        <v>2893</v>
      </c>
      <c r="E825" s="102" t="s">
        <v>2694</v>
      </c>
      <c r="F825" s="220">
        <v>44950</v>
      </c>
      <c r="G825" s="102" t="s">
        <v>2695</v>
      </c>
      <c r="H825" s="103">
        <v>10.25</v>
      </c>
      <c r="I825" s="103">
        <v>45.16</v>
      </c>
      <c r="J825" s="221">
        <v>5.29</v>
      </c>
      <c r="K825" s="221">
        <f t="shared" si="12"/>
        <v>4.96</v>
      </c>
    </row>
    <row r="826" spans="1:11" ht="30" x14ac:dyDescent="0.5">
      <c r="A826" s="102" t="s">
        <v>2772</v>
      </c>
      <c r="B826" s="102" t="s">
        <v>3361</v>
      </c>
      <c r="C826" s="102" t="s">
        <v>3790</v>
      </c>
      <c r="D826" s="102" t="s">
        <v>2893</v>
      </c>
      <c r="E826" s="102" t="s">
        <v>2694</v>
      </c>
      <c r="F826" s="220">
        <v>45013</v>
      </c>
      <c r="G826" s="102" t="s">
        <v>2695</v>
      </c>
      <c r="H826" s="103">
        <v>9.5</v>
      </c>
      <c r="I826" s="103">
        <v>59.6</v>
      </c>
      <c r="J826" s="221">
        <v>5.29</v>
      </c>
      <c r="K826" s="221">
        <f t="shared" si="12"/>
        <v>4.21</v>
      </c>
    </row>
    <row r="827" spans="1:11" ht="30" x14ac:dyDescent="0.5">
      <c r="A827" s="102" t="s">
        <v>2702</v>
      </c>
      <c r="B827" s="102" t="s">
        <v>2703</v>
      </c>
      <c r="C827" s="102" t="s">
        <v>3791</v>
      </c>
      <c r="D827" s="102" t="s">
        <v>2893</v>
      </c>
      <c r="E827" s="102" t="s">
        <v>2694</v>
      </c>
      <c r="F827" s="220">
        <v>45233</v>
      </c>
      <c r="G827" s="102" t="s">
        <v>2695</v>
      </c>
      <c r="H827" s="103">
        <v>9.6999999999999993</v>
      </c>
      <c r="I827" s="103">
        <v>55</v>
      </c>
      <c r="J827" s="221">
        <v>5.86</v>
      </c>
      <c r="K827" s="221">
        <f t="shared" si="12"/>
        <v>3.839999999999999</v>
      </c>
    </row>
    <row r="828" spans="1:11" ht="30" x14ac:dyDescent="0.5">
      <c r="A828" s="102" t="s">
        <v>2772</v>
      </c>
      <c r="B828" s="102" t="s">
        <v>3600</v>
      </c>
      <c r="C828" s="102" t="s">
        <v>3792</v>
      </c>
      <c r="D828" s="102" t="s">
        <v>2893</v>
      </c>
      <c r="E828" s="102" t="s">
        <v>2694</v>
      </c>
      <c r="F828" s="220">
        <v>45239</v>
      </c>
      <c r="G828" s="102" t="s">
        <v>2695</v>
      </c>
      <c r="H828" s="103">
        <v>10.15</v>
      </c>
      <c r="I828" s="103" t="s">
        <v>14</v>
      </c>
      <c r="J828" s="221">
        <v>5.86</v>
      </c>
      <c r="K828" s="221">
        <f t="shared" si="12"/>
        <v>4.29</v>
      </c>
    </row>
    <row r="829" spans="1:11" ht="30" x14ac:dyDescent="0.5">
      <c r="A829" s="102" t="s">
        <v>2702</v>
      </c>
      <c r="B829" s="102" t="s">
        <v>2755</v>
      </c>
      <c r="C829" s="102" t="s">
        <v>3793</v>
      </c>
      <c r="D829" s="102" t="s">
        <v>2893</v>
      </c>
      <c r="E829" s="102" t="s">
        <v>2694</v>
      </c>
      <c r="F829" s="220">
        <v>45239</v>
      </c>
      <c r="G829" s="102" t="s">
        <v>2695</v>
      </c>
      <c r="H829" s="103">
        <v>9.8000000000000007</v>
      </c>
      <c r="I829" s="103">
        <v>52.5</v>
      </c>
      <c r="J829" s="221">
        <v>5.86</v>
      </c>
      <c r="K829" s="221">
        <f t="shared" si="12"/>
        <v>3.9400000000000004</v>
      </c>
    </row>
    <row r="830" spans="1:11" ht="30" x14ac:dyDescent="0.5">
      <c r="A830" s="102" t="s">
        <v>2702</v>
      </c>
      <c r="B830" s="102" t="s">
        <v>2749</v>
      </c>
      <c r="C830" s="102" t="s">
        <v>3794</v>
      </c>
      <c r="D830" s="102" t="s">
        <v>2893</v>
      </c>
      <c r="E830" s="102" t="s">
        <v>2694</v>
      </c>
      <c r="F830" s="220">
        <v>45239</v>
      </c>
      <c r="G830" s="102" t="s">
        <v>2695</v>
      </c>
      <c r="H830" s="103">
        <v>9.8000000000000007</v>
      </c>
      <c r="I830" s="103">
        <v>54</v>
      </c>
      <c r="J830" s="221">
        <v>5.86</v>
      </c>
      <c r="K830" s="221">
        <f t="shared" si="12"/>
        <v>3.9400000000000004</v>
      </c>
    </row>
    <row r="831" spans="1:11" ht="30" x14ac:dyDescent="0.5">
      <c r="A831" s="102" t="s">
        <v>2693</v>
      </c>
      <c r="B831" s="102" t="s">
        <v>2629</v>
      </c>
      <c r="C831" s="102" t="s">
        <v>3795</v>
      </c>
      <c r="D831" s="102" t="s">
        <v>2893</v>
      </c>
      <c r="E831" s="102" t="s">
        <v>2694</v>
      </c>
      <c r="F831" s="220">
        <v>45246</v>
      </c>
      <c r="G831" s="102" t="s">
        <v>2695</v>
      </c>
      <c r="H831" s="103">
        <v>9.51</v>
      </c>
      <c r="I831" s="103">
        <v>50</v>
      </c>
      <c r="J831" s="221">
        <v>6.34</v>
      </c>
      <c r="K831" s="221">
        <f t="shared" si="12"/>
        <v>3.17</v>
      </c>
    </row>
    <row r="832" spans="1:11" ht="30" x14ac:dyDescent="0.5">
      <c r="A832" s="102" t="s">
        <v>2693</v>
      </c>
      <c r="B832" s="102" t="s">
        <v>2742</v>
      </c>
      <c r="C832" s="102" t="s">
        <v>3796</v>
      </c>
      <c r="D832" s="102" t="s">
        <v>2893</v>
      </c>
      <c r="E832" s="102" t="s">
        <v>2694</v>
      </c>
      <c r="F832" s="220">
        <v>45246</v>
      </c>
      <c r="G832" s="102" t="s">
        <v>2695</v>
      </c>
      <c r="H832" s="103">
        <v>9.44</v>
      </c>
      <c r="I832" s="103">
        <v>50</v>
      </c>
      <c r="J832" s="221">
        <v>6.34</v>
      </c>
      <c r="K832" s="221">
        <f t="shared" si="12"/>
        <v>3.0999999999999996</v>
      </c>
    </row>
    <row r="833" spans="1:11" ht="30" x14ac:dyDescent="0.5">
      <c r="A833" s="102" t="s">
        <v>2693</v>
      </c>
      <c r="B833" s="102" t="s">
        <v>2959</v>
      </c>
      <c r="C833" s="102" t="s">
        <v>3797</v>
      </c>
      <c r="D833" s="102" t="s">
        <v>2893</v>
      </c>
      <c r="E833" s="102" t="s">
        <v>2694</v>
      </c>
      <c r="F833" s="220">
        <v>45246</v>
      </c>
      <c r="G833" s="102" t="s">
        <v>2695</v>
      </c>
      <c r="H833" s="103">
        <v>9.3800000000000008</v>
      </c>
      <c r="I833" s="103">
        <v>52.58</v>
      </c>
      <c r="J833" s="221">
        <v>6.34</v>
      </c>
      <c r="K833" s="221">
        <f t="shared" si="12"/>
        <v>3.0400000000000009</v>
      </c>
    </row>
    <row r="834" spans="1:11" ht="30" x14ac:dyDescent="0.5">
      <c r="A834" s="102" t="s">
        <v>2693</v>
      </c>
      <c r="B834" s="102" t="s">
        <v>2961</v>
      </c>
      <c r="C834" s="102" t="s">
        <v>3798</v>
      </c>
      <c r="D834" s="102" t="s">
        <v>2893</v>
      </c>
      <c r="E834" s="102" t="s">
        <v>2694</v>
      </c>
      <c r="F834" s="220">
        <v>45246</v>
      </c>
      <c r="G834" s="102" t="s">
        <v>2695</v>
      </c>
      <c r="H834" s="103">
        <v>9.3800000000000008</v>
      </c>
      <c r="I834" s="103">
        <v>50.79</v>
      </c>
      <c r="J834" s="221">
        <v>6.34</v>
      </c>
      <c r="K834" s="221">
        <f t="shared" si="12"/>
        <v>3.0400000000000009</v>
      </c>
    </row>
    <row r="835" spans="1:11" ht="30" x14ac:dyDescent="0.5">
      <c r="A835" s="102" t="s">
        <v>2698</v>
      </c>
      <c r="B835" s="102" t="s">
        <v>2722</v>
      </c>
      <c r="C835" s="102" t="s">
        <v>3799</v>
      </c>
      <c r="D835" s="102" t="s">
        <v>2893</v>
      </c>
      <c r="E835" s="102" t="s">
        <v>2694</v>
      </c>
      <c r="F835" s="220">
        <v>45274</v>
      </c>
      <c r="G835" s="102" t="s">
        <v>2695</v>
      </c>
      <c r="H835" s="103">
        <v>9.4499999999999993</v>
      </c>
      <c r="I835" s="103">
        <v>52</v>
      </c>
      <c r="J835" s="221">
        <v>6.34</v>
      </c>
      <c r="K835" s="221">
        <f t="shared" si="12"/>
        <v>3.1099999999999994</v>
      </c>
    </row>
    <row r="836" spans="1:11" ht="30" x14ac:dyDescent="0.5">
      <c r="A836" s="102" t="s">
        <v>2698</v>
      </c>
      <c r="B836" s="102" t="s">
        <v>2895</v>
      </c>
      <c r="C836" s="102" t="s">
        <v>3800</v>
      </c>
      <c r="D836" s="102" t="s">
        <v>2893</v>
      </c>
      <c r="E836" s="102" t="s">
        <v>2694</v>
      </c>
      <c r="F836" s="220">
        <v>45274</v>
      </c>
      <c r="G836" s="102" t="s">
        <v>2695</v>
      </c>
      <c r="H836" s="103">
        <v>9.5</v>
      </c>
      <c r="I836" s="103">
        <v>52.6</v>
      </c>
      <c r="J836" s="221">
        <v>6.34</v>
      </c>
      <c r="K836" s="221">
        <f t="shared" si="12"/>
        <v>3.16</v>
      </c>
    </row>
    <row r="837" spans="1:11" ht="30" x14ac:dyDescent="0.5">
      <c r="A837" s="102" t="s">
        <v>2734</v>
      </c>
      <c r="B837" s="102" t="s">
        <v>2895</v>
      </c>
      <c r="C837" s="102" t="s">
        <v>3801</v>
      </c>
      <c r="D837" s="102" t="s">
        <v>2893</v>
      </c>
      <c r="E837" s="102" t="s">
        <v>2694</v>
      </c>
      <c r="F837" s="220">
        <v>45275</v>
      </c>
      <c r="G837" s="102" t="s">
        <v>2695</v>
      </c>
      <c r="H837" s="103">
        <v>9.65</v>
      </c>
      <c r="I837" s="103">
        <v>52</v>
      </c>
      <c r="J837" s="221">
        <v>6.05</v>
      </c>
      <c r="K837" s="221">
        <f t="shared" si="12"/>
        <v>3.6000000000000005</v>
      </c>
    </row>
    <row r="838" spans="1:11" ht="30" x14ac:dyDescent="0.5">
      <c r="A838" s="102" t="s">
        <v>2738</v>
      </c>
      <c r="B838" s="102" t="s">
        <v>2954</v>
      </c>
      <c r="C838" s="102" t="s">
        <v>3802</v>
      </c>
      <c r="D838" s="102" t="s">
        <v>2893</v>
      </c>
      <c r="E838" s="102" t="s">
        <v>2694</v>
      </c>
      <c r="F838" s="220">
        <v>45282</v>
      </c>
      <c r="G838" s="102" t="s">
        <v>2695</v>
      </c>
      <c r="H838" s="103">
        <v>10.5</v>
      </c>
      <c r="I838" s="103">
        <v>52</v>
      </c>
      <c r="J838" s="221">
        <v>6.05</v>
      </c>
      <c r="K838" s="221">
        <f t="shared" si="12"/>
        <v>4.45</v>
      </c>
    </row>
    <row r="839" spans="1:11" ht="30" x14ac:dyDescent="0.5">
      <c r="A839" s="102" t="s">
        <v>2779</v>
      </c>
      <c r="B839" s="102" t="s">
        <v>3721</v>
      </c>
      <c r="C839" s="102" t="s">
        <v>3803</v>
      </c>
      <c r="D839" s="102" t="s">
        <v>2893</v>
      </c>
      <c r="E839" s="102" t="s">
        <v>2694</v>
      </c>
      <c r="F839" s="220">
        <v>45390</v>
      </c>
      <c r="G839" s="102" t="s">
        <v>2695</v>
      </c>
      <c r="H839" s="103">
        <v>11.88</v>
      </c>
      <c r="I839" s="103">
        <v>54.11</v>
      </c>
      <c r="J839" s="221">
        <v>5.56</v>
      </c>
      <c r="K839" s="221">
        <f t="shared" ref="K839:K853" si="13">H839-J839</f>
        <v>6.3200000000000012</v>
      </c>
    </row>
    <row r="840" spans="1:11" ht="30" x14ac:dyDescent="0.5">
      <c r="A840" s="102" t="s">
        <v>2700</v>
      </c>
      <c r="B840" s="102" t="s">
        <v>2778</v>
      </c>
      <c r="C840" s="102" t="s">
        <v>3804</v>
      </c>
      <c r="D840" s="102" t="s">
        <v>2893</v>
      </c>
      <c r="E840" s="102" t="s">
        <v>2694</v>
      </c>
      <c r="F840" s="220">
        <v>45471</v>
      </c>
      <c r="G840" s="102" t="s">
        <v>2695</v>
      </c>
      <c r="H840" s="103">
        <v>9.4</v>
      </c>
      <c r="I840" s="103">
        <v>52.26</v>
      </c>
      <c r="J840" s="221">
        <v>5.74</v>
      </c>
      <c r="K840" s="221">
        <f t="shared" si="13"/>
        <v>3.66</v>
      </c>
    </row>
    <row r="841" spans="1:11" ht="30" x14ac:dyDescent="0.5">
      <c r="A841" s="102" t="s">
        <v>2704</v>
      </c>
      <c r="B841" s="102" t="s">
        <v>2750</v>
      </c>
      <c r="C841" s="102" t="s">
        <v>3805</v>
      </c>
      <c r="D841" s="102" t="s">
        <v>2893</v>
      </c>
      <c r="E841" s="102" t="s">
        <v>2694</v>
      </c>
      <c r="F841" s="220">
        <v>45491</v>
      </c>
      <c r="G841" s="102" t="s">
        <v>2695</v>
      </c>
      <c r="H841" s="103">
        <v>9.5</v>
      </c>
      <c r="I841" s="103">
        <v>48</v>
      </c>
      <c r="J841" s="221">
        <v>5.61</v>
      </c>
      <c r="K841" s="221">
        <f t="shared" si="13"/>
        <v>3.8899999999999997</v>
      </c>
    </row>
    <row r="842" spans="1:11" ht="30" x14ac:dyDescent="0.5">
      <c r="A842" s="102" t="s">
        <v>2731</v>
      </c>
      <c r="B842" s="102" t="s">
        <v>2733</v>
      </c>
      <c r="C842" s="102" t="s">
        <v>3860</v>
      </c>
      <c r="D842" s="102" t="s">
        <v>2893</v>
      </c>
      <c r="E842" s="102" t="s">
        <v>2694</v>
      </c>
      <c r="F842" s="220">
        <v>45553</v>
      </c>
      <c r="G842" s="102" t="s">
        <v>2695</v>
      </c>
      <c r="H842" s="103">
        <v>9.4499999999999993</v>
      </c>
      <c r="I842" s="103">
        <v>52.4</v>
      </c>
      <c r="J842" s="221">
        <v>5.38</v>
      </c>
      <c r="K842" s="221">
        <f t="shared" si="13"/>
        <v>4.0699999999999994</v>
      </c>
    </row>
    <row r="843" spans="1:11" ht="30" x14ac:dyDescent="0.5">
      <c r="A843" s="102" t="s">
        <v>2738</v>
      </c>
      <c r="B843" s="102" t="s">
        <v>2954</v>
      </c>
      <c r="C843" s="102" t="s">
        <v>3861</v>
      </c>
      <c r="D843" s="102" t="s">
        <v>2893</v>
      </c>
      <c r="E843" s="102" t="s">
        <v>2694</v>
      </c>
      <c r="F843" s="220">
        <v>45582</v>
      </c>
      <c r="G843" s="102" t="s">
        <v>2695</v>
      </c>
      <c r="H843" s="103">
        <v>10.08</v>
      </c>
      <c r="I843" s="103" t="s">
        <v>14</v>
      </c>
      <c r="J843" s="221">
        <v>5.2</v>
      </c>
      <c r="K843" s="221">
        <f t="shared" si="13"/>
        <v>4.88</v>
      </c>
    </row>
    <row r="844" spans="1:11" ht="30" x14ac:dyDescent="0.5">
      <c r="A844" s="102" t="s">
        <v>2715</v>
      </c>
      <c r="B844" s="102" t="s">
        <v>2716</v>
      </c>
      <c r="C844" s="102" t="s">
        <v>3862</v>
      </c>
      <c r="D844" s="102" t="s">
        <v>2893</v>
      </c>
      <c r="E844" s="102" t="s">
        <v>2694</v>
      </c>
      <c r="F844" s="220">
        <v>45590</v>
      </c>
      <c r="G844" s="102" t="s">
        <v>2695</v>
      </c>
      <c r="H844" s="103">
        <v>9.35</v>
      </c>
      <c r="I844" s="103">
        <v>54</v>
      </c>
      <c r="J844" s="221">
        <v>5.2</v>
      </c>
      <c r="K844" s="221">
        <f t="shared" si="13"/>
        <v>4.1499999999999995</v>
      </c>
    </row>
    <row r="845" spans="1:11" ht="30" x14ac:dyDescent="0.5">
      <c r="A845" s="102" t="s">
        <v>2693</v>
      </c>
      <c r="B845" s="102" t="s">
        <v>3863</v>
      </c>
      <c r="C845" s="102" t="s">
        <v>3864</v>
      </c>
      <c r="D845" s="102" t="s">
        <v>2893</v>
      </c>
      <c r="E845" s="102" t="s">
        <v>2694</v>
      </c>
      <c r="F845" s="220">
        <v>45596</v>
      </c>
      <c r="G845" s="102" t="s">
        <v>2695</v>
      </c>
      <c r="H845" s="103">
        <v>9.9</v>
      </c>
      <c r="I845" s="103">
        <v>45.3</v>
      </c>
      <c r="J845" s="221">
        <v>5.2</v>
      </c>
      <c r="K845" s="221">
        <f t="shared" si="13"/>
        <v>4.7</v>
      </c>
    </row>
    <row r="846" spans="1:11" ht="30" x14ac:dyDescent="0.5">
      <c r="A846" s="102" t="s">
        <v>2744</v>
      </c>
      <c r="B846" s="102" t="s">
        <v>2972</v>
      </c>
      <c r="C846" s="102" t="s">
        <v>3865</v>
      </c>
      <c r="D846" s="102" t="s">
        <v>2893</v>
      </c>
      <c r="E846" s="102" t="s">
        <v>2694</v>
      </c>
      <c r="F846" s="220">
        <v>45603</v>
      </c>
      <c r="G846" s="102" t="s">
        <v>2695</v>
      </c>
      <c r="H846" s="103">
        <v>9.8000000000000007</v>
      </c>
      <c r="I846" s="103">
        <v>39.590000000000003</v>
      </c>
      <c r="J846" s="221">
        <v>5.2</v>
      </c>
      <c r="K846" s="221">
        <f t="shared" si="13"/>
        <v>4.6000000000000005</v>
      </c>
    </row>
    <row r="847" spans="1:11" ht="30" x14ac:dyDescent="0.5">
      <c r="A847" s="102" t="s">
        <v>2723</v>
      </c>
      <c r="B847" s="102" t="s">
        <v>2921</v>
      </c>
      <c r="C847" s="102" t="s">
        <v>4422</v>
      </c>
      <c r="D847" s="102" t="s">
        <v>2893</v>
      </c>
      <c r="E847" s="102" t="s">
        <v>2694</v>
      </c>
      <c r="F847" s="220">
        <v>45614</v>
      </c>
      <c r="G847" s="102" t="s">
        <v>2695</v>
      </c>
      <c r="H847" s="103">
        <v>9.15</v>
      </c>
      <c r="I847" s="103">
        <v>53</v>
      </c>
      <c r="J847" s="221">
        <v>5.41</v>
      </c>
      <c r="K847" s="221">
        <f t="shared" si="13"/>
        <v>3.74</v>
      </c>
    </row>
    <row r="848" spans="1:11" ht="30" x14ac:dyDescent="0.5">
      <c r="A848" s="102" t="s">
        <v>2723</v>
      </c>
      <c r="B848" s="102" t="s">
        <v>2949</v>
      </c>
      <c r="C848" s="102" t="s">
        <v>4423</v>
      </c>
      <c r="D848" s="102" t="s">
        <v>2893</v>
      </c>
      <c r="E848" s="102" t="s">
        <v>2694</v>
      </c>
      <c r="F848" s="220">
        <v>45614</v>
      </c>
      <c r="G848" s="102" t="s">
        <v>2695</v>
      </c>
      <c r="H848" s="103">
        <v>9.15</v>
      </c>
      <c r="I848" s="103">
        <v>53</v>
      </c>
      <c r="J848" s="221">
        <v>5.41</v>
      </c>
      <c r="K848" s="221">
        <f t="shared" si="13"/>
        <v>3.74</v>
      </c>
    </row>
    <row r="849" spans="1:11" ht="30" x14ac:dyDescent="0.5">
      <c r="A849" s="102" t="s">
        <v>2702</v>
      </c>
      <c r="B849" s="102" t="s">
        <v>2773</v>
      </c>
      <c r="C849" s="102" t="s">
        <v>3866</v>
      </c>
      <c r="D849" s="102" t="s">
        <v>2893</v>
      </c>
      <c r="E849" s="102" t="s">
        <v>2694</v>
      </c>
      <c r="F849" s="220">
        <v>45645</v>
      </c>
      <c r="G849" s="102" t="s">
        <v>2695</v>
      </c>
      <c r="H849" s="103">
        <v>9.8000000000000007</v>
      </c>
      <c r="I849" s="103">
        <v>56.54</v>
      </c>
      <c r="J849" s="221">
        <v>5.56</v>
      </c>
      <c r="K849" s="221">
        <f t="shared" si="13"/>
        <v>4.2400000000000011</v>
      </c>
    </row>
    <row r="850" spans="1:11" ht="30" x14ac:dyDescent="0.5">
      <c r="A850" s="102" t="s">
        <v>2702</v>
      </c>
      <c r="B850" s="102" t="s">
        <v>2903</v>
      </c>
      <c r="C850" s="102" t="s">
        <v>3867</v>
      </c>
      <c r="D850" s="102" t="s">
        <v>2893</v>
      </c>
      <c r="E850" s="102" t="s">
        <v>2694</v>
      </c>
      <c r="F850" s="220">
        <v>45645</v>
      </c>
      <c r="G850" s="102" t="s">
        <v>2695</v>
      </c>
      <c r="H850" s="103">
        <v>9.8000000000000007</v>
      </c>
      <c r="I850" s="103">
        <v>52.76</v>
      </c>
      <c r="J850" s="221">
        <v>5.56</v>
      </c>
      <c r="K850" s="221">
        <f t="shared" si="13"/>
        <v>4.2400000000000011</v>
      </c>
    </row>
    <row r="851" spans="1:11" ht="30" x14ac:dyDescent="0.5">
      <c r="A851" s="102" t="s">
        <v>2702</v>
      </c>
      <c r="B851" s="102" t="s">
        <v>2748</v>
      </c>
      <c r="C851" s="102" t="s">
        <v>3868</v>
      </c>
      <c r="D851" s="102" t="s">
        <v>2893</v>
      </c>
      <c r="E851" s="102" t="s">
        <v>2694</v>
      </c>
      <c r="F851" s="220">
        <v>45645</v>
      </c>
      <c r="G851" s="102" t="s">
        <v>2695</v>
      </c>
      <c r="H851" s="103">
        <v>9.8000000000000007</v>
      </c>
      <c r="I851" s="103">
        <v>54.17</v>
      </c>
      <c r="J851" s="221">
        <v>5.56</v>
      </c>
      <c r="K851" s="221">
        <f t="shared" si="13"/>
        <v>4.2400000000000011</v>
      </c>
    </row>
    <row r="852" spans="1:11" ht="30" x14ac:dyDescent="0.5">
      <c r="A852" s="102" t="s">
        <v>2736</v>
      </c>
      <c r="B852" s="102" t="s">
        <v>2727</v>
      </c>
      <c r="C852" s="102" t="s">
        <v>4424</v>
      </c>
      <c r="D852" s="102" t="s">
        <v>2893</v>
      </c>
      <c r="E852" s="102" t="s">
        <v>2694</v>
      </c>
      <c r="F852" s="220">
        <v>45646</v>
      </c>
      <c r="G852" s="102" t="s">
        <v>2695</v>
      </c>
      <c r="H852" s="103">
        <v>9.8000000000000007</v>
      </c>
      <c r="I852" s="103">
        <v>48.5</v>
      </c>
      <c r="J852" s="221">
        <v>5.56</v>
      </c>
      <c r="K852" s="221">
        <f t="shared" si="13"/>
        <v>4.2400000000000011</v>
      </c>
    </row>
    <row r="853" spans="1:11" ht="30" x14ac:dyDescent="0.5">
      <c r="A853" s="102" t="s">
        <v>2736</v>
      </c>
      <c r="B853" s="102" t="s">
        <v>2737</v>
      </c>
      <c r="C853" s="102" t="s">
        <v>4425</v>
      </c>
      <c r="D853" s="102" t="s">
        <v>2893</v>
      </c>
      <c r="E853" s="102" t="s">
        <v>2694</v>
      </c>
      <c r="F853" s="220">
        <v>45672</v>
      </c>
      <c r="G853" s="102" t="s">
        <v>2695</v>
      </c>
      <c r="H853" s="103">
        <v>9.9</v>
      </c>
      <c r="I853" s="103">
        <v>50</v>
      </c>
      <c r="J853" s="225">
        <v>5.58</v>
      </c>
      <c r="K853" s="221">
        <f t="shared" si="13"/>
        <v>4.32</v>
      </c>
    </row>
    <row r="854" spans="1:11" x14ac:dyDescent="0.5">
      <c r="A854" s="102"/>
      <c r="B854" s="102"/>
      <c r="C854" s="102"/>
      <c r="D854" s="102"/>
      <c r="E854" s="102"/>
      <c r="F854" s="102"/>
      <c r="G854" s="102"/>
      <c r="H854" s="103"/>
      <c r="I854" s="103"/>
      <c r="J854" s="102"/>
      <c r="K854" s="103"/>
    </row>
    <row r="855" spans="1:11" x14ac:dyDescent="0.5">
      <c r="A855" s="102"/>
      <c r="B855" s="102"/>
      <c r="C855" s="102"/>
      <c r="D855" s="102"/>
      <c r="E855" s="102"/>
      <c r="F855" s="102"/>
      <c r="G855" s="102"/>
      <c r="H855" s="103"/>
      <c r="I855" s="103"/>
      <c r="J855" s="102"/>
      <c r="K855" s="103"/>
    </row>
    <row r="856" spans="1:11" x14ac:dyDescent="0.5">
      <c r="A856" s="102"/>
      <c r="B856" s="102"/>
      <c r="C856" s="102"/>
      <c r="D856" s="102"/>
      <c r="E856" s="102"/>
      <c r="F856" s="102"/>
      <c r="G856" s="102"/>
      <c r="H856" s="103"/>
      <c r="I856" s="103"/>
      <c r="J856" s="102"/>
      <c r="K856" s="103"/>
    </row>
    <row r="857" spans="1:11" x14ac:dyDescent="0.5">
      <c r="A857" s="102"/>
      <c r="B857" s="102"/>
      <c r="C857" s="102"/>
      <c r="D857" s="102"/>
      <c r="E857" s="102"/>
      <c r="F857" s="102"/>
      <c r="G857" s="102"/>
      <c r="H857" s="103"/>
      <c r="I857" s="103"/>
      <c r="J857" s="102"/>
      <c r="K857" s="103"/>
    </row>
    <row r="858" spans="1:11" x14ac:dyDescent="0.5">
      <c r="A858" s="102"/>
      <c r="B858" s="102"/>
      <c r="C858" s="102"/>
      <c r="D858" s="102"/>
      <c r="E858" s="102"/>
      <c r="F858" s="102"/>
      <c r="G858" s="102"/>
      <c r="H858" s="103"/>
      <c r="I858" s="103"/>
      <c r="J858" s="102"/>
      <c r="K858" s="103"/>
    </row>
    <row r="859" spans="1:11" x14ac:dyDescent="0.5">
      <c r="A859" s="102"/>
      <c r="B859" s="102"/>
      <c r="C859" s="102"/>
      <c r="D859" s="102"/>
      <c r="E859" s="102"/>
      <c r="F859" s="102"/>
      <c r="G859" s="102"/>
      <c r="H859" s="103"/>
      <c r="I859" s="103"/>
      <c r="J859" s="102"/>
      <c r="K859" s="103"/>
    </row>
    <row r="860" spans="1:11" x14ac:dyDescent="0.5">
      <c r="A860" s="102"/>
      <c r="B860" s="102"/>
      <c r="C860" s="102"/>
      <c r="D860" s="102"/>
      <c r="E860" s="102"/>
      <c r="F860" s="102"/>
      <c r="G860" s="102"/>
      <c r="H860" s="103"/>
      <c r="I860" s="103"/>
      <c r="J860" s="102"/>
      <c r="K860" s="103"/>
    </row>
    <row r="861" spans="1:11" x14ac:dyDescent="0.5">
      <c r="A861" s="102"/>
      <c r="B861" s="102"/>
      <c r="C861" s="102"/>
      <c r="D861" s="102"/>
      <c r="E861" s="102"/>
      <c r="F861" s="102"/>
      <c r="G861" s="102"/>
      <c r="H861" s="103"/>
      <c r="I861" s="103"/>
      <c r="J861" s="102"/>
      <c r="K861" s="103"/>
    </row>
    <row r="862" spans="1:11" x14ac:dyDescent="0.5">
      <c r="A862" s="102"/>
      <c r="B862" s="102"/>
      <c r="C862" s="102"/>
      <c r="D862" s="102"/>
      <c r="E862" s="102"/>
      <c r="F862" s="102"/>
      <c r="G862" s="102"/>
      <c r="H862" s="103"/>
      <c r="I862" s="103"/>
      <c r="J862" s="102"/>
      <c r="K862" s="103"/>
    </row>
    <row r="863" spans="1:11" x14ac:dyDescent="0.5">
      <c r="A863" s="102"/>
      <c r="B863" s="102"/>
      <c r="C863" s="102"/>
      <c r="D863" s="102"/>
      <c r="E863" s="102"/>
      <c r="F863" s="102"/>
      <c r="G863" s="102"/>
      <c r="H863" s="103"/>
      <c r="I863" s="103"/>
      <c r="J863" s="102"/>
      <c r="K863" s="103"/>
    </row>
    <row r="864" spans="1:11" x14ac:dyDescent="0.5">
      <c r="A864" s="102"/>
      <c r="B864" s="102"/>
      <c r="C864" s="102"/>
      <c r="D864" s="102"/>
      <c r="E864" s="102"/>
      <c r="F864" s="102"/>
      <c r="G864" s="102"/>
      <c r="H864" s="103"/>
      <c r="I864" s="103"/>
      <c r="J864" s="102"/>
      <c r="K864" s="103"/>
    </row>
    <row r="865" spans="1:11" x14ac:dyDescent="0.5">
      <c r="A865" s="102"/>
      <c r="B865" s="102"/>
      <c r="C865" s="102"/>
      <c r="D865" s="102"/>
      <c r="E865" s="102"/>
      <c r="F865" s="102"/>
      <c r="G865" s="102"/>
      <c r="H865" s="103"/>
      <c r="I865" s="103"/>
      <c r="J865" s="102"/>
      <c r="K865" s="103"/>
    </row>
    <row r="866" spans="1:11" x14ac:dyDescent="0.5">
      <c r="A866" s="102"/>
      <c r="B866" s="102"/>
      <c r="C866" s="102"/>
      <c r="D866" s="102"/>
      <c r="E866" s="102"/>
      <c r="F866" s="102"/>
      <c r="G866" s="102"/>
      <c r="H866" s="103"/>
      <c r="I866" s="103"/>
      <c r="J866" s="102"/>
      <c r="K866" s="103"/>
    </row>
    <row r="867" spans="1:11" x14ac:dyDescent="0.5">
      <c r="A867" s="102"/>
      <c r="B867" s="102"/>
      <c r="C867" s="102"/>
      <c r="D867" s="102"/>
      <c r="E867" s="102"/>
      <c r="F867" s="102"/>
      <c r="G867" s="102"/>
      <c r="H867" s="103"/>
      <c r="I867" s="103"/>
      <c r="J867" s="102"/>
      <c r="K867" s="103"/>
    </row>
    <row r="868" spans="1:11" x14ac:dyDescent="0.5">
      <c r="A868" s="102"/>
      <c r="B868" s="102"/>
      <c r="C868" s="102"/>
      <c r="D868" s="102"/>
      <c r="E868" s="102"/>
      <c r="F868" s="102"/>
      <c r="G868" s="102"/>
      <c r="H868" s="103"/>
      <c r="I868" s="103"/>
      <c r="J868" s="102"/>
      <c r="K868" s="103"/>
    </row>
    <row r="869" spans="1:11" x14ac:dyDescent="0.5">
      <c r="A869" s="102"/>
      <c r="B869" s="102"/>
      <c r="C869" s="102"/>
      <c r="D869" s="102"/>
      <c r="E869" s="102"/>
      <c r="F869" s="102"/>
      <c r="G869" s="102"/>
      <c r="H869" s="103"/>
      <c r="I869" s="103"/>
      <c r="J869" s="102"/>
      <c r="K869" s="103"/>
    </row>
    <row r="870" spans="1:11" x14ac:dyDescent="0.5">
      <c r="A870" s="102"/>
      <c r="B870" s="102"/>
      <c r="C870" s="102"/>
      <c r="D870" s="102"/>
      <c r="E870" s="102"/>
      <c r="F870" s="102"/>
      <c r="G870" s="102"/>
      <c r="H870" s="103"/>
      <c r="I870" s="103"/>
      <c r="J870" s="102"/>
      <c r="K870" s="103"/>
    </row>
    <row r="871" spans="1:11" x14ac:dyDescent="0.5">
      <c r="A871" s="102"/>
      <c r="B871" s="102"/>
      <c r="C871" s="102"/>
      <c r="D871" s="102"/>
      <c r="E871" s="102"/>
      <c r="F871" s="102"/>
      <c r="G871" s="102"/>
      <c r="H871" s="103"/>
      <c r="I871" s="103"/>
      <c r="J871" s="102"/>
      <c r="K871" s="103"/>
    </row>
    <row r="872" spans="1:11" x14ac:dyDescent="0.5">
      <c r="A872" s="102"/>
      <c r="B872" s="102"/>
      <c r="C872" s="102"/>
      <c r="D872" s="102"/>
      <c r="E872" s="102"/>
      <c r="F872" s="102"/>
      <c r="G872" s="102"/>
      <c r="H872" s="103"/>
      <c r="I872" s="103"/>
      <c r="J872" s="102"/>
      <c r="K872" s="103"/>
    </row>
    <row r="873" spans="1:11" x14ac:dyDescent="0.5">
      <c r="A873" s="102"/>
      <c r="B873" s="102"/>
      <c r="C873" s="102"/>
      <c r="D873" s="102"/>
      <c r="E873" s="102"/>
      <c r="F873" s="102"/>
      <c r="G873" s="102"/>
      <c r="H873" s="103"/>
      <c r="I873" s="103"/>
      <c r="J873" s="102"/>
      <c r="K873" s="103"/>
    </row>
    <row r="874" spans="1:11" x14ac:dyDescent="0.5">
      <c r="A874" s="102"/>
      <c r="B874" s="102"/>
      <c r="C874" s="102"/>
      <c r="D874" s="102"/>
      <c r="E874" s="102"/>
      <c r="F874" s="102"/>
      <c r="G874" s="102"/>
      <c r="H874" s="103"/>
      <c r="I874" s="103"/>
      <c r="J874" s="102"/>
      <c r="K874" s="103"/>
    </row>
    <row r="875" spans="1:11" x14ac:dyDescent="0.5">
      <c r="A875" s="102"/>
      <c r="B875" s="102"/>
      <c r="C875" s="102"/>
      <c r="D875" s="102"/>
      <c r="E875" s="102"/>
      <c r="F875" s="102"/>
      <c r="G875" s="102"/>
      <c r="H875" s="103"/>
      <c r="I875" s="103"/>
      <c r="J875" s="102"/>
      <c r="K875" s="103"/>
    </row>
    <row r="876" spans="1:11" x14ac:dyDescent="0.5">
      <c r="A876" s="102"/>
      <c r="B876" s="102"/>
      <c r="C876" s="102"/>
      <c r="D876" s="102"/>
      <c r="E876" s="102"/>
      <c r="F876" s="102"/>
      <c r="G876" s="102"/>
      <c r="H876" s="103"/>
      <c r="I876" s="103"/>
      <c r="J876" s="102"/>
      <c r="K876" s="103"/>
    </row>
    <row r="877" spans="1:11" x14ac:dyDescent="0.5">
      <c r="A877" s="102"/>
      <c r="B877" s="102"/>
      <c r="C877" s="102"/>
      <c r="D877" s="102"/>
      <c r="E877" s="102"/>
      <c r="F877" s="102"/>
      <c r="G877" s="102"/>
      <c r="H877" s="103"/>
      <c r="I877" s="103"/>
      <c r="J877" s="102"/>
      <c r="K877" s="103"/>
    </row>
    <row r="878" spans="1:11" x14ac:dyDescent="0.5">
      <c r="A878" s="102"/>
      <c r="B878" s="102"/>
      <c r="C878" s="102"/>
      <c r="D878" s="102"/>
      <c r="E878" s="102"/>
      <c r="F878" s="102"/>
      <c r="G878" s="102"/>
      <c r="H878" s="103"/>
      <c r="I878" s="103"/>
      <c r="J878" s="102"/>
      <c r="K878" s="103"/>
    </row>
    <row r="879" spans="1:11" x14ac:dyDescent="0.5">
      <c r="A879" s="102"/>
      <c r="B879" s="102"/>
      <c r="C879" s="102"/>
      <c r="D879" s="102"/>
      <c r="E879" s="102"/>
      <c r="F879" s="102"/>
      <c r="G879" s="102"/>
      <c r="H879" s="103"/>
      <c r="I879" s="103"/>
      <c r="J879" s="102"/>
      <c r="K879" s="103"/>
    </row>
    <row r="880" spans="1:11" x14ac:dyDescent="0.5">
      <c r="A880" s="102"/>
      <c r="B880" s="102"/>
      <c r="C880" s="102"/>
      <c r="D880" s="102"/>
      <c r="E880" s="102"/>
      <c r="F880" s="102"/>
      <c r="G880" s="102"/>
      <c r="H880" s="103"/>
      <c r="I880" s="103"/>
      <c r="J880" s="102"/>
      <c r="K880" s="103"/>
    </row>
    <row r="881" spans="1:11" x14ac:dyDescent="0.5">
      <c r="A881" s="102"/>
      <c r="B881" s="102"/>
      <c r="C881" s="102"/>
      <c r="D881" s="102"/>
      <c r="E881" s="102"/>
      <c r="F881" s="102"/>
      <c r="G881" s="102"/>
      <c r="H881" s="103"/>
      <c r="I881" s="103"/>
      <c r="J881" s="102"/>
      <c r="K881" s="103"/>
    </row>
    <row r="882" spans="1:11" x14ac:dyDescent="0.5">
      <c r="A882" s="102"/>
      <c r="B882" s="102"/>
      <c r="C882" s="102"/>
      <c r="D882" s="102"/>
      <c r="E882" s="102"/>
      <c r="F882" s="102"/>
      <c r="G882" s="102"/>
      <c r="H882" s="103"/>
      <c r="I882" s="103"/>
      <c r="J882" s="102"/>
      <c r="K882" s="103"/>
    </row>
    <row r="883" spans="1:11" x14ac:dyDescent="0.5">
      <c r="A883" s="102"/>
      <c r="B883" s="102"/>
      <c r="C883" s="102"/>
      <c r="D883" s="102"/>
      <c r="E883" s="102"/>
      <c r="F883" s="102"/>
      <c r="G883" s="102"/>
      <c r="H883" s="103"/>
      <c r="I883" s="103"/>
      <c r="J883" s="102"/>
      <c r="K883" s="103"/>
    </row>
    <row r="884" spans="1:11" x14ac:dyDescent="0.5">
      <c r="A884" s="102"/>
      <c r="B884" s="102"/>
      <c r="C884" s="102"/>
      <c r="D884" s="102"/>
      <c r="E884" s="102"/>
      <c r="F884" s="102"/>
      <c r="G884" s="102"/>
      <c r="H884" s="103"/>
      <c r="I884" s="103"/>
      <c r="J884" s="102"/>
      <c r="K884" s="103"/>
    </row>
    <row r="885" spans="1:11" x14ac:dyDescent="0.5">
      <c r="A885" s="102"/>
      <c r="B885" s="102"/>
      <c r="C885" s="102"/>
      <c r="D885" s="102"/>
      <c r="E885" s="102"/>
      <c r="F885" s="102"/>
      <c r="G885" s="102"/>
      <c r="H885" s="103"/>
      <c r="I885" s="103"/>
      <c r="J885" s="102"/>
      <c r="K885" s="103"/>
    </row>
    <row r="886" spans="1:11" x14ac:dyDescent="0.5">
      <c r="A886" s="102"/>
      <c r="B886" s="102"/>
      <c r="C886" s="102"/>
      <c r="D886" s="102"/>
      <c r="E886" s="102"/>
      <c r="F886" s="102"/>
      <c r="G886" s="102"/>
      <c r="H886" s="103"/>
      <c r="I886" s="103"/>
      <c r="J886" s="102"/>
      <c r="K886" s="103"/>
    </row>
    <row r="887" spans="1:11" x14ac:dyDescent="0.5">
      <c r="A887" s="102"/>
      <c r="B887" s="102"/>
      <c r="C887" s="102"/>
      <c r="D887" s="102"/>
      <c r="E887" s="102"/>
      <c r="F887" s="102"/>
      <c r="G887" s="102"/>
      <c r="H887" s="103"/>
      <c r="I887" s="103"/>
      <c r="J887" s="102"/>
      <c r="K887" s="103"/>
    </row>
    <row r="888" spans="1:11" x14ac:dyDescent="0.5">
      <c r="A888" s="102"/>
      <c r="B888" s="102"/>
      <c r="C888" s="102"/>
      <c r="D888" s="102"/>
      <c r="E888" s="102"/>
      <c r="F888" s="102"/>
      <c r="G888" s="102"/>
      <c r="H888" s="103"/>
      <c r="I888" s="103"/>
      <c r="J888" s="102"/>
      <c r="K888" s="103"/>
    </row>
    <row r="889" spans="1:11" x14ac:dyDescent="0.5">
      <c r="A889" s="102"/>
      <c r="B889" s="102"/>
      <c r="C889" s="102"/>
      <c r="D889" s="102"/>
      <c r="E889" s="102"/>
      <c r="F889" s="102"/>
      <c r="G889" s="102"/>
      <c r="H889" s="103"/>
      <c r="I889" s="103"/>
      <c r="J889" s="102"/>
      <c r="K889" s="103"/>
    </row>
    <row r="890" spans="1:11" x14ac:dyDescent="0.5">
      <c r="A890" s="102"/>
      <c r="B890" s="102"/>
      <c r="C890" s="102"/>
      <c r="D890" s="102"/>
      <c r="E890" s="102"/>
      <c r="F890" s="102"/>
      <c r="G890" s="102"/>
      <c r="H890" s="103"/>
      <c r="I890" s="103"/>
      <c r="J890" s="102"/>
      <c r="K890" s="103"/>
    </row>
    <row r="891" spans="1:11" x14ac:dyDescent="0.5">
      <c r="A891" s="102"/>
      <c r="B891" s="102"/>
      <c r="C891" s="102"/>
      <c r="D891" s="102"/>
      <c r="E891" s="102"/>
      <c r="F891" s="102"/>
      <c r="G891" s="102"/>
      <c r="H891" s="103"/>
      <c r="I891" s="103"/>
      <c r="J891" s="102"/>
      <c r="K891" s="103"/>
    </row>
    <row r="892" spans="1:11" x14ac:dyDescent="0.5">
      <c r="A892" s="102"/>
      <c r="B892" s="102"/>
      <c r="C892" s="102"/>
      <c r="D892" s="102"/>
      <c r="E892" s="102"/>
      <c r="F892" s="102"/>
      <c r="G892" s="102"/>
      <c r="H892" s="103"/>
      <c r="I892" s="103"/>
      <c r="J892" s="102"/>
      <c r="K892" s="103"/>
    </row>
    <row r="893" spans="1:11" x14ac:dyDescent="0.5">
      <c r="A893" s="102"/>
      <c r="B893" s="102"/>
      <c r="C893" s="102"/>
      <c r="D893" s="102"/>
      <c r="E893" s="102"/>
      <c r="F893" s="102"/>
      <c r="G893" s="102"/>
      <c r="H893" s="103"/>
      <c r="I893" s="103"/>
      <c r="J893" s="102"/>
      <c r="K893" s="103"/>
    </row>
    <row r="894" spans="1:11" x14ac:dyDescent="0.5">
      <c r="A894" s="102"/>
      <c r="B894" s="102"/>
      <c r="C894" s="102"/>
      <c r="D894" s="102"/>
      <c r="E894" s="102"/>
      <c r="F894" s="102"/>
      <c r="G894" s="102"/>
      <c r="H894" s="103"/>
      <c r="I894" s="103"/>
      <c r="J894" s="102"/>
      <c r="K894" s="103"/>
    </row>
    <row r="895" spans="1:11" x14ac:dyDescent="0.5">
      <c r="A895" s="102"/>
      <c r="B895" s="102"/>
      <c r="C895" s="102"/>
      <c r="D895" s="102"/>
      <c r="E895" s="102"/>
      <c r="F895" s="102"/>
      <c r="G895" s="102"/>
      <c r="H895" s="103"/>
      <c r="I895" s="103"/>
      <c r="J895" s="102"/>
      <c r="K895" s="103"/>
    </row>
    <row r="896" spans="1:11" x14ac:dyDescent="0.5">
      <c r="A896" s="102"/>
      <c r="B896" s="102"/>
      <c r="C896" s="102"/>
      <c r="D896" s="102"/>
      <c r="E896" s="102"/>
      <c r="F896" s="102"/>
      <c r="G896" s="102"/>
      <c r="H896" s="103"/>
      <c r="I896" s="103"/>
      <c r="J896" s="102"/>
      <c r="K896" s="103"/>
    </row>
    <row r="897" spans="1:11" x14ac:dyDescent="0.5">
      <c r="A897" s="102"/>
      <c r="B897" s="102"/>
      <c r="C897" s="102"/>
      <c r="D897" s="102"/>
      <c r="E897" s="102"/>
      <c r="F897" s="102"/>
      <c r="G897" s="102"/>
      <c r="H897" s="103"/>
      <c r="I897" s="103"/>
      <c r="J897" s="102"/>
      <c r="K897" s="103"/>
    </row>
    <row r="898" spans="1:11" x14ac:dyDescent="0.5">
      <c r="A898" s="102"/>
      <c r="B898" s="102"/>
      <c r="C898" s="102"/>
      <c r="D898" s="102"/>
      <c r="E898" s="102"/>
      <c r="F898" s="102"/>
      <c r="G898" s="102"/>
      <c r="H898" s="103"/>
      <c r="I898" s="103"/>
      <c r="J898" s="102"/>
      <c r="K898" s="103"/>
    </row>
    <row r="899" spans="1:11" x14ac:dyDescent="0.5">
      <c r="A899" s="102"/>
      <c r="B899" s="102"/>
      <c r="C899" s="102"/>
      <c r="D899" s="102"/>
      <c r="E899" s="102"/>
      <c r="F899" s="102"/>
      <c r="G899" s="102"/>
      <c r="H899" s="103"/>
      <c r="I899" s="103"/>
      <c r="J899" s="102"/>
      <c r="K899" s="103"/>
    </row>
    <row r="900" spans="1:11" x14ac:dyDescent="0.5">
      <c r="A900" s="102"/>
      <c r="B900" s="102"/>
      <c r="C900" s="102"/>
      <c r="D900" s="102"/>
      <c r="E900" s="102"/>
      <c r="F900" s="102"/>
      <c r="G900" s="102"/>
      <c r="H900" s="103"/>
      <c r="I900" s="103"/>
      <c r="J900" s="102"/>
      <c r="K900" s="103"/>
    </row>
    <row r="901" spans="1:11" x14ac:dyDescent="0.5">
      <c r="A901" s="102"/>
      <c r="B901" s="102"/>
      <c r="C901" s="102"/>
      <c r="D901" s="102"/>
      <c r="E901" s="102"/>
      <c r="F901" s="102"/>
      <c r="G901" s="102"/>
      <c r="H901" s="103"/>
      <c r="I901" s="103"/>
      <c r="J901" s="102"/>
      <c r="K901" s="103"/>
    </row>
    <row r="902" spans="1:11" x14ac:dyDescent="0.5">
      <c r="A902" s="102"/>
      <c r="B902" s="102"/>
      <c r="C902" s="102"/>
      <c r="D902" s="102"/>
      <c r="E902" s="102"/>
      <c r="F902" s="102"/>
      <c r="G902" s="102"/>
      <c r="H902" s="103"/>
      <c r="I902" s="103"/>
      <c r="J902" s="102"/>
      <c r="K902" s="103"/>
    </row>
    <row r="903" spans="1:11" x14ac:dyDescent="0.5">
      <c r="A903" s="102"/>
      <c r="B903" s="102"/>
      <c r="C903" s="102"/>
      <c r="D903" s="102"/>
      <c r="E903" s="102"/>
      <c r="F903" s="102"/>
      <c r="G903" s="102"/>
      <c r="H903" s="103"/>
      <c r="I903" s="103"/>
      <c r="J903" s="102"/>
      <c r="K903" s="103"/>
    </row>
    <row r="904" spans="1:11" x14ac:dyDescent="0.5">
      <c r="A904" s="102"/>
      <c r="B904" s="102"/>
      <c r="C904" s="102"/>
      <c r="D904" s="102"/>
      <c r="E904" s="102"/>
      <c r="F904" s="102"/>
      <c r="G904" s="102"/>
      <c r="H904" s="103"/>
      <c r="I904" s="103"/>
      <c r="J904" s="102"/>
      <c r="K904" s="103"/>
    </row>
    <row r="905" spans="1:11" x14ac:dyDescent="0.5">
      <c r="A905" s="102"/>
      <c r="B905" s="102"/>
      <c r="C905" s="102"/>
      <c r="D905" s="102"/>
      <c r="E905" s="102"/>
      <c r="F905" s="102"/>
      <c r="G905" s="102"/>
      <c r="H905" s="103"/>
      <c r="I905" s="103"/>
      <c r="J905" s="102"/>
      <c r="K905" s="103"/>
    </row>
    <row r="906" spans="1:11" x14ac:dyDescent="0.5">
      <c r="A906" s="102"/>
      <c r="B906" s="102"/>
      <c r="C906" s="102"/>
      <c r="D906" s="102"/>
      <c r="E906" s="102"/>
      <c r="F906" s="102"/>
      <c r="G906" s="102"/>
      <c r="H906" s="103"/>
      <c r="I906" s="103"/>
      <c r="J906" s="102"/>
      <c r="K906" s="103"/>
    </row>
    <row r="907" spans="1:11" x14ac:dyDescent="0.5">
      <c r="A907" s="102"/>
      <c r="B907" s="102"/>
      <c r="C907" s="102"/>
      <c r="D907" s="102"/>
      <c r="E907" s="102"/>
      <c r="F907" s="102"/>
      <c r="G907" s="102"/>
      <c r="H907" s="103"/>
      <c r="I907" s="103"/>
      <c r="J907" s="102"/>
      <c r="K907" s="103"/>
    </row>
    <row r="908" spans="1:11" x14ac:dyDescent="0.5">
      <c r="A908" s="102"/>
      <c r="B908" s="102"/>
      <c r="C908" s="102"/>
      <c r="D908" s="102"/>
      <c r="E908" s="102"/>
      <c r="F908" s="102"/>
      <c r="G908" s="102"/>
      <c r="H908" s="103"/>
      <c r="I908" s="103"/>
      <c r="J908" s="102"/>
      <c r="K908" s="103"/>
    </row>
    <row r="909" spans="1:11" x14ac:dyDescent="0.5">
      <c r="A909" s="102"/>
      <c r="B909" s="102"/>
      <c r="C909" s="102"/>
      <c r="D909" s="102"/>
      <c r="E909" s="102"/>
      <c r="F909" s="102"/>
      <c r="G909" s="102"/>
      <c r="H909" s="103"/>
      <c r="I909" s="103"/>
      <c r="J909" s="102"/>
      <c r="K909" s="103"/>
    </row>
    <row r="910" spans="1:11" x14ac:dyDescent="0.5">
      <c r="A910" s="102"/>
      <c r="B910" s="102"/>
      <c r="C910" s="102"/>
      <c r="D910" s="102"/>
      <c r="E910" s="102"/>
      <c r="F910" s="102"/>
      <c r="G910" s="102"/>
      <c r="H910" s="103"/>
      <c r="I910" s="103"/>
      <c r="J910" s="102"/>
      <c r="K910" s="103"/>
    </row>
    <row r="911" spans="1:11" x14ac:dyDescent="0.5">
      <c r="A911" s="102"/>
      <c r="B911" s="102"/>
      <c r="C911" s="102"/>
      <c r="D911" s="102"/>
      <c r="E911" s="102"/>
      <c r="F911" s="102"/>
      <c r="G911" s="102"/>
      <c r="H911" s="103"/>
      <c r="I911" s="103"/>
      <c r="J911" s="102"/>
      <c r="K911" s="103"/>
    </row>
    <row r="912" spans="1:11" x14ac:dyDescent="0.5">
      <c r="A912" s="102"/>
      <c r="B912" s="102"/>
      <c r="C912" s="102"/>
      <c r="D912" s="102"/>
      <c r="E912" s="102"/>
      <c r="F912" s="102"/>
      <c r="G912" s="102"/>
      <c r="H912" s="103"/>
      <c r="I912" s="103"/>
      <c r="J912" s="102"/>
      <c r="K912" s="103"/>
    </row>
    <row r="913" spans="1:11" x14ac:dyDescent="0.5">
      <c r="A913" s="102"/>
      <c r="B913" s="102"/>
      <c r="C913" s="102"/>
      <c r="D913" s="102"/>
      <c r="E913" s="102"/>
      <c r="F913" s="102"/>
      <c r="G913" s="102"/>
      <c r="H913" s="103"/>
      <c r="I913" s="103"/>
      <c r="J913" s="102"/>
      <c r="K913" s="103"/>
    </row>
    <row r="914" spans="1:11" x14ac:dyDescent="0.5">
      <c r="A914" s="102"/>
      <c r="B914" s="102"/>
      <c r="C914" s="102"/>
      <c r="D914" s="102"/>
      <c r="E914" s="102"/>
      <c r="F914" s="102"/>
      <c r="G914" s="102"/>
      <c r="H914" s="103"/>
      <c r="I914" s="103"/>
      <c r="J914" s="102"/>
      <c r="K914" s="103"/>
    </row>
    <row r="915" spans="1:11" x14ac:dyDescent="0.5">
      <c r="A915" s="102"/>
      <c r="B915" s="102"/>
      <c r="C915" s="102"/>
      <c r="D915" s="102"/>
      <c r="E915" s="102"/>
      <c r="F915" s="102"/>
      <c r="G915" s="102"/>
      <c r="H915" s="103"/>
      <c r="I915" s="103"/>
      <c r="J915" s="102"/>
      <c r="K915" s="103"/>
    </row>
    <row r="916" spans="1:11" x14ac:dyDescent="0.5">
      <c r="A916" s="102"/>
      <c r="B916" s="102"/>
      <c r="C916" s="102"/>
      <c r="D916" s="102"/>
      <c r="E916" s="102"/>
      <c r="F916" s="102"/>
      <c r="G916" s="102"/>
      <c r="H916" s="103"/>
      <c r="I916" s="103"/>
      <c r="J916" s="102"/>
      <c r="K916" s="103"/>
    </row>
    <row r="917" spans="1:11" x14ac:dyDescent="0.5">
      <c r="A917" s="102"/>
      <c r="B917" s="102"/>
      <c r="C917" s="102"/>
      <c r="D917" s="102"/>
      <c r="E917" s="102"/>
      <c r="F917" s="102"/>
      <c r="G917" s="102"/>
      <c r="H917" s="103"/>
      <c r="I917" s="103"/>
      <c r="J917" s="102"/>
      <c r="K917" s="103"/>
    </row>
    <row r="918" spans="1:11" x14ac:dyDescent="0.5">
      <c r="A918" s="102"/>
      <c r="B918" s="102"/>
      <c r="C918" s="102"/>
      <c r="D918" s="102"/>
      <c r="E918" s="102"/>
      <c r="F918" s="102"/>
      <c r="G918" s="102"/>
      <c r="H918" s="103"/>
      <c r="I918" s="103"/>
      <c r="J918" s="102"/>
      <c r="K918" s="103"/>
    </row>
    <row r="919" spans="1:11" x14ac:dyDescent="0.5">
      <c r="A919" s="102"/>
      <c r="B919" s="102"/>
      <c r="C919" s="102"/>
      <c r="D919" s="102"/>
      <c r="E919" s="102"/>
      <c r="F919" s="102"/>
      <c r="G919" s="102"/>
      <c r="H919" s="103"/>
      <c r="I919" s="103"/>
      <c r="J919" s="102"/>
      <c r="K919" s="103"/>
    </row>
    <row r="920" spans="1:11" x14ac:dyDescent="0.5">
      <c r="A920" s="102"/>
      <c r="B920" s="102"/>
      <c r="C920" s="102"/>
      <c r="D920" s="102"/>
      <c r="E920" s="102"/>
      <c r="F920" s="102"/>
      <c r="G920" s="102"/>
      <c r="H920" s="103"/>
      <c r="I920" s="103"/>
      <c r="J920" s="102"/>
      <c r="K920" s="103"/>
    </row>
    <row r="921" spans="1:11" x14ac:dyDescent="0.5">
      <c r="A921" s="102"/>
      <c r="B921" s="102"/>
      <c r="C921" s="102"/>
      <c r="D921" s="102"/>
      <c r="E921" s="102"/>
      <c r="F921" s="102"/>
      <c r="G921" s="102"/>
      <c r="H921" s="103"/>
      <c r="I921" s="103"/>
      <c r="J921" s="102"/>
      <c r="K921" s="103"/>
    </row>
    <row r="922" spans="1:11" x14ac:dyDescent="0.5">
      <c r="A922" s="102"/>
      <c r="B922" s="102"/>
      <c r="C922" s="102"/>
      <c r="D922" s="102"/>
      <c r="E922" s="102"/>
      <c r="F922" s="102"/>
      <c r="G922" s="102"/>
      <c r="H922" s="103"/>
      <c r="I922" s="103"/>
      <c r="J922" s="102"/>
      <c r="K922" s="103"/>
    </row>
    <row r="923" spans="1:11" x14ac:dyDescent="0.5">
      <c r="A923" s="102"/>
      <c r="B923" s="102"/>
      <c r="C923" s="102"/>
      <c r="D923" s="102"/>
      <c r="E923" s="102"/>
      <c r="F923" s="102"/>
      <c r="G923" s="102"/>
      <c r="H923" s="103"/>
      <c r="I923" s="103"/>
      <c r="J923" s="102"/>
      <c r="K923" s="103"/>
    </row>
    <row r="924" spans="1:11" x14ac:dyDescent="0.5">
      <c r="A924" s="102"/>
      <c r="B924" s="102"/>
      <c r="C924" s="102"/>
      <c r="D924" s="102"/>
      <c r="E924" s="102"/>
      <c r="F924" s="102"/>
      <c r="G924" s="102"/>
      <c r="H924" s="103"/>
      <c r="I924" s="103"/>
      <c r="J924" s="102"/>
      <c r="K924" s="103"/>
    </row>
    <row r="925" spans="1:11" x14ac:dyDescent="0.5">
      <c r="A925" s="102"/>
      <c r="B925" s="102"/>
      <c r="C925" s="102"/>
      <c r="D925" s="102"/>
      <c r="E925" s="102"/>
      <c r="F925" s="102"/>
      <c r="G925" s="102"/>
      <c r="H925" s="103"/>
      <c r="I925" s="103"/>
      <c r="J925" s="102"/>
      <c r="K925" s="103"/>
    </row>
    <row r="926" spans="1:11" x14ac:dyDescent="0.5">
      <c r="A926" s="102"/>
      <c r="B926" s="102"/>
      <c r="C926" s="102"/>
      <c r="D926" s="102"/>
      <c r="E926" s="102"/>
      <c r="F926" s="102"/>
      <c r="G926" s="102"/>
      <c r="H926" s="103"/>
      <c r="I926" s="103"/>
      <c r="J926" s="102"/>
      <c r="K926" s="103"/>
    </row>
    <row r="927" spans="1:11" x14ac:dyDescent="0.5">
      <c r="A927" s="102"/>
      <c r="B927" s="102"/>
      <c r="C927" s="102"/>
      <c r="D927" s="102"/>
      <c r="E927" s="102"/>
      <c r="F927" s="102"/>
      <c r="G927" s="102"/>
      <c r="H927" s="103"/>
      <c r="I927" s="103"/>
      <c r="J927" s="102"/>
      <c r="K927" s="103"/>
    </row>
    <row r="928" spans="1:11" x14ac:dyDescent="0.5">
      <c r="A928" s="102"/>
      <c r="B928" s="102"/>
      <c r="C928" s="102"/>
      <c r="D928" s="102"/>
      <c r="E928" s="102"/>
      <c r="F928" s="102"/>
      <c r="G928" s="102"/>
      <c r="H928" s="103"/>
      <c r="I928" s="103"/>
      <c r="J928" s="102"/>
      <c r="K928" s="103"/>
    </row>
    <row r="929" spans="1:11" x14ac:dyDescent="0.5">
      <c r="A929" s="102"/>
      <c r="B929" s="102"/>
      <c r="C929" s="102"/>
      <c r="D929" s="102"/>
      <c r="E929" s="102"/>
      <c r="F929" s="102"/>
      <c r="G929" s="102"/>
      <c r="H929" s="103"/>
      <c r="I929" s="103"/>
      <c r="J929" s="102"/>
      <c r="K929" s="103"/>
    </row>
    <row r="930" spans="1:11" x14ac:dyDescent="0.5">
      <c r="A930" s="102"/>
      <c r="B930" s="102"/>
      <c r="C930" s="102"/>
      <c r="D930" s="102"/>
      <c r="E930" s="102"/>
      <c r="F930" s="102"/>
      <c r="G930" s="102"/>
      <c r="H930" s="103"/>
      <c r="I930" s="103"/>
      <c r="J930" s="102"/>
      <c r="K930" s="103"/>
    </row>
    <row r="931" spans="1:11" x14ac:dyDescent="0.5">
      <c r="A931" s="102"/>
      <c r="B931" s="102"/>
      <c r="C931" s="102"/>
      <c r="D931" s="102"/>
      <c r="E931" s="102"/>
      <c r="F931" s="102"/>
      <c r="G931" s="102"/>
      <c r="H931" s="103"/>
      <c r="I931" s="103"/>
      <c r="J931" s="102"/>
      <c r="K931" s="103"/>
    </row>
    <row r="932" spans="1:11" x14ac:dyDescent="0.5">
      <c r="A932" s="102"/>
      <c r="B932" s="102"/>
      <c r="C932" s="102"/>
      <c r="D932" s="102"/>
      <c r="E932" s="102"/>
      <c r="F932" s="102"/>
      <c r="G932" s="102"/>
      <c r="H932" s="103"/>
      <c r="I932" s="103"/>
      <c r="J932" s="102"/>
      <c r="K932" s="103"/>
    </row>
    <row r="933" spans="1:11" x14ac:dyDescent="0.5">
      <c r="A933" s="102"/>
      <c r="B933" s="102"/>
      <c r="C933" s="102"/>
      <c r="D933" s="102"/>
      <c r="E933" s="102"/>
      <c r="F933" s="102"/>
      <c r="G933" s="102"/>
      <c r="H933" s="103"/>
      <c r="I933" s="103"/>
      <c r="J933" s="102"/>
      <c r="K933" s="103"/>
    </row>
    <row r="934" spans="1:11" x14ac:dyDescent="0.5">
      <c r="A934" s="102"/>
      <c r="B934" s="102"/>
      <c r="C934" s="102"/>
      <c r="D934" s="102"/>
      <c r="E934" s="102"/>
      <c r="F934" s="102"/>
      <c r="G934" s="102"/>
      <c r="H934" s="103"/>
      <c r="I934" s="103"/>
      <c r="J934" s="102"/>
      <c r="K934" s="103"/>
    </row>
    <row r="935" spans="1:11" x14ac:dyDescent="0.5">
      <c r="A935" s="102"/>
      <c r="B935" s="102"/>
      <c r="C935" s="102"/>
      <c r="D935" s="102"/>
      <c r="E935" s="102"/>
      <c r="F935" s="102"/>
      <c r="G935" s="102"/>
      <c r="H935" s="103"/>
      <c r="I935" s="103"/>
      <c r="J935" s="102"/>
      <c r="K935" s="103"/>
    </row>
    <row r="936" spans="1:11" x14ac:dyDescent="0.5">
      <c r="A936" s="102"/>
      <c r="B936" s="102"/>
      <c r="C936" s="102"/>
      <c r="D936" s="102"/>
      <c r="E936" s="102"/>
      <c r="F936" s="102"/>
      <c r="G936" s="102"/>
      <c r="H936" s="103"/>
      <c r="I936" s="103"/>
      <c r="J936" s="102"/>
      <c r="K936" s="103"/>
    </row>
    <row r="937" spans="1:11" x14ac:dyDescent="0.5">
      <c r="A937" s="102"/>
      <c r="B937" s="102"/>
      <c r="C937" s="102"/>
      <c r="D937" s="102"/>
      <c r="E937" s="102"/>
      <c r="F937" s="102"/>
      <c r="G937" s="102"/>
      <c r="H937" s="103"/>
      <c r="I937" s="103"/>
      <c r="J937" s="102"/>
      <c r="K937" s="103"/>
    </row>
    <row r="938" spans="1:11" x14ac:dyDescent="0.5">
      <c r="A938" s="102"/>
      <c r="B938" s="102"/>
      <c r="C938" s="102"/>
      <c r="D938" s="102"/>
      <c r="E938" s="102"/>
      <c r="F938" s="102"/>
      <c r="G938" s="102"/>
      <c r="H938" s="103"/>
      <c r="I938" s="103"/>
      <c r="J938" s="102"/>
      <c r="K938" s="103"/>
    </row>
    <row r="939" spans="1:11" x14ac:dyDescent="0.5">
      <c r="A939" s="102"/>
      <c r="B939" s="102"/>
      <c r="C939" s="102"/>
      <c r="D939" s="102"/>
      <c r="E939" s="102"/>
      <c r="F939" s="102"/>
      <c r="G939" s="102"/>
      <c r="H939" s="103"/>
      <c r="I939" s="103"/>
      <c r="J939" s="102"/>
      <c r="K939" s="103"/>
    </row>
    <row r="940" spans="1:11" x14ac:dyDescent="0.5">
      <c r="A940" s="102"/>
      <c r="B940" s="102"/>
      <c r="C940" s="102"/>
      <c r="D940" s="102"/>
      <c r="E940" s="102"/>
      <c r="F940" s="102"/>
      <c r="G940" s="102"/>
      <c r="H940" s="103"/>
      <c r="I940" s="103"/>
      <c r="J940" s="102"/>
      <c r="K940" s="103"/>
    </row>
    <row r="941" spans="1:11" x14ac:dyDescent="0.5">
      <c r="A941" s="102"/>
      <c r="B941" s="102"/>
      <c r="C941" s="102"/>
      <c r="D941" s="102"/>
      <c r="E941" s="102"/>
      <c r="F941" s="102"/>
      <c r="G941" s="102"/>
      <c r="H941" s="103"/>
      <c r="I941" s="103"/>
      <c r="J941" s="102"/>
      <c r="K941" s="103"/>
    </row>
    <row r="942" spans="1:11" x14ac:dyDescent="0.5">
      <c r="A942" s="102"/>
      <c r="B942" s="102"/>
      <c r="C942" s="102"/>
      <c r="D942" s="102"/>
      <c r="E942" s="102"/>
      <c r="F942" s="102"/>
      <c r="G942" s="102"/>
      <c r="H942" s="103"/>
      <c r="I942" s="103"/>
      <c r="J942" s="102"/>
      <c r="K942" s="103"/>
    </row>
    <row r="943" spans="1:11" x14ac:dyDescent="0.5">
      <c r="A943" s="102"/>
      <c r="B943" s="102"/>
      <c r="C943" s="102"/>
      <c r="D943" s="102"/>
      <c r="E943" s="102"/>
      <c r="F943" s="102"/>
      <c r="G943" s="102"/>
      <c r="H943" s="103"/>
      <c r="I943" s="103"/>
      <c r="J943" s="102"/>
      <c r="K943" s="103"/>
    </row>
    <row r="944" spans="1:11" x14ac:dyDescent="0.5">
      <c r="A944" s="102"/>
      <c r="B944" s="102"/>
      <c r="C944" s="102"/>
      <c r="D944" s="102"/>
      <c r="E944" s="102"/>
      <c r="F944" s="102"/>
      <c r="G944" s="102"/>
      <c r="H944" s="103"/>
      <c r="I944" s="103"/>
      <c r="J944" s="102"/>
      <c r="K944" s="103"/>
    </row>
    <row r="945" spans="1:11" x14ac:dyDescent="0.5">
      <c r="A945" s="102"/>
      <c r="B945" s="102"/>
      <c r="C945" s="102"/>
      <c r="D945" s="102"/>
      <c r="E945" s="102"/>
      <c r="F945" s="102"/>
      <c r="G945" s="102"/>
      <c r="H945" s="103"/>
      <c r="I945" s="103"/>
      <c r="J945" s="102"/>
      <c r="K945" s="103"/>
    </row>
    <row r="946" spans="1:11" x14ac:dyDescent="0.5">
      <c r="A946" s="102"/>
      <c r="B946" s="102"/>
      <c r="C946" s="102"/>
      <c r="D946" s="102"/>
      <c r="E946" s="102"/>
      <c r="F946" s="102"/>
      <c r="G946" s="102"/>
      <c r="H946" s="103"/>
      <c r="I946" s="103"/>
      <c r="J946" s="102"/>
      <c r="K946" s="103"/>
    </row>
    <row r="947" spans="1:11" x14ac:dyDescent="0.5">
      <c r="A947" s="102"/>
      <c r="B947" s="102"/>
      <c r="C947" s="102"/>
      <c r="D947" s="102"/>
      <c r="E947" s="102"/>
      <c r="F947" s="102"/>
      <c r="G947" s="102"/>
      <c r="H947" s="103"/>
      <c r="I947" s="103"/>
      <c r="J947" s="102"/>
      <c r="K947" s="103"/>
    </row>
    <row r="948" spans="1:11" x14ac:dyDescent="0.5">
      <c r="A948" s="102"/>
      <c r="B948" s="102"/>
      <c r="C948" s="102"/>
      <c r="D948" s="102"/>
      <c r="E948" s="102"/>
      <c r="F948" s="102"/>
      <c r="G948" s="102"/>
      <c r="H948" s="103"/>
      <c r="I948" s="103"/>
      <c r="J948" s="102"/>
      <c r="K948" s="103"/>
    </row>
    <row r="949" spans="1:11" x14ac:dyDescent="0.5">
      <c r="A949" s="102"/>
      <c r="B949" s="102"/>
      <c r="C949" s="102"/>
      <c r="D949" s="102"/>
      <c r="E949" s="102"/>
      <c r="F949" s="102"/>
      <c r="G949" s="102"/>
      <c r="H949" s="103"/>
      <c r="I949" s="103"/>
      <c r="J949" s="102"/>
      <c r="K949" s="103"/>
    </row>
    <row r="950" spans="1:11" x14ac:dyDescent="0.5">
      <c r="A950" s="102"/>
      <c r="B950" s="102"/>
      <c r="C950" s="102"/>
      <c r="D950" s="102"/>
      <c r="E950" s="102"/>
      <c r="F950" s="102"/>
      <c r="G950" s="102"/>
      <c r="H950" s="103"/>
      <c r="I950" s="103"/>
      <c r="J950" s="102"/>
      <c r="K950" s="103"/>
    </row>
    <row r="951" spans="1:11" x14ac:dyDescent="0.5">
      <c r="A951" s="102"/>
      <c r="B951" s="102"/>
      <c r="C951" s="102"/>
      <c r="D951" s="102"/>
      <c r="E951" s="102"/>
      <c r="F951" s="102"/>
      <c r="G951" s="102"/>
      <c r="H951" s="103"/>
      <c r="I951" s="103"/>
      <c r="J951" s="102"/>
      <c r="K951" s="103"/>
    </row>
    <row r="952" spans="1:11" x14ac:dyDescent="0.5">
      <c r="A952" s="102"/>
      <c r="B952" s="102"/>
      <c r="C952" s="102"/>
      <c r="D952" s="102"/>
      <c r="E952" s="102"/>
      <c r="F952" s="102"/>
      <c r="G952" s="102"/>
      <c r="H952" s="103"/>
      <c r="I952" s="103"/>
      <c r="J952" s="102"/>
      <c r="K952" s="103"/>
    </row>
    <row r="953" spans="1:11" x14ac:dyDescent="0.5">
      <c r="A953" s="102"/>
      <c r="B953" s="102"/>
      <c r="C953" s="102"/>
      <c r="D953" s="102"/>
      <c r="E953" s="102"/>
      <c r="F953" s="102"/>
      <c r="G953" s="102"/>
      <c r="H953" s="103"/>
      <c r="I953" s="103"/>
      <c r="J953" s="102"/>
      <c r="K953" s="103"/>
    </row>
    <row r="954" spans="1:11" x14ac:dyDescent="0.5">
      <c r="A954" s="102"/>
      <c r="B954" s="102"/>
      <c r="C954" s="102"/>
      <c r="D954" s="102"/>
      <c r="E954" s="102"/>
      <c r="F954" s="102"/>
      <c r="G954" s="102"/>
      <c r="H954" s="103"/>
      <c r="I954" s="103"/>
      <c r="J954" s="102"/>
      <c r="K954" s="103"/>
    </row>
    <row r="955" spans="1:11" x14ac:dyDescent="0.5">
      <c r="A955" s="102"/>
      <c r="B955" s="102"/>
      <c r="C955" s="102"/>
      <c r="D955" s="102"/>
      <c r="E955" s="102"/>
      <c r="F955" s="102"/>
      <c r="G955" s="102"/>
      <c r="H955" s="103"/>
      <c r="I955" s="103"/>
      <c r="J955" s="102"/>
      <c r="K955" s="103"/>
    </row>
    <row r="956" spans="1:11" x14ac:dyDescent="0.5">
      <c r="A956" s="102"/>
      <c r="B956" s="102"/>
      <c r="C956" s="102"/>
      <c r="D956" s="102"/>
      <c r="E956" s="102"/>
      <c r="F956" s="102"/>
      <c r="G956" s="102"/>
      <c r="H956" s="103"/>
      <c r="I956" s="103"/>
      <c r="J956" s="102"/>
      <c r="K956" s="103"/>
    </row>
    <row r="957" spans="1:11" x14ac:dyDescent="0.5">
      <c r="A957" s="102"/>
      <c r="B957" s="102"/>
      <c r="C957" s="102"/>
      <c r="D957" s="102"/>
      <c r="E957" s="102"/>
      <c r="F957" s="102"/>
      <c r="G957" s="102"/>
      <c r="H957" s="103"/>
      <c r="I957" s="103"/>
      <c r="J957" s="102"/>
      <c r="K957" s="103"/>
    </row>
    <row r="958" spans="1:11" x14ac:dyDescent="0.5">
      <c r="A958" s="102"/>
      <c r="B958" s="102"/>
      <c r="C958" s="102"/>
      <c r="D958" s="102"/>
      <c r="E958" s="102"/>
      <c r="F958" s="102"/>
      <c r="G958" s="102"/>
      <c r="H958" s="103"/>
      <c r="I958" s="103"/>
      <c r="J958" s="102"/>
      <c r="K958" s="103"/>
    </row>
    <row r="959" spans="1:11" x14ac:dyDescent="0.5">
      <c r="A959" s="102"/>
      <c r="B959" s="102"/>
      <c r="C959" s="102"/>
      <c r="D959" s="102"/>
      <c r="E959" s="102"/>
      <c r="F959" s="102"/>
      <c r="G959" s="102"/>
      <c r="H959" s="103"/>
      <c r="I959" s="103"/>
      <c r="J959" s="102"/>
      <c r="K959" s="103"/>
    </row>
    <row r="960" spans="1:11" x14ac:dyDescent="0.5">
      <c r="A960" s="102"/>
      <c r="B960" s="102"/>
      <c r="C960" s="102"/>
      <c r="D960" s="102"/>
      <c r="E960" s="102"/>
      <c r="F960" s="102"/>
      <c r="G960" s="102"/>
      <c r="H960" s="103"/>
      <c r="I960" s="103"/>
      <c r="J960" s="102"/>
      <c r="K960" s="103"/>
    </row>
    <row r="961" spans="1:11" x14ac:dyDescent="0.5">
      <c r="A961" s="102"/>
      <c r="B961" s="102"/>
      <c r="C961" s="102"/>
      <c r="D961" s="102"/>
      <c r="E961" s="102"/>
      <c r="F961" s="102"/>
      <c r="G961" s="102"/>
      <c r="H961" s="103"/>
      <c r="I961" s="103"/>
      <c r="J961" s="102"/>
      <c r="K961" s="103"/>
    </row>
    <row r="962" spans="1:11" x14ac:dyDescent="0.5">
      <c r="A962" s="102"/>
      <c r="B962" s="102"/>
      <c r="C962" s="102"/>
      <c r="D962" s="102"/>
      <c r="E962" s="102"/>
      <c r="F962" s="102"/>
      <c r="G962" s="102"/>
      <c r="H962" s="103"/>
      <c r="I962" s="103"/>
      <c r="J962" s="102"/>
      <c r="K962" s="103"/>
    </row>
    <row r="963" spans="1:11" x14ac:dyDescent="0.5">
      <c r="A963" s="102"/>
      <c r="B963" s="102"/>
      <c r="C963" s="102"/>
      <c r="D963" s="102"/>
      <c r="E963" s="102"/>
      <c r="F963" s="102"/>
      <c r="G963" s="102"/>
      <c r="H963" s="103"/>
      <c r="I963" s="103"/>
      <c r="J963" s="102"/>
      <c r="K963" s="103"/>
    </row>
    <row r="964" spans="1:11" x14ac:dyDescent="0.5">
      <c r="A964" s="102"/>
      <c r="B964" s="102"/>
      <c r="C964" s="102"/>
      <c r="D964" s="102"/>
      <c r="E964" s="102"/>
      <c r="F964" s="102"/>
      <c r="G964" s="102"/>
      <c r="H964" s="103"/>
      <c r="I964" s="103"/>
      <c r="J964" s="102"/>
      <c r="K964" s="103"/>
    </row>
    <row r="965" spans="1:11" x14ac:dyDescent="0.5">
      <c r="A965" s="102"/>
      <c r="B965" s="102"/>
      <c r="C965" s="102"/>
      <c r="D965" s="102"/>
      <c r="E965" s="102"/>
      <c r="F965" s="102"/>
      <c r="G965" s="102"/>
      <c r="H965" s="103"/>
      <c r="I965" s="103"/>
      <c r="J965" s="102"/>
      <c r="K965" s="103"/>
    </row>
    <row r="966" spans="1:11" x14ac:dyDescent="0.5">
      <c r="A966" s="102"/>
      <c r="B966" s="102"/>
      <c r="C966" s="102"/>
      <c r="D966" s="102"/>
      <c r="E966" s="102"/>
      <c r="F966" s="102"/>
      <c r="G966" s="102"/>
      <c r="H966" s="103"/>
      <c r="I966" s="103"/>
      <c r="J966" s="102"/>
      <c r="K966" s="103"/>
    </row>
    <row r="967" spans="1:11" x14ac:dyDescent="0.5">
      <c r="A967" s="102"/>
      <c r="B967" s="102"/>
      <c r="C967" s="102"/>
      <c r="D967" s="102"/>
      <c r="E967" s="102"/>
      <c r="F967" s="102"/>
      <c r="G967" s="102"/>
      <c r="H967" s="103"/>
      <c r="I967" s="103"/>
      <c r="J967" s="102"/>
      <c r="K967" s="103"/>
    </row>
    <row r="968" spans="1:11" x14ac:dyDescent="0.5">
      <c r="A968" s="102"/>
      <c r="B968" s="102"/>
      <c r="C968" s="102"/>
      <c r="D968" s="102"/>
      <c r="E968" s="102"/>
      <c r="F968" s="102"/>
      <c r="G968" s="102"/>
      <c r="H968" s="103"/>
      <c r="I968" s="103"/>
      <c r="J968" s="102"/>
      <c r="K968" s="103"/>
    </row>
    <row r="969" spans="1:11" x14ac:dyDescent="0.5">
      <c r="A969" s="102"/>
      <c r="B969" s="102"/>
      <c r="C969" s="102"/>
      <c r="D969" s="102"/>
      <c r="E969" s="102"/>
      <c r="F969" s="102"/>
      <c r="G969" s="102"/>
      <c r="H969" s="103"/>
      <c r="I969" s="103"/>
      <c r="J969" s="102"/>
      <c r="K969" s="103"/>
    </row>
    <row r="970" spans="1:11" x14ac:dyDescent="0.5">
      <c r="A970" s="102"/>
      <c r="B970" s="102"/>
      <c r="C970" s="102"/>
      <c r="D970" s="102"/>
      <c r="E970" s="102"/>
      <c r="F970" s="102"/>
      <c r="G970" s="102"/>
      <c r="H970" s="103"/>
      <c r="I970" s="103"/>
      <c r="J970" s="102"/>
      <c r="K970" s="103"/>
    </row>
    <row r="971" spans="1:11" x14ac:dyDescent="0.5">
      <c r="A971" s="102"/>
      <c r="B971" s="102"/>
      <c r="C971" s="102"/>
      <c r="D971" s="102"/>
      <c r="E971" s="102"/>
      <c r="F971" s="102"/>
      <c r="G971" s="102"/>
      <c r="H971" s="103"/>
      <c r="I971" s="103"/>
      <c r="J971" s="102"/>
      <c r="K971" s="103"/>
    </row>
    <row r="972" spans="1:11" x14ac:dyDescent="0.5">
      <c r="A972" s="102"/>
      <c r="B972" s="102"/>
      <c r="C972" s="102"/>
      <c r="D972" s="102"/>
      <c r="E972" s="102"/>
      <c r="F972" s="102"/>
      <c r="G972" s="102"/>
      <c r="H972" s="103"/>
      <c r="I972" s="103"/>
      <c r="J972" s="102"/>
      <c r="K972" s="103"/>
    </row>
    <row r="973" spans="1:11" x14ac:dyDescent="0.5">
      <c r="A973" s="102"/>
      <c r="B973" s="102"/>
      <c r="C973" s="102"/>
      <c r="D973" s="102"/>
      <c r="E973" s="102"/>
      <c r="F973" s="102"/>
      <c r="G973" s="102"/>
      <c r="H973" s="103"/>
      <c r="I973" s="103"/>
      <c r="J973" s="102"/>
      <c r="K973" s="103"/>
    </row>
    <row r="974" spans="1:11" x14ac:dyDescent="0.5">
      <c r="A974" s="102"/>
      <c r="B974" s="102"/>
      <c r="C974" s="102"/>
      <c r="D974" s="102"/>
      <c r="E974" s="102"/>
      <c r="F974" s="102"/>
      <c r="G974" s="102"/>
      <c r="H974" s="103"/>
      <c r="I974" s="103"/>
      <c r="J974" s="102"/>
      <c r="K974" s="103"/>
    </row>
    <row r="975" spans="1:11" x14ac:dyDescent="0.5">
      <c r="A975" s="102"/>
      <c r="B975" s="102"/>
      <c r="C975" s="102"/>
      <c r="D975" s="102"/>
      <c r="E975" s="102"/>
      <c r="F975" s="102"/>
      <c r="G975" s="102"/>
      <c r="H975" s="103"/>
      <c r="I975" s="103"/>
      <c r="J975" s="102"/>
      <c r="K975" s="103"/>
    </row>
    <row r="976" spans="1:11" x14ac:dyDescent="0.5">
      <c r="A976" s="102"/>
      <c r="B976" s="102"/>
      <c r="C976" s="102"/>
      <c r="D976" s="102"/>
      <c r="E976" s="102"/>
      <c r="F976" s="102"/>
      <c r="G976" s="102"/>
      <c r="H976" s="103"/>
      <c r="I976" s="103"/>
      <c r="J976" s="102"/>
      <c r="K976" s="103"/>
    </row>
    <row r="977" spans="1:11" x14ac:dyDescent="0.5">
      <c r="A977" s="102"/>
      <c r="B977" s="102"/>
      <c r="C977" s="102"/>
      <c r="D977" s="102"/>
      <c r="E977" s="102"/>
      <c r="F977" s="102"/>
      <c r="G977" s="102"/>
      <c r="H977" s="103"/>
      <c r="I977" s="103"/>
      <c r="J977" s="102"/>
      <c r="K977" s="103"/>
    </row>
    <row r="978" spans="1:11" x14ac:dyDescent="0.5">
      <c r="A978" s="102"/>
      <c r="B978" s="102"/>
      <c r="C978" s="102"/>
      <c r="D978" s="102"/>
      <c r="E978" s="102"/>
      <c r="F978" s="102"/>
      <c r="G978" s="102"/>
      <c r="H978" s="103"/>
      <c r="I978" s="103"/>
      <c r="J978" s="102"/>
      <c r="K978" s="103"/>
    </row>
    <row r="979" spans="1:11" x14ac:dyDescent="0.5">
      <c r="A979" s="102"/>
      <c r="B979" s="102"/>
      <c r="C979" s="102"/>
      <c r="D979" s="102"/>
      <c r="E979" s="102"/>
      <c r="F979" s="102"/>
      <c r="G979" s="102"/>
      <c r="H979" s="103"/>
      <c r="I979" s="103"/>
      <c r="J979" s="102"/>
      <c r="K979" s="103"/>
    </row>
    <row r="980" spans="1:11" x14ac:dyDescent="0.5">
      <c r="A980" s="102"/>
      <c r="B980" s="102"/>
      <c r="C980" s="102"/>
      <c r="D980" s="102"/>
      <c r="E980" s="102"/>
      <c r="F980" s="102"/>
      <c r="G980" s="102"/>
      <c r="H980" s="103"/>
      <c r="I980" s="103"/>
      <c r="J980" s="102"/>
      <c r="K980" s="103"/>
    </row>
    <row r="981" spans="1:11" x14ac:dyDescent="0.5">
      <c r="A981" s="102"/>
      <c r="B981" s="102"/>
      <c r="C981" s="102"/>
      <c r="D981" s="102"/>
      <c r="E981" s="102"/>
      <c r="F981" s="102"/>
      <c r="G981" s="102"/>
      <c r="H981" s="103"/>
      <c r="I981" s="103"/>
      <c r="J981" s="102"/>
      <c r="K981" s="103"/>
    </row>
    <row r="982" spans="1:11" x14ac:dyDescent="0.5">
      <c r="A982" s="102"/>
      <c r="B982" s="102"/>
      <c r="C982" s="102"/>
      <c r="D982" s="102"/>
      <c r="E982" s="102"/>
      <c r="F982" s="102"/>
      <c r="G982" s="102"/>
      <c r="H982" s="103"/>
      <c r="I982" s="103"/>
      <c r="J982" s="102"/>
      <c r="K982" s="103"/>
    </row>
    <row r="983" spans="1:11" x14ac:dyDescent="0.5">
      <c r="A983" s="102"/>
      <c r="B983" s="102"/>
      <c r="C983" s="102"/>
      <c r="D983" s="102"/>
      <c r="E983" s="102"/>
      <c r="F983" s="102"/>
      <c r="G983" s="102"/>
      <c r="H983" s="103"/>
      <c r="I983" s="103"/>
      <c r="J983" s="102"/>
      <c r="K983" s="103"/>
    </row>
    <row r="984" spans="1:11" x14ac:dyDescent="0.5">
      <c r="A984" s="102"/>
      <c r="B984" s="102"/>
      <c r="C984" s="102"/>
      <c r="D984" s="102"/>
      <c r="E984" s="102"/>
      <c r="F984" s="102"/>
      <c r="G984" s="102"/>
      <c r="H984" s="103"/>
      <c r="I984" s="103"/>
      <c r="J984" s="102"/>
      <c r="K984" s="103"/>
    </row>
    <row r="985" spans="1:11" x14ac:dyDescent="0.5">
      <c r="A985" s="102"/>
      <c r="B985" s="102"/>
      <c r="C985" s="102"/>
      <c r="D985" s="102"/>
      <c r="E985" s="102"/>
      <c r="F985" s="102"/>
      <c r="G985" s="102"/>
      <c r="H985" s="103"/>
      <c r="I985" s="103"/>
      <c r="J985" s="102"/>
      <c r="K985" s="103"/>
    </row>
    <row r="986" spans="1:11" x14ac:dyDescent="0.5">
      <c r="A986" s="102"/>
      <c r="B986" s="102"/>
      <c r="C986" s="102"/>
      <c r="D986" s="102"/>
      <c r="E986" s="102"/>
      <c r="F986" s="102"/>
      <c r="G986" s="102"/>
      <c r="H986" s="103"/>
      <c r="I986" s="103"/>
      <c r="J986" s="102"/>
      <c r="K986" s="103"/>
    </row>
    <row r="987" spans="1:11" x14ac:dyDescent="0.5">
      <c r="A987" s="102"/>
      <c r="B987" s="102"/>
      <c r="C987" s="102"/>
      <c r="D987" s="102"/>
      <c r="E987" s="102"/>
      <c r="F987" s="102"/>
      <c r="G987" s="102"/>
      <c r="H987" s="103"/>
      <c r="I987" s="103"/>
      <c r="J987" s="102"/>
      <c r="K987" s="103"/>
    </row>
    <row r="988" spans="1:11" x14ac:dyDescent="0.5">
      <c r="A988" s="102"/>
      <c r="B988" s="102"/>
      <c r="C988" s="102"/>
      <c r="D988" s="102"/>
      <c r="E988" s="102"/>
      <c r="F988" s="102"/>
      <c r="G988" s="102"/>
      <c r="H988" s="103"/>
      <c r="I988" s="103"/>
      <c r="J988" s="102"/>
      <c r="K988" s="103"/>
    </row>
    <row r="989" spans="1:11" x14ac:dyDescent="0.5">
      <c r="A989" s="102"/>
      <c r="B989" s="102"/>
      <c r="C989" s="102"/>
      <c r="D989" s="102"/>
      <c r="E989" s="102"/>
      <c r="F989" s="102"/>
      <c r="G989" s="102"/>
      <c r="H989" s="103"/>
      <c r="I989" s="103"/>
      <c r="J989" s="102"/>
      <c r="K989" s="103"/>
    </row>
    <row r="990" spans="1:11" x14ac:dyDescent="0.5">
      <c r="A990" s="102"/>
      <c r="B990" s="102"/>
      <c r="C990" s="102"/>
      <c r="D990" s="102"/>
      <c r="E990" s="102"/>
      <c r="F990" s="102"/>
      <c r="G990" s="102"/>
      <c r="H990" s="103"/>
      <c r="I990" s="103"/>
      <c r="J990" s="102"/>
      <c r="K990" s="103"/>
    </row>
    <row r="991" spans="1:11" x14ac:dyDescent="0.5">
      <c r="A991" s="102"/>
      <c r="B991" s="102"/>
      <c r="C991" s="102"/>
      <c r="D991" s="102"/>
      <c r="E991" s="102"/>
      <c r="F991" s="102"/>
      <c r="G991" s="102"/>
      <c r="H991" s="103"/>
      <c r="I991" s="103"/>
      <c r="J991" s="102"/>
      <c r="K991" s="103"/>
    </row>
    <row r="992" spans="1:11" x14ac:dyDescent="0.5">
      <c r="A992" s="102"/>
      <c r="B992" s="102"/>
      <c r="C992" s="102"/>
      <c r="D992" s="102"/>
      <c r="E992" s="102"/>
      <c r="F992" s="102"/>
      <c r="G992" s="102"/>
      <c r="H992" s="103"/>
      <c r="I992" s="103"/>
      <c r="J992" s="102"/>
      <c r="K992" s="103"/>
    </row>
    <row r="993" spans="1:11" x14ac:dyDescent="0.5">
      <c r="A993" s="102"/>
      <c r="B993" s="102"/>
      <c r="C993" s="102"/>
      <c r="D993" s="102"/>
      <c r="E993" s="102"/>
      <c r="F993" s="102"/>
      <c r="G993" s="102"/>
      <c r="H993" s="103"/>
      <c r="I993" s="103"/>
      <c r="J993" s="102"/>
      <c r="K993" s="103"/>
    </row>
    <row r="994" spans="1:11" x14ac:dyDescent="0.5">
      <c r="A994" s="102"/>
      <c r="B994" s="102"/>
      <c r="C994" s="102"/>
      <c r="D994" s="102"/>
      <c r="E994" s="102"/>
      <c r="F994" s="102"/>
      <c r="G994" s="102"/>
      <c r="H994" s="103"/>
      <c r="I994" s="103"/>
      <c r="J994" s="102"/>
      <c r="K994" s="103"/>
    </row>
    <row r="995" spans="1:11" x14ac:dyDescent="0.5">
      <c r="A995" s="102"/>
      <c r="B995" s="102"/>
      <c r="C995" s="102"/>
      <c r="D995" s="102"/>
      <c r="E995" s="102"/>
      <c r="F995" s="102"/>
      <c r="G995" s="102"/>
      <c r="H995" s="103"/>
      <c r="I995" s="103"/>
      <c r="J995" s="102"/>
      <c r="K995" s="103"/>
    </row>
    <row r="996" spans="1:11" x14ac:dyDescent="0.5">
      <c r="A996" s="102"/>
      <c r="B996" s="102"/>
      <c r="C996" s="102"/>
      <c r="D996" s="102"/>
      <c r="E996" s="102"/>
      <c r="F996" s="102"/>
      <c r="G996" s="102"/>
      <c r="H996" s="103"/>
      <c r="I996" s="103"/>
      <c r="J996" s="102"/>
      <c r="K996" s="103"/>
    </row>
    <row r="997" spans="1:11" x14ac:dyDescent="0.5">
      <c r="A997" s="102"/>
      <c r="B997" s="102"/>
      <c r="C997" s="102"/>
      <c r="D997" s="102"/>
      <c r="E997" s="102"/>
      <c r="F997" s="102"/>
      <c r="G997" s="102"/>
      <c r="H997" s="103"/>
      <c r="I997" s="103"/>
      <c r="J997" s="102"/>
      <c r="K997" s="103"/>
    </row>
    <row r="998" spans="1:11" x14ac:dyDescent="0.5">
      <c r="A998" s="102"/>
      <c r="B998" s="102"/>
      <c r="C998" s="102"/>
      <c r="D998" s="102"/>
      <c r="E998" s="102"/>
      <c r="F998" s="102"/>
      <c r="G998" s="102"/>
      <c r="H998" s="103"/>
      <c r="I998" s="103"/>
      <c r="J998" s="102"/>
      <c r="K998" s="103"/>
    </row>
    <row r="999" spans="1:11" x14ac:dyDescent="0.5">
      <c r="A999" s="102"/>
      <c r="B999" s="102"/>
      <c r="C999" s="102"/>
      <c r="D999" s="102"/>
      <c r="E999" s="102"/>
      <c r="F999" s="102"/>
      <c r="G999" s="102"/>
      <c r="H999" s="103"/>
      <c r="I999" s="103"/>
      <c r="J999" s="102"/>
      <c r="K999" s="103"/>
    </row>
    <row r="1000" spans="1:11" x14ac:dyDescent="0.5">
      <c r="A1000" s="102"/>
      <c r="B1000" s="102"/>
      <c r="C1000" s="102"/>
      <c r="D1000" s="102"/>
      <c r="E1000" s="102"/>
      <c r="F1000" s="102"/>
      <c r="G1000" s="102"/>
      <c r="H1000" s="103"/>
      <c r="I1000" s="103"/>
      <c r="J1000" s="102"/>
      <c r="K1000" s="103"/>
    </row>
    <row r="1001" spans="1:11" x14ac:dyDescent="0.5">
      <c r="A1001" s="102"/>
      <c r="B1001" s="102"/>
      <c r="C1001" s="102"/>
      <c r="D1001" s="102"/>
      <c r="E1001" s="102"/>
      <c r="F1001" s="102"/>
      <c r="G1001" s="102"/>
      <c r="H1001" s="103"/>
      <c r="I1001" s="103"/>
      <c r="J1001" s="102"/>
      <c r="K1001" s="103"/>
    </row>
    <row r="1002" spans="1:11" x14ac:dyDescent="0.5">
      <c r="A1002" s="102"/>
      <c r="B1002" s="102"/>
      <c r="C1002" s="102"/>
      <c r="D1002" s="102"/>
      <c r="E1002" s="102"/>
      <c r="F1002" s="102"/>
      <c r="G1002" s="102"/>
      <c r="H1002" s="103"/>
      <c r="I1002" s="103"/>
      <c r="J1002" s="102"/>
      <c r="K1002" s="103"/>
    </row>
    <row r="1003" spans="1:11" x14ac:dyDescent="0.5">
      <c r="A1003" s="102"/>
      <c r="B1003" s="102"/>
      <c r="C1003" s="102"/>
      <c r="D1003" s="102"/>
      <c r="E1003" s="102"/>
      <c r="F1003" s="102"/>
      <c r="G1003" s="102"/>
      <c r="H1003" s="103"/>
      <c r="I1003" s="103"/>
      <c r="J1003" s="102"/>
      <c r="K1003" s="103"/>
    </row>
    <row r="1004" spans="1:11" x14ac:dyDescent="0.5">
      <c r="A1004" s="102"/>
      <c r="B1004" s="102"/>
      <c r="C1004" s="102"/>
      <c r="D1004" s="102"/>
      <c r="E1004" s="102"/>
      <c r="F1004" s="102"/>
      <c r="G1004" s="102"/>
      <c r="H1004" s="103"/>
      <c r="I1004" s="103"/>
      <c r="J1004" s="102"/>
      <c r="K1004" s="103"/>
    </row>
    <row r="1005" spans="1:11" x14ac:dyDescent="0.5">
      <c r="A1005" s="102"/>
      <c r="B1005" s="102"/>
      <c r="C1005" s="102"/>
      <c r="D1005" s="102"/>
      <c r="E1005" s="102"/>
      <c r="F1005" s="102"/>
      <c r="G1005" s="102"/>
      <c r="H1005" s="103"/>
      <c r="I1005" s="103"/>
      <c r="J1005" s="102"/>
      <c r="K1005" s="103"/>
    </row>
    <row r="1006" spans="1:11" x14ac:dyDescent="0.5">
      <c r="A1006" s="102"/>
      <c r="B1006" s="102"/>
      <c r="C1006" s="102"/>
      <c r="D1006" s="102"/>
      <c r="E1006" s="102"/>
      <c r="F1006" s="102"/>
      <c r="G1006" s="102"/>
      <c r="H1006" s="103"/>
      <c r="I1006" s="103"/>
      <c r="J1006" s="102"/>
      <c r="K1006" s="103"/>
    </row>
    <row r="1007" spans="1:11" x14ac:dyDescent="0.5">
      <c r="A1007" s="102"/>
      <c r="B1007" s="102"/>
      <c r="C1007" s="102"/>
      <c r="D1007" s="102"/>
      <c r="E1007" s="102"/>
      <c r="F1007" s="102"/>
      <c r="G1007" s="102"/>
      <c r="H1007" s="103"/>
      <c r="I1007" s="103"/>
      <c r="J1007" s="102"/>
      <c r="K1007" s="103"/>
    </row>
    <row r="1008" spans="1:11" x14ac:dyDescent="0.5">
      <c r="A1008" s="102"/>
      <c r="B1008" s="102"/>
      <c r="C1008" s="102"/>
      <c r="D1008" s="102"/>
      <c r="E1008" s="102"/>
      <c r="F1008" s="102"/>
      <c r="G1008" s="102"/>
      <c r="H1008" s="103"/>
      <c r="I1008" s="103"/>
      <c r="J1008" s="102"/>
      <c r="K1008" s="103"/>
    </row>
    <row r="1009" spans="1:11" x14ac:dyDescent="0.5">
      <c r="A1009" s="102"/>
      <c r="B1009" s="102"/>
      <c r="C1009" s="102"/>
      <c r="D1009" s="102"/>
      <c r="E1009" s="102"/>
      <c r="F1009" s="102"/>
      <c r="G1009" s="102"/>
      <c r="H1009" s="103"/>
      <c r="I1009" s="103"/>
      <c r="J1009" s="102"/>
      <c r="K1009" s="103"/>
    </row>
    <row r="1010" spans="1:11" x14ac:dyDescent="0.5">
      <c r="A1010" s="102"/>
      <c r="B1010" s="102"/>
      <c r="C1010" s="102"/>
      <c r="D1010" s="102"/>
      <c r="E1010" s="102"/>
      <c r="F1010" s="102"/>
      <c r="G1010" s="102"/>
      <c r="H1010" s="103"/>
      <c r="I1010" s="103"/>
      <c r="J1010" s="102"/>
      <c r="K1010" s="103"/>
    </row>
    <row r="1011" spans="1:11" x14ac:dyDescent="0.5">
      <c r="A1011" s="102"/>
      <c r="B1011" s="102"/>
      <c r="C1011" s="102"/>
      <c r="D1011" s="102"/>
      <c r="E1011" s="102"/>
      <c r="F1011" s="102"/>
      <c r="G1011" s="102"/>
      <c r="H1011" s="103"/>
      <c r="I1011" s="103"/>
      <c r="J1011" s="102"/>
      <c r="K1011" s="103"/>
    </row>
    <row r="1012" spans="1:11" x14ac:dyDescent="0.5">
      <c r="A1012" s="102"/>
      <c r="B1012" s="102"/>
      <c r="C1012" s="102"/>
      <c r="D1012" s="102"/>
      <c r="E1012" s="102"/>
      <c r="F1012" s="102"/>
      <c r="G1012" s="102"/>
      <c r="H1012" s="103"/>
      <c r="I1012" s="103"/>
      <c r="J1012" s="102"/>
      <c r="K1012" s="103"/>
    </row>
    <row r="1013" spans="1:11" x14ac:dyDescent="0.5">
      <c r="A1013" s="102"/>
      <c r="B1013" s="102"/>
      <c r="C1013" s="102"/>
      <c r="D1013" s="102"/>
      <c r="E1013" s="102"/>
      <c r="F1013" s="102"/>
      <c r="G1013" s="102"/>
      <c r="H1013" s="103"/>
      <c r="I1013" s="103"/>
      <c r="J1013" s="102"/>
      <c r="K1013" s="103"/>
    </row>
    <row r="1014" spans="1:11" x14ac:dyDescent="0.5">
      <c r="A1014" s="102"/>
      <c r="B1014" s="102"/>
      <c r="C1014" s="102"/>
      <c r="D1014" s="102"/>
      <c r="E1014" s="102"/>
      <c r="F1014" s="102"/>
      <c r="G1014" s="102"/>
      <c r="H1014" s="103"/>
      <c r="I1014" s="103"/>
      <c r="J1014" s="102"/>
      <c r="K1014" s="103"/>
    </row>
    <row r="1015" spans="1:11" x14ac:dyDescent="0.5">
      <c r="A1015" s="102"/>
      <c r="B1015" s="102"/>
      <c r="C1015" s="102"/>
      <c r="D1015" s="102"/>
      <c r="E1015" s="102"/>
      <c r="F1015" s="102"/>
      <c r="G1015" s="102"/>
      <c r="H1015" s="103"/>
      <c r="I1015" s="103"/>
      <c r="J1015" s="102"/>
      <c r="K1015" s="103"/>
    </row>
    <row r="1016" spans="1:11" x14ac:dyDescent="0.5">
      <c r="A1016" s="102"/>
      <c r="B1016" s="102"/>
      <c r="C1016" s="102"/>
      <c r="D1016" s="102"/>
      <c r="E1016" s="102"/>
      <c r="F1016" s="102"/>
      <c r="G1016" s="102"/>
      <c r="H1016" s="103"/>
      <c r="I1016" s="103"/>
      <c r="J1016" s="102"/>
      <c r="K1016" s="103"/>
    </row>
    <row r="1017" spans="1:11" x14ac:dyDescent="0.5">
      <c r="A1017" s="102"/>
      <c r="B1017" s="102"/>
      <c r="C1017" s="102"/>
      <c r="D1017" s="102"/>
      <c r="E1017" s="102"/>
      <c r="F1017" s="102"/>
      <c r="G1017" s="102"/>
      <c r="H1017" s="103"/>
      <c r="I1017" s="103"/>
      <c r="J1017" s="102"/>
      <c r="K1017" s="103"/>
    </row>
    <row r="1018" spans="1:11" x14ac:dyDescent="0.5">
      <c r="A1018" s="102"/>
      <c r="B1018" s="102"/>
      <c r="C1018" s="102"/>
      <c r="D1018" s="102"/>
      <c r="E1018" s="102"/>
      <c r="F1018" s="102"/>
      <c r="G1018" s="102"/>
      <c r="H1018" s="103"/>
      <c r="I1018" s="103"/>
      <c r="J1018" s="102"/>
      <c r="K1018" s="103"/>
    </row>
    <row r="1019" spans="1:11" x14ac:dyDescent="0.5">
      <c r="A1019" s="102"/>
      <c r="B1019" s="102"/>
      <c r="C1019" s="102"/>
      <c r="D1019" s="102"/>
      <c r="E1019" s="102"/>
      <c r="F1019" s="102"/>
      <c r="G1019" s="102"/>
      <c r="H1019" s="103"/>
      <c r="I1019" s="103"/>
      <c r="J1019" s="102"/>
      <c r="K1019" s="103"/>
    </row>
    <row r="1020" spans="1:11" x14ac:dyDescent="0.5">
      <c r="A1020" s="102"/>
      <c r="B1020" s="102"/>
      <c r="C1020" s="102"/>
      <c r="D1020" s="102"/>
      <c r="E1020" s="102"/>
      <c r="F1020" s="102"/>
      <c r="G1020" s="102"/>
      <c r="H1020" s="103"/>
      <c r="I1020" s="103"/>
      <c r="J1020" s="102"/>
      <c r="K1020" s="103"/>
    </row>
    <row r="1021" spans="1:11" x14ac:dyDescent="0.5">
      <c r="A1021" s="102"/>
      <c r="B1021" s="102"/>
      <c r="C1021" s="102"/>
      <c r="D1021" s="102"/>
      <c r="E1021" s="102"/>
      <c r="F1021" s="102"/>
      <c r="G1021" s="102"/>
      <c r="H1021" s="103"/>
      <c r="I1021" s="103"/>
      <c r="J1021" s="102"/>
      <c r="K1021" s="103"/>
    </row>
    <row r="1022" spans="1:11" x14ac:dyDescent="0.5">
      <c r="A1022" s="102"/>
      <c r="B1022" s="102"/>
      <c r="C1022" s="102"/>
      <c r="D1022" s="102"/>
      <c r="E1022" s="102"/>
      <c r="F1022" s="102"/>
      <c r="G1022" s="102"/>
      <c r="H1022" s="103"/>
      <c r="I1022" s="103"/>
      <c r="J1022" s="102"/>
      <c r="K1022" s="103"/>
    </row>
    <row r="1023" spans="1:11" x14ac:dyDescent="0.5">
      <c r="A1023" s="102"/>
      <c r="B1023" s="102"/>
      <c r="C1023" s="102"/>
      <c r="D1023" s="102"/>
      <c r="E1023" s="102"/>
      <c r="F1023" s="102"/>
      <c r="G1023" s="102"/>
      <c r="H1023" s="103"/>
      <c r="I1023" s="103"/>
      <c r="J1023" s="102"/>
      <c r="K1023" s="103"/>
    </row>
    <row r="1024" spans="1:11" x14ac:dyDescent="0.5">
      <c r="A1024" s="102"/>
      <c r="B1024" s="102"/>
      <c r="C1024" s="102"/>
      <c r="D1024" s="102"/>
      <c r="E1024" s="102"/>
      <c r="F1024" s="102"/>
      <c r="G1024" s="102"/>
      <c r="H1024" s="103"/>
      <c r="I1024" s="103"/>
      <c r="J1024" s="102"/>
      <c r="K1024" s="103"/>
    </row>
    <row r="1025" spans="1:11" x14ac:dyDescent="0.5">
      <c r="A1025" s="102"/>
      <c r="B1025" s="102"/>
      <c r="C1025" s="102"/>
      <c r="D1025" s="102"/>
      <c r="E1025" s="102"/>
      <c r="F1025" s="102"/>
      <c r="G1025" s="102"/>
      <c r="H1025" s="103"/>
      <c r="I1025" s="103"/>
      <c r="J1025" s="102"/>
      <c r="K1025" s="103"/>
    </row>
    <row r="1026" spans="1:11" x14ac:dyDescent="0.5">
      <c r="A1026" s="102"/>
      <c r="B1026" s="102"/>
      <c r="C1026" s="102"/>
      <c r="D1026" s="102"/>
      <c r="E1026" s="102"/>
      <c r="F1026" s="102"/>
      <c r="G1026" s="102"/>
      <c r="H1026" s="103"/>
      <c r="I1026" s="103"/>
      <c r="J1026" s="102"/>
      <c r="K1026" s="103"/>
    </row>
    <row r="1027" spans="1:11" x14ac:dyDescent="0.5">
      <c r="A1027" s="102"/>
      <c r="B1027" s="102"/>
      <c r="C1027" s="102"/>
      <c r="D1027" s="102"/>
      <c r="E1027" s="102"/>
      <c r="F1027" s="102"/>
      <c r="G1027" s="102"/>
      <c r="H1027" s="103"/>
      <c r="I1027" s="103"/>
      <c r="J1027" s="102"/>
      <c r="K1027" s="103"/>
    </row>
    <row r="1028" spans="1:11" x14ac:dyDescent="0.5">
      <c r="A1028" s="102"/>
      <c r="B1028" s="102"/>
      <c r="C1028" s="102"/>
      <c r="D1028" s="102"/>
      <c r="E1028" s="102"/>
      <c r="F1028" s="102"/>
      <c r="G1028" s="102"/>
      <c r="H1028" s="103"/>
      <c r="I1028" s="103"/>
      <c r="J1028" s="102"/>
      <c r="K1028" s="103"/>
    </row>
    <row r="1029" spans="1:11" x14ac:dyDescent="0.5">
      <c r="A1029" s="102"/>
      <c r="B1029" s="102"/>
      <c r="C1029" s="102"/>
      <c r="D1029" s="102"/>
      <c r="E1029" s="102"/>
      <c r="F1029" s="102"/>
      <c r="G1029" s="102"/>
      <c r="H1029" s="103"/>
      <c r="I1029" s="103"/>
      <c r="J1029" s="102"/>
      <c r="K1029" s="103"/>
    </row>
    <row r="1030" spans="1:11" x14ac:dyDescent="0.5">
      <c r="A1030" s="102"/>
      <c r="B1030" s="102"/>
      <c r="C1030" s="102"/>
      <c r="D1030" s="102"/>
      <c r="E1030" s="102"/>
      <c r="F1030" s="102"/>
      <c r="G1030" s="102"/>
      <c r="H1030" s="103"/>
      <c r="I1030" s="103"/>
      <c r="J1030" s="102"/>
      <c r="K1030" s="103"/>
    </row>
    <row r="1031" spans="1:11" x14ac:dyDescent="0.5">
      <c r="A1031" s="102"/>
      <c r="B1031" s="102"/>
      <c r="C1031" s="102"/>
      <c r="D1031" s="102"/>
      <c r="E1031" s="102"/>
      <c r="F1031" s="102"/>
      <c r="G1031" s="102"/>
      <c r="H1031" s="103"/>
      <c r="I1031" s="103"/>
      <c r="J1031" s="102"/>
      <c r="K1031" s="103"/>
    </row>
    <row r="1032" spans="1:11" x14ac:dyDescent="0.5">
      <c r="A1032" s="102"/>
      <c r="B1032" s="102"/>
      <c r="C1032" s="102"/>
      <c r="D1032" s="102"/>
      <c r="E1032" s="102"/>
      <c r="F1032" s="102"/>
      <c r="G1032" s="102"/>
      <c r="H1032" s="103"/>
      <c r="I1032" s="103"/>
      <c r="J1032" s="102"/>
      <c r="K1032" s="103"/>
    </row>
    <row r="1034" spans="1:11" x14ac:dyDescent="0.5">
      <c r="F1034" s="81">
        <f>COUNTA(F937:F1032)</f>
        <v>0</v>
      </c>
    </row>
  </sheetData>
  <mergeCells count="1">
    <mergeCell ref="F4:K4"/>
  </mergeCells>
  <printOptions horizontalCentered="1"/>
  <pageMargins left="0.7" right="0.7" top="0.75" bottom="0.75" header="0.3" footer="0.3"/>
  <pageSetup firstPageNumber="4294967295" fitToHeight="100" orientation="portrait" horizontalDpi="1200" verticalDpi="1200" r:id="rId1"/>
  <headerFooter alignWithMargins="0">
    <oddHeader>&amp;R</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Z45"/>
  <sheetViews>
    <sheetView view="pageBreakPreview" zoomScale="80" zoomScaleNormal="100" zoomScaleSheetLayoutView="80" workbookViewId="0"/>
  </sheetViews>
  <sheetFormatPr defaultColWidth="9" defaultRowHeight="15.6" x14ac:dyDescent="0.6"/>
  <cols>
    <col min="1" max="1" width="6" style="139" bestFit="1" customWidth="1"/>
    <col min="2" max="2" width="41.15625" style="139" bestFit="1" customWidth="1"/>
    <col min="3" max="3" width="2.7890625" style="139" customWidth="1"/>
    <col min="4" max="4" width="13.5234375" style="139" customWidth="1"/>
    <col min="5" max="5" width="2" style="139" customWidth="1"/>
    <col min="6" max="6" width="13.5234375" style="139" customWidth="1"/>
    <col min="7" max="7" width="2.5234375" style="139" customWidth="1"/>
    <col min="8" max="8" width="10.5234375" style="139" customWidth="1"/>
    <col min="9" max="9" width="2.7890625" style="139" customWidth="1"/>
    <col min="10" max="10" width="10.5234375" style="139" customWidth="1"/>
    <col min="11" max="11" width="3" style="139" bestFit="1" customWidth="1"/>
    <col min="12" max="12" width="2.7890625" style="139" customWidth="1"/>
    <col min="13" max="13" width="10.5234375" style="139" customWidth="1"/>
    <col min="14" max="14" width="3" style="139" bestFit="1" customWidth="1"/>
    <col min="15" max="15" width="2.7890625" style="139" customWidth="1"/>
    <col min="16" max="16" width="9" style="139" customWidth="1"/>
    <col min="17" max="17" width="3" style="139" bestFit="1" customWidth="1"/>
    <col min="18" max="18" width="2.7890625" style="139" customWidth="1"/>
    <col min="19" max="19" width="10.5234375" style="139" customWidth="1"/>
    <col min="20" max="20" width="3" style="139" bestFit="1" customWidth="1"/>
    <col min="21" max="21" width="2.7890625" style="139" customWidth="1"/>
    <col min="22" max="22" width="12.734375" style="139" customWidth="1"/>
    <col min="23" max="23" width="4" style="139" customWidth="1"/>
    <col min="24" max="24" width="7" style="649" bestFit="1" customWidth="1"/>
    <col min="25" max="25" width="20.26171875" style="184" customWidth="1"/>
    <col min="26" max="26" width="11.734375" style="184" customWidth="1"/>
    <col min="27" max="16384" width="9" style="184"/>
  </cols>
  <sheetData>
    <row r="1" spans="1:26" x14ac:dyDescent="0.6">
      <c r="B1" s="579" t="str">
        <f>Input!G28</f>
        <v>Atmos Energy Corporation</v>
      </c>
      <c r="C1" s="177"/>
      <c r="D1" s="177"/>
      <c r="E1" s="177"/>
      <c r="F1" s="177"/>
      <c r="G1" s="177"/>
      <c r="H1" s="177"/>
      <c r="I1" s="177"/>
      <c r="J1" s="177"/>
      <c r="K1" s="177"/>
      <c r="L1" s="177"/>
      <c r="M1" s="177"/>
      <c r="N1" s="177"/>
      <c r="O1" s="177"/>
      <c r="P1" s="177"/>
      <c r="Q1" s="177"/>
      <c r="R1" s="177"/>
      <c r="S1" s="177"/>
      <c r="T1" s="177"/>
      <c r="U1" s="177"/>
      <c r="V1" s="177"/>
      <c r="W1" s="177"/>
    </row>
    <row r="2" spans="1:26" x14ac:dyDescent="0.6">
      <c r="B2" s="177" t="s">
        <v>1259</v>
      </c>
      <c r="C2" s="177"/>
      <c r="D2" s="177"/>
      <c r="E2" s="177"/>
      <c r="F2" s="177"/>
      <c r="G2" s="177"/>
      <c r="H2" s="177"/>
      <c r="I2" s="177"/>
      <c r="J2" s="177"/>
      <c r="K2" s="177"/>
      <c r="L2" s="177"/>
      <c r="M2" s="177"/>
      <c r="N2" s="177"/>
      <c r="O2" s="177"/>
      <c r="P2" s="177"/>
      <c r="Q2" s="177"/>
      <c r="R2" s="177"/>
      <c r="S2" s="177"/>
      <c r="T2" s="177"/>
      <c r="U2" s="177"/>
      <c r="V2" s="177"/>
      <c r="W2" s="177"/>
    </row>
    <row r="3" spans="1:26" x14ac:dyDescent="0.6">
      <c r="B3" s="579" t="s">
        <v>1260</v>
      </c>
      <c r="C3" s="177"/>
      <c r="D3" s="177"/>
      <c r="E3" s="177"/>
      <c r="F3" s="177"/>
      <c r="G3" s="177"/>
      <c r="H3" s="177"/>
      <c r="I3" s="177"/>
      <c r="J3" s="177"/>
      <c r="K3" s="177"/>
      <c r="L3" s="177"/>
      <c r="M3" s="177"/>
      <c r="N3" s="177"/>
      <c r="O3" s="177"/>
      <c r="P3" s="177"/>
      <c r="Q3" s="177"/>
      <c r="R3" s="177"/>
      <c r="S3" s="177"/>
      <c r="T3" s="177"/>
      <c r="U3" s="177"/>
      <c r="V3" s="177"/>
      <c r="W3" s="177"/>
    </row>
    <row r="5" spans="1:26" x14ac:dyDescent="0.6">
      <c r="B5" s="1390" t="str">
        <f>CONCATENATE(Input!$I$32)</f>
        <v>Proxy Group of Seven Natural Gas Companies</v>
      </c>
      <c r="C5" s="1390"/>
      <c r="D5" s="1390"/>
      <c r="E5" s="1390"/>
      <c r="F5" s="1390"/>
      <c r="G5" s="1390"/>
      <c r="H5" s="1390"/>
      <c r="I5" s="1390"/>
      <c r="J5" s="1390"/>
      <c r="K5" s="1390"/>
      <c r="L5" s="1390"/>
      <c r="M5" s="1390"/>
      <c r="N5" s="1390"/>
      <c r="O5" s="1390"/>
      <c r="P5" s="1390"/>
      <c r="Q5" s="1390"/>
      <c r="R5" s="1390"/>
      <c r="S5" s="1390"/>
      <c r="T5" s="1390"/>
      <c r="U5" s="1390"/>
      <c r="V5" s="1390"/>
      <c r="W5" s="1390"/>
    </row>
    <row r="6" spans="1:26" x14ac:dyDescent="0.6">
      <c r="B6" s="572"/>
      <c r="C6" s="572"/>
      <c r="D6" s="572"/>
      <c r="E6" s="572"/>
      <c r="F6" s="572"/>
      <c r="G6" s="572"/>
      <c r="H6" s="572"/>
      <c r="I6" s="572"/>
      <c r="J6" s="572"/>
      <c r="K6" s="572"/>
      <c r="L6" s="572"/>
      <c r="M6" s="572"/>
      <c r="N6" s="572"/>
      <c r="O6" s="572"/>
      <c r="P6" s="572"/>
      <c r="Q6" s="572"/>
      <c r="R6" s="572"/>
      <c r="S6" s="572"/>
      <c r="T6" s="572"/>
      <c r="U6" s="572"/>
      <c r="V6" s="572"/>
      <c r="W6" s="572"/>
    </row>
    <row r="7" spans="1:26" x14ac:dyDescent="0.6">
      <c r="D7" s="214" t="s">
        <v>1163</v>
      </c>
      <c r="E7" s="214"/>
      <c r="F7" s="214" t="s">
        <v>1164</v>
      </c>
      <c r="G7" s="214"/>
      <c r="H7" s="214" t="s">
        <v>1165</v>
      </c>
      <c r="J7" s="177" t="s">
        <v>1166</v>
      </c>
      <c r="K7" s="177"/>
      <c r="M7" s="177" t="s">
        <v>1167</v>
      </c>
      <c r="N7" s="177"/>
      <c r="P7" s="177" t="s">
        <v>1168</v>
      </c>
      <c r="Q7" s="177"/>
      <c r="S7" s="177" t="s">
        <v>1169</v>
      </c>
      <c r="T7" s="177"/>
      <c r="V7" s="177" t="s">
        <v>1170</v>
      </c>
      <c r="W7" s="177"/>
    </row>
    <row r="9" spans="1:26" ht="45.6" x14ac:dyDescent="0.6">
      <c r="B9" s="585" t="str">
        <f>Input!I32</f>
        <v>Proxy Group of Seven Natural Gas Companies</v>
      </c>
      <c r="D9" s="181" t="s">
        <v>1261</v>
      </c>
      <c r="E9" s="589"/>
      <c r="F9" s="181" t="s">
        <v>1262</v>
      </c>
      <c r="G9" s="589"/>
      <c r="H9" s="181" t="s">
        <v>1263</v>
      </c>
      <c r="I9" s="214"/>
      <c r="J9" s="1391" t="s">
        <v>1264</v>
      </c>
      <c r="K9" s="1406"/>
      <c r="L9" s="214"/>
      <c r="M9" s="1391" t="s">
        <v>1265</v>
      </c>
      <c r="N9" s="1406"/>
      <c r="O9" s="214"/>
      <c r="P9" s="1391" t="s">
        <v>1266</v>
      </c>
      <c r="Q9" s="1406"/>
      <c r="R9" s="214"/>
      <c r="S9" s="1391" t="s">
        <v>1267</v>
      </c>
      <c r="T9" s="1406"/>
      <c r="U9" s="214"/>
      <c r="V9" s="1391" t="s">
        <v>1268</v>
      </c>
      <c r="W9" s="1407"/>
    </row>
    <row r="10" spans="1:26" x14ac:dyDescent="0.6">
      <c r="Y10" s="21" t="s">
        <v>1082</v>
      </c>
      <c r="Z10" s="22">
        <f>AVERAGE(V11:V17)</f>
        <v>11.327142857142858</v>
      </c>
    </row>
    <row r="11" spans="1:26" x14ac:dyDescent="0.6">
      <c r="A11" s="139" t="str">
        <f>Input!A2</f>
        <v>ATO</v>
      </c>
      <c r="B11" s="139" t="str">
        <f>VLOOKUP(A11,'Proxy Data Lookup'!A:P,2,FALSE)</f>
        <v>Atmos Energy Corporation</v>
      </c>
      <c r="D11" s="581">
        <f>VLOOKUP(A11,'Proxy Data Lookup'!A:P,6,FALSE)</f>
        <v>0.9</v>
      </c>
      <c r="F11" s="581">
        <f>VLOOKUP(A11,'Proxy Data Lookup'!A:P,7,FALSE)</f>
        <v>0.60510551929473877</v>
      </c>
      <c r="H11" s="211">
        <f>IFERROR(ROUND(AVERAGE(D11:F11),2),"NA")</f>
        <v>0.75</v>
      </c>
      <c r="J11" s="583">
        <f>'1.22 CAPM Notes'!$N$35</f>
        <v>8.2779621368179104</v>
      </c>
      <c r="K11" s="650" t="s">
        <v>1090</v>
      </c>
      <c r="M11" s="211">
        <f>'1.22 CAPM Notes'!$N$49</f>
        <v>4.5599999999999996</v>
      </c>
      <c r="N11" s="650" t="s">
        <v>1090</v>
      </c>
      <c r="P11" s="229">
        <f>IFERROR((H11*J11) + M11,"NA")</f>
        <v>10.768471602613431</v>
      </c>
      <c r="Q11" s="650" t="s">
        <v>1090</v>
      </c>
      <c r="S11" s="229">
        <f>IFERROR((0.75*(H11*J11))+(0.25*J11)+M11,"NA")</f>
        <v>11.28584423616455</v>
      </c>
      <c r="T11" s="650" t="s">
        <v>1090</v>
      </c>
      <c r="V11" s="229">
        <f>IFERROR(ROUND(AVERAGE(P11:S11),2),"NA")</f>
        <v>11.03</v>
      </c>
      <c r="W11" s="650" t="str">
        <f>IF(OR(V11&gt;$Z$12, V11&lt;$Z$13), "(4)","%")</f>
        <v>%</v>
      </c>
      <c r="X11" s="214"/>
      <c r="Y11" s="23" t="s">
        <v>1177</v>
      </c>
      <c r="Z11" s="24">
        <f>2*(_xlfn.STDEV.P(V11:V17))</f>
        <v>0.64796069419717861</v>
      </c>
    </row>
    <row r="12" spans="1:26" x14ac:dyDescent="0.6">
      <c r="A12" s="139" t="str">
        <f>Input!A3</f>
        <v>NJR</v>
      </c>
      <c r="B12" s="139" t="str">
        <f>VLOOKUP(A12,'Proxy Data Lookup'!A:P,2,FALSE)</f>
        <v>New Jersey Resources Corporation</v>
      </c>
      <c r="D12" s="581">
        <f>VLOOKUP(A12,'Proxy Data Lookup'!A:P,6,FALSE)</f>
        <v>1</v>
      </c>
      <c r="F12" s="581">
        <f>VLOOKUP(A12,'Proxy Data Lookup'!A:P,7,FALSE)</f>
        <v>0.62544214725494385</v>
      </c>
      <c r="H12" s="211">
        <f t="shared" ref="H12:H17" si="0">IFERROR(ROUND(AVERAGE(D12:F12),2),"NA")</f>
        <v>0.81</v>
      </c>
      <c r="J12" s="583">
        <f>'1.22 CAPM Notes'!$N$35</f>
        <v>8.2779621368179104</v>
      </c>
      <c r="M12" s="211">
        <f>'1.22 CAPM Notes'!$N$49</f>
        <v>4.5599999999999996</v>
      </c>
      <c r="P12" s="229">
        <f t="shared" ref="P12:P17" si="1">IFERROR((H12*J12) + M12,"NA")</f>
        <v>11.265149330822506</v>
      </c>
      <c r="Q12" s="650"/>
      <c r="S12" s="229">
        <f t="shared" ref="S12:S17" si="2">IFERROR((0.75*(H12*J12))+(0.25*J12)+M12,"NA")</f>
        <v>11.658352532321359</v>
      </c>
      <c r="T12" s="650"/>
      <c r="V12" s="229">
        <f t="shared" ref="V12:V17" si="3">IFERROR(ROUND(AVERAGE(P12:S12),2),"NA")</f>
        <v>11.46</v>
      </c>
      <c r="W12" s="139" t="str">
        <f t="shared" ref="W12:W17" si="4">IF(OR(V12&gt;$Z$12, V12&lt;$Z$13), "(4)","")</f>
        <v/>
      </c>
      <c r="X12" s="214"/>
      <c r="Y12" s="23" t="s">
        <v>1178</v>
      </c>
      <c r="Z12" s="25">
        <f>Z10+Z11</f>
        <v>11.975103551340037</v>
      </c>
    </row>
    <row r="13" spans="1:26" x14ac:dyDescent="0.6">
      <c r="A13" s="139" t="str">
        <f>Input!A4</f>
        <v>NI</v>
      </c>
      <c r="B13" s="139" t="str">
        <f>VLOOKUP(A13,'Proxy Data Lookup'!A:P,2,FALSE)</f>
        <v>NiSource Inc.</v>
      </c>
      <c r="D13" s="581">
        <f>VLOOKUP(A13,'Proxy Data Lookup'!A:P,6,FALSE)</f>
        <v>0.95</v>
      </c>
      <c r="F13" s="581">
        <f>VLOOKUP(A13,'Proxy Data Lookup'!A:P,7,FALSE)</f>
        <v>0.58242982625961304</v>
      </c>
      <c r="H13" s="211">
        <f t="shared" si="0"/>
        <v>0.77</v>
      </c>
      <c r="J13" s="583">
        <f>'1.22 CAPM Notes'!$N$35</f>
        <v>8.2779621368179104</v>
      </c>
      <c r="M13" s="211">
        <f>'1.22 CAPM Notes'!$N$49</f>
        <v>4.5599999999999996</v>
      </c>
      <c r="P13" s="229">
        <f t="shared" si="1"/>
        <v>10.934030845349792</v>
      </c>
      <c r="Q13" s="650"/>
      <c r="S13" s="229">
        <f t="shared" si="2"/>
        <v>11.41001366821682</v>
      </c>
      <c r="T13" s="650"/>
      <c r="V13" s="229">
        <f t="shared" si="3"/>
        <v>11.17</v>
      </c>
      <c r="W13" s="139" t="str">
        <f t="shared" si="4"/>
        <v/>
      </c>
      <c r="X13" s="214"/>
      <c r="Y13" s="26" t="s">
        <v>1179</v>
      </c>
      <c r="Z13" s="27">
        <f>Z10-Z11</f>
        <v>10.679182162945679</v>
      </c>
    </row>
    <row r="14" spans="1:26" x14ac:dyDescent="0.6">
      <c r="A14" s="139" t="str">
        <f>Input!A5</f>
        <v>NWN</v>
      </c>
      <c r="B14" s="139" t="str">
        <f>VLOOKUP(A14,'Proxy Data Lookup'!A:P,2,FALSE)</f>
        <v>Northwest Natural Holding Company</v>
      </c>
      <c r="D14" s="581">
        <f>VLOOKUP(A14,'Proxy Data Lookup'!A:P,6,FALSE)</f>
        <v>0.85</v>
      </c>
      <c r="F14" s="581">
        <f>VLOOKUP(A14,'Proxy Data Lookup'!A:P,7,FALSE)</f>
        <v>0.730510413646698</v>
      </c>
      <c r="H14" s="211">
        <f t="shared" si="0"/>
        <v>0.79</v>
      </c>
      <c r="J14" s="583">
        <f>'1.22 CAPM Notes'!$N$35</f>
        <v>8.2779621368179104</v>
      </c>
      <c r="M14" s="211">
        <f>'1.22 CAPM Notes'!$N$49</f>
        <v>4.5599999999999996</v>
      </c>
      <c r="P14" s="229">
        <f t="shared" si="1"/>
        <v>11.099590088086149</v>
      </c>
      <c r="Q14" s="650"/>
      <c r="S14" s="229">
        <f t="shared" si="2"/>
        <v>11.53418310026909</v>
      </c>
      <c r="T14" s="650"/>
      <c r="V14" s="229">
        <f t="shared" si="3"/>
        <v>11.32</v>
      </c>
      <c r="W14" s="139" t="str">
        <f t="shared" si="4"/>
        <v/>
      </c>
      <c r="X14" s="214"/>
    </row>
    <row r="15" spans="1:26" x14ac:dyDescent="0.6">
      <c r="A15" s="139" t="str">
        <f>Input!A6</f>
        <v>OGS</v>
      </c>
      <c r="B15" s="139" t="str">
        <f>VLOOKUP(A15,'Proxy Data Lookup'!A:P,2,FALSE)</f>
        <v>ONE Gas, Inc.</v>
      </c>
      <c r="D15" s="581">
        <f>VLOOKUP(A15,'Proxy Data Lookup'!A:P,6,FALSE)</f>
        <v>0.85</v>
      </c>
      <c r="F15" s="581">
        <f>VLOOKUP(A15,'Proxy Data Lookup'!A:P,7,FALSE)</f>
        <v>0.65227264165878296</v>
      </c>
      <c r="H15" s="211">
        <f t="shared" si="0"/>
        <v>0.75</v>
      </c>
      <c r="J15" s="583">
        <f>'1.22 CAPM Notes'!$N$35</f>
        <v>8.2779621368179104</v>
      </c>
      <c r="M15" s="211">
        <f>'1.22 CAPM Notes'!$N$49</f>
        <v>4.5599999999999996</v>
      </c>
      <c r="P15" s="229">
        <f t="shared" si="1"/>
        <v>10.768471602613431</v>
      </c>
      <c r="Q15" s="650"/>
      <c r="S15" s="229">
        <f t="shared" si="2"/>
        <v>11.28584423616455</v>
      </c>
      <c r="T15" s="650"/>
      <c r="V15" s="229">
        <f t="shared" si="3"/>
        <v>11.03</v>
      </c>
      <c r="W15" s="139" t="str">
        <f t="shared" si="4"/>
        <v/>
      </c>
      <c r="X15" s="214"/>
    </row>
    <row r="16" spans="1:26" x14ac:dyDescent="0.6">
      <c r="A16" s="139" t="str">
        <f>Input!A7</f>
        <v>SWX</v>
      </c>
      <c r="B16" s="139" t="str">
        <f>VLOOKUP(A16,'Proxy Data Lookup'!A:P,2,FALSE)</f>
        <v>Southwest Gas Holdings, Inc.</v>
      </c>
      <c r="D16" s="581">
        <f>VLOOKUP(A16,'Proxy Data Lookup'!A:P,6,FALSE)</f>
        <v>0.95</v>
      </c>
      <c r="F16" s="581">
        <f>VLOOKUP(A16,'Proxy Data Lookup'!A:P,7,FALSE)</f>
        <v>0.83346885442733765</v>
      </c>
      <c r="H16" s="211">
        <f t="shared" si="0"/>
        <v>0.89</v>
      </c>
      <c r="J16" s="583">
        <f>'1.22 CAPM Notes'!$N$35</f>
        <v>8.2779621368179104</v>
      </c>
      <c r="M16" s="211">
        <f>'1.22 CAPM Notes'!$N$49</f>
        <v>4.5599999999999996</v>
      </c>
      <c r="P16" s="229">
        <f t="shared" si="1"/>
        <v>11.927386301767939</v>
      </c>
      <c r="Q16" s="650"/>
      <c r="S16" s="229">
        <f t="shared" si="2"/>
        <v>12.155030260530431</v>
      </c>
      <c r="T16" s="650"/>
      <c r="V16" s="229">
        <f t="shared" si="3"/>
        <v>12.04</v>
      </c>
      <c r="W16" s="139" t="str">
        <f t="shared" si="4"/>
        <v>(4)</v>
      </c>
      <c r="X16" s="214"/>
    </row>
    <row r="17" spans="1:26" x14ac:dyDescent="0.6">
      <c r="A17" s="139" t="str">
        <f>Input!A8</f>
        <v>SR</v>
      </c>
      <c r="B17" s="139" t="str">
        <f>VLOOKUP(A17,'Proxy Data Lookup'!A:P,2,FALSE)</f>
        <v>Spire Inc.</v>
      </c>
      <c r="D17" s="581">
        <f>VLOOKUP(A17,'Proxy Data Lookup'!A:P,6,FALSE)</f>
        <v>0.9</v>
      </c>
      <c r="F17" s="581">
        <f>VLOOKUP(A17,'Proxy Data Lookup'!A:P,7,FALSE)</f>
        <v>0.66697824001312256</v>
      </c>
      <c r="H17" s="211">
        <f t="shared" si="0"/>
        <v>0.78</v>
      </c>
      <c r="J17" s="583">
        <f>'1.22 CAPM Notes'!$N$35</f>
        <v>8.2779621368179104</v>
      </c>
      <c r="M17" s="211">
        <f>'1.22 CAPM Notes'!$N$49</f>
        <v>4.5599999999999996</v>
      </c>
      <c r="P17" s="229">
        <f t="shared" si="1"/>
        <v>11.01681046671797</v>
      </c>
      <c r="Q17" s="650"/>
      <c r="S17" s="229">
        <f t="shared" si="2"/>
        <v>11.472098384242955</v>
      </c>
      <c r="T17" s="650"/>
      <c r="V17" s="229">
        <f t="shared" si="3"/>
        <v>11.24</v>
      </c>
      <c r="W17" s="139" t="str">
        <f t="shared" si="4"/>
        <v/>
      </c>
      <c r="X17" s="214"/>
    </row>
    <row r="18" spans="1:26" x14ac:dyDescent="0.6">
      <c r="H18" s="651"/>
      <c r="P18" s="651"/>
      <c r="S18" s="651"/>
      <c r="V18" s="651"/>
      <c r="X18" s="596"/>
    </row>
    <row r="19" spans="1:26" ht="15.9" thickBot="1" x14ac:dyDescent="0.65">
      <c r="B19" s="598" t="s">
        <v>1151</v>
      </c>
      <c r="H19" s="230">
        <f>IFERROR(ROUND(AVERAGE(H11:H17),2),"NA")</f>
        <v>0.79</v>
      </c>
      <c r="P19" s="230">
        <f>IFERROR(ROUND(AVERAGE(P11:P17),2),"NA")</f>
        <v>11.11</v>
      </c>
      <c r="Q19" s="650" t="s">
        <v>1090</v>
      </c>
      <c r="S19" s="230">
        <f>IFERROR(ROUND(AVERAGE(S11:S17),2),"NA")</f>
        <v>11.54</v>
      </c>
      <c r="T19" s="650" t="s">
        <v>1090</v>
      </c>
      <c r="V19" s="230">
        <f>ROUND(IFERROR(AVERAGEIFS(V11:V17, V11:V17, "&gt;"&amp;Z13, V11:V17, "&lt;"&amp;Z12), "NA"),2)</f>
        <v>11.21</v>
      </c>
      <c r="W19" s="650" t="s">
        <v>1090</v>
      </c>
      <c r="X19" s="214">
        <f>IFERROR(ROUND(AVERAGE(V11:V15,V17),2),"NA")</f>
        <v>11.21</v>
      </c>
    </row>
    <row r="20" spans="1:26" ht="15.9" thickTop="1" x14ac:dyDescent="0.6">
      <c r="H20" s="211"/>
      <c r="P20" s="211"/>
      <c r="Q20" s="652"/>
      <c r="S20" s="211"/>
      <c r="T20" s="652"/>
      <c r="V20" s="211"/>
      <c r="W20" s="652"/>
      <c r="X20" s="214"/>
    </row>
    <row r="21" spans="1:26" ht="15.9" thickBot="1" x14ac:dyDescent="0.65">
      <c r="B21" s="598" t="s">
        <v>1180</v>
      </c>
      <c r="H21" s="230">
        <f>IFERROR(ROUND(MEDIAN(H11:H17),2),"NA")</f>
        <v>0.78</v>
      </c>
      <c r="P21" s="230">
        <f>IFERROR(ROUND(MEDIAN(P11:P17),2),"NA")</f>
        <v>11.02</v>
      </c>
      <c r="Q21" s="650" t="s">
        <v>1090</v>
      </c>
      <c r="S21" s="230">
        <f>IFERROR(ROUND(MEDIAN(S11:S17),2),"NA")</f>
        <v>11.47</v>
      </c>
      <c r="T21" s="650" t="s">
        <v>1090</v>
      </c>
      <c r="V21" s="230" cm="1">
        <f t="array" ref="V21">ROUND(IFERROR(MEDIAN(IF((V11:V17&gt;Z13)*(V11:V17&lt;Z12), V11:V17)), "NA"),2)</f>
        <v>11.21</v>
      </c>
      <c r="W21" s="650" t="s">
        <v>1090</v>
      </c>
      <c r="X21" s="214">
        <f>IFERROR(ROUND(MEDIAN(V11:V15,V17),2),"NA")</f>
        <v>11.21</v>
      </c>
    </row>
    <row r="22" spans="1:26" ht="15.9" thickTop="1" x14ac:dyDescent="0.6">
      <c r="H22" s="211"/>
      <c r="P22" s="211"/>
      <c r="S22" s="211"/>
      <c r="V22" s="211"/>
    </row>
    <row r="23" spans="1:26" ht="15.9" thickBot="1" x14ac:dyDescent="0.65">
      <c r="B23" s="598" t="s">
        <v>1181</v>
      </c>
      <c r="H23" s="230">
        <f>IFERROR(ROUND(AVERAGE(H19:H21),2),"NA")</f>
        <v>0.79</v>
      </c>
      <c r="P23" s="230">
        <f>IFERROR(ROUND(AVERAGE(P19:P21),2),"NA")</f>
        <v>11.07</v>
      </c>
      <c r="Q23" s="650" t="s">
        <v>1090</v>
      </c>
      <c r="S23" s="230">
        <f>IFERROR(ROUND(AVERAGE(S19:S21),2),"NA")</f>
        <v>11.51</v>
      </c>
      <c r="T23" s="650" t="s">
        <v>1090</v>
      </c>
      <c r="V23" s="230">
        <f>IFERROR(ROUND(AVERAGE(V19:V21),2),"NA")</f>
        <v>11.21</v>
      </c>
      <c r="W23" s="650" t="s">
        <v>1090</v>
      </c>
    </row>
    <row r="24" spans="1:26" ht="15.9" thickTop="1" x14ac:dyDescent="0.6">
      <c r="B24" s="598"/>
      <c r="H24" s="229"/>
      <c r="P24" s="229"/>
      <c r="Q24" s="650"/>
      <c r="S24" s="229"/>
      <c r="T24" s="650"/>
      <c r="V24" s="229"/>
      <c r="W24" s="650"/>
    </row>
    <row r="25" spans="1:26" x14ac:dyDescent="0.6">
      <c r="B25" s="1390" t="s">
        <v>3877</v>
      </c>
      <c r="C25" s="1390"/>
      <c r="D25" s="1390"/>
      <c r="E25" s="1390"/>
      <c r="F25" s="1390"/>
      <c r="G25" s="1390"/>
      <c r="H25" s="1390"/>
      <c r="I25" s="1390"/>
      <c r="J25" s="1390"/>
      <c r="K25" s="1390"/>
      <c r="L25" s="1390"/>
      <c r="M25" s="1390"/>
      <c r="N25" s="1390"/>
      <c r="O25" s="1390"/>
      <c r="P25" s="1390"/>
      <c r="Q25" s="1390"/>
      <c r="R25" s="1390"/>
      <c r="S25" s="1390"/>
      <c r="T25" s="1390"/>
      <c r="U25" s="1390"/>
      <c r="V25" s="1390"/>
      <c r="W25" s="1390"/>
    </row>
    <row r="26" spans="1:26" x14ac:dyDescent="0.6">
      <c r="B26" s="572"/>
      <c r="C26" s="572"/>
      <c r="D26" s="572"/>
      <c r="E26" s="572"/>
      <c r="F26" s="572"/>
      <c r="G26" s="572"/>
      <c r="H26" s="572"/>
      <c r="I26" s="572"/>
      <c r="J26" s="572"/>
      <c r="K26" s="572"/>
      <c r="L26" s="572"/>
      <c r="M26" s="572"/>
      <c r="N26" s="572"/>
      <c r="O26" s="572"/>
      <c r="P26" s="572"/>
      <c r="Q26" s="572"/>
      <c r="R26" s="572"/>
      <c r="S26" s="572"/>
      <c r="T26" s="572"/>
      <c r="U26" s="572"/>
      <c r="V26" s="572"/>
      <c r="W26" s="572"/>
    </row>
    <row r="27" spans="1:26" x14ac:dyDescent="0.6">
      <c r="D27" s="214" t="s">
        <v>1163</v>
      </c>
      <c r="E27" s="214"/>
      <c r="F27" s="214" t="s">
        <v>1164</v>
      </c>
      <c r="G27" s="214"/>
      <c r="H27" s="214" t="s">
        <v>1165</v>
      </c>
      <c r="J27" s="177" t="s">
        <v>1166</v>
      </c>
      <c r="K27" s="177"/>
      <c r="M27" s="177" t="s">
        <v>1167</v>
      </c>
      <c r="N27" s="177"/>
      <c r="P27" s="177" t="s">
        <v>1168</v>
      </c>
      <c r="Q27" s="177"/>
      <c r="S27" s="177" t="s">
        <v>1169</v>
      </c>
      <c r="T27" s="177"/>
      <c r="V27" s="177" t="s">
        <v>1170</v>
      </c>
      <c r="W27" s="177"/>
    </row>
    <row r="29" spans="1:26" ht="45.6" x14ac:dyDescent="0.6">
      <c r="B29" s="585" t="str">
        <f>B9</f>
        <v>Proxy Group of Seven Natural Gas Companies</v>
      </c>
      <c r="D29" s="181" t="s">
        <v>1261</v>
      </c>
      <c r="E29" s="589"/>
      <c r="F29" s="181" t="s">
        <v>1262</v>
      </c>
      <c r="G29" s="589"/>
      <c r="H29" s="181" t="s">
        <v>1263</v>
      </c>
      <c r="I29" s="214"/>
      <c r="J29" s="1391" t="s">
        <v>1264</v>
      </c>
      <c r="K29" s="1406"/>
      <c r="L29" s="214"/>
      <c r="M29" s="1391" t="s">
        <v>1265</v>
      </c>
      <c r="N29" s="1406"/>
      <c r="O29" s="214"/>
      <c r="P29" s="1391" t="s">
        <v>1266</v>
      </c>
      <c r="Q29" s="1406"/>
      <c r="R29" s="214"/>
      <c r="S29" s="1391" t="s">
        <v>1267</v>
      </c>
      <c r="T29" s="1406"/>
      <c r="U29" s="214"/>
      <c r="V29" s="1391" t="s">
        <v>1268</v>
      </c>
      <c r="W29" s="1407"/>
    </row>
    <row r="30" spans="1:26" x14ac:dyDescent="0.6">
      <c r="Y30" s="21" t="s">
        <v>1082</v>
      </c>
      <c r="Z30" s="22">
        <f>AVERAGE(V31:V37)</f>
        <v>11.305714285714286</v>
      </c>
    </row>
    <row r="31" spans="1:26" x14ac:dyDescent="0.6">
      <c r="A31" s="139" t="str">
        <f>Input!A2</f>
        <v>ATO</v>
      </c>
      <c r="B31" s="139" t="str">
        <f>VLOOKUP(A31,'Proxy Data Lookup'!A:P,2,FALSE)</f>
        <v>Atmos Energy Corporation</v>
      </c>
      <c r="D31" s="581">
        <f>VLOOKUP(A31,'Proxy Data Lookup'!A:P,6,FALSE)</f>
        <v>0.9</v>
      </c>
      <c r="F31" s="581">
        <f>VLOOKUP(A31,'Proxy Data Lookup'!A:P,7,FALSE)</f>
        <v>0.60510551929473877</v>
      </c>
      <c r="H31" s="211">
        <f>IFERROR(ROUND(AVERAGE(D31:F31),2),"NA")</f>
        <v>0.75</v>
      </c>
      <c r="J31" s="583">
        <f>'1.22 CAPM Notes'!$N$37</f>
        <v>8.2509425334144506</v>
      </c>
      <c r="K31" s="650" t="s">
        <v>1090</v>
      </c>
      <c r="M31" s="211">
        <f>'1.22 CAPM Notes'!$N$49</f>
        <v>4.5599999999999996</v>
      </c>
      <c r="N31" s="650" t="s">
        <v>1090</v>
      </c>
      <c r="P31" s="229">
        <f>IFERROR((H31*J31) + M31,"NA")</f>
        <v>10.748206900060836</v>
      </c>
      <c r="Q31" s="650" t="s">
        <v>1090</v>
      </c>
      <c r="S31" s="229">
        <f>IFERROR((0.75*(H31*J31))+(0.25*J31)+M31,"NA")</f>
        <v>11.263890808399239</v>
      </c>
      <c r="T31" s="650" t="s">
        <v>1090</v>
      </c>
      <c r="V31" s="229">
        <f>IFERROR(ROUND(AVERAGE(P31:S31),2),"NA")</f>
        <v>11.01</v>
      </c>
      <c r="W31" s="650" t="str">
        <f>IF(OR(V31&gt;$Z$12, V31&lt;$Z$13), "(4)","%")</f>
        <v>%</v>
      </c>
      <c r="X31" s="214"/>
      <c r="Y31" s="23" t="s">
        <v>1177</v>
      </c>
      <c r="Z31" s="24">
        <f>2*(_xlfn.STDEV.P(V31:V37))</f>
        <v>0.64806147352653776</v>
      </c>
    </row>
    <row r="32" spans="1:26" x14ac:dyDescent="0.6">
      <c r="A32" s="139" t="str">
        <f>Input!A3</f>
        <v>NJR</v>
      </c>
      <c r="B32" s="139" t="str">
        <f>VLOOKUP(A32,'Proxy Data Lookup'!A:P,2,FALSE)</f>
        <v>New Jersey Resources Corporation</v>
      </c>
      <c r="D32" s="581">
        <f>VLOOKUP(A32,'Proxy Data Lookup'!A:P,6,FALSE)</f>
        <v>1</v>
      </c>
      <c r="F32" s="581">
        <f>VLOOKUP(A32,'Proxy Data Lookup'!A:P,7,FALSE)</f>
        <v>0.62544214725494385</v>
      </c>
      <c r="H32" s="211">
        <f t="shared" ref="H32:H37" si="5">IFERROR(ROUND(AVERAGE(D32:F32),2),"NA")</f>
        <v>0.81</v>
      </c>
      <c r="J32" s="583">
        <f>'1.22 CAPM Notes'!$N$37</f>
        <v>8.2509425334144506</v>
      </c>
      <c r="M32" s="211">
        <f>'1.22 CAPM Notes'!$N$49</f>
        <v>4.5599999999999996</v>
      </c>
      <c r="P32" s="229">
        <f t="shared" ref="P32:P37" si="6">IFERROR((H32*J32) + M32,"NA")</f>
        <v>11.243263452065705</v>
      </c>
      <c r="Q32" s="650"/>
      <c r="S32" s="229">
        <f t="shared" ref="S32:S37" si="7">IFERROR((0.75*(H32*J32))+(0.25*J32)+M32,"NA")</f>
        <v>11.63518322240289</v>
      </c>
      <c r="T32" s="650"/>
      <c r="V32" s="229">
        <f t="shared" ref="V32:V37" si="8">IFERROR(ROUND(AVERAGE(P32:S32),2),"NA")</f>
        <v>11.44</v>
      </c>
      <c r="W32" s="139" t="str">
        <f t="shared" ref="W32:W37" si="9">IF(OR(V32&gt;$Z$12, V32&lt;$Z$13), "(4)","")</f>
        <v/>
      </c>
      <c r="X32" s="214"/>
      <c r="Y32" s="23" t="s">
        <v>1178</v>
      </c>
      <c r="Z32" s="25">
        <f>Z30+Z31</f>
        <v>11.953775759240823</v>
      </c>
    </row>
    <row r="33" spans="1:26" x14ac:dyDescent="0.6">
      <c r="A33" s="139" t="str">
        <f>Input!A4</f>
        <v>NI</v>
      </c>
      <c r="B33" s="139" t="str">
        <f>VLOOKUP(A33,'Proxy Data Lookup'!A:P,2,FALSE)</f>
        <v>NiSource Inc.</v>
      </c>
      <c r="D33" s="581">
        <f>VLOOKUP(A33,'Proxy Data Lookup'!A:P,6,FALSE)</f>
        <v>0.95</v>
      </c>
      <c r="F33" s="581">
        <f>VLOOKUP(A33,'Proxy Data Lookup'!A:P,7,FALSE)</f>
        <v>0.58242982625961304</v>
      </c>
      <c r="H33" s="211">
        <f t="shared" si="5"/>
        <v>0.77</v>
      </c>
      <c r="J33" s="583">
        <f>'1.22 CAPM Notes'!$N$37</f>
        <v>8.2509425334144506</v>
      </c>
      <c r="M33" s="211">
        <f>'1.22 CAPM Notes'!$N$49</f>
        <v>4.5599999999999996</v>
      </c>
      <c r="P33" s="229">
        <f t="shared" si="6"/>
        <v>10.913225750729126</v>
      </c>
      <c r="Q33" s="650"/>
      <c r="S33" s="229">
        <f t="shared" si="7"/>
        <v>11.387654946400456</v>
      </c>
      <c r="T33" s="650"/>
      <c r="V33" s="229">
        <f t="shared" si="8"/>
        <v>11.15</v>
      </c>
      <c r="W33" s="139" t="str">
        <f t="shared" si="9"/>
        <v/>
      </c>
      <c r="X33" s="214"/>
      <c r="Y33" s="26" t="s">
        <v>1179</v>
      </c>
      <c r="Z33" s="27">
        <f>Z30-Z31</f>
        <v>10.657652812187749</v>
      </c>
    </row>
    <row r="34" spans="1:26" x14ac:dyDescent="0.6">
      <c r="A34" s="139" t="str">
        <f>Input!A5</f>
        <v>NWN</v>
      </c>
      <c r="B34" s="139" t="str">
        <f>VLOOKUP(A34,'Proxy Data Lookup'!A:P,2,FALSE)</f>
        <v>Northwest Natural Holding Company</v>
      </c>
      <c r="D34" s="581">
        <f>VLOOKUP(A34,'Proxy Data Lookup'!A:P,6,FALSE)</f>
        <v>0.85</v>
      </c>
      <c r="F34" s="581">
        <f>VLOOKUP(A34,'Proxy Data Lookup'!A:P,7,FALSE)</f>
        <v>0.730510413646698</v>
      </c>
      <c r="H34" s="211">
        <f t="shared" si="5"/>
        <v>0.79</v>
      </c>
      <c r="J34" s="583">
        <f>'1.22 CAPM Notes'!$N$37</f>
        <v>8.2509425334144506</v>
      </c>
      <c r="M34" s="211">
        <f>'1.22 CAPM Notes'!$N$49</f>
        <v>4.5599999999999996</v>
      </c>
      <c r="P34" s="229">
        <f t="shared" si="6"/>
        <v>11.078244601397415</v>
      </c>
      <c r="Q34" s="650"/>
      <c r="S34" s="229">
        <f t="shared" si="7"/>
        <v>11.511419084401673</v>
      </c>
      <c r="T34" s="650"/>
      <c r="V34" s="229">
        <f t="shared" si="8"/>
        <v>11.29</v>
      </c>
      <c r="W34" s="139" t="str">
        <f t="shared" si="9"/>
        <v/>
      </c>
      <c r="X34" s="214"/>
    </row>
    <row r="35" spans="1:26" x14ac:dyDescent="0.6">
      <c r="A35" s="139" t="str">
        <f>Input!A6</f>
        <v>OGS</v>
      </c>
      <c r="B35" s="139" t="str">
        <f>VLOOKUP(A35,'Proxy Data Lookup'!A:P,2,FALSE)</f>
        <v>ONE Gas, Inc.</v>
      </c>
      <c r="D35" s="581">
        <f>VLOOKUP(A35,'Proxy Data Lookup'!A:P,6,FALSE)</f>
        <v>0.85</v>
      </c>
      <c r="F35" s="581">
        <f>VLOOKUP(A35,'Proxy Data Lookup'!A:P,7,FALSE)</f>
        <v>0.65227264165878296</v>
      </c>
      <c r="H35" s="211">
        <f t="shared" si="5"/>
        <v>0.75</v>
      </c>
      <c r="J35" s="583">
        <f>'1.22 CAPM Notes'!$N$37</f>
        <v>8.2509425334144506</v>
      </c>
      <c r="M35" s="211">
        <f>'1.22 CAPM Notes'!$N$49</f>
        <v>4.5599999999999996</v>
      </c>
      <c r="P35" s="229">
        <f t="shared" si="6"/>
        <v>10.748206900060836</v>
      </c>
      <c r="Q35" s="650"/>
      <c r="S35" s="229">
        <f t="shared" si="7"/>
        <v>11.263890808399239</v>
      </c>
      <c r="T35" s="650"/>
      <c r="V35" s="229">
        <f t="shared" si="8"/>
        <v>11.01</v>
      </c>
      <c r="W35" s="139" t="str">
        <f t="shared" si="9"/>
        <v/>
      </c>
      <c r="X35" s="214"/>
    </row>
    <row r="36" spans="1:26" x14ac:dyDescent="0.6">
      <c r="A36" s="139" t="str">
        <f>Input!A7</f>
        <v>SWX</v>
      </c>
      <c r="B36" s="139" t="str">
        <f>VLOOKUP(A36,'Proxy Data Lookup'!A:P,2,FALSE)</f>
        <v>Southwest Gas Holdings, Inc.</v>
      </c>
      <c r="D36" s="581">
        <f>VLOOKUP(A36,'Proxy Data Lookup'!A:P,6,FALSE)</f>
        <v>0.95</v>
      </c>
      <c r="F36" s="581">
        <f>VLOOKUP(A36,'Proxy Data Lookup'!A:P,7,FALSE)</f>
        <v>0.83346885442733765</v>
      </c>
      <c r="H36" s="211">
        <f t="shared" si="5"/>
        <v>0.89</v>
      </c>
      <c r="J36" s="583">
        <f>'1.22 CAPM Notes'!$N$37</f>
        <v>8.2509425334144506</v>
      </c>
      <c r="M36" s="211">
        <f>'1.22 CAPM Notes'!$N$49</f>
        <v>4.5599999999999996</v>
      </c>
      <c r="P36" s="229">
        <f t="shared" si="6"/>
        <v>11.903338854738861</v>
      </c>
      <c r="Q36" s="650"/>
      <c r="S36" s="229">
        <f t="shared" si="7"/>
        <v>12.130239774407759</v>
      </c>
      <c r="T36" s="650"/>
      <c r="V36" s="229">
        <f t="shared" si="8"/>
        <v>12.02</v>
      </c>
      <c r="W36" s="139" t="str">
        <f t="shared" si="9"/>
        <v>(4)</v>
      </c>
      <c r="X36" s="214"/>
    </row>
    <row r="37" spans="1:26" x14ac:dyDescent="0.6">
      <c r="A37" s="139" t="str">
        <f>Input!A8</f>
        <v>SR</v>
      </c>
      <c r="B37" s="139" t="str">
        <f>VLOOKUP(A37,'Proxy Data Lookup'!A:P,2,FALSE)</f>
        <v>Spire Inc.</v>
      </c>
      <c r="D37" s="581">
        <f>VLOOKUP(A37,'Proxy Data Lookup'!A:P,6,FALSE)</f>
        <v>0.9</v>
      </c>
      <c r="F37" s="581">
        <f>VLOOKUP(A37,'Proxy Data Lookup'!A:P,7,FALSE)</f>
        <v>0.66697824001312256</v>
      </c>
      <c r="H37" s="211">
        <f t="shared" si="5"/>
        <v>0.78</v>
      </c>
      <c r="J37" s="583">
        <f>'1.22 CAPM Notes'!$N$37</f>
        <v>8.2509425334144506</v>
      </c>
      <c r="M37" s="211">
        <f>'1.22 CAPM Notes'!$N$49</f>
        <v>4.5599999999999996</v>
      </c>
      <c r="P37" s="229">
        <f t="shared" si="6"/>
        <v>10.99573517606327</v>
      </c>
      <c r="Q37" s="650"/>
      <c r="S37" s="229">
        <f t="shared" si="7"/>
        <v>11.449537015401066</v>
      </c>
      <c r="T37" s="650"/>
      <c r="V37" s="229">
        <f t="shared" si="8"/>
        <v>11.22</v>
      </c>
      <c r="W37" s="139" t="str">
        <f t="shared" si="9"/>
        <v/>
      </c>
      <c r="X37" s="214"/>
    </row>
    <row r="38" spans="1:26" x14ac:dyDescent="0.6">
      <c r="H38" s="651"/>
      <c r="P38" s="651"/>
      <c r="S38" s="651"/>
      <c r="V38" s="651"/>
      <c r="X38" s="596"/>
    </row>
    <row r="39" spans="1:26" ht="15.9" thickBot="1" x14ac:dyDescent="0.65">
      <c r="B39" s="598" t="s">
        <v>1151</v>
      </c>
      <c r="H39" s="230">
        <f>IFERROR(ROUND(AVERAGE(H31:H37),2),"NA")</f>
        <v>0.79</v>
      </c>
      <c r="P39" s="230">
        <f>IFERROR(ROUND(AVERAGE(P31:P37),2),"NA")</f>
        <v>11.09</v>
      </c>
      <c r="Q39" s="650" t="s">
        <v>1090</v>
      </c>
      <c r="S39" s="230">
        <f>IFERROR(ROUND(AVERAGE(S31:S37),2),"NA")</f>
        <v>11.52</v>
      </c>
      <c r="T39" s="650" t="s">
        <v>1090</v>
      </c>
      <c r="V39" s="230">
        <f>ROUND(IFERROR(AVERAGEIFS(V31:V37, V31:V37, "&gt;"&amp;Z33, V31:V37, "&lt;"&amp;Z32), "NA"),2)</f>
        <v>11.19</v>
      </c>
      <c r="W39" s="650" t="s">
        <v>1090</v>
      </c>
      <c r="X39" s="214">
        <f>IFERROR(ROUND(AVERAGE(V31:V35,V37),2),"NA")</f>
        <v>11.19</v>
      </c>
    </row>
    <row r="40" spans="1:26" ht="15.9" thickTop="1" x14ac:dyDescent="0.6">
      <c r="H40" s="211"/>
      <c r="P40" s="211"/>
      <c r="Q40" s="652"/>
      <c r="S40" s="211"/>
      <c r="T40" s="652"/>
      <c r="V40" s="211"/>
      <c r="W40" s="652"/>
      <c r="X40" s="214"/>
    </row>
    <row r="41" spans="1:26" ht="15.9" thickBot="1" x14ac:dyDescent="0.65">
      <c r="B41" s="598" t="s">
        <v>1180</v>
      </c>
      <c r="H41" s="230">
        <f>IFERROR(ROUND(MEDIAN(H31:H37),2),"NA")</f>
        <v>0.78</v>
      </c>
      <c r="P41" s="230">
        <f>IFERROR(ROUND(MEDIAN(P31:P37),2),"NA")</f>
        <v>11</v>
      </c>
      <c r="Q41" s="650" t="s">
        <v>1090</v>
      </c>
      <c r="S41" s="230">
        <f>IFERROR(ROUND(MEDIAN(S31:S37),2),"NA")</f>
        <v>11.45</v>
      </c>
      <c r="T41" s="650" t="s">
        <v>1090</v>
      </c>
      <c r="V41" s="230" cm="1">
        <f t="array" ref="V41">ROUND(IFERROR(MEDIAN(IF((V31:V37&gt;Z33)*(V31:V37&lt;Z32), V31:V37)), "NA"),2)</f>
        <v>11.19</v>
      </c>
      <c r="W41" s="650" t="s">
        <v>1090</v>
      </c>
      <c r="X41" s="214">
        <f>IFERROR(ROUND(MEDIAN(V31:V35,V37),2),"NA")</f>
        <v>11.19</v>
      </c>
    </row>
    <row r="42" spans="1:26" ht="15.9" thickTop="1" x14ac:dyDescent="0.6">
      <c r="H42" s="211"/>
      <c r="P42" s="211"/>
      <c r="S42" s="211"/>
      <c r="V42" s="211"/>
    </row>
    <row r="43" spans="1:26" ht="15.9" thickBot="1" x14ac:dyDescent="0.65">
      <c r="B43" s="598" t="s">
        <v>1181</v>
      </c>
      <c r="H43" s="230">
        <f>IFERROR(ROUND(AVERAGE(H39:H41),2),"NA")</f>
        <v>0.79</v>
      </c>
      <c r="P43" s="230">
        <f>IFERROR(ROUND(AVERAGE(P39:P41),2),"NA")</f>
        <v>11.05</v>
      </c>
      <c r="Q43" s="650" t="s">
        <v>1090</v>
      </c>
      <c r="S43" s="230">
        <f>IFERROR(ROUND(AVERAGE(S39:S41),2),"NA")</f>
        <v>11.49</v>
      </c>
      <c r="T43" s="650" t="s">
        <v>1090</v>
      </c>
      <c r="V43" s="230">
        <f>IFERROR(ROUND(AVERAGE(V39:V41),2),"NA")</f>
        <v>11.19</v>
      </c>
      <c r="W43" s="650" t="s">
        <v>1090</v>
      </c>
    </row>
    <row r="44" spans="1:26" ht="15.9" thickTop="1" x14ac:dyDescent="0.6">
      <c r="B44" s="598"/>
      <c r="H44" s="229"/>
      <c r="P44" s="229"/>
      <c r="Q44" s="650"/>
      <c r="S44" s="229"/>
      <c r="T44" s="650"/>
      <c r="V44" s="229"/>
      <c r="W44" s="650"/>
    </row>
    <row r="45" spans="1:26" x14ac:dyDescent="0.6">
      <c r="B45" s="598" t="s">
        <v>7121</v>
      </c>
    </row>
  </sheetData>
  <mergeCells count="12">
    <mergeCell ref="B5:W5"/>
    <mergeCell ref="J9:K9"/>
    <mergeCell ref="M9:N9"/>
    <mergeCell ref="P9:Q9"/>
    <mergeCell ref="S9:T9"/>
    <mergeCell ref="V9:W9"/>
    <mergeCell ref="B25:W25"/>
    <mergeCell ref="J29:K29"/>
    <mergeCell ref="M29:N29"/>
    <mergeCell ref="P29:Q29"/>
    <mergeCell ref="S29:T29"/>
    <mergeCell ref="V29:W29"/>
  </mergeCells>
  <printOptions horizontalCentered="1"/>
  <pageMargins left="0.7" right="0.7" top="0.75" bottom="0.75" header="0.3" footer="0.3"/>
  <pageSetup scale="65" fitToHeight="2"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Q61"/>
  <sheetViews>
    <sheetView view="pageBreakPreview" zoomScale="80" zoomScaleNormal="100" zoomScaleSheetLayoutView="80" workbookViewId="0">
      <selection sqref="A1:O1"/>
    </sheetView>
  </sheetViews>
  <sheetFormatPr defaultColWidth="9" defaultRowHeight="15.6" x14ac:dyDescent="0.6"/>
  <cols>
    <col min="1" max="1" width="8.7890625" style="139" customWidth="1"/>
    <col min="2" max="2" width="9.734375" style="139" bestFit="1" customWidth="1"/>
    <col min="3" max="13" width="8.26171875" style="139"/>
    <col min="14" max="14" width="11" style="139" customWidth="1"/>
    <col min="15" max="15" width="3.5234375" style="139" customWidth="1"/>
    <col min="16" max="16" width="3.5234375" style="184" customWidth="1"/>
    <col min="17" max="16384" width="9" style="184"/>
  </cols>
  <sheetData>
    <row r="1" spans="1:16" x14ac:dyDescent="0.6">
      <c r="A1" s="1390" t="str">
        <f>Input!G28</f>
        <v>Atmos Energy Corporation</v>
      </c>
      <c r="B1" s="1390"/>
      <c r="C1" s="1390"/>
      <c r="D1" s="1390"/>
      <c r="E1" s="1390"/>
      <c r="F1" s="1390"/>
      <c r="G1" s="1390"/>
      <c r="H1" s="1390"/>
      <c r="I1" s="1390"/>
      <c r="J1" s="1390"/>
      <c r="K1" s="1390"/>
      <c r="L1" s="1390"/>
      <c r="M1" s="1390"/>
      <c r="N1" s="1390"/>
      <c r="O1" s="1390"/>
      <c r="P1" s="580"/>
    </row>
    <row r="2" spans="1:16" ht="15.75" customHeight="1" x14ac:dyDescent="0.6">
      <c r="A2" s="1408" t="s">
        <v>1269</v>
      </c>
      <c r="B2" s="1408"/>
      <c r="C2" s="1408"/>
      <c r="D2" s="1408"/>
      <c r="E2" s="1408"/>
      <c r="F2" s="1408"/>
      <c r="G2" s="1408"/>
      <c r="H2" s="1408"/>
      <c r="I2" s="1408"/>
      <c r="J2" s="1408"/>
      <c r="K2" s="1408"/>
      <c r="L2" s="1408"/>
      <c r="M2" s="1408"/>
      <c r="N2" s="1408"/>
      <c r="O2" s="1408"/>
      <c r="P2" s="640"/>
    </row>
    <row r="4" spans="1:16" x14ac:dyDescent="0.6">
      <c r="A4" s="598" t="s">
        <v>17</v>
      </c>
    </row>
    <row r="5" spans="1:16" ht="15" customHeight="1" x14ac:dyDescent="0.6">
      <c r="A5" s="641" t="s">
        <v>1146</v>
      </c>
      <c r="B5" s="1389" t="s">
        <v>2554</v>
      </c>
      <c r="C5" s="1389"/>
      <c r="D5" s="1389"/>
      <c r="E5" s="1389"/>
      <c r="F5" s="1389"/>
      <c r="G5" s="1389"/>
      <c r="H5" s="1389"/>
      <c r="I5" s="1389"/>
      <c r="J5" s="1389"/>
      <c r="K5" s="1389"/>
      <c r="L5" s="1389"/>
      <c r="M5" s="1389"/>
      <c r="N5" s="1389"/>
      <c r="O5" s="1389"/>
      <c r="P5" s="605"/>
    </row>
    <row r="6" spans="1:16" ht="30" customHeight="1" x14ac:dyDescent="0.6">
      <c r="A6" s="641"/>
      <c r="B6" s="1389"/>
      <c r="C6" s="1389"/>
      <c r="D6" s="1389"/>
      <c r="E6" s="1389"/>
      <c r="F6" s="1389"/>
      <c r="G6" s="1389"/>
      <c r="H6" s="1389"/>
      <c r="I6" s="1389"/>
      <c r="J6" s="1389"/>
      <c r="K6" s="1389"/>
      <c r="L6" s="1389"/>
      <c r="M6" s="1389"/>
      <c r="N6" s="1389"/>
      <c r="O6" s="1389"/>
      <c r="P6" s="605"/>
    </row>
    <row r="7" spans="1:16" ht="18.75" customHeight="1" x14ac:dyDescent="0.6">
      <c r="N7" s="1411"/>
      <c r="O7" s="1411"/>
    </row>
    <row r="8" spans="1:16" x14ac:dyDescent="0.6">
      <c r="B8" s="642" t="str">
        <f>CONCATENATE("Measure 1: Kroll Arithmetic Mean MRP ",MID(Input!E20,FIND("(",Input!E20),11))</f>
        <v>Measure 1: Kroll Arithmetic Mean MRP (1926-2024)</v>
      </c>
    </row>
    <row r="10" spans="1:16" x14ac:dyDescent="0.6">
      <c r="B10" s="139" t="str">
        <f>CONCATENATE("Arithmetic Mean Monthly Returns for Large Stocks ",MID(Input!E20,FIND("1",Input!E20),9),":")</f>
        <v>Arithmetic Mean Monthly Returns for Large Stocks 1926-2024:</v>
      </c>
      <c r="N10" s="583">
        <f>Input!F21</f>
        <v>12.293423177178431</v>
      </c>
      <c r="O10" s="139" t="s">
        <v>1090</v>
      </c>
    </row>
    <row r="11" spans="1:16" x14ac:dyDescent="0.6">
      <c r="B11" s="139" t="s">
        <v>1270</v>
      </c>
      <c r="N11" s="643">
        <f>Input!F22</f>
        <v>4.9869194380403936</v>
      </c>
    </row>
    <row r="12" spans="1:16" ht="15.9" thickBot="1" x14ac:dyDescent="0.65">
      <c r="B12" s="139" t="s">
        <v>1271</v>
      </c>
      <c r="N12" s="599">
        <f>N10-N11</f>
        <v>7.3065037391380372</v>
      </c>
      <c r="O12" s="139" t="s">
        <v>1090</v>
      </c>
    </row>
    <row r="13" spans="1:16" ht="15.9" thickTop="1" x14ac:dyDescent="0.6"/>
    <row r="14" spans="1:16" x14ac:dyDescent="0.6">
      <c r="B14" s="642" t="s">
        <v>1272</v>
      </c>
      <c r="O14" s="583"/>
    </row>
    <row r="15" spans="1:16" ht="15.9" thickBot="1" x14ac:dyDescent="0.65">
      <c r="B15" s="139" t="s">
        <v>4434</v>
      </c>
      <c r="N15" s="230">
        <f>'MRP ERP WP'!AA42*100</f>
        <v>7.9272663945197666</v>
      </c>
      <c r="O15" s="139" t="s">
        <v>1090</v>
      </c>
    </row>
    <row r="16" spans="1:16" ht="15.9" thickTop="1" x14ac:dyDescent="0.6"/>
    <row r="17" spans="2:15" x14ac:dyDescent="0.6">
      <c r="B17" s="642" t="s">
        <v>2556</v>
      </c>
    </row>
    <row r="18" spans="2:15" ht="15.9" thickBot="1" x14ac:dyDescent="0.65">
      <c r="B18" s="139" t="str">
        <f>CONCATENATE("(January 1928 through ", TEXT('PRPM WP1'!$B$1208, "mmmm yyyy"), ")")</f>
        <v>(January 1928 through January 2025)</v>
      </c>
      <c r="N18" s="230">
        <f>'PRPM WP1'!B1206*100</f>
        <v>8.3860405504317512</v>
      </c>
      <c r="O18" s="139" t="s">
        <v>1090</v>
      </c>
    </row>
    <row r="19" spans="2:15" ht="15.9" thickTop="1" x14ac:dyDescent="0.6"/>
    <row r="20" spans="2:15" x14ac:dyDescent="0.6">
      <c r="B20" s="642" t="str">
        <f>CONCATENATE("Measure 4: Value Line Projected MRP (Thirteen weeks ending ",TEXT('MRP WP1'!B7,"mmmm d, yyyy)"))</f>
        <v>Measure 4: Value Line Projected MRP (Thirteen weeks ending January 31, 2025)</v>
      </c>
    </row>
    <row r="22" spans="2:15" x14ac:dyDescent="0.6">
      <c r="B22" s="139" t="s">
        <v>1273</v>
      </c>
      <c r="N22" s="211">
        <f>'MRP WP1'!F22*100</f>
        <v>10.8</v>
      </c>
      <c r="O22" s="139" t="s">
        <v>1090</v>
      </c>
    </row>
    <row r="23" spans="2:15" x14ac:dyDescent="0.6">
      <c r="B23" s="139" t="s">
        <v>4435</v>
      </c>
      <c r="N23" s="643">
        <f>'MRP WP1'!C50</f>
        <v>4.5599999999999996</v>
      </c>
    </row>
    <row r="24" spans="2:15" ht="15.9" thickBot="1" x14ac:dyDescent="0.65">
      <c r="B24" s="139" t="s">
        <v>1274</v>
      </c>
      <c r="N24" s="230">
        <f>N22-N23</f>
        <v>6.2400000000000011</v>
      </c>
      <c r="O24" s="139" t="s">
        <v>1090</v>
      </c>
    </row>
    <row r="25" spans="2:15" ht="15.9" thickTop="1" x14ac:dyDescent="0.6">
      <c r="C25" s="139" t="s">
        <v>1275</v>
      </c>
      <c r="N25" s="229"/>
    </row>
    <row r="26" spans="2:15" x14ac:dyDescent="0.6">
      <c r="N26" s="229"/>
    </row>
    <row r="27" spans="2:15" x14ac:dyDescent="0.6">
      <c r="B27" s="1410" t="s">
        <v>2555</v>
      </c>
      <c r="C27" s="1410"/>
      <c r="D27" s="1410"/>
      <c r="E27" s="1410"/>
      <c r="F27" s="1410"/>
      <c r="G27" s="1410"/>
      <c r="H27" s="1410"/>
      <c r="I27" s="1410"/>
      <c r="J27" s="1410"/>
      <c r="N27" s="229"/>
    </row>
    <row r="28" spans="2:15" x14ac:dyDescent="0.6">
      <c r="B28" s="1410"/>
      <c r="C28" s="1410"/>
      <c r="D28" s="1410"/>
      <c r="E28" s="1410"/>
      <c r="F28" s="1410"/>
      <c r="G28" s="1410"/>
      <c r="H28" s="1410"/>
      <c r="I28" s="1410"/>
      <c r="J28" s="1410"/>
      <c r="N28" s="229"/>
    </row>
    <row r="29" spans="2:15" x14ac:dyDescent="0.6">
      <c r="B29" s="644"/>
      <c r="C29" s="644"/>
      <c r="D29" s="644"/>
      <c r="E29" s="644"/>
      <c r="F29" s="644"/>
      <c r="G29" s="644"/>
      <c r="H29" s="644"/>
      <c r="I29" s="644"/>
      <c r="J29" s="644"/>
      <c r="N29" s="229"/>
    </row>
    <row r="30" spans="2:15" x14ac:dyDescent="0.6">
      <c r="B30" s="139" t="s">
        <v>1276</v>
      </c>
      <c r="N30" s="229">
        <f>'MRP WP2 Combined'!K505*100</f>
        <v>16.089458939520672</v>
      </c>
      <c r="O30" s="139" t="s">
        <v>1090</v>
      </c>
    </row>
    <row r="31" spans="2:15" x14ac:dyDescent="0.6">
      <c r="B31" s="139" t="s">
        <v>4435</v>
      </c>
      <c r="N31" s="212">
        <f>N49</f>
        <v>4.5599999999999996</v>
      </c>
    </row>
    <row r="32" spans="2:15" ht="15.9" thickBot="1" x14ac:dyDescent="0.65">
      <c r="B32" s="139" t="s">
        <v>1352</v>
      </c>
      <c r="N32" s="599">
        <f>ROUND(IFERROR(N30-N31,"NA"),2)</f>
        <v>11.53</v>
      </c>
      <c r="O32" s="139" t="s">
        <v>1090</v>
      </c>
    </row>
    <row r="33" spans="1:17" ht="15.9" thickTop="1" x14ac:dyDescent="0.6">
      <c r="N33" s="229"/>
    </row>
    <row r="35" spans="1:17" ht="15.9" thickBot="1" x14ac:dyDescent="0.65">
      <c r="L35" s="598" t="s">
        <v>1278</v>
      </c>
      <c r="N35" s="599">
        <f>AVERAGE(N12,N15,N24,N18,N32)</f>
        <v>8.2779621368179104</v>
      </c>
      <c r="O35" s="139" t="s">
        <v>1090</v>
      </c>
    </row>
    <row r="36" spans="1:17" ht="15.9" thickTop="1" x14ac:dyDescent="0.6">
      <c r="L36" s="598"/>
      <c r="N36" s="583"/>
    </row>
    <row r="37" spans="1:17" ht="15.9" thickBot="1" x14ac:dyDescent="0.65">
      <c r="L37" s="598" t="s">
        <v>3878</v>
      </c>
      <c r="N37" s="599">
        <f>AVERAGE(N12,N15,N24,N32)</f>
        <v>8.2509425334144506</v>
      </c>
      <c r="O37" s="139" t="s">
        <v>1090</v>
      </c>
    </row>
    <row r="38" spans="1:17" ht="15.9" thickTop="1" x14ac:dyDescent="0.6"/>
    <row r="39" spans="1:17" ht="48.75" customHeight="1" x14ac:dyDescent="0.6">
      <c r="A39" s="641" t="s">
        <v>1147</v>
      </c>
      <c r="B39" s="1389" t="str">
        <f>CONCATENATE("For reasons explained in the Direct Testimony, the appropriate risk-free rate for cost of capital purposes is the average forecast of 30 year Treasury Bonds per the consensus of nearly 50 economists reported in Blue Chip Financial Forecasts. ", "(See pages 17 and 18 of this ", TEXT(Input!I49,"Word"), ".) The projection of the risk-free rate is illustrated below:")</f>
        <v>For reasons explained in the Direct Testimony, the appropriate risk-free rate for cost of capital purposes is the average forecast of 30 year Treasury Bonds per the consensus of nearly 50 economists reported in Blue Chip Financial Forecasts. (See pages 17 and 18 of this Exhibit.) The projection of the risk-free rate is illustrated below:</v>
      </c>
      <c r="C39" s="1389"/>
      <c r="D39" s="1389"/>
      <c r="E39" s="1389"/>
      <c r="F39" s="1389"/>
      <c r="G39" s="1389"/>
      <c r="H39" s="1389"/>
      <c r="I39" s="1389"/>
      <c r="J39" s="1389"/>
      <c r="K39" s="1389"/>
      <c r="L39" s="1389"/>
      <c r="M39" s="1389"/>
      <c r="N39" s="1389"/>
      <c r="O39" s="1389"/>
    </row>
    <row r="40" spans="1:17" x14ac:dyDescent="0.6">
      <c r="A40" s="641"/>
      <c r="B40" s="604"/>
      <c r="C40" s="604"/>
      <c r="D40" s="604"/>
      <c r="E40" s="604"/>
      <c r="F40" s="604"/>
      <c r="G40" s="604"/>
      <c r="H40" s="604"/>
      <c r="I40" s="604"/>
      <c r="J40" s="604"/>
      <c r="K40" s="604"/>
      <c r="L40" s="604"/>
      <c r="M40" s="604"/>
      <c r="N40" s="604"/>
      <c r="O40" s="604"/>
    </row>
    <row r="41" spans="1:17" x14ac:dyDescent="0.6">
      <c r="J41" s="598" t="str">
        <f>'MRP WP1'!B41</f>
        <v>First Quarter 2025</v>
      </c>
      <c r="N41" s="583">
        <f>'MRP WP1'!C41</f>
        <v>4.7</v>
      </c>
      <c r="O41" s="139" t="s">
        <v>1090</v>
      </c>
      <c r="Q41" s="645"/>
    </row>
    <row r="42" spans="1:17" x14ac:dyDescent="0.6">
      <c r="J42" s="598" t="str">
        <f>'MRP WP1'!B42</f>
        <v>Second Quarter 2025</v>
      </c>
      <c r="N42" s="583">
        <f>'MRP WP1'!C42</f>
        <v>4.7</v>
      </c>
      <c r="Q42" s="645"/>
    </row>
    <row r="43" spans="1:17" x14ac:dyDescent="0.6">
      <c r="J43" s="598" t="str">
        <f>'MRP WP1'!B43</f>
        <v>Third Quarter 2025</v>
      </c>
      <c r="N43" s="583">
        <f>'MRP WP1'!C43</f>
        <v>4.7</v>
      </c>
      <c r="Q43" s="645"/>
    </row>
    <row r="44" spans="1:17" x14ac:dyDescent="0.6">
      <c r="J44" s="598" t="str">
        <f>'MRP WP1'!B44</f>
        <v>Fourth Quarter 2025</v>
      </c>
      <c r="N44" s="583">
        <f>'MRP WP1'!C44</f>
        <v>4.7</v>
      </c>
      <c r="Q44" s="645"/>
    </row>
    <row r="45" spans="1:17" x14ac:dyDescent="0.6">
      <c r="J45" s="598" t="str">
        <f>'MRP WP1'!B45</f>
        <v>First Quarter 2026</v>
      </c>
      <c r="N45" s="583">
        <f>'MRP WP1'!C45</f>
        <v>4.5999999999999996</v>
      </c>
      <c r="Q45" s="645"/>
    </row>
    <row r="46" spans="1:17" x14ac:dyDescent="0.6">
      <c r="J46" s="598" t="str">
        <f>'MRP WP1'!B46</f>
        <v>Second Quarter 2026</v>
      </c>
      <c r="N46" s="583">
        <f>'MRP WP1'!C46</f>
        <v>4.5999999999999996</v>
      </c>
      <c r="Q46" s="645"/>
    </row>
    <row r="47" spans="1:17" x14ac:dyDescent="0.6">
      <c r="J47" s="598" t="str">
        <f>'MRP WP1'!B47</f>
        <v>2026-2030</v>
      </c>
      <c r="N47" s="583">
        <f>'MRP WP1'!C47</f>
        <v>4.3</v>
      </c>
      <c r="Q47" s="645"/>
    </row>
    <row r="48" spans="1:17" x14ac:dyDescent="0.6">
      <c r="J48" s="598" t="str">
        <f>'MRP WP1'!B48</f>
        <v>2031-2035</v>
      </c>
      <c r="N48" s="643">
        <f>'MRP WP1'!C48</f>
        <v>4.2</v>
      </c>
      <c r="Q48" s="645"/>
    </row>
    <row r="49" spans="1:15" ht="15.9" thickBot="1" x14ac:dyDescent="0.65">
      <c r="N49" s="646">
        <f>ROUND(AVERAGE(N41:N48),2)</f>
        <v>4.5599999999999996</v>
      </c>
      <c r="O49" s="139" t="s">
        <v>1090</v>
      </c>
    </row>
    <row r="50" spans="1:15" ht="15.9" thickTop="1" x14ac:dyDescent="0.6">
      <c r="N50" s="583"/>
    </row>
    <row r="51" spans="1:15" x14ac:dyDescent="0.6">
      <c r="A51" s="647" t="s">
        <v>1149</v>
      </c>
      <c r="B51" s="139" t="s">
        <v>1277</v>
      </c>
    </row>
    <row r="52" spans="1:15" x14ac:dyDescent="0.6">
      <c r="A52" s="647"/>
    </row>
    <row r="53" spans="1:15" x14ac:dyDescent="0.6">
      <c r="A53" s="647" t="str" cm="1">
        <f t="array" ref="A53">IF(OR('1.21 CAPM'!W11:W17 = "(4)", '1.21 CAPM'!W11:W17 = "(4)"), "(4)", " ")</f>
        <v>(4)</v>
      </c>
      <c r="B53" s="1389" t="str">
        <f>IF(A53 = "(4)", "Results were excluded from the final average and median as they were more than two standard deviations from the proxy group's mean.", " ")</f>
        <v>Results were excluded from the final average and median as they were more than two standard deviations from the proxy group's mean.</v>
      </c>
      <c r="C53" s="1389"/>
      <c r="D53" s="1389"/>
      <c r="E53" s="1389"/>
      <c r="F53" s="1389"/>
      <c r="G53" s="1389"/>
      <c r="H53" s="1389"/>
      <c r="I53" s="1389"/>
      <c r="J53" s="1389"/>
      <c r="K53" s="1389"/>
      <c r="L53" s="1389"/>
      <c r="M53" s="1389"/>
      <c r="N53" s="1389"/>
    </row>
    <row r="54" spans="1:15" x14ac:dyDescent="0.6">
      <c r="A54" s="647"/>
      <c r="B54" s="1389"/>
      <c r="C54" s="1389"/>
      <c r="D54" s="1389"/>
      <c r="E54" s="1389"/>
      <c r="F54" s="1389"/>
      <c r="G54" s="1389"/>
      <c r="H54" s="1389"/>
      <c r="I54" s="1389"/>
      <c r="J54" s="1389"/>
      <c r="K54" s="1389"/>
      <c r="L54" s="1389"/>
      <c r="M54" s="1389"/>
      <c r="N54" s="1389"/>
    </row>
    <row r="55" spans="1:15" x14ac:dyDescent="0.6">
      <c r="A55" s="647"/>
      <c r="B55" s="604"/>
      <c r="C55" s="604"/>
      <c r="D55" s="604"/>
      <c r="E55" s="604"/>
      <c r="F55" s="604"/>
      <c r="G55" s="604"/>
      <c r="H55" s="604"/>
      <c r="I55" s="604"/>
      <c r="J55" s="604"/>
      <c r="K55" s="604"/>
      <c r="L55" s="604"/>
      <c r="M55" s="604"/>
      <c r="N55" s="604"/>
    </row>
    <row r="56" spans="1:15" x14ac:dyDescent="0.6">
      <c r="A56" s="648"/>
      <c r="B56" s="139" t="s">
        <v>1161</v>
      </c>
    </row>
    <row r="57" spans="1:15" x14ac:dyDescent="0.6">
      <c r="B57" s="139" t="s">
        <v>1093</v>
      </c>
    </row>
    <row r="58" spans="1:15" x14ac:dyDescent="0.6">
      <c r="B58" s="139" t="str">
        <f>'1.16 Beta Adjusted ERP'!C37</f>
        <v>Blue Chip Financial Forecasts, November 27, 2024 and January 31, 2025</v>
      </c>
    </row>
    <row r="59" spans="1:15" x14ac:dyDescent="0.6">
      <c r="B59" s="1409" t="str">
        <f>'1.16 Beta Adjusted ERP'!C34</f>
        <v>Kroll 2023 SBBI® Yearbook</v>
      </c>
      <c r="C59" s="1409"/>
      <c r="D59" s="1409"/>
      <c r="E59" s="1409"/>
      <c r="F59" s="1409"/>
      <c r="G59" s="1409"/>
      <c r="H59" s="1409"/>
      <c r="I59" s="1409"/>
      <c r="J59" s="1409"/>
      <c r="K59" s="1409"/>
      <c r="L59" s="1409"/>
      <c r="M59" s="1409"/>
    </row>
    <row r="60" spans="1:15" x14ac:dyDescent="0.6">
      <c r="B60" s="139" t="s">
        <v>1279</v>
      </c>
    </row>
    <row r="61" spans="1:15" x14ac:dyDescent="0.6">
      <c r="B61" s="139" t="s">
        <v>1194</v>
      </c>
    </row>
  </sheetData>
  <mergeCells count="8">
    <mergeCell ref="A2:O2"/>
    <mergeCell ref="A1:O1"/>
    <mergeCell ref="B39:O39"/>
    <mergeCell ref="B59:M59"/>
    <mergeCell ref="B27:J28"/>
    <mergeCell ref="N7:O7"/>
    <mergeCell ref="B5:O6"/>
    <mergeCell ref="B53:N54"/>
  </mergeCells>
  <printOptions horizontalCentered="1"/>
  <pageMargins left="0.7" right="0.7" top="0.75" bottom="0.75" header="0.3" footer="0.3"/>
  <pageSetup scale="57"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C42F-A00E-4D62-9E99-1F589053D5C1}">
  <sheetPr codeName="Sheet6">
    <pageSetUpPr fitToPage="1"/>
  </sheetPr>
  <dimension ref="A1:J24"/>
  <sheetViews>
    <sheetView view="pageBreakPreview" zoomScale="80" zoomScaleNormal="115" zoomScaleSheetLayoutView="80" workbookViewId="0"/>
  </sheetViews>
  <sheetFormatPr defaultColWidth="9" defaultRowHeight="15" x14ac:dyDescent="0.5"/>
  <cols>
    <col min="1" max="5" width="9" style="60"/>
    <col min="6" max="6" width="9.26171875" style="60" bestFit="1" customWidth="1"/>
    <col min="7" max="16384" width="9" style="60"/>
  </cols>
  <sheetData>
    <row r="1" spans="1:10" x14ac:dyDescent="0.5">
      <c r="A1" s="113" t="str">
        <f>Input!G28</f>
        <v>Atmos Energy Corporation</v>
      </c>
      <c r="B1" s="114"/>
      <c r="C1" s="114"/>
      <c r="D1" s="114"/>
      <c r="E1" s="114"/>
      <c r="F1" s="114"/>
      <c r="G1" s="114"/>
      <c r="H1" s="114"/>
      <c r="I1" s="114"/>
      <c r="J1" s="114"/>
    </row>
    <row r="2" spans="1:10" x14ac:dyDescent="0.5">
      <c r="A2" s="114" t="s">
        <v>2557</v>
      </c>
      <c r="B2" s="114"/>
      <c r="C2" s="114"/>
      <c r="D2" s="114"/>
      <c r="E2" s="114"/>
      <c r="F2" s="114"/>
      <c r="G2" s="114"/>
      <c r="H2" s="114"/>
      <c r="I2" s="114"/>
      <c r="J2" s="114"/>
    </row>
    <row r="3" spans="1:10" x14ac:dyDescent="0.5">
      <c r="A3" s="445" t="str">
        <f>CONCATENATE("Comparable in Total Risk to the ",Input!I32)</f>
        <v>Comparable in Total Risk to the Proxy Group of Seven Natural Gas Companies</v>
      </c>
      <c r="B3" s="114"/>
      <c r="C3" s="114"/>
      <c r="D3" s="114"/>
      <c r="E3" s="114"/>
      <c r="F3" s="114"/>
      <c r="G3" s="114"/>
      <c r="H3" s="114"/>
      <c r="I3" s="114"/>
      <c r="J3" s="114"/>
    </row>
    <row r="6" spans="1:10" ht="63.75" customHeight="1" x14ac:dyDescent="0.5">
      <c r="A6" s="1413" t="str">
        <f>CONCATENATE("The criteria for selection of the proxy group of non-price regulated companies comparable in total risk to the ",(LOWER(Input!I32))," was that the non-price regulated companies be domestic and reported in Value Line Investment Survey (Standard Edition).")</f>
        <v>The criteria for selection of the proxy group of non-price regulated companies comparable in total risk to the proxy group of seven natural gas companies was that the non-price regulated companies be domestic and reported in Value Line Investment Survey (Standard Edition).</v>
      </c>
      <c r="B6" s="1413"/>
      <c r="C6" s="1413"/>
      <c r="D6" s="1413"/>
      <c r="E6" s="1413"/>
      <c r="F6" s="1413"/>
      <c r="G6" s="1413"/>
      <c r="H6" s="1413"/>
      <c r="I6" s="1413"/>
      <c r="J6" s="1413"/>
    </row>
    <row r="8" spans="1:10" ht="53.25" customHeight="1" x14ac:dyDescent="0.5">
      <c r="A8" s="1412" t="str">
        <f>"The proxy group of non‑price regulated companies was selected based on the unadjusted beta range of "&amp;TEXT('1.24 Comp Earnings Criteria Gas'!E19,"0.00")&amp;" - "&amp;TEXT('1.24 Comp Earnings Criteria Gas'!G19,"0.00")&amp;" and residual standard error of the regression range of "&amp;TEXT('1.24 Comp Earnings Criteria Gas'!E23,"0.0000")&amp;" - "&amp;TEXT('1.24 Comp Earnings Criteria Gas'!G23,"0.0000")&amp;" of the "&amp;LOWER(Input!I32)&amp;"."</f>
        <v>The proxy group of non‑price regulated companies was selected based on the unadjusted beta range of 0.64 - 0.92 and residual standard error of the regression range of 2.8409 - 3.3885 of the proxy group of seven natural gas companies.</v>
      </c>
      <c r="B8" s="1412"/>
      <c r="C8" s="1412"/>
      <c r="D8" s="1412"/>
      <c r="E8" s="1412"/>
      <c r="F8" s="1412"/>
      <c r="G8" s="1412"/>
      <c r="H8" s="1412"/>
      <c r="I8" s="1412"/>
      <c r="J8" s="1412"/>
    </row>
    <row r="10" spans="1:10" ht="69" customHeight="1" x14ac:dyDescent="0.5">
      <c r="A10" s="1413" t="s">
        <v>2558</v>
      </c>
      <c r="B10" s="1413"/>
      <c r="C10" s="1413"/>
      <c r="D10" s="1413"/>
      <c r="E10" s="1413"/>
      <c r="F10" s="1413"/>
      <c r="G10" s="1413"/>
      <c r="H10" s="1413"/>
      <c r="I10" s="1413"/>
      <c r="J10" s="1413"/>
    </row>
    <row r="12" spans="1:10" ht="32.65" customHeight="1" x14ac:dyDescent="0.5">
      <c r="A12" s="1412" t="str">
        <f>"The standard deviation of the Utility Proxy Group’s residual standard error of the regression is "&amp;TEXT('1.24 Comp Earnings Criteria Gas'!E25,"0.0000")&amp;". The standard deviation of the standard error of the regression is calculated as follows:"</f>
        <v>The standard deviation of the Utility Proxy Group’s residual standard error of the regression is 0.1369. The standard deviation of the standard error of the regression is calculated as follows:</v>
      </c>
      <c r="B12" s="1412"/>
      <c r="C12" s="1412"/>
      <c r="D12" s="1412"/>
      <c r="E12" s="1412"/>
      <c r="F12" s="1412"/>
      <c r="G12" s="1412"/>
      <c r="H12" s="1412"/>
      <c r="I12" s="1412"/>
      <c r="J12" s="1412"/>
    </row>
    <row r="14" spans="1:10" x14ac:dyDescent="0.5">
      <c r="A14" s="1413" t="s">
        <v>2559</v>
      </c>
      <c r="B14" s="1413"/>
      <c r="C14" s="1413"/>
      <c r="D14" s="1413"/>
      <c r="E14" s="1413"/>
      <c r="F14" s="1413"/>
      <c r="G14" s="1413"/>
      <c r="H14" s="1413"/>
      <c r="I14" s="1413"/>
      <c r="J14" s="1413"/>
    </row>
    <row r="15" spans="1:10" x14ac:dyDescent="0.5">
      <c r="C15" s="446" t="s">
        <v>2560</v>
      </c>
    </row>
    <row r="17" spans="1:10" ht="30.75" customHeight="1" x14ac:dyDescent="0.5">
      <c r="A17" s="1412" t="s">
        <v>2561</v>
      </c>
      <c r="B17" s="1412"/>
      <c r="C17" s="1412"/>
      <c r="D17" s="1412"/>
      <c r="E17" s="1412"/>
      <c r="F17" s="1412"/>
      <c r="G17" s="1412"/>
      <c r="H17" s="1412"/>
      <c r="I17" s="1412"/>
      <c r="J17" s="1412"/>
    </row>
    <row r="19" spans="1:10" x14ac:dyDescent="0.5">
      <c r="A19" s="60" t="s">
        <v>2562</v>
      </c>
      <c r="B19" s="59">
        <f>'1.24 Comp Earnings Criteria Gas'!E25</f>
        <v>0.13689999999999999</v>
      </c>
      <c r="C19" s="448" t="s">
        <v>2563</v>
      </c>
      <c r="D19" s="115">
        <f>'1.24 Comp Earnings Criteria Gas'!I17</f>
        <v>3.1147</v>
      </c>
      <c r="E19" s="448" t="s">
        <v>2563</v>
      </c>
      <c r="F19" s="115">
        <f>D19</f>
        <v>3.1147</v>
      </c>
    </row>
    <row r="20" spans="1:10" x14ac:dyDescent="0.5">
      <c r="B20" s="59"/>
      <c r="C20" s="59"/>
      <c r="D20" s="59" t="s">
        <v>1091</v>
      </c>
      <c r="E20" s="59"/>
      <c r="F20" s="449">
        <v>22.759599999999999</v>
      </c>
    </row>
    <row r="22" spans="1:10" ht="12" customHeight="1" x14ac:dyDescent="0.5"/>
    <row r="23" spans="1:10" x14ac:dyDescent="0.5">
      <c r="A23" s="60" t="str">
        <f>"Source of Information: "&amp;'1.24 Comp Earnings Criteria Gas'!E29</f>
        <v>Source of Information: Value Line Proprietary Database, December 2024.</v>
      </c>
    </row>
    <row r="24" spans="1:10" x14ac:dyDescent="0.5">
      <c r="A24" s="60" t="s">
        <v>2602</v>
      </c>
    </row>
  </sheetData>
  <mergeCells count="6">
    <mergeCell ref="A17:J17"/>
    <mergeCell ref="A6:J6"/>
    <mergeCell ref="A8:J8"/>
    <mergeCell ref="A10:J10"/>
    <mergeCell ref="A12:J12"/>
    <mergeCell ref="A14:J14"/>
  </mergeCells>
  <printOptions horizontalCentered="1"/>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6</xdr:col>
                <xdr:colOff>304800</xdr:colOff>
                <xdr:row>13</xdr:row>
                <xdr:rowOff>190500</xdr:rowOff>
              </from>
              <to>
                <xdr:col>7</xdr:col>
                <xdr:colOff>19050</xdr:colOff>
                <xdr:row>15</xdr:row>
                <xdr:rowOff>19050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7">
            <anchor moveWithCells="1" sizeWithCells="1">
              <from>
                <xdr:col>3</xdr:col>
                <xdr:colOff>95250</xdr:colOff>
                <xdr:row>19</xdr:row>
                <xdr:rowOff>38100</xdr:rowOff>
              </from>
              <to>
                <xdr:col>3</xdr:col>
                <xdr:colOff>438150</xdr:colOff>
                <xdr:row>20</xdr:row>
                <xdr:rowOff>57150</xdr:rowOff>
              </to>
            </anchor>
          </objectPr>
        </oleObject>
      </mc:Choice>
      <mc:Fallback>
        <oleObject progId="Equation.3" shapeId="56322"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DA13-BF62-4EDC-A0F1-D364AA562CAC}">
  <sheetPr codeName="Sheet59">
    <pageSetUpPr fitToPage="1"/>
  </sheetPr>
  <dimension ref="A1:M42"/>
  <sheetViews>
    <sheetView view="pageBreakPreview" zoomScale="85" zoomScaleNormal="85" zoomScaleSheetLayoutView="85" workbookViewId="0"/>
  </sheetViews>
  <sheetFormatPr defaultColWidth="9" defaultRowHeight="15" x14ac:dyDescent="0.5"/>
  <cols>
    <col min="1" max="1" width="9.15625" style="60" bestFit="1" customWidth="1"/>
    <col min="2" max="2" width="3.26171875" style="60" customWidth="1"/>
    <col min="3" max="3" width="39.5234375" style="60" customWidth="1"/>
    <col min="4" max="4" width="4.5234375" style="60" customWidth="1"/>
    <col min="5" max="5" width="17.734375" style="60" customWidth="1"/>
    <col min="6" max="6" width="3.26171875" style="60" customWidth="1"/>
    <col min="7" max="7" width="14.5234375" style="60" customWidth="1"/>
    <col min="8" max="8" width="3.26171875" style="60" customWidth="1"/>
    <col min="9" max="9" width="24.5234375" style="60" customWidth="1"/>
    <col min="10" max="10" width="3.26171875" style="60" customWidth="1"/>
    <col min="11" max="11" width="23.5234375" style="60" customWidth="1"/>
    <col min="12" max="12" width="10.5234375" style="60" customWidth="1"/>
    <col min="13" max="13" width="3.26171875" style="60" customWidth="1"/>
    <col min="14" max="16384" width="9" style="60"/>
  </cols>
  <sheetData>
    <row r="1" spans="1:13" x14ac:dyDescent="0.5">
      <c r="A1" s="450"/>
      <c r="C1" s="1414" t="str">
        <f>Input!G28</f>
        <v>Atmos Energy Corporation</v>
      </c>
      <c r="D1" s="1415"/>
      <c r="E1" s="1415"/>
      <c r="F1" s="1415"/>
      <c r="G1" s="1415"/>
      <c r="H1" s="1415"/>
      <c r="I1" s="1415"/>
      <c r="J1" s="1415"/>
      <c r="K1" s="1415"/>
    </row>
    <row r="2" spans="1:13" x14ac:dyDescent="0.5">
      <c r="C2" s="1415" t="s">
        <v>2564</v>
      </c>
      <c r="D2" s="1415"/>
      <c r="E2" s="1415"/>
      <c r="F2" s="1415"/>
      <c r="G2" s="1415"/>
      <c r="H2" s="1415"/>
      <c r="I2" s="1415"/>
      <c r="J2" s="1415"/>
      <c r="K2" s="1415"/>
    </row>
    <row r="3" spans="1:13" x14ac:dyDescent="0.5">
      <c r="C3" s="1414" t="s">
        <v>2565</v>
      </c>
      <c r="D3" s="1415"/>
      <c r="E3" s="1415"/>
      <c r="F3" s="1415"/>
      <c r="G3" s="1415"/>
      <c r="H3" s="1415"/>
      <c r="I3" s="1415"/>
      <c r="J3" s="1415"/>
      <c r="K3" s="1415"/>
    </row>
    <row r="4" spans="1:13" x14ac:dyDescent="0.5">
      <c r="A4" s="61" t="s">
        <v>610</v>
      </c>
      <c r="B4" s="61"/>
      <c r="C4" s="61"/>
      <c r="D4" s="61"/>
      <c r="E4" s="61"/>
      <c r="F4" s="61"/>
      <c r="G4" s="61"/>
      <c r="H4" s="61"/>
      <c r="I4" s="61"/>
      <c r="J4" s="61"/>
      <c r="K4" s="61"/>
      <c r="L4" s="61"/>
      <c r="M4" s="61"/>
    </row>
    <row r="5" spans="1:13" x14ac:dyDescent="0.5">
      <c r="A5" s="61"/>
      <c r="B5" s="61"/>
      <c r="C5" s="61"/>
      <c r="D5" s="61"/>
      <c r="E5" s="59" t="s">
        <v>1163</v>
      </c>
      <c r="F5" s="59"/>
      <c r="G5" s="59" t="s">
        <v>1164</v>
      </c>
      <c r="H5" s="59"/>
      <c r="I5" s="59" t="s">
        <v>1165</v>
      </c>
      <c r="J5" s="59"/>
      <c r="K5" s="59" t="s">
        <v>1166</v>
      </c>
    </row>
    <row r="6" spans="1:13" x14ac:dyDescent="0.5">
      <c r="A6" s="61" t="s">
        <v>2566</v>
      </c>
      <c r="B6" s="61"/>
      <c r="C6" s="61"/>
      <c r="D6" s="61"/>
      <c r="E6" s="61"/>
      <c r="F6" s="61"/>
      <c r="G6" s="61"/>
      <c r="H6" s="61"/>
      <c r="I6" s="61"/>
      <c r="J6" s="61"/>
      <c r="K6" s="61"/>
    </row>
    <row r="7" spans="1:13" ht="66.75" customHeight="1" x14ac:dyDescent="0.5">
      <c r="C7" s="451" t="str">
        <f>Input!I32</f>
        <v>Proxy Group of Seven Natural Gas Companies</v>
      </c>
      <c r="E7" s="123" t="s">
        <v>1261</v>
      </c>
      <c r="G7" s="123" t="s">
        <v>1359</v>
      </c>
      <c r="I7" s="123" t="s">
        <v>2567</v>
      </c>
      <c r="K7" s="123" t="s">
        <v>2568</v>
      </c>
    </row>
    <row r="8" spans="1:13" x14ac:dyDescent="0.5">
      <c r="G8" s="141"/>
    </row>
    <row r="9" spans="1:13" x14ac:dyDescent="0.5">
      <c r="A9" s="60" t="str">
        <f>Input!A2</f>
        <v>ATO</v>
      </c>
      <c r="C9" s="452" t="str">
        <f>VLOOKUP($A9,'Proxy Data Lookup'!$A$3:$P$12,2,FALSE)</f>
        <v>Atmos Energy Corporation</v>
      </c>
      <c r="E9" s="31">
        <f>VLOOKUP($A9,'Proxy Data Lookup'!$A$3:$P$12,9,FALSE)</f>
        <v>0.85</v>
      </c>
      <c r="F9" s="232"/>
      <c r="G9" s="31">
        <f>VLOOKUP($A9,'Proxy Data Lookup'!$A$3:$P$12,10,FALSE)</f>
        <v>0.75</v>
      </c>
      <c r="H9" s="453"/>
      <c r="I9" s="657">
        <f>VLOOKUP($A9,'Proxy Data Lookup'!$A$3:$P$12,12,FALSE)</f>
        <v>2.8988999999999998</v>
      </c>
      <c r="J9" s="233"/>
      <c r="K9" s="657">
        <f>VLOOKUP($A9,'Proxy Data Lookup'!$A$3:$P$12,14,FALSE)</f>
        <v>6.4699999999999994E-2</v>
      </c>
    </row>
    <row r="10" spans="1:13" x14ac:dyDescent="0.5">
      <c r="A10" s="60" t="str">
        <f>Input!A3</f>
        <v>NJR</v>
      </c>
      <c r="C10" s="452" t="str">
        <f>VLOOKUP($A10,'Proxy Data Lookup'!$A$3:$P$12,2,FALSE)</f>
        <v>New Jersey Resources Corporation</v>
      </c>
      <c r="E10" s="31">
        <f>VLOOKUP($A10,'Proxy Data Lookup'!$A$3:$P$12,9,FALSE)</f>
        <v>0.95</v>
      </c>
      <c r="F10" s="232"/>
      <c r="G10" s="31">
        <f>VLOOKUP($A10,'Proxy Data Lookup'!$A$3:$P$12,10,FALSE)</f>
        <v>0.91</v>
      </c>
      <c r="H10" s="453"/>
      <c r="I10" s="657">
        <f>VLOOKUP($A10,'Proxy Data Lookup'!$A$3:$P$12,12,FALSE)</f>
        <v>3.0464000000000002</v>
      </c>
      <c r="J10" s="233"/>
      <c r="K10" s="657">
        <f>VLOOKUP($A10,'Proxy Data Lookup'!$A$3:$P$12,14,FALSE)</f>
        <v>6.8000000000000005E-2</v>
      </c>
    </row>
    <row r="11" spans="1:13" x14ac:dyDescent="0.5">
      <c r="A11" s="60" t="str">
        <f>Input!A4</f>
        <v>NI</v>
      </c>
      <c r="C11" s="452" t="str">
        <f>VLOOKUP($A11,'Proxy Data Lookup'!$A$3:$P$12,2,FALSE)</f>
        <v>NiSource Inc.</v>
      </c>
      <c r="E11" s="31">
        <f>VLOOKUP($A11,'Proxy Data Lookup'!$A$3:$P$12,9,FALSE)</f>
        <v>0.9</v>
      </c>
      <c r="F11" s="232"/>
      <c r="G11" s="31">
        <f>VLOOKUP($A11,'Proxy Data Lookup'!$A$3:$P$12,10,FALSE)</f>
        <v>0.83</v>
      </c>
      <c r="H11" s="453"/>
      <c r="I11" s="657">
        <f>VLOOKUP($A11,'Proxy Data Lookup'!$A$3:$P$12,12,FALSE)</f>
        <v>2.6469999999999998</v>
      </c>
      <c r="J11" s="233"/>
      <c r="K11" s="657">
        <f>VLOOKUP($A11,'Proxy Data Lookup'!$A$3:$P$12,14,FALSE)</f>
        <v>5.91E-2</v>
      </c>
    </row>
    <row r="12" spans="1:13" x14ac:dyDescent="0.5">
      <c r="A12" s="60" t="str">
        <f>Input!A5</f>
        <v>NWN</v>
      </c>
      <c r="C12" s="452" t="str">
        <f>VLOOKUP($A12,'Proxy Data Lookup'!$A$3:$P$12,2,FALSE)</f>
        <v>Northwest Natural Holding Company</v>
      </c>
      <c r="E12" s="31">
        <f>VLOOKUP($A12,'Proxy Data Lookup'!$A$3:$P$12,9,FALSE)</f>
        <v>0.85</v>
      </c>
      <c r="F12" s="232"/>
      <c r="G12" s="31">
        <f>VLOOKUP($A12,'Proxy Data Lookup'!$A$3:$P$12,10,FALSE)</f>
        <v>0.71</v>
      </c>
      <c r="H12" s="453"/>
      <c r="I12" s="657">
        <f>VLOOKUP($A12,'Proxy Data Lookup'!$A$3:$P$12,12,FALSE)</f>
        <v>3.3761000000000001</v>
      </c>
      <c r="J12" s="233"/>
      <c r="K12" s="657">
        <f>VLOOKUP($A12,'Proxy Data Lookup'!$A$3:$P$12,14,FALSE)</f>
        <v>7.5399999999999995E-2</v>
      </c>
    </row>
    <row r="13" spans="1:13" x14ac:dyDescent="0.5">
      <c r="A13" s="60" t="str">
        <f>Input!A6</f>
        <v>OGS</v>
      </c>
      <c r="C13" s="452" t="str">
        <f>VLOOKUP($A13,'Proxy Data Lookup'!$A$3:$P$12,2,FALSE)</f>
        <v>ONE Gas, Inc.</v>
      </c>
      <c r="E13" s="31">
        <f>VLOOKUP($A13,'Proxy Data Lookup'!$A$3:$P$12,9,FALSE)</f>
        <v>0.85</v>
      </c>
      <c r="F13" s="232"/>
      <c r="G13" s="31">
        <f>VLOOKUP($A13,'Proxy Data Lookup'!$A$3:$P$12,10,FALSE)</f>
        <v>0.71</v>
      </c>
      <c r="H13" s="453"/>
      <c r="I13" s="657">
        <f>VLOOKUP($A13,'Proxy Data Lookup'!$A$3:$P$12,12,FALSE)</f>
        <v>3.254</v>
      </c>
      <c r="J13" s="233"/>
      <c r="K13" s="657">
        <f>VLOOKUP($A13,'Proxy Data Lookup'!$A$3:$P$12,14,FALSE)</f>
        <v>7.2599999999999998E-2</v>
      </c>
    </row>
    <row r="14" spans="1:13" x14ac:dyDescent="0.5">
      <c r="A14" s="60" t="str">
        <f>Input!A7</f>
        <v>SWX</v>
      </c>
      <c r="C14" s="452" t="str">
        <f>VLOOKUP($A14,'Proxy Data Lookup'!$A$3:$P$12,2,FALSE)</f>
        <v>Southwest Gas Holdings, Inc.</v>
      </c>
      <c r="E14" s="31">
        <f>VLOOKUP($A14,'Proxy Data Lookup'!$A$3:$P$12,9,FALSE)</f>
        <v>0.9</v>
      </c>
      <c r="F14" s="232"/>
      <c r="G14" s="31">
        <f>VLOOKUP($A14,'Proxy Data Lookup'!$A$3:$P$12,10,FALSE)</f>
        <v>0.8</v>
      </c>
      <c r="H14" s="453"/>
      <c r="I14" s="657">
        <f>VLOOKUP($A14,'Proxy Data Lookup'!$A$3:$P$12,12,FALSE)</f>
        <v>3.4851999999999999</v>
      </c>
      <c r="J14" s="233"/>
      <c r="K14" s="657">
        <f>VLOOKUP($A14,'Proxy Data Lookup'!$A$3:$P$12,14,FALSE)</f>
        <v>7.7799999999999994E-2</v>
      </c>
    </row>
    <row r="15" spans="1:13" x14ac:dyDescent="0.5">
      <c r="A15" s="60" t="str">
        <f>Input!A8</f>
        <v>SR</v>
      </c>
      <c r="C15" s="452" t="str">
        <f>VLOOKUP($A15,'Proxy Data Lookup'!$A$3:$P$12,2,FALSE)</f>
        <v>Spire Inc.</v>
      </c>
      <c r="E15" s="31">
        <f>VLOOKUP($A15,'Proxy Data Lookup'!$A$3:$P$12,9,FALSE)</f>
        <v>0.85</v>
      </c>
      <c r="F15" s="232"/>
      <c r="G15" s="31">
        <f>VLOOKUP($A15,'Proxy Data Lookup'!$A$3:$P$12,10,FALSE)</f>
        <v>0.74</v>
      </c>
      <c r="H15" s="453"/>
      <c r="I15" s="657">
        <f>VLOOKUP($A15,'Proxy Data Lookup'!$A$3:$P$12,12,FALSE)</f>
        <v>3.0952999999999999</v>
      </c>
      <c r="J15" s="233"/>
      <c r="K15" s="657">
        <f>VLOOKUP($A15,'Proxy Data Lookup'!$A$3:$P$12,14,FALSE)</f>
        <v>6.9099999999999995E-2</v>
      </c>
    </row>
    <row r="16" spans="1:13" x14ac:dyDescent="0.5">
      <c r="C16" s="452"/>
      <c r="E16" s="234"/>
      <c r="F16" s="235"/>
      <c r="G16" s="234"/>
      <c r="H16" s="235"/>
      <c r="I16" s="236"/>
      <c r="J16" s="237"/>
      <c r="K16" s="236"/>
    </row>
    <row r="17" spans="3:12" ht="15.3" thickBot="1" x14ac:dyDescent="0.55000000000000004">
      <c r="C17" s="61" t="s">
        <v>1082</v>
      </c>
      <c r="E17" s="653">
        <f>ROUND(AVERAGE(E9:E15),2)</f>
        <v>0.88</v>
      </c>
      <c r="F17" s="654"/>
      <c r="G17" s="653">
        <f>ROUND(AVERAGE(G9:G15),2)</f>
        <v>0.78</v>
      </c>
      <c r="H17" s="241"/>
      <c r="I17" s="655">
        <f>ROUND(AVERAGE(I9:I15),4)</f>
        <v>3.1147</v>
      </c>
      <c r="J17" s="656"/>
      <c r="K17" s="655">
        <f>ROUND(AVERAGE(K9:K15),4)</f>
        <v>6.9500000000000006E-2</v>
      </c>
    </row>
    <row r="18" spans="3:12" ht="15.3" thickTop="1" x14ac:dyDescent="0.5">
      <c r="E18" s="141"/>
      <c r="F18" s="141"/>
      <c r="G18" s="141"/>
      <c r="I18" s="222"/>
      <c r="J18" s="222"/>
      <c r="K18" s="222"/>
    </row>
    <row r="19" spans="3:12" x14ac:dyDescent="0.5">
      <c r="C19" s="60" t="s">
        <v>2569</v>
      </c>
      <c r="E19" s="31">
        <f>G17-E20</f>
        <v>0.64</v>
      </c>
      <c r="F19" s="141"/>
      <c r="G19" s="31">
        <f>G17+E20</f>
        <v>0.92</v>
      </c>
      <c r="I19" s="141"/>
    </row>
    <row r="20" spans="3:12" x14ac:dyDescent="0.5">
      <c r="C20" s="60" t="s">
        <v>2570</v>
      </c>
      <c r="E20" s="31">
        <f>ROUND((K17*2),2)</f>
        <v>0.14000000000000001</v>
      </c>
      <c r="F20" s="141"/>
      <c r="G20" s="141"/>
    </row>
    <row r="21" spans="3:12" x14ac:dyDescent="0.5">
      <c r="E21" s="141"/>
      <c r="F21" s="141"/>
      <c r="G21" s="141"/>
    </row>
    <row r="22" spans="3:12" x14ac:dyDescent="0.5">
      <c r="C22" s="60" t="s">
        <v>2571</v>
      </c>
      <c r="E22" s="141"/>
      <c r="F22" s="141"/>
      <c r="G22" s="141"/>
    </row>
    <row r="23" spans="3:12" x14ac:dyDescent="0.5">
      <c r="C23" s="60" t="s">
        <v>2572</v>
      </c>
      <c r="E23" s="658">
        <f>I17-E27</f>
        <v>2.8409</v>
      </c>
      <c r="F23" s="222"/>
      <c r="G23" s="658">
        <f>I17+E27</f>
        <v>3.3885000000000001</v>
      </c>
    </row>
    <row r="24" spans="3:12" x14ac:dyDescent="0.5">
      <c r="E24" s="222"/>
      <c r="F24" s="222"/>
      <c r="G24" s="222"/>
    </row>
    <row r="25" spans="3:12" x14ac:dyDescent="0.5">
      <c r="C25" s="60" t="s">
        <v>2573</v>
      </c>
      <c r="E25" s="658">
        <f>ROUND((I17/22.7596),4)</f>
        <v>0.13689999999999999</v>
      </c>
      <c r="F25" s="222"/>
      <c r="G25" s="222"/>
    </row>
    <row r="26" spans="3:12" x14ac:dyDescent="0.5">
      <c r="E26" s="222"/>
      <c r="F26" s="222"/>
      <c r="G26" s="222"/>
    </row>
    <row r="27" spans="3:12" x14ac:dyDescent="0.5">
      <c r="C27" s="60" t="s">
        <v>2574</v>
      </c>
      <c r="E27" s="658">
        <f>ROUND((2*E25),4)</f>
        <v>0.27379999999999999</v>
      </c>
      <c r="F27" s="222"/>
      <c r="G27" s="222"/>
    </row>
    <row r="29" spans="3:12" ht="15.75" customHeight="1" x14ac:dyDescent="0.5">
      <c r="C29" s="61" t="s">
        <v>1143</v>
      </c>
      <c r="E29" s="60" t="str">
        <f>'1.25 Proxy Group Equivalent Gas'!E64</f>
        <v>Value Line Proprietary Database, December 2024.</v>
      </c>
    </row>
    <row r="30" spans="3:12" x14ac:dyDescent="0.5">
      <c r="C30" s="438"/>
      <c r="E30" s="438"/>
      <c r="G30" s="438"/>
      <c r="I30" s="438"/>
      <c r="K30" s="438"/>
      <c r="L30" s="438"/>
    </row>
    <row r="31" spans="3:12" x14ac:dyDescent="0.5">
      <c r="C31" s="438"/>
      <c r="E31" s="438"/>
      <c r="G31" s="438"/>
      <c r="I31" s="438"/>
      <c r="K31" s="438"/>
      <c r="L31" s="438"/>
    </row>
    <row r="32" spans="3:12" x14ac:dyDescent="0.5">
      <c r="C32" s="438"/>
      <c r="E32" s="438"/>
      <c r="G32" s="438"/>
      <c r="I32" s="438"/>
      <c r="K32" s="438"/>
      <c r="L32" s="438"/>
    </row>
    <row r="33" spans="3:12" x14ac:dyDescent="0.5">
      <c r="C33" s="438"/>
      <c r="E33" s="438"/>
      <c r="G33" s="438"/>
      <c r="I33" s="438"/>
      <c r="K33" s="438"/>
      <c r="L33" s="438"/>
    </row>
    <row r="34" spans="3:12" x14ac:dyDescent="0.5">
      <c r="C34" s="438"/>
      <c r="E34" s="438"/>
      <c r="G34" s="438"/>
      <c r="I34" s="438"/>
      <c r="K34" s="438"/>
      <c r="L34" s="438"/>
    </row>
    <row r="35" spans="3:12" x14ac:dyDescent="0.5">
      <c r="C35" s="438"/>
      <c r="E35" s="438"/>
      <c r="G35" s="438"/>
      <c r="I35" s="438"/>
      <c r="K35" s="438"/>
      <c r="L35" s="438"/>
    </row>
    <row r="36" spans="3:12" x14ac:dyDescent="0.5">
      <c r="C36" s="438"/>
      <c r="E36" s="438"/>
      <c r="G36" s="438"/>
      <c r="I36" s="438"/>
      <c r="K36" s="438"/>
      <c r="L36" s="438"/>
    </row>
    <row r="37" spans="3:12" x14ac:dyDescent="0.5">
      <c r="C37" s="438"/>
      <c r="E37" s="438"/>
      <c r="G37" s="438"/>
      <c r="I37" s="438"/>
      <c r="K37" s="438"/>
      <c r="L37" s="438"/>
    </row>
    <row r="38" spans="3:12" x14ac:dyDescent="0.5">
      <c r="C38" s="438"/>
      <c r="E38" s="438"/>
      <c r="G38" s="438"/>
      <c r="I38" s="438"/>
      <c r="K38" s="438"/>
      <c r="L38" s="438"/>
    </row>
    <row r="39" spans="3:12" x14ac:dyDescent="0.5">
      <c r="C39" s="438"/>
      <c r="E39" s="438"/>
      <c r="G39" s="438"/>
      <c r="I39" s="438"/>
      <c r="K39" s="438"/>
      <c r="L39" s="438"/>
    </row>
    <row r="40" spans="3:12" x14ac:dyDescent="0.5">
      <c r="C40" s="438"/>
      <c r="E40" s="438"/>
      <c r="G40" s="438"/>
      <c r="I40" s="438"/>
      <c r="K40" s="438"/>
      <c r="L40" s="438"/>
    </row>
    <row r="41" spans="3:12" x14ac:dyDescent="0.5">
      <c r="C41" s="438"/>
      <c r="E41" s="438"/>
      <c r="G41" s="438"/>
      <c r="I41" s="438"/>
      <c r="K41" s="438"/>
      <c r="L41" s="438"/>
    </row>
    <row r="42" spans="3:12" x14ac:dyDescent="0.5">
      <c r="C42" s="438"/>
      <c r="E42" s="438"/>
      <c r="G42" s="438"/>
      <c r="I42" s="438"/>
      <c r="K42" s="438"/>
      <c r="L42" s="438"/>
    </row>
  </sheetData>
  <mergeCells count="3">
    <mergeCell ref="C1:K1"/>
    <mergeCell ref="C2:K2"/>
    <mergeCell ref="C3:K3"/>
  </mergeCells>
  <printOptions horizontalCentered="1"/>
  <pageMargins left="0.7" right="0.7" top="0.75" bottom="0.75" header="0.3" footer="0.3"/>
  <pageSetup scale="67" orientation="portrait" horizontalDpi="4294967294"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6F08-F7AF-4F2A-AEA6-A0787A674719}">
  <sheetPr codeName="Sheet61">
    <pageSetUpPr fitToPage="1"/>
  </sheetPr>
  <dimension ref="A1:L64"/>
  <sheetViews>
    <sheetView view="pageBreakPreview" zoomScale="80" zoomScaleNormal="100" zoomScaleSheetLayoutView="80" workbookViewId="0"/>
  </sheetViews>
  <sheetFormatPr defaultColWidth="9" defaultRowHeight="15" x14ac:dyDescent="0.5"/>
  <cols>
    <col min="1" max="1" width="8.26171875" style="60" bestFit="1" customWidth="1"/>
    <col min="2" max="2" width="2.5234375" style="60" customWidth="1"/>
    <col min="3" max="3" width="46.734375" style="60" bestFit="1" customWidth="1"/>
    <col min="4" max="4" width="4.5234375" style="60" customWidth="1"/>
    <col min="5" max="5" width="13.5234375" style="60" customWidth="1"/>
    <col min="6" max="6" width="4.5234375" style="60" customWidth="1"/>
    <col min="7" max="7" width="13.5234375" style="60" customWidth="1"/>
    <col min="8" max="8" width="4.5234375" style="60" customWidth="1"/>
    <col min="9" max="9" width="22" style="60" customWidth="1"/>
    <col min="10" max="10" width="4.5234375" style="60" customWidth="1"/>
    <col min="11" max="11" width="20.5234375" style="60" customWidth="1"/>
    <col min="12" max="12" width="13.5234375" style="60" customWidth="1"/>
    <col min="13" max="16384" width="9" style="60"/>
  </cols>
  <sheetData>
    <row r="1" spans="1:12" x14ac:dyDescent="0.5">
      <c r="C1" s="1414" t="str">
        <f>Input!G28</f>
        <v>Atmos Energy Corporation</v>
      </c>
      <c r="D1" s="1414"/>
      <c r="E1" s="1414"/>
      <c r="F1" s="1414"/>
      <c r="G1" s="1414"/>
      <c r="H1" s="1414"/>
      <c r="I1" s="1414"/>
      <c r="J1" s="1414"/>
      <c r="K1" s="1414"/>
    </row>
    <row r="2" spans="1:12" x14ac:dyDescent="0.5">
      <c r="C2" s="1415" t="s">
        <v>2575</v>
      </c>
      <c r="D2" s="1415"/>
      <c r="E2" s="1415"/>
      <c r="F2" s="1415"/>
      <c r="G2" s="1415"/>
      <c r="H2" s="1415"/>
      <c r="I2" s="1415"/>
      <c r="J2" s="1415"/>
      <c r="K2" s="1415"/>
    </row>
    <row r="3" spans="1:12" x14ac:dyDescent="0.5">
      <c r="C3" s="1415" t="s">
        <v>2576</v>
      </c>
      <c r="D3" s="1415"/>
      <c r="E3" s="1415"/>
      <c r="F3" s="1415"/>
      <c r="G3" s="1415"/>
      <c r="H3" s="1415"/>
      <c r="I3" s="1415"/>
      <c r="J3" s="1415"/>
      <c r="K3" s="1415"/>
    </row>
    <row r="4" spans="1:12" x14ac:dyDescent="0.5">
      <c r="C4" s="113" t="str">
        <f>Input!I32</f>
        <v>Proxy Group of Seven Natural Gas Companies</v>
      </c>
      <c r="D4" s="113"/>
      <c r="E4" s="113"/>
      <c r="F4" s="113"/>
      <c r="G4" s="113"/>
      <c r="H4" s="113"/>
      <c r="I4" s="113"/>
      <c r="J4" s="113"/>
      <c r="K4" s="113"/>
    </row>
    <row r="5" spans="1:12" x14ac:dyDescent="0.5">
      <c r="C5" s="208"/>
      <c r="D5" s="208"/>
      <c r="E5" s="208"/>
      <c r="F5" s="208"/>
      <c r="G5" s="208"/>
      <c r="H5" s="208"/>
      <c r="I5" s="208"/>
      <c r="J5" s="208"/>
      <c r="K5" s="208"/>
    </row>
    <row r="6" spans="1:12" x14ac:dyDescent="0.5">
      <c r="C6" s="208"/>
      <c r="D6" s="208"/>
      <c r="E6" s="448" t="s">
        <v>1163</v>
      </c>
      <c r="F6" s="59"/>
      <c r="G6" s="59" t="s">
        <v>1164</v>
      </c>
      <c r="H6" s="59"/>
      <c r="I6" s="59" t="s">
        <v>1165</v>
      </c>
      <c r="J6" s="59"/>
      <c r="K6" s="59" t="s">
        <v>1166</v>
      </c>
    </row>
    <row r="8" spans="1:12" ht="63.75" customHeight="1" x14ac:dyDescent="0.5">
      <c r="A8" s="59" t="s">
        <v>75</v>
      </c>
      <c r="C8" s="451" t="str">
        <f>Input!I34</f>
        <v>Proxy Group of Forty-Nine Non-Price Regulated Companies</v>
      </c>
      <c r="D8" s="447"/>
      <c r="E8" s="123" t="s">
        <v>1261</v>
      </c>
      <c r="F8" s="447"/>
      <c r="G8" s="123" t="s">
        <v>1359</v>
      </c>
      <c r="H8" s="447"/>
      <c r="I8" s="123" t="s">
        <v>2567</v>
      </c>
      <c r="J8" s="447"/>
      <c r="K8" s="123" t="s">
        <v>2568</v>
      </c>
      <c r="L8" s="454"/>
    </row>
    <row r="9" spans="1:12" ht="15.75" customHeight="1" x14ac:dyDescent="0.5"/>
    <row r="10" spans="1:12" ht="17.25" customHeight="1" x14ac:dyDescent="0.5">
      <c r="A10" s="438" t="str">
        <f>Input!C2</f>
        <v>ABT</v>
      </c>
      <c r="B10" s="438"/>
      <c r="C10" s="438" t="str">
        <f>VLOOKUP($A10, 'CEM Data Lookup'!$A:$P,2,FALSE)</f>
        <v xml:space="preserve">Abbott Labs.        </v>
      </c>
      <c r="D10" s="438"/>
      <c r="E10" s="231">
        <f>VLOOKUP($A10, 'CEM Data Lookup'!$A:$P,9,FALSE)</f>
        <v>0.9</v>
      </c>
      <c r="F10" s="232"/>
      <c r="G10" s="232">
        <f>VLOOKUP($A10, 'CEM Data Lookup'!$A:$P,10,FALSE)</f>
        <v>0.79</v>
      </c>
      <c r="H10" s="453"/>
      <c r="I10" s="233">
        <f>VLOOKUP($A10, 'CEM Data Lookup'!$A:$P,12,FALSE)</f>
        <v>2.9573</v>
      </c>
      <c r="J10" s="233"/>
      <c r="K10" s="233">
        <f>VLOOKUP($A10, 'CEM Data Lookup'!$A:$P,14,FALSE)</f>
        <v>6.6000000000000003E-2</v>
      </c>
      <c r="L10" s="455"/>
    </row>
    <row r="11" spans="1:12" ht="17.25" customHeight="1" x14ac:dyDescent="0.5">
      <c r="A11" s="438" t="str">
        <f>Input!C3</f>
        <v>ABBV</v>
      </c>
      <c r="B11" s="438"/>
      <c r="C11" s="438" t="str">
        <f>VLOOKUP($A11, 'CEM Data Lookup'!$A:$P,2,FALSE)</f>
        <v xml:space="preserve">AbbVie Inc.         </v>
      </c>
      <c r="D11" s="438"/>
      <c r="E11" s="231">
        <f>VLOOKUP($A11, 'CEM Data Lookup'!$A:$P,9,FALSE)</f>
        <v>0.85</v>
      </c>
      <c r="F11" s="232"/>
      <c r="G11" s="232">
        <f>VLOOKUP($A11, 'CEM Data Lookup'!$A:$P,10,FALSE)</f>
        <v>0.7</v>
      </c>
      <c r="H11" s="453"/>
      <c r="I11" s="233">
        <f>VLOOKUP($A11, 'CEM Data Lookup'!$A:$P,12,FALSE)</f>
        <v>3.1364999999999998</v>
      </c>
      <c r="J11" s="233"/>
      <c r="K11" s="233">
        <f>VLOOKUP($A11, 'CEM Data Lookup'!$A:$P,14,FALSE)</f>
        <v>7.0000000000000007E-2</v>
      </c>
      <c r="L11" s="455"/>
    </row>
    <row r="12" spans="1:12" ht="17.25" customHeight="1" x14ac:dyDescent="0.5">
      <c r="A12" s="438" t="str">
        <f>Input!C4</f>
        <v>APD</v>
      </c>
      <c r="B12" s="438"/>
      <c r="C12" s="438" t="str">
        <f>VLOOKUP($A12, 'CEM Data Lookup'!$A:$P,2,FALSE)</f>
        <v>Air Products &amp; Chem.</v>
      </c>
      <c r="D12" s="438"/>
      <c r="E12" s="231">
        <f>VLOOKUP($A12, 'CEM Data Lookup'!$A:$P,9,FALSE)</f>
        <v>0.9</v>
      </c>
      <c r="F12" s="232"/>
      <c r="G12" s="232">
        <f>VLOOKUP($A12, 'CEM Data Lookup'!$A:$P,10,FALSE)</f>
        <v>0.83</v>
      </c>
      <c r="H12" s="453"/>
      <c r="I12" s="233">
        <f>VLOOKUP($A12, 'CEM Data Lookup'!$A:$P,12,FALSE)</f>
        <v>3.0324</v>
      </c>
      <c r="J12" s="233"/>
      <c r="K12" s="233">
        <f>VLOOKUP($A12, 'CEM Data Lookup'!$A:$P,14,FALSE)</f>
        <v>6.7699999999999996E-2</v>
      </c>
      <c r="L12" s="455"/>
    </row>
    <row r="13" spans="1:12" ht="17.25" customHeight="1" x14ac:dyDescent="0.5">
      <c r="A13" s="438" t="str">
        <f>Input!C5</f>
        <v>GOOG</v>
      </c>
      <c r="B13" s="438"/>
      <c r="C13" s="438" t="str">
        <f>VLOOKUP($A13, 'CEM Data Lookup'!$A:$P,2,FALSE)</f>
        <v xml:space="preserve">Alphabet Inc.       </v>
      </c>
      <c r="D13" s="438"/>
      <c r="E13" s="231">
        <f>VLOOKUP($A13, 'CEM Data Lookup'!$A:$P,9,FALSE)</f>
        <v>0.9</v>
      </c>
      <c r="F13" s="232"/>
      <c r="G13" s="232">
        <f>VLOOKUP($A13, 'CEM Data Lookup'!$A:$P,10,FALSE)</f>
        <v>0.81</v>
      </c>
      <c r="H13" s="453"/>
      <c r="I13" s="233">
        <f>VLOOKUP($A13, 'CEM Data Lookup'!$A:$P,12,FALSE)</f>
        <v>3.1907000000000001</v>
      </c>
      <c r="J13" s="233"/>
      <c r="K13" s="233">
        <f>VLOOKUP($A13, 'CEM Data Lookup'!$A:$P,14,FALSE)</f>
        <v>7.1199999999999999E-2</v>
      </c>
      <c r="L13" s="455"/>
    </row>
    <row r="14" spans="1:12" ht="17.25" customHeight="1" x14ac:dyDescent="0.5">
      <c r="A14" s="438" t="str">
        <f>Input!C6</f>
        <v>MO</v>
      </c>
      <c r="B14" s="438"/>
      <c r="C14" s="438" t="str">
        <f>VLOOKUP($A14, 'CEM Data Lookup'!$A:$P,2,FALSE)</f>
        <v xml:space="preserve">Altria Group        </v>
      </c>
      <c r="D14" s="438"/>
      <c r="E14" s="231">
        <f>VLOOKUP($A14, 'CEM Data Lookup'!$A:$P,9,FALSE)</f>
        <v>0.85</v>
      </c>
      <c r="F14" s="232"/>
      <c r="G14" s="232">
        <f>VLOOKUP($A14, 'CEM Data Lookup'!$A:$P,10,FALSE)</f>
        <v>0.76</v>
      </c>
      <c r="H14" s="453"/>
      <c r="I14" s="233">
        <f>VLOOKUP($A14, 'CEM Data Lookup'!$A:$P,12,FALSE)</f>
        <v>2.8948</v>
      </c>
      <c r="J14" s="233"/>
      <c r="K14" s="233">
        <f>VLOOKUP($A14, 'CEM Data Lookup'!$A:$P,14,FALSE)</f>
        <v>6.4600000000000005E-2</v>
      </c>
      <c r="L14" s="455"/>
    </row>
    <row r="15" spans="1:12" ht="17.25" customHeight="1" x14ac:dyDescent="0.5">
      <c r="A15" s="438" t="str">
        <f>Input!C7</f>
        <v>AAPL</v>
      </c>
      <c r="B15" s="438"/>
      <c r="C15" s="438" t="str">
        <f>VLOOKUP($A15, 'CEM Data Lookup'!$A:$P,2,FALSE)</f>
        <v xml:space="preserve">Apple Inc.          </v>
      </c>
      <c r="D15" s="438"/>
      <c r="E15" s="231">
        <f>VLOOKUP($A15, 'CEM Data Lookup'!$A:$P,9,FALSE)</f>
        <v>0.95</v>
      </c>
      <c r="F15" s="232"/>
      <c r="G15" s="232">
        <f>VLOOKUP($A15, 'CEM Data Lookup'!$A:$P,10,FALSE)</f>
        <v>0.91</v>
      </c>
      <c r="H15" s="453"/>
      <c r="I15" s="233">
        <f>VLOOKUP($A15, 'CEM Data Lookup'!$A:$P,12,FALSE)</f>
        <v>3.2126999999999999</v>
      </c>
      <c r="J15" s="233"/>
      <c r="K15" s="233">
        <f>VLOOKUP($A15, 'CEM Data Lookup'!$A:$P,14,FALSE)</f>
        <v>7.17E-2</v>
      </c>
      <c r="L15" s="455"/>
    </row>
    <row r="16" spans="1:12" ht="17.25" customHeight="1" x14ac:dyDescent="0.5">
      <c r="A16" s="438" t="str">
        <f>Input!C8</f>
        <v>AIZ</v>
      </c>
      <c r="B16" s="438"/>
      <c r="C16" s="438" t="str">
        <f>VLOOKUP($A16, 'CEM Data Lookup'!$A:$P,2,FALSE)</f>
        <v xml:space="preserve">Assurant Inc.       </v>
      </c>
      <c r="D16" s="438"/>
      <c r="E16" s="231">
        <f>VLOOKUP($A16, 'CEM Data Lookup'!$A:$P,9,FALSE)</f>
        <v>0.9</v>
      </c>
      <c r="F16" s="232"/>
      <c r="G16" s="232">
        <f>VLOOKUP($A16, 'CEM Data Lookup'!$A:$P,10,FALSE)</f>
        <v>0.79</v>
      </c>
      <c r="H16" s="453"/>
      <c r="I16" s="233">
        <f>VLOOKUP($A16, 'CEM Data Lookup'!$A:$P,12,FALSE)</f>
        <v>3.0394000000000001</v>
      </c>
      <c r="J16" s="233"/>
      <c r="K16" s="233">
        <f>VLOOKUP($A16, 'CEM Data Lookup'!$A:$P,14,FALSE)</f>
        <v>6.7900000000000002E-2</v>
      </c>
      <c r="L16" s="455"/>
    </row>
    <row r="17" spans="1:12" ht="17.25" customHeight="1" x14ac:dyDescent="0.5">
      <c r="A17" s="438" t="str">
        <f>Input!C9</f>
        <v>AZO</v>
      </c>
      <c r="B17" s="438"/>
      <c r="C17" s="438" t="str">
        <f>VLOOKUP($A17, 'CEM Data Lookup'!$A:$P,2,FALSE)</f>
        <v xml:space="preserve">AutoZone Inc.       </v>
      </c>
      <c r="D17" s="438"/>
      <c r="E17" s="231">
        <f>VLOOKUP($A17, 'CEM Data Lookup'!$A:$P,9,FALSE)</f>
        <v>0.95</v>
      </c>
      <c r="F17" s="232"/>
      <c r="G17" s="232">
        <f>VLOOKUP($A17, 'CEM Data Lookup'!$A:$P,10,FALSE)</f>
        <v>0.88</v>
      </c>
      <c r="H17" s="453"/>
      <c r="I17" s="233">
        <f>VLOOKUP($A17, 'CEM Data Lookup'!$A:$P,12,FALSE)</f>
        <v>3.2399</v>
      </c>
      <c r="J17" s="233"/>
      <c r="K17" s="233">
        <f>VLOOKUP($A17, 'CEM Data Lookup'!$A:$P,14,FALSE)</f>
        <v>7.2300000000000003E-2</v>
      </c>
      <c r="L17" s="455"/>
    </row>
    <row r="18" spans="1:12" ht="17.25" customHeight="1" x14ac:dyDescent="0.5">
      <c r="A18" s="438" t="str">
        <f>Input!C10</f>
        <v>BAH</v>
      </c>
      <c r="B18" s="438"/>
      <c r="C18" s="438" t="str">
        <f>VLOOKUP($A18, 'CEM Data Lookup'!$A:$P,2,FALSE)</f>
        <v xml:space="preserve">Booz Allen Hamilton </v>
      </c>
      <c r="D18" s="438"/>
      <c r="E18" s="231">
        <f>VLOOKUP($A18, 'CEM Data Lookup'!$A:$P,9,FALSE)</f>
        <v>0.85</v>
      </c>
      <c r="F18" s="232"/>
      <c r="G18" s="232">
        <f>VLOOKUP($A18, 'CEM Data Lookup'!$A:$P,10,FALSE)</f>
        <v>0.74</v>
      </c>
      <c r="H18" s="453"/>
      <c r="I18" s="233">
        <f>VLOOKUP($A18, 'CEM Data Lookup'!$A:$P,12,FALSE)</f>
        <v>3.2930000000000001</v>
      </c>
      <c r="J18" s="233"/>
      <c r="K18" s="233">
        <f>VLOOKUP($A18, 'CEM Data Lookup'!$A:$P,14,FALSE)</f>
        <v>7.3499999999999996E-2</v>
      </c>
      <c r="L18" s="455"/>
    </row>
    <row r="19" spans="1:12" ht="17.25" customHeight="1" x14ac:dyDescent="0.5">
      <c r="A19" s="438" t="str">
        <f>Input!C11</f>
        <v>BRC</v>
      </c>
      <c r="B19" s="438"/>
      <c r="C19" s="438" t="str">
        <f>VLOOKUP($A19, 'CEM Data Lookup'!$A:$P,2,FALSE)</f>
        <v xml:space="preserve">Brady Corp.         </v>
      </c>
      <c r="D19" s="438"/>
      <c r="E19" s="231">
        <f>VLOOKUP($A19, 'CEM Data Lookup'!$A:$P,9,FALSE)</f>
        <v>0.95</v>
      </c>
      <c r="F19" s="232"/>
      <c r="G19" s="232">
        <f>VLOOKUP($A19, 'CEM Data Lookup'!$A:$P,10,FALSE)</f>
        <v>0.9</v>
      </c>
      <c r="H19" s="453"/>
      <c r="I19" s="233">
        <f>VLOOKUP($A19, 'CEM Data Lookup'!$A:$P,12,FALSE)</f>
        <v>2.8860000000000001</v>
      </c>
      <c r="J19" s="233"/>
      <c r="K19" s="233">
        <f>VLOOKUP($A19, 'CEM Data Lookup'!$A:$P,14,FALSE)</f>
        <v>6.4399999999999999E-2</v>
      </c>
      <c r="L19" s="455"/>
    </row>
    <row r="20" spans="1:12" ht="17.25" customHeight="1" x14ac:dyDescent="0.5">
      <c r="A20" s="438" t="str">
        <f>Input!C12</f>
        <v>BWXT</v>
      </c>
      <c r="B20" s="438"/>
      <c r="C20" s="438" t="str">
        <f>VLOOKUP($A20, 'CEM Data Lookup'!$A:$P,2,FALSE)</f>
        <v xml:space="preserve">BWX Technologies    </v>
      </c>
      <c r="D20" s="438"/>
      <c r="E20" s="231">
        <f>VLOOKUP($A20, 'CEM Data Lookup'!$A:$P,9,FALSE)</f>
        <v>0.8</v>
      </c>
      <c r="F20" s="232"/>
      <c r="G20" s="232">
        <f>VLOOKUP($A20, 'CEM Data Lookup'!$A:$P,10,FALSE)</f>
        <v>0.68</v>
      </c>
      <c r="H20" s="453"/>
      <c r="I20" s="233">
        <f>VLOOKUP($A20, 'CEM Data Lookup'!$A:$P,12,FALSE)</f>
        <v>3.2662</v>
      </c>
      <c r="J20" s="233"/>
      <c r="K20" s="233">
        <f>VLOOKUP($A20, 'CEM Data Lookup'!$A:$P,14,FALSE)</f>
        <v>7.2900000000000006E-2</v>
      </c>
      <c r="L20" s="455"/>
    </row>
    <row r="21" spans="1:12" ht="17.25" customHeight="1" x14ac:dyDescent="0.5">
      <c r="A21" s="438" t="str">
        <f>Input!C13</f>
        <v>CACI</v>
      </c>
      <c r="B21" s="438"/>
      <c r="C21" s="438" t="str">
        <f>VLOOKUP($A21, 'CEM Data Lookup'!$A:$P,2,FALSE)</f>
        <v xml:space="preserve">CACI Int'l          </v>
      </c>
      <c r="D21" s="438"/>
      <c r="E21" s="231">
        <f>VLOOKUP($A21, 'CEM Data Lookup'!$A:$P,9,FALSE)</f>
        <v>0.9</v>
      </c>
      <c r="F21" s="232"/>
      <c r="G21" s="232">
        <f>VLOOKUP($A21, 'CEM Data Lookup'!$A:$P,10,FALSE)</f>
        <v>0.8</v>
      </c>
      <c r="H21" s="453"/>
      <c r="I21" s="233">
        <f>VLOOKUP($A21, 'CEM Data Lookup'!$A:$P,12,FALSE)</f>
        <v>3.0358999999999998</v>
      </c>
      <c r="J21" s="233"/>
      <c r="K21" s="233">
        <f>VLOOKUP($A21, 'CEM Data Lookup'!$A:$P,14,FALSE)</f>
        <v>6.7799999999999999E-2</v>
      </c>
      <c r="L21" s="455"/>
    </row>
    <row r="22" spans="1:12" ht="17.25" customHeight="1" x14ac:dyDescent="0.5">
      <c r="A22" s="438" t="str">
        <f>Input!C14</f>
        <v>CASY</v>
      </c>
      <c r="B22" s="438"/>
      <c r="C22" s="438" t="str">
        <f>VLOOKUP($A22, 'CEM Data Lookup'!$A:$P,2,FALSE)</f>
        <v>Casey's Gen'l Stores</v>
      </c>
      <c r="D22" s="438"/>
      <c r="E22" s="231">
        <f>VLOOKUP($A22, 'CEM Data Lookup'!$A:$P,9,FALSE)</f>
        <v>0.9</v>
      </c>
      <c r="F22" s="232"/>
      <c r="G22" s="232">
        <f>VLOOKUP($A22, 'CEM Data Lookup'!$A:$P,10,FALSE)</f>
        <v>0.79</v>
      </c>
      <c r="H22" s="453"/>
      <c r="I22" s="233">
        <f>VLOOKUP($A22, 'CEM Data Lookup'!$A:$P,12,FALSE)</f>
        <v>3.1661000000000001</v>
      </c>
      <c r="J22" s="233"/>
      <c r="K22" s="233">
        <f>VLOOKUP($A22, 'CEM Data Lookup'!$A:$P,14,FALSE)</f>
        <v>7.0699999999999999E-2</v>
      </c>
      <c r="L22" s="455"/>
    </row>
    <row r="23" spans="1:12" ht="17.25" customHeight="1" x14ac:dyDescent="0.5">
      <c r="A23" s="438" t="str">
        <f>Input!C15</f>
        <v>COR</v>
      </c>
      <c r="B23" s="438"/>
      <c r="C23" s="438" t="str">
        <f>VLOOKUP($A23, 'CEM Data Lookup'!$A:$P,2,FALSE)</f>
        <v xml:space="preserve">Cencora             </v>
      </c>
      <c r="D23" s="438"/>
      <c r="E23" s="231">
        <f>VLOOKUP($A23, 'CEM Data Lookup'!$A:$P,9,FALSE)</f>
        <v>0.8</v>
      </c>
      <c r="F23" s="232"/>
      <c r="G23" s="232">
        <f>VLOOKUP($A23, 'CEM Data Lookup'!$A:$P,10,FALSE)</f>
        <v>0.66</v>
      </c>
      <c r="H23" s="453"/>
      <c r="I23" s="233">
        <f>VLOOKUP($A23, 'CEM Data Lookup'!$A:$P,12,FALSE)</f>
        <v>2.9645999999999999</v>
      </c>
      <c r="J23" s="233"/>
      <c r="K23" s="233">
        <f>VLOOKUP($A23, 'CEM Data Lookup'!$A:$P,14,FALSE)</f>
        <v>6.6199999999999995E-2</v>
      </c>
      <c r="L23" s="455"/>
    </row>
    <row r="24" spans="1:12" ht="17.25" customHeight="1" x14ac:dyDescent="0.5">
      <c r="A24" s="438" t="str">
        <f>Input!C16</f>
        <v>CSWI</v>
      </c>
      <c r="B24" s="438"/>
      <c r="C24" s="438" t="str">
        <f>VLOOKUP($A24, 'CEM Data Lookup'!$A:$P,2,FALSE)</f>
        <v xml:space="preserve">CSW Industrials     </v>
      </c>
      <c r="D24" s="438"/>
      <c r="E24" s="231">
        <f>VLOOKUP($A24, 'CEM Data Lookup'!$A:$P,9,FALSE)</f>
        <v>0.9</v>
      </c>
      <c r="F24" s="232"/>
      <c r="G24" s="232">
        <f>VLOOKUP($A24, 'CEM Data Lookup'!$A:$P,10,FALSE)</f>
        <v>0.77</v>
      </c>
      <c r="H24" s="453"/>
      <c r="I24" s="233">
        <f>VLOOKUP($A24, 'CEM Data Lookup'!$A:$P,12,FALSE)</f>
        <v>3.2778999999999998</v>
      </c>
      <c r="J24" s="233"/>
      <c r="K24" s="233">
        <f>VLOOKUP($A24, 'CEM Data Lookup'!$A:$P,14,FALSE)</f>
        <v>7.3200000000000001E-2</v>
      </c>
      <c r="L24" s="455"/>
    </row>
    <row r="25" spans="1:12" ht="17.25" customHeight="1" x14ac:dyDescent="0.5">
      <c r="A25" s="438" t="str">
        <f>Input!C17</f>
        <v>CVS</v>
      </c>
      <c r="B25" s="438"/>
      <c r="C25" s="438" t="str">
        <f>VLOOKUP($A25, 'CEM Data Lookup'!$A:$P,2,FALSE)</f>
        <v xml:space="preserve">CVS Health          </v>
      </c>
      <c r="D25" s="438"/>
      <c r="E25" s="231">
        <f>VLOOKUP($A25, 'CEM Data Lookup'!$A:$P,9,FALSE)</f>
        <v>0.9</v>
      </c>
      <c r="F25" s="232"/>
      <c r="G25" s="232">
        <f>VLOOKUP($A25, 'CEM Data Lookup'!$A:$P,10,FALSE)</f>
        <v>0.79</v>
      </c>
      <c r="H25" s="453"/>
      <c r="I25" s="233">
        <f>VLOOKUP($A25, 'CEM Data Lookup'!$A:$P,12,FALSE)</f>
        <v>3.3645999999999998</v>
      </c>
      <c r="J25" s="233"/>
      <c r="K25" s="233">
        <f>VLOOKUP($A25, 'CEM Data Lookup'!$A:$P,14,FALSE)</f>
        <v>7.51E-2</v>
      </c>
      <c r="L25" s="455"/>
    </row>
    <row r="26" spans="1:12" ht="17.25" customHeight="1" x14ac:dyDescent="0.5">
      <c r="A26" s="438" t="str">
        <f>Input!C18</f>
        <v>DHR</v>
      </c>
      <c r="B26" s="438"/>
      <c r="C26" s="438" t="str">
        <f>VLOOKUP($A26, 'CEM Data Lookup'!$A:$P,2,FALSE)</f>
        <v xml:space="preserve">Danaher Corp.       </v>
      </c>
      <c r="D26" s="438"/>
      <c r="E26" s="231">
        <f>VLOOKUP($A26, 'CEM Data Lookup'!$A:$P,9,FALSE)</f>
        <v>0.9</v>
      </c>
      <c r="F26" s="232"/>
      <c r="G26" s="232">
        <f>VLOOKUP($A26, 'CEM Data Lookup'!$A:$P,10,FALSE)</f>
        <v>0.81</v>
      </c>
      <c r="H26" s="453"/>
      <c r="I26" s="233">
        <f>VLOOKUP($A26, 'CEM Data Lookup'!$A:$P,12,FALSE)</f>
        <v>3.0286</v>
      </c>
      <c r="J26" s="233"/>
      <c r="K26" s="233">
        <f>VLOOKUP($A26, 'CEM Data Lookup'!$A:$P,14,FALSE)</f>
        <v>6.7599999999999993E-2</v>
      </c>
      <c r="L26" s="455"/>
    </row>
    <row r="27" spans="1:12" ht="17.25" customHeight="1" x14ac:dyDescent="0.5">
      <c r="A27" s="438" t="str">
        <f>Input!C19</f>
        <v>DLB</v>
      </c>
      <c r="B27" s="438"/>
      <c r="C27" s="438" t="str">
        <f>VLOOKUP($A27, 'CEM Data Lookup'!$A:$P,2,FALSE)</f>
        <v xml:space="preserve">Dolby Labs.         </v>
      </c>
      <c r="D27" s="438"/>
      <c r="E27" s="231">
        <f>VLOOKUP($A27, 'CEM Data Lookup'!$A:$P,9,FALSE)</f>
        <v>0.95</v>
      </c>
      <c r="F27" s="232"/>
      <c r="G27" s="232">
        <f>VLOOKUP($A27, 'CEM Data Lookup'!$A:$P,10,FALSE)</f>
        <v>0.87</v>
      </c>
      <c r="H27" s="453"/>
      <c r="I27" s="233">
        <f>VLOOKUP($A27, 'CEM Data Lookup'!$A:$P,12,FALSE)</f>
        <v>2.9508000000000001</v>
      </c>
      <c r="J27" s="233"/>
      <c r="K27" s="233">
        <f>VLOOKUP($A27, 'CEM Data Lookup'!$A:$P,14,FALSE)</f>
        <v>6.59E-2</v>
      </c>
      <c r="L27" s="455"/>
    </row>
    <row r="28" spans="1:12" ht="17.25" customHeight="1" x14ac:dyDescent="0.5">
      <c r="A28" s="438" t="str">
        <f>Input!C20</f>
        <v>EXPO</v>
      </c>
      <c r="B28" s="438"/>
      <c r="C28" s="438" t="str">
        <f>VLOOKUP($A28, 'CEM Data Lookup'!$A:$P,2,FALSE)</f>
        <v xml:space="preserve">Exponent, Inc.      </v>
      </c>
      <c r="D28" s="438"/>
      <c r="E28" s="231">
        <f>VLOOKUP($A28, 'CEM Data Lookup'!$A:$P,9,FALSE)</f>
        <v>0.95</v>
      </c>
      <c r="F28" s="232"/>
      <c r="G28" s="232">
        <f>VLOOKUP($A28, 'CEM Data Lookup'!$A:$P,10,FALSE)</f>
        <v>0.88</v>
      </c>
      <c r="H28" s="453"/>
      <c r="I28" s="233">
        <f>VLOOKUP($A28, 'CEM Data Lookup'!$A:$P,12,FALSE)</f>
        <v>3.3456000000000001</v>
      </c>
      <c r="J28" s="233"/>
      <c r="K28" s="233">
        <f>VLOOKUP($A28, 'CEM Data Lookup'!$A:$P,14,FALSE)</f>
        <v>7.4700000000000003E-2</v>
      </c>
      <c r="L28" s="455"/>
    </row>
    <row r="29" spans="1:12" ht="17.25" customHeight="1" x14ac:dyDescent="0.5">
      <c r="A29" s="438" t="str">
        <f>Input!C21</f>
        <v>FAST</v>
      </c>
      <c r="B29" s="438"/>
      <c r="C29" s="438" t="str">
        <f>VLOOKUP($A29, 'CEM Data Lookup'!$A:$P,2,FALSE)</f>
        <v xml:space="preserve">Fastenal Co.        </v>
      </c>
      <c r="D29" s="438"/>
      <c r="E29" s="231">
        <f>VLOOKUP($A29, 'CEM Data Lookup'!$A:$P,9,FALSE)</f>
        <v>0.9</v>
      </c>
      <c r="F29" s="232"/>
      <c r="G29" s="232">
        <f>VLOOKUP($A29, 'CEM Data Lookup'!$A:$P,10,FALSE)</f>
        <v>0.8</v>
      </c>
      <c r="H29" s="453"/>
      <c r="I29" s="233">
        <f>VLOOKUP($A29, 'CEM Data Lookup'!$A:$P,12,FALSE)</f>
        <v>2.9253</v>
      </c>
      <c r="J29" s="233"/>
      <c r="K29" s="233">
        <f>VLOOKUP($A29, 'CEM Data Lookup'!$A:$P,14,FALSE)</f>
        <v>6.5299999999999997E-2</v>
      </c>
      <c r="L29" s="455"/>
    </row>
    <row r="30" spans="1:12" ht="17.25" customHeight="1" x14ac:dyDescent="0.5">
      <c r="A30" s="438" t="str">
        <f>Input!C22</f>
        <v>FELE</v>
      </c>
      <c r="B30" s="438"/>
      <c r="C30" s="438" t="str">
        <f>VLOOKUP($A30, 'CEM Data Lookup'!$A:$P,2,FALSE)</f>
        <v xml:space="preserve">Franklin Electric   </v>
      </c>
      <c r="D30" s="438"/>
      <c r="E30" s="231">
        <f>VLOOKUP($A30, 'CEM Data Lookup'!$A:$P,9,FALSE)</f>
        <v>0.9</v>
      </c>
      <c r="F30" s="232"/>
      <c r="G30" s="232">
        <f>VLOOKUP($A30, 'CEM Data Lookup'!$A:$P,10,FALSE)</f>
        <v>0.82</v>
      </c>
      <c r="H30" s="453"/>
      <c r="I30" s="233">
        <f>VLOOKUP($A30, 'CEM Data Lookup'!$A:$P,12,FALSE)</f>
        <v>2.9333</v>
      </c>
      <c r="J30" s="233"/>
      <c r="K30" s="233">
        <f>VLOOKUP($A30, 'CEM Data Lookup'!$A:$P,14,FALSE)</f>
        <v>6.5500000000000003E-2</v>
      </c>
      <c r="L30" s="455"/>
    </row>
    <row r="31" spans="1:12" ht="17.25" customHeight="1" x14ac:dyDescent="0.5">
      <c r="A31" s="438" t="str">
        <f>Input!C23</f>
        <v>GATX</v>
      </c>
      <c r="B31" s="438"/>
      <c r="C31" s="438" t="str">
        <f>VLOOKUP($A31, 'CEM Data Lookup'!$A:$P,2,FALSE)</f>
        <v xml:space="preserve">GATX Corp.          </v>
      </c>
      <c r="D31" s="438"/>
      <c r="E31" s="231">
        <f>VLOOKUP($A31, 'CEM Data Lookup'!$A:$P,9,FALSE)</f>
        <v>0.95</v>
      </c>
      <c r="F31" s="232"/>
      <c r="G31" s="232">
        <f>VLOOKUP($A31, 'CEM Data Lookup'!$A:$P,10,FALSE)</f>
        <v>0.9</v>
      </c>
      <c r="H31" s="453"/>
      <c r="I31" s="233">
        <f>VLOOKUP($A31, 'CEM Data Lookup'!$A:$P,12,FALSE)</f>
        <v>2.9874999999999998</v>
      </c>
      <c r="J31" s="233"/>
      <c r="K31" s="233">
        <f>VLOOKUP($A31, 'CEM Data Lookup'!$A:$P,14,FALSE)</f>
        <v>6.6699999999999995E-2</v>
      </c>
      <c r="L31" s="455"/>
    </row>
    <row r="32" spans="1:12" ht="17.25" customHeight="1" x14ac:dyDescent="0.5">
      <c r="A32" s="438" t="str">
        <f>Input!C24</f>
        <v>JKHY</v>
      </c>
      <c r="B32" s="438"/>
      <c r="C32" s="438" t="str">
        <f>VLOOKUP($A32, 'CEM Data Lookup'!$A:$P,2,FALSE)</f>
        <v>Henry (Jack) &amp; Assoc</v>
      </c>
      <c r="D32" s="438"/>
      <c r="E32" s="231">
        <f>VLOOKUP($A32, 'CEM Data Lookup'!$A:$P,9,FALSE)</f>
        <v>0.85</v>
      </c>
      <c r="F32" s="232"/>
      <c r="G32" s="232">
        <f>VLOOKUP($A32, 'CEM Data Lookup'!$A:$P,10,FALSE)</f>
        <v>0.74</v>
      </c>
      <c r="H32" s="453"/>
      <c r="I32" s="233">
        <f>VLOOKUP($A32, 'CEM Data Lookup'!$A:$P,12,FALSE)</f>
        <v>3.1928000000000001</v>
      </c>
      <c r="J32" s="233"/>
      <c r="K32" s="233">
        <f>VLOOKUP($A32, 'CEM Data Lookup'!$A:$P,14,FALSE)</f>
        <v>7.1300000000000002E-2</v>
      </c>
      <c r="L32" s="455"/>
    </row>
    <row r="33" spans="1:12" ht="17.25" customHeight="1" x14ac:dyDescent="0.5">
      <c r="A33" s="438" t="str">
        <f>Input!C25</f>
        <v>JBHT</v>
      </c>
      <c r="B33" s="438"/>
      <c r="C33" s="438" t="str">
        <f>VLOOKUP($A33, 'CEM Data Lookup'!$A:$P,2,FALSE)</f>
        <v xml:space="preserve">Hunt (J.B.)         </v>
      </c>
      <c r="D33" s="438"/>
      <c r="E33" s="231">
        <f>VLOOKUP($A33, 'CEM Data Lookup'!$A:$P,9,FALSE)</f>
        <v>0.95</v>
      </c>
      <c r="F33" s="232"/>
      <c r="G33" s="232">
        <f>VLOOKUP($A33, 'CEM Data Lookup'!$A:$P,10,FALSE)</f>
        <v>0.91</v>
      </c>
      <c r="H33" s="453"/>
      <c r="I33" s="233">
        <f>VLOOKUP($A33, 'CEM Data Lookup'!$A:$P,12,FALSE)</f>
        <v>3.2646999999999999</v>
      </c>
      <c r="J33" s="233"/>
      <c r="K33" s="233">
        <f>VLOOKUP($A33, 'CEM Data Lookup'!$A:$P,14,FALSE)</f>
        <v>7.2900000000000006E-2</v>
      </c>
      <c r="L33" s="455"/>
    </row>
    <row r="34" spans="1:12" ht="17.25" customHeight="1" x14ac:dyDescent="0.5">
      <c r="A34" s="438" t="str">
        <f>Input!C26</f>
        <v>HII</v>
      </c>
      <c r="B34" s="438"/>
      <c r="C34" s="438" t="str">
        <f>VLOOKUP($A34, 'CEM Data Lookup'!$A:$P,2,FALSE)</f>
        <v xml:space="preserve">Huntington Ingalls  </v>
      </c>
      <c r="D34" s="438"/>
      <c r="E34" s="231">
        <f>VLOOKUP($A34, 'CEM Data Lookup'!$A:$P,9,FALSE)</f>
        <v>0.95</v>
      </c>
      <c r="F34" s="232"/>
      <c r="G34" s="232">
        <f>VLOOKUP($A34, 'CEM Data Lookup'!$A:$P,10,FALSE)</f>
        <v>0.89</v>
      </c>
      <c r="H34" s="453"/>
      <c r="I34" s="233">
        <f>VLOOKUP($A34, 'CEM Data Lookup'!$A:$P,12,FALSE)</f>
        <v>3.3736000000000002</v>
      </c>
      <c r="J34" s="233"/>
      <c r="K34" s="233">
        <f>VLOOKUP($A34, 'CEM Data Lookup'!$A:$P,14,FALSE)</f>
        <v>7.5300000000000006E-2</v>
      </c>
      <c r="L34" s="455"/>
    </row>
    <row r="35" spans="1:12" ht="17.25" customHeight="1" x14ac:dyDescent="0.5">
      <c r="A35" s="438" t="str">
        <f>Input!C27</f>
        <v>LHX</v>
      </c>
      <c r="B35" s="438"/>
      <c r="C35" s="438" t="str">
        <f>VLOOKUP($A35, 'CEM Data Lookup'!$A:$P,2,FALSE)</f>
        <v>L3Harris Technologie</v>
      </c>
      <c r="D35" s="438"/>
      <c r="E35" s="231">
        <f>VLOOKUP($A35, 'CEM Data Lookup'!$A:$P,9,FALSE)</f>
        <v>0.9</v>
      </c>
      <c r="F35" s="232"/>
      <c r="G35" s="232">
        <f>VLOOKUP($A35, 'CEM Data Lookup'!$A:$P,10,FALSE)</f>
        <v>0.83</v>
      </c>
      <c r="H35" s="453"/>
      <c r="I35" s="233">
        <f>VLOOKUP($A35, 'CEM Data Lookup'!$A:$P,12,FALSE)</f>
        <v>3.1556000000000002</v>
      </c>
      <c r="J35" s="233"/>
      <c r="K35" s="233">
        <f>VLOOKUP($A35, 'CEM Data Lookup'!$A:$P,14,FALSE)</f>
        <v>7.1099999999999997E-2</v>
      </c>
      <c r="L35" s="455"/>
    </row>
    <row r="36" spans="1:12" ht="17.25" customHeight="1" x14ac:dyDescent="0.5">
      <c r="A36" s="438" t="str">
        <f>Input!C28</f>
        <v>LSTR</v>
      </c>
      <c r="B36" s="438"/>
      <c r="C36" s="438" t="str">
        <f>VLOOKUP($A36, 'CEM Data Lookup'!$A:$P,2,FALSE)</f>
        <v xml:space="preserve">Landstar System     </v>
      </c>
      <c r="D36" s="438"/>
      <c r="E36" s="231">
        <f>VLOOKUP($A36, 'CEM Data Lookup'!$A:$P,9,FALSE)</f>
        <v>0.8</v>
      </c>
      <c r="F36" s="232"/>
      <c r="G36" s="232">
        <f>VLOOKUP($A36, 'CEM Data Lookup'!$A:$P,10,FALSE)</f>
        <v>0.65</v>
      </c>
      <c r="H36" s="453"/>
      <c r="I36" s="233">
        <f>VLOOKUP($A36, 'CEM Data Lookup'!$A:$P,12,FALSE)</f>
        <v>2.8664999999999998</v>
      </c>
      <c r="J36" s="233"/>
      <c r="K36" s="233">
        <f>VLOOKUP($A36, 'CEM Data Lookup'!$A:$P,14,FALSE)</f>
        <v>6.4000000000000001E-2</v>
      </c>
      <c r="L36" s="455"/>
    </row>
    <row r="37" spans="1:12" ht="17.25" customHeight="1" x14ac:dyDescent="0.5">
      <c r="A37" s="438" t="str">
        <f>Input!C29</f>
        <v>LMT</v>
      </c>
      <c r="B37" s="438"/>
      <c r="C37" s="438" t="str">
        <f>VLOOKUP($A37, 'CEM Data Lookup'!$A:$P,2,FALSE)</f>
        <v xml:space="preserve">Lockheed Martin     </v>
      </c>
      <c r="D37" s="438"/>
      <c r="E37" s="231">
        <f>VLOOKUP($A37, 'CEM Data Lookup'!$A:$P,9,FALSE)</f>
        <v>0.85</v>
      </c>
      <c r="F37" s="232"/>
      <c r="G37" s="232">
        <f>VLOOKUP($A37, 'CEM Data Lookup'!$A:$P,10,FALSE)</f>
        <v>0.75</v>
      </c>
      <c r="H37" s="453"/>
      <c r="I37" s="233">
        <f>VLOOKUP($A37, 'CEM Data Lookup'!$A:$P,12,FALSE)</f>
        <v>2.8740999999999999</v>
      </c>
      <c r="J37" s="233"/>
      <c r="K37" s="233">
        <f>VLOOKUP($A37, 'CEM Data Lookup'!$A:$P,14,FALSE)</f>
        <v>6.4199999999999993E-2</v>
      </c>
      <c r="L37" s="455"/>
    </row>
    <row r="38" spans="1:12" ht="17.25" customHeight="1" x14ac:dyDescent="0.5">
      <c r="A38" s="438" t="str">
        <f>Input!C30</f>
        <v>MCK</v>
      </c>
      <c r="B38" s="438"/>
      <c r="C38" s="438" t="str">
        <f>VLOOKUP($A38, 'CEM Data Lookup'!$A:$P,2,FALSE)</f>
        <v xml:space="preserve">McKesson Corp.      </v>
      </c>
      <c r="D38" s="438"/>
      <c r="E38" s="231">
        <f>VLOOKUP($A38, 'CEM Data Lookup'!$A:$P,9,FALSE)</f>
        <v>0.85</v>
      </c>
      <c r="F38" s="232"/>
      <c r="G38" s="232">
        <f>VLOOKUP($A38, 'CEM Data Lookup'!$A:$P,10,FALSE)</f>
        <v>0.7</v>
      </c>
      <c r="H38" s="453"/>
      <c r="I38" s="233">
        <f>VLOOKUP($A38, 'CEM Data Lookup'!$A:$P,12,FALSE)</f>
        <v>3.1484999999999999</v>
      </c>
      <c r="J38" s="233"/>
      <c r="K38" s="233">
        <f>VLOOKUP($A38, 'CEM Data Lookup'!$A:$P,14,FALSE)</f>
        <v>7.0300000000000001E-2</v>
      </c>
      <c r="L38" s="455"/>
    </row>
    <row r="39" spans="1:12" ht="17.25" customHeight="1" x14ac:dyDescent="0.5">
      <c r="A39" s="438" t="str">
        <f>Input!C31</f>
        <v>MSFT</v>
      </c>
      <c r="B39" s="438"/>
      <c r="C39" s="438" t="str">
        <f>VLOOKUP($A39, 'CEM Data Lookup'!$A:$P,2,FALSE)</f>
        <v xml:space="preserve">Microsoft Corp.     </v>
      </c>
      <c r="D39" s="438"/>
      <c r="E39" s="231">
        <f>VLOOKUP($A39, 'CEM Data Lookup'!$A:$P,9,FALSE)</f>
        <v>0.9</v>
      </c>
      <c r="F39" s="232"/>
      <c r="G39" s="232">
        <f>VLOOKUP($A39, 'CEM Data Lookup'!$A:$P,10,FALSE)</f>
        <v>0.78</v>
      </c>
      <c r="H39" s="453"/>
      <c r="I39" s="233">
        <f>VLOOKUP($A39, 'CEM Data Lookup'!$A:$P,12,FALSE)</f>
        <v>2.8519999999999999</v>
      </c>
      <c r="J39" s="233"/>
      <c r="K39" s="233">
        <f>VLOOKUP($A39, 'CEM Data Lookup'!$A:$P,14,FALSE)</f>
        <v>6.3700000000000007E-2</v>
      </c>
      <c r="L39" s="455"/>
    </row>
    <row r="40" spans="1:12" ht="17.25" customHeight="1" x14ac:dyDescent="0.5">
      <c r="A40" s="438" t="str">
        <f>Input!C32</f>
        <v>MSM</v>
      </c>
      <c r="B40" s="438"/>
      <c r="C40" s="438" t="str">
        <f>VLOOKUP($A40, 'CEM Data Lookup'!$A:$P,2,FALSE)</f>
        <v>MSC Industrial Direc</v>
      </c>
      <c r="D40" s="438"/>
      <c r="E40" s="231">
        <f>VLOOKUP($A40, 'CEM Data Lookup'!$A:$P,9,FALSE)</f>
        <v>0.9</v>
      </c>
      <c r="F40" s="232"/>
      <c r="G40" s="232">
        <f>VLOOKUP($A40, 'CEM Data Lookup'!$A:$P,10,FALSE)</f>
        <v>0.84</v>
      </c>
      <c r="H40" s="453"/>
      <c r="I40" s="233">
        <f>VLOOKUP($A40, 'CEM Data Lookup'!$A:$P,12,FALSE)</f>
        <v>2.9544999999999999</v>
      </c>
      <c r="J40" s="233"/>
      <c r="K40" s="233">
        <f>VLOOKUP($A40, 'CEM Data Lookup'!$A:$P,14,FALSE)</f>
        <v>6.6000000000000003E-2</v>
      </c>
      <c r="L40" s="455"/>
    </row>
    <row r="41" spans="1:12" ht="17.25" customHeight="1" x14ac:dyDescent="0.5">
      <c r="A41" s="438" t="str">
        <f>Input!C33</f>
        <v>ORCL</v>
      </c>
      <c r="B41" s="438"/>
      <c r="C41" s="438" t="str">
        <f>VLOOKUP($A41, 'CEM Data Lookup'!$A:$P,2,FALSE)</f>
        <v xml:space="preserve">Oracle Corp.        </v>
      </c>
      <c r="D41" s="438"/>
      <c r="E41" s="231">
        <f>VLOOKUP($A41, 'CEM Data Lookup'!$A:$P,9,FALSE)</f>
        <v>0.85</v>
      </c>
      <c r="F41" s="232"/>
      <c r="G41" s="232">
        <f>VLOOKUP($A41, 'CEM Data Lookup'!$A:$P,10,FALSE)</f>
        <v>0.7</v>
      </c>
      <c r="H41" s="453"/>
      <c r="I41" s="233">
        <f>VLOOKUP($A41, 'CEM Data Lookup'!$A:$P,12,FALSE)</f>
        <v>3.0994999999999999</v>
      </c>
      <c r="J41" s="233"/>
      <c r="K41" s="233">
        <f>VLOOKUP($A41, 'CEM Data Lookup'!$A:$P,14,FALSE)</f>
        <v>6.9199999999999998E-2</v>
      </c>
      <c r="L41" s="455"/>
    </row>
    <row r="42" spans="1:12" ht="17.25" customHeight="1" x14ac:dyDescent="0.5">
      <c r="A42" s="438" t="str">
        <f>Input!C34</f>
        <v>ORLY</v>
      </c>
      <c r="B42" s="438"/>
      <c r="C42" s="438" t="str">
        <f>VLOOKUP($A42, 'CEM Data Lookup'!$A:$P,2,FALSE)</f>
        <v xml:space="preserve">O'Reilly Automotive </v>
      </c>
      <c r="D42" s="438"/>
      <c r="E42" s="231">
        <f>VLOOKUP($A42, 'CEM Data Lookup'!$A:$P,9,FALSE)</f>
        <v>0.9</v>
      </c>
      <c r="F42" s="232"/>
      <c r="G42" s="232">
        <f>VLOOKUP($A42, 'CEM Data Lookup'!$A:$P,10,FALSE)</f>
        <v>0.84</v>
      </c>
      <c r="H42" s="453"/>
      <c r="I42" s="233">
        <f>VLOOKUP($A42, 'CEM Data Lookup'!$A:$P,12,FALSE)</f>
        <v>3.0259</v>
      </c>
      <c r="J42" s="233"/>
      <c r="K42" s="233">
        <f>VLOOKUP($A42, 'CEM Data Lookup'!$A:$P,14,FALSE)</f>
        <v>6.7599999999999993E-2</v>
      </c>
      <c r="L42" s="455"/>
    </row>
    <row r="43" spans="1:12" ht="17.25" customHeight="1" x14ac:dyDescent="0.5">
      <c r="A43" s="438" t="str">
        <f>Input!C35</f>
        <v>OSIS</v>
      </c>
      <c r="B43" s="438"/>
      <c r="C43" s="438" t="str">
        <f>VLOOKUP($A43, 'CEM Data Lookup'!$A:$P,2,FALSE)</f>
        <v xml:space="preserve">OSI Systems         </v>
      </c>
      <c r="D43" s="438"/>
      <c r="E43" s="231">
        <f>VLOOKUP($A43, 'CEM Data Lookup'!$A:$P,9,FALSE)</f>
        <v>0.9</v>
      </c>
      <c r="F43" s="232"/>
      <c r="G43" s="232">
        <f>VLOOKUP($A43, 'CEM Data Lookup'!$A:$P,10,FALSE)</f>
        <v>0.81</v>
      </c>
      <c r="H43" s="453"/>
      <c r="I43" s="233">
        <f>VLOOKUP($A43, 'CEM Data Lookup'!$A:$P,12,FALSE)</f>
        <v>3.2160000000000002</v>
      </c>
      <c r="J43" s="233"/>
      <c r="K43" s="233">
        <f>VLOOKUP($A43, 'CEM Data Lookup'!$A:$P,14,FALSE)</f>
        <v>7.1800000000000003E-2</v>
      </c>
      <c r="L43" s="455"/>
    </row>
    <row r="44" spans="1:12" ht="17.25" customHeight="1" x14ac:dyDescent="0.5">
      <c r="A44" s="438" t="str">
        <f>Input!C36</f>
        <v>PKG</v>
      </c>
      <c r="B44" s="438"/>
      <c r="C44" s="438" t="str">
        <f>VLOOKUP($A44, 'CEM Data Lookup'!$A:$P,2,FALSE)</f>
        <v xml:space="preserve">Packaging Corp.     </v>
      </c>
      <c r="D44" s="438"/>
      <c r="E44" s="231">
        <f>VLOOKUP($A44, 'CEM Data Lookup'!$A:$P,9,FALSE)</f>
        <v>0.95</v>
      </c>
      <c r="F44" s="232"/>
      <c r="G44" s="232">
        <f>VLOOKUP($A44, 'CEM Data Lookup'!$A:$P,10,FALSE)</f>
        <v>0.85</v>
      </c>
      <c r="H44" s="453"/>
      <c r="I44" s="233">
        <f>VLOOKUP($A44, 'CEM Data Lookup'!$A:$P,12,FALSE)</f>
        <v>2.8607</v>
      </c>
      <c r="J44" s="233"/>
      <c r="K44" s="233">
        <f>VLOOKUP($A44, 'CEM Data Lookup'!$A:$P,14,FALSE)</f>
        <v>6.3899999999999998E-2</v>
      </c>
      <c r="L44" s="455"/>
    </row>
    <row r="45" spans="1:12" ht="17.25" customHeight="1" x14ac:dyDescent="0.5">
      <c r="A45" s="438" t="str">
        <f>Input!C37</f>
        <v>PFE</v>
      </c>
      <c r="B45" s="438"/>
      <c r="C45" s="438" t="str">
        <f>VLOOKUP($A45, 'CEM Data Lookup'!$A:$P,2,FALSE)</f>
        <v xml:space="preserve">Pfizer, Inc.        </v>
      </c>
      <c r="D45" s="438"/>
      <c r="E45" s="231">
        <f>VLOOKUP($A45, 'CEM Data Lookup'!$A:$P,9,FALSE)</f>
        <v>0.8</v>
      </c>
      <c r="F45" s="232"/>
      <c r="G45" s="232">
        <f>VLOOKUP($A45, 'CEM Data Lookup'!$A:$P,10,FALSE)</f>
        <v>0.67</v>
      </c>
      <c r="H45" s="453"/>
      <c r="I45" s="233">
        <f>VLOOKUP($A45, 'CEM Data Lookup'!$A:$P,12,FALSE)</f>
        <v>3.1709000000000001</v>
      </c>
      <c r="J45" s="233"/>
      <c r="K45" s="233">
        <f>VLOOKUP($A45, 'CEM Data Lookup'!$A:$P,14,FALSE)</f>
        <v>7.0800000000000002E-2</v>
      </c>
      <c r="L45" s="455"/>
    </row>
    <row r="46" spans="1:12" ht="17.25" customHeight="1" x14ac:dyDescent="0.5">
      <c r="A46" s="438" t="str">
        <f>Input!C38</f>
        <v>PM</v>
      </c>
      <c r="B46" s="438"/>
      <c r="C46" s="438" t="str">
        <f>VLOOKUP($A46, 'CEM Data Lookup'!$A:$P,2,FALSE)</f>
        <v xml:space="preserve">Philip Morris Int'l </v>
      </c>
      <c r="D46" s="438"/>
      <c r="E46" s="231">
        <f>VLOOKUP($A46, 'CEM Data Lookup'!$A:$P,9,FALSE)</f>
        <v>0.95</v>
      </c>
      <c r="F46" s="232"/>
      <c r="G46" s="232">
        <f>VLOOKUP($A46, 'CEM Data Lookup'!$A:$P,10,FALSE)</f>
        <v>0.87</v>
      </c>
      <c r="H46" s="453"/>
      <c r="I46" s="233">
        <f>VLOOKUP($A46, 'CEM Data Lookup'!$A:$P,12,FALSE)</f>
        <v>2.875</v>
      </c>
      <c r="J46" s="233"/>
      <c r="K46" s="233">
        <f>VLOOKUP($A46, 'CEM Data Lookup'!$A:$P,14,FALSE)</f>
        <v>6.4199999999999993E-2</v>
      </c>
      <c r="L46" s="455"/>
    </row>
    <row r="47" spans="1:12" ht="17.25" customHeight="1" x14ac:dyDescent="0.5">
      <c r="A47" s="438" t="str">
        <f>Input!C39</f>
        <v>PBH</v>
      </c>
      <c r="B47" s="438"/>
      <c r="C47" s="438" t="str">
        <f>VLOOKUP($A47, 'CEM Data Lookup'!$A:$P,2,FALSE)</f>
        <v xml:space="preserve">Prestige Consumer   </v>
      </c>
      <c r="D47" s="438"/>
      <c r="E47" s="231">
        <f>VLOOKUP($A47, 'CEM Data Lookup'!$A:$P,9,FALSE)</f>
        <v>0.85</v>
      </c>
      <c r="F47" s="232"/>
      <c r="G47" s="232">
        <f>VLOOKUP($A47, 'CEM Data Lookup'!$A:$P,10,FALSE)</f>
        <v>0.75</v>
      </c>
      <c r="H47" s="453"/>
      <c r="I47" s="233">
        <f>VLOOKUP($A47, 'CEM Data Lookup'!$A:$P,12,FALSE)</f>
        <v>3.347</v>
      </c>
      <c r="J47" s="233"/>
      <c r="K47" s="233">
        <f>VLOOKUP($A47, 'CEM Data Lookup'!$A:$P,14,FALSE)</f>
        <v>7.4700000000000003E-2</v>
      </c>
      <c r="L47" s="455"/>
    </row>
    <row r="48" spans="1:12" ht="17.25" customHeight="1" x14ac:dyDescent="0.5">
      <c r="A48" s="438" t="str">
        <f>Input!C40</f>
        <v>SIGI</v>
      </c>
      <c r="B48" s="438"/>
      <c r="C48" s="438" t="str">
        <f>VLOOKUP($A48, 'CEM Data Lookup'!$A:$P,2,FALSE)</f>
        <v>Selective Ins. Group</v>
      </c>
      <c r="D48" s="438"/>
      <c r="E48" s="231">
        <f>VLOOKUP($A48, 'CEM Data Lookup'!$A:$P,9,FALSE)</f>
        <v>0.85</v>
      </c>
      <c r="F48" s="232"/>
      <c r="G48" s="232">
        <f>VLOOKUP($A48, 'CEM Data Lookup'!$A:$P,10,FALSE)</f>
        <v>0.74</v>
      </c>
      <c r="H48" s="453"/>
      <c r="I48" s="233">
        <f>VLOOKUP($A48, 'CEM Data Lookup'!$A:$P,12,FALSE)</f>
        <v>2.9941</v>
      </c>
      <c r="J48" s="233"/>
      <c r="K48" s="233">
        <f>VLOOKUP($A48, 'CEM Data Lookup'!$A:$P,14,FALSE)</f>
        <v>6.6799999999999998E-2</v>
      </c>
      <c r="L48" s="455"/>
    </row>
    <row r="49" spans="1:12" ht="17.25" customHeight="1" x14ac:dyDescent="0.5">
      <c r="A49" s="438" t="str">
        <f>Input!C41</f>
        <v>SCI</v>
      </c>
      <c r="B49" s="438"/>
      <c r="C49" s="438" t="str">
        <f>VLOOKUP($A49, 'CEM Data Lookup'!$A:$P,2,FALSE)</f>
        <v xml:space="preserve">Service Corp. Int'l </v>
      </c>
      <c r="D49" s="438"/>
      <c r="E49" s="231">
        <f>VLOOKUP($A49, 'CEM Data Lookup'!$A:$P,9,FALSE)</f>
        <v>0.9</v>
      </c>
      <c r="F49" s="232"/>
      <c r="G49" s="232">
        <f>VLOOKUP($A49, 'CEM Data Lookup'!$A:$P,10,FALSE)</f>
        <v>0.84</v>
      </c>
      <c r="H49" s="453"/>
      <c r="I49" s="233">
        <f>VLOOKUP($A49, 'CEM Data Lookup'!$A:$P,12,FALSE)</f>
        <v>3.1842000000000001</v>
      </c>
      <c r="J49" s="233"/>
      <c r="K49" s="233">
        <f>VLOOKUP($A49, 'CEM Data Lookup'!$A:$P,14,FALSE)</f>
        <v>7.1099999999999997E-2</v>
      </c>
      <c r="L49" s="455"/>
    </row>
    <row r="50" spans="1:12" ht="17.25" customHeight="1" x14ac:dyDescent="0.5">
      <c r="A50" s="438" t="str">
        <f>Input!C42</f>
        <v>SHW</v>
      </c>
      <c r="B50" s="438"/>
      <c r="C50" s="438" t="str">
        <f>VLOOKUP($A50, 'CEM Data Lookup'!$A:$P,2,FALSE)</f>
        <v xml:space="preserve">Sherwin-Williams    </v>
      </c>
      <c r="D50" s="438"/>
      <c r="E50" s="231">
        <f>VLOOKUP($A50, 'CEM Data Lookup'!$A:$P,9,FALSE)</f>
        <v>0.95</v>
      </c>
      <c r="F50" s="232"/>
      <c r="G50" s="232">
        <f>VLOOKUP($A50, 'CEM Data Lookup'!$A:$P,10,FALSE)</f>
        <v>0.9</v>
      </c>
      <c r="H50" s="453"/>
      <c r="I50" s="233">
        <f>VLOOKUP($A50, 'CEM Data Lookup'!$A:$P,12,FALSE)</f>
        <v>2.9253999999999998</v>
      </c>
      <c r="J50" s="233"/>
      <c r="K50" s="233">
        <f>VLOOKUP($A50, 'CEM Data Lookup'!$A:$P,14,FALSE)</f>
        <v>6.5299999999999997E-2</v>
      </c>
      <c r="L50" s="455"/>
    </row>
    <row r="51" spans="1:12" ht="17.25" customHeight="1" x14ac:dyDescent="0.5">
      <c r="A51" s="438" t="str">
        <f>Input!C43</f>
        <v>AOS</v>
      </c>
      <c r="B51" s="438"/>
      <c r="C51" s="438" t="str">
        <f>VLOOKUP($A51, 'CEM Data Lookup'!$A:$P,2,FALSE)</f>
        <v xml:space="preserve">Smith (A.O.)        </v>
      </c>
      <c r="D51" s="438"/>
      <c r="E51" s="231">
        <f>VLOOKUP($A51, 'CEM Data Lookup'!$A:$P,9,FALSE)</f>
        <v>0.9</v>
      </c>
      <c r="F51" s="232"/>
      <c r="G51" s="232">
        <f>VLOOKUP($A51, 'CEM Data Lookup'!$A:$P,10,FALSE)</f>
        <v>0.79</v>
      </c>
      <c r="H51" s="453"/>
      <c r="I51" s="233">
        <f>VLOOKUP($A51, 'CEM Data Lookup'!$A:$P,12,FALSE)</f>
        <v>3.0828000000000002</v>
      </c>
      <c r="J51" s="233"/>
      <c r="K51" s="233">
        <f>VLOOKUP($A51, 'CEM Data Lookup'!$A:$P,14,FALSE)</f>
        <v>6.88E-2</v>
      </c>
      <c r="L51" s="455"/>
    </row>
    <row r="52" spans="1:12" ht="17.25" customHeight="1" x14ac:dyDescent="0.5">
      <c r="A52" s="438" t="str">
        <f>Input!C44</f>
        <v>TMO</v>
      </c>
      <c r="B52" s="438"/>
      <c r="C52" s="438" t="str">
        <f>VLOOKUP($A52, 'CEM Data Lookup'!$A:$P,2,FALSE)</f>
        <v xml:space="preserve">Thermo Fisher Sci.  </v>
      </c>
      <c r="D52" s="438"/>
      <c r="E52" s="231">
        <f>VLOOKUP($A52, 'CEM Data Lookup'!$A:$P,9,FALSE)</f>
        <v>0.85</v>
      </c>
      <c r="F52" s="232"/>
      <c r="G52" s="232">
        <f>VLOOKUP($A52, 'CEM Data Lookup'!$A:$P,10,FALSE)</f>
        <v>0.77</v>
      </c>
      <c r="H52" s="453"/>
      <c r="I52" s="233">
        <f>VLOOKUP($A52, 'CEM Data Lookup'!$A:$P,12,FALSE)</f>
        <v>2.8565</v>
      </c>
      <c r="J52" s="233"/>
      <c r="K52" s="233">
        <f>VLOOKUP($A52, 'CEM Data Lookup'!$A:$P,14,FALSE)</f>
        <v>6.3799999999999996E-2</v>
      </c>
      <c r="L52" s="455"/>
    </row>
    <row r="53" spans="1:12" ht="17.25" customHeight="1" x14ac:dyDescent="0.5">
      <c r="A53" s="438" t="str">
        <f>Input!C45</f>
        <v>UNF</v>
      </c>
      <c r="B53" s="438"/>
      <c r="C53" s="438" t="str">
        <f>VLOOKUP($A53, 'CEM Data Lookup'!$A:$P,2,FALSE)</f>
        <v xml:space="preserve">UniFirst Corp.      </v>
      </c>
      <c r="D53" s="438"/>
      <c r="E53" s="231">
        <f>VLOOKUP($A53, 'CEM Data Lookup'!$A:$P,9,FALSE)</f>
        <v>0.9</v>
      </c>
      <c r="F53" s="232"/>
      <c r="G53" s="232">
        <f>VLOOKUP($A53, 'CEM Data Lookup'!$A:$P,10,FALSE)</f>
        <v>0.81</v>
      </c>
      <c r="H53" s="453"/>
      <c r="I53" s="233">
        <f>VLOOKUP($A53, 'CEM Data Lookup'!$A:$P,12,FALSE)</f>
        <v>3.0114999999999998</v>
      </c>
      <c r="J53" s="233"/>
      <c r="K53" s="233">
        <f>VLOOKUP($A53, 'CEM Data Lookup'!$A:$P,14,FALSE)</f>
        <v>6.7199999999999996E-2</v>
      </c>
      <c r="L53" s="455"/>
    </row>
    <row r="54" spans="1:12" ht="17.25" customHeight="1" x14ac:dyDescent="0.5">
      <c r="A54" s="438" t="str">
        <f>Input!C46</f>
        <v>UNH</v>
      </c>
      <c r="B54" s="438"/>
      <c r="C54" s="438" t="str">
        <f>VLOOKUP($A54, 'CEM Data Lookup'!$A:$P,2,FALSE)</f>
        <v xml:space="preserve">UnitedHealth Group  </v>
      </c>
      <c r="D54" s="438"/>
      <c r="E54" s="231">
        <f>VLOOKUP($A54, 'CEM Data Lookup'!$A:$P,9,FALSE)</f>
        <v>0.95</v>
      </c>
      <c r="F54" s="232"/>
      <c r="G54" s="232">
        <f>VLOOKUP($A54, 'CEM Data Lookup'!$A:$P,10,FALSE)</f>
        <v>0.9</v>
      </c>
      <c r="H54" s="453"/>
      <c r="I54" s="233">
        <f>VLOOKUP($A54, 'CEM Data Lookup'!$A:$P,12,FALSE)</f>
        <v>3.1444999999999999</v>
      </c>
      <c r="J54" s="233"/>
      <c r="K54" s="233">
        <f>VLOOKUP($A54, 'CEM Data Lookup'!$A:$P,14,FALSE)</f>
        <v>7.0199999999999999E-2</v>
      </c>
      <c r="L54" s="455"/>
    </row>
    <row r="55" spans="1:12" ht="17.25" customHeight="1" x14ac:dyDescent="0.5">
      <c r="A55" s="438" t="str">
        <f>Input!C47</f>
        <v>UVV</v>
      </c>
      <c r="B55" s="438"/>
      <c r="C55" s="438" t="str">
        <f>VLOOKUP($A55, 'CEM Data Lookup'!$A:$P,2,FALSE)</f>
        <v xml:space="preserve">Universal Corp.     </v>
      </c>
      <c r="D55" s="438"/>
      <c r="E55" s="231">
        <f>VLOOKUP($A55, 'CEM Data Lookup'!$A:$P,9,FALSE)</f>
        <v>0.8</v>
      </c>
      <c r="F55" s="232"/>
      <c r="G55" s="232">
        <f>VLOOKUP($A55, 'CEM Data Lookup'!$A:$P,10,FALSE)</f>
        <v>0.68</v>
      </c>
      <c r="H55" s="453"/>
      <c r="I55" s="233">
        <f>VLOOKUP($A55, 'CEM Data Lookup'!$A:$P,12,FALSE)</f>
        <v>3.2233000000000001</v>
      </c>
      <c r="J55" s="233"/>
      <c r="K55" s="233">
        <f>VLOOKUP($A55, 'CEM Data Lookup'!$A:$P,14,FALSE)</f>
        <v>7.1999999999999995E-2</v>
      </c>
      <c r="L55" s="455"/>
    </row>
    <row r="56" spans="1:12" ht="17.25" customHeight="1" x14ac:dyDescent="0.5">
      <c r="A56" s="438" t="str">
        <f>Input!C48</f>
        <v>VRSN</v>
      </c>
      <c r="B56" s="438"/>
      <c r="C56" s="438" t="str">
        <f>VLOOKUP($A56, 'CEM Data Lookup'!$A:$P,2,FALSE)</f>
        <v xml:space="preserve">VeriSign Inc.       </v>
      </c>
      <c r="D56" s="438"/>
      <c r="E56" s="231">
        <f>VLOOKUP($A56, 'CEM Data Lookup'!$A:$P,9,FALSE)</f>
        <v>0.9</v>
      </c>
      <c r="F56" s="232"/>
      <c r="G56" s="232">
        <f>VLOOKUP($A56, 'CEM Data Lookup'!$A:$P,10,FALSE)</f>
        <v>0.8</v>
      </c>
      <c r="H56" s="453"/>
      <c r="I56" s="233">
        <f>VLOOKUP($A56, 'CEM Data Lookup'!$A:$P,12,FALSE)</f>
        <v>2.8856999999999999</v>
      </c>
      <c r="J56" s="233"/>
      <c r="K56" s="233">
        <f>VLOOKUP($A56, 'CEM Data Lookup'!$A:$P,14,FALSE)</f>
        <v>6.4399999999999999E-2</v>
      </c>
      <c r="L56" s="455"/>
    </row>
    <row r="57" spans="1:12" ht="17.25" customHeight="1" x14ac:dyDescent="0.5">
      <c r="A57" s="438" t="str">
        <f>Input!C49</f>
        <v>WAT</v>
      </c>
      <c r="B57" s="438"/>
      <c r="C57" s="438" t="str">
        <f>VLOOKUP($A57, 'CEM Data Lookup'!$A:$P,2,FALSE)</f>
        <v xml:space="preserve">Waters Corp.        </v>
      </c>
      <c r="D57" s="438"/>
      <c r="E57" s="231">
        <f>VLOOKUP($A57, 'CEM Data Lookup'!$A:$P,9,FALSE)</f>
        <v>0.95</v>
      </c>
      <c r="F57" s="232"/>
      <c r="G57" s="232">
        <f>VLOOKUP($A57, 'CEM Data Lookup'!$A:$P,10,FALSE)</f>
        <v>0.86</v>
      </c>
      <c r="H57" s="453"/>
      <c r="I57" s="233">
        <f>VLOOKUP($A57, 'CEM Data Lookup'!$A:$P,12,FALSE)</f>
        <v>3.2280000000000002</v>
      </c>
      <c r="J57" s="233"/>
      <c r="K57" s="233">
        <f>VLOOKUP($A57, 'CEM Data Lookup'!$A:$P,14,FALSE)</f>
        <v>7.2099999999999997E-2</v>
      </c>
      <c r="L57" s="455"/>
    </row>
    <row r="58" spans="1:12" ht="17.25" customHeight="1" x14ac:dyDescent="0.5">
      <c r="A58" s="438" t="str">
        <f>Input!C50</f>
        <v>WSO</v>
      </c>
      <c r="B58" s="438"/>
      <c r="C58" s="438" t="str">
        <f>VLOOKUP($A58, 'CEM Data Lookup'!$A:$P,2,FALSE)</f>
        <v xml:space="preserve">Watsco, Inc.        </v>
      </c>
      <c r="D58" s="438"/>
      <c r="E58" s="231">
        <f>VLOOKUP($A58, 'CEM Data Lookup'!$A:$P,9,FALSE)</f>
        <v>0.85</v>
      </c>
      <c r="F58" s="232"/>
      <c r="G58" s="232">
        <f>VLOOKUP($A58, 'CEM Data Lookup'!$A:$P,10,FALSE)</f>
        <v>0.76</v>
      </c>
      <c r="H58" s="453"/>
      <c r="I58" s="233">
        <f>VLOOKUP($A58, 'CEM Data Lookup'!$A:$P,12,FALSE)</f>
        <v>3.1217999999999999</v>
      </c>
      <c r="J58" s="233"/>
      <c r="K58" s="233">
        <f>VLOOKUP($A58, 'CEM Data Lookup'!$A:$P,14,FALSE)</f>
        <v>6.9699999999999998E-2</v>
      </c>
      <c r="L58" s="455"/>
    </row>
    <row r="59" spans="1:12" ht="15.75" customHeight="1" x14ac:dyDescent="0.5">
      <c r="A59" s="438"/>
      <c r="C59" s="438"/>
      <c r="E59" s="240"/>
      <c r="F59" s="241"/>
      <c r="G59" s="240"/>
      <c r="H59" s="61"/>
      <c r="I59" s="242"/>
      <c r="J59" s="243"/>
      <c r="K59" s="242"/>
      <c r="L59" s="456"/>
    </row>
    <row r="60" spans="1:12" ht="15.75" customHeight="1" thickBot="1" x14ac:dyDescent="0.55000000000000004">
      <c r="A60" s="60">
        <f>COUNTA(A10:A58)</f>
        <v>49</v>
      </c>
      <c r="C60" s="60" t="s">
        <v>1082</v>
      </c>
      <c r="E60" s="238">
        <f>ROUND(AVERAGE(E9:E58),2)</f>
        <v>0.89</v>
      </c>
      <c r="F60" s="235"/>
      <c r="G60" s="238">
        <f>ROUND(AVERAGE(G9:G58),2)</f>
        <v>0.8</v>
      </c>
      <c r="H60" s="457"/>
      <c r="I60" s="239">
        <f>ROUND(AVERAGE(I9:I58),4)</f>
        <v>3.0829</v>
      </c>
      <c r="J60" s="237"/>
      <c r="K60" s="239">
        <f>ROUND(AVERAGE(K9:K58),4)</f>
        <v>6.88E-2</v>
      </c>
      <c r="L60" s="458"/>
    </row>
    <row r="61" spans="1:12" ht="15.75" customHeight="1" thickTop="1" x14ac:dyDescent="0.5">
      <c r="E61" s="235"/>
      <c r="F61" s="235"/>
      <c r="G61" s="235"/>
      <c r="H61" s="457"/>
      <c r="I61" s="449"/>
      <c r="J61" s="449"/>
      <c r="K61" s="449"/>
      <c r="L61" s="456"/>
    </row>
    <row r="62" spans="1:12" ht="31.5" customHeight="1" thickBot="1" x14ac:dyDescent="0.55000000000000004">
      <c r="C62" s="447" t="str">
        <f>C4</f>
        <v>Proxy Group of Seven Natural Gas Companies</v>
      </c>
      <c r="E62" s="238">
        <f>'1.24 Comp Earnings Criteria Gas'!E17</f>
        <v>0.88</v>
      </c>
      <c r="F62" s="244"/>
      <c r="G62" s="238">
        <f>'1.24 Comp Earnings Criteria Gas'!G17</f>
        <v>0.78</v>
      </c>
      <c r="H62" s="244"/>
      <c r="I62" s="239">
        <f>'1.24 Comp Earnings Criteria Gas'!I17</f>
        <v>3.1147</v>
      </c>
      <c r="J62" s="245"/>
      <c r="K62" s="239">
        <f>'1.24 Comp Earnings Criteria Gas'!K17</f>
        <v>6.9500000000000006E-2</v>
      </c>
      <c r="L62" s="458"/>
    </row>
    <row r="63" spans="1:12" ht="15.3" thickTop="1" x14ac:dyDescent="0.5">
      <c r="C63" s="447"/>
      <c r="E63" s="62"/>
      <c r="F63" s="246"/>
      <c r="G63" s="62"/>
      <c r="H63" s="59"/>
      <c r="I63" s="458"/>
      <c r="J63" s="458"/>
      <c r="K63" s="458"/>
      <c r="L63" s="458"/>
    </row>
    <row r="64" spans="1:12" x14ac:dyDescent="0.5">
      <c r="C64" s="60" t="s">
        <v>1143</v>
      </c>
      <c r="E64" s="60" t="s">
        <v>4426</v>
      </c>
    </row>
  </sheetData>
  <mergeCells count="3">
    <mergeCell ref="C1:K1"/>
    <mergeCell ref="C2:K2"/>
    <mergeCell ref="C3:K3"/>
  </mergeCells>
  <printOptions horizontalCentered="1"/>
  <pageMargins left="0.7" right="0.7" top="0.75" bottom="0.75" header="0.3" footer="0.3"/>
  <pageSetup scale="56" orientation="portrait" horizontalDpi="4294967294"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059E0-3E80-44F1-9D5F-8A6C1E4F3164}">
  <sheetPr codeName="Sheet55">
    <pageSetUpPr fitToPage="1"/>
  </sheetPr>
  <dimension ref="A1:G26"/>
  <sheetViews>
    <sheetView view="pageBreakPreview" zoomScale="80" zoomScaleNormal="100" zoomScaleSheetLayoutView="80" workbookViewId="0"/>
  </sheetViews>
  <sheetFormatPr defaultColWidth="9" defaultRowHeight="15" x14ac:dyDescent="0.5"/>
  <cols>
    <col min="1" max="1" width="7.5234375" style="209" bestFit="1" customWidth="1"/>
    <col min="2" max="2" width="53.5234375" style="60" customWidth="1"/>
    <col min="3" max="3" width="9.5234375" style="60" customWidth="1"/>
    <col min="4" max="4" width="23" style="60" customWidth="1"/>
    <col min="5" max="5" width="4.734375" style="60" customWidth="1"/>
    <col min="6" max="6" width="23" style="60" customWidth="1"/>
    <col min="7" max="7" width="4.734375" style="60" customWidth="1"/>
    <col min="8" max="16384" width="9" style="60"/>
  </cols>
  <sheetData>
    <row r="1" spans="1:7" x14ac:dyDescent="0.5">
      <c r="A1" s="113" t="str">
        <f>Input!G28</f>
        <v>Atmos Energy Corporation</v>
      </c>
      <c r="B1" s="113"/>
      <c r="C1" s="113"/>
      <c r="D1" s="113"/>
      <c r="E1" s="113"/>
      <c r="F1" s="114"/>
      <c r="G1" s="114"/>
    </row>
    <row r="2" spans="1:7" x14ac:dyDescent="0.5">
      <c r="A2" s="114" t="s">
        <v>2577</v>
      </c>
      <c r="B2" s="114"/>
      <c r="C2" s="114"/>
      <c r="D2" s="114"/>
      <c r="E2" s="114"/>
      <c r="F2" s="114"/>
      <c r="G2" s="114"/>
    </row>
    <row r="3" spans="1:7" x14ac:dyDescent="0.5">
      <c r="A3" s="114" t="s">
        <v>2575</v>
      </c>
      <c r="B3" s="114"/>
      <c r="C3" s="114"/>
      <c r="D3" s="114"/>
      <c r="E3" s="114"/>
      <c r="F3" s="114"/>
      <c r="G3" s="114"/>
    </row>
    <row r="4" spans="1:7" x14ac:dyDescent="0.5">
      <c r="A4" s="114" t="s">
        <v>2576</v>
      </c>
      <c r="B4" s="114"/>
      <c r="C4" s="114"/>
      <c r="D4" s="114"/>
      <c r="E4" s="114"/>
      <c r="F4" s="114"/>
      <c r="G4" s="114"/>
    </row>
    <row r="5" spans="1:7" x14ac:dyDescent="0.5">
      <c r="A5" s="113" t="str">
        <f>Input!I32</f>
        <v>Proxy Group of Seven Natural Gas Companies</v>
      </c>
      <c r="B5" s="113"/>
      <c r="C5" s="113"/>
      <c r="D5" s="113"/>
      <c r="E5" s="113"/>
      <c r="F5" s="114"/>
      <c r="G5" s="114"/>
    </row>
    <row r="7" spans="1:7" ht="62.25" customHeight="1" x14ac:dyDescent="0.5">
      <c r="A7" s="60"/>
      <c r="B7" s="573" t="s">
        <v>1240</v>
      </c>
      <c r="D7" s="1393" t="str">
        <f>CONCATENATE(Input!$I$34)</f>
        <v>Proxy Group of Forty-Nine Non-Price Regulated Companies</v>
      </c>
      <c r="E7" s="1393"/>
      <c r="F7" s="678" t="str">
        <f>D7&amp;" (excl. PRPM)"</f>
        <v>Proxy Group of Forty-Nine Non-Price Regulated Companies (excl. PRPM)</v>
      </c>
      <c r="G7" s="678"/>
    </row>
    <row r="8" spans="1:7" x14ac:dyDescent="0.5">
      <c r="A8" s="60"/>
    </row>
    <row r="9" spans="1:7" x14ac:dyDescent="0.5">
      <c r="A9" s="60"/>
      <c r="B9" s="447" t="s">
        <v>1241</v>
      </c>
      <c r="D9" s="595">
        <f>'1.27 CEM DCF'!$V$63</f>
        <v>11.56</v>
      </c>
      <c r="E9" s="448" t="s">
        <v>1090</v>
      </c>
      <c r="F9" s="595">
        <f>D9</f>
        <v>11.56</v>
      </c>
      <c r="G9" s="448" t="s">
        <v>1090</v>
      </c>
    </row>
    <row r="10" spans="1:7" x14ac:dyDescent="0.5">
      <c r="A10" s="60"/>
    </row>
    <row r="11" spans="1:7" x14ac:dyDescent="0.5">
      <c r="A11" s="60"/>
      <c r="B11" s="447" t="s">
        <v>1242</v>
      </c>
      <c r="D11" s="595">
        <f>'1.28 CEM RPM Summary'!H20</f>
        <v>12.371666666666666</v>
      </c>
      <c r="F11" s="595">
        <f>'1.28 CEM RPM Summary'!J20</f>
        <v>12.331666666666667</v>
      </c>
    </row>
    <row r="12" spans="1:7" x14ac:dyDescent="0.5">
      <c r="A12" s="60"/>
    </row>
    <row r="13" spans="1:7" x14ac:dyDescent="0.5">
      <c r="A13" s="60"/>
      <c r="B13" s="447" t="s">
        <v>4492</v>
      </c>
      <c r="D13" s="679">
        <f>'1.31 CEM CAPM Backup'!V65</f>
        <v>11.83</v>
      </c>
      <c r="E13" s="133" t="s">
        <v>1149</v>
      </c>
      <c r="F13" s="679">
        <f>'1.32 CEM CAPM Backup'!V65</f>
        <v>11.8</v>
      </c>
      <c r="G13" s="133" t="s">
        <v>1153</v>
      </c>
    </row>
    <row r="15" spans="1:7" ht="15.3" thickBot="1" x14ac:dyDescent="0.55000000000000004">
      <c r="A15" s="60"/>
      <c r="C15" s="61" t="s">
        <v>1151</v>
      </c>
      <c r="D15" s="247">
        <f>ROUND(AVERAGE(D9:D13),2)</f>
        <v>11.92</v>
      </c>
      <c r="E15" s="59" t="s">
        <v>1090</v>
      </c>
      <c r="F15" s="247">
        <f>ROUND(AVERAGE(F9:F13),2)</f>
        <v>11.9</v>
      </c>
      <c r="G15" s="59" t="s">
        <v>1090</v>
      </c>
    </row>
    <row r="16" spans="1:7" ht="15.3" thickTop="1" x14ac:dyDescent="0.5">
      <c r="A16" s="60"/>
      <c r="C16" s="61"/>
      <c r="D16" s="241"/>
      <c r="E16" s="59"/>
      <c r="F16" s="241"/>
      <c r="G16" s="59"/>
    </row>
    <row r="17" spans="1:7" ht="15.3" thickBot="1" x14ac:dyDescent="0.55000000000000004">
      <c r="A17" s="60"/>
      <c r="C17" s="61" t="s">
        <v>1180</v>
      </c>
      <c r="D17" s="247">
        <f>ROUND(MEDIAN(D9:D13),2)</f>
        <v>11.83</v>
      </c>
      <c r="E17" s="59" t="s">
        <v>1090</v>
      </c>
      <c r="F17" s="247">
        <f>ROUND(MEDIAN(F9:F13),2)</f>
        <v>11.8</v>
      </c>
      <c r="G17" s="59" t="s">
        <v>1090</v>
      </c>
    </row>
    <row r="18" spans="1:7" ht="15.3" thickTop="1" x14ac:dyDescent="0.5">
      <c r="A18" s="60"/>
      <c r="C18" s="61"/>
      <c r="D18" s="241"/>
      <c r="E18" s="59"/>
      <c r="F18" s="241"/>
      <c r="G18" s="59"/>
    </row>
    <row r="19" spans="1:7" ht="15.3" thickBot="1" x14ac:dyDescent="0.55000000000000004">
      <c r="A19" s="60"/>
      <c r="C19" s="61" t="s">
        <v>1181</v>
      </c>
      <c r="D19" s="247">
        <f>ROUND(AVERAGE(D15:D17),2)</f>
        <v>11.88</v>
      </c>
      <c r="E19" s="59" t="s">
        <v>1090</v>
      </c>
      <c r="F19" s="247">
        <f>ROUND(AVERAGE(F15:F17),2)</f>
        <v>11.85</v>
      </c>
      <c r="G19" s="59" t="s">
        <v>1090</v>
      </c>
    </row>
    <row r="20" spans="1:7" ht="15.3" thickTop="1" x14ac:dyDescent="0.5">
      <c r="A20" s="60"/>
    </row>
    <row r="22" spans="1:7" x14ac:dyDescent="0.5">
      <c r="A22" s="61" t="s">
        <v>17</v>
      </c>
    </row>
    <row r="23" spans="1:7" x14ac:dyDescent="0.5">
      <c r="A23" s="461" t="s">
        <v>1146</v>
      </c>
      <c r="B23" s="60" t="s">
        <v>7111</v>
      </c>
    </row>
    <row r="24" spans="1:7" x14ac:dyDescent="0.5">
      <c r="A24" s="461" t="s">
        <v>1147</v>
      </c>
      <c r="B24" s="60" t="s">
        <v>7112</v>
      </c>
    </row>
    <row r="25" spans="1:7" x14ac:dyDescent="0.5">
      <c r="A25" s="461" t="s">
        <v>1149</v>
      </c>
      <c r="B25" s="60" t="s">
        <v>7113</v>
      </c>
    </row>
    <row r="26" spans="1:7" x14ac:dyDescent="0.5">
      <c r="A26" s="461" t="s">
        <v>1153</v>
      </c>
      <c r="B26" s="60" t="s">
        <v>7114</v>
      </c>
    </row>
  </sheetData>
  <mergeCells count="1">
    <mergeCell ref="D7:E7"/>
  </mergeCells>
  <printOptions horizontalCentered="1"/>
  <pageMargins left="0.7" right="0.7" top="0.75" bottom="0.75" header="0.3" footer="0.3"/>
  <pageSetup scale="71" orientation="portrait" horizontalDpi="4294967294"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B0FF3-81C0-4871-A777-3F873AB4ADA0}">
  <sheetPr codeName="Sheet58"/>
  <dimension ref="A1:Z71"/>
  <sheetViews>
    <sheetView view="pageBreakPreview" zoomScale="80" zoomScaleNormal="44" zoomScaleSheetLayoutView="80" workbookViewId="0"/>
  </sheetViews>
  <sheetFormatPr defaultColWidth="9" defaultRowHeight="15" x14ac:dyDescent="0.5"/>
  <cols>
    <col min="1" max="1" width="9" style="60"/>
    <col min="2" max="2" width="42.47265625" style="60" customWidth="1"/>
    <col min="3" max="3" width="3.26171875" style="60" customWidth="1"/>
    <col min="4" max="4" width="9" style="60" customWidth="1"/>
    <col min="5" max="5" width="4.26171875" style="60" customWidth="1"/>
    <col min="6" max="6" width="2.734375" style="60" customWidth="1"/>
    <col min="7" max="7" width="13.26171875" style="60" customWidth="1"/>
    <col min="8" max="8" width="4.26171875" style="60" customWidth="1"/>
    <col min="9" max="9" width="2.734375" style="60" customWidth="1"/>
    <col min="10" max="10" width="10.47265625" style="60" customWidth="1"/>
    <col min="11" max="11" width="4.26171875" style="60" customWidth="1"/>
    <col min="12" max="12" width="2.734375" style="60" customWidth="1"/>
    <col min="13" max="13" width="10.5234375" style="60" customWidth="1"/>
    <col min="14" max="14" width="4.26171875" style="60" customWidth="1"/>
    <col min="15" max="15" width="2.734375" style="60" customWidth="1"/>
    <col min="16" max="16" width="10.734375" style="60" customWidth="1"/>
    <col min="17" max="17" width="4.26171875" style="60" customWidth="1"/>
    <col min="18" max="18" width="2.734375" style="60" customWidth="1"/>
    <col min="19" max="19" width="9" style="60" customWidth="1"/>
    <col min="20" max="20" width="4.26171875" style="60" customWidth="1"/>
    <col min="21" max="21" width="2.734375" style="60" customWidth="1"/>
    <col min="22" max="22" width="11.26171875" style="60" customWidth="1"/>
    <col min="23" max="23" width="4.26171875" style="60" customWidth="1"/>
    <col min="24" max="24" width="9" style="60"/>
    <col min="25" max="25" width="19" style="60" bestFit="1" customWidth="1"/>
    <col min="26" max="26" width="8.734375" style="60" bestFit="1" customWidth="1"/>
    <col min="27" max="27" width="9" style="60"/>
    <col min="28" max="28" width="10" style="60" customWidth="1"/>
    <col min="29" max="16384" width="9" style="60"/>
  </cols>
  <sheetData>
    <row r="1" spans="1:26" x14ac:dyDescent="0.5">
      <c r="B1" s="113" t="str">
        <f>Input!G28</f>
        <v>Atmos Energy Corporation</v>
      </c>
      <c r="C1" s="114"/>
      <c r="D1" s="114"/>
      <c r="E1" s="114"/>
      <c r="F1" s="114"/>
      <c r="G1" s="114"/>
      <c r="H1" s="114"/>
      <c r="I1" s="114"/>
      <c r="J1" s="114"/>
      <c r="K1" s="114"/>
      <c r="L1" s="114"/>
      <c r="M1" s="114"/>
      <c r="N1" s="114"/>
      <c r="O1" s="114"/>
      <c r="P1" s="114"/>
      <c r="Q1" s="114"/>
      <c r="R1" s="114"/>
      <c r="S1" s="114"/>
      <c r="T1" s="114"/>
      <c r="U1" s="114"/>
      <c r="V1" s="114"/>
      <c r="W1" s="114"/>
    </row>
    <row r="2" spans="1:26" x14ac:dyDescent="0.5">
      <c r="B2" s="114" t="s">
        <v>2578</v>
      </c>
      <c r="C2" s="114"/>
      <c r="D2" s="114"/>
      <c r="E2" s="114"/>
      <c r="F2" s="114"/>
      <c r="G2" s="114"/>
      <c r="H2" s="114"/>
      <c r="I2" s="114"/>
      <c r="J2" s="114"/>
      <c r="K2" s="114"/>
      <c r="L2" s="114"/>
      <c r="M2" s="114"/>
      <c r="N2" s="114"/>
      <c r="O2" s="114"/>
      <c r="P2" s="114"/>
      <c r="Q2" s="114"/>
      <c r="R2" s="114"/>
      <c r="S2" s="114"/>
      <c r="T2" s="114"/>
      <c r="U2" s="114"/>
      <c r="V2" s="114"/>
      <c r="W2" s="114"/>
    </row>
    <row r="3" spans="1:26" x14ac:dyDescent="0.5">
      <c r="B3" s="113" t="str">
        <f>CONCATENATE(Input!I31,Input!I32)</f>
        <v>Proxy Group of Seven Natural Gas Companies</v>
      </c>
      <c r="C3" s="114"/>
      <c r="D3" s="114"/>
      <c r="E3" s="114"/>
      <c r="F3" s="114"/>
      <c r="G3" s="114"/>
      <c r="H3" s="114"/>
      <c r="I3" s="114"/>
      <c r="J3" s="114"/>
      <c r="K3" s="114"/>
      <c r="L3" s="114"/>
      <c r="M3" s="114"/>
      <c r="N3" s="114"/>
      <c r="O3" s="114"/>
      <c r="P3" s="114"/>
      <c r="Q3" s="114"/>
      <c r="R3" s="114"/>
      <c r="S3" s="114"/>
      <c r="T3" s="114"/>
      <c r="U3" s="114"/>
      <c r="V3" s="114"/>
      <c r="W3" s="114"/>
    </row>
    <row r="4" spans="1:26" x14ac:dyDescent="0.5">
      <c r="S4" s="61"/>
      <c r="V4" s="506"/>
    </row>
    <row r="5" spans="1:26" ht="15.75" customHeight="1" x14ac:dyDescent="0.5">
      <c r="D5" s="1415" t="s">
        <v>1163</v>
      </c>
      <c r="E5" s="1415"/>
      <c r="F5" s="59"/>
      <c r="G5" s="1415" t="s">
        <v>1164</v>
      </c>
      <c r="H5" s="1415"/>
      <c r="I5" s="59"/>
      <c r="J5" s="1415" t="s">
        <v>1165</v>
      </c>
      <c r="K5" s="1415"/>
      <c r="L5" s="59"/>
      <c r="M5" s="1415" t="s">
        <v>1166</v>
      </c>
      <c r="N5" s="1415"/>
      <c r="O5" s="59"/>
      <c r="P5" s="1415" t="s">
        <v>1167</v>
      </c>
      <c r="Q5" s="1415"/>
      <c r="R5" s="59"/>
      <c r="S5" s="1415" t="s">
        <v>1168</v>
      </c>
      <c r="T5" s="1415"/>
      <c r="U5" s="59"/>
      <c r="V5" s="1415" t="s">
        <v>1169</v>
      </c>
      <c r="W5" s="1415"/>
    </row>
    <row r="6" spans="1:26" ht="15.75" customHeight="1" x14ac:dyDescent="0.5"/>
    <row r="7" spans="1:26" ht="98.25" customHeight="1" x14ac:dyDescent="0.5">
      <c r="B7" s="670" t="str">
        <f>Input!I34</f>
        <v>Proxy Group of Forty-Nine Non-Price Regulated Companies</v>
      </c>
      <c r="D7" s="1417" t="s">
        <v>2579</v>
      </c>
      <c r="E7" s="1417"/>
      <c r="G7" s="1417" t="s">
        <v>2580</v>
      </c>
      <c r="H7" s="1417"/>
      <c r="J7" s="1417" t="s">
        <v>1173</v>
      </c>
      <c r="K7" s="1417"/>
      <c r="M7" s="1417" t="s">
        <v>1350</v>
      </c>
      <c r="N7" s="1417"/>
      <c r="P7" s="1417" t="s">
        <v>2581</v>
      </c>
      <c r="Q7" s="1417"/>
      <c r="S7" s="1417" t="s">
        <v>2582</v>
      </c>
      <c r="T7" s="1417"/>
      <c r="V7" s="1417" t="s">
        <v>2583</v>
      </c>
      <c r="W7" s="1417"/>
    </row>
    <row r="8" spans="1:26" ht="15.75" customHeight="1" x14ac:dyDescent="0.5">
      <c r="A8" s="59"/>
      <c r="B8" s="59"/>
      <c r="C8" s="59"/>
      <c r="D8" s="59"/>
      <c r="E8" s="59"/>
      <c r="F8" s="59"/>
      <c r="G8" s="59"/>
      <c r="H8" s="59"/>
      <c r="I8" s="59"/>
      <c r="J8" s="59"/>
      <c r="K8" s="59"/>
      <c r="L8" s="59"/>
      <c r="M8" s="59"/>
      <c r="N8" s="59"/>
      <c r="O8" s="59"/>
      <c r="P8" s="59"/>
      <c r="Q8" s="59"/>
      <c r="R8" s="59"/>
      <c r="S8" s="59"/>
      <c r="T8" s="59"/>
      <c r="U8" s="59"/>
      <c r="V8" s="59"/>
      <c r="W8" s="59"/>
      <c r="X8" s="59"/>
      <c r="Y8" s="671"/>
      <c r="Z8" s="467"/>
    </row>
    <row r="9" spans="1:26" ht="15.75" customHeight="1" x14ac:dyDescent="0.5">
      <c r="A9" s="460" t="str">
        <f>Input!C2</f>
        <v>ABT</v>
      </c>
      <c r="B9" s="460" t="str">
        <f>VLOOKUP($A9, 'CEM Data Lookup'!$A:$P,2,FALSE)</f>
        <v xml:space="preserve">Abbott Labs.        </v>
      </c>
      <c r="C9" s="59"/>
      <c r="D9" s="595">
        <f>HLOOKUP(A9,'CEM PricesDivs'!$C$1:$AY$70,70,FALSE)</f>
        <v>2.02</v>
      </c>
      <c r="E9" s="672" t="s">
        <v>1090</v>
      </c>
      <c r="F9" s="467"/>
      <c r="G9" s="595">
        <f>IFERROR(VLOOKUP($A9,'CEM Data Lookup'!$A:$P,4,FALSE)*100,"NA")</f>
        <v>4</v>
      </c>
      <c r="H9" s="672" t="s">
        <v>1090</v>
      </c>
      <c r="I9" s="467"/>
      <c r="J9" s="595">
        <f>IFERROR(VLOOKUP($A9,'CEM Data Lookup'!$A:$P,3,FALSE)*100,"NA")</f>
        <v>10.4</v>
      </c>
      <c r="K9" s="672" t="s">
        <v>1090</v>
      </c>
      <c r="L9" s="467"/>
      <c r="M9" s="595">
        <f>IFERROR(VLOOKUP($A9,'CEM Data Lookup'!$A:$P,5,FALSE)*100,"NA")</f>
        <v>9.56508</v>
      </c>
      <c r="N9" s="672" t="s">
        <v>1090</v>
      </c>
      <c r="O9" s="467"/>
      <c r="P9" s="595">
        <f>IFERROR(ROUND(AVERAGEIF(G9:M9,"&gt;0"),2),"NA")</f>
        <v>7.99</v>
      </c>
      <c r="Q9" s="672" t="s">
        <v>1090</v>
      </c>
      <c r="R9" s="467"/>
      <c r="S9" s="595">
        <f t="shared" ref="S9:S57" si="0">IFERROR(ROUND((D9*(1+(0.5*(P9/100)))),2),"NA")</f>
        <v>2.1</v>
      </c>
      <c r="T9" s="672" t="s">
        <v>1090</v>
      </c>
      <c r="U9" s="467"/>
      <c r="V9" s="595">
        <f t="shared" ref="V9:V57" si="1">IFERROR(IF(OR(VALUE(S9)=0,VALUE(P9)=0),"NA",S9+P9),"NA")</f>
        <v>10.09</v>
      </c>
      <c r="W9" s="60" t="str">
        <f>IF(V9="NA","",IF(OR(V9&gt;$Z$11, V9&lt;$Z$12), "(3)","%"))</f>
        <v>%</v>
      </c>
      <c r="Y9" s="21" t="s">
        <v>1082</v>
      </c>
      <c r="Z9" s="22">
        <f>AVERAGE(V9:V57)</f>
        <v>11.732619047619048</v>
      </c>
    </row>
    <row r="10" spans="1:26" ht="15.75" customHeight="1" x14ac:dyDescent="0.5">
      <c r="A10" s="460" t="str">
        <f>Input!C3</f>
        <v>ABBV</v>
      </c>
      <c r="B10" s="460" t="str">
        <f>VLOOKUP($A10, 'CEM Data Lookup'!$A:$P,2,FALSE)</f>
        <v xml:space="preserve">AbbVie Inc.         </v>
      </c>
      <c r="C10" s="59"/>
      <c r="D10" s="595">
        <f>HLOOKUP(A10,'CEM PricesDivs'!$C$1:$AY$70,70,FALSE)</f>
        <v>3.7</v>
      </c>
      <c r="E10" s="140"/>
      <c r="F10" s="467"/>
      <c r="G10" s="595">
        <f>IFERROR(VLOOKUP($A10,'CEM Data Lookup'!$A:$P,4,FALSE)*100,"NA")</f>
        <v>4</v>
      </c>
      <c r="H10" s="140"/>
      <c r="I10" s="467"/>
      <c r="J10" s="595">
        <f>IFERROR(VLOOKUP($A10,'CEM Data Lookup'!$A:$P,3,FALSE)*100,"NA")</f>
        <v>8.1</v>
      </c>
      <c r="K10" s="140"/>
      <c r="L10" s="467"/>
      <c r="M10" s="595">
        <f>IFERROR(VLOOKUP($A10,'CEM Data Lookup'!$A:$P,5,FALSE)*100,"NA")</f>
        <v>9.5118200000000002</v>
      </c>
      <c r="N10" s="140"/>
      <c r="O10" s="467"/>
      <c r="P10" s="595">
        <f t="shared" ref="P10:P57" si="2">IFERROR(ROUND(AVERAGEIF(G10:M10,"&gt;0"),2),"NA")</f>
        <v>7.2</v>
      </c>
      <c r="Q10" s="140"/>
      <c r="R10" s="467"/>
      <c r="S10" s="595">
        <f t="shared" si="0"/>
        <v>3.83</v>
      </c>
      <c r="T10" s="140"/>
      <c r="U10" s="467"/>
      <c r="V10" s="595">
        <f t="shared" si="1"/>
        <v>11.030000000000001</v>
      </c>
      <c r="W10" s="59" t="str">
        <f t="shared" ref="W10:W57" si="3">IF(V10="NA","",IF(OR(V10&gt;$Z$11, V10&lt;$Z$12), "(3)",""))</f>
        <v/>
      </c>
      <c r="Y10" s="23" t="s">
        <v>1177</v>
      </c>
      <c r="Z10" s="24">
        <f>2*(_xlfn.STDEV.P(V9:V57))</f>
        <v>5.8160223021839546</v>
      </c>
    </row>
    <row r="11" spans="1:26" ht="15.75" customHeight="1" x14ac:dyDescent="0.5">
      <c r="A11" s="460" t="str">
        <f>Input!C4</f>
        <v>APD</v>
      </c>
      <c r="B11" s="460" t="str">
        <f>VLOOKUP($A11, 'CEM Data Lookup'!$A:$P,2,FALSE)</f>
        <v>Air Products &amp; Chem.</v>
      </c>
      <c r="C11" s="59"/>
      <c r="D11" s="595">
        <f>HLOOKUP(A11,'CEM PricesDivs'!$C$1:$AY$70,70,FALSE)</f>
        <v>2.29</v>
      </c>
      <c r="E11" s="467"/>
      <c r="F11" s="467"/>
      <c r="G11" s="595">
        <f>IFERROR(VLOOKUP($A11,'CEM Data Lookup'!$A:$P,4,FALSE)*100,"NA")</f>
        <v>10.5</v>
      </c>
      <c r="H11" s="140"/>
      <c r="I11" s="467"/>
      <c r="J11" s="595">
        <f>IFERROR(VLOOKUP($A11,'CEM Data Lookup'!$A:$P,3,FALSE)*100,"NA")</f>
        <v>7.3999999999999995</v>
      </c>
      <c r="K11" s="140"/>
      <c r="L11" s="467"/>
      <c r="M11" s="595">
        <f>IFERROR(VLOOKUP($A11,'CEM Data Lookup'!$A:$P,5,FALSE)*100,"NA")</f>
        <v>11.128030000000001</v>
      </c>
      <c r="N11" s="467"/>
      <c r="O11" s="467"/>
      <c r="P11" s="595">
        <f t="shared" si="2"/>
        <v>9.68</v>
      </c>
      <c r="Q11" s="467"/>
      <c r="R11" s="467"/>
      <c r="S11" s="595">
        <f t="shared" si="0"/>
        <v>2.4</v>
      </c>
      <c r="T11" s="467"/>
      <c r="U11" s="467"/>
      <c r="V11" s="595">
        <f t="shared" si="1"/>
        <v>12.08</v>
      </c>
      <c r="W11" s="59" t="str">
        <f t="shared" si="3"/>
        <v/>
      </c>
      <c r="Y11" s="23" t="s">
        <v>1178</v>
      </c>
      <c r="Z11" s="25">
        <f>Z9+Z10</f>
        <v>17.548641349803002</v>
      </c>
    </row>
    <row r="12" spans="1:26" ht="15.75" customHeight="1" x14ac:dyDescent="0.5">
      <c r="A12" s="460" t="str">
        <f>Input!C5</f>
        <v>GOOG</v>
      </c>
      <c r="B12" s="460" t="str">
        <f>VLOOKUP($A12, 'CEM Data Lookup'!$A:$P,2,FALSE)</f>
        <v xml:space="preserve">Alphabet Inc.       </v>
      </c>
      <c r="C12" s="59"/>
      <c r="D12" s="595">
        <f>HLOOKUP(A12,'CEM PricesDivs'!$C$1:$AY$70,70,FALSE)</f>
        <v>0.43</v>
      </c>
      <c r="E12" s="467"/>
      <c r="F12" s="467"/>
      <c r="G12" s="595">
        <f>IFERROR(VLOOKUP($A12,'CEM Data Lookup'!$A:$P,4,FALSE)*100,"NA")</f>
        <v>13.5</v>
      </c>
      <c r="H12" s="140"/>
      <c r="I12" s="467"/>
      <c r="J12" s="595">
        <f>IFERROR(VLOOKUP($A12,'CEM Data Lookup'!$A:$P,3,FALSE)*100,"NA")</f>
        <v>17.399999999999999</v>
      </c>
      <c r="K12" s="140"/>
      <c r="L12" s="467"/>
      <c r="M12" s="595">
        <f>IFERROR(VLOOKUP($A12,'CEM Data Lookup'!$A:$P,5,FALSE)*100,"NA")</f>
        <v>16.899989999999999</v>
      </c>
      <c r="N12" s="467"/>
      <c r="O12" s="467"/>
      <c r="P12" s="595">
        <f t="shared" si="2"/>
        <v>15.93</v>
      </c>
      <c r="Q12" s="467"/>
      <c r="R12" s="467"/>
      <c r="S12" s="595">
        <f t="shared" si="0"/>
        <v>0.46</v>
      </c>
      <c r="T12" s="467"/>
      <c r="U12" s="467"/>
      <c r="V12" s="595">
        <f t="shared" si="1"/>
        <v>16.39</v>
      </c>
      <c r="W12" s="59" t="str">
        <f t="shared" si="3"/>
        <v/>
      </c>
      <c r="Y12" s="26" t="s">
        <v>1179</v>
      </c>
      <c r="Z12" s="27">
        <f>Z9-Z10</f>
        <v>5.9165967454350934</v>
      </c>
    </row>
    <row r="13" spans="1:26" ht="15.75" customHeight="1" x14ac:dyDescent="0.5">
      <c r="A13" s="460" t="str">
        <f>Input!C6</f>
        <v>MO</v>
      </c>
      <c r="B13" s="460" t="str">
        <f>VLOOKUP($A13, 'CEM Data Lookup'!$A:$P,2,FALSE)</f>
        <v xml:space="preserve">Altria Group        </v>
      </c>
      <c r="C13" s="59"/>
      <c r="D13" s="595">
        <f>HLOOKUP(A13,'CEM PricesDivs'!$C$1:$AY$70,70,FALSE)</f>
        <v>7.56</v>
      </c>
      <c r="E13" s="467"/>
      <c r="F13" s="467"/>
      <c r="G13" s="595">
        <f>IFERROR(VLOOKUP($A13,'CEM Data Lookup'!$A:$P,4,FALSE)*100,"NA")</f>
        <v>6</v>
      </c>
      <c r="H13" s="467"/>
      <c r="I13" s="467"/>
      <c r="J13" s="595">
        <f>IFERROR(VLOOKUP($A13,'CEM Data Lookup'!$A:$P,3,FALSE)*100,"NA")</f>
        <v>3.5999999999999996</v>
      </c>
      <c r="K13" s="467"/>
      <c r="L13" s="467"/>
      <c r="M13" s="595">
        <f>IFERROR(VLOOKUP($A13,'CEM Data Lookup'!$A:$P,5,FALSE)*100,"NA")</f>
        <v>4.3072400000000002</v>
      </c>
      <c r="N13" s="467"/>
      <c r="O13" s="467"/>
      <c r="P13" s="595">
        <f t="shared" si="2"/>
        <v>4.6399999999999997</v>
      </c>
      <c r="Q13" s="467"/>
      <c r="R13" s="467"/>
      <c r="S13" s="595">
        <f t="shared" si="0"/>
        <v>7.74</v>
      </c>
      <c r="T13" s="467"/>
      <c r="U13" s="467"/>
      <c r="V13" s="595">
        <f t="shared" si="1"/>
        <v>12.379999999999999</v>
      </c>
      <c r="W13" s="59" t="str">
        <f t="shared" si="3"/>
        <v/>
      </c>
      <c r="Y13" s="63"/>
      <c r="Z13" s="64"/>
    </row>
    <row r="14" spans="1:26" ht="15.75" customHeight="1" x14ac:dyDescent="0.5">
      <c r="A14" s="460" t="str">
        <f>Input!C7</f>
        <v>AAPL</v>
      </c>
      <c r="B14" s="460" t="str">
        <f>VLOOKUP($A14, 'CEM Data Lookup'!$A:$P,2,FALSE)</f>
        <v xml:space="preserve">Apple Inc.          </v>
      </c>
      <c r="C14" s="59"/>
      <c r="D14" s="595">
        <f>HLOOKUP(A14,'CEM PricesDivs'!$C$1:$AY$70,70,FALSE)</f>
        <v>0.42</v>
      </c>
      <c r="E14" s="467"/>
      <c r="F14" s="467"/>
      <c r="G14" s="595">
        <f>IFERROR(VLOOKUP($A14,'CEM Data Lookup'!$A:$P,4,FALSE)*100,"NA")</f>
        <v>9</v>
      </c>
      <c r="H14" s="467"/>
      <c r="I14" s="467"/>
      <c r="J14" s="595">
        <f>IFERROR(VLOOKUP($A14,'CEM Data Lookup'!$A:$P,3,FALSE)*100,"NA")</f>
        <v>13.700000000000001</v>
      </c>
      <c r="K14" s="467"/>
      <c r="L14" s="467"/>
      <c r="M14" s="595">
        <f>IFERROR(VLOOKUP($A14,'CEM Data Lookup'!$A:$P,5,FALSE)*100,"NA")</f>
        <v>9.5742799999999999</v>
      </c>
      <c r="N14" s="467"/>
      <c r="O14" s="467"/>
      <c r="P14" s="595">
        <f t="shared" si="2"/>
        <v>10.76</v>
      </c>
      <c r="Q14" s="467"/>
      <c r="R14" s="467"/>
      <c r="S14" s="595">
        <f t="shared" si="0"/>
        <v>0.44</v>
      </c>
      <c r="T14" s="467"/>
      <c r="U14" s="467"/>
      <c r="V14" s="595">
        <f t="shared" si="1"/>
        <v>11.2</v>
      </c>
      <c r="W14" s="59" t="str">
        <f t="shared" si="3"/>
        <v/>
      </c>
      <c r="Y14" s="63"/>
      <c r="Z14" s="64"/>
    </row>
    <row r="15" spans="1:26" ht="15.75" customHeight="1" x14ac:dyDescent="0.5">
      <c r="A15" s="460" t="str">
        <f>Input!C8</f>
        <v>AIZ</v>
      </c>
      <c r="B15" s="460" t="str">
        <f>VLOOKUP($A15, 'CEM Data Lookup'!$A:$P,2,FALSE)</f>
        <v xml:space="preserve">Assurant Inc.       </v>
      </c>
      <c r="C15" s="59"/>
      <c r="D15" s="595">
        <f>HLOOKUP(A15,'CEM PricesDivs'!$C$1:$AY$70,70,FALSE)</f>
        <v>1.49</v>
      </c>
      <c r="E15" s="467"/>
      <c r="F15" s="467"/>
      <c r="G15" s="595">
        <f>IFERROR(VLOOKUP($A15,'CEM Data Lookup'!$A:$P,4,FALSE)*100,"NA")</f>
        <v>9.5</v>
      </c>
      <c r="H15" s="467"/>
      <c r="I15" s="467"/>
      <c r="J15" s="595" t="str">
        <f>IFERROR(VLOOKUP($A15,'CEM Data Lookup'!$A:$P,3,FALSE)*100,"NA")</f>
        <v>NA</v>
      </c>
      <c r="K15" s="467"/>
      <c r="L15" s="467"/>
      <c r="M15" s="595" t="str">
        <f>IFERROR(VLOOKUP($A15,'CEM Data Lookup'!$A:$P,5,FALSE)*100,"NA")</f>
        <v>NA</v>
      </c>
      <c r="N15" s="467"/>
      <c r="O15" s="467"/>
      <c r="P15" s="595">
        <f t="shared" si="2"/>
        <v>9.5</v>
      </c>
      <c r="Q15" s="467"/>
      <c r="R15" s="467"/>
      <c r="S15" s="595">
        <f t="shared" si="0"/>
        <v>1.56</v>
      </c>
      <c r="T15" s="467"/>
      <c r="U15" s="467"/>
      <c r="V15" s="595">
        <f t="shared" si="1"/>
        <v>11.06</v>
      </c>
      <c r="W15" s="59" t="str">
        <f t="shared" si="3"/>
        <v/>
      </c>
      <c r="Y15" s="104"/>
      <c r="Z15" s="105"/>
    </row>
    <row r="16" spans="1:26" ht="15.75" customHeight="1" x14ac:dyDescent="0.5">
      <c r="A16" s="460" t="str">
        <f>Input!C9</f>
        <v>AZO</v>
      </c>
      <c r="B16" s="460" t="str">
        <f>VLOOKUP($A16, 'CEM Data Lookup'!$A:$P,2,FALSE)</f>
        <v xml:space="preserve">AutoZone Inc.       </v>
      </c>
      <c r="C16" s="59"/>
      <c r="D16" s="595">
        <f>HLOOKUP(A16,'CEM PricesDivs'!$C$1:$AY$70,70,FALSE)</f>
        <v>0</v>
      </c>
      <c r="E16" s="467"/>
      <c r="F16" s="467"/>
      <c r="G16" s="595">
        <f>IFERROR(VLOOKUP($A16,'CEM Data Lookup'!$A:$P,4,FALSE)*100,"NA")</f>
        <v>11.5</v>
      </c>
      <c r="H16" s="467"/>
      <c r="I16" s="467"/>
      <c r="J16" s="595">
        <f>IFERROR(VLOOKUP($A16,'CEM Data Lookup'!$A:$P,3,FALSE)*100,"NA")</f>
        <v>11.799999999999999</v>
      </c>
      <c r="K16" s="467"/>
      <c r="L16" s="467"/>
      <c r="M16" s="595">
        <f>IFERROR(VLOOKUP($A16,'CEM Data Lookup'!$A:$P,5,FALSE)*100,"NA")</f>
        <v>12.731480000000001</v>
      </c>
      <c r="N16" s="467"/>
      <c r="O16" s="467"/>
      <c r="P16" s="595">
        <f t="shared" si="2"/>
        <v>12.01</v>
      </c>
      <c r="Q16" s="467"/>
      <c r="R16" s="467"/>
      <c r="S16" s="595">
        <f t="shared" si="0"/>
        <v>0</v>
      </c>
      <c r="T16" s="467"/>
      <c r="U16" s="467"/>
      <c r="V16" s="595" t="str">
        <f t="shared" si="1"/>
        <v>NA</v>
      </c>
      <c r="W16" s="59" t="str">
        <f t="shared" si="3"/>
        <v/>
      </c>
      <c r="Y16" s="104"/>
      <c r="Z16" s="62"/>
    </row>
    <row r="17" spans="1:26" ht="15.75" customHeight="1" x14ac:dyDescent="0.5">
      <c r="A17" s="460" t="str">
        <f>Input!C10</f>
        <v>BAH</v>
      </c>
      <c r="B17" s="460" t="str">
        <f>VLOOKUP($A17, 'CEM Data Lookup'!$A:$P,2,FALSE)</f>
        <v xml:space="preserve">Booz Allen Hamilton </v>
      </c>
      <c r="C17" s="59"/>
      <c r="D17" s="595">
        <f>HLOOKUP(A17,'CEM PricesDivs'!$C$1:$AY$70,70,FALSE)</f>
        <v>1.54</v>
      </c>
      <c r="E17" s="467"/>
      <c r="F17" s="467"/>
      <c r="G17" s="595">
        <f>IFERROR(VLOOKUP($A17,'CEM Data Lookup'!$A:$P,4,FALSE)*100,"NA")</f>
        <v>10</v>
      </c>
      <c r="H17" s="467"/>
      <c r="I17" s="467"/>
      <c r="J17" s="595">
        <f>IFERROR(VLOOKUP($A17,'CEM Data Lookup'!$A:$P,3,FALSE)*100,"NA")</f>
        <v>13.3</v>
      </c>
      <c r="K17" s="467"/>
      <c r="L17" s="467"/>
      <c r="M17" s="595">
        <f>IFERROR(VLOOKUP($A17,'CEM Data Lookup'!$A:$P,5,FALSE)*100,"NA")</f>
        <v>13.15164</v>
      </c>
      <c r="N17" s="467"/>
      <c r="O17" s="467"/>
      <c r="P17" s="595">
        <f t="shared" si="2"/>
        <v>12.15</v>
      </c>
      <c r="Q17" s="467"/>
      <c r="R17" s="467"/>
      <c r="S17" s="595">
        <f t="shared" si="0"/>
        <v>1.63</v>
      </c>
      <c r="T17" s="467"/>
      <c r="U17" s="467"/>
      <c r="V17" s="595">
        <f t="shared" si="1"/>
        <v>13.780000000000001</v>
      </c>
      <c r="W17" s="59" t="str">
        <f t="shared" si="3"/>
        <v/>
      </c>
      <c r="Y17" s="104"/>
      <c r="Z17" s="105"/>
    </row>
    <row r="18" spans="1:26" ht="15.75" customHeight="1" x14ac:dyDescent="0.5">
      <c r="A18" s="460" t="str">
        <f>Input!C11</f>
        <v>BRC</v>
      </c>
      <c r="B18" s="460" t="str">
        <f>VLOOKUP($A18, 'CEM Data Lookup'!$A:$P,2,FALSE)</f>
        <v xml:space="preserve">Brady Corp.         </v>
      </c>
      <c r="C18" s="59"/>
      <c r="D18" s="595">
        <f>HLOOKUP(A18,'CEM PricesDivs'!$C$1:$AY$70,70,FALSE)</f>
        <v>1.29</v>
      </c>
      <c r="E18" s="467"/>
      <c r="F18" s="467"/>
      <c r="G18" s="595">
        <f>IFERROR(VLOOKUP($A18,'CEM Data Lookup'!$A:$P,4,FALSE)*100,"NA")</f>
        <v>15.5</v>
      </c>
      <c r="H18" s="467"/>
      <c r="I18" s="467"/>
      <c r="J18" s="595" t="str">
        <f>IFERROR(VLOOKUP($A18,'CEM Data Lookup'!$A:$P,3,FALSE)*100,"NA")</f>
        <v>NA</v>
      </c>
      <c r="K18" s="467"/>
      <c r="L18" s="467"/>
      <c r="M18" s="595">
        <f>IFERROR(VLOOKUP($A18,'CEM Data Lookup'!$A:$P,5,FALSE)*100,"NA")</f>
        <v>11</v>
      </c>
      <c r="N18" s="467"/>
      <c r="O18" s="467"/>
      <c r="P18" s="595">
        <f t="shared" si="2"/>
        <v>13.25</v>
      </c>
      <c r="Q18" s="467"/>
      <c r="R18" s="467"/>
      <c r="S18" s="595">
        <f t="shared" si="0"/>
        <v>1.38</v>
      </c>
      <c r="T18" s="467"/>
      <c r="U18" s="467"/>
      <c r="V18" s="595">
        <f t="shared" si="1"/>
        <v>14.629999999999999</v>
      </c>
      <c r="W18" s="59" t="str">
        <f t="shared" si="3"/>
        <v/>
      </c>
      <c r="Y18" s="104"/>
      <c r="Z18" s="105"/>
    </row>
    <row r="19" spans="1:26" ht="15.75" customHeight="1" x14ac:dyDescent="0.5">
      <c r="A19" s="460" t="str">
        <f>Input!C12</f>
        <v>BWXT</v>
      </c>
      <c r="B19" s="460" t="str">
        <f>VLOOKUP($A19, 'CEM Data Lookup'!$A:$P,2,FALSE)</f>
        <v xml:space="preserve">BWX Technologies    </v>
      </c>
      <c r="C19" s="59"/>
      <c r="D19" s="595">
        <f>HLOOKUP(A19,'CEM PricesDivs'!$C$1:$AY$70,70,FALSE)</f>
        <v>0.79</v>
      </c>
      <c r="E19" s="467"/>
      <c r="F19" s="467"/>
      <c r="G19" s="595">
        <f>IFERROR(VLOOKUP($A19,'CEM Data Lookup'!$A:$P,4,FALSE)*100,"NA")</f>
        <v>9</v>
      </c>
      <c r="H19" s="467"/>
      <c r="I19" s="467"/>
      <c r="J19" s="595">
        <f>IFERROR(VLOOKUP($A19,'CEM Data Lookup'!$A:$P,3,FALSE)*100,"NA")</f>
        <v>9.6</v>
      </c>
      <c r="K19" s="467"/>
      <c r="L19" s="467"/>
      <c r="M19" s="595">
        <f>IFERROR(VLOOKUP($A19,'CEM Data Lookup'!$A:$P,5,FALSE)*100,"NA")</f>
        <v>10.54514</v>
      </c>
      <c r="N19" s="467"/>
      <c r="O19" s="467"/>
      <c r="P19" s="595">
        <f t="shared" si="2"/>
        <v>9.7200000000000006</v>
      </c>
      <c r="Q19" s="467"/>
      <c r="R19" s="467"/>
      <c r="S19" s="595">
        <f t="shared" si="0"/>
        <v>0.83</v>
      </c>
      <c r="T19" s="467"/>
      <c r="U19" s="467"/>
      <c r="V19" s="595">
        <f t="shared" si="1"/>
        <v>10.55</v>
      </c>
      <c r="W19" s="59" t="str">
        <f t="shared" si="3"/>
        <v/>
      </c>
      <c r="Y19" s="63"/>
      <c r="Z19" s="64"/>
    </row>
    <row r="20" spans="1:26" ht="15.75" customHeight="1" x14ac:dyDescent="0.5">
      <c r="A20" s="460" t="str">
        <f>Input!C13</f>
        <v>CACI</v>
      </c>
      <c r="B20" s="460" t="str">
        <f>VLOOKUP($A20, 'CEM Data Lookup'!$A:$P,2,FALSE)</f>
        <v xml:space="preserve">CACI Int'l          </v>
      </c>
      <c r="C20" s="59"/>
      <c r="D20" s="595">
        <f>HLOOKUP(A20,'CEM PricesDivs'!$C$1:$AY$70,70,FALSE)</f>
        <v>0</v>
      </c>
      <c r="E20" s="467"/>
      <c r="F20" s="467"/>
      <c r="G20" s="595">
        <f>IFERROR(VLOOKUP($A20,'CEM Data Lookup'!$A:$P,4,FALSE)*100,"NA")</f>
        <v>4.5</v>
      </c>
      <c r="H20" s="467"/>
      <c r="I20" s="467"/>
      <c r="J20" s="595">
        <f>IFERROR(VLOOKUP($A20,'CEM Data Lookup'!$A:$P,3,FALSE)*100,"NA")</f>
        <v>14.099999999999998</v>
      </c>
      <c r="K20" s="467"/>
      <c r="L20" s="467"/>
      <c r="M20" s="595">
        <f>IFERROR(VLOOKUP($A20,'CEM Data Lookup'!$A:$P,5,FALSE)*100,"NA")</f>
        <v>14.077320000000002</v>
      </c>
      <c r="N20" s="467"/>
      <c r="O20" s="467"/>
      <c r="P20" s="595">
        <f t="shared" si="2"/>
        <v>10.89</v>
      </c>
      <c r="Q20" s="467"/>
      <c r="R20" s="467"/>
      <c r="S20" s="595">
        <f t="shared" si="0"/>
        <v>0</v>
      </c>
      <c r="T20" s="467"/>
      <c r="U20" s="467"/>
      <c r="V20" s="595" t="str">
        <f t="shared" si="1"/>
        <v>NA</v>
      </c>
      <c r="W20" s="59" t="str">
        <f t="shared" si="3"/>
        <v/>
      </c>
      <c r="Y20" s="63"/>
      <c r="Z20" s="64"/>
    </row>
    <row r="21" spans="1:26" ht="15.75" customHeight="1" x14ac:dyDescent="0.5">
      <c r="A21" s="460" t="str">
        <f>Input!C14</f>
        <v>CASY</v>
      </c>
      <c r="B21" s="460" t="str">
        <f>VLOOKUP($A21, 'CEM Data Lookup'!$A:$P,2,FALSE)</f>
        <v>Casey's Gen'l Stores</v>
      </c>
      <c r="C21" s="59"/>
      <c r="D21" s="595">
        <f>HLOOKUP(A21,'CEM PricesDivs'!$C$1:$AY$70,70,FALSE)</f>
        <v>0.49</v>
      </c>
      <c r="E21" s="467"/>
      <c r="F21" s="467"/>
      <c r="G21" s="595">
        <f>IFERROR(VLOOKUP($A21,'CEM Data Lookup'!$A:$P,4,FALSE)*100,"NA")</f>
        <v>12</v>
      </c>
      <c r="H21" s="467"/>
      <c r="I21" s="467"/>
      <c r="J21" s="595">
        <f>IFERROR(VLOOKUP($A21,'CEM Data Lookup'!$A:$P,3,FALSE)*100,"NA")</f>
        <v>12.6</v>
      </c>
      <c r="K21" s="467"/>
      <c r="L21" s="467"/>
      <c r="M21" s="595">
        <f>IFERROR(VLOOKUP($A21,'CEM Data Lookup'!$A:$P,5,FALSE)*100,"NA")</f>
        <v>12.52933</v>
      </c>
      <c r="N21" s="467"/>
      <c r="O21" s="467"/>
      <c r="P21" s="595">
        <f t="shared" si="2"/>
        <v>12.38</v>
      </c>
      <c r="Q21" s="467"/>
      <c r="R21" s="467"/>
      <c r="S21" s="595">
        <f t="shared" si="0"/>
        <v>0.52</v>
      </c>
      <c r="T21" s="467"/>
      <c r="U21" s="467"/>
      <c r="V21" s="595">
        <f t="shared" si="1"/>
        <v>12.9</v>
      </c>
      <c r="W21" s="59" t="str">
        <f t="shared" si="3"/>
        <v/>
      </c>
      <c r="Y21" s="63"/>
      <c r="Z21" s="64"/>
    </row>
    <row r="22" spans="1:26" ht="15.75" customHeight="1" x14ac:dyDescent="0.5">
      <c r="A22" s="460" t="str">
        <f>Input!C15</f>
        <v>COR</v>
      </c>
      <c r="B22" s="460" t="str">
        <f>VLOOKUP($A22, 'CEM Data Lookup'!$A:$P,2,FALSE)</f>
        <v xml:space="preserve">Cencora             </v>
      </c>
      <c r="C22" s="59"/>
      <c r="D22" s="595">
        <f>HLOOKUP(A22,'CEM PricesDivs'!$C$1:$AY$70,70,FALSE)</f>
        <v>0.92</v>
      </c>
      <c r="E22" s="467"/>
      <c r="F22" s="467"/>
      <c r="G22" s="595">
        <f>IFERROR(VLOOKUP($A22,'CEM Data Lookup'!$A:$P,4,FALSE)*100,"NA")</f>
        <v>6.5</v>
      </c>
      <c r="H22" s="467"/>
      <c r="I22" s="467"/>
      <c r="J22" s="595">
        <f>IFERROR(VLOOKUP($A22,'CEM Data Lookup'!$A:$P,3,FALSE)*100,"NA")</f>
        <v>10.4</v>
      </c>
      <c r="K22" s="467"/>
      <c r="L22" s="467"/>
      <c r="M22" s="595">
        <f>IFERROR(VLOOKUP($A22,'CEM Data Lookup'!$A:$P,5,FALSE)*100,"NA")</f>
        <v>9.1005400000000005</v>
      </c>
      <c r="N22" s="467"/>
      <c r="O22" s="467"/>
      <c r="P22" s="595">
        <f t="shared" si="2"/>
        <v>8.67</v>
      </c>
      <c r="Q22" s="467"/>
      <c r="R22" s="467"/>
      <c r="S22" s="595">
        <f t="shared" si="0"/>
        <v>0.96</v>
      </c>
      <c r="T22" s="467"/>
      <c r="U22" s="467"/>
      <c r="V22" s="595">
        <f t="shared" si="1"/>
        <v>9.629999999999999</v>
      </c>
      <c r="W22" s="59" t="str">
        <f t="shared" si="3"/>
        <v/>
      </c>
      <c r="Y22" s="63"/>
      <c r="Z22" s="64"/>
    </row>
    <row r="23" spans="1:26" ht="15.75" customHeight="1" x14ac:dyDescent="0.5">
      <c r="A23" s="460" t="str">
        <f>Input!C16</f>
        <v>CSWI</v>
      </c>
      <c r="B23" s="460" t="str">
        <f>VLOOKUP($A23, 'CEM Data Lookup'!$A:$P,2,FALSE)</f>
        <v xml:space="preserve">CSW Industrials     </v>
      </c>
      <c r="C23" s="59"/>
      <c r="D23" s="595">
        <f>HLOOKUP(A23,'CEM PricesDivs'!$C$1:$AY$70,70,FALSE)</f>
        <v>0.25</v>
      </c>
      <c r="E23" s="467"/>
      <c r="F23" s="467"/>
      <c r="G23" s="595">
        <f>IFERROR(VLOOKUP($A23,'CEM Data Lookup'!$A:$P,4,FALSE)*100,"NA")</f>
        <v>13.5</v>
      </c>
      <c r="H23" s="467"/>
      <c r="I23" s="467"/>
      <c r="J23" s="595" t="str">
        <f>IFERROR(VLOOKUP($A23,'CEM Data Lookup'!$A:$P,3,FALSE)*100,"NA")</f>
        <v>NA</v>
      </c>
      <c r="K23" s="467"/>
      <c r="L23" s="467"/>
      <c r="M23" s="595">
        <f>IFERROR(VLOOKUP($A23,'CEM Data Lookup'!$A:$P,5,FALSE)*100,"NA")</f>
        <v>12.5</v>
      </c>
      <c r="N23" s="467"/>
      <c r="O23" s="467"/>
      <c r="P23" s="595">
        <f t="shared" si="2"/>
        <v>13</v>
      </c>
      <c r="Q23" s="467"/>
      <c r="R23" s="467"/>
      <c r="S23" s="595">
        <f t="shared" si="0"/>
        <v>0.27</v>
      </c>
      <c r="T23" s="467"/>
      <c r="U23" s="467"/>
      <c r="V23" s="595">
        <f t="shared" si="1"/>
        <v>13.27</v>
      </c>
      <c r="W23" s="59" t="str">
        <f t="shared" si="3"/>
        <v/>
      </c>
      <c r="Y23" s="63"/>
      <c r="Z23" s="64"/>
    </row>
    <row r="24" spans="1:26" ht="15.75" customHeight="1" x14ac:dyDescent="0.5">
      <c r="A24" s="460" t="str">
        <f>Input!C17</f>
        <v>CVS</v>
      </c>
      <c r="B24" s="460" t="str">
        <f>VLOOKUP($A24, 'CEM Data Lookup'!$A:$P,2,FALSE)</f>
        <v xml:space="preserve">CVS Health          </v>
      </c>
      <c r="C24" s="59"/>
      <c r="D24" s="595">
        <f>HLOOKUP(A24,'CEM PricesDivs'!$C$1:$AY$70,70,FALSE)</f>
        <v>5.0599999999999996</v>
      </c>
      <c r="E24" s="467"/>
      <c r="F24" s="467"/>
      <c r="G24" s="595">
        <f>IFERROR(VLOOKUP($A24,'CEM Data Lookup'!$A:$P,4,FALSE)*100,"NA")</f>
        <v>1.5</v>
      </c>
      <c r="H24" s="467"/>
      <c r="I24" s="467"/>
      <c r="J24" s="595">
        <f>IFERROR(VLOOKUP($A24,'CEM Data Lookup'!$A:$P,3,FALSE)*100,"NA")</f>
        <v>15.4</v>
      </c>
      <c r="K24" s="467"/>
      <c r="L24" s="467"/>
      <c r="M24" s="595">
        <f>IFERROR(VLOOKUP($A24,'CEM Data Lookup'!$A:$P,5,FALSE)*100,"NA")</f>
        <v>12.76291</v>
      </c>
      <c r="N24" s="467"/>
      <c r="O24" s="467"/>
      <c r="P24" s="595">
        <f t="shared" si="2"/>
        <v>9.89</v>
      </c>
      <c r="Q24" s="467"/>
      <c r="R24" s="467"/>
      <c r="S24" s="595">
        <f t="shared" si="0"/>
        <v>5.31</v>
      </c>
      <c r="T24" s="467"/>
      <c r="U24" s="467"/>
      <c r="V24" s="595">
        <f t="shared" si="1"/>
        <v>15.2</v>
      </c>
      <c r="W24" s="59" t="str">
        <f t="shared" si="3"/>
        <v/>
      </c>
      <c r="Y24" s="63"/>
      <c r="Z24" s="64"/>
    </row>
    <row r="25" spans="1:26" ht="15.75" customHeight="1" x14ac:dyDescent="0.5">
      <c r="A25" s="460" t="str">
        <f>Input!C18</f>
        <v>DHR</v>
      </c>
      <c r="B25" s="460" t="str">
        <f>VLOOKUP($A25, 'CEM Data Lookup'!$A:$P,2,FALSE)</f>
        <v xml:space="preserve">Danaher Corp.       </v>
      </c>
      <c r="C25" s="59"/>
      <c r="D25" s="595">
        <f>HLOOKUP(A25,'CEM PricesDivs'!$C$1:$AY$70,70,FALSE)</f>
        <v>0.46</v>
      </c>
      <c r="E25" s="467"/>
      <c r="F25" s="467"/>
      <c r="G25" s="595">
        <f>IFERROR(VLOOKUP($A25,'CEM Data Lookup'!$A:$P,4,FALSE)*100,"NA")</f>
        <v>2</v>
      </c>
      <c r="H25" s="467"/>
      <c r="I25" s="467"/>
      <c r="J25" s="595">
        <f>IFERROR(VLOOKUP($A25,'CEM Data Lookup'!$A:$P,3,FALSE)*100,"NA")</f>
        <v>8.9</v>
      </c>
      <c r="K25" s="467"/>
      <c r="L25" s="467"/>
      <c r="M25" s="595">
        <f>IFERROR(VLOOKUP($A25,'CEM Data Lookup'!$A:$P,5,FALSE)*100,"NA")</f>
        <v>9.4255999999999993</v>
      </c>
      <c r="N25" s="467"/>
      <c r="O25" s="467"/>
      <c r="P25" s="595">
        <f t="shared" si="2"/>
        <v>6.78</v>
      </c>
      <c r="Q25" s="467"/>
      <c r="R25" s="467"/>
      <c r="S25" s="595">
        <f t="shared" si="0"/>
        <v>0.48</v>
      </c>
      <c r="T25" s="467"/>
      <c r="U25" s="467"/>
      <c r="V25" s="595">
        <f t="shared" si="1"/>
        <v>7.26</v>
      </c>
      <c r="W25" s="59" t="str">
        <f t="shared" si="3"/>
        <v/>
      </c>
      <c r="Y25" s="63"/>
      <c r="Z25" s="64"/>
    </row>
    <row r="26" spans="1:26" ht="15.75" customHeight="1" x14ac:dyDescent="0.5">
      <c r="A26" s="460" t="str">
        <f>Input!C19</f>
        <v>DLB</v>
      </c>
      <c r="B26" s="460" t="str">
        <f>VLOOKUP($A26, 'CEM Data Lookup'!$A:$P,2,FALSE)</f>
        <v xml:space="preserve">Dolby Labs.         </v>
      </c>
      <c r="C26" s="59"/>
      <c r="D26" s="595">
        <f>HLOOKUP(A26,'CEM PricesDivs'!$C$1:$AY$70,70,FALSE)</f>
        <v>1.68</v>
      </c>
      <c r="E26" s="467"/>
      <c r="F26" s="467"/>
      <c r="G26" s="595">
        <f>IFERROR(VLOOKUP($A26,'CEM Data Lookup'!$A:$P,4,FALSE)*100,"NA")</f>
        <v>9.5</v>
      </c>
      <c r="H26" s="467"/>
      <c r="I26" s="467"/>
      <c r="J26" s="595" t="str">
        <f>IFERROR(VLOOKUP($A26,'CEM Data Lookup'!$A:$P,3,FALSE)*100,"NA")</f>
        <v>NA</v>
      </c>
      <c r="K26" s="467"/>
      <c r="L26" s="467"/>
      <c r="M26" s="595" t="str">
        <f>IFERROR(VLOOKUP($A26,'CEM Data Lookup'!$A:$P,5,FALSE)*100,"NA")</f>
        <v>NA</v>
      </c>
      <c r="N26" s="467"/>
      <c r="O26" s="467"/>
      <c r="P26" s="595">
        <f t="shared" si="2"/>
        <v>9.5</v>
      </c>
      <c r="Q26" s="467"/>
      <c r="R26" s="467"/>
      <c r="S26" s="595">
        <f t="shared" si="0"/>
        <v>1.76</v>
      </c>
      <c r="T26" s="467"/>
      <c r="U26" s="467"/>
      <c r="V26" s="595">
        <f t="shared" si="1"/>
        <v>11.26</v>
      </c>
      <c r="W26" s="59" t="str">
        <f t="shared" si="3"/>
        <v/>
      </c>
      <c r="Y26" s="63"/>
      <c r="Z26" s="64"/>
    </row>
    <row r="27" spans="1:26" ht="15.75" customHeight="1" x14ac:dyDescent="0.5">
      <c r="A27" s="460" t="str">
        <f>Input!C20</f>
        <v>EXPO</v>
      </c>
      <c r="B27" s="460" t="str">
        <f>VLOOKUP($A27, 'CEM Data Lookup'!$A:$P,2,FALSE)</f>
        <v xml:space="preserve">Exponent, Inc.      </v>
      </c>
      <c r="C27" s="59"/>
      <c r="D27" s="595">
        <f>HLOOKUP(A27,'CEM PricesDivs'!$C$1:$AY$70,70,FALSE)</f>
        <v>1.18</v>
      </c>
      <c r="E27" s="467"/>
      <c r="F27" s="467"/>
      <c r="G27" s="595">
        <f>IFERROR(VLOOKUP($A27,'CEM Data Lookup'!$A:$P,4,FALSE)*100,"NA")</f>
        <v>7.0000000000000009</v>
      </c>
      <c r="H27" s="467"/>
      <c r="I27" s="467"/>
      <c r="J27" s="595" t="str">
        <f>IFERROR(VLOOKUP($A27,'CEM Data Lookup'!$A:$P,3,FALSE)*100,"NA")</f>
        <v>NA</v>
      </c>
      <c r="K27" s="467"/>
      <c r="L27" s="467"/>
      <c r="M27" s="595" t="str">
        <f>IFERROR(VLOOKUP($A27,'CEM Data Lookup'!$A:$P,5,FALSE)*100,"NA")</f>
        <v>NA</v>
      </c>
      <c r="N27" s="467"/>
      <c r="O27" s="467"/>
      <c r="P27" s="595">
        <f t="shared" si="2"/>
        <v>7</v>
      </c>
      <c r="Q27" s="467"/>
      <c r="R27" s="467"/>
      <c r="S27" s="595">
        <f t="shared" si="0"/>
        <v>1.22</v>
      </c>
      <c r="T27" s="467"/>
      <c r="U27" s="467"/>
      <c r="V27" s="595">
        <f t="shared" si="1"/>
        <v>8.2200000000000006</v>
      </c>
      <c r="W27" s="59" t="str">
        <f t="shared" si="3"/>
        <v/>
      </c>
      <c r="Y27" s="63"/>
      <c r="Z27" s="64"/>
    </row>
    <row r="28" spans="1:26" ht="15.75" customHeight="1" x14ac:dyDescent="0.5">
      <c r="A28" s="460" t="str">
        <f>Input!C21</f>
        <v>FAST</v>
      </c>
      <c r="B28" s="460" t="str">
        <f>VLOOKUP($A28, 'CEM Data Lookup'!$A:$P,2,FALSE)</f>
        <v xml:space="preserve">Fastenal Co.        </v>
      </c>
      <c r="C28" s="59"/>
      <c r="D28" s="595">
        <f>HLOOKUP(A28,'CEM PricesDivs'!$C$1:$AY$70,70,FALSE)</f>
        <v>2.21</v>
      </c>
      <c r="E28" s="467"/>
      <c r="F28" s="467"/>
      <c r="G28" s="595">
        <f>IFERROR(VLOOKUP($A28,'CEM Data Lookup'!$A:$P,4,FALSE)*100,"NA")</f>
        <v>9</v>
      </c>
      <c r="H28" s="467"/>
      <c r="I28" s="467"/>
      <c r="J28" s="595">
        <f>IFERROR(VLOOKUP($A28,'CEM Data Lookup'!$A:$P,3,FALSE)*100,"NA")</f>
        <v>9.8000000000000007</v>
      </c>
      <c r="K28" s="467"/>
      <c r="L28" s="467"/>
      <c r="M28" s="595">
        <f>IFERROR(VLOOKUP($A28,'CEM Data Lookup'!$A:$P,5,FALSE)*100,"NA")</f>
        <v>9.2604699999999998</v>
      </c>
      <c r="N28" s="467"/>
      <c r="O28" s="467"/>
      <c r="P28" s="595">
        <f t="shared" si="2"/>
        <v>9.35</v>
      </c>
      <c r="Q28" s="467"/>
      <c r="R28" s="467"/>
      <c r="S28" s="595">
        <f t="shared" si="0"/>
        <v>2.31</v>
      </c>
      <c r="T28" s="467"/>
      <c r="U28" s="467"/>
      <c r="V28" s="595">
        <f t="shared" si="1"/>
        <v>11.66</v>
      </c>
      <c r="W28" s="59" t="str">
        <f t="shared" si="3"/>
        <v/>
      </c>
      <c r="Y28" s="63"/>
      <c r="Z28" s="64"/>
    </row>
    <row r="29" spans="1:26" ht="15.75" customHeight="1" x14ac:dyDescent="0.5">
      <c r="A29" s="460" t="str">
        <f>Input!C22</f>
        <v>FELE</v>
      </c>
      <c r="B29" s="460" t="str">
        <f>VLOOKUP($A29, 'CEM Data Lookup'!$A:$P,2,FALSE)</f>
        <v xml:space="preserve">Franklin Electric   </v>
      </c>
      <c r="C29" s="59"/>
      <c r="D29" s="595">
        <f>HLOOKUP(A29,'CEM PricesDivs'!$C$1:$AY$70,70,FALSE)</f>
        <v>1.03</v>
      </c>
      <c r="E29" s="467"/>
      <c r="F29" s="467"/>
      <c r="G29" s="595">
        <f>IFERROR(VLOOKUP($A29,'CEM Data Lookup'!$A:$P,4,FALSE)*100,"NA")</f>
        <v>7.5</v>
      </c>
      <c r="H29" s="467"/>
      <c r="I29" s="467"/>
      <c r="J29" s="595">
        <f>IFERROR(VLOOKUP($A29,'CEM Data Lookup'!$A:$P,3,FALSE)*100,"NA")</f>
        <v>12</v>
      </c>
      <c r="K29" s="467"/>
      <c r="L29" s="467"/>
      <c r="M29" s="595">
        <f>IFERROR(VLOOKUP($A29,'CEM Data Lookup'!$A:$P,5,FALSE)*100,"NA")</f>
        <v>12</v>
      </c>
      <c r="N29" s="467"/>
      <c r="O29" s="467"/>
      <c r="P29" s="595">
        <f t="shared" si="2"/>
        <v>10.5</v>
      </c>
      <c r="Q29" s="467"/>
      <c r="R29" s="467"/>
      <c r="S29" s="595">
        <f t="shared" si="0"/>
        <v>1.08</v>
      </c>
      <c r="T29" s="467"/>
      <c r="U29" s="467"/>
      <c r="V29" s="595">
        <f t="shared" si="1"/>
        <v>11.58</v>
      </c>
      <c r="W29" s="59" t="str">
        <f t="shared" si="3"/>
        <v/>
      </c>
      <c r="Y29" s="63"/>
      <c r="Z29" s="64"/>
    </row>
    <row r="30" spans="1:26" ht="15.75" customHeight="1" x14ac:dyDescent="0.5">
      <c r="A30" s="460" t="str">
        <f>Input!C23</f>
        <v>GATX</v>
      </c>
      <c r="B30" s="460" t="str">
        <f>VLOOKUP($A30, 'CEM Data Lookup'!$A:$P,2,FALSE)</f>
        <v xml:space="preserve">GATX Corp.          </v>
      </c>
      <c r="C30" s="59"/>
      <c r="D30" s="595">
        <f>HLOOKUP(A30,'CEM PricesDivs'!$C$1:$AY$70,70,FALSE)</f>
        <v>1.55</v>
      </c>
      <c r="E30" s="467"/>
      <c r="F30" s="467"/>
      <c r="G30" s="595">
        <f>IFERROR(VLOOKUP($A30,'CEM Data Lookup'!$A:$P,4,FALSE)*100,"NA")</f>
        <v>10.5</v>
      </c>
      <c r="H30" s="467"/>
      <c r="I30" s="467"/>
      <c r="J30" s="595" t="str">
        <f>IFERROR(VLOOKUP($A30,'CEM Data Lookup'!$A:$P,3,FALSE)*100,"NA")</f>
        <v>NA</v>
      </c>
      <c r="K30" s="467"/>
      <c r="L30" s="467"/>
      <c r="M30" s="595" t="str">
        <f>IFERROR(VLOOKUP($A30,'CEM Data Lookup'!$A:$P,5,FALSE)*100,"NA")</f>
        <v>NA</v>
      </c>
      <c r="N30" s="467"/>
      <c r="O30" s="467"/>
      <c r="P30" s="595">
        <f t="shared" si="2"/>
        <v>10.5</v>
      </c>
      <c r="Q30" s="467"/>
      <c r="R30" s="467"/>
      <c r="S30" s="595">
        <f t="shared" si="0"/>
        <v>1.63</v>
      </c>
      <c r="T30" s="467"/>
      <c r="U30" s="467"/>
      <c r="V30" s="595">
        <f t="shared" si="1"/>
        <v>12.129999999999999</v>
      </c>
      <c r="W30" s="59" t="str">
        <f t="shared" si="3"/>
        <v/>
      </c>
      <c r="Y30" s="63"/>
      <c r="Z30" s="64"/>
    </row>
    <row r="31" spans="1:26" ht="15.75" customHeight="1" x14ac:dyDescent="0.5">
      <c r="A31" s="460" t="str">
        <f>Input!C24</f>
        <v>JKHY</v>
      </c>
      <c r="B31" s="460" t="str">
        <f>VLOOKUP($A31, 'CEM Data Lookup'!$A:$P,2,FALSE)</f>
        <v>Henry (Jack) &amp; Assoc</v>
      </c>
      <c r="C31" s="59"/>
      <c r="D31" s="595">
        <f>HLOOKUP(A31,'CEM PricesDivs'!$C$1:$AY$70,70,FALSE)</f>
        <v>1.26</v>
      </c>
      <c r="E31" s="467"/>
      <c r="F31" s="467"/>
      <c r="G31" s="595">
        <f>IFERROR(VLOOKUP($A31,'CEM Data Lookup'!$A:$P,4,FALSE)*100,"NA")</f>
        <v>6.5</v>
      </c>
      <c r="H31" s="467"/>
      <c r="I31" s="467"/>
      <c r="J31" s="595">
        <f>IFERROR(VLOOKUP($A31,'CEM Data Lookup'!$A:$P,3,FALSE)*100,"NA")</f>
        <v>8.6999999999999993</v>
      </c>
      <c r="K31" s="467"/>
      <c r="L31" s="467"/>
      <c r="M31" s="595">
        <f>IFERROR(VLOOKUP($A31,'CEM Data Lookup'!$A:$P,5,FALSE)*100,"NA")</f>
        <v>8.6524599999999996</v>
      </c>
      <c r="N31" s="467"/>
      <c r="O31" s="467"/>
      <c r="P31" s="595">
        <f t="shared" si="2"/>
        <v>7.95</v>
      </c>
      <c r="Q31" s="467"/>
      <c r="R31" s="467"/>
      <c r="S31" s="595">
        <f t="shared" si="0"/>
        <v>1.31</v>
      </c>
      <c r="T31" s="467"/>
      <c r="U31" s="467"/>
      <c r="V31" s="595">
        <f t="shared" si="1"/>
        <v>9.26</v>
      </c>
      <c r="W31" s="59" t="str">
        <f t="shared" si="3"/>
        <v/>
      </c>
      <c r="Y31" s="63"/>
      <c r="Z31" s="64"/>
    </row>
    <row r="32" spans="1:26" ht="15.75" customHeight="1" x14ac:dyDescent="0.5">
      <c r="A32" s="460" t="str">
        <f>Input!C25</f>
        <v>JBHT</v>
      </c>
      <c r="B32" s="460" t="str">
        <f>VLOOKUP($A32, 'CEM Data Lookup'!$A:$P,2,FALSE)</f>
        <v xml:space="preserve">Hunt (J.B.)         </v>
      </c>
      <c r="C32" s="59"/>
      <c r="D32" s="595">
        <f>HLOOKUP(A32,'CEM PricesDivs'!$C$1:$AY$70,70,FALSE)</f>
        <v>0.98</v>
      </c>
      <c r="E32" s="467"/>
      <c r="F32" s="467"/>
      <c r="G32" s="595">
        <f>IFERROR(VLOOKUP($A32,'CEM Data Lookup'!$A:$P,4,FALSE)*100,"NA")</f>
        <v>6</v>
      </c>
      <c r="H32" s="467"/>
      <c r="I32" s="467"/>
      <c r="J32" s="595">
        <f>IFERROR(VLOOKUP($A32,'CEM Data Lookup'!$A:$P,3,FALSE)*100,"NA")</f>
        <v>16.400000000000002</v>
      </c>
      <c r="K32" s="467"/>
      <c r="L32" s="467"/>
      <c r="M32" s="595">
        <f>IFERROR(VLOOKUP($A32,'CEM Data Lookup'!$A:$P,5,FALSE)*100,"NA")</f>
        <v>12.478020000000001</v>
      </c>
      <c r="N32" s="467"/>
      <c r="O32" s="467"/>
      <c r="P32" s="595">
        <f t="shared" si="2"/>
        <v>11.63</v>
      </c>
      <c r="Q32" s="467"/>
      <c r="R32" s="467"/>
      <c r="S32" s="595">
        <f t="shared" si="0"/>
        <v>1.04</v>
      </c>
      <c r="T32" s="467"/>
      <c r="U32" s="467"/>
      <c r="V32" s="595">
        <f t="shared" si="1"/>
        <v>12.670000000000002</v>
      </c>
      <c r="W32" s="59" t="str">
        <f t="shared" si="3"/>
        <v/>
      </c>
      <c r="Y32" s="63"/>
      <c r="Z32" s="64"/>
    </row>
    <row r="33" spans="1:26" ht="15.75" customHeight="1" x14ac:dyDescent="0.5">
      <c r="A33" s="460" t="str">
        <f>Input!C26</f>
        <v>HII</v>
      </c>
      <c r="B33" s="460" t="str">
        <f>VLOOKUP($A33, 'CEM Data Lookup'!$A:$P,2,FALSE)</f>
        <v xml:space="preserve">Huntington Ingalls  </v>
      </c>
      <c r="C33" s="59"/>
      <c r="D33" s="595">
        <f>HLOOKUP(A33,'CEM PricesDivs'!$C$1:$AY$70,70,FALSE)</f>
        <v>2.77</v>
      </c>
      <c r="E33" s="467"/>
      <c r="F33" s="467"/>
      <c r="G33" s="595">
        <f>IFERROR(VLOOKUP($A33,'CEM Data Lookup'!$A:$P,4,FALSE)*100,"NA")</f>
        <v>10</v>
      </c>
      <c r="H33" s="467"/>
      <c r="I33" s="467"/>
      <c r="J33" s="595">
        <f>IFERROR(VLOOKUP($A33,'CEM Data Lookup'!$A:$P,3,FALSE)*100,"NA")</f>
        <v>7.3999999999999995</v>
      </c>
      <c r="K33" s="467"/>
      <c r="L33" s="467"/>
      <c r="M33" s="595">
        <f>IFERROR(VLOOKUP($A33,'CEM Data Lookup'!$A:$P,5,FALSE)*100,"NA")</f>
        <v>7.363360000000001</v>
      </c>
      <c r="N33" s="467"/>
      <c r="O33" s="467"/>
      <c r="P33" s="595">
        <f t="shared" si="2"/>
        <v>8.25</v>
      </c>
      <c r="Q33" s="467"/>
      <c r="R33" s="467"/>
      <c r="S33" s="595">
        <f t="shared" si="0"/>
        <v>2.88</v>
      </c>
      <c r="T33" s="467"/>
      <c r="U33" s="467"/>
      <c r="V33" s="595">
        <f t="shared" si="1"/>
        <v>11.129999999999999</v>
      </c>
      <c r="W33" s="59" t="str">
        <f t="shared" si="3"/>
        <v/>
      </c>
      <c r="Y33" s="63"/>
      <c r="Z33" s="64"/>
    </row>
    <row r="34" spans="1:26" ht="15.75" customHeight="1" x14ac:dyDescent="0.5">
      <c r="A34" s="460" t="str">
        <f>Input!C27</f>
        <v>LHX</v>
      </c>
      <c r="B34" s="460" t="str">
        <f>VLOOKUP($A34, 'CEM Data Lookup'!$A:$P,2,FALSE)</f>
        <v>L3Harris Technologie</v>
      </c>
      <c r="C34" s="59"/>
      <c r="D34" s="595">
        <f>HLOOKUP(A34,'CEM PricesDivs'!$C$1:$AY$70,70,FALSE)</f>
        <v>2.0299999999999998</v>
      </c>
      <c r="E34" s="467"/>
      <c r="F34" s="467"/>
      <c r="G34" s="595">
        <f>IFERROR(VLOOKUP($A34,'CEM Data Lookup'!$A:$P,4,FALSE)*100,"NA")</f>
        <v>11</v>
      </c>
      <c r="H34" s="467"/>
      <c r="I34" s="467"/>
      <c r="J34" s="595">
        <f>IFERROR(VLOOKUP($A34,'CEM Data Lookup'!$A:$P,3,FALSE)*100,"NA")</f>
        <v>8.7999999999999989</v>
      </c>
      <c r="K34" s="467"/>
      <c r="L34" s="467"/>
      <c r="M34" s="595">
        <f>IFERROR(VLOOKUP($A34,'CEM Data Lookup'!$A:$P,5,FALSE)*100,"NA")</f>
        <v>8.8910400000000003</v>
      </c>
      <c r="N34" s="467"/>
      <c r="O34" s="467"/>
      <c r="P34" s="595">
        <f t="shared" si="2"/>
        <v>9.56</v>
      </c>
      <c r="Q34" s="467"/>
      <c r="R34" s="467"/>
      <c r="S34" s="595">
        <f t="shared" si="0"/>
        <v>2.13</v>
      </c>
      <c r="T34" s="467"/>
      <c r="U34" s="467"/>
      <c r="V34" s="595">
        <f t="shared" si="1"/>
        <v>11.690000000000001</v>
      </c>
      <c r="W34" s="59" t="str">
        <f t="shared" si="3"/>
        <v/>
      </c>
      <c r="Y34" s="63"/>
      <c r="Z34" s="64"/>
    </row>
    <row r="35" spans="1:26" ht="15.75" customHeight="1" x14ac:dyDescent="0.5">
      <c r="A35" s="460" t="str">
        <f>Input!C28</f>
        <v>LSTR</v>
      </c>
      <c r="B35" s="460" t="str">
        <f>VLOOKUP($A35, 'CEM Data Lookup'!$A:$P,2,FALSE)</f>
        <v xml:space="preserve">Landstar System     </v>
      </c>
      <c r="C35" s="59"/>
      <c r="D35" s="595">
        <f>HLOOKUP(A35,'CEM PricesDivs'!$C$1:$AY$70,70,FALSE)</f>
        <v>0.8</v>
      </c>
      <c r="E35" s="467"/>
      <c r="F35" s="467"/>
      <c r="G35" s="595">
        <f>IFERROR(VLOOKUP($A35,'CEM Data Lookup'!$A:$P,4,FALSE)*100,"NA")</f>
        <v>5</v>
      </c>
      <c r="H35" s="467"/>
      <c r="I35" s="467"/>
      <c r="J35" s="595" t="str">
        <f>IFERROR(VLOOKUP($A35,'CEM Data Lookup'!$A:$P,3,FALSE)*100,"NA")</f>
        <v>NA</v>
      </c>
      <c r="K35" s="467"/>
      <c r="L35" s="467"/>
      <c r="M35" s="595">
        <f>IFERROR(VLOOKUP($A35,'CEM Data Lookup'!$A:$P,5,FALSE)*100,"NA")</f>
        <v>11</v>
      </c>
      <c r="N35" s="467"/>
      <c r="O35" s="467"/>
      <c r="P35" s="595">
        <f t="shared" si="2"/>
        <v>8</v>
      </c>
      <c r="Q35" s="467"/>
      <c r="R35" s="467"/>
      <c r="S35" s="595">
        <f t="shared" si="0"/>
        <v>0.83</v>
      </c>
      <c r="T35" s="467"/>
      <c r="U35" s="467"/>
      <c r="V35" s="595">
        <f t="shared" si="1"/>
        <v>8.83</v>
      </c>
      <c r="W35" s="59" t="str">
        <f t="shared" si="3"/>
        <v/>
      </c>
      <c r="Y35" s="63"/>
      <c r="Z35" s="64"/>
    </row>
    <row r="36" spans="1:26" ht="15.75" customHeight="1" x14ac:dyDescent="0.5">
      <c r="A36" s="460" t="str">
        <f>Input!C29</f>
        <v>LMT</v>
      </c>
      <c r="B36" s="460" t="str">
        <f>VLOOKUP($A36, 'CEM Data Lookup'!$A:$P,2,FALSE)</f>
        <v xml:space="preserve">Lockheed Martin     </v>
      </c>
      <c r="C36" s="59"/>
      <c r="D36" s="595">
        <f>HLOOKUP(A36,'CEM PricesDivs'!$C$1:$AY$70,70,FALSE)</f>
        <v>2.61</v>
      </c>
      <c r="E36" s="467"/>
      <c r="F36" s="467"/>
      <c r="G36" s="595">
        <f>IFERROR(VLOOKUP($A36,'CEM Data Lookup'!$A:$P,4,FALSE)*100,"NA")</f>
        <v>9.5</v>
      </c>
      <c r="H36" s="467"/>
      <c r="I36" s="467"/>
      <c r="J36" s="595">
        <f>IFERROR(VLOOKUP($A36,'CEM Data Lookup'!$A:$P,3,FALSE)*100,"NA")</f>
        <v>4.3999999999999995</v>
      </c>
      <c r="K36" s="467"/>
      <c r="L36" s="467"/>
      <c r="M36" s="595">
        <f>IFERROR(VLOOKUP($A36,'CEM Data Lookup'!$A:$P,5,FALSE)*100,"NA")</f>
        <v>4.4024400000000004</v>
      </c>
      <c r="N36" s="467"/>
      <c r="O36" s="467"/>
      <c r="P36" s="595">
        <f t="shared" si="2"/>
        <v>6.1</v>
      </c>
      <c r="Q36" s="467"/>
      <c r="R36" s="467"/>
      <c r="S36" s="595">
        <f t="shared" si="0"/>
        <v>2.69</v>
      </c>
      <c r="T36" s="467"/>
      <c r="U36" s="467"/>
      <c r="V36" s="595">
        <f t="shared" si="1"/>
        <v>8.7899999999999991</v>
      </c>
      <c r="W36" s="59" t="str">
        <f t="shared" si="3"/>
        <v/>
      </c>
      <c r="Y36" s="63"/>
      <c r="Z36" s="64"/>
    </row>
    <row r="37" spans="1:26" ht="15.75" customHeight="1" x14ac:dyDescent="0.5">
      <c r="A37" s="460" t="str">
        <f>Input!C30</f>
        <v>MCK</v>
      </c>
      <c r="B37" s="460" t="str">
        <f>VLOOKUP($A37, 'CEM Data Lookup'!$A:$P,2,FALSE)</f>
        <v xml:space="preserve">McKesson Corp.      </v>
      </c>
      <c r="C37" s="59"/>
      <c r="D37" s="595">
        <f>HLOOKUP(A37,'CEM PricesDivs'!$C$1:$AY$70,70,FALSE)</f>
        <v>0.48</v>
      </c>
      <c r="E37" s="467"/>
      <c r="F37" s="467"/>
      <c r="G37" s="595">
        <f>IFERROR(VLOOKUP($A37,'CEM Data Lookup'!$A:$P,4,FALSE)*100,"NA")</f>
        <v>10</v>
      </c>
      <c r="H37" s="467"/>
      <c r="I37" s="467"/>
      <c r="J37" s="595">
        <f>IFERROR(VLOOKUP($A37,'CEM Data Lookup'!$A:$P,3,FALSE)*100,"NA")</f>
        <v>14.099999999999998</v>
      </c>
      <c r="K37" s="467"/>
      <c r="L37" s="467"/>
      <c r="M37" s="595">
        <f>IFERROR(VLOOKUP($A37,'CEM Data Lookup'!$A:$P,5,FALSE)*100,"NA")</f>
        <v>13.767279999999998</v>
      </c>
      <c r="N37" s="467"/>
      <c r="O37" s="467"/>
      <c r="P37" s="595">
        <f t="shared" si="2"/>
        <v>12.62</v>
      </c>
      <c r="Q37" s="467"/>
      <c r="R37" s="467"/>
      <c r="S37" s="595">
        <f t="shared" si="0"/>
        <v>0.51</v>
      </c>
      <c r="T37" s="467"/>
      <c r="U37" s="467"/>
      <c r="V37" s="595">
        <f t="shared" si="1"/>
        <v>13.129999999999999</v>
      </c>
      <c r="W37" s="59" t="str">
        <f t="shared" si="3"/>
        <v/>
      </c>
      <c r="Y37" s="63"/>
      <c r="Z37" s="64"/>
    </row>
    <row r="38" spans="1:26" ht="15.75" customHeight="1" x14ac:dyDescent="0.5">
      <c r="A38" s="460" t="str">
        <f>Input!C31</f>
        <v>MSFT</v>
      </c>
      <c r="B38" s="460" t="str">
        <f>VLOOKUP($A38, 'CEM Data Lookup'!$A:$P,2,FALSE)</f>
        <v xml:space="preserve">Microsoft Corp.     </v>
      </c>
      <c r="C38" s="59"/>
      <c r="D38" s="595">
        <f>HLOOKUP(A38,'CEM PricesDivs'!$C$1:$AY$70,70,FALSE)</f>
        <v>0.77</v>
      </c>
      <c r="E38" s="467"/>
      <c r="F38" s="467"/>
      <c r="G38" s="595">
        <f>IFERROR(VLOOKUP($A38,'CEM Data Lookup'!$A:$P,4,FALSE)*100,"NA")</f>
        <v>14.499999999999998</v>
      </c>
      <c r="H38" s="467"/>
      <c r="I38" s="467"/>
      <c r="J38" s="595">
        <f>IFERROR(VLOOKUP($A38,'CEM Data Lookup'!$A:$P,3,FALSE)*100,"NA")</f>
        <v>14.399999999999999</v>
      </c>
      <c r="K38" s="467"/>
      <c r="L38" s="467"/>
      <c r="M38" s="595">
        <f>IFERROR(VLOOKUP($A38,'CEM Data Lookup'!$A:$P,5,FALSE)*100,"NA")</f>
        <v>13.187670000000001</v>
      </c>
      <c r="N38" s="467"/>
      <c r="O38" s="467"/>
      <c r="P38" s="595">
        <f t="shared" si="2"/>
        <v>14.03</v>
      </c>
      <c r="Q38" s="467"/>
      <c r="R38" s="467"/>
      <c r="S38" s="595">
        <f t="shared" si="0"/>
        <v>0.82</v>
      </c>
      <c r="T38" s="467"/>
      <c r="U38" s="467"/>
      <c r="V38" s="595">
        <f t="shared" si="1"/>
        <v>14.85</v>
      </c>
      <c r="W38" s="59" t="str">
        <f t="shared" si="3"/>
        <v/>
      </c>
      <c r="Y38" s="63"/>
      <c r="Z38" s="64"/>
    </row>
    <row r="39" spans="1:26" ht="15.75" customHeight="1" x14ac:dyDescent="0.5">
      <c r="A39" s="460" t="str">
        <f>Input!C32</f>
        <v>MSM</v>
      </c>
      <c r="B39" s="460" t="str">
        <f>VLOOKUP($A39, 'CEM Data Lookup'!$A:$P,2,FALSE)</f>
        <v>MSC Industrial Direc</v>
      </c>
      <c r="C39" s="59"/>
      <c r="D39" s="595">
        <f>HLOOKUP(A39,'CEM PricesDivs'!$C$1:$AY$70,70,FALSE)</f>
        <v>4.1399999999999997</v>
      </c>
      <c r="E39" s="467"/>
      <c r="F39" s="467"/>
      <c r="G39" s="595">
        <f>IFERROR(VLOOKUP($A39,'CEM Data Lookup'!$A:$P,4,FALSE)*100,"NA")</f>
        <v>0.5</v>
      </c>
      <c r="H39" s="467"/>
      <c r="I39" s="467"/>
      <c r="J39" s="595" t="str">
        <f>IFERROR(VLOOKUP($A39,'CEM Data Lookup'!$A:$P,3,FALSE)*100,"NA")</f>
        <v>NA</v>
      </c>
      <c r="K39" s="467"/>
      <c r="L39" s="467"/>
      <c r="M39" s="595" t="str">
        <f>IFERROR(VLOOKUP($A39,'CEM Data Lookup'!$A:$P,5,FALSE)*100,"NA")</f>
        <v>NA</v>
      </c>
      <c r="N39" s="467"/>
      <c r="O39" s="467"/>
      <c r="P39" s="595">
        <f t="shared" si="2"/>
        <v>0.5</v>
      </c>
      <c r="Q39" s="467"/>
      <c r="R39" s="467"/>
      <c r="S39" s="595">
        <f t="shared" si="0"/>
        <v>4.1500000000000004</v>
      </c>
      <c r="T39" s="467"/>
      <c r="U39" s="467"/>
      <c r="V39" s="595">
        <f t="shared" si="1"/>
        <v>4.6500000000000004</v>
      </c>
      <c r="W39" s="59" t="str">
        <f t="shared" si="3"/>
        <v>(3)</v>
      </c>
      <c r="Y39" s="63"/>
      <c r="Z39" s="64"/>
    </row>
    <row r="40" spans="1:26" ht="15.75" customHeight="1" x14ac:dyDescent="0.5">
      <c r="A40" s="460" t="str">
        <f>Input!C33</f>
        <v>ORCL</v>
      </c>
      <c r="B40" s="460" t="str">
        <f>VLOOKUP($A40, 'CEM Data Lookup'!$A:$P,2,FALSE)</f>
        <v xml:space="preserve">Oracle Corp.        </v>
      </c>
      <c r="C40" s="59"/>
      <c r="D40" s="595">
        <f>HLOOKUP(A40,'CEM PricesDivs'!$C$1:$AY$70,70,FALSE)</f>
        <v>0.91</v>
      </c>
      <c r="E40" s="467"/>
      <c r="F40" s="467"/>
      <c r="G40" s="595">
        <f>IFERROR(VLOOKUP($A40,'CEM Data Lookup'!$A:$P,4,FALSE)*100,"NA")</f>
        <v>10</v>
      </c>
      <c r="H40" s="467"/>
      <c r="I40" s="467"/>
      <c r="J40" s="595">
        <f>IFERROR(VLOOKUP($A40,'CEM Data Lookup'!$A:$P,3,FALSE)*100,"NA")</f>
        <v>10.199999999999999</v>
      </c>
      <c r="K40" s="467"/>
      <c r="L40" s="467"/>
      <c r="M40" s="595">
        <f>IFERROR(VLOOKUP($A40,'CEM Data Lookup'!$A:$P,5,FALSE)*100,"NA")</f>
        <v>11.15692</v>
      </c>
      <c r="N40" s="467"/>
      <c r="O40" s="467"/>
      <c r="P40" s="595">
        <f t="shared" si="2"/>
        <v>10.45</v>
      </c>
      <c r="Q40" s="467"/>
      <c r="R40" s="467"/>
      <c r="S40" s="595">
        <f t="shared" si="0"/>
        <v>0.96</v>
      </c>
      <c r="T40" s="467"/>
      <c r="U40" s="467"/>
      <c r="V40" s="595">
        <f t="shared" si="1"/>
        <v>11.41</v>
      </c>
      <c r="W40" s="59" t="str">
        <f t="shared" si="3"/>
        <v/>
      </c>
      <c r="Y40" s="63"/>
      <c r="Z40" s="64"/>
    </row>
    <row r="41" spans="1:26" ht="15.75" customHeight="1" x14ac:dyDescent="0.5">
      <c r="A41" s="460" t="str">
        <f>Input!C34</f>
        <v>ORLY</v>
      </c>
      <c r="B41" s="460" t="str">
        <f>VLOOKUP($A41, 'CEM Data Lookup'!$A:$P,2,FALSE)</f>
        <v xml:space="preserve">O'Reilly Automotive </v>
      </c>
      <c r="C41" s="59"/>
      <c r="D41" s="595">
        <f>HLOOKUP(A41,'CEM PricesDivs'!$C$1:$AY$70,70,FALSE)</f>
        <v>0</v>
      </c>
      <c r="E41" s="467"/>
      <c r="F41" s="467"/>
      <c r="G41" s="595">
        <f>IFERROR(VLOOKUP($A41,'CEM Data Lookup'!$A:$P,4,FALSE)*100,"NA")</f>
        <v>10.5</v>
      </c>
      <c r="H41" s="467"/>
      <c r="I41" s="467"/>
      <c r="J41" s="595">
        <f>IFERROR(VLOOKUP($A41,'CEM Data Lookup'!$A:$P,3,FALSE)*100,"NA")</f>
        <v>12.1</v>
      </c>
      <c r="K41" s="467"/>
      <c r="L41" s="467"/>
      <c r="M41" s="595">
        <f>IFERROR(VLOOKUP($A41,'CEM Data Lookup'!$A:$P,5,FALSE)*100,"NA")</f>
        <v>11.921749999999999</v>
      </c>
      <c r="N41" s="467"/>
      <c r="O41" s="467"/>
      <c r="P41" s="595">
        <f t="shared" si="2"/>
        <v>11.51</v>
      </c>
      <c r="Q41" s="467"/>
      <c r="R41" s="467"/>
      <c r="S41" s="595">
        <f t="shared" si="0"/>
        <v>0</v>
      </c>
      <c r="T41" s="467"/>
      <c r="U41" s="467"/>
      <c r="V41" s="595" t="str">
        <f t="shared" si="1"/>
        <v>NA</v>
      </c>
      <c r="W41" s="59" t="str">
        <f t="shared" si="3"/>
        <v/>
      </c>
      <c r="Y41" s="63"/>
      <c r="Z41" s="64"/>
    </row>
    <row r="42" spans="1:26" ht="15.75" customHeight="1" x14ac:dyDescent="0.5">
      <c r="A42" s="460" t="str">
        <f>Input!C35</f>
        <v>OSIS</v>
      </c>
      <c r="B42" s="460" t="str">
        <f>VLOOKUP($A42, 'CEM Data Lookup'!$A:$P,2,FALSE)</f>
        <v xml:space="preserve">OSI Systems         </v>
      </c>
      <c r="C42" s="59"/>
      <c r="D42" s="595">
        <f>HLOOKUP(A42,'CEM PricesDivs'!$C$1:$AY$70,70,FALSE)</f>
        <v>0</v>
      </c>
      <c r="E42" s="467"/>
      <c r="F42" s="467"/>
      <c r="G42" s="595">
        <f>IFERROR(VLOOKUP($A42,'CEM Data Lookup'!$A:$P,4,FALSE)*100,"NA")</f>
        <v>10.5</v>
      </c>
      <c r="H42" s="467"/>
      <c r="I42" s="467"/>
      <c r="J42" s="595">
        <f>IFERROR(VLOOKUP($A42,'CEM Data Lookup'!$A:$P,3,FALSE)*100,"NA")</f>
        <v>12.9</v>
      </c>
      <c r="K42" s="467"/>
      <c r="L42" s="467"/>
      <c r="M42" s="595">
        <f>IFERROR(VLOOKUP($A42,'CEM Data Lookup'!$A:$P,5,FALSE)*100,"NA")</f>
        <v>14.049910000000002</v>
      </c>
      <c r="N42" s="467"/>
      <c r="O42" s="467"/>
      <c r="P42" s="595">
        <f t="shared" si="2"/>
        <v>12.48</v>
      </c>
      <c r="Q42" s="467"/>
      <c r="R42" s="467"/>
      <c r="S42" s="595">
        <f t="shared" si="0"/>
        <v>0</v>
      </c>
      <c r="T42" s="467"/>
      <c r="U42" s="467"/>
      <c r="V42" s="595" t="str">
        <f t="shared" si="1"/>
        <v>NA</v>
      </c>
      <c r="W42" s="59" t="str">
        <f t="shared" si="3"/>
        <v/>
      </c>
      <c r="Y42" s="63"/>
      <c r="Z42" s="64"/>
    </row>
    <row r="43" spans="1:26" ht="15.75" customHeight="1" x14ac:dyDescent="0.5">
      <c r="A43" s="460" t="str">
        <f>Input!C36</f>
        <v>PKG</v>
      </c>
      <c r="B43" s="460" t="str">
        <f>VLOOKUP($A43, 'CEM Data Lookup'!$A:$P,2,FALSE)</f>
        <v xml:space="preserve">Packaging Corp.     </v>
      </c>
      <c r="C43" s="59"/>
      <c r="D43" s="595">
        <f>HLOOKUP(A43,'CEM PricesDivs'!$C$1:$AY$70,70,FALSE)</f>
        <v>2.12</v>
      </c>
      <c r="E43" s="467"/>
      <c r="F43" s="467"/>
      <c r="G43" s="595">
        <f>IFERROR(VLOOKUP($A43,'CEM Data Lookup'!$A:$P,4,FALSE)*100,"NA")</f>
        <v>9</v>
      </c>
      <c r="H43" s="467"/>
      <c r="I43" s="467"/>
      <c r="J43" s="595">
        <f>IFERROR(VLOOKUP($A43,'CEM Data Lookup'!$A:$P,3,FALSE)*100,"NA")</f>
        <v>9</v>
      </c>
      <c r="K43" s="467"/>
      <c r="L43" s="467"/>
      <c r="M43" s="595">
        <f>IFERROR(VLOOKUP($A43,'CEM Data Lookup'!$A:$P,5,FALSE)*100,"NA")</f>
        <v>11.312670000000001</v>
      </c>
      <c r="N43" s="467"/>
      <c r="O43" s="467"/>
      <c r="P43" s="595">
        <f t="shared" si="2"/>
        <v>9.77</v>
      </c>
      <c r="Q43" s="467"/>
      <c r="R43" s="467"/>
      <c r="S43" s="595">
        <f t="shared" si="0"/>
        <v>2.2200000000000002</v>
      </c>
      <c r="T43" s="467"/>
      <c r="U43" s="467"/>
      <c r="V43" s="595">
        <f t="shared" si="1"/>
        <v>11.99</v>
      </c>
      <c r="W43" s="59" t="str">
        <f t="shared" si="3"/>
        <v/>
      </c>
      <c r="Y43" s="63"/>
      <c r="Z43" s="64"/>
    </row>
    <row r="44" spans="1:26" ht="15.75" customHeight="1" x14ac:dyDescent="0.5">
      <c r="A44" s="460" t="str">
        <f>Input!C37</f>
        <v>PFE</v>
      </c>
      <c r="B44" s="460" t="str">
        <f>VLOOKUP($A44, 'CEM Data Lookup'!$A:$P,2,FALSE)</f>
        <v xml:space="preserve">Pfizer, Inc.        </v>
      </c>
      <c r="C44" s="59"/>
      <c r="D44" s="595">
        <f>HLOOKUP(A44,'CEM PricesDivs'!$C$1:$AY$70,70,FALSE)</f>
        <v>6.56</v>
      </c>
      <c r="E44" s="467"/>
      <c r="F44" s="467"/>
      <c r="G44" s="595">
        <f>IFERROR(VLOOKUP($A44,'CEM Data Lookup'!$A:$P,4,FALSE)*100,"NA")</f>
        <v>2.5</v>
      </c>
      <c r="H44" s="467"/>
      <c r="I44" s="467"/>
      <c r="J44" s="595">
        <f>IFERROR(VLOOKUP($A44,'CEM Data Lookup'!$A:$P,3,FALSE)*100,"NA")</f>
        <v>14.2</v>
      </c>
      <c r="K44" s="467"/>
      <c r="L44" s="467"/>
      <c r="M44" s="595">
        <f>IFERROR(VLOOKUP($A44,'CEM Data Lookup'!$A:$P,5,FALSE)*100,"NA")</f>
        <v>5.9271799999999999</v>
      </c>
      <c r="N44" s="467"/>
      <c r="O44" s="467"/>
      <c r="P44" s="595">
        <f t="shared" si="2"/>
        <v>7.54</v>
      </c>
      <c r="Q44" s="467"/>
      <c r="R44" s="467"/>
      <c r="S44" s="595">
        <f t="shared" si="0"/>
        <v>6.81</v>
      </c>
      <c r="T44" s="467"/>
      <c r="U44" s="467"/>
      <c r="V44" s="595">
        <f t="shared" si="1"/>
        <v>14.35</v>
      </c>
      <c r="W44" s="59" t="str">
        <f t="shared" si="3"/>
        <v/>
      </c>
      <c r="Y44" s="63"/>
      <c r="Z44" s="64"/>
    </row>
    <row r="45" spans="1:26" ht="15.75" customHeight="1" x14ac:dyDescent="0.5">
      <c r="A45" s="460" t="str">
        <f>Input!C38</f>
        <v>PM</v>
      </c>
      <c r="B45" s="460" t="str">
        <f>VLOOKUP($A45, 'CEM Data Lookup'!$A:$P,2,FALSE)</f>
        <v xml:space="preserve">Philip Morris Int'l </v>
      </c>
      <c r="C45" s="59"/>
      <c r="D45" s="595">
        <f>HLOOKUP(A45,'CEM PricesDivs'!$C$1:$AY$70,70,FALSE)</f>
        <v>4.28</v>
      </c>
      <c r="E45" s="467"/>
      <c r="F45" s="467"/>
      <c r="G45" s="595">
        <f>IFERROR(VLOOKUP($A45,'CEM Data Lookup'!$A:$P,4,FALSE)*100,"NA")</f>
        <v>5</v>
      </c>
      <c r="H45" s="467"/>
      <c r="I45" s="467"/>
      <c r="J45" s="595">
        <f>IFERROR(VLOOKUP($A45,'CEM Data Lookup'!$A:$P,3,FALSE)*100,"NA")</f>
        <v>8</v>
      </c>
      <c r="K45" s="467"/>
      <c r="L45" s="467"/>
      <c r="M45" s="595">
        <f>IFERROR(VLOOKUP($A45,'CEM Data Lookup'!$A:$P,5,FALSE)*100,"NA")</f>
        <v>9.5411800000000007</v>
      </c>
      <c r="N45" s="467"/>
      <c r="O45" s="467"/>
      <c r="P45" s="595">
        <f t="shared" si="2"/>
        <v>7.51</v>
      </c>
      <c r="Q45" s="467"/>
      <c r="R45" s="467"/>
      <c r="S45" s="595">
        <f t="shared" si="0"/>
        <v>4.4400000000000004</v>
      </c>
      <c r="T45" s="467"/>
      <c r="U45" s="467"/>
      <c r="V45" s="595">
        <f t="shared" si="1"/>
        <v>11.95</v>
      </c>
      <c r="W45" s="59" t="str">
        <f t="shared" si="3"/>
        <v/>
      </c>
      <c r="Y45" s="63"/>
      <c r="Z45" s="64"/>
    </row>
    <row r="46" spans="1:26" ht="15.75" customHeight="1" x14ac:dyDescent="0.5">
      <c r="A46" s="460" t="str">
        <f>Input!C39</f>
        <v>PBH</v>
      </c>
      <c r="B46" s="460" t="str">
        <f>VLOOKUP($A46, 'CEM Data Lookup'!$A:$P,2,FALSE)</f>
        <v xml:space="preserve">Prestige Consumer   </v>
      </c>
      <c r="C46" s="59"/>
      <c r="D46" s="595">
        <f>HLOOKUP(A46,'CEM PricesDivs'!$C$1:$AY$70,70,FALSE)</f>
        <v>0</v>
      </c>
      <c r="E46" s="467"/>
      <c r="F46" s="467"/>
      <c r="G46" s="595">
        <f>IFERROR(VLOOKUP($A46,'CEM Data Lookup'!$A:$P,4,FALSE)*100,"NA")</f>
        <v>5.5</v>
      </c>
      <c r="H46" s="467"/>
      <c r="I46" s="467"/>
      <c r="J46" s="595">
        <f>IFERROR(VLOOKUP($A46,'CEM Data Lookup'!$A:$P,3,FALSE)*100,"NA")</f>
        <v>8</v>
      </c>
      <c r="K46" s="467"/>
      <c r="L46" s="467"/>
      <c r="M46" s="595">
        <f>IFERROR(VLOOKUP($A46,'CEM Data Lookup'!$A:$P,5,FALSE)*100,"NA")</f>
        <v>8</v>
      </c>
      <c r="N46" s="467"/>
      <c r="O46" s="467"/>
      <c r="P46" s="595">
        <f t="shared" si="2"/>
        <v>7.17</v>
      </c>
      <c r="Q46" s="467"/>
      <c r="R46" s="467"/>
      <c r="S46" s="595">
        <f t="shared" si="0"/>
        <v>0</v>
      </c>
      <c r="T46" s="467"/>
      <c r="U46" s="467"/>
      <c r="V46" s="595" t="str">
        <f t="shared" si="1"/>
        <v>NA</v>
      </c>
      <c r="W46" s="59" t="str">
        <f t="shared" si="3"/>
        <v/>
      </c>
      <c r="Y46" s="63"/>
      <c r="Z46" s="64"/>
    </row>
    <row r="47" spans="1:26" ht="15.75" customHeight="1" x14ac:dyDescent="0.5">
      <c r="A47" s="460" t="str">
        <f>Input!C40</f>
        <v>SIGI</v>
      </c>
      <c r="B47" s="460" t="str">
        <f>VLOOKUP($A47, 'CEM Data Lookup'!$A:$P,2,FALSE)</f>
        <v>Selective Ins. Group</v>
      </c>
      <c r="C47" s="59"/>
      <c r="D47" s="595">
        <f>HLOOKUP(A47,'CEM PricesDivs'!$C$1:$AY$70,70,FALSE)</f>
        <v>1.59</v>
      </c>
      <c r="E47" s="467"/>
      <c r="F47" s="467"/>
      <c r="G47" s="595">
        <f>IFERROR(VLOOKUP($A47,'CEM Data Lookup'!$A:$P,4,FALSE)*100,"NA")</f>
        <v>17.5</v>
      </c>
      <c r="H47" s="467"/>
      <c r="I47" s="467"/>
      <c r="J47" s="595" t="str">
        <f>IFERROR(VLOOKUP($A47,'CEM Data Lookup'!$A:$P,3,FALSE)*100,"NA")</f>
        <v>NA</v>
      </c>
      <c r="K47" s="467"/>
      <c r="L47" s="467"/>
      <c r="M47" s="595">
        <f>IFERROR(VLOOKUP($A47,'CEM Data Lookup'!$A:$P,5,FALSE)*100,"NA")</f>
        <v>16.399999999999999</v>
      </c>
      <c r="N47" s="467"/>
      <c r="O47" s="467"/>
      <c r="P47" s="595">
        <f t="shared" si="2"/>
        <v>16.95</v>
      </c>
      <c r="Q47" s="467"/>
      <c r="R47" s="467"/>
      <c r="S47" s="595">
        <f t="shared" si="0"/>
        <v>1.72</v>
      </c>
      <c r="T47" s="467"/>
      <c r="U47" s="467"/>
      <c r="V47" s="595">
        <f t="shared" si="1"/>
        <v>18.669999999999998</v>
      </c>
      <c r="W47" s="59" t="str">
        <f t="shared" si="3"/>
        <v>(3)</v>
      </c>
      <c r="Y47" s="63"/>
      <c r="Z47" s="64"/>
    </row>
    <row r="48" spans="1:26" ht="15.75" customHeight="1" x14ac:dyDescent="0.5">
      <c r="A48" s="460" t="str">
        <f>Input!C41</f>
        <v>SCI</v>
      </c>
      <c r="B48" s="460" t="str">
        <f>VLOOKUP($A48, 'CEM Data Lookup'!$A:$P,2,FALSE)</f>
        <v xml:space="preserve">Service Corp. Int'l </v>
      </c>
      <c r="C48" s="59"/>
      <c r="D48" s="595">
        <f>HLOOKUP(A48,'CEM PricesDivs'!$C$1:$AY$70,70,FALSE)</f>
        <v>1.45</v>
      </c>
      <c r="E48" s="467"/>
      <c r="F48" s="467"/>
      <c r="G48" s="595">
        <f>IFERROR(VLOOKUP($A48,'CEM Data Lookup'!$A:$P,4,FALSE)*100,"NA")</f>
        <v>4.5</v>
      </c>
      <c r="H48" s="467"/>
      <c r="I48" s="467"/>
      <c r="J48" s="595">
        <f>IFERROR(VLOOKUP($A48,'CEM Data Lookup'!$A:$P,3,FALSE)*100,"NA")</f>
        <v>9.7000000000000011</v>
      </c>
      <c r="K48" s="467"/>
      <c r="L48" s="467"/>
      <c r="M48" s="595">
        <f>IFERROR(VLOOKUP($A48,'CEM Data Lookup'!$A:$P,5,FALSE)*100,"NA")</f>
        <v>9.7468000000000004</v>
      </c>
      <c r="N48" s="467"/>
      <c r="O48" s="467"/>
      <c r="P48" s="595">
        <f t="shared" si="2"/>
        <v>7.98</v>
      </c>
      <c r="Q48" s="467"/>
      <c r="R48" s="467"/>
      <c r="S48" s="595">
        <f t="shared" si="0"/>
        <v>1.51</v>
      </c>
      <c r="T48" s="467"/>
      <c r="U48" s="467"/>
      <c r="V48" s="595">
        <f t="shared" si="1"/>
        <v>9.49</v>
      </c>
      <c r="W48" s="59" t="str">
        <f t="shared" si="3"/>
        <v/>
      </c>
      <c r="Y48" s="63"/>
      <c r="Z48" s="64"/>
    </row>
    <row r="49" spans="1:26" ht="15.75" customHeight="1" x14ac:dyDescent="0.5">
      <c r="A49" s="460" t="str">
        <f>Input!C42</f>
        <v>SHW</v>
      </c>
      <c r="B49" s="460" t="str">
        <f>VLOOKUP($A49, 'CEM Data Lookup'!$A:$P,2,FALSE)</f>
        <v xml:space="preserve">Sherwin-Williams    </v>
      </c>
      <c r="C49" s="59"/>
      <c r="D49" s="595">
        <f>HLOOKUP(A49,'CEM PricesDivs'!$C$1:$AY$70,70,FALSE)</f>
        <v>0.78</v>
      </c>
      <c r="E49" s="467"/>
      <c r="F49" s="467"/>
      <c r="G49" s="595">
        <f>IFERROR(VLOOKUP($A49,'CEM Data Lookup'!$A:$P,4,FALSE)*100,"NA")</f>
        <v>12</v>
      </c>
      <c r="H49" s="467"/>
      <c r="I49" s="467"/>
      <c r="J49" s="595">
        <f>IFERROR(VLOOKUP($A49,'CEM Data Lookup'!$A:$P,3,FALSE)*100,"NA")</f>
        <v>10.299999999999999</v>
      </c>
      <c r="K49" s="467"/>
      <c r="L49" s="467"/>
      <c r="M49" s="595">
        <f>IFERROR(VLOOKUP($A49,'CEM Data Lookup'!$A:$P,5,FALSE)*100,"NA")</f>
        <v>8.9975199999999997</v>
      </c>
      <c r="N49" s="467"/>
      <c r="O49" s="467"/>
      <c r="P49" s="595">
        <f t="shared" si="2"/>
        <v>10.43</v>
      </c>
      <c r="Q49" s="467"/>
      <c r="R49" s="467"/>
      <c r="S49" s="595">
        <f t="shared" si="0"/>
        <v>0.82</v>
      </c>
      <c r="T49" s="467"/>
      <c r="U49" s="467"/>
      <c r="V49" s="595">
        <f t="shared" si="1"/>
        <v>11.25</v>
      </c>
      <c r="W49" s="59" t="str">
        <f t="shared" si="3"/>
        <v/>
      </c>
      <c r="Y49" s="63"/>
      <c r="Z49" s="64"/>
    </row>
    <row r="50" spans="1:26" ht="15.75" customHeight="1" x14ac:dyDescent="0.5">
      <c r="A50" s="460" t="str">
        <f>Input!C43</f>
        <v>AOS</v>
      </c>
      <c r="B50" s="460" t="str">
        <f>VLOOKUP($A50, 'CEM Data Lookup'!$A:$P,2,FALSE)</f>
        <v xml:space="preserve">Smith (A.O.)        </v>
      </c>
      <c r="C50" s="59"/>
      <c r="D50" s="595">
        <f>HLOOKUP(A50,'CEM PricesDivs'!$C$1:$AY$70,70,FALSE)</f>
        <v>1.9</v>
      </c>
      <c r="E50" s="467"/>
      <c r="F50" s="467"/>
      <c r="G50" s="595">
        <f>IFERROR(VLOOKUP($A50,'CEM Data Lookup'!$A:$P,4,FALSE)*100,"NA")</f>
        <v>9</v>
      </c>
      <c r="H50" s="467"/>
      <c r="I50" s="467"/>
      <c r="J50" s="595">
        <f>IFERROR(VLOOKUP($A50,'CEM Data Lookup'!$A:$P,3,FALSE)*100,"NA")</f>
        <v>12</v>
      </c>
      <c r="K50" s="467"/>
      <c r="L50" s="467"/>
      <c r="M50" s="595">
        <f>IFERROR(VLOOKUP($A50,'CEM Data Lookup'!$A:$P,5,FALSE)*100,"NA")</f>
        <v>12</v>
      </c>
      <c r="N50" s="467"/>
      <c r="O50" s="467"/>
      <c r="P50" s="595">
        <f t="shared" si="2"/>
        <v>11</v>
      </c>
      <c r="Q50" s="467"/>
      <c r="R50" s="467"/>
      <c r="S50" s="595">
        <f t="shared" si="0"/>
        <v>2</v>
      </c>
      <c r="T50" s="467"/>
      <c r="U50" s="467"/>
      <c r="V50" s="595">
        <f t="shared" si="1"/>
        <v>13</v>
      </c>
      <c r="W50" s="59" t="str">
        <f t="shared" si="3"/>
        <v/>
      </c>
      <c r="Y50" s="65"/>
      <c r="Z50" s="66"/>
    </row>
    <row r="51" spans="1:26" ht="15.75" customHeight="1" x14ac:dyDescent="0.5">
      <c r="A51" s="460" t="str">
        <f>Input!C44</f>
        <v>TMO</v>
      </c>
      <c r="B51" s="460" t="str">
        <f>VLOOKUP($A51, 'CEM Data Lookup'!$A:$P,2,FALSE)</f>
        <v xml:space="preserve">Thermo Fisher Sci.  </v>
      </c>
      <c r="C51" s="59"/>
      <c r="D51" s="595">
        <f>HLOOKUP(A51,'CEM PricesDivs'!$C$1:$AY$70,70,FALSE)</f>
        <v>0.28999999999999998</v>
      </c>
      <c r="E51" s="467"/>
      <c r="F51" s="467"/>
      <c r="G51" s="595">
        <f>IFERROR(VLOOKUP($A51,'CEM Data Lookup'!$A:$P,4,FALSE)*100,"NA")</f>
        <v>6</v>
      </c>
      <c r="H51" s="467"/>
      <c r="I51" s="467"/>
      <c r="J51" s="595">
        <f>IFERROR(VLOOKUP($A51,'CEM Data Lookup'!$A:$P,3,FALSE)*100,"NA")</f>
        <v>6.3</v>
      </c>
      <c r="K51" s="467"/>
      <c r="L51" s="467"/>
      <c r="M51" s="595">
        <f>IFERROR(VLOOKUP($A51,'CEM Data Lookup'!$A:$P,5,FALSE)*100,"NA")</f>
        <v>10.17159</v>
      </c>
      <c r="N51" s="467"/>
      <c r="O51" s="467"/>
      <c r="P51" s="595">
        <f t="shared" si="2"/>
        <v>7.49</v>
      </c>
      <c r="Q51" s="467"/>
      <c r="R51" s="467"/>
      <c r="S51" s="595">
        <f t="shared" si="0"/>
        <v>0.3</v>
      </c>
      <c r="T51" s="467"/>
      <c r="U51" s="467"/>
      <c r="V51" s="595">
        <f t="shared" si="1"/>
        <v>7.79</v>
      </c>
      <c r="W51" s="59" t="str">
        <f t="shared" si="3"/>
        <v/>
      </c>
      <c r="Y51" s="65"/>
      <c r="Z51" s="66"/>
    </row>
    <row r="52" spans="1:26" ht="15.75" customHeight="1" x14ac:dyDescent="0.5">
      <c r="A52" s="460" t="str">
        <f>Input!C45</f>
        <v>UNF</v>
      </c>
      <c r="B52" s="460" t="str">
        <f>VLOOKUP($A52, 'CEM Data Lookup'!$A:$P,2,FALSE)</f>
        <v xml:space="preserve">UniFirst Corp.      </v>
      </c>
      <c r="C52" s="59"/>
      <c r="D52" s="595">
        <f>HLOOKUP(A52,'CEM PricesDivs'!$C$1:$AY$70,70,FALSE)</f>
        <v>0.7</v>
      </c>
      <c r="E52" s="467"/>
      <c r="F52" s="467"/>
      <c r="G52" s="595">
        <f>IFERROR(VLOOKUP($A52,'CEM Data Lookup'!$A:$P,4,FALSE)*100,"NA")</f>
        <v>7.0000000000000009</v>
      </c>
      <c r="H52" s="467"/>
      <c r="I52" s="467"/>
      <c r="J52" s="595" t="str">
        <f>IFERROR(VLOOKUP($A52,'CEM Data Lookup'!$A:$P,3,FALSE)*100,"NA")</f>
        <v>NA</v>
      </c>
      <c r="K52" s="467"/>
      <c r="L52" s="467"/>
      <c r="M52" s="595" t="str">
        <f>IFERROR(VLOOKUP($A52,'CEM Data Lookup'!$A:$P,5,FALSE)*100,"NA")</f>
        <v>NA</v>
      </c>
      <c r="N52" s="467"/>
      <c r="O52" s="467"/>
      <c r="P52" s="595">
        <f t="shared" si="2"/>
        <v>7</v>
      </c>
      <c r="Q52" s="467"/>
      <c r="R52" s="467"/>
      <c r="S52" s="595">
        <f t="shared" si="0"/>
        <v>0.72</v>
      </c>
      <c r="T52" s="467"/>
      <c r="U52" s="467"/>
      <c r="V52" s="595">
        <f t="shared" si="1"/>
        <v>7.72</v>
      </c>
      <c r="W52" s="59" t="str">
        <f t="shared" si="3"/>
        <v/>
      </c>
      <c r="Y52" s="66"/>
      <c r="Z52" s="66"/>
    </row>
    <row r="53" spans="1:26" ht="15.75" customHeight="1" x14ac:dyDescent="0.5">
      <c r="A53" s="460" t="str">
        <f>Input!C46</f>
        <v>UNH</v>
      </c>
      <c r="B53" s="460" t="str">
        <f>VLOOKUP($A53, 'CEM Data Lookup'!$A:$P,2,FALSE)</f>
        <v xml:space="preserve">UnitedHealth Group  </v>
      </c>
      <c r="C53" s="59"/>
      <c r="D53" s="595">
        <f>HLOOKUP(A53,'CEM PricesDivs'!$C$1:$AY$70,70,FALSE)</f>
        <v>1.52</v>
      </c>
      <c r="E53" s="467"/>
      <c r="F53" s="467"/>
      <c r="G53" s="595">
        <f>IFERROR(VLOOKUP($A53,'CEM Data Lookup'!$A:$P,4,FALSE)*100,"NA")</f>
        <v>12</v>
      </c>
      <c r="H53" s="467"/>
      <c r="I53" s="467"/>
      <c r="J53" s="595">
        <f>IFERROR(VLOOKUP($A53,'CEM Data Lookup'!$A:$P,3,FALSE)*100,"NA")</f>
        <v>12.4</v>
      </c>
      <c r="K53" s="467"/>
      <c r="L53" s="467"/>
      <c r="M53" s="595">
        <f>IFERROR(VLOOKUP($A53,'CEM Data Lookup'!$A:$P,5,FALSE)*100,"NA")</f>
        <v>15.034330000000001</v>
      </c>
      <c r="N53" s="467"/>
      <c r="O53" s="467"/>
      <c r="P53" s="595">
        <f t="shared" si="2"/>
        <v>13.14</v>
      </c>
      <c r="Q53" s="467"/>
      <c r="R53" s="467"/>
      <c r="S53" s="595">
        <f t="shared" si="0"/>
        <v>1.62</v>
      </c>
      <c r="T53" s="467"/>
      <c r="U53" s="467"/>
      <c r="V53" s="595">
        <f t="shared" si="1"/>
        <v>14.760000000000002</v>
      </c>
      <c r="W53" s="59" t="str">
        <f t="shared" si="3"/>
        <v/>
      </c>
      <c r="Y53" s="66"/>
      <c r="Z53" s="66"/>
    </row>
    <row r="54" spans="1:26" ht="15.75" customHeight="1" x14ac:dyDescent="0.5">
      <c r="A54" s="460" t="str">
        <f>Input!C47</f>
        <v>UVV</v>
      </c>
      <c r="B54" s="460" t="str">
        <f>VLOOKUP($A54, 'CEM Data Lookup'!$A:$P,2,FALSE)</f>
        <v xml:space="preserve">Universal Corp.     </v>
      </c>
      <c r="C54" s="59"/>
      <c r="D54" s="595">
        <f>HLOOKUP(A54,'CEM PricesDivs'!$C$1:$AY$70,70,FALSE)</f>
        <v>5.99</v>
      </c>
      <c r="E54" s="467"/>
      <c r="F54" s="467"/>
      <c r="G54" s="595">
        <f>IFERROR(VLOOKUP($A54,'CEM Data Lookup'!$A:$P,4,FALSE)*100,"NA")</f>
        <v>13.5</v>
      </c>
      <c r="H54" s="467"/>
      <c r="I54" s="467"/>
      <c r="J54" s="595" t="str">
        <f>IFERROR(VLOOKUP($A54,'CEM Data Lookup'!$A:$P,3,FALSE)*100,"NA")</f>
        <v>NA</v>
      </c>
      <c r="K54" s="467"/>
      <c r="L54" s="467"/>
      <c r="M54" s="595" t="str">
        <f>IFERROR(VLOOKUP($A54,'CEM Data Lookup'!$A:$P,5,FALSE)*100,"NA")</f>
        <v>NA</v>
      </c>
      <c r="N54" s="467"/>
      <c r="O54" s="467"/>
      <c r="P54" s="595">
        <f t="shared" si="2"/>
        <v>13.5</v>
      </c>
      <c r="Q54" s="467"/>
      <c r="R54" s="467"/>
      <c r="S54" s="595">
        <f t="shared" si="0"/>
        <v>6.39</v>
      </c>
      <c r="T54" s="467"/>
      <c r="U54" s="467"/>
      <c r="V54" s="595">
        <f t="shared" si="1"/>
        <v>19.89</v>
      </c>
      <c r="W54" s="59" t="str">
        <f t="shared" si="3"/>
        <v>(3)</v>
      </c>
      <c r="Y54" s="66"/>
      <c r="Z54" s="66"/>
    </row>
    <row r="55" spans="1:26" ht="15.75" customHeight="1" x14ac:dyDescent="0.5">
      <c r="A55" s="460" t="str">
        <f>Input!C48</f>
        <v>VRSN</v>
      </c>
      <c r="B55" s="460" t="str">
        <f>VLOOKUP($A55, 'CEM Data Lookup'!$A:$P,2,FALSE)</f>
        <v xml:space="preserve">VeriSign Inc.       </v>
      </c>
      <c r="C55" s="59"/>
      <c r="D55" s="595">
        <f>HLOOKUP(A55,'CEM PricesDivs'!$C$1:$AY$70,70,FALSE)</f>
        <v>0</v>
      </c>
      <c r="E55" s="467"/>
      <c r="F55" s="467"/>
      <c r="G55" s="595">
        <f>IFERROR(VLOOKUP($A55,'CEM Data Lookup'!$A:$P,4,FALSE)*100,"NA")</f>
        <v>12</v>
      </c>
      <c r="H55" s="467"/>
      <c r="I55" s="467"/>
      <c r="J55" s="595" t="str">
        <f>IFERROR(VLOOKUP($A55,'CEM Data Lookup'!$A:$P,3,FALSE)*100,"NA")</f>
        <v>NA</v>
      </c>
      <c r="K55" s="467"/>
      <c r="L55" s="467"/>
      <c r="M55" s="595" t="str">
        <f>IFERROR(VLOOKUP($A55,'CEM Data Lookup'!$A:$P,5,FALSE)*100,"NA")</f>
        <v>NA</v>
      </c>
      <c r="N55" s="467"/>
      <c r="O55" s="467"/>
      <c r="P55" s="595">
        <f t="shared" si="2"/>
        <v>12</v>
      </c>
      <c r="Q55" s="467"/>
      <c r="R55" s="467"/>
      <c r="S55" s="595">
        <f t="shared" si="0"/>
        <v>0</v>
      </c>
      <c r="T55" s="467"/>
      <c r="U55" s="467"/>
      <c r="V55" s="595" t="str">
        <f t="shared" si="1"/>
        <v>NA</v>
      </c>
      <c r="W55" s="59" t="str">
        <f t="shared" si="3"/>
        <v/>
      </c>
      <c r="Y55" s="66"/>
      <c r="Z55" s="66"/>
    </row>
    <row r="56" spans="1:26" ht="15.75" customHeight="1" x14ac:dyDescent="0.5">
      <c r="A56" s="460" t="str">
        <f>Input!C49</f>
        <v>WAT</v>
      </c>
      <c r="B56" s="460" t="str">
        <f>VLOOKUP($A56, 'CEM Data Lookup'!$A:$P,2,FALSE)</f>
        <v xml:space="preserve">Waters Corp.        </v>
      </c>
      <c r="C56" s="59"/>
      <c r="D56" s="595">
        <f>HLOOKUP(A56,'CEM PricesDivs'!$C$1:$AY$70,70,FALSE)</f>
        <v>0</v>
      </c>
      <c r="E56" s="467"/>
      <c r="F56" s="467"/>
      <c r="G56" s="595">
        <f>IFERROR(VLOOKUP($A56,'CEM Data Lookup'!$A:$P,4,FALSE)*100,"NA")</f>
        <v>6.5</v>
      </c>
      <c r="H56" s="467"/>
      <c r="I56" s="467"/>
      <c r="J56" s="595">
        <f>IFERROR(VLOOKUP($A56,'CEM Data Lookup'!$A:$P,3,FALSE)*100,"NA")</f>
        <v>4.3999999999999995</v>
      </c>
      <c r="K56" s="467"/>
      <c r="L56" s="467"/>
      <c r="M56" s="595">
        <f>IFERROR(VLOOKUP($A56,'CEM Data Lookup'!$A:$P,5,FALSE)*100,"NA")</f>
        <v>6.8138699999999996</v>
      </c>
      <c r="N56" s="467"/>
      <c r="O56" s="467"/>
      <c r="P56" s="595">
        <f t="shared" si="2"/>
        <v>5.9</v>
      </c>
      <c r="Q56" s="467"/>
      <c r="R56" s="467"/>
      <c r="S56" s="595">
        <f t="shared" si="0"/>
        <v>0</v>
      </c>
      <c r="T56" s="467"/>
      <c r="U56" s="467"/>
      <c r="V56" s="595" t="str">
        <f t="shared" si="1"/>
        <v>NA</v>
      </c>
      <c r="W56" s="59" t="str">
        <f t="shared" si="3"/>
        <v/>
      </c>
      <c r="Y56" s="66"/>
      <c r="Z56" s="66"/>
    </row>
    <row r="57" spans="1:26" ht="15.75" customHeight="1" x14ac:dyDescent="0.5">
      <c r="A57" s="460" t="str">
        <f>Input!C50</f>
        <v>WSO</v>
      </c>
      <c r="B57" s="460" t="str">
        <f>VLOOKUP($A57, 'CEM Data Lookup'!$A:$P,2,FALSE)</f>
        <v xml:space="preserve">Watsco, Inc.        </v>
      </c>
      <c r="C57" s="59"/>
      <c r="D57" s="595">
        <f>HLOOKUP(A57,'CEM PricesDivs'!$C$1:$AY$70,70,FALSE)</f>
        <v>2.13</v>
      </c>
      <c r="E57" s="467"/>
      <c r="F57" s="467"/>
      <c r="G57" s="595">
        <f>IFERROR(VLOOKUP($A57,'CEM Data Lookup'!$A:$P,4,FALSE)*100,"NA")</f>
        <v>7.0000000000000009</v>
      </c>
      <c r="H57" s="467"/>
      <c r="I57" s="467"/>
      <c r="J57" s="595" t="str">
        <f>IFERROR(VLOOKUP($A57,'CEM Data Lookup'!$A:$P,3,FALSE)*100,"NA")</f>
        <v>NA</v>
      </c>
      <c r="K57" s="467"/>
      <c r="L57" s="467"/>
      <c r="M57" s="595" t="str">
        <f>IFERROR(VLOOKUP($A57,'CEM Data Lookup'!$A:$P,5,FALSE)*100,"NA")</f>
        <v>NA</v>
      </c>
      <c r="N57" s="467"/>
      <c r="O57" s="467"/>
      <c r="P57" s="595">
        <f t="shared" si="2"/>
        <v>7</v>
      </c>
      <c r="Q57" s="467"/>
      <c r="R57" s="467"/>
      <c r="S57" s="595">
        <f t="shared" si="0"/>
        <v>2.2000000000000002</v>
      </c>
      <c r="T57" s="467"/>
      <c r="U57" s="467"/>
      <c r="V57" s="595">
        <f t="shared" si="1"/>
        <v>9.1999999999999993</v>
      </c>
      <c r="W57" s="59" t="str">
        <f t="shared" si="3"/>
        <v/>
      </c>
      <c r="Y57" s="66"/>
      <c r="Z57" s="66"/>
    </row>
    <row r="58" spans="1:26" ht="15.75" customHeight="1" x14ac:dyDescent="0.5">
      <c r="A58" s="460"/>
      <c r="B58" s="460"/>
      <c r="C58" s="59"/>
      <c r="D58" s="59"/>
      <c r="E58" s="59"/>
      <c r="F58" s="59"/>
      <c r="G58" s="67"/>
      <c r="H58" s="59"/>
      <c r="I58" s="59"/>
      <c r="J58" s="59"/>
      <c r="K58" s="59"/>
      <c r="L58" s="59"/>
      <c r="M58" s="59"/>
      <c r="N58" s="59"/>
      <c r="O58" s="59"/>
      <c r="P58" s="59"/>
      <c r="Q58" s="59"/>
      <c r="R58" s="59"/>
      <c r="S58" s="59"/>
      <c r="T58" s="59"/>
      <c r="U58" s="59"/>
      <c r="V58" s="664"/>
      <c r="W58" s="59"/>
      <c r="X58" s="59"/>
    </row>
    <row r="59" spans="1:26" ht="15.75" customHeight="1" thickBot="1" x14ac:dyDescent="0.55000000000000004">
      <c r="A59" s="60">
        <f>COUNTA(A9:A57)</f>
        <v>49</v>
      </c>
      <c r="D59" s="60" t="s">
        <v>2679</v>
      </c>
      <c r="S59" s="61" t="s">
        <v>1151</v>
      </c>
      <c r="V59" s="673">
        <f>ROUND(IFERROR(AVERAGEIFS(V9:V57, V9:V57, "&gt;"&amp;Z12, V9:V57, "&lt;"&amp;Z11), "NA"),2)</f>
        <v>11.53</v>
      </c>
      <c r="W59" s="674" t="s">
        <v>1090</v>
      </c>
      <c r="X59" s="467">
        <f>IFERROR(ROUND(AVERAGE(V9:V38, V40:V46,V48:V53, V55:V57),2),"NA")</f>
        <v>11.53</v>
      </c>
      <c r="Y59" s="141"/>
    </row>
    <row r="60" spans="1:26" ht="15.75" customHeight="1" thickTop="1" x14ac:dyDescent="0.5">
      <c r="W60" s="674"/>
    </row>
    <row r="61" spans="1:26" ht="15.75" customHeight="1" thickBot="1" x14ac:dyDescent="0.55000000000000004">
      <c r="S61" s="61" t="s">
        <v>1180</v>
      </c>
      <c r="V61" s="673" cm="1">
        <f t="array" ref="V61">ROUND(IFERROR(MEDIAN(IF((V9:V57&gt;Z12)*(V9:V57&lt;Z11), V9:V57)), "NA"),2)</f>
        <v>11.58</v>
      </c>
      <c r="W61" s="674" t="s">
        <v>1090</v>
      </c>
      <c r="X61" s="467">
        <f>IFERROR(ROUND(MEDIAN(V9:V38, V40:V46,V48:V53, V55:V57),2),"NA")</f>
        <v>11.58</v>
      </c>
    </row>
    <row r="62" spans="1:26" ht="15.75" customHeight="1" thickTop="1" x14ac:dyDescent="0.5">
      <c r="W62" s="674"/>
    </row>
    <row r="63" spans="1:26" ht="15.75" customHeight="1" thickBot="1" x14ac:dyDescent="0.55000000000000004">
      <c r="S63" s="61" t="s">
        <v>1181</v>
      </c>
      <c r="V63" s="673">
        <f>ROUND(AVERAGE(V59:V61),2)</f>
        <v>11.56</v>
      </c>
      <c r="W63" s="674" t="s">
        <v>1090</v>
      </c>
    </row>
    <row r="64" spans="1:26" ht="15.3" thickTop="1" x14ac:dyDescent="0.5">
      <c r="B64" s="61" t="s">
        <v>17</v>
      </c>
    </row>
    <row r="65" spans="2:23" x14ac:dyDescent="0.5">
      <c r="B65" s="61"/>
      <c r="C65" s="469" t="s">
        <v>1146</v>
      </c>
      <c r="D65" s="675" t="s">
        <v>3869</v>
      </c>
    </row>
    <row r="66" spans="2:23" ht="79.5" customHeight="1" x14ac:dyDescent="0.5">
      <c r="C66" s="676" t="s">
        <v>1147</v>
      </c>
      <c r="D66" s="1418" t="str">
        <f>CONCATENATE("The application of the DCF model to the domestic, non-price regulated comparable risk companies is identical to the application of the DCF to the Utility Proxy Groups.","  The dividend yield is derived by using the 60 day average price and the spot indicated dividend as of ",TEXT(Input!E2,"m/dd/yyyy"),".  The dividend yield is then adjusted by 1/2 the average projected growth rate in EPS, which is calculated by averaging the 5 year projected growth in EPS provided by Value Line",", www.zacks.com, and S&amp;P Capital IQ (excluding any negative growth rates) and then adding that growth rate to the adjusted dividend yield.")</f>
        <v>The application of the DCF model to the domestic, non-price regulated comparable risk companies is identical to the application of the DCF to the Utility Proxy Groups.  The dividend yield is derived by using the 60 day average price and the spot indicated dividend as of 1/31/2025.  The dividend yield is then adjusted by 1/2 the average projected growth rate in EPS, which is calculated by averaging the 5 year projected growth in EPS provided by Value Line, www.zacks.com, and S&amp;P Capital IQ (excluding any negative growth rates) and then adding that growth rate to the adjusted dividend yield.</v>
      </c>
      <c r="E66" s="1418"/>
      <c r="F66" s="1418"/>
      <c r="G66" s="1418"/>
      <c r="H66" s="1418"/>
      <c r="I66" s="1418"/>
      <c r="J66" s="1418"/>
      <c r="K66" s="1418"/>
      <c r="L66" s="1418"/>
      <c r="M66" s="1418"/>
      <c r="N66" s="1418"/>
      <c r="O66" s="1418"/>
      <c r="P66" s="1418"/>
      <c r="Q66" s="1418"/>
      <c r="R66" s="1418"/>
      <c r="S66" s="1418"/>
      <c r="T66" s="1418"/>
      <c r="U66" s="1418"/>
      <c r="V66" s="1418"/>
      <c r="W66" s="1418"/>
    </row>
    <row r="67" spans="2:23" ht="30.75" customHeight="1" x14ac:dyDescent="0.5">
      <c r="C67" s="676" t="s">
        <v>1149</v>
      </c>
      <c r="D67" s="1416" t="s">
        <v>1183</v>
      </c>
      <c r="E67" s="1416"/>
      <c r="F67" s="1416"/>
      <c r="G67" s="1416"/>
      <c r="H67" s="1416"/>
      <c r="I67" s="1416"/>
      <c r="J67" s="1416"/>
      <c r="K67" s="1416"/>
      <c r="L67" s="1416"/>
      <c r="M67" s="1416"/>
      <c r="N67" s="1416"/>
      <c r="O67" s="1416"/>
      <c r="P67" s="1416"/>
      <c r="Q67" s="1416"/>
      <c r="R67" s="1416"/>
      <c r="S67" s="1416"/>
      <c r="T67" s="1416"/>
      <c r="U67" s="1416"/>
      <c r="V67" s="1416"/>
      <c r="W67" s="1416"/>
    </row>
    <row r="68" spans="2:23" x14ac:dyDescent="0.5">
      <c r="C68" s="676"/>
      <c r="E68" s="677"/>
      <c r="F68" s="677"/>
      <c r="G68" s="677"/>
      <c r="H68" s="677"/>
      <c r="I68" s="677"/>
      <c r="J68" s="677"/>
      <c r="K68" s="677"/>
      <c r="L68" s="677"/>
      <c r="M68" s="677"/>
      <c r="N68" s="677"/>
      <c r="O68" s="677"/>
      <c r="P68" s="677"/>
      <c r="Q68" s="677"/>
      <c r="R68" s="677"/>
      <c r="S68" s="677"/>
      <c r="T68" s="677"/>
      <c r="U68" s="677"/>
    </row>
    <row r="69" spans="2:23" x14ac:dyDescent="0.5">
      <c r="B69" s="60" t="s">
        <v>1143</v>
      </c>
      <c r="C69" s="60" t="s">
        <v>2584</v>
      </c>
    </row>
    <row r="70" spans="2:23" x14ac:dyDescent="0.5">
      <c r="C70" s="139" t="str">
        <f>CONCATENATE("www.zacks.com, Downloaded on ",TEXT(Input!$E$2,"mm/dd/yyyy"))</f>
        <v>www.zacks.com, Downloaded on 01/31/2025</v>
      </c>
    </row>
    <row r="71" spans="2:23" x14ac:dyDescent="0.5">
      <c r="C71" s="139" t="s">
        <v>1279</v>
      </c>
    </row>
  </sheetData>
  <mergeCells count="16">
    <mergeCell ref="D67:W67"/>
    <mergeCell ref="P5:Q5"/>
    <mergeCell ref="S5:T5"/>
    <mergeCell ref="V5:W5"/>
    <mergeCell ref="D7:E7"/>
    <mergeCell ref="G7:H7"/>
    <mergeCell ref="J7:K7"/>
    <mergeCell ref="M7:N7"/>
    <mergeCell ref="P7:Q7"/>
    <mergeCell ref="S7:T7"/>
    <mergeCell ref="V7:W7"/>
    <mergeCell ref="D5:E5"/>
    <mergeCell ref="G5:H5"/>
    <mergeCell ref="J5:K5"/>
    <mergeCell ref="M5:N5"/>
    <mergeCell ref="D66:W66"/>
  </mergeCells>
  <printOptions horizontalCentered="1"/>
  <pageMargins left="0.7" right="0.7" top="0.75" bottom="0.75" header="0.3" footer="0.3"/>
  <pageSetup scale="49" fitToWidth="0" fitToHeight="2" orientation="portrait"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17"/>
  <sheetViews>
    <sheetView tabSelected="1" view="pageBreakPreview" zoomScaleNormal="100" zoomScaleSheetLayoutView="100" workbookViewId="0">
      <selection sqref="A1:H1"/>
    </sheetView>
  </sheetViews>
  <sheetFormatPr defaultColWidth="8.734375" defaultRowHeight="15.6" x14ac:dyDescent="0.6"/>
  <cols>
    <col min="1" max="1" width="3.5234375" style="74" customWidth="1"/>
    <col min="2" max="2" width="19" style="74" customWidth="1"/>
    <col min="3" max="3" width="3.7890625" style="74" customWidth="1"/>
    <col min="4" max="4" width="10.26171875" style="74" bestFit="1" customWidth="1"/>
    <col min="5" max="5" width="3.7890625" style="74" customWidth="1"/>
    <col min="6" max="6" width="10.734375" style="74" customWidth="1"/>
    <col min="7" max="7" width="4" style="74" customWidth="1"/>
    <col min="8" max="8" width="12.26171875" style="74" customWidth="1"/>
    <col min="9" max="16384" width="8.734375" style="184"/>
  </cols>
  <sheetData>
    <row r="1" spans="1:8" x14ac:dyDescent="0.6">
      <c r="A1" s="1383" t="str">
        <f>Input!G28</f>
        <v>Atmos Energy Corporation</v>
      </c>
      <c r="B1" s="1383"/>
      <c r="C1" s="1383"/>
      <c r="D1" s="1383"/>
      <c r="E1" s="1383"/>
      <c r="F1" s="1383"/>
      <c r="G1" s="1383"/>
      <c r="H1" s="1383"/>
    </row>
    <row r="2" spans="1:8" x14ac:dyDescent="0.6">
      <c r="A2" s="1384" t="s">
        <v>2796</v>
      </c>
      <c r="B2" s="1384"/>
      <c r="C2" s="1384"/>
      <c r="D2" s="1384"/>
      <c r="E2" s="1384"/>
      <c r="F2" s="1384"/>
      <c r="G2" s="1384"/>
      <c r="H2" s="1384"/>
    </row>
    <row r="3" spans="1:8" x14ac:dyDescent="0.6">
      <c r="A3" s="1383" t="s">
        <v>2795</v>
      </c>
      <c r="B3" s="1383"/>
      <c r="C3" s="1383"/>
      <c r="D3" s="1383"/>
      <c r="E3" s="1383"/>
      <c r="F3" s="1383"/>
      <c r="G3" s="1383"/>
      <c r="H3" s="1383"/>
    </row>
    <row r="4" spans="1:8" x14ac:dyDescent="0.6">
      <c r="A4" s="69"/>
      <c r="B4" s="69"/>
      <c r="C4" s="69"/>
      <c r="D4" s="69"/>
      <c r="E4" s="69"/>
      <c r="F4" s="69"/>
      <c r="G4" s="69"/>
      <c r="H4" s="69"/>
    </row>
    <row r="5" spans="1:8" x14ac:dyDescent="0.6">
      <c r="A5" s="69"/>
      <c r="B5" s="69"/>
      <c r="C5" s="69"/>
      <c r="D5" s="68"/>
      <c r="E5" s="68"/>
      <c r="F5" s="68"/>
      <c r="G5" s="69"/>
      <c r="H5" s="69"/>
    </row>
    <row r="6" spans="1:8" ht="30.6" x14ac:dyDescent="0.6">
      <c r="A6" s="69"/>
      <c r="B6" s="70" t="s">
        <v>2790</v>
      </c>
      <c r="C6" s="69"/>
      <c r="D6" s="71" t="s">
        <v>2787</v>
      </c>
      <c r="E6" s="68"/>
      <c r="F6" s="71" t="s">
        <v>2789</v>
      </c>
      <c r="G6" s="69"/>
      <c r="H6" s="72" t="s">
        <v>2788</v>
      </c>
    </row>
    <row r="7" spans="1:8" x14ac:dyDescent="0.6">
      <c r="A7" s="69"/>
      <c r="B7" s="69"/>
      <c r="C7" s="69"/>
      <c r="D7" s="69"/>
      <c r="E7" s="69"/>
      <c r="F7" s="69"/>
      <c r="G7" s="69"/>
      <c r="H7" s="69"/>
    </row>
    <row r="8" spans="1:8" x14ac:dyDescent="0.6">
      <c r="A8" s="69"/>
      <c r="B8" s="69" t="s">
        <v>1238</v>
      </c>
      <c r="C8" s="69"/>
      <c r="D8" s="84">
        <f>Input!$F$13</f>
        <v>0.38929999999999998</v>
      </c>
      <c r="E8" s="69"/>
      <c r="F8" s="578">
        <f>Input!F16</f>
        <v>4.1099999999999998E-2</v>
      </c>
      <c r="G8" s="85" t="s">
        <v>1146</v>
      </c>
      <c r="H8" s="84">
        <f>ROUND(F8*D8,4)</f>
        <v>1.6E-2</v>
      </c>
    </row>
    <row r="9" spans="1:8" x14ac:dyDescent="0.6">
      <c r="A9" s="69"/>
      <c r="B9" s="69" t="s">
        <v>1284</v>
      </c>
      <c r="C9" s="69"/>
      <c r="D9" s="84">
        <f>Input!$F$15</f>
        <v>1.9E-3</v>
      </c>
      <c r="E9" s="69"/>
      <c r="F9" s="578">
        <f>Input!F17</f>
        <v>0.1714</v>
      </c>
      <c r="G9" s="85" t="s">
        <v>1146</v>
      </c>
      <c r="H9" s="84">
        <f t="shared" ref="H9:H10" si="0">ROUND(F9*D9,4)</f>
        <v>2.9999999999999997E-4</v>
      </c>
    </row>
    <row r="10" spans="1:8" x14ac:dyDescent="0.6">
      <c r="A10" s="69"/>
      <c r="B10" s="69" t="s">
        <v>1239</v>
      </c>
      <c r="C10" s="69"/>
      <c r="D10" s="84">
        <f>Input!$F$14</f>
        <v>0.60880000000000001</v>
      </c>
      <c r="E10" s="85"/>
      <c r="F10" s="32">
        <f>'1.2 Summary of CE Models'!E24</f>
        <v>0.1095</v>
      </c>
      <c r="G10" s="85" t="s">
        <v>1147</v>
      </c>
      <c r="H10" s="84">
        <f t="shared" si="0"/>
        <v>6.6699999999999995E-2</v>
      </c>
    </row>
    <row r="11" spans="1:8" x14ac:dyDescent="0.6">
      <c r="A11" s="69"/>
      <c r="B11" s="69"/>
      <c r="C11" s="69"/>
      <c r="D11" s="1143"/>
      <c r="E11" s="69"/>
      <c r="F11" s="69"/>
      <c r="G11" s="69"/>
      <c r="H11" s="1144"/>
    </row>
    <row r="12" spans="1:8" ht="15.9" thickBot="1" x14ac:dyDescent="0.65">
      <c r="A12" s="69"/>
      <c r="B12" s="69" t="s">
        <v>1129</v>
      </c>
      <c r="C12" s="69"/>
      <c r="D12" s="86">
        <f>SUM(D8:D10)</f>
        <v>1</v>
      </c>
      <c r="E12" s="69"/>
      <c r="F12" s="69"/>
      <c r="G12" s="69"/>
      <c r="H12" s="86">
        <f>SUM(H8:H10)</f>
        <v>8.299999999999999E-2</v>
      </c>
    </row>
    <row r="13" spans="1:8" ht="15.9" thickTop="1" x14ac:dyDescent="0.6">
      <c r="A13" s="69"/>
      <c r="B13" s="69"/>
      <c r="C13" s="69"/>
      <c r="D13" s="69"/>
      <c r="E13" s="69"/>
      <c r="F13" s="69"/>
      <c r="G13" s="69"/>
      <c r="H13" s="69"/>
    </row>
    <row r="14" spans="1:8" x14ac:dyDescent="0.6">
      <c r="A14" s="69"/>
      <c r="B14" s="69"/>
      <c r="C14" s="69"/>
      <c r="D14" s="69"/>
      <c r="E14" s="69"/>
      <c r="F14" s="69"/>
      <c r="G14" s="69"/>
      <c r="H14" s="69"/>
    </row>
    <row r="15" spans="1:8" x14ac:dyDescent="0.6">
      <c r="A15" s="69" t="s">
        <v>17</v>
      </c>
      <c r="B15" s="69"/>
      <c r="C15" s="69"/>
      <c r="D15" s="69"/>
      <c r="E15" s="69"/>
      <c r="F15" s="69"/>
      <c r="G15" s="69"/>
      <c r="H15" s="69"/>
    </row>
    <row r="16" spans="1:8" x14ac:dyDescent="0.6">
      <c r="A16" s="73" t="s">
        <v>1146</v>
      </c>
      <c r="B16" s="1385" t="s">
        <v>4490</v>
      </c>
      <c r="C16" s="1385"/>
      <c r="D16" s="1385"/>
      <c r="E16" s="1385"/>
      <c r="F16" s="1385"/>
      <c r="G16" s="1385"/>
      <c r="H16" s="1385"/>
    </row>
    <row r="17" spans="1:8" x14ac:dyDescent="0.6">
      <c r="A17" s="73" t="s">
        <v>1147</v>
      </c>
      <c r="B17" s="1385" t="s">
        <v>7105</v>
      </c>
      <c r="C17" s="1385"/>
      <c r="D17" s="1385"/>
      <c r="E17" s="1385"/>
      <c r="F17" s="1385"/>
      <c r="G17" s="1385"/>
      <c r="H17" s="1385"/>
    </row>
  </sheetData>
  <mergeCells count="5">
    <mergeCell ref="A1:H1"/>
    <mergeCell ref="A2:H2"/>
    <mergeCell ref="A3:H3"/>
    <mergeCell ref="B16:H16"/>
    <mergeCell ref="B17:H17"/>
  </mergeCells>
  <printOptions horizontalCentered="1"/>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64BE-DC2C-4DB6-A0DE-B02AB4C6A09E}">
  <sheetPr codeName="Sheet60"/>
  <dimension ref="A1:K62"/>
  <sheetViews>
    <sheetView view="pageBreakPreview" zoomScale="80" zoomScaleNormal="100" zoomScaleSheetLayoutView="80" workbookViewId="0"/>
  </sheetViews>
  <sheetFormatPr defaultColWidth="9" defaultRowHeight="15" x14ac:dyDescent="0.5"/>
  <cols>
    <col min="1" max="1" width="9.7890625" style="110" customWidth="1"/>
    <col min="2" max="2" width="5.26171875" style="110" customWidth="1"/>
    <col min="3" max="3" width="11.26171875" style="110" customWidth="1"/>
    <col min="4" max="4" width="18.5234375" style="110" customWidth="1"/>
    <col min="5" max="5" width="3.26171875" style="110" customWidth="1"/>
    <col min="6" max="6" width="17.734375" style="110" customWidth="1"/>
    <col min="7" max="7" width="4" style="110" customWidth="1"/>
    <col min="8" max="8" width="16.26171875" style="110" customWidth="1"/>
    <col min="9" max="9" width="3.26171875" style="110" bestFit="1" customWidth="1"/>
    <col min="10" max="10" width="19.26171875" style="110" customWidth="1"/>
    <col min="11" max="11" width="3.26171875" style="110" bestFit="1" customWidth="1"/>
    <col min="12" max="16384" width="9" style="110"/>
  </cols>
  <sheetData>
    <row r="1" spans="1:11" x14ac:dyDescent="0.5">
      <c r="A1" s="420" t="str">
        <f>Input!G28</f>
        <v>Atmos Energy Corporation</v>
      </c>
      <c r="B1" s="420"/>
      <c r="C1" s="420"/>
      <c r="D1" s="420"/>
      <c r="E1" s="420"/>
      <c r="F1" s="420"/>
      <c r="G1" s="420"/>
      <c r="H1" s="420"/>
      <c r="I1" s="420"/>
      <c r="J1" s="420"/>
      <c r="K1" s="420"/>
    </row>
    <row r="2" spans="1:11" x14ac:dyDescent="0.5">
      <c r="A2" s="420" t="s">
        <v>1223</v>
      </c>
      <c r="B2" s="420"/>
      <c r="C2" s="420"/>
      <c r="D2" s="420"/>
      <c r="E2" s="420"/>
      <c r="F2" s="420"/>
      <c r="G2" s="420"/>
      <c r="H2" s="420"/>
      <c r="I2" s="420"/>
      <c r="J2" s="420"/>
      <c r="K2" s="420"/>
    </row>
    <row r="3" spans="1:11" x14ac:dyDescent="0.5">
      <c r="A3" s="420" t="s">
        <v>1224</v>
      </c>
      <c r="B3" s="420"/>
      <c r="C3" s="420"/>
      <c r="D3" s="420"/>
      <c r="E3" s="420"/>
      <c r="F3" s="420"/>
      <c r="G3" s="420"/>
      <c r="H3" s="420"/>
      <c r="I3" s="420"/>
      <c r="J3" s="420"/>
      <c r="K3" s="420"/>
    </row>
    <row r="4" spans="1:11" x14ac:dyDescent="0.5">
      <c r="A4" s="283" t="s">
        <v>1225</v>
      </c>
      <c r="B4" s="283"/>
      <c r="C4" s="283"/>
      <c r="D4" s="283"/>
      <c r="E4" s="283"/>
      <c r="F4" s="283"/>
      <c r="G4" s="283"/>
      <c r="H4" s="283"/>
      <c r="I4" s="283"/>
      <c r="J4" s="420"/>
      <c r="K4" s="420"/>
    </row>
    <row r="6" spans="1:11" ht="76.5" customHeight="1" x14ac:dyDescent="0.5">
      <c r="A6" s="421" t="s">
        <v>1144</v>
      </c>
      <c r="B6" s="421"/>
      <c r="H6" s="1393" t="str">
        <f>CONCATENATE(Input!$I$34)</f>
        <v>Proxy Group of Forty-Nine Non-Price Regulated Companies</v>
      </c>
      <c r="I6" s="1393"/>
      <c r="J6" s="422" t="str">
        <f>H6&amp;" (excl. PRPM)"</f>
        <v>Proxy Group of Forty-Nine Non-Price Regulated Companies (excl. PRPM)</v>
      </c>
      <c r="K6" s="422"/>
    </row>
    <row r="7" spans="1:11" x14ac:dyDescent="0.5">
      <c r="A7" s="109"/>
      <c r="B7" s="109"/>
    </row>
    <row r="8" spans="1:11" x14ac:dyDescent="0.5">
      <c r="A8" s="109" t="s">
        <v>1145</v>
      </c>
      <c r="B8" s="109"/>
      <c r="C8" s="110" t="s">
        <v>2585</v>
      </c>
    </row>
    <row r="9" spans="1:11" x14ac:dyDescent="0.5">
      <c r="A9" s="109"/>
      <c r="B9" s="109"/>
      <c r="C9" s="110" t="s">
        <v>1227</v>
      </c>
      <c r="H9" s="29">
        <f>$H$33</f>
        <v>6.14</v>
      </c>
      <c r="I9" s="111" t="s">
        <v>1090</v>
      </c>
      <c r="J9" s="431">
        <f>H9</f>
        <v>6.14</v>
      </c>
    </row>
    <row r="10" spans="1:11" x14ac:dyDescent="0.5">
      <c r="A10" s="109"/>
      <c r="B10" s="109"/>
      <c r="H10" s="29"/>
      <c r="I10" s="111"/>
    </row>
    <row r="11" spans="1:11" ht="17.649999999999999" customHeight="1" x14ac:dyDescent="0.5">
      <c r="A11" s="423" t="s">
        <v>1148</v>
      </c>
      <c r="B11" s="109"/>
      <c r="C11" s="613" t="s">
        <v>2586</v>
      </c>
      <c r="D11" s="666"/>
      <c r="E11" s="666"/>
      <c r="F11" s="666"/>
      <c r="H11" s="29"/>
      <c r="I11" s="111"/>
    </row>
    <row r="12" spans="1:11" x14ac:dyDescent="0.5">
      <c r="A12" s="109"/>
      <c r="B12" s="109"/>
      <c r="C12" s="110" t="s">
        <v>2587</v>
      </c>
      <c r="H12" s="87">
        <f>-H44</f>
        <v>-0.13833333333333334</v>
      </c>
      <c r="I12" s="111"/>
      <c r="J12" s="87">
        <f>H12</f>
        <v>-0.13833333333333334</v>
      </c>
    </row>
    <row r="13" spans="1:11" x14ac:dyDescent="0.5">
      <c r="A13" s="109"/>
      <c r="B13" s="109"/>
      <c r="C13" s="110" t="s">
        <v>2620</v>
      </c>
      <c r="H13" s="29"/>
      <c r="I13" s="111"/>
      <c r="J13" s="29"/>
    </row>
    <row r="14" spans="1:11" x14ac:dyDescent="0.5">
      <c r="A14" s="109"/>
      <c r="B14" s="109"/>
      <c r="H14" s="29"/>
      <c r="I14" s="111"/>
      <c r="J14" s="29"/>
    </row>
    <row r="15" spans="1:11" x14ac:dyDescent="0.5">
      <c r="A15" s="423" t="s">
        <v>1150</v>
      </c>
      <c r="B15" s="109"/>
      <c r="C15" s="110" t="s">
        <v>2606</v>
      </c>
      <c r="H15" s="29">
        <f>SUM(H9:H12)</f>
        <v>6.001666666666666</v>
      </c>
      <c r="I15" s="111"/>
      <c r="J15" s="29">
        <f>H15</f>
        <v>6.001666666666666</v>
      </c>
    </row>
    <row r="16" spans="1:11" x14ac:dyDescent="0.5">
      <c r="A16" s="109"/>
      <c r="B16" s="109"/>
      <c r="H16" s="29"/>
      <c r="I16" s="111"/>
      <c r="J16" s="29"/>
    </row>
    <row r="17" spans="1:11" x14ac:dyDescent="0.5">
      <c r="A17" s="423" t="s">
        <v>1152</v>
      </c>
      <c r="B17" s="109"/>
      <c r="C17" s="110" t="s">
        <v>2621</v>
      </c>
      <c r="H17" s="87">
        <f>'1.30 CEM Beta Adjusted RP'!E23</f>
        <v>6.37</v>
      </c>
      <c r="I17" s="633"/>
      <c r="J17" s="87">
        <f>'1.30 CEM Beta Adjusted RP'!G23</f>
        <v>6.33</v>
      </c>
    </row>
    <row r="18" spans="1:11" x14ac:dyDescent="0.5">
      <c r="A18" s="432"/>
      <c r="B18" s="109"/>
      <c r="H18" s="633"/>
      <c r="I18" s="633"/>
    </row>
    <row r="19" spans="1:11" x14ac:dyDescent="0.5">
      <c r="A19" s="423" t="s">
        <v>1154</v>
      </c>
      <c r="B19" s="109"/>
      <c r="C19" s="110" t="s">
        <v>1236</v>
      </c>
      <c r="H19" s="633"/>
      <c r="I19" s="633"/>
    </row>
    <row r="20" spans="1:11" ht="15.3" thickBot="1" x14ac:dyDescent="0.55000000000000004">
      <c r="A20" s="109"/>
      <c r="B20" s="109"/>
      <c r="C20" s="110" t="s">
        <v>1237</v>
      </c>
      <c r="H20" s="88">
        <f>SUM(H15:H17)</f>
        <v>12.371666666666666</v>
      </c>
      <c r="I20" s="633" t="s">
        <v>1090</v>
      </c>
      <c r="J20" s="88">
        <f>SUM(J15:J17)</f>
        <v>12.331666666666667</v>
      </c>
    </row>
    <row r="21" spans="1:11" ht="15.3" thickTop="1" x14ac:dyDescent="0.5">
      <c r="A21" s="109"/>
      <c r="B21" s="109"/>
    </row>
    <row r="22" spans="1:11" ht="48" customHeight="1" x14ac:dyDescent="0.5">
      <c r="A22" s="610" t="s">
        <v>1159</v>
      </c>
      <c r="B22" s="136" t="s">
        <v>1146</v>
      </c>
      <c r="C22" s="1401" t="str">
        <f>CONCATENATE("Average forecast of Baa corporate bonds based upon the consensus of nearly 50 economists reported in Blue Chip Financial Forecasts dated ",Input!I25," (see pages 17 and 18 of this ", Input!I49, " ", ").  The estimates are detailed below.")</f>
        <v>Average forecast of Baa corporate bonds based upon the consensus of nearly 50 economists reported in Blue Chip Financial Forecasts dated November 27, 2024 and January 31, 2025 (see pages 17 and 18 of this Exhibit ).  The estimates are detailed below.</v>
      </c>
      <c r="D22" s="1401"/>
      <c r="E22" s="1401"/>
      <c r="F22" s="1401"/>
      <c r="G22" s="1401"/>
      <c r="H22" s="1401"/>
      <c r="I22" s="1401"/>
      <c r="J22" s="1401"/>
      <c r="K22" s="1401"/>
    </row>
    <row r="23" spans="1:11" ht="15.75" customHeight="1" x14ac:dyDescent="0.5">
      <c r="A23" s="610"/>
      <c r="B23" s="136"/>
      <c r="C23" s="435"/>
      <c r="D23" s="435"/>
      <c r="E23" s="435"/>
      <c r="F23" s="435"/>
      <c r="G23" s="435"/>
      <c r="H23" s="435"/>
      <c r="I23" s="435"/>
    </row>
    <row r="24" spans="1:11" x14ac:dyDescent="0.5">
      <c r="A24" s="610"/>
      <c r="B24" s="136"/>
      <c r="C24" s="459"/>
      <c r="E24" s="459" t="str">
        <f>'MRP WP1'!B41</f>
        <v>First Quarter 2025</v>
      </c>
      <c r="F24" s="426"/>
      <c r="H24" s="426">
        <f>'MRP WP1'!D26</f>
        <v>6.2</v>
      </c>
      <c r="I24" s="426" t="s">
        <v>1090</v>
      </c>
    </row>
    <row r="25" spans="1:11" x14ac:dyDescent="0.5">
      <c r="A25" s="610"/>
      <c r="B25" s="136"/>
      <c r="C25" s="459"/>
      <c r="E25" s="459" t="str">
        <f>'MRP WP1'!B42</f>
        <v>Second Quarter 2025</v>
      </c>
      <c r="F25" s="426"/>
      <c r="H25" s="426">
        <f>'MRP WP1'!D27</f>
        <v>6.2</v>
      </c>
      <c r="I25" s="426"/>
    </row>
    <row r="26" spans="1:11" x14ac:dyDescent="0.5">
      <c r="A26" s="610"/>
      <c r="B26" s="136"/>
      <c r="C26" s="459"/>
      <c r="E26" s="459" t="str">
        <f>'MRP WP1'!B43</f>
        <v>Third Quarter 2025</v>
      </c>
      <c r="F26" s="426"/>
      <c r="H26" s="426">
        <f>'MRP WP1'!D28</f>
        <v>6.2</v>
      </c>
      <c r="I26" s="426"/>
    </row>
    <row r="27" spans="1:11" x14ac:dyDescent="0.5">
      <c r="A27" s="610"/>
      <c r="B27" s="136"/>
      <c r="C27" s="459"/>
      <c r="E27" s="459" t="str">
        <f>'MRP WP1'!B44</f>
        <v>Fourth Quarter 2025</v>
      </c>
      <c r="F27" s="426"/>
      <c r="H27" s="426">
        <f>'MRP WP1'!D29</f>
        <v>6.2</v>
      </c>
      <c r="I27" s="426"/>
    </row>
    <row r="28" spans="1:11" x14ac:dyDescent="0.5">
      <c r="A28" s="610"/>
      <c r="B28" s="136"/>
      <c r="C28" s="459"/>
      <c r="E28" s="459" t="str">
        <f>'MRP WP1'!B45</f>
        <v>First Quarter 2026</v>
      </c>
      <c r="F28" s="426"/>
      <c r="H28" s="426">
        <f>'MRP WP1'!D30</f>
        <v>6.2</v>
      </c>
      <c r="I28" s="426"/>
    </row>
    <row r="29" spans="1:11" x14ac:dyDescent="0.5">
      <c r="A29" s="610"/>
      <c r="B29" s="136"/>
      <c r="C29" s="459"/>
      <c r="E29" s="459" t="str">
        <f>'MRP WP1'!B46</f>
        <v>Second Quarter 2026</v>
      </c>
      <c r="F29" s="426"/>
      <c r="H29" s="426">
        <f>'MRP WP1'!D31</f>
        <v>6.2</v>
      </c>
      <c r="I29" s="426"/>
    </row>
    <row r="30" spans="1:11" x14ac:dyDescent="0.5">
      <c r="A30" s="610"/>
      <c r="B30" s="136"/>
      <c r="C30" s="459"/>
      <c r="E30" s="459" t="str">
        <f>'MRP WP1'!B47</f>
        <v>2026-2030</v>
      </c>
      <c r="F30" s="426"/>
      <c r="H30" s="426">
        <f>'MRP WP1'!D32</f>
        <v>6</v>
      </c>
      <c r="I30" s="426"/>
    </row>
    <row r="31" spans="1:11" x14ac:dyDescent="0.5">
      <c r="A31" s="610"/>
      <c r="B31" s="136"/>
      <c r="C31" s="459"/>
      <c r="E31" s="459" t="str">
        <f>'MRP WP1'!B48</f>
        <v>2031-2035</v>
      </c>
      <c r="F31" s="426"/>
      <c r="H31" s="429">
        <f>'MRP WP1'!D33</f>
        <v>5.9</v>
      </c>
      <c r="I31" s="426"/>
    </row>
    <row r="32" spans="1:11" ht="15" customHeight="1" x14ac:dyDescent="0.5">
      <c r="A32" s="610"/>
      <c r="B32" s="136"/>
      <c r="C32" s="426"/>
      <c r="E32" s="426"/>
      <c r="F32" s="426"/>
      <c r="H32" s="426"/>
      <c r="I32" s="426"/>
    </row>
    <row r="33" spans="1:11" ht="15" customHeight="1" thickBot="1" x14ac:dyDescent="0.55000000000000004">
      <c r="A33" s="610"/>
      <c r="B33" s="136"/>
      <c r="C33" s="436"/>
      <c r="E33" s="436" t="s">
        <v>1082</v>
      </c>
      <c r="F33" s="426"/>
      <c r="H33" s="433">
        <f>ROUND(AVERAGE(H24:H31),2)</f>
        <v>6.14</v>
      </c>
      <c r="I33" s="426" t="s">
        <v>1090</v>
      </c>
    </row>
    <row r="34" spans="1:11" ht="15" customHeight="1" thickTop="1" x14ac:dyDescent="0.5">
      <c r="A34" s="610"/>
      <c r="B34" s="136"/>
      <c r="C34" s="436"/>
      <c r="E34" s="436"/>
      <c r="F34" s="426"/>
      <c r="G34" s="436"/>
      <c r="H34" s="426"/>
    </row>
    <row r="35" spans="1:11" ht="15" customHeight="1" x14ac:dyDescent="0.5">
      <c r="A35" s="610"/>
      <c r="B35" s="635" t="s">
        <v>1147</v>
      </c>
      <c r="C35" s="1401" t="str" cm="1">
        <f t="array" ref="C35">_xlfn.IFS(D61 = "Baa2", "No adjustment to the spread between A2 and Baa2 corporate bonds is necessary due to the proxy group's Baa2 rating.", D61 = "A2", "The full spread between A2 and Baa2 corporate bonds is used due to the proxy group's A2 rating.", TRUE, CONCATENATE("The average yield spread of Baa2 rated corporate bonds over A2 corporate bonds for the three months ending ", TEXT(C40,"mmmm yyyy"), ". To reflect the ", IFERROR('1.29 CEM RPM Bond Ratings'!D60, "NA"), " average rating of the Non-Price Regulated Proxy Group, the yield on the Baa corporate bond must be adjusted by ", TEXT(D62, "# ?/?"), " of the spread between A2 and Baa2 corporate bond yields as shown below:") )</f>
        <v>The average yield spread of Baa2 rated corporate bonds over A2 corporate bonds for the three months ending January 2025. To reflect the A3/Baa1 average rating of the Non-Price Regulated Proxy Group, the yield on the Baa corporate bond must be adjusted by  1/2 of the spread between A2 and Baa2 corporate bond yields as shown below:</v>
      </c>
      <c r="D35" s="1401"/>
      <c r="E35" s="1401"/>
      <c r="F35" s="1401"/>
      <c r="G35" s="1401"/>
      <c r="H35" s="1401"/>
      <c r="I35" s="1401"/>
      <c r="J35" s="1401"/>
      <c r="K35" s="1401"/>
    </row>
    <row r="36" spans="1:11" ht="15" customHeight="1" x14ac:dyDescent="0.5">
      <c r="A36" s="610"/>
      <c r="B36" s="136"/>
      <c r="C36" s="1401"/>
      <c r="D36" s="1401"/>
      <c r="E36" s="1401"/>
      <c r="F36" s="1401"/>
      <c r="G36" s="1401"/>
      <c r="H36" s="1401"/>
      <c r="I36" s="1401"/>
      <c r="J36" s="1401"/>
      <c r="K36" s="1401"/>
    </row>
    <row r="37" spans="1:11" ht="35.25" customHeight="1" x14ac:dyDescent="0.5">
      <c r="A37" s="610"/>
      <c r="B37" s="136"/>
      <c r="C37" s="1401"/>
      <c r="D37" s="1401"/>
      <c r="E37" s="1401"/>
      <c r="F37" s="1401"/>
      <c r="G37" s="1401"/>
      <c r="H37" s="1401"/>
      <c r="I37" s="1401"/>
      <c r="J37" s="1401"/>
      <c r="K37" s="1401"/>
    </row>
    <row r="38" spans="1:11" ht="12.4" customHeight="1" x14ac:dyDescent="0.5">
      <c r="A38" s="610"/>
      <c r="B38" s="136"/>
      <c r="C38" s="435"/>
      <c r="D38" s="435"/>
      <c r="E38" s="435"/>
      <c r="F38" s="435"/>
      <c r="G38" s="435"/>
      <c r="H38" s="435"/>
      <c r="I38" s="435"/>
    </row>
    <row r="39" spans="1:11" ht="33" customHeight="1" x14ac:dyDescent="0.5">
      <c r="A39" s="610"/>
      <c r="C39" s="136"/>
      <c r="D39" s="1393" t="s">
        <v>2588</v>
      </c>
      <c r="E39" s="1393"/>
      <c r="F39" s="1419" t="s">
        <v>2589</v>
      </c>
      <c r="G39" s="1419"/>
      <c r="H39" s="186" t="s">
        <v>2590</v>
      </c>
    </row>
    <row r="40" spans="1:11" x14ac:dyDescent="0.5">
      <c r="A40" s="610"/>
      <c r="C40" s="667">
        <f>'MRP WP1'!$C$54</f>
        <v>45688</v>
      </c>
      <c r="D40" s="668">
        <f>'MRP WP1'!C60</f>
        <v>5.81</v>
      </c>
      <c r="E40" s="430" t="s">
        <v>1090</v>
      </c>
      <c r="F40" s="426">
        <f>'MRP WP1'!C61</f>
        <v>6.09</v>
      </c>
      <c r="G40" s="430" t="s">
        <v>1090</v>
      </c>
      <c r="H40" s="669">
        <f>F40-D40</f>
        <v>0.28000000000000025</v>
      </c>
      <c r="I40" s="137" t="s">
        <v>1090</v>
      </c>
    </row>
    <row r="41" spans="1:11" x14ac:dyDescent="0.5">
      <c r="A41" s="610"/>
      <c r="C41" s="667">
        <f>'MRP WP1'!$D$54</f>
        <v>45657</v>
      </c>
      <c r="D41" s="668">
        <f>'MRP WP1'!D60</f>
        <v>5.53</v>
      </c>
      <c r="E41" s="436"/>
      <c r="F41" s="426">
        <f>'MRP WP1'!D61</f>
        <v>5.8</v>
      </c>
      <c r="G41" s="436"/>
      <c r="H41" s="669">
        <f>F41-D41</f>
        <v>0.26999999999999957</v>
      </c>
    </row>
    <row r="42" spans="1:11" x14ac:dyDescent="0.5">
      <c r="A42" s="610"/>
      <c r="C42" s="667">
        <f>'MRP WP1'!$E$54</f>
        <v>45625</v>
      </c>
      <c r="D42" s="668">
        <f>'MRP WP1'!E60</f>
        <v>5.5</v>
      </c>
      <c r="E42" s="436"/>
      <c r="F42" s="426">
        <f>'MRP WP1'!E61</f>
        <v>5.78</v>
      </c>
      <c r="G42" s="436"/>
      <c r="H42" s="669">
        <f>F42-D42</f>
        <v>0.28000000000000025</v>
      </c>
    </row>
    <row r="43" spans="1:11" x14ac:dyDescent="0.5">
      <c r="A43" s="610"/>
      <c r="C43" s="136"/>
      <c r="E43" s="436"/>
      <c r="F43" s="426"/>
      <c r="G43" s="436" t="s">
        <v>2591</v>
      </c>
      <c r="H43" s="248">
        <f>AVERAGE(H40:H42)</f>
        <v>0.27666666666666667</v>
      </c>
    </row>
    <row r="44" spans="1:11" ht="15.3" thickBot="1" x14ac:dyDescent="0.55000000000000004">
      <c r="A44" s="610"/>
      <c r="C44" s="136"/>
      <c r="E44" s="436"/>
      <c r="F44" s="426"/>
      <c r="G44" s="436" t="str">
        <f>CONCATENATE(TEXT(D62, "# ?/?"), " of spread")</f>
        <v xml:space="preserve"> 1/2 of spread</v>
      </c>
      <c r="H44" s="249">
        <f>H43*(D62)</f>
        <v>0.13833333333333334</v>
      </c>
    </row>
    <row r="45" spans="1:11" ht="15.3" thickTop="1" x14ac:dyDescent="0.5">
      <c r="A45" s="610"/>
      <c r="B45" s="136"/>
      <c r="C45" s="436"/>
      <c r="E45" s="436"/>
      <c r="F45" s="426"/>
      <c r="G45" s="436"/>
    </row>
    <row r="46" spans="1:11" x14ac:dyDescent="0.5">
      <c r="A46" s="610"/>
      <c r="B46" s="635" t="s">
        <v>1149</v>
      </c>
      <c r="C46" s="1401" t="s">
        <v>7115</v>
      </c>
      <c r="D46" s="1401"/>
      <c r="E46" s="1401"/>
      <c r="F46" s="1401"/>
      <c r="G46" s="1401"/>
      <c r="H46" s="1401"/>
      <c r="I46" s="426"/>
    </row>
    <row r="47" spans="1:11" ht="15.75" customHeight="1" x14ac:dyDescent="0.5"/>
    <row r="52" spans="3:4" ht="30" x14ac:dyDescent="0.5">
      <c r="C52" s="636" t="s">
        <v>2813</v>
      </c>
      <c r="D52" s="636" t="s">
        <v>2814</v>
      </c>
    </row>
    <row r="53" spans="3:4" x14ac:dyDescent="0.5">
      <c r="C53" s="110" t="s">
        <v>102</v>
      </c>
      <c r="D53" s="637">
        <v>0</v>
      </c>
    </row>
    <row r="54" spans="3:4" x14ac:dyDescent="0.5">
      <c r="C54" s="110" t="s">
        <v>2652</v>
      </c>
      <c r="D54" s="638">
        <f>(1/6)</f>
        <v>0.16666666666666666</v>
      </c>
    </row>
    <row r="55" spans="3:4" x14ac:dyDescent="0.5">
      <c r="C55" s="110" t="s">
        <v>88</v>
      </c>
      <c r="D55" s="638">
        <v>0.33333333333333331</v>
      </c>
    </row>
    <row r="56" spans="3:4" x14ac:dyDescent="0.5">
      <c r="C56" s="110" t="s">
        <v>2651</v>
      </c>
      <c r="D56" s="638">
        <v>0.5</v>
      </c>
    </row>
    <row r="57" spans="3:4" x14ac:dyDescent="0.5">
      <c r="C57" s="110" t="s">
        <v>85</v>
      </c>
      <c r="D57" s="638">
        <v>0.66666666666666663</v>
      </c>
    </row>
    <row r="58" spans="3:4" x14ac:dyDescent="0.5">
      <c r="C58" s="110" t="s">
        <v>1207</v>
      </c>
      <c r="D58" s="638">
        <v>0.83333333333333337</v>
      </c>
    </row>
    <row r="59" spans="3:4" x14ac:dyDescent="0.5">
      <c r="C59" s="110" t="s">
        <v>83</v>
      </c>
      <c r="D59" s="637">
        <v>1</v>
      </c>
    </row>
    <row r="61" spans="3:4" x14ac:dyDescent="0.5">
      <c r="C61" s="110" t="s">
        <v>2815</v>
      </c>
      <c r="D61" s="109" t="str">
        <f>'1.29 CEM RPM Bond Ratings'!D60</f>
        <v>A3/Baa1</v>
      </c>
    </row>
    <row r="62" spans="3:4" ht="30" x14ac:dyDescent="0.5">
      <c r="C62" s="614" t="s">
        <v>2814</v>
      </c>
      <c r="D62" s="638">
        <f>VLOOKUP(D61,C53:E59, 2, FALSE)</f>
        <v>0.5</v>
      </c>
    </row>
  </sheetData>
  <mergeCells count="6">
    <mergeCell ref="C46:H46"/>
    <mergeCell ref="H6:I6"/>
    <mergeCell ref="D39:E39"/>
    <mergeCell ref="F39:G39"/>
    <mergeCell ref="C35:K37"/>
    <mergeCell ref="C22:K22"/>
  </mergeCells>
  <printOptions horizontalCentered="1"/>
  <pageMargins left="0.7" right="0.7" top="0.75" bottom="0.75" header="0.3" footer="0.3"/>
  <pageSetup scale="67"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F99C3-FDE2-4FC2-82EB-D88AEBDAE661}">
  <sheetPr codeName="Sheet611"/>
  <dimension ref="A1:AK101"/>
  <sheetViews>
    <sheetView view="pageBreakPreview" zoomScale="80" zoomScaleNormal="100" zoomScaleSheetLayoutView="80" workbookViewId="0"/>
  </sheetViews>
  <sheetFormatPr defaultColWidth="9" defaultRowHeight="15" x14ac:dyDescent="0.5"/>
  <cols>
    <col min="1" max="1" width="9" style="60"/>
    <col min="2" max="2" width="53.26171875" style="60" customWidth="1"/>
    <col min="3" max="3" width="3.734375" style="60" customWidth="1"/>
    <col min="4" max="4" width="16.7890625" style="60" customWidth="1"/>
    <col min="5" max="5" width="3.5234375" style="60" customWidth="1"/>
    <col min="6" max="6" width="18.5234375" style="60" customWidth="1"/>
    <col min="7" max="7" width="3.734375" style="60" customWidth="1"/>
    <col min="8" max="8" width="16.7890625" style="60" customWidth="1"/>
    <col min="9" max="9" width="3.734375" style="60" customWidth="1"/>
    <col min="10" max="10" width="18.5234375" style="60" customWidth="1"/>
    <col min="11" max="14" width="9" style="60"/>
    <col min="15" max="15" width="13.734375" style="60" customWidth="1"/>
    <col min="16" max="16" width="12.47265625" style="60" customWidth="1"/>
    <col min="17" max="17" width="13.7890625" style="60" customWidth="1"/>
    <col min="18" max="18" width="14" style="60" customWidth="1"/>
    <col min="19" max="16384" width="9" style="60"/>
  </cols>
  <sheetData>
    <row r="1" spans="1:37" x14ac:dyDescent="0.5">
      <c r="B1" s="113" t="str">
        <f>Input!G28</f>
        <v>Atmos Energy Corporation</v>
      </c>
      <c r="C1" s="114"/>
      <c r="D1" s="114"/>
      <c r="E1" s="114"/>
      <c r="F1" s="114"/>
      <c r="G1" s="114"/>
      <c r="H1" s="114"/>
      <c r="I1" s="114"/>
      <c r="J1" s="114"/>
    </row>
    <row r="2" spans="1:37" x14ac:dyDescent="0.5">
      <c r="B2" s="114" t="s">
        <v>2592</v>
      </c>
      <c r="C2" s="114"/>
      <c r="D2" s="114"/>
      <c r="E2" s="114"/>
      <c r="F2" s="114"/>
      <c r="G2" s="114"/>
      <c r="H2" s="114"/>
      <c r="I2" s="114"/>
      <c r="J2" s="114"/>
    </row>
    <row r="3" spans="1:37" x14ac:dyDescent="0.5">
      <c r="B3" s="113" t="str">
        <f>CONCATENATE(Input!I34)</f>
        <v>Proxy Group of Forty-Nine Non-Price Regulated Companies</v>
      </c>
      <c r="C3" s="114"/>
      <c r="D3" s="114"/>
      <c r="E3" s="114"/>
      <c r="F3" s="114"/>
      <c r="G3" s="114"/>
      <c r="H3" s="114"/>
      <c r="I3" s="114"/>
      <c r="J3" s="114"/>
    </row>
    <row r="4" spans="1:37" x14ac:dyDescent="0.5">
      <c r="B4" s="114"/>
      <c r="C4" s="114"/>
      <c r="D4" s="114"/>
      <c r="E4" s="114"/>
      <c r="F4" s="114"/>
      <c r="G4" s="114"/>
      <c r="H4" s="114"/>
      <c r="I4" s="114"/>
      <c r="J4" s="114"/>
    </row>
    <row r="5" spans="1:37" x14ac:dyDescent="0.5">
      <c r="D5" s="114" t="s">
        <v>81</v>
      </c>
      <c r="E5" s="114"/>
      <c r="F5" s="114"/>
      <c r="H5" s="114" t="s">
        <v>1203</v>
      </c>
      <c r="I5" s="114"/>
      <c r="J5" s="114"/>
    </row>
    <row r="6" spans="1:37" x14ac:dyDescent="0.5">
      <c r="D6" s="114" t="s">
        <v>1204</v>
      </c>
      <c r="E6" s="114"/>
      <c r="F6" s="114"/>
      <c r="H6" s="114" t="str">
        <f>D6</f>
        <v>Long-Term Issuer Rating</v>
      </c>
      <c r="I6" s="114"/>
      <c r="J6" s="114"/>
    </row>
    <row r="7" spans="1:37" x14ac:dyDescent="0.5">
      <c r="D7" s="659" t="str">
        <f>TEXT(Input!$E$2, "mmmm yyyy")</f>
        <v>January 2025</v>
      </c>
      <c r="E7" s="660"/>
      <c r="F7" s="660"/>
      <c r="H7" s="659" t="str">
        <f>D7</f>
        <v>January 2025</v>
      </c>
      <c r="I7" s="660"/>
      <c r="J7" s="660"/>
    </row>
    <row r="8" spans="1:37" ht="30" x14ac:dyDescent="0.5">
      <c r="B8" s="451" t="str">
        <f>Input!I34</f>
        <v>Proxy Group of Forty-Nine Non-Price Regulated Companies</v>
      </c>
      <c r="D8" s="123" t="s">
        <v>1204</v>
      </c>
      <c r="F8" s="123" t="s">
        <v>2593</v>
      </c>
      <c r="H8" s="123" t="str">
        <f>D8</f>
        <v>Long-Term Issuer Rating</v>
      </c>
      <c r="J8" s="123" t="s">
        <v>2593</v>
      </c>
    </row>
    <row r="10" spans="1:37" ht="15.75" customHeight="1" x14ac:dyDescent="0.5">
      <c r="A10" s="60" t="str">
        <f>Input!C2</f>
        <v>ABT</v>
      </c>
      <c r="B10" s="460" t="str">
        <f>VLOOKUP($A10, 'CEM Data Lookup'!$A:$P,2,FALSE)</f>
        <v xml:space="preserve">Abbott Labs.        </v>
      </c>
      <c r="D10" s="661" t="str">
        <f>VLOOKUP($A10,'CEM Data Lookup'!$A:$P,15,FALSE)</f>
        <v>Aa3</v>
      </c>
      <c r="E10" s="59"/>
      <c r="F10" s="662">
        <f>IFERROR(VLOOKUP(D10,'1.14 MOODY_S&amp;P numbericl_assign'!B$6:$D$26,3,FALSE),"--")</f>
        <v>4</v>
      </c>
      <c r="G10" s="59"/>
      <c r="H10" s="661" t="str">
        <f>VLOOKUP($A10,'CEM Data Lookup'!$A:$P,16,FALSE)</f>
        <v>AA-</v>
      </c>
      <c r="I10" s="59"/>
      <c r="J10" s="662">
        <f>IFERROR(VLOOKUP(H10,'1.14 MOODY_S&amp;P numbericl_assign'!F$6:$H$26, 3, FALSE),"--")</f>
        <v>4</v>
      </c>
      <c r="L10" s="663"/>
      <c r="M10" s="663"/>
    </row>
    <row r="11" spans="1:37" ht="15.75" customHeight="1" x14ac:dyDescent="0.5">
      <c r="A11" s="60" t="str">
        <f>Input!C3</f>
        <v>ABBV</v>
      </c>
      <c r="B11" s="460" t="str">
        <f>VLOOKUP($A11, 'CEM Data Lookup'!$A:$P,2,FALSE)</f>
        <v xml:space="preserve">AbbVie Inc.         </v>
      </c>
      <c r="D11" s="661" t="str">
        <f>VLOOKUP($A11,'CEM Data Lookup'!$A:$P,15,FALSE)</f>
        <v>A3</v>
      </c>
      <c r="E11" s="59"/>
      <c r="F11" s="662">
        <f>IFERROR(VLOOKUP(D11,'1.14 MOODY_S&amp;P numbericl_assign'!B$6:$D$26,3,FALSE),"--")</f>
        <v>7</v>
      </c>
      <c r="G11" s="59"/>
      <c r="H11" s="661" t="str">
        <f>VLOOKUP($A11,'CEM Data Lookup'!$A:$P,16,FALSE)</f>
        <v>A-</v>
      </c>
      <c r="I11" s="59"/>
      <c r="J11" s="662">
        <f>IFERROR(VLOOKUP(H11,'1.14 MOODY_S&amp;P numbericl_assign'!F$6:$H$26, 3, FALSE),"--")</f>
        <v>7</v>
      </c>
      <c r="L11" s="663"/>
      <c r="M11" s="663"/>
    </row>
    <row r="12" spans="1:37" ht="15.75" customHeight="1" x14ac:dyDescent="0.5">
      <c r="A12" s="60" t="str">
        <f>Input!C4</f>
        <v>APD</v>
      </c>
      <c r="B12" s="460" t="str">
        <f>VLOOKUP($A12, 'CEM Data Lookup'!$A:$P,2,FALSE)</f>
        <v>Air Products &amp; Chem.</v>
      </c>
      <c r="D12" s="661" t="str">
        <f>VLOOKUP($A12,'CEM Data Lookup'!$A:$P,15,FALSE)</f>
        <v>A2</v>
      </c>
      <c r="E12" s="59"/>
      <c r="F12" s="662">
        <f>IFERROR(VLOOKUP(D12,'1.14 MOODY_S&amp;P numbericl_assign'!B$6:$D$26,3,FALSE),"--")</f>
        <v>6</v>
      </c>
      <c r="G12" s="59"/>
      <c r="H12" s="661" t="str">
        <f>VLOOKUP($A12,'CEM Data Lookup'!$A:$P,16,FALSE)</f>
        <v>A</v>
      </c>
      <c r="I12" s="59"/>
      <c r="J12" s="662">
        <f>IFERROR(VLOOKUP(H12,'1.14 MOODY_S&amp;P numbericl_assign'!F$6:$H$26, 3, FALSE),"--")</f>
        <v>6</v>
      </c>
      <c r="L12" s="663"/>
      <c r="M12" s="663"/>
      <c r="AE12" s="454"/>
      <c r="AG12" s="454"/>
      <c r="AI12" s="454"/>
      <c r="AK12" s="454"/>
    </row>
    <row r="13" spans="1:37" ht="15.75" customHeight="1" x14ac:dyDescent="0.5">
      <c r="A13" s="60" t="str">
        <f>Input!C5</f>
        <v>GOOG</v>
      </c>
      <c r="B13" s="460" t="str">
        <f>VLOOKUP($A13, 'CEM Data Lookup'!$A:$P,2,FALSE)</f>
        <v xml:space="preserve">Alphabet Inc.       </v>
      </c>
      <c r="D13" s="661" t="str">
        <f>VLOOKUP($A13,'CEM Data Lookup'!$A:$P,15,FALSE)</f>
        <v>Aa2</v>
      </c>
      <c r="E13" s="59"/>
      <c r="F13" s="662">
        <f>IFERROR(VLOOKUP(D13,'1.14 MOODY_S&amp;P numbericl_assign'!B$6:$D$26,3,FALSE),"--")</f>
        <v>3</v>
      </c>
      <c r="G13" s="59"/>
      <c r="H13" s="661" t="str">
        <f>VLOOKUP($A13,'CEM Data Lookup'!$A:$P,16,FALSE)</f>
        <v>AA+</v>
      </c>
      <c r="I13" s="59"/>
      <c r="J13" s="662">
        <f>IFERROR(VLOOKUP(H13,'1.14 MOODY_S&amp;P numbericl_assign'!F$6:$H$26, 3, FALSE),"--")</f>
        <v>2</v>
      </c>
      <c r="L13" s="663"/>
      <c r="M13" s="663"/>
      <c r="AI13" s="59"/>
    </row>
    <row r="14" spans="1:37" ht="15.75" customHeight="1" x14ac:dyDescent="0.5">
      <c r="A14" s="60" t="str">
        <f>Input!C6</f>
        <v>MO</v>
      </c>
      <c r="B14" s="460" t="str">
        <f>VLOOKUP($A14, 'CEM Data Lookup'!$A:$P,2,FALSE)</f>
        <v xml:space="preserve">Altria Group        </v>
      </c>
      <c r="D14" s="661" t="str">
        <f>VLOOKUP($A14,'CEM Data Lookup'!$A:$P,15,FALSE)</f>
        <v>A3</v>
      </c>
      <c r="E14" s="59"/>
      <c r="F14" s="662">
        <f>IFERROR(VLOOKUP(D14,'1.14 MOODY_S&amp;P numbericl_assign'!B$6:$D$26,3,FALSE),"--")</f>
        <v>7</v>
      </c>
      <c r="G14" s="59"/>
      <c r="H14" s="661" t="str">
        <f>VLOOKUP($A14,'CEM Data Lookup'!$A:$P,16,FALSE)</f>
        <v>BBB</v>
      </c>
      <c r="I14" s="59"/>
      <c r="J14" s="662">
        <f>IFERROR(VLOOKUP(H14,'1.14 MOODY_S&amp;P numbericl_assign'!F$6:$H$26, 3, FALSE),"--")</f>
        <v>9</v>
      </c>
      <c r="L14" s="663"/>
      <c r="M14" s="663"/>
      <c r="AE14" s="59"/>
      <c r="AG14" s="59"/>
      <c r="AI14" s="59"/>
      <c r="AK14" s="59"/>
    </row>
    <row r="15" spans="1:37" ht="15.75" customHeight="1" x14ac:dyDescent="0.5">
      <c r="A15" s="60" t="str">
        <f>Input!C7</f>
        <v>AAPL</v>
      </c>
      <c r="B15" s="460" t="str">
        <f>VLOOKUP($A15, 'CEM Data Lookup'!$A:$P,2,FALSE)</f>
        <v xml:space="preserve">Apple Inc.          </v>
      </c>
      <c r="D15" s="661" t="str">
        <f>VLOOKUP($A15,'CEM Data Lookup'!$A:$P,15,FALSE)</f>
        <v>Aaa</v>
      </c>
      <c r="E15" s="59"/>
      <c r="F15" s="662">
        <f>IFERROR(VLOOKUP(D15,'1.14 MOODY_S&amp;P numbericl_assign'!B$6:$D$26,3,FALSE),"--")</f>
        <v>1</v>
      </c>
      <c r="G15" s="59"/>
      <c r="H15" s="661" t="str">
        <f>VLOOKUP($A15,'CEM Data Lookup'!$A:$P,16,FALSE)</f>
        <v>AA+</v>
      </c>
      <c r="I15" s="59"/>
      <c r="J15" s="662">
        <f>IFERROR(VLOOKUP(H15,'1.14 MOODY_S&amp;P numbericl_assign'!F$6:$H$26, 3, FALSE),"--")</f>
        <v>2</v>
      </c>
      <c r="L15" s="663"/>
      <c r="M15" s="663"/>
      <c r="AE15" s="59"/>
      <c r="AG15" s="59"/>
      <c r="AI15" s="59"/>
      <c r="AK15" s="59"/>
    </row>
    <row r="16" spans="1:37" ht="15.75" customHeight="1" x14ac:dyDescent="0.5">
      <c r="A16" s="60" t="str">
        <f>Input!C8</f>
        <v>AIZ</v>
      </c>
      <c r="B16" s="460" t="str">
        <f>VLOOKUP($A16, 'CEM Data Lookup'!$A:$P,2,FALSE)</f>
        <v xml:space="preserve">Assurant Inc.       </v>
      </c>
      <c r="D16" s="661" t="str">
        <f>VLOOKUP($A16,'CEM Data Lookup'!$A:$P,15,FALSE)</f>
        <v>Baa2</v>
      </c>
      <c r="E16" s="59"/>
      <c r="F16" s="662">
        <f>IFERROR(VLOOKUP(D16,'1.14 MOODY_S&amp;P numbericl_assign'!B$6:$D$26,3,FALSE),"--")</f>
        <v>9</v>
      </c>
      <c r="G16" s="59"/>
      <c r="H16" s="661" t="str">
        <f>VLOOKUP($A16,'CEM Data Lookup'!$A:$P,16,FALSE)</f>
        <v>BBB</v>
      </c>
      <c r="I16" s="59"/>
      <c r="J16" s="662">
        <f>IFERROR(VLOOKUP(H16,'1.14 MOODY_S&amp;P numbericl_assign'!F$6:$H$26, 3, FALSE),"--")</f>
        <v>9</v>
      </c>
      <c r="L16" s="663"/>
      <c r="M16" s="663"/>
      <c r="AE16" s="59"/>
      <c r="AG16" s="59"/>
      <c r="AI16" s="59"/>
      <c r="AK16" s="59"/>
    </row>
    <row r="17" spans="1:37" ht="15.75" customHeight="1" x14ac:dyDescent="0.5">
      <c r="A17" s="60" t="str">
        <f>Input!C9</f>
        <v>AZO</v>
      </c>
      <c r="B17" s="460" t="str">
        <f>VLOOKUP($A17, 'CEM Data Lookup'!$A:$P,2,FALSE)</f>
        <v xml:space="preserve">AutoZone Inc.       </v>
      </c>
      <c r="D17" s="661" t="str">
        <f>VLOOKUP($A17,'CEM Data Lookup'!$A:$P,15,FALSE)</f>
        <v>Baa1</v>
      </c>
      <c r="E17" s="59"/>
      <c r="F17" s="662">
        <f>IFERROR(VLOOKUP(D17,'1.14 MOODY_S&amp;P numbericl_assign'!B$6:$D$26,3,FALSE),"--")</f>
        <v>8</v>
      </c>
      <c r="G17" s="59"/>
      <c r="H17" s="661" t="str">
        <f>VLOOKUP($A17,'CEM Data Lookup'!$A:$P,16,FALSE)</f>
        <v>BBB</v>
      </c>
      <c r="I17" s="59"/>
      <c r="J17" s="662">
        <f>IFERROR(VLOOKUP(H17,'1.14 MOODY_S&amp;P numbericl_assign'!F$6:$H$26, 3, FALSE),"--")</f>
        <v>9</v>
      </c>
      <c r="L17" s="663"/>
      <c r="M17" s="663"/>
      <c r="AE17" s="59"/>
      <c r="AG17" s="59"/>
      <c r="AI17" s="59"/>
      <c r="AK17" s="59"/>
    </row>
    <row r="18" spans="1:37" ht="15.75" customHeight="1" x14ac:dyDescent="0.5">
      <c r="A18" s="60" t="str">
        <f>Input!C10</f>
        <v>BAH</v>
      </c>
      <c r="B18" s="460" t="str">
        <f>VLOOKUP($A18, 'CEM Data Lookup'!$A:$P,2,FALSE)</f>
        <v xml:space="preserve">Booz Allen Hamilton </v>
      </c>
      <c r="D18" s="661" t="str">
        <f>VLOOKUP($A18,'CEM Data Lookup'!$A:$P,15,FALSE)</f>
        <v>NA</v>
      </c>
      <c r="E18" s="59"/>
      <c r="F18" s="662" t="str">
        <f>IFERROR(VLOOKUP(D18,'1.14 MOODY_S&amp;P numbericl_assign'!B$6:$D$26,3,FALSE),"--")</f>
        <v>--</v>
      </c>
      <c r="G18" s="59"/>
      <c r="H18" s="661" t="str">
        <f>VLOOKUP($A18,'CEM Data Lookup'!$A:$P,16,FALSE)</f>
        <v>NA</v>
      </c>
      <c r="I18" s="59"/>
      <c r="J18" s="662" t="str">
        <f>IFERROR(VLOOKUP(H18,'1.14 MOODY_S&amp;P numbericl_assign'!F$6:$H$26, 3, FALSE),"--")</f>
        <v>--</v>
      </c>
      <c r="L18" s="663"/>
      <c r="M18" s="663"/>
      <c r="AE18" s="59"/>
      <c r="AG18" s="59"/>
      <c r="AI18" s="59"/>
      <c r="AK18" s="59"/>
    </row>
    <row r="19" spans="1:37" ht="15.75" customHeight="1" x14ac:dyDescent="0.5">
      <c r="A19" s="60" t="str">
        <f>Input!C11</f>
        <v>BRC</v>
      </c>
      <c r="B19" s="460" t="str">
        <f>VLOOKUP($A19, 'CEM Data Lookup'!$A:$P,2,FALSE)</f>
        <v xml:space="preserve">Brady Corp.         </v>
      </c>
      <c r="D19" s="661" t="str">
        <f>VLOOKUP($A19,'CEM Data Lookup'!$A:$P,15,FALSE)</f>
        <v>NA</v>
      </c>
      <c r="E19" s="59"/>
      <c r="F19" s="662" t="str">
        <f>IFERROR(VLOOKUP(D19,'1.14 MOODY_S&amp;P numbericl_assign'!B$6:$D$26,3,FALSE),"--")</f>
        <v>--</v>
      </c>
      <c r="G19" s="59"/>
      <c r="H19" s="661" t="str">
        <f>VLOOKUP($A19,'CEM Data Lookup'!$A:$P,16,FALSE)</f>
        <v>NA</v>
      </c>
      <c r="I19" s="59"/>
      <c r="J19" s="662" t="str">
        <f>IFERROR(VLOOKUP(H19,'1.14 MOODY_S&amp;P numbericl_assign'!F$6:$H$26, 3, FALSE),"--")</f>
        <v>--</v>
      </c>
      <c r="L19" s="663"/>
      <c r="M19" s="663"/>
      <c r="AE19" s="59"/>
      <c r="AG19" s="59"/>
      <c r="AI19" s="59"/>
      <c r="AK19" s="59"/>
    </row>
    <row r="20" spans="1:37" ht="15.75" customHeight="1" x14ac:dyDescent="0.5">
      <c r="A20" s="60" t="str">
        <f>Input!C12</f>
        <v>BWXT</v>
      </c>
      <c r="B20" s="460" t="str">
        <f>VLOOKUP($A20, 'CEM Data Lookup'!$A:$P,2,FALSE)</f>
        <v xml:space="preserve">BWX Technologies    </v>
      </c>
      <c r="D20" s="661" t="str">
        <f>VLOOKUP($A20,'CEM Data Lookup'!$A:$P,15,FALSE)</f>
        <v>Ba2</v>
      </c>
      <c r="E20" s="59"/>
      <c r="F20" s="662">
        <f>IFERROR(VLOOKUP(D20,'1.14 MOODY_S&amp;P numbericl_assign'!B$6:$D$26,3,FALSE),"--")</f>
        <v>12</v>
      </c>
      <c r="G20" s="59"/>
      <c r="H20" s="661" t="str">
        <f>VLOOKUP($A20,'CEM Data Lookup'!$A:$P,16,FALSE)</f>
        <v>BB</v>
      </c>
      <c r="I20" s="59"/>
      <c r="J20" s="662">
        <f>IFERROR(VLOOKUP(H20,'1.14 MOODY_S&amp;P numbericl_assign'!F$6:$H$26, 3, FALSE),"--")</f>
        <v>12</v>
      </c>
      <c r="L20" s="663"/>
      <c r="M20" s="663"/>
      <c r="AE20" s="59"/>
      <c r="AG20" s="59"/>
      <c r="AI20" s="59"/>
      <c r="AK20" s="59"/>
    </row>
    <row r="21" spans="1:37" ht="15.75" customHeight="1" x14ac:dyDescent="0.5">
      <c r="A21" s="60" t="str">
        <f>Input!C13</f>
        <v>CACI</v>
      </c>
      <c r="B21" s="460" t="str">
        <f>VLOOKUP($A21, 'CEM Data Lookup'!$A:$P,2,FALSE)</f>
        <v xml:space="preserve">CACI Int'l          </v>
      </c>
      <c r="D21" s="661" t="str">
        <f>VLOOKUP($A21,'CEM Data Lookup'!$A:$P,15,FALSE)</f>
        <v>NA</v>
      </c>
      <c r="E21" s="59"/>
      <c r="F21" s="662" t="str">
        <f>IFERROR(VLOOKUP(D21,'1.14 MOODY_S&amp;P numbericl_assign'!B$6:$D$26,3,FALSE),"--")</f>
        <v>--</v>
      </c>
      <c r="G21" s="59"/>
      <c r="H21" s="661" t="str">
        <f>VLOOKUP($A21,'CEM Data Lookup'!$A:$P,16,FALSE)</f>
        <v>BB+</v>
      </c>
      <c r="I21" s="59"/>
      <c r="J21" s="662">
        <f>IFERROR(VLOOKUP(H21,'1.14 MOODY_S&amp;P numbericl_assign'!F$6:$H$26, 3, FALSE),"--")</f>
        <v>11</v>
      </c>
      <c r="L21" s="663"/>
      <c r="M21" s="663"/>
      <c r="AE21" s="59"/>
      <c r="AG21" s="59"/>
      <c r="AI21" s="59"/>
      <c r="AK21" s="59"/>
    </row>
    <row r="22" spans="1:37" ht="15.75" customHeight="1" x14ac:dyDescent="0.5">
      <c r="A22" s="60" t="str">
        <f>Input!C14</f>
        <v>CASY</v>
      </c>
      <c r="B22" s="460" t="str">
        <f>VLOOKUP($A22, 'CEM Data Lookup'!$A:$P,2,FALSE)</f>
        <v>Casey's Gen'l Stores</v>
      </c>
      <c r="D22" s="661" t="str">
        <f>VLOOKUP($A22,'CEM Data Lookup'!$A:$P,15,FALSE)</f>
        <v>NA</v>
      </c>
      <c r="E22" s="59"/>
      <c r="F22" s="662" t="str">
        <f>IFERROR(VLOOKUP(D22,'1.14 MOODY_S&amp;P numbericl_assign'!B$6:$D$26,3,FALSE),"--")</f>
        <v>--</v>
      </c>
      <c r="G22" s="59"/>
      <c r="H22" s="661" t="str">
        <f>VLOOKUP($A22,'CEM Data Lookup'!$A:$P,16,FALSE)</f>
        <v>NA</v>
      </c>
      <c r="I22" s="59"/>
      <c r="J22" s="662" t="str">
        <f>IFERROR(VLOOKUP(H22,'1.14 MOODY_S&amp;P numbericl_assign'!F$6:$H$26, 3, FALSE),"--")</f>
        <v>--</v>
      </c>
      <c r="L22" s="663"/>
      <c r="M22" s="663"/>
      <c r="AE22" s="59"/>
      <c r="AG22" s="59"/>
      <c r="AI22" s="59"/>
      <c r="AK22" s="59"/>
    </row>
    <row r="23" spans="1:37" ht="15.75" customHeight="1" x14ac:dyDescent="0.5">
      <c r="A23" s="60" t="str">
        <f>Input!C15</f>
        <v>COR</v>
      </c>
      <c r="B23" s="460" t="str">
        <f>VLOOKUP($A23, 'CEM Data Lookup'!$A:$P,2,FALSE)</f>
        <v xml:space="preserve">Cencora             </v>
      </c>
      <c r="D23" s="661" t="str">
        <f>VLOOKUP($A23,'CEM Data Lookup'!$A:$P,15,FALSE)</f>
        <v>Baa2</v>
      </c>
      <c r="E23" s="59"/>
      <c r="F23" s="662">
        <f>IFERROR(VLOOKUP(D23,'1.14 MOODY_S&amp;P numbericl_assign'!B$6:$D$26,3,FALSE),"--")</f>
        <v>9</v>
      </c>
      <c r="G23" s="59"/>
      <c r="H23" s="661" t="str">
        <f>VLOOKUP($A23,'CEM Data Lookup'!$A:$P,16,FALSE)</f>
        <v>BBB+</v>
      </c>
      <c r="I23" s="59"/>
      <c r="J23" s="662">
        <f>IFERROR(VLOOKUP(H23,'1.14 MOODY_S&amp;P numbericl_assign'!F$6:$H$26, 3, FALSE),"--")</f>
        <v>8</v>
      </c>
      <c r="L23" s="663"/>
      <c r="M23" s="663"/>
      <c r="AE23" s="59"/>
      <c r="AG23" s="59"/>
      <c r="AI23" s="59"/>
      <c r="AK23" s="59"/>
    </row>
    <row r="24" spans="1:37" ht="15.75" customHeight="1" x14ac:dyDescent="0.5">
      <c r="A24" s="60" t="str">
        <f>Input!C16</f>
        <v>CSWI</v>
      </c>
      <c r="B24" s="460" t="str">
        <f>VLOOKUP($A24, 'CEM Data Lookup'!$A:$P,2,FALSE)</f>
        <v xml:space="preserve">CSW Industrials     </v>
      </c>
      <c r="D24" s="661" t="str">
        <f>VLOOKUP($A24,'CEM Data Lookup'!$A:$P,15,FALSE)</f>
        <v>NA</v>
      </c>
      <c r="E24" s="59"/>
      <c r="F24" s="662" t="str">
        <f>IFERROR(VLOOKUP(D24,'1.14 MOODY_S&amp;P numbericl_assign'!B$6:$D$26,3,FALSE),"--")</f>
        <v>--</v>
      </c>
      <c r="G24" s="59"/>
      <c r="H24" s="661" t="str">
        <f>VLOOKUP($A24,'CEM Data Lookup'!$A:$P,16,FALSE)</f>
        <v>NA</v>
      </c>
      <c r="I24" s="59"/>
      <c r="J24" s="662" t="str">
        <f>IFERROR(VLOOKUP(H24,'1.14 MOODY_S&amp;P numbericl_assign'!F$6:$H$26, 3, FALSE),"--")</f>
        <v>--</v>
      </c>
      <c r="L24" s="663"/>
      <c r="M24" s="663"/>
      <c r="AE24" s="59"/>
      <c r="AG24" s="59"/>
      <c r="AI24" s="59"/>
      <c r="AK24" s="59"/>
    </row>
    <row r="25" spans="1:37" ht="15.75" customHeight="1" x14ac:dyDescent="0.5">
      <c r="A25" s="60" t="str">
        <f>Input!C17</f>
        <v>CVS</v>
      </c>
      <c r="B25" s="460" t="str">
        <f>VLOOKUP($A25, 'CEM Data Lookup'!$A:$P,2,FALSE)</f>
        <v xml:space="preserve">CVS Health          </v>
      </c>
      <c r="D25" s="661" t="str">
        <f>VLOOKUP($A25,'CEM Data Lookup'!$A:$P,15,FALSE)</f>
        <v>Baa3</v>
      </c>
      <c r="E25" s="59"/>
      <c r="F25" s="662">
        <f>IFERROR(VLOOKUP(D25,'1.14 MOODY_S&amp;P numbericl_assign'!B$6:$D$26,3,FALSE),"--")</f>
        <v>10</v>
      </c>
      <c r="G25" s="59"/>
      <c r="H25" s="661" t="str">
        <f>VLOOKUP($A25,'CEM Data Lookup'!$A:$P,16,FALSE)</f>
        <v>BBB</v>
      </c>
      <c r="I25" s="59"/>
      <c r="J25" s="662">
        <f>IFERROR(VLOOKUP(H25,'1.14 MOODY_S&amp;P numbericl_assign'!F$6:$H$26, 3, FALSE),"--")</f>
        <v>9</v>
      </c>
      <c r="L25" s="663"/>
      <c r="M25" s="663"/>
      <c r="AE25" s="59"/>
      <c r="AG25" s="59"/>
      <c r="AI25" s="59"/>
      <c r="AK25" s="59"/>
    </row>
    <row r="26" spans="1:37" ht="15.75" customHeight="1" x14ac:dyDescent="0.5">
      <c r="A26" s="60" t="str">
        <f>Input!C18</f>
        <v>DHR</v>
      </c>
      <c r="B26" s="460" t="str">
        <f>VLOOKUP($A26, 'CEM Data Lookup'!$A:$P,2,FALSE)</f>
        <v xml:space="preserve">Danaher Corp.       </v>
      </c>
      <c r="D26" s="661" t="str">
        <f>VLOOKUP($A26,'CEM Data Lookup'!$A:$P,15,FALSE)</f>
        <v>A3</v>
      </c>
      <c r="E26" s="59"/>
      <c r="F26" s="662">
        <f>IFERROR(VLOOKUP(D26,'1.14 MOODY_S&amp;P numbericl_assign'!B$6:$D$26,3,FALSE),"--")</f>
        <v>7</v>
      </c>
      <c r="G26" s="59"/>
      <c r="H26" s="661" t="str">
        <f>VLOOKUP($A26,'CEM Data Lookup'!$A:$P,16,FALSE)</f>
        <v>A-</v>
      </c>
      <c r="I26" s="59"/>
      <c r="J26" s="662">
        <f>IFERROR(VLOOKUP(H26,'1.14 MOODY_S&amp;P numbericl_assign'!F$6:$H$26, 3, FALSE),"--")</f>
        <v>7</v>
      </c>
      <c r="L26" s="663"/>
      <c r="M26" s="663"/>
      <c r="AE26" s="59"/>
      <c r="AG26" s="59"/>
      <c r="AI26" s="59"/>
      <c r="AK26" s="59"/>
    </row>
    <row r="27" spans="1:37" ht="15.75" customHeight="1" x14ac:dyDescent="0.5">
      <c r="A27" s="60" t="str">
        <f>Input!C19</f>
        <v>DLB</v>
      </c>
      <c r="B27" s="460" t="str">
        <f>VLOOKUP($A27, 'CEM Data Lookup'!$A:$P,2,FALSE)</f>
        <v xml:space="preserve">Dolby Labs.         </v>
      </c>
      <c r="D27" s="661" t="str">
        <f>VLOOKUP($A27,'CEM Data Lookup'!$A:$P,15,FALSE)</f>
        <v>NA</v>
      </c>
      <c r="E27" s="59"/>
      <c r="F27" s="662" t="str">
        <f>IFERROR(VLOOKUP(D27,'1.14 MOODY_S&amp;P numbericl_assign'!B$6:$D$26,3,FALSE),"--")</f>
        <v>--</v>
      </c>
      <c r="G27" s="59"/>
      <c r="H27" s="661" t="str">
        <f>VLOOKUP($A27,'CEM Data Lookup'!$A:$P,16,FALSE)</f>
        <v>NA</v>
      </c>
      <c r="I27" s="59"/>
      <c r="J27" s="662" t="str">
        <f>IFERROR(VLOOKUP(H27,'1.14 MOODY_S&amp;P numbericl_assign'!F$6:$H$26, 3, FALSE),"--")</f>
        <v>--</v>
      </c>
      <c r="L27" s="663"/>
      <c r="M27" s="663"/>
      <c r="AE27" s="59"/>
      <c r="AG27" s="59"/>
      <c r="AI27" s="59"/>
      <c r="AK27" s="59"/>
    </row>
    <row r="28" spans="1:37" ht="15.75" customHeight="1" x14ac:dyDescent="0.5">
      <c r="A28" s="60" t="str">
        <f>Input!C20</f>
        <v>EXPO</v>
      </c>
      <c r="B28" s="460" t="str">
        <f>VLOOKUP($A28, 'CEM Data Lookup'!$A:$P,2,FALSE)</f>
        <v xml:space="preserve">Exponent, Inc.      </v>
      </c>
      <c r="D28" s="661" t="str">
        <f>VLOOKUP($A28,'CEM Data Lookup'!$A:$P,15,FALSE)</f>
        <v>NA</v>
      </c>
      <c r="E28" s="59"/>
      <c r="F28" s="662" t="str">
        <f>IFERROR(VLOOKUP(D28,'1.14 MOODY_S&amp;P numbericl_assign'!B$6:$D$26,3,FALSE),"--")</f>
        <v>--</v>
      </c>
      <c r="G28" s="59"/>
      <c r="H28" s="661" t="str">
        <f>VLOOKUP($A28,'CEM Data Lookup'!$A:$P,16,FALSE)</f>
        <v>NA</v>
      </c>
      <c r="I28" s="59"/>
      <c r="J28" s="662" t="str">
        <f>IFERROR(VLOOKUP(H28,'1.14 MOODY_S&amp;P numbericl_assign'!F$6:$H$26, 3, FALSE),"--")</f>
        <v>--</v>
      </c>
      <c r="L28" s="663"/>
      <c r="M28" s="663"/>
      <c r="AE28" s="59"/>
      <c r="AG28" s="59"/>
      <c r="AI28" s="59"/>
      <c r="AK28" s="59"/>
    </row>
    <row r="29" spans="1:37" ht="15.75" customHeight="1" x14ac:dyDescent="0.5">
      <c r="A29" s="60" t="str">
        <f>Input!C21</f>
        <v>FAST</v>
      </c>
      <c r="B29" s="460" t="str">
        <f>VLOOKUP($A29, 'CEM Data Lookup'!$A:$P,2,FALSE)</f>
        <v xml:space="preserve">Fastenal Co.        </v>
      </c>
      <c r="D29" s="661" t="str">
        <f>VLOOKUP($A29,'CEM Data Lookup'!$A:$P,15,FALSE)</f>
        <v>NA</v>
      </c>
      <c r="E29" s="59"/>
      <c r="F29" s="662" t="str">
        <f>IFERROR(VLOOKUP(D29,'1.14 MOODY_S&amp;P numbericl_assign'!B$6:$D$26,3,FALSE),"--")</f>
        <v>--</v>
      </c>
      <c r="G29" s="59"/>
      <c r="H29" s="661" t="str">
        <f>VLOOKUP($A29,'CEM Data Lookup'!$A:$P,16,FALSE)</f>
        <v>NA</v>
      </c>
      <c r="I29" s="59"/>
      <c r="J29" s="662" t="str">
        <f>IFERROR(VLOOKUP(H29,'1.14 MOODY_S&amp;P numbericl_assign'!F$6:$H$26, 3, FALSE),"--")</f>
        <v>--</v>
      </c>
      <c r="L29" s="663"/>
      <c r="M29" s="663"/>
      <c r="AE29" s="59"/>
      <c r="AG29" s="59"/>
      <c r="AI29" s="59"/>
      <c r="AK29" s="59"/>
    </row>
    <row r="30" spans="1:37" ht="15.75" customHeight="1" x14ac:dyDescent="0.5">
      <c r="A30" s="60" t="str">
        <f>Input!C22</f>
        <v>FELE</v>
      </c>
      <c r="B30" s="460" t="str">
        <f>VLOOKUP($A30, 'CEM Data Lookup'!$A:$P,2,FALSE)</f>
        <v xml:space="preserve">Franklin Electric   </v>
      </c>
      <c r="D30" s="661" t="str">
        <f>VLOOKUP($A30,'CEM Data Lookup'!$A:$P,15,FALSE)</f>
        <v>NA</v>
      </c>
      <c r="E30" s="59"/>
      <c r="F30" s="662" t="str">
        <f>IFERROR(VLOOKUP(D30,'1.14 MOODY_S&amp;P numbericl_assign'!B$6:$D$26,3,FALSE),"--")</f>
        <v>--</v>
      </c>
      <c r="G30" s="59"/>
      <c r="H30" s="661" t="str">
        <f>VLOOKUP($A30,'CEM Data Lookup'!$A:$P,16,FALSE)</f>
        <v>NA</v>
      </c>
      <c r="I30" s="59"/>
      <c r="J30" s="662" t="str">
        <f>IFERROR(VLOOKUP(H30,'1.14 MOODY_S&amp;P numbericl_assign'!F$6:$H$26, 3, FALSE),"--")</f>
        <v>--</v>
      </c>
      <c r="L30" s="663"/>
      <c r="M30" s="663"/>
      <c r="AE30" s="59"/>
      <c r="AG30" s="59"/>
      <c r="AI30" s="59"/>
      <c r="AK30" s="59"/>
    </row>
    <row r="31" spans="1:37" ht="15.75" customHeight="1" x14ac:dyDescent="0.5">
      <c r="A31" s="60" t="str">
        <f>Input!C23</f>
        <v>GATX</v>
      </c>
      <c r="B31" s="460" t="str">
        <f>VLOOKUP($A31, 'CEM Data Lookup'!$A:$P,2,FALSE)</f>
        <v xml:space="preserve">GATX Corp.          </v>
      </c>
      <c r="D31" s="661" t="str">
        <f>VLOOKUP($A31,'CEM Data Lookup'!$A:$P,15,FALSE)</f>
        <v>Baa2</v>
      </c>
      <c r="E31" s="59"/>
      <c r="F31" s="662">
        <f>IFERROR(VLOOKUP(D31,'1.14 MOODY_S&amp;P numbericl_assign'!B$6:$D$26,3,FALSE),"--")</f>
        <v>9</v>
      </c>
      <c r="G31" s="59"/>
      <c r="H31" s="661" t="str">
        <f>VLOOKUP($A31,'CEM Data Lookup'!$A:$P,16,FALSE)</f>
        <v>BBB</v>
      </c>
      <c r="I31" s="59"/>
      <c r="J31" s="662">
        <f>IFERROR(VLOOKUP(H31,'1.14 MOODY_S&amp;P numbericl_assign'!F$6:$H$26, 3, FALSE),"--")</f>
        <v>9</v>
      </c>
      <c r="L31" s="663"/>
      <c r="M31" s="663"/>
      <c r="AE31" s="59"/>
      <c r="AG31" s="59"/>
      <c r="AI31" s="59"/>
      <c r="AK31" s="59"/>
    </row>
    <row r="32" spans="1:37" ht="15.75" customHeight="1" x14ac:dyDescent="0.5">
      <c r="A32" s="60" t="str">
        <f>Input!C24</f>
        <v>JKHY</v>
      </c>
      <c r="B32" s="460" t="str">
        <f>VLOOKUP($A32, 'CEM Data Lookup'!$A:$P,2,FALSE)</f>
        <v>Henry (Jack) &amp; Assoc</v>
      </c>
      <c r="D32" s="661" t="str">
        <f>VLOOKUP($A32,'CEM Data Lookup'!$A:$P,15,FALSE)</f>
        <v>NA</v>
      </c>
      <c r="E32" s="59"/>
      <c r="F32" s="662" t="str">
        <f>IFERROR(VLOOKUP(D32,'1.14 MOODY_S&amp;P numbericl_assign'!B$6:$D$26,3,FALSE),"--")</f>
        <v>--</v>
      </c>
      <c r="G32" s="59"/>
      <c r="H32" s="661" t="str">
        <f>VLOOKUP($A32,'CEM Data Lookup'!$A:$P,16,FALSE)</f>
        <v>NA</v>
      </c>
      <c r="I32" s="59"/>
      <c r="J32" s="662" t="str">
        <f>IFERROR(VLOOKUP(H32,'1.14 MOODY_S&amp;P numbericl_assign'!F$6:$H$26, 3, FALSE),"--")</f>
        <v>--</v>
      </c>
      <c r="L32" s="663"/>
      <c r="M32" s="663"/>
      <c r="AE32" s="59"/>
      <c r="AG32" s="59"/>
      <c r="AI32" s="59"/>
      <c r="AK32" s="59"/>
    </row>
    <row r="33" spans="1:37" ht="15.75" customHeight="1" x14ac:dyDescent="0.5">
      <c r="A33" s="60" t="str">
        <f>Input!C25</f>
        <v>JBHT</v>
      </c>
      <c r="B33" s="460" t="str">
        <f>VLOOKUP($A33, 'CEM Data Lookup'!$A:$P,2,FALSE)</f>
        <v xml:space="preserve">Hunt (J.B.)         </v>
      </c>
      <c r="D33" s="661" t="str">
        <f>VLOOKUP($A33,'CEM Data Lookup'!$A:$P,15,FALSE)</f>
        <v>Baa1</v>
      </c>
      <c r="E33" s="59"/>
      <c r="F33" s="662">
        <f>IFERROR(VLOOKUP(D33,'1.14 MOODY_S&amp;P numbericl_assign'!B$6:$D$26,3,FALSE),"--")</f>
        <v>8</v>
      </c>
      <c r="G33" s="59"/>
      <c r="H33" s="661" t="str">
        <f>VLOOKUP($A33,'CEM Data Lookup'!$A:$P,16,FALSE)</f>
        <v>BBB+</v>
      </c>
      <c r="I33" s="59"/>
      <c r="J33" s="662">
        <f>IFERROR(VLOOKUP(H33,'1.14 MOODY_S&amp;P numbericl_assign'!F$6:$H$26, 3, FALSE),"--")</f>
        <v>8</v>
      </c>
      <c r="L33" s="663"/>
      <c r="M33" s="663"/>
      <c r="AE33" s="59"/>
      <c r="AG33" s="59"/>
      <c r="AI33" s="59"/>
      <c r="AK33" s="59"/>
    </row>
    <row r="34" spans="1:37" ht="15.75" customHeight="1" x14ac:dyDescent="0.5">
      <c r="A34" s="60" t="str">
        <f>Input!C26</f>
        <v>HII</v>
      </c>
      <c r="B34" s="460" t="str">
        <f>VLOOKUP($A34, 'CEM Data Lookup'!$A:$P,2,FALSE)</f>
        <v xml:space="preserve">Huntington Ingalls  </v>
      </c>
      <c r="D34" s="661" t="str">
        <f>VLOOKUP($A34,'CEM Data Lookup'!$A:$P,15,FALSE)</f>
        <v>Baa3</v>
      </c>
      <c r="E34" s="59"/>
      <c r="F34" s="662">
        <f>IFERROR(VLOOKUP(D34,'1.14 MOODY_S&amp;P numbericl_assign'!B$6:$D$26,3,FALSE),"--")</f>
        <v>10</v>
      </c>
      <c r="G34" s="59"/>
      <c r="H34" s="661" t="str">
        <f>VLOOKUP($A34,'CEM Data Lookup'!$A:$P,16,FALSE)</f>
        <v>BBB-</v>
      </c>
      <c r="I34" s="59"/>
      <c r="J34" s="662">
        <f>IFERROR(VLOOKUP(H34,'1.14 MOODY_S&amp;P numbericl_assign'!F$6:$H$26, 3, FALSE),"--")</f>
        <v>10</v>
      </c>
      <c r="L34" s="663"/>
      <c r="M34" s="663"/>
      <c r="AE34" s="59"/>
      <c r="AG34" s="59"/>
      <c r="AI34" s="59"/>
      <c r="AK34" s="59"/>
    </row>
    <row r="35" spans="1:37" ht="15.75" customHeight="1" x14ac:dyDescent="0.5">
      <c r="A35" s="60" t="str">
        <f>Input!C27</f>
        <v>LHX</v>
      </c>
      <c r="B35" s="460" t="str">
        <f>VLOOKUP($A35, 'CEM Data Lookup'!$A:$P,2,FALSE)</f>
        <v>L3Harris Technologie</v>
      </c>
      <c r="D35" s="661" t="str">
        <f>VLOOKUP($A35,'CEM Data Lookup'!$A:$P,15,FALSE)</f>
        <v>Baa2</v>
      </c>
      <c r="E35" s="59"/>
      <c r="F35" s="662">
        <f>IFERROR(VLOOKUP(D35,'1.14 MOODY_S&amp;P numbericl_assign'!B$6:$D$26,3,FALSE),"--")</f>
        <v>9</v>
      </c>
      <c r="G35" s="59"/>
      <c r="H35" s="661" t="str">
        <f>VLOOKUP($A35,'CEM Data Lookup'!$A:$P,16,FALSE)</f>
        <v>BBB</v>
      </c>
      <c r="I35" s="59"/>
      <c r="J35" s="662">
        <f>IFERROR(VLOOKUP(H35,'1.14 MOODY_S&amp;P numbericl_assign'!F$6:$H$26, 3, FALSE),"--")</f>
        <v>9</v>
      </c>
      <c r="L35" s="663"/>
      <c r="M35" s="663"/>
      <c r="AE35" s="59"/>
      <c r="AG35" s="59"/>
      <c r="AI35" s="59"/>
      <c r="AK35" s="59"/>
    </row>
    <row r="36" spans="1:37" ht="15.75" customHeight="1" x14ac:dyDescent="0.5">
      <c r="A36" s="60" t="str">
        <f>Input!C28</f>
        <v>LSTR</v>
      </c>
      <c r="B36" s="460" t="str">
        <f>VLOOKUP($A36, 'CEM Data Lookup'!$A:$P,2,FALSE)</f>
        <v xml:space="preserve">Landstar System     </v>
      </c>
      <c r="D36" s="661" t="str">
        <f>VLOOKUP($A36,'CEM Data Lookup'!$A:$P,15,FALSE)</f>
        <v>NA</v>
      </c>
      <c r="E36" s="59"/>
      <c r="F36" s="662" t="str">
        <f>IFERROR(VLOOKUP(D36,'1.14 MOODY_S&amp;P numbericl_assign'!B$6:$D$26,3,FALSE),"--")</f>
        <v>--</v>
      </c>
      <c r="G36" s="59"/>
      <c r="H36" s="661" t="str">
        <f>VLOOKUP($A36,'CEM Data Lookup'!$A:$P,16,FALSE)</f>
        <v>NA</v>
      </c>
      <c r="I36" s="59"/>
      <c r="J36" s="662" t="str">
        <f>IFERROR(VLOOKUP(H36,'1.14 MOODY_S&amp;P numbericl_assign'!F$6:$H$26, 3, FALSE),"--")</f>
        <v>--</v>
      </c>
      <c r="L36" s="663"/>
      <c r="M36" s="663"/>
      <c r="AE36" s="59"/>
      <c r="AG36" s="59"/>
      <c r="AI36" s="59"/>
      <c r="AK36" s="59"/>
    </row>
    <row r="37" spans="1:37" ht="15.75" customHeight="1" x14ac:dyDescent="0.5">
      <c r="A37" s="60" t="str">
        <f>Input!C29</f>
        <v>LMT</v>
      </c>
      <c r="B37" s="460" t="str">
        <f>VLOOKUP($A37, 'CEM Data Lookup'!$A:$P,2,FALSE)</f>
        <v xml:space="preserve">Lockheed Martin     </v>
      </c>
      <c r="D37" s="661" t="str">
        <f>VLOOKUP($A37,'CEM Data Lookup'!$A:$P,15,FALSE)</f>
        <v>A2</v>
      </c>
      <c r="E37" s="59"/>
      <c r="F37" s="662">
        <f>IFERROR(VLOOKUP(D37,'1.14 MOODY_S&amp;P numbericl_assign'!B$6:$D$26,3,FALSE),"--")</f>
        <v>6</v>
      </c>
      <c r="G37" s="59"/>
      <c r="H37" s="661" t="str">
        <f>VLOOKUP($A37,'CEM Data Lookup'!$A:$P,16,FALSE)</f>
        <v>A-</v>
      </c>
      <c r="I37" s="59"/>
      <c r="J37" s="662">
        <f>IFERROR(VLOOKUP(H37,'1.14 MOODY_S&amp;P numbericl_assign'!F$6:$H$26, 3, FALSE),"--")</f>
        <v>7</v>
      </c>
      <c r="L37" s="663"/>
      <c r="M37" s="663"/>
      <c r="AE37" s="59"/>
      <c r="AG37" s="59"/>
      <c r="AI37" s="59"/>
      <c r="AK37" s="59"/>
    </row>
    <row r="38" spans="1:37" ht="15.75" customHeight="1" x14ac:dyDescent="0.5">
      <c r="A38" s="60" t="str">
        <f>Input!C30</f>
        <v>MCK</v>
      </c>
      <c r="B38" s="460" t="str">
        <f>VLOOKUP($A38, 'CEM Data Lookup'!$A:$P,2,FALSE)</f>
        <v xml:space="preserve">McKesson Corp.      </v>
      </c>
      <c r="D38" s="661" t="str">
        <f>VLOOKUP($A38,'CEM Data Lookup'!$A:$P,15,FALSE)</f>
        <v>A3</v>
      </c>
      <c r="E38" s="59"/>
      <c r="F38" s="662">
        <f>IFERROR(VLOOKUP(D38,'1.14 MOODY_S&amp;P numbericl_assign'!B$6:$D$26,3,FALSE),"--")</f>
        <v>7</v>
      </c>
      <c r="G38" s="59"/>
      <c r="H38" s="661" t="str">
        <f>VLOOKUP($A38,'CEM Data Lookup'!$A:$P,16,FALSE)</f>
        <v>BBB+</v>
      </c>
      <c r="I38" s="59"/>
      <c r="J38" s="662">
        <f>IFERROR(VLOOKUP(H38,'1.14 MOODY_S&amp;P numbericl_assign'!F$6:$H$26, 3, FALSE),"--")</f>
        <v>8</v>
      </c>
      <c r="L38" s="663"/>
      <c r="M38" s="663"/>
      <c r="AE38" s="59"/>
      <c r="AG38" s="59"/>
      <c r="AI38" s="59"/>
      <c r="AK38" s="59"/>
    </row>
    <row r="39" spans="1:37" ht="15.75" customHeight="1" x14ac:dyDescent="0.5">
      <c r="A39" s="60" t="str">
        <f>Input!C31</f>
        <v>MSFT</v>
      </c>
      <c r="B39" s="460" t="str">
        <f>VLOOKUP($A39, 'CEM Data Lookup'!$A:$P,2,FALSE)</f>
        <v xml:space="preserve">Microsoft Corp.     </v>
      </c>
      <c r="D39" s="661" t="str">
        <f>VLOOKUP($A39,'CEM Data Lookup'!$A:$P,15,FALSE)</f>
        <v>Aaa</v>
      </c>
      <c r="E39" s="59"/>
      <c r="F39" s="662">
        <f>IFERROR(VLOOKUP(D39,'1.14 MOODY_S&amp;P numbericl_assign'!B$6:$D$26,3,FALSE),"--")</f>
        <v>1</v>
      </c>
      <c r="G39" s="59"/>
      <c r="H39" s="661" t="str">
        <f>VLOOKUP($A39,'CEM Data Lookup'!$A:$P,16,FALSE)</f>
        <v>AAA</v>
      </c>
      <c r="I39" s="59"/>
      <c r="J39" s="662">
        <f>IFERROR(VLOOKUP(H39,'1.14 MOODY_S&amp;P numbericl_assign'!F$6:$H$26, 3, FALSE),"--")</f>
        <v>1</v>
      </c>
      <c r="L39" s="663"/>
      <c r="M39" s="663"/>
      <c r="AE39" s="59"/>
      <c r="AG39" s="59"/>
      <c r="AI39" s="59"/>
      <c r="AK39" s="59"/>
    </row>
    <row r="40" spans="1:37" ht="15.75" customHeight="1" x14ac:dyDescent="0.5">
      <c r="A40" s="60" t="str">
        <f>Input!C32</f>
        <v>MSM</v>
      </c>
      <c r="B40" s="460" t="str">
        <f>VLOOKUP($A40, 'CEM Data Lookup'!$A:$P,2,FALSE)</f>
        <v>MSC Industrial Direc</v>
      </c>
      <c r="D40" s="661" t="str">
        <f>VLOOKUP($A40,'CEM Data Lookup'!$A:$P,15,FALSE)</f>
        <v>NA</v>
      </c>
      <c r="E40" s="59"/>
      <c r="F40" s="662" t="str">
        <f>IFERROR(VLOOKUP(D40,'1.14 MOODY_S&amp;P numbericl_assign'!B$6:$D$26,3,FALSE),"--")</f>
        <v>--</v>
      </c>
      <c r="G40" s="59"/>
      <c r="H40" s="661" t="str">
        <f>VLOOKUP($A40,'CEM Data Lookup'!$A:$P,16,FALSE)</f>
        <v>NA</v>
      </c>
      <c r="I40" s="59"/>
      <c r="J40" s="662" t="str">
        <f>IFERROR(VLOOKUP(H40,'1.14 MOODY_S&amp;P numbericl_assign'!F$6:$H$26, 3, FALSE),"--")</f>
        <v>--</v>
      </c>
      <c r="L40" s="663"/>
      <c r="M40" s="663"/>
      <c r="AE40" s="59"/>
      <c r="AG40" s="59"/>
      <c r="AI40" s="59"/>
      <c r="AK40" s="59"/>
    </row>
    <row r="41" spans="1:37" ht="15.75" customHeight="1" x14ac:dyDescent="0.5">
      <c r="A41" s="60" t="str">
        <f>Input!C33</f>
        <v>ORCL</v>
      </c>
      <c r="B41" s="460" t="str">
        <f>VLOOKUP($A41, 'CEM Data Lookup'!$A:$P,2,FALSE)</f>
        <v xml:space="preserve">Oracle Corp.        </v>
      </c>
      <c r="D41" s="661" t="str">
        <f>VLOOKUP($A41,'CEM Data Lookup'!$A:$P,15,FALSE)</f>
        <v>Baa2</v>
      </c>
      <c r="E41" s="59"/>
      <c r="F41" s="662">
        <f>IFERROR(VLOOKUP(D41,'1.14 MOODY_S&amp;P numbericl_assign'!B$6:$D$26,3,FALSE),"--")</f>
        <v>9</v>
      </c>
      <c r="G41" s="59"/>
      <c r="H41" s="661" t="str">
        <f>VLOOKUP($A41,'CEM Data Lookup'!$A:$P,16,FALSE)</f>
        <v>BBB</v>
      </c>
      <c r="I41" s="59"/>
      <c r="J41" s="662">
        <f>IFERROR(VLOOKUP(H41,'1.14 MOODY_S&amp;P numbericl_assign'!F$6:$H$26, 3, FALSE),"--")</f>
        <v>9</v>
      </c>
      <c r="L41" s="663"/>
      <c r="M41" s="663"/>
      <c r="AE41" s="59"/>
      <c r="AG41" s="59"/>
      <c r="AI41" s="59"/>
      <c r="AK41" s="59"/>
    </row>
    <row r="42" spans="1:37" ht="15.75" customHeight="1" x14ac:dyDescent="0.5">
      <c r="A42" s="60" t="str">
        <f>Input!C34</f>
        <v>ORLY</v>
      </c>
      <c r="B42" s="460" t="str">
        <f>VLOOKUP($A42, 'CEM Data Lookup'!$A:$P,2,FALSE)</f>
        <v xml:space="preserve">O'Reilly Automotive </v>
      </c>
      <c r="D42" s="661" t="str">
        <f>VLOOKUP($A42,'CEM Data Lookup'!$A:$P,15,FALSE)</f>
        <v>Baa1</v>
      </c>
      <c r="E42" s="59"/>
      <c r="F42" s="662">
        <f>IFERROR(VLOOKUP(D42,'1.14 MOODY_S&amp;P numbericl_assign'!B$6:$D$26,3,FALSE),"--")</f>
        <v>8</v>
      </c>
      <c r="G42" s="59"/>
      <c r="H42" s="661" t="str">
        <f>VLOOKUP($A42,'CEM Data Lookup'!$A:$P,16,FALSE)</f>
        <v>BBB</v>
      </c>
      <c r="I42" s="59"/>
      <c r="J42" s="662">
        <f>IFERROR(VLOOKUP(H42,'1.14 MOODY_S&amp;P numbericl_assign'!F$6:$H$26, 3, FALSE),"--")</f>
        <v>9</v>
      </c>
      <c r="L42" s="663"/>
      <c r="M42" s="663"/>
      <c r="AE42" s="59"/>
      <c r="AG42" s="59"/>
      <c r="AI42" s="59"/>
      <c r="AK42" s="59"/>
    </row>
    <row r="43" spans="1:37" ht="15.75" customHeight="1" x14ac:dyDescent="0.5">
      <c r="A43" s="60" t="str">
        <f>Input!C35</f>
        <v>OSIS</v>
      </c>
      <c r="B43" s="460" t="str">
        <f>VLOOKUP($A43, 'CEM Data Lookup'!$A:$P,2,FALSE)</f>
        <v xml:space="preserve">OSI Systems         </v>
      </c>
      <c r="D43" s="661" t="str">
        <f>VLOOKUP($A43,'CEM Data Lookup'!$A:$P,15,FALSE)</f>
        <v>NA</v>
      </c>
      <c r="E43" s="59"/>
      <c r="F43" s="662" t="str">
        <f>IFERROR(VLOOKUP(D43,'1.14 MOODY_S&amp;P numbericl_assign'!B$6:$D$26,3,FALSE),"--")</f>
        <v>--</v>
      </c>
      <c r="G43" s="59"/>
      <c r="H43" s="661" t="str">
        <f>VLOOKUP($A43,'CEM Data Lookup'!$A:$P,16,FALSE)</f>
        <v>NA</v>
      </c>
      <c r="I43" s="59"/>
      <c r="J43" s="662" t="str">
        <f>IFERROR(VLOOKUP(H43,'1.14 MOODY_S&amp;P numbericl_assign'!F$6:$H$26, 3, FALSE),"--")</f>
        <v>--</v>
      </c>
      <c r="L43" s="663"/>
      <c r="M43" s="663"/>
      <c r="AE43" s="59"/>
      <c r="AG43" s="59"/>
      <c r="AI43" s="59"/>
      <c r="AK43" s="59"/>
    </row>
    <row r="44" spans="1:37" ht="15.75" customHeight="1" x14ac:dyDescent="0.5">
      <c r="A44" s="60" t="str">
        <f>Input!C36</f>
        <v>PKG</v>
      </c>
      <c r="B44" s="460" t="str">
        <f>VLOOKUP($A44, 'CEM Data Lookup'!$A:$P,2,FALSE)</f>
        <v xml:space="preserve">Packaging Corp.     </v>
      </c>
      <c r="D44" s="661" t="str">
        <f>VLOOKUP($A44,'CEM Data Lookup'!$A:$P,15,FALSE)</f>
        <v>Baa2</v>
      </c>
      <c r="E44" s="59"/>
      <c r="F44" s="662">
        <f>IFERROR(VLOOKUP(D44,'1.14 MOODY_S&amp;P numbericl_assign'!B$6:$D$26,3,FALSE),"--")</f>
        <v>9</v>
      </c>
      <c r="G44" s="59"/>
      <c r="H44" s="661" t="str">
        <f>VLOOKUP($A44,'CEM Data Lookup'!$A:$P,16,FALSE)</f>
        <v>BBB</v>
      </c>
      <c r="I44" s="59"/>
      <c r="J44" s="662">
        <f>IFERROR(VLOOKUP(H44,'1.14 MOODY_S&amp;P numbericl_assign'!F$6:$H$26, 3, FALSE),"--")</f>
        <v>9</v>
      </c>
      <c r="L44" s="663"/>
      <c r="M44" s="663"/>
      <c r="AE44" s="59"/>
      <c r="AG44" s="59"/>
      <c r="AI44" s="59"/>
      <c r="AK44" s="59"/>
    </row>
    <row r="45" spans="1:37" ht="15.75" customHeight="1" x14ac:dyDescent="0.5">
      <c r="A45" s="60" t="str">
        <f>Input!C37</f>
        <v>PFE</v>
      </c>
      <c r="B45" s="460" t="str">
        <f>VLOOKUP($A45, 'CEM Data Lookup'!$A:$P,2,FALSE)</f>
        <v xml:space="preserve">Pfizer, Inc.        </v>
      </c>
      <c r="D45" s="661" t="str">
        <f>VLOOKUP($A45,'CEM Data Lookup'!$A:$P,15,FALSE)</f>
        <v>A2</v>
      </c>
      <c r="E45" s="59"/>
      <c r="F45" s="662">
        <f>IFERROR(VLOOKUP(D45,'1.14 MOODY_S&amp;P numbericl_assign'!B$6:$D$26,3,FALSE),"--")</f>
        <v>6</v>
      </c>
      <c r="G45" s="59"/>
      <c r="H45" s="661" t="str">
        <f>VLOOKUP($A45,'CEM Data Lookup'!$A:$P,16,FALSE)</f>
        <v>A</v>
      </c>
      <c r="I45" s="59"/>
      <c r="J45" s="662">
        <f>IFERROR(VLOOKUP(H45,'1.14 MOODY_S&amp;P numbericl_assign'!F$6:$H$26, 3, FALSE),"--")</f>
        <v>6</v>
      </c>
      <c r="L45" s="663"/>
      <c r="M45" s="663"/>
      <c r="AE45" s="59"/>
      <c r="AG45" s="59"/>
      <c r="AI45" s="59"/>
      <c r="AK45" s="59"/>
    </row>
    <row r="46" spans="1:37" ht="15.75" customHeight="1" x14ac:dyDescent="0.5">
      <c r="A46" s="60" t="str">
        <f>Input!C38</f>
        <v>PM</v>
      </c>
      <c r="B46" s="460" t="str">
        <f>VLOOKUP($A46, 'CEM Data Lookup'!$A:$P,2,FALSE)</f>
        <v xml:space="preserve">Philip Morris Int'l </v>
      </c>
      <c r="D46" s="661" t="str">
        <f>VLOOKUP($A46,'CEM Data Lookup'!$A:$P,15,FALSE)</f>
        <v>A2</v>
      </c>
      <c r="E46" s="59"/>
      <c r="F46" s="662">
        <f>IFERROR(VLOOKUP(D46,'1.14 MOODY_S&amp;P numbericl_assign'!B$6:$D$26,3,FALSE),"--")</f>
        <v>6</v>
      </c>
      <c r="G46" s="59"/>
      <c r="H46" s="661" t="str">
        <f>VLOOKUP($A46,'CEM Data Lookup'!$A:$P,16,FALSE)</f>
        <v>A-</v>
      </c>
      <c r="I46" s="59"/>
      <c r="J46" s="662">
        <f>IFERROR(VLOOKUP(H46,'1.14 MOODY_S&amp;P numbericl_assign'!F$6:$H$26, 3, FALSE),"--")</f>
        <v>7</v>
      </c>
      <c r="L46" s="663"/>
      <c r="M46" s="663"/>
      <c r="AE46" s="59"/>
      <c r="AG46" s="59"/>
      <c r="AI46" s="59"/>
      <c r="AK46" s="59"/>
    </row>
    <row r="47" spans="1:37" ht="15.75" customHeight="1" x14ac:dyDescent="0.5">
      <c r="A47" s="60" t="str">
        <f>Input!C39</f>
        <v>PBH</v>
      </c>
      <c r="B47" s="460" t="str">
        <f>VLOOKUP($A47, 'CEM Data Lookup'!$A:$P,2,FALSE)</f>
        <v xml:space="preserve">Prestige Consumer   </v>
      </c>
      <c r="D47" s="661" t="str">
        <f>VLOOKUP($A47,'CEM Data Lookup'!$A:$P,15,FALSE)</f>
        <v>NA</v>
      </c>
      <c r="E47" s="59"/>
      <c r="F47" s="662" t="str">
        <f>IFERROR(VLOOKUP(D47,'1.14 MOODY_S&amp;P numbericl_assign'!B$6:$D$26,3,FALSE),"--")</f>
        <v>--</v>
      </c>
      <c r="G47" s="59"/>
      <c r="H47" s="661" t="str">
        <f>VLOOKUP($A47,'CEM Data Lookup'!$A:$P,16,FALSE)</f>
        <v>BB</v>
      </c>
      <c r="I47" s="59"/>
      <c r="J47" s="662">
        <f>IFERROR(VLOOKUP(H47,'1.14 MOODY_S&amp;P numbericl_assign'!F$6:$H$26, 3, FALSE),"--")</f>
        <v>12</v>
      </c>
      <c r="L47" s="663"/>
      <c r="M47" s="663"/>
      <c r="AE47" s="59"/>
      <c r="AG47" s="59"/>
      <c r="AI47" s="59"/>
      <c r="AK47" s="59"/>
    </row>
    <row r="48" spans="1:37" ht="15.75" customHeight="1" x14ac:dyDescent="0.5">
      <c r="A48" s="60" t="str">
        <f>Input!C40</f>
        <v>SIGI</v>
      </c>
      <c r="B48" s="460" t="str">
        <f>VLOOKUP($A48, 'CEM Data Lookup'!$A:$P,2,FALSE)</f>
        <v>Selective Ins. Group</v>
      </c>
      <c r="D48" s="661" t="str">
        <f>VLOOKUP($A48,'CEM Data Lookup'!$A:$P,15,FALSE)</f>
        <v>Baa2</v>
      </c>
      <c r="E48" s="59"/>
      <c r="F48" s="662">
        <f>IFERROR(VLOOKUP(D48,'1.14 MOODY_S&amp;P numbericl_assign'!B$6:$D$26,3,FALSE),"--")</f>
        <v>9</v>
      </c>
      <c r="G48" s="59"/>
      <c r="H48" s="661" t="str">
        <f>VLOOKUP($A48,'CEM Data Lookup'!$A:$P,16,FALSE)</f>
        <v>BBB</v>
      </c>
      <c r="I48" s="59"/>
      <c r="J48" s="662">
        <f>IFERROR(VLOOKUP(H48,'1.14 MOODY_S&amp;P numbericl_assign'!F$6:$H$26, 3, FALSE),"--")</f>
        <v>9</v>
      </c>
      <c r="L48" s="663"/>
      <c r="M48" s="663"/>
      <c r="AE48" s="59"/>
      <c r="AG48" s="59"/>
      <c r="AI48" s="59"/>
      <c r="AK48" s="59"/>
    </row>
    <row r="49" spans="1:37" ht="15.75" customHeight="1" x14ac:dyDescent="0.5">
      <c r="A49" s="60" t="str">
        <f>Input!C41</f>
        <v>SCI</v>
      </c>
      <c r="B49" s="460" t="str">
        <f>VLOOKUP($A49, 'CEM Data Lookup'!$A:$P,2,FALSE)</f>
        <v xml:space="preserve">Service Corp. Int'l </v>
      </c>
      <c r="D49" s="661" t="str">
        <f>VLOOKUP($A49,'CEM Data Lookup'!$A:$P,15,FALSE)</f>
        <v>Ba3</v>
      </c>
      <c r="E49" s="59"/>
      <c r="F49" s="662">
        <f>IFERROR(VLOOKUP(D49,'1.14 MOODY_S&amp;P numbericl_assign'!B$6:$D$26,3,FALSE),"--")</f>
        <v>13</v>
      </c>
      <c r="G49" s="59"/>
      <c r="H49" s="661" t="str">
        <f>VLOOKUP($A49,'CEM Data Lookup'!$A:$P,16,FALSE)</f>
        <v>BB+</v>
      </c>
      <c r="I49" s="59"/>
      <c r="J49" s="662">
        <f>IFERROR(VLOOKUP(H49,'1.14 MOODY_S&amp;P numbericl_assign'!F$6:$H$26, 3, FALSE),"--")</f>
        <v>11</v>
      </c>
      <c r="L49" s="663"/>
      <c r="M49" s="663"/>
      <c r="AE49" s="59"/>
      <c r="AG49" s="59"/>
      <c r="AI49" s="59"/>
      <c r="AK49" s="59"/>
    </row>
    <row r="50" spans="1:37" ht="15.75" customHeight="1" x14ac:dyDescent="0.5">
      <c r="A50" s="60" t="str">
        <f>Input!C42</f>
        <v>SHW</v>
      </c>
      <c r="B50" s="460" t="str">
        <f>VLOOKUP($A50, 'CEM Data Lookup'!$A:$P,2,FALSE)</f>
        <v xml:space="preserve">Sherwin-Williams    </v>
      </c>
      <c r="D50" s="661" t="str">
        <f>VLOOKUP($A50,'CEM Data Lookup'!$A:$P,15,FALSE)</f>
        <v>Baa2</v>
      </c>
      <c r="E50" s="59"/>
      <c r="F50" s="662">
        <f>IFERROR(VLOOKUP(D50,'1.14 MOODY_S&amp;P numbericl_assign'!B$6:$D$26,3,FALSE),"--")</f>
        <v>9</v>
      </c>
      <c r="G50" s="59"/>
      <c r="H50" s="661" t="str">
        <f>VLOOKUP($A50,'CEM Data Lookup'!$A:$P,16,FALSE)</f>
        <v>BBB</v>
      </c>
      <c r="I50" s="59"/>
      <c r="J50" s="662">
        <f>IFERROR(VLOOKUP(H50,'1.14 MOODY_S&amp;P numbericl_assign'!F$6:$H$26, 3, FALSE),"--")</f>
        <v>9</v>
      </c>
      <c r="L50" s="663"/>
      <c r="M50" s="663"/>
      <c r="AE50" s="59"/>
      <c r="AG50" s="59"/>
      <c r="AI50" s="59"/>
      <c r="AK50" s="59"/>
    </row>
    <row r="51" spans="1:37" ht="15.75" customHeight="1" x14ac:dyDescent="0.5">
      <c r="A51" s="60" t="str">
        <f>Input!C43</f>
        <v>AOS</v>
      </c>
      <c r="B51" s="460" t="str">
        <f>VLOOKUP($A51, 'CEM Data Lookup'!$A:$P,2,FALSE)</f>
        <v xml:space="preserve">Smith (A.O.)        </v>
      </c>
      <c r="D51" s="661" t="str">
        <f>VLOOKUP($A51,'CEM Data Lookup'!$A:$P,15,FALSE)</f>
        <v>NA</v>
      </c>
      <c r="E51" s="59"/>
      <c r="F51" s="662" t="str">
        <f>IFERROR(VLOOKUP(D51,'1.14 MOODY_S&amp;P numbericl_assign'!B$6:$D$26,3,FALSE),"--")</f>
        <v>--</v>
      </c>
      <c r="G51" s="59"/>
      <c r="H51" s="661" t="str">
        <f>VLOOKUP($A51,'CEM Data Lookup'!$A:$P,16,FALSE)</f>
        <v>NA</v>
      </c>
      <c r="I51" s="59"/>
      <c r="J51" s="662" t="str">
        <f>IFERROR(VLOOKUP(H51,'1.14 MOODY_S&amp;P numbericl_assign'!F$6:$H$26, 3, FALSE),"--")</f>
        <v>--</v>
      </c>
      <c r="L51" s="663"/>
      <c r="M51" s="663"/>
      <c r="AE51" s="59"/>
      <c r="AG51" s="59"/>
      <c r="AI51" s="59"/>
      <c r="AK51" s="59"/>
    </row>
    <row r="52" spans="1:37" ht="15.75" customHeight="1" x14ac:dyDescent="0.5">
      <c r="A52" s="60" t="str">
        <f>Input!C44</f>
        <v>TMO</v>
      </c>
      <c r="B52" s="460" t="str">
        <f>VLOOKUP($A52, 'CEM Data Lookup'!$A:$P,2,FALSE)</f>
        <v xml:space="preserve">Thermo Fisher Sci.  </v>
      </c>
      <c r="D52" s="661" t="str">
        <f>VLOOKUP($A52,'CEM Data Lookup'!$A:$P,15,FALSE)</f>
        <v>A3</v>
      </c>
      <c r="E52" s="59"/>
      <c r="F52" s="662">
        <f>IFERROR(VLOOKUP(D52,'1.14 MOODY_S&amp;P numbericl_assign'!B$6:$D$26,3,FALSE),"--")</f>
        <v>7</v>
      </c>
      <c r="G52" s="59"/>
      <c r="H52" s="661" t="str">
        <f>VLOOKUP($A52,'CEM Data Lookup'!$A:$P,16,FALSE)</f>
        <v>A-</v>
      </c>
      <c r="I52" s="59"/>
      <c r="J52" s="662">
        <f>IFERROR(VLOOKUP(H52,'1.14 MOODY_S&amp;P numbericl_assign'!F$6:$H$26, 3, FALSE),"--")</f>
        <v>7</v>
      </c>
      <c r="L52" s="663"/>
      <c r="M52" s="663"/>
      <c r="AE52" s="59"/>
      <c r="AG52" s="59"/>
      <c r="AI52" s="59"/>
      <c r="AK52" s="59"/>
    </row>
    <row r="53" spans="1:37" ht="15.75" customHeight="1" x14ac:dyDescent="0.5">
      <c r="A53" s="60" t="str">
        <f>Input!C45</f>
        <v>UNF</v>
      </c>
      <c r="B53" s="460" t="str">
        <f>VLOOKUP($A53, 'CEM Data Lookup'!$A:$P,2,FALSE)</f>
        <v xml:space="preserve">UniFirst Corp.      </v>
      </c>
      <c r="D53" s="661" t="str">
        <f>VLOOKUP($A53,'CEM Data Lookup'!$A:$P,15,FALSE)</f>
        <v>NA</v>
      </c>
      <c r="E53" s="59"/>
      <c r="F53" s="662" t="str">
        <f>IFERROR(VLOOKUP(D53,'1.14 MOODY_S&amp;P numbericl_assign'!B$6:$D$26,3,FALSE),"--")</f>
        <v>--</v>
      </c>
      <c r="G53" s="59"/>
      <c r="H53" s="661" t="str">
        <f>VLOOKUP($A53,'CEM Data Lookup'!$A:$P,16,FALSE)</f>
        <v>NA</v>
      </c>
      <c r="I53" s="59"/>
      <c r="J53" s="662" t="str">
        <f>IFERROR(VLOOKUP(H53,'1.14 MOODY_S&amp;P numbericl_assign'!F$6:$H$26, 3, FALSE),"--")</f>
        <v>--</v>
      </c>
      <c r="L53" s="663"/>
      <c r="M53" s="663"/>
      <c r="AE53" s="59"/>
      <c r="AG53" s="59"/>
      <c r="AI53" s="59"/>
      <c r="AK53" s="59"/>
    </row>
    <row r="54" spans="1:37" ht="15.75" customHeight="1" x14ac:dyDescent="0.5">
      <c r="A54" s="60" t="str">
        <f>Input!C46</f>
        <v>UNH</v>
      </c>
      <c r="B54" s="460" t="str">
        <f>VLOOKUP($A54, 'CEM Data Lookup'!$A:$P,2,FALSE)</f>
        <v xml:space="preserve">UnitedHealth Group  </v>
      </c>
      <c r="D54" s="661" t="str">
        <f>VLOOKUP($A54,'CEM Data Lookup'!$A:$P,15,FALSE)</f>
        <v>A2</v>
      </c>
      <c r="E54" s="59"/>
      <c r="F54" s="662">
        <f>IFERROR(VLOOKUP(D54,'1.14 MOODY_S&amp;P numbericl_assign'!B$6:$D$26,3,FALSE),"--")</f>
        <v>6</v>
      </c>
      <c r="G54" s="59"/>
      <c r="H54" s="661" t="str">
        <f>VLOOKUP($A54,'CEM Data Lookup'!$A:$P,16,FALSE)</f>
        <v>A+</v>
      </c>
      <c r="I54" s="59"/>
      <c r="J54" s="662">
        <f>IFERROR(VLOOKUP(H54,'1.14 MOODY_S&amp;P numbericl_assign'!F$6:$H$26, 3, FALSE),"--")</f>
        <v>5</v>
      </c>
      <c r="L54" s="663"/>
      <c r="M54" s="663"/>
      <c r="AE54" s="59"/>
      <c r="AG54" s="59"/>
      <c r="AI54" s="59"/>
      <c r="AK54" s="59"/>
    </row>
    <row r="55" spans="1:37" ht="15.75" customHeight="1" x14ac:dyDescent="0.5">
      <c r="A55" s="60" t="str">
        <f>Input!C47</f>
        <v>UVV</v>
      </c>
      <c r="B55" s="460" t="str">
        <f>VLOOKUP($A55, 'CEM Data Lookup'!$A:$P,2,FALSE)</f>
        <v xml:space="preserve">Universal Corp.     </v>
      </c>
      <c r="D55" s="661" t="str">
        <f>VLOOKUP($A55,'CEM Data Lookup'!$A:$P,15,FALSE)</f>
        <v>WR</v>
      </c>
      <c r="E55" s="59"/>
      <c r="F55" s="662" t="str">
        <f>IFERROR(VLOOKUP(D55,'1.14 MOODY_S&amp;P numbericl_assign'!B$6:$D$26,3,FALSE),"--")</f>
        <v>--</v>
      </c>
      <c r="G55" s="59"/>
      <c r="H55" s="661" t="str">
        <f>VLOOKUP($A55,'CEM Data Lookup'!$A:$P,16,FALSE)</f>
        <v>BBB-</v>
      </c>
      <c r="I55" s="59"/>
      <c r="J55" s="662">
        <f>IFERROR(VLOOKUP(H55,'1.14 MOODY_S&amp;P numbericl_assign'!F$6:$H$26, 3, FALSE),"--")</f>
        <v>10</v>
      </c>
      <c r="L55" s="663"/>
      <c r="M55" s="663"/>
      <c r="AE55" s="59"/>
      <c r="AG55" s="59"/>
      <c r="AI55" s="59"/>
      <c r="AK55" s="59"/>
    </row>
    <row r="56" spans="1:37" ht="15.75" customHeight="1" x14ac:dyDescent="0.5">
      <c r="A56" s="60" t="str">
        <f>Input!C48</f>
        <v>VRSN</v>
      </c>
      <c r="B56" s="460" t="str">
        <f>VLOOKUP($A56, 'CEM Data Lookup'!$A:$P,2,FALSE)</f>
        <v xml:space="preserve">VeriSign Inc.       </v>
      </c>
      <c r="D56" s="661" t="str">
        <f>VLOOKUP($A56,'CEM Data Lookup'!$A:$P,15,FALSE)</f>
        <v>Baa3</v>
      </c>
      <c r="E56" s="59"/>
      <c r="F56" s="662">
        <f>IFERROR(VLOOKUP(D56,'1.14 MOODY_S&amp;P numbericl_assign'!B$6:$D$26,3,FALSE),"--")</f>
        <v>10</v>
      </c>
      <c r="G56" s="59"/>
      <c r="H56" s="661" t="str">
        <f>VLOOKUP($A56,'CEM Data Lookup'!$A:$P,16,FALSE)</f>
        <v>BBB</v>
      </c>
      <c r="I56" s="59"/>
      <c r="J56" s="662">
        <f>IFERROR(VLOOKUP(H56,'1.14 MOODY_S&amp;P numbericl_assign'!F$6:$H$26, 3, FALSE),"--")</f>
        <v>9</v>
      </c>
      <c r="L56" s="663"/>
      <c r="M56" s="663"/>
      <c r="AE56" s="59"/>
      <c r="AG56" s="59"/>
      <c r="AI56" s="59"/>
      <c r="AK56" s="59"/>
    </row>
    <row r="57" spans="1:37" ht="15.75" customHeight="1" x14ac:dyDescent="0.5">
      <c r="A57" s="60" t="str">
        <f>Input!C49</f>
        <v>WAT</v>
      </c>
      <c r="B57" s="460" t="str">
        <f>VLOOKUP($A57, 'CEM Data Lookup'!$A:$P,2,FALSE)</f>
        <v xml:space="preserve">Waters Corp.        </v>
      </c>
      <c r="D57" s="661" t="str">
        <f>VLOOKUP($A57,'CEM Data Lookup'!$A:$P,15,FALSE)</f>
        <v>NA</v>
      </c>
      <c r="E57" s="59"/>
      <c r="F57" s="662" t="str">
        <f>IFERROR(VLOOKUP(D57,'1.14 MOODY_S&amp;P numbericl_assign'!B$6:$D$26,3,FALSE),"--")</f>
        <v>--</v>
      </c>
      <c r="G57" s="59"/>
      <c r="H57" s="661" t="str">
        <f>VLOOKUP($A57,'CEM Data Lookup'!$A:$P,16,FALSE)</f>
        <v>NA</v>
      </c>
      <c r="I57" s="59"/>
      <c r="J57" s="662" t="str">
        <f>IFERROR(VLOOKUP(H57,'1.14 MOODY_S&amp;P numbericl_assign'!F$6:$H$26, 3, FALSE),"--")</f>
        <v>--</v>
      </c>
      <c r="L57" s="663"/>
      <c r="M57" s="663"/>
      <c r="AE57" s="59"/>
      <c r="AG57" s="59"/>
      <c r="AI57" s="59"/>
      <c r="AK57" s="59"/>
    </row>
    <row r="58" spans="1:37" ht="15.75" customHeight="1" x14ac:dyDescent="0.5">
      <c r="A58" s="60" t="str">
        <f>Input!C50</f>
        <v>WSO</v>
      </c>
      <c r="B58" s="460" t="str">
        <f>VLOOKUP($A58, 'CEM Data Lookup'!$A:$P,2,FALSE)</f>
        <v xml:space="preserve">Watsco, Inc.        </v>
      </c>
      <c r="D58" s="661" t="str">
        <f>VLOOKUP($A58,'CEM Data Lookup'!$A:$P,15,FALSE)</f>
        <v>NA</v>
      </c>
      <c r="E58" s="59"/>
      <c r="F58" s="662" t="str">
        <f>IFERROR(VLOOKUP(D58,'1.14 MOODY_S&amp;P numbericl_assign'!B$6:$D$26,3,FALSE),"--")</f>
        <v>--</v>
      </c>
      <c r="G58" s="59"/>
      <c r="H58" s="661" t="str">
        <f>VLOOKUP($A58,'CEM Data Lookup'!$A:$P,16,FALSE)</f>
        <v>NA</v>
      </c>
      <c r="I58" s="59"/>
      <c r="J58" s="662" t="str">
        <f>IFERROR(VLOOKUP(H58,'1.14 MOODY_S&amp;P numbericl_assign'!F$6:$H$26, 3, FALSE),"--")</f>
        <v>--</v>
      </c>
      <c r="L58" s="663"/>
      <c r="M58" s="663"/>
      <c r="AE58" s="59"/>
      <c r="AG58" s="59"/>
      <c r="AI58" s="59"/>
      <c r="AK58" s="59"/>
    </row>
    <row r="59" spans="1:37" ht="15.75" customHeight="1" x14ac:dyDescent="0.5">
      <c r="D59" s="664"/>
      <c r="E59" s="59"/>
      <c r="F59" s="664"/>
      <c r="G59" s="59"/>
      <c r="H59" s="664"/>
      <c r="I59" s="59"/>
      <c r="J59" s="664"/>
    </row>
    <row r="60" spans="1:37" ht="15.75" customHeight="1" thickBot="1" x14ac:dyDescent="0.55000000000000004">
      <c r="A60" s="60">
        <f>COUNTA(A10:A58)</f>
        <v>49</v>
      </c>
      <c r="B60" s="61" t="s">
        <v>2794</v>
      </c>
      <c r="D60" s="628" t="str">
        <f>VLOOKUP((IF(MOD(F60,1)&lt;=0.4, ROUNDDOWN(F60,0), IF(MOD(F60,1)=0.5, F60, ROUNDUP(F60,0)))), $O$69:$P$101, 2,FALSE)</f>
        <v>A3/Baa1</v>
      </c>
      <c r="E60" s="59"/>
      <c r="F60" s="665">
        <f>ROUND(AVERAGE(F10:F58),1)</f>
        <v>7.5</v>
      </c>
      <c r="G60" s="59"/>
      <c r="H60" s="628" t="str">
        <f>VLOOKUP((IF(MOD(J60,1)&lt;=0.4, ROUNDDOWN(J60,0), IF(MOD(J60,1)=0.5, J60, ROUNDUP(J60,0)))), $Q$69:$R$101, 2,FALSE)</f>
        <v>BBB+</v>
      </c>
      <c r="I60" s="59"/>
      <c r="J60" s="665">
        <f>ROUND(AVERAGE(J10:J58),1)</f>
        <v>7.8</v>
      </c>
    </row>
    <row r="61" spans="1:37" ht="15.75" customHeight="1" thickTop="1" x14ac:dyDescent="0.5">
      <c r="D61" s="109"/>
      <c r="E61" s="59"/>
      <c r="F61" s="630"/>
      <c r="G61" s="59"/>
      <c r="H61" s="109"/>
      <c r="I61" s="59"/>
      <c r="J61" s="630"/>
    </row>
    <row r="62" spans="1:37" x14ac:dyDescent="0.5">
      <c r="B62" s="61" t="s">
        <v>17</v>
      </c>
    </row>
    <row r="63" spans="1:37" x14ac:dyDescent="0.5">
      <c r="B63" s="461" t="s">
        <v>1146</v>
      </c>
      <c r="C63" s="60" t="str">
        <f>"From page 14 of this " &amp; Input!I49 &amp; "."</f>
        <v>From page 14 of this Exhibit.</v>
      </c>
    </row>
    <row r="64" spans="1:37" x14ac:dyDescent="0.5">
      <c r="B64" s="461"/>
    </row>
    <row r="65" spans="2:18" x14ac:dyDescent="0.5">
      <c r="B65" s="60" t="s">
        <v>1143</v>
      </c>
    </row>
    <row r="66" spans="2:18" x14ac:dyDescent="0.5">
      <c r="B66" s="210" t="s">
        <v>2594</v>
      </c>
    </row>
    <row r="69" spans="2:18" ht="45" x14ac:dyDescent="0.5">
      <c r="O69" s="181" t="s">
        <v>90</v>
      </c>
      <c r="P69" s="181" t="s">
        <v>89</v>
      </c>
      <c r="Q69" s="181" t="s">
        <v>90</v>
      </c>
      <c r="R69" s="181" t="s">
        <v>91</v>
      </c>
    </row>
    <row r="70" spans="2:18" x14ac:dyDescent="0.5">
      <c r="O70" s="139"/>
      <c r="P70" s="139"/>
      <c r="Q70" s="139"/>
      <c r="R70" s="214"/>
    </row>
    <row r="71" spans="2:18" x14ac:dyDescent="0.5">
      <c r="O71" s="214">
        <v>1</v>
      </c>
      <c r="P71" s="215" t="s">
        <v>92</v>
      </c>
      <c r="Q71" s="214">
        <v>1</v>
      </c>
      <c r="R71" s="215" t="s">
        <v>93</v>
      </c>
    </row>
    <row r="72" spans="2:18" x14ac:dyDescent="0.5">
      <c r="O72" s="214">
        <v>1.5</v>
      </c>
      <c r="P72" s="215" t="s">
        <v>2646</v>
      </c>
      <c r="Q72" s="214">
        <v>1.5</v>
      </c>
      <c r="R72" s="215" t="s">
        <v>2631</v>
      </c>
    </row>
    <row r="73" spans="2:18" x14ac:dyDescent="0.5">
      <c r="O73" s="214">
        <v>2</v>
      </c>
      <c r="P73" s="215" t="s">
        <v>94</v>
      </c>
      <c r="Q73" s="214">
        <v>2</v>
      </c>
      <c r="R73" s="215" t="s">
        <v>95</v>
      </c>
    </row>
    <row r="74" spans="2:18" x14ac:dyDescent="0.5">
      <c r="O74" s="214">
        <v>2.5</v>
      </c>
      <c r="P74" s="215" t="s">
        <v>2647</v>
      </c>
      <c r="Q74" s="214">
        <v>2.5</v>
      </c>
      <c r="R74" s="215" t="s">
        <v>2632</v>
      </c>
    </row>
    <row r="75" spans="2:18" x14ac:dyDescent="0.5">
      <c r="O75" s="214">
        <v>3</v>
      </c>
      <c r="P75" s="215" t="s">
        <v>96</v>
      </c>
      <c r="Q75" s="214">
        <v>3</v>
      </c>
      <c r="R75" s="215" t="s">
        <v>97</v>
      </c>
    </row>
    <row r="76" spans="2:18" x14ac:dyDescent="0.5">
      <c r="O76" s="214">
        <v>3.5</v>
      </c>
      <c r="P76" s="215" t="s">
        <v>2648</v>
      </c>
      <c r="Q76" s="214">
        <v>3.5</v>
      </c>
      <c r="R76" s="215" t="s">
        <v>2633</v>
      </c>
    </row>
    <row r="77" spans="2:18" x14ac:dyDescent="0.5">
      <c r="O77" s="214">
        <v>4</v>
      </c>
      <c r="P77" s="215" t="s">
        <v>98</v>
      </c>
      <c r="Q77" s="214">
        <v>4</v>
      </c>
      <c r="R77" s="215" t="s">
        <v>99</v>
      </c>
    </row>
    <row r="78" spans="2:18" x14ac:dyDescent="0.5">
      <c r="O78" s="214">
        <v>4.5</v>
      </c>
      <c r="P78" s="215" t="s">
        <v>2649</v>
      </c>
      <c r="Q78" s="214">
        <v>4.5</v>
      </c>
      <c r="R78" s="215" t="s">
        <v>2634</v>
      </c>
    </row>
    <row r="79" spans="2:18" x14ac:dyDescent="0.5">
      <c r="O79" s="214">
        <v>5</v>
      </c>
      <c r="P79" s="215" t="s">
        <v>100</v>
      </c>
      <c r="Q79" s="214">
        <v>5</v>
      </c>
      <c r="R79" s="215" t="s">
        <v>82</v>
      </c>
    </row>
    <row r="80" spans="2:18" x14ac:dyDescent="0.5">
      <c r="O80" s="214">
        <v>5.5</v>
      </c>
      <c r="P80" s="215" t="s">
        <v>2650</v>
      </c>
      <c r="Q80" s="214">
        <v>5.5</v>
      </c>
      <c r="R80" s="215" t="s">
        <v>2635</v>
      </c>
    </row>
    <row r="81" spans="15:18" x14ac:dyDescent="0.5">
      <c r="O81" s="214">
        <v>6</v>
      </c>
      <c r="P81" s="215" t="s">
        <v>83</v>
      </c>
      <c r="Q81" s="214">
        <v>6</v>
      </c>
      <c r="R81" s="215" t="s">
        <v>84</v>
      </c>
    </row>
    <row r="82" spans="15:18" x14ac:dyDescent="0.5">
      <c r="O82" s="214">
        <v>6.5</v>
      </c>
      <c r="P82" s="215" t="s">
        <v>1207</v>
      </c>
      <c r="Q82" s="214">
        <v>6.5</v>
      </c>
      <c r="R82" s="215" t="s">
        <v>2636</v>
      </c>
    </row>
    <row r="83" spans="15:18" x14ac:dyDescent="0.5">
      <c r="O83" s="214">
        <v>7</v>
      </c>
      <c r="P83" s="215" t="s">
        <v>85</v>
      </c>
      <c r="Q83" s="214">
        <v>7</v>
      </c>
      <c r="R83" s="215" t="s">
        <v>87</v>
      </c>
    </row>
    <row r="84" spans="15:18" x14ac:dyDescent="0.5">
      <c r="O84" s="214">
        <v>7.5</v>
      </c>
      <c r="P84" s="215" t="s">
        <v>2651</v>
      </c>
      <c r="Q84" s="214">
        <v>7.5</v>
      </c>
      <c r="R84" s="215" t="s">
        <v>2637</v>
      </c>
    </row>
    <row r="85" spans="15:18" x14ac:dyDescent="0.5">
      <c r="O85" s="214">
        <v>8</v>
      </c>
      <c r="P85" s="215" t="s">
        <v>88</v>
      </c>
      <c r="Q85" s="214">
        <v>8</v>
      </c>
      <c r="R85" s="215" t="s">
        <v>101</v>
      </c>
    </row>
    <row r="86" spans="15:18" x14ac:dyDescent="0.5">
      <c r="O86" s="214">
        <v>8.5</v>
      </c>
      <c r="P86" s="215" t="s">
        <v>2652</v>
      </c>
      <c r="Q86" s="214">
        <v>8.5</v>
      </c>
      <c r="R86" s="215" t="s">
        <v>2638</v>
      </c>
    </row>
    <row r="87" spans="15:18" x14ac:dyDescent="0.5">
      <c r="O87" s="214">
        <v>9</v>
      </c>
      <c r="P87" s="215" t="s">
        <v>102</v>
      </c>
      <c r="Q87" s="214">
        <v>9</v>
      </c>
      <c r="R87" s="215" t="s">
        <v>103</v>
      </c>
    </row>
    <row r="88" spans="15:18" x14ac:dyDescent="0.5">
      <c r="O88" s="214">
        <v>9.5</v>
      </c>
      <c r="P88" s="215" t="s">
        <v>2653</v>
      </c>
      <c r="Q88" s="214">
        <v>9.5</v>
      </c>
      <c r="R88" s="215" t="s">
        <v>2639</v>
      </c>
    </row>
    <row r="89" spans="15:18" x14ac:dyDescent="0.5">
      <c r="O89" s="214">
        <v>10</v>
      </c>
      <c r="P89" s="215" t="s">
        <v>104</v>
      </c>
      <c r="Q89" s="214">
        <v>10</v>
      </c>
      <c r="R89" s="215" t="s">
        <v>105</v>
      </c>
    </row>
    <row r="90" spans="15:18" x14ac:dyDescent="0.5">
      <c r="O90" s="214">
        <v>10.5</v>
      </c>
      <c r="P90" s="215" t="s">
        <v>2654</v>
      </c>
      <c r="Q90" s="214">
        <v>10.5</v>
      </c>
      <c r="R90" s="215" t="s">
        <v>2640</v>
      </c>
    </row>
    <row r="91" spans="15:18" x14ac:dyDescent="0.5">
      <c r="O91" s="214">
        <v>11</v>
      </c>
      <c r="P91" s="215" t="s">
        <v>106</v>
      </c>
      <c r="Q91" s="214">
        <v>11</v>
      </c>
      <c r="R91" s="215" t="s">
        <v>107</v>
      </c>
    </row>
    <row r="92" spans="15:18" x14ac:dyDescent="0.5">
      <c r="O92" s="214">
        <v>11.5</v>
      </c>
      <c r="P92" s="215" t="s">
        <v>2655</v>
      </c>
      <c r="Q92" s="214">
        <v>11.5</v>
      </c>
      <c r="R92" s="215" t="s">
        <v>2641</v>
      </c>
    </row>
    <row r="93" spans="15:18" x14ac:dyDescent="0.5">
      <c r="O93" s="214">
        <v>12</v>
      </c>
      <c r="P93" s="215" t="s">
        <v>108</v>
      </c>
      <c r="Q93" s="214">
        <v>12</v>
      </c>
      <c r="R93" s="215" t="s">
        <v>109</v>
      </c>
    </row>
    <row r="94" spans="15:18" x14ac:dyDescent="0.5">
      <c r="O94" s="214">
        <v>12.5</v>
      </c>
      <c r="P94" s="215" t="s">
        <v>2656</v>
      </c>
      <c r="Q94" s="214">
        <v>12.5</v>
      </c>
      <c r="R94" s="215" t="s">
        <v>2642</v>
      </c>
    </row>
    <row r="95" spans="15:18" x14ac:dyDescent="0.5">
      <c r="O95" s="214">
        <v>13</v>
      </c>
      <c r="P95" s="215" t="s">
        <v>110</v>
      </c>
      <c r="Q95" s="214">
        <v>13</v>
      </c>
      <c r="R95" s="215" t="s">
        <v>111</v>
      </c>
    </row>
    <row r="96" spans="15:18" x14ac:dyDescent="0.5">
      <c r="O96" s="214">
        <v>13.5</v>
      </c>
      <c r="P96" s="215" t="s">
        <v>2657</v>
      </c>
      <c r="Q96" s="214">
        <v>13.5</v>
      </c>
      <c r="R96" s="215" t="s">
        <v>2643</v>
      </c>
    </row>
    <row r="97" spans="15:18" x14ac:dyDescent="0.5">
      <c r="O97" s="214">
        <v>14</v>
      </c>
      <c r="P97" s="215" t="s">
        <v>112</v>
      </c>
      <c r="Q97" s="214">
        <v>14</v>
      </c>
      <c r="R97" s="215" t="s">
        <v>113</v>
      </c>
    </row>
    <row r="98" spans="15:18" x14ac:dyDescent="0.5">
      <c r="O98" s="214">
        <v>14.5</v>
      </c>
      <c r="P98" s="215" t="s">
        <v>2658</v>
      </c>
      <c r="Q98" s="214">
        <v>14.5</v>
      </c>
      <c r="R98" s="215" t="s">
        <v>2644</v>
      </c>
    </row>
    <row r="99" spans="15:18" x14ac:dyDescent="0.5">
      <c r="O99" s="214">
        <v>15</v>
      </c>
      <c r="P99" s="215" t="s">
        <v>114</v>
      </c>
      <c r="Q99" s="214">
        <v>15</v>
      </c>
      <c r="R99" s="215" t="s">
        <v>115</v>
      </c>
    </row>
    <row r="100" spans="15:18" x14ac:dyDescent="0.5">
      <c r="O100" s="214">
        <v>15.5</v>
      </c>
      <c r="P100" s="215" t="s">
        <v>2659</v>
      </c>
      <c r="Q100" s="214">
        <v>15.5</v>
      </c>
      <c r="R100" s="215" t="s">
        <v>2645</v>
      </c>
    </row>
    <row r="101" spans="15:18" x14ac:dyDescent="0.5">
      <c r="O101" s="214">
        <v>16</v>
      </c>
      <c r="P101" s="215" t="s">
        <v>116</v>
      </c>
      <c r="Q101" s="214">
        <v>16</v>
      </c>
      <c r="R101" s="215" t="s">
        <v>117</v>
      </c>
    </row>
  </sheetData>
  <printOptions horizontalCentered="1"/>
  <pageMargins left="0.7" right="0.7" top="0.75" bottom="0.75" header="0.3" footer="0.3"/>
  <pageSetup scale="58" fitToHeight="2" orientation="portrait" horizontalDpi="4294967294"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B852-60B4-437A-9771-BB32E2FE6AC3}">
  <sheetPr codeName="Sheet62">
    <pageSetUpPr fitToPage="1"/>
  </sheetPr>
  <dimension ref="A1:H74"/>
  <sheetViews>
    <sheetView view="pageBreakPreview" zoomScale="85" zoomScaleNormal="100" zoomScaleSheetLayoutView="85" workbookViewId="0"/>
  </sheetViews>
  <sheetFormatPr defaultColWidth="9" defaultRowHeight="15" x14ac:dyDescent="0.5"/>
  <cols>
    <col min="1" max="1" width="11" style="110" customWidth="1"/>
    <col min="2" max="2" width="4.5234375" style="110" customWidth="1"/>
    <col min="3" max="3" width="51.7890625" style="110" customWidth="1"/>
    <col min="4" max="4" width="6" style="110" customWidth="1"/>
    <col min="5" max="5" width="20.734375" style="110" customWidth="1"/>
    <col min="6" max="6" width="3.7890625" style="110" customWidth="1"/>
    <col min="7" max="7" width="20.734375" style="110" customWidth="1"/>
    <col min="8" max="8" width="3.7890625" style="110" customWidth="1"/>
    <col min="9" max="16384" width="9" style="110"/>
  </cols>
  <sheetData>
    <row r="1" spans="1:8" x14ac:dyDescent="0.5">
      <c r="A1" s="283" t="str">
        <f>Input!G28</f>
        <v>Atmos Energy Corporation</v>
      </c>
      <c r="B1" s="283"/>
      <c r="C1" s="283"/>
      <c r="D1" s="283"/>
      <c r="E1" s="283"/>
      <c r="F1" s="283"/>
      <c r="G1" s="420"/>
      <c r="H1" s="420"/>
    </row>
    <row r="2" spans="1:8" x14ac:dyDescent="0.5">
      <c r="A2" s="420" t="s">
        <v>1188</v>
      </c>
      <c r="B2" s="420"/>
      <c r="C2" s="420"/>
      <c r="D2" s="420"/>
      <c r="E2" s="420"/>
      <c r="F2" s="420"/>
      <c r="G2" s="420"/>
      <c r="H2" s="420"/>
    </row>
    <row r="3" spans="1:8" x14ac:dyDescent="0.5">
      <c r="A3" s="420" t="s">
        <v>2595</v>
      </c>
      <c r="B3" s="420"/>
      <c r="C3" s="420"/>
      <c r="D3" s="420"/>
      <c r="E3" s="420"/>
      <c r="F3" s="420"/>
      <c r="G3" s="420"/>
      <c r="H3" s="420"/>
    </row>
    <row r="4" spans="1:8" x14ac:dyDescent="0.5">
      <c r="A4" s="420" t="s">
        <v>2793</v>
      </c>
      <c r="B4" s="420"/>
      <c r="C4" s="420"/>
      <c r="D4" s="420"/>
      <c r="E4" s="420"/>
      <c r="F4" s="420"/>
      <c r="G4" s="420"/>
      <c r="H4" s="420"/>
    </row>
    <row r="5" spans="1:8" x14ac:dyDescent="0.5">
      <c r="A5" s="283" t="str">
        <f>CONCATENATE(Input!$I$31,Input!$I$32)</f>
        <v>Proxy Group of Seven Natural Gas Companies</v>
      </c>
      <c r="B5" s="283"/>
      <c r="C5" s="283"/>
      <c r="D5" s="283"/>
      <c r="E5" s="283"/>
      <c r="F5" s="283"/>
      <c r="G5" s="420"/>
      <c r="H5" s="420"/>
    </row>
    <row r="6" spans="1:8" x14ac:dyDescent="0.5">
      <c r="A6" s="420"/>
      <c r="B6" s="420"/>
      <c r="C6" s="420"/>
      <c r="D6" s="420"/>
      <c r="E6" s="420"/>
      <c r="F6" s="420"/>
    </row>
    <row r="7" spans="1:8" ht="69" customHeight="1" x14ac:dyDescent="0.5">
      <c r="A7" s="421" t="s">
        <v>1144</v>
      </c>
      <c r="C7" s="424" t="s">
        <v>1195</v>
      </c>
      <c r="E7" s="1393" t="str">
        <f>CONCATENATE(Input!$I$34)</f>
        <v>Proxy Group of Forty-Nine Non-Price Regulated Companies</v>
      </c>
      <c r="F7" s="1393"/>
      <c r="G7" s="422" t="str">
        <f>E7&amp;" (excl. PRPM)"</f>
        <v>Proxy Group of Forty-Nine Non-Price Regulated Companies (excl. PRPM)</v>
      </c>
      <c r="H7" s="422"/>
    </row>
    <row r="9" spans="1:8" x14ac:dyDescent="0.5">
      <c r="A9" s="109" t="s">
        <v>1145</v>
      </c>
      <c r="C9" s="426" t="s">
        <v>1190</v>
      </c>
      <c r="D9" s="426"/>
      <c r="E9" s="426">
        <f>'1.16 Beta Adjusted ERP'!E8</f>
        <v>6.1026365413537675</v>
      </c>
      <c r="F9" s="427" t="s">
        <v>1090</v>
      </c>
      <c r="G9" s="426">
        <f>E9</f>
        <v>6.1026365413537675</v>
      </c>
      <c r="H9" s="427" t="s">
        <v>1090</v>
      </c>
    </row>
    <row r="10" spans="1:8" x14ac:dyDescent="0.5">
      <c r="C10" s="426"/>
      <c r="D10" s="426"/>
      <c r="E10" s="426"/>
      <c r="G10" s="426"/>
    </row>
    <row r="11" spans="1:8" x14ac:dyDescent="0.5">
      <c r="A11" s="109" t="s">
        <v>1148</v>
      </c>
      <c r="C11" s="426" t="s">
        <v>2612</v>
      </c>
      <c r="D11" s="426"/>
      <c r="E11" s="426">
        <f>'1.16 Beta Adjusted ERP'!E10</f>
        <v>6.817379097376854</v>
      </c>
      <c r="F11" s="427"/>
      <c r="G11" s="426">
        <f>E11</f>
        <v>6.817379097376854</v>
      </c>
      <c r="H11" s="427"/>
    </row>
    <row r="12" spans="1:8" x14ac:dyDescent="0.5">
      <c r="C12" s="426"/>
      <c r="D12" s="426"/>
      <c r="E12" s="426"/>
      <c r="G12" s="426"/>
    </row>
    <row r="13" spans="1:8" x14ac:dyDescent="0.5">
      <c r="A13" s="109" t="s">
        <v>1150</v>
      </c>
      <c r="C13" s="426" t="s">
        <v>2596</v>
      </c>
      <c r="D13" s="426"/>
      <c r="E13" s="426">
        <f>'1.16 Beta Adjusted ERP'!E12</f>
        <v>7.5033935869840862</v>
      </c>
      <c r="G13" s="436" t="s">
        <v>14</v>
      </c>
    </row>
    <row r="14" spans="1:8" x14ac:dyDescent="0.5">
      <c r="A14" s="109"/>
      <c r="C14" s="426"/>
      <c r="D14" s="426"/>
      <c r="E14" s="426"/>
      <c r="G14" s="426"/>
    </row>
    <row r="15" spans="1:8" ht="30" x14ac:dyDescent="0.5">
      <c r="A15" s="423" t="s">
        <v>1152</v>
      </c>
      <c r="C15" s="428" t="s">
        <v>2613</v>
      </c>
      <c r="D15" s="426"/>
      <c r="E15" s="426">
        <f>'1.16 Beta Adjusted ERP'!E14</f>
        <v>5.4500000000000011</v>
      </c>
      <c r="F15" s="427"/>
      <c r="G15" s="426">
        <f>E15</f>
        <v>5.4500000000000011</v>
      </c>
      <c r="H15" s="427"/>
    </row>
    <row r="16" spans="1:8" x14ac:dyDescent="0.5">
      <c r="A16" s="423"/>
      <c r="C16" s="428"/>
      <c r="D16" s="426"/>
      <c r="E16" s="426"/>
      <c r="G16" s="426"/>
    </row>
    <row r="17" spans="1:8" ht="51" customHeight="1" x14ac:dyDescent="0.5">
      <c r="A17" s="423" t="s">
        <v>1154</v>
      </c>
      <c r="C17" s="428" t="s">
        <v>2614</v>
      </c>
      <c r="D17" s="426"/>
      <c r="E17" s="429">
        <f>'1.16 Beta Adjusted ERP'!E16</f>
        <v>10.739458939520672</v>
      </c>
      <c r="F17" s="427"/>
      <c r="G17" s="429">
        <f>E17</f>
        <v>10.739458939520672</v>
      </c>
      <c r="H17" s="427"/>
    </row>
    <row r="18" spans="1:8" x14ac:dyDescent="0.5">
      <c r="C18" s="428"/>
      <c r="D18" s="426"/>
      <c r="E18" s="426"/>
      <c r="G18" s="426"/>
    </row>
    <row r="19" spans="1:8" ht="15.75" customHeight="1" x14ac:dyDescent="0.5">
      <c r="A19" s="423" t="s">
        <v>1156</v>
      </c>
      <c r="C19" s="430" t="s">
        <v>2597</v>
      </c>
      <c r="D19" s="426"/>
      <c r="E19" s="431">
        <f>ROUND(AVERAGE(E9,E11,E13,E15,E17),2)</f>
        <v>7.32</v>
      </c>
      <c r="F19" s="427" t="s">
        <v>1090</v>
      </c>
      <c r="G19" s="431">
        <f>ROUND(AVERAGE(G9,G11,G13,G15,G17),2)</f>
        <v>7.28</v>
      </c>
      <c r="H19" s="427" t="s">
        <v>1090</v>
      </c>
    </row>
    <row r="20" spans="1:8" ht="15.75" customHeight="1" x14ac:dyDescent="0.5">
      <c r="C20" s="426"/>
      <c r="D20" s="426"/>
    </row>
    <row r="21" spans="1:8" ht="15.75" customHeight="1" x14ac:dyDescent="0.5">
      <c r="A21" s="432" t="s">
        <v>1157</v>
      </c>
      <c r="C21" s="426" t="s">
        <v>2615</v>
      </c>
      <c r="D21" s="426"/>
      <c r="E21" s="512">
        <f>'1.31 CEM CAPM Backup'!$H$65</f>
        <v>0.87</v>
      </c>
      <c r="G21" s="512">
        <f>E21</f>
        <v>0.87</v>
      </c>
    </row>
    <row r="22" spans="1:8" ht="15.75" customHeight="1" x14ac:dyDescent="0.5">
      <c r="C22" s="426"/>
      <c r="D22" s="426"/>
    </row>
    <row r="23" spans="1:8" ht="15.3" thickBot="1" x14ac:dyDescent="0.55000000000000004">
      <c r="A23" s="432" t="s">
        <v>2598</v>
      </c>
      <c r="C23" s="426" t="s">
        <v>1192</v>
      </c>
      <c r="D23" s="426"/>
      <c r="E23" s="433">
        <f>ROUND(E19*E21,2)</f>
        <v>6.37</v>
      </c>
      <c r="F23" s="426" t="s">
        <v>1090</v>
      </c>
      <c r="G23" s="433">
        <f>ROUND(G19*G21,2)</f>
        <v>6.33</v>
      </c>
      <c r="H23" s="426" t="s">
        <v>1090</v>
      </c>
    </row>
    <row r="24" spans="1:8" ht="15.3" thickTop="1" x14ac:dyDescent="0.5">
      <c r="A24" s="432"/>
      <c r="C24" s="426"/>
      <c r="D24" s="426"/>
      <c r="E24" s="426"/>
      <c r="F24" s="426"/>
    </row>
    <row r="25" spans="1:8" x14ac:dyDescent="0.5">
      <c r="A25" s="444" t="s">
        <v>17</v>
      </c>
      <c r="C25" s="426"/>
      <c r="D25" s="426"/>
      <c r="E25" s="426"/>
      <c r="F25" s="426"/>
    </row>
    <row r="26" spans="1:8" x14ac:dyDescent="0.5">
      <c r="A26" s="432"/>
      <c r="B26" s="111" t="s">
        <v>1146</v>
      </c>
      <c r="C26" s="426" t="str">
        <f>"From note 1 of page 16 of this " &amp; Input!I49 &amp; "."</f>
        <v>From note 1 of page 16 of this Exhibit.</v>
      </c>
      <c r="D26" s="426"/>
      <c r="E26" s="426"/>
      <c r="F26" s="426"/>
    </row>
    <row r="27" spans="1:8" x14ac:dyDescent="0.5">
      <c r="A27" s="432"/>
      <c r="B27" s="434" t="s">
        <v>1147</v>
      </c>
      <c r="C27" s="426" t="str">
        <f>"From note 2 of page 16 of this " &amp; Input!I49 &amp; "."</f>
        <v>From note 2 of page 16 of this Exhibit.</v>
      </c>
      <c r="D27" s="426"/>
      <c r="E27" s="426"/>
      <c r="F27" s="426"/>
    </row>
    <row r="28" spans="1:8" x14ac:dyDescent="0.5">
      <c r="A28" s="432"/>
      <c r="B28" s="434" t="s">
        <v>1149</v>
      </c>
      <c r="C28" s="426" t="str">
        <f>"From note 3 of page 16 of this " &amp; Input!I49 &amp; "."</f>
        <v>From note 3 of page 16 of this Exhibit.</v>
      </c>
      <c r="D28" s="426"/>
      <c r="E28" s="426"/>
      <c r="F28" s="426"/>
    </row>
    <row r="29" spans="1:8" x14ac:dyDescent="0.5">
      <c r="A29" s="432"/>
      <c r="B29" s="434" t="s">
        <v>1153</v>
      </c>
      <c r="C29" s="426" t="str">
        <f>"From note 4 of page 16 of this " &amp; Input!I49 &amp; "."</f>
        <v>From note 4 of page 16 of this Exhibit.</v>
      </c>
      <c r="D29" s="426"/>
      <c r="E29" s="426"/>
      <c r="F29" s="426"/>
    </row>
    <row r="30" spans="1:8" x14ac:dyDescent="0.5">
      <c r="A30" s="432"/>
      <c r="B30" s="434" t="s">
        <v>1155</v>
      </c>
      <c r="C30" s="426" t="str">
        <f>"From note 5 of page 16 of this " &amp; Input!I49 &amp; "."</f>
        <v>From note 5 of page 16 of this Exhibit.</v>
      </c>
      <c r="D30" s="426"/>
      <c r="E30" s="426"/>
      <c r="F30" s="426"/>
    </row>
    <row r="31" spans="1:8" x14ac:dyDescent="0.5">
      <c r="A31" s="137"/>
      <c r="B31" s="434" t="s">
        <v>1158</v>
      </c>
      <c r="C31" s="513" t="s">
        <v>7122</v>
      </c>
    </row>
    <row r="32" spans="1:8" x14ac:dyDescent="0.5">
      <c r="A32" s="137"/>
      <c r="B32" s="137"/>
      <c r="C32" s="513"/>
      <c r="D32" s="435"/>
      <c r="E32" s="435"/>
      <c r="F32" s="435"/>
    </row>
    <row r="33" spans="2:6" x14ac:dyDescent="0.5">
      <c r="B33" s="110" t="s">
        <v>1161</v>
      </c>
      <c r="C33" s="426"/>
      <c r="D33" s="426"/>
      <c r="E33" s="426"/>
      <c r="F33" s="426"/>
    </row>
    <row r="34" spans="2:6" ht="15.75" customHeight="1" x14ac:dyDescent="0.5">
      <c r="C34" s="1420" t="s">
        <v>2608</v>
      </c>
      <c r="D34" s="1420"/>
      <c r="E34" s="1420"/>
      <c r="F34" s="1420"/>
    </row>
    <row r="35" spans="2:6" x14ac:dyDescent="0.5">
      <c r="C35" s="1420" t="s">
        <v>2599</v>
      </c>
      <c r="D35" s="1420"/>
      <c r="E35" s="1420"/>
      <c r="F35" s="1420"/>
    </row>
    <row r="36" spans="2:6" x14ac:dyDescent="0.5">
      <c r="C36" s="514" t="str">
        <f>'1.22 CAPM Notes'!B58&amp;"."</f>
        <v>Blue Chip Financial Forecasts, November 27, 2024 and January 31, 2025.</v>
      </c>
      <c r="D36" s="426"/>
      <c r="E36" s="426"/>
      <c r="F36" s="426"/>
    </row>
    <row r="37" spans="2:6" x14ac:dyDescent="0.5">
      <c r="C37" s="514" t="s">
        <v>2594</v>
      </c>
      <c r="D37" s="426"/>
      <c r="E37" s="426"/>
      <c r="F37" s="426"/>
    </row>
    <row r="38" spans="2:6" x14ac:dyDescent="0.5">
      <c r="C38" s="459"/>
      <c r="D38" s="426"/>
      <c r="E38" s="426"/>
      <c r="F38" s="426"/>
    </row>
    <row r="39" spans="2:6" x14ac:dyDescent="0.5">
      <c r="C39" s="426"/>
      <c r="D39" s="426"/>
      <c r="E39" s="426"/>
      <c r="F39" s="426"/>
    </row>
    <row r="40" spans="2:6" x14ac:dyDescent="0.5">
      <c r="C40" s="436"/>
      <c r="D40" s="426"/>
      <c r="E40" s="426"/>
      <c r="F40" s="426"/>
    </row>
    <row r="41" spans="2:6" x14ac:dyDescent="0.5">
      <c r="C41" s="426"/>
      <c r="D41" s="426"/>
      <c r="E41" s="426"/>
      <c r="F41" s="426"/>
    </row>
    <row r="42" spans="2:6" x14ac:dyDescent="0.5">
      <c r="B42" s="203"/>
      <c r="C42" s="515"/>
      <c r="D42" s="515"/>
      <c r="E42" s="515"/>
      <c r="F42" s="515"/>
    </row>
    <row r="43" spans="2:6" ht="32.25" customHeight="1" x14ac:dyDescent="0.5">
      <c r="B43" s="203"/>
      <c r="C43" s="515"/>
      <c r="D43" s="515"/>
      <c r="E43" s="515"/>
      <c r="F43" s="515"/>
    </row>
    <row r="44" spans="2:6" x14ac:dyDescent="0.5">
      <c r="B44" s="203"/>
      <c r="C44" s="426"/>
      <c r="D44" s="426"/>
      <c r="E44" s="426"/>
      <c r="F44" s="426"/>
    </row>
    <row r="45" spans="2:6" x14ac:dyDescent="0.5">
      <c r="C45" s="426"/>
      <c r="D45" s="426"/>
      <c r="E45" s="426"/>
      <c r="F45" s="426"/>
    </row>
    <row r="46" spans="2:6" x14ac:dyDescent="0.5">
      <c r="C46" s="426"/>
      <c r="D46" s="426"/>
      <c r="E46" s="426"/>
      <c r="F46" s="426"/>
    </row>
    <row r="47" spans="2:6" x14ac:dyDescent="0.5">
      <c r="C47" s="426"/>
      <c r="D47" s="426"/>
      <c r="E47" s="426"/>
      <c r="F47" s="426"/>
    </row>
    <row r="48" spans="2:6" x14ac:dyDescent="0.5">
      <c r="C48" s="426"/>
      <c r="D48" s="426"/>
      <c r="E48" s="426"/>
      <c r="F48" s="426"/>
    </row>
    <row r="49" spans="3:6" x14ac:dyDescent="0.5">
      <c r="C49" s="426"/>
      <c r="D49" s="426"/>
      <c r="E49" s="426"/>
      <c r="F49" s="426"/>
    </row>
    <row r="50" spans="3:6" x14ac:dyDescent="0.5">
      <c r="C50" s="426"/>
      <c r="D50" s="426"/>
      <c r="E50" s="426"/>
      <c r="F50" s="426"/>
    </row>
    <row r="51" spans="3:6" x14ac:dyDescent="0.5">
      <c r="C51" s="426"/>
      <c r="D51" s="426"/>
      <c r="E51" s="426"/>
      <c r="F51" s="426"/>
    </row>
    <row r="52" spans="3:6" x14ac:dyDescent="0.5">
      <c r="C52" s="426"/>
      <c r="D52" s="426"/>
      <c r="E52" s="426"/>
      <c r="F52" s="426"/>
    </row>
    <row r="53" spans="3:6" x14ac:dyDescent="0.5">
      <c r="C53" s="426"/>
      <c r="D53" s="426"/>
      <c r="E53" s="426"/>
      <c r="F53" s="426"/>
    </row>
    <row r="54" spans="3:6" x14ac:dyDescent="0.5">
      <c r="C54" s="426"/>
      <c r="D54" s="426"/>
      <c r="E54" s="426"/>
      <c r="F54" s="426"/>
    </row>
    <row r="55" spans="3:6" x14ac:dyDescent="0.5">
      <c r="C55" s="426"/>
      <c r="D55" s="426"/>
      <c r="E55" s="426"/>
      <c r="F55" s="426"/>
    </row>
    <row r="56" spans="3:6" x14ac:dyDescent="0.5">
      <c r="C56" s="426"/>
      <c r="D56" s="426"/>
      <c r="E56" s="426"/>
      <c r="F56" s="426"/>
    </row>
    <row r="57" spans="3:6" x14ac:dyDescent="0.5">
      <c r="C57" s="426"/>
      <c r="D57" s="426"/>
      <c r="E57" s="426"/>
      <c r="F57" s="426"/>
    </row>
    <row r="58" spans="3:6" x14ac:dyDescent="0.5">
      <c r="C58" s="426"/>
      <c r="D58" s="426"/>
      <c r="E58" s="426"/>
      <c r="F58" s="426"/>
    </row>
    <row r="59" spans="3:6" x14ac:dyDescent="0.5">
      <c r="C59" s="426"/>
      <c r="D59" s="426"/>
      <c r="E59" s="426"/>
      <c r="F59" s="426"/>
    </row>
    <row r="60" spans="3:6" x14ac:dyDescent="0.5">
      <c r="C60" s="426"/>
      <c r="D60" s="426"/>
      <c r="E60" s="426"/>
      <c r="F60" s="426"/>
    </row>
    <row r="61" spans="3:6" x14ac:dyDescent="0.5">
      <c r="C61" s="426"/>
      <c r="D61" s="426"/>
      <c r="E61" s="426"/>
      <c r="F61" s="426"/>
    </row>
    <row r="62" spans="3:6" x14ac:dyDescent="0.5">
      <c r="C62" s="426"/>
      <c r="D62" s="426"/>
      <c r="E62" s="426"/>
      <c r="F62" s="426"/>
    </row>
    <row r="63" spans="3:6" x14ac:dyDescent="0.5">
      <c r="C63" s="426"/>
      <c r="D63" s="426"/>
      <c r="E63" s="426"/>
      <c r="F63" s="426"/>
    </row>
    <row r="64" spans="3:6" x14ac:dyDescent="0.5">
      <c r="C64" s="426"/>
      <c r="D64" s="426"/>
      <c r="E64" s="426"/>
      <c r="F64" s="426"/>
    </row>
    <row r="65" spans="3:6" x14ac:dyDescent="0.5">
      <c r="C65" s="426"/>
      <c r="D65" s="426"/>
      <c r="E65" s="426"/>
      <c r="F65" s="426"/>
    </row>
    <row r="66" spans="3:6" x14ac:dyDescent="0.5">
      <c r="C66" s="426"/>
      <c r="D66" s="426"/>
      <c r="E66" s="426"/>
      <c r="F66" s="426"/>
    </row>
    <row r="67" spans="3:6" x14ac:dyDescent="0.5">
      <c r="C67" s="426"/>
      <c r="D67" s="426"/>
      <c r="E67" s="426"/>
      <c r="F67" s="426"/>
    </row>
    <row r="68" spans="3:6" x14ac:dyDescent="0.5">
      <c r="C68" s="426"/>
      <c r="D68" s="426"/>
      <c r="E68" s="426"/>
      <c r="F68" s="426"/>
    </row>
    <row r="69" spans="3:6" x14ac:dyDescent="0.5">
      <c r="C69" s="426"/>
      <c r="D69" s="426"/>
      <c r="E69" s="426"/>
      <c r="F69" s="426"/>
    </row>
    <row r="70" spans="3:6" x14ac:dyDescent="0.5">
      <c r="C70" s="426"/>
      <c r="D70" s="426"/>
      <c r="E70" s="426"/>
      <c r="F70" s="426"/>
    </row>
    <row r="71" spans="3:6" x14ac:dyDescent="0.5">
      <c r="C71" s="426"/>
      <c r="D71" s="426"/>
      <c r="E71" s="426"/>
      <c r="F71" s="426"/>
    </row>
    <row r="72" spans="3:6" x14ac:dyDescent="0.5">
      <c r="C72" s="426"/>
      <c r="D72" s="426"/>
      <c r="E72" s="426"/>
      <c r="F72" s="426"/>
    </row>
    <row r="73" spans="3:6" x14ac:dyDescent="0.5">
      <c r="C73" s="426"/>
      <c r="D73" s="426"/>
      <c r="E73" s="426"/>
      <c r="F73" s="426"/>
    </row>
    <row r="74" spans="3:6" x14ac:dyDescent="0.5">
      <c r="C74" s="426"/>
      <c r="D74" s="426"/>
      <c r="E74" s="426"/>
      <c r="F74" s="426"/>
    </row>
  </sheetData>
  <mergeCells count="3">
    <mergeCell ref="C34:F34"/>
    <mergeCell ref="C35:F35"/>
    <mergeCell ref="E7:F7"/>
  </mergeCells>
  <printOptions horizontalCentered="1"/>
  <pageMargins left="1" right="1" top="1" bottom="1" header="0.3" footer="0.3"/>
  <pageSetup scale="6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C70E4-2B6A-429A-AD18-D190D284CF1C}">
  <sheetPr codeName="Sheet63">
    <pageSetUpPr fitToPage="1"/>
  </sheetPr>
  <dimension ref="A1:AA72"/>
  <sheetViews>
    <sheetView view="pageBreakPreview" zoomScale="85" zoomScaleNormal="100" zoomScaleSheetLayoutView="85" workbookViewId="0"/>
  </sheetViews>
  <sheetFormatPr defaultColWidth="9" defaultRowHeight="15" x14ac:dyDescent="0.5"/>
  <cols>
    <col min="1" max="1" width="9" style="60"/>
    <col min="2" max="2" width="43.5234375" style="60" customWidth="1"/>
    <col min="3" max="3" width="2.734375" style="60" customWidth="1"/>
    <col min="4" max="4" width="15" style="60" customWidth="1"/>
    <col min="5" max="5" width="2.734375" style="60" customWidth="1"/>
    <col min="6" max="6" width="13.7890625" style="60" customWidth="1"/>
    <col min="7" max="7" width="2.734375" style="60" customWidth="1"/>
    <col min="8" max="8" width="11.26171875" style="60" customWidth="1"/>
    <col min="9" max="9" width="2.734375" style="60" customWidth="1"/>
    <col min="10" max="10" width="13.7890625" style="60" customWidth="1"/>
    <col min="11" max="11" width="4.26171875" style="60" customWidth="1"/>
    <col min="12" max="12" width="2.734375" style="60" customWidth="1"/>
    <col min="13" max="13" width="11.26171875" style="60" customWidth="1"/>
    <col min="14" max="14" width="4.26171875" style="60" customWidth="1"/>
    <col min="15" max="15" width="2.734375" style="60" customWidth="1"/>
    <col min="16" max="16" width="9.5234375" style="60" customWidth="1"/>
    <col min="17" max="17" width="4.26171875" style="60" customWidth="1"/>
    <col min="18" max="18" width="2.734375" style="60" customWidth="1"/>
    <col min="19" max="19" width="11" style="60" customWidth="1"/>
    <col min="20" max="20" width="4.26171875" style="60" customWidth="1"/>
    <col min="21" max="21" width="2.734375" style="60" customWidth="1"/>
    <col min="22" max="22" width="16" style="60" customWidth="1"/>
    <col min="23" max="23" width="4.26171875" style="60" customWidth="1"/>
    <col min="24" max="24" width="9" style="60" customWidth="1"/>
    <col min="25" max="25" width="20.734375" style="60" bestFit="1" customWidth="1"/>
    <col min="26" max="16384" width="9" style="60"/>
  </cols>
  <sheetData>
    <row r="1" spans="1:27" x14ac:dyDescent="0.5">
      <c r="B1" s="113" t="str">
        <f>Input!G28</f>
        <v>Atmos Energy Corporation</v>
      </c>
      <c r="C1" s="114"/>
      <c r="D1" s="114"/>
      <c r="E1" s="114"/>
      <c r="F1" s="114"/>
      <c r="G1" s="114"/>
      <c r="H1" s="114"/>
      <c r="I1" s="114"/>
      <c r="J1" s="114"/>
      <c r="K1" s="114"/>
      <c r="L1" s="114"/>
      <c r="M1" s="114"/>
      <c r="N1" s="114"/>
      <c r="O1" s="114"/>
      <c r="P1" s="114"/>
      <c r="Q1" s="114"/>
      <c r="R1" s="114"/>
      <c r="S1" s="114"/>
      <c r="T1" s="114"/>
      <c r="U1" s="114"/>
      <c r="V1" s="114"/>
      <c r="W1" s="114"/>
    </row>
    <row r="2" spans="1:27" x14ac:dyDescent="0.5">
      <c r="B2" s="114" t="s">
        <v>2607</v>
      </c>
      <c r="C2" s="114"/>
      <c r="D2" s="114"/>
      <c r="E2" s="114"/>
      <c r="F2" s="114"/>
      <c r="G2" s="114"/>
      <c r="H2" s="114"/>
      <c r="I2" s="114"/>
      <c r="J2" s="114"/>
      <c r="K2" s="114"/>
      <c r="L2" s="114"/>
      <c r="M2" s="114"/>
      <c r="N2" s="114"/>
      <c r="O2" s="114"/>
      <c r="P2" s="114"/>
      <c r="Q2" s="114"/>
      <c r="R2" s="114"/>
      <c r="S2" s="114"/>
      <c r="T2" s="114"/>
      <c r="U2" s="114"/>
      <c r="V2" s="114"/>
      <c r="W2" s="114"/>
    </row>
    <row r="3" spans="1:27" x14ac:dyDescent="0.5">
      <c r="B3" s="113" t="str">
        <f>'1.30 CEM Beta Adjusted RP'!A5</f>
        <v>Proxy Group of Seven Natural Gas Companies</v>
      </c>
      <c r="C3" s="114"/>
      <c r="D3" s="114"/>
      <c r="E3" s="114"/>
      <c r="F3" s="114"/>
      <c r="G3" s="114"/>
      <c r="H3" s="114"/>
      <c r="I3" s="114"/>
      <c r="J3" s="114"/>
      <c r="K3" s="114"/>
      <c r="L3" s="114"/>
      <c r="M3" s="114"/>
      <c r="N3" s="114"/>
      <c r="O3" s="114"/>
      <c r="P3" s="114"/>
      <c r="Q3" s="114"/>
      <c r="R3" s="114"/>
      <c r="S3" s="114"/>
      <c r="T3" s="114"/>
      <c r="U3" s="114"/>
      <c r="V3" s="114"/>
      <c r="W3" s="114"/>
    </row>
    <row r="5" spans="1:27" x14ac:dyDescent="0.5">
      <c r="B5" s="1390" t="str">
        <f>CONCATENATE(Input!$I$34)</f>
        <v>Proxy Group of Forty-Nine Non-Price Regulated Companies</v>
      </c>
      <c r="C5" s="1390"/>
      <c r="D5" s="1390"/>
      <c r="E5" s="1390"/>
      <c r="F5" s="1390"/>
      <c r="G5" s="1390"/>
      <c r="H5" s="1390"/>
      <c r="I5" s="1390"/>
      <c r="J5" s="1390"/>
      <c r="K5" s="1390"/>
      <c r="L5" s="1390"/>
      <c r="M5" s="1390"/>
      <c r="N5" s="1390"/>
      <c r="O5" s="1390"/>
      <c r="P5" s="1390"/>
      <c r="Q5" s="1390"/>
      <c r="R5" s="1390"/>
      <c r="S5" s="1390"/>
      <c r="T5" s="1390"/>
      <c r="U5" s="1390"/>
      <c r="V5" s="1390"/>
      <c r="W5" s="1390"/>
    </row>
    <row r="7" spans="1:27" x14ac:dyDescent="0.5">
      <c r="D7" s="59" t="s">
        <v>1163</v>
      </c>
      <c r="E7" s="59"/>
      <c r="F7" s="59" t="s">
        <v>1164</v>
      </c>
      <c r="G7" s="59"/>
      <c r="H7" s="59" t="s">
        <v>1165</v>
      </c>
      <c r="J7" s="114" t="s">
        <v>1166</v>
      </c>
      <c r="K7" s="114"/>
      <c r="M7" s="114" t="s">
        <v>1167</v>
      </c>
      <c r="N7" s="114"/>
      <c r="P7" s="114" t="s">
        <v>1168</v>
      </c>
      <c r="Q7" s="114"/>
      <c r="S7" s="114" t="s">
        <v>1169</v>
      </c>
      <c r="T7" s="114"/>
      <c r="V7" s="114" t="s">
        <v>1170</v>
      </c>
      <c r="W7" s="114"/>
    </row>
    <row r="9" spans="1:27" ht="74.25" customHeight="1" x14ac:dyDescent="0.5">
      <c r="B9" s="451" t="str">
        <f>Input!I34</f>
        <v>Proxy Group of Forty-Nine Non-Price Regulated Companies</v>
      </c>
      <c r="D9" s="123" t="s">
        <v>1261</v>
      </c>
      <c r="E9" s="454"/>
      <c r="F9" s="123" t="s">
        <v>2600</v>
      </c>
      <c r="G9" s="59"/>
      <c r="H9" s="123" t="s">
        <v>1263</v>
      </c>
      <c r="I9" s="59"/>
      <c r="J9" s="1417" t="s">
        <v>1264</v>
      </c>
      <c r="K9" s="1417"/>
      <c r="L9" s="59"/>
      <c r="M9" s="1417" t="s">
        <v>1265</v>
      </c>
      <c r="N9" s="1421"/>
      <c r="O9" s="59"/>
      <c r="P9" s="1417" t="s">
        <v>1266</v>
      </c>
      <c r="Q9" s="1421"/>
      <c r="R9" s="59"/>
      <c r="S9" s="1417" t="s">
        <v>1267</v>
      </c>
      <c r="T9" s="1421"/>
      <c r="U9" s="59"/>
      <c r="V9" s="1417" t="s">
        <v>1268</v>
      </c>
      <c r="W9" s="1422"/>
    </row>
    <row r="10" spans="1:27" ht="15.75" customHeight="1" x14ac:dyDescent="0.5">
      <c r="P10" s="211"/>
    </row>
    <row r="11" spans="1:27" ht="15.75" customHeight="1" x14ac:dyDescent="0.5">
      <c r="A11" s="60" t="str">
        <f>Input!C2</f>
        <v>ABT</v>
      </c>
      <c r="B11" s="460" t="str">
        <f>VLOOKUP($A11,'CEM Data Lookup'!$A:$P,2,FALSE)</f>
        <v xml:space="preserve">Abbott Labs.        </v>
      </c>
      <c r="D11" s="241">
        <f>VLOOKUP($A11,'CEM Data Lookup'!$A:$P,6,FALSE)</f>
        <v>0.9</v>
      </c>
      <c r="E11" s="211"/>
      <c r="F11" s="241">
        <f>VLOOKUP($A11,'CEM Data Lookup'!$A:$P,7,FALSE)</f>
        <v>0.69354146718978882</v>
      </c>
      <c r="G11" s="462"/>
      <c r="H11" s="462">
        <f>ROUND(AVERAGE(D11:F11),2)</f>
        <v>0.8</v>
      </c>
      <c r="I11" s="462"/>
      <c r="J11" s="211">
        <f>'1.22 CAPM Notes'!$N$35</f>
        <v>8.2779621368179104</v>
      </c>
      <c r="K11" s="463" t="s">
        <v>1090</v>
      </c>
      <c r="L11" s="462"/>
      <c r="M11" s="211">
        <f>'1.22 CAPM Notes'!$N$49</f>
        <v>4.5599999999999996</v>
      </c>
      <c r="N11" s="463" t="s">
        <v>1090</v>
      </c>
      <c r="O11" s="462"/>
      <c r="P11" s="229">
        <f>(H11*(J11))+M11</f>
        <v>11.182369709454328</v>
      </c>
      <c r="Q11" s="463" t="s">
        <v>1090</v>
      </c>
      <c r="R11" s="462"/>
      <c r="S11" s="229">
        <f>ROUND((0.75*(H11*J11))+(0.25*J11)+M11,4)</f>
        <v>11.596299999999999</v>
      </c>
      <c r="T11" s="463" t="s">
        <v>1090</v>
      </c>
      <c r="U11" s="462"/>
      <c r="V11" s="211">
        <f>ROUND(AVERAGE(P11,S11),2)</f>
        <v>11.39</v>
      </c>
      <c r="W11" s="59" t="str">
        <f>IF(OR(V11&gt;$Z$13, V11&lt;$Z$14), "(4)","%")</f>
        <v>%</v>
      </c>
      <c r="Y11" s="21" t="s">
        <v>1082</v>
      </c>
      <c r="Z11" s="22">
        <f>AVERAGE(V11:V59)</f>
        <v>11.869183673469388</v>
      </c>
      <c r="AA11" s="464"/>
    </row>
    <row r="12" spans="1:27" ht="15.75" customHeight="1" x14ac:dyDescent="0.5">
      <c r="A12" s="60" t="str">
        <f>Input!C3</f>
        <v>ABBV</v>
      </c>
      <c r="B12" s="460" t="str">
        <f>VLOOKUP($A12,'CEM Data Lookup'!$A:$P,2,FALSE)</f>
        <v xml:space="preserve">AbbVie Inc.         </v>
      </c>
      <c r="D12" s="241">
        <f>VLOOKUP($A12,'CEM Data Lookup'!$A:$P,6,FALSE)</f>
        <v>0.8</v>
      </c>
      <c r="E12" s="211"/>
      <c r="F12" s="241">
        <f>VLOOKUP($A12,'CEM Data Lookup'!$A:$P,7,FALSE)</f>
        <v>0.52325218915939331</v>
      </c>
      <c r="G12" s="462"/>
      <c r="H12" s="462">
        <f t="shared" ref="H12:H59" si="0">ROUND(AVERAGE(D12:F12),2)</f>
        <v>0.66</v>
      </c>
      <c r="I12" s="462"/>
      <c r="J12" s="211">
        <f>'1.22 CAPM Notes'!$N$35</f>
        <v>8.2779621368179104</v>
      </c>
      <c r="K12" s="462"/>
      <c r="L12" s="462"/>
      <c r="M12" s="211">
        <f>'1.22 CAPM Notes'!$N$49</f>
        <v>4.5599999999999996</v>
      </c>
      <c r="N12" s="462"/>
      <c r="O12" s="462"/>
      <c r="P12" s="229">
        <f t="shared" ref="P12:P59" si="1">(H12*(J12))+M12</f>
        <v>10.02345501029982</v>
      </c>
      <c r="Q12" s="462"/>
      <c r="R12" s="462"/>
      <c r="S12" s="229">
        <f t="shared" ref="S12:S59" si="2">ROUND((0.75*(H12*J12))+(0.25*J12)+M12,4)</f>
        <v>10.7271</v>
      </c>
      <c r="T12" s="462"/>
      <c r="U12" s="462"/>
      <c r="V12" s="211">
        <f t="shared" ref="V12:V59" si="3">ROUND(AVERAGE(P12,S12),2)</f>
        <v>10.38</v>
      </c>
      <c r="W12" s="59" t="str">
        <f>IF(OR(V12&gt;$Z$13, V12&lt;$Z$14), "(4)","")</f>
        <v/>
      </c>
      <c r="Y12" s="23" t="s">
        <v>1177</v>
      </c>
      <c r="Z12" s="24">
        <f>2*(_xlfn.STDEV.P(V11:V59))</f>
        <v>1.8320005201616489</v>
      </c>
      <c r="AA12" s="464"/>
    </row>
    <row r="13" spans="1:27" ht="15.75" customHeight="1" x14ac:dyDescent="0.5">
      <c r="A13" s="60" t="str">
        <f>Input!C4</f>
        <v>APD</v>
      </c>
      <c r="B13" s="460" t="str">
        <f>VLOOKUP($A13,'CEM Data Lookup'!$A:$P,2,FALSE)</f>
        <v>Air Products &amp; Chem.</v>
      </c>
      <c r="D13" s="241">
        <f>VLOOKUP($A13,'CEM Data Lookup'!$A:$P,6,FALSE)</f>
        <v>0.9</v>
      </c>
      <c r="E13" s="211"/>
      <c r="F13" s="241">
        <f>VLOOKUP($A13,'CEM Data Lookup'!$A:$P,7,FALSE)</f>
        <v>0.8722151517868042</v>
      </c>
      <c r="G13" s="462"/>
      <c r="H13" s="462">
        <f t="shared" si="0"/>
        <v>0.89</v>
      </c>
      <c r="I13" s="462"/>
      <c r="J13" s="211">
        <f>'1.22 CAPM Notes'!$N$35</f>
        <v>8.2779621368179104</v>
      </c>
      <c r="L13" s="462"/>
      <c r="M13" s="211">
        <f>'1.22 CAPM Notes'!$N$49</f>
        <v>4.5599999999999996</v>
      </c>
      <c r="O13" s="462"/>
      <c r="P13" s="229">
        <f t="shared" si="1"/>
        <v>11.927386301767939</v>
      </c>
      <c r="R13" s="462"/>
      <c r="S13" s="229">
        <f t="shared" si="2"/>
        <v>12.154999999999999</v>
      </c>
      <c r="U13" s="462"/>
      <c r="V13" s="211">
        <f t="shared" si="3"/>
        <v>12.04</v>
      </c>
      <c r="W13" s="59" t="str">
        <f t="shared" ref="W13:W59" si="4">IF(OR(V13&gt;$Z$13, V13&lt;$Z$14), "(4)","")</f>
        <v/>
      </c>
      <c r="Y13" s="23" t="s">
        <v>1178</v>
      </c>
      <c r="Z13" s="25">
        <f>Z11+Z12</f>
        <v>13.701184193631038</v>
      </c>
    </row>
    <row r="14" spans="1:27" ht="15.75" customHeight="1" x14ac:dyDescent="0.5">
      <c r="A14" s="60" t="str">
        <f>Input!C5</f>
        <v>GOOG</v>
      </c>
      <c r="B14" s="460" t="str">
        <f>VLOOKUP($A14,'CEM Data Lookup'!$A:$P,2,FALSE)</f>
        <v xml:space="preserve">Alphabet Inc.       </v>
      </c>
      <c r="D14" s="241">
        <f>VLOOKUP($A14,'CEM Data Lookup'!$A:$P,6,FALSE)</f>
        <v>0.9</v>
      </c>
      <c r="E14" s="211"/>
      <c r="F14" s="241">
        <f>VLOOKUP($A14,'CEM Data Lookup'!$A:$P,7,FALSE)</f>
        <v>1.0347425937652588</v>
      </c>
      <c r="G14" s="462"/>
      <c r="H14" s="462">
        <f t="shared" si="0"/>
        <v>0.97</v>
      </c>
      <c r="I14" s="462"/>
      <c r="J14" s="211">
        <f>'1.22 CAPM Notes'!$N$35</f>
        <v>8.2779621368179104</v>
      </c>
      <c r="L14" s="462"/>
      <c r="M14" s="211">
        <f>'1.22 CAPM Notes'!$N$49</f>
        <v>4.5599999999999996</v>
      </c>
      <c r="O14" s="462"/>
      <c r="P14" s="229">
        <f t="shared" si="1"/>
        <v>12.589623272713371</v>
      </c>
      <c r="R14" s="462"/>
      <c r="S14" s="229">
        <f t="shared" si="2"/>
        <v>12.6517</v>
      </c>
      <c r="U14" s="462"/>
      <c r="V14" s="211">
        <f t="shared" si="3"/>
        <v>12.62</v>
      </c>
      <c r="W14" s="59" t="str">
        <f t="shared" si="4"/>
        <v/>
      </c>
      <c r="Y14" s="26" t="s">
        <v>1179</v>
      </c>
      <c r="Z14" s="27">
        <f>Z11-Z12</f>
        <v>10.037183153307739</v>
      </c>
    </row>
    <row r="15" spans="1:27" ht="15.75" customHeight="1" x14ac:dyDescent="0.5">
      <c r="A15" s="60" t="str">
        <f>Input!C6</f>
        <v>MO</v>
      </c>
      <c r="B15" s="460" t="str">
        <f>VLOOKUP($A15,'CEM Data Lookup'!$A:$P,2,FALSE)</f>
        <v xml:space="preserve">Altria Group        </v>
      </c>
      <c r="D15" s="241">
        <f>VLOOKUP($A15,'CEM Data Lookup'!$A:$P,6,FALSE)</f>
        <v>0.85</v>
      </c>
      <c r="E15" s="211"/>
      <c r="F15" s="241">
        <f>VLOOKUP($A15,'CEM Data Lookup'!$A:$P,7,FALSE)</f>
        <v>0.47395306825637817</v>
      </c>
      <c r="G15" s="462"/>
      <c r="H15" s="462">
        <f t="shared" si="0"/>
        <v>0.66</v>
      </c>
      <c r="I15" s="462"/>
      <c r="J15" s="211">
        <f>'1.22 CAPM Notes'!$N$35</f>
        <v>8.2779621368179104</v>
      </c>
      <c r="L15" s="462"/>
      <c r="M15" s="211">
        <f>'1.22 CAPM Notes'!$N$49</f>
        <v>4.5599999999999996</v>
      </c>
      <c r="O15" s="462"/>
      <c r="P15" s="229">
        <f t="shared" si="1"/>
        <v>10.02345501029982</v>
      </c>
      <c r="R15" s="462"/>
      <c r="S15" s="229">
        <f t="shared" si="2"/>
        <v>10.7271</v>
      </c>
      <c r="U15" s="462"/>
      <c r="V15" s="211">
        <f t="shared" si="3"/>
        <v>10.38</v>
      </c>
      <c r="W15" s="59" t="str">
        <f t="shared" si="4"/>
        <v/>
      </c>
    </row>
    <row r="16" spans="1:27" ht="15.75" customHeight="1" x14ac:dyDescent="0.5">
      <c r="A16" s="60" t="str">
        <f>Input!C7</f>
        <v>AAPL</v>
      </c>
      <c r="B16" s="460" t="str">
        <f>VLOOKUP($A16,'CEM Data Lookup'!$A:$P,2,FALSE)</f>
        <v xml:space="preserve">Apple Inc.          </v>
      </c>
      <c r="D16" s="241">
        <f>VLOOKUP($A16,'CEM Data Lookup'!$A:$P,6,FALSE)</f>
        <v>0.95</v>
      </c>
      <c r="E16" s="211"/>
      <c r="F16" s="241">
        <f>VLOOKUP($A16,'CEM Data Lookup'!$A:$P,7,FALSE)</f>
        <v>0.95028632879257202</v>
      </c>
      <c r="G16" s="462"/>
      <c r="H16" s="462">
        <f t="shared" si="0"/>
        <v>0.95</v>
      </c>
      <c r="I16" s="462"/>
      <c r="J16" s="211">
        <f>'1.22 CAPM Notes'!$N$35</f>
        <v>8.2779621368179104</v>
      </c>
      <c r="L16" s="462"/>
      <c r="M16" s="211">
        <f>'1.22 CAPM Notes'!$N$49</f>
        <v>4.5599999999999996</v>
      </c>
      <c r="O16" s="462"/>
      <c r="P16" s="229">
        <f t="shared" si="1"/>
        <v>12.424064029977014</v>
      </c>
      <c r="R16" s="462"/>
      <c r="S16" s="229">
        <f t="shared" si="2"/>
        <v>12.5275</v>
      </c>
      <c r="U16" s="462"/>
      <c r="V16" s="211">
        <f t="shared" si="3"/>
        <v>12.48</v>
      </c>
      <c r="W16" s="59" t="str">
        <f t="shared" si="4"/>
        <v/>
      </c>
    </row>
    <row r="17" spans="1:23" ht="15.75" customHeight="1" x14ac:dyDescent="0.5">
      <c r="A17" s="60" t="str">
        <f>Input!C8</f>
        <v>AIZ</v>
      </c>
      <c r="B17" s="460" t="str">
        <f>VLOOKUP($A17,'CEM Data Lookup'!$A:$P,2,FALSE)</f>
        <v xml:space="preserve">Assurant Inc.       </v>
      </c>
      <c r="D17" s="241">
        <f>VLOOKUP($A17,'CEM Data Lookup'!$A:$P,6,FALSE)</f>
        <v>0.9</v>
      </c>
      <c r="E17" s="211"/>
      <c r="F17" s="241">
        <f>VLOOKUP($A17,'CEM Data Lookup'!$A:$P,7,FALSE)</f>
        <v>0.80906951427459717</v>
      </c>
      <c r="G17" s="462"/>
      <c r="H17" s="462">
        <f t="shared" si="0"/>
        <v>0.85</v>
      </c>
      <c r="I17" s="462"/>
      <c r="J17" s="211">
        <f>'1.22 CAPM Notes'!$N$35</f>
        <v>8.2779621368179104</v>
      </c>
      <c r="L17" s="462"/>
      <c r="M17" s="211">
        <f>'1.22 CAPM Notes'!$N$49</f>
        <v>4.5599999999999996</v>
      </c>
      <c r="O17" s="462"/>
      <c r="P17" s="229">
        <f t="shared" si="1"/>
        <v>11.596267816295224</v>
      </c>
      <c r="R17" s="462"/>
      <c r="S17" s="229">
        <f t="shared" si="2"/>
        <v>11.906700000000001</v>
      </c>
      <c r="U17" s="462"/>
      <c r="V17" s="211">
        <f t="shared" si="3"/>
        <v>11.75</v>
      </c>
      <c r="W17" s="59" t="str">
        <f t="shared" si="4"/>
        <v/>
      </c>
    </row>
    <row r="18" spans="1:23" ht="15.75" customHeight="1" x14ac:dyDescent="0.5">
      <c r="A18" s="60" t="str">
        <f>Input!C9</f>
        <v>AZO</v>
      </c>
      <c r="B18" s="460" t="str">
        <f>VLOOKUP($A18,'CEM Data Lookup'!$A:$P,2,FALSE)</f>
        <v xml:space="preserve">AutoZone Inc.       </v>
      </c>
      <c r="D18" s="241">
        <f>VLOOKUP($A18,'CEM Data Lookup'!$A:$P,6,FALSE)</f>
        <v>0.9</v>
      </c>
      <c r="E18" s="211"/>
      <c r="F18" s="241">
        <f>VLOOKUP($A18,'CEM Data Lookup'!$A:$P,7,FALSE)</f>
        <v>0.66840672492980957</v>
      </c>
      <c r="G18" s="462"/>
      <c r="H18" s="462">
        <f t="shared" si="0"/>
        <v>0.78</v>
      </c>
      <c r="I18" s="462"/>
      <c r="J18" s="211">
        <f>'1.22 CAPM Notes'!$N$35</f>
        <v>8.2779621368179104</v>
      </c>
      <c r="L18" s="462"/>
      <c r="M18" s="211">
        <f>'1.22 CAPM Notes'!$N$49</f>
        <v>4.5599999999999996</v>
      </c>
      <c r="O18" s="462"/>
      <c r="P18" s="229">
        <f t="shared" si="1"/>
        <v>11.01681046671797</v>
      </c>
      <c r="R18" s="462"/>
      <c r="S18" s="229">
        <f t="shared" si="2"/>
        <v>11.472099999999999</v>
      </c>
      <c r="U18" s="462"/>
      <c r="V18" s="211">
        <f t="shared" si="3"/>
        <v>11.24</v>
      </c>
      <c r="W18" s="59" t="str">
        <f t="shared" si="4"/>
        <v/>
      </c>
    </row>
    <row r="19" spans="1:23" ht="15.75" customHeight="1" x14ac:dyDescent="0.5">
      <c r="A19" s="60" t="str">
        <f>Input!C10</f>
        <v>BAH</v>
      </c>
      <c r="B19" s="460" t="str">
        <f>VLOOKUP($A19,'CEM Data Lookup'!$A:$P,2,FALSE)</f>
        <v xml:space="preserve">Booz Allen Hamilton </v>
      </c>
      <c r="D19" s="241">
        <f>VLOOKUP($A19,'CEM Data Lookup'!$A:$P,6,FALSE)</f>
        <v>0.85</v>
      </c>
      <c r="E19" s="211"/>
      <c r="F19" s="241">
        <f>VLOOKUP($A19,'CEM Data Lookup'!$A:$P,7,FALSE)</f>
        <v>0.95955890417098999</v>
      </c>
      <c r="G19" s="462"/>
      <c r="H19" s="462">
        <f t="shared" si="0"/>
        <v>0.9</v>
      </c>
      <c r="I19" s="462"/>
      <c r="J19" s="211">
        <f>'1.22 CAPM Notes'!$N$35</f>
        <v>8.2779621368179104</v>
      </c>
      <c r="L19" s="462"/>
      <c r="M19" s="211">
        <f>'1.22 CAPM Notes'!$N$49</f>
        <v>4.5599999999999996</v>
      </c>
      <c r="O19" s="462"/>
      <c r="P19" s="229">
        <f t="shared" si="1"/>
        <v>12.010165923136119</v>
      </c>
      <c r="R19" s="462"/>
      <c r="S19" s="229">
        <f t="shared" si="2"/>
        <v>12.2171</v>
      </c>
      <c r="U19" s="462"/>
      <c r="V19" s="211">
        <f t="shared" si="3"/>
        <v>12.11</v>
      </c>
      <c r="W19" s="59" t="str">
        <f t="shared" si="4"/>
        <v/>
      </c>
    </row>
    <row r="20" spans="1:23" ht="15.75" customHeight="1" x14ac:dyDescent="0.5">
      <c r="A20" s="60" t="str">
        <f>Input!C11</f>
        <v>BRC</v>
      </c>
      <c r="B20" s="460" t="str">
        <f>VLOOKUP($A20,'CEM Data Lookup'!$A:$P,2,FALSE)</f>
        <v xml:space="preserve">Brady Corp.         </v>
      </c>
      <c r="D20" s="241">
        <f>VLOOKUP($A20,'CEM Data Lookup'!$A:$P,6,FALSE)</f>
        <v>0.95</v>
      </c>
      <c r="E20" s="211"/>
      <c r="F20" s="241">
        <f>VLOOKUP($A20,'CEM Data Lookup'!$A:$P,7,FALSE)</f>
        <v>0.6922643780708313</v>
      </c>
      <c r="G20" s="462"/>
      <c r="H20" s="462">
        <f t="shared" si="0"/>
        <v>0.82</v>
      </c>
      <c r="I20" s="462"/>
      <c r="J20" s="211">
        <f>'1.22 CAPM Notes'!$N$35</f>
        <v>8.2779621368179104</v>
      </c>
      <c r="L20" s="462"/>
      <c r="M20" s="211">
        <f>'1.22 CAPM Notes'!$N$49</f>
        <v>4.5599999999999996</v>
      </c>
      <c r="O20" s="462"/>
      <c r="P20" s="229">
        <f t="shared" si="1"/>
        <v>11.347928952190685</v>
      </c>
      <c r="R20" s="462"/>
      <c r="S20" s="229">
        <f t="shared" si="2"/>
        <v>11.7204</v>
      </c>
      <c r="U20" s="462"/>
      <c r="V20" s="211">
        <f t="shared" si="3"/>
        <v>11.53</v>
      </c>
      <c r="W20" s="59" t="str">
        <f t="shared" si="4"/>
        <v/>
      </c>
    </row>
    <row r="21" spans="1:23" ht="15.75" customHeight="1" x14ac:dyDescent="0.5">
      <c r="A21" s="60" t="str">
        <f>Input!C12</f>
        <v>BWXT</v>
      </c>
      <c r="B21" s="460" t="str">
        <f>VLOOKUP($A21,'CEM Data Lookup'!$A:$P,2,FALSE)</f>
        <v xml:space="preserve">BWX Technologies    </v>
      </c>
      <c r="D21" s="241">
        <f>VLOOKUP($A21,'CEM Data Lookup'!$A:$P,6,FALSE)</f>
        <v>0.85</v>
      </c>
      <c r="E21" s="211"/>
      <c r="F21" s="241">
        <f>VLOOKUP($A21,'CEM Data Lookup'!$A:$P,7,FALSE)</f>
        <v>0.82718586921691895</v>
      </c>
      <c r="G21" s="462"/>
      <c r="H21" s="462">
        <f t="shared" si="0"/>
        <v>0.84</v>
      </c>
      <c r="I21" s="462"/>
      <c r="J21" s="211">
        <f>'1.22 CAPM Notes'!$N$35</f>
        <v>8.2779621368179104</v>
      </c>
      <c r="L21" s="462"/>
      <c r="M21" s="211">
        <f>'1.22 CAPM Notes'!$N$49</f>
        <v>4.5599999999999996</v>
      </c>
      <c r="O21" s="462"/>
      <c r="P21" s="229">
        <f t="shared" si="1"/>
        <v>11.513488194927044</v>
      </c>
      <c r="R21" s="462"/>
      <c r="S21" s="229">
        <f t="shared" si="2"/>
        <v>11.8446</v>
      </c>
      <c r="U21" s="462"/>
      <c r="V21" s="211">
        <f t="shared" si="3"/>
        <v>11.68</v>
      </c>
      <c r="W21" s="59" t="str">
        <f t="shared" si="4"/>
        <v/>
      </c>
    </row>
    <row r="22" spans="1:23" ht="15.75" customHeight="1" x14ac:dyDescent="0.5">
      <c r="A22" s="60" t="str">
        <f>Input!C13</f>
        <v>CACI</v>
      </c>
      <c r="B22" s="460" t="str">
        <f>VLOOKUP($A22,'CEM Data Lookup'!$A:$P,2,FALSE)</f>
        <v xml:space="preserve">CACI Int'l          </v>
      </c>
      <c r="D22" s="241">
        <f>VLOOKUP($A22,'CEM Data Lookup'!$A:$P,6,FALSE)</f>
        <v>0.9</v>
      </c>
      <c r="E22" s="211"/>
      <c r="F22" s="241">
        <f>VLOOKUP($A22,'CEM Data Lookup'!$A:$P,7,FALSE)</f>
        <v>0.81180983781814575</v>
      </c>
      <c r="G22" s="462"/>
      <c r="H22" s="462">
        <f t="shared" si="0"/>
        <v>0.86</v>
      </c>
      <c r="I22" s="462"/>
      <c r="J22" s="211">
        <f>'1.22 CAPM Notes'!$N$35</f>
        <v>8.2779621368179104</v>
      </c>
      <c r="L22" s="462"/>
      <c r="M22" s="211">
        <f>'1.22 CAPM Notes'!$N$49</f>
        <v>4.5599999999999996</v>
      </c>
      <c r="O22" s="462"/>
      <c r="P22" s="229">
        <f t="shared" si="1"/>
        <v>11.679047437663403</v>
      </c>
      <c r="R22" s="462"/>
      <c r="S22" s="229">
        <f t="shared" si="2"/>
        <v>11.9688</v>
      </c>
      <c r="U22" s="462"/>
      <c r="V22" s="211">
        <f t="shared" si="3"/>
        <v>11.82</v>
      </c>
      <c r="W22" s="59" t="str">
        <f t="shared" si="4"/>
        <v/>
      </c>
    </row>
    <row r="23" spans="1:23" ht="15.75" customHeight="1" x14ac:dyDescent="0.5">
      <c r="A23" s="60" t="str">
        <f>Input!C14</f>
        <v>CASY</v>
      </c>
      <c r="B23" s="460" t="str">
        <f>VLOOKUP($A23,'CEM Data Lookup'!$A:$P,2,FALSE)</f>
        <v>Casey's Gen'l Stores</v>
      </c>
      <c r="D23" s="241">
        <f>VLOOKUP($A23,'CEM Data Lookup'!$A:$P,6,FALSE)</f>
        <v>0.9</v>
      </c>
      <c r="E23" s="211"/>
      <c r="F23" s="241">
        <f>VLOOKUP($A23,'CEM Data Lookup'!$A:$P,7,FALSE)</f>
        <v>0.65250164270401001</v>
      </c>
      <c r="G23" s="462"/>
      <c r="H23" s="462">
        <f t="shared" si="0"/>
        <v>0.78</v>
      </c>
      <c r="I23" s="462"/>
      <c r="J23" s="211">
        <f>'1.22 CAPM Notes'!$N$35</f>
        <v>8.2779621368179104</v>
      </c>
      <c r="L23" s="462"/>
      <c r="M23" s="211">
        <f>'1.22 CAPM Notes'!$N$49</f>
        <v>4.5599999999999996</v>
      </c>
      <c r="O23" s="462"/>
      <c r="P23" s="229">
        <f t="shared" si="1"/>
        <v>11.01681046671797</v>
      </c>
      <c r="R23" s="462"/>
      <c r="S23" s="229">
        <f t="shared" si="2"/>
        <v>11.472099999999999</v>
      </c>
      <c r="U23" s="462"/>
      <c r="V23" s="211">
        <f t="shared" si="3"/>
        <v>11.24</v>
      </c>
      <c r="W23" s="59" t="str">
        <f t="shared" si="4"/>
        <v/>
      </c>
    </row>
    <row r="24" spans="1:23" ht="15.75" customHeight="1" x14ac:dyDescent="0.5">
      <c r="A24" s="60" t="str">
        <f>Input!C15</f>
        <v>COR</v>
      </c>
      <c r="B24" s="460" t="str">
        <f>VLOOKUP($A24,'CEM Data Lookup'!$A:$P,2,FALSE)</f>
        <v xml:space="preserve">Cencora             </v>
      </c>
      <c r="D24" s="241">
        <f>VLOOKUP($A24,'CEM Data Lookup'!$A:$P,6,FALSE)</f>
        <v>0.8</v>
      </c>
      <c r="E24" s="211"/>
      <c r="F24" s="241">
        <f>VLOOKUP($A24,'CEM Data Lookup'!$A:$P,7,FALSE)</f>
        <v>0.55954545736312866</v>
      </c>
      <c r="G24" s="462"/>
      <c r="H24" s="462">
        <f t="shared" si="0"/>
        <v>0.68</v>
      </c>
      <c r="I24" s="462"/>
      <c r="J24" s="211">
        <f>'1.22 CAPM Notes'!$N$35</f>
        <v>8.2779621368179104</v>
      </c>
      <c r="L24" s="462"/>
      <c r="M24" s="211">
        <f>'1.22 CAPM Notes'!$N$49</f>
        <v>4.5599999999999996</v>
      </c>
      <c r="O24" s="462"/>
      <c r="P24" s="229">
        <f t="shared" si="1"/>
        <v>10.189014253036179</v>
      </c>
      <c r="R24" s="462"/>
      <c r="S24" s="229">
        <f t="shared" si="2"/>
        <v>10.8513</v>
      </c>
      <c r="U24" s="462"/>
      <c r="V24" s="211">
        <f t="shared" si="3"/>
        <v>10.52</v>
      </c>
      <c r="W24" s="59" t="str">
        <f t="shared" si="4"/>
        <v/>
      </c>
    </row>
    <row r="25" spans="1:23" ht="15.75" customHeight="1" x14ac:dyDescent="0.5">
      <c r="A25" s="60" t="str">
        <f>Input!C16</f>
        <v>CSWI</v>
      </c>
      <c r="B25" s="460" t="str">
        <f>VLOOKUP($A25,'CEM Data Lookup'!$A:$P,2,FALSE)</f>
        <v xml:space="preserve">CSW Industrials     </v>
      </c>
      <c r="D25" s="241">
        <f>VLOOKUP($A25,'CEM Data Lookup'!$A:$P,6,FALSE)</f>
        <v>0.9</v>
      </c>
      <c r="E25" s="211"/>
      <c r="F25" s="241">
        <f>VLOOKUP($A25,'CEM Data Lookup'!$A:$P,7,FALSE)</f>
        <v>1.1909652948379517</v>
      </c>
      <c r="G25" s="462"/>
      <c r="H25" s="462">
        <f t="shared" si="0"/>
        <v>1.05</v>
      </c>
      <c r="I25" s="462"/>
      <c r="J25" s="211">
        <f>'1.22 CAPM Notes'!$N$35</f>
        <v>8.2779621368179104</v>
      </c>
      <c r="L25" s="462"/>
      <c r="M25" s="211">
        <f>'1.22 CAPM Notes'!$N$49</f>
        <v>4.5599999999999996</v>
      </c>
      <c r="O25" s="462"/>
      <c r="P25" s="229">
        <f t="shared" si="1"/>
        <v>13.251860243658808</v>
      </c>
      <c r="R25" s="462"/>
      <c r="S25" s="229">
        <f t="shared" si="2"/>
        <v>13.148400000000001</v>
      </c>
      <c r="U25" s="462"/>
      <c r="V25" s="211">
        <f t="shared" si="3"/>
        <v>13.2</v>
      </c>
      <c r="W25" s="59" t="str">
        <f t="shared" si="4"/>
        <v/>
      </c>
    </row>
    <row r="26" spans="1:23" ht="15.75" customHeight="1" x14ac:dyDescent="0.5">
      <c r="A26" s="60" t="str">
        <f>Input!C17</f>
        <v>CVS</v>
      </c>
      <c r="B26" s="460" t="str">
        <f>VLOOKUP($A26,'CEM Data Lookup'!$A:$P,2,FALSE)</f>
        <v xml:space="preserve">CVS Health          </v>
      </c>
      <c r="D26" s="241">
        <f>VLOOKUP($A26,'CEM Data Lookup'!$A:$P,6,FALSE)</f>
        <v>0.9</v>
      </c>
      <c r="E26" s="211"/>
      <c r="F26" s="241">
        <f>VLOOKUP($A26,'CEM Data Lookup'!$A:$P,7,FALSE)</f>
        <v>0.68309164047241211</v>
      </c>
      <c r="G26" s="462"/>
      <c r="H26" s="462">
        <f t="shared" si="0"/>
        <v>0.79</v>
      </c>
      <c r="I26" s="462"/>
      <c r="J26" s="211">
        <f>'1.22 CAPM Notes'!$N$35</f>
        <v>8.2779621368179104</v>
      </c>
      <c r="L26" s="462"/>
      <c r="M26" s="211">
        <f>'1.22 CAPM Notes'!$N$49</f>
        <v>4.5599999999999996</v>
      </c>
      <c r="O26" s="462"/>
      <c r="P26" s="229">
        <f t="shared" si="1"/>
        <v>11.099590088086149</v>
      </c>
      <c r="R26" s="462"/>
      <c r="S26" s="229">
        <f t="shared" si="2"/>
        <v>11.5342</v>
      </c>
      <c r="U26" s="462"/>
      <c r="V26" s="211">
        <f t="shared" si="3"/>
        <v>11.32</v>
      </c>
      <c r="W26" s="59" t="str">
        <f t="shared" si="4"/>
        <v/>
      </c>
    </row>
    <row r="27" spans="1:23" ht="15.75" customHeight="1" x14ac:dyDescent="0.5">
      <c r="A27" s="60" t="str">
        <f>Input!C18</f>
        <v>DHR</v>
      </c>
      <c r="B27" s="460" t="str">
        <f>VLOOKUP($A27,'CEM Data Lookup'!$A:$P,2,FALSE)</f>
        <v xml:space="preserve">Danaher Corp.       </v>
      </c>
      <c r="D27" s="241">
        <f>VLOOKUP($A27,'CEM Data Lookup'!$A:$P,6,FALSE)</f>
        <v>0.9</v>
      </c>
      <c r="E27" s="211"/>
      <c r="F27" s="241">
        <f>VLOOKUP($A27,'CEM Data Lookup'!$A:$P,7,FALSE)</f>
        <v>0.8980674147605896</v>
      </c>
      <c r="G27" s="462"/>
      <c r="H27" s="462">
        <f t="shared" si="0"/>
        <v>0.9</v>
      </c>
      <c r="I27" s="462"/>
      <c r="J27" s="211">
        <f>'1.22 CAPM Notes'!$N$35</f>
        <v>8.2779621368179104</v>
      </c>
      <c r="L27" s="462"/>
      <c r="M27" s="211">
        <f>'1.22 CAPM Notes'!$N$49</f>
        <v>4.5599999999999996</v>
      </c>
      <c r="O27" s="462"/>
      <c r="P27" s="229">
        <f t="shared" si="1"/>
        <v>12.010165923136119</v>
      </c>
      <c r="R27" s="462"/>
      <c r="S27" s="229">
        <f t="shared" si="2"/>
        <v>12.2171</v>
      </c>
      <c r="U27" s="462"/>
      <c r="V27" s="211">
        <f t="shared" si="3"/>
        <v>12.11</v>
      </c>
      <c r="W27" s="59" t="str">
        <f t="shared" si="4"/>
        <v/>
      </c>
    </row>
    <row r="28" spans="1:23" ht="15.75" customHeight="1" x14ac:dyDescent="0.5">
      <c r="A28" s="60" t="str">
        <f>Input!C19</f>
        <v>DLB</v>
      </c>
      <c r="B28" s="460" t="str">
        <f>VLOOKUP($A28,'CEM Data Lookup'!$A:$P,2,FALSE)</f>
        <v xml:space="preserve">Dolby Labs.         </v>
      </c>
      <c r="D28" s="241">
        <f>VLOOKUP($A28,'CEM Data Lookup'!$A:$P,6,FALSE)</f>
        <v>0.95</v>
      </c>
      <c r="E28" s="211"/>
      <c r="F28" s="241">
        <f>VLOOKUP($A28,'CEM Data Lookup'!$A:$P,7,FALSE)</f>
        <v>0.90907853841781616</v>
      </c>
      <c r="G28" s="462"/>
      <c r="H28" s="462">
        <f t="shared" si="0"/>
        <v>0.93</v>
      </c>
      <c r="I28" s="462"/>
      <c r="J28" s="211">
        <f>'1.22 CAPM Notes'!$N$35</f>
        <v>8.2779621368179104</v>
      </c>
      <c r="L28" s="462"/>
      <c r="M28" s="211">
        <f>'1.22 CAPM Notes'!$N$49</f>
        <v>4.5599999999999996</v>
      </c>
      <c r="O28" s="462"/>
      <c r="P28" s="229">
        <f t="shared" si="1"/>
        <v>12.258504787240657</v>
      </c>
      <c r="R28" s="462"/>
      <c r="S28" s="229">
        <f t="shared" si="2"/>
        <v>12.4034</v>
      </c>
      <c r="U28" s="462"/>
      <c r="V28" s="211">
        <f t="shared" si="3"/>
        <v>12.33</v>
      </c>
      <c r="W28" s="59" t="str">
        <f t="shared" si="4"/>
        <v/>
      </c>
    </row>
    <row r="29" spans="1:23" ht="15.75" customHeight="1" x14ac:dyDescent="0.5">
      <c r="A29" s="60" t="str">
        <f>Input!C20</f>
        <v>EXPO</v>
      </c>
      <c r="B29" s="460" t="str">
        <f>VLOOKUP($A29,'CEM Data Lookup'!$A:$P,2,FALSE)</f>
        <v xml:space="preserve">Exponent, Inc.      </v>
      </c>
      <c r="D29" s="241">
        <f>VLOOKUP($A29,'CEM Data Lookup'!$A:$P,6,FALSE)</f>
        <v>0.95</v>
      </c>
      <c r="E29" s="211"/>
      <c r="F29" s="241">
        <f>VLOOKUP($A29,'CEM Data Lookup'!$A:$P,7,FALSE)</f>
        <v>1.1504942178726196</v>
      </c>
      <c r="G29" s="462"/>
      <c r="H29" s="462">
        <f t="shared" si="0"/>
        <v>1.05</v>
      </c>
      <c r="I29" s="462"/>
      <c r="J29" s="211">
        <f>'1.22 CAPM Notes'!$N$35</f>
        <v>8.2779621368179104</v>
      </c>
      <c r="L29" s="462"/>
      <c r="M29" s="211">
        <f>'1.22 CAPM Notes'!$N$49</f>
        <v>4.5599999999999996</v>
      </c>
      <c r="O29" s="462"/>
      <c r="P29" s="229">
        <f t="shared" si="1"/>
        <v>13.251860243658808</v>
      </c>
      <c r="R29" s="462"/>
      <c r="S29" s="229">
        <f t="shared" si="2"/>
        <v>13.148400000000001</v>
      </c>
      <c r="U29" s="462"/>
      <c r="V29" s="211">
        <f t="shared" si="3"/>
        <v>13.2</v>
      </c>
      <c r="W29" s="59" t="str">
        <f t="shared" si="4"/>
        <v/>
      </c>
    </row>
    <row r="30" spans="1:23" ht="15.75" customHeight="1" x14ac:dyDescent="0.5">
      <c r="A30" s="60" t="str">
        <f>Input!C21</f>
        <v>FAST</v>
      </c>
      <c r="B30" s="460" t="str">
        <f>VLOOKUP($A30,'CEM Data Lookup'!$A:$P,2,FALSE)</f>
        <v xml:space="preserve">Fastenal Co.        </v>
      </c>
      <c r="D30" s="241">
        <f>VLOOKUP($A30,'CEM Data Lookup'!$A:$P,6,FALSE)</f>
        <v>0.85</v>
      </c>
      <c r="E30" s="211"/>
      <c r="F30" s="241">
        <f>VLOOKUP($A30,'CEM Data Lookup'!$A:$P,7,FALSE)</f>
        <v>0.95662695169448853</v>
      </c>
      <c r="G30" s="462"/>
      <c r="H30" s="462">
        <f t="shared" si="0"/>
        <v>0.9</v>
      </c>
      <c r="I30" s="462"/>
      <c r="J30" s="211">
        <f>'1.22 CAPM Notes'!$N$35</f>
        <v>8.2779621368179104</v>
      </c>
      <c r="L30" s="462"/>
      <c r="M30" s="211">
        <f>'1.22 CAPM Notes'!$N$49</f>
        <v>4.5599999999999996</v>
      </c>
      <c r="O30" s="462"/>
      <c r="P30" s="229">
        <f t="shared" si="1"/>
        <v>12.010165923136119</v>
      </c>
      <c r="R30" s="462"/>
      <c r="S30" s="229">
        <f t="shared" si="2"/>
        <v>12.2171</v>
      </c>
      <c r="U30" s="462"/>
      <c r="V30" s="211">
        <f t="shared" si="3"/>
        <v>12.11</v>
      </c>
      <c r="W30" s="59" t="str">
        <f t="shared" si="4"/>
        <v/>
      </c>
    </row>
    <row r="31" spans="1:23" ht="15.75" customHeight="1" x14ac:dyDescent="0.5">
      <c r="A31" s="60" t="str">
        <f>Input!C22</f>
        <v>FELE</v>
      </c>
      <c r="B31" s="460" t="str">
        <f>VLOOKUP($A31,'CEM Data Lookup'!$A:$P,2,FALSE)</f>
        <v xml:space="preserve">Franklin Electric   </v>
      </c>
      <c r="D31" s="241">
        <f>VLOOKUP($A31,'CEM Data Lookup'!$A:$P,6,FALSE)</f>
        <v>0.9</v>
      </c>
      <c r="E31" s="211"/>
      <c r="F31" s="241">
        <f>VLOOKUP($A31,'CEM Data Lookup'!$A:$P,7,FALSE)</f>
        <v>1.037055492401123</v>
      </c>
      <c r="G31" s="462"/>
      <c r="H31" s="462">
        <f t="shared" si="0"/>
        <v>0.97</v>
      </c>
      <c r="I31" s="462"/>
      <c r="J31" s="211">
        <f>'1.22 CAPM Notes'!$N$35</f>
        <v>8.2779621368179104</v>
      </c>
      <c r="L31" s="462"/>
      <c r="M31" s="211">
        <f>'1.22 CAPM Notes'!$N$49</f>
        <v>4.5599999999999996</v>
      </c>
      <c r="O31" s="462"/>
      <c r="P31" s="229">
        <f t="shared" si="1"/>
        <v>12.589623272713371</v>
      </c>
      <c r="R31" s="462"/>
      <c r="S31" s="229">
        <f t="shared" si="2"/>
        <v>12.6517</v>
      </c>
      <c r="U31" s="462"/>
      <c r="V31" s="211">
        <f t="shared" si="3"/>
        <v>12.62</v>
      </c>
      <c r="W31" s="59" t="str">
        <f t="shared" si="4"/>
        <v/>
      </c>
    </row>
    <row r="32" spans="1:23" ht="15.75" customHeight="1" x14ac:dyDescent="0.5">
      <c r="A32" s="60" t="str">
        <f>Input!C23</f>
        <v>GATX</v>
      </c>
      <c r="B32" s="460" t="str">
        <f>VLOOKUP($A32,'CEM Data Lookup'!$A:$P,2,FALSE)</f>
        <v xml:space="preserve">GATX Corp.          </v>
      </c>
      <c r="D32" s="241">
        <f>VLOOKUP($A32,'CEM Data Lookup'!$A:$P,6,FALSE)</f>
        <v>0.95</v>
      </c>
      <c r="E32" s="211"/>
      <c r="F32" s="241">
        <f>VLOOKUP($A32,'CEM Data Lookup'!$A:$P,7,FALSE)</f>
        <v>1.0428807735443115</v>
      </c>
      <c r="G32" s="462"/>
      <c r="H32" s="462">
        <f t="shared" si="0"/>
        <v>1</v>
      </c>
      <c r="I32" s="462"/>
      <c r="J32" s="211">
        <f>'1.22 CAPM Notes'!$N$35</f>
        <v>8.2779621368179104</v>
      </c>
      <c r="L32" s="462"/>
      <c r="M32" s="211">
        <f>'1.22 CAPM Notes'!$N$49</f>
        <v>4.5599999999999996</v>
      </c>
      <c r="O32" s="462"/>
      <c r="P32" s="229">
        <f t="shared" si="1"/>
        <v>12.837962136817911</v>
      </c>
      <c r="R32" s="462"/>
      <c r="S32" s="229">
        <f t="shared" si="2"/>
        <v>12.837999999999999</v>
      </c>
      <c r="U32" s="462"/>
      <c r="V32" s="211">
        <f t="shared" si="3"/>
        <v>12.84</v>
      </c>
      <c r="W32" s="59" t="str">
        <f t="shared" si="4"/>
        <v/>
      </c>
    </row>
    <row r="33" spans="1:23" ht="15.75" customHeight="1" x14ac:dyDescent="0.5">
      <c r="A33" s="60" t="str">
        <f>Input!C24</f>
        <v>JKHY</v>
      </c>
      <c r="B33" s="460" t="str">
        <f>VLOOKUP($A33,'CEM Data Lookup'!$A:$P,2,FALSE)</f>
        <v>Henry (Jack) &amp; Assoc</v>
      </c>
      <c r="D33" s="241">
        <f>VLOOKUP($A33,'CEM Data Lookup'!$A:$P,6,FALSE)</f>
        <v>0.85</v>
      </c>
      <c r="E33" s="211"/>
      <c r="F33" s="241">
        <f>VLOOKUP($A33,'CEM Data Lookup'!$A:$P,7,FALSE)</f>
        <v>0.74081504344940186</v>
      </c>
      <c r="G33" s="462"/>
      <c r="H33" s="462">
        <f t="shared" si="0"/>
        <v>0.8</v>
      </c>
      <c r="I33" s="462"/>
      <c r="J33" s="211">
        <f>'1.22 CAPM Notes'!$N$35</f>
        <v>8.2779621368179104</v>
      </c>
      <c r="L33" s="462"/>
      <c r="M33" s="211">
        <f>'1.22 CAPM Notes'!$N$49</f>
        <v>4.5599999999999996</v>
      </c>
      <c r="O33" s="462"/>
      <c r="P33" s="229">
        <f t="shared" si="1"/>
        <v>11.182369709454328</v>
      </c>
      <c r="R33" s="462"/>
      <c r="S33" s="229">
        <f t="shared" si="2"/>
        <v>11.596299999999999</v>
      </c>
      <c r="U33" s="462"/>
      <c r="V33" s="211">
        <f t="shared" si="3"/>
        <v>11.39</v>
      </c>
      <c r="W33" s="59" t="str">
        <f t="shared" si="4"/>
        <v/>
      </c>
    </row>
    <row r="34" spans="1:23" ht="15.75" customHeight="1" x14ac:dyDescent="0.5">
      <c r="A34" s="60" t="str">
        <f>Input!C25</f>
        <v>JBHT</v>
      </c>
      <c r="B34" s="460" t="str">
        <f>VLOOKUP($A34,'CEM Data Lookup'!$A:$P,2,FALSE)</f>
        <v xml:space="preserve">Hunt (J.B.)         </v>
      </c>
      <c r="D34" s="241">
        <f>VLOOKUP($A34,'CEM Data Lookup'!$A:$P,6,FALSE)</f>
        <v>0.95</v>
      </c>
      <c r="E34" s="211"/>
      <c r="F34" s="241">
        <f>VLOOKUP($A34,'CEM Data Lookup'!$A:$P,7,FALSE)</f>
        <v>1.0723741054534912</v>
      </c>
      <c r="G34" s="462"/>
      <c r="H34" s="462">
        <f t="shared" si="0"/>
        <v>1.01</v>
      </c>
      <c r="I34" s="462"/>
      <c r="J34" s="211">
        <f>'1.22 CAPM Notes'!$N$35</f>
        <v>8.2779621368179104</v>
      </c>
      <c r="L34" s="462"/>
      <c r="M34" s="211">
        <f>'1.22 CAPM Notes'!$N$49</f>
        <v>4.5599999999999996</v>
      </c>
      <c r="O34" s="462"/>
      <c r="P34" s="229">
        <f t="shared" si="1"/>
        <v>12.920741758186089</v>
      </c>
      <c r="R34" s="462"/>
      <c r="S34" s="229">
        <f t="shared" si="2"/>
        <v>12.9</v>
      </c>
      <c r="U34" s="462"/>
      <c r="V34" s="211">
        <f t="shared" si="3"/>
        <v>12.91</v>
      </c>
      <c r="W34" s="59" t="str">
        <f t="shared" si="4"/>
        <v/>
      </c>
    </row>
    <row r="35" spans="1:23" ht="15.75" customHeight="1" x14ac:dyDescent="0.5">
      <c r="A35" s="60" t="str">
        <f>Input!C26</f>
        <v>HII</v>
      </c>
      <c r="B35" s="460" t="str">
        <f>VLOOKUP($A35,'CEM Data Lookup'!$A:$P,2,FALSE)</f>
        <v xml:space="preserve">Huntington Ingalls  </v>
      </c>
      <c r="D35" s="241">
        <f>VLOOKUP($A35,'CEM Data Lookup'!$A:$P,6,FALSE)</f>
        <v>0.95</v>
      </c>
      <c r="E35" s="211"/>
      <c r="F35" s="241">
        <f>VLOOKUP($A35,'CEM Data Lookup'!$A:$P,7,FALSE)</f>
        <v>1.0332001447677612</v>
      </c>
      <c r="G35" s="462"/>
      <c r="H35" s="462">
        <f t="shared" si="0"/>
        <v>0.99</v>
      </c>
      <c r="I35" s="462"/>
      <c r="J35" s="211">
        <f>'1.22 CAPM Notes'!$N$35</f>
        <v>8.2779621368179104</v>
      </c>
      <c r="L35" s="462"/>
      <c r="M35" s="211">
        <f>'1.22 CAPM Notes'!$N$49</f>
        <v>4.5599999999999996</v>
      </c>
      <c r="O35" s="462"/>
      <c r="P35" s="229">
        <f t="shared" si="1"/>
        <v>12.755182515449732</v>
      </c>
      <c r="R35" s="462"/>
      <c r="S35" s="229">
        <f t="shared" si="2"/>
        <v>12.7759</v>
      </c>
      <c r="U35" s="462"/>
      <c r="V35" s="211">
        <f t="shared" si="3"/>
        <v>12.77</v>
      </c>
      <c r="W35" s="59" t="str">
        <f t="shared" si="4"/>
        <v/>
      </c>
    </row>
    <row r="36" spans="1:23" ht="15.75" customHeight="1" x14ac:dyDescent="0.5">
      <c r="A36" s="60" t="str">
        <f>Input!C27</f>
        <v>LHX</v>
      </c>
      <c r="B36" s="460" t="str">
        <f>VLOOKUP($A36,'CEM Data Lookup'!$A:$P,2,FALSE)</f>
        <v>L3Harris Technologie</v>
      </c>
      <c r="D36" s="241">
        <f>VLOOKUP($A36,'CEM Data Lookup'!$A:$P,6,FALSE)</f>
        <v>0.95</v>
      </c>
      <c r="E36" s="211"/>
      <c r="F36" s="241">
        <f>VLOOKUP($A36,'CEM Data Lookup'!$A:$P,7,FALSE)</f>
        <v>0.85451763868331909</v>
      </c>
      <c r="G36" s="462"/>
      <c r="H36" s="462">
        <f t="shared" si="0"/>
        <v>0.9</v>
      </c>
      <c r="I36" s="462"/>
      <c r="J36" s="211">
        <f>'1.22 CAPM Notes'!$N$35</f>
        <v>8.2779621368179104</v>
      </c>
      <c r="L36" s="462"/>
      <c r="M36" s="211">
        <f>'1.22 CAPM Notes'!$N$49</f>
        <v>4.5599999999999996</v>
      </c>
      <c r="O36" s="462"/>
      <c r="P36" s="229">
        <f t="shared" si="1"/>
        <v>12.010165923136119</v>
      </c>
      <c r="R36" s="462"/>
      <c r="S36" s="229">
        <f t="shared" si="2"/>
        <v>12.2171</v>
      </c>
      <c r="U36" s="462"/>
      <c r="V36" s="211">
        <f t="shared" si="3"/>
        <v>12.11</v>
      </c>
      <c r="W36" s="59" t="str">
        <f t="shared" si="4"/>
        <v/>
      </c>
    </row>
    <row r="37" spans="1:23" ht="15.75" customHeight="1" x14ac:dyDescent="0.5">
      <c r="A37" s="60" t="str">
        <f>Input!C28</f>
        <v>LSTR</v>
      </c>
      <c r="B37" s="460" t="str">
        <f>VLOOKUP($A37,'CEM Data Lookup'!$A:$P,2,FALSE)</f>
        <v xml:space="preserve">Landstar System     </v>
      </c>
      <c r="D37" s="241">
        <f>VLOOKUP($A37,'CEM Data Lookup'!$A:$P,6,FALSE)</f>
        <v>0.8</v>
      </c>
      <c r="E37" s="211"/>
      <c r="F37" s="241">
        <f>VLOOKUP($A37,'CEM Data Lookup'!$A:$P,7,FALSE)</f>
        <v>0.96206098794937134</v>
      </c>
      <c r="G37" s="462"/>
      <c r="H37" s="462">
        <f t="shared" si="0"/>
        <v>0.88</v>
      </c>
      <c r="I37" s="462"/>
      <c r="J37" s="211">
        <f>'1.22 CAPM Notes'!$N$35</f>
        <v>8.2779621368179104</v>
      </c>
      <c r="L37" s="462"/>
      <c r="M37" s="211">
        <f>'1.22 CAPM Notes'!$N$49</f>
        <v>4.5599999999999996</v>
      </c>
      <c r="O37" s="462"/>
      <c r="P37" s="229">
        <f t="shared" si="1"/>
        <v>11.84460668039976</v>
      </c>
      <c r="R37" s="462"/>
      <c r="S37" s="229">
        <f t="shared" si="2"/>
        <v>12.0929</v>
      </c>
      <c r="U37" s="462"/>
      <c r="V37" s="211">
        <f t="shared" si="3"/>
        <v>11.97</v>
      </c>
      <c r="W37" s="59" t="str">
        <f t="shared" si="4"/>
        <v/>
      </c>
    </row>
    <row r="38" spans="1:23" ht="15.75" customHeight="1" x14ac:dyDescent="0.5">
      <c r="A38" s="60" t="str">
        <f>Input!C29</f>
        <v>LMT</v>
      </c>
      <c r="B38" s="460" t="str">
        <f>VLOOKUP($A38,'CEM Data Lookup'!$A:$P,2,FALSE)</f>
        <v xml:space="preserve">Lockheed Martin     </v>
      </c>
      <c r="D38" s="241">
        <f>VLOOKUP($A38,'CEM Data Lookup'!$A:$P,6,FALSE)</f>
        <v>0.85</v>
      </c>
      <c r="E38" s="211"/>
      <c r="F38" s="241">
        <f>VLOOKUP($A38,'CEM Data Lookup'!$A:$P,7,FALSE)</f>
        <v>0.45136621594429016</v>
      </c>
      <c r="G38" s="462"/>
      <c r="H38" s="462">
        <f t="shared" si="0"/>
        <v>0.65</v>
      </c>
      <c r="I38" s="462"/>
      <c r="J38" s="211">
        <f>'1.22 CAPM Notes'!$N$35</f>
        <v>8.2779621368179104</v>
      </c>
      <c r="L38" s="462"/>
      <c r="M38" s="211">
        <f>'1.22 CAPM Notes'!$N$49</f>
        <v>4.5599999999999996</v>
      </c>
      <c r="O38" s="462"/>
      <c r="P38" s="229">
        <f t="shared" si="1"/>
        <v>9.9406753889316413</v>
      </c>
      <c r="R38" s="462"/>
      <c r="S38" s="229">
        <f t="shared" si="2"/>
        <v>10.664999999999999</v>
      </c>
      <c r="U38" s="462"/>
      <c r="V38" s="211">
        <f t="shared" si="3"/>
        <v>10.3</v>
      </c>
      <c r="W38" s="59" t="str">
        <f t="shared" si="4"/>
        <v/>
      </c>
    </row>
    <row r="39" spans="1:23" ht="15.75" customHeight="1" x14ac:dyDescent="0.5">
      <c r="A39" s="60" t="str">
        <f>Input!C30</f>
        <v>MCK</v>
      </c>
      <c r="B39" s="460" t="str">
        <f>VLOOKUP($A39,'CEM Data Lookup'!$A:$P,2,FALSE)</f>
        <v xml:space="preserve">McKesson Corp.      </v>
      </c>
      <c r="D39" s="241">
        <f>VLOOKUP($A39,'CEM Data Lookup'!$A:$P,6,FALSE)</f>
        <v>0.85</v>
      </c>
      <c r="E39" s="211"/>
      <c r="F39" s="241">
        <f>VLOOKUP($A39,'CEM Data Lookup'!$A:$P,7,FALSE)</f>
        <v>0.6526990532875061</v>
      </c>
      <c r="G39" s="462"/>
      <c r="H39" s="462">
        <f t="shared" si="0"/>
        <v>0.75</v>
      </c>
      <c r="I39" s="462"/>
      <c r="J39" s="211">
        <f>'1.22 CAPM Notes'!$N$35</f>
        <v>8.2779621368179104</v>
      </c>
      <c r="L39" s="462"/>
      <c r="M39" s="211">
        <f>'1.22 CAPM Notes'!$N$49</f>
        <v>4.5599999999999996</v>
      </c>
      <c r="O39" s="462"/>
      <c r="P39" s="229">
        <f t="shared" si="1"/>
        <v>10.768471602613431</v>
      </c>
      <c r="R39" s="462"/>
      <c r="S39" s="229">
        <f t="shared" si="2"/>
        <v>11.2858</v>
      </c>
      <c r="U39" s="462"/>
      <c r="V39" s="211">
        <f t="shared" si="3"/>
        <v>11.03</v>
      </c>
      <c r="W39" s="59" t="str">
        <f t="shared" si="4"/>
        <v/>
      </c>
    </row>
    <row r="40" spans="1:23" ht="15.75" customHeight="1" x14ac:dyDescent="0.5">
      <c r="A40" s="60" t="str">
        <f>Input!C31</f>
        <v>MSFT</v>
      </c>
      <c r="B40" s="460" t="str">
        <f>VLOOKUP($A40,'CEM Data Lookup'!$A:$P,2,FALSE)</f>
        <v xml:space="preserve">Microsoft Corp.     </v>
      </c>
      <c r="D40" s="241">
        <f>VLOOKUP($A40,'CEM Data Lookup'!$A:$P,6,FALSE)</f>
        <v>0.9</v>
      </c>
      <c r="E40" s="211"/>
      <c r="F40" s="241">
        <f>VLOOKUP($A40,'CEM Data Lookup'!$A:$P,7,FALSE)</f>
        <v>1.024526834487915</v>
      </c>
      <c r="G40" s="462"/>
      <c r="H40" s="462">
        <f t="shared" si="0"/>
        <v>0.96</v>
      </c>
      <c r="I40" s="462"/>
      <c r="J40" s="211">
        <f>'1.22 CAPM Notes'!$N$35</f>
        <v>8.2779621368179104</v>
      </c>
      <c r="L40" s="462"/>
      <c r="M40" s="211">
        <f>'1.22 CAPM Notes'!$N$49</f>
        <v>4.5599999999999996</v>
      </c>
      <c r="O40" s="462"/>
      <c r="P40" s="229">
        <f t="shared" si="1"/>
        <v>12.506843651345193</v>
      </c>
      <c r="R40" s="462"/>
      <c r="S40" s="229">
        <f t="shared" si="2"/>
        <v>12.589600000000001</v>
      </c>
      <c r="U40" s="462"/>
      <c r="V40" s="211">
        <f t="shared" si="3"/>
        <v>12.55</v>
      </c>
      <c r="W40" s="59" t="str">
        <f t="shared" si="4"/>
        <v/>
      </c>
    </row>
    <row r="41" spans="1:23" ht="15.75" customHeight="1" x14ac:dyDescent="0.5">
      <c r="A41" s="60" t="str">
        <f>Input!C32</f>
        <v>MSM</v>
      </c>
      <c r="B41" s="460" t="str">
        <f>VLOOKUP($A41,'CEM Data Lookup'!$A:$P,2,FALSE)</f>
        <v>MSC Industrial Direc</v>
      </c>
      <c r="D41" s="241">
        <f>VLOOKUP($A41,'CEM Data Lookup'!$A:$P,6,FALSE)</f>
        <v>0.9</v>
      </c>
      <c r="E41" s="211"/>
      <c r="F41" s="241">
        <f>VLOOKUP($A41,'CEM Data Lookup'!$A:$P,7,FALSE)</f>
        <v>0.89007562398910522</v>
      </c>
      <c r="G41" s="462"/>
      <c r="H41" s="462">
        <f t="shared" si="0"/>
        <v>0.9</v>
      </c>
      <c r="I41" s="462"/>
      <c r="J41" s="211">
        <f>'1.22 CAPM Notes'!$N$35</f>
        <v>8.2779621368179104</v>
      </c>
      <c r="L41" s="462"/>
      <c r="M41" s="211">
        <f>'1.22 CAPM Notes'!$N$49</f>
        <v>4.5599999999999996</v>
      </c>
      <c r="O41" s="462"/>
      <c r="P41" s="229">
        <f t="shared" si="1"/>
        <v>12.010165923136119</v>
      </c>
      <c r="R41" s="462"/>
      <c r="S41" s="229">
        <f t="shared" si="2"/>
        <v>12.2171</v>
      </c>
      <c r="U41" s="462"/>
      <c r="V41" s="211">
        <f t="shared" si="3"/>
        <v>12.11</v>
      </c>
      <c r="W41" s="59" t="str">
        <f t="shared" si="4"/>
        <v/>
      </c>
    </row>
    <row r="42" spans="1:23" ht="15.75" customHeight="1" x14ac:dyDescent="0.5">
      <c r="A42" s="60" t="str">
        <f>Input!C33</f>
        <v>ORCL</v>
      </c>
      <c r="B42" s="460" t="str">
        <f>VLOOKUP($A42,'CEM Data Lookup'!$A:$P,2,FALSE)</f>
        <v xml:space="preserve">Oracle Corp.        </v>
      </c>
      <c r="D42" s="241">
        <f>VLOOKUP($A42,'CEM Data Lookup'!$A:$P,6,FALSE)</f>
        <v>0.85</v>
      </c>
      <c r="E42" s="211"/>
      <c r="F42" s="241">
        <f>VLOOKUP($A42,'CEM Data Lookup'!$A:$P,7,FALSE)</f>
        <v>1.3098315000534058</v>
      </c>
      <c r="G42" s="462"/>
      <c r="H42" s="462">
        <f t="shared" si="0"/>
        <v>1.08</v>
      </c>
      <c r="I42" s="462"/>
      <c r="J42" s="211">
        <f>'1.22 CAPM Notes'!$N$35</f>
        <v>8.2779621368179104</v>
      </c>
      <c r="L42" s="462"/>
      <c r="M42" s="211">
        <f>'1.22 CAPM Notes'!$N$49</f>
        <v>4.5599999999999996</v>
      </c>
      <c r="O42" s="462"/>
      <c r="P42" s="229">
        <f t="shared" si="1"/>
        <v>13.500199107763343</v>
      </c>
      <c r="R42" s="462"/>
      <c r="S42" s="229">
        <f t="shared" si="2"/>
        <v>13.3346</v>
      </c>
      <c r="U42" s="462"/>
      <c r="V42" s="211">
        <f t="shared" si="3"/>
        <v>13.42</v>
      </c>
      <c r="W42" s="59" t="str">
        <f t="shared" si="4"/>
        <v/>
      </c>
    </row>
    <row r="43" spans="1:23" ht="15.75" customHeight="1" x14ac:dyDescent="0.5">
      <c r="A43" s="60" t="str">
        <f>Input!C34</f>
        <v>ORLY</v>
      </c>
      <c r="B43" s="460" t="str">
        <f>VLOOKUP($A43,'CEM Data Lookup'!$A:$P,2,FALSE)</f>
        <v xml:space="preserve">O'Reilly Automotive </v>
      </c>
      <c r="D43" s="241">
        <f>VLOOKUP($A43,'CEM Data Lookup'!$A:$P,6,FALSE)</f>
        <v>0.9</v>
      </c>
      <c r="E43" s="211"/>
      <c r="F43" s="241">
        <f>VLOOKUP($A43,'CEM Data Lookup'!$A:$P,7,FALSE)</f>
        <v>0.60680055618286133</v>
      </c>
      <c r="G43" s="462"/>
      <c r="H43" s="462">
        <f t="shared" si="0"/>
        <v>0.75</v>
      </c>
      <c r="I43" s="462"/>
      <c r="J43" s="211">
        <f>'1.22 CAPM Notes'!$N$35</f>
        <v>8.2779621368179104</v>
      </c>
      <c r="L43" s="462"/>
      <c r="M43" s="211">
        <f>'1.22 CAPM Notes'!$N$49</f>
        <v>4.5599999999999996</v>
      </c>
      <c r="O43" s="462"/>
      <c r="P43" s="229">
        <f t="shared" si="1"/>
        <v>10.768471602613431</v>
      </c>
      <c r="R43" s="462"/>
      <c r="S43" s="229">
        <f t="shared" si="2"/>
        <v>11.2858</v>
      </c>
      <c r="U43" s="462"/>
      <c r="V43" s="211">
        <f t="shared" si="3"/>
        <v>11.03</v>
      </c>
      <c r="W43" s="59" t="str">
        <f t="shared" si="4"/>
        <v/>
      </c>
    </row>
    <row r="44" spans="1:23" ht="15.75" customHeight="1" x14ac:dyDescent="0.5">
      <c r="A44" s="60" t="str">
        <f>Input!C35</f>
        <v>OSIS</v>
      </c>
      <c r="B44" s="460" t="str">
        <f>VLOOKUP($A44,'CEM Data Lookup'!$A:$P,2,FALSE)</f>
        <v xml:space="preserve">OSI Systems         </v>
      </c>
      <c r="D44" s="241">
        <f>VLOOKUP($A44,'CEM Data Lookup'!$A:$P,6,FALSE)</f>
        <v>0.9</v>
      </c>
      <c r="E44" s="211"/>
      <c r="F44" s="241">
        <f>VLOOKUP($A44,'CEM Data Lookup'!$A:$P,7,FALSE)</f>
        <v>1.2321913242340088</v>
      </c>
      <c r="G44" s="462"/>
      <c r="H44" s="462">
        <f t="shared" si="0"/>
        <v>1.07</v>
      </c>
      <c r="I44" s="462"/>
      <c r="J44" s="211">
        <f>'1.22 CAPM Notes'!$N$35</f>
        <v>8.2779621368179104</v>
      </c>
      <c r="L44" s="462"/>
      <c r="M44" s="211">
        <f>'1.22 CAPM Notes'!$N$49</f>
        <v>4.5599999999999996</v>
      </c>
      <c r="O44" s="462"/>
      <c r="P44" s="229">
        <f t="shared" si="1"/>
        <v>13.417419486395165</v>
      </c>
      <c r="R44" s="462"/>
      <c r="S44" s="229">
        <f t="shared" si="2"/>
        <v>13.272600000000001</v>
      </c>
      <c r="U44" s="462"/>
      <c r="V44" s="211">
        <f t="shared" si="3"/>
        <v>13.35</v>
      </c>
      <c r="W44" s="59" t="str">
        <f t="shared" si="4"/>
        <v/>
      </c>
    </row>
    <row r="45" spans="1:23" ht="15.75" customHeight="1" x14ac:dyDescent="0.5">
      <c r="A45" s="60" t="str">
        <f>Input!C36</f>
        <v>PKG</v>
      </c>
      <c r="B45" s="460" t="str">
        <f>VLOOKUP($A45,'CEM Data Lookup'!$A:$P,2,FALSE)</f>
        <v xml:space="preserve">Packaging Corp.     </v>
      </c>
      <c r="D45" s="241">
        <f>VLOOKUP($A45,'CEM Data Lookup'!$A:$P,6,FALSE)</f>
        <v>0.95</v>
      </c>
      <c r="E45" s="211"/>
      <c r="F45" s="241">
        <f>VLOOKUP($A45,'CEM Data Lookup'!$A:$P,7,FALSE)</f>
        <v>0.7697637677192688</v>
      </c>
      <c r="G45" s="462"/>
      <c r="H45" s="462">
        <f t="shared" si="0"/>
        <v>0.86</v>
      </c>
      <c r="I45" s="462"/>
      <c r="J45" s="211">
        <f>'1.22 CAPM Notes'!$N$35</f>
        <v>8.2779621368179104</v>
      </c>
      <c r="L45" s="462"/>
      <c r="M45" s="211">
        <f>'1.22 CAPM Notes'!$N$49</f>
        <v>4.5599999999999996</v>
      </c>
      <c r="O45" s="462"/>
      <c r="P45" s="229">
        <f t="shared" si="1"/>
        <v>11.679047437663403</v>
      </c>
      <c r="R45" s="462"/>
      <c r="S45" s="229">
        <f t="shared" si="2"/>
        <v>11.9688</v>
      </c>
      <c r="U45" s="462"/>
      <c r="V45" s="211">
        <f t="shared" si="3"/>
        <v>11.82</v>
      </c>
      <c r="W45" s="59" t="str">
        <f t="shared" si="4"/>
        <v/>
      </c>
    </row>
    <row r="46" spans="1:23" ht="15.75" customHeight="1" x14ac:dyDescent="0.5">
      <c r="A46" s="60" t="str">
        <f>Input!C37</f>
        <v>PFE</v>
      </c>
      <c r="B46" s="460" t="str">
        <f>VLOOKUP($A46,'CEM Data Lookup'!$A:$P,2,FALSE)</f>
        <v xml:space="preserve">Pfizer, Inc.        </v>
      </c>
      <c r="D46" s="241">
        <f>VLOOKUP($A46,'CEM Data Lookup'!$A:$P,6,FALSE)</f>
        <v>0.8</v>
      </c>
      <c r="E46" s="211"/>
      <c r="F46" s="241">
        <f>VLOOKUP($A46,'CEM Data Lookup'!$A:$P,7,FALSE)</f>
        <v>0.50461471080780029</v>
      </c>
      <c r="G46" s="462"/>
      <c r="H46" s="462">
        <f t="shared" si="0"/>
        <v>0.65</v>
      </c>
      <c r="I46" s="462"/>
      <c r="J46" s="211">
        <f>'1.22 CAPM Notes'!$N$35</f>
        <v>8.2779621368179104</v>
      </c>
      <c r="L46" s="462"/>
      <c r="M46" s="211">
        <f>'1.22 CAPM Notes'!$N$49</f>
        <v>4.5599999999999996</v>
      </c>
      <c r="O46" s="462"/>
      <c r="P46" s="229">
        <f t="shared" si="1"/>
        <v>9.9406753889316413</v>
      </c>
      <c r="R46" s="462"/>
      <c r="S46" s="229">
        <f t="shared" si="2"/>
        <v>10.664999999999999</v>
      </c>
      <c r="U46" s="462"/>
      <c r="V46" s="211">
        <f t="shared" si="3"/>
        <v>10.3</v>
      </c>
      <c r="W46" s="59" t="str">
        <f t="shared" si="4"/>
        <v/>
      </c>
    </row>
    <row r="47" spans="1:23" ht="15.75" customHeight="1" x14ac:dyDescent="0.5">
      <c r="A47" s="60" t="str">
        <f>Input!C38</f>
        <v>PM</v>
      </c>
      <c r="B47" s="460" t="str">
        <f>VLOOKUP($A47,'CEM Data Lookup'!$A:$P,2,FALSE)</f>
        <v xml:space="preserve">Philip Morris Int'l </v>
      </c>
      <c r="D47" s="241">
        <f>VLOOKUP($A47,'CEM Data Lookup'!$A:$P,6,FALSE)</f>
        <v>0.9</v>
      </c>
      <c r="E47" s="211"/>
      <c r="F47" s="241">
        <f>VLOOKUP($A47,'CEM Data Lookup'!$A:$P,7,FALSE)</f>
        <v>0.49016240239143372</v>
      </c>
      <c r="G47" s="462"/>
      <c r="H47" s="462">
        <f t="shared" si="0"/>
        <v>0.7</v>
      </c>
      <c r="I47" s="462"/>
      <c r="J47" s="211">
        <f>'1.22 CAPM Notes'!$N$35</f>
        <v>8.2779621368179104</v>
      </c>
      <c r="L47" s="462"/>
      <c r="M47" s="211">
        <f>'1.22 CAPM Notes'!$N$49</f>
        <v>4.5599999999999996</v>
      </c>
      <c r="O47" s="462"/>
      <c r="P47" s="229">
        <f t="shared" si="1"/>
        <v>10.354573495772536</v>
      </c>
      <c r="R47" s="462"/>
      <c r="S47" s="229">
        <f t="shared" si="2"/>
        <v>10.9754</v>
      </c>
      <c r="U47" s="462"/>
      <c r="V47" s="211">
        <f t="shared" si="3"/>
        <v>10.66</v>
      </c>
      <c r="W47" s="59" t="str">
        <f t="shared" si="4"/>
        <v/>
      </c>
    </row>
    <row r="48" spans="1:23" ht="15.75" customHeight="1" x14ac:dyDescent="0.5">
      <c r="A48" s="60" t="str">
        <f>Input!C39</f>
        <v>PBH</v>
      </c>
      <c r="B48" s="460" t="str">
        <f>VLOOKUP($A48,'CEM Data Lookup'!$A:$P,2,FALSE)</f>
        <v xml:space="preserve">Prestige Consumer   </v>
      </c>
      <c r="D48" s="241">
        <f>VLOOKUP($A48,'CEM Data Lookup'!$A:$P,6,FALSE)</f>
        <v>0.9</v>
      </c>
      <c r="E48" s="211"/>
      <c r="F48" s="241">
        <f>VLOOKUP($A48,'CEM Data Lookup'!$A:$P,7,FALSE)</f>
        <v>0.67751145362854004</v>
      </c>
      <c r="G48" s="462"/>
      <c r="H48" s="462">
        <f t="shared" si="0"/>
        <v>0.79</v>
      </c>
      <c r="I48" s="462"/>
      <c r="J48" s="211">
        <f>'1.22 CAPM Notes'!$N$35</f>
        <v>8.2779621368179104</v>
      </c>
      <c r="L48" s="462"/>
      <c r="M48" s="211">
        <f>'1.22 CAPM Notes'!$N$49</f>
        <v>4.5599999999999996</v>
      </c>
      <c r="O48" s="462"/>
      <c r="P48" s="229">
        <f t="shared" si="1"/>
        <v>11.099590088086149</v>
      </c>
      <c r="R48" s="462"/>
      <c r="S48" s="229">
        <f t="shared" si="2"/>
        <v>11.5342</v>
      </c>
      <c r="U48" s="462"/>
      <c r="V48" s="211">
        <f t="shared" si="3"/>
        <v>11.32</v>
      </c>
      <c r="W48" s="59" t="str">
        <f t="shared" si="4"/>
        <v/>
      </c>
    </row>
    <row r="49" spans="1:25" ht="15.75" customHeight="1" x14ac:dyDescent="0.5">
      <c r="A49" s="60" t="str">
        <f>Input!C40</f>
        <v>SIGI</v>
      </c>
      <c r="B49" s="460" t="str">
        <f>VLOOKUP($A49,'CEM Data Lookup'!$A:$P,2,FALSE)</f>
        <v>Selective Ins. Group</v>
      </c>
      <c r="D49" s="241">
        <f>VLOOKUP($A49,'CEM Data Lookup'!$A:$P,6,FALSE)</f>
        <v>0.9</v>
      </c>
      <c r="E49" s="211"/>
      <c r="F49" s="241">
        <f>VLOOKUP($A49,'CEM Data Lookup'!$A:$P,7,FALSE)</f>
        <v>0.64090383052825928</v>
      </c>
      <c r="G49" s="462"/>
      <c r="H49" s="462">
        <f t="shared" si="0"/>
        <v>0.77</v>
      </c>
      <c r="I49" s="462"/>
      <c r="J49" s="211">
        <f>'1.22 CAPM Notes'!$N$35</f>
        <v>8.2779621368179104</v>
      </c>
      <c r="L49" s="462"/>
      <c r="M49" s="211">
        <f>'1.22 CAPM Notes'!$N$49</f>
        <v>4.5599999999999996</v>
      </c>
      <c r="O49" s="462"/>
      <c r="P49" s="229">
        <f t="shared" si="1"/>
        <v>10.934030845349792</v>
      </c>
      <c r="R49" s="462"/>
      <c r="S49" s="229">
        <f t="shared" si="2"/>
        <v>11.41</v>
      </c>
      <c r="U49" s="462"/>
      <c r="V49" s="211">
        <f t="shared" si="3"/>
        <v>11.17</v>
      </c>
      <c r="W49" s="59" t="str">
        <f t="shared" si="4"/>
        <v/>
      </c>
    </row>
    <row r="50" spans="1:25" ht="15.75" customHeight="1" x14ac:dyDescent="0.5">
      <c r="A50" s="60" t="str">
        <f>Input!C41</f>
        <v>SCI</v>
      </c>
      <c r="B50" s="460" t="str">
        <f>VLOOKUP($A50,'CEM Data Lookup'!$A:$P,2,FALSE)</f>
        <v xml:space="preserve">Service Corp. Int'l </v>
      </c>
      <c r="D50" s="241">
        <f>VLOOKUP($A50,'CEM Data Lookup'!$A:$P,6,FALSE)</f>
        <v>0.95</v>
      </c>
      <c r="E50" s="211"/>
      <c r="F50" s="241">
        <f>VLOOKUP($A50,'CEM Data Lookup'!$A:$P,7,FALSE)</f>
        <v>0.9204447865486145</v>
      </c>
      <c r="G50" s="462"/>
      <c r="H50" s="462">
        <f t="shared" si="0"/>
        <v>0.94</v>
      </c>
      <c r="I50" s="462"/>
      <c r="J50" s="211">
        <f>'1.22 CAPM Notes'!$N$35</f>
        <v>8.2779621368179104</v>
      </c>
      <c r="L50" s="462"/>
      <c r="M50" s="211">
        <f>'1.22 CAPM Notes'!$N$49</f>
        <v>4.5599999999999996</v>
      </c>
      <c r="O50" s="462"/>
      <c r="P50" s="229">
        <f t="shared" si="1"/>
        <v>12.341284408608836</v>
      </c>
      <c r="R50" s="462"/>
      <c r="S50" s="229">
        <f t="shared" si="2"/>
        <v>12.4655</v>
      </c>
      <c r="U50" s="462"/>
      <c r="V50" s="211">
        <f t="shared" si="3"/>
        <v>12.4</v>
      </c>
      <c r="W50" s="59" t="str">
        <f t="shared" si="4"/>
        <v/>
      </c>
    </row>
    <row r="51" spans="1:25" ht="15.75" customHeight="1" x14ac:dyDescent="0.5">
      <c r="A51" s="60" t="str">
        <f>Input!C42</f>
        <v>SHW</v>
      </c>
      <c r="B51" s="460" t="str">
        <f>VLOOKUP($A51,'CEM Data Lookup'!$A:$P,2,FALSE)</f>
        <v xml:space="preserve">Sherwin-Williams    </v>
      </c>
      <c r="D51" s="241">
        <f>VLOOKUP($A51,'CEM Data Lookup'!$A:$P,6,FALSE)</f>
        <v>0.95</v>
      </c>
      <c r="E51" s="211"/>
      <c r="F51" s="241">
        <f>VLOOKUP($A51,'CEM Data Lookup'!$A:$P,7,FALSE)</f>
        <v>1.1740704774856567</v>
      </c>
      <c r="G51" s="462"/>
      <c r="H51" s="462">
        <f t="shared" si="0"/>
        <v>1.06</v>
      </c>
      <c r="I51" s="462"/>
      <c r="J51" s="211">
        <f>'1.22 CAPM Notes'!$N$35</f>
        <v>8.2779621368179104</v>
      </c>
      <c r="L51" s="462"/>
      <c r="M51" s="211">
        <f>'1.22 CAPM Notes'!$N$49</f>
        <v>4.5599999999999996</v>
      </c>
      <c r="O51" s="462"/>
      <c r="P51" s="229">
        <f t="shared" si="1"/>
        <v>13.334639865026986</v>
      </c>
      <c r="R51" s="462"/>
      <c r="S51" s="229">
        <f t="shared" si="2"/>
        <v>13.2105</v>
      </c>
      <c r="U51" s="462"/>
      <c r="V51" s="211">
        <f t="shared" si="3"/>
        <v>13.27</v>
      </c>
      <c r="W51" s="59" t="str">
        <f t="shared" si="4"/>
        <v/>
      </c>
    </row>
    <row r="52" spans="1:25" ht="15.75" customHeight="1" x14ac:dyDescent="0.5">
      <c r="A52" s="60" t="str">
        <f>Input!C43</f>
        <v>AOS</v>
      </c>
      <c r="B52" s="460" t="str">
        <f>VLOOKUP($A52,'CEM Data Lookup'!$A:$P,2,FALSE)</f>
        <v xml:space="preserve">Smith (A.O.)        </v>
      </c>
      <c r="D52" s="241">
        <f>VLOOKUP($A52,'CEM Data Lookup'!$A:$P,6,FALSE)</f>
        <v>0.9</v>
      </c>
      <c r="E52" s="211"/>
      <c r="F52" s="241">
        <f>VLOOKUP($A52,'CEM Data Lookup'!$A:$P,7,FALSE)</f>
        <v>0.97672075033187866</v>
      </c>
      <c r="G52" s="462"/>
      <c r="H52" s="462">
        <f t="shared" si="0"/>
        <v>0.94</v>
      </c>
      <c r="I52" s="462"/>
      <c r="J52" s="211">
        <f>'1.22 CAPM Notes'!$N$35</f>
        <v>8.2779621368179104</v>
      </c>
      <c r="L52" s="462"/>
      <c r="M52" s="211">
        <f>'1.22 CAPM Notes'!$N$49</f>
        <v>4.5599999999999996</v>
      </c>
      <c r="O52" s="462"/>
      <c r="P52" s="229">
        <f t="shared" si="1"/>
        <v>12.341284408608836</v>
      </c>
      <c r="R52" s="462"/>
      <c r="S52" s="229">
        <f t="shared" si="2"/>
        <v>12.4655</v>
      </c>
      <c r="U52" s="462"/>
      <c r="V52" s="211">
        <f t="shared" si="3"/>
        <v>12.4</v>
      </c>
      <c r="W52" s="59" t="str">
        <f t="shared" si="4"/>
        <v/>
      </c>
    </row>
    <row r="53" spans="1:25" ht="15.75" customHeight="1" x14ac:dyDescent="0.5">
      <c r="A53" s="60" t="str">
        <f>Input!C44</f>
        <v>TMO</v>
      </c>
      <c r="B53" s="460" t="str">
        <f>VLOOKUP($A53,'CEM Data Lookup'!$A:$P,2,FALSE)</f>
        <v xml:space="preserve">Thermo Fisher Sci.  </v>
      </c>
      <c r="D53" s="241">
        <f>VLOOKUP($A53,'CEM Data Lookup'!$A:$P,6,FALSE)</f>
        <v>0.85</v>
      </c>
      <c r="E53" s="211"/>
      <c r="F53" s="241">
        <f>VLOOKUP($A53,'CEM Data Lookup'!$A:$P,7,FALSE)</f>
        <v>0.87741184234619141</v>
      </c>
      <c r="G53" s="462"/>
      <c r="H53" s="462">
        <f t="shared" si="0"/>
        <v>0.86</v>
      </c>
      <c r="I53" s="462"/>
      <c r="J53" s="211">
        <f>'1.22 CAPM Notes'!$N$35</f>
        <v>8.2779621368179104</v>
      </c>
      <c r="L53" s="462"/>
      <c r="M53" s="211">
        <f>'1.22 CAPM Notes'!$N$49</f>
        <v>4.5599999999999996</v>
      </c>
      <c r="O53" s="462"/>
      <c r="P53" s="229">
        <f t="shared" si="1"/>
        <v>11.679047437663403</v>
      </c>
      <c r="R53" s="462"/>
      <c r="S53" s="229">
        <f t="shared" si="2"/>
        <v>11.9688</v>
      </c>
      <c r="U53" s="462"/>
      <c r="V53" s="211">
        <f t="shared" si="3"/>
        <v>11.82</v>
      </c>
      <c r="W53" s="59" t="str">
        <f t="shared" si="4"/>
        <v/>
      </c>
    </row>
    <row r="54" spans="1:25" ht="15.75" customHeight="1" x14ac:dyDescent="0.5">
      <c r="A54" s="60" t="str">
        <f>Input!C45</f>
        <v>UNF</v>
      </c>
      <c r="B54" s="460" t="str">
        <f>VLOOKUP($A54,'CEM Data Lookup'!$A:$P,2,FALSE)</f>
        <v xml:space="preserve">UniFirst Corp.      </v>
      </c>
      <c r="D54" s="241">
        <f>VLOOKUP($A54,'CEM Data Lookup'!$A:$P,6,FALSE)</f>
        <v>0.9</v>
      </c>
      <c r="E54" s="211"/>
      <c r="F54" s="241">
        <f>VLOOKUP($A54,'CEM Data Lookup'!$A:$P,7,FALSE)</f>
        <v>0.63713699579238892</v>
      </c>
      <c r="G54" s="462"/>
      <c r="H54" s="462">
        <f t="shared" si="0"/>
        <v>0.77</v>
      </c>
      <c r="I54" s="462"/>
      <c r="J54" s="211">
        <f>'1.22 CAPM Notes'!$N$35</f>
        <v>8.2779621368179104</v>
      </c>
      <c r="L54" s="462"/>
      <c r="M54" s="211">
        <f>'1.22 CAPM Notes'!$N$49</f>
        <v>4.5599999999999996</v>
      </c>
      <c r="O54" s="462"/>
      <c r="P54" s="229">
        <f t="shared" si="1"/>
        <v>10.934030845349792</v>
      </c>
      <c r="R54" s="462"/>
      <c r="S54" s="229">
        <f t="shared" si="2"/>
        <v>11.41</v>
      </c>
      <c r="U54" s="462"/>
      <c r="V54" s="211">
        <f t="shared" si="3"/>
        <v>11.17</v>
      </c>
      <c r="W54" s="59" t="str">
        <f t="shared" si="4"/>
        <v/>
      </c>
    </row>
    <row r="55" spans="1:25" ht="15.75" customHeight="1" x14ac:dyDescent="0.5">
      <c r="A55" s="60" t="str">
        <f>Input!C46</f>
        <v>UNH</v>
      </c>
      <c r="B55" s="460" t="str">
        <f>VLOOKUP($A55,'CEM Data Lookup'!$A:$P,2,FALSE)</f>
        <v xml:space="preserve">UnitedHealth Group  </v>
      </c>
      <c r="D55" s="241">
        <f>VLOOKUP($A55,'CEM Data Lookup'!$A:$P,6,FALSE)</f>
        <v>0.95</v>
      </c>
      <c r="E55" s="211"/>
      <c r="F55" s="241">
        <f>VLOOKUP($A55,'CEM Data Lookup'!$A:$P,7,FALSE)</f>
        <v>0.31335976719856262</v>
      </c>
      <c r="G55" s="462"/>
      <c r="H55" s="462">
        <f t="shared" si="0"/>
        <v>0.63</v>
      </c>
      <c r="I55" s="462"/>
      <c r="J55" s="211">
        <f>'1.22 CAPM Notes'!$N$35</f>
        <v>8.2779621368179104</v>
      </c>
      <c r="L55" s="462"/>
      <c r="M55" s="211">
        <f>'1.22 CAPM Notes'!$N$49</f>
        <v>4.5599999999999996</v>
      </c>
      <c r="O55" s="462"/>
      <c r="P55" s="229">
        <f t="shared" si="1"/>
        <v>9.775116146195284</v>
      </c>
      <c r="R55" s="462"/>
      <c r="S55" s="229">
        <f t="shared" si="2"/>
        <v>10.540800000000001</v>
      </c>
      <c r="U55" s="462"/>
      <c r="V55" s="211">
        <f t="shared" si="3"/>
        <v>10.16</v>
      </c>
      <c r="W55" s="59" t="str">
        <f t="shared" si="4"/>
        <v/>
      </c>
    </row>
    <row r="56" spans="1:25" ht="15.75" customHeight="1" x14ac:dyDescent="0.5">
      <c r="A56" s="60" t="str">
        <f>Input!C47</f>
        <v>UVV</v>
      </c>
      <c r="B56" s="460" t="str">
        <f>VLOOKUP($A56,'CEM Data Lookup'!$A:$P,2,FALSE)</f>
        <v xml:space="preserve">Universal Corp.     </v>
      </c>
      <c r="D56" s="241">
        <f>VLOOKUP($A56,'CEM Data Lookup'!$A:$P,6,FALSE)</f>
        <v>0.85</v>
      </c>
      <c r="E56" s="211"/>
      <c r="F56" s="241">
        <f>VLOOKUP($A56,'CEM Data Lookup'!$A:$P,7,FALSE)</f>
        <v>0.72680270671844482</v>
      </c>
      <c r="G56" s="462"/>
      <c r="H56" s="462">
        <f t="shared" si="0"/>
        <v>0.79</v>
      </c>
      <c r="I56" s="462"/>
      <c r="J56" s="211">
        <f>'1.22 CAPM Notes'!$N$35</f>
        <v>8.2779621368179104</v>
      </c>
      <c r="L56" s="462"/>
      <c r="M56" s="211">
        <f>'1.22 CAPM Notes'!$N$49</f>
        <v>4.5599999999999996</v>
      </c>
      <c r="O56" s="462"/>
      <c r="P56" s="229">
        <f t="shared" si="1"/>
        <v>11.099590088086149</v>
      </c>
      <c r="R56" s="462"/>
      <c r="S56" s="229">
        <f t="shared" si="2"/>
        <v>11.5342</v>
      </c>
      <c r="U56" s="462"/>
      <c r="V56" s="211">
        <f t="shared" si="3"/>
        <v>11.32</v>
      </c>
      <c r="W56" s="59" t="str">
        <f t="shared" si="4"/>
        <v/>
      </c>
    </row>
    <row r="57" spans="1:25" ht="15.75" customHeight="1" x14ac:dyDescent="0.5">
      <c r="A57" s="60" t="str">
        <f>Input!C48</f>
        <v>VRSN</v>
      </c>
      <c r="B57" s="460" t="str">
        <f>VLOOKUP($A57,'CEM Data Lookup'!$A:$P,2,FALSE)</f>
        <v xml:space="preserve">VeriSign Inc.       </v>
      </c>
      <c r="D57" s="241">
        <f>VLOOKUP($A57,'CEM Data Lookup'!$A:$P,6,FALSE)</f>
        <v>0.9</v>
      </c>
      <c r="E57" s="211"/>
      <c r="F57" s="241">
        <f>VLOOKUP($A57,'CEM Data Lookup'!$A:$P,7,FALSE)</f>
        <v>0.70599967241287231</v>
      </c>
      <c r="G57" s="462"/>
      <c r="H57" s="462">
        <f t="shared" si="0"/>
        <v>0.8</v>
      </c>
      <c r="I57" s="462"/>
      <c r="J57" s="211">
        <f>'1.22 CAPM Notes'!$N$35</f>
        <v>8.2779621368179104</v>
      </c>
      <c r="L57" s="462"/>
      <c r="M57" s="211">
        <f>'1.22 CAPM Notes'!$N$49</f>
        <v>4.5599999999999996</v>
      </c>
      <c r="O57" s="462"/>
      <c r="P57" s="229">
        <f t="shared" si="1"/>
        <v>11.182369709454328</v>
      </c>
      <c r="R57" s="462"/>
      <c r="S57" s="229">
        <f t="shared" si="2"/>
        <v>11.596299999999999</v>
      </c>
      <c r="U57" s="462"/>
      <c r="V57" s="211">
        <f t="shared" si="3"/>
        <v>11.39</v>
      </c>
      <c r="W57" s="59" t="str">
        <f t="shared" si="4"/>
        <v/>
      </c>
    </row>
    <row r="58" spans="1:25" ht="15.75" customHeight="1" x14ac:dyDescent="0.5">
      <c r="A58" s="60" t="str">
        <f>Input!C49</f>
        <v>WAT</v>
      </c>
      <c r="B58" s="460" t="str">
        <f>VLOOKUP($A58,'CEM Data Lookup'!$A:$P,2,FALSE)</f>
        <v xml:space="preserve">Waters Corp.        </v>
      </c>
      <c r="D58" s="241">
        <f>VLOOKUP($A58,'CEM Data Lookup'!$A:$P,6,FALSE)</f>
        <v>0.95</v>
      </c>
      <c r="E58" s="211"/>
      <c r="F58" s="241">
        <f>VLOOKUP($A58,'CEM Data Lookup'!$A:$P,7,FALSE)</f>
        <v>1.0058082342147827</v>
      </c>
      <c r="G58" s="462"/>
      <c r="H58" s="462">
        <f t="shared" si="0"/>
        <v>0.98</v>
      </c>
      <c r="I58" s="462"/>
      <c r="J58" s="211">
        <f>'1.22 CAPM Notes'!$N$35</f>
        <v>8.2779621368179104</v>
      </c>
      <c r="L58" s="462"/>
      <c r="M58" s="211">
        <f>'1.22 CAPM Notes'!$N$49</f>
        <v>4.5599999999999996</v>
      </c>
      <c r="O58" s="462"/>
      <c r="P58" s="229">
        <f t="shared" si="1"/>
        <v>12.67240289408155</v>
      </c>
      <c r="R58" s="462"/>
      <c r="S58" s="229">
        <f t="shared" si="2"/>
        <v>12.713800000000001</v>
      </c>
      <c r="U58" s="462"/>
      <c r="V58" s="211">
        <f t="shared" si="3"/>
        <v>12.69</v>
      </c>
      <c r="W58" s="59" t="str">
        <f t="shared" si="4"/>
        <v/>
      </c>
    </row>
    <row r="59" spans="1:25" ht="15.75" customHeight="1" x14ac:dyDescent="0.5">
      <c r="A59" s="60" t="str">
        <f>Input!C50</f>
        <v>WSO</v>
      </c>
      <c r="B59" s="460" t="str">
        <f>VLOOKUP($A59,'CEM Data Lookup'!$A:$P,2,FALSE)</f>
        <v xml:space="preserve">Watsco, Inc.        </v>
      </c>
      <c r="D59" s="241">
        <f>VLOOKUP($A59,'CEM Data Lookup'!$A:$P,6,FALSE)</f>
        <v>0.9</v>
      </c>
      <c r="E59" s="211"/>
      <c r="F59" s="241">
        <f>VLOOKUP($A59,'CEM Data Lookup'!$A:$P,7,FALSE)</f>
        <v>1.3801993131637573</v>
      </c>
      <c r="G59" s="462"/>
      <c r="H59" s="462">
        <f t="shared" si="0"/>
        <v>1.1399999999999999</v>
      </c>
      <c r="I59" s="462"/>
      <c r="J59" s="211">
        <f>'1.22 CAPM Notes'!$N$35</f>
        <v>8.2779621368179104</v>
      </c>
      <c r="L59" s="462"/>
      <c r="M59" s="211">
        <f>'1.22 CAPM Notes'!$N$49</f>
        <v>4.5599999999999996</v>
      </c>
      <c r="O59" s="462"/>
      <c r="P59" s="229">
        <f t="shared" si="1"/>
        <v>13.996876835972415</v>
      </c>
      <c r="R59" s="462"/>
      <c r="S59" s="229">
        <f t="shared" si="2"/>
        <v>13.707100000000001</v>
      </c>
      <c r="U59" s="462"/>
      <c r="V59" s="211">
        <f t="shared" si="3"/>
        <v>13.85</v>
      </c>
      <c r="W59" s="59" t="str">
        <f t="shared" si="4"/>
        <v>(4)</v>
      </c>
    </row>
    <row r="60" spans="1:25" ht="15.75" customHeight="1" x14ac:dyDescent="0.5">
      <c r="A60" s="465"/>
      <c r="D60" s="241"/>
      <c r="E60" s="229"/>
      <c r="F60" s="211"/>
      <c r="G60" s="462"/>
      <c r="H60" s="466"/>
      <c r="I60" s="462"/>
      <c r="J60" s="229"/>
      <c r="K60" s="462"/>
      <c r="L60" s="462"/>
      <c r="M60" s="229"/>
      <c r="N60" s="462"/>
      <c r="O60" s="462"/>
      <c r="P60" s="417"/>
      <c r="Q60" s="462"/>
      <c r="R60" s="462"/>
      <c r="S60" s="417"/>
      <c r="T60" s="462"/>
      <c r="U60" s="462"/>
      <c r="V60" s="417"/>
    </row>
    <row r="61" spans="1:25" ht="15.75" customHeight="1" thickBot="1" x14ac:dyDescent="0.55000000000000004">
      <c r="A61" s="465">
        <f>COUNTA(A11:A59)</f>
        <v>49</v>
      </c>
      <c r="D61" s="229"/>
      <c r="E61" s="229"/>
      <c r="F61" s="61" t="s">
        <v>1151</v>
      </c>
      <c r="G61" s="462"/>
      <c r="H61" s="250">
        <f>ROUND(AVERAGE(H11:H59),2)</f>
        <v>0.87</v>
      </c>
      <c r="I61" s="141"/>
      <c r="J61" s="141"/>
      <c r="K61" s="141"/>
      <c r="L61" s="141"/>
      <c r="M61" s="141"/>
      <c r="N61" s="141"/>
      <c r="O61" s="141"/>
      <c r="P61" s="230">
        <f>ROUND(AVERAGE(P11:P59),2)</f>
        <v>11.73</v>
      </c>
      <c r="Q61" s="462" t="s">
        <v>1090</v>
      </c>
      <c r="R61" s="462"/>
      <c r="S61" s="230">
        <f>ROUND(AVERAGE(S11:S59),2)</f>
        <v>12.01</v>
      </c>
      <c r="T61" s="462" t="s">
        <v>1090</v>
      </c>
      <c r="U61" s="462"/>
      <c r="V61" s="230">
        <f>ROUND(IFERROR(AVERAGEIFS(V11:V59, V11:V59, "&gt;"&amp;Z14, V11:V59, "&lt;"&amp;Z13), "NA"),2)</f>
        <v>11.83</v>
      </c>
      <c r="W61" s="462" t="s">
        <v>1090</v>
      </c>
      <c r="X61" s="467">
        <f>IFERROR(ROUND(AVERAGE(V11:V58),2),"NA")</f>
        <v>11.83</v>
      </c>
      <c r="Y61" s="140"/>
    </row>
    <row r="62" spans="1:25" ht="15.75" customHeight="1" thickTop="1" x14ac:dyDescent="0.5">
      <c r="A62" s="465"/>
      <c r="D62" s="229"/>
      <c r="E62" s="229"/>
      <c r="F62" s="61"/>
      <c r="G62" s="462"/>
      <c r="H62" s="213"/>
      <c r="I62" s="141"/>
      <c r="J62" s="141"/>
      <c r="K62" s="141"/>
      <c r="L62" s="141"/>
      <c r="M62" s="141"/>
      <c r="N62" s="141"/>
      <c r="O62" s="141"/>
      <c r="P62" s="213"/>
      <c r="Q62" s="462"/>
      <c r="R62" s="462"/>
      <c r="S62" s="213"/>
      <c r="T62" s="462"/>
      <c r="U62" s="462"/>
      <c r="V62" s="213"/>
      <c r="W62" s="462"/>
    </row>
    <row r="63" spans="1:25" ht="15.75" customHeight="1" thickBot="1" x14ac:dyDescent="0.55000000000000004">
      <c r="D63" s="229"/>
      <c r="E63" s="229"/>
      <c r="F63" s="61" t="s">
        <v>1180</v>
      </c>
      <c r="G63" s="462"/>
      <c r="H63" s="250">
        <f>ROUND(MEDIAN(H11:H59),2)</f>
        <v>0.86</v>
      </c>
      <c r="I63" s="141"/>
      <c r="J63" s="141"/>
      <c r="K63" s="141"/>
      <c r="L63" s="141"/>
      <c r="M63" s="141"/>
      <c r="N63" s="141"/>
      <c r="O63" s="141"/>
      <c r="P63" s="230">
        <f>ROUND(MEDIAN(P11:P59),2)</f>
        <v>11.68</v>
      </c>
      <c r="Q63" s="462" t="s">
        <v>1090</v>
      </c>
      <c r="R63" s="462"/>
      <c r="S63" s="230">
        <f>ROUND(MEDIAN(S11:S59),2)</f>
        <v>11.97</v>
      </c>
      <c r="T63" s="462" t="s">
        <v>1090</v>
      </c>
      <c r="U63" s="462"/>
      <c r="V63" s="230" cm="1">
        <f t="array" ref="V63">ROUND(IFERROR(MEDIAN(IF((V11:V59&gt;Z14)*(V11:V59&lt;Z13), V11:V59)), "NA"),2)</f>
        <v>11.82</v>
      </c>
      <c r="W63" s="462" t="s">
        <v>1090</v>
      </c>
      <c r="X63" s="467">
        <f>IFERROR(ROUND(MEDIAN(V11:V58),2),"NA")</f>
        <v>11.82</v>
      </c>
      <c r="Y63" s="140"/>
    </row>
    <row r="64" spans="1:25" ht="15.75" customHeight="1" thickTop="1" x14ac:dyDescent="0.5">
      <c r="F64" s="61"/>
      <c r="H64" s="141"/>
      <c r="I64" s="141"/>
      <c r="J64" s="141"/>
      <c r="K64" s="141"/>
      <c r="L64" s="141"/>
      <c r="M64" s="141"/>
      <c r="N64" s="141"/>
      <c r="O64" s="141"/>
      <c r="P64" s="141"/>
      <c r="S64" s="141"/>
      <c r="V64" s="141"/>
    </row>
    <row r="65" spans="3:23" ht="15.75" customHeight="1" thickBot="1" x14ac:dyDescent="0.55000000000000004">
      <c r="F65" s="61" t="s">
        <v>1181</v>
      </c>
      <c r="H65" s="468">
        <f>ROUND(AVERAGE(H61:H63),2)</f>
        <v>0.87</v>
      </c>
      <c r="I65" s="141"/>
      <c r="J65" s="141"/>
      <c r="K65" s="141"/>
      <c r="L65" s="141"/>
      <c r="M65" s="141"/>
      <c r="N65" s="141"/>
      <c r="O65" s="141"/>
      <c r="P65" s="230">
        <f>ROUND(AVERAGE(P61:P63),2)</f>
        <v>11.71</v>
      </c>
      <c r="Q65" s="462" t="s">
        <v>1090</v>
      </c>
      <c r="S65" s="230">
        <f>ROUND(AVERAGE(S61:S63),2)</f>
        <v>11.99</v>
      </c>
      <c r="T65" s="462" t="s">
        <v>1090</v>
      </c>
      <c r="V65" s="230">
        <f>ROUND(AVERAGE(V61:V63),2)</f>
        <v>11.83</v>
      </c>
      <c r="W65" s="462" t="s">
        <v>1090</v>
      </c>
    </row>
    <row r="66" spans="3:23" ht="15.75" customHeight="1" thickTop="1" x14ac:dyDescent="0.5">
      <c r="F66" s="61"/>
      <c r="H66" s="140"/>
      <c r="P66" s="140"/>
      <c r="Q66" s="462"/>
      <c r="S66" s="140"/>
      <c r="T66" s="462"/>
      <c r="V66" s="229"/>
      <c r="W66" s="462"/>
    </row>
    <row r="67" spans="3:23" ht="15.75" customHeight="1" x14ac:dyDescent="0.5">
      <c r="F67" s="61"/>
      <c r="H67" s="140"/>
      <c r="P67" s="140"/>
      <c r="Q67" s="462"/>
      <c r="S67" s="140"/>
      <c r="T67" s="462"/>
      <c r="V67" s="229"/>
      <c r="W67" s="462"/>
    </row>
    <row r="68" spans="3:23" ht="15.75" customHeight="1" x14ac:dyDescent="0.5">
      <c r="C68" s="61" t="s">
        <v>17</v>
      </c>
    </row>
    <row r="69" spans="3:23" ht="15.75" customHeight="1" x14ac:dyDescent="0.5">
      <c r="C69" s="469" t="s">
        <v>1146</v>
      </c>
      <c r="D69" s="60" t="str">
        <f>"From note 1 of page 22 of this " &amp; Input!I49 &amp; "."</f>
        <v>From note 1 of page 22 of this Exhibit.</v>
      </c>
    </row>
    <row r="70" spans="3:23" ht="15.75" customHeight="1" x14ac:dyDescent="0.5">
      <c r="C70" s="469" t="s">
        <v>1147</v>
      </c>
      <c r="D70" s="60" t="str">
        <f>"From note 2 of page 22 of this " &amp; Input!I49 &amp; "."</f>
        <v>From note 2 of page 22 of this Exhibit.</v>
      </c>
    </row>
    <row r="71" spans="3:23" ht="15.75" customHeight="1" x14ac:dyDescent="0.5">
      <c r="C71" s="461" t="s">
        <v>1149</v>
      </c>
      <c r="D71" s="60" t="s">
        <v>2601</v>
      </c>
    </row>
    <row r="72" spans="3:23" x14ac:dyDescent="0.5">
      <c r="D72" s="470"/>
      <c r="E72" s="470"/>
      <c r="F72" s="470"/>
      <c r="G72" s="470"/>
      <c r="H72" s="470"/>
      <c r="I72" s="470"/>
      <c r="J72" s="470"/>
      <c r="K72" s="470"/>
      <c r="L72" s="470"/>
      <c r="M72" s="470"/>
      <c r="N72" s="470"/>
      <c r="O72" s="470"/>
      <c r="P72" s="470"/>
      <c r="Q72" s="470"/>
      <c r="R72" s="470"/>
      <c r="S72" s="470"/>
      <c r="T72" s="470"/>
      <c r="U72" s="470"/>
      <c r="V72" s="470"/>
      <c r="W72" s="470"/>
    </row>
  </sheetData>
  <mergeCells count="6">
    <mergeCell ref="B5:W5"/>
    <mergeCell ref="J9:K9"/>
    <mergeCell ref="M9:N9"/>
    <mergeCell ref="P9:Q9"/>
    <mergeCell ref="S9:T9"/>
    <mergeCell ref="V9:W9"/>
  </mergeCells>
  <printOptions horizontalCentered="1"/>
  <pageMargins left="0.7" right="0.7" top="1" bottom="0.75" header="0.3" footer="0.3"/>
  <pageSetup scale="48" orientation="portrait" horizontalDpi="4294967294"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208E0-2B42-4B3C-8A61-741440A7F5B1}">
  <sheetPr codeName="Sheet5">
    <pageSetUpPr fitToPage="1"/>
  </sheetPr>
  <dimension ref="A1:AA72"/>
  <sheetViews>
    <sheetView view="pageBreakPreview" zoomScale="80" zoomScaleNormal="100" zoomScaleSheetLayoutView="80" workbookViewId="0"/>
  </sheetViews>
  <sheetFormatPr defaultColWidth="9" defaultRowHeight="15" x14ac:dyDescent="0.5"/>
  <cols>
    <col min="1" max="1" width="9" style="60"/>
    <col min="2" max="2" width="43.5234375" style="60" customWidth="1"/>
    <col min="3" max="3" width="2.734375" style="60" customWidth="1"/>
    <col min="4" max="4" width="15" style="60" customWidth="1"/>
    <col min="5" max="5" width="2.734375" style="60" customWidth="1"/>
    <col min="6" max="6" width="13.7890625" style="60" customWidth="1"/>
    <col min="7" max="7" width="2.734375" style="60" customWidth="1"/>
    <col min="8" max="8" width="11.26171875" style="60" customWidth="1"/>
    <col min="9" max="9" width="2.734375" style="60" customWidth="1"/>
    <col min="10" max="10" width="13.7890625" style="60" customWidth="1"/>
    <col min="11" max="11" width="4.26171875" style="60" customWidth="1"/>
    <col min="12" max="12" width="2.734375" style="60" customWidth="1"/>
    <col min="13" max="13" width="11.26171875" style="60" customWidth="1"/>
    <col min="14" max="14" width="4.26171875" style="60" customWidth="1"/>
    <col min="15" max="15" width="2.734375" style="60" customWidth="1"/>
    <col min="16" max="16" width="9.5234375" style="60" customWidth="1"/>
    <col min="17" max="17" width="4.26171875" style="60" customWidth="1"/>
    <col min="18" max="18" width="2.734375" style="60" customWidth="1"/>
    <col min="19" max="19" width="11" style="60" customWidth="1"/>
    <col min="20" max="20" width="4.26171875" style="60" customWidth="1"/>
    <col min="21" max="21" width="2.734375" style="60" customWidth="1"/>
    <col min="22" max="22" width="16" style="60" customWidth="1"/>
    <col min="23" max="23" width="4.26171875" style="60" customWidth="1"/>
    <col min="24" max="24" width="9" style="60" customWidth="1"/>
    <col min="25" max="25" width="20.734375" style="60" bestFit="1" customWidth="1"/>
    <col min="26" max="16384" width="9" style="60"/>
  </cols>
  <sheetData>
    <row r="1" spans="1:27" x14ac:dyDescent="0.5">
      <c r="B1" s="113" t="str">
        <f>Input!G28</f>
        <v>Atmos Energy Corporation</v>
      </c>
      <c r="C1" s="114"/>
      <c r="D1" s="114"/>
      <c r="E1" s="114"/>
      <c r="F1" s="114"/>
      <c r="G1" s="114"/>
      <c r="H1" s="114"/>
      <c r="I1" s="114"/>
      <c r="J1" s="114"/>
      <c r="K1" s="114"/>
      <c r="L1" s="114"/>
      <c r="M1" s="114"/>
      <c r="N1" s="114"/>
      <c r="O1" s="114"/>
      <c r="P1" s="114"/>
      <c r="Q1" s="114"/>
      <c r="R1" s="114"/>
      <c r="S1" s="114"/>
      <c r="T1" s="114"/>
      <c r="U1" s="114"/>
      <c r="V1" s="114"/>
      <c r="W1" s="114"/>
    </row>
    <row r="2" spans="1:27" x14ac:dyDescent="0.5">
      <c r="B2" s="114" t="s">
        <v>3879</v>
      </c>
      <c r="C2" s="114"/>
      <c r="D2" s="114"/>
      <c r="E2" s="114"/>
      <c r="F2" s="114"/>
      <c r="G2" s="114"/>
      <c r="H2" s="114"/>
      <c r="I2" s="114"/>
      <c r="J2" s="114"/>
      <c r="K2" s="114"/>
      <c r="L2" s="114"/>
      <c r="M2" s="114"/>
      <c r="N2" s="114"/>
      <c r="O2" s="114"/>
      <c r="P2" s="114"/>
      <c r="Q2" s="114"/>
      <c r="R2" s="114"/>
      <c r="S2" s="114"/>
      <c r="T2" s="114"/>
      <c r="U2" s="114"/>
      <c r="V2" s="114"/>
      <c r="W2" s="114"/>
    </row>
    <row r="3" spans="1:27" x14ac:dyDescent="0.5">
      <c r="B3" s="113" t="str">
        <f>'1.30 CEM Beta Adjusted RP'!A5</f>
        <v>Proxy Group of Seven Natural Gas Companies</v>
      </c>
      <c r="C3" s="114"/>
      <c r="D3" s="114"/>
      <c r="E3" s="114"/>
      <c r="F3" s="114"/>
      <c r="G3" s="114"/>
      <c r="H3" s="114"/>
      <c r="I3" s="114"/>
      <c r="J3" s="114"/>
      <c r="K3" s="114"/>
      <c r="L3" s="114"/>
      <c r="M3" s="114"/>
      <c r="N3" s="114"/>
      <c r="O3" s="114"/>
      <c r="P3" s="114"/>
      <c r="Q3" s="114"/>
      <c r="R3" s="114"/>
      <c r="S3" s="114"/>
      <c r="T3" s="114"/>
      <c r="U3" s="114"/>
      <c r="V3" s="114"/>
      <c r="W3" s="114"/>
    </row>
    <row r="5" spans="1:27" x14ac:dyDescent="0.5">
      <c r="B5" s="1390" t="str">
        <f>CONCATENATE(Input!$I$34)</f>
        <v>Proxy Group of Forty-Nine Non-Price Regulated Companies</v>
      </c>
      <c r="C5" s="1390"/>
      <c r="D5" s="1390"/>
      <c r="E5" s="1390"/>
      <c r="F5" s="1390"/>
      <c r="G5" s="1390"/>
      <c r="H5" s="1390"/>
      <c r="I5" s="1390"/>
      <c r="J5" s="1390"/>
      <c r="K5" s="1390"/>
      <c r="L5" s="1390"/>
      <c r="M5" s="1390"/>
      <c r="N5" s="1390"/>
      <c r="O5" s="1390"/>
      <c r="P5" s="1390"/>
      <c r="Q5" s="1390"/>
      <c r="R5" s="1390"/>
      <c r="S5" s="1390"/>
      <c r="T5" s="1390"/>
      <c r="U5" s="1390"/>
      <c r="V5" s="1390"/>
      <c r="W5" s="1390"/>
    </row>
    <row r="7" spans="1:27" x14ac:dyDescent="0.5">
      <c r="D7" s="59" t="s">
        <v>1163</v>
      </c>
      <c r="E7" s="59"/>
      <c r="F7" s="59" t="s">
        <v>1164</v>
      </c>
      <c r="G7" s="59"/>
      <c r="H7" s="59" t="s">
        <v>1165</v>
      </c>
      <c r="J7" s="114" t="s">
        <v>1166</v>
      </c>
      <c r="K7" s="114"/>
      <c r="M7" s="114" t="s">
        <v>1167</v>
      </c>
      <c r="N7" s="114"/>
      <c r="P7" s="114" t="s">
        <v>1168</v>
      </c>
      <c r="Q7" s="114"/>
      <c r="S7" s="114" t="s">
        <v>1169</v>
      </c>
      <c r="T7" s="114"/>
      <c r="V7" s="114" t="s">
        <v>1170</v>
      </c>
      <c r="W7" s="114"/>
    </row>
    <row r="9" spans="1:27" ht="74.25" customHeight="1" x14ac:dyDescent="0.5">
      <c r="B9" s="451" t="str">
        <f>Input!I34</f>
        <v>Proxy Group of Forty-Nine Non-Price Regulated Companies</v>
      </c>
      <c r="D9" s="123" t="s">
        <v>1261</v>
      </c>
      <c r="E9" s="454"/>
      <c r="F9" s="123" t="s">
        <v>2600</v>
      </c>
      <c r="G9" s="59"/>
      <c r="H9" s="123" t="s">
        <v>1263</v>
      </c>
      <c r="I9" s="59"/>
      <c r="J9" s="1417" t="s">
        <v>1264</v>
      </c>
      <c r="K9" s="1417"/>
      <c r="L9" s="59"/>
      <c r="M9" s="1417" t="s">
        <v>1265</v>
      </c>
      <c r="N9" s="1421"/>
      <c r="O9" s="59"/>
      <c r="P9" s="1417" t="s">
        <v>1266</v>
      </c>
      <c r="Q9" s="1421"/>
      <c r="R9" s="59"/>
      <c r="S9" s="1417" t="s">
        <v>1267</v>
      </c>
      <c r="T9" s="1421"/>
      <c r="U9" s="59"/>
      <c r="V9" s="1417" t="s">
        <v>1268</v>
      </c>
      <c r="W9" s="1422"/>
    </row>
    <row r="10" spans="1:27" ht="15.75" customHeight="1" x14ac:dyDescent="0.5">
      <c r="P10" s="211"/>
    </row>
    <row r="11" spans="1:27" ht="15.75" customHeight="1" x14ac:dyDescent="0.5">
      <c r="A11" s="60" t="str">
        <f>Input!C2</f>
        <v>ABT</v>
      </c>
      <c r="B11" s="460" t="str">
        <f>VLOOKUP($A11,'CEM Data Lookup'!$A:$P,2,FALSE)</f>
        <v xml:space="preserve">Abbott Labs.        </v>
      </c>
      <c r="D11" s="241">
        <f>VLOOKUP($A11,'CEM Data Lookup'!$A:$P,6,FALSE)</f>
        <v>0.9</v>
      </c>
      <c r="E11" s="211"/>
      <c r="F11" s="241">
        <f>VLOOKUP($A11,'CEM Data Lookup'!$A:$P,7,FALSE)</f>
        <v>0.69354146718978882</v>
      </c>
      <c r="G11" s="462"/>
      <c r="H11" s="462">
        <f>ROUND(AVERAGE(D11:F11),2)</f>
        <v>0.8</v>
      </c>
      <c r="I11" s="462"/>
      <c r="J11" s="211">
        <f>'1.22 CAPM Notes'!$N$37</f>
        <v>8.2509425334144506</v>
      </c>
      <c r="K11" s="463" t="s">
        <v>1090</v>
      </c>
      <c r="L11" s="462"/>
      <c r="M11" s="211">
        <f>'1.22 CAPM Notes'!$N$49</f>
        <v>4.5599999999999996</v>
      </c>
      <c r="N11" s="463" t="s">
        <v>1090</v>
      </c>
      <c r="O11" s="462"/>
      <c r="P11" s="229">
        <f>(H11*(J11))+M11</f>
        <v>11.16075402673156</v>
      </c>
      <c r="Q11" s="463" t="s">
        <v>1090</v>
      </c>
      <c r="R11" s="462"/>
      <c r="S11" s="229">
        <f>ROUND((0.75*(H11*J11))+(0.25*J11)+M11,4)</f>
        <v>11.5733</v>
      </c>
      <c r="T11" s="463" t="s">
        <v>1090</v>
      </c>
      <c r="U11" s="462"/>
      <c r="V11" s="211">
        <f>ROUND(AVERAGE(P11,S11),2)</f>
        <v>11.37</v>
      </c>
      <c r="W11" s="59" t="str">
        <f>IF(OR(V11&gt;$Z$13, V11&lt;$Z$14), "(4)","%")</f>
        <v>%</v>
      </c>
      <c r="Y11" s="21" t="s">
        <v>1082</v>
      </c>
      <c r="Z11" s="22">
        <f>AVERAGE(V11:V59)</f>
        <v>11.845918367346934</v>
      </c>
      <c r="AA11" s="464"/>
    </row>
    <row r="12" spans="1:27" ht="15.75" customHeight="1" x14ac:dyDescent="0.5">
      <c r="A12" s="60" t="str">
        <f>Input!C3</f>
        <v>ABBV</v>
      </c>
      <c r="B12" s="460" t="str">
        <f>VLOOKUP($A12,'CEM Data Lookup'!$A:$P,2,FALSE)</f>
        <v xml:space="preserve">AbbVie Inc.         </v>
      </c>
      <c r="D12" s="241">
        <f>VLOOKUP($A12,'CEM Data Lookup'!$A:$P,6,FALSE)</f>
        <v>0.8</v>
      </c>
      <c r="E12" s="211"/>
      <c r="F12" s="241">
        <f>VLOOKUP($A12,'CEM Data Lookup'!$A:$P,7,FALSE)</f>
        <v>0.52325218915939331</v>
      </c>
      <c r="G12" s="462"/>
      <c r="H12" s="462">
        <f t="shared" ref="H12:H59" si="0">ROUND(AVERAGE(D12:F12),2)</f>
        <v>0.66</v>
      </c>
      <c r="I12" s="462"/>
      <c r="J12" s="211">
        <f>'1.22 CAPM Notes'!$N$37</f>
        <v>8.2509425334144506</v>
      </c>
      <c r="K12" s="462"/>
      <c r="L12" s="462"/>
      <c r="M12" s="211">
        <f>'1.22 CAPM Notes'!$N$49</f>
        <v>4.5599999999999996</v>
      </c>
      <c r="N12" s="462"/>
      <c r="O12" s="462"/>
      <c r="P12" s="229">
        <f t="shared" ref="P12:P59" si="1">(H12*(J12))+M12</f>
        <v>10.005622072053537</v>
      </c>
      <c r="Q12" s="462"/>
      <c r="R12" s="462"/>
      <c r="S12" s="229">
        <f t="shared" ref="S12:S59" si="2">ROUND((0.75*(H12*J12))+(0.25*J12)+M12,4)</f>
        <v>10.707000000000001</v>
      </c>
      <c r="T12" s="462"/>
      <c r="U12" s="462"/>
      <c r="V12" s="211">
        <f t="shared" ref="V12:V59" si="3">ROUND(AVERAGE(P12,S12),2)</f>
        <v>10.36</v>
      </c>
      <c r="W12" s="59" t="str">
        <f>IF(OR(V12&gt;$Z$13, V12&lt;$Z$14), "(4)","")</f>
        <v/>
      </c>
      <c r="Y12" s="23" t="s">
        <v>1177</v>
      </c>
      <c r="Z12" s="24">
        <f>2*(_xlfn.STDEV.P(V11:V59))</f>
        <v>1.8255820133946752</v>
      </c>
      <c r="AA12" s="464"/>
    </row>
    <row r="13" spans="1:27" ht="15.75" customHeight="1" x14ac:dyDescent="0.5">
      <c r="A13" s="60" t="str">
        <f>Input!C4</f>
        <v>APD</v>
      </c>
      <c r="B13" s="460" t="str">
        <f>VLOOKUP($A13,'CEM Data Lookup'!$A:$P,2,FALSE)</f>
        <v>Air Products &amp; Chem.</v>
      </c>
      <c r="D13" s="241">
        <f>VLOOKUP($A13,'CEM Data Lookup'!$A:$P,6,FALSE)</f>
        <v>0.9</v>
      </c>
      <c r="E13" s="211"/>
      <c r="F13" s="241">
        <f>VLOOKUP($A13,'CEM Data Lookup'!$A:$P,7,FALSE)</f>
        <v>0.8722151517868042</v>
      </c>
      <c r="G13" s="462"/>
      <c r="H13" s="462">
        <f t="shared" si="0"/>
        <v>0.89</v>
      </c>
      <c r="I13" s="462"/>
      <c r="J13" s="211">
        <f>'1.22 CAPM Notes'!$N$37</f>
        <v>8.2509425334144506</v>
      </c>
      <c r="L13" s="462"/>
      <c r="M13" s="211">
        <f>'1.22 CAPM Notes'!$N$49</f>
        <v>4.5599999999999996</v>
      </c>
      <c r="O13" s="462"/>
      <c r="P13" s="229">
        <f t="shared" si="1"/>
        <v>11.903338854738861</v>
      </c>
      <c r="R13" s="462"/>
      <c r="S13" s="229">
        <f t="shared" si="2"/>
        <v>12.1302</v>
      </c>
      <c r="U13" s="462"/>
      <c r="V13" s="211">
        <f t="shared" si="3"/>
        <v>12.02</v>
      </c>
      <c r="W13" s="59" t="str">
        <f t="shared" ref="W13:W59" si="4">IF(OR(V13&gt;$Z$13, V13&lt;$Z$14), "(4)","")</f>
        <v/>
      </c>
      <c r="Y13" s="23" t="s">
        <v>1178</v>
      </c>
      <c r="Z13" s="25">
        <f>Z11+Z12</f>
        <v>13.671500380741609</v>
      </c>
      <c r="AA13" s="464"/>
    </row>
    <row r="14" spans="1:27" ht="15.75" customHeight="1" x14ac:dyDescent="0.5">
      <c r="A14" s="60" t="str">
        <f>Input!C5</f>
        <v>GOOG</v>
      </c>
      <c r="B14" s="460" t="str">
        <f>VLOOKUP($A14,'CEM Data Lookup'!$A:$P,2,FALSE)</f>
        <v xml:space="preserve">Alphabet Inc.       </v>
      </c>
      <c r="D14" s="241">
        <f>VLOOKUP($A14,'CEM Data Lookup'!$A:$P,6,FALSE)</f>
        <v>0.9</v>
      </c>
      <c r="E14" s="211"/>
      <c r="F14" s="241">
        <f>VLOOKUP($A14,'CEM Data Lookup'!$A:$P,7,FALSE)</f>
        <v>1.0347425937652588</v>
      </c>
      <c r="G14" s="462"/>
      <c r="H14" s="462">
        <f t="shared" si="0"/>
        <v>0.97</v>
      </c>
      <c r="I14" s="462"/>
      <c r="J14" s="211">
        <f>'1.22 CAPM Notes'!$N$37</f>
        <v>8.2509425334144506</v>
      </c>
      <c r="L14" s="462"/>
      <c r="M14" s="211">
        <f>'1.22 CAPM Notes'!$N$49</f>
        <v>4.5599999999999996</v>
      </c>
      <c r="O14" s="462"/>
      <c r="P14" s="229">
        <f t="shared" si="1"/>
        <v>12.563414257412017</v>
      </c>
      <c r="R14" s="462"/>
      <c r="S14" s="229">
        <f t="shared" si="2"/>
        <v>12.625299999999999</v>
      </c>
      <c r="U14" s="462"/>
      <c r="V14" s="211">
        <f t="shared" si="3"/>
        <v>12.59</v>
      </c>
      <c r="W14" s="59" t="str">
        <f t="shared" si="4"/>
        <v/>
      </c>
      <c r="Y14" s="26" t="s">
        <v>1179</v>
      </c>
      <c r="Z14" s="27">
        <f>Z11-Z12</f>
        <v>10.02033635395226</v>
      </c>
      <c r="AA14" s="464"/>
    </row>
    <row r="15" spans="1:27" ht="15.75" customHeight="1" x14ac:dyDescent="0.5">
      <c r="A15" s="60" t="str">
        <f>Input!C6</f>
        <v>MO</v>
      </c>
      <c r="B15" s="460" t="str">
        <f>VLOOKUP($A15,'CEM Data Lookup'!$A:$P,2,FALSE)</f>
        <v xml:space="preserve">Altria Group        </v>
      </c>
      <c r="D15" s="241">
        <f>VLOOKUP($A15,'CEM Data Lookup'!$A:$P,6,FALSE)</f>
        <v>0.85</v>
      </c>
      <c r="E15" s="211"/>
      <c r="F15" s="241">
        <f>VLOOKUP($A15,'CEM Data Lookup'!$A:$P,7,FALSE)</f>
        <v>0.47395306825637817</v>
      </c>
      <c r="G15" s="462"/>
      <c r="H15" s="462">
        <f t="shared" si="0"/>
        <v>0.66</v>
      </c>
      <c r="I15" s="462"/>
      <c r="J15" s="211">
        <f>'1.22 CAPM Notes'!$N$37</f>
        <v>8.2509425334144506</v>
      </c>
      <c r="L15" s="462"/>
      <c r="M15" s="211">
        <f>'1.22 CAPM Notes'!$N$49</f>
        <v>4.5599999999999996</v>
      </c>
      <c r="O15" s="462"/>
      <c r="P15" s="229">
        <f t="shared" si="1"/>
        <v>10.005622072053537</v>
      </c>
      <c r="R15" s="462"/>
      <c r="S15" s="229">
        <f t="shared" si="2"/>
        <v>10.707000000000001</v>
      </c>
      <c r="U15" s="462"/>
      <c r="V15" s="211">
        <f t="shared" si="3"/>
        <v>10.36</v>
      </c>
      <c r="W15" s="59" t="str">
        <f t="shared" si="4"/>
        <v/>
      </c>
      <c r="AA15" s="464"/>
    </row>
    <row r="16" spans="1:27" ht="15.75" customHeight="1" x14ac:dyDescent="0.5">
      <c r="A16" s="60" t="str">
        <f>Input!C7</f>
        <v>AAPL</v>
      </c>
      <c r="B16" s="460" t="str">
        <f>VLOOKUP($A16,'CEM Data Lookup'!$A:$P,2,FALSE)</f>
        <v xml:space="preserve">Apple Inc.          </v>
      </c>
      <c r="D16" s="241">
        <f>VLOOKUP($A16,'CEM Data Lookup'!$A:$P,6,FALSE)</f>
        <v>0.95</v>
      </c>
      <c r="E16" s="211"/>
      <c r="F16" s="241">
        <f>VLOOKUP($A16,'CEM Data Lookup'!$A:$P,7,FALSE)</f>
        <v>0.95028632879257202</v>
      </c>
      <c r="G16" s="462"/>
      <c r="H16" s="462">
        <f t="shared" si="0"/>
        <v>0.95</v>
      </c>
      <c r="I16" s="462"/>
      <c r="J16" s="211">
        <f>'1.22 CAPM Notes'!$N$37</f>
        <v>8.2509425334144506</v>
      </c>
      <c r="L16" s="462"/>
      <c r="M16" s="211">
        <f>'1.22 CAPM Notes'!$N$49</f>
        <v>4.5599999999999996</v>
      </c>
      <c r="O16" s="462"/>
      <c r="P16" s="229">
        <f t="shared" si="1"/>
        <v>12.398395406743727</v>
      </c>
      <c r="R16" s="462"/>
      <c r="S16" s="229">
        <f t="shared" si="2"/>
        <v>12.5015</v>
      </c>
      <c r="U16" s="462"/>
      <c r="V16" s="211">
        <f t="shared" si="3"/>
        <v>12.45</v>
      </c>
      <c r="W16" s="59" t="str">
        <f t="shared" si="4"/>
        <v/>
      </c>
      <c r="AA16" s="464"/>
    </row>
    <row r="17" spans="1:27" ht="15.75" customHeight="1" x14ac:dyDescent="0.5">
      <c r="A17" s="60" t="str">
        <f>Input!C8</f>
        <v>AIZ</v>
      </c>
      <c r="B17" s="460" t="str">
        <f>VLOOKUP($A17,'CEM Data Lookup'!$A:$P,2,FALSE)</f>
        <v xml:space="preserve">Assurant Inc.       </v>
      </c>
      <c r="D17" s="241">
        <f>VLOOKUP($A17,'CEM Data Lookup'!$A:$P,6,FALSE)</f>
        <v>0.9</v>
      </c>
      <c r="E17" s="211"/>
      <c r="F17" s="241">
        <f>VLOOKUP($A17,'CEM Data Lookup'!$A:$P,7,FALSE)</f>
        <v>0.80906951427459717</v>
      </c>
      <c r="G17" s="462"/>
      <c r="H17" s="462">
        <f t="shared" si="0"/>
        <v>0.85</v>
      </c>
      <c r="I17" s="462"/>
      <c r="J17" s="211">
        <f>'1.22 CAPM Notes'!$N$37</f>
        <v>8.2509425334144506</v>
      </c>
      <c r="L17" s="462"/>
      <c r="M17" s="211">
        <f>'1.22 CAPM Notes'!$N$49</f>
        <v>4.5599999999999996</v>
      </c>
      <c r="O17" s="462"/>
      <c r="P17" s="229">
        <f t="shared" si="1"/>
        <v>11.573301153402284</v>
      </c>
      <c r="R17" s="462"/>
      <c r="S17" s="229">
        <f t="shared" si="2"/>
        <v>11.8827</v>
      </c>
      <c r="U17" s="462"/>
      <c r="V17" s="211">
        <f t="shared" si="3"/>
        <v>11.73</v>
      </c>
      <c r="W17" s="59" t="str">
        <f t="shared" si="4"/>
        <v/>
      </c>
      <c r="AA17" s="464"/>
    </row>
    <row r="18" spans="1:27" ht="15.75" customHeight="1" x14ac:dyDescent="0.5">
      <c r="A18" s="60" t="str">
        <f>Input!C9</f>
        <v>AZO</v>
      </c>
      <c r="B18" s="460" t="str">
        <f>VLOOKUP($A18,'CEM Data Lookup'!$A:$P,2,FALSE)</f>
        <v xml:space="preserve">AutoZone Inc.       </v>
      </c>
      <c r="D18" s="241">
        <f>VLOOKUP($A18,'CEM Data Lookup'!$A:$P,6,FALSE)</f>
        <v>0.9</v>
      </c>
      <c r="E18" s="211"/>
      <c r="F18" s="241">
        <f>VLOOKUP($A18,'CEM Data Lookup'!$A:$P,7,FALSE)</f>
        <v>0.66840672492980957</v>
      </c>
      <c r="G18" s="462"/>
      <c r="H18" s="462">
        <f t="shared" si="0"/>
        <v>0.78</v>
      </c>
      <c r="I18" s="462"/>
      <c r="J18" s="211">
        <f>'1.22 CAPM Notes'!$N$37</f>
        <v>8.2509425334144506</v>
      </c>
      <c r="L18" s="462"/>
      <c r="M18" s="211">
        <f>'1.22 CAPM Notes'!$N$49</f>
        <v>4.5599999999999996</v>
      </c>
      <c r="O18" s="462"/>
      <c r="P18" s="229">
        <f t="shared" si="1"/>
        <v>10.99573517606327</v>
      </c>
      <c r="R18" s="462"/>
      <c r="S18" s="229">
        <f t="shared" si="2"/>
        <v>11.4495</v>
      </c>
      <c r="U18" s="462"/>
      <c r="V18" s="211">
        <f t="shared" si="3"/>
        <v>11.22</v>
      </c>
      <c r="W18" s="59" t="str">
        <f t="shared" si="4"/>
        <v/>
      </c>
      <c r="AA18" s="464"/>
    </row>
    <row r="19" spans="1:27" ht="15.75" customHeight="1" x14ac:dyDescent="0.5">
      <c r="A19" s="60" t="str">
        <f>Input!C10</f>
        <v>BAH</v>
      </c>
      <c r="B19" s="460" t="str">
        <f>VLOOKUP($A19,'CEM Data Lookup'!$A:$P,2,FALSE)</f>
        <v xml:space="preserve">Booz Allen Hamilton </v>
      </c>
      <c r="D19" s="241">
        <f>VLOOKUP($A19,'CEM Data Lookup'!$A:$P,6,FALSE)</f>
        <v>0.85</v>
      </c>
      <c r="E19" s="211"/>
      <c r="F19" s="241">
        <f>VLOOKUP($A19,'CEM Data Lookup'!$A:$P,7,FALSE)</f>
        <v>0.95955890417098999</v>
      </c>
      <c r="G19" s="462"/>
      <c r="H19" s="462">
        <f t="shared" si="0"/>
        <v>0.9</v>
      </c>
      <c r="I19" s="462"/>
      <c r="J19" s="211">
        <f>'1.22 CAPM Notes'!$N$37</f>
        <v>8.2509425334144506</v>
      </c>
      <c r="L19" s="462"/>
      <c r="M19" s="211">
        <f>'1.22 CAPM Notes'!$N$49</f>
        <v>4.5599999999999996</v>
      </c>
      <c r="O19" s="462"/>
      <c r="P19" s="229">
        <f t="shared" si="1"/>
        <v>11.985848280073006</v>
      </c>
      <c r="R19" s="462"/>
      <c r="S19" s="229">
        <f t="shared" si="2"/>
        <v>12.1921</v>
      </c>
      <c r="U19" s="462"/>
      <c r="V19" s="211">
        <f t="shared" si="3"/>
        <v>12.09</v>
      </c>
      <c r="W19" s="59" t="str">
        <f t="shared" si="4"/>
        <v/>
      </c>
      <c r="AA19" s="464"/>
    </row>
    <row r="20" spans="1:27" ht="15.75" customHeight="1" x14ac:dyDescent="0.5">
      <c r="A20" s="60" t="str">
        <f>Input!C11</f>
        <v>BRC</v>
      </c>
      <c r="B20" s="460" t="str">
        <f>VLOOKUP($A20,'CEM Data Lookup'!$A:$P,2,FALSE)</f>
        <v xml:space="preserve">Brady Corp.         </v>
      </c>
      <c r="D20" s="241">
        <f>VLOOKUP($A20,'CEM Data Lookup'!$A:$P,6,FALSE)</f>
        <v>0.95</v>
      </c>
      <c r="E20" s="211"/>
      <c r="F20" s="241">
        <f>VLOOKUP($A20,'CEM Data Lookup'!$A:$P,7,FALSE)</f>
        <v>0.6922643780708313</v>
      </c>
      <c r="G20" s="462"/>
      <c r="H20" s="462">
        <f t="shared" si="0"/>
        <v>0.82</v>
      </c>
      <c r="I20" s="462"/>
      <c r="J20" s="211">
        <f>'1.22 CAPM Notes'!$N$37</f>
        <v>8.2509425334144506</v>
      </c>
      <c r="L20" s="462"/>
      <c r="M20" s="211">
        <f>'1.22 CAPM Notes'!$N$49</f>
        <v>4.5599999999999996</v>
      </c>
      <c r="O20" s="462"/>
      <c r="P20" s="229">
        <f t="shared" si="1"/>
        <v>11.325772877399849</v>
      </c>
      <c r="R20" s="462"/>
      <c r="S20" s="229">
        <f t="shared" si="2"/>
        <v>11.697100000000001</v>
      </c>
      <c r="U20" s="462"/>
      <c r="V20" s="211">
        <f t="shared" si="3"/>
        <v>11.51</v>
      </c>
      <c r="W20" s="59" t="str">
        <f t="shared" si="4"/>
        <v/>
      </c>
      <c r="AA20" s="464"/>
    </row>
    <row r="21" spans="1:27" ht="15.75" customHeight="1" x14ac:dyDescent="0.5">
      <c r="A21" s="60" t="str">
        <f>Input!C12</f>
        <v>BWXT</v>
      </c>
      <c r="B21" s="460" t="str">
        <f>VLOOKUP($A21,'CEM Data Lookup'!$A:$P,2,FALSE)</f>
        <v xml:space="preserve">BWX Technologies    </v>
      </c>
      <c r="D21" s="241">
        <f>VLOOKUP($A21,'CEM Data Lookup'!$A:$P,6,FALSE)</f>
        <v>0.85</v>
      </c>
      <c r="E21" s="211"/>
      <c r="F21" s="241">
        <f>VLOOKUP($A21,'CEM Data Lookup'!$A:$P,7,FALSE)</f>
        <v>0.82718586921691895</v>
      </c>
      <c r="G21" s="462"/>
      <c r="H21" s="462">
        <f t="shared" si="0"/>
        <v>0.84</v>
      </c>
      <c r="I21" s="462"/>
      <c r="J21" s="211">
        <f>'1.22 CAPM Notes'!$N$37</f>
        <v>8.2509425334144506</v>
      </c>
      <c r="L21" s="462"/>
      <c r="M21" s="211">
        <f>'1.22 CAPM Notes'!$N$49</f>
        <v>4.5599999999999996</v>
      </c>
      <c r="O21" s="462"/>
      <c r="P21" s="229">
        <f t="shared" si="1"/>
        <v>11.490791728068139</v>
      </c>
      <c r="R21" s="462"/>
      <c r="S21" s="229">
        <f t="shared" si="2"/>
        <v>11.8208</v>
      </c>
      <c r="U21" s="462"/>
      <c r="V21" s="211">
        <f t="shared" si="3"/>
        <v>11.66</v>
      </c>
      <c r="W21" s="59" t="str">
        <f t="shared" si="4"/>
        <v/>
      </c>
      <c r="AA21" s="464"/>
    </row>
    <row r="22" spans="1:27" ht="15.75" customHeight="1" x14ac:dyDescent="0.5">
      <c r="A22" s="60" t="str">
        <f>Input!C13</f>
        <v>CACI</v>
      </c>
      <c r="B22" s="460" t="str">
        <f>VLOOKUP($A22,'CEM Data Lookup'!$A:$P,2,FALSE)</f>
        <v xml:space="preserve">CACI Int'l          </v>
      </c>
      <c r="D22" s="241">
        <f>VLOOKUP($A22,'CEM Data Lookup'!$A:$P,6,FALSE)</f>
        <v>0.9</v>
      </c>
      <c r="E22" s="211"/>
      <c r="F22" s="241">
        <f>VLOOKUP($A22,'CEM Data Lookup'!$A:$P,7,FALSE)</f>
        <v>0.81180983781814575</v>
      </c>
      <c r="G22" s="462"/>
      <c r="H22" s="462">
        <f t="shared" si="0"/>
        <v>0.86</v>
      </c>
      <c r="I22" s="462"/>
      <c r="J22" s="211">
        <f>'1.22 CAPM Notes'!$N$37</f>
        <v>8.2509425334144506</v>
      </c>
      <c r="L22" s="462"/>
      <c r="M22" s="211">
        <f>'1.22 CAPM Notes'!$N$49</f>
        <v>4.5599999999999996</v>
      </c>
      <c r="O22" s="462"/>
      <c r="P22" s="229">
        <f t="shared" si="1"/>
        <v>11.655810578736428</v>
      </c>
      <c r="R22" s="462"/>
      <c r="S22" s="229">
        <f t="shared" si="2"/>
        <v>11.944599999999999</v>
      </c>
      <c r="U22" s="462"/>
      <c r="V22" s="211">
        <f t="shared" si="3"/>
        <v>11.8</v>
      </c>
      <c r="W22" s="59" t="str">
        <f t="shared" si="4"/>
        <v/>
      </c>
      <c r="AA22" s="464"/>
    </row>
    <row r="23" spans="1:27" ht="15.75" customHeight="1" x14ac:dyDescent="0.5">
      <c r="A23" s="60" t="str">
        <f>Input!C14</f>
        <v>CASY</v>
      </c>
      <c r="B23" s="460" t="str">
        <f>VLOOKUP($A23,'CEM Data Lookup'!$A:$P,2,FALSE)</f>
        <v>Casey's Gen'l Stores</v>
      </c>
      <c r="D23" s="241">
        <f>VLOOKUP($A23,'CEM Data Lookup'!$A:$P,6,FALSE)</f>
        <v>0.9</v>
      </c>
      <c r="E23" s="211"/>
      <c r="F23" s="241">
        <f>VLOOKUP($A23,'CEM Data Lookup'!$A:$P,7,FALSE)</f>
        <v>0.65250164270401001</v>
      </c>
      <c r="G23" s="462"/>
      <c r="H23" s="462">
        <f t="shared" si="0"/>
        <v>0.78</v>
      </c>
      <c r="I23" s="462"/>
      <c r="J23" s="211">
        <f>'1.22 CAPM Notes'!$N$37</f>
        <v>8.2509425334144506</v>
      </c>
      <c r="L23" s="462"/>
      <c r="M23" s="211">
        <f>'1.22 CAPM Notes'!$N$49</f>
        <v>4.5599999999999996</v>
      </c>
      <c r="O23" s="462"/>
      <c r="P23" s="229">
        <f t="shared" si="1"/>
        <v>10.99573517606327</v>
      </c>
      <c r="R23" s="462"/>
      <c r="S23" s="229">
        <f t="shared" si="2"/>
        <v>11.4495</v>
      </c>
      <c r="U23" s="462"/>
      <c r="V23" s="211">
        <f t="shared" si="3"/>
        <v>11.22</v>
      </c>
      <c r="W23" s="59" t="str">
        <f t="shared" si="4"/>
        <v/>
      </c>
      <c r="AA23" s="464"/>
    </row>
    <row r="24" spans="1:27" ht="15.75" customHeight="1" x14ac:dyDescent="0.5">
      <c r="A24" s="60" t="str">
        <f>Input!C15</f>
        <v>COR</v>
      </c>
      <c r="B24" s="460" t="str">
        <f>VLOOKUP($A24,'CEM Data Lookup'!$A:$P,2,FALSE)</f>
        <v xml:space="preserve">Cencora             </v>
      </c>
      <c r="D24" s="241">
        <f>VLOOKUP($A24,'CEM Data Lookup'!$A:$P,6,FALSE)</f>
        <v>0.8</v>
      </c>
      <c r="E24" s="211"/>
      <c r="F24" s="241">
        <f>VLOOKUP($A24,'CEM Data Lookup'!$A:$P,7,FALSE)</f>
        <v>0.55954545736312866</v>
      </c>
      <c r="G24" s="462"/>
      <c r="H24" s="462">
        <f t="shared" si="0"/>
        <v>0.68</v>
      </c>
      <c r="I24" s="462"/>
      <c r="J24" s="211">
        <f>'1.22 CAPM Notes'!$N$37</f>
        <v>8.2509425334144506</v>
      </c>
      <c r="L24" s="462"/>
      <c r="M24" s="211">
        <f>'1.22 CAPM Notes'!$N$49</f>
        <v>4.5599999999999996</v>
      </c>
      <c r="O24" s="462"/>
      <c r="P24" s="229">
        <f t="shared" si="1"/>
        <v>10.170640922721827</v>
      </c>
      <c r="R24" s="462"/>
      <c r="S24" s="229">
        <f t="shared" si="2"/>
        <v>10.8307</v>
      </c>
      <c r="U24" s="462"/>
      <c r="V24" s="211">
        <f t="shared" si="3"/>
        <v>10.5</v>
      </c>
      <c r="W24" s="59" t="str">
        <f t="shared" si="4"/>
        <v/>
      </c>
      <c r="AA24" s="464"/>
    </row>
    <row r="25" spans="1:27" ht="15.75" customHeight="1" x14ac:dyDescent="0.5">
      <c r="A25" s="60" t="str">
        <f>Input!C16</f>
        <v>CSWI</v>
      </c>
      <c r="B25" s="460" t="str">
        <f>VLOOKUP($A25,'CEM Data Lookup'!$A:$P,2,FALSE)</f>
        <v xml:space="preserve">CSW Industrials     </v>
      </c>
      <c r="D25" s="241">
        <f>VLOOKUP($A25,'CEM Data Lookup'!$A:$P,6,FALSE)</f>
        <v>0.9</v>
      </c>
      <c r="E25" s="211"/>
      <c r="F25" s="241">
        <f>VLOOKUP($A25,'CEM Data Lookup'!$A:$P,7,FALSE)</f>
        <v>1.1909652948379517</v>
      </c>
      <c r="G25" s="462"/>
      <c r="H25" s="462">
        <f t="shared" si="0"/>
        <v>1.05</v>
      </c>
      <c r="I25" s="462"/>
      <c r="J25" s="211">
        <f>'1.22 CAPM Notes'!$N$37</f>
        <v>8.2509425334144506</v>
      </c>
      <c r="L25" s="462"/>
      <c r="M25" s="211">
        <f>'1.22 CAPM Notes'!$N$49</f>
        <v>4.5599999999999996</v>
      </c>
      <c r="O25" s="462"/>
      <c r="P25" s="229">
        <f t="shared" si="1"/>
        <v>13.223489660085175</v>
      </c>
      <c r="R25" s="462"/>
      <c r="S25" s="229">
        <f t="shared" si="2"/>
        <v>13.1204</v>
      </c>
      <c r="U25" s="462"/>
      <c r="V25" s="211">
        <f t="shared" si="3"/>
        <v>13.17</v>
      </c>
      <c r="W25" s="59" t="str">
        <f t="shared" si="4"/>
        <v/>
      </c>
      <c r="AA25" s="464"/>
    </row>
    <row r="26" spans="1:27" ht="15.75" customHeight="1" x14ac:dyDescent="0.5">
      <c r="A26" s="60" t="str">
        <f>Input!C17</f>
        <v>CVS</v>
      </c>
      <c r="B26" s="460" t="str">
        <f>VLOOKUP($A26,'CEM Data Lookup'!$A:$P,2,FALSE)</f>
        <v xml:space="preserve">CVS Health          </v>
      </c>
      <c r="D26" s="241">
        <f>VLOOKUP($A26,'CEM Data Lookup'!$A:$P,6,FALSE)</f>
        <v>0.9</v>
      </c>
      <c r="E26" s="211"/>
      <c r="F26" s="241">
        <f>VLOOKUP($A26,'CEM Data Lookup'!$A:$P,7,FALSE)</f>
        <v>0.68309164047241211</v>
      </c>
      <c r="G26" s="462"/>
      <c r="H26" s="462">
        <f t="shared" si="0"/>
        <v>0.79</v>
      </c>
      <c r="I26" s="462"/>
      <c r="J26" s="211">
        <f>'1.22 CAPM Notes'!$N$37</f>
        <v>8.2509425334144506</v>
      </c>
      <c r="L26" s="462"/>
      <c r="M26" s="211">
        <f>'1.22 CAPM Notes'!$N$49</f>
        <v>4.5599999999999996</v>
      </c>
      <c r="O26" s="462"/>
      <c r="P26" s="229">
        <f t="shared" si="1"/>
        <v>11.078244601397415</v>
      </c>
      <c r="R26" s="462"/>
      <c r="S26" s="229">
        <f t="shared" si="2"/>
        <v>11.5114</v>
      </c>
      <c r="U26" s="462"/>
      <c r="V26" s="211">
        <f t="shared" si="3"/>
        <v>11.29</v>
      </c>
      <c r="W26" s="59" t="str">
        <f t="shared" si="4"/>
        <v/>
      </c>
      <c r="AA26" s="464"/>
    </row>
    <row r="27" spans="1:27" ht="15.75" customHeight="1" x14ac:dyDescent="0.5">
      <c r="A27" s="60" t="str">
        <f>Input!C18</f>
        <v>DHR</v>
      </c>
      <c r="B27" s="460" t="str">
        <f>VLOOKUP($A27,'CEM Data Lookup'!$A:$P,2,FALSE)</f>
        <v xml:space="preserve">Danaher Corp.       </v>
      </c>
      <c r="D27" s="241">
        <f>VLOOKUP($A27,'CEM Data Lookup'!$A:$P,6,FALSE)</f>
        <v>0.9</v>
      </c>
      <c r="E27" s="211"/>
      <c r="F27" s="241">
        <f>VLOOKUP($A27,'CEM Data Lookup'!$A:$P,7,FALSE)</f>
        <v>0.8980674147605896</v>
      </c>
      <c r="G27" s="462"/>
      <c r="H27" s="462">
        <f t="shared" si="0"/>
        <v>0.9</v>
      </c>
      <c r="I27" s="462"/>
      <c r="J27" s="211">
        <f>'1.22 CAPM Notes'!$N$37</f>
        <v>8.2509425334144506</v>
      </c>
      <c r="L27" s="462"/>
      <c r="M27" s="211">
        <f>'1.22 CAPM Notes'!$N$49</f>
        <v>4.5599999999999996</v>
      </c>
      <c r="O27" s="462"/>
      <c r="P27" s="229">
        <f t="shared" si="1"/>
        <v>11.985848280073006</v>
      </c>
      <c r="R27" s="462"/>
      <c r="S27" s="229">
        <f t="shared" si="2"/>
        <v>12.1921</v>
      </c>
      <c r="U27" s="462"/>
      <c r="V27" s="211">
        <f t="shared" si="3"/>
        <v>12.09</v>
      </c>
      <c r="W27" s="59" t="str">
        <f t="shared" si="4"/>
        <v/>
      </c>
      <c r="AA27" s="464"/>
    </row>
    <row r="28" spans="1:27" ht="15.75" customHeight="1" x14ac:dyDescent="0.5">
      <c r="A28" s="60" t="str">
        <f>Input!C19</f>
        <v>DLB</v>
      </c>
      <c r="B28" s="460" t="str">
        <f>VLOOKUP($A28,'CEM Data Lookup'!$A:$P,2,FALSE)</f>
        <v xml:space="preserve">Dolby Labs.         </v>
      </c>
      <c r="D28" s="241">
        <f>VLOOKUP($A28,'CEM Data Lookup'!$A:$P,6,FALSE)</f>
        <v>0.95</v>
      </c>
      <c r="E28" s="211"/>
      <c r="F28" s="241">
        <f>VLOOKUP($A28,'CEM Data Lookup'!$A:$P,7,FALSE)</f>
        <v>0.90907853841781616</v>
      </c>
      <c r="G28" s="462"/>
      <c r="H28" s="462">
        <f t="shared" si="0"/>
        <v>0.93</v>
      </c>
      <c r="I28" s="462"/>
      <c r="J28" s="211">
        <f>'1.22 CAPM Notes'!$N$37</f>
        <v>8.2509425334144506</v>
      </c>
      <c r="L28" s="462"/>
      <c r="M28" s="211">
        <f>'1.22 CAPM Notes'!$N$49</f>
        <v>4.5599999999999996</v>
      </c>
      <c r="O28" s="462"/>
      <c r="P28" s="229">
        <f t="shared" si="1"/>
        <v>12.233376556075438</v>
      </c>
      <c r="R28" s="462"/>
      <c r="S28" s="229">
        <f t="shared" si="2"/>
        <v>12.377800000000001</v>
      </c>
      <c r="U28" s="462"/>
      <c r="V28" s="211">
        <f t="shared" si="3"/>
        <v>12.31</v>
      </c>
      <c r="W28" s="59" t="str">
        <f t="shared" si="4"/>
        <v/>
      </c>
      <c r="AA28" s="464"/>
    </row>
    <row r="29" spans="1:27" ht="15.75" customHeight="1" x14ac:dyDescent="0.5">
      <c r="A29" s="60" t="str">
        <f>Input!C20</f>
        <v>EXPO</v>
      </c>
      <c r="B29" s="460" t="str">
        <f>VLOOKUP($A29,'CEM Data Lookup'!$A:$P,2,FALSE)</f>
        <v xml:space="preserve">Exponent, Inc.      </v>
      </c>
      <c r="D29" s="241">
        <f>VLOOKUP($A29,'CEM Data Lookup'!$A:$P,6,FALSE)</f>
        <v>0.95</v>
      </c>
      <c r="E29" s="211"/>
      <c r="F29" s="241">
        <f>VLOOKUP($A29,'CEM Data Lookup'!$A:$P,7,FALSE)</f>
        <v>1.1504942178726196</v>
      </c>
      <c r="G29" s="462"/>
      <c r="H29" s="462">
        <f t="shared" si="0"/>
        <v>1.05</v>
      </c>
      <c r="I29" s="462"/>
      <c r="J29" s="211">
        <f>'1.22 CAPM Notes'!$N$37</f>
        <v>8.2509425334144506</v>
      </c>
      <c r="L29" s="462"/>
      <c r="M29" s="211">
        <f>'1.22 CAPM Notes'!$N$49</f>
        <v>4.5599999999999996</v>
      </c>
      <c r="O29" s="462"/>
      <c r="P29" s="229">
        <f t="shared" si="1"/>
        <v>13.223489660085175</v>
      </c>
      <c r="R29" s="462"/>
      <c r="S29" s="229">
        <f t="shared" si="2"/>
        <v>13.1204</v>
      </c>
      <c r="U29" s="462"/>
      <c r="V29" s="211">
        <f t="shared" si="3"/>
        <v>13.17</v>
      </c>
      <c r="W29" s="59" t="str">
        <f t="shared" si="4"/>
        <v/>
      </c>
      <c r="AA29" s="464"/>
    </row>
    <row r="30" spans="1:27" ht="15.75" customHeight="1" x14ac:dyDescent="0.5">
      <c r="A30" s="60" t="str">
        <f>Input!C21</f>
        <v>FAST</v>
      </c>
      <c r="B30" s="460" t="str">
        <f>VLOOKUP($A30,'CEM Data Lookup'!$A:$P,2,FALSE)</f>
        <v xml:space="preserve">Fastenal Co.        </v>
      </c>
      <c r="D30" s="241">
        <f>VLOOKUP($A30,'CEM Data Lookup'!$A:$P,6,FALSE)</f>
        <v>0.85</v>
      </c>
      <c r="E30" s="211"/>
      <c r="F30" s="241">
        <f>VLOOKUP($A30,'CEM Data Lookup'!$A:$P,7,FALSE)</f>
        <v>0.95662695169448853</v>
      </c>
      <c r="G30" s="462"/>
      <c r="H30" s="462">
        <f t="shared" si="0"/>
        <v>0.9</v>
      </c>
      <c r="I30" s="462"/>
      <c r="J30" s="211">
        <f>'1.22 CAPM Notes'!$N$37</f>
        <v>8.2509425334144506</v>
      </c>
      <c r="L30" s="462"/>
      <c r="M30" s="211">
        <f>'1.22 CAPM Notes'!$N$49</f>
        <v>4.5599999999999996</v>
      </c>
      <c r="O30" s="462"/>
      <c r="P30" s="229">
        <f t="shared" si="1"/>
        <v>11.985848280073006</v>
      </c>
      <c r="R30" s="462"/>
      <c r="S30" s="229">
        <f t="shared" si="2"/>
        <v>12.1921</v>
      </c>
      <c r="U30" s="462"/>
      <c r="V30" s="211">
        <f t="shared" si="3"/>
        <v>12.09</v>
      </c>
      <c r="W30" s="59" t="str">
        <f t="shared" si="4"/>
        <v/>
      </c>
      <c r="AA30" s="464"/>
    </row>
    <row r="31" spans="1:27" ht="15.75" customHeight="1" x14ac:dyDescent="0.5">
      <c r="A31" s="60" t="str">
        <f>Input!C22</f>
        <v>FELE</v>
      </c>
      <c r="B31" s="460" t="str">
        <f>VLOOKUP($A31,'CEM Data Lookup'!$A:$P,2,FALSE)</f>
        <v xml:space="preserve">Franklin Electric   </v>
      </c>
      <c r="D31" s="241">
        <f>VLOOKUP($A31,'CEM Data Lookup'!$A:$P,6,FALSE)</f>
        <v>0.9</v>
      </c>
      <c r="E31" s="211"/>
      <c r="F31" s="241">
        <f>VLOOKUP($A31,'CEM Data Lookup'!$A:$P,7,FALSE)</f>
        <v>1.037055492401123</v>
      </c>
      <c r="G31" s="462"/>
      <c r="H31" s="462">
        <f t="shared" si="0"/>
        <v>0.97</v>
      </c>
      <c r="I31" s="462"/>
      <c r="J31" s="211">
        <f>'1.22 CAPM Notes'!$N$37</f>
        <v>8.2509425334144506</v>
      </c>
      <c r="L31" s="462"/>
      <c r="M31" s="211">
        <f>'1.22 CAPM Notes'!$N$49</f>
        <v>4.5599999999999996</v>
      </c>
      <c r="O31" s="462"/>
      <c r="P31" s="229">
        <f t="shared" si="1"/>
        <v>12.563414257412017</v>
      </c>
      <c r="R31" s="462"/>
      <c r="S31" s="229">
        <f t="shared" si="2"/>
        <v>12.625299999999999</v>
      </c>
      <c r="U31" s="462"/>
      <c r="V31" s="211">
        <f t="shared" si="3"/>
        <v>12.59</v>
      </c>
      <c r="W31" s="59" t="str">
        <f t="shared" si="4"/>
        <v/>
      </c>
      <c r="AA31" s="464"/>
    </row>
    <row r="32" spans="1:27" ht="15.75" customHeight="1" x14ac:dyDescent="0.5">
      <c r="A32" s="60" t="str">
        <f>Input!C23</f>
        <v>GATX</v>
      </c>
      <c r="B32" s="460" t="str">
        <f>VLOOKUP($A32,'CEM Data Lookup'!$A:$P,2,FALSE)</f>
        <v xml:space="preserve">GATX Corp.          </v>
      </c>
      <c r="D32" s="241">
        <f>VLOOKUP($A32,'CEM Data Lookup'!$A:$P,6,FALSE)</f>
        <v>0.95</v>
      </c>
      <c r="E32" s="211"/>
      <c r="F32" s="241">
        <f>VLOOKUP($A32,'CEM Data Lookup'!$A:$P,7,FALSE)</f>
        <v>1.0428807735443115</v>
      </c>
      <c r="G32" s="462"/>
      <c r="H32" s="462">
        <f t="shared" si="0"/>
        <v>1</v>
      </c>
      <c r="I32" s="462"/>
      <c r="J32" s="211">
        <f>'1.22 CAPM Notes'!$N$37</f>
        <v>8.2509425334144506</v>
      </c>
      <c r="L32" s="462"/>
      <c r="M32" s="211">
        <f>'1.22 CAPM Notes'!$N$49</f>
        <v>4.5599999999999996</v>
      </c>
      <c r="O32" s="462"/>
      <c r="P32" s="229">
        <f t="shared" si="1"/>
        <v>12.810942533414451</v>
      </c>
      <c r="R32" s="462"/>
      <c r="S32" s="229">
        <f t="shared" si="2"/>
        <v>12.8109</v>
      </c>
      <c r="U32" s="462"/>
      <c r="V32" s="211">
        <f t="shared" si="3"/>
        <v>12.81</v>
      </c>
      <c r="W32" s="59" t="str">
        <f t="shared" si="4"/>
        <v/>
      </c>
      <c r="AA32" s="464"/>
    </row>
    <row r="33" spans="1:27" ht="15.75" customHeight="1" x14ac:dyDescent="0.5">
      <c r="A33" s="60" t="str">
        <f>Input!C24</f>
        <v>JKHY</v>
      </c>
      <c r="B33" s="460" t="str">
        <f>VLOOKUP($A33,'CEM Data Lookup'!$A:$P,2,FALSE)</f>
        <v>Henry (Jack) &amp; Assoc</v>
      </c>
      <c r="D33" s="241">
        <f>VLOOKUP($A33,'CEM Data Lookup'!$A:$P,6,FALSE)</f>
        <v>0.85</v>
      </c>
      <c r="E33" s="211"/>
      <c r="F33" s="241">
        <f>VLOOKUP($A33,'CEM Data Lookup'!$A:$P,7,FALSE)</f>
        <v>0.74081504344940186</v>
      </c>
      <c r="G33" s="462"/>
      <c r="H33" s="462">
        <f t="shared" si="0"/>
        <v>0.8</v>
      </c>
      <c r="I33" s="462"/>
      <c r="J33" s="211">
        <f>'1.22 CAPM Notes'!$N$37</f>
        <v>8.2509425334144506</v>
      </c>
      <c r="L33" s="462"/>
      <c r="M33" s="211">
        <f>'1.22 CAPM Notes'!$N$49</f>
        <v>4.5599999999999996</v>
      </c>
      <c r="O33" s="462"/>
      <c r="P33" s="229">
        <f t="shared" si="1"/>
        <v>11.16075402673156</v>
      </c>
      <c r="R33" s="462"/>
      <c r="S33" s="229">
        <f t="shared" si="2"/>
        <v>11.5733</v>
      </c>
      <c r="U33" s="462"/>
      <c r="V33" s="211">
        <f t="shared" si="3"/>
        <v>11.37</v>
      </c>
      <c r="W33" s="59" t="str">
        <f t="shared" si="4"/>
        <v/>
      </c>
      <c r="AA33" s="464"/>
    </row>
    <row r="34" spans="1:27" ht="15.75" customHeight="1" x14ac:dyDescent="0.5">
      <c r="A34" s="60" t="str">
        <f>Input!C25</f>
        <v>JBHT</v>
      </c>
      <c r="B34" s="460" t="str">
        <f>VLOOKUP($A34,'CEM Data Lookup'!$A:$P,2,FALSE)</f>
        <v xml:space="preserve">Hunt (J.B.)         </v>
      </c>
      <c r="D34" s="241">
        <f>VLOOKUP($A34,'CEM Data Lookup'!$A:$P,6,FALSE)</f>
        <v>0.95</v>
      </c>
      <c r="E34" s="211"/>
      <c r="F34" s="241">
        <f>VLOOKUP($A34,'CEM Data Lookup'!$A:$P,7,FALSE)</f>
        <v>1.0723741054534912</v>
      </c>
      <c r="G34" s="462"/>
      <c r="H34" s="462">
        <f t="shared" si="0"/>
        <v>1.01</v>
      </c>
      <c r="I34" s="462"/>
      <c r="J34" s="211">
        <f>'1.22 CAPM Notes'!$N$37</f>
        <v>8.2509425334144506</v>
      </c>
      <c r="L34" s="462"/>
      <c r="M34" s="211">
        <f>'1.22 CAPM Notes'!$N$49</f>
        <v>4.5599999999999996</v>
      </c>
      <c r="O34" s="462"/>
      <c r="P34" s="229">
        <f t="shared" si="1"/>
        <v>12.893451958748596</v>
      </c>
      <c r="R34" s="462"/>
      <c r="S34" s="229">
        <f t="shared" si="2"/>
        <v>12.8728</v>
      </c>
      <c r="U34" s="462"/>
      <c r="V34" s="211">
        <f t="shared" si="3"/>
        <v>12.88</v>
      </c>
      <c r="W34" s="59" t="str">
        <f t="shared" si="4"/>
        <v/>
      </c>
      <c r="AA34" s="464"/>
    </row>
    <row r="35" spans="1:27" ht="15.75" customHeight="1" x14ac:dyDescent="0.5">
      <c r="A35" s="60" t="str">
        <f>Input!C26</f>
        <v>HII</v>
      </c>
      <c r="B35" s="460" t="str">
        <f>VLOOKUP($A35,'CEM Data Lookup'!$A:$P,2,FALSE)</f>
        <v xml:space="preserve">Huntington Ingalls  </v>
      </c>
      <c r="D35" s="241">
        <f>VLOOKUP($A35,'CEM Data Lookup'!$A:$P,6,FALSE)</f>
        <v>0.95</v>
      </c>
      <c r="E35" s="211"/>
      <c r="F35" s="241">
        <f>VLOOKUP($A35,'CEM Data Lookup'!$A:$P,7,FALSE)</f>
        <v>1.0332001447677612</v>
      </c>
      <c r="G35" s="462"/>
      <c r="H35" s="462">
        <f t="shared" si="0"/>
        <v>0.99</v>
      </c>
      <c r="I35" s="462"/>
      <c r="J35" s="211">
        <f>'1.22 CAPM Notes'!$N$37</f>
        <v>8.2509425334144506</v>
      </c>
      <c r="L35" s="462"/>
      <c r="M35" s="211">
        <f>'1.22 CAPM Notes'!$N$49</f>
        <v>4.5599999999999996</v>
      </c>
      <c r="O35" s="462"/>
      <c r="P35" s="229">
        <f t="shared" si="1"/>
        <v>12.728433108080306</v>
      </c>
      <c r="R35" s="462"/>
      <c r="S35" s="229">
        <f t="shared" si="2"/>
        <v>12.7491</v>
      </c>
      <c r="U35" s="462"/>
      <c r="V35" s="211">
        <f t="shared" si="3"/>
        <v>12.74</v>
      </c>
      <c r="W35" s="59" t="str">
        <f t="shared" si="4"/>
        <v/>
      </c>
      <c r="AA35" s="464"/>
    </row>
    <row r="36" spans="1:27" ht="15.75" customHeight="1" x14ac:dyDescent="0.5">
      <c r="A36" s="60" t="str">
        <f>Input!C27</f>
        <v>LHX</v>
      </c>
      <c r="B36" s="460" t="str">
        <f>VLOOKUP($A36,'CEM Data Lookup'!$A:$P,2,FALSE)</f>
        <v>L3Harris Technologie</v>
      </c>
      <c r="D36" s="241">
        <f>VLOOKUP($A36,'CEM Data Lookup'!$A:$P,6,FALSE)</f>
        <v>0.95</v>
      </c>
      <c r="E36" s="211"/>
      <c r="F36" s="241">
        <f>VLOOKUP($A36,'CEM Data Lookup'!$A:$P,7,FALSE)</f>
        <v>0.85451763868331909</v>
      </c>
      <c r="G36" s="462"/>
      <c r="H36" s="462">
        <f t="shared" si="0"/>
        <v>0.9</v>
      </c>
      <c r="I36" s="462"/>
      <c r="J36" s="211">
        <f>'1.22 CAPM Notes'!$N$37</f>
        <v>8.2509425334144506</v>
      </c>
      <c r="L36" s="462"/>
      <c r="M36" s="211">
        <f>'1.22 CAPM Notes'!$N$49</f>
        <v>4.5599999999999996</v>
      </c>
      <c r="O36" s="462"/>
      <c r="P36" s="229">
        <f t="shared" si="1"/>
        <v>11.985848280073006</v>
      </c>
      <c r="R36" s="462"/>
      <c r="S36" s="229">
        <f t="shared" si="2"/>
        <v>12.1921</v>
      </c>
      <c r="U36" s="462"/>
      <c r="V36" s="211">
        <f t="shared" si="3"/>
        <v>12.09</v>
      </c>
      <c r="W36" s="59" t="str">
        <f t="shared" si="4"/>
        <v/>
      </c>
      <c r="AA36" s="464"/>
    </row>
    <row r="37" spans="1:27" ht="15.75" customHeight="1" x14ac:dyDescent="0.5">
      <c r="A37" s="60" t="str">
        <f>Input!C28</f>
        <v>LSTR</v>
      </c>
      <c r="B37" s="460" t="str">
        <f>VLOOKUP($A37,'CEM Data Lookup'!$A:$P,2,FALSE)</f>
        <v xml:space="preserve">Landstar System     </v>
      </c>
      <c r="D37" s="241">
        <f>VLOOKUP($A37,'CEM Data Lookup'!$A:$P,6,FALSE)</f>
        <v>0.8</v>
      </c>
      <c r="E37" s="211"/>
      <c r="F37" s="241">
        <f>VLOOKUP($A37,'CEM Data Lookup'!$A:$P,7,FALSE)</f>
        <v>0.96206098794937134</v>
      </c>
      <c r="G37" s="462"/>
      <c r="H37" s="462">
        <f t="shared" si="0"/>
        <v>0.88</v>
      </c>
      <c r="I37" s="462"/>
      <c r="J37" s="211">
        <f>'1.22 CAPM Notes'!$N$37</f>
        <v>8.2509425334144506</v>
      </c>
      <c r="L37" s="462"/>
      <c r="M37" s="211">
        <f>'1.22 CAPM Notes'!$N$49</f>
        <v>4.5599999999999996</v>
      </c>
      <c r="O37" s="462"/>
      <c r="P37" s="229">
        <f t="shared" si="1"/>
        <v>11.820829429404716</v>
      </c>
      <c r="R37" s="462"/>
      <c r="S37" s="229">
        <f t="shared" si="2"/>
        <v>12.0684</v>
      </c>
      <c r="U37" s="462"/>
      <c r="V37" s="211">
        <f t="shared" si="3"/>
        <v>11.94</v>
      </c>
      <c r="W37" s="59" t="str">
        <f t="shared" si="4"/>
        <v/>
      </c>
      <c r="AA37" s="464"/>
    </row>
    <row r="38" spans="1:27" ht="15.75" customHeight="1" x14ac:dyDescent="0.5">
      <c r="A38" s="60" t="str">
        <f>Input!C29</f>
        <v>LMT</v>
      </c>
      <c r="B38" s="460" t="str">
        <f>VLOOKUP($A38,'CEM Data Lookup'!$A:$P,2,FALSE)</f>
        <v xml:space="preserve">Lockheed Martin     </v>
      </c>
      <c r="D38" s="241">
        <f>VLOOKUP($A38,'CEM Data Lookup'!$A:$P,6,FALSE)</f>
        <v>0.85</v>
      </c>
      <c r="E38" s="211"/>
      <c r="F38" s="241">
        <f>VLOOKUP($A38,'CEM Data Lookup'!$A:$P,7,FALSE)</f>
        <v>0.45136621594429016</v>
      </c>
      <c r="G38" s="462"/>
      <c r="H38" s="462">
        <f t="shared" si="0"/>
        <v>0.65</v>
      </c>
      <c r="I38" s="462"/>
      <c r="J38" s="211">
        <f>'1.22 CAPM Notes'!$N$37</f>
        <v>8.2509425334144506</v>
      </c>
      <c r="L38" s="462"/>
      <c r="M38" s="211">
        <f>'1.22 CAPM Notes'!$N$49</f>
        <v>4.5599999999999996</v>
      </c>
      <c r="O38" s="462"/>
      <c r="P38" s="229">
        <f t="shared" si="1"/>
        <v>9.9231126467193924</v>
      </c>
      <c r="R38" s="462"/>
      <c r="S38" s="229">
        <f t="shared" si="2"/>
        <v>10.645099999999999</v>
      </c>
      <c r="U38" s="462"/>
      <c r="V38" s="211">
        <f t="shared" si="3"/>
        <v>10.28</v>
      </c>
      <c r="W38" s="59" t="str">
        <f t="shared" si="4"/>
        <v/>
      </c>
      <c r="AA38" s="464"/>
    </row>
    <row r="39" spans="1:27" ht="15.75" customHeight="1" x14ac:dyDescent="0.5">
      <c r="A39" s="60" t="str">
        <f>Input!C30</f>
        <v>MCK</v>
      </c>
      <c r="B39" s="460" t="str">
        <f>VLOOKUP($A39,'CEM Data Lookup'!$A:$P,2,FALSE)</f>
        <v xml:space="preserve">McKesson Corp.      </v>
      </c>
      <c r="D39" s="241">
        <f>VLOOKUP($A39,'CEM Data Lookup'!$A:$P,6,FALSE)</f>
        <v>0.85</v>
      </c>
      <c r="E39" s="211"/>
      <c r="F39" s="241">
        <f>VLOOKUP($A39,'CEM Data Lookup'!$A:$P,7,FALSE)</f>
        <v>0.6526990532875061</v>
      </c>
      <c r="G39" s="462"/>
      <c r="H39" s="462">
        <f t="shared" si="0"/>
        <v>0.75</v>
      </c>
      <c r="I39" s="462"/>
      <c r="J39" s="211">
        <f>'1.22 CAPM Notes'!$N$37</f>
        <v>8.2509425334144506</v>
      </c>
      <c r="L39" s="462"/>
      <c r="M39" s="211">
        <f>'1.22 CAPM Notes'!$N$49</f>
        <v>4.5599999999999996</v>
      </c>
      <c r="O39" s="462"/>
      <c r="P39" s="229">
        <f t="shared" si="1"/>
        <v>10.748206900060836</v>
      </c>
      <c r="R39" s="462"/>
      <c r="S39" s="229">
        <f t="shared" si="2"/>
        <v>11.2639</v>
      </c>
      <c r="U39" s="462"/>
      <c r="V39" s="211">
        <f t="shared" si="3"/>
        <v>11.01</v>
      </c>
      <c r="W39" s="59" t="str">
        <f t="shared" si="4"/>
        <v/>
      </c>
      <c r="AA39" s="464"/>
    </row>
    <row r="40" spans="1:27" ht="15.75" customHeight="1" x14ac:dyDescent="0.5">
      <c r="A40" s="60" t="str">
        <f>Input!C31</f>
        <v>MSFT</v>
      </c>
      <c r="B40" s="460" t="str">
        <f>VLOOKUP($A40,'CEM Data Lookup'!$A:$P,2,FALSE)</f>
        <v xml:space="preserve">Microsoft Corp.     </v>
      </c>
      <c r="D40" s="241">
        <f>VLOOKUP($A40,'CEM Data Lookup'!$A:$P,6,FALSE)</f>
        <v>0.9</v>
      </c>
      <c r="E40" s="211"/>
      <c r="F40" s="241">
        <f>VLOOKUP($A40,'CEM Data Lookup'!$A:$P,7,FALSE)</f>
        <v>1.024526834487915</v>
      </c>
      <c r="G40" s="462"/>
      <c r="H40" s="462">
        <f t="shared" si="0"/>
        <v>0.96</v>
      </c>
      <c r="I40" s="462"/>
      <c r="J40" s="211">
        <f>'1.22 CAPM Notes'!$N$37</f>
        <v>8.2509425334144506</v>
      </c>
      <c r="L40" s="462"/>
      <c r="M40" s="211">
        <f>'1.22 CAPM Notes'!$N$49</f>
        <v>4.5599999999999996</v>
      </c>
      <c r="O40" s="462"/>
      <c r="P40" s="229">
        <f t="shared" si="1"/>
        <v>12.480904832077872</v>
      </c>
      <c r="R40" s="462"/>
      <c r="S40" s="229">
        <f t="shared" si="2"/>
        <v>12.5634</v>
      </c>
      <c r="U40" s="462"/>
      <c r="V40" s="211">
        <f t="shared" si="3"/>
        <v>12.52</v>
      </c>
      <c r="W40" s="59" t="str">
        <f t="shared" si="4"/>
        <v/>
      </c>
      <c r="AA40" s="464"/>
    </row>
    <row r="41" spans="1:27" ht="15.75" customHeight="1" x14ac:dyDescent="0.5">
      <c r="A41" s="60" t="str">
        <f>Input!C32</f>
        <v>MSM</v>
      </c>
      <c r="B41" s="460" t="str">
        <f>VLOOKUP($A41,'CEM Data Lookup'!$A:$P,2,FALSE)</f>
        <v>MSC Industrial Direc</v>
      </c>
      <c r="D41" s="241">
        <f>VLOOKUP($A41,'CEM Data Lookup'!$A:$P,6,FALSE)</f>
        <v>0.9</v>
      </c>
      <c r="E41" s="211"/>
      <c r="F41" s="241">
        <f>VLOOKUP($A41,'CEM Data Lookup'!$A:$P,7,FALSE)</f>
        <v>0.89007562398910522</v>
      </c>
      <c r="G41" s="462"/>
      <c r="H41" s="462">
        <f t="shared" si="0"/>
        <v>0.9</v>
      </c>
      <c r="I41" s="462"/>
      <c r="J41" s="211">
        <f>'1.22 CAPM Notes'!$N$37</f>
        <v>8.2509425334144506</v>
      </c>
      <c r="L41" s="462"/>
      <c r="M41" s="211">
        <f>'1.22 CAPM Notes'!$N$49</f>
        <v>4.5599999999999996</v>
      </c>
      <c r="O41" s="462"/>
      <c r="P41" s="229">
        <f t="shared" si="1"/>
        <v>11.985848280073006</v>
      </c>
      <c r="R41" s="462"/>
      <c r="S41" s="229">
        <f t="shared" si="2"/>
        <v>12.1921</v>
      </c>
      <c r="U41" s="462"/>
      <c r="V41" s="211">
        <f t="shared" si="3"/>
        <v>12.09</v>
      </c>
      <c r="W41" s="59" t="str">
        <f t="shared" si="4"/>
        <v/>
      </c>
      <c r="AA41" s="464"/>
    </row>
    <row r="42" spans="1:27" ht="15.75" customHeight="1" x14ac:dyDescent="0.5">
      <c r="A42" s="60" t="str">
        <f>Input!C33</f>
        <v>ORCL</v>
      </c>
      <c r="B42" s="460" t="str">
        <f>VLOOKUP($A42,'CEM Data Lookup'!$A:$P,2,FALSE)</f>
        <v xml:space="preserve">Oracle Corp.        </v>
      </c>
      <c r="D42" s="241">
        <f>VLOOKUP($A42,'CEM Data Lookup'!$A:$P,6,FALSE)</f>
        <v>0.85</v>
      </c>
      <c r="E42" s="211"/>
      <c r="F42" s="241">
        <f>VLOOKUP($A42,'CEM Data Lookup'!$A:$P,7,FALSE)</f>
        <v>1.3098315000534058</v>
      </c>
      <c r="G42" s="462"/>
      <c r="H42" s="462">
        <f t="shared" si="0"/>
        <v>1.08</v>
      </c>
      <c r="I42" s="462"/>
      <c r="J42" s="211">
        <f>'1.22 CAPM Notes'!$N$37</f>
        <v>8.2509425334144506</v>
      </c>
      <c r="L42" s="462"/>
      <c r="M42" s="211">
        <f>'1.22 CAPM Notes'!$N$49</f>
        <v>4.5599999999999996</v>
      </c>
      <c r="O42" s="462"/>
      <c r="P42" s="229">
        <f t="shared" si="1"/>
        <v>13.471017936087605</v>
      </c>
      <c r="R42" s="462"/>
      <c r="S42" s="229">
        <f t="shared" si="2"/>
        <v>13.305999999999999</v>
      </c>
      <c r="U42" s="462"/>
      <c r="V42" s="211">
        <f t="shared" si="3"/>
        <v>13.39</v>
      </c>
      <c r="W42" s="59" t="str">
        <f t="shared" si="4"/>
        <v/>
      </c>
      <c r="AA42" s="464"/>
    </row>
    <row r="43" spans="1:27" ht="15.75" customHeight="1" x14ac:dyDescent="0.5">
      <c r="A43" s="60" t="str">
        <f>Input!C34</f>
        <v>ORLY</v>
      </c>
      <c r="B43" s="460" t="str">
        <f>VLOOKUP($A43,'CEM Data Lookup'!$A:$P,2,FALSE)</f>
        <v xml:space="preserve">O'Reilly Automotive </v>
      </c>
      <c r="D43" s="241">
        <f>VLOOKUP($A43,'CEM Data Lookup'!$A:$P,6,FALSE)</f>
        <v>0.9</v>
      </c>
      <c r="E43" s="211"/>
      <c r="F43" s="241">
        <f>VLOOKUP($A43,'CEM Data Lookup'!$A:$P,7,FALSE)</f>
        <v>0.60680055618286133</v>
      </c>
      <c r="G43" s="462"/>
      <c r="H43" s="462">
        <f t="shared" si="0"/>
        <v>0.75</v>
      </c>
      <c r="I43" s="462"/>
      <c r="J43" s="211">
        <f>'1.22 CAPM Notes'!$N$37</f>
        <v>8.2509425334144506</v>
      </c>
      <c r="L43" s="462"/>
      <c r="M43" s="211">
        <f>'1.22 CAPM Notes'!$N$49</f>
        <v>4.5599999999999996</v>
      </c>
      <c r="O43" s="462"/>
      <c r="P43" s="229">
        <f t="shared" si="1"/>
        <v>10.748206900060836</v>
      </c>
      <c r="R43" s="462"/>
      <c r="S43" s="229">
        <f t="shared" si="2"/>
        <v>11.2639</v>
      </c>
      <c r="U43" s="462"/>
      <c r="V43" s="211">
        <f t="shared" si="3"/>
        <v>11.01</v>
      </c>
      <c r="W43" s="59" t="str">
        <f t="shared" si="4"/>
        <v/>
      </c>
      <c r="AA43" s="464"/>
    </row>
    <row r="44" spans="1:27" ht="15.75" customHeight="1" x14ac:dyDescent="0.5">
      <c r="A44" s="60" t="str">
        <f>Input!C35</f>
        <v>OSIS</v>
      </c>
      <c r="B44" s="460" t="str">
        <f>VLOOKUP($A44,'CEM Data Lookup'!$A:$P,2,FALSE)</f>
        <v xml:space="preserve">OSI Systems         </v>
      </c>
      <c r="D44" s="241">
        <f>VLOOKUP($A44,'CEM Data Lookup'!$A:$P,6,FALSE)</f>
        <v>0.9</v>
      </c>
      <c r="E44" s="211"/>
      <c r="F44" s="241">
        <f>VLOOKUP($A44,'CEM Data Lookup'!$A:$P,7,FALSE)</f>
        <v>1.2321913242340088</v>
      </c>
      <c r="G44" s="462"/>
      <c r="H44" s="462">
        <f t="shared" si="0"/>
        <v>1.07</v>
      </c>
      <c r="I44" s="462"/>
      <c r="J44" s="211">
        <f>'1.22 CAPM Notes'!$N$37</f>
        <v>8.2509425334144506</v>
      </c>
      <c r="L44" s="462"/>
      <c r="M44" s="211">
        <f>'1.22 CAPM Notes'!$N$49</f>
        <v>4.5599999999999996</v>
      </c>
      <c r="O44" s="462"/>
      <c r="P44" s="229">
        <f t="shared" si="1"/>
        <v>13.388508510753461</v>
      </c>
      <c r="R44" s="462"/>
      <c r="S44" s="229">
        <f t="shared" si="2"/>
        <v>13.2441</v>
      </c>
      <c r="U44" s="462"/>
      <c r="V44" s="211">
        <f t="shared" si="3"/>
        <v>13.32</v>
      </c>
      <c r="W44" s="59" t="str">
        <f t="shared" si="4"/>
        <v/>
      </c>
      <c r="AA44" s="464"/>
    </row>
    <row r="45" spans="1:27" ht="15.75" customHeight="1" x14ac:dyDescent="0.5">
      <c r="A45" s="60" t="str">
        <f>Input!C36</f>
        <v>PKG</v>
      </c>
      <c r="B45" s="460" t="str">
        <f>VLOOKUP($A45,'CEM Data Lookup'!$A:$P,2,FALSE)</f>
        <v xml:space="preserve">Packaging Corp.     </v>
      </c>
      <c r="D45" s="241">
        <f>VLOOKUP($A45,'CEM Data Lookup'!$A:$P,6,FALSE)</f>
        <v>0.95</v>
      </c>
      <c r="E45" s="211"/>
      <c r="F45" s="241">
        <f>VLOOKUP($A45,'CEM Data Lookup'!$A:$P,7,FALSE)</f>
        <v>0.7697637677192688</v>
      </c>
      <c r="G45" s="462"/>
      <c r="H45" s="462">
        <f t="shared" si="0"/>
        <v>0.86</v>
      </c>
      <c r="I45" s="462"/>
      <c r="J45" s="211">
        <f>'1.22 CAPM Notes'!$N$37</f>
        <v>8.2509425334144506</v>
      </c>
      <c r="L45" s="462"/>
      <c r="M45" s="211">
        <f>'1.22 CAPM Notes'!$N$49</f>
        <v>4.5599999999999996</v>
      </c>
      <c r="O45" s="462"/>
      <c r="P45" s="229">
        <f t="shared" si="1"/>
        <v>11.655810578736428</v>
      </c>
      <c r="R45" s="462"/>
      <c r="S45" s="229">
        <f t="shared" si="2"/>
        <v>11.944599999999999</v>
      </c>
      <c r="U45" s="462"/>
      <c r="V45" s="211">
        <f t="shared" si="3"/>
        <v>11.8</v>
      </c>
      <c r="W45" s="59" t="str">
        <f t="shared" si="4"/>
        <v/>
      </c>
      <c r="AA45" s="464"/>
    </row>
    <row r="46" spans="1:27" ht="15.75" customHeight="1" x14ac:dyDescent="0.5">
      <c r="A46" s="60" t="str">
        <f>Input!C37</f>
        <v>PFE</v>
      </c>
      <c r="B46" s="460" t="str">
        <f>VLOOKUP($A46,'CEM Data Lookup'!$A:$P,2,FALSE)</f>
        <v xml:space="preserve">Pfizer, Inc.        </v>
      </c>
      <c r="D46" s="241">
        <f>VLOOKUP($A46,'CEM Data Lookup'!$A:$P,6,FALSE)</f>
        <v>0.8</v>
      </c>
      <c r="E46" s="211"/>
      <c r="F46" s="241">
        <f>VLOOKUP($A46,'CEM Data Lookup'!$A:$P,7,FALSE)</f>
        <v>0.50461471080780029</v>
      </c>
      <c r="G46" s="462"/>
      <c r="H46" s="462">
        <f t="shared" si="0"/>
        <v>0.65</v>
      </c>
      <c r="I46" s="462"/>
      <c r="J46" s="211">
        <f>'1.22 CAPM Notes'!$N$37</f>
        <v>8.2509425334144506</v>
      </c>
      <c r="L46" s="462"/>
      <c r="M46" s="211">
        <f>'1.22 CAPM Notes'!$N$49</f>
        <v>4.5599999999999996</v>
      </c>
      <c r="O46" s="462"/>
      <c r="P46" s="229">
        <f t="shared" si="1"/>
        <v>9.9231126467193924</v>
      </c>
      <c r="R46" s="462"/>
      <c r="S46" s="229">
        <f t="shared" si="2"/>
        <v>10.645099999999999</v>
      </c>
      <c r="U46" s="462"/>
      <c r="V46" s="211">
        <f t="shared" si="3"/>
        <v>10.28</v>
      </c>
      <c r="W46" s="59" t="str">
        <f t="shared" si="4"/>
        <v/>
      </c>
      <c r="AA46" s="464"/>
    </row>
    <row r="47" spans="1:27" ht="15.75" customHeight="1" x14ac:dyDescent="0.5">
      <c r="A47" s="60" t="str">
        <f>Input!C38</f>
        <v>PM</v>
      </c>
      <c r="B47" s="460" t="str">
        <f>VLOOKUP($A47,'CEM Data Lookup'!$A:$P,2,FALSE)</f>
        <v xml:space="preserve">Philip Morris Int'l </v>
      </c>
      <c r="D47" s="241">
        <f>VLOOKUP($A47,'CEM Data Lookup'!$A:$P,6,FALSE)</f>
        <v>0.9</v>
      </c>
      <c r="E47" s="211"/>
      <c r="F47" s="241">
        <f>VLOOKUP($A47,'CEM Data Lookup'!$A:$P,7,FALSE)</f>
        <v>0.49016240239143372</v>
      </c>
      <c r="G47" s="462"/>
      <c r="H47" s="462">
        <f t="shared" si="0"/>
        <v>0.7</v>
      </c>
      <c r="I47" s="462"/>
      <c r="J47" s="211">
        <f>'1.22 CAPM Notes'!$N$37</f>
        <v>8.2509425334144506</v>
      </c>
      <c r="L47" s="462"/>
      <c r="M47" s="211">
        <f>'1.22 CAPM Notes'!$N$49</f>
        <v>4.5599999999999996</v>
      </c>
      <c r="O47" s="462"/>
      <c r="P47" s="229">
        <f t="shared" si="1"/>
        <v>10.335659773390114</v>
      </c>
      <c r="R47" s="462"/>
      <c r="S47" s="229">
        <f t="shared" si="2"/>
        <v>10.954499999999999</v>
      </c>
      <c r="U47" s="462"/>
      <c r="V47" s="211">
        <f t="shared" si="3"/>
        <v>10.65</v>
      </c>
      <c r="W47" s="59" t="str">
        <f t="shared" si="4"/>
        <v/>
      </c>
      <c r="AA47" s="464"/>
    </row>
    <row r="48" spans="1:27" ht="15.75" customHeight="1" x14ac:dyDescent="0.5">
      <c r="A48" s="60" t="str">
        <f>Input!C39</f>
        <v>PBH</v>
      </c>
      <c r="B48" s="460" t="str">
        <f>VLOOKUP($A48,'CEM Data Lookup'!$A:$P,2,FALSE)</f>
        <v xml:space="preserve">Prestige Consumer   </v>
      </c>
      <c r="D48" s="241">
        <f>VLOOKUP($A48,'CEM Data Lookup'!$A:$P,6,FALSE)</f>
        <v>0.9</v>
      </c>
      <c r="E48" s="211"/>
      <c r="F48" s="241">
        <f>VLOOKUP($A48,'CEM Data Lookup'!$A:$P,7,FALSE)</f>
        <v>0.67751145362854004</v>
      </c>
      <c r="G48" s="462"/>
      <c r="H48" s="462">
        <f t="shared" si="0"/>
        <v>0.79</v>
      </c>
      <c r="I48" s="462"/>
      <c r="J48" s="211">
        <f>'1.22 CAPM Notes'!$N$37</f>
        <v>8.2509425334144506</v>
      </c>
      <c r="L48" s="462"/>
      <c r="M48" s="211">
        <f>'1.22 CAPM Notes'!$N$49</f>
        <v>4.5599999999999996</v>
      </c>
      <c r="O48" s="462"/>
      <c r="P48" s="229">
        <f t="shared" si="1"/>
        <v>11.078244601397415</v>
      </c>
      <c r="R48" s="462"/>
      <c r="S48" s="229">
        <f t="shared" si="2"/>
        <v>11.5114</v>
      </c>
      <c r="U48" s="462"/>
      <c r="V48" s="211">
        <f t="shared" si="3"/>
        <v>11.29</v>
      </c>
      <c r="W48" s="59" t="str">
        <f t="shared" si="4"/>
        <v/>
      </c>
      <c r="AA48" s="464"/>
    </row>
    <row r="49" spans="1:27" ht="15.75" customHeight="1" x14ac:dyDescent="0.5">
      <c r="A49" s="60" t="str">
        <f>Input!C40</f>
        <v>SIGI</v>
      </c>
      <c r="B49" s="460" t="str">
        <f>VLOOKUP($A49,'CEM Data Lookup'!$A:$P,2,FALSE)</f>
        <v>Selective Ins. Group</v>
      </c>
      <c r="D49" s="241">
        <f>VLOOKUP($A49,'CEM Data Lookup'!$A:$P,6,FALSE)</f>
        <v>0.9</v>
      </c>
      <c r="E49" s="211"/>
      <c r="F49" s="241">
        <f>VLOOKUP($A49,'CEM Data Lookup'!$A:$P,7,FALSE)</f>
        <v>0.64090383052825928</v>
      </c>
      <c r="G49" s="462"/>
      <c r="H49" s="462">
        <f t="shared" si="0"/>
        <v>0.77</v>
      </c>
      <c r="I49" s="462"/>
      <c r="J49" s="211">
        <f>'1.22 CAPM Notes'!$N$37</f>
        <v>8.2509425334144506</v>
      </c>
      <c r="L49" s="462"/>
      <c r="M49" s="211">
        <f>'1.22 CAPM Notes'!$N$49</f>
        <v>4.5599999999999996</v>
      </c>
      <c r="O49" s="462"/>
      <c r="P49" s="229">
        <f t="shared" si="1"/>
        <v>10.913225750729126</v>
      </c>
      <c r="R49" s="462"/>
      <c r="S49" s="229">
        <f t="shared" si="2"/>
        <v>11.387700000000001</v>
      </c>
      <c r="U49" s="462"/>
      <c r="V49" s="211">
        <f t="shared" si="3"/>
        <v>11.15</v>
      </c>
      <c r="W49" s="59" t="str">
        <f t="shared" si="4"/>
        <v/>
      </c>
      <c r="AA49" s="464"/>
    </row>
    <row r="50" spans="1:27" ht="15.75" customHeight="1" x14ac:dyDescent="0.5">
      <c r="A50" s="60" t="str">
        <f>Input!C41</f>
        <v>SCI</v>
      </c>
      <c r="B50" s="460" t="str">
        <f>VLOOKUP($A50,'CEM Data Lookup'!$A:$P,2,FALSE)</f>
        <v xml:space="preserve">Service Corp. Int'l </v>
      </c>
      <c r="D50" s="241">
        <f>VLOOKUP($A50,'CEM Data Lookup'!$A:$P,6,FALSE)</f>
        <v>0.95</v>
      </c>
      <c r="E50" s="211"/>
      <c r="F50" s="241">
        <f>VLOOKUP($A50,'CEM Data Lookup'!$A:$P,7,FALSE)</f>
        <v>0.9204447865486145</v>
      </c>
      <c r="G50" s="462"/>
      <c r="H50" s="462">
        <f t="shared" si="0"/>
        <v>0.94</v>
      </c>
      <c r="I50" s="462"/>
      <c r="J50" s="211">
        <f>'1.22 CAPM Notes'!$N$37</f>
        <v>8.2509425334144506</v>
      </c>
      <c r="L50" s="462"/>
      <c r="M50" s="211">
        <f>'1.22 CAPM Notes'!$N$49</f>
        <v>4.5599999999999996</v>
      </c>
      <c r="O50" s="462"/>
      <c r="P50" s="229">
        <f t="shared" si="1"/>
        <v>12.315885981409583</v>
      </c>
      <c r="R50" s="462"/>
      <c r="S50" s="229">
        <f t="shared" si="2"/>
        <v>12.4397</v>
      </c>
      <c r="U50" s="462"/>
      <c r="V50" s="211">
        <f t="shared" si="3"/>
        <v>12.38</v>
      </c>
      <c r="W50" s="59" t="str">
        <f t="shared" si="4"/>
        <v/>
      </c>
      <c r="AA50" s="464"/>
    </row>
    <row r="51" spans="1:27" ht="15.75" customHeight="1" x14ac:dyDescent="0.5">
      <c r="A51" s="60" t="str">
        <f>Input!C42</f>
        <v>SHW</v>
      </c>
      <c r="B51" s="460" t="str">
        <f>VLOOKUP($A51,'CEM Data Lookup'!$A:$P,2,FALSE)</f>
        <v xml:space="preserve">Sherwin-Williams    </v>
      </c>
      <c r="D51" s="241">
        <f>VLOOKUP($A51,'CEM Data Lookup'!$A:$P,6,FALSE)</f>
        <v>0.95</v>
      </c>
      <c r="E51" s="211"/>
      <c r="F51" s="241">
        <f>VLOOKUP($A51,'CEM Data Lookup'!$A:$P,7,FALSE)</f>
        <v>1.1740704774856567</v>
      </c>
      <c r="G51" s="462"/>
      <c r="H51" s="462">
        <f t="shared" si="0"/>
        <v>1.06</v>
      </c>
      <c r="I51" s="462"/>
      <c r="J51" s="211">
        <f>'1.22 CAPM Notes'!$N$37</f>
        <v>8.2509425334144506</v>
      </c>
      <c r="L51" s="462"/>
      <c r="M51" s="211">
        <f>'1.22 CAPM Notes'!$N$49</f>
        <v>4.5599999999999996</v>
      </c>
      <c r="O51" s="462"/>
      <c r="P51" s="229">
        <f t="shared" si="1"/>
        <v>13.305999085419316</v>
      </c>
      <c r="R51" s="462"/>
      <c r="S51" s="229">
        <f t="shared" si="2"/>
        <v>13.1822</v>
      </c>
      <c r="U51" s="462"/>
      <c r="V51" s="211">
        <f t="shared" si="3"/>
        <v>13.24</v>
      </c>
      <c r="W51" s="59" t="str">
        <f t="shared" si="4"/>
        <v/>
      </c>
      <c r="AA51" s="464"/>
    </row>
    <row r="52" spans="1:27" ht="15.75" customHeight="1" x14ac:dyDescent="0.5">
      <c r="A52" s="60" t="str">
        <f>Input!C43</f>
        <v>AOS</v>
      </c>
      <c r="B52" s="460" t="str">
        <f>VLOOKUP($A52,'CEM Data Lookup'!$A:$P,2,FALSE)</f>
        <v xml:space="preserve">Smith (A.O.)        </v>
      </c>
      <c r="D52" s="241">
        <f>VLOOKUP($A52,'CEM Data Lookup'!$A:$P,6,FALSE)</f>
        <v>0.9</v>
      </c>
      <c r="E52" s="211"/>
      <c r="F52" s="241">
        <f>VLOOKUP($A52,'CEM Data Lookup'!$A:$P,7,FALSE)</f>
        <v>0.97672075033187866</v>
      </c>
      <c r="G52" s="462"/>
      <c r="H52" s="462">
        <f t="shared" si="0"/>
        <v>0.94</v>
      </c>
      <c r="I52" s="462"/>
      <c r="J52" s="211">
        <f>'1.22 CAPM Notes'!$N$37</f>
        <v>8.2509425334144506</v>
      </c>
      <c r="L52" s="462"/>
      <c r="M52" s="211">
        <f>'1.22 CAPM Notes'!$N$49</f>
        <v>4.5599999999999996</v>
      </c>
      <c r="O52" s="462"/>
      <c r="P52" s="229">
        <f t="shared" si="1"/>
        <v>12.315885981409583</v>
      </c>
      <c r="R52" s="462"/>
      <c r="S52" s="229">
        <f t="shared" si="2"/>
        <v>12.4397</v>
      </c>
      <c r="U52" s="462"/>
      <c r="V52" s="211">
        <f t="shared" si="3"/>
        <v>12.38</v>
      </c>
      <c r="W52" s="59" t="str">
        <f t="shared" si="4"/>
        <v/>
      </c>
      <c r="AA52" s="464"/>
    </row>
    <row r="53" spans="1:27" ht="15.75" customHeight="1" x14ac:dyDescent="0.5">
      <c r="A53" s="60" t="str">
        <f>Input!C44</f>
        <v>TMO</v>
      </c>
      <c r="B53" s="460" t="str">
        <f>VLOOKUP($A53,'CEM Data Lookup'!$A:$P,2,FALSE)</f>
        <v xml:space="preserve">Thermo Fisher Sci.  </v>
      </c>
      <c r="D53" s="241">
        <f>VLOOKUP($A53,'CEM Data Lookup'!$A:$P,6,FALSE)</f>
        <v>0.85</v>
      </c>
      <c r="E53" s="211"/>
      <c r="F53" s="241">
        <f>VLOOKUP($A53,'CEM Data Lookup'!$A:$P,7,FALSE)</f>
        <v>0.87741184234619141</v>
      </c>
      <c r="G53" s="462"/>
      <c r="H53" s="462">
        <f t="shared" si="0"/>
        <v>0.86</v>
      </c>
      <c r="I53" s="462"/>
      <c r="J53" s="211">
        <f>'1.22 CAPM Notes'!$N$37</f>
        <v>8.2509425334144506</v>
      </c>
      <c r="L53" s="462"/>
      <c r="M53" s="211">
        <f>'1.22 CAPM Notes'!$N$49</f>
        <v>4.5599999999999996</v>
      </c>
      <c r="O53" s="462"/>
      <c r="P53" s="229">
        <f t="shared" si="1"/>
        <v>11.655810578736428</v>
      </c>
      <c r="R53" s="462"/>
      <c r="S53" s="229">
        <f t="shared" si="2"/>
        <v>11.944599999999999</v>
      </c>
      <c r="U53" s="462"/>
      <c r="V53" s="211">
        <f t="shared" si="3"/>
        <v>11.8</v>
      </c>
      <c r="W53" s="59" t="str">
        <f t="shared" si="4"/>
        <v/>
      </c>
      <c r="AA53" s="464"/>
    </row>
    <row r="54" spans="1:27" ht="15.75" customHeight="1" x14ac:dyDescent="0.5">
      <c r="A54" s="60" t="str">
        <f>Input!C45</f>
        <v>UNF</v>
      </c>
      <c r="B54" s="460" t="str">
        <f>VLOOKUP($A54,'CEM Data Lookup'!$A:$P,2,FALSE)</f>
        <v xml:space="preserve">UniFirst Corp.      </v>
      </c>
      <c r="D54" s="241">
        <f>VLOOKUP($A54,'CEM Data Lookup'!$A:$P,6,FALSE)</f>
        <v>0.9</v>
      </c>
      <c r="E54" s="211"/>
      <c r="F54" s="241">
        <f>VLOOKUP($A54,'CEM Data Lookup'!$A:$P,7,FALSE)</f>
        <v>0.63713699579238892</v>
      </c>
      <c r="G54" s="462"/>
      <c r="H54" s="462">
        <f t="shared" si="0"/>
        <v>0.77</v>
      </c>
      <c r="I54" s="462"/>
      <c r="J54" s="211">
        <f>'1.22 CAPM Notes'!$N$37</f>
        <v>8.2509425334144506</v>
      </c>
      <c r="L54" s="462"/>
      <c r="M54" s="211">
        <f>'1.22 CAPM Notes'!$N$49</f>
        <v>4.5599999999999996</v>
      </c>
      <c r="O54" s="462"/>
      <c r="P54" s="229">
        <f t="shared" si="1"/>
        <v>10.913225750729126</v>
      </c>
      <c r="R54" s="462"/>
      <c r="S54" s="229">
        <f t="shared" si="2"/>
        <v>11.387700000000001</v>
      </c>
      <c r="U54" s="462"/>
      <c r="V54" s="211">
        <f t="shared" si="3"/>
        <v>11.15</v>
      </c>
      <c r="W54" s="59" t="str">
        <f t="shared" si="4"/>
        <v/>
      </c>
      <c r="AA54" s="464"/>
    </row>
    <row r="55" spans="1:27" ht="15.75" customHeight="1" x14ac:dyDescent="0.5">
      <c r="A55" s="60" t="str">
        <f>Input!C46</f>
        <v>UNH</v>
      </c>
      <c r="B55" s="460" t="str">
        <f>VLOOKUP($A55,'CEM Data Lookup'!$A:$P,2,FALSE)</f>
        <v xml:space="preserve">UnitedHealth Group  </v>
      </c>
      <c r="D55" s="241">
        <f>VLOOKUP($A55,'CEM Data Lookup'!$A:$P,6,FALSE)</f>
        <v>0.95</v>
      </c>
      <c r="E55" s="211"/>
      <c r="F55" s="241">
        <f>VLOOKUP($A55,'CEM Data Lookup'!$A:$P,7,FALSE)</f>
        <v>0.31335976719856262</v>
      </c>
      <c r="G55" s="462"/>
      <c r="H55" s="462">
        <f t="shared" si="0"/>
        <v>0.63</v>
      </c>
      <c r="I55" s="462"/>
      <c r="J55" s="211">
        <f>'1.22 CAPM Notes'!$N$37</f>
        <v>8.2509425334144506</v>
      </c>
      <c r="L55" s="462"/>
      <c r="M55" s="211">
        <f>'1.22 CAPM Notes'!$N$49</f>
        <v>4.5599999999999996</v>
      </c>
      <c r="O55" s="462"/>
      <c r="P55" s="229">
        <f t="shared" si="1"/>
        <v>9.7580937960511029</v>
      </c>
      <c r="R55" s="462"/>
      <c r="S55" s="229">
        <f t="shared" si="2"/>
        <v>10.5213</v>
      </c>
      <c r="U55" s="462"/>
      <c r="V55" s="211">
        <f t="shared" si="3"/>
        <v>10.14</v>
      </c>
      <c r="W55" s="59" t="str">
        <f t="shared" si="4"/>
        <v/>
      </c>
      <c r="AA55" s="464"/>
    </row>
    <row r="56" spans="1:27" ht="15.75" customHeight="1" x14ac:dyDescent="0.5">
      <c r="A56" s="60" t="str">
        <f>Input!C47</f>
        <v>UVV</v>
      </c>
      <c r="B56" s="460" t="str">
        <f>VLOOKUP($A56,'CEM Data Lookup'!$A:$P,2,FALSE)</f>
        <v xml:space="preserve">Universal Corp.     </v>
      </c>
      <c r="D56" s="241">
        <f>VLOOKUP($A56,'CEM Data Lookup'!$A:$P,6,FALSE)</f>
        <v>0.85</v>
      </c>
      <c r="E56" s="211"/>
      <c r="F56" s="241">
        <f>VLOOKUP($A56,'CEM Data Lookup'!$A:$P,7,FALSE)</f>
        <v>0.72680270671844482</v>
      </c>
      <c r="G56" s="462"/>
      <c r="H56" s="462">
        <f t="shared" si="0"/>
        <v>0.79</v>
      </c>
      <c r="I56" s="462"/>
      <c r="J56" s="211">
        <f>'1.22 CAPM Notes'!$N$37</f>
        <v>8.2509425334144506</v>
      </c>
      <c r="L56" s="462"/>
      <c r="M56" s="211">
        <f>'1.22 CAPM Notes'!$N$49</f>
        <v>4.5599999999999996</v>
      </c>
      <c r="O56" s="462"/>
      <c r="P56" s="229">
        <f t="shared" si="1"/>
        <v>11.078244601397415</v>
      </c>
      <c r="R56" s="462"/>
      <c r="S56" s="229">
        <f t="shared" si="2"/>
        <v>11.5114</v>
      </c>
      <c r="U56" s="462"/>
      <c r="V56" s="211">
        <f t="shared" si="3"/>
        <v>11.29</v>
      </c>
      <c r="W56" s="59" t="str">
        <f t="shared" si="4"/>
        <v/>
      </c>
      <c r="AA56" s="464"/>
    </row>
    <row r="57" spans="1:27" ht="15.75" customHeight="1" x14ac:dyDescent="0.5">
      <c r="A57" s="60" t="str">
        <f>Input!C48</f>
        <v>VRSN</v>
      </c>
      <c r="B57" s="460" t="str">
        <f>VLOOKUP($A57,'CEM Data Lookup'!$A:$P,2,FALSE)</f>
        <v xml:space="preserve">VeriSign Inc.       </v>
      </c>
      <c r="D57" s="241">
        <f>VLOOKUP($A57,'CEM Data Lookup'!$A:$P,6,FALSE)</f>
        <v>0.9</v>
      </c>
      <c r="E57" s="211"/>
      <c r="F57" s="241">
        <f>VLOOKUP($A57,'CEM Data Lookup'!$A:$P,7,FALSE)</f>
        <v>0.70599967241287231</v>
      </c>
      <c r="G57" s="462"/>
      <c r="H57" s="462">
        <f t="shared" si="0"/>
        <v>0.8</v>
      </c>
      <c r="I57" s="462"/>
      <c r="J57" s="211">
        <f>'1.22 CAPM Notes'!$N$37</f>
        <v>8.2509425334144506</v>
      </c>
      <c r="L57" s="462"/>
      <c r="M57" s="211">
        <f>'1.22 CAPM Notes'!$N$49</f>
        <v>4.5599999999999996</v>
      </c>
      <c r="O57" s="462"/>
      <c r="P57" s="229">
        <f t="shared" si="1"/>
        <v>11.16075402673156</v>
      </c>
      <c r="R57" s="462"/>
      <c r="S57" s="229">
        <f t="shared" si="2"/>
        <v>11.5733</v>
      </c>
      <c r="U57" s="462"/>
      <c r="V57" s="211">
        <f t="shared" si="3"/>
        <v>11.37</v>
      </c>
      <c r="W57" s="59" t="str">
        <f t="shared" si="4"/>
        <v/>
      </c>
      <c r="AA57" s="464"/>
    </row>
    <row r="58" spans="1:27" ht="15.75" customHeight="1" x14ac:dyDescent="0.5">
      <c r="A58" s="60" t="str">
        <f>Input!C49</f>
        <v>WAT</v>
      </c>
      <c r="B58" s="460" t="str">
        <f>VLOOKUP($A58,'CEM Data Lookup'!$A:$P,2,FALSE)</f>
        <v xml:space="preserve">Waters Corp.        </v>
      </c>
      <c r="D58" s="241">
        <f>VLOOKUP($A58,'CEM Data Lookup'!$A:$P,6,FALSE)</f>
        <v>0.95</v>
      </c>
      <c r="E58" s="211"/>
      <c r="F58" s="241">
        <f>VLOOKUP($A58,'CEM Data Lookup'!$A:$P,7,FALSE)</f>
        <v>1.0058082342147827</v>
      </c>
      <c r="G58" s="462"/>
      <c r="H58" s="462">
        <f t="shared" si="0"/>
        <v>0.98</v>
      </c>
      <c r="I58" s="462"/>
      <c r="J58" s="211">
        <f>'1.22 CAPM Notes'!$N$37</f>
        <v>8.2509425334144506</v>
      </c>
      <c r="L58" s="462"/>
      <c r="M58" s="211">
        <f>'1.22 CAPM Notes'!$N$49</f>
        <v>4.5599999999999996</v>
      </c>
      <c r="O58" s="462"/>
      <c r="P58" s="229">
        <f t="shared" si="1"/>
        <v>12.645923682746162</v>
      </c>
      <c r="R58" s="462"/>
      <c r="S58" s="229">
        <f t="shared" si="2"/>
        <v>12.687200000000001</v>
      </c>
      <c r="U58" s="462"/>
      <c r="V58" s="211">
        <f t="shared" si="3"/>
        <v>12.67</v>
      </c>
      <c r="W58" s="59" t="str">
        <f t="shared" si="4"/>
        <v/>
      </c>
      <c r="AA58" s="464"/>
    </row>
    <row r="59" spans="1:27" ht="15.75" customHeight="1" x14ac:dyDescent="0.5">
      <c r="A59" s="60" t="str">
        <f>Input!C50</f>
        <v>WSO</v>
      </c>
      <c r="B59" s="460" t="str">
        <f>VLOOKUP($A59,'CEM Data Lookup'!$A:$P,2,FALSE)</f>
        <v xml:space="preserve">Watsco, Inc.        </v>
      </c>
      <c r="D59" s="241">
        <f>VLOOKUP($A59,'CEM Data Lookup'!$A:$P,6,FALSE)</f>
        <v>0.9</v>
      </c>
      <c r="E59" s="211"/>
      <c r="F59" s="241">
        <f>VLOOKUP($A59,'CEM Data Lookup'!$A:$P,7,FALSE)</f>
        <v>1.3801993131637573</v>
      </c>
      <c r="G59" s="462"/>
      <c r="H59" s="462">
        <f t="shared" si="0"/>
        <v>1.1399999999999999</v>
      </c>
      <c r="I59" s="462"/>
      <c r="J59" s="211">
        <f>'1.22 CAPM Notes'!$N$37</f>
        <v>8.2509425334144506</v>
      </c>
      <c r="L59" s="462"/>
      <c r="M59" s="211">
        <f>'1.22 CAPM Notes'!$N$49</f>
        <v>4.5599999999999996</v>
      </c>
      <c r="O59" s="462"/>
      <c r="P59" s="229">
        <f t="shared" si="1"/>
        <v>13.966074488092474</v>
      </c>
      <c r="R59" s="462"/>
      <c r="S59" s="229">
        <f t="shared" si="2"/>
        <v>13.677300000000001</v>
      </c>
      <c r="U59" s="462"/>
      <c r="V59" s="211">
        <f t="shared" si="3"/>
        <v>13.82</v>
      </c>
      <c r="W59" s="59" t="str">
        <f t="shared" si="4"/>
        <v>(4)</v>
      </c>
      <c r="AA59" s="464"/>
    </row>
    <row r="60" spans="1:27" ht="15.75" customHeight="1" x14ac:dyDescent="0.5">
      <c r="A60" s="465"/>
      <c r="D60" s="241"/>
      <c r="E60" s="229"/>
      <c r="F60" s="211"/>
      <c r="G60" s="462"/>
      <c r="H60" s="466"/>
      <c r="I60" s="462"/>
      <c r="J60" s="229"/>
      <c r="K60" s="462"/>
      <c r="L60" s="462"/>
      <c r="M60" s="229"/>
      <c r="N60" s="462"/>
      <c r="O60" s="462"/>
      <c r="P60" s="417"/>
      <c r="Q60" s="462"/>
      <c r="R60" s="462"/>
      <c r="S60" s="417"/>
      <c r="T60" s="462"/>
      <c r="U60" s="462"/>
      <c r="V60" s="417"/>
    </row>
    <row r="61" spans="1:27" ht="15.75" customHeight="1" thickBot="1" x14ac:dyDescent="0.55000000000000004">
      <c r="A61" s="465">
        <f>COUNTA(A11:A59)</f>
        <v>49</v>
      </c>
      <c r="D61" s="229"/>
      <c r="E61" s="229"/>
      <c r="F61" s="61" t="s">
        <v>1151</v>
      </c>
      <c r="G61" s="462"/>
      <c r="H61" s="250">
        <f>ROUND(AVERAGE(H11:H59),2)</f>
        <v>0.87</v>
      </c>
      <c r="I61" s="141"/>
      <c r="J61" s="141"/>
      <c r="K61" s="141"/>
      <c r="L61" s="141"/>
      <c r="M61" s="141"/>
      <c r="N61" s="141"/>
      <c r="O61" s="141"/>
      <c r="P61" s="230">
        <f>ROUND(AVERAGE(P11:P59),2)</f>
        <v>11.71</v>
      </c>
      <c r="Q61" s="462" t="s">
        <v>1090</v>
      </c>
      <c r="R61" s="462"/>
      <c r="S61" s="230">
        <f>ROUND(AVERAGE(S11:S59),2)</f>
        <v>11.98</v>
      </c>
      <c r="T61" s="462" t="s">
        <v>1090</v>
      </c>
      <c r="U61" s="462"/>
      <c r="V61" s="230">
        <f>ROUND(IFERROR(AVERAGEIFS(V11:V59, V11:V59, "&gt;"&amp;Z14, V11:V59, "&lt;"&amp;Z13), "NA"),2)</f>
        <v>11.8</v>
      </c>
      <c r="W61" s="462" t="s">
        <v>1090</v>
      </c>
      <c r="X61" s="467">
        <f>IFERROR(ROUND(AVERAGE(V11:V58),2),"NA")</f>
        <v>11.8</v>
      </c>
      <c r="Y61" s="140"/>
    </row>
    <row r="62" spans="1:27" ht="15.75" customHeight="1" thickTop="1" x14ac:dyDescent="0.5">
      <c r="A62" s="465"/>
      <c r="D62" s="229"/>
      <c r="E62" s="229"/>
      <c r="F62" s="61"/>
      <c r="G62" s="462"/>
      <c r="H62" s="213"/>
      <c r="I62" s="141"/>
      <c r="J62" s="141"/>
      <c r="K62" s="141"/>
      <c r="L62" s="141"/>
      <c r="M62" s="141"/>
      <c r="N62" s="141"/>
      <c r="O62" s="141"/>
      <c r="P62" s="213"/>
      <c r="Q62" s="462"/>
      <c r="R62" s="462"/>
      <c r="S62" s="213"/>
      <c r="T62" s="462"/>
      <c r="U62" s="462"/>
      <c r="V62" s="213"/>
      <c r="W62" s="462"/>
    </row>
    <row r="63" spans="1:27" ht="15.75" customHeight="1" thickBot="1" x14ac:dyDescent="0.55000000000000004">
      <c r="D63" s="229"/>
      <c r="E63" s="229"/>
      <c r="F63" s="61" t="s">
        <v>1180</v>
      </c>
      <c r="G63" s="462"/>
      <c r="H63" s="250">
        <f>ROUND(MEDIAN(H11:H59),2)</f>
        <v>0.86</v>
      </c>
      <c r="I63" s="141"/>
      <c r="J63" s="141"/>
      <c r="K63" s="141"/>
      <c r="L63" s="141"/>
      <c r="M63" s="141"/>
      <c r="N63" s="141"/>
      <c r="O63" s="141"/>
      <c r="P63" s="230">
        <f>ROUND(MEDIAN(P11:P59),2)</f>
        <v>11.66</v>
      </c>
      <c r="Q63" s="462" t="s">
        <v>1090</v>
      </c>
      <c r="R63" s="462"/>
      <c r="S63" s="230">
        <f>ROUND(MEDIAN(S11:S59),2)</f>
        <v>11.94</v>
      </c>
      <c r="T63" s="462" t="s">
        <v>1090</v>
      </c>
      <c r="U63" s="462"/>
      <c r="V63" s="230" cm="1">
        <f t="array" ref="V63">ROUND(IFERROR(MEDIAN(IF((V11:V59&gt;Z14)*(V11:V59&lt;Z13), V11:V59)), "NA"),2)</f>
        <v>11.8</v>
      </c>
      <c r="W63" s="462" t="s">
        <v>1090</v>
      </c>
      <c r="X63" s="467">
        <f>IFERROR(ROUND(MEDIAN(V11:V58),2),"NA")</f>
        <v>11.8</v>
      </c>
      <c r="Y63" s="140"/>
    </row>
    <row r="64" spans="1:27" ht="15.75" customHeight="1" thickTop="1" x14ac:dyDescent="0.5">
      <c r="F64" s="61"/>
      <c r="H64" s="141"/>
      <c r="I64" s="141"/>
      <c r="J64" s="141"/>
      <c r="K64" s="141"/>
      <c r="L64" s="141"/>
      <c r="M64" s="141"/>
      <c r="N64" s="141"/>
      <c r="O64" s="141"/>
      <c r="P64" s="141"/>
      <c r="S64" s="141"/>
      <c r="V64" s="141"/>
    </row>
    <row r="65" spans="3:23" ht="15.75" customHeight="1" thickBot="1" x14ac:dyDescent="0.55000000000000004">
      <c r="F65" s="61" t="s">
        <v>1181</v>
      </c>
      <c r="H65" s="468">
        <f>ROUND(AVERAGE(H61:H63),2)</f>
        <v>0.87</v>
      </c>
      <c r="I65" s="141"/>
      <c r="J65" s="141"/>
      <c r="K65" s="141"/>
      <c r="L65" s="141"/>
      <c r="M65" s="141"/>
      <c r="N65" s="141"/>
      <c r="O65" s="141"/>
      <c r="P65" s="230">
        <f>ROUND(AVERAGE(P61:P63),2)</f>
        <v>11.69</v>
      </c>
      <c r="Q65" s="462" t="s">
        <v>1090</v>
      </c>
      <c r="S65" s="230">
        <f>ROUND(AVERAGE(S61:S63),2)</f>
        <v>11.96</v>
      </c>
      <c r="T65" s="462" t="s">
        <v>1090</v>
      </c>
      <c r="V65" s="230">
        <f>ROUND(AVERAGE(V61:V63),2)</f>
        <v>11.8</v>
      </c>
      <c r="W65" s="462" t="s">
        <v>1090</v>
      </c>
    </row>
    <row r="66" spans="3:23" ht="15.75" customHeight="1" thickTop="1" x14ac:dyDescent="0.5">
      <c r="F66" s="61"/>
      <c r="H66" s="140"/>
      <c r="P66" s="140"/>
      <c r="Q66" s="462"/>
      <c r="S66" s="140"/>
      <c r="T66" s="462"/>
      <c r="V66" s="229"/>
      <c r="W66" s="462"/>
    </row>
    <row r="67" spans="3:23" ht="15.75" customHeight="1" x14ac:dyDescent="0.5">
      <c r="F67" s="61"/>
      <c r="H67" s="140"/>
      <c r="P67" s="140"/>
      <c r="Q67" s="462"/>
      <c r="S67" s="140"/>
      <c r="T67" s="462"/>
      <c r="V67" s="229"/>
      <c r="W67" s="462"/>
    </row>
    <row r="68" spans="3:23" ht="15.75" customHeight="1" x14ac:dyDescent="0.5">
      <c r="C68" s="61" t="s">
        <v>17</v>
      </c>
    </row>
    <row r="69" spans="3:23" ht="15.75" customHeight="1" x14ac:dyDescent="0.5">
      <c r="C69" s="469" t="s">
        <v>1146</v>
      </c>
      <c r="D69" s="60" t="str">
        <f>"From note 1 of page 22 of this " &amp; Input!I49 &amp; "."</f>
        <v>From note 1 of page 22 of this Exhibit.</v>
      </c>
    </row>
    <row r="70" spans="3:23" ht="15.75" customHeight="1" x14ac:dyDescent="0.5">
      <c r="C70" s="469" t="s">
        <v>1147</v>
      </c>
      <c r="D70" s="60" t="str">
        <f>"From note 2 of page 22 of this " &amp; Input!I49 &amp; "."</f>
        <v>From note 2 of page 22 of this Exhibit.</v>
      </c>
    </row>
    <row r="71" spans="3:23" ht="15.75" customHeight="1" x14ac:dyDescent="0.5">
      <c r="C71" s="461" t="s">
        <v>1149</v>
      </c>
      <c r="D71" s="60" t="s">
        <v>2601</v>
      </c>
    </row>
    <row r="72" spans="3:23" x14ac:dyDescent="0.5">
      <c r="D72" s="470"/>
      <c r="E72" s="470"/>
      <c r="F72" s="470"/>
      <c r="G72" s="470"/>
      <c r="H72" s="470"/>
      <c r="I72" s="470"/>
      <c r="J72" s="470"/>
      <c r="K72" s="470"/>
      <c r="L72" s="470"/>
      <c r="M72" s="470"/>
      <c r="N72" s="470"/>
      <c r="O72" s="470"/>
      <c r="P72" s="470"/>
      <c r="Q72" s="470"/>
      <c r="R72" s="470"/>
      <c r="S72" s="470"/>
      <c r="T72" s="470"/>
      <c r="U72" s="470"/>
      <c r="V72" s="470"/>
      <c r="W72" s="470"/>
    </row>
  </sheetData>
  <mergeCells count="6">
    <mergeCell ref="B5:W5"/>
    <mergeCell ref="J9:K9"/>
    <mergeCell ref="M9:N9"/>
    <mergeCell ref="P9:Q9"/>
    <mergeCell ref="S9:T9"/>
    <mergeCell ref="V9:W9"/>
  </mergeCells>
  <printOptions horizontalCentered="1"/>
  <pageMargins left="0.7" right="0.7" top="1" bottom="0.75" header="0.3" footer="0.3"/>
  <pageSetup scale="48" orientation="portrait" horizontalDpi="4294967294"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0123E-200C-4629-8FC1-2A4C958D6B13}">
  <sheetPr codeName="Sheet8">
    <pageSetUpPr fitToPage="1"/>
  </sheetPr>
  <dimension ref="A1:T39"/>
  <sheetViews>
    <sheetView view="pageBreakPreview" topLeftCell="C1" zoomScale="85" zoomScaleNormal="85" zoomScaleSheetLayoutView="85" workbookViewId="0">
      <selection activeCell="C1" sqref="C1:M1"/>
    </sheetView>
  </sheetViews>
  <sheetFormatPr defaultColWidth="9" defaultRowHeight="15" x14ac:dyDescent="0.5"/>
  <cols>
    <col min="1" max="1" width="7.734375" style="471" bestFit="1" customWidth="1"/>
    <col min="2" max="2" width="4" style="472" customWidth="1"/>
    <col min="3" max="3" width="52.26171875" style="471" customWidth="1"/>
    <col min="4" max="4" width="4" style="471" bestFit="1" customWidth="1"/>
    <col min="5" max="5" width="17.734375" style="471" customWidth="1"/>
    <col min="6" max="6" width="2.734375" style="471" customWidth="1"/>
    <col min="7" max="7" width="16" style="471" customWidth="1"/>
    <col min="8" max="8" width="2.734375" style="471" customWidth="1"/>
    <col min="9" max="9" width="19.7890625" style="471" customWidth="1"/>
    <col min="10" max="10" width="2.5234375" style="471" customWidth="1"/>
    <col min="11" max="11" width="20" style="471" customWidth="1"/>
    <col min="12" max="12" width="2.5234375" style="471" customWidth="1"/>
    <col min="13" max="13" width="15" style="471" customWidth="1"/>
    <col min="14" max="14" width="2.734375" style="471" customWidth="1"/>
    <col min="15" max="15" width="9" style="471"/>
    <col min="16" max="16" width="17.734375" style="471" customWidth="1"/>
    <col min="17" max="17" width="13.26171875" style="471" customWidth="1"/>
    <col min="18" max="18" width="10.26171875" style="471" bestFit="1" customWidth="1"/>
    <col min="19" max="16384" width="9" style="471"/>
  </cols>
  <sheetData>
    <row r="1" spans="1:17" x14ac:dyDescent="0.5">
      <c r="C1" s="1428" t="str">
        <f>Input!G28</f>
        <v>Atmos Energy Corporation</v>
      </c>
      <c r="D1" s="1429"/>
      <c r="E1" s="1429"/>
      <c r="F1" s="1429"/>
      <c r="G1" s="1429"/>
      <c r="H1" s="1429"/>
      <c r="I1" s="1429"/>
      <c r="J1" s="1429"/>
      <c r="K1" s="1429"/>
      <c r="L1" s="1429"/>
      <c r="M1" s="1429"/>
      <c r="N1" s="473"/>
    </row>
    <row r="2" spans="1:17" x14ac:dyDescent="0.5">
      <c r="C2" s="1430" t="s">
        <v>2823</v>
      </c>
      <c r="D2" s="1430"/>
      <c r="E2" s="1430"/>
      <c r="F2" s="1430"/>
      <c r="G2" s="1430"/>
      <c r="H2" s="1430"/>
      <c r="I2" s="1430"/>
      <c r="J2" s="1430"/>
      <c r="K2" s="1430"/>
      <c r="L2" s="1430"/>
      <c r="M2" s="1430"/>
    </row>
    <row r="3" spans="1:17" x14ac:dyDescent="0.5">
      <c r="C3" s="1429" t="s">
        <v>2824</v>
      </c>
      <c r="D3" s="1429"/>
      <c r="E3" s="1429"/>
      <c r="F3" s="1429"/>
      <c r="G3" s="1429"/>
      <c r="H3" s="1429"/>
      <c r="I3" s="1429"/>
      <c r="J3" s="1429"/>
      <c r="K3" s="1429"/>
      <c r="L3" s="1429"/>
      <c r="M3" s="1429"/>
      <c r="N3" s="473"/>
    </row>
    <row r="4" spans="1:17" x14ac:dyDescent="0.5">
      <c r="C4" s="473"/>
    </row>
    <row r="5" spans="1:17" x14ac:dyDescent="0.5">
      <c r="C5" s="473"/>
    </row>
    <row r="6" spans="1:17" x14ac:dyDescent="0.5">
      <c r="C6" s="473"/>
      <c r="E6" s="1430" t="s">
        <v>1163</v>
      </c>
      <c r="F6" s="1430"/>
      <c r="G6" s="1430"/>
      <c r="I6" s="472" t="s">
        <v>1164</v>
      </c>
      <c r="K6" s="472" t="s">
        <v>1165</v>
      </c>
      <c r="M6" s="472" t="s">
        <v>1166</v>
      </c>
    </row>
    <row r="7" spans="1:17" ht="13.15" customHeight="1" x14ac:dyDescent="0.5">
      <c r="M7" s="1431" t="s">
        <v>2825</v>
      </c>
    </row>
    <row r="8" spans="1:17" ht="13.15" customHeight="1" x14ac:dyDescent="0.5">
      <c r="E8" s="1431" t="str">
        <f>IF(DAY(Input!$E$2)&gt;=10,"Market Capitalization on "&amp;TEXT(Input!E2,"mmmm dd, yyyy")&amp;" (1)","Market Capitalization on "&amp;TEXT(Input!E2,"mmmm d, yyyy")&amp;" (1)")</f>
        <v>Market Capitalization on January 31, 2025 (1)</v>
      </c>
      <c r="F8" s="1431"/>
      <c r="G8" s="1431"/>
      <c r="I8" s="1431" t="s">
        <v>2826</v>
      </c>
      <c r="K8" s="472"/>
      <c r="M8" s="1431"/>
    </row>
    <row r="9" spans="1:17" x14ac:dyDescent="0.5">
      <c r="E9" s="1431"/>
      <c r="F9" s="1431"/>
      <c r="G9" s="1431"/>
      <c r="I9" s="1431"/>
      <c r="K9" s="1431" t="s">
        <v>2827</v>
      </c>
      <c r="M9" s="1431"/>
      <c r="Q9" s="471" t="s">
        <v>2828</v>
      </c>
    </row>
    <row r="10" spans="1:17" ht="12.75" customHeight="1" x14ac:dyDescent="0.5">
      <c r="E10" s="1431"/>
      <c r="F10" s="1431"/>
      <c r="G10" s="1431"/>
      <c r="I10" s="1431"/>
      <c r="K10" s="1431"/>
      <c r="M10" s="1431"/>
    </row>
    <row r="11" spans="1:17" ht="30.75" customHeight="1" x14ac:dyDescent="0.5">
      <c r="A11" s="474" t="s">
        <v>1144</v>
      </c>
      <c r="E11" s="1432"/>
      <c r="F11" s="1432"/>
      <c r="G11" s="1432"/>
      <c r="I11" s="1432"/>
      <c r="K11" s="1432"/>
      <c r="M11" s="1432"/>
    </row>
    <row r="12" spans="1:17" x14ac:dyDescent="0.5">
      <c r="A12" s="472"/>
      <c r="E12" s="475" t="s">
        <v>2829</v>
      </c>
      <c r="F12" s="475"/>
      <c r="G12" s="472" t="s">
        <v>2830</v>
      </c>
    </row>
    <row r="13" spans="1:17" x14ac:dyDescent="0.5">
      <c r="A13" s="472"/>
    </row>
    <row r="14" spans="1:17" x14ac:dyDescent="0.5">
      <c r="A14" s="475" t="s">
        <v>1145</v>
      </c>
      <c r="B14" s="475"/>
      <c r="C14" s="476" t="str">
        <f>'1.34 Market Cap'!B11</f>
        <v>Atmos Energy Corporation</v>
      </c>
      <c r="E14" s="125">
        <f ca="1">'1.34 Market Cap'!P13</f>
        <v>653.63875055643757</v>
      </c>
      <c r="F14" s="477"/>
      <c r="G14" s="478"/>
      <c r="I14" s="479">
        <f ca="1">VLOOKUP(E14,$P$23:$Q$32,2,TRUE)</f>
        <v>8</v>
      </c>
      <c r="K14" s="126">
        <f ca="1">VLOOKUP(I14,$G$23:$M$32,7,FALSE)</f>
        <v>1.14E-2</v>
      </c>
    </row>
    <row r="15" spans="1:17" x14ac:dyDescent="0.5">
      <c r="A15" s="475"/>
      <c r="B15" s="475"/>
      <c r="C15" s="477"/>
      <c r="E15" s="125"/>
      <c r="F15" s="477"/>
      <c r="G15" s="478"/>
      <c r="I15" s="479"/>
      <c r="K15" s="126"/>
    </row>
    <row r="16" spans="1:17" x14ac:dyDescent="0.5">
      <c r="A16" s="475" t="s">
        <v>1148</v>
      </c>
      <c r="B16" s="475"/>
      <c r="C16" s="480" t="str">
        <f>Input!I32</f>
        <v>Proxy Group of Seven Natural Gas Companies</v>
      </c>
      <c r="E16" s="127">
        <f ca="1">'1.34 Market Cap'!P24</f>
        <v>8163.17</v>
      </c>
      <c r="F16" s="472"/>
      <c r="G16" s="481">
        <f ca="1">ROUND(E16/E14,1)</f>
        <v>12.5</v>
      </c>
      <c r="H16" s="471" t="s">
        <v>1255</v>
      </c>
      <c r="I16" s="479">
        <f ca="1">VLOOKUP(E16,$P$23:$Q$32,2,TRUE)</f>
        <v>3</v>
      </c>
      <c r="K16" s="126">
        <f ca="1">VLOOKUP(I16,$G$23:$M$32,7,FALSE)</f>
        <v>6.1000000000000004E-3</v>
      </c>
      <c r="M16" s="482">
        <f ca="1">K14-K16</f>
        <v>5.3E-3</v>
      </c>
      <c r="P16" s="483"/>
    </row>
    <row r="17" spans="1:20" x14ac:dyDescent="0.5">
      <c r="A17" s="475"/>
      <c r="C17" s="484"/>
      <c r="E17" s="127"/>
      <c r="F17" s="472"/>
      <c r="G17" s="481"/>
      <c r="I17" s="472"/>
      <c r="K17" s="126"/>
      <c r="M17" s="482"/>
    </row>
    <row r="18" spans="1:20" ht="15" customHeight="1" x14ac:dyDescent="0.5">
      <c r="G18" s="472" t="s">
        <v>2831</v>
      </c>
      <c r="H18" s="472"/>
      <c r="I18" s="472" t="s">
        <v>2832</v>
      </c>
      <c r="J18" s="472"/>
      <c r="K18" s="472" t="s">
        <v>2833</v>
      </c>
      <c r="L18" s="472"/>
      <c r="M18" s="472" t="s">
        <v>2834</v>
      </c>
      <c r="N18" s="485"/>
      <c r="O18" s="485"/>
      <c r="P18" s="485"/>
    </row>
    <row r="19" spans="1:20" ht="15" customHeight="1" x14ac:dyDescent="0.5">
      <c r="E19" s="472"/>
      <c r="G19" s="472"/>
      <c r="I19" s="472"/>
      <c r="K19" s="472"/>
      <c r="M19" s="472"/>
      <c r="N19" s="485"/>
      <c r="O19" s="485"/>
      <c r="P19" s="486"/>
    </row>
    <row r="20" spans="1:20" ht="66.75" customHeight="1" x14ac:dyDescent="0.5">
      <c r="G20" s="474" t="s">
        <v>2835</v>
      </c>
      <c r="I20" s="474" t="s">
        <v>2836</v>
      </c>
      <c r="J20" s="471" t="s">
        <v>2828</v>
      </c>
      <c r="K20" s="474" t="s">
        <v>2837</v>
      </c>
      <c r="L20" s="471" t="s">
        <v>2828</v>
      </c>
      <c r="M20" s="474" t="s">
        <v>2838</v>
      </c>
      <c r="N20" s="485"/>
      <c r="O20" s="485"/>
      <c r="P20" s="485"/>
      <c r="T20" s="482"/>
    </row>
    <row r="21" spans="1:20" x14ac:dyDescent="0.5">
      <c r="G21" s="471" t="s">
        <v>2828</v>
      </c>
      <c r="I21" s="472" t="s">
        <v>2829</v>
      </c>
      <c r="J21" s="471" t="s">
        <v>2828</v>
      </c>
      <c r="K21" s="472" t="s">
        <v>2829</v>
      </c>
      <c r="L21" s="471" t="s">
        <v>2828</v>
      </c>
      <c r="M21" s="471" t="s">
        <v>2828</v>
      </c>
      <c r="N21" s="485"/>
      <c r="O21" s="485"/>
      <c r="P21" s="485"/>
    </row>
    <row r="22" spans="1:20" x14ac:dyDescent="0.5">
      <c r="G22" s="471" t="s">
        <v>2828</v>
      </c>
      <c r="I22" s="471" t="s">
        <v>2828</v>
      </c>
      <c r="K22" s="471" t="s">
        <v>2828</v>
      </c>
      <c r="L22" s="471" t="s">
        <v>2828</v>
      </c>
      <c r="M22" s="471" t="s">
        <v>2828</v>
      </c>
      <c r="N22" s="485"/>
      <c r="O22" s="485"/>
      <c r="P22" s="485"/>
    </row>
    <row r="23" spans="1:20" x14ac:dyDescent="0.5">
      <c r="E23" s="487" t="s">
        <v>2839</v>
      </c>
      <c r="G23" s="472">
        <v>1</v>
      </c>
      <c r="I23" s="128">
        <v>36942.976000000002</v>
      </c>
      <c r="J23" s="128" t="s">
        <v>2828</v>
      </c>
      <c r="K23" s="128">
        <v>2662326.048</v>
      </c>
      <c r="L23" s="471" t="s">
        <v>2828</v>
      </c>
      <c r="M23" s="129">
        <v>-5.9999999999999995E-4</v>
      </c>
      <c r="N23" s="485"/>
      <c r="O23" s="488"/>
      <c r="P23" s="130">
        <f>$I$32</f>
        <v>1.5760000000000001</v>
      </c>
      <c r="Q23" s="471">
        <v>10</v>
      </c>
    </row>
    <row r="24" spans="1:20" x14ac:dyDescent="0.5">
      <c r="G24" s="472">
        <v>2</v>
      </c>
      <c r="I24" s="130">
        <v>14910.718999999999</v>
      </c>
      <c r="J24" s="130" t="s">
        <v>2828</v>
      </c>
      <c r="K24" s="130">
        <v>36391.112999999998</v>
      </c>
      <c r="L24" s="471" t="s">
        <v>2828</v>
      </c>
      <c r="M24" s="129">
        <v>4.5999999999999999E-3</v>
      </c>
      <c r="N24" s="485"/>
      <c r="O24" s="488"/>
      <c r="P24" s="130">
        <f>$I$31</f>
        <v>213.03899999999999</v>
      </c>
      <c r="Q24" s="471">
        <v>9</v>
      </c>
    </row>
    <row r="25" spans="1:20" x14ac:dyDescent="0.5">
      <c r="G25" s="472">
        <v>3</v>
      </c>
      <c r="I25" s="130">
        <v>7493.607</v>
      </c>
      <c r="J25" s="130" t="s">
        <v>2828</v>
      </c>
      <c r="K25" s="130">
        <v>14820.048000000001</v>
      </c>
      <c r="L25" s="471" t="s">
        <v>2828</v>
      </c>
      <c r="M25" s="129">
        <v>6.1000000000000004E-3</v>
      </c>
      <c r="N25" s="485"/>
      <c r="O25" s="488"/>
      <c r="P25" s="130">
        <f>$I$30</f>
        <v>555.88</v>
      </c>
      <c r="Q25" s="471">
        <v>8</v>
      </c>
    </row>
    <row r="26" spans="1:20" x14ac:dyDescent="0.5">
      <c r="G26" s="472">
        <v>4</v>
      </c>
      <c r="I26" s="130">
        <v>4622.2610000000004</v>
      </c>
      <c r="J26" s="130" t="s">
        <v>2828</v>
      </c>
      <c r="K26" s="130">
        <v>7461.2839999999997</v>
      </c>
      <c r="L26" s="471" t="s">
        <v>2828</v>
      </c>
      <c r="M26" s="129">
        <v>6.4000000000000003E-3</v>
      </c>
      <c r="N26" s="485"/>
      <c r="O26" s="488"/>
      <c r="P26" s="130">
        <f>$I$29</f>
        <v>1050.0830000000001</v>
      </c>
      <c r="Q26" s="471">
        <v>7</v>
      </c>
    </row>
    <row r="27" spans="1:20" x14ac:dyDescent="0.5">
      <c r="E27" s="487"/>
      <c r="G27" s="472">
        <v>5</v>
      </c>
      <c r="I27" s="130">
        <v>3011.2240000000002</v>
      </c>
      <c r="J27" s="130"/>
      <c r="K27" s="130">
        <v>4621.7849999999999</v>
      </c>
      <c r="L27" s="471" t="s">
        <v>2828</v>
      </c>
      <c r="M27" s="129">
        <v>9.4999999999999998E-3</v>
      </c>
      <c r="N27" s="485"/>
      <c r="O27" s="488"/>
      <c r="P27" s="130">
        <f>$I$28</f>
        <v>1864.2929999999999</v>
      </c>
      <c r="Q27" s="471">
        <v>6</v>
      </c>
    </row>
    <row r="28" spans="1:20" x14ac:dyDescent="0.5">
      <c r="E28" s="487"/>
      <c r="G28" s="472">
        <v>6</v>
      </c>
      <c r="I28" s="130">
        <v>1864.2929999999999</v>
      </c>
      <c r="J28" s="130" t="s">
        <v>2828</v>
      </c>
      <c r="K28" s="130">
        <v>3010.806</v>
      </c>
      <c r="L28" s="471" t="s">
        <v>2828</v>
      </c>
      <c r="M28" s="129">
        <v>1.21E-2</v>
      </c>
      <c r="N28" s="485"/>
      <c r="O28" s="488"/>
      <c r="P28" s="130">
        <f>$I$27</f>
        <v>3011.2240000000002</v>
      </c>
      <c r="Q28" s="471">
        <v>5</v>
      </c>
    </row>
    <row r="29" spans="1:20" x14ac:dyDescent="0.5">
      <c r="E29" s="487"/>
      <c r="G29" s="472">
        <v>7</v>
      </c>
      <c r="I29" s="130">
        <v>1050.0830000000001</v>
      </c>
      <c r="J29" s="130"/>
      <c r="K29" s="130">
        <v>1862.491</v>
      </c>
      <c r="L29" s="471" t="s">
        <v>2828</v>
      </c>
      <c r="M29" s="129">
        <v>1.3899999999999999E-2</v>
      </c>
      <c r="N29" s="485"/>
      <c r="O29" s="488"/>
      <c r="P29" s="130">
        <f>$I$26</f>
        <v>4622.2610000000004</v>
      </c>
      <c r="Q29" s="471">
        <v>4</v>
      </c>
    </row>
    <row r="30" spans="1:20" x14ac:dyDescent="0.5">
      <c r="E30" s="487"/>
      <c r="G30" s="472">
        <v>8</v>
      </c>
      <c r="I30" s="130">
        <v>555.88</v>
      </c>
      <c r="J30" s="130" t="s">
        <v>2828</v>
      </c>
      <c r="K30" s="130">
        <v>1046.037</v>
      </c>
      <c r="L30" s="471" t="s">
        <v>2828</v>
      </c>
      <c r="M30" s="129">
        <v>1.14E-2</v>
      </c>
      <c r="N30" s="485"/>
      <c r="O30" s="488"/>
      <c r="P30" s="130">
        <f>$I$25</f>
        <v>7493.607</v>
      </c>
      <c r="Q30" s="471">
        <v>3</v>
      </c>
      <c r="R30" s="489"/>
    </row>
    <row r="31" spans="1:20" x14ac:dyDescent="0.5">
      <c r="E31" s="487"/>
      <c r="G31" s="472">
        <v>9</v>
      </c>
      <c r="I31" s="130">
        <v>213.03899999999999</v>
      </c>
      <c r="J31" s="130" t="s">
        <v>2828</v>
      </c>
      <c r="K31" s="130">
        <v>554.52300000000002</v>
      </c>
      <c r="L31" s="471" t="s">
        <v>2828</v>
      </c>
      <c r="M31" s="129">
        <v>1.9900000000000001E-2</v>
      </c>
      <c r="N31" s="485"/>
      <c r="O31" s="488"/>
      <c r="P31" s="130">
        <f>$I$24</f>
        <v>14910.718999999999</v>
      </c>
      <c r="Q31" s="471">
        <v>2</v>
      </c>
      <c r="R31" s="489"/>
    </row>
    <row r="32" spans="1:20" x14ac:dyDescent="0.5">
      <c r="E32" s="487" t="s">
        <v>2840</v>
      </c>
      <c r="G32" s="472">
        <v>10</v>
      </c>
      <c r="I32" s="130">
        <v>1.5760000000000001</v>
      </c>
      <c r="J32" s="130" t="s">
        <v>2828</v>
      </c>
      <c r="K32" s="130">
        <v>212.64400000000001</v>
      </c>
      <c r="L32" s="471" t="s">
        <v>2828</v>
      </c>
      <c r="M32" s="129">
        <v>4.7E-2</v>
      </c>
      <c r="N32" s="485"/>
      <c r="O32" s="485"/>
      <c r="P32" s="130">
        <f>$I$23</f>
        <v>36942.976000000002</v>
      </c>
      <c r="Q32" s="471">
        <v>1</v>
      </c>
    </row>
    <row r="33" spans="3:17" x14ac:dyDescent="0.5">
      <c r="E33" s="471" t="s">
        <v>2828</v>
      </c>
      <c r="F33" s="471" t="s">
        <v>2828</v>
      </c>
      <c r="H33" s="471" t="s">
        <v>2841</v>
      </c>
      <c r="I33" s="490"/>
      <c r="J33" s="490"/>
      <c r="K33" s="490"/>
      <c r="M33" s="129"/>
      <c r="P33" s="491"/>
      <c r="Q33" s="492"/>
    </row>
    <row r="34" spans="3:17" x14ac:dyDescent="0.5">
      <c r="C34" s="487" t="s">
        <v>17</v>
      </c>
      <c r="E34" s="131"/>
      <c r="G34" s="131"/>
      <c r="K34" s="131"/>
      <c r="P34" s="491"/>
    </row>
    <row r="35" spans="3:17" x14ac:dyDescent="0.5">
      <c r="D35" s="493" t="s">
        <v>1146</v>
      </c>
      <c r="E35" s="494" t="s">
        <v>7123</v>
      </c>
      <c r="F35" s="494"/>
      <c r="G35" s="495"/>
      <c r="H35" s="496"/>
      <c r="I35" s="132"/>
      <c r="J35" s="496"/>
      <c r="K35" s="132"/>
      <c r="L35" s="496"/>
      <c r="M35" s="496"/>
      <c r="P35" s="491"/>
    </row>
    <row r="36" spans="3:17" ht="35.25" customHeight="1" x14ac:dyDescent="0.5">
      <c r="D36" s="493" t="s">
        <v>1147</v>
      </c>
      <c r="E36" s="1423" t="s">
        <v>2842</v>
      </c>
      <c r="F36" s="1424"/>
      <c r="G36" s="1424"/>
      <c r="H36" s="1424"/>
      <c r="I36" s="1424"/>
      <c r="J36" s="1424"/>
      <c r="K36" s="1424"/>
      <c r="L36" s="1424"/>
      <c r="M36" s="1424"/>
    </row>
    <row r="37" spans="3:17" x14ac:dyDescent="0.5">
      <c r="D37" s="493" t="s">
        <v>1149</v>
      </c>
      <c r="E37" s="496" t="s">
        <v>2843</v>
      </c>
      <c r="F37" s="496"/>
      <c r="G37" s="496"/>
      <c r="H37" s="496"/>
      <c r="I37" s="496"/>
      <c r="J37" s="496"/>
      <c r="K37" s="496"/>
      <c r="L37" s="496"/>
      <c r="M37" s="496"/>
    </row>
    <row r="38" spans="3:17" x14ac:dyDescent="0.5">
      <c r="D38" s="493" t="s">
        <v>1153</v>
      </c>
      <c r="E38" s="1425" t="str">
        <f ca="1">CONCATENATE("Line No. 1 Column [3] – Line No. 2 Column [3].  For example, the ",TEXT((M16*100),"0.00"),"%  in Column [4], Line No. 2 is derived as follows ",TEXT((M16*100),"0.00"),"% = ",K14*100,"% - ",TEXT((K16*100),"0.00"),"%.")</f>
        <v>Line No. 1 Column [3] – Line No. 2 Column [3].  For example, the 0.53%  in Column [4], Line No. 2 is derived as follows 0.53% = 1.14% - 0.61%.</v>
      </c>
      <c r="F38" s="1426"/>
      <c r="G38" s="1426"/>
      <c r="H38" s="1426"/>
      <c r="I38" s="1426"/>
      <c r="J38" s="1426"/>
      <c r="K38" s="1426"/>
      <c r="L38" s="1426"/>
      <c r="M38" s="1426"/>
    </row>
    <row r="39" spans="3:17" x14ac:dyDescent="0.5">
      <c r="E39" s="1427"/>
      <c r="F39" s="1427"/>
      <c r="G39" s="1427"/>
      <c r="H39" s="1427"/>
      <c r="I39" s="1427"/>
      <c r="J39" s="1427"/>
      <c r="K39" s="1427"/>
      <c r="L39" s="1427"/>
      <c r="M39" s="1427"/>
    </row>
  </sheetData>
  <mergeCells count="10">
    <mergeCell ref="E36:M36"/>
    <mergeCell ref="E38:M39"/>
    <mergeCell ref="C1:M1"/>
    <mergeCell ref="C2:M2"/>
    <mergeCell ref="C3:M3"/>
    <mergeCell ref="E6:G6"/>
    <mergeCell ref="M7:M11"/>
    <mergeCell ref="E8:G11"/>
    <mergeCell ref="I8:I11"/>
    <mergeCell ref="K9:K11"/>
  </mergeCells>
  <printOptions horizontalCentered="1"/>
  <pageMargins left="0.7" right="0.7" top="0.75" bottom="0.75" header="0.3" footer="0.3"/>
  <pageSetup scale="73" orientation="landscape" horizontalDpi="4294967293" verticalDpi="36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C0A7-AAF7-440D-8E8F-60B88D6AE878}">
  <sheetPr codeName="Sheet9">
    <pageSetUpPr fitToPage="1"/>
  </sheetPr>
  <dimension ref="A1:Q37"/>
  <sheetViews>
    <sheetView view="pageBreakPreview" zoomScale="85" zoomScaleNormal="100" zoomScaleSheetLayoutView="85" workbookViewId="0"/>
  </sheetViews>
  <sheetFormatPr defaultColWidth="9" defaultRowHeight="15" x14ac:dyDescent="0.5"/>
  <cols>
    <col min="1" max="1" width="9" style="60"/>
    <col min="2" max="2" width="38.734375" style="60" customWidth="1"/>
    <col min="3" max="3" width="3.7890625" style="60" customWidth="1"/>
    <col min="4" max="4" width="12.734375" style="60" customWidth="1"/>
    <col min="5" max="5" width="3.7890625" style="60" customWidth="1"/>
    <col min="6" max="6" width="21.26171875" style="60" customWidth="1"/>
    <col min="7" max="7" width="3.7890625" style="60" customWidth="1"/>
    <col min="8" max="8" width="16.26171875" style="60" customWidth="1"/>
    <col min="9" max="9" width="4.734375" style="60" customWidth="1"/>
    <col min="10" max="10" width="21.5234375" style="60" customWidth="1"/>
    <col min="11" max="11" width="4" style="60" customWidth="1"/>
    <col min="12" max="12" width="15.5234375" style="60" customWidth="1"/>
    <col min="13" max="13" width="2.26171875" style="60" customWidth="1"/>
    <col min="14" max="14" width="14.734375" style="60" customWidth="1"/>
    <col min="15" max="15" width="5.26171875" style="60" customWidth="1"/>
    <col min="16" max="16" width="17" style="60" bestFit="1" customWidth="1"/>
    <col min="17" max="17" width="4" style="60" customWidth="1"/>
    <col min="18" max="18" width="9" style="60"/>
    <col min="19" max="19" width="9" style="60" customWidth="1"/>
    <col min="20" max="16384" width="9" style="60"/>
  </cols>
  <sheetData>
    <row r="1" spans="1:17" x14ac:dyDescent="0.5">
      <c r="B1" s="113" t="str">
        <f>Input!G28</f>
        <v>Atmos Energy Corporation</v>
      </c>
      <c r="C1" s="114"/>
      <c r="D1" s="114"/>
      <c r="E1" s="114"/>
      <c r="F1" s="114"/>
      <c r="G1" s="114"/>
      <c r="H1" s="114"/>
      <c r="I1" s="114"/>
      <c r="J1" s="114"/>
      <c r="K1" s="114"/>
      <c r="L1" s="114"/>
      <c r="M1" s="114"/>
      <c r="N1" s="114"/>
      <c r="O1" s="114"/>
      <c r="P1" s="114"/>
      <c r="Q1" s="114"/>
    </row>
    <row r="2" spans="1:17" x14ac:dyDescent="0.5">
      <c r="B2" s="114" t="str">
        <f>CONCATENATE("Market Capitalization of ",B1," and the")</f>
        <v>Market Capitalization of Atmos Energy Corporation and the</v>
      </c>
      <c r="C2" s="114"/>
      <c r="D2" s="114"/>
      <c r="E2" s="114"/>
      <c r="F2" s="114"/>
      <c r="G2" s="114"/>
      <c r="H2" s="114"/>
      <c r="I2" s="114"/>
      <c r="J2" s="114"/>
      <c r="K2" s="114"/>
      <c r="L2" s="114"/>
      <c r="M2" s="114"/>
      <c r="N2" s="114"/>
      <c r="O2" s="114"/>
      <c r="P2" s="114"/>
      <c r="Q2" s="114"/>
    </row>
    <row r="3" spans="1:17" x14ac:dyDescent="0.5">
      <c r="B3" s="113" t="str">
        <f>Input!I32</f>
        <v>Proxy Group of Seven Natural Gas Companies</v>
      </c>
      <c r="C3" s="114"/>
      <c r="D3" s="114"/>
      <c r="E3" s="114"/>
      <c r="F3" s="114"/>
      <c r="G3" s="114"/>
      <c r="H3" s="114"/>
      <c r="I3" s="114"/>
      <c r="J3" s="114"/>
      <c r="K3" s="114"/>
      <c r="L3" s="114"/>
      <c r="M3" s="114"/>
      <c r="N3" s="114"/>
      <c r="O3" s="114"/>
      <c r="P3" s="114"/>
      <c r="Q3" s="114"/>
    </row>
    <row r="6" spans="1:17" x14ac:dyDescent="0.5">
      <c r="F6" s="59" t="s">
        <v>1163</v>
      </c>
      <c r="G6" s="59"/>
      <c r="H6" s="59" t="s">
        <v>1164</v>
      </c>
      <c r="I6" s="59"/>
      <c r="J6" s="59" t="s">
        <v>1165</v>
      </c>
      <c r="K6" s="59"/>
      <c r="L6" s="59" t="s">
        <v>1166</v>
      </c>
      <c r="M6" s="59"/>
      <c r="N6" s="59" t="s">
        <v>1167</v>
      </c>
      <c r="O6" s="59"/>
      <c r="P6" s="59" t="s">
        <v>1168</v>
      </c>
    </row>
    <row r="8" spans="1:17" ht="78.75" customHeight="1" x14ac:dyDescent="0.5">
      <c r="B8" s="123" t="s">
        <v>611</v>
      </c>
      <c r="D8" s="123" t="s">
        <v>2844</v>
      </c>
      <c r="F8" s="123" t="str">
        <f>CONCATENATE("Common Stock Shares Outstanding at Fiscal Year End ",YEAR(Input!G49))</f>
        <v>Common Stock Shares Outstanding at Fiscal Year End 2023</v>
      </c>
      <c r="H8" s="123" t="s">
        <v>2845</v>
      </c>
      <c r="J8" s="123" t="str">
        <f>CONCATENATE("Total Common Equity at Fiscal Year End ",YEAR(Input!G49))</f>
        <v>Total Common Equity at Fiscal Year End 2023</v>
      </c>
      <c r="L8" s="123" t="str">
        <f>IF(DAY(Input!$E$2)&gt;=10,CONCATENATE("Closing Stock Market Price on ",TEXT(Input!$E$2,"mmmm dd, yyyy")),CONCATENATE("Closing Stock Market Price on ",TEXT(Input!$E$2,"mmmm d, yyyy")))</f>
        <v>Closing Stock Market Price on January 31, 2025</v>
      </c>
      <c r="N8" s="123" t="str">
        <f>IF(DAY(Input!$E$2)&gt;=10,CONCATENATE("Market-to-Book Ratio on ",TEXT(Input!$E$2,"mmmm dd, yyyy")," (2)"),CONCATENATE("Market-to-Book Ratio on ",TEXT(Input!$E$2,"mmmm d, yyyy")," (2)"))</f>
        <v>Market-to-Book Ratio on January 31, 2025 (2)</v>
      </c>
      <c r="P8" s="123" t="str">
        <f>IF(DAY(Input!$E$2)&gt;=10,CONCATENATE("Market Capitalization on ",TEXT(Input!$E$2,"mmmm dd, yyyy")," (3)"),CONCATENATE("Market Capitalization on ",TEXT(Input!$E$2,"mmmm d, yyyy")," (3)"))</f>
        <v>Market Capitalization on January 31, 2025 (3)</v>
      </c>
    </row>
    <row r="9" spans="1:17" x14ac:dyDescent="0.5">
      <c r="B9" s="59"/>
      <c r="C9" s="59"/>
      <c r="D9" s="59"/>
      <c r="E9" s="59"/>
      <c r="F9" s="448" t="s">
        <v>2829</v>
      </c>
      <c r="G9" s="59"/>
      <c r="H9" s="59"/>
      <c r="I9" s="59"/>
      <c r="J9" s="448" t="s">
        <v>2829</v>
      </c>
      <c r="K9" s="59"/>
      <c r="L9" s="59"/>
      <c r="M9" s="59"/>
      <c r="N9" s="59"/>
      <c r="O9" s="59"/>
      <c r="P9" s="448" t="s">
        <v>2829</v>
      </c>
    </row>
    <row r="11" spans="1:17" ht="15.3" thickBot="1" x14ac:dyDescent="0.55000000000000004">
      <c r="B11" s="451" t="str">
        <f>Input!G28</f>
        <v>Atmos Energy Corporation</v>
      </c>
      <c r="F11" s="497" t="s">
        <v>14</v>
      </c>
      <c r="G11" s="133"/>
      <c r="H11" s="497" t="s">
        <v>14</v>
      </c>
      <c r="J11" s="498">
        <f>(Input!G43)/1000000*Input!F14</f>
        <v>382.46854918457433</v>
      </c>
      <c r="K11" s="133" t="s">
        <v>1153</v>
      </c>
      <c r="L11" s="497" t="s">
        <v>14</v>
      </c>
    </row>
    <row r="12" spans="1:17" ht="15.3" thickTop="1" x14ac:dyDescent="0.5"/>
    <row r="13" spans="1:17" ht="30.3" thickBot="1" x14ac:dyDescent="0.55000000000000004">
      <c r="B13" s="451" t="str">
        <f>CONCATENATE("Based upon ",B15)</f>
        <v>Based upon Proxy Group of Seven Natural Gas Companies</v>
      </c>
      <c r="N13" s="499">
        <f ca="1">N24</f>
        <v>170.9</v>
      </c>
      <c r="O13" s="500" t="s">
        <v>1155</v>
      </c>
      <c r="P13" s="134">
        <f ca="1">IFERROR(N13*J11/100,"NA")</f>
        <v>653.63875055643757</v>
      </c>
      <c r="Q13" s="133" t="s">
        <v>1158</v>
      </c>
    </row>
    <row r="14" spans="1:17" ht="15.3" thickTop="1" x14ac:dyDescent="0.5">
      <c r="B14" s="447"/>
      <c r="N14" s="501"/>
      <c r="O14" s="500"/>
      <c r="P14" s="135"/>
      <c r="Q14" s="133"/>
    </row>
    <row r="15" spans="1:17" ht="30" x14ac:dyDescent="0.5">
      <c r="B15" s="451" t="str">
        <f>Input!I32</f>
        <v>Proxy Group of Seven Natural Gas Companies</v>
      </c>
    </row>
    <row r="16" spans="1:17" x14ac:dyDescent="0.5">
      <c r="A16" s="60" t="str">
        <f>IFERROR(Input!A2,"NA")</f>
        <v>ATO</v>
      </c>
      <c r="B16" s="60" t="str">
        <f>'Proxy Data Lookup'!B3</f>
        <v>Atmos Energy Corporation</v>
      </c>
      <c r="D16" s="60" t="str">
        <f>Input!B2</f>
        <v>NYSE</v>
      </c>
      <c r="F16" s="502" cm="1">
        <f t="array" aca="1" ref="F16" ca="1">INDIRECT("'3. "&amp;$A16&amp;"'!C15")/1000000</f>
        <v>148.492783</v>
      </c>
      <c r="H16" s="503">
        <f t="shared" ref="H16:H22" ca="1" si="0">IFERROR(ROUND(J16/F16,3),"NA")</f>
        <v>73.203000000000003</v>
      </c>
      <c r="J16" s="504" cm="1">
        <f t="array" aca="1" ref="J16" ca="1">INDIRECT("'3. "&amp;$A16&amp;"'!C16")/1000000</f>
        <v>10870.064</v>
      </c>
      <c r="L16" s="503">
        <f>HLOOKUP(A16,'Proxy Prices'!$B$4:$H$6,3,FALSE)</f>
        <v>142.51</v>
      </c>
      <c r="N16" s="505">
        <f t="shared" ref="N16:N22" ca="1" si="1">IFERROR(ROUND(L16/H16*100,1),"NA")</f>
        <v>194.7</v>
      </c>
      <c r="O16" s="133" t="s">
        <v>1090</v>
      </c>
      <c r="P16" s="503">
        <f t="shared" ref="P16:P22" ca="1" si="2">IFERROR(ROUND(F16*L16,3),"NA")</f>
        <v>21161.706999999999</v>
      </c>
    </row>
    <row r="17" spans="1:16" x14ac:dyDescent="0.5">
      <c r="A17" s="60" t="str">
        <f>IFERROR(Input!A3,"NA")</f>
        <v>NJR</v>
      </c>
      <c r="B17" s="60" t="str">
        <f>'Proxy Data Lookup'!B4</f>
        <v>New Jersey Resources Corporation</v>
      </c>
      <c r="D17" s="60" t="str">
        <f>Input!B3</f>
        <v>NYSE</v>
      </c>
      <c r="F17" s="502" cm="1">
        <f t="array" aca="1" ref="F17" ca="1">INDIRECT("'3. "&amp;$A17&amp;"'!C15")/1000000</f>
        <v>97.584455000000005</v>
      </c>
      <c r="H17" s="503">
        <f t="shared" ca="1" si="0"/>
        <v>20.399999999999999</v>
      </c>
      <c r="I17" s="130"/>
      <c r="J17" s="506" cm="1">
        <f t="array" aca="1" ref="J17" ca="1">INDIRECT("'3. "&amp;$A17&amp;"'!C16")/1000000</f>
        <v>1990.7349999999999</v>
      </c>
      <c r="L17" s="130">
        <f>HLOOKUP(A17,'Proxy Prices'!$B$4:$H$6,3,FALSE)</f>
        <v>47.95</v>
      </c>
      <c r="N17" s="505">
        <f t="shared" ca="1" si="1"/>
        <v>235</v>
      </c>
      <c r="O17" s="133"/>
      <c r="P17" s="130">
        <f t="shared" ca="1" si="2"/>
        <v>4679.1750000000002</v>
      </c>
    </row>
    <row r="18" spans="1:16" x14ac:dyDescent="0.5">
      <c r="A18" s="60" t="str">
        <f>IFERROR(Input!A4,"NA")</f>
        <v>NI</v>
      </c>
      <c r="B18" s="60" t="str">
        <f>'Proxy Data Lookup'!B5</f>
        <v>NiSource Inc.</v>
      </c>
      <c r="D18" s="60" t="str">
        <f>Input!B4</f>
        <v>NYSE</v>
      </c>
      <c r="F18" s="502" cm="1">
        <f t="array" aca="1" ref="F18" ca="1">INDIRECT("'3. "&amp;$A18&amp;"'!C15")/1000000</f>
        <v>447.38167099999998</v>
      </c>
      <c r="H18" s="503">
        <f t="shared" ca="1" si="0"/>
        <v>17.398</v>
      </c>
      <c r="I18" s="130"/>
      <c r="J18" s="506" cm="1">
        <f t="array" aca="1" ref="J18" ca="1">INDIRECT("'3. "&amp;$A18&amp;"'!C16")/1000000</f>
        <v>7783.5</v>
      </c>
      <c r="L18" s="130">
        <f>HLOOKUP(A18,'Proxy Prices'!$B$4:$H$6,3,FALSE)</f>
        <v>37.299999999999997</v>
      </c>
      <c r="N18" s="505">
        <f t="shared" ca="1" si="1"/>
        <v>214.4</v>
      </c>
      <c r="O18" s="133"/>
      <c r="P18" s="130">
        <f t="shared" ca="1" si="2"/>
        <v>16687.335999999999</v>
      </c>
    </row>
    <row r="19" spans="1:16" x14ac:dyDescent="0.5">
      <c r="A19" s="60" t="str">
        <f>IFERROR(Input!A5,"NA")</f>
        <v>NWN</v>
      </c>
      <c r="B19" s="60" t="str">
        <f>'Proxy Data Lookup'!B6</f>
        <v>Northwest Natural Holding Company</v>
      </c>
      <c r="D19" s="60" t="str">
        <f>Input!B5</f>
        <v>NYSE</v>
      </c>
      <c r="F19" s="502" cm="1">
        <f t="array" aca="1" ref="F19" ca="1">INDIRECT("'3. "&amp;$A19&amp;"'!C15")/1000000</f>
        <v>37.631</v>
      </c>
      <c r="H19" s="503">
        <f t="shared" ca="1" si="0"/>
        <v>34.116</v>
      </c>
      <c r="I19" s="130"/>
      <c r="J19" s="506" cm="1">
        <f t="array" aca="1" ref="J19" ca="1">INDIRECT("'3. "&amp;$A19&amp;"'!C16")/1000000</f>
        <v>1283.838</v>
      </c>
      <c r="L19" s="130">
        <f>HLOOKUP(A19,'Proxy Prices'!$B$4:$H$6,3,FALSE)</f>
        <v>39.92</v>
      </c>
      <c r="N19" s="505">
        <f t="shared" ca="1" si="1"/>
        <v>117</v>
      </c>
      <c r="O19" s="133"/>
      <c r="P19" s="130">
        <f t="shared" ca="1" si="2"/>
        <v>1502.23</v>
      </c>
    </row>
    <row r="20" spans="1:16" x14ac:dyDescent="0.5">
      <c r="A20" s="60" t="str">
        <f>IFERROR(Input!A6,"NA")</f>
        <v>OGS</v>
      </c>
      <c r="B20" s="60" t="str">
        <f>'Proxy Data Lookup'!B7</f>
        <v>ONE Gas, Inc.</v>
      </c>
      <c r="D20" s="60" t="str">
        <f>Input!B6</f>
        <v>NYSE</v>
      </c>
      <c r="F20" s="502" cm="1">
        <f t="array" aca="1" ref="F20" ca="1">INDIRECT("'3. "&amp;$A20&amp;"'!C15")/1000000</f>
        <v>56.545923999999999</v>
      </c>
      <c r="H20" s="503">
        <f t="shared" ca="1" si="0"/>
        <v>48.914000000000001</v>
      </c>
      <c r="I20" s="130"/>
      <c r="J20" s="506" cm="1">
        <f t="array" aca="1" ref="J20" ca="1">INDIRECT("'3. "&amp;$A20&amp;"'!C16")/1000000</f>
        <v>2765.877</v>
      </c>
      <c r="L20" s="130">
        <f>HLOOKUP(A20,'Proxy Prices'!$B$4:$H$6,3,FALSE)</f>
        <v>70.64</v>
      </c>
      <c r="N20" s="505">
        <f t="shared" ca="1" si="1"/>
        <v>144.4</v>
      </c>
      <c r="O20" s="133"/>
      <c r="P20" s="130">
        <f t="shared" ca="1" si="2"/>
        <v>3994.404</v>
      </c>
    </row>
    <row r="21" spans="1:16" x14ac:dyDescent="0.5">
      <c r="A21" s="60" t="str">
        <f>IFERROR(Input!A7,"NA")</f>
        <v>SWX</v>
      </c>
      <c r="B21" s="60" t="str">
        <f>'Proxy Data Lookup'!B8</f>
        <v>Southwest Gas Holdings, Inc.</v>
      </c>
      <c r="D21" s="60" t="str">
        <f>Input!B7</f>
        <v>NYSE</v>
      </c>
      <c r="F21" s="502" cm="1">
        <f t="array" aca="1" ref="F21" ca="1">INDIRECT("'3. "&amp;$A21&amp;"'!C15")/1000000</f>
        <v>71.563749999999999</v>
      </c>
      <c r="H21" s="503">
        <f t="shared" ca="1" si="0"/>
        <v>46.253</v>
      </c>
      <c r="I21" s="130"/>
      <c r="J21" s="506" cm="1">
        <f t="array" aca="1" ref="J21" ca="1">INDIRECT("'3. "&amp;$A21&amp;"'!C16")/1000000</f>
        <v>3310.0360000000001</v>
      </c>
      <c r="L21" s="130">
        <f>HLOOKUP(A21,'Proxy Prices'!$B$4:$H$6,3,FALSE)</f>
        <v>74.680000000000007</v>
      </c>
      <c r="N21" s="505">
        <f t="shared" ca="1" si="1"/>
        <v>161.5</v>
      </c>
      <c r="O21" s="133"/>
      <c r="P21" s="130">
        <f t="shared" ca="1" si="2"/>
        <v>5344.3810000000003</v>
      </c>
    </row>
    <row r="22" spans="1:16" x14ac:dyDescent="0.5">
      <c r="A22" s="60" t="str">
        <f>IFERROR(Input!A8,"NA")</f>
        <v>SR</v>
      </c>
      <c r="B22" s="60" t="str">
        <f>'Proxy Data Lookup'!B9</f>
        <v>Spire Inc.</v>
      </c>
      <c r="D22" s="60" t="str">
        <f>Input!B8</f>
        <v>NYSE</v>
      </c>
      <c r="F22" s="502" cm="1">
        <f t="array" aca="1" ref="F22" ca="1">INDIRECT("'3. "&amp;$A22&amp;"'!C15")/1000000</f>
        <v>53.170223999999997</v>
      </c>
      <c r="H22" s="503">
        <f t="shared" ca="1" si="0"/>
        <v>54.866999999999997</v>
      </c>
      <c r="I22" s="130"/>
      <c r="J22" s="506" cm="1">
        <f t="array" aca="1" ref="J22" ca="1">INDIRECT("'3. "&amp;$A22&amp;"'!C16")/1000000</f>
        <v>2917.3</v>
      </c>
      <c r="L22" s="130">
        <f>HLOOKUP(A22,'Proxy Prices'!$B$4:$H$6,3,FALSE)</f>
        <v>70.959999999999994</v>
      </c>
      <c r="N22" s="505">
        <f t="shared" ca="1" si="1"/>
        <v>129.30000000000001</v>
      </c>
      <c r="O22" s="133"/>
      <c r="P22" s="130">
        <f t="shared" ca="1" si="2"/>
        <v>3772.9589999999998</v>
      </c>
    </row>
    <row r="23" spans="1:16" ht="18.75" customHeight="1" x14ac:dyDescent="0.5">
      <c r="F23" s="507"/>
      <c r="H23" s="507"/>
      <c r="J23" s="507"/>
      <c r="L23" s="507"/>
      <c r="N23" s="507"/>
      <c r="P23" s="507"/>
    </row>
    <row r="24" spans="1:16" ht="15.3" thickBot="1" x14ac:dyDescent="0.55000000000000004">
      <c r="B24" s="60" t="s">
        <v>1082</v>
      </c>
      <c r="F24" s="508">
        <f ca="1">ROUND(AVERAGE(F15:F23),3)</f>
        <v>130.339</v>
      </c>
      <c r="H24" s="509">
        <f ca="1">ROUND(AVERAGE(H15:H23),3)</f>
        <v>42.164000000000001</v>
      </c>
      <c r="J24" s="509">
        <f ca="1">ROUND(AVERAGE(J15:J23),3)</f>
        <v>4417.3360000000002</v>
      </c>
      <c r="L24" s="509">
        <f>ROUND(AVERAGE(L15:L23),3)</f>
        <v>69.137</v>
      </c>
      <c r="N24" s="510">
        <f ca="1">ROUND(AVERAGE(N15:N23),1)</f>
        <v>170.9</v>
      </c>
      <c r="O24" s="133" t="s">
        <v>1090</v>
      </c>
      <c r="P24" s="509">
        <f ca="1">ROUND(AVERAGE(P15:P23),3)</f>
        <v>8163.17</v>
      </c>
    </row>
    <row r="25" spans="1:16" ht="15.3" thickTop="1" x14ac:dyDescent="0.5">
      <c r="F25" s="502"/>
      <c r="H25" s="503"/>
      <c r="J25" s="503"/>
      <c r="L25" s="503"/>
      <c r="N25" s="505"/>
      <c r="O25" s="133"/>
      <c r="P25" s="503"/>
    </row>
    <row r="26" spans="1:16" x14ac:dyDescent="0.5">
      <c r="C26" s="60" t="s">
        <v>1182</v>
      </c>
    </row>
    <row r="28" spans="1:16" x14ac:dyDescent="0.5">
      <c r="D28" s="61" t="s">
        <v>17</v>
      </c>
      <c r="E28" s="133" t="s">
        <v>1146</v>
      </c>
      <c r="F28" s="60" t="s">
        <v>2846</v>
      </c>
    </row>
    <row r="29" spans="1:16" x14ac:dyDescent="0.5">
      <c r="E29" s="133" t="s">
        <v>1147</v>
      </c>
      <c r="F29" s="60" t="s">
        <v>2847</v>
      </c>
    </row>
    <row r="30" spans="1:16" x14ac:dyDescent="0.5">
      <c r="E30" s="133" t="s">
        <v>1149</v>
      </c>
      <c r="F30" s="60" t="s">
        <v>2848</v>
      </c>
    </row>
    <row r="31" spans="1:16" x14ac:dyDescent="0.5">
      <c r="E31" s="133" t="s">
        <v>1153</v>
      </c>
      <c r="F31" s="60" t="s">
        <v>3885</v>
      </c>
    </row>
    <row r="32" spans="1:16" ht="31.5" customHeight="1" x14ac:dyDescent="0.5">
      <c r="E32" s="511" t="s">
        <v>1155</v>
      </c>
      <c r="F32" s="1418" t="str">
        <f>CONCATENATE("The market-to-book ratio of ",Input!G28," on ",TEXT(Input!E2,"mmmm dd, yyyy")," is assumed to be equal to the market-to-book ratio of ",'1.34 Market Cap'!B3," on ",TEXT(Input!E2,"mmmm dd, yyyy")," as appropriate.")</f>
        <v>The market-to-book ratio of Atmos Energy Corporation on January 31, 2025 is assumed to be equal to the market-to-book ratio of Proxy Group of Seven Natural Gas Companies on January 31, 2025 as appropriate.</v>
      </c>
      <c r="G32" s="1418"/>
      <c r="H32" s="1418"/>
      <c r="I32" s="1418"/>
      <c r="J32" s="1418"/>
      <c r="K32" s="1418"/>
      <c r="L32" s="1418"/>
      <c r="M32" s="1418"/>
      <c r="N32" s="1418"/>
      <c r="O32" s="1418"/>
      <c r="P32" s="1418"/>
    </row>
    <row r="33" spans="2:16" x14ac:dyDescent="0.5">
      <c r="E33" s="511" t="s">
        <v>1158</v>
      </c>
      <c r="F33" s="1418" t="s">
        <v>2849</v>
      </c>
      <c r="G33" s="1418"/>
      <c r="H33" s="1418"/>
      <c r="I33" s="1418"/>
      <c r="J33" s="1418"/>
      <c r="K33" s="1418"/>
      <c r="L33" s="1418"/>
      <c r="M33" s="1418"/>
      <c r="N33" s="1418"/>
      <c r="O33" s="1418"/>
      <c r="P33" s="1418"/>
    </row>
    <row r="34" spans="2:16" ht="12.75" customHeight="1" x14ac:dyDescent="0.5">
      <c r="E34" s="133"/>
      <c r="F34" s="447"/>
      <c r="G34" s="447"/>
      <c r="H34" s="447"/>
      <c r="I34" s="447"/>
      <c r="J34" s="447"/>
      <c r="K34" s="447"/>
      <c r="L34" s="447"/>
      <c r="M34" s="447"/>
      <c r="N34" s="447"/>
      <c r="O34" s="447"/>
      <c r="P34" s="447"/>
    </row>
    <row r="36" spans="2:16" x14ac:dyDescent="0.5">
      <c r="B36" s="61" t="s">
        <v>1143</v>
      </c>
      <c r="C36" s="60" t="s">
        <v>3884</v>
      </c>
    </row>
    <row r="37" spans="2:16" x14ac:dyDescent="0.5">
      <c r="C37" s="60" t="s">
        <v>2850</v>
      </c>
    </row>
  </sheetData>
  <mergeCells count="2">
    <mergeCell ref="F32:P32"/>
    <mergeCell ref="F33:P33"/>
  </mergeCells>
  <printOptions horizontalCentered="1"/>
  <pageMargins left="0.7" right="0.7" top="0.75" bottom="0.75" header="0.3" footer="0.3"/>
  <pageSetup scale="64" orientation="landscape" horizontalDpi="4294967294"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6967-617C-4C33-B639-64395981B3F3}">
  <sheetPr codeName="Sheet111"/>
  <dimension ref="A1:S167"/>
  <sheetViews>
    <sheetView view="pageBreakPreview" zoomScale="70" zoomScaleNormal="60" zoomScaleSheetLayoutView="70" workbookViewId="0">
      <pane ySplit="10" topLeftCell="A11" activePane="bottomLeft" state="frozen"/>
      <selection activeCell="F10" sqref="F10"/>
      <selection pane="bottomLeft" sqref="A1:Q1"/>
    </sheetView>
  </sheetViews>
  <sheetFormatPr defaultColWidth="12.5234375" defaultRowHeight="15" x14ac:dyDescent="0.5"/>
  <cols>
    <col min="1" max="1" width="21.47265625" style="81" customWidth="1"/>
    <col min="2" max="2" width="2.26171875" style="81" customWidth="1"/>
    <col min="3" max="3" width="33.26171875" style="81" bestFit="1" customWidth="1"/>
    <col min="4" max="4" width="3.47265625" style="81" customWidth="1"/>
    <col min="5" max="5" width="19.5234375" style="81" customWidth="1"/>
    <col min="6" max="6" width="5.15625" style="81" customWidth="1"/>
    <col min="7" max="7" width="15" style="81" bestFit="1" customWidth="1"/>
    <col min="8" max="8" width="4.47265625" style="81" customWidth="1"/>
    <col min="9" max="9" width="15" style="81" customWidth="1"/>
    <col min="10" max="10" width="4.15625" style="81" customWidth="1"/>
    <col min="11" max="11" width="24.47265625" style="81" bestFit="1" customWidth="1"/>
    <col min="12" max="12" width="3.734375" style="81" customWidth="1"/>
    <col min="13" max="13" width="19.26171875" style="81" customWidth="1"/>
    <col min="14" max="14" width="5.15625" style="81" customWidth="1"/>
    <col min="15" max="15" width="19" style="81" bestFit="1" customWidth="1"/>
    <col min="16" max="16" width="3.26171875" style="81" customWidth="1"/>
    <col min="17" max="17" width="15.47265625" style="81" customWidth="1"/>
    <col min="18" max="18" width="13.5234375" style="81" bestFit="1" customWidth="1"/>
    <col min="19" max="20" width="12.5234375" style="81"/>
    <col min="21" max="21" width="19" style="81" customWidth="1"/>
    <col min="22" max="22" width="17.15625" style="81" bestFit="1" customWidth="1"/>
    <col min="23" max="23" width="15.734375" style="81" bestFit="1" customWidth="1"/>
    <col min="24" max="16384" width="12.5234375" style="81"/>
  </cols>
  <sheetData>
    <row r="1" spans="1:18" x14ac:dyDescent="0.5">
      <c r="A1" s="1433" t="str">
        <f>Input!G28</f>
        <v>Atmos Energy Corporation</v>
      </c>
      <c r="B1" s="1433"/>
      <c r="C1" s="1433"/>
      <c r="D1" s="1433"/>
      <c r="E1" s="1433"/>
      <c r="F1" s="1433"/>
      <c r="G1" s="1433"/>
      <c r="H1" s="1433"/>
      <c r="I1" s="1433"/>
      <c r="J1" s="1433"/>
      <c r="K1" s="1433"/>
      <c r="L1" s="1433"/>
      <c r="M1" s="1433"/>
      <c r="N1" s="1433"/>
      <c r="O1" s="1433"/>
      <c r="P1" s="1433"/>
      <c r="Q1" s="1433"/>
    </row>
    <row r="2" spans="1:18" x14ac:dyDescent="0.5">
      <c r="A2" s="1433" t="s">
        <v>3883</v>
      </c>
      <c r="B2" s="1433"/>
      <c r="C2" s="1433"/>
      <c r="D2" s="1433"/>
      <c r="E2" s="1433"/>
      <c r="F2" s="1433"/>
      <c r="G2" s="1433"/>
      <c r="H2" s="1433"/>
      <c r="I2" s="1433"/>
      <c r="J2" s="1433"/>
      <c r="K2" s="1433"/>
      <c r="L2" s="1433"/>
      <c r="M2" s="1433"/>
      <c r="N2" s="1433"/>
      <c r="O2" s="1433"/>
      <c r="P2" s="1433"/>
      <c r="Q2" s="1433"/>
    </row>
    <row r="3" spans="1:18" x14ac:dyDescent="0.5">
      <c r="A3" s="1176"/>
      <c r="B3" s="1176"/>
      <c r="C3" s="1176"/>
      <c r="D3" s="1176"/>
      <c r="E3" s="1176"/>
      <c r="F3" s="1176"/>
      <c r="G3" s="1176"/>
      <c r="H3" s="1176"/>
      <c r="I3" s="1176"/>
      <c r="J3" s="1176"/>
      <c r="K3" s="1176"/>
      <c r="L3" s="1176"/>
      <c r="M3" s="1176"/>
      <c r="N3" s="1176"/>
      <c r="O3" s="1176"/>
      <c r="P3" s="1176"/>
      <c r="Q3" s="1176"/>
    </row>
    <row r="4" spans="1:18" x14ac:dyDescent="0.5">
      <c r="A4" s="1176"/>
      <c r="B4" s="1176"/>
      <c r="C4" s="1176"/>
      <c r="D4" s="1176"/>
      <c r="E4" s="1176"/>
      <c r="F4" s="1176"/>
      <c r="G4" s="1176"/>
      <c r="H4" s="1176"/>
      <c r="I4" s="1176"/>
      <c r="J4" s="1176"/>
      <c r="K4" s="1176"/>
      <c r="L4" s="1176"/>
      <c r="M4" s="1176"/>
      <c r="N4" s="1176"/>
      <c r="O4" s="1176"/>
      <c r="P4" s="1176"/>
      <c r="Q4" s="1176"/>
    </row>
    <row r="5" spans="1:18" x14ac:dyDescent="0.5">
      <c r="A5" s="1433" t="s">
        <v>4494</v>
      </c>
      <c r="B5" s="1433"/>
      <c r="C5" s="1433"/>
      <c r="D5" s="1433"/>
      <c r="E5" s="1433"/>
      <c r="F5" s="1433"/>
      <c r="G5" s="1433"/>
      <c r="H5" s="1433"/>
      <c r="I5" s="1433"/>
      <c r="J5" s="1433"/>
      <c r="K5" s="1433"/>
      <c r="L5" s="1433"/>
      <c r="M5" s="1433"/>
      <c r="N5" s="1433"/>
      <c r="O5" s="1433"/>
      <c r="P5" s="1433"/>
      <c r="Q5" s="1433"/>
    </row>
    <row r="6" spans="1:18" x14ac:dyDescent="0.5">
      <c r="A6" s="1176"/>
      <c r="B6" s="1176"/>
      <c r="C6" s="1176"/>
      <c r="D6" s="1176"/>
      <c r="E6" s="1176"/>
      <c r="F6" s="1176"/>
      <c r="G6" s="1176"/>
      <c r="H6" s="1176"/>
      <c r="I6" s="1176"/>
      <c r="J6" s="1176"/>
      <c r="K6" s="1176"/>
      <c r="L6" s="1176"/>
      <c r="M6" s="1176"/>
      <c r="N6" s="1176"/>
      <c r="O6" s="1176"/>
      <c r="P6" s="1176"/>
      <c r="Q6" s="1176"/>
    </row>
    <row r="8" spans="1:18" x14ac:dyDescent="0.5">
      <c r="A8" s="331"/>
      <c r="C8" s="331"/>
      <c r="D8" s="331"/>
      <c r="E8" s="331" t="s">
        <v>4495</v>
      </c>
      <c r="F8" s="1177"/>
      <c r="G8" s="331" t="s">
        <v>4496</v>
      </c>
      <c r="H8" s="1177"/>
      <c r="I8" s="331" t="s">
        <v>4497</v>
      </c>
      <c r="J8" s="1177"/>
      <c r="K8" s="331" t="s">
        <v>4498</v>
      </c>
      <c r="L8" s="1177"/>
      <c r="M8" s="331" t="s">
        <v>4499</v>
      </c>
      <c r="N8" s="1177"/>
      <c r="O8" s="331" t="s">
        <v>4500</v>
      </c>
      <c r="Q8" s="331" t="s">
        <v>4501</v>
      </c>
    </row>
    <row r="9" spans="1:18" x14ac:dyDescent="0.5">
      <c r="E9" s="331"/>
    </row>
    <row r="10" spans="1:18" ht="45" x14ac:dyDescent="0.5">
      <c r="A10" s="1178" t="s">
        <v>4502</v>
      </c>
      <c r="C10" s="1178" t="s">
        <v>4503</v>
      </c>
      <c r="D10" s="331"/>
      <c r="E10" s="1179" t="s">
        <v>4504</v>
      </c>
      <c r="F10" s="332"/>
      <c r="G10" s="1179" t="s">
        <v>4505</v>
      </c>
      <c r="H10" s="333"/>
      <c r="I10" s="1179" t="s">
        <v>3882</v>
      </c>
      <c r="J10" s="332"/>
      <c r="K10" s="1179" t="s">
        <v>4506</v>
      </c>
      <c r="L10" s="333"/>
      <c r="M10" s="1179" t="s">
        <v>4507</v>
      </c>
      <c r="N10" s="333"/>
      <c r="O10" s="1179" t="s">
        <v>3881</v>
      </c>
      <c r="P10" s="333"/>
      <c r="Q10" s="1179" t="s">
        <v>4508</v>
      </c>
      <c r="R10" s="333"/>
    </row>
    <row r="11" spans="1:18" x14ac:dyDescent="0.5">
      <c r="A11" s="331"/>
      <c r="C11" s="331"/>
      <c r="D11" s="331"/>
      <c r="E11" s="333"/>
      <c r="F11" s="332"/>
      <c r="G11" s="333"/>
      <c r="H11" s="333"/>
      <c r="I11" s="333"/>
      <c r="J11" s="332"/>
      <c r="K11" s="333"/>
      <c r="L11" s="333"/>
      <c r="M11" s="333"/>
      <c r="N11" s="333"/>
      <c r="O11" s="333"/>
      <c r="P11" s="333"/>
      <c r="Q11" s="333"/>
      <c r="R11" s="333"/>
    </row>
    <row r="12" spans="1:18" x14ac:dyDescent="0.5">
      <c r="A12" s="331">
        <v>2024</v>
      </c>
      <c r="C12" s="331" t="s">
        <v>4509</v>
      </c>
      <c r="D12" s="331"/>
      <c r="E12" s="334">
        <v>6401469</v>
      </c>
      <c r="F12" s="332"/>
      <c r="G12" s="682">
        <f>K12/E12</f>
        <v>117.22331139774325</v>
      </c>
      <c r="H12" s="333"/>
      <c r="I12" s="682">
        <f>M12/E12</f>
        <v>116.63727001271114</v>
      </c>
      <c r="J12" s="332"/>
      <c r="K12" s="683">
        <v>750401393.99000001</v>
      </c>
      <c r="L12" s="683"/>
      <c r="M12" s="683">
        <v>746649868.23099995</v>
      </c>
      <c r="N12" s="333"/>
      <c r="O12" s="684">
        <f>K12-M12</f>
        <v>3751525.7590000629</v>
      </c>
      <c r="P12" s="333"/>
      <c r="Q12" s="685">
        <f>(K12-M12)/K12</f>
        <v>4.999358728603397E-3</v>
      </c>
      <c r="R12" s="333"/>
    </row>
    <row r="13" spans="1:18" x14ac:dyDescent="0.5">
      <c r="A13" s="331"/>
      <c r="C13" s="331"/>
      <c r="D13" s="331"/>
      <c r="E13" s="333"/>
      <c r="F13" s="332"/>
      <c r="G13" s="333"/>
      <c r="H13" s="333"/>
      <c r="I13" s="333"/>
      <c r="J13" s="332"/>
      <c r="K13" s="333"/>
      <c r="L13" s="333"/>
      <c r="M13" s="333"/>
      <c r="N13" s="333"/>
      <c r="O13" s="333"/>
      <c r="P13" s="333"/>
      <c r="Q13" s="333"/>
      <c r="R13" s="333"/>
    </row>
    <row r="14" spans="1:18" x14ac:dyDescent="0.5">
      <c r="A14" s="331">
        <v>2023</v>
      </c>
      <c r="C14" s="331" t="s">
        <v>4509</v>
      </c>
      <c r="D14" s="331"/>
      <c r="E14" s="334">
        <v>7272261</v>
      </c>
      <c r="F14" s="332"/>
      <c r="G14" s="682">
        <f>K14/E14</f>
        <v>112.71329992275277</v>
      </c>
      <c r="H14" s="333"/>
      <c r="I14" s="682">
        <f>M14/E14</f>
        <v>111.09459900160348</v>
      </c>
      <c r="J14" s="332"/>
      <c r="K14" s="683">
        <v>819680535.20953798</v>
      </c>
      <c r="L14" s="683"/>
      <c r="M14" s="683">
        <v>807908919.63</v>
      </c>
      <c r="N14" s="333"/>
      <c r="O14" s="684">
        <f>K14-M14</f>
        <v>11771615.579537988</v>
      </c>
      <c r="P14" s="333"/>
      <c r="Q14" s="685">
        <f>(K14-M14)/K14</f>
        <v>1.4361223762046229E-2</v>
      </c>
      <c r="R14" s="333"/>
    </row>
    <row r="15" spans="1:18" x14ac:dyDescent="0.5">
      <c r="A15" s="331"/>
      <c r="C15" s="331"/>
      <c r="D15" s="331"/>
      <c r="E15" s="333"/>
      <c r="F15" s="332"/>
      <c r="G15" s="333"/>
      <c r="H15" s="333"/>
      <c r="I15" s="333"/>
      <c r="J15" s="332"/>
      <c r="K15" s="333"/>
      <c r="L15" s="333"/>
      <c r="M15" s="333"/>
      <c r="N15" s="333"/>
      <c r="O15" s="333"/>
      <c r="P15" s="333"/>
      <c r="Q15" s="333"/>
      <c r="R15" s="333"/>
    </row>
    <row r="16" spans="1:18" x14ac:dyDescent="0.5">
      <c r="A16" s="331">
        <v>2022</v>
      </c>
      <c r="C16" s="331" t="s">
        <v>4509</v>
      </c>
      <c r="D16" s="331"/>
      <c r="E16" s="334">
        <v>7907883</v>
      </c>
      <c r="F16" s="332"/>
      <c r="G16" s="682">
        <f>K16/E16</f>
        <v>100.06344637457512</v>
      </c>
      <c r="H16" s="333"/>
      <c r="I16" s="682">
        <f>M16/E16</f>
        <v>98.38426905942211</v>
      </c>
      <c r="J16" s="332"/>
      <c r="K16" s="683">
        <v>791290026.50691426</v>
      </c>
      <c r="L16" s="683"/>
      <c r="M16" s="683">
        <v>778011288.76243007</v>
      </c>
      <c r="N16" s="333"/>
      <c r="O16" s="684">
        <f>K16-M16</f>
        <v>13278737.744484186</v>
      </c>
      <c r="P16" s="333"/>
      <c r="Q16" s="685">
        <f>(K16-M16)/K16</f>
        <v>1.6781126135384392E-2</v>
      </c>
      <c r="R16" s="333"/>
    </row>
    <row r="17" spans="1:19" x14ac:dyDescent="0.5">
      <c r="A17" s="331"/>
      <c r="C17" s="331"/>
      <c r="D17" s="331"/>
      <c r="E17" s="333"/>
      <c r="F17" s="332"/>
      <c r="G17" s="333"/>
      <c r="H17" s="333"/>
      <c r="I17" s="333"/>
      <c r="J17" s="332"/>
      <c r="K17" s="333"/>
      <c r="L17" s="333"/>
      <c r="M17" s="333"/>
      <c r="N17" s="333"/>
      <c r="O17" s="333"/>
      <c r="P17" s="333"/>
      <c r="Q17" s="333"/>
      <c r="R17" s="333"/>
    </row>
    <row r="18" spans="1:19" x14ac:dyDescent="0.5">
      <c r="A18" s="1180">
        <v>2021</v>
      </c>
      <c r="C18" s="331" t="s">
        <v>4509</v>
      </c>
      <c r="D18" s="331"/>
      <c r="E18" s="334">
        <v>6130875</v>
      </c>
      <c r="F18" s="332"/>
      <c r="G18" s="682">
        <f>K18/E18</f>
        <v>101.57747054828894</v>
      </c>
      <c r="H18" s="333"/>
      <c r="I18" s="682">
        <f>M18/E18</f>
        <v>99.007210794544008</v>
      </c>
      <c r="J18" s="332"/>
      <c r="K18" s="683">
        <v>622758774.74774098</v>
      </c>
      <c r="L18" s="333"/>
      <c r="M18" s="683">
        <v>607000833.48000002</v>
      </c>
      <c r="N18" s="333"/>
      <c r="O18" s="684">
        <f>K18-M18</f>
        <v>15757941.267740965</v>
      </c>
      <c r="P18" s="333"/>
      <c r="Q18" s="1181">
        <f>(K18-M18)/K18</f>
        <v>2.5303443173681474E-2</v>
      </c>
      <c r="R18" s="333"/>
    </row>
    <row r="19" spans="1:19" x14ac:dyDescent="0.5">
      <c r="A19" s="1180"/>
      <c r="C19" s="331"/>
      <c r="D19" s="331"/>
      <c r="E19" s="334"/>
      <c r="F19" s="332"/>
      <c r="G19" s="682"/>
      <c r="H19" s="333"/>
      <c r="I19" s="682"/>
      <c r="J19" s="332"/>
      <c r="K19" s="683"/>
      <c r="L19" s="333"/>
      <c r="M19" s="683"/>
      <c r="N19" s="333"/>
      <c r="O19" s="684"/>
      <c r="P19" s="333"/>
      <c r="Q19" s="1181"/>
      <c r="R19" s="333"/>
    </row>
    <row r="20" spans="1:19" x14ac:dyDescent="0.5">
      <c r="A20" s="1180">
        <v>2020</v>
      </c>
      <c r="B20" s="1182"/>
      <c r="C20" s="331" t="s">
        <v>4509</v>
      </c>
      <c r="E20" s="334">
        <f>5616727+485189</f>
        <v>6101916</v>
      </c>
      <c r="G20" s="1183" t="s">
        <v>14</v>
      </c>
      <c r="H20" s="1184"/>
      <c r="I20" s="1183" t="s">
        <v>14</v>
      </c>
      <c r="K20" s="684">
        <f>SUM(K53:K55)</f>
        <v>632630268.62143695</v>
      </c>
      <c r="L20" s="1185"/>
      <c r="M20" s="1186">
        <f>SUM(M53:M55)</f>
        <v>625894599.42000008</v>
      </c>
      <c r="N20" s="1185"/>
      <c r="O20" s="684">
        <f>K20-M20</f>
        <v>6735669.2014368773</v>
      </c>
      <c r="P20" s="1187"/>
      <c r="Q20" s="1181">
        <f>(K20-M20)/K20</f>
        <v>1.0647086514078053E-2</v>
      </c>
    </row>
    <row r="21" spans="1:19" x14ac:dyDescent="0.5">
      <c r="A21" s="1182"/>
      <c r="B21" s="1182"/>
      <c r="C21" s="1182"/>
      <c r="D21" s="1182"/>
      <c r="E21" s="1182"/>
      <c r="G21" s="1182"/>
      <c r="H21" s="1182"/>
      <c r="I21" s="1182"/>
      <c r="L21" s="1182"/>
      <c r="M21" s="1182"/>
      <c r="N21" s="1182"/>
      <c r="O21" s="1182"/>
      <c r="P21" s="1182"/>
    </row>
    <row r="22" spans="1:19" x14ac:dyDescent="0.5">
      <c r="A22" s="1180">
        <v>2019</v>
      </c>
      <c r="B22" s="1182"/>
      <c r="C22" s="331" t="s">
        <v>4509</v>
      </c>
      <c r="E22" s="334">
        <v>5390836</v>
      </c>
      <c r="G22" s="682">
        <f>K22/E22</f>
        <v>92.749992765500565</v>
      </c>
      <c r="H22" s="1187"/>
      <c r="I22" s="682">
        <f>M22/E22</f>
        <v>91.655542850867661</v>
      </c>
      <c r="K22" s="684">
        <v>500000000</v>
      </c>
      <c r="L22" s="1185"/>
      <c r="M22" s="1186">
        <v>494100000</v>
      </c>
      <c r="N22" s="1185"/>
      <c r="O22" s="684">
        <f>K22-M22</f>
        <v>5900000</v>
      </c>
      <c r="P22" s="1187"/>
      <c r="Q22" s="1181">
        <f>(K22-M22)/K22</f>
        <v>1.18E-2</v>
      </c>
    </row>
    <row r="23" spans="1:19" x14ac:dyDescent="0.5">
      <c r="A23" s="1182"/>
      <c r="B23" s="1182"/>
      <c r="C23" s="1182"/>
      <c r="D23" s="1182"/>
      <c r="E23" s="1182"/>
      <c r="G23" s="1182"/>
      <c r="H23" s="1182"/>
      <c r="I23" s="1182"/>
      <c r="L23" s="1182"/>
      <c r="M23" s="1182"/>
      <c r="N23" s="1182"/>
      <c r="O23" s="1182"/>
      <c r="P23" s="1182"/>
    </row>
    <row r="24" spans="1:19" x14ac:dyDescent="0.5">
      <c r="A24" s="1180">
        <v>2018</v>
      </c>
      <c r="B24" s="1188"/>
      <c r="C24" s="331" t="s">
        <v>4509</v>
      </c>
      <c r="E24" s="334">
        <v>4558404</v>
      </c>
      <c r="G24" s="682">
        <f>K24/E24</f>
        <v>87.750010749376315</v>
      </c>
      <c r="H24" s="1187"/>
      <c r="I24" s="682">
        <f>M24/E24</f>
        <v>86.675073117696456</v>
      </c>
      <c r="K24" s="684">
        <v>400000000</v>
      </c>
      <c r="L24" s="1185"/>
      <c r="M24" s="1186">
        <v>395100000</v>
      </c>
      <c r="N24" s="1185"/>
      <c r="O24" s="684">
        <f>K24-M24</f>
        <v>4900000</v>
      </c>
      <c r="P24" s="1187"/>
      <c r="Q24" s="1181">
        <f>(K24-M24)/K24</f>
        <v>1.225E-2</v>
      </c>
    </row>
    <row r="25" spans="1:19" x14ac:dyDescent="0.5">
      <c r="A25" s="1180"/>
      <c r="B25" s="1188"/>
      <c r="E25" s="334"/>
      <c r="G25" s="1187"/>
      <c r="H25" s="1187"/>
      <c r="I25" s="1185"/>
      <c r="L25" s="1185"/>
      <c r="M25" s="1187"/>
      <c r="N25" s="1185"/>
      <c r="O25" s="1187"/>
      <c r="P25" s="1187"/>
    </row>
    <row r="26" spans="1:19" x14ac:dyDescent="0.5">
      <c r="A26" s="1180">
        <v>2017</v>
      </c>
      <c r="B26" s="1188"/>
      <c r="C26" s="331" t="s">
        <v>4509</v>
      </c>
      <c r="E26" s="1189">
        <v>1303494</v>
      </c>
      <c r="G26" s="682">
        <f>K26/E26</f>
        <v>76.716885539941117</v>
      </c>
      <c r="H26" s="1187"/>
      <c r="I26" s="682">
        <f>M26/E26</f>
        <v>75.796282913461823</v>
      </c>
      <c r="K26" s="1190">
        <v>100000000</v>
      </c>
      <c r="L26" s="1185"/>
      <c r="M26" s="1190">
        <v>98800000</v>
      </c>
      <c r="N26" s="1185"/>
      <c r="O26" s="684">
        <f>K26-M26</f>
        <v>1200000</v>
      </c>
      <c r="P26" s="1189"/>
      <c r="Q26" s="1181">
        <f>(K26-M26)/K26</f>
        <v>1.2E-2</v>
      </c>
      <c r="R26" s="1190"/>
    </row>
    <row r="27" spans="1:19" x14ac:dyDescent="0.5">
      <c r="A27" s="1180"/>
      <c r="B27" s="1188"/>
      <c r="C27" s="331"/>
      <c r="E27" s="334"/>
      <c r="G27" s="1191"/>
      <c r="H27" s="1187"/>
      <c r="I27" s="682"/>
      <c r="K27" s="1190"/>
      <c r="L27" s="1185"/>
      <c r="M27" s="1190"/>
      <c r="N27" s="1185"/>
      <c r="O27" s="684"/>
      <c r="P27" s="1189"/>
      <c r="Q27" s="1181"/>
    </row>
    <row r="28" spans="1:19" x14ac:dyDescent="0.5">
      <c r="A28" s="1180">
        <v>2016</v>
      </c>
      <c r="B28" s="1188"/>
      <c r="C28" s="331" t="s">
        <v>4509</v>
      </c>
      <c r="E28" s="334">
        <v>1360756</v>
      </c>
      <c r="G28" s="682">
        <f>K28/E28</f>
        <v>73.488560770630443</v>
      </c>
      <c r="H28" s="1187"/>
      <c r="I28" s="682">
        <f>M28/E28</f>
        <v>72.459720919841615</v>
      </c>
      <c r="K28" s="1192">
        <v>100000000</v>
      </c>
      <c r="L28" s="1185"/>
      <c r="M28" s="1192">
        <v>98600000</v>
      </c>
      <c r="N28" s="1185"/>
      <c r="O28" s="1193">
        <f>K28-M28</f>
        <v>1400000</v>
      </c>
      <c r="P28" s="1189"/>
      <c r="Q28" s="1194">
        <f>(K28-M28)/K28</f>
        <v>1.4E-2</v>
      </c>
    </row>
    <row r="29" spans="1:19" x14ac:dyDescent="0.5">
      <c r="A29" s="1195"/>
      <c r="B29" s="1188"/>
      <c r="C29" s="331"/>
      <c r="E29" s="334"/>
      <c r="G29" s="1191"/>
      <c r="H29" s="1187"/>
      <c r="I29" s="682"/>
      <c r="K29" s="1190"/>
      <c r="L29" s="1185"/>
      <c r="M29" s="1190"/>
      <c r="N29" s="1185"/>
      <c r="O29" s="684"/>
      <c r="P29" s="1189"/>
      <c r="Q29" s="1181"/>
    </row>
    <row r="30" spans="1:19" x14ac:dyDescent="0.5">
      <c r="A30" s="1196"/>
      <c r="B30" s="1188"/>
      <c r="C30" s="331"/>
      <c r="E30" s="334"/>
      <c r="G30" s="1191"/>
      <c r="H30" s="1187"/>
      <c r="I30" s="682"/>
      <c r="L30" s="1185"/>
      <c r="N30" s="1185"/>
      <c r="P30" s="1189"/>
    </row>
    <row r="31" spans="1:19" ht="15.3" thickBot="1" x14ac:dyDescent="0.55000000000000004">
      <c r="A31" s="1197"/>
      <c r="B31" s="1188"/>
      <c r="E31" s="1187"/>
      <c r="F31" s="1187"/>
      <c r="G31" s="1187"/>
      <c r="H31" s="1187"/>
      <c r="I31" s="1185"/>
      <c r="J31" s="1185"/>
      <c r="K31" s="1198">
        <f>SUM(K12:K28)</f>
        <v>4716760999.0756302</v>
      </c>
      <c r="L31" s="1186"/>
      <c r="M31" s="1198">
        <f>SUM(M12:M29)</f>
        <v>4652065509.5234299</v>
      </c>
      <c r="N31" s="1186"/>
      <c r="O31" s="1198">
        <f>SUM(O12:O29)</f>
        <v>64695489.552200079</v>
      </c>
      <c r="Q31" s="1199">
        <f>(K31-M31)/K31</f>
        <v>1.3716083889957336E-2</v>
      </c>
    </row>
    <row r="32" spans="1:19" ht="15.3" thickTop="1" x14ac:dyDescent="0.5">
      <c r="A32" s="1197"/>
      <c r="B32" s="1188"/>
      <c r="E32" s="1187"/>
      <c r="F32" s="1187"/>
      <c r="G32" s="1187"/>
      <c r="H32" s="1187"/>
      <c r="I32" s="1187"/>
      <c r="J32" s="1187"/>
      <c r="K32" s="1187"/>
      <c r="L32" s="1187"/>
      <c r="M32" s="1187"/>
      <c r="N32" s="1187"/>
      <c r="O32" s="1187"/>
      <c r="P32" s="1185"/>
      <c r="Q32" s="1185"/>
      <c r="R32" s="93"/>
      <c r="S32" s="1200"/>
    </row>
    <row r="33" spans="1:19" x14ac:dyDescent="0.5">
      <c r="A33" s="1197"/>
      <c r="B33" s="1188"/>
      <c r="E33" s="1187"/>
      <c r="F33" s="1187"/>
      <c r="G33" s="1187"/>
      <c r="H33" s="1187"/>
      <c r="I33" s="1187"/>
      <c r="J33" s="1187"/>
      <c r="K33" s="1187"/>
      <c r="L33" s="1187"/>
      <c r="M33" s="1187"/>
      <c r="N33" s="1187"/>
      <c r="O33" s="1187"/>
      <c r="P33" s="1185"/>
      <c r="Q33" s="1185"/>
      <c r="R33" s="93"/>
      <c r="S33" s="1200"/>
    </row>
    <row r="34" spans="1:19" x14ac:dyDescent="0.5">
      <c r="A34" s="1197"/>
      <c r="B34" s="1188"/>
      <c r="E34" s="1187"/>
      <c r="F34" s="1187"/>
      <c r="G34" s="1187"/>
      <c r="H34" s="1187"/>
      <c r="I34" s="1187"/>
      <c r="J34" s="1187"/>
      <c r="K34" s="1187"/>
      <c r="L34" s="1187"/>
      <c r="M34" s="1187"/>
      <c r="N34" s="1187"/>
      <c r="O34" s="1187"/>
      <c r="P34" s="1185"/>
      <c r="Q34" s="1185"/>
      <c r="R34" s="1201"/>
      <c r="S34" s="1200"/>
    </row>
    <row r="35" spans="1:19" x14ac:dyDescent="0.5">
      <c r="A35" s="1197"/>
      <c r="B35" s="1188"/>
      <c r="E35" s="1187"/>
      <c r="F35" s="1187"/>
      <c r="G35" s="1187"/>
      <c r="H35" s="1187"/>
      <c r="I35" s="1187"/>
      <c r="J35" s="1187"/>
      <c r="K35" s="1187"/>
      <c r="L35" s="1187"/>
      <c r="M35" s="1187"/>
      <c r="N35" s="1187"/>
      <c r="O35" s="1187"/>
      <c r="P35" s="1185"/>
      <c r="Q35" s="1185"/>
      <c r="R35" s="1201"/>
      <c r="S35" s="1200"/>
    </row>
    <row r="36" spans="1:19" x14ac:dyDescent="0.5">
      <c r="A36" s="1197"/>
      <c r="B36" s="1188"/>
      <c r="E36" s="1187"/>
      <c r="F36" s="1187"/>
      <c r="G36" s="1187"/>
      <c r="H36" s="1187"/>
      <c r="I36" s="1187"/>
      <c r="J36" s="1187"/>
      <c r="K36" s="1187"/>
      <c r="L36" s="1187"/>
      <c r="M36" s="1187"/>
      <c r="N36" s="1187"/>
      <c r="O36" s="1187"/>
      <c r="P36" s="1185"/>
      <c r="Q36" s="1185"/>
      <c r="R36" s="1201"/>
      <c r="S36" s="1200"/>
    </row>
    <row r="37" spans="1:19" x14ac:dyDescent="0.5">
      <c r="A37" s="1434" t="s">
        <v>3872</v>
      </c>
      <c r="B37" s="1434"/>
      <c r="C37" s="1434"/>
      <c r="D37" s="1434"/>
      <c r="E37" s="1434"/>
      <c r="F37" s="1434"/>
      <c r="G37" s="1434"/>
      <c r="H37" s="1434"/>
      <c r="I37" s="1434"/>
      <c r="J37" s="1434"/>
      <c r="K37" s="1434"/>
      <c r="L37" s="1434"/>
      <c r="M37" s="1434"/>
      <c r="N37" s="1434"/>
      <c r="O37" s="1434"/>
      <c r="P37" s="1434"/>
      <c r="Q37" s="1434"/>
      <c r="R37" s="1201"/>
      <c r="S37" s="1200"/>
    </row>
    <row r="38" spans="1:19" x14ac:dyDescent="0.5">
      <c r="A38" s="1202"/>
      <c r="B38" s="1202"/>
      <c r="C38" s="1202"/>
      <c r="D38" s="1202"/>
      <c r="E38" s="1202"/>
      <c r="F38" s="1202"/>
      <c r="G38" s="1202"/>
      <c r="H38" s="1202"/>
      <c r="I38" s="1202"/>
      <c r="J38" s="1202"/>
      <c r="K38" s="1202"/>
      <c r="L38" s="1202"/>
      <c r="M38" s="1202"/>
      <c r="N38" s="1202"/>
      <c r="O38" s="1202"/>
      <c r="P38" s="1202"/>
      <c r="Q38" s="1202"/>
      <c r="R38" s="1201"/>
      <c r="S38" s="1200"/>
    </row>
    <row r="39" spans="1:19" x14ac:dyDescent="0.5">
      <c r="A39" s="1202"/>
      <c r="B39" s="1202"/>
      <c r="C39" s="1202"/>
      <c r="D39" s="1202"/>
      <c r="E39" s="1202"/>
      <c r="F39" s="1202"/>
      <c r="G39" s="1202"/>
      <c r="H39" s="1202"/>
      <c r="I39" s="1202"/>
      <c r="J39" s="1202"/>
      <c r="K39" s="1202"/>
      <c r="L39" s="1202"/>
      <c r="M39" s="1202"/>
      <c r="N39" s="1202"/>
      <c r="O39" s="1202"/>
      <c r="P39" s="1202"/>
      <c r="Q39" s="1202"/>
      <c r="R39" s="1201"/>
      <c r="S39" s="1200"/>
    </row>
    <row r="40" spans="1:19" x14ac:dyDescent="0.5">
      <c r="A40" s="1197"/>
      <c r="B40" s="1188"/>
      <c r="S40" s="1203"/>
    </row>
    <row r="41" spans="1:19" ht="60" x14ac:dyDescent="0.5">
      <c r="C41" s="1179" t="s">
        <v>2579</v>
      </c>
      <c r="D41" s="333"/>
      <c r="E41" s="1179" t="s">
        <v>4510</v>
      </c>
      <c r="F41" s="1204"/>
      <c r="G41" s="1205" t="s">
        <v>2582</v>
      </c>
      <c r="H41" s="1204"/>
      <c r="I41" s="1205" t="s">
        <v>4511</v>
      </c>
      <c r="J41" s="1204"/>
      <c r="K41" s="1205" t="s">
        <v>4512</v>
      </c>
      <c r="L41" s="1204"/>
      <c r="M41" s="1205" t="s">
        <v>3887</v>
      </c>
      <c r="N41" s="1187"/>
    </row>
    <row r="42" spans="1:19" ht="66.75" customHeight="1" thickBot="1" x14ac:dyDescent="0.55000000000000004">
      <c r="A42" s="1206" t="str">
        <f>Input!I32</f>
        <v>Proxy Group of Seven Natural Gas Companies</v>
      </c>
      <c r="C42" s="1207">
        <f>ROUND(AVERAGE('1.3 DCF Summary'!D10:D16),2)</f>
        <v>3.68</v>
      </c>
      <c r="D42" s="81" t="s">
        <v>1090</v>
      </c>
      <c r="E42" s="1207">
        <f>ROUND(AVERAGE('1.3 DCF Summary'!P10:P16),2)</f>
        <v>6.5</v>
      </c>
      <c r="F42" s="81" t="s">
        <v>1090</v>
      </c>
      <c r="G42" s="1208">
        <f>ROUND(C42*(1+(0.5*(E42/100))),2)</f>
        <v>3.8</v>
      </c>
      <c r="H42" s="81" t="s">
        <v>1090</v>
      </c>
      <c r="I42" s="1207">
        <f>G42+E42</f>
        <v>10.3</v>
      </c>
      <c r="J42" s="81" t="s">
        <v>1090</v>
      </c>
      <c r="K42" s="1208">
        <f>(G42/(1-$Q$31))+E42</f>
        <v>10.352845958380225</v>
      </c>
      <c r="L42" s="81" t="s">
        <v>1090</v>
      </c>
      <c r="M42" s="1208">
        <f>K42-I42</f>
        <v>5.2845958380224545E-2</v>
      </c>
      <c r="N42" s="1204" t="s">
        <v>1090</v>
      </c>
      <c r="Q42" s="1209"/>
    </row>
    <row r="43" spans="1:19" ht="15.3" thickTop="1" x14ac:dyDescent="0.5">
      <c r="D43" s="216"/>
      <c r="E43" s="94"/>
      <c r="G43" s="1200"/>
      <c r="H43" s="1210"/>
      <c r="I43" s="1200"/>
      <c r="K43" s="1200"/>
      <c r="M43" s="1200"/>
      <c r="Q43" s="1209"/>
    </row>
    <row r="44" spans="1:19" x14ac:dyDescent="0.5">
      <c r="D44" s="216"/>
      <c r="E44" s="94"/>
      <c r="G44" s="1200"/>
      <c r="H44" s="1210"/>
      <c r="I44" s="1200"/>
      <c r="K44" s="1200"/>
      <c r="M44" s="1200"/>
      <c r="Q44" s="1209"/>
    </row>
    <row r="45" spans="1:19" x14ac:dyDescent="0.5">
      <c r="A45" s="223"/>
      <c r="E45" s="94"/>
      <c r="G45" s="1200"/>
      <c r="H45" s="1182"/>
      <c r="I45" s="1200"/>
      <c r="K45" s="1200"/>
      <c r="M45" s="1200"/>
      <c r="Q45" s="1209"/>
    </row>
    <row r="46" spans="1:19" x14ac:dyDescent="0.5">
      <c r="A46" s="81" t="s">
        <v>4513</v>
      </c>
      <c r="E46" s="94"/>
      <c r="G46" s="1200"/>
      <c r="I46" s="1200"/>
      <c r="K46" s="1200"/>
      <c r="M46" s="1200"/>
    </row>
    <row r="47" spans="1:19" x14ac:dyDescent="0.5">
      <c r="E47" s="94"/>
      <c r="G47" s="1200"/>
      <c r="H47" s="223"/>
      <c r="I47" s="1200"/>
      <c r="K47" s="1200"/>
      <c r="M47" s="1200"/>
    </row>
    <row r="48" spans="1:19" x14ac:dyDescent="0.5">
      <c r="A48" s="81" t="s">
        <v>7124</v>
      </c>
      <c r="E48" s="94"/>
      <c r="G48" s="1200"/>
      <c r="I48" s="1200"/>
      <c r="K48" s="1200"/>
      <c r="M48" s="1200"/>
    </row>
    <row r="49" spans="1:17" x14ac:dyDescent="0.5">
      <c r="E49" s="94"/>
      <c r="G49" s="1200"/>
      <c r="I49" s="1200"/>
      <c r="K49" s="1200"/>
      <c r="M49" s="1200"/>
      <c r="Q49" s="216"/>
    </row>
    <row r="50" spans="1:17" x14ac:dyDescent="0.5">
      <c r="E50" s="94"/>
      <c r="G50" s="1200"/>
      <c r="I50" s="1200"/>
      <c r="K50" s="1200"/>
      <c r="M50" s="1200"/>
      <c r="Q50" s="216"/>
    </row>
    <row r="51" spans="1:17" x14ac:dyDescent="0.5">
      <c r="E51" s="94"/>
      <c r="G51" s="1200"/>
      <c r="I51" s="1200"/>
      <c r="K51" s="1200"/>
      <c r="M51" s="1200"/>
      <c r="Q51" s="216"/>
    </row>
    <row r="52" spans="1:17" x14ac:dyDescent="0.5">
      <c r="E52" s="94"/>
      <c r="G52" s="1200"/>
      <c r="I52" s="1200"/>
      <c r="K52" s="1200"/>
      <c r="M52" s="1200"/>
    </row>
    <row r="53" spans="1:17" x14ac:dyDescent="0.5">
      <c r="A53" s="81" t="s">
        <v>4514</v>
      </c>
      <c r="E53" s="94">
        <v>485189</v>
      </c>
      <c r="G53" s="1200"/>
      <c r="I53" s="1200"/>
      <c r="K53" s="1211">
        <v>45001279.75</v>
      </c>
      <c r="L53" s="1211"/>
      <c r="M53" s="1211">
        <v>44394599.420000002</v>
      </c>
    </row>
    <row r="54" spans="1:17" x14ac:dyDescent="0.5">
      <c r="A54" s="81" t="s">
        <v>4515</v>
      </c>
      <c r="E54" s="94"/>
      <c r="G54" s="1200"/>
      <c r="I54" s="1200"/>
      <c r="K54" s="1211">
        <f>M54/0.99</f>
        <v>452525252.52525252</v>
      </c>
      <c r="L54" s="1211"/>
      <c r="M54" s="1211">
        <v>448000000</v>
      </c>
      <c r="Q54" s="1209"/>
    </row>
    <row r="55" spans="1:17" x14ac:dyDescent="0.5">
      <c r="A55" s="1212" t="s">
        <v>4514</v>
      </c>
      <c r="E55" s="94"/>
      <c r="G55" s="1200"/>
      <c r="I55" s="1200"/>
      <c r="K55" s="1213">
        <f>M55/(1-Q57)</f>
        <v>135103736.3461844</v>
      </c>
      <c r="M55" s="1211">
        <f>581500000-(1000000000-552000000)</f>
        <v>133500000</v>
      </c>
      <c r="P55" s="216"/>
      <c r="Q55" s="1214"/>
    </row>
    <row r="56" spans="1:17" x14ac:dyDescent="0.5">
      <c r="E56" s="94"/>
      <c r="G56" s="1200"/>
      <c r="I56" s="1200"/>
      <c r="K56" s="1213"/>
      <c r="M56" s="1211"/>
      <c r="P56" s="216"/>
      <c r="Q56" s="1214"/>
    </row>
    <row r="57" spans="1:17" ht="30" x14ac:dyDescent="0.5">
      <c r="A57" s="1215" t="s">
        <v>4516</v>
      </c>
      <c r="B57" s="1182"/>
      <c r="C57" s="331" t="s">
        <v>4509</v>
      </c>
      <c r="E57" s="334">
        <f>1051213+7008087</f>
        <v>8059300</v>
      </c>
      <c r="G57" s="682">
        <v>92.75</v>
      </c>
      <c r="H57" s="1187"/>
      <c r="I57" s="682">
        <f>91.7731-1000000/E57</f>
        <v>91.649019744890992</v>
      </c>
      <c r="K57" s="684">
        <f>E57*G57</f>
        <v>747500075</v>
      </c>
      <c r="L57" s="1185"/>
      <c r="M57" s="1186">
        <f>E57*I57</f>
        <v>738626944.82999992</v>
      </c>
      <c r="N57" s="1185"/>
      <c r="O57" s="684">
        <f>K57-M57</f>
        <v>8873130.1700000763</v>
      </c>
      <c r="P57" s="333"/>
      <c r="Q57" s="1181">
        <f>(K57-M57)/K57</f>
        <v>1.1870407063169962E-2</v>
      </c>
    </row>
    <row r="58" spans="1:17" x14ac:dyDescent="0.5">
      <c r="E58" s="94"/>
      <c r="G58" s="1200"/>
      <c r="I58" s="1200"/>
      <c r="K58" s="1200"/>
      <c r="M58" s="1200"/>
      <c r="Q58" s="1209"/>
    </row>
    <row r="59" spans="1:17" x14ac:dyDescent="0.5">
      <c r="P59" s="1209"/>
      <c r="Q59" s="1209"/>
    </row>
    <row r="60" spans="1:17" x14ac:dyDescent="0.5">
      <c r="C60" s="223"/>
      <c r="G60" s="1216"/>
      <c r="H60" s="1216"/>
      <c r="I60" s="1216"/>
      <c r="J60" s="1216"/>
      <c r="K60" s="1200"/>
      <c r="L60" s="1216"/>
      <c r="M60" s="1200"/>
      <c r="N60" s="1216"/>
      <c r="O60" s="1216"/>
      <c r="P60" s="1209"/>
      <c r="Q60" s="1209"/>
    </row>
    <row r="61" spans="1:17" x14ac:dyDescent="0.5">
      <c r="A61" s="1216"/>
      <c r="G61" s="1217"/>
      <c r="H61" s="1217"/>
      <c r="I61" s="1217"/>
      <c r="J61" s="1217"/>
      <c r="K61" s="1217"/>
      <c r="L61" s="1217"/>
      <c r="M61" s="1217"/>
      <c r="N61" s="1217"/>
      <c r="O61" s="1217"/>
      <c r="P61" s="1209"/>
      <c r="Q61" s="1209"/>
    </row>
    <row r="62" spans="1:17" x14ac:dyDescent="0.5">
      <c r="A62" s="1216"/>
      <c r="G62" s="1217"/>
      <c r="H62" s="1217"/>
      <c r="I62" s="1217"/>
      <c r="J62" s="1217"/>
      <c r="K62" s="1217"/>
      <c r="L62" s="1217"/>
      <c r="M62" s="1217"/>
      <c r="N62" s="1217"/>
      <c r="O62" s="1217"/>
      <c r="P62" s="1209"/>
      <c r="Q62" s="1209"/>
    </row>
    <row r="63" spans="1:17" x14ac:dyDescent="0.5">
      <c r="A63" s="1216"/>
      <c r="G63" s="1217"/>
      <c r="H63" s="1217"/>
      <c r="I63" s="1217"/>
      <c r="J63" s="1217"/>
      <c r="K63" s="1217"/>
      <c r="L63" s="1217"/>
      <c r="M63" s="1217"/>
      <c r="N63" s="1217"/>
      <c r="O63" s="1217"/>
      <c r="P63" s="1209"/>
      <c r="Q63" s="1209"/>
    </row>
    <row r="64" spans="1:17" x14ac:dyDescent="0.5">
      <c r="A64" s="1216"/>
      <c r="G64" s="1217"/>
      <c r="H64" s="1217"/>
      <c r="I64" s="1217"/>
      <c r="J64" s="1217"/>
      <c r="K64" s="1217"/>
      <c r="L64" s="1217"/>
      <c r="M64" s="1217"/>
      <c r="N64" s="1217"/>
      <c r="O64" s="1217"/>
      <c r="P64" s="1218"/>
      <c r="Q64" s="1218"/>
    </row>
    <row r="65" spans="1:17" x14ac:dyDescent="0.5">
      <c r="A65" s="1216"/>
      <c r="G65" s="1217"/>
      <c r="H65" s="1217"/>
      <c r="I65" s="1217"/>
      <c r="J65" s="1217"/>
      <c r="K65" s="1217"/>
      <c r="L65" s="1217"/>
      <c r="M65" s="1217"/>
      <c r="N65" s="1217"/>
      <c r="O65" s="1217"/>
      <c r="P65" s="1218"/>
      <c r="Q65" s="1218"/>
    </row>
    <row r="66" spans="1:17" x14ac:dyDescent="0.5">
      <c r="A66" s="1216"/>
      <c r="G66" s="1217"/>
      <c r="H66" s="1217"/>
      <c r="I66" s="1217"/>
      <c r="J66" s="1217"/>
      <c r="K66" s="1217"/>
      <c r="L66" s="1217"/>
      <c r="M66" s="1217"/>
      <c r="N66" s="1217"/>
      <c r="O66" s="1217"/>
      <c r="P66" s="1218"/>
      <c r="Q66" s="1218"/>
    </row>
    <row r="67" spans="1:17" x14ac:dyDescent="0.5">
      <c r="A67" s="1216"/>
      <c r="G67" s="1217"/>
      <c r="H67" s="1217"/>
      <c r="I67" s="1217"/>
      <c r="J67" s="1217"/>
      <c r="K67" s="1217"/>
      <c r="L67" s="1217"/>
      <c r="M67" s="1217"/>
      <c r="N67" s="1217"/>
      <c r="O67" s="1217"/>
      <c r="P67" s="1218"/>
      <c r="Q67" s="1218"/>
    </row>
    <row r="68" spans="1:17" x14ac:dyDescent="0.5">
      <c r="A68" s="1216"/>
      <c r="G68" s="1217"/>
      <c r="H68" s="1217"/>
      <c r="I68" s="1217"/>
      <c r="J68" s="1217"/>
      <c r="K68" s="1217"/>
      <c r="L68" s="1217"/>
      <c r="M68" s="1217"/>
      <c r="N68" s="1217"/>
      <c r="O68" s="1217"/>
      <c r="P68" s="1218"/>
      <c r="Q68" s="1218"/>
    </row>
    <row r="69" spans="1:17" x14ac:dyDescent="0.5">
      <c r="A69" s="1216"/>
      <c r="G69" s="1217"/>
      <c r="H69" s="1217"/>
      <c r="I69" s="1217"/>
      <c r="J69" s="1217"/>
      <c r="K69" s="1217"/>
      <c r="L69" s="1217"/>
      <c r="M69" s="1217"/>
      <c r="N69" s="1217"/>
      <c r="O69" s="1217"/>
      <c r="P69" s="1218"/>
      <c r="Q69" s="1218"/>
    </row>
    <row r="70" spans="1:17" x14ac:dyDescent="0.5">
      <c r="A70" s="1216"/>
      <c r="G70" s="1217"/>
      <c r="H70" s="1217"/>
      <c r="I70" s="1217"/>
      <c r="J70" s="1217"/>
      <c r="K70" s="1217"/>
      <c r="L70" s="1217"/>
      <c r="M70" s="1217"/>
      <c r="N70" s="1217"/>
      <c r="O70" s="1217"/>
      <c r="P70" s="1218"/>
      <c r="Q70" s="1218"/>
    </row>
    <row r="71" spans="1:17" x14ac:dyDescent="0.5">
      <c r="A71" s="1216"/>
      <c r="G71" s="1217"/>
      <c r="H71" s="1217"/>
      <c r="I71" s="1217"/>
      <c r="J71" s="1217"/>
      <c r="K71" s="1217"/>
      <c r="L71" s="1217"/>
      <c r="M71" s="1217"/>
      <c r="N71" s="1217"/>
      <c r="O71" s="1217"/>
      <c r="P71" s="1218"/>
      <c r="Q71" s="1218"/>
    </row>
    <row r="72" spans="1:17" x14ac:dyDescent="0.5">
      <c r="A72" s="1216"/>
      <c r="G72" s="1217"/>
      <c r="H72" s="1217"/>
      <c r="I72" s="1217"/>
      <c r="J72" s="1217"/>
      <c r="K72" s="1217"/>
      <c r="L72" s="1217"/>
      <c r="M72" s="1217"/>
      <c r="N72" s="1217"/>
      <c r="O72" s="1217"/>
      <c r="P72" s="1218"/>
      <c r="Q72" s="1218"/>
    </row>
    <row r="73" spans="1:17" x14ac:dyDescent="0.5">
      <c r="A73" s="1216"/>
      <c r="G73" s="1217"/>
      <c r="H73" s="1217"/>
      <c r="I73" s="1217"/>
      <c r="J73" s="1217"/>
      <c r="K73" s="1217"/>
      <c r="L73" s="1217"/>
      <c r="M73" s="1217"/>
      <c r="N73" s="1217"/>
      <c r="O73" s="1217"/>
      <c r="P73" s="1218"/>
      <c r="Q73" s="1218"/>
    </row>
    <row r="74" spans="1:17" x14ac:dyDescent="0.5">
      <c r="A74" s="1216"/>
      <c r="G74" s="1217"/>
      <c r="H74" s="1217"/>
      <c r="I74" s="1217"/>
      <c r="J74" s="1217"/>
      <c r="K74" s="1217"/>
      <c r="L74" s="1217"/>
      <c r="M74" s="1217"/>
      <c r="N74" s="1217"/>
      <c r="O74" s="1217"/>
      <c r="P74" s="1218"/>
      <c r="Q74" s="1218"/>
    </row>
    <row r="75" spans="1:17" x14ac:dyDescent="0.5">
      <c r="A75" s="1216"/>
      <c r="G75" s="1217"/>
      <c r="H75" s="1217"/>
      <c r="I75" s="1217"/>
      <c r="J75" s="1217"/>
      <c r="K75" s="1217"/>
      <c r="L75" s="1217"/>
      <c r="M75" s="1217"/>
      <c r="N75" s="1217"/>
      <c r="O75" s="1217"/>
      <c r="P75" s="1218"/>
      <c r="Q75" s="1218"/>
    </row>
    <row r="76" spans="1:17" x14ac:dyDescent="0.5">
      <c r="A76" s="1216"/>
      <c r="G76" s="1217"/>
      <c r="H76" s="1217"/>
      <c r="I76" s="1217"/>
      <c r="J76" s="1217"/>
      <c r="K76" s="1217"/>
      <c r="L76" s="1217"/>
      <c r="M76" s="1217"/>
      <c r="N76" s="1217"/>
      <c r="O76" s="1217"/>
      <c r="P76" s="1218"/>
      <c r="Q76" s="1218"/>
    </row>
    <row r="77" spans="1:17" x14ac:dyDescent="0.5">
      <c r="A77" s="1216"/>
      <c r="G77" s="1217"/>
      <c r="H77" s="1217"/>
      <c r="I77" s="1217"/>
      <c r="J77" s="1217"/>
      <c r="K77" s="1217"/>
      <c r="L77" s="1217"/>
      <c r="M77" s="1217"/>
      <c r="N77" s="1217"/>
      <c r="O77" s="1217"/>
      <c r="P77" s="1218"/>
      <c r="Q77" s="1218"/>
    </row>
    <row r="78" spans="1:17" x14ac:dyDescent="0.5">
      <c r="A78" s="1216"/>
      <c r="G78" s="1217"/>
      <c r="H78" s="1217"/>
      <c r="I78" s="1217"/>
      <c r="J78" s="1217"/>
      <c r="K78" s="1217"/>
      <c r="L78" s="1217"/>
      <c r="M78" s="1217"/>
      <c r="N78" s="1217"/>
      <c r="O78" s="1217"/>
      <c r="P78" s="1218"/>
      <c r="Q78" s="1218"/>
    </row>
    <row r="79" spans="1:17" x14ac:dyDescent="0.5">
      <c r="A79" s="1216"/>
      <c r="G79" s="1217"/>
      <c r="H79" s="1217"/>
      <c r="I79" s="1217"/>
      <c r="J79" s="1217"/>
      <c r="K79" s="1217"/>
      <c r="L79" s="1217"/>
      <c r="M79" s="1217"/>
      <c r="N79" s="1217"/>
      <c r="O79" s="1217"/>
      <c r="P79" s="1218"/>
      <c r="Q79" s="1218"/>
    </row>
    <row r="80" spans="1:17" x14ac:dyDescent="0.5">
      <c r="A80" s="1216"/>
      <c r="G80" s="1217"/>
      <c r="H80" s="1217"/>
      <c r="I80" s="1217"/>
      <c r="J80" s="1217"/>
      <c r="K80" s="1217"/>
      <c r="L80" s="1217"/>
      <c r="M80" s="1217"/>
      <c r="N80" s="1217"/>
      <c r="O80" s="1217"/>
      <c r="P80" s="1218"/>
      <c r="Q80" s="1218"/>
    </row>
    <row r="81" spans="1:17" x14ac:dyDescent="0.5">
      <c r="A81" s="1216"/>
      <c r="G81" s="1217"/>
      <c r="H81" s="1217"/>
      <c r="I81" s="1217"/>
      <c r="J81" s="1217"/>
      <c r="K81" s="1217"/>
      <c r="L81" s="1217"/>
      <c r="M81" s="1217"/>
      <c r="N81" s="1217"/>
      <c r="O81" s="1217"/>
      <c r="P81" s="1218"/>
      <c r="Q81" s="1218"/>
    </row>
    <row r="82" spans="1:17" x14ac:dyDescent="0.5">
      <c r="A82" s="1216"/>
      <c r="G82" s="1217"/>
      <c r="H82" s="1217"/>
      <c r="I82" s="1217"/>
      <c r="J82" s="1217"/>
      <c r="K82" s="1217"/>
      <c r="L82" s="1217"/>
      <c r="M82" s="1217"/>
      <c r="N82" s="1217"/>
      <c r="O82" s="1217"/>
      <c r="P82" s="1218"/>
      <c r="Q82" s="1218"/>
    </row>
    <row r="83" spans="1:17" x14ac:dyDescent="0.5">
      <c r="A83" s="1216"/>
      <c r="G83" s="1217"/>
      <c r="H83" s="1217"/>
      <c r="I83" s="1217"/>
      <c r="J83" s="1217"/>
      <c r="K83" s="1217"/>
      <c r="L83" s="1217"/>
      <c r="M83" s="1217"/>
      <c r="N83" s="1217"/>
      <c r="O83" s="1217"/>
      <c r="P83" s="1218"/>
      <c r="Q83" s="1218"/>
    </row>
    <row r="84" spans="1:17" x14ac:dyDescent="0.5">
      <c r="A84" s="1216"/>
      <c r="G84" s="1217"/>
      <c r="H84" s="1217"/>
      <c r="I84" s="1217"/>
      <c r="J84" s="1217"/>
      <c r="K84" s="1217"/>
      <c r="L84" s="1217"/>
      <c r="M84" s="1217"/>
      <c r="N84" s="1217"/>
      <c r="O84" s="1217"/>
      <c r="P84" s="1218"/>
      <c r="Q84" s="1218"/>
    </row>
    <row r="85" spans="1:17" x14ac:dyDescent="0.5">
      <c r="A85" s="1216"/>
      <c r="G85" s="1217"/>
      <c r="H85" s="1217"/>
      <c r="I85" s="1217"/>
      <c r="J85" s="1217"/>
      <c r="K85" s="1217"/>
      <c r="L85" s="1217"/>
      <c r="M85" s="1217"/>
      <c r="N85" s="1217"/>
      <c r="O85" s="1217"/>
      <c r="P85" s="1218"/>
      <c r="Q85" s="1218"/>
    </row>
    <row r="86" spans="1:17" x14ac:dyDescent="0.5">
      <c r="A86" s="1216"/>
      <c r="G86" s="1217"/>
      <c r="H86" s="1217"/>
      <c r="I86" s="1217"/>
      <c r="J86" s="1217"/>
      <c r="K86" s="1217"/>
      <c r="L86" s="1217"/>
      <c r="M86" s="1217"/>
      <c r="N86" s="1217"/>
      <c r="O86" s="1217"/>
      <c r="P86" s="1218"/>
      <c r="Q86" s="1218"/>
    </row>
    <row r="87" spans="1:17" x14ac:dyDescent="0.5">
      <c r="A87" s="1216"/>
      <c r="G87" s="1217"/>
      <c r="H87" s="1217"/>
      <c r="I87" s="1217"/>
      <c r="J87" s="1217"/>
      <c r="K87" s="1217"/>
      <c r="L87" s="1217"/>
      <c r="M87" s="1217"/>
      <c r="N87" s="1217"/>
      <c r="O87" s="1217"/>
      <c r="P87" s="1218"/>
      <c r="Q87" s="1218"/>
    </row>
    <row r="88" spans="1:17" x14ac:dyDescent="0.5">
      <c r="A88" s="1216"/>
      <c r="G88" s="1217"/>
      <c r="H88" s="1217"/>
      <c r="I88" s="1217"/>
      <c r="J88" s="1217"/>
      <c r="K88" s="1217"/>
      <c r="L88" s="1217"/>
      <c r="M88" s="1217"/>
      <c r="N88" s="1217"/>
      <c r="O88" s="1217"/>
      <c r="P88" s="1218"/>
      <c r="Q88" s="1218"/>
    </row>
    <row r="89" spans="1:17" x14ac:dyDescent="0.5">
      <c r="A89" s="1216"/>
      <c r="G89" s="1217"/>
      <c r="H89" s="1217"/>
      <c r="I89" s="1217"/>
      <c r="J89" s="1217"/>
      <c r="K89" s="1217"/>
      <c r="L89" s="1217"/>
      <c r="M89" s="1217"/>
      <c r="N89" s="1217"/>
      <c r="O89" s="1217"/>
      <c r="P89" s="1218"/>
      <c r="Q89" s="1218"/>
    </row>
    <row r="90" spans="1:17" x14ac:dyDescent="0.5">
      <c r="A90" s="1216"/>
      <c r="G90" s="1217"/>
      <c r="H90" s="1217"/>
      <c r="I90" s="1217"/>
      <c r="J90" s="1217"/>
      <c r="K90" s="1217"/>
      <c r="L90" s="1217"/>
      <c r="M90" s="1217"/>
      <c r="N90" s="1217"/>
      <c r="O90" s="1217"/>
      <c r="P90" s="1218"/>
      <c r="Q90" s="1218"/>
    </row>
    <row r="91" spans="1:17" x14ac:dyDescent="0.5">
      <c r="A91" s="1216"/>
      <c r="G91" s="1217"/>
      <c r="H91" s="1217"/>
      <c r="I91" s="1217"/>
      <c r="J91" s="1217"/>
      <c r="K91" s="1217"/>
      <c r="L91" s="1217"/>
      <c r="M91" s="1217"/>
      <c r="N91" s="1217"/>
      <c r="O91" s="1217"/>
      <c r="P91" s="1218"/>
      <c r="Q91" s="1218"/>
    </row>
    <row r="92" spans="1:17" x14ac:dyDescent="0.5">
      <c r="A92" s="1216"/>
      <c r="G92" s="1217"/>
      <c r="H92" s="1217"/>
      <c r="I92" s="1217"/>
      <c r="J92" s="1217"/>
      <c r="K92" s="1217"/>
      <c r="L92" s="1217"/>
      <c r="M92" s="1217"/>
      <c r="N92" s="1217"/>
      <c r="O92" s="1217"/>
      <c r="P92" s="1218"/>
      <c r="Q92" s="1218"/>
    </row>
    <row r="93" spans="1:17" x14ac:dyDescent="0.5">
      <c r="A93" s="1216"/>
      <c r="G93" s="1217"/>
      <c r="H93" s="1217"/>
      <c r="I93" s="1217"/>
      <c r="J93" s="1217"/>
      <c r="K93" s="1217"/>
      <c r="L93" s="1217"/>
      <c r="M93" s="1217"/>
      <c r="N93" s="1217"/>
      <c r="O93" s="1217"/>
      <c r="P93" s="1218"/>
      <c r="Q93" s="1218"/>
    </row>
    <row r="94" spans="1:17" x14ac:dyDescent="0.5">
      <c r="A94" s="1216"/>
      <c r="G94" s="1217"/>
      <c r="H94" s="1217"/>
      <c r="I94" s="1217"/>
      <c r="J94" s="1217"/>
      <c r="K94" s="1217"/>
      <c r="L94" s="1217"/>
      <c r="M94" s="1217"/>
      <c r="N94" s="1217"/>
      <c r="O94" s="1217"/>
      <c r="P94" s="1218"/>
      <c r="Q94" s="1218"/>
    </row>
    <row r="95" spans="1:17" x14ac:dyDescent="0.5">
      <c r="A95" s="1216"/>
      <c r="G95" s="1217"/>
      <c r="H95" s="1217"/>
      <c r="I95" s="1217"/>
      <c r="J95" s="1217"/>
      <c r="K95" s="1217"/>
      <c r="L95" s="1217"/>
      <c r="M95" s="1217"/>
      <c r="N95" s="1217"/>
      <c r="O95" s="1217"/>
      <c r="P95" s="1218"/>
      <c r="Q95" s="1218"/>
    </row>
    <row r="96" spans="1:17" x14ac:dyDescent="0.5">
      <c r="A96" s="1216"/>
      <c r="G96" s="1217"/>
      <c r="H96" s="1217"/>
      <c r="I96" s="1217"/>
      <c r="J96" s="1217"/>
      <c r="K96" s="1217"/>
      <c r="L96" s="1217"/>
      <c r="M96" s="1217"/>
      <c r="N96" s="1217"/>
      <c r="O96" s="1217"/>
      <c r="P96" s="1218"/>
      <c r="Q96" s="1218"/>
    </row>
    <row r="97" spans="1:17" x14ac:dyDescent="0.5">
      <c r="A97" s="1216"/>
      <c r="G97" s="1217"/>
      <c r="H97" s="1217"/>
      <c r="I97" s="1217"/>
      <c r="J97" s="1217"/>
      <c r="K97" s="1217"/>
      <c r="L97" s="1217"/>
      <c r="M97" s="1217"/>
      <c r="N97" s="1217"/>
      <c r="O97" s="1217"/>
      <c r="P97" s="1218"/>
      <c r="Q97" s="1218"/>
    </row>
    <row r="98" spans="1:17" x14ac:dyDescent="0.5">
      <c r="A98" s="1216"/>
      <c r="G98" s="1217"/>
      <c r="H98" s="1217"/>
      <c r="I98" s="1217"/>
      <c r="J98" s="1217"/>
      <c r="K98" s="1217"/>
      <c r="L98" s="1217"/>
      <c r="M98" s="1217"/>
      <c r="N98" s="1217"/>
      <c r="O98" s="1217"/>
      <c r="P98" s="1218"/>
      <c r="Q98" s="1218"/>
    </row>
    <row r="99" spans="1:17" x14ac:dyDescent="0.5">
      <c r="A99" s="1216"/>
      <c r="G99" s="1217"/>
      <c r="H99" s="1217"/>
      <c r="I99" s="1217"/>
      <c r="J99" s="1217"/>
      <c r="K99" s="1217"/>
      <c r="L99" s="1217"/>
      <c r="M99" s="1217"/>
      <c r="N99" s="1217"/>
      <c r="O99" s="1217"/>
      <c r="P99" s="1218"/>
      <c r="Q99" s="1218"/>
    </row>
    <row r="100" spans="1:17" x14ac:dyDescent="0.5">
      <c r="A100" s="1216"/>
      <c r="G100" s="1217"/>
      <c r="H100" s="1217"/>
      <c r="I100" s="1217"/>
      <c r="J100" s="1217"/>
      <c r="K100" s="1217"/>
      <c r="L100" s="1217"/>
      <c r="M100" s="1217"/>
      <c r="N100" s="1217"/>
      <c r="O100" s="1217"/>
      <c r="P100" s="1218"/>
      <c r="Q100" s="1218"/>
    </row>
    <row r="101" spans="1:17" x14ac:dyDescent="0.5">
      <c r="A101" s="1216"/>
      <c r="G101" s="1217"/>
      <c r="H101" s="1217"/>
      <c r="I101" s="1217"/>
      <c r="J101" s="1217"/>
      <c r="K101" s="1217"/>
      <c r="L101" s="1217"/>
      <c r="M101" s="1217"/>
      <c r="N101" s="1217"/>
      <c r="O101" s="1217"/>
      <c r="P101" s="1218"/>
      <c r="Q101" s="1218"/>
    </row>
    <row r="102" spans="1:17" x14ac:dyDescent="0.5">
      <c r="A102" s="1216"/>
      <c r="G102" s="1217"/>
      <c r="H102" s="1217"/>
      <c r="I102" s="1217"/>
      <c r="J102" s="1217"/>
      <c r="K102" s="1217"/>
      <c r="L102" s="1217"/>
      <c r="M102" s="1217"/>
      <c r="N102" s="1217"/>
      <c r="O102" s="1217"/>
      <c r="P102" s="1218"/>
      <c r="Q102" s="1218"/>
    </row>
    <row r="103" spans="1:17" x14ac:dyDescent="0.5">
      <c r="A103" s="1216"/>
      <c r="G103" s="1217"/>
      <c r="H103" s="1217"/>
      <c r="I103" s="1217"/>
      <c r="J103" s="1217"/>
      <c r="K103" s="1217"/>
      <c r="L103" s="1217"/>
      <c r="M103" s="1217"/>
      <c r="N103" s="1217"/>
      <c r="O103" s="1217"/>
      <c r="P103" s="1218"/>
      <c r="Q103" s="1218"/>
    </row>
    <row r="104" spans="1:17" x14ac:dyDescent="0.5">
      <c r="A104" s="1216"/>
      <c r="G104" s="1217"/>
      <c r="H104" s="1217"/>
      <c r="I104" s="1217"/>
      <c r="J104" s="1217"/>
      <c r="K104" s="1217"/>
      <c r="L104" s="1217"/>
      <c r="M104" s="1217"/>
      <c r="N104" s="1217"/>
      <c r="O104" s="1217"/>
      <c r="P104" s="1218"/>
      <c r="Q104" s="1218"/>
    </row>
    <row r="105" spans="1:17" x14ac:dyDescent="0.5">
      <c r="A105" s="1216"/>
      <c r="G105" s="1217"/>
      <c r="H105" s="1217"/>
      <c r="I105" s="1217"/>
      <c r="J105" s="1217"/>
      <c r="K105" s="1217"/>
      <c r="L105" s="1217"/>
      <c r="M105" s="1217"/>
      <c r="N105" s="1217"/>
      <c r="O105" s="1217"/>
      <c r="P105" s="1218"/>
      <c r="Q105" s="1218"/>
    </row>
    <row r="106" spans="1:17" x14ac:dyDescent="0.5">
      <c r="A106" s="1216"/>
      <c r="G106" s="1217"/>
      <c r="H106" s="1217"/>
      <c r="I106" s="1217"/>
      <c r="J106" s="1217"/>
      <c r="K106" s="1217"/>
      <c r="L106" s="1217"/>
      <c r="M106" s="1217"/>
      <c r="N106" s="1217"/>
      <c r="O106" s="1217"/>
      <c r="P106" s="1218"/>
      <c r="Q106" s="1218"/>
    </row>
    <row r="107" spans="1:17" x14ac:dyDescent="0.5">
      <c r="A107" s="1216"/>
      <c r="G107" s="1217"/>
      <c r="H107" s="1217"/>
      <c r="I107" s="1217"/>
      <c r="J107" s="1217"/>
      <c r="K107" s="1217"/>
      <c r="L107" s="1217"/>
      <c r="M107" s="1217"/>
      <c r="N107" s="1217"/>
      <c r="O107" s="1217"/>
      <c r="P107" s="1218"/>
      <c r="Q107" s="1218"/>
    </row>
    <row r="108" spans="1:17" x14ac:dyDescent="0.5">
      <c r="A108" s="1216"/>
      <c r="G108" s="1217"/>
      <c r="H108" s="1217"/>
      <c r="I108" s="1217"/>
      <c r="J108" s="1217"/>
      <c r="K108" s="1217"/>
      <c r="L108" s="1217"/>
      <c r="M108" s="1217"/>
      <c r="N108" s="1217"/>
      <c r="O108" s="1217"/>
      <c r="P108" s="1218"/>
      <c r="Q108" s="1218"/>
    </row>
    <row r="109" spans="1:17" x14ac:dyDescent="0.5">
      <c r="A109" s="1216"/>
      <c r="G109" s="1217"/>
      <c r="H109" s="1217"/>
      <c r="I109" s="1217"/>
      <c r="J109" s="1217"/>
      <c r="K109" s="1217"/>
      <c r="L109" s="1217"/>
      <c r="M109" s="1217"/>
      <c r="N109" s="1217"/>
      <c r="O109" s="1217"/>
      <c r="P109" s="1218"/>
      <c r="Q109" s="1218"/>
    </row>
    <row r="110" spans="1:17" x14ac:dyDescent="0.5">
      <c r="A110" s="1216"/>
      <c r="G110" s="1217"/>
      <c r="H110" s="1217"/>
      <c r="I110" s="1217"/>
      <c r="J110" s="1217"/>
      <c r="K110" s="1217"/>
      <c r="L110" s="1217"/>
      <c r="M110" s="1217"/>
      <c r="N110" s="1217"/>
      <c r="O110" s="1217"/>
      <c r="P110" s="1218"/>
      <c r="Q110" s="1218"/>
    </row>
    <row r="111" spans="1:17" x14ac:dyDescent="0.5">
      <c r="A111" s="1216"/>
      <c r="G111" s="1217"/>
      <c r="H111" s="1217"/>
      <c r="I111" s="1217"/>
      <c r="J111" s="1217"/>
      <c r="K111" s="1217"/>
      <c r="L111" s="1217"/>
      <c r="M111" s="1217"/>
      <c r="N111" s="1217"/>
      <c r="O111" s="1217"/>
      <c r="P111" s="1218"/>
      <c r="Q111" s="1218"/>
    </row>
    <row r="112" spans="1:17" x14ac:dyDescent="0.5">
      <c r="A112" s="1216"/>
      <c r="G112" s="1217"/>
      <c r="H112" s="1217"/>
      <c r="I112" s="1217"/>
      <c r="J112" s="1217"/>
      <c r="K112" s="1217"/>
      <c r="L112" s="1217"/>
      <c r="M112" s="1217"/>
      <c r="N112" s="1217"/>
      <c r="O112" s="1217"/>
      <c r="P112" s="1218"/>
      <c r="Q112" s="1218"/>
    </row>
    <row r="113" spans="1:17" x14ac:dyDescent="0.5">
      <c r="A113" s="1216"/>
      <c r="G113" s="1217"/>
      <c r="H113" s="1217"/>
      <c r="I113" s="1217"/>
      <c r="J113" s="1217"/>
      <c r="K113" s="1217"/>
      <c r="L113" s="1217"/>
      <c r="M113" s="1217"/>
      <c r="N113" s="1217"/>
      <c r="O113" s="1217"/>
      <c r="P113" s="1218"/>
      <c r="Q113" s="1218"/>
    </row>
    <row r="114" spans="1:17" x14ac:dyDescent="0.5">
      <c r="A114" s="1216"/>
      <c r="G114" s="1217"/>
      <c r="H114" s="1217"/>
      <c r="I114" s="1217"/>
      <c r="J114" s="1217"/>
      <c r="K114" s="1217"/>
      <c r="L114" s="1217"/>
      <c r="M114" s="1217"/>
      <c r="N114" s="1217"/>
      <c r="O114" s="1217"/>
      <c r="P114" s="1218"/>
      <c r="Q114" s="1218"/>
    </row>
    <row r="115" spans="1:17" x14ac:dyDescent="0.5">
      <c r="A115" s="1216"/>
      <c r="G115" s="1217"/>
      <c r="H115" s="1217"/>
      <c r="I115" s="1217"/>
      <c r="J115" s="1217"/>
      <c r="K115" s="1217"/>
      <c r="L115" s="1217"/>
      <c r="M115" s="1217"/>
      <c r="N115" s="1217"/>
      <c r="O115" s="1217"/>
      <c r="P115" s="1218"/>
      <c r="Q115" s="1218"/>
    </row>
    <row r="116" spans="1:17" x14ac:dyDescent="0.5">
      <c r="A116" s="1216"/>
      <c r="G116" s="1217"/>
      <c r="H116" s="1217"/>
      <c r="I116" s="1217"/>
      <c r="J116" s="1217"/>
      <c r="K116" s="1217"/>
      <c r="L116" s="1217"/>
      <c r="M116" s="1217"/>
      <c r="N116" s="1217"/>
      <c r="O116" s="1217"/>
      <c r="P116" s="1218"/>
      <c r="Q116" s="1218"/>
    </row>
    <row r="117" spans="1:17" x14ac:dyDescent="0.5">
      <c r="A117" s="1216"/>
      <c r="G117" s="1217"/>
      <c r="H117" s="1217"/>
      <c r="I117" s="1217"/>
      <c r="J117" s="1217"/>
      <c r="K117" s="1217"/>
      <c r="L117" s="1217"/>
      <c r="M117" s="1217"/>
      <c r="N117" s="1217"/>
      <c r="O117" s="1217"/>
      <c r="P117" s="1218"/>
      <c r="Q117" s="1218"/>
    </row>
    <row r="118" spans="1:17" x14ac:dyDescent="0.5">
      <c r="A118" s="1216"/>
      <c r="G118" s="1217"/>
      <c r="H118" s="1217"/>
      <c r="I118" s="1217"/>
      <c r="J118" s="1217"/>
      <c r="K118" s="1217"/>
      <c r="L118" s="1217"/>
      <c r="M118" s="1217"/>
      <c r="N118" s="1217"/>
      <c r="O118" s="1217"/>
      <c r="P118" s="1218"/>
      <c r="Q118" s="1218"/>
    </row>
    <row r="119" spans="1:17" x14ac:dyDescent="0.5">
      <c r="A119" s="1216"/>
      <c r="G119" s="1217"/>
      <c r="H119" s="1217"/>
      <c r="I119" s="1217"/>
      <c r="J119" s="1217"/>
      <c r="K119" s="1217"/>
      <c r="L119" s="1217"/>
      <c r="M119" s="1217"/>
      <c r="N119" s="1217"/>
      <c r="O119" s="1217"/>
      <c r="P119" s="1218"/>
      <c r="Q119" s="1218"/>
    </row>
    <row r="120" spans="1:17" x14ac:dyDescent="0.5">
      <c r="A120" s="1216"/>
      <c r="G120" s="1217"/>
      <c r="H120" s="1217"/>
      <c r="I120" s="1217"/>
      <c r="J120" s="1217"/>
      <c r="K120" s="1217"/>
      <c r="L120" s="1217"/>
      <c r="M120" s="1217"/>
      <c r="N120" s="1217"/>
      <c r="O120" s="1217"/>
      <c r="P120" s="1218"/>
      <c r="Q120" s="1218"/>
    </row>
    <row r="121" spans="1:17" x14ac:dyDescent="0.5">
      <c r="A121" s="1216"/>
      <c r="G121" s="1217"/>
      <c r="H121" s="1217"/>
      <c r="I121" s="1217"/>
      <c r="J121" s="1217"/>
      <c r="K121" s="1217"/>
      <c r="L121" s="1217"/>
      <c r="M121" s="1217"/>
      <c r="N121" s="1217"/>
      <c r="O121" s="1217"/>
      <c r="P121" s="1218"/>
      <c r="Q121" s="1218"/>
    </row>
    <row r="122" spans="1:17" x14ac:dyDescent="0.5">
      <c r="A122" s="1216"/>
      <c r="G122" s="1217"/>
      <c r="H122" s="1217"/>
      <c r="I122" s="1217"/>
      <c r="J122" s="1217"/>
      <c r="K122" s="1217"/>
      <c r="L122" s="1217"/>
      <c r="M122" s="1217"/>
      <c r="N122" s="1217"/>
      <c r="O122" s="1217"/>
      <c r="P122" s="1218"/>
      <c r="Q122" s="1218"/>
    </row>
    <row r="123" spans="1:17" x14ac:dyDescent="0.5">
      <c r="A123" s="1216"/>
      <c r="G123" s="1217"/>
      <c r="H123" s="1217"/>
      <c r="I123" s="1217"/>
      <c r="J123" s="1217"/>
      <c r="K123" s="1217"/>
      <c r="L123" s="1217"/>
      <c r="M123" s="1217"/>
      <c r="N123" s="1217"/>
      <c r="O123" s="1217"/>
      <c r="P123" s="1218"/>
      <c r="Q123" s="1218"/>
    </row>
    <row r="124" spans="1:17" x14ac:dyDescent="0.5">
      <c r="A124" s="1216"/>
      <c r="P124" s="1218"/>
      <c r="Q124" s="1218"/>
    </row>
    <row r="125" spans="1:17" x14ac:dyDescent="0.5">
      <c r="A125" s="1216"/>
    </row>
    <row r="126" spans="1:17" x14ac:dyDescent="0.5">
      <c r="A126" s="1216"/>
    </row>
    <row r="127" spans="1:17" x14ac:dyDescent="0.5">
      <c r="A127" s="1216"/>
    </row>
    <row r="128" spans="1:17" x14ac:dyDescent="0.5">
      <c r="A128" s="1216"/>
    </row>
    <row r="129" spans="1:1" x14ac:dyDescent="0.5">
      <c r="A129" s="1216"/>
    </row>
    <row r="130" spans="1:1" x14ac:dyDescent="0.5">
      <c r="A130" s="1216"/>
    </row>
    <row r="131" spans="1:1" x14ac:dyDescent="0.5">
      <c r="A131" s="1216"/>
    </row>
    <row r="132" spans="1:1" x14ac:dyDescent="0.5">
      <c r="A132" s="1216"/>
    </row>
    <row r="133" spans="1:1" x14ac:dyDescent="0.5">
      <c r="A133" s="1216"/>
    </row>
    <row r="134" spans="1:1" x14ac:dyDescent="0.5">
      <c r="A134" s="1216"/>
    </row>
    <row r="135" spans="1:1" x14ac:dyDescent="0.5">
      <c r="A135" s="1216"/>
    </row>
    <row r="136" spans="1:1" x14ac:dyDescent="0.5">
      <c r="A136" s="1216"/>
    </row>
    <row r="137" spans="1:1" x14ac:dyDescent="0.5">
      <c r="A137" s="1216"/>
    </row>
    <row r="138" spans="1:1" x14ac:dyDescent="0.5">
      <c r="A138" s="1216"/>
    </row>
    <row r="139" spans="1:1" x14ac:dyDescent="0.5">
      <c r="A139" s="1216"/>
    </row>
    <row r="140" spans="1:1" x14ac:dyDescent="0.5">
      <c r="A140" s="1216"/>
    </row>
    <row r="141" spans="1:1" x14ac:dyDescent="0.5">
      <c r="A141" s="1216"/>
    </row>
    <row r="142" spans="1:1" x14ac:dyDescent="0.5">
      <c r="A142" s="1216"/>
    </row>
    <row r="143" spans="1:1" x14ac:dyDescent="0.5">
      <c r="A143" s="1216"/>
    </row>
    <row r="144" spans="1:1" x14ac:dyDescent="0.5">
      <c r="A144" s="1216"/>
    </row>
    <row r="145" spans="1:1" x14ac:dyDescent="0.5">
      <c r="A145" s="1216"/>
    </row>
    <row r="146" spans="1:1" x14ac:dyDescent="0.5">
      <c r="A146" s="1216"/>
    </row>
    <row r="147" spans="1:1" x14ac:dyDescent="0.5">
      <c r="A147" s="1216"/>
    </row>
    <row r="148" spans="1:1" x14ac:dyDescent="0.5">
      <c r="A148" s="1216"/>
    </row>
    <row r="149" spans="1:1" x14ac:dyDescent="0.5">
      <c r="A149" s="1216"/>
    </row>
    <row r="150" spans="1:1" x14ac:dyDescent="0.5">
      <c r="A150" s="1216"/>
    </row>
    <row r="151" spans="1:1" x14ac:dyDescent="0.5">
      <c r="A151" s="1216"/>
    </row>
    <row r="152" spans="1:1" x14ac:dyDescent="0.5">
      <c r="A152" s="1216"/>
    </row>
    <row r="153" spans="1:1" x14ac:dyDescent="0.5">
      <c r="A153" s="1216"/>
    </row>
    <row r="154" spans="1:1" x14ac:dyDescent="0.5">
      <c r="A154" s="1216"/>
    </row>
    <row r="155" spans="1:1" x14ac:dyDescent="0.5">
      <c r="A155" s="1216"/>
    </row>
    <row r="156" spans="1:1" x14ac:dyDescent="0.5">
      <c r="A156" s="1216"/>
    </row>
    <row r="157" spans="1:1" x14ac:dyDescent="0.5">
      <c r="A157" s="1216"/>
    </row>
    <row r="158" spans="1:1" x14ac:dyDescent="0.5">
      <c r="A158" s="1216"/>
    </row>
    <row r="159" spans="1:1" x14ac:dyDescent="0.5">
      <c r="A159" s="1216"/>
    </row>
    <row r="160" spans="1:1" x14ac:dyDescent="0.5">
      <c r="A160" s="1216"/>
    </row>
    <row r="161" spans="1:1" x14ac:dyDescent="0.5">
      <c r="A161" s="1216"/>
    </row>
    <row r="162" spans="1:1" x14ac:dyDescent="0.5">
      <c r="A162" s="1216"/>
    </row>
    <row r="163" spans="1:1" x14ac:dyDescent="0.5">
      <c r="A163" s="1216"/>
    </row>
    <row r="164" spans="1:1" x14ac:dyDescent="0.5">
      <c r="A164" s="1216"/>
    </row>
    <row r="165" spans="1:1" x14ac:dyDescent="0.5">
      <c r="A165" s="1216"/>
    </row>
    <row r="166" spans="1:1" x14ac:dyDescent="0.5">
      <c r="A166" s="1216"/>
    </row>
    <row r="167" spans="1:1" x14ac:dyDescent="0.5">
      <c r="A167" s="1216"/>
    </row>
  </sheetData>
  <mergeCells count="4">
    <mergeCell ref="A1:Q1"/>
    <mergeCell ref="A2:Q2"/>
    <mergeCell ref="A5:Q5"/>
    <mergeCell ref="A37:Q37"/>
  </mergeCells>
  <printOptions horizontalCentered="1"/>
  <pageMargins left="0.7" right="0.7" top="0.75" bottom="0.75" header="0.3" footer="0.3"/>
  <pageSetup scale="57" orientation="landscape"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6280-238F-466C-8A82-FEEF01B42ABA}">
  <sheetPr codeName="Sheet10"/>
  <dimension ref="A1:CC247"/>
  <sheetViews>
    <sheetView view="pageBreakPreview" zoomScale="70" zoomScaleNormal="100" zoomScaleSheetLayoutView="70" workbookViewId="0">
      <selection sqref="A1:L1"/>
    </sheetView>
  </sheetViews>
  <sheetFormatPr defaultColWidth="8.734375" defaultRowHeight="15" x14ac:dyDescent="0.5"/>
  <cols>
    <col min="1" max="1" width="36" style="779" bestFit="1" customWidth="1"/>
    <col min="2" max="2" width="6.47265625" style="779" customWidth="1"/>
    <col min="3" max="3" width="12" style="779" customWidth="1"/>
    <col min="4" max="4" width="9.734375" style="779" bestFit="1" customWidth="1"/>
    <col min="5" max="10" width="12" style="779" customWidth="1"/>
    <col min="11" max="11" width="2" style="779" customWidth="1"/>
    <col min="12" max="12" width="12" style="782" customWidth="1"/>
    <col min="13" max="13" width="12.26171875" style="779" customWidth="1"/>
    <col min="14" max="14" width="40.26171875" style="779" bestFit="1" customWidth="1"/>
    <col min="15" max="15" width="22.15625" style="779" bestFit="1" customWidth="1"/>
    <col min="16" max="16" width="13.47265625" style="779" customWidth="1"/>
    <col min="17" max="20" width="29.7890625" style="779" bestFit="1" customWidth="1"/>
    <col min="21" max="23" width="29.7890625" style="779" customWidth="1"/>
    <col min="24" max="25" width="29.7890625" style="779" bestFit="1" customWidth="1"/>
    <col min="26" max="29" width="36.734375" style="779" bestFit="1" customWidth="1"/>
    <col min="30" max="32" width="36.734375" style="779" customWidth="1"/>
    <col min="33" max="34" width="36.734375" style="779" bestFit="1" customWidth="1"/>
    <col min="35" max="38" width="29.734375" style="779" bestFit="1" customWidth="1"/>
    <col min="39" max="41" width="29.734375" style="779" customWidth="1"/>
    <col min="42" max="43" width="21.7890625" style="780" bestFit="1" customWidth="1"/>
    <col min="44" max="47" width="25.734375" style="780" bestFit="1" customWidth="1"/>
    <col min="48" max="50" width="25.734375" style="780" customWidth="1"/>
    <col min="51" max="52" width="25.734375" style="780" bestFit="1" customWidth="1"/>
    <col min="53" max="56" width="30.5234375" style="779" bestFit="1" customWidth="1"/>
    <col min="57" max="59" width="30.5234375" style="779" customWidth="1"/>
    <col min="60" max="61" width="30.5234375" style="779" bestFit="1" customWidth="1"/>
    <col min="62" max="65" width="42.15625" style="779" bestFit="1" customWidth="1"/>
    <col min="66" max="68" width="42.15625" style="779" customWidth="1"/>
    <col min="69" max="70" width="42.15625" style="779" bestFit="1" customWidth="1"/>
    <col min="71" max="79" width="25.734375" style="779" customWidth="1"/>
    <col min="80" max="16384" width="8.734375" style="779"/>
  </cols>
  <sheetData>
    <row r="1" spans="1:81" x14ac:dyDescent="0.5">
      <c r="A1" s="1436" t="s">
        <v>2675</v>
      </c>
      <c r="B1" s="1436"/>
      <c r="C1" s="1436"/>
      <c r="D1" s="1436"/>
      <c r="E1" s="1436"/>
      <c r="F1" s="1436"/>
      <c r="G1" s="1436"/>
      <c r="H1" s="1436"/>
      <c r="I1" s="1436"/>
      <c r="J1" s="1436"/>
      <c r="K1" s="1436"/>
      <c r="L1" s="1436"/>
    </row>
    <row r="2" spans="1:81" x14ac:dyDescent="0.5">
      <c r="A2" s="1415" t="s">
        <v>4533</v>
      </c>
      <c r="B2" s="1415"/>
      <c r="C2" s="1415"/>
      <c r="D2" s="1415"/>
      <c r="E2" s="1415"/>
      <c r="F2" s="1415"/>
      <c r="G2" s="1415"/>
      <c r="H2" s="1415"/>
      <c r="I2" s="1415"/>
      <c r="J2" s="1415"/>
      <c r="K2" s="1415"/>
      <c r="L2" s="1415"/>
    </row>
    <row r="3" spans="1:81" x14ac:dyDescent="0.5">
      <c r="A3" s="1414" t="s">
        <v>4532</v>
      </c>
      <c r="B3" s="1414"/>
      <c r="C3" s="1414"/>
      <c r="D3" s="1414"/>
      <c r="E3" s="1414"/>
      <c r="F3" s="1414"/>
      <c r="G3" s="1414"/>
      <c r="H3" s="1414"/>
      <c r="I3" s="1414"/>
      <c r="J3" s="1414"/>
      <c r="K3" s="1414"/>
      <c r="L3" s="1414"/>
    </row>
    <row r="6" spans="1:81" x14ac:dyDescent="0.5">
      <c r="A6" s="1435" t="s">
        <v>4534</v>
      </c>
      <c r="B6" s="1435"/>
      <c r="C6" s="1435"/>
      <c r="D6" s="1435"/>
      <c r="E6" s="1435"/>
      <c r="F6" s="1435"/>
      <c r="G6" s="1435"/>
      <c r="H6" s="1435"/>
      <c r="I6" s="1435"/>
      <c r="J6" s="1435"/>
      <c r="K6" s="1435"/>
      <c r="L6" s="1435"/>
    </row>
    <row r="7" spans="1:81" x14ac:dyDescent="0.5">
      <c r="BS7" s="783"/>
      <c r="BT7" s="783"/>
      <c r="BU7" s="783"/>
      <c r="BV7" s="783"/>
      <c r="BW7" s="783"/>
      <c r="BX7" s="783"/>
      <c r="BY7" s="783"/>
      <c r="BZ7" s="783"/>
      <c r="CA7" s="783"/>
    </row>
    <row r="8" spans="1:81" ht="45" x14ac:dyDescent="0.5">
      <c r="A8" s="779" t="s">
        <v>611</v>
      </c>
      <c r="C8" s="784" t="s">
        <v>4535</v>
      </c>
      <c r="D8" s="784" t="s">
        <v>4536</v>
      </c>
      <c r="E8" s="784" t="s">
        <v>4537</v>
      </c>
      <c r="F8" s="784" t="s">
        <v>4538</v>
      </c>
      <c r="G8" s="784" t="s">
        <v>4539</v>
      </c>
      <c r="H8" s="784" t="s">
        <v>4540</v>
      </c>
      <c r="I8" s="784" t="s">
        <v>4541</v>
      </c>
      <c r="J8" s="784" t="s">
        <v>4542</v>
      </c>
      <c r="K8" s="784"/>
      <c r="L8" s="785" t="s">
        <v>4543</v>
      </c>
      <c r="N8" s="779" t="s">
        <v>4544</v>
      </c>
      <c r="O8" s="779" t="s">
        <v>4545</v>
      </c>
      <c r="Q8" s="779" t="s">
        <v>4546</v>
      </c>
      <c r="R8" s="779" t="s">
        <v>4546</v>
      </c>
      <c r="S8" s="779" t="s">
        <v>4546</v>
      </c>
      <c r="T8" s="779" t="s">
        <v>4546</v>
      </c>
      <c r="U8" s="779" t="s">
        <v>4546</v>
      </c>
      <c r="V8" s="779" t="s">
        <v>4546</v>
      </c>
      <c r="W8" s="779" t="s">
        <v>4546</v>
      </c>
      <c r="X8" s="779" t="s">
        <v>4546</v>
      </c>
      <c r="Y8" s="779" t="s">
        <v>4546</v>
      </c>
      <c r="Z8" s="779" t="s">
        <v>4547</v>
      </c>
      <c r="AA8" s="779" t="s">
        <v>4547</v>
      </c>
      <c r="AB8" s="779" t="s">
        <v>4547</v>
      </c>
      <c r="AC8" s="779" t="s">
        <v>4547</v>
      </c>
      <c r="AD8" s="779" t="s">
        <v>4547</v>
      </c>
      <c r="AE8" s="779" t="s">
        <v>4547</v>
      </c>
      <c r="AF8" s="779" t="s">
        <v>4547</v>
      </c>
      <c r="AG8" s="779" t="s">
        <v>4547</v>
      </c>
      <c r="AH8" s="779" t="s">
        <v>4547</v>
      </c>
      <c r="AI8" s="779" t="s">
        <v>4548</v>
      </c>
      <c r="AJ8" s="779" t="s">
        <v>4548</v>
      </c>
      <c r="AK8" s="779" t="s">
        <v>4548</v>
      </c>
      <c r="AL8" s="779" t="s">
        <v>4548</v>
      </c>
      <c r="AM8" s="779" t="s">
        <v>4548</v>
      </c>
      <c r="AN8" s="779" t="s">
        <v>4548</v>
      </c>
      <c r="AO8" s="779" t="s">
        <v>4548</v>
      </c>
      <c r="AP8" s="779" t="s">
        <v>4548</v>
      </c>
      <c r="AQ8" s="779" t="s">
        <v>4548</v>
      </c>
      <c r="AR8" s="780" t="s">
        <v>4549</v>
      </c>
      <c r="AS8" s="780" t="s">
        <v>4549</v>
      </c>
      <c r="AT8" s="780" t="s">
        <v>4549</v>
      </c>
      <c r="AU8" s="780" t="s">
        <v>4549</v>
      </c>
      <c r="AV8" s="780" t="s">
        <v>4549</v>
      </c>
      <c r="AW8" s="780" t="s">
        <v>4549</v>
      </c>
      <c r="AX8" s="780" t="s">
        <v>4549</v>
      </c>
      <c r="AY8" s="780" t="s">
        <v>4549</v>
      </c>
      <c r="AZ8" s="780" t="s">
        <v>4549</v>
      </c>
      <c r="BA8" s="780" t="s">
        <v>4550</v>
      </c>
      <c r="BB8" s="780" t="s">
        <v>4550</v>
      </c>
      <c r="BC8" s="780" t="s">
        <v>4550</v>
      </c>
      <c r="BD8" s="780" t="s">
        <v>4550</v>
      </c>
      <c r="BE8" s="780" t="s">
        <v>4550</v>
      </c>
      <c r="BF8" s="780" t="s">
        <v>4550</v>
      </c>
      <c r="BG8" s="780" t="s">
        <v>4550</v>
      </c>
      <c r="BH8" s="780" t="s">
        <v>4550</v>
      </c>
      <c r="BI8" s="779" t="s">
        <v>4550</v>
      </c>
      <c r="BJ8" s="779" t="s">
        <v>4551</v>
      </c>
      <c r="BK8" s="779" t="s">
        <v>4551</v>
      </c>
      <c r="BL8" s="779" t="s">
        <v>4551</v>
      </c>
      <c r="BM8" s="779" t="s">
        <v>4551</v>
      </c>
      <c r="BN8" s="779" t="s">
        <v>4551</v>
      </c>
      <c r="BO8" s="779" t="s">
        <v>4551</v>
      </c>
      <c r="BP8" s="779" t="s">
        <v>4551</v>
      </c>
      <c r="BQ8" s="779" t="s">
        <v>4551</v>
      </c>
      <c r="BR8" s="779" t="s">
        <v>4551</v>
      </c>
      <c r="BS8" s="786" t="s">
        <v>4552</v>
      </c>
      <c r="BT8" s="786" t="s">
        <v>4552</v>
      </c>
      <c r="BU8" s="786" t="s">
        <v>4552</v>
      </c>
      <c r="BV8" s="786" t="s">
        <v>4552</v>
      </c>
      <c r="BW8" s="786" t="s">
        <v>4552</v>
      </c>
      <c r="BX8" s="786" t="s">
        <v>4552</v>
      </c>
      <c r="BY8" s="786" t="s">
        <v>4552</v>
      </c>
      <c r="BZ8" s="786" t="s">
        <v>4552</v>
      </c>
      <c r="CA8" s="786" t="s">
        <v>4552</v>
      </c>
      <c r="CB8" s="786"/>
      <c r="CC8" s="786"/>
    </row>
    <row r="9" spans="1:81" x14ac:dyDescent="0.5">
      <c r="A9" s="787"/>
      <c r="B9" s="787"/>
      <c r="C9" s="787"/>
      <c r="D9" s="787"/>
      <c r="E9" s="787"/>
      <c r="F9" s="787"/>
      <c r="G9" s="787"/>
      <c r="H9" s="787"/>
      <c r="I9" s="787"/>
      <c r="J9" s="787"/>
      <c r="K9" s="787"/>
      <c r="L9" s="788"/>
      <c r="N9" s="779" t="s">
        <v>2828</v>
      </c>
      <c r="O9" s="779" t="s">
        <v>2828</v>
      </c>
      <c r="Q9" s="783" t="s">
        <v>4553</v>
      </c>
      <c r="R9" s="783" t="s">
        <v>4554</v>
      </c>
      <c r="S9" s="783" t="s">
        <v>4555</v>
      </c>
      <c r="T9" s="783" t="s">
        <v>4556</v>
      </c>
      <c r="U9" s="783" t="s">
        <v>4557</v>
      </c>
      <c r="V9" s="783" t="s">
        <v>4558</v>
      </c>
      <c r="W9" s="783" t="s">
        <v>4559</v>
      </c>
      <c r="X9" s="783" t="s">
        <v>4560</v>
      </c>
      <c r="Y9" s="783" t="s">
        <v>4561</v>
      </c>
      <c r="Z9" s="783" t="s">
        <v>4553</v>
      </c>
      <c r="AA9" s="783" t="s">
        <v>4554</v>
      </c>
      <c r="AB9" s="783" t="s">
        <v>4555</v>
      </c>
      <c r="AC9" s="783" t="s">
        <v>4556</v>
      </c>
      <c r="AD9" s="783" t="s">
        <v>4557</v>
      </c>
      <c r="AE9" s="783" t="s">
        <v>4558</v>
      </c>
      <c r="AF9" s="783" t="s">
        <v>4559</v>
      </c>
      <c r="AG9" s="783" t="s">
        <v>4560</v>
      </c>
      <c r="AH9" s="783" t="s">
        <v>4561</v>
      </c>
      <c r="AI9" s="783" t="s">
        <v>4553</v>
      </c>
      <c r="AJ9" s="783" t="s">
        <v>4554</v>
      </c>
      <c r="AK9" s="783" t="s">
        <v>4555</v>
      </c>
      <c r="AL9" s="783" t="s">
        <v>4556</v>
      </c>
      <c r="AM9" s="783" t="s">
        <v>4557</v>
      </c>
      <c r="AN9" s="783" t="s">
        <v>4558</v>
      </c>
      <c r="AO9" s="783" t="s">
        <v>4559</v>
      </c>
      <c r="AP9" s="783" t="s">
        <v>4560</v>
      </c>
      <c r="AQ9" s="783" t="s">
        <v>4561</v>
      </c>
      <c r="AR9" s="783" t="s">
        <v>4553</v>
      </c>
      <c r="AS9" s="783" t="s">
        <v>4554</v>
      </c>
      <c r="AT9" s="783" t="s">
        <v>4555</v>
      </c>
      <c r="AU9" s="783" t="s">
        <v>4556</v>
      </c>
      <c r="AV9" s="783" t="s">
        <v>4557</v>
      </c>
      <c r="AW9" s="783" t="s">
        <v>4558</v>
      </c>
      <c r="AX9" s="783" t="s">
        <v>4559</v>
      </c>
      <c r="AY9" s="783" t="s">
        <v>4560</v>
      </c>
      <c r="AZ9" s="783" t="s">
        <v>4561</v>
      </c>
      <c r="BA9" s="783" t="s">
        <v>4553</v>
      </c>
      <c r="BB9" s="783" t="s">
        <v>4554</v>
      </c>
      <c r="BC9" s="783" t="s">
        <v>4555</v>
      </c>
      <c r="BD9" s="783" t="s">
        <v>4556</v>
      </c>
      <c r="BE9" s="783" t="s">
        <v>4557</v>
      </c>
      <c r="BF9" s="783" t="s">
        <v>4558</v>
      </c>
      <c r="BG9" s="783" t="s">
        <v>4559</v>
      </c>
      <c r="BH9" s="783" t="s">
        <v>4560</v>
      </c>
      <c r="BI9" s="783" t="s">
        <v>4561</v>
      </c>
      <c r="BJ9" s="783" t="s">
        <v>4553</v>
      </c>
      <c r="BK9" s="783" t="s">
        <v>4554</v>
      </c>
      <c r="BL9" s="783" t="s">
        <v>4555</v>
      </c>
      <c r="BM9" s="783" t="s">
        <v>4556</v>
      </c>
      <c r="BN9" s="783" t="s">
        <v>4557</v>
      </c>
      <c r="BO9" s="783" t="s">
        <v>4558</v>
      </c>
      <c r="BP9" s="783" t="s">
        <v>4559</v>
      </c>
      <c r="BQ9" s="783" t="s">
        <v>4560</v>
      </c>
      <c r="BR9" s="783" t="s">
        <v>4561</v>
      </c>
      <c r="BS9" s="789" t="s">
        <v>4553</v>
      </c>
      <c r="BT9" s="789" t="s">
        <v>4554</v>
      </c>
      <c r="BU9" s="789" t="s">
        <v>4555</v>
      </c>
      <c r="BV9" s="789" t="s">
        <v>4556</v>
      </c>
      <c r="BW9" s="789" t="s">
        <v>4557</v>
      </c>
      <c r="BX9" s="789" t="s">
        <v>4558</v>
      </c>
      <c r="BY9" s="789" t="s">
        <v>4559</v>
      </c>
      <c r="BZ9" s="789" t="s">
        <v>4560</v>
      </c>
      <c r="CA9" s="789" t="s">
        <v>4561</v>
      </c>
      <c r="CB9" s="786"/>
      <c r="CC9" s="786"/>
    </row>
    <row r="10" spans="1:81" x14ac:dyDescent="0.5">
      <c r="A10" s="790" t="s">
        <v>2675</v>
      </c>
      <c r="B10" s="790"/>
      <c r="C10" s="64">
        <f t="shared" ref="C10:J16" si="0">(R11)/(R11+AA11+AJ11-AS11+BB11+BK11-BT11)</f>
        <v>0.61007220269393547</v>
      </c>
      <c r="D10" s="64">
        <f t="shared" si="0"/>
        <v>0.6094197324585755</v>
      </c>
      <c r="E10" s="64">
        <f t="shared" si="0"/>
        <v>0.60223463209637929</v>
      </c>
      <c r="F10" s="64">
        <f t="shared" si="0"/>
        <v>0.61298630054174807</v>
      </c>
      <c r="G10" s="64">
        <f t="shared" si="0"/>
        <v>0.61794299287327858</v>
      </c>
      <c r="H10" s="64">
        <f t="shared" si="0"/>
        <v>0.60890920388495962</v>
      </c>
      <c r="I10" s="64">
        <f t="shared" si="0"/>
        <v>0.52912912967837367</v>
      </c>
      <c r="J10" s="64">
        <f t="shared" si="0"/>
        <v>0.53450209162567763</v>
      </c>
      <c r="K10" s="64"/>
      <c r="L10" s="791">
        <f t="shared" ref="L10:L16" si="1">AVERAGE(C10:J10)</f>
        <v>0.59064953573161605</v>
      </c>
      <c r="M10" s="792"/>
      <c r="N10" s="779" t="s">
        <v>2828</v>
      </c>
      <c r="O10" s="779" t="s">
        <v>2828</v>
      </c>
      <c r="T10" s="779" t="s">
        <v>2828</v>
      </c>
      <c r="X10" s="779" t="s">
        <v>2828</v>
      </c>
      <c r="Y10" s="779" t="s">
        <v>2828</v>
      </c>
      <c r="AP10" s="779"/>
      <c r="AQ10" s="779"/>
      <c r="BA10" s="780"/>
      <c r="BB10" s="780"/>
      <c r="BC10" s="780"/>
      <c r="BD10" s="780"/>
      <c r="BE10" s="780"/>
      <c r="BF10" s="780"/>
      <c r="BG10" s="780"/>
      <c r="BH10" s="780"/>
      <c r="BS10" s="786"/>
      <c r="BT10" s="786"/>
      <c r="BU10" s="786"/>
      <c r="BV10" s="786"/>
      <c r="BW10" s="786"/>
      <c r="BX10" s="786"/>
      <c r="BY10" s="786"/>
      <c r="BZ10" s="786"/>
      <c r="CA10" s="786"/>
      <c r="CB10" s="786"/>
      <c r="CC10" s="786"/>
    </row>
    <row r="11" spans="1:81" x14ac:dyDescent="0.5">
      <c r="A11" s="790" t="s">
        <v>2866</v>
      </c>
      <c r="B11" s="790"/>
      <c r="C11" s="64">
        <f t="shared" si="0"/>
        <v>0.3955499436212247</v>
      </c>
      <c r="D11" s="64">
        <f t="shared" si="0"/>
        <v>0.41313504898434061</v>
      </c>
      <c r="E11" s="64">
        <f t="shared" si="0"/>
        <v>0.38700613755250107</v>
      </c>
      <c r="F11" s="64">
        <f t="shared" si="0"/>
        <v>0.38491240288658923</v>
      </c>
      <c r="G11" s="64">
        <f t="shared" si="0"/>
        <v>0.39418268773908627</v>
      </c>
      <c r="H11" s="64">
        <f t="shared" si="0"/>
        <v>0.39949772171794506</v>
      </c>
      <c r="I11" s="64">
        <f t="shared" si="0"/>
        <v>0.36982402731488745</v>
      </c>
      <c r="J11" s="64">
        <f t="shared" si="0"/>
        <v>0.37585444262594475</v>
      </c>
      <c r="K11" s="64"/>
      <c r="L11" s="791">
        <f t="shared" si="1"/>
        <v>0.38999530155531492</v>
      </c>
      <c r="M11" s="792"/>
      <c r="N11" s="779" t="s">
        <v>4562</v>
      </c>
      <c r="O11" s="779">
        <v>4057157</v>
      </c>
      <c r="P11" s="779" t="s">
        <v>29</v>
      </c>
      <c r="Q11" s="793">
        <v>12157669</v>
      </c>
      <c r="R11" s="793">
        <v>12183076</v>
      </c>
      <c r="S11" s="793">
        <v>11618639</v>
      </c>
      <c r="T11" s="793">
        <v>11273209</v>
      </c>
      <c r="U11" s="793">
        <v>10870064</v>
      </c>
      <c r="V11" s="793">
        <v>10602381</v>
      </c>
      <c r="W11" s="793">
        <v>10205205</v>
      </c>
      <c r="X11" s="793">
        <v>9836274</v>
      </c>
      <c r="Y11" s="793">
        <v>9419091</v>
      </c>
      <c r="Z11" s="793">
        <v>0</v>
      </c>
      <c r="AA11" s="793">
        <v>0</v>
      </c>
      <c r="AB11" s="793">
        <v>0</v>
      </c>
      <c r="AC11" s="793">
        <v>0</v>
      </c>
      <c r="AD11" s="793">
        <v>0</v>
      </c>
      <c r="AE11" s="793">
        <v>0</v>
      </c>
      <c r="AF11" s="793">
        <v>0</v>
      </c>
      <c r="AG11" s="793">
        <v>0</v>
      </c>
      <c r="AH11" s="793">
        <v>0</v>
      </c>
      <c r="AI11" s="793">
        <v>8129213</v>
      </c>
      <c r="AJ11" s="793">
        <v>7876078</v>
      </c>
      <c r="AK11" s="793">
        <v>7535708</v>
      </c>
      <c r="AL11" s="793">
        <v>7540756</v>
      </c>
      <c r="AM11" s="793">
        <v>6880973</v>
      </c>
      <c r="AN11" s="793">
        <v>6650158</v>
      </c>
      <c r="AO11" s="793">
        <v>6554609</v>
      </c>
      <c r="AP11" s="793">
        <v>8753279</v>
      </c>
      <c r="AQ11" s="793">
        <v>8185049</v>
      </c>
      <c r="AR11" s="794">
        <v>258838</v>
      </c>
      <c r="AS11" s="794">
        <v>0</v>
      </c>
      <c r="AT11" s="794">
        <v>0</v>
      </c>
      <c r="AU11" s="794">
        <v>0</v>
      </c>
      <c r="AV11" s="794">
        <v>230272</v>
      </c>
      <c r="AW11" s="794">
        <v>0</v>
      </c>
      <c r="AX11" s="794">
        <v>0</v>
      </c>
      <c r="AY11" s="794">
        <v>0</v>
      </c>
      <c r="AZ11" s="794">
        <v>222945</v>
      </c>
      <c r="BA11" s="794">
        <v>0</v>
      </c>
      <c r="BB11" s="794">
        <v>0</v>
      </c>
      <c r="BC11" s="794">
        <v>0</v>
      </c>
      <c r="BD11" s="794">
        <v>0</v>
      </c>
      <c r="BE11" s="794">
        <v>241933</v>
      </c>
      <c r="BF11" s="794">
        <v>0</v>
      </c>
      <c r="BG11" s="794">
        <v>0</v>
      </c>
      <c r="BH11" s="794">
        <v>0</v>
      </c>
      <c r="BI11" s="793">
        <v>184967</v>
      </c>
      <c r="BJ11" s="794">
        <v>62085</v>
      </c>
      <c r="BK11" s="794">
        <v>0</v>
      </c>
      <c r="BL11" s="794">
        <v>0</v>
      </c>
      <c r="BM11" s="794">
        <v>0</v>
      </c>
      <c r="BN11" s="793">
        <v>65266</v>
      </c>
      <c r="BO11" s="794">
        <v>0</v>
      </c>
      <c r="BP11" s="794">
        <v>0</v>
      </c>
      <c r="BQ11" s="794">
        <v>0</v>
      </c>
      <c r="BR11" s="793">
        <v>56016</v>
      </c>
      <c r="BS11" s="795">
        <v>85078</v>
      </c>
      <c r="BT11" s="795">
        <v>89262</v>
      </c>
      <c r="BU11" s="795">
        <v>89262</v>
      </c>
      <c r="BV11" s="795">
        <v>95000</v>
      </c>
      <c r="BW11" s="795">
        <v>95000</v>
      </c>
      <c r="BX11" s="795">
        <v>95000</v>
      </c>
      <c r="BY11" s="793">
        <v>0</v>
      </c>
      <c r="BZ11" s="795">
        <v>0</v>
      </c>
      <c r="CA11" s="795">
        <v>0</v>
      </c>
      <c r="CB11" s="786"/>
      <c r="CC11" s="786"/>
    </row>
    <row r="12" spans="1:81" x14ac:dyDescent="0.5">
      <c r="A12" s="790" t="s">
        <v>2630</v>
      </c>
      <c r="B12" s="790"/>
      <c r="C12" s="64">
        <f t="shared" si="0"/>
        <v>0.37554396497023101</v>
      </c>
      <c r="D12" s="64">
        <f t="shared" si="0"/>
        <v>0.3654272140876858</v>
      </c>
      <c r="E12" s="64">
        <f t="shared" si="0"/>
        <v>0.37498990800852949</v>
      </c>
      <c r="F12" s="64">
        <f t="shared" si="0"/>
        <v>0.29106704302975267</v>
      </c>
      <c r="G12" s="64">
        <f t="shared" si="0"/>
        <v>0.29600429855412269</v>
      </c>
      <c r="H12" s="64">
        <f t="shared" si="0"/>
        <v>0.30297954646287906</v>
      </c>
      <c r="I12" s="64">
        <f t="shared" si="0"/>
        <v>0.31924249133866472</v>
      </c>
      <c r="J12" s="64">
        <f t="shared" si="0"/>
        <v>0.3080494371541837</v>
      </c>
      <c r="K12" s="64"/>
      <c r="L12" s="791">
        <f t="shared" si="1"/>
        <v>0.32916298795075616</v>
      </c>
      <c r="N12" s="779" t="s">
        <v>4563</v>
      </c>
      <c r="O12" s="779">
        <v>4057128</v>
      </c>
      <c r="P12" s="779" t="s">
        <v>2861</v>
      </c>
      <c r="Q12" s="793">
        <v>2200443</v>
      </c>
      <c r="R12" s="793">
        <v>2143018</v>
      </c>
      <c r="S12" s="793">
        <v>2179225</v>
      </c>
      <c r="T12" s="793">
        <v>2066201</v>
      </c>
      <c r="U12" s="793">
        <v>1990735</v>
      </c>
      <c r="V12" s="793">
        <v>1995242</v>
      </c>
      <c r="W12" s="793">
        <v>2000836</v>
      </c>
      <c r="X12" s="793">
        <v>1922795</v>
      </c>
      <c r="Y12" s="793">
        <v>1817210</v>
      </c>
      <c r="Z12" s="793">
        <v>0</v>
      </c>
      <c r="AA12" s="793">
        <v>0</v>
      </c>
      <c r="AB12" s="793">
        <v>0</v>
      </c>
      <c r="AC12" s="793">
        <v>0</v>
      </c>
      <c r="AD12" s="793">
        <v>0</v>
      </c>
      <c r="AE12" s="793">
        <v>0</v>
      </c>
      <c r="AF12" s="793">
        <v>0</v>
      </c>
      <c r="AG12" s="793">
        <v>0</v>
      </c>
      <c r="AH12" s="793">
        <v>0</v>
      </c>
      <c r="AI12" s="793">
        <v>3232718</v>
      </c>
      <c r="AJ12" s="793">
        <v>3156233</v>
      </c>
      <c r="AK12" s="793">
        <v>3030347</v>
      </c>
      <c r="AL12" s="793">
        <v>3112271</v>
      </c>
      <c r="AM12" s="793">
        <v>3036967</v>
      </c>
      <c r="AN12" s="793">
        <v>3032174</v>
      </c>
      <c r="AO12" s="793">
        <v>2936469</v>
      </c>
      <c r="AP12" s="793">
        <v>2913289</v>
      </c>
      <c r="AQ12" s="793">
        <v>2703415</v>
      </c>
      <c r="AR12" s="794">
        <v>164248</v>
      </c>
      <c r="AS12" s="794">
        <v>165113</v>
      </c>
      <c r="AT12" s="794">
        <v>155751</v>
      </c>
      <c r="AU12" s="794">
        <v>153647</v>
      </c>
      <c r="AV12" s="794">
        <v>152795</v>
      </c>
      <c r="AW12" s="794">
        <v>141189</v>
      </c>
      <c r="AX12" s="794">
        <v>142097</v>
      </c>
      <c r="AY12" s="794">
        <v>142288</v>
      </c>
      <c r="AZ12" s="794">
        <v>142944</v>
      </c>
      <c r="BA12" s="794">
        <v>291800</v>
      </c>
      <c r="BB12" s="794">
        <v>254800</v>
      </c>
      <c r="BC12" s="794">
        <v>196150</v>
      </c>
      <c r="BD12" s="794">
        <v>268650</v>
      </c>
      <c r="BE12" s="794">
        <v>252100</v>
      </c>
      <c r="BF12" s="794">
        <v>145225</v>
      </c>
      <c r="BG12" s="794">
        <v>187650</v>
      </c>
      <c r="BH12" s="794">
        <v>464450</v>
      </c>
      <c r="BI12" s="793">
        <v>423950</v>
      </c>
      <c r="BJ12" s="794">
        <v>38595</v>
      </c>
      <c r="BK12" s="794">
        <v>28881</v>
      </c>
      <c r="BL12" s="794">
        <v>24878</v>
      </c>
      <c r="BM12" s="794">
        <v>45461</v>
      </c>
      <c r="BN12" s="793">
        <v>44910</v>
      </c>
      <c r="BO12" s="794">
        <v>30267</v>
      </c>
      <c r="BP12" s="794">
        <v>25521</v>
      </c>
      <c r="BQ12" s="794">
        <v>40970</v>
      </c>
      <c r="BR12" s="793">
        <v>33246</v>
      </c>
      <c r="BS12" s="795">
        <v>0</v>
      </c>
      <c r="BT12" s="795">
        <v>0</v>
      </c>
      <c r="BU12" s="795">
        <v>0</v>
      </c>
      <c r="BV12" s="795">
        <v>0</v>
      </c>
      <c r="BW12" s="795">
        <v>0</v>
      </c>
      <c r="BX12" s="795">
        <v>0</v>
      </c>
      <c r="BY12" s="793">
        <v>0</v>
      </c>
      <c r="BZ12" s="795">
        <v>0</v>
      </c>
      <c r="CA12" s="795">
        <v>0</v>
      </c>
      <c r="CB12" s="786"/>
      <c r="CC12" s="786"/>
    </row>
    <row r="13" spans="1:81" x14ac:dyDescent="0.5">
      <c r="A13" s="790" t="s">
        <v>2867</v>
      </c>
      <c r="B13" s="790"/>
      <c r="C13" s="64">
        <f t="shared" si="0"/>
        <v>0.43879702262777026</v>
      </c>
      <c r="D13" s="64">
        <f t="shared" si="0"/>
        <v>0.44870595831918686</v>
      </c>
      <c r="E13" s="64">
        <f t="shared" si="0"/>
        <v>0.44576117649791452</v>
      </c>
      <c r="F13" s="64">
        <f t="shared" si="0"/>
        <v>0.43521141943606567</v>
      </c>
      <c r="G13" s="64">
        <f t="shared" si="0"/>
        <v>0.41968587396415497</v>
      </c>
      <c r="H13" s="64">
        <f t="shared" si="0"/>
        <v>0.44035049723599984</v>
      </c>
      <c r="I13" s="64">
        <f t="shared" si="0"/>
        <v>0.43706560218815177</v>
      </c>
      <c r="J13" s="64">
        <f t="shared" si="0"/>
        <v>0.42426958262121889</v>
      </c>
      <c r="K13" s="64"/>
      <c r="L13" s="791">
        <f t="shared" si="1"/>
        <v>0.4362308916113079</v>
      </c>
      <c r="N13" s="779" t="s">
        <v>4564</v>
      </c>
      <c r="O13" s="779">
        <v>4057051</v>
      </c>
      <c r="P13" s="779" t="s">
        <v>50</v>
      </c>
      <c r="Q13" s="793" t="s">
        <v>14</v>
      </c>
      <c r="R13" s="793">
        <v>8345000</v>
      </c>
      <c r="S13" s="793">
        <v>7869000</v>
      </c>
      <c r="T13" s="793">
        <v>7895900</v>
      </c>
      <c r="U13" s="793">
        <v>6506600</v>
      </c>
      <c r="V13" s="793">
        <v>6059800</v>
      </c>
      <c r="W13" s="793">
        <v>6077800</v>
      </c>
      <c r="X13" s="793">
        <v>6127700</v>
      </c>
      <c r="Y13" s="793">
        <v>5812400</v>
      </c>
      <c r="Z13" s="793" t="s">
        <v>14</v>
      </c>
      <c r="AA13" s="793">
        <v>0</v>
      </c>
      <c r="AB13" s="793">
        <v>0</v>
      </c>
      <c r="AC13" s="793">
        <v>0</v>
      </c>
      <c r="AD13" s="793">
        <v>1763000</v>
      </c>
      <c r="AE13" s="793">
        <v>1152600</v>
      </c>
      <c r="AF13" s="793">
        <v>1152600</v>
      </c>
      <c r="AG13" s="793">
        <v>1546500</v>
      </c>
      <c r="AH13" s="793">
        <v>1763000</v>
      </c>
      <c r="AI13" s="793" t="s">
        <v>14</v>
      </c>
      <c r="AJ13" s="793">
        <v>13357500</v>
      </c>
      <c r="AK13" s="793">
        <v>12833000</v>
      </c>
      <c r="AL13" s="793">
        <v>11748600</v>
      </c>
      <c r="AM13" s="793">
        <v>11113400</v>
      </c>
      <c r="AN13" s="793">
        <v>11038100</v>
      </c>
      <c r="AO13" s="793">
        <v>11032200</v>
      </c>
      <c r="AP13" s="793">
        <v>10295000</v>
      </c>
      <c r="AQ13" s="793">
        <v>9590300</v>
      </c>
      <c r="AR13" s="794">
        <v>0</v>
      </c>
      <c r="AS13" s="794">
        <v>0</v>
      </c>
      <c r="AT13" s="794">
        <v>0</v>
      </c>
      <c r="AU13" s="794">
        <v>0</v>
      </c>
      <c r="AV13" s="794">
        <v>34100</v>
      </c>
      <c r="AW13" s="794">
        <v>0</v>
      </c>
      <c r="AX13" s="794">
        <v>0</v>
      </c>
      <c r="AY13" s="794">
        <v>0</v>
      </c>
      <c r="AZ13" s="794">
        <v>36700</v>
      </c>
      <c r="BA13" s="794">
        <v>0</v>
      </c>
      <c r="BB13" s="794">
        <v>257000</v>
      </c>
      <c r="BC13" s="794">
        <v>644000</v>
      </c>
      <c r="BD13" s="794">
        <v>1222300</v>
      </c>
      <c r="BE13" s="794">
        <v>3048600</v>
      </c>
      <c r="BF13" s="794">
        <v>2219900</v>
      </c>
      <c r="BG13" s="794">
        <v>1589900</v>
      </c>
      <c r="BH13" s="794">
        <v>1281600</v>
      </c>
      <c r="BI13" s="793">
        <v>1761900</v>
      </c>
      <c r="BJ13" s="794">
        <v>0</v>
      </c>
      <c r="BK13" s="794">
        <v>261600</v>
      </c>
      <c r="BL13" s="794">
        <v>187700</v>
      </c>
      <c r="BM13" s="794">
        <v>189500</v>
      </c>
      <c r="BN13" s="793">
        <v>294400</v>
      </c>
      <c r="BO13" s="794">
        <v>286600</v>
      </c>
      <c r="BP13" s="794">
        <v>207600</v>
      </c>
      <c r="BQ13" s="794">
        <v>225500</v>
      </c>
      <c r="BR13" s="793">
        <v>324700</v>
      </c>
      <c r="BS13" s="795">
        <v>0</v>
      </c>
      <c r="BT13" s="795">
        <v>0</v>
      </c>
      <c r="BU13" s="795">
        <v>0</v>
      </c>
      <c r="BV13" s="795">
        <v>0</v>
      </c>
      <c r="BW13" s="795">
        <v>337600</v>
      </c>
      <c r="BX13" s="795">
        <v>285000</v>
      </c>
      <c r="BY13" s="793">
        <v>0</v>
      </c>
      <c r="BZ13" s="795">
        <v>281800</v>
      </c>
      <c r="CA13" s="795">
        <v>347200</v>
      </c>
      <c r="CB13" s="786"/>
      <c r="CC13" s="786"/>
    </row>
    <row r="14" spans="1:81" x14ac:dyDescent="0.5">
      <c r="A14" s="790" t="s">
        <v>2868</v>
      </c>
      <c r="B14" s="790"/>
      <c r="C14" s="64">
        <f t="shared" si="0"/>
        <v>0.4716738000216667</v>
      </c>
      <c r="D14" s="64">
        <f t="shared" si="0"/>
        <v>0.48804562525216966</v>
      </c>
      <c r="E14" s="64">
        <f t="shared" si="0"/>
        <v>0.49522845727293219</v>
      </c>
      <c r="F14" s="64">
        <f t="shared" si="0"/>
        <v>0.49727252051610049</v>
      </c>
      <c r="G14" s="64">
        <f t="shared" si="0"/>
        <v>0.49119057269350341</v>
      </c>
      <c r="H14" s="64">
        <f t="shared" si="0"/>
        <v>0.50339792165515196</v>
      </c>
      <c r="I14" s="64">
        <f t="shared" si="0"/>
        <v>0.49701964043736557</v>
      </c>
      <c r="J14" s="64">
        <f t="shared" si="0"/>
        <v>0.4664396577287086</v>
      </c>
      <c r="K14" s="64"/>
      <c r="L14" s="791">
        <f t="shared" si="1"/>
        <v>0.4887835244471998</v>
      </c>
      <c r="N14" s="779" t="s">
        <v>4565</v>
      </c>
      <c r="O14" s="779">
        <v>4057132</v>
      </c>
      <c r="P14" s="779" t="s">
        <v>2862</v>
      </c>
      <c r="Q14" s="793" t="s">
        <v>14</v>
      </c>
      <c r="R14" s="793">
        <v>1357050</v>
      </c>
      <c r="S14" s="793">
        <v>1346716</v>
      </c>
      <c r="T14" s="793">
        <v>1343386</v>
      </c>
      <c r="U14" s="793">
        <v>1283838</v>
      </c>
      <c r="V14" s="793">
        <v>1219540</v>
      </c>
      <c r="W14" s="793">
        <v>1240278</v>
      </c>
      <c r="X14" s="793">
        <v>1248307</v>
      </c>
      <c r="Y14" s="793">
        <v>1175441</v>
      </c>
      <c r="Z14" s="793" t="s">
        <v>14</v>
      </c>
      <c r="AA14" s="793">
        <v>0</v>
      </c>
      <c r="AB14" s="793">
        <v>0</v>
      </c>
      <c r="AC14" s="793">
        <v>0</v>
      </c>
      <c r="AD14" s="793">
        <v>0</v>
      </c>
      <c r="AE14" s="793">
        <v>0</v>
      </c>
      <c r="AF14" s="793">
        <v>0</v>
      </c>
      <c r="AG14" s="793">
        <v>0</v>
      </c>
      <c r="AH14" s="793">
        <v>0</v>
      </c>
      <c r="AI14" s="793" t="s">
        <v>14</v>
      </c>
      <c r="AJ14" s="793">
        <v>1654194</v>
      </c>
      <c r="AK14" s="793">
        <v>1654160</v>
      </c>
      <c r="AL14" s="793">
        <v>1654708</v>
      </c>
      <c r="AM14" s="793">
        <v>1655800</v>
      </c>
      <c r="AN14" s="793">
        <v>1694590</v>
      </c>
      <c r="AO14" s="793">
        <v>1614975</v>
      </c>
      <c r="AP14" s="793">
        <v>1615304</v>
      </c>
      <c r="AQ14" s="793">
        <v>1417343</v>
      </c>
      <c r="AR14" s="794">
        <v>0</v>
      </c>
      <c r="AS14" s="794">
        <v>78398</v>
      </c>
      <c r="AT14" s="794">
        <v>78543</v>
      </c>
      <c r="AU14" s="794">
        <v>79104</v>
      </c>
      <c r="AV14" s="794">
        <v>79500</v>
      </c>
      <c r="AW14" s="794">
        <v>79290</v>
      </c>
      <c r="AX14" s="794">
        <v>79683</v>
      </c>
      <c r="AY14" s="794">
        <v>80002</v>
      </c>
      <c r="AZ14" s="794">
        <v>80479</v>
      </c>
      <c r="BA14" s="794">
        <v>0</v>
      </c>
      <c r="BB14" s="794">
        <v>159814</v>
      </c>
      <c r="BC14" s="794">
        <v>79000</v>
      </c>
      <c r="BD14" s="794">
        <v>94700</v>
      </c>
      <c r="BE14" s="794">
        <v>89780</v>
      </c>
      <c r="BF14" s="794">
        <v>71000</v>
      </c>
      <c r="BG14" s="794">
        <v>41000</v>
      </c>
      <c r="BH14" s="794">
        <v>72500</v>
      </c>
      <c r="BI14" s="793">
        <v>258200</v>
      </c>
      <c r="BJ14" s="794">
        <v>0</v>
      </c>
      <c r="BK14" s="794">
        <v>0</v>
      </c>
      <c r="BL14" s="794">
        <v>0</v>
      </c>
      <c r="BM14" s="794">
        <v>0</v>
      </c>
      <c r="BN14" s="793">
        <v>0</v>
      </c>
      <c r="BO14" s="794">
        <v>0</v>
      </c>
      <c r="BP14" s="794">
        <v>0</v>
      </c>
      <c r="BQ14" s="794">
        <v>0</v>
      </c>
      <c r="BR14" s="793">
        <v>0</v>
      </c>
      <c r="BS14" s="795">
        <v>0</v>
      </c>
      <c r="BT14" s="795">
        <v>0</v>
      </c>
      <c r="BU14" s="795">
        <v>0</v>
      </c>
      <c r="BV14" s="795">
        <v>0</v>
      </c>
      <c r="BW14" s="795">
        <v>0</v>
      </c>
      <c r="BX14" s="795">
        <v>0</v>
      </c>
      <c r="BY14" s="793">
        <v>0</v>
      </c>
      <c r="BZ14" s="795">
        <v>0</v>
      </c>
      <c r="CA14" s="795">
        <v>0</v>
      </c>
      <c r="CB14" s="786"/>
      <c r="CC14" s="786"/>
    </row>
    <row r="15" spans="1:81" x14ac:dyDescent="0.5">
      <c r="A15" s="779" t="s">
        <v>3811</v>
      </c>
      <c r="C15" s="64">
        <f t="shared" si="0"/>
        <v>0.40218491348420943</v>
      </c>
      <c r="D15" s="64">
        <f t="shared" si="0"/>
        <v>0.3989025729405255</v>
      </c>
      <c r="E15" s="64">
        <f t="shared" si="0"/>
        <v>0.3838072200206733</v>
      </c>
      <c r="F15" s="64">
        <f t="shared" si="0"/>
        <v>0.38155638731125557</v>
      </c>
      <c r="G15" s="64">
        <f t="shared" si="0"/>
        <v>0.37566673336175122</v>
      </c>
      <c r="H15" s="64">
        <f t="shared" si="0"/>
        <v>0.37704386468499501</v>
      </c>
      <c r="I15" s="64">
        <f t="shared" si="0"/>
        <v>0.39084021095360855</v>
      </c>
      <c r="J15" s="64">
        <f t="shared" si="0"/>
        <v>0.33440502974296449</v>
      </c>
      <c r="L15" s="791">
        <f t="shared" si="1"/>
        <v>0.38055086656249787</v>
      </c>
      <c r="N15" s="779" t="s">
        <v>4566</v>
      </c>
      <c r="O15" s="779">
        <v>4427129</v>
      </c>
      <c r="P15" s="779" t="s">
        <v>2863</v>
      </c>
      <c r="Q15" s="793" t="s">
        <v>14</v>
      </c>
      <c r="R15" s="793">
        <v>2812622</v>
      </c>
      <c r="S15" s="793">
        <v>2826873</v>
      </c>
      <c r="T15" s="793">
        <v>2829985</v>
      </c>
      <c r="U15" s="793">
        <v>2765877</v>
      </c>
      <c r="V15" s="793">
        <v>2646747</v>
      </c>
      <c r="W15" s="793">
        <v>2654826</v>
      </c>
      <c r="X15" s="793">
        <v>2651480</v>
      </c>
      <c r="Y15" s="793">
        <v>2584426</v>
      </c>
      <c r="Z15" s="793" t="s">
        <v>14</v>
      </c>
      <c r="AA15" s="793">
        <v>0</v>
      </c>
      <c r="AB15" s="793">
        <v>0</v>
      </c>
      <c r="AC15" s="793">
        <v>0</v>
      </c>
      <c r="AD15" s="793">
        <v>0</v>
      </c>
      <c r="AE15" s="793">
        <v>0</v>
      </c>
      <c r="AF15" s="793">
        <v>0</v>
      </c>
      <c r="AG15" s="793">
        <v>0</v>
      </c>
      <c r="AH15" s="793">
        <v>0</v>
      </c>
      <c r="AI15" s="793" t="s">
        <v>14</v>
      </c>
      <c r="AJ15" s="793">
        <v>2413852</v>
      </c>
      <c r="AK15" s="793">
        <v>2175118</v>
      </c>
      <c r="AL15" s="793">
        <v>2174558</v>
      </c>
      <c r="AM15" s="793">
        <v>2981115</v>
      </c>
      <c r="AN15" s="793">
        <v>2663026</v>
      </c>
      <c r="AO15" s="793">
        <v>2683251</v>
      </c>
      <c r="AP15" s="793">
        <v>2682812</v>
      </c>
      <c r="AQ15" s="793">
        <v>2705571</v>
      </c>
      <c r="AR15" s="794">
        <v>0</v>
      </c>
      <c r="AS15" s="794">
        <v>0</v>
      </c>
      <c r="AT15" s="794">
        <v>0</v>
      </c>
      <c r="AU15" s="794">
        <v>0</v>
      </c>
      <c r="AV15" s="794">
        <v>20300</v>
      </c>
      <c r="AW15" s="794">
        <v>0</v>
      </c>
      <c r="AX15" s="794">
        <v>0</v>
      </c>
      <c r="AY15" s="794">
        <v>0</v>
      </c>
      <c r="AZ15" s="794">
        <v>23100</v>
      </c>
      <c r="BA15" s="794">
        <v>0</v>
      </c>
      <c r="BB15" s="794">
        <v>951400</v>
      </c>
      <c r="BC15" s="794">
        <v>1031500</v>
      </c>
      <c r="BD15" s="794">
        <v>953400</v>
      </c>
      <c r="BE15" s="794">
        <v>88500</v>
      </c>
      <c r="BF15" s="794">
        <v>326950</v>
      </c>
      <c r="BG15" s="794">
        <v>217100</v>
      </c>
      <c r="BH15" s="794">
        <v>280000</v>
      </c>
      <c r="BI15" s="793">
        <v>552000</v>
      </c>
      <c r="BJ15" s="794">
        <v>0</v>
      </c>
      <c r="BK15" s="794">
        <v>72537</v>
      </c>
      <c r="BL15" s="794">
        <v>60243</v>
      </c>
      <c r="BM15" s="794">
        <v>58064</v>
      </c>
      <c r="BN15" s="793">
        <v>62187</v>
      </c>
      <c r="BO15" s="794">
        <v>66993</v>
      </c>
      <c r="BP15" s="794">
        <v>54635</v>
      </c>
      <c r="BQ15" s="794">
        <v>56467</v>
      </c>
      <c r="BR15" s="793">
        <v>57854</v>
      </c>
      <c r="BS15" s="795">
        <v>0</v>
      </c>
      <c r="BT15" s="795">
        <v>287345</v>
      </c>
      <c r="BU15" s="795">
        <v>301503</v>
      </c>
      <c r="BV15" s="795">
        <v>301503</v>
      </c>
      <c r="BW15" s="795">
        <v>315284</v>
      </c>
      <c r="BX15" s="795">
        <v>315284</v>
      </c>
      <c r="BY15" s="793">
        <v>336000</v>
      </c>
      <c r="BZ15" s="795">
        <v>336000</v>
      </c>
      <c r="CA15" s="795">
        <v>336000</v>
      </c>
      <c r="CB15" s="786"/>
      <c r="CC15" s="786"/>
    </row>
    <row r="16" spans="1:81" x14ac:dyDescent="0.5">
      <c r="A16" s="790" t="s">
        <v>2869</v>
      </c>
      <c r="B16" s="790"/>
      <c r="C16" s="64">
        <f t="shared" si="0"/>
        <v>0.39227928579586552</v>
      </c>
      <c r="D16" s="64">
        <f t="shared" si="0"/>
        <v>0.39650134757310901</v>
      </c>
      <c r="E16" s="64">
        <f t="shared" si="0"/>
        <v>0.35749468619939162</v>
      </c>
      <c r="F16" s="64">
        <f t="shared" si="0"/>
        <v>0.35053721174004193</v>
      </c>
      <c r="G16" s="64">
        <f t="shared" si="0"/>
        <v>0.35943783148304009</v>
      </c>
      <c r="H16" s="64">
        <f t="shared" si="0"/>
        <v>0.36390999376798333</v>
      </c>
      <c r="I16" s="64">
        <f t="shared" si="0"/>
        <v>0.34731181371445224</v>
      </c>
      <c r="J16" s="64">
        <f t="shared" si="0"/>
        <v>0.36072298602749697</v>
      </c>
      <c r="K16" s="64"/>
      <c r="L16" s="791">
        <f t="shared" si="1"/>
        <v>0.3660243945376726</v>
      </c>
      <c r="N16" s="779" t="s">
        <v>4567</v>
      </c>
      <c r="O16" s="779">
        <v>4884928</v>
      </c>
      <c r="P16" s="779" t="s">
        <v>3809</v>
      </c>
      <c r="Q16" s="793" t="s">
        <v>14</v>
      </c>
      <c r="R16" s="793">
        <v>3455393</v>
      </c>
      <c r="S16" s="793">
        <v>3492765</v>
      </c>
      <c r="T16" s="793">
        <v>3356241</v>
      </c>
      <c r="U16" s="793">
        <v>3310036</v>
      </c>
      <c r="V16" s="793">
        <v>3238745</v>
      </c>
      <c r="W16" s="793">
        <v>3262826</v>
      </c>
      <c r="X16" s="793">
        <v>3296156</v>
      </c>
      <c r="Y16" s="793">
        <v>3058759</v>
      </c>
      <c r="Z16" s="793" t="s">
        <v>14</v>
      </c>
      <c r="AA16" s="793">
        <v>0</v>
      </c>
      <c r="AB16" s="793">
        <v>0</v>
      </c>
      <c r="AC16" s="793">
        <v>0</v>
      </c>
      <c r="AD16" s="793">
        <v>0</v>
      </c>
      <c r="AE16" s="793">
        <v>0</v>
      </c>
      <c r="AF16" s="793">
        <v>0</v>
      </c>
      <c r="AG16" s="793">
        <v>0</v>
      </c>
      <c r="AH16" s="793">
        <v>0</v>
      </c>
      <c r="AI16" s="793" t="s">
        <v>14</v>
      </c>
      <c r="AJ16" s="793">
        <v>4412410</v>
      </c>
      <c r="AK16" s="793">
        <v>5094771</v>
      </c>
      <c r="AL16" s="793">
        <v>4691728</v>
      </c>
      <c r="AM16" s="793">
        <v>4812672</v>
      </c>
      <c r="AN16" s="793">
        <v>5277874</v>
      </c>
      <c r="AO16" s="793">
        <v>5326964</v>
      </c>
      <c r="AP16" s="793">
        <v>4619507</v>
      </c>
      <c r="AQ16" s="793">
        <v>4585104</v>
      </c>
      <c r="AR16" s="780">
        <v>0</v>
      </c>
      <c r="AS16" s="780">
        <v>0</v>
      </c>
      <c r="AT16" s="780">
        <v>0</v>
      </c>
      <c r="AU16" s="780">
        <v>0</v>
      </c>
      <c r="AV16" s="780">
        <v>124578</v>
      </c>
      <c r="AW16" s="780">
        <v>0</v>
      </c>
      <c r="AX16" s="780">
        <v>0</v>
      </c>
      <c r="AY16" s="780">
        <v>0</v>
      </c>
      <c r="AZ16" s="780">
        <v>90982</v>
      </c>
      <c r="BA16" s="779">
        <v>0</v>
      </c>
      <c r="BB16" s="779">
        <v>663000</v>
      </c>
      <c r="BC16" s="779">
        <v>111000</v>
      </c>
      <c r="BD16" s="779">
        <v>644000</v>
      </c>
      <c r="BE16" s="779">
        <v>628500</v>
      </c>
      <c r="BF16" s="779">
        <v>57500</v>
      </c>
      <c r="BG16" s="779">
        <v>15500</v>
      </c>
      <c r="BH16" s="779">
        <v>467500</v>
      </c>
      <c r="BI16" s="779">
        <v>1542806</v>
      </c>
      <c r="BJ16" s="794">
        <v>0</v>
      </c>
      <c r="BK16" s="794">
        <v>60750</v>
      </c>
      <c r="BL16" s="794">
        <v>57399</v>
      </c>
      <c r="BM16" s="794">
        <v>52632</v>
      </c>
      <c r="BN16" s="793">
        <v>48460</v>
      </c>
      <c r="BO16" s="794">
        <v>47206</v>
      </c>
      <c r="BP16" s="794">
        <v>48414</v>
      </c>
      <c r="BQ16" s="794">
        <v>50350</v>
      </c>
      <c r="BR16" s="793">
        <v>51182</v>
      </c>
      <c r="BS16" s="795">
        <v>0</v>
      </c>
      <c r="BT16" s="795">
        <v>0</v>
      </c>
      <c r="BU16" s="795">
        <v>0</v>
      </c>
      <c r="BV16" s="795">
        <v>0</v>
      </c>
      <c r="BW16" s="795">
        <v>0</v>
      </c>
      <c r="BX16" s="795">
        <v>0</v>
      </c>
      <c r="BY16" s="793">
        <v>0</v>
      </c>
      <c r="BZ16" s="795">
        <v>0</v>
      </c>
      <c r="CA16" s="795">
        <v>0</v>
      </c>
      <c r="CB16" s="786"/>
      <c r="CC16" s="786"/>
    </row>
    <row r="17" spans="1:81" x14ac:dyDescent="0.5">
      <c r="A17" s="796"/>
      <c r="B17" s="796"/>
      <c r="C17" s="796"/>
      <c r="D17" s="796"/>
      <c r="E17" s="797"/>
      <c r="F17" s="797"/>
      <c r="G17" s="797"/>
      <c r="H17" s="797"/>
      <c r="I17" s="797"/>
      <c r="J17" s="797"/>
      <c r="K17" s="797"/>
      <c r="L17" s="798"/>
      <c r="N17" s="779" t="s">
        <v>4568</v>
      </c>
      <c r="O17" s="779">
        <v>4002506</v>
      </c>
      <c r="P17" s="779" t="s">
        <v>2864</v>
      </c>
      <c r="Q17" s="793">
        <v>2990700</v>
      </c>
      <c r="R17" s="793">
        <v>3091200</v>
      </c>
      <c r="S17" s="793">
        <v>3148300</v>
      </c>
      <c r="T17" s="793">
        <v>2808800</v>
      </c>
      <c r="U17" s="793">
        <v>2675300</v>
      </c>
      <c r="V17" s="793">
        <v>2690500</v>
      </c>
      <c r="W17" s="793">
        <v>2744500</v>
      </c>
      <c r="X17" s="793">
        <v>2622100</v>
      </c>
      <c r="Y17" s="793">
        <v>2576500</v>
      </c>
      <c r="Z17" s="793">
        <v>242000</v>
      </c>
      <c r="AA17" s="793">
        <v>242000</v>
      </c>
      <c r="AB17" s="793">
        <v>242000</v>
      </c>
      <c r="AC17" s="793">
        <v>242000</v>
      </c>
      <c r="AD17" s="793">
        <v>242000</v>
      </c>
      <c r="AE17" s="793">
        <v>242000</v>
      </c>
      <c r="AF17" s="793">
        <v>242000</v>
      </c>
      <c r="AG17" s="793">
        <v>242000</v>
      </c>
      <c r="AH17" s="793">
        <v>242000</v>
      </c>
      <c r="AI17" s="793">
        <v>3815700</v>
      </c>
      <c r="AJ17" s="793">
        <v>3729300</v>
      </c>
      <c r="AK17" s="793">
        <v>3728400</v>
      </c>
      <c r="AL17" s="793">
        <v>3704800</v>
      </c>
      <c r="AM17" s="793">
        <v>3787600</v>
      </c>
      <c r="AN17" s="793">
        <v>3959900</v>
      </c>
      <c r="AO17" s="793">
        <v>3959100</v>
      </c>
      <c r="AP17" s="793">
        <v>3412900</v>
      </c>
      <c r="AQ17" s="793">
        <v>3319900</v>
      </c>
      <c r="AR17" s="794">
        <v>69300</v>
      </c>
      <c r="AS17" s="794">
        <v>0</v>
      </c>
      <c r="AT17" s="794">
        <v>0</v>
      </c>
      <c r="AU17" s="794">
        <v>0</v>
      </c>
      <c r="AV17" s="794">
        <v>77000</v>
      </c>
      <c r="AW17" s="794">
        <v>0</v>
      </c>
      <c r="AX17" s="794">
        <v>0</v>
      </c>
      <c r="AY17" s="794">
        <v>0</v>
      </c>
      <c r="AZ17" s="794">
        <v>80200</v>
      </c>
      <c r="BA17" s="794">
        <v>947000</v>
      </c>
      <c r="BB17" s="794">
        <v>771000</v>
      </c>
      <c r="BC17" s="794">
        <v>786000</v>
      </c>
      <c r="BD17" s="794">
        <v>1047500</v>
      </c>
      <c r="BE17" s="794">
        <v>955500</v>
      </c>
      <c r="BF17" s="794">
        <v>557600</v>
      </c>
      <c r="BG17" s="794">
        <v>561000</v>
      </c>
      <c r="BH17" s="794">
        <v>1227000</v>
      </c>
      <c r="BI17" s="793">
        <v>1037500</v>
      </c>
      <c r="BJ17" s="794">
        <v>78300</v>
      </c>
      <c r="BK17" s="794">
        <v>46600</v>
      </c>
      <c r="BL17" s="794">
        <v>35500</v>
      </c>
      <c r="BM17" s="794">
        <v>53800</v>
      </c>
      <c r="BN17" s="793">
        <v>48600</v>
      </c>
      <c r="BO17" s="794">
        <v>35300</v>
      </c>
      <c r="BP17" s="794">
        <v>35100</v>
      </c>
      <c r="BQ17" s="794">
        <v>45700</v>
      </c>
      <c r="BR17" s="793">
        <v>46900</v>
      </c>
      <c r="BS17" s="795">
        <v>0</v>
      </c>
      <c r="BT17" s="795">
        <v>0</v>
      </c>
      <c r="BU17" s="795">
        <v>0</v>
      </c>
      <c r="BV17" s="795">
        <v>0</v>
      </c>
      <c r="BW17" s="795">
        <v>0</v>
      </c>
      <c r="BX17" s="795">
        <v>0</v>
      </c>
      <c r="BY17" s="793">
        <v>0</v>
      </c>
      <c r="BZ17" s="795">
        <v>0</v>
      </c>
      <c r="CA17" s="795">
        <v>0</v>
      </c>
      <c r="CB17" s="786"/>
      <c r="CC17" s="786"/>
    </row>
    <row r="18" spans="1:81" x14ac:dyDescent="0.5">
      <c r="I18" s="66"/>
      <c r="J18" s="61" t="s">
        <v>4579</v>
      </c>
      <c r="K18" s="799"/>
      <c r="L18" s="800">
        <f>MIN(L10:L16)</f>
        <v>0.32916298795075616</v>
      </c>
      <c r="AM18" s="30"/>
      <c r="BS18" s="786"/>
      <c r="BT18" s="786"/>
      <c r="BU18" s="786"/>
      <c r="BV18" s="786"/>
      <c r="BW18" s="786"/>
      <c r="BX18" s="786"/>
      <c r="BY18" s="786"/>
      <c r="BZ18" s="786"/>
      <c r="CA18" s="786"/>
      <c r="CB18" s="786"/>
      <c r="CC18" s="786"/>
    </row>
    <row r="19" spans="1:81" x14ac:dyDescent="0.5">
      <c r="E19" s="801"/>
      <c r="F19" s="801"/>
      <c r="G19" s="801"/>
      <c r="H19" s="801"/>
      <c r="I19" s="801"/>
      <c r="J19" s="61" t="s">
        <v>4580</v>
      </c>
      <c r="L19" s="800">
        <f>MAX(L10:L16)</f>
        <v>0.59064953573161605</v>
      </c>
      <c r="Q19" s="784"/>
      <c r="R19" s="784"/>
      <c r="S19" s="784"/>
      <c r="T19" s="784"/>
      <c r="U19" s="784"/>
      <c r="V19" s="784"/>
      <c r="W19" s="784"/>
      <c r="X19" s="784"/>
      <c r="Y19" s="784"/>
      <c r="AM19" s="802"/>
      <c r="BS19" s="786"/>
      <c r="BT19" s="786"/>
      <c r="BU19" s="786"/>
      <c r="BV19" s="786"/>
      <c r="BW19" s="786"/>
      <c r="BX19" s="786"/>
      <c r="BY19" s="786"/>
      <c r="BZ19" s="786"/>
      <c r="CA19" s="786"/>
      <c r="CB19" s="786"/>
      <c r="CC19" s="786"/>
    </row>
    <row r="20" spans="1:81" x14ac:dyDescent="0.5">
      <c r="Q20" s="784"/>
      <c r="R20" s="784"/>
      <c r="S20" s="784"/>
      <c r="T20" s="784"/>
      <c r="U20" s="784"/>
      <c r="V20" s="784"/>
      <c r="W20" s="784"/>
      <c r="X20" s="784"/>
      <c r="Y20" s="784"/>
      <c r="AM20" s="802"/>
      <c r="BS20" s="786"/>
      <c r="BT20" s="786"/>
      <c r="BU20" s="786"/>
      <c r="BV20" s="786"/>
      <c r="BW20" s="786"/>
      <c r="BX20" s="786"/>
      <c r="BY20" s="786"/>
      <c r="BZ20" s="786"/>
      <c r="CA20" s="786"/>
      <c r="CB20" s="786"/>
      <c r="CC20" s="786"/>
    </row>
    <row r="21" spans="1:81" x14ac:dyDescent="0.5">
      <c r="L21" s="800"/>
      <c r="N21" s="61"/>
      <c r="Q21" s="784"/>
      <c r="R21" s="784"/>
      <c r="S21" s="784"/>
      <c r="T21" s="784"/>
      <c r="U21" s="784"/>
      <c r="V21" s="784"/>
      <c r="W21" s="784"/>
      <c r="X21" s="784"/>
      <c r="Y21" s="784"/>
      <c r="AM21" s="802"/>
      <c r="BS21" s="786"/>
      <c r="BT21" s="786"/>
      <c r="BU21" s="786"/>
      <c r="BV21" s="786"/>
      <c r="BW21" s="786"/>
      <c r="BX21" s="786"/>
      <c r="BY21" s="786"/>
      <c r="BZ21" s="786"/>
      <c r="CA21" s="786"/>
      <c r="CB21" s="786"/>
      <c r="CC21" s="786"/>
    </row>
    <row r="22" spans="1:81" x14ac:dyDescent="0.5">
      <c r="A22" s="1435" t="s">
        <v>4569</v>
      </c>
      <c r="B22" s="1435"/>
      <c r="C22" s="1435"/>
      <c r="D22" s="1435"/>
      <c r="E22" s="1435"/>
      <c r="F22" s="1435"/>
      <c r="G22" s="1435"/>
      <c r="H22" s="1435"/>
      <c r="I22" s="1435"/>
      <c r="J22" s="1435"/>
      <c r="K22" s="1435"/>
      <c r="L22" s="1435"/>
      <c r="N22" s="61"/>
      <c r="Q22" s="784"/>
      <c r="R22" s="784"/>
      <c r="S22" s="784"/>
      <c r="T22" s="784"/>
      <c r="U22" s="784"/>
      <c r="V22" s="784"/>
      <c r="W22" s="784"/>
      <c r="X22" s="784"/>
      <c r="Y22" s="784"/>
      <c r="BS22" s="786"/>
      <c r="BT22" s="786"/>
      <c r="BU22" s="786"/>
      <c r="BV22" s="786"/>
      <c r="BW22" s="786"/>
      <c r="BX22" s="786"/>
      <c r="BY22" s="786"/>
      <c r="BZ22" s="786"/>
      <c r="CA22" s="786"/>
      <c r="CB22" s="786"/>
      <c r="CC22" s="786"/>
    </row>
    <row r="23" spans="1:81" x14ac:dyDescent="0.5">
      <c r="A23" s="781"/>
      <c r="B23" s="781"/>
      <c r="C23" s="781"/>
      <c r="D23" s="781"/>
      <c r="E23" s="781"/>
      <c r="F23" s="781"/>
      <c r="G23" s="781"/>
      <c r="H23" s="781"/>
      <c r="I23" s="781"/>
      <c r="J23" s="781"/>
      <c r="K23" s="781"/>
      <c r="L23" s="781"/>
      <c r="Q23" s="784"/>
      <c r="R23" s="784"/>
      <c r="S23" s="784"/>
      <c r="T23" s="784"/>
      <c r="U23" s="784"/>
      <c r="V23" s="784"/>
      <c r="W23" s="784"/>
      <c r="X23" s="784"/>
      <c r="Y23" s="784"/>
      <c r="BS23" s="786"/>
      <c r="BT23" s="786"/>
      <c r="BU23" s="786"/>
      <c r="BV23" s="786"/>
      <c r="BW23" s="786"/>
      <c r="BX23" s="786"/>
      <c r="BY23" s="786"/>
      <c r="BZ23" s="786"/>
      <c r="CA23" s="786"/>
      <c r="CB23" s="786"/>
      <c r="CC23" s="786"/>
    </row>
    <row r="24" spans="1:81" ht="45" x14ac:dyDescent="0.5">
      <c r="A24" s="779" t="s">
        <v>611</v>
      </c>
      <c r="C24" s="784" t="s">
        <v>4535</v>
      </c>
      <c r="D24" s="784" t="s">
        <v>4536</v>
      </c>
      <c r="E24" s="784" t="str">
        <f t="shared" ref="E24:J24" si="2">E8</f>
        <v>2024 Q1</v>
      </c>
      <c r="F24" s="784" t="str">
        <f t="shared" si="2"/>
        <v>2023 Q4</v>
      </c>
      <c r="G24" s="784" t="str">
        <f t="shared" si="2"/>
        <v>2023 Q3</v>
      </c>
      <c r="H24" s="784" t="str">
        <f t="shared" si="2"/>
        <v>2023 Q2</v>
      </c>
      <c r="I24" s="784" t="str">
        <f t="shared" si="2"/>
        <v>2023 Q1</v>
      </c>
      <c r="J24" s="784" t="str">
        <f t="shared" si="2"/>
        <v>2022 Q4</v>
      </c>
      <c r="K24" s="784"/>
      <c r="L24" s="785" t="str">
        <f>L8</f>
        <v>8Q average ending Q3 2024</v>
      </c>
      <c r="N24" s="779" t="s">
        <v>4544</v>
      </c>
      <c r="O24" s="792" t="s">
        <v>4545</v>
      </c>
      <c r="Q24" s="779" t="s">
        <v>4546</v>
      </c>
      <c r="R24" s="779" t="s">
        <v>4546</v>
      </c>
      <c r="S24" s="779" t="s">
        <v>4546</v>
      </c>
      <c r="T24" s="779" t="s">
        <v>4546</v>
      </c>
      <c r="U24" s="779" t="s">
        <v>4546</v>
      </c>
      <c r="V24" s="779" t="s">
        <v>4546</v>
      </c>
      <c r="W24" s="779" t="s">
        <v>4546</v>
      </c>
      <c r="X24" s="779" t="s">
        <v>4546</v>
      </c>
      <c r="Y24" s="779" t="s">
        <v>4546</v>
      </c>
      <c r="Z24" s="779" t="s">
        <v>4547</v>
      </c>
      <c r="AA24" s="779" t="s">
        <v>4547</v>
      </c>
      <c r="AB24" s="779" t="s">
        <v>4547</v>
      </c>
      <c r="AC24" s="779" t="s">
        <v>4547</v>
      </c>
      <c r="AD24" s="779" t="s">
        <v>4547</v>
      </c>
      <c r="AE24" s="779" t="s">
        <v>4547</v>
      </c>
      <c r="AF24" s="779" t="s">
        <v>4547</v>
      </c>
      <c r="AG24" s="779" t="s">
        <v>4547</v>
      </c>
      <c r="AH24" s="779" t="s">
        <v>4547</v>
      </c>
      <c r="AI24" s="779" t="s">
        <v>4548</v>
      </c>
      <c r="AJ24" s="779" t="s">
        <v>4548</v>
      </c>
      <c r="AK24" s="779" t="s">
        <v>4548</v>
      </c>
      <c r="AL24" s="779" t="s">
        <v>4548</v>
      </c>
      <c r="AM24" s="779" t="s">
        <v>4548</v>
      </c>
      <c r="AN24" s="779" t="s">
        <v>4548</v>
      </c>
      <c r="AO24" s="779" t="s">
        <v>4548</v>
      </c>
      <c r="AP24" s="779" t="s">
        <v>4548</v>
      </c>
      <c r="AQ24" s="779" t="s">
        <v>4548</v>
      </c>
      <c r="AR24" s="780" t="s">
        <v>4549</v>
      </c>
      <c r="AS24" s="780" t="s">
        <v>4549</v>
      </c>
      <c r="AT24" s="780" t="s">
        <v>4549</v>
      </c>
      <c r="AU24" s="780" t="s">
        <v>4549</v>
      </c>
      <c r="AV24" s="780" t="s">
        <v>4549</v>
      </c>
      <c r="AW24" s="780" t="s">
        <v>4549</v>
      </c>
      <c r="AX24" s="780" t="s">
        <v>4549</v>
      </c>
      <c r="AY24" s="780" t="s">
        <v>4549</v>
      </c>
      <c r="AZ24" s="780" t="s">
        <v>4549</v>
      </c>
      <c r="BA24" s="780" t="s">
        <v>4550</v>
      </c>
      <c r="BB24" s="780" t="s">
        <v>4550</v>
      </c>
      <c r="BC24" s="780" t="s">
        <v>4550</v>
      </c>
      <c r="BD24" s="780" t="s">
        <v>4550</v>
      </c>
      <c r="BE24" s="780" t="s">
        <v>4550</v>
      </c>
      <c r="BF24" s="780" t="s">
        <v>4550</v>
      </c>
      <c r="BG24" s="780" t="s">
        <v>4550</v>
      </c>
      <c r="BH24" s="780" t="s">
        <v>4550</v>
      </c>
      <c r="BI24" s="779" t="s">
        <v>4550</v>
      </c>
      <c r="BJ24" s="779" t="s">
        <v>4551</v>
      </c>
      <c r="BK24" s="779" t="s">
        <v>4551</v>
      </c>
      <c r="BL24" s="779" t="s">
        <v>4551</v>
      </c>
      <c r="BM24" s="779" t="s">
        <v>4551</v>
      </c>
      <c r="BN24" s="779" t="s">
        <v>4551</v>
      </c>
      <c r="BO24" s="779" t="s">
        <v>4551</v>
      </c>
      <c r="BP24" s="779" t="s">
        <v>4551</v>
      </c>
      <c r="BQ24" s="779" t="s">
        <v>4551</v>
      </c>
      <c r="BR24" s="779" t="s">
        <v>4551</v>
      </c>
      <c r="BS24" s="786" t="s">
        <v>4552</v>
      </c>
      <c r="BT24" s="786" t="s">
        <v>4552</v>
      </c>
      <c r="BU24" s="786" t="s">
        <v>4552</v>
      </c>
      <c r="BV24" s="786" t="s">
        <v>4552</v>
      </c>
      <c r="BW24" s="786" t="s">
        <v>4552</v>
      </c>
      <c r="BX24" s="786" t="s">
        <v>4552</v>
      </c>
      <c r="BY24" s="786" t="s">
        <v>4552</v>
      </c>
      <c r="BZ24" s="786" t="s">
        <v>4552</v>
      </c>
      <c r="CA24" s="786" t="s">
        <v>4552</v>
      </c>
      <c r="CB24" s="786"/>
      <c r="CC24" s="786"/>
    </row>
    <row r="25" spans="1:81" x14ac:dyDescent="0.5">
      <c r="A25" s="787"/>
      <c r="B25" s="787"/>
      <c r="C25" s="787"/>
      <c r="D25" s="787"/>
      <c r="E25" s="787"/>
      <c r="F25" s="787"/>
      <c r="G25" s="787"/>
      <c r="H25" s="787"/>
      <c r="I25" s="787"/>
      <c r="J25" s="787"/>
      <c r="K25" s="787"/>
      <c r="L25" s="788"/>
      <c r="M25" s="792"/>
      <c r="N25" s="779" t="s">
        <v>2828</v>
      </c>
      <c r="O25" s="792" t="s">
        <v>2828</v>
      </c>
      <c r="Q25" s="783" t="s">
        <v>4553</v>
      </c>
      <c r="R25" s="783" t="s">
        <v>4554</v>
      </c>
      <c r="S25" s="783" t="s">
        <v>4555</v>
      </c>
      <c r="T25" s="783" t="s">
        <v>4556</v>
      </c>
      <c r="U25" s="783" t="s">
        <v>4557</v>
      </c>
      <c r="V25" s="783" t="s">
        <v>4558</v>
      </c>
      <c r="W25" s="783" t="s">
        <v>4559</v>
      </c>
      <c r="X25" s="783" t="s">
        <v>4560</v>
      </c>
      <c r="Y25" s="783" t="s">
        <v>4561</v>
      </c>
      <c r="Z25" s="783" t="s">
        <v>4553</v>
      </c>
      <c r="AA25" s="783" t="s">
        <v>4554</v>
      </c>
      <c r="AB25" s="783" t="s">
        <v>4555</v>
      </c>
      <c r="AC25" s="783" t="s">
        <v>4556</v>
      </c>
      <c r="AD25" s="783" t="s">
        <v>4557</v>
      </c>
      <c r="AE25" s="783" t="s">
        <v>4558</v>
      </c>
      <c r="AF25" s="783" t="s">
        <v>4559</v>
      </c>
      <c r="AG25" s="783" t="s">
        <v>4560</v>
      </c>
      <c r="AH25" s="783" t="s">
        <v>4561</v>
      </c>
      <c r="AI25" s="783" t="s">
        <v>4553</v>
      </c>
      <c r="AJ25" s="783" t="s">
        <v>4554</v>
      </c>
      <c r="AK25" s="783" t="s">
        <v>4555</v>
      </c>
      <c r="AL25" s="783" t="s">
        <v>4556</v>
      </c>
      <c r="AM25" s="783" t="s">
        <v>4557</v>
      </c>
      <c r="AN25" s="783" t="s">
        <v>4558</v>
      </c>
      <c r="AO25" s="783" t="s">
        <v>4559</v>
      </c>
      <c r="AP25" s="783" t="s">
        <v>4560</v>
      </c>
      <c r="AQ25" s="783" t="s">
        <v>4561</v>
      </c>
      <c r="AR25" s="783" t="s">
        <v>4553</v>
      </c>
      <c r="AS25" s="783" t="s">
        <v>4554</v>
      </c>
      <c r="AT25" s="783" t="s">
        <v>4555</v>
      </c>
      <c r="AU25" s="783" t="s">
        <v>4556</v>
      </c>
      <c r="AV25" s="783" t="s">
        <v>4557</v>
      </c>
      <c r="AW25" s="783" t="s">
        <v>4558</v>
      </c>
      <c r="AX25" s="783" t="s">
        <v>4559</v>
      </c>
      <c r="AY25" s="783" t="s">
        <v>4560</v>
      </c>
      <c r="AZ25" s="783" t="s">
        <v>4561</v>
      </c>
      <c r="BA25" s="783" t="s">
        <v>4553</v>
      </c>
      <c r="BB25" s="783" t="s">
        <v>4554</v>
      </c>
      <c r="BC25" s="783" t="s">
        <v>4555</v>
      </c>
      <c r="BD25" s="783" t="s">
        <v>4556</v>
      </c>
      <c r="BE25" s="783" t="s">
        <v>4557</v>
      </c>
      <c r="BF25" s="783" t="s">
        <v>4558</v>
      </c>
      <c r="BG25" s="783" t="s">
        <v>4559</v>
      </c>
      <c r="BH25" s="783" t="s">
        <v>4560</v>
      </c>
      <c r="BI25" s="783" t="s">
        <v>4561</v>
      </c>
      <c r="BJ25" s="783" t="s">
        <v>4553</v>
      </c>
      <c r="BK25" s="783" t="s">
        <v>4554</v>
      </c>
      <c r="BL25" s="783" t="s">
        <v>4555</v>
      </c>
      <c r="BM25" s="783" t="s">
        <v>4556</v>
      </c>
      <c r="BN25" s="783" t="s">
        <v>4557</v>
      </c>
      <c r="BO25" s="783" t="s">
        <v>4558</v>
      </c>
      <c r="BP25" s="783" t="s">
        <v>4559</v>
      </c>
      <c r="BQ25" s="783" t="s">
        <v>4560</v>
      </c>
      <c r="BR25" s="783" t="s">
        <v>4561</v>
      </c>
      <c r="BS25" s="789" t="s">
        <v>4553</v>
      </c>
      <c r="BT25" s="789" t="s">
        <v>4554</v>
      </c>
      <c r="BU25" s="789" t="s">
        <v>4555</v>
      </c>
      <c r="BV25" s="789" t="s">
        <v>4556</v>
      </c>
      <c r="BW25" s="789" t="s">
        <v>4557</v>
      </c>
      <c r="BX25" s="789" t="s">
        <v>4558</v>
      </c>
      <c r="BY25" s="789" t="s">
        <v>4559</v>
      </c>
      <c r="BZ25" s="789" t="s">
        <v>4560</v>
      </c>
      <c r="CA25" s="789" t="s">
        <v>4561</v>
      </c>
      <c r="CB25" s="786"/>
      <c r="CC25" s="786"/>
    </row>
    <row r="26" spans="1:81" x14ac:dyDescent="0.5">
      <c r="A26" s="790" t="str">
        <f>A10</f>
        <v>Atmos Energy Corporation</v>
      </c>
      <c r="B26" s="790"/>
      <c r="C26" s="64">
        <f t="shared" ref="C26:K32" si="3">(AJ11-AS11+BB11+BK11-BT11)/(-AS11+AJ11+AA11+R11+BB11+BK11-BT11)</f>
        <v>0.38992779730606453</v>
      </c>
      <c r="D26" s="64">
        <f t="shared" si="3"/>
        <v>0.39058026754142455</v>
      </c>
      <c r="E26" s="64">
        <f t="shared" si="3"/>
        <v>0.39776536790362071</v>
      </c>
      <c r="F26" s="64">
        <f t="shared" si="3"/>
        <v>0.38701369945825187</v>
      </c>
      <c r="G26" s="64">
        <f t="shared" si="3"/>
        <v>0.38205700712672136</v>
      </c>
      <c r="H26" s="64">
        <f t="shared" si="3"/>
        <v>0.39109079611504044</v>
      </c>
      <c r="I26" s="64">
        <f t="shared" si="3"/>
        <v>0.47087087032162633</v>
      </c>
      <c r="J26" s="64">
        <f t="shared" si="3"/>
        <v>0.46549790837432242</v>
      </c>
      <c r="K26" s="64">
        <f t="shared" si="3"/>
        <v>4.7567758699430383E-2</v>
      </c>
      <c r="L26" s="791">
        <f t="shared" ref="L26:L32" si="4">AVERAGE(C26:J26)</f>
        <v>0.40935046426838406</v>
      </c>
      <c r="M26" s="792"/>
      <c r="AP26" s="779"/>
      <c r="AQ26" s="779"/>
      <c r="AR26" s="779"/>
      <c r="AS26" s="779"/>
      <c r="AT26" s="779"/>
      <c r="AU26" s="779"/>
      <c r="AV26" s="779"/>
      <c r="AW26" s="779"/>
      <c r="AX26" s="779"/>
      <c r="AY26" s="779"/>
      <c r="AZ26" s="779"/>
      <c r="CB26" s="786"/>
      <c r="CC26" s="786"/>
    </row>
    <row r="27" spans="1:81" x14ac:dyDescent="0.5">
      <c r="A27" s="790" t="str">
        <f>A11</f>
        <v>New Jersey Resources Corporation</v>
      </c>
      <c r="B27" s="790"/>
      <c r="C27" s="64">
        <f t="shared" si="3"/>
        <v>0.60445005637877525</v>
      </c>
      <c r="D27" s="64">
        <f t="shared" si="3"/>
        <v>0.58686495101565939</v>
      </c>
      <c r="E27" s="64">
        <f t="shared" si="3"/>
        <v>0.61299386244749887</v>
      </c>
      <c r="F27" s="64">
        <f t="shared" si="3"/>
        <v>0.61508759711341077</v>
      </c>
      <c r="G27" s="64">
        <f t="shared" si="3"/>
        <v>0.60581731226091373</v>
      </c>
      <c r="H27" s="64">
        <f t="shared" si="3"/>
        <v>0.60050227828205494</v>
      </c>
      <c r="I27" s="64">
        <f t="shared" si="3"/>
        <v>0.6301759726851125</v>
      </c>
      <c r="J27" s="64">
        <f t="shared" si="3"/>
        <v>0.62414555737405519</v>
      </c>
      <c r="K27" s="64">
        <f t="shared" si="3"/>
        <v>-2.8296362223464187E-2</v>
      </c>
      <c r="L27" s="791">
        <f t="shared" si="4"/>
        <v>0.61000469844468508</v>
      </c>
      <c r="N27" s="779" t="s">
        <v>2675</v>
      </c>
      <c r="O27" s="779">
        <v>4057157</v>
      </c>
      <c r="Q27" s="793">
        <v>12157669</v>
      </c>
      <c r="R27" s="793">
        <v>12183076</v>
      </c>
      <c r="S27" s="793">
        <v>11618639</v>
      </c>
      <c r="T27" s="793">
        <v>11273209</v>
      </c>
      <c r="U27" s="793">
        <v>10870064</v>
      </c>
      <c r="V27" s="793">
        <v>10602381</v>
      </c>
      <c r="W27" s="793">
        <v>10205205</v>
      </c>
      <c r="X27" s="793">
        <v>9836274</v>
      </c>
      <c r="Y27" s="793">
        <v>9419091</v>
      </c>
      <c r="Z27" s="793">
        <v>0</v>
      </c>
      <c r="AA27" s="793">
        <v>0</v>
      </c>
      <c r="AB27" s="793">
        <v>0</v>
      </c>
      <c r="AC27" s="793">
        <v>0</v>
      </c>
      <c r="AD27" s="793">
        <v>0</v>
      </c>
      <c r="AE27" s="793">
        <v>0</v>
      </c>
      <c r="AF27" s="793">
        <v>0</v>
      </c>
      <c r="AG27" s="793">
        <v>0</v>
      </c>
      <c r="AH27" s="793">
        <v>0</v>
      </c>
      <c r="AI27" s="793">
        <v>8129213</v>
      </c>
      <c r="AJ27" s="793">
        <v>7876078</v>
      </c>
      <c r="AK27" s="793">
        <v>7535708</v>
      </c>
      <c r="AL27" s="793">
        <v>7540756</v>
      </c>
      <c r="AM27" s="793">
        <v>6880973</v>
      </c>
      <c r="AN27" s="793">
        <v>6650158</v>
      </c>
      <c r="AO27" s="793">
        <v>6554609</v>
      </c>
      <c r="AP27" s="793">
        <v>8753279</v>
      </c>
      <c r="AQ27" s="793">
        <v>8185049</v>
      </c>
      <c r="AR27" s="793">
        <v>258838</v>
      </c>
      <c r="AS27" s="793">
        <v>0</v>
      </c>
      <c r="AT27" s="793">
        <v>0</v>
      </c>
      <c r="AU27" s="793">
        <v>0</v>
      </c>
      <c r="AV27" s="794">
        <v>230272</v>
      </c>
      <c r="AW27" s="793">
        <v>0</v>
      </c>
      <c r="AX27" s="793">
        <v>0</v>
      </c>
      <c r="AY27" s="793">
        <v>0</v>
      </c>
      <c r="AZ27" s="794">
        <v>222945</v>
      </c>
      <c r="BA27" s="794">
        <v>0</v>
      </c>
      <c r="BB27" s="794">
        <v>0</v>
      </c>
      <c r="BC27" s="794">
        <v>0</v>
      </c>
      <c r="BD27" s="794">
        <v>0</v>
      </c>
      <c r="BE27" s="794">
        <v>241933</v>
      </c>
      <c r="BF27" s="794">
        <v>0</v>
      </c>
      <c r="BG27" s="794">
        <v>0</v>
      </c>
      <c r="BH27" s="794">
        <v>0</v>
      </c>
      <c r="BI27" s="793">
        <v>184967</v>
      </c>
      <c r="BJ27" s="793">
        <v>62085</v>
      </c>
      <c r="BK27" s="793">
        <v>0</v>
      </c>
      <c r="BL27" s="793">
        <v>0</v>
      </c>
      <c r="BM27" s="793">
        <v>0</v>
      </c>
      <c r="BN27" s="793">
        <v>65266</v>
      </c>
      <c r="BO27" s="793">
        <v>0</v>
      </c>
      <c r="BP27" s="793">
        <v>0</v>
      </c>
      <c r="BQ27" s="793">
        <v>0</v>
      </c>
      <c r="BR27" s="793">
        <v>56016</v>
      </c>
      <c r="BS27" s="793">
        <v>85078</v>
      </c>
      <c r="BT27" s="793">
        <v>89262</v>
      </c>
      <c r="BU27" s="793">
        <v>89262</v>
      </c>
      <c r="BV27" s="793">
        <v>95000</v>
      </c>
      <c r="BW27" s="793">
        <v>95000</v>
      </c>
      <c r="BX27" s="793">
        <v>95000</v>
      </c>
      <c r="BY27" s="793">
        <v>0</v>
      </c>
      <c r="BZ27" s="793">
        <v>0</v>
      </c>
      <c r="CA27" s="793">
        <v>0</v>
      </c>
      <c r="CB27" s="786"/>
      <c r="CC27" s="786"/>
    </row>
    <row r="28" spans="1:81" x14ac:dyDescent="0.5">
      <c r="A28" s="790" t="str">
        <f>A12</f>
        <v>NiSource Inc.</v>
      </c>
      <c r="B28" s="790"/>
      <c r="C28" s="64">
        <f t="shared" si="3"/>
        <v>0.62445603502976899</v>
      </c>
      <c r="D28" s="64">
        <f t="shared" si="3"/>
        <v>0.63457278591231414</v>
      </c>
      <c r="E28" s="64">
        <f t="shared" si="3"/>
        <v>0.62501009199147051</v>
      </c>
      <c r="F28" s="64">
        <f t="shared" si="3"/>
        <v>0.63006669857700759</v>
      </c>
      <c r="G28" s="64">
        <f t="shared" si="3"/>
        <v>0.6476944118796405</v>
      </c>
      <c r="H28" s="64">
        <f t="shared" si="3"/>
        <v>0.63956311284589806</v>
      </c>
      <c r="I28" s="64">
        <f t="shared" si="3"/>
        <v>0.60018755372632782</v>
      </c>
      <c r="J28" s="64">
        <f t="shared" si="3"/>
        <v>0.59851391744928029</v>
      </c>
      <c r="K28" s="64" t="e">
        <f t="shared" si="3"/>
        <v>#VALUE!</v>
      </c>
      <c r="L28" s="791">
        <f t="shared" si="4"/>
        <v>0.62500807592646357</v>
      </c>
      <c r="N28" s="779" t="s">
        <v>4570</v>
      </c>
      <c r="O28" s="779">
        <v>4061755</v>
      </c>
      <c r="Q28" s="793">
        <v>1973236</v>
      </c>
      <c r="R28" s="793">
        <v>1992236</v>
      </c>
      <c r="S28" s="793">
        <v>1973375</v>
      </c>
      <c r="T28" s="793">
        <v>1866280</v>
      </c>
      <c r="U28" s="793">
        <v>1814836</v>
      </c>
      <c r="V28" s="793">
        <v>1789673</v>
      </c>
      <c r="W28" s="793">
        <v>1763782</v>
      </c>
      <c r="X28" s="793">
        <v>1663086</v>
      </c>
      <c r="Y28" s="793">
        <v>1608422</v>
      </c>
      <c r="Z28" s="793">
        <v>0</v>
      </c>
      <c r="AA28" s="793">
        <v>0</v>
      </c>
      <c r="AB28" s="793">
        <v>0</v>
      </c>
      <c r="AC28" s="793">
        <v>0</v>
      </c>
      <c r="AD28" s="793">
        <v>0</v>
      </c>
      <c r="AE28" s="793">
        <v>0</v>
      </c>
      <c r="AF28" s="793">
        <v>0</v>
      </c>
      <c r="AG28" s="793">
        <v>0</v>
      </c>
      <c r="AH28" s="793">
        <v>0</v>
      </c>
      <c r="AI28" s="793">
        <v>1668594</v>
      </c>
      <c r="AJ28" s="793">
        <v>1596069</v>
      </c>
      <c r="AK28" s="793">
        <v>1473841</v>
      </c>
      <c r="AL28" s="793">
        <v>1545883</v>
      </c>
      <c r="AM28" s="793">
        <v>1489530</v>
      </c>
      <c r="AN28" s="793">
        <v>1441392</v>
      </c>
      <c r="AO28" s="793">
        <v>1443160</v>
      </c>
      <c r="AP28" s="793">
        <v>1444880</v>
      </c>
      <c r="AQ28" s="793">
        <v>1313756</v>
      </c>
      <c r="AR28" s="793">
        <v>74</v>
      </c>
      <c r="AS28" s="793">
        <v>0</v>
      </c>
      <c r="AT28" s="793">
        <v>0</v>
      </c>
      <c r="AU28" s="793">
        <v>0</v>
      </c>
      <c r="AV28" s="794">
        <v>103</v>
      </c>
      <c r="AW28" s="793">
        <v>0</v>
      </c>
      <c r="AX28" s="793">
        <v>0</v>
      </c>
      <c r="AY28" s="793">
        <v>0</v>
      </c>
      <c r="AZ28" s="794">
        <v>149</v>
      </c>
      <c r="BA28" s="794">
        <v>55100</v>
      </c>
      <c r="BB28" s="794">
        <v>0</v>
      </c>
      <c r="BC28" s="794">
        <v>50000</v>
      </c>
      <c r="BD28" s="794">
        <v>103500</v>
      </c>
      <c r="BE28" s="794">
        <v>34800</v>
      </c>
      <c r="BF28" s="794">
        <v>10700</v>
      </c>
      <c r="BG28" s="794">
        <v>0</v>
      </c>
      <c r="BH28" s="794">
        <v>111800</v>
      </c>
      <c r="BI28" s="793">
        <v>73800</v>
      </c>
      <c r="BJ28" s="793">
        <v>38572</v>
      </c>
      <c r="BK28" s="793">
        <v>28860</v>
      </c>
      <c r="BL28" s="793">
        <v>24860</v>
      </c>
      <c r="BM28" s="793">
        <v>45446</v>
      </c>
      <c r="BN28" s="793">
        <v>44898</v>
      </c>
      <c r="BO28" s="793">
        <v>30259</v>
      </c>
      <c r="BP28" s="793">
        <v>25516</v>
      </c>
      <c r="BQ28" s="793">
        <v>40967</v>
      </c>
      <c r="BR28" s="793">
        <v>33246</v>
      </c>
      <c r="BS28" s="793">
        <v>0</v>
      </c>
      <c r="BT28" s="793">
        <v>0</v>
      </c>
      <c r="BU28" s="793">
        <v>0</v>
      </c>
      <c r="BV28" s="793">
        <v>0</v>
      </c>
      <c r="BW28" s="793">
        <v>0</v>
      </c>
      <c r="BX28" s="793">
        <v>0</v>
      </c>
      <c r="BY28" s="793">
        <v>0</v>
      </c>
      <c r="BZ28" s="793">
        <v>0</v>
      </c>
      <c r="CA28" s="793">
        <v>0</v>
      </c>
    </row>
    <row r="29" spans="1:81" x14ac:dyDescent="0.5">
      <c r="A29" s="790" t="str">
        <f>A13</f>
        <v>Northwest Natural Holding Company</v>
      </c>
      <c r="B29" s="790"/>
      <c r="C29" s="64">
        <f t="shared" si="3"/>
        <v>0.56120297737222968</v>
      </c>
      <c r="D29" s="64">
        <f t="shared" si="3"/>
        <v>0.5512940416808132</v>
      </c>
      <c r="E29" s="64">
        <f t="shared" si="3"/>
        <v>0.55423882350208553</v>
      </c>
      <c r="F29" s="64">
        <f t="shared" si="3"/>
        <v>0.56478858056393433</v>
      </c>
      <c r="G29" s="64">
        <f t="shared" si="3"/>
        <v>0.58031412603584509</v>
      </c>
      <c r="H29" s="64">
        <f t="shared" si="3"/>
        <v>0.55964950276400016</v>
      </c>
      <c r="I29" s="64">
        <f t="shared" si="3"/>
        <v>0.56293439781184818</v>
      </c>
      <c r="J29" s="64">
        <f t="shared" si="3"/>
        <v>0.57573041737878117</v>
      </c>
      <c r="K29" s="64" t="e">
        <f t="shared" si="3"/>
        <v>#VALUE!</v>
      </c>
      <c r="L29" s="791">
        <f t="shared" si="4"/>
        <v>0.56376910838869221</v>
      </c>
      <c r="N29" s="779" t="s">
        <v>2630</v>
      </c>
      <c r="O29" s="779">
        <v>4057051</v>
      </c>
      <c r="Q29" s="793" t="s">
        <v>14</v>
      </c>
      <c r="R29" s="793">
        <v>8345000</v>
      </c>
      <c r="S29" s="793">
        <v>7869000</v>
      </c>
      <c r="T29" s="793">
        <v>7895900</v>
      </c>
      <c r="U29" s="793">
        <v>6506600</v>
      </c>
      <c r="V29" s="793">
        <v>6059800</v>
      </c>
      <c r="W29" s="793">
        <v>6077800</v>
      </c>
      <c r="X29" s="793">
        <v>6127700</v>
      </c>
      <c r="Y29" s="793">
        <v>5812400</v>
      </c>
      <c r="Z29" s="793" t="s">
        <v>14</v>
      </c>
      <c r="AA29" s="793">
        <v>0</v>
      </c>
      <c r="AB29" s="793">
        <v>0</v>
      </c>
      <c r="AC29" s="793">
        <v>0</v>
      </c>
      <c r="AD29" s="793">
        <v>1763000</v>
      </c>
      <c r="AE29" s="793">
        <v>1152600</v>
      </c>
      <c r="AF29" s="793">
        <v>1152600</v>
      </c>
      <c r="AG29" s="793">
        <v>1546500</v>
      </c>
      <c r="AH29" s="793">
        <v>1763000</v>
      </c>
      <c r="AI29" s="793" t="s">
        <v>14</v>
      </c>
      <c r="AJ29" s="793">
        <v>13357500</v>
      </c>
      <c r="AK29" s="793">
        <v>12833000</v>
      </c>
      <c r="AL29" s="793">
        <v>11748600</v>
      </c>
      <c r="AM29" s="793">
        <v>11113400</v>
      </c>
      <c r="AN29" s="793">
        <v>11038100</v>
      </c>
      <c r="AO29" s="793">
        <v>11032200</v>
      </c>
      <c r="AP29" s="793">
        <v>10295000</v>
      </c>
      <c r="AQ29" s="793">
        <v>9590300</v>
      </c>
      <c r="AR29" s="793">
        <v>0</v>
      </c>
      <c r="AS29" s="793">
        <v>0</v>
      </c>
      <c r="AT29" s="793">
        <v>0</v>
      </c>
      <c r="AU29" s="793">
        <v>0</v>
      </c>
      <c r="AV29" s="794">
        <v>34100</v>
      </c>
      <c r="AW29" s="793">
        <v>0</v>
      </c>
      <c r="AX29" s="793">
        <v>0</v>
      </c>
      <c r="AY29" s="793">
        <v>0</v>
      </c>
      <c r="AZ29" s="794">
        <v>36700</v>
      </c>
      <c r="BA29" s="794">
        <v>0</v>
      </c>
      <c r="BB29" s="794">
        <v>257000</v>
      </c>
      <c r="BC29" s="794">
        <v>644000</v>
      </c>
      <c r="BD29" s="794">
        <v>1222300</v>
      </c>
      <c r="BE29" s="794">
        <v>3048600</v>
      </c>
      <c r="BF29" s="794">
        <v>2219900</v>
      </c>
      <c r="BG29" s="794">
        <v>1589900</v>
      </c>
      <c r="BH29" s="794">
        <v>1281600</v>
      </c>
      <c r="BI29" s="793">
        <v>1761900</v>
      </c>
      <c r="BJ29" s="793">
        <v>0</v>
      </c>
      <c r="BK29" s="793">
        <v>261600</v>
      </c>
      <c r="BL29" s="793">
        <v>187700</v>
      </c>
      <c r="BM29" s="793">
        <v>189500</v>
      </c>
      <c r="BN29" s="793">
        <v>294400</v>
      </c>
      <c r="BO29" s="793">
        <v>286600</v>
      </c>
      <c r="BP29" s="793">
        <v>207600</v>
      </c>
      <c r="BQ29" s="793">
        <v>225500</v>
      </c>
      <c r="BR29" s="793">
        <v>324700</v>
      </c>
      <c r="BS29" s="793">
        <v>0</v>
      </c>
      <c r="BT29" s="793">
        <v>0</v>
      </c>
      <c r="BU29" s="793">
        <v>0</v>
      </c>
      <c r="BV29" s="793">
        <v>0</v>
      </c>
      <c r="BW29" s="793">
        <v>337600</v>
      </c>
      <c r="BX29" s="793">
        <v>285000</v>
      </c>
      <c r="BY29" s="793">
        <v>0</v>
      </c>
      <c r="BZ29" s="793">
        <v>281800</v>
      </c>
      <c r="CA29" s="793">
        <v>347200</v>
      </c>
    </row>
    <row r="30" spans="1:81" x14ac:dyDescent="0.5">
      <c r="A30" s="790" t="str">
        <f>A14</f>
        <v>ONE Gas, Inc.</v>
      </c>
      <c r="B30" s="790"/>
      <c r="C30" s="64">
        <f t="shared" si="3"/>
        <v>0.5283261999783333</v>
      </c>
      <c r="D30" s="64">
        <f t="shared" si="3"/>
        <v>0.51195437474783034</v>
      </c>
      <c r="E30" s="64">
        <f t="shared" si="3"/>
        <v>0.50477154272706781</v>
      </c>
      <c r="F30" s="64">
        <f t="shared" si="3"/>
        <v>0.50272747948389951</v>
      </c>
      <c r="G30" s="64">
        <f t="shared" si="3"/>
        <v>0.50880942730649659</v>
      </c>
      <c r="H30" s="64">
        <f t="shared" si="3"/>
        <v>0.4966020783448481</v>
      </c>
      <c r="I30" s="64">
        <f t="shared" si="3"/>
        <v>0.50298035956263443</v>
      </c>
      <c r="J30" s="64">
        <f t="shared" si="3"/>
        <v>0.53356034227129134</v>
      </c>
      <c r="K30" s="64" t="e">
        <f t="shared" si="3"/>
        <v>#VALUE!</v>
      </c>
      <c r="L30" s="791">
        <f t="shared" si="4"/>
        <v>0.51121647555280014</v>
      </c>
      <c r="N30" s="779" t="s">
        <v>2873</v>
      </c>
      <c r="O30" s="779">
        <v>10344596</v>
      </c>
      <c r="Q30" s="793" t="s">
        <v>14</v>
      </c>
      <c r="R30" s="793">
        <v>1219886</v>
      </c>
      <c r="S30" s="793">
        <v>1264334</v>
      </c>
      <c r="T30" s="793">
        <v>1282362</v>
      </c>
      <c r="U30" s="793">
        <v>1232620</v>
      </c>
      <c r="V30" s="793">
        <v>1202103</v>
      </c>
      <c r="W30" s="793">
        <v>1210296</v>
      </c>
      <c r="X30" s="793">
        <v>1250180</v>
      </c>
      <c r="Y30" s="793">
        <v>1191082</v>
      </c>
      <c r="Z30" s="793" t="s">
        <v>14</v>
      </c>
      <c r="AA30" s="793">
        <v>0</v>
      </c>
      <c r="AB30" s="793">
        <v>0</v>
      </c>
      <c r="AC30" s="793">
        <v>0</v>
      </c>
      <c r="AD30" s="793">
        <v>0</v>
      </c>
      <c r="AE30" s="793">
        <v>0</v>
      </c>
      <c r="AF30" s="793">
        <v>0</v>
      </c>
      <c r="AG30" s="793">
        <v>0</v>
      </c>
      <c r="AH30" s="793">
        <v>0</v>
      </c>
      <c r="AI30" s="793" t="s">
        <v>14</v>
      </c>
      <c r="AJ30" s="793">
        <v>1443077</v>
      </c>
      <c r="AK30" s="793">
        <v>1443112</v>
      </c>
      <c r="AL30" s="793">
        <v>1443386</v>
      </c>
      <c r="AM30" s="793">
        <v>1443617</v>
      </c>
      <c r="AN30" s="793">
        <v>1483252</v>
      </c>
      <c r="AO30" s="793">
        <v>1403647</v>
      </c>
      <c r="AP30" s="793">
        <v>1403800</v>
      </c>
      <c r="AQ30" s="793">
        <v>1205585</v>
      </c>
      <c r="AR30" s="793">
        <v>0</v>
      </c>
      <c r="AS30" s="793">
        <v>77844</v>
      </c>
      <c r="AT30" s="793">
        <v>78046</v>
      </c>
      <c r="AU30" s="793">
        <v>78487</v>
      </c>
      <c r="AV30" s="794">
        <v>78885</v>
      </c>
      <c r="AW30" s="793">
        <v>78699</v>
      </c>
      <c r="AX30" s="793">
        <v>79088</v>
      </c>
      <c r="AY30" s="793">
        <v>79378</v>
      </c>
      <c r="AZ30" s="794">
        <v>79708</v>
      </c>
      <c r="BA30" s="794">
        <v>0</v>
      </c>
      <c r="BB30" s="794">
        <v>100114</v>
      </c>
      <c r="BC30" s="794">
        <v>0</v>
      </c>
      <c r="BD30" s="794">
        <v>31700</v>
      </c>
      <c r="BE30" s="794">
        <v>16780</v>
      </c>
      <c r="BF30" s="794">
        <v>0</v>
      </c>
      <c r="BG30" s="794">
        <v>0</v>
      </c>
      <c r="BH30" s="794">
        <v>0</v>
      </c>
      <c r="BI30" s="793">
        <v>170200</v>
      </c>
      <c r="BJ30" s="793">
        <v>0</v>
      </c>
      <c r="BK30" s="793">
        <v>0</v>
      </c>
      <c r="BL30" s="793">
        <v>0</v>
      </c>
      <c r="BM30" s="793">
        <v>0</v>
      </c>
      <c r="BN30" s="793">
        <v>0</v>
      </c>
      <c r="BO30" s="793">
        <v>0</v>
      </c>
      <c r="BP30" s="793">
        <v>0</v>
      </c>
      <c r="BQ30" s="793">
        <v>0</v>
      </c>
      <c r="BR30" s="793">
        <v>0</v>
      </c>
      <c r="BS30" s="793">
        <v>0</v>
      </c>
      <c r="BT30" s="793">
        <v>0</v>
      </c>
      <c r="BU30" s="793">
        <v>0</v>
      </c>
      <c r="BV30" s="793">
        <v>0</v>
      </c>
      <c r="BW30" s="793">
        <v>0</v>
      </c>
      <c r="BX30" s="793">
        <v>0</v>
      </c>
      <c r="BY30" s="793">
        <v>0</v>
      </c>
      <c r="BZ30" s="793">
        <v>0</v>
      </c>
      <c r="CA30" s="793">
        <v>0</v>
      </c>
    </row>
    <row r="31" spans="1:81" x14ac:dyDescent="0.5">
      <c r="A31" s="779" t="s">
        <v>3811</v>
      </c>
      <c r="C31" s="64">
        <f t="shared" si="3"/>
        <v>0.59781508651579052</v>
      </c>
      <c r="D31" s="64">
        <f t="shared" si="3"/>
        <v>0.60109742705947455</v>
      </c>
      <c r="E31" s="64">
        <f t="shared" si="3"/>
        <v>0.61619277997932664</v>
      </c>
      <c r="F31" s="64">
        <f t="shared" si="3"/>
        <v>0.61844361268874448</v>
      </c>
      <c r="G31" s="64">
        <f t="shared" si="3"/>
        <v>0.62433326663824873</v>
      </c>
      <c r="H31" s="64">
        <f t="shared" si="3"/>
        <v>0.62295613531500504</v>
      </c>
      <c r="I31" s="64">
        <f t="shared" si="3"/>
        <v>0.60915978904639145</v>
      </c>
      <c r="J31" s="64">
        <f t="shared" si="3"/>
        <v>0.66559497025703551</v>
      </c>
      <c r="K31" s="64" t="e">
        <f t="shared" si="3"/>
        <v>#VALUE!</v>
      </c>
      <c r="L31" s="791">
        <f t="shared" si="4"/>
        <v>0.61944913343750219</v>
      </c>
      <c r="N31" s="779" t="s">
        <v>2868</v>
      </c>
      <c r="O31" s="779">
        <v>4427129</v>
      </c>
      <c r="Q31" s="793" t="s">
        <v>14</v>
      </c>
      <c r="R31" s="793">
        <v>2812622</v>
      </c>
      <c r="S31" s="793">
        <v>2826873</v>
      </c>
      <c r="T31" s="793">
        <v>2829985</v>
      </c>
      <c r="U31" s="793">
        <v>2765877</v>
      </c>
      <c r="V31" s="793">
        <v>2646747</v>
      </c>
      <c r="W31" s="793">
        <v>2654826</v>
      </c>
      <c r="X31" s="793">
        <v>2651480</v>
      </c>
      <c r="Y31" s="793">
        <v>2584426</v>
      </c>
      <c r="Z31" s="793" t="s">
        <v>14</v>
      </c>
      <c r="AA31" s="793">
        <v>0</v>
      </c>
      <c r="AB31" s="793">
        <v>0</v>
      </c>
      <c r="AC31" s="793">
        <v>0</v>
      </c>
      <c r="AD31" s="793">
        <v>0</v>
      </c>
      <c r="AE31" s="793">
        <v>0</v>
      </c>
      <c r="AF31" s="793">
        <v>0</v>
      </c>
      <c r="AG31" s="793">
        <v>0</v>
      </c>
      <c r="AH31" s="793">
        <v>0</v>
      </c>
      <c r="AI31" s="793" t="s">
        <v>14</v>
      </c>
      <c r="AJ31" s="793">
        <v>2413852</v>
      </c>
      <c r="AK31" s="793">
        <v>2175118</v>
      </c>
      <c r="AL31" s="793">
        <v>2174558</v>
      </c>
      <c r="AM31" s="793">
        <v>2981115</v>
      </c>
      <c r="AN31" s="793">
        <v>2663026</v>
      </c>
      <c r="AO31" s="793">
        <v>2683251</v>
      </c>
      <c r="AP31" s="793">
        <v>2682812</v>
      </c>
      <c r="AQ31" s="793">
        <v>2705571</v>
      </c>
      <c r="AR31" s="793">
        <v>0</v>
      </c>
      <c r="AS31" s="793">
        <v>0</v>
      </c>
      <c r="AT31" s="793">
        <v>0</v>
      </c>
      <c r="AU31" s="793">
        <v>0</v>
      </c>
      <c r="AV31" s="794">
        <v>20300</v>
      </c>
      <c r="AW31" s="793">
        <v>0</v>
      </c>
      <c r="AX31" s="793">
        <v>0</v>
      </c>
      <c r="AY31" s="793">
        <v>0</v>
      </c>
      <c r="AZ31" s="794">
        <v>23100</v>
      </c>
      <c r="BA31" s="779">
        <v>0</v>
      </c>
      <c r="BB31" s="779">
        <v>951400</v>
      </c>
      <c r="BC31" s="779">
        <v>1031500</v>
      </c>
      <c r="BD31" s="779">
        <v>953400</v>
      </c>
      <c r="BE31" s="779">
        <v>88500</v>
      </c>
      <c r="BF31" s="779">
        <v>326950</v>
      </c>
      <c r="BG31" s="779">
        <v>217100</v>
      </c>
      <c r="BH31" s="779">
        <v>280000</v>
      </c>
      <c r="BI31" s="779">
        <v>552000</v>
      </c>
      <c r="BJ31" s="793">
        <v>0</v>
      </c>
      <c r="BK31" s="793">
        <v>72537</v>
      </c>
      <c r="BL31" s="793">
        <v>60243</v>
      </c>
      <c r="BM31" s="793">
        <v>58064</v>
      </c>
      <c r="BN31" s="793">
        <v>62187</v>
      </c>
      <c r="BO31" s="793">
        <v>66993</v>
      </c>
      <c r="BP31" s="793">
        <v>54635</v>
      </c>
      <c r="BQ31" s="793">
        <v>56467</v>
      </c>
      <c r="BR31" s="793">
        <v>57854</v>
      </c>
      <c r="BS31" s="793">
        <v>0</v>
      </c>
      <c r="BT31" s="793">
        <v>287345</v>
      </c>
      <c r="BU31" s="793">
        <v>301503</v>
      </c>
      <c r="BV31" s="793">
        <v>301503</v>
      </c>
      <c r="BW31" s="793">
        <v>315284</v>
      </c>
      <c r="BX31" s="793">
        <v>315284</v>
      </c>
      <c r="BY31" s="793">
        <v>336000</v>
      </c>
      <c r="BZ31" s="793">
        <v>336000</v>
      </c>
      <c r="CA31" s="793">
        <v>336000</v>
      </c>
    </row>
    <row r="32" spans="1:81" x14ac:dyDescent="0.5">
      <c r="A32" s="790" t="str">
        <f>A16</f>
        <v>Spire Inc.</v>
      </c>
      <c r="B32" s="790"/>
      <c r="C32" s="64">
        <f t="shared" si="3"/>
        <v>0.5770104440298981</v>
      </c>
      <c r="D32" s="64">
        <f t="shared" si="3"/>
        <v>0.5730208307095539</v>
      </c>
      <c r="E32" s="64">
        <f t="shared" si="3"/>
        <v>0.61170436177118204</v>
      </c>
      <c r="F32" s="64">
        <f t="shared" si="3"/>
        <v>0.61775419287211741</v>
      </c>
      <c r="G32" s="64">
        <f t="shared" si="3"/>
        <v>0.60823213498456974</v>
      </c>
      <c r="H32" s="64">
        <f t="shared" si="3"/>
        <v>0.60400175026850711</v>
      </c>
      <c r="I32" s="64">
        <f t="shared" si="3"/>
        <v>0.62063393247413801</v>
      </c>
      <c r="J32" s="64">
        <f t="shared" si="3"/>
        <v>0.60539579424859291</v>
      </c>
      <c r="K32" s="64">
        <f t="shared" si="3"/>
        <v>-0.24534266335205476</v>
      </c>
      <c r="L32" s="791">
        <f t="shared" si="4"/>
        <v>0.6022191801698199</v>
      </c>
      <c r="N32" s="779" t="s">
        <v>3812</v>
      </c>
      <c r="O32" s="779">
        <v>4041957</v>
      </c>
      <c r="Q32" s="793" t="s">
        <v>14</v>
      </c>
      <c r="R32" s="793">
        <v>3215562</v>
      </c>
      <c r="S32" s="793">
        <v>3257535</v>
      </c>
      <c r="T32" s="793">
        <v>3277539</v>
      </c>
      <c r="U32" s="793">
        <v>3183615</v>
      </c>
      <c r="V32" s="793">
        <v>3135296</v>
      </c>
      <c r="W32" s="793">
        <v>3176878</v>
      </c>
      <c r="X32" s="793">
        <v>2666130</v>
      </c>
      <c r="Y32" s="793">
        <v>2569175</v>
      </c>
      <c r="Z32" s="793" t="s">
        <v>14</v>
      </c>
      <c r="AA32" s="793">
        <v>0</v>
      </c>
      <c r="AB32" s="793">
        <v>0</v>
      </c>
      <c r="AC32" s="793">
        <v>0</v>
      </c>
      <c r="AD32" s="793">
        <v>0</v>
      </c>
      <c r="AE32" s="793">
        <v>0</v>
      </c>
      <c r="AF32" s="793">
        <v>0</v>
      </c>
      <c r="AG32" s="793">
        <v>0</v>
      </c>
      <c r="AH32" s="793">
        <v>0</v>
      </c>
      <c r="AI32" s="793" t="s">
        <v>14</v>
      </c>
      <c r="AJ32" s="793">
        <v>3503629</v>
      </c>
      <c r="AK32" s="793">
        <v>3503298</v>
      </c>
      <c r="AL32" s="793">
        <v>3502411</v>
      </c>
      <c r="AM32" s="793">
        <v>3501543</v>
      </c>
      <c r="AN32" s="793">
        <v>3500684</v>
      </c>
      <c r="AO32" s="793">
        <v>3499819</v>
      </c>
      <c r="AP32" s="793">
        <v>3497977</v>
      </c>
      <c r="AQ32" s="793">
        <v>3251296</v>
      </c>
      <c r="AR32" s="793">
        <v>0</v>
      </c>
      <c r="AS32" s="793">
        <v>0</v>
      </c>
      <c r="AT32" s="793">
        <v>0</v>
      </c>
      <c r="AU32" s="793">
        <v>0</v>
      </c>
      <c r="AV32" s="794">
        <v>0</v>
      </c>
      <c r="AW32" s="793">
        <v>0</v>
      </c>
      <c r="AX32" s="793">
        <v>0</v>
      </c>
      <c r="AY32" s="793">
        <v>0</v>
      </c>
      <c r="AZ32" s="794">
        <v>0</v>
      </c>
      <c r="BA32" s="794">
        <v>0</v>
      </c>
      <c r="BB32" s="794">
        <v>0</v>
      </c>
      <c r="BC32" s="794">
        <v>0</v>
      </c>
      <c r="BD32" s="794">
        <v>0</v>
      </c>
      <c r="BE32" s="794">
        <v>0</v>
      </c>
      <c r="BF32" s="794">
        <v>0</v>
      </c>
      <c r="BG32" s="794">
        <v>0</v>
      </c>
      <c r="BH32" s="794">
        <v>450000</v>
      </c>
      <c r="BI32" s="793">
        <v>225000</v>
      </c>
      <c r="BJ32" s="793">
        <v>0</v>
      </c>
      <c r="BK32" s="793">
        <v>60750</v>
      </c>
      <c r="BL32" s="793">
        <v>57399</v>
      </c>
      <c r="BM32" s="793">
        <v>52631</v>
      </c>
      <c r="BN32" s="793">
        <v>48460</v>
      </c>
      <c r="BO32" s="793">
        <v>47206</v>
      </c>
      <c r="BP32" s="793">
        <v>48414</v>
      </c>
      <c r="BQ32" s="793">
        <v>50350</v>
      </c>
      <c r="BR32" s="793">
        <v>51182</v>
      </c>
      <c r="BS32" s="793">
        <v>0</v>
      </c>
      <c r="BT32" s="793">
        <v>0</v>
      </c>
      <c r="BU32" s="793">
        <v>0</v>
      </c>
      <c r="BV32" s="793">
        <v>0</v>
      </c>
      <c r="BW32" s="793">
        <v>0</v>
      </c>
      <c r="BX32" s="793">
        <v>0</v>
      </c>
      <c r="BY32" s="793">
        <v>0</v>
      </c>
      <c r="BZ32" s="793">
        <v>0</v>
      </c>
      <c r="CA32" s="793">
        <v>0</v>
      </c>
    </row>
    <row r="33" spans="1:79" x14ac:dyDescent="0.5">
      <c r="A33" s="796"/>
      <c r="B33" s="796"/>
      <c r="C33" s="796"/>
      <c r="D33" s="796"/>
      <c r="E33" s="797"/>
      <c r="F33" s="797"/>
      <c r="G33" s="797"/>
      <c r="H33" s="797"/>
      <c r="I33" s="797"/>
      <c r="J33" s="797"/>
      <c r="K33" s="797"/>
      <c r="L33" s="803"/>
      <c r="N33" s="779" t="s">
        <v>2874</v>
      </c>
      <c r="O33" s="779">
        <v>4004296</v>
      </c>
      <c r="Q33" s="793">
        <v>948300</v>
      </c>
      <c r="R33" s="793">
        <v>963300</v>
      </c>
      <c r="S33" s="793">
        <v>966900</v>
      </c>
      <c r="T33" s="793">
        <v>924100</v>
      </c>
      <c r="U33" s="793">
        <v>928000</v>
      </c>
      <c r="V33" s="793">
        <v>933500</v>
      </c>
      <c r="W33" s="793">
        <v>935200</v>
      </c>
      <c r="X33" s="793">
        <v>900700</v>
      </c>
      <c r="Y33" s="793">
        <v>906000</v>
      </c>
      <c r="Z33" s="793">
        <v>0</v>
      </c>
      <c r="AA33" s="793">
        <v>0</v>
      </c>
      <c r="AB33" s="793">
        <v>0</v>
      </c>
      <c r="AC33" s="793">
        <v>0</v>
      </c>
      <c r="AD33" s="793">
        <v>0</v>
      </c>
      <c r="AE33" s="793">
        <v>0</v>
      </c>
      <c r="AF33" s="793">
        <v>0</v>
      </c>
      <c r="AG33" s="793">
        <v>0</v>
      </c>
      <c r="AH33" s="793">
        <v>0</v>
      </c>
      <c r="AI33" s="793">
        <v>770500</v>
      </c>
      <c r="AJ33" s="793">
        <v>746200</v>
      </c>
      <c r="AK33" s="793">
        <v>746100</v>
      </c>
      <c r="AL33" s="793">
        <v>746000</v>
      </c>
      <c r="AM33" s="793">
        <v>771300</v>
      </c>
      <c r="AN33" s="793">
        <v>745800</v>
      </c>
      <c r="AO33" s="793">
        <v>745700</v>
      </c>
      <c r="AP33" s="793">
        <v>745600</v>
      </c>
      <c r="AQ33" s="793">
        <v>598000</v>
      </c>
      <c r="AR33" s="793">
        <v>24200</v>
      </c>
      <c r="AS33" s="793">
        <v>0</v>
      </c>
      <c r="AT33" s="793">
        <v>0</v>
      </c>
      <c r="AU33" s="793">
        <v>0</v>
      </c>
      <c r="AV33" s="794">
        <v>25400</v>
      </c>
      <c r="AW33" s="793">
        <v>0</v>
      </c>
      <c r="AX33" s="793">
        <v>0</v>
      </c>
      <c r="AY33" s="793">
        <v>0</v>
      </c>
      <c r="AZ33" s="794">
        <v>26500</v>
      </c>
      <c r="BA33" s="794">
        <v>48400</v>
      </c>
      <c r="BB33" s="794">
        <v>23000</v>
      </c>
      <c r="BC33" s="794">
        <v>37400</v>
      </c>
      <c r="BD33" s="794">
        <v>128500</v>
      </c>
      <c r="BE33" s="794">
        <v>124100</v>
      </c>
      <c r="BF33" s="794">
        <v>108100</v>
      </c>
      <c r="BG33" s="794">
        <v>121300</v>
      </c>
      <c r="BH33" s="794">
        <v>145800</v>
      </c>
      <c r="BI33" s="793">
        <v>260900</v>
      </c>
      <c r="BJ33" s="793">
        <v>31700</v>
      </c>
      <c r="BK33" s="793">
        <v>27000</v>
      </c>
      <c r="BL33" s="793">
        <v>25200</v>
      </c>
      <c r="BM33" s="793">
        <v>28800</v>
      </c>
      <c r="BN33" s="793">
        <v>27400</v>
      </c>
      <c r="BO33" s="793">
        <v>25200</v>
      </c>
      <c r="BP33" s="793">
        <v>24900</v>
      </c>
      <c r="BQ33" s="793">
        <v>29400</v>
      </c>
      <c r="BR33" s="793">
        <v>28900</v>
      </c>
      <c r="BS33" s="793">
        <v>0</v>
      </c>
      <c r="BT33" s="793">
        <v>0</v>
      </c>
      <c r="BU33" s="793">
        <v>0</v>
      </c>
      <c r="BV33" s="793">
        <v>0</v>
      </c>
      <c r="BW33" s="793">
        <v>0</v>
      </c>
      <c r="BX33" s="793">
        <v>0</v>
      </c>
      <c r="BY33" s="793">
        <v>0</v>
      </c>
      <c r="BZ33" s="793">
        <v>0</v>
      </c>
      <c r="CA33" s="793">
        <v>0</v>
      </c>
    </row>
    <row r="34" spans="1:79" x14ac:dyDescent="0.5">
      <c r="A34" s="790"/>
      <c r="B34" s="790"/>
      <c r="C34" s="790"/>
      <c r="D34" s="790"/>
      <c r="E34" s="804"/>
      <c r="F34" s="804"/>
      <c r="G34" s="804"/>
      <c r="H34" s="804"/>
      <c r="I34" s="801"/>
      <c r="J34" s="61" t="s">
        <v>4579</v>
      </c>
      <c r="K34" s="799"/>
      <c r="L34" s="800">
        <f>MIN(L26:L32)</f>
        <v>0.40935046426838406</v>
      </c>
      <c r="N34" s="779" t="s">
        <v>2875</v>
      </c>
      <c r="O34" s="779">
        <v>4060957</v>
      </c>
      <c r="Q34" s="793">
        <v>1963700</v>
      </c>
      <c r="R34" s="793">
        <v>1991200</v>
      </c>
      <c r="S34" s="793">
        <v>2007100</v>
      </c>
      <c r="T34" s="793">
        <v>1901900</v>
      </c>
      <c r="U34" s="793">
        <v>1844800</v>
      </c>
      <c r="V34" s="793">
        <v>1847700</v>
      </c>
      <c r="W34" s="793">
        <v>1875000</v>
      </c>
      <c r="X34" s="793">
        <v>1792800</v>
      </c>
      <c r="Y34" s="793">
        <v>1745400</v>
      </c>
      <c r="Z34" s="793">
        <v>0</v>
      </c>
      <c r="AA34" s="793">
        <v>0</v>
      </c>
      <c r="AB34" s="793">
        <v>0</v>
      </c>
      <c r="AC34" s="793">
        <v>0</v>
      </c>
      <c r="AD34" s="793">
        <v>0</v>
      </c>
      <c r="AE34" s="793">
        <v>0</v>
      </c>
      <c r="AF34" s="793">
        <v>0</v>
      </c>
      <c r="AG34" s="793">
        <v>0</v>
      </c>
      <c r="AH34" s="793">
        <v>0</v>
      </c>
      <c r="AI34" s="793">
        <v>1805200</v>
      </c>
      <c r="AJ34" s="793">
        <v>1786600</v>
      </c>
      <c r="AK34" s="793">
        <v>1786200</v>
      </c>
      <c r="AL34" s="793">
        <v>1785800</v>
      </c>
      <c r="AM34" s="793">
        <v>1787700</v>
      </c>
      <c r="AN34" s="793">
        <v>2035100</v>
      </c>
      <c r="AO34" s="793">
        <v>2034500</v>
      </c>
      <c r="AP34" s="793">
        <v>1638100</v>
      </c>
      <c r="AQ34" s="793">
        <v>1639600</v>
      </c>
      <c r="AR34" s="793">
        <v>1800</v>
      </c>
      <c r="AS34" s="793">
        <v>0</v>
      </c>
      <c r="AT34" s="793">
        <v>0</v>
      </c>
      <c r="AU34" s="793">
        <v>0</v>
      </c>
      <c r="AV34" s="794">
        <v>2300</v>
      </c>
      <c r="AW34" s="793">
        <v>0</v>
      </c>
      <c r="AX34" s="793">
        <v>0</v>
      </c>
      <c r="AY34" s="793">
        <v>0</v>
      </c>
      <c r="AZ34" s="794">
        <v>1900</v>
      </c>
      <c r="BA34" s="779">
        <v>495300</v>
      </c>
      <c r="BB34" s="779">
        <v>418300</v>
      </c>
      <c r="BC34" s="779">
        <v>443900</v>
      </c>
      <c r="BD34" s="779">
        <v>633300</v>
      </c>
      <c r="BE34" s="779">
        <v>540600</v>
      </c>
      <c r="BF34" s="779">
        <v>228100</v>
      </c>
      <c r="BG34" s="779">
        <v>260700</v>
      </c>
      <c r="BH34" s="779">
        <v>651200</v>
      </c>
      <c r="BI34" s="779">
        <v>445300</v>
      </c>
      <c r="BJ34" s="793">
        <v>41600</v>
      </c>
      <c r="BK34" s="793">
        <v>14700</v>
      </c>
      <c r="BL34" s="793">
        <v>5900</v>
      </c>
      <c r="BM34" s="793">
        <v>20200</v>
      </c>
      <c r="BN34" s="793">
        <v>16800</v>
      </c>
      <c r="BO34" s="793">
        <v>5800</v>
      </c>
      <c r="BP34" s="793">
        <v>6000</v>
      </c>
      <c r="BQ34" s="793">
        <v>11600</v>
      </c>
      <c r="BR34" s="793">
        <v>13500</v>
      </c>
      <c r="BS34" s="793">
        <v>0</v>
      </c>
      <c r="BT34" s="793">
        <v>0</v>
      </c>
      <c r="BU34" s="793">
        <v>0</v>
      </c>
      <c r="BV34" s="793">
        <v>0</v>
      </c>
      <c r="BW34" s="793">
        <v>0</v>
      </c>
      <c r="BX34" s="793">
        <v>0</v>
      </c>
      <c r="BY34" s="793">
        <v>0</v>
      </c>
      <c r="BZ34" s="793">
        <v>0</v>
      </c>
      <c r="CA34" s="793">
        <v>0</v>
      </c>
    </row>
    <row r="35" spans="1:79" x14ac:dyDescent="0.5">
      <c r="E35" s="801"/>
      <c r="F35" s="801"/>
      <c r="G35" s="801"/>
      <c r="H35" s="801"/>
      <c r="I35" s="805"/>
      <c r="J35" s="61" t="s">
        <v>4580</v>
      </c>
      <c r="L35" s="800">
        <f>MAX(L26:L32)</f>
        <v>0.62500807592646357</v>
      </c>
    </row>
    <row r="36" spans="1:79" x14ac:dyDescent="0.5">
      <c r="E36" s="805"/>
      <c r="F36" s="805"/>
      <c r="G36" s="805"/>
      <c r="H36" s="805"/>
    </row>
    <row r="37" spans="1:79" x14ac:dyDescent="0.5">
      <c r="E37" s="805"/>
      <c r="F37" s="805"/>
      <c r="G37" s="805"/>
      <c r="H37" s="805"/>
      <c r="I37" s="805"/>
      <c r="J37" s="805"/>
      <c r="K37" s="805"/>
      <c r="L37" s="805"/>
    </row>
    <row r="38" spans="1:79" x14ac:dyDescent="0.5">
      <c r="A38" s="1435" t="s">
        <v>4571</v>
      </c>
      <c r="B38" s="1435"/>
      <c r="C38" s="1435"/>
      <c r="D38" s="1435"/>
      <c r="E38" s="1435"/>
      <c r="F38" s="1435"/>
      <c r="G38" s="1435"/>
      <c r="H38" s="1435"/>
      <c r="I38" s="1435"/>
      <c r="J38" s="1435"/>
      <c r="K38" s="1435"/>
      <c r="L38" s="1435"/>
    </row>
    <row r="40" spans="1:79" ht="45" x14ac:dyDescent="0.5">
      <c r="A40" s="779" t="s">
        <v>611</v>
      </c>
      <c r="C40" s="784" t="s">
        <v>4535</v>
      </c>
      <c r="D40" s="784" t="s">
        <v>4536</v>
      </c>
      <c r="E40" s="784" t="str">
        <f t="shared" ref="E40:J40" si="5">E24</f>
        <v>2024 Q1</v>
      </c>
      <c r="F40" s="784" t="str">
        <f t="shared" si="5"/>
        <v>2023 Q4</v>
      </c>
      <c r="G40" s="784" t="str">
        <f t="shared" si="5"/>
        <v>2023 Q3</v>
      </c>
      <c r="H40" s="784" t="str">
        <f t="shared" si="5"/>
        <v>2023 Q2</v>
      </c>
      <c r="I40" s="784" t="str">
        <f t="shared" si="5"/>
        <v>2023 Q1</v>
      </c>
      <c r="J40" s="784" t="str">
        <f t="shared" si="5"/>
        <v>2022 Q4</v>
      </c>
      <c r="K40" s="784"/>
      <c r="L40" s="785" t="str">
        <f>L24</f>
        <v>8Q average ending Q3 2024</v>
      </c>
    </row>
    <row r="41" spans="1:79" x14ac:dyDescent="0.5">
      <c r="A41" s="787"/>
      <c r="B41" s="787"/>
      <c r="C41" s="787"/>
      <c r="D41" s="787"/>
      <c r="E41" s="787"/>
      <c r="F41" s="787"/>
      <c r="G41" s="787"/>
      <c r="H41" s="787"/>
      <c r="I41" s="787"/>
      <c r="J41" s="787"/>
      <c r="K41" s="787"/>
      <c r="L41" s="788"/>
    </row>
    <row r="42" spans="1:79" x14ac:dyDescent="0.5">
      <c r="A42" s="790" t="str">
        <f>A26</f>
        <v>Atmos Energy Corporation</v>
      </c>
      <c r="B42" s="790"/>
      <c r="C42" s="64">
        <f t="shared" ref="C42:J48" si="6">(R11)/(R11+AA11+AJ11-AS11+BK11-BT11)</f>
        <v>0.61007220269393547</v>
      </c>
      <c r="D42" s="64">
        <f t="shared" si="6"/>
        <v>0.6094197324585755</v>
      </c>
      <c r="E42" s="64">
        <f t="shared" si="6"/>
        <v>0.60223463209637929</v>
      </c>
      <c r="F42" s="64">
        <f t="shared" si="6"/>
        <v>0.62146502398858017</v>
      </c>
      <c r="G42" s="64">
        <f t="shared" si="6"/>
        <v>0.61794299287327858</v>
      </c>
      <c r="H42" s="64">
        <f t="shared" si="6"/>
        <v>0.60890920388495962</v>
      </c>
      <c r="I42" s="64">
        <f t="shared" si="6"/>
        <v>0.52912912967837367</v>
      </c>
      <c r="J42" s="64">
        <f t="shared" si="6"/>
        <v>0.54017187725720583</v>
      </c>
      <c r="K42" s="64"/>
      <c r="L42" s="791">
        <f t="shared" ref="L42:L48" si="7">AVERAGE(C42:J42)</f>
        <v>0.59241809936641099</v>
      </c>
    </row>
    <row r="43" spans="1:79" x14ac:dyDescent="0.5">
      <c r="A43" s="790" t="str">
        <f>A27</f>
        <v>New Jersey Resources Corporation</v>
      </c>
      <c r="B43" s="790"/>
      <c r="C43" s="64">
        <f t="shared" si="6"/>
        <v>0.41507071734580098</v>
      </c>
      <c r="D43" s="64">
        <f t="shared" si="6"/>
        <v>0.4290911904800816</v>
      </c>
      <c r="E43" s="64">
        <f t="shared" si="6"/>
        <v>0.40751172616298176</v>
      </c>
      <c r="F43" s="64">
        <f t="shared" si="6"/>
        <v>0.40463598544417406</v>
      </c>
      <c r="G43" s="64">
        <f t="shared" si="6"/>
        <v>0.40582618426870853</v>
      </c>
      <c r="H43" s="64">
        <f t="shared" si="6"/>
        <v>0.41504842939729653</v>
      </c>
      <c r="I43" s="64">
        <f t="shared" si="6"/>
        <v>0.40610137861089651</v>
      </c>
      <c r="J43" s="64">
        <f t="shared" si="6"/>
        <v>0.41197915993622203</v>
      </c>
      <c r="K43" s="64"/>
      <c r="L43" s="791">
        <f t="shared" si="7"/>
        <v>0.41190809645577026</v>
      </c>
    </row>
    <row r="44" spans="1:79" x14ac:dyDescent="0.5">
      <c r="A44" s="790" t="str">
        <f>A28</f>
        <v>NiSource Inc.</v>
      </c>
      <c r="B44" s="790"/>
      <c r="C44" s="64">
        <f t="shared" si="6"/>
        <v>0.37993817183494882</v>
      </c>
      <c r="D44" s="64">
        <f t="shared" si="6"/>
        <v>0.37669281990646108</v>
      </c>
      <c r="E44" s="64">
        <f t="shared" si="6"/>
        <v>0.39809922355551075</v>
      </c>
      <c r="F44" s="64">
        <f t="shared" si="6"/>
        <v>0.33702999632232966</v>
      </c>
      <c r="G44" s="64">
        <f t="shared" si="6"/>
        <v>0.33200563222862028</v>
      </c>
      <c r="H44" s="64">
        <f t="shared" si="6"/>
        <v>0.32905978278524328</v>
      </c>
      <c r="I44" s="64">
        <f t="shared" si="6"/>
        <v>0.34208307979165853</v>
      </c>
      <c r="J44" s="64">
        <f t="shared" si="6"/>
        <v>0.3397772776430012</v>
      </c>
      <c r="K44" s="64"/>
      <c r="L44" s="791">
        <f t="shared" si="7"/>
        <v>0.35433574800847173</v>
      </c>
    </row>
    <row r="45" spans="1:79" x14ac:dyDescent="0.5">
      <c r="A45" s="790" t="str">
        <f>A29</f>
        <v>Northwest Natural Holding Company</v>
      </c>
      <c r="B45" s="790"/>
      <c r="C45" s="64">
        <f t="shared" si="6"/>
        <v>0.46270755436869171</v>
      </c>
      <c r="D45" s="64">
        <f t="shared" si="6"/>
        <v>0.46083591431914162</v>
      </c>
      <c r="E45" s="64">
        <f t="shared" si="6"/>
        <v>0.4602228853130706</v>
      </c>
      <c r="F45" s="64">
        <f t="shared" si="6"/>
        <v>0.44887274669963478</v>
      </c>
      <c r="G45" s="64">
        <f t="shared" si="6"/>
        <v>0.43019711870863964</v>
      </c>
      <c r="H45" s="64">
        <f t="shared" si="6"/>
        <v>0.44685524054518533</v>
      </c>
      <c r="I45" s="64">
        <f t="shared" si="6"/>
        <v>0.44844911767421358</v>
      </c>
      <c r="J45" s="64">
        <f t="shared" si="6"/>
        <v>0.46787352650255443</v>
      </c>
      <c r="K45" s="64"/>
      <c r="L45" s="791">
        <f t="shared" si="7"/>
        <v>0.45325176301639147</v>
      </c>
    </row>
    <row r="46" spans="1:79" x14ac:dyDescent="0.5">
      <c r="A46" s="790" t="str">
        <f>A30</f>
        <v>ONE Gas, Inc.</v>
      </c>
      <c r="B46" s="790"/>
      <c r="C46" s="64">
        <f t="shared" si="6"/>
        <v>0.56121497322447267</v>
      </c>
      <c r="D46" s="64">
        <f t="shared" si="6"/>
        <v>0.59378969322148212</v>
      </c>
      <c r="E46" s="64">
        <f t="shared" si="6"/>
        <v>0.59439680376652138</v>
      </c>
      <c r="F46" s="64">
        <f t="shared" si="6"/>
        <v>0.50531268754812875</v>
      </c>
      <c r="G46" s="64">
        <f t="shared" si="6"/>
        <v>0.52291937420700108</v>
      </c>
      <c r="H46" s="64">
        <f t="shared" si="6"/>
        <v>0.52501032291338723</v>
      </c>
      <c r="I46" s="64">
        <f t="shared" si="6"/>
        <v>0.5245512199493586</v>
      </c>
      <c r="J46" s="64">
        <f t="shared" si="6"/>
        <v>0.51805071048845697</v>
      </c>
      <c r="K46" s="64"/>
      <c r="L46" s="791">
        <f t="shared" si="7"/>
        <v>0.54315572316485106</v>
      </c>
    </row>
    <row r="47" spans="1:79" x14ac:dyDescent="0.5">
      <c r="A47" s="779" t="s">
        <v>3811</v>
      </c>
      <c r="C47" s="64">
        <f t="shared" si="6"/>
        <v>0.435816346311868</v>
      </c>
      <c r="D47" s="64">
        <f t="shared" si="6"/>
        <v>0.40402443743070365</v>
      </c>
      <c r="E47" s="64">
        <f t="shared" si="6"/>
        <v>0.414319999219811</v>
      </c>
      <c r="F47" s="64">
        <f t="shared" si="6"/>
        <v>0.41135884890369712</v>
      </c>
      <c r="G47" s="64">
        <f t="shared" si="6"/>
        <v>0.37818906855289547</v>
      </c>
      <c r="H47" s="64">
        <f t="shared" si="6"/>
        <v>0.37772041503071702</v>
      </c>
      <c r="I47" s="64">
        <f t="shared" si="6"/>
        <v>0.41377738148305809</v>
      </c>
      <c r="J47" s="64">
        <f t="shared" si="6"/>
        <v>0.40225324277297547</v>
      </c>
      <c r="L47" s="791">
        <f t="shared" si="7"/>
        <v>0.40468246746321568</v>
      </c>
    </row>
    <row r="48" spans="1:79" x14ac:dyDescent="0.5">
      <c r="A48" s="790" t="str">
        <f>A32</f>
        <v>Spire Inc.</v>
      </c>
      <c r="B48" s="790"/>
      <c r="C48" s="64">
        <f t="shared" si="6"/>
        <v>0.43482297337215681</v>
      </c>
      <c r="D48" s="64">
        <f t="shared" si="6"/>
        <v>0.44006317967068298</v>
      </c>
      <c r="E48" s="64">
        <f t="shared" si="6"/>
        <v>0.41248861867418568</v>
      </c>
      <c r="F48" s="64">
        <f t="shared" si="6"/>
        <v>0.40070396165655658</v>
      </c>
      <c r="G48" s="64">
        <f t="shared" si="6"/>
        <v>0.3883684339679836</v>
      </c>
      <c r="H48" s="64">
        <f t="shared" si="6"/>
        <v>0.39315541421347427</v>
      </c>
      <c r="I48" s="64">
        <f t="shared" si="6"/>
        <v>0.41471206921093834</v>
      </c>
      <c r="J48" s="64">
        <f t="shared" si="6"/>
        <v>0.42202420926766149</v>
      </c>
      <c r="K48" s="64"/>
      <c r="L48" s="791">
        <f t="shared" si="7"/>
        <v>0.41329235750420495</v>
      </c>
    </row>
    <row r="49" spans="1:12" x14ac:dyDescent="0.5">
      <c r="A49" s="796"/>
      <c r="B49" s="796"/>
      <c r="C49" s="796"/>
      <c r="D49" s="796"/>
      <c r="E49" s="797"/>
      <c r="F49" s="797"/>
      <c r="G49" s="797"/>
      <c r="H49" s="797"/>
      <c r="I49" s="797"/>
      <c r="J49" s="797"/>
      <c r="K49" s="797"/>
      <c r="L49" s="798"/>
    </row>
    <row r="50" spans="1:12" x14ac:dyDescent="0.5">
      <c r="I50" s="66"/>
      <c r="J50" s="61" t="s">
        <v>4579</v>
      </c>
      <c r="K50" s="799"/>
      <c r="L50" s="800">
        <f>MIN(L42:L48)</f>
        <v>0.35433574800847173</v>
      </c>
    </row>
    <row r="51" spans="1:12" x14ac:dyDescent="0.5">
      <c r="E51" s="801"/>
      <c r="F51" s="801"/>
      <c r="G51" s="801"/>
      <c r="H51" s="801"/>
      <c r="I51" s="801"/>
      <c r="J51" s="61" t="s">
        <v>4580</v>
      </c>
      <c r="L51" s="800">
        <f>MAX(L42:L48)</f>
        <v>0.59241809936641099</v>
      </c>
    </row>
    <row r="53" spans="1:12" x14ac:dyDescent="0.5">
      <c r="L53" s="800"/>
    </row>
    <row r="54" spans="1:12" x14ac:dyDescent="0.5">
      <c r="A54" s="1435" t="s">
        <v>4572</v>
      </c>
      <c r="B54" s="1435"/>
      <c r="C54" s="1435"/>
      <c r="D54" s="1435"/>
      <c r="E54" s="1435"/>
      <c r="F54" s="1435"/>
      <c r="G54" s="1435"/>
      <c r="H54" s="1435"/>
      <c r="I54" s="1435"/>
      <c r="J54" s="1435"/>
      <c r="K54" s="1435"/>
      <c r="L54" s="1435"/>
    </row>
    <row r="55" spans="1:12" x14ac:dyDescent="0.5">
      <c r="A55" s="781"/>
      <c r="B55" s="781"/>
      <c r="C55" s="781"/>
      <c r="D55" s="781"/>
      <c r="E55" s="781"/>
      <c r="F55" s="781"/>
      <c r="G55" s="781"/>
      <c r="H55" s="781"/>
      <c r="I55" s="781"/>
      <c r="J55" s="781"/>
      <c r="K55" s="781"/>
      <c r="L55" s="781"/>
    </row>
    <row r="56" spans="1:12" ht="45" x14ac:dyDescent="0.5">
      <c r="A56" s="779" t="s">
        <v>611</v>
      </c>
      <c r="C56" s="784" t="s">
        <v>4535</v>
      </c>
      <c r="D56" s="784" t="s">
        <v>4536</v>
      </c>
      <c r="E56" s="784" t="str">
        <f t="shared" ref="E56:J56" si="8">E40</f>
        <v>2024 Q1</v>
      </c>
      <c r="F56" s="784" t="str">
        <f t="shared" si="8"/>
        <v>2023 Q4</v>
      </c>
      <c r="G56" s="784" t="str">
        <f t="shared" si="8"/>
        <v>2023 Q3</v>
      </c>
      <c r="H56" s="784" t="str">
        <f t="shared" si="8"/>
        <v>2023 Q2</v>
      </c>
      <c r="I56" s="784" t="str">
        <f t="shared" si="8"/>
        <v>2023 Q1</v>
      </c>
      <c r="J56" s="784" t="str">
        <f t="shared" si="8"/>
        <v>2022 Q4</v>
      </c>
      <c r="K56" s="784"/>
      <c r="L56" s="785" t="str">
        <f>L40</f>
        <v>8Q average ending Q3 2024</v>
      </c>
    </row>
    <row r="57" spans="1:12" x14ac:dyDescent="0.5">
      <c r="A57" s="787"/>
      <c r="B57" s="787"/>
      <c r="C57" s="787"/>
      <c r="D57" s="787"/>
      <c r="E57" s="787"/>
      <c r="F57" s="787"/>
      <c r="G57" s="787"/>
      <c r="H57" s="787"/>
      <c r="I57" s="787"/>
      <c r="J57" s="787"/>
      <c r="K57" s="787"/>
      <c r="L57" s="788"/>
    </row>
    <row r="58" spans="1:12" x14ac:dyDescent="0.5">
      <c r="A58" s="790" t="str">
        <f>A42</f>
        <v>Atmos Energy Corporation</v>
      </c>
      <c r="B58" s="790"/>
      <c r="C58" s="64">
        <f t="shared" ref="C58:J64" si="9">(AJ11-AS11+BK11-BT11)/(-AS11+AJ11+AA11+R11+BK11-BT11)</f>
        <v>0.38992779730606453</v>
      </c>
      <c r="D58" s="64">
        <f t="shared" si="9"/>
        <v>0.39058026754142455</v>
      </c>
      <c r="E58" s="64">
        <f t="shared" si="9"/>
        <v>0.39776536790362071</v>
      </c>
      <c r="F58" s="64">
        <f t="shared" si="9"/>
        <v>0.37853497601141978</v>
      </c>
      <c r="G58" s="64">
        <f t="shared" si="9"/>
        <v>0.38205700712672136</v>
      </c>
      <c r="H58" s="64">
        <f t="shared" si="9"/>
        <v>0.39109079611504044</v>
      </c>
      <c r="I58" s="64">
        <f t="shared" si="9"/>
        <v>0.47087087032162633</v>
      </c>
      <c r="J58" s="64">
        <f t="shared" si="9"/>
        <v>0.45982812274279411</v>
      </c>
      <c r="K58" s="64"/>
      <c r="L58" s="791">
        <f t="shared" ref="L58:L64" si="10">AVERAGE(C58:J58)</f>
        <v>0.40758190063358901</v>
      </c>
    </row>
    <row r="59" spans="1:12" x14ac:dyDescent="0.5">
      <c r="A59" s="790" t="str">
        <f>A43</f>
        <v>New Jersey Resources Corporation</v>
      </c>
      <c r="B59" s="790"/>
      <c r="C59" s="64">
        <f t="shared" si="9"/>
        <v>0.58492928265419908</v>
      </c>
      <c r="D59" s="64">
        <f t="shared" si="9"/>
        <v>0.5709088095199184</v>
      </c>
      <c r="E59" s="64">
        <f t="shared" si="9"/>
        <v>0.5924882738370183</v>
      </c>
      <c r="F59" s="64">
        <f t="shared" si="9"/>
        <v>0.59536401455582599</v>
      </c>
      <c r="G59" s="64">
        <f t="shared" si="9"/>
        <v>0.59417381573129147</v>
      </c>
      <c r="H59" s="64">
        <f t="shared" si="9"/>
        <v>0.58495157060270342</v>
      </c>
      <c r="I59" s="64">
        <f t="shared" si="9"/>
        <v>0.59389862138910354</v>
      </c>
      <c r="J59" s="64">
        <f t="shared" si="9"/>
        <v>0.58802084006377797</v>
      </c>
      <c r="K59" s="64"/>
      <c r="L59" s="791">
        <f t="shared" si="10"/>
        <v>0.58809190354422969</v>
      </c>
    </row>
    <row r="60" spans="1:12" x14ac:dyDescent="0.5">
      <c r="A60" s="790" t="str">
        <f>A44</f>
        <v>NiSource Inc.</v>
      </c>
      <c r="B60" s="790"/>
      <c r="C60" s="64">
        <f t="shared" si="9"/>
        <v>0.62006182816505118</v>
      </c>
      <c r="D60" s="64">
        <f t="shared" si="9"/>
        <v>0.62330718009353892</v>
      </c>
      <c r="E60" s="64">
        <f t="shared" si="9"/>
        <v>0.60190077644448925</v>
      </c>
      <c r="F60" s="64">
        <f t="shared" si="9"/>
        <v>0.57164982362721894</v>
      </c>
      <c r="G60" s="64">
        <f t="shared" si="9"/>
        <v>0.60484546983634757</v>
      </c>
      <c r="H60" s="64">
        <f t="shared" si="9"/>
        <v>0.6085369947266408</v>
      </c>
      <c r="I60" s="64">
        <f t="shared" si="9"/>
        <v>0.5715824908306304</v>
      </c>
      <c r="J60" s="64">
        <f t="shared" si="9"/>
        <v>0.55716248209744834</v>
      </c>
      <c r="K60" s="64"/>
      <c r="L60" s="791">
        <f t="shared" si="10"/>
        <v>0.59488088072767065</v>
      </c>
    </row>
    <row r="61" spans="1:12" x14ac:dyDescent="0.5">
      <c r="A61" s="790" t="str">
        <f>A45</f>
        <v>Northwest Natural Holding Company</v>
      </c>
      <c r="B61" s="790"/>
      <c r="C61" s="64">
        <f t="shared" si="9"/>
        <v>0.53729244563130829</v>
      </c>
      <c r="D61" s="64">
        <f t="shared" si="9"/>
        <v>0.53916408568085838</v>
      </c>
      <c r="E61" s="64">
        <f t="shared" si="9"/>
        <v>0.53977711468692935</v>
      </c>
      <c r="F61" s="64">
        <f t="shared" si="9"/>
        <v>0.55112725330036527</v>
      </c>
      <c r="G61" s="64">
        <f t="shared" si="9"/>
        <v>0.56980288129136036</v>
      </c>
      <c r="H61" s="64">
        <f t="shared" si="9"/>
        <v>0.55314475945481467</v>
      </c>
      <c r="I61" s="64">
        <f t="shared" si="9"/>
        <v>0.55155088232578642</v>
      </c>
      <c r="J61" s="64">
        <f t="shared" si="9"/>
        <v>0.53212647349744557</v>
      </c>
      <c r="K61" s="64"/>
      <c r="L61" s="791">
        <f t="shared" si="10"/>
        <v>0.54674823698360853</v>
      </c>
    </row>
    <row r="62" spans="1:12" x14ac:dyDescent="0.5">
      <c r="A62" s="790" t="str">
        <f>A46</f>
        <v>ONE Gas, Inc.</v>
      </c>
      <c r="B62" s="790"/>
      <c r="C62" s="64">
        <f t="shared" si="9"/>
        <v>0.43878502677552733</v>
      </c>
      <c r="D62" s="64">
        <f t="shared" si="9"/>
        <v>0.40621030677851783</v>
      </c>
      <c r="E62" s="64">
        <f t="shared" si="9"/>
        <v>0.40560319623347862</v>
      </c>
      <c r="F62" s="64">
        <f t="shared" si="9"/>
        <v>0.4946873124518712</v>
      </c>
      <c r="G62" s="64">
        <f t="shared" si="9"/>
        <v>0.47708062579299898</v>
      </c>
      <c r="H62" s="64">
        <f t="shared" si="9"/>
        <v>0.47498967708661283</v>
      </c>
      <c r="I62" s="64">
        <f t="shared" si="9"/>
        <v>0.4754487800506414</v>
      </c>
      <c r="J62" s="64">
        <f t="shared" si="9"/>
        <v>0.48194928951154309</v>
      </c>
      <c r="K62" s="64"/>
      <c r="L62" s="791">
        <f t="shared" si="10"/>
        <v>0.45684427683514889</v>
      </c>
    </row>
    <row r="63" spans="1:12" x14ac:dyDescent="0.5">
      <c r="A63" s="779" t="s">
        <v>3811</v>
      </c>
      <c r="C63" s="64">
        <f t="shared" si="9"/>
        <v>0.56418365368813195</v>
      </c>
      <c r="D63" s="64">
        <f t="shared" si="9"/>
        <v>0.5959755625692964</v>
      </c>
      <c r="E63" s="64">
        <f t="shared" si="9"/>
        <v>0.585680000780189</v>
      </c>
      <c r="F63" s="64">
        <f t="shared" si="9"/>
        <v>0.58864115109630288</v>
      </c>
      <c r="G63" s="64">
        <f t="shared" si="9"/>
        <v>0.62181093144710453</v>
      </c>
      <c r="H63" s="64">
        <f t="shared" si="9"/>
        <v>0.62227958496928293</v>
      </c>
      <c r="I63" s="64">
        <f t="shared" si="9"/>
        <v>0.58622261851694191</v>
      </c>
      <c r="J63" s="64">
        <f t="shared" si="9"/>
        <v>0.59774675722702453</v>
      </c>
      <c r="L63" s="791">
        <f t="shared" si="10"/>
        <v>0.59531753253678432</v>
      </c>
    </row>
    <row r="64" spans="1:12" x14ac:dyDescent="0.5">
      <c r="A64" s="790" t="str">
        <f>A48</f>
        <v>Spire Inc.</v>
      </c>
      <c r="B64" s="790"/>
      <c r="C64" s="64">
        <f t="shared" si="9"/>
        <v>0.53113614944226417</v>
      </c>
      <c r="D64" s="64">
        <f t="shared" si="9"/>
        <v>0.5261105364680887</v>
      </c>
      <c r="E64" s="64">
        <f t="shared" si="9"/>
        <v>0.55197227362175816</v>
      </c>
      <c r="F64" s="64">
        <f t="shared" si="9"/>
        <v>0.56304950198457271</v>
      </c>
      <c r="G64" s="64">
        <f t="shared" si="9"/>
        <v>0.57669933744244117</v>
      </c>
      <c r="H64" s="64">
        <f t="shared" si="9"/>
        <v>0.57217757531479652</v>
      </c>
      <c r="I64" s="64">
        <f t="shared" si="9"/>
        <v>0.54701314311923699</v>
      </c>
      <c r="J64" s="64">
        <f t="shared" si="9"/>
        <v>0.53833680038001019</v>
      </c>
      <c r="K64" s="64"/>
      <c r="L64" s="791">
        <f t="shared" si="10"/>
        <v>0.55081191472164603</v>
      </c>
    </row>
    <row r="65" spans="1:79" x14ac:dyDescent="0.5">
      <c r="A65" s="796"/>
      <c r="B65" s="796"/>
      <c r="C65" s="796"/>
      <c r="D65" s="796"/>
      <c r="E65" s="797"/>
      <c r="F65" s="797"/>
      <c r="G65" s="797"/>
      <c r="H65" s="797"/>
      <c r="I65" s="797"/>
      <c r="J65" s="797"/>
      <c r="K65" s="797"/>
      <c r="L65" s="803"/>
    </row>
    <row r="66" spans="1:79" x14ac:dyDescent="0.5">
      <c r="A66" s="790"/>
      <c r="B66" s="790"/>
      <c r="C66" s="790"/>
      <c r="D66" s="790"/>
      <c r="E66" s="804"/>
      <c r="F66" s="804"/>
      <c r="G66" s="804"/>
      <c r="H66" s="804"/>
      <c r="I66" s="801"/>
      <c r="J66" s="61" t="s">
        <v>4579</v>
      </c>
      <c r="K66" s="799"/>
      <c r="L66" s="800">
        <f>MIN(L58:L64)</f>
        <v>0.40758190063358901</v>
      </c>
    </row>
    <row r="67" spans="1:79" x14ac:dyDescent="0.5">
      <c r="E67" s="801"/>
      <c r="F67" s="801"/>
      <c r="G67" s="801"/>
      <c r="H67" s="801"/>
      <c r="I67" s="805"/>
      <c r="J67" s="61" t="s">
        <v>4580</v>
      </c>
      <c r="L67" s="800">
        <f>MAX(L58:L64)</f>
        <v>0.59531753253678432</v>
      </c>
    </row>
    <row r="68" spans="1:79" x14ac:dyDescent="0.5">
      <c r="I68" s="792"/>
      <c r="J68" s="792"/>
      <c r="N68" s="806"/>
      <c r="O68" s="806"/>
      <c r="P68" s="806"/>
      <c r="Q68" s="806"/>
      <c r="R68" s="806"/>
      <c r="S68" s="806"/>
      <c r="T68" s="806"/>
      <c r="U68" s="806"/>
      <c r="V68" s="806"/>
      <c r="W68" s="806"/>
      <c r="X68" s="806"/>
      <c r="Y68" s="806"/>
      <c r="AD68" s="806"/>
      <c r="AE68" s="806"/>
      <c r="AF68" s="806"/>
      <c r="AG68" s="806"/>
    </row>
    <row r="69" spans="1:79" x14ac:dyDescent="0.5">
      <c r="A69" s="779" t="s">
        <v>4573</v>
      </c>
      <c r="I69" s="792"/>
      <c r="J69" s="792"/>
      <c r="K69" s="792"/>
      <c r="L69" s="791"/>
      <c r="N69" s="783"/>
      <c r="O69" s="783"/>
      <c r="P69" s="783"/>
      <c r="Q69" s="783"/>
      <c r="R69" s="783"/>
      <c r="S69" s="783"/>
      <c r="T69" s="783"/>
      <c r="U69" s="783"/>
      <c r="V69" s="783"/>
      <c r="W69" s="783"/>
      <c r="X69" s="783"/>
      <c r="Y69" s="783"/>
      <c r="AD69" s="783"/>
      <c r="AE69" s="783"/>
      <c r="AF69" s="783"/>
      <c r="AG69" s="783"/>
    </row>
    <row r="70" spans="1:79" x14ac:dyDescent="0.5">
      <c r="I70" s="792"/>
      <c r="J70" s="792"/>
      <c r="K70" s="792"/>
      <c r="L70" s="791"/>
      <c r="N70" s="784"/>
      <c r="O70" s="784"/>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row>
    <row r="71" spans="1:79" x14ac:dyDescent="0.5">
      <c r="A71" s="1436" t="str">
        <f>A1</f>
        <v>Atmos Energy Corporation</v>
      </c>
      <c r="B71" s="1436"/>
      <c r="C71" s="1436"/>
      <c r="D71" s="1436"/>
      <c r="E71" s="1436"/>
      <c r="F71" s="1436"/>
      <c r="G71" s="1436"/>
      <c r="H71" s="1436"/>
      <c r="I71" s="1436"/>
      <c r="J71" s="1436"/>
      <c r="K71" s="1436"/>
      <c r="L71" s="1436"/>
      <c r="N71" s="784"/>
      <c r="O71" s="784"/>
      <c r="P71" s="784"/>
      <c r="Q71" s="784"/>
      <c r="R71" s="784"/>
      <c r="S71" s="784"/>
      <c r="T71" s="784"/>
      <c r="U71" s="784"/>
      <c r="V71" s="784"/>
      <c r="W71" s="784"/>
      <c r="X71" s="784"/>
      <c r="Y71" s="784"/>
      <c r="AD71" s="784"/>
      <c r="AE71" s="784"/>
      <c r="AF71" s="784"/>
      <c r="AG71" s="784"/>
    </row>
    <row r="72" spans="1:79" x14ac:dyDescent="0.5">
      <c r="A72" s="1415" t="str">
        <f>A2</f>
        <v>Range of Capital Structures for the Past Eight Fiscal Quarters for the</v>
      </c>
      <c r="B72" s="1415"/>
      <c r="C72" s="1415"/>
      <c r="D72" s="1415"/>
      <c r="E72" s="1415"/>
      <c r="F72" s="1415"/>
      <c r="G72" s="1415"/>
      <c r="H72" s="1415"/>
      <c r="I72" s="1415"/>
      <c r="J72" s="1415"/>
      <c r="K72" s="1415"/>
      <c r="L72" s="1415"/>
      <c r="N72" s="790"/>
      <c r="O72" s="783"/>
      <c r="P72" s="807"/>
      <c r="Q72" s="807"/>
      <c r="R72" s="807"/>
      <c r="S72" s="807"/>
      <c r="T72" s="807"/>
      <c r="U72" s="807"/>
      <c r="V72" s="807"/>
      <c r="W72" s="807"/>
      <c r="X72" s="807"/>
      <c r="Y72" s="807"/>
      <c r="AD72" s="807"/>
      <c r="AE72" s="807"/>
      <c r="AF72" s="807"/>
      <c r="AG72" s="807"/>
    </row>
    <row r="73" spans="1:79" x14ac:dyDescent="0.5">
      <c r="A73" s="1414" t="s">
        <v>4575</v>
      </c>
      <c r="B73" s="1414"/>
      <c r="C73" s="1414"/>
      <c r="D73" s="1414"/>
      <c r="E73" s="1414"/>
      <c r="F73" s="1414"/>
      <c r="G73" s="1414"/>
      <c r="H73" s="1414"/>
      <c r="I73" s="1414"/>
      <c r="J73" s="1414"/>
      <c r="K73" s="1414"/>
      <c r="L73" s="1414"/>
      <c r="N73" s="790"/>
      <c r="O73" s="783"/>
      <c r="P73" s="807"/>
      <c r="Q73" s="807"/>
      <c r="R73" s="807"/>
      <c r="S73" s="807"/>
      <c r="T73" s="807"/>
      <c r="U73" s="807"/>
      <c r="V73" s="807"/>
      <c r="W73" s="807"/>
      <c r="X73" s="807"/>
      <c r="Y73" s="807"/>
      <c r="AD73" s="807"/>
      <c r="AE73" s="807"/>
      <c r="AF73" s="807"/>
      <c r="AG73" s="807"/>
    </row>
    <row r="74" spans="1:79" x14ac:dyDescent="0.5">
      <c r="I74" s="792"/>
      <c r="J74" s="792"/>
      <c r="K74" s="792"/>
      <c r="L74" s="791"/>
    </row>
    <row r="75" spans="1:79" x14ac:dyDescent="0.5">
      <c r="I75" s="792"/>
      <c r="J75" s="792"/>
      <c r="K75" s="792"/>
      <c r="L75" s="791"/>
    </row>
    <row r="76" spans="1:79" x14ac:dyDescent="0.5">
      <c r="A76" s="1435" t="s">
        <v>4534</v>
      </c>
      <c r="B76" s="1435"/>
      <c r="C76" s="1435"/>
      <c r="D76" s="1435"/>
      <c r="E76" s="1435"/>
      <c r="F76" s="1435"/>
      <c r="G76" s="1435"/>
      <c r="H76" s="1435"/>
      <c r="I76" s="1435"/>
      <c r="J76" s="1435"/>
      <c r="K76" s="1435"/>
      <c r="L76" s="1435"/>
    </row>
    <row r="77" spans="1:79" x14ac:dyDescent="0.5">
      <c r="A77" s="808"/>
      <c r="B77" s="808"/>
      <c r="C77" s="808"/>
      <c r="D77" s="808"/>
      <c r="E77" s="808"/>
      <c r="F77" s="808"/>
      <c r="G77" s="808"/>
      <c r="H77" s="808"/>
      <c r="I77" s="808"/>
      <c r="J77" s="808"/>
      <c r="K77" s="808"/>
      <c r="L77" s="781"/>
      <c r="M77" s="792"/>
    </row>
    <row r="78" spans="1:79" ht="45" x14ac:dyDescent="0.5">
      <c r="A78" s="779" t="s">
        <v>611</v>
      </c>
      <c r="C78" s="784" t="s">
        <v>4535</v>
      </c>
      <c r="D78" s="784" t="s">
        <v>4536</v>
      </c>
      <c r="E78" s="784" t="str">
        <f t="shared" ref="E78:J78" si="11">E8</f>
        <v>2024 Q1</v>
      </c>
      <c r="F78" s="784" t="str">
        <f t="shared" si="11"/>
        <v>2023 Q4</v>
      </c>
      <c r="G78" s="784" t="str">
        <f t="shared" si="11"/>
        <v>2023 Q3</v>
      </c>
      <c r="H78" s="784" t="str">
        <f t="shared" si="11"/>
        <v>2023 Q2</v>
      </c>
      <c r="I78" s="784" t="str">
        <f t="shared" si="11"/>
        <v>2023 Q1</v>
      </c>
      <c r="J78" s="784" t="str">
        <f t="shared" si="11"/>
        <v>2022 Q4</v>
      </c>
      <c r="K78" s="784"/>
      <c r="L78" s="785" t="str">
        <f>L8</f>
        <v>8Q average ending Q3 2024</v>
      </c>
      <c r="M78" s="792"/>
    </row>
    <row r="79" spans="1:79" x14ac:dyDescent="0.5">
      <c r="A79" s="787"/>
      <c r="B79" s="787"/>
      <c r="C79" s="787"/>
      <c r="D79" s="787"/>
      <c r="E79" s="787"/>
      <c r="F79" s="787"/>
      <c r="G79" s="787"/>
      <c r="H79" s="787"/>
      <c r="I79" s="809"/>
      <c r="J79" s="809"/>
      <c r="K79" s="809"/>
      <c r="L79" s="810"/>
    </row>
    <row r="80" spans="1:79" x14ac:dyDescent="0.5">
      <c r="A80" s="790" t="str">
        <f>N27</f>
        <v>Atmos Energy Corporation</v>
      </c>
      <c r="B80" s="790"/>
      <c r="C80" s="64">
        <f t="shared" ref="C80:J87" si="12">(R27)/(R27+AA27+AJ27-AS27+BB27+BK27-BT27)</f>
        <v>0.61007220269393547</v>
      </c>
      <c r="D80" s="64">
        <f t="shared" si="12"/>
        <v>0.6094197324585755</v>
      </c>
      <c r="E80" s="64">
        <f t="shared" si="12"/>
        <v>0.60223463209637929</v>
      </c>
      <c r="F80" s="64">
        <f t="shared" si="12"/>
        <v>0.61298630054174807</v>
      </c>
      <c r="G80" s="64">
        <f t="shared" si="12"/>
        <v>0.61794299287327858</v>
      </c>
      <c r="H80" s="64">
        <f t="shared" si="12"/>
        <v>0.60890920388495962</v>
      </c>
      <c r="I80" s="64">
        <f t="shared" si="12"/>
        <v>0.52912912967837367</v>
      </c>
      <c r="J80" s="64">
        <f t="shared" si="12"/>
        <v>0.53450209162567763</v>
      </c>
      <c r="K80" s="64"/>
      <c r="L80" s="791">
        <f t="shared" ref="L80:L87" si="13">AVERAGE(C80:J80)</f>
        <v>0.59064953573161605</v>
      </c>
    </row>
    <row r="81" spans="1:70" x14ac:dyDescent="0.5">
      <c r="A81" s="790" t="str">
        <f>N28</f>
        <v>New Jersey Natural Gas Company</v>
      </c>
      <c r="B81" s="790"/>
      <c r="C81" s="64">
        <f t="shared" si="12"/>
        <v>0.55077277370537425</v>
      </c>
      <c r="D81" s="64">
        <f t="shared" si="12"/>
        <v>0.56028745546660552</v>
      </c>
      <c r="E81" s="64">
        <f t="shared" si="12"/>
        <v>0.5240726975781983</v>
      </c>
      <c r="F81" s="64">
        <f t="shared" si="12"/>
        <v>0.53630523519626849</v>
      </c>
      <c r="G81" s="64">
        <f t="shared" si="12"/>
        <v>0.54696206384794244</v>
      </c>
      <c r="H81" s="64">
        <f t="shared" si="12"/>
        <v>0.54564730616762847</v>
      </c>
      <c r="I81" s="64">
        <f t="shared" si="12"/>
        <v>0.51003440024068203</v>
      </c>
      <c r="J81" s="64">
        <f t="shared" si="12"/>
        <v>0.53099444549903851</v>
      </c>
      <c r="K81" s="64"/>
      <c r="L81" s="791">
        <f t="shared" si="13"/>
        <v>0.53813454721271725</v>
      </c>
    </row>
    <row r="82" spans="1:70" x14ac:dyDescent="0.5">
      <c r="A82" s="790" t="str">
        <f>N29</f>
        <v>NiSource Inc.</v>
      </c>
      <c r="B82" s="790"/>
      <c r="C82" s="64">
        <f t="shared" si="12"/>
        <v>0.37554396497023101</v>
      </c>
      <c r="D82" s="64">
        <f t="shared" si="12"/>
        <v>0.3654272140876858</v>
      </c>
      <c r="E82" s="64">
        <f t="shared" si="12"/>
        <v>0.37498990800852949</v>
      </c>
      <c r="F82" s="64">
        <f t="shared" si="12"/>
        <v>0.29106704302975267</v>
      </c>
      <c r="G82" s="64">
        <f t="shared" si="12"/>
        <v>0.29600429855412269</v>
      </c>
      <c r="H82" s="64">
        <f t="shared" si="12"/>
        <v>0.30297954646287906</v>
      </c>
      <c r="I82" s="64">
        <f t="shared" si="12"/>
        <v>0.31924249133866472</v>
      </c>
      <c r="J82" s="64">
        <f t="shared" si="12"/>
        <v>0.3080494371541837</v>
      </c>
      <c r="K82" s="64"/>
      <c r="L82" s="791">
        <f t="shared" si="13"/>
        <v>0.32916298795075616</v>
      </c>
    </row>
    <row r="83" spans="1:70" x14ac:dyDescent="0.5">
      <c r="A83" s="790" t="str">
        <f>N30</f>
        <v>Northwest Natural Gas Company</v>
      </c>
      <c r="B83" s="790"/>
      <c r="C83" s="64">
        <f t="shared" si="12"/>
        <v>0.45429428284249451</v>
      </c>
      <c r="D83" s="64">
        <f t="shared" si="12"/>
        <v>0.48084505970943942</v>
      </c>
      <c r="E83" s="64">
        <f t="shared" si="12"/>
        <v>0.47867886094646395</v>
      </c>
      <c r="F83" s="64">
        <f t="shared" si="12"/>
        <v>0.4715217135171445</v>
      </c>
      <c r="G83" s="64">
        <f t="shared" si="12"/>
        <v>0.46116672088683741</v>
      </c>
      <c r="H83" s="64">
        <f t="shared" si="12"/>
        <v>0.47746162995516511</v>
      </c>
      <c r="I83" s="64">
        <f t="shared" si="12"/>
        <v>0.48558184915571417</v>
      </c>
      <c r="J83" s="64">
        <f t="shared" si="12"/>
        <v>0.47889258386777844</v>
      </c>
      <c r="K83" s="64"/>
      <c r="L83" s="791">
        <f t="shared" si="13"/>
        <v>0.47355533761012969</v>
      </c>
    </row>
    <row r="84" spans="1:70" x14ac:dyDescent="0.5">
      <c r="A84" s="790" t="str">
        <f>N31</f>
        <v>ONE Gas, Inc.</v>
      </c>
      <c r="B84" s="790"/>
      <c r="C84" s="64">
        <f t="shared" si="12"/>
        <v>0.4716738000216667</v>
      </c>
      <c r="D84" s="64">
        <f t="shared" si="12"/>
        <v>0.48804562525216966</v>
      </c>
      <c r="E84" s="64">
        <f t="shared" si="12"/>
        <v>0.49522845727293219</v>
      </c>
      <c r="F84" s="64">
        <f t="shared" si="12"/>
        <v>0.49727252051610049</v>
      </c>
      <c r="G84" s="64">
        <f t="shared" si="12"/>
        <v>0.49119057269350341</v>
      </c>
      <c r="H84" s="64">
        <f t="shared" si="12"/>
        <v>0.50339792165515196</v>
      </c>
      <c r="I84" s="64">
        <f t="shared" si="12"/>
        <v>0.49701964043736557</v>
      </c>
      <c r="J84" s="64">
        <f t="shared" si="12"/>
        <v>0.4664396577287086</v>
      </c>
      <c r="K84" s="64"/>
      <c r="L84" s="791">
        <f t="shared" si="13"/>
        <v>0.4887835244471998</v>
      </c>
    </row>
    <row r="85" spans="1:70" x14ac:dyDescent="0.5">
      <c r="A85" s="779" t="s">
        <v>3811</v>
      </c>
      <c r="C85" s="64">
        <f t="shared" si="12"/>
        <v>0.47427580859479457</v>
      </c>
      <c r="D85" s="64">
        <f t="shared" si="12"/>
        <v>0.4777682836254325</v>
      </c>
      <c r="E85" s="64">
        <f t="shared" si="12"/>
        <v>0.47969266665115279</v>
      </c>
      <c r="F85" s="64">
        <f t="shared" si="12"/>
        <v>0.47279412048619329</v>
      </c>
      <c r="G85" s="64">
        <f t="shared" si="12"/>
        <v>0.46913193797090191</v>
      </c>
      <c r="H85" s="64">
        <f t="shared" si="12"/>
        <v>0.47239041853732971</v>
      </c>
      <c r="I85" s="64">
        <f t="shared" si="12"/>
        <v>0.40005209726763935</v>
      </c>
      <c r="J85" s="64">
        <f t="shared" si="12"/>
        <v>0.4214074509407047</v>
      </c>
      <c r="L85" s="791">
        <f t="shared" si="13"/>
        <v>0.45843909800926858</v>
      </c>
    </row>
    <row r="86" spans="1:70" x14ac:dyDescent="0.5">
      <c r="A86" s="790" t="str">
        <f>N33</f>
        <v>Spire Alabama Inc.</v>
      </c>
      <c r="B86" s="790"/>
      <c r="C86" s="64">
        <f t="shared" si="12"/>
        <v>0.54748508098891735</v>
      </c>
      <c r="D86" s="64">
        <f t="shared" si="12"/>
        <v>0.54454832169407519</v>
      </c>
      <c r="E86" s="64">
        <f t="shared" si="12"/>
        <v>0.50569114589033604</v>
      </c>
      <c r="F86" s="64">
        <f t="shared" si="12"/>
        <v>0.50838172455352248</v>
      </c>
      <c r="G86" s="64">
        <f t="shared" si="12"/>
        <v>0.5150060686306962</v>
      </c>
      <c r="H86" s="64">
        <f t="shared" si="12"/>
        <v>0.51184937879700076</v>
      </c>
      <c r="I86" s="64">
        <f t="shared" si="12"/>
        <v>0.49448256931100742</v>
      </c>
      <c r="J86" s="64">
        <f t="shared" si="12"/>
        <v>0.51264640977762688</v>
      </c>
      <c r="K86" s="64"/>
      <c r="L86" s="791">
        <f t="shared" si="13"/>
        <v>0.51751133745539779</v>
      </c>
    </row>
    <row r="87" spans="1:70" x14ac:dyDescent="0.5">
      <c r="A87" s="790" t="str">
        <f>N34</f>
        <v>Spire Missouri Inc.</v>
      </c>
      <c r="B87" s="790"/>
      <c r="C87" s="64">
        <f t="shared" si="12"/>
        <v>0.47287926284791487</v>
      </c>
      <c r="D87" s="64">
        <f t="shared" si="12"/>
        <v>0.47302679644599466</v>
      </c>
      <c r="E87" s="64">
        <f t="shared" si="12"/>
        <v>0.43810467151939558</v>
      </c>
      <c r="F87" s="64">
        <f t="shared" si="12"/>
        <v>0.4405387334033814</v>
      </c>
      <c r="G87" s="64">
        <f t="shared" si="12"/>
        <v>0.4488303738431268</v>
      </c>
      <c r="H87" s="64">
        <f t="shared" si="12"/>
        <v>0.44897275034720557</v>
      </c>
      <c r="I87" s="64">
        <f t="shared" si="12"/>
        <v>0.43794122676307495</v>
      </c>
      <c r="J87" s="64">
        <f t="shared" si="12"/>
        <v>0.45430646294802052</v>
      </c>
      <c r="K87" s="64"/>
      <c r="L87" s="791">
        <f t="shared" si="13"/>
        <v>0.45182503476476432</v>
      </c>
    </row>
    <row r="88" spans="1:70" x14ac:dyDescent="0.5">
      <c r="A88" s="796"/>
      <c r="B88" s="796"/>
      <c r="C88" s="796"/>
      <c r="D88" s="796"/>
      <c r="E88" s="811"/>
      <c r="F88" s="811"/>
      <c r="G88" s="811"/>
      <c r="H88" s="811"/>
      <c r="I88" s="797"/>
      <c r="J88" s="797"/>
      <c r="K88" s="797"/>
      <c r="L88" s="803"/>
    </row>
    <row r="89" spans="1:70" x14ac:dyDescent="0.5">
      <c r="A89" s="790"/>
      <c r="B89" s="790"/>
      <c r="C89" s="790"/>
      <c r="D89" s="790"/>
      <c r="E89" s="801"/>
      <c r="F89" s="801"/>
      <c r="G89" s="801"/>
      <c r="H89" s="801"/>
      <c r="I89" s="801"/>
      <c r="J89" s="61" t="s">
        <v>4579</v>
      </c>
      <c r="K89" s="799"/>
      <c r="L89" s="800">
        <f>MIN(L80:L87)</f>
        <v>0.32916298795075616</v>
      </c>
    </row>
    <row r="90" spans="1:70" x14ac:dyDescent="0.5">
      <c r="I90" s="66"/>
      <c r="J90" s="61" t="s">
        <v>4580</v>
      </c>
      <c r="L90" s="800">
        <f>MAX(L80:L87)</f>
        <v>0.59064953573161605</v>
      </c>
    </row>
    <row r="91" spans="1:70" x14ac:dyDescent="0.5">
      <c r="A91" s="790"/>
      <c r="B91" s="790"/>
      <c r="C91" s="790"/>
      <c r="D91" s="790"/>
      <c r="Q91" s="793"/>
      <c r="R91" s="793"/>
      <c r="S91" s="793"/>
      <c r="T91" s="793"/>
      <c r="U91" s="793"/>
      <c r="V91" s="793"/>
      <c r="W91" s="793"/>
      <c r="X91" s="793"/>
      <c r="Y91" s="793"/>
      <c r="Z91" s="793"/>
      <c r="AA91" s="793"/>
      <c r="AB91" s="793"/>
      <c r="AC91" s="793"/>
      <c r="AD91" s="793"/>
      <c r="AE91" s="793"/>
      <c r="AF91" s="793"/>
      <c r="AG91" s="793"/>
      <c r="AH91" s="793"/>
      <c r="AI91" s="793"/>
      <c r="AJ91" s="793"/>
      <c r="AK91" s="793"/>
      <c r="AL91" s="793"/>
      <c r="AM91" s="793"/>
      <c r="AN91" s="793"/>
      <c r="AO91" s="793"/>
      <c r="AP91" s="793"/>
      <c r="AQ91" s="793"/>
      <c r="AR91" s="794"/>
      <c r="AS91" s="794"/>
      <c r="AT91" s="794"/>
      <c r="AU91" s="794"/>
      <c r="AV91" s="794"/>
      <c r="AW91" s="794"/>
      <c r="AX91" s="794"/>
      <c r="AY91" s="794"/>
      <c r="AZ91" s="794"/>
      <c r="BA91" s="794"/>
      <c r="BB91" s="794"/>
      <c r="BC91" s="794"/>
      <c r="BD91" s="794"/>
      <c r="BE91" s="794"/>
      <c r="BF91" s="794"/>
      <c r="BG91" s="794"/>
      <c r="BH91" s="794"/>
      <c r="BI91" s="793"/>
      <c r="BJ91" s="793"/>
      <c r="BK91" s="793"/>
      <c r="BL91" s="793"/>
      <c r="BM91" s="793"/>
      <c r="BN91" s="793"/>
      <c r="BO91" s="793"/>
      <c r="BP91" s="793"/>
      <c r="BQ91" s="793"/>
      <c r="BR91" s="793"/>
    </row>
    <row r="92" spans="1:70" x14ac:dyDescent="0.5">
      <c r="A92" s="790"/>
      <c r="B92" s="790"/>
      <c r="C92" s="790"/>
      <c r="D92" s="790"/>
      <c r="I92" s="66"/>
      <c r="J92" s="66"/>
      <c r="Q92" s="793"/>
      <c r="R92" s="793"/>
      <c r="S92" s="793"/>
      <c r="T92" s="793"/>
      <c r="U92" s="793"/>
      <c r="V92" s="793"/>
      <c r="W92" s="793"/>
      <c r="X92" s="793"/>
      <c r="Y92" s="793"/>
      <c r="Z92" s="793"/>
      <c r="AA92" s="793"/>
      <c r="AB92" s="793"/>
      <c r="AC92" s="793"/>
      <c r="AD92" s="793"/>
      <c r="AE92" s="793"/>
      <c r="AF92" s="793"/>
      <c r="AG92" s="793"/>
      <c r="AH92" s="793"/>
      <c r="AI92" s="793"/>
      <c r="AJ92" s="793"/>
      <c r="AK92" s="793"/>
      <c r="AL92" s="793"/>
      <c r="AM92" s="793"/>
      <c r="AN92" s="793"/>
      <c r="AO92" s="793"/>
      <c r="AP92" s="793"/>
      <c r="AQ92" s="793"/>
      <c r="AR92" s="794"/>
      <c r="AS92" s="794"/>
      <c r="AT92" s="794"/>
      <c r="AU92" s="794"/>
      <c r="AV92" s="794"/>
      <c r="AW92" s="794"/>
      <c r="AX92" s="794"/>
      <c r="AY92" s="794"/>
      <c r="AZ92" s="794"/>
      <c r="BA92" s="794"/>
      <c r="BB92" s="794"/>
      <c r="BC92" s="794"/>
      <c r="BD92" s="794"/>
      <c r="BE92" s="794"/>
      <c r="BF92" s="794"/>
      <c r="BG92" s="794"/>
      <c r="BH92" s="794"/>
      <c r="BI92" s="793"/>
      <c r="BJ92" s="793"/>
      <c r="BK92" s="793"/>
      <c r="BL92" s="793"/>
      <c r="BM92" s="793"/>
      <c r="BN92" s="793"/>
      <c r="BO92" s="793"/>
      <c r="BP92" s="793"/>
      <c r="BQ92" s="793"/>
      <c r="BR92" s="793"/>
    </row>
    <row r="93" spans="1:70" x14ac:dyDescent="0.5">
      <c r="A93" s="1435" t="s">
        <v>4569</v>
      </c>
      <c r="B93" s="1435"/>
      <c r="C93" s="1435"/>
      <c r="D93" s="1435"/>
      <c r="E93" s="1435"/>
      <c r="F93" s="1435"/>
      <c r="G93" s="1435"/>
      <c r="H93" s="1435"/>
      <c r="I93" s="1435"/>
      <c r="J93" s="1435"/>
      <c r="K93" s="1435"/>
      <c r="L93" s="1435"/>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4"/>
      <c r="AS93" s="794"/>
      <c r="AT93" s="794"/>
      <c r="AU93" s="794"/>
      <c r="AV93" s="794"/>
      <c r="AW93" s="794"/>
      <c r="AX93" s="794"/>
      <c r="AY93" s="794"/>
      <c r="AZ93" s="794"/>
      <c r="BA93" s="794"/>
      <c r="BB93" s="794"/>
      <c r="BC93" s="794"/>
      <c r="BD93" s="794"/>
      <c r="BE93" s="794"/>
      <c r="BF93" s="794"/>
      <c r="BG93" s="794"/>
      <c r="BH93" s="794"/>
      <c r="BI93" s="793"/>
      <c r="BJ93" s="793"/>
      <c r="BK93" s="793"/>
      <c r="BL93" s="793"/>
      <c r="BM93" s="793"/>
      <c r="BN93" s="793"/>
      <c r="BO93" s="793"/>
      <c r="BP93" s="793"/>
      <c r="BQ93" s="793"/>
      <c r="BR93" s="793"/>
    </row>
    <row r="94" spans="1:70" x14ac:dyDescent="0.5">
      <c r="A94" s="781"/>
      <c r="B94" s="781"/>
      <c r="C94" s="781"/>
      <c r="D94" s="781"/>
      <c r="E94" s="781"/>
      <c r="F94" s="781"/>
      <c r="G94" s="781"/>
      <c r="H94" s="781"/>
      <c r="I94" s="781"/>
      <c r="J94" s="781"/>
      <c r="K94" s="781"/>
      <c r="L94" s="781"/>
      <c r="M94" s="792"/>
      <c r="Q94" s="793"/>
      <c r="R94" s="793"/>
      <c r="S94" s="793"/>
      <c r="T94" s="793"/>
      <c r="U94" s="793"/>
      <c r="V94" s="793"/>
      <c r="W94" s="793"/>
      <c r="X94" s="793"/>
      <c r="Y94" s="793"/>
      <c r="Z94" s="793"/>
      <c r="AA94" s="793"/>
      <c r="AB94" s="793"/>
      <c r="AC94" s="793"/>
      <c r="AD94" s="793"/>
      <c r="AE94" s="793"/>
      <c r="AF94" s="793"/>
      <c r="AG94" s="793"/>
      <c r="AH94" s="793"/>
      <c r="AI94" s="793"/>
      <c r="AJ94" s="793"/>
      <c r="AK94" s="793"/>
      <c r="AL94" s="793"/>
      <c r="AM94" s="793"/>
      <c r="AN94" s="793"/>
      <c r="AO94" s="793"/>
      <c r="AP94" s="793"/>
      <c r="AQ94" s="793"/>
      <c r="AR94" s="794"/>
      <c r="AS94" s="794"/>
      <c r="AT94" s="794"/>
      <c r="AU94" s="794"/>
      <c r="AV94" s="794"/>
      <c r="AW94" s="794"/>
      <c r="AX94" s="794"/>
      <c r="AY94" s="794"/>
      <c r="AZ94" s="794"/>
      <c r="BA94" s="794"/>
      <c r="BB94" s="794"/>
      <c r="BC94" s="794"/>
      <c r="BD94" s="794"/>
      <c r="BE94" s="794"/>
      <c r="BF94" s="794"/>
      <c r="BG94" s="794"/>
      <c r="BH94" s="794"/>
      <c r="BI94" s="793"/>
      <c r="BJ94" s="793"/>
      <c r="BK94" s="793"/>
      <c r="BL94" s="793"/>
      <c r="BM94" s="793"/>
      <c r="BN94" s="793"/>
      <c r="BO94" s="793"/>
      <c r="BP94" s="793"/>
      <c r="BQ94" s="793"/>
      <c r="BR94" s="793"/>
    </row>
    <row r="95" spans="1:70" ht="45" x14ac:dyDescent="0.5">
      <c r="A95" s="779" t="s">
        <v>611</v>
      </c>
      <c r="C95" s="784" t="s">
        <v>4535</v>
      </c>
      <c r="D95" s="784" t="s">
        <v>4536</v>
      </c>
      <c r="E95" s="812" t="str">
        <f t="shared" ref="E95:L95" si="14">E8</f>
        <v>2024 Q1</v>
      </c>
      <c r="F95" s="812" t="str">
        <f t="shared" si="14"/>
        <v>2023 Q4</v>
      </c>
      <c r="G95" s="812" t="str">
        <f t="shared" si="14"/>
        <v>2023 Q3</v>
      </c>
      <c r="H95" s="812" t="str">
        <f t="shared" si="14"/>
        <v>2023 Q2</v>
      </c>
      <c r="I95" s="812" t="str">
        <f t="shared" si="14"/>
        <v>2023 Q1</v>
      </c>
      <c r="J95" s="812" t="str">
        <f t="shared" si="14"/>
        <v>2022 Q4</v>
      </c>
      <c r="K95" s="812">
        <f t="shared" si="14"/>
        <v>0</v>
      </c>
      <c r="L95" s="785" t="str">
        <f t="shared" si="14"/>
        <v>8Q average ending Q3 2024</v>
      </c>
      <c r="M95" s="792"/>
    </row>
    <row r="96" spans="1:70" x14ac:dyDescent="0.5">
      <c r="A96" s="787"/>
      <c r="B96" s="787"/>
      <c r="C96" s="787"/>
      <c r="D96" s="787"/>
      <c r="E96" s="787"/>
      <c r="F96" s="787"/>
      <c r="G96" s="787"/>
      <c r="H96" s="787"/>
      <c r="I96" s="787"/>
      <c r="J96" s="787"/>
      <c r="K96" s="787"/>
      <c r="L96" s="788"/>
    </row>
    <row r="97" spans="1:70" x14ac:dyDescent="0.5">
      <c r="A97" s="790" t="str">
        <f>A80</f>
        <v>Atmos Energy Corporation</v>
      </c>
      <c r="B97" s="790"/>
      <c r="C97" s="64">
        <f t="shared" ref="C97:J104" si="15">(AJ27-AS27+BB27+BK27-BT27)/(-AS27+AJ27+AA27+R27+BB27+BK27-BT27)</f>
        <v>0.38992779730606453</v>
      </c>
      <c r="D97" s="64">
        <f t="shared" si="15"/>
        <v>0.39058026754142455</v>
      </c>
      <c r="E97" s="64">
        <f t="shared" si="15"/>
        <v>0.39776536790362071</v>
      </c>
      <c r="F97" s="64">
        <f t="shared" si="15"/>
        <v>0.38701369945825187</v>
      </c>
      <c r="G97" s="64">
        <f t="shared" si="15"/>
        <v>0.38205700712672136</v>
      </c>
      <c r="H97" s="64">
        <f t="shared" si="15"/>
        <v>0.39109079611504044</v>
      </c>
      <c r="I97" s="64">
        <f t="shared" si="15"/>
        <v>0.47087087032162633</v>
      </c>
      <c r="J97" s="64">
        <f t="shared" si="15"/>
        <v>0.46549790837432242</v>
      </c>
      <c r="K97" s="64"/>
      <c r="L97" s="791">
        <f t="shared" ref="L97:L104" si="16">AVERAGE(C97:J97)</f>
        <v>0.40935046426838406</v>
      </c>
    </row>
    <row r="98" spans="1:70" x14ac:dyDescent="0.5">
      <c r="A98" s="790" t="str">
        <f>A81</f>
        <v>New Jersey Natural Gas Company</v>
      </c>
      <c r="B98" s="790"/>
      <c r="C98" s="64">
        <f t="shared" si="15"/>
        <v>0.44922722629462575</v>
      </c>
      <c r="D98" s="64">
        <f t="shared" si="15"/>
        <v>0.43971254453339453</v>
      </c>
      <c r="E98" s="64">
        <f t="shared" si="15"/>
        <v>0.47592730242180176</v>
      </c>
      <c r="F98" s="64">
        <f t="shared" si="15"/>
        <v>0.46369476480373151</v>
      </c>
      <c r="G98" s="64">
        <f t="shared" si="15"/>
        <v>0.45303793615205756</v>
      </c>
      <c r="H98" s="64">
        <f t="shared" si="15"/>
        <v>0.45435269383237153</v>
      </c>
      <c r="I98" s="64">
        <f t="shared" si="15"/>
        <v>0.48996559975931792</v>
      </c>
      <c r="J98" s="64">
        <f t="shared" si="15"/>
        <v>0.46900555450096154</v>
      </c>
      <c r="K98" s="64"/>
      <c r="L98" s="791">
        <f t="shared" si="16"/>
        <v>0.4618654527872828</v>
      </c>
    </row>
    <row r="99" spans="1:70" x14ac:dyDescent="0.5">
      <c r="A99" s="790" t="str">
        <f>A82</f>
        <v>NiSource Inc.</v>
      </c>
      <c r="B99" s="790"/>
      <c r="C99" s="64">
        <f t="shared" si="15"/>
        <v>0.62445603502976899</v>
      </c>
      <c r="D99" s="64">
        <f t="shared" si="15"/>
        <v>0.63457278591231414</v>
      </c>
      <c r="E99" s="64">
        <f t="shared" si="15"/>
        <v>0.62501009199147051</v>
      </c>
      <c r="F99" s="64">
        <f t="shared" si="15"/>
        <v>0.63006669857700759</v>
      </c>
      <c r="G99" s="64">
        <f t="shared" si="15"/>
        <v>0.6476944118796405</v>
      </c>
      <c r="H99" s="64">
        <f t="shared" si="15"/>
        <v>0.63956311284589806</v>
      </c>
      <c r="I99" s="64">
        <f t="shared" si="15"/>
        <v>0.60018755372632782</v>
      </c>
      <c r="J99" s="64">
        <f t="shared" si="15"/>
        <v>0.59851391744928029</v>
      </c>
      <c r="K99" s="64"/>
      <c r="L99" s="791">
        <f t="shared" si="16"/>
        <v>0.62500807592646357</v>
      </c>
    </row>
    <row r="100" spans="1:70" x14ac:dyDescent="0.5">
      <c r="A100" s="790" t="str">
        <f>A83</f>
        <v>Northwest Natural Gas Company</v>
      </c>
      <c r="B100" s="790"/>
      <c r="C100" s="64">
        <f t="shared" si="15"/>
        <v>0.54570571715750549</v>
      </c>
      <c r="D100" s="64">
        <f t="shared" si="15"/>
        <v>0.51915494029056053</v>
      </c>
      <c r="E100" s="64">
        <f t="shared" si="15"/>
        <v>0.52132113905353605</v>
      </c>
      <c r="F100" s="64">
        <f t="shared" si="15"/>
        <v>0.52847828648285544</v>
      </c>
      <c r="G100" s="64">
        <f t="shared" si="15"/>
        <v>0.53883327911316259</v>
      </c>
      <c r="H100" s="64">
        <f t="shared" si="15"/>
        <v>0.52253837004483494</v>
      </c>
      <c r="I100" s="64">
        <f t="shared" si="15"/>
        <v>0.51441815084428588</v>
      </c>
      <c r="J100" s="64">
        <f t="shared" si="15"/>
        <v>0.52110741613222156</v>
      </c>
      <c r="K100" s="64"/>
      <c r="L100" s="791">
        <f t="shared" si="16"/>
        <v>0.52644466238987031</v>
      </c>
    </row>
    <row r="101" spans="1:70" x14ac:dyDescent="0.5">
      <c r="A101" s="790" t="str">
        <f>A84</f>
        <v>ONE Gas, Inc.</v>
      </c>
      <c r="B101" s="790"/>
      <c r="C101" s="64">
        <f t="shared" si="15"/>
        <v>0.5283261999783333</v>
      </c>
      <c r="D101" s="64">
        <f t="shared" si="15"/>
        <v>0.51195437474783034</v>
      </c>
      <c r="E101" s="64">
        <f t="shared" si="15"/>
        <v>0.50477154272706781</v>
      </c>
      <c r="F101" s="64">
        <f t="shared" si="15"/>
        <v>0.50272747948389951</v>
      </c>
      <c r="G101" s="64">
        <f t="shared" si="15"/>
        <v>0.50880942730649659</v>
      </c>
      <c r="H101" s="64">
        <f t="shared" si="15"/>
        <v>0.4966020783448481</v>
      </c>
      <c r="I101" s="64">
        <f t="shared" si="15"/>
        <v>0.50298035956263443</v>
      </c>
      <c r="J101" s="64">
        <f t="shared" si="15"/>
        <v>0.53356034227129134</v>
      </c>
      <c r="K101" s="64"/>
      <c r="L101" s="791">
        <f t="shared" si="16"/>
        <v>0.51121647555280014</v>
      </c>
    </row>
    <row r="102" spans="1:70" x14ac:dyDescent="0.5">
      <c r="A102" s="779" t="s">
        <v>3811</v>
      </c>
      <c r="C102" s="64">
        <f t="shared" si="15"/>
        <v>0.52572419140520543</v>
      </c>
      <c r="D102" s="64">
        <f t="shared" si="15"/>
        <v>0.52223171637456745</v>
      </c>
      <c r="E102" s="64">
        <f t="shared" si="15"/>
        <v>0.52030733334884727</v>
      </c>
      <c r="F102" s="64">
        <f t="shared" si="15"/>
        <v>0.52720587951380671</v>
      </c>
      <c r="G102" s="64">
        <f t="shared" si="15"/>
        <v>0.53086806202909809</v>
      </c>
      <c r="H102" s="64">
        <f t="shared" si="15"/>
        <v>0.52760958146267023</v>
      </c>
      <c r="I102" s="64">
        <f t="shared" si="15"/>
        <v>0.59994790273236065</v>
      </c>
      <c r="J102" s="64">
        <f t="shared" si="15"/>
        <v>0.57859254905929536</v>
      </c>
      <c r="L102" s="791">
        <f t="shared" si="16"/>
        <v>0.54156090199073148</v>
      </c>
      <c r="Q102" s="793"/>
      <c r="R102" s="793"/>
      <c r="S102" s="793"/>
      <c r="T102" s="793"/>
      <c r="U102" s="793"/>
      <c r="V102" s="793"/>
      <c r="W102" s="793"/>
      <c r="X102" s="793"/>
      <c r="Y102" s="793"/>
      <c r="Z102" s="793"/>
      <c r="AA102" s="793"/>
      <c r="AB102" s="793"/>
      <c r="AC102" s="793"/>
      <c r="AD102" s="793"/>
      <c r="AE102" s="793"/>
      <c r="AF102" s="793"/>
      <c r="AG102" s="793"/>
      <c r="AH102" s="793"/>
      <c r="AI102" s="793"/>
      <c r="AJ102" s="793"/>
      <c r="AK102" s="793"/>
      <c r="AL102" s="793"/>
      <c r="AM102" s="793"/>
      <c r="AN102" s="793"/>
      <c r="AO102" s="793"/>
      <c r="AP102" s="793"/>
      <c r="AQ102" s="793"/>
      <c r="AR102" s="794"/>
      <c r="AS102" s="794"/>
      <c r="AT102" s="794"/>
      <c r="AU102" s="794"/>
      <c r="AV102" s="794"/>
      <c r="AW102" s="794"/>
      <c r="AX102" s="794"/>
      <c r="AY102" s="794"/>
      <c r="AZ102" s="794"/>
      <c r="BA102" s="794"/>
      <c r="BB102" s="794"/>
      <c r="BC102" s="794"/>
      <c r="BD102" s="794"/>
      <c r="BE102" s="794"/>
      <c r="BF102" s="794"/>
      <c r="BG102" s="794"/>
      <c r="BH102" s="794"/>
      <c r="BI102" s="793"/>
      <c r="BJ102" s="793"/>
      <c r="BK102" s="793"/>
      <c r="BL102" s="793"/>
      <c r="BM102" s="793"/>
      <c r="BN102" s="793"/>
      <c r="BO102" s="793"/>
      <c r="BP102" s="793"/>
      <c r="BQ102" s="793"/>
      <c r="BR102" s="793"/>
    </row>
    <row r="103" spans="1:70" x14ac:dyDescent="0.5">
      <c r="A103" s="790" t="str">
        <f>A86</f>
        <v>Spire Alabama Inc.</v>
      </c>
      <c r="B103" s="790"/>
      <c r="C103" s="64">
        <f t="shared" si="15"/>
        <v>0.45251491901108271</v>
      </c>
      <c r="D103" s="64">
        <f t="shared" si="15"/>
        <v>0.45545167830592476</v>
      </c>
      <c r="E103" s="64">
        <f t="shared" si="15"/>
        <v>0.49430885410966402</v>
      </c>
      <c r="F103" s="64">
        <f t="shared" si="15"/>
        <v>0.49161827544647746</v>
      </c>
      <c r="G103" s="64">
        <f t="shared" si="15"/>
        <v>0.48499393136930374</v>
      </c>
      <c r="H103" s="64">
        <f t="shared" si="15"/>
        <v>0.48815062120299929</v>
      </c>
      <c r="I103" s="64">
        <f t="shared" si="15"/>
        <v>0.50551743068899258</v>
      </c>
      <c r="J103" s="64">
        <f t="shared" si="15"/>
        <v>0.48735359022237312</v>
      </c>
      <c r="K103" s="64"/>
      <c r="L103" s="791">
        <f t="shared" si="16"/>
        <v>0.48248866254460221</v>
      </c>
      <c r="Q103" s="793"/>
      <c r="R103" s="793"/>
      <c r="S103" s="793"/>
      <c r="T103" s="793"/>
      <c r="U103" s="793"/>
      <c r="V103" s="793"/>
      <c r="W103" s="793"/>
      <c r="X103" s="793"/>
      <c r="Y103" s="793"/>
      <c r="Z103" s="793"/>
      <c r="AA103" s="793"/>
      <c r="AB103" s="793"/>
      <c r="AC103" s="793"/>
      <c r="AD103" s="793"/>
      <c r="AE103" s="793"/>
      <c r="AF103" s="793"/>
      <c r="AG103" s="793"/>
      <c r="AH103" s="793"/>
      <c r="AI103" s="793"/>
      <c r="AJ103" s="793"/>
      <c r="AK103" s="793"/>
      <c r="AL103" s="793"/>
      <c r="AM103" s="793"/>
      <c r="AN103" s="793"/>
      <c r="AO103" s="793"/>
      <c r="AP103" s="793"/>
      <c r="AQ103" s="793"/>
      <c r="AR103" s="794"/>
      <c r="AS103" s="794"/>
      <c r="AT103" s="794"/>
      <c r="AU103" s="794"/>
      <c r="AV103" s="794"/>
      <c r="AW103" s="794"/>
      <c r="AX103" s="794"/>
      <c r="AY103" s="794"/>
      <c r="AZ103" s="794"/>
      <c r="BA103" s="794"/>
      <c r="BB103" s="794"/>
      <c r="BC103" s="794"/>
      <c r="BD103" s="794"/>
      <c r="BE103" s="794"/>
      <c r="BF103" s="794"/>
      <c r="BG103" s="794"/>
      <c r="BH103" s="794"/>
      <c r="BI103" s="793"/>
      <c r="BJ103" s="793"/>
      <c r="BK103" s="793"/>
      <c r="BL103" s="793"/>
      <c r="BM103" s="793"/>
      <c r="BN103" s="793"/>
      <c r="BO103" s="793"/>
      <c r="BP103" s="793"/>
      <c r="BQ103" s="793"/>
      <c r="BR103" s="793"/>
    </row>
    <row r="104" spans="1:70" x14ac:dyDescent="0.5">
      <c r="A104" s="790" t="str">
        <f>A87</f>
        <v>Spire Missouri Inc.</v>
      </c>
      <c r="B104" s="790"/>
      <c r="C104" s="64">
        <f t="shared" si="15"/>
        <v>0.52712073715208507</v>
      </c>
      <c r="D104" s="64">
        <f t="shared" si="15"/>
        <v>0.52697320355400534</v>
      </c>
      <c r="E104" s="64">
        <f t="shared" si="15"/>
        <v>0.56189532848060442</v>
      </c>
      <c r="F104" s="64">
        <f t="shared" si="15"/>
        <v>0.55946126659661854</v>
      </c>
      <c r="G104" s="64">
        <f t="shared" si="15"/>
        <v>0.55116962615687326</v>
      </c>
      <c r="H104" s="64">
        <f t="shared" si="15"/>
        <v>0.55102724965279437</v>
      </c>
      <c r="I104" s="64">
        <f t="shared" si="15"/>
        <v>0.56205877323692499</v>
      </c>
      <c r="J104" s="64">
        <f t="shared" si="15"/>
        <v>0.54569353705197954</v>
      </c>
      <c r="K104" s="64"/>
      <c r="L104" s="791">
        <f t="shared" si="16"/>
        <v>0.54817496523523568</v>
      </c>
      <c r="Q104" s="793"/>
      <c r="R104" s="793"/>
      <c r="S104" s="793"/>
      <c r="T104" s="793"/>
      <c r="U104" s="793"/>
      <c r="V104" s="793"/>
      <c r="W104" s="793"/>
      <c r="X104" s="793"/>
      <c r="Y104" s="793"/>
      <c r="Z104" s="793"/>
      <c r="AA104" s="793"/>
      <c r="AB104" s="793"/>
      <c r="AC104" s="793"/>
      <c r="AD104" s="793"/>
      <c r="AE104" s="793"/>
      <c r="AF104" s="793"/>
      <c r="AG104" s="793"/>
      <c r="AH104" s="793"/>
      <c r="AI104" s="793"/>
      <c r="AJ104" s="793"/>
      <c r="AK104" s="793"/>
      <c r="AL104" s="793"/>
      <c r="AM104" s="793"/>
      <c r="AN104" s="793"/>
      <c r="AO104" s="793"/>
      <c r="AP104" s="793"/>
      <c r="AQ104" s="793"/>
      <c r="AR104" s="794"/>
      <c r="AS104" s="794"/>
      <c r="AT104" s="794"/>
      <c r="AU104" s="794"/>
      <c r="AV104" s="794"/>
      <c r="AW104" s="794"/>
      <c r="AX104" s="794"/>
      <c r="AY104" s="794"/>
      <c r="AZ104" s="794"/>
      <c r="BA104" s="794"/>
      <c r="BB104" s="794"/>
      <c r="BC104" s="794"/>
      <c r="BD104" s="794"/>
      <c r="BE104" s="794"/>
      <c r="BF104" s="794"/>
      <c r="BG104" s="794"/>
      <c r="BH104" s="794"/>
      <c r="BI104" s="793"/>
      <c r="BJ104" s="793"/>
      <c r="BK104" s="793"/>
      <c r="BL104" s="793"/>
      <c r="BM104" s="793"/>
      <c r="BN104" s="793"/>
      <c r="BO104" s="793"/>
      <c r="BP104" s="793"/>
      <c r="BQ104" s="793"/>
      <c r="BR104" s="793"/>
    </row>
    <row r="105" spans="1:70" x14ac:dyDescent="0.5">
      <c r="A105" s="796"/>
      <c r="B105" s="796"/>
      <c r="C105" s="796"/>
      <c r="D105" s="796"/>
      <c r="E105" s="797"/>
      <c r="F105" s="797"/>
      <c r="G105" s="797"/>
      <c r="H105" s="797"/>
      <c r="I105" s="797"/>
      <c r="J105" s="797"/>
      <c r="K105" s="797"/>
      <c r="L105" s="798"/>
      <c r="Q105" s="793"/>
      <c r="R105" s="793"/>
      <c r="S105" s="793"/>
      <c r="T105" s="793"/>
      <c r="U105" s="793"/>
      <c r="V105" s="793"/>
      <c r="W105" s="793"/>
      <c r="X105" s="793"/>
      <c r="Y105" s="793"/>
      <c r="Z105" s="793"/>
      <c r="AA105" s="793"/>
      <c r="AB105" s="793"/>
      <c r="AC105" s="793"/>
      <c r="AD105" s="793"/>
      <c r="AE105" s="793"/>
      <c r="AF105" s="793"/>
      <c r="AG105" s="793"/>
      <c r="AH105" s="793"/>
      <c r="AI105" s="793"/>
      <c r="AJ105" s="793"/>
      <c r="AK105" s="793"/>
      <c r="AL105" s="793"/>
      <c r="AM105" s="793"/>
      <c r="AN105" s="793"/>
      <c r="AO105" s="793"/>
      <c r="AP105" s="793"/>
      <c r="AQ105" s="793"/>
      <c r="AR105" s="794"/>
      <c r="AS105" s="794"/>
      <c r="AT105" s="794"/>
      <c r="AU105" s="794"/>
      <c r="AV105" s="794"/>
      <c r="AW105" s="794"/>
      <c r="AX105" s="794"/>
      <c r="AY105" s="794"/>
      <c r="AZ105" s="794"/>
      <c r="BA105" s="794"/>
      <c r="BB105" s="794"/>
      <c r="BC105" s="794"/>
      <c r="BD105" s="794"/>
      <c r="BE105" s="794"/>
      <c r="BF105" s="794"/>
      <c r="BG105" s="794"/>
      <c r="BH105" s="794"/>
      <c r="BI105" s="793"/>
      <c r="BJ105" s="793"/>
      <c r="BK105" s="793"/>
      <c r="BL105" s="793"/>
      <c r="BM105" s="793"/>
      <c r="BN105" s="793"/>
      <c r="BO105" s="793"/>
      <c r="BP105" s="793"/>
      <c r="BQ105" s="793"/>
      <c r="BR105" s="793"/>
    </row>
    <row r="106" spans="1:70" x14ac:dyDescent="0.5">
      <c r="A106" s="790"/>
      <c r="B106" s="790"/>
      <c r="C106" s="790"/>
      <c r="D106" s="790"/>
      <c r="I106" s="66"/>
      <c r="J106" s="61" t="s">
        <v>4579</v>
      </c>
      <c r="K106" s="799"/>
      <c r="L106" s="800">
        <f>MIN(L97:L104)</f>
        <v>0.40935046426838406</v>
      </c>
      <c r="Q106" s="793"/>
      <c r="R106" s="793"/>
      <c r="S106" s="793"/>
      <c r="T106" s="793"/>
      <c r="U106" s="793"/>
      <c r="V106" s="793"/>
      <c r="W106" s="793"/>
      <c r="X106" s="793"/>
      <c r="Y106" s="793"/>
      <c r="Z106" s="793"/>
      <c r="AA106" s="793"/>
      <c r="AB106" s="793"/>
      <c r="AC106" s="793"/>
      <c r="AD106" s="793"/>
      <c r="AE106" s="793"/>
      <c r="AF106" s="793"/>
      <c r="AG106" s="793"/>
      <c r="AH106" s="793"/>
      <c r="AI106" s="793"/>
      <c r="AJ106" s="793"/>
      <c r="AK106" s="793"/>
      <c r="AL106" s="793"/>
      <c r="AM106" s="793"/>
      <c r="AN106" s="793"/>
      <c r="AO106" s="793"/>
      <c r="AP106" s="793"/>
      <c r="AQ106" s="793"/>
      <c r="AR106" s="794"/>
      <c r="AS106" s="794"/>
      <c r="AT106" s="794"/>
      <c r="AU106" s="794"/>
      <c r="AV106" s="794"/>
      <c r="AW106" s="794"/>
      <c r="AX106" s="794"/>
      <c r="AY106" s="794"/>
      <c r="AZ106" s="794"/>
      <c r="BA106" s="794"/>
      <c r="BB106" s="794"/>
      <c r="BC106" s="794"/>
      <c r="BD106" s="794"/>
      <c r="BE106" s="794"/>
      <c r="BF106" s="794"/>
      <c r="BG106" s="794"/>
      <c r="BH106" s="794"/>
      <c r="BI106" s="793"/>
      <c r="BJ106" s="793"/>
      <c r="BK106" s="793"/>
      <c r="BL106" s="793"/>
      <c r="BM106" s="793"/>
      <c r="BN106" s="793"/>
      <c r="BO106" s="793"/>
      <c r="BP106" s="793"/>
      <c r="BQ106" s="793"/>
      <c r="BR106" s="793"/>
    </row>
    <row r="107" spans="1:70" x14ac:dyDescent="0.5">
      <c r="E107" s="801"/>
      <c r="F107" s="801"/>
      <c r="G107" s="801"/>
      <c r="H107" s="801"/>
      <c r="I107" s="801"/>
      <c r="J107" s="61" t="s">
        <v>4580</v>
      </c>
      <c r="L107" s="800">
        <f>MAX(L97:L104)</f>
        <v>0.62500807592646357</v>
      </c>
      <c r="Q107" s="793"/>
      <c r="R107" s="793"/>
      <c r="S107" s="793"/>
      <c r="T107" s="793"/>
      <c r="U107" s="793"/>
      <c r="V107" s="793"/>
      <c r="W107" s="793"/>
      <c r="X107" s="793"/>
      <c r="Y107" s="793"/>
      <c r="Z107" s="793"/>
      <c r="AA107" s="793"/>
      <c r="AB107" s="793"/>
      <c r="AC107" s="793"/>
      <c r="AD107" s="793"/>
      <c r="AE107" s="793"/>
      <c r="AF107" s="793"/>
      <c r="AG107" s="793"/>
      <c r="AH107" s="793"/>
      <c r="AI107" s="793"/>
      <c r="AJ107" s="793"/>
      <c r="AK107" s="793"/>
      <c r="AL107" s="793"/>
      <c r="AM107" s="793"/>
      <c r="AN107" s="793"/>
      <c r="AO107" s="793"/>
      <c r="AP107" s="793"/>
      <c r="AQ107" s="793"/>
      <c r="AR107" s="794"/>
      <c r="AS107" s="794"/>
      <c r="AT107" s="794"/>
      <c r="AU107" s="794"/>
      <c r="AV107" s="794"/>
      <c r="AW107" s="794"/>
      <c r="AX107" s="794"/>
      <c r="AY107" s="794"/>
      <c r="AZ107" s="794"/>
      <c r="BA107" s="794"/>
      <c r="BB107" s="794"/>
      <c r="BC107" s="794"/>
      <c r="BD107" s="794"/>
      <c r="BE107" s="794"/>
      <c r="BF107" s="794"/>
      <c r="BG107" s="794"/>
      <c r="BH107" s="794"/>
      <c r="BI107" s="793"/>
      <c r="BJ107" s="793"/>
      <c r="BK107" s="793"/>
      <c r="BL107" s="793"/>
      <c r="BM107" s="793"/>
      <c r="BN107" s="793"/>
      <c r="BO107" s="793"/>
      <c r="BP107" s="793"/>
      <c r="BQ107" s="793"/>
      <c r="BR107" s="793"/>
    </row>
    <row r="108" spans="1:70" x14ac:dyDescent="0.5">
      <c r="E108" s="801"/>
      <c r="F108" s="801"/>
      <c r="G108" s="801"/>
      <c r="H108" s="801"/>
      <c r="I108" s="801"/>
      <c r="J108" s="805"/>
      <c r="Q108" s="793"/>
      <c r="R108" s="793"/>
      <c r="S108" s="793"/>
      <c r="T108" s="793"/>
      <c r="U108" s="793"/>
      <c r="V108" s="793"/>
      <c r="W108" s="793"/>
      <c r="X108" s="793"/>
      <c r="Y108" s="793"/>
      <c r="Z108" s="793"/>
      <c r="AA108" s="793"/>
      <c r="AB108" s="793"/>
      <c r="AC108" s="793"/>
      <c r="AD108" s="793"/>
      <c r="AE108" s="793"/>
      <c r="AF108" s="793"/>
      <c r="AG108" s="793"/>
      <c r="AH108" s="793"/>
      <c r="AI108" s="793"/>
      <c r="AJ108" s="793"/>
      <c r="AK108" s="793"/>
      <c r="AL108" s="793"/>
      <c r="AM108" s="793"/>
      <c r="AN108" s="793"/>
      <c r="AO108" s="793"/>
      <c r="AP108" s="793"/>
      <c r="AQ108" s="793"/>
      <c r="AR108" s="794"/>
      <c r="AS108" s="794"/>
      <c r="AT108" s="794"/>
      <c r="AU108" s="794"/>
      <c r="AV108" s="794"/>
      <c r="AW108" s="794"/>
      <c r="AX108" s="794"/>
      <c r="AY108" s="794"/>
      <c r="AZ108" s="794"/>
      <c r="BA108" s="794"/>
      <c r="BB108" s="794"/>
      <c r="BC108" s="794"/>
      <c r="BD108" s="794"/>
      <c r="BE108" s="794"/>
      <c r="BF108" s="794"/>
      <c r="BG108" s="794"/>
      <c r="BH108" s="794"/>
      <c r="BI108" s="793"/>
      <c r="BJ108" s="793"/>
      <c r="BK108" s="793"/>
      <c r="BL108" s="793"/>
      <c r="BM108" s="793"/>
      <c r="BN108" s="793"/>
      <c r="BO108" s="793"/>
      <c r="BP108" s="793"/>
      <c r="BQ108" s="793"/>
      <c r="BR108" s="793"/>
    </row>
    <row r="109" spans="1:70" x14ac:dyDescent="0.5">
      <c r="E109" s="801"/>
      <c r="F109" s="801"/>
      <c r="G109" s="801"/>
      <c r="H109" s="801"/>
      <c r="I109" s="801"/>
      <c r="J109" s="805"/>
      <c r="Q109" s="793"/>
      <c r="R109" s="793"/>
      <c r="S109" s="793"/>
      <c r="T109" s="793"/>
      <c r="U109" s="793"/>
      <c r="V109" s="793"/>
      <c r="W109" s="793"/>
      <c r="X109" s="793"/>
      <c r="Y109" s="793"/>
      <c r="Z109" s="793"/>
      <c r="AA109" s="793"/>
      <c r="AB109" s="793"/>
      <c r="AC109" s="793"/>
      <c r="AD109" s="793"/>
      <c r="AE109" s="793"/>
      <c r="AF109" s="793"/>
      <c r="AG109" s="793"/>
      <c r="AH109" s="793"/>
      <c r="AI109" s="793"/>
      <c r="AJ109" s="793"/>
      <c r="AK109" s="793"/>
      <c r="AL109" s="793"/>
      <c r="AM109" s="793"/>
      <c r="AN109" s="793"/>
      <c r="AO109" s="793"/>
      <c r="AP109" s="793"/>
      <c r="AQ109" s="793"/>
      <c r="AR109" s="794"/>
      <c r="AS109" s="794"/>
      <c r="AT109" s="794"/>
      <c r="AU109" s="794"/>
      <c r="AV109" s="794"/>
      <c r="AW109" s="794"/>
      <c r="AX109" s="794"/>
      <c r="AY109" s="794"/>
      <c r="AZ109" s="794"/>
      <c r="BA109" s="794"/>
      <c r="BB109" s="794"/>
      <c r="BC109" s="794"/>
      <c r="BD109" s="794"/>
      <c r="BE109" s="794"/>
      <c r="BF109" s="794"/>
      <c r="BG109" s="794"/>
      <c r="BH109" s="794"/>
      <c r="BI109" s="793"/>
      <c r="BJ109" s="793"/>
      <c r="BK109" s="793"/>
      <c r="BL109" s="793"/>
      <c r="BM109" s="793"/>
      <c r="BN109" s="793"/>
      <c r="BO109" s="793"/>
      <c r="BP109" s="793"/>
      <c r="BQ109" s="793"/>
      <c r="BR109" s="793"/>
    </row>
    <row r="110" spans="1:70" x14ac:dyDescent="0.5">
      <c r="A110" s="1435" t="s">
        <v>4571</v>
      </c>
      <c r="B110" s="1435"/>
      <c r="C110" s="1435"/>
      <c r="D110" s="1435"/>
      <c r="E110" s="1435"/>
      <c r="F110" s="1435"/>
      <c r="G110" s="1435"/>
      <c r="H110" s="1435"/>
      <c r="I110" s="1435"/>
      <c r="J110" s="1435"/>
      <c r="K110" s="1435"/>
      <c r="L110" s="1435"/>
      <c r="Q110" s="793"/>
      <c r="R110" s="793"/>
      <c r="S110" s="793"/>
      <c r="T110" s="793"/>
      <c r="U110" s="793"/>
      <c r="V110" s="793"/>
      <c r="W110" s="793"/>
      <c r="X110" s="793"/>
      <c r="Y110" s="793"/>
      <c r="Z110" s="793"/>
      <c r="AA110" s="793"/>
      <c r="AB110" s="793"/>
      <c r="AC110" s="793"/>
      <c r="AD110" s="793"/>
      <c r="AE110" s="793"/>
      <c r="AF110" s="793"/>
      <c r="AG110" s="793"/>
      <c r="AH110" s="793"/>
      <c r="AI110" s="793"/>
      <c r="AJ110" s="793"/>
      <c r="AK110" s="793"/>
      <c r="AL110" s="793"/>
      <c r="AM110" s="793"/>
      <c r="AN110" s="793"/>
      <c r="AO110" s="793"/>
      <c r="AP110" s="793"/>
      <c r="AQ110" s="793"/>
      <c r="AR110" s="794"/>
      <c r="AS110" s="794"/>
      <c r="AT110" s="794"/>
      <c r="AU110" s="794"/>
      <c r="AV110" s="794"/>
      <c r="AW110" s="794"/>
      <c r="AX110" s="794"/>
      <c r="AY110" s="794"/>
      <c r="AZ110" s="794"/>
      <c r="BA110" s="794"/>
      <c r="BB110" s="794"/>
      <c r="BC110" s="794"/>
      <c r="BD110" s="794"/>
      <c r="BE110" s="794"/>
      <c r="BF110" s="794"/>
      <c r="BG110" s="794"/>
      <c r="BH110" s="794"/>
      <c r="BI110" s="793"/>
      <c r="BJ110" s="793"/>
      <c r="BK110" s="793"/>
      <c r="BL110" s="793"/>
      <c r="BM110" s="793"/>
      <c r="BN110" s="793"/>
      <c r="BO110" s="793"/>
      <c r="BP110" s="793"/>
      <c r="BQ110" s="793"/>
      <c r="BR110" s="793"/>
    </row>
    <row r="111" spans="1:70" x14ac:dyDescent="0.5">
      <c r="A111" s="808"/>
      <c r="B111" s="808"/>
      <c r="C111" s="808"/>
      <c r="D111" s="808"/>
      <c r="E111" s="808"/>
      <c r="F111" s="808"/>
      <c r="G111" s="808"/>
      <c r="H111" s="808"/>
      <c r="I111" s="808"/>
      <c r="J111" s="808"/>
      <c r="K111" s="808"/>
      <c r="L111" s="781"/>
      <c r="Q111" s="793"/>
      <c r="R111" s="793"/>
      <c r="S111" s="793"/>
      <c r="T111" s="793"/>
      <c r="U111" s="793"/>
      <c r="V111" s="793"/>
      <c r="W111" s="793"/>
      <c r="X111" s="793"/>
      <c r="Y111" s="793"/>
      <c r="Z111" s="793"/>
      <c r="AA111" s="793"/>
      <c r="AB111" s="793"/>
      <c r="AC111" s="793"/>
      <c r="AD111" s="793"/>
      <c r="AE111" s="793"/>
      <c r="AF111" s="793"/>
      <c r="AG111" s="793"/>
      <c r="AH111" s="793"/>
      <c r="AI111" s="793"/>
      <c r="AJ111" s="793"/>
      <c r="AK111" s="793"/>
      <c r="AL111" s="793"/>
      <c r="AM111" s="793"/>
      <c r="AN111" s="793"/>
      <c r="AO111" s="793"/>
      <c r="AP111" s="793"/>
      <c r="AQ111" s="793"/>
      <c r="AR111" s="794"/>
      <c r="AS111" s="794"/>
      <c r="AT111" s="794"/>
      <c r="AU111" s="794"/>
      <c r="AV111" s="794"/>
      <c r="AW111" s="794"/>
      <c r="AX111" s="794"/>
      <c r="AY111" s="794"/>
      <c r="AZ111" s="794"/>
      <c r="BA111" s="794"/>
      <c r="BB111" s="794"/>
      <c r="BC111" s="794"/>
      <c r="BD111" s="794"/>
      <c r="BE111" s="794"/>
      <c r="BF111" s="794"/>
      <c r="BG111" s="794"/>
      <c r="BH111" s="794"/>
      <c r="BI111" s="793"/>
      <c r="BJ111" s="793"/>
      <c r="BK111" s="793"/>
      <c r="BL111" s="793"/>
      <c r="BM111" s="793"/>
      <c r="BN111" s="793"/>
      <c r="BO111" s="793"/>
      <c r="BP111" s="793"/>
      <c r="BQ111" s="793"/>
      <c r="BR111" s="793"/>
    </row>
    <row r="112" spans="1:70" ht="45" x14ac:dyDescent="0.5">
      <c r="A112" s="779" t="s">
        <v>611</v>
      </c>
      <c r="C112" s="784" t="s">
        <v>4535</v>
      </c>
      <c r="D112" s="784" t="s">
        <v>4536</v>
      </c>
      <c r="E112" s="784" t="str">
        <f t="shared" ref="E112:J112" si="17">E95</f>
        <v>2024 Q1</v>
      </c>
      <c r="F112" s="784" t="str">
        <f t="shared" si="17"/>
        <v>2023 Q4</v>
      </c>
      <c r="G112" s="784" t="str">
        <f t="shared" si="17"/>
        <v>2023 Q3</v>
      </c>
      <c r="H112" s="784" t="str">
        <f t="shared" si="17"/>
        <v>2023 Q2</v>
      </c>
      <c r="I112" s="784" t="str">
        <f t="shared" si="17"/>
        <v>2023 Q1</v>
      </c>
      <c r="J112" s="784" t="str">
        <f t="shared" si="17"/>
        <v>2022 Q4</v>
      </c>
      <c r="K112" s="784"/>
      <c r="L112" s="785" t="str">
        <f>L95</f>
        <v>8Q average ending Q3 2024</v>
      </c>
      <c r="Q112" s="793"/>
      <c r="R112" s="793"/>
      <c r="S112" s="793"/>
      <c r="T112" s="793"/>
      <c r="U112" s="793"/>
      <c r="V112" s="793"/>
      <c r="W112" s="793"/>
      <c r="X112" s="793"/>
      <c r="Y112" s="793"/>
      <c r="Z112" s="793"/>
      <c r="AA112" s="793"/>
      <c r="AB112" s="793"/>
      <c r="AC112" s="793"/>
      <c r="AD112" s="793"/>
      <c r="AE112" s="793"/>
      <c r="AF112" s="793"/>
      <c r="AG112" s="793"/>
      <c r="AH112" s="793"/>
      <c r="AI112" s="793"/>
      <c r="AJ112" s="793"/>
      <c r="AK112" s="793"/>
      <c r="AL112" s="793"/>
      <c r="AM112" s="793"/>
      <c r="AN112" s="793"/>
      <c r="AO112" s="793"/>
      <c r="AP112" s="793"/>
      <c r="AQ112" s="793"/>
      <c r="AR112" s="794"/>
      <c r="AS112" s="794"/>
      <c r="AT112" s="794"/>
      <c r="AU112" s="794"/>
      <c r="AV112" s="794"/>
      <c r="AW112" s="794"/>
      <c r="AX112" s="794"/>
      <c r="AY112" s="794"/>
      <c r="AZ112" s="794"/>
      <c r="BA112" s="794"/>
      <c r="BB112" s="794"/>
      <c r="BC112" s="794"/>
      <c r="BD112" s="794"/>
      <c r="BE112" s="794"/>
      <c r="BF112" s="794"/>
      <c r="BG112" s="794"/>
      <c r="BH112" s="794"/>
      <c r="BI112" s="793"/>
      <c r="BJ112" s="793"/>
      <c r="BK112" s="793"/>
      <c r="BL112" s="793"/>
      <c r="BM112" s="793"/>
      <c r="BN112" s="793"/>
      <c r="BO112" s="793"/>
      <c r="BP112" s="793"/>
      <c r="BQ112" s="793"/>
      <c r="BR112" s="793"/>
    </row>
    <row r="113" spans="1:70" x14ac:dyDescent="0.5">
      <c r="A113" s="787"/>
      <c r="B113" s="787"/>
      <c r="C113" s="787"/>
      <c r="D113" s="787"/>
      <c r="E113" s="787"/>
      <c r="F113" s="787"/>
      <c r="G113" s="787"/>
      <c r="H113" s="787"/>
      <c r="I113" s="809"/>
      <c r="J113" s="809"/>
      <c r="K113" s="809"/>
      <c r="L113" s="810"/>
      <c r="Q113" s="793"/>
      <c r="R113" s="793"/>
      <c r="S113" s="793"/>
      <c r="T113" s="793"/>
      <c r="U113" s="793"/>
      <c r="V113" s="793"/>
      <c r="W113" s="793"/>
      <c r="X113" s="793"/>
      <c r="Y113" s="793"/>
      <c r="Z113" s="793"/>
      <c r="AA113" s="793"/>
      <c r="AB113" s="793"/>
      <c r="AC113" s="793"/>
      <c r="AD113" s="793"/>
      <c r="AE113" s="793"/>
      <c r="AF113" s="793"/>
      <c r="AG113" s="793"/>
      <c r="AH113" s="793"/>
      <c r="AI113" s="793"/>
      <c r="AJ113" s="793"/>
      <c r="AK113" s="793"/>
      <c r="AL113" s="793"/>
      <c r="AM113" s="793"/>
      <c r="AN113" s="793"/>
      <c r="AO113" s="793"/>
      <c r="AP113" s="793"/>
      <c r="AQ113" s="793"/>
      <c r="AR113" s="794"/>
      <c r="AS113" s="794"/>
      <c r="AT113" s="794"/>
      <c r="AU113" s="794"/>
      <c r="AV113" s="794"/>
      <c r="AW113" s="794"/>
      <c r="AX113" s="794"/>
      <c r="AY113" s="794"/>
      <c r="AZ113" s="794"/>
      <c r="BA113" s="794"/>
      <c r="BB113" s="794"/>
      <c r="BC113" s="794"/>
      <c r="BD113" s="794"/>
      <c r="BE113" s="794"/>
      <c r="BF113" s="794"/>
      <c r="BG113" s="794"/>
      <c r="BH113" s="794"/>
      <c r="BI113" s="793"/>
      <c r="BJ113" s="793"/>
      <c r="BK113" s="793"/>
      <c r="BL113" s="793"/>
      <c r="BM113" s="793"/>
      <c r="BN113" s="793"/>
      <c r="BO113" s="793"/>
      <c r="BP113" s="793"/>
      <c r="BQ113" s="793"/>
      <c r="BR113" s="793"/>
    </row>
    <row r="114" spans="1:70" x14ac:dyDescent="0.5">
      <c r="A114" s="790" t="str">
        <f>A97</f>
        <v>Atmos Energy Corporation</v>
      </c>
      <c r="B114" s="790"/>
      <c r="C114" s="64">
        <f t="shared" ref="C114:J121" si="18">(R27)/(R27+AA27+AJ27-AS27+BK27-BT27)</f>
        <v>0.61007220269393547</v>
      </c>
      <c r="D114" s="64">
        <f t="shared" si="18"/>
        <v>0.6094197324585755</v>
      </c>
      <c r="E114" s="64">
        <f t="shared" si="18"/>
        <v>0.60223463209637929</v>
      </c>
      <c r="F114" s="64">
        <f t="shared" si="18"/>
        <v>0.62146502398858017</v>
      </c>
      <c r="G114" s="64">
        <f t="shared" si="18"/>
        <v>0.61794299287327858</v>
      </c>
      <c r="H114" s="64">
        <f t="shared" si="18"/>
        <v>0.60890920388495962</v>
      </c>
      <c r="I114" s="64">
        <f t="shared" si="18"/>
        <v>0.52912912967837367</v>
      </c>
      <c r="J114" s="64">
        <f t="shared" si="18"/>
        <v>0.54017187725720583</v>
      </c>
      <c r="K114" s="64"/>
      <c r="L114" s="791">
        <f t="shared" ref="L114:L121" si="19">AVERAGE(C114:J114)</f>
        <v>0.59241809936641099</v>
      </c>
      <c r="Q114" s="793"/>
      <c r="R114" s="793"/>
      <c r="S114" s="793"/>
      <c r="T114" s="793"/>
      <c r="U114" s="793"/>
      <c r="V114" s="793"/>
      <c r="W114" s="793"/>
      <c r="X114" s="793"/>
      <c r="Y114" s="793"/>
      <c r="Z114" s="793"/>
      <c r="AA114" s="793"/>
      <c r="AB114" s="793"/>
      <c r="AC114" s="793"/>
      <c r="AD114" s="793"/>
      <c r="AE114" s="793"/>
      <c r="AF114" s="793"/>
      <c r="AG114" s="793"/>
      <c r="AH114" s="793"/>
      <c r="AI114" s="793"/>
      <c r="AJ114" s="793"/>
      <c r="AK114" s="793"/>
      <c r="AL114" s="793"/>
      <c r="AM114" s="793"/>
      <c r="AN114" s="793"/>
      <c r="AO114" s="793"/>
      <c r="AP114" s="793"/>
      <c r="AQ114" s="793"/>
      <c r="AR114" s="794"/>
      <c r="AS114" s="794"/>
      <c r="AT114" s="794"/>
      <c r="AU114" s="794"/>
      <c r="AV114" s="794"/>
      <c r="AW114" s="794"/>
      <c r="AX114" s="794"/>
      <c r="AY114" s="794"/>
      <c r="AZ114" s="794"/>
      <c r="BA114" s="794"/>
      <c r="BB114" s="794"/>
      <c r="BC114" s="794"/>
      <c r="BD114" s="794"/>
      <c r="BE114" s="794"/>
      <c r="BF114" s="794"/>
      <c r="BG114" s="794"/>
      <c r="BH114" s="794"/>
      <c r="BI114" s="793"/>
      <c r="BJ114" s="793"/>
      <c r="BK114" s="793"/>
      <c r="BL114" s="793"/>
      <c r="BM114" s="793"/>
      <c r="BN114" s="793"/>
      <c r="BO114" s="793"/>
      <c r="BP114" s="793"/>
      <c r="BQ114" s="793"/>
      <c r="BR114" s="793"/>
    </row>
    <row r="115" spans="1:70" x14ac:dyDescent="0.5">
      <c r="A115" s="790" t="str">
        <f>A98</f>
        <v>New Jersey Natural Gas Company</v>
      </c>
      <c r="B115" s="790"/>
      <c r="C115" s="64">
        <f t="shared" si="18"/>
        <v>0.55077277370537425</v>
      </c>
      <c r="D115" s="64">
        <f t="shared" si="18"/>
        <v>0.56835593460511813</v>
      </c>
      <c r="E115" s="64">
        <f t="shared" si="18"/>
        <v>0.53976027943009175</v>
      </c>
      <c r="F115" s="64">
        <f t="shared" si="18"/>
        <v>0.54187780163449895</v>
      </c>
      <c r="G115" s="64">
        <f t="shared" si="18"/>
        <v>0.54875657861653737</v>
      </c>
      <c r="H115" s="64">
        <f t="shared" si="18"/>
        <v>0.54564730616762847</v>
      </c>
      <c r="I115" s="64">
        <f t="shared" si="18"/>
        <v>0.52814270738691482</v>
      </c>
      <c r="J115" s="64">
        <f t="shared" si="18"/>
        <v>0.54425459559601053</v>
      </c>
      <c r="K115" s="64"/>
      <c r="L115" s="791">
        <f t="shared" si="19"/>
        <v>0.54594599714277181</v>
      </c>
      <c r="Q115" s="793"/>
      <c r="R115" s="793"/>
      <c r="S115" s="793"/>
      <c r="T115" s="793"/>
      <c r="U115" s="793"/>
      <c r="V115" s="793"/>
      <c r="W115" s="793"/>
      <c r="X115" s="793"/>
      <c r="Y115" s="793"/>
      <c r="Z115" s="793"/>
      <c r="AA115" s="793"/>
      <c r="AB115" s="793"/>
      <c r="AC115" s="793"/>
      <c r="AD115" s="793"/>
      <c r="AE115" s="793"/>
      <c r="AF115" s="793"/>
      <c r="AG115" s="793"/>
      <c r="AH115" s="793"/>
      <c r="AI115" s="793"/>
      <c r="AJ115" s="793"/>
      <c r="AK115" s="793"/>
      <c r="AL115" s="793"/>
      <c r="AM115" s="793"/>
      <c r="AN115" s="793"/>
      <c r="AO115" s="793"/>
      <c r="AP115" s="793"/>
      <c r="AQ115" s="793"/>
      <c r="AR115" s="794"/>
      <c r="AS115" s="794"/>
      <c r="AT115" s="794"/>
      <c r="AU115" s="794"/>
      <c r="AV115" s="794"/>
      <c r="AW115" s="794"/>
      <c r="AX115" s="794"/>
      <c r="AY115" s="794"/>
      <c r="AZ115" s="794"/>
      <c r="BA115" s="794"/>
      <c r="BB115" s="794"/>
      <c r="BC115" s="794"/>
      <c r="BD115" s="794"/>
      <c r="BE115" s="794"/>
      <c r="BF115" s="794"/>
      <c r="BG115" s="794"/>
      <c r="BH115" s="794"/>
      <c r="BI115" s="793"/>
      <c r="BJ115" s="793"/>
      <c r="BK115" s="793"/>
      <c r="BL115" s="793"/>
      <c r="BM115" s="793"/>
      <c r="BN115" s="793"/>
      <c r="BO115" s="793"/>
      <c r="BP115" s="793"/>
      <c r="BQ115" s="793"/>
      <c r="BR115" s="793"/>
    </row>
    <row r="116" spans="1:70" x14ac:dyDescent="0.5">
      <c r="A116" s="790" t="str">
        <f>A99</f>
        <v>NiSource Inc.</v>
      </c>
      <c r="B116" s="790"/>
      <c r="C116" s="64">
        <f t="shared" si="18"/>
        <v>0.37993817183494882</v>
      </c>
      <c r="D116" s="64">
        <f t="shared" si="18"/>
        <v>0.37669281990646108</v>
      </c>
      <c r="E116" s="64">
        <f t="shared" si="18"/>
        <v>0.39809922355551075</v>
      </c>
      <c r="F116" s="64">
        <f t="shared" si="18"/>
        <v>0.33702999632232966</v>
      </c>
      <c r="G116" s="64">
        <f t="shared" si="18"/>
        <v>0.33200563222862028</v>
      </c>
      <c r="H116" s="64">
        <f t="shared" si="18"/>
        <v>0.32905978278524328</v>
      </c>
      <c r="I116" s="64">
        <f t="shared" si="18"/>
        <v>0.34208307979165853</v>
      </c>
      <c r="J116" s="64">
        <f t="shared" si="18"/>
        <v>0.3397772776430012</v>
      </c>
      <c r="K116" s="64"/>
      <c r="L116" s="791">
        <f t="shared" si="19"/>
        <v>0.35433574800847173</v>
      </c>
      <c r="Q116" s="793"/>
      <c r="R116" s="793"/>
      <c r="S116" s="793"/>
      <c r="T116" s="793"/>
      <c r="U116" s="793"/>
      <c r="V116" s="793"/>
      <c r="W116" s="793"/>
      <c r="X116" s="793"/>
      <c r="Y116" s="793"/>
      <c r="Z116" s="793"/>
      <c r="AA116" s="793"/>
      <c r="AB116" s="793"/>
      <c r="AC116" s="793"/>
      <c r="AD116" s="793"/>
      <c r="AE116" s="793"/>
      <c r="AF116" s="793"/>
      <c r="AG116" s="793"/>
      <c r="AH116" s="793"/>
      <c r="AI116" s="793"/>
      <c r="AJ116" s="793"/>
      <c r="AK116" s="793"/>
      <c r="AL116" s="793"/>
      <c r="AM116" s="793"/>
      <c r="AN116" s="793"/>
      <c r="AO116" s="793"/>
      <c r="AP116" s="793"/>
      <c r="AQ116" s="793"/>
      <c r="AR116" s="794"/>
      <c r="AS116" s="794"/>
      <c r="AT116" s="794"/>
      <c r="AU116" s="794"/>
      <c r="AV116" s="794"/>
      <c r="AW116" s="794"/>
      <c r="AX116" s="794"/>
      <c r="AY116" s="794"/>
      <c r="AZ116" s="794"/>
      <c r="BA116" s="794"/>
      <c r="BB116" s="794"/>
      <c r="BC116" s="794"/>
      <c r="BD116" s="794"/>
      <c r="BE116" s="794"/>
      <c r="BF116" s="794"/>
      <c r="BG116" s="794"/>
      <c r="BH116" s="794"/>
      <c r="BI116" s="793"/>
      <c r="BJ116" s="793"/>
      <c r="BK116" s="793"/>
      <c r="BL116" s="793"/>
      <c r="BM116" s="793"/>
      <c r="BN116" s="793"/>
      <c r="BO116" s="793"/>
      <c r="BP116" s="793"/>
      <c r="BQ116" s="793"/>
      <c r="BR116" s="793"/>
    </row>
    <row r="117" spans="1:70" x14ac:dyDescent="0.5">
      <c r="A117" s="790" t="str">
        <f>A100</f>
        <v>Northwest Natural Gas Company</v>
      </c>
      <c r="B117" s="790"/>
      <c r="C117" s="64">
        <f t="shared" si="18"/>
        <v>0.4718877544902188</v>
      </c>
      <c r="D117" s="64">
        <f t="shared" si="18"/>
        <v>0.48084505970943942</v>
      </c>
      <c r="E117" s="64">
        <f t="shared" si="18"/>
        <v>0.48441086844100373</v>
      </c>
      <c r="F117" s="64">
        <f t="shared" si="18"/>
        <v>0.4745679445835605</v>
      </c>
      <c r="G117" s="64">
        <f t="shared" si="18"/>
        <v>0.46116672088683741</v>
      </c>
      <c r="H117" s="64">
        <f t="shared" si="18"/>
        <v>0.47746162995516511</v>
      </c>
      <c r="I117" s="64">
        <f t="shared" si="18"/>
        <v>0.48558184915571417</v>
      </c>
      <c r="J117" s="64">
        <f t="shared" si="18"/>
        <v>0.51407124597370946</v>
      </c>
      <c r="K117" s="64"/>
      <c r="L117" s="791">
        <f t="shared" si="19"/>
        <v>0.48124913414945608</v>
      </c>
      <c r="Q117" s="793"/>
      <c r="R117" s="793"/>
      <c r="S117" s="793"/>
      <c r="T117" s="793"/>
      <c r="U117" s="793"/>
      <c r="V117" s="793"/>
      <c r="W117" s="793"/>
      <c r="X117" s="793"/>
      <c r="Y117" s="793"/>
      <c r="Z117" s="793"/>
      <c r="AA117" s="793"/>
      <c r="AB117" s="793"/>
      <c r="AC117" s="793"/>
      <c r="AD117" s="793"/>
      <c r="AE117" s="793"/>
      <c r="AF117" s="793"/>
      <c r="AG117" s="793"/>
      <c r="AH117" s="793"/>
      <c r="AI117" s="793"/>
      <c r="AJ117" s="793"/>
      <c r="AK117" s="793"/>
      <c r="AL117" s="793"/>
      <c r="AM117" s="793"/>
      <c r="AN117" s="793"/>
      <c r="AO117" s="793"/>
      <c r="AP117" s="793"/>
      <c r="AQ117" s="793"/>
      <c r="AR117" s="794"/>
      <c r="AS117" s="794"/>
      <c r="AT117" s="794"/>
      <c r="AU117" s="794"/>
      <c r="AV117" s="794"/>
      <c r="AW117" s="794"/>
      <c r="AX117" s="794"/>
      <c r="AY117" s="794"/>
      <c r="AZ117" s="794"/>
      <c r="BA117" s="794"/>
      <c r="BB117" s="794"/>
      <c r="BC117" s="794"/>
      <c r="BD117" s="794"/>
      <c r="BE117" s="794"/>
      <c r="BF117" s="794"/>
      <c r="BG117" s="794"/>
      <c r="BH117" s="794"/>
      <c r="BI117" s="793"/>
      <c r="BJ117" s="793"/>
      <c r="BK117" s="793"/>
      <c r="BL117" s="793"/>
      <c r="BM117" s="793"/>
      <c r="BN117" s="793"/>
      <c r="BO117" s="793"/>
      <c r="BP117" s="793"/>
      <c r="BQ117" s="793"/>
      <c r="BR117" s="793"/>
    </row>
    <row r="118" spans="1:70" x14ac:dyDescent="0.5">
      <c r="A118" s="790" t="str">
        <f>A101</f>
        <v>ONE Gas, Inc.</v>
      </c>
      <c r="B118" s="790"/>
      <c r="C118" s="64">
        <f t="shared" si="18"/>
        <v>0.56121497322447267</v>
      </c>
      <c r="D118" s="64">
        <f t="shared" si="18"/>
        <v>0.59378969322148212</v>
      </c>
      <c r="E118" s="64">
        <f t="shared" si="18"/>
        <v>0.59439680376652138</v>
      </c>
      <c r="F118" s="64">
        <f t="shared" si="18"/>
        <v>0.50531268754812875</v>
      </c>
      <c r="G118" s="64">
        <f t="shared" si="18"/>
        <v>0.52291937420700108</v>
      </c>
      <c r="H118" s="64">
        <f t="shared" si="18"/>
        <v>0.52501032291338723</v>
      </c>
      <c r="I118" s="64">
        <f t="shared" si="18"/>
        <v>0.5245512199493586</v>
      </c>
      <c r="J118" s="64">
        <f t="shared" si="18"/>
        <v>0.51805071048845697</v>
      </c>
      <c r="K118" s="64"/>
      <c r="L118" s="791">
        <f t="shared" si="19"/>
        <v>0.54315572316485106</v>
      </c>
      <c r="Q118" s="793"/>
      <c r="R118" s="793"/>
      <c r="S118" s="793"/>
      <c r="T118" s="793"/>
      <c r="U118" s="793"/>
      <c r="V118" s="793"/>
      <c r="W118" s="793"/>
      <c r="X118" s="793"/>
      <c r="Y118" s="793"/>
      <c r="Z118" s="793"/>
      <c r="AA118" s="793"/>
      <c r="AB118" s="793"/>
      <c r="AC118" s="793"/>
      <c r="AD118" s="793"/>
      <c r="AE118" s="793"/>
      <c r="AF118" s="793"/>
      <c r="AG118" s="793"/>
      <c r="AH118" s="793"/>
      <c r="AI118" s="793"/>
      <c r="AJ118" s="793"/>
      <c r="AK118" s="793"/>
      <c r="AL118" s="793"/>
      <c r="AM118" s="793"/>
      <c r="AN118" s="793"/>
      <c r="AO118" s="793"/>
      <c r="AP118" s="793"/>
      <c r="AQ118" s="793"/>
      <c r="AR118" s="794"/>
      <c r="AS118" s="794"/>
      <c r="AT118" s="794"/>
      <c r="AU118" s="794"/>
      <c r="AV118" s="794"/>
      <c r="AW118" s="794"/>
      <c r="AX118" s="794"/>
      <c r="AY118" s="794"/>
      <c r="AZ118" s="794"/>
      <c r="BA118" s="794"/>
      <c r="BB118" s="794"/>
      <c r="BC118" s="794"/>
      <c r="BD118" s="794"/>
      <c r="BE118" s="794"/>
      <c r="BF118" s="794"/>
      <c r="BG118" s="794"/>
      <c r="BH118" s="794"/>
      <c r="BI118" s="793"/>
      <c r="BJ118" s="793"/>
      <c r="BK118" s="793"/>
      <c r="BL118" s="793"/>
      <c r="BM118" s="793"/>
      <c r="BN118" s="793"/>
      <c r="BO118" s="793"/>
      <c r="BP118" s="793"/>
      <c r="BQ118" s="793"/>
      <c r="BR118" s="793"/>
    </row>
    <row r="119" spans="1:70" x14ac:dyDescent="0.5">
      <c r="A119" s="779" t="s">
        <v>3811</v>
      </c>
      <c r="C119" s="64">
        <f t="shared" si="18"/>
        <v>0.47427580859479457</v>
      </c>
      <c r="D119" s="64">
        <f t="shared" si="18"/>
        <v>0.4777682836254325</v>
      </c>
      <c r="E119" s="64">
        <f t="shared" si="18"/>
        <v>0.47969266665115279</v>
      </c>
      <c r="F119" s="64">
        <f t="shared" si="18"/>
        <v>0.47279412048619329</v>
      </c>
      <c r="G119" s="64">
        <f t="shared" si="18"/>
        <v>0.46913193797090191</v>
      </c>
      <c r="H119" s="64">
        <f t="shared" si="18"/>
        <v>0.47239041853732971</v>
      </c>
      <c r="I119" s="64">
        <f t="shared" si="18"/>
        <v>0.42902058860492559</v>
      </c>
      <c r="J119" s="64">
        <f t="shared" si="18"/>
        <v>0.43755565936883534</v>
      </c>
      <c r="L119" s="791">
        <f t="shared" si="19"/>
        <v>0.46407868547994569</v>
      </c>
      <c r="Q119" s="793"/>
      <c r="R119" s="793"/>
      <c r="S119" s="793"/>
      <c r="T119" s="793"/>
      <c r="U119" s="793"/>
      <c r="V119" s="793"/>
      <c r="W119" s="793"/>
      <c r="X119" s="793"/>
      <c r="Y119" s="793"/>
      <c r="Z119" s="793"/>
      <c r="AA119" s="793"/>
      <c r="AB119" s="793"/>
      <c r="AC119" s="793"/>
      <c r="AD119" s="793"/>
      <c r="AE119" s="793"/>
      <c r="AF119" s="793"/>
      <c r="AG119" s="793"/>
      <c r="AH119" s="793"/>
      <c r="AI119" s="793"/>
      <c r="AJ119" s="793"/>
      <c r="AK119" s="793"/>
      <c r="AL119" s="793"/>
      <c r="AM119" s="793"/>
      <c r="AN119" s="793"/>
      <c r="AO119" s="793"/>
      <c r="AP119" s="793"/>
      <c r="AQ119" s="793"/>
      <c r="AR119" s="794"/>
      <c r="AS119" s="794"/>
      <c r="AT119" s="794"/>
      <c r="AU119" s="794"/>
      <c r="AV119" s="794"/>
      <c r="AW119" s="794"/>
      <c r="AX119" s="794"/>
      <c r="AY119" s="794"/>
      <c r="AZ119" s="794"/>
      <c r="BA119" s="794"/>
      <c r="BB119" s="794"/>
      <c r="BC119" s="794"/>
      <c r="BD119" s="794"/>
      <c r="BE119" s="794"/>
      <c r="BF119" s="794"/>
      <c r="BG119" s="794"/>
      <c r="BH119" s="794"/>
      <c r="BI119" s="793"/>
      <c r="BJ119" s="793"/>
      <c r="BK119" s="793"/>
      <c r="BL119" s="793"/>
      <c r="BM119" s="793"/>
      <c r="BN119" s="793"/>
      <c r="BO119" s="793"/>
      <c r="BP119" s="793"/>
      <c r="BQ119" s="793"/>
      <c r="BR119" s="793"/>
    </row>
    <row r="120" spans="1:70" x14ac:dyDescent="0.5">
      <c r="A120" s="790" t="str">
        <f>A103</f>
        <v>Spire Alabama Inc.</v>
      </c>
      <c r="B120" s="790"/>
      <c r="C120" s="64">
        <f t="shared" si="18"/>
        <v>0.55473653901526054</v>
      </c>
      <c r="D120" s="64">
        <f t="shared" si="18"/>
        <v>0.55626510182947875</v>
      </c>
      <c r="E120" s="64">
        <f t="shared" si="18"/>
        <v>0.54394019659779858</v>
      </c>
      <c r="F120" s="64">
        <f t="shared" si="18"/>
        <v>0.54546523246928824</v>
      </c>
      <c r="G120" s="64">
        <f t="shared" si="18"/>
        <v>0.547667937811675</v>
      </c>
      <c r="H120" s="64">
        <f t="shared" si="18"/>
        <v>0.54824715675929181</v>
      </c>
      <c r="I120" s="64">
        <f t="shared" si="18"/>
        <v>0.5375067136122218</v>
      </c>
      <c r="J120" s="64">
        <f t="shared" si="18"/>
        <v>0.60143388210302706</v>
      </c>
      <c r="K120" s="64"/>
      <c r="L120" s="791">
        <f t="shared" si="19"/>
        <v>0.55440784502475526</v>
      </c>
      <c r="Q120" s="793"/>
      <c r="R120" s="793"/>
      <c r="S120" s="793"/>
      <c r="T120" s="793"/>
      <c r="U120" s="793"/>
      <c r="V120" s="793"/>
      <c r="W120" s="793"/>
      <c r="X120" s="793"/>
      <c r="Y120" s="793"/>
      <c r="Z120" s="793"/>
      <c r="AA120" s="793"/>
      <c r="AB120" s="793"/>
      <c r="AC120" s="793"/>
      <c r="AD120" s="793"/>
      <c r="AE120" s="793"/>
      <c r="AF120" s="793"/>
      <c r="AG120" s="793"/>
      <c r="AH120" s="793"/>
      <c r="AI120" s="793"/>
      <c r="AJ120" s="793"/>
      <c r="AK120" s="793"/>
      <c r="AL120" s="793"/>
      <c r="AM120" s="793"/>
      <c r="AN120" s="793"/>
      <c r="AO120" s="793"/>
      <c r="AP120" s="793"/>
      <c r="AQ120" s="793"/>
      <c r="AR120" s="794"/>
      <c r="AS120" s="794"/>
      <c r="AT120" s="794"/>
      <c r="AU120" s="794"/>
      <c r="AV120" s="794"/>
      <c r="AW120" s="794"/>
      <c r="AX120" s="794"/>
      <c r="AY120" s="794"/>
      <c r="AZ120" s="794"/>
      <c r="BA120" s="794"/>
      <c r="BB120" s="794"/>
      <c r="BC120" s="794"/>
      <c r="BD120" s="794"/>
      <c r="BE120" s="794"/>
      <c r="BF120" s="794"/>
      <c r="BG120" s="794"/>
      <c r="BH120" s="794"/>
      <c r="BI120" s="793"/>
      <c r="BJ120" s="793"/>
      <c r="BK120" s="793"/>
      <c r="BL120" s="793"/>
      <c r="BM120" s="793"/>
      <c r="BN120" s="793"/>
      <c r="BO120" s="793"/>
      <c r="BP120" s="793"/>
      <c r="BQ120" s="793"/>
      <c r="BR120" s="793"/>
    </row>
    <row r="121" spans="1:70" x14ac:dyDescent="0.5">
      <c r="A121" s="790" t="str">
        <f>A104</f>
        <v>Spire Missouri Inc.</v>
      </c>
      <c r="B121" s="790"/>
      <c r="C121" s="64">
        <f t="shared" si="18"/>
        <v>0.52503625576796309</v>
      </c>
      <c r="D121" s="64">
        <f t="shared" si="18"/>
        <v>0.52829543061697204</v>
      </c>
      <c r="E121" s="64">
        <f t="shared" si="18"/>
        <v>0.51293184821597126</v>
      </c>
      <c r="F121" s="64">
        <f t="shared" si="18"/>
        <v>0.50584041678091585</v>
      </c>
      <c r="G121" s="64">
        <f t="shared" si="18"/>
        <v>0.47515815460577071</v>
      </c>
      <c r="H121" s="64">
        <f t="shared" si="18"/>
        <v>0.47886604520495468</v>
      </c>
      <c r="I121" s="64">
        <f t="shared" si="18"/>
        <v>0.52078431372549017</v>
      </c>
      <c r="J121" s="64">
        <f t="shared" si="18"/>
        <v>0.51386680798445505</v>
      </c>
      <c r="K121" s="64"/>
      <c r="L121" s="791">
        <f t="shared" si="19"/>
        <v>0.5075974091128117</v>
      </c>
      <c r="Q121" s="793"/>
      <c r="R121" s="793"/>
      <c r="S121" s="793"/>
      <c r="T121" s="793"/>
      <c r="U121" s="793"/>
      <c r="V121" s="793"/>
      <c r="W121" s="793"/>
      <c r="X121" s="793"/>
      <c r="Y121" s="793"/>
      <c r="Z121" s="793"/>
      <c r="AA121" s="793"/>
      <c r="AB121" s="793"/>
      <c r="AC121" s="793"/>
      <c r="AD121" s="793"/>
      <c r="AE121" s="793"/>
      <c r="AF121" s="793"/>
      <c r="AG121" s="793"/>
      <c r="AH121" s="793"/>
      <c r="AI121" s="793"/>
      <c r="AJ121" s="793"/>
      <c r="AK121" s="793"/>
      <c r="AL121" s="793"/>
      <c r="AM121" s="793"/>
      <c r="AN121" s="793"/>
      <c r="AO121" s="793"/>
      <c r="AP121" s="793"/>
      <c r="AQ121" s="793"/>
      <c r="AR121" s="794"/>
      <c r="AS121" s="794"/>
      <c r="AT121" s="794"/>
      <c r="AU121" s="794"/>
      <c r="AV121" s="794"/>
      <c r="AW121" s="794"/>
      <c r="AX121" s="794"/>
      <c r="AY121" s="794"/>
      <c r="AZ121" s="794"/>
      <c r="BA121" s="794"/>
      <c r="BB121" s="794"/>
      <c r="BC121" s="794"/>
      <c r="BD121" s="794"/>
      <c r="BE121" s="794"/>
      <c r="BF121" s="794"/>
      <c r="BG121" s="794"/>
      <c r="BH121" s="794"/>
      <c r="BI121" s="793"/>
      <c r="BJ121" s="793"/>
      <c r="BK121" s="793"/>
      <c r="BL121" s="793"/>
      <c r="BM121" s="793"/>
      <c r="BN121" s="793"/>
      <c r="BO121" s="793"/>
      <c r="BP121" s="793"/>
      <c r="BQ121" s="793"/>
      <c r="BR121" s="793"/>
    </row>
    <row r="122" spans="1:70" x14ac:dyDescent="0.5">
      <c r="A122" s="796"/>
      <c r="B122" s="796"/>
      <c r="C122" s="796"/>
      <c r="D122" s="796"/>
      <c r="E122" s="811"/>
      <c r="F122" s="811"/>
      <c r="G122" s="811"/>
      <c r="H122" s="811"/>
      <c r="I122" s="797"/>
      <c r="J122" s="797"/>
      <c r="K122" s="797"/>
      <c r="L122" s="803"/>
      <c r="Q122" s="793"/>
      <c r="R122" s="793"/>
      <c r="S122" s="793"/>
      <c r="T122" s="793"/>
      <c r="U122" s="793"/>
      <c r="V122" s="793"/>
      <c r="W122" s="793"/>
      <c r="X122" s="793"/>
      <c r="Y122" s="793"/>
      <c r="Z122" s="793"/>
      <c r="AA122" s="793"/>
      <c r="AB122" s="793"/>
      <c r="AC122" s="793"/>
      <c r="AD122" s="793"/>
      <c r="AE122" s="793"/>
      <c r="AF122" s="793"/>
      <c r="AG122" s="793"/>
      <c r="AH122" s="793"/>
      <c r="AI122" s="793"/>
      <c r="AJ122" s="793"/>
      <c r="AK122" s="793"/>
      <c r="AL122" s="793"/>
      <c r="AM122" s="793"/>
      <c r="AN122" s="793"/>
      <c r="AO122" s="793"/>
      <c r="AP122" s="793"/>
      <c r="AQ122" s="793"/>
      <c r="AR122" s="794"/>
      <c r="AS122" s="794"/>
      <c r="AT122" s="794"/>
      <c r="AU122" s="794"/>
      <c r="AV122" s="794"/>
      <c r="AW122" s="794"/>
      <c r="AX122" s="794"/>
      <c r="AY122" s="794"/>
      <c r="AZ122" s="794"/>
      <c r="BA122" s="794"/>
      <c r="BB122" s="794"/>
      <c r="BC122" s="794"/>
      <c r="BD122" s="794"/>
      <c r="BE122" s="794"/>
      <c r="BF122" s="794"/>
      <c r="BG122" s="794"/>
      <c r="BH122" s="794"/>
      <c r="BI122" s="793"/>
      <c r="BJ122" s="793"/>
      <c r="BK122" s="793"/>
      <c r="BL122" s="793"/>
      <c r="BM122" s="793"/>
      <c r="BN122" s="793"/>
      <c r="BO122" s="793"/>
      <c r="BP122" s="793"/>
      <c r="BQ122" s="793"/>
      <c r="BR122" s="793"/>
    </row>
    <row r="123" spans="1:70" x14ac:dyDescent="0.5">
      <c r="A123" s="790"/>
      <c r="B123" s="790"/>
      <c r="C123" s="790"/>
      <c r="D123" s="790"/>
      <c r="E123" s="801"/>
      <c r="F123" s="801"/>
      <c r="G123" s="801"/>
      <c r="H123" s="801"/>
      <c r="I123" s="801"/>
      <c r="J123" s="61" t="s">
        <v>4579</v>
      </c>
      <c r="K123" s="799"/>
      <c r="L123" s="800">
        <f>MIN(L114:L121)</f>
        <v>0.35433574800847173</v>
      </c>
      <c r="Q123" s="793"/>
      <c r="R123" s="793"/>
      <c r="S123" s="793"/>
      <c r="T123" s="793"/>
      <c r="U123" s="793"/>
      <c r="V123" s="793"/>
      <c r="W123" s="793"/>
      <c r="X123" s="793"/>
      <c r="Y123" s="793"/>
      <c r="Z123" s="793"/>
      <c r="AA123" s="793"/>
      <c r="AB123" s="793"/>
      <c r="AC123" s="793"/>
      <c r="AD123" s="793"/>
      <c r="AE123" s="793"/>
      <c r="AF123" s="793"/>
      <c r="AG123" s="793"/>
      <c r="AH123" s="793"/>
      <c r="AI123" s="793"/>
      <c r="AJ123" s="793"/>
      <c r="AK123" s="793"/>
      <c r="AL123" s="793"/>
      <c r="AM123" s="793"/>
      <c r="AN123" s="793"/>
      <c r="AO123" s="793"/>
      <c r="AP123" s="793"/>
      <c r="AQ123" s="793"/>
      <c r="AR123" s="794"/>
      <c r="AS123" s="794"/>
      <c r="AT123" s="794"/>
      <c r="AU123" s="794"/>
      <c r="AV123" s="794"/>
      <c r="AW123" s="794"/>
      <c r="AX123" s="794"/>
      <c r="AY123" s="794"/>
      <c r="AZ123" s="794"/>
      <c r="BA123" s="794"/>
      <c r="BB123" s="794"/>
      <c r="BC123" s="794"/>
      <c r="BD123" s="794"/>
      <c r="BE123" s="794"/>
      <c r="BF123" s="794"/>
      <c r="BG123" s="794"/>
      <c r="BH123" s="794"/>
      <c r="BI123" s="793"/>
      <c r="BJ123" s="793"/>
      <c r="BK123" s="793"/>
      <c r="BL123" s="793"/>
      <c r="BM123" s="793"/>
      <c r="BN123" s="793"/>
      <c r="BO123" s="793"/>
      <c r="BP123" s="793"/>
      <c r="BQ123" s="793"/>
      <c r="BR123" s="793"/>
    </row>
    <row r="124" spans="1:70" x14ac:dyDescent="0.5">
      <c r="I124" s="66"/>
      <c r="J124" s="61" t="s">
        <v>4580</v>
      </c>
      <c r="L124" s="800">
        <f>MAX(L114:L121)</f>
        <v>0.59241809936641099</v>
      </c>
      <c r="Q124" s="793"/>
      <c r="R124" s="793"/>
      <c r="S124" s="793"/>
      <c r="T124" s="793"/>
      <c r="U124" s="793"/>
      <c r="V124" s="793"/>
      <c r="W124" s="793"/>
      <c r="X124" s="793"/>
      <c r="Y124" s="793"/>
      <c r="Z124" s="793"/>
      <c r="AA124" s="793"/>
      <c r="AB124" s="793"/>
      <c r="AC124" s="793"/>
      <c r="AD124" s="793"/>
      <c r="AE124" s="793"/>
      <c r="AF124" s="793"/>
      <c r="AG124" s="793"/>
      <c r="AH124" s="793"/>
      <c r="AI124" s="793"/>
      <c r="AJ124" s="793"/>
      <c r="AK124" s="793"/>
      <c r="AL124" s="793"/>
      <c r="AM124" s="793"/>
      <c r="AN124" s="793"/>
      <c r="AO124" s="793"/>
      <c r="AP124" s="793"/>
      <c r="AQ124" s="793"/>
      <c r="AR124" s="794"/>
      <c r="AS124" s="794"/>
      <c r="AT124" s="794"/>
      <c r="AU124" s="794"/>
      <c r="AV124" s="794"/>
      <c r="AW124" s="794"/>
      <c r="AX124" s="794"/>
      <c r="AY124" s="794"/>
      <c r="AZ124" s="794"/>
      <c r="BA124" s="794"/>
      <c r="BB124" s="794"/>
      <c r="BC124" s="794"/>
      <c r="BD124" s="794"/>
      <c r="BE124" s="794"/>
      <c r="BF124" s="794"/>
      <c r="BG124" s="794"/>
      <c r="BH124" s="794"/>
      <c r="BI124" s="793"/>
      <c r="BJ124" s="793"/>
      <c r="BK124" s="793"/>
      <c r="BL124" s="793"/>
      <c r="BM124" s="793"/>
      <c r="BN124" s="793"/>
      <c r="BO124" s="793"/>
      <c r="BP124" s="793"/>
      <c r="BQ124" s="793"/>
      <c r="BR124" s="793"/>
    </row>
    <row r="125" spans="1:70" x14ac:dyDescent="0.5">
      <c r="A125" s="790"/>
      <c r="B125" s="790"/>
      <c r="C125" s="790"/>
      <c r="D125" s="790"/>
      <c r="Q125" s="793"/>
      <c r="R125" s="793"/>
      <c r="S125" s="793"/>
      <c r="T125" s="793"/>
      <c r="U125" s="793"/>
      <c r="V125" s="793"/>
      <c r="W125" s="793"/>
      <c r="X125" s="793"/>
      <c r="Y125" s="793"/>
      <c r="Z125" s="793"/>
      <c r="AA125" s="793"/>
      <c r="AB125" s="793"/>
      <c r="AC125" s="793"/>
      <c r="AD125" s="793"/>
      <c r="AE125" s="793"/>
      <c r="AF125" s="793"/>
      <c r="AG125" s="793"/>
      <c r="AH125" s="793"/>
      <c r="AI125" s="793"/>
      <c r="AJ125" s="793"/>
      <c r="AK125" s="793"/>
      <c r="AL125" s="793"/>
      <c r="AM125" s="793"/>
      <c r="AN125" s="793"/>
      <c r="AO125" s="793"/>
      <c r="AP125" s="793"/>
      <c r="AQ125" s="793"/>
      <c r="AR125" s="794"/>
      <c r="AS125" s="794"/>
      <c r="AT125" s="794"/>
      <c r="AU125" s="794"/>
      <c r="AV125" s="794"/>
      <c r="AW125" s="794"/>
      <c r="AX125" s="794"/>
      <c r="AY125" s="794"/>
      <c r="AZ125" s="794"/>
      <c r="BA125" s="794"/>
      <c r="BB125" s="794"/>
      <c r="BC125" s="794"/>
      <c r="BD125" s="794"/>
      <c r="BE125" s="794"/>
      <c r="BF125" s="794"/>
      <c r="BG125" s="794"/>
      <c r="BH125" s="794"/>
      <c r="BI125" s="793"/>
      <c r="BJ125" s="793"/>
      <c r="BK125" s="793"/>
      <c r="BL125" s="793"/>
      <c r="BM125" s="793"/>
      <c r="BN125" s="793"/>
      <c r="BO125" s="793"/>
      <c r="BP125" s="793"/>
      <c r="BQ125" s="793"/>
      <c r="BR125" s="793"/>
    </row>
    <row r="126" spans="1:70" x14ac:dyDescent="0.5">
      <c r="A126" s="790"/>
      <c r="B126" s="790"/>
      <c r="C126" s="790"/>
      <c r="D126" s="790"/>
      <c r="I126" s="66"/>
      <c r="J126" s="66"/>
      <c r="Q126" s="793"/>
      <c r="R126" s="793"/>
      <c r="S126" s="793"/>
      <c r="T126" s="793"/>
      <c r="U126" s="793"/>
      <c r="V126" s="793"/>
      <c r="W126" s="793"/>
      <c r="X126" s="793"/>
      <c r="Y126" s="793"/>
      <c r="Z126" s="793"/>
      <c r="AA126" s="793"/>
      <c r="AB126" s="793"/>
      <c r="AC126" s="793"/>
      <c r="AD126" s="793"/>
      <c r="AE126" s="793"/>
      <c r="AF126" s="793"/>
      <c r="AG126" s="793"/>
      <c r="AH126" s="793"/>
      <c r="AI126" s="793"/>
      <c r="AJ126" s="793"/>
      <c r="AK126" s="793"/>
      <c r="AL126" s="793"/>
      <c r="AM126" s="793"/>
      <c r="AN126" s="793"/>
      <c r="AO126" s="793"/>
      <c r="AP126" s="793"/>
      <c r="AQ126" s="793"/>
      <c r="AR126" s="794"/>
      <c r="AS126" s="794"/>
      <c r="AT126" s="794"/>
      <c r="AU126" s="794"/>
      <c r="AV126" s="794"/>
      <c r="AW126" s="794"/>
      <c r="AX126" s="794"/>
      <c r="AY126" s="794"/>
      <c r="AZ126" s="794"/>
      <c r="BA126" s="794"/>
      <c r="BB126" s="794"/>
      <c r="BC126" s="794"/>
      <c r="BD126" s="794"/>
      <c r="BE126" s="794"/>
      <c r="BF126" s="794"/>
      <c r="BG126" s="794"/>
      <c r="BH126" s="794"/>
      <c r="BI126" s="793"/>
      <c r="BJ126" s="793"/>
      <c r="BK126" s="793"/>
      <c r="BL126" s="793"/>
      <c r="BM126" s="793"/>
      <c r="BN126" s="793"/>
      <c r="BO126" s="793"/>
      <c r="BP126" s="793"/>
      <c r="BQ126" s="793"/>
      <c r="BR126" s="793"/>
    </row>
    <row r="127" spans="1:70" x14ac:dyDescent="0.5">
      <c r="A127" s="1435" t="s">
        <v>4574</v>
      </c>
      <c r="B127" s="1435"/>
      <c r="C127" s="1435"/>
      <c r="D127" s="1435"/>
      <c r="E127" s="1435"/>
      <c r="F127" s="1435"/>
      <c r="G127" s="1435"/>
      <c r="H127" s="1435"/>
      <c r="I127" s="1435"/>
      <c r="J127" s="1435"/>
      <c r="K127" s="1435"/>
      <c r="L127" s="1435"/>
      <c r="Q127" s="793"/>
      <c r="R127" s="793"/>
      <c r="S127" s="793"/>
      <c r="T127" s="793"/>
      <c r="U127" s="793"/>
      <c r="V127" s="793"/>
      <c r="W127" s="793"/>
      <c r="X127" s="793"/>
      <c r="Y127" s="793"/>
      <c r="Z127" s="793"/>
      <c r="AA127" s="793"/>
      <c r="AB127" s="793"/>
      <c r="AC127" s="793"/>
      <c r="AD127" s="793"/>
      <c r="AE127" s="793"/>
      <c r="AF127" s="793"/>
      <c r="AG127" s="793"/>
      <c r="AH127" s="793"/>
      <c r="AI127" s="793"/>
      <c r="AJ127" s="793"/>
      <c r="AK127" s="793"/>
      <c r="AL127" s="793"/>
      <c r="AM127" s="793"/>
      <c r="AN127" s="793"/>
      <c r="AO127" s="793"/>
      <c r="AP127" s="793"/>
      <c r="AQ127" s="793"/>
      <c r="AR127" s="794"/>
      <c r="AS127" s="794"/>
      <c r="AT127" s="794"/>
      <c r="AU127" s="794"/>
      <c r="AV127" s="794"/>
      <c r="AW127" s="794"/>
      <c r="AX127" s="794"/>
      <c r="AY127" s="794"/>
      <c r="AZ127" s="794"/>
      <c r="BA127" s="794"/>
      <c r="BB127" s="794"/>
      <c r="BC127" s="794"/>
      <c r="BD127" s="794"/>
      <c r="BE127" s="794"/>
      <c r="BF127" s="794"/>
      <c r="BG127" s="794"/>
      <c r="BH127" s="794"/>
      <c r="BI127" s="793"/>
      <c r="BJ127" s="793"/>
      <c r="BK127" s="793"/>
      <c r="BL127" s="793"/>
      <c r="BM127" s="793"/>
      <c r="BN127" s="793"/>
      <c r="BO127" s="793"/>
      <c r="BP127" s="793"/>
      <c r="BQ127" s="793"/>
      <c r="BR127" s="793"/>
    </row>
    <row r="128" spans="1:70" x14ac:dyDescent="0.5">
      <c r="A128" s="781"/>
      <c r="B128" s="781"/>
      <c r="C128" s="781"/>
      <c r="D128" s="781"/>
      <c r="E128" s="781"/>
      <c r="F128" s="781"/>
      <c r="G128" s="781"/>
      <c r="H128" s="781"/>
      <c r="I128" s="781"/>
      <c r="J128" s="781"/>
      <c r="K128" s="781"/>
      <c r="L128" s="781"/>
      <c r="Q128" s="793"/>
      <c r="R128" s="793"/>
      <c r="S128" s="793"/>
      <c r="T128" s="793"/>
      <c r="U128" s="793"/>
      <c r="V128" s="793"/>
      <c r="W128" s="793"/>
      <c r="X128" s="793"/>
      <c r="Y128" s="793"/>
      <c r="Z128" s="793"/>
      <c r="AA128" s="793"/>
      <c r="AB128" s="793"/>
      <c r="AC128" s="793"/>
      <c r="AD128" s="793"/>
      <c r="AE128" s="793"/>
      <c r="AF128" s="793"/>
      <c r="AG128" s="793"/>
      <c r="AH128" s="793"/>
      <c r="AI128" s="793"/>
      <c r="AJ128" s="793"/>
      <c r="AK128" s="793"/>
      <c r="AL128" s="793"/>
      <c r="AM128" s="793"/>
      <c r="AN128" s="793"/>
      <c r="AO128" s="793"/>
      <c r="AP128" s="793"/>
      <c r="AQ128" s="793"/>
      <c r="AR128" s="794"/>
      <c r="AS128" s="794"/>
      <c r="AT128" s="794"/>
      <c r="AU128" s="794"/>
      <c r="AV128" s="794"/>
      <c r="AW128" s="794"/>
      <c r="AX128" s="794"/>
      <c r="AY128" s="794"/>
      <c r="AZ128" s="794"/>
      <c r="BA128" s="794"/>
      <c r="BB128" s="794"/>
      <c r="BC128" s="794"/>
      <c r="BD128" s="794"/>
      <c r="BE128" s="794"/>
      <c r="BF128" s="794"/>
      <c r="BG128" s="794"/>
      <c r="BH128" s="794"/>
      <c r="BI128" s="793"/>
      <c r="BJ128" s="793"/>
      <c r="BK128" s="793"/>
      <c r="BL128" s="793"/>
      <c r="BM128" s="793"/>
      <c r="BN128" s="793"/>
      <c r="BO128" s="793"/>
      <c r="BP128" s="793"/>
      <c r="BQ128" s="793"/>
      <c r="BR128" s="793"/>
    </row>
    <row r="129" spans="1:70" ht="45" x14ac:dyDescent="0.5">
      <c r="A129" s="779" t="s">
        <v>611</v>
      </c>
      <c r="C129" s="784" t="s">
        <v>4535</v>
      </c>
      <c r="D129" s="784" t="s">
        <v>4536</v>
      </c>
      <c r="E129" s="784" t="str">
        <f t="shared" ref="E129:J129" si="20">E112</f>
        <v>2024 Q1</v>
      </c>
      <c r="F129" s="784" t="str">
        <f t="shared" si="20"/>
        <v>2023 Q4</v>
      </c>
      <c r="G129" s="784" t="str">
        <f t="shared" si="20"/>
        <v>2023 Q3</v>
      </c>
      <c r="H129" s="784" t="str">
        <f t="shared" si="20"/>
        <v>2023 Q2</v>
      </c>
      <c r="I129" s="784" t="str">
        <f t="shared" si="20"/>
        <v>2023 Q1</v>
      </c>
      <c r="J129" s="784" t="str">
        <f t="shared" si="20"/>
        <v>2022 Q4</v>
      </c>
      <c r="K129" s="784"/>
      <c r="L129" s="785" t="str">
        <f>L112</f>
        <v>8Q average ending Q3 2024</v>
      </c>
      <c r="Q129" s="793"/>
      <c r="R129" s="793"/>
      <c r="S129" s="793"/>
      <c r="T129" s="793"/>
      <c r="U129" s="793"/>
      <c r="V129" s="793"/>
      <c r="W129" s="793"/>
      <c r="X129" s="793"/>
      <c r="Y129" s="793"/>
      <c r="Z129" s="793"/>
      <c r="AA129" s="793"/>
      <c r="AB129" s="793"/>
      <c r="AC129" s="793"/>
      <c r="AD129" s="793"/>
      <c r="AE129" s="793"/>
      <c r="AF129" s="793"/>
      <c r="AG129" s="793"/>
      <c r="AH129" s="793"/>
      <c r="AI129" s="793"/>
      <c r="AJ129" s="793"/>
      <c r="AK129" s="793"/>
      <c r="AL129" s="793"/>
      <c r="AM129" s="793"/>
      <c r="AN129" s="793"/>
      <c r="AO129" s="793"/>
      <c r="AP129" s="793"/>
      <c r="AQ129" s="793"/>
      <c r="AR129" s="794"/>
      <c r="AS129" s="794"/>
      <c r="AT129" s="794"/>
      <c r="AU129" s="794"/>
      <c r="AV129" s="794"/>
      <c r="AW129" s="794"/>
      <c r="AX129" s="794"/>
      <c r="AY129" s="794"/>
      <c r="AZ129" s="794"/>
      <c r="BA129" s="794"/>
      <c r="BB129" s="794"/>
      <c r="BC129" s="794"/>
      <c r="BD129" s="794"/>
      <c r="BE129" s="794"/>
      <c r="BF129" s="794"/>
      <c r="BG129" s="794"/>
      <c r="BH129" s="794"/>
      <c r="BI129" s="793"/>
      <c r="BJ129" s="793"/>
      <c r="BK129" s="793"/>
      <c r="BL129" s="793"/>
      <c r="BM129" s="793"/>
      <c r="BN129" s="793"/>
      <c r="BO129" s="793"/>
      <c r="BP129" s="793"/>
      <c r="BQ129" s="793"/>
      <c r="BR129" s="793"/>
    </row>
    <row r="130" spans="1:70" x14ac:dyDescent="0.5">
      <c r="A130" s="787"/>
      <c r="B130" s="787"/>
      <c r="C130" s="787"/>
      <c r="D130" s="787"/>
      <c r="E130" s="787"/>
      <c r="F130" s="787"/>
      <c r="G130" s="787"/>
      <c r="H130" s="787"/>
      <c r="I130" s="787"/>
      <c r="J130" s="787"/>
      <c r="K130" s="787"/>
      <c r="L130" s="788"/>
      <c r="Q130" s="793"/>
      <c r="R130" s="793"/>
      <c r="S130" s="793"/>
      <c r="T130" s="793"/>
      <c r="U130" s="793"/>
      <c r="V130" s="793"/>
      <c r="W130" s="793"/>
      <c r="X130" s="793"/>
      <c r="Y130" s="793"/>
      <c r="Z130" s="793"/>
      <c r="AA130" s="793"/>
      <c r="AB130" s="793"/>
      <c r="AC130" s="793"/>
      <c r="AD130" s="793"/>
      <c r="AE130" s="793"/>
      <c r="AF130" s="793"/>
      <c r="AG130" s="793"/>
      <c r="AH130" s="793"/>
      <c r="AI130" s="793"/>
      <c r="AJ130" s="793"/>
      <c r="AK130" s="793"/>
      <c r="AL130" s="793"/>
      <c r="AM130" s="793"/>
      <c r="AN130" s="793"/>
      <c r="AO130" s="793"/>
      <c r="AP130" s="793"/>
      <c r="AQ130" s="793"/>
      <c r="AR130" s="794"/>
      <c r="AS130" s="794"/>
      <c r="AT130" s="794"/>
      <c r="AU130" s="794"/>
      <c r="AV130" s="794"/>
      <c r="AW130" s="794"/>
      <c r="AX130" s="794"/>
      <c r="AY130" s="794"/>
      <c r="AZ130" s="794"/>
      <c r="BA130" s="794"/>
      <c r="BB130" s="794"/>
      <c r="BC130" s="794"/>
      <c r="BD130" s="794"/>
      <c r="BE130" s="794"/>
      <c r="BF130" s="794"/>
      <c r="BG130" s="794"/>
      <c r="BH130" s="794"/>
      <c r="BI130" s="793"/>
      <c r="BJ130" s="793"/>
      <c r="BK130" s="793"/>
      <c r="BL130" s="793"/>
      <c r="BM130" s="793"/>
      <c r="BN130" s="793"/>
      <c r="BO130" s="793"/>
      <c r="BP130" s="793"/>
      <c r="BQ130" s="793"/>
      <c r="BR130" s="793"/>
    </row>
    <row r="131" spans="1:70" x14ac:dyDescent="0.5">
      <c r="A131" s="790" t="str">
        <f>A114</f>
        <v>Atmos Energy Corporation</v>
      </c>
      <c r="B131" s="790"/>
      <c r="C131" s="64">
        <f t="shared" ref="C131:J138" si="21">(AJ27-AS27+BK27-BT27)/(-AS27+AJ27+AA27+R27+BK27-BT27)</f>
        <v>0.38992779730606453</v>
      </c>
      <c r="D131" s="64">
        <f t="shared" si="21"/>
        <v>0.39058026754142455</v>
      </c>
      <c r="E131" s="64">
        <f t="shared" si="21"/>
        <v>0.39776536790362071</v>
      </c>
      <c r="F131" s="64">
        <f t="shared" si="21"/>
        <v>0.37853497601141978</v>
      </c>
      <c r="G131" s="64">
        <f t="shared" si="21"/>
        <v>0.38205700712672136</v>
      </c>
      <c r="H131" s="64">
        <f t="shared" si="21"/>
        <v>0.39109079611504044</v>
      </c>
      <c r="I131" s="64">
        <f t="shared" si="21"/>
        <v>0.47087087032162633</v>
      </c>
      <c r="J131" s="64">
        <f t="shared" si="21"/>
        <v>0.45982812274279411</v>
      </c>
      <c r="K131" s="64"/>
      <c r="L131" s="791">
        <f t="shared" ref="L131:L138" si="22">AVERAGE(C131:J131)</f>
        <v>0.40758190063358901</v>
      </c>
      <c r="Q131" s="793"/>
      <c r="R131" s="793"/>
      <c r="S131" s="793"/>
      <c r="T131" s="793"/>
      <c r="U131" s="793"/>
      <c r="V131" s="793"/>
      <c r="W131" s="793"/>
      <c r="X131" s="793"/>
      <c r="Y131" s="793"/>
      <c r="Z131" s="793"/>
      <c r="AA131" s="793"/>
      <c r="AB131" s="793"/>
      <c r="AC131" s="793"/>
      <c r="AD131" s="793"/>
      <c r="AE131" s="793"/>
      <c r="AF131" s="793"/>
      <c r="AG131" s="793"/>
      <c r="AH131" s="793"/>
      <c r="AI131" s="793"/>
      <c r="AJ131" s="793"/>
      <c r="AK131" s="793"/>
      <c r="AL131" s="793"/>
      <c r="AM131" s="793"/>
      <c r="AN131" s="793"/>
      <c r="AO131" s="793"/>
      <c r="AP131" s="793"/>
      <c r="AQ131" s="793"/>
      <c r="AR131" s="794"/>
      <c r="AS131" s="794"/>
      <c r="AT131" s="794"/>
      <c r="AU131" s="794"/>
      <c r="AV131" s="794"/>
      <c r="AW131" s="794"/>
      <c r="AX131" s="794"/>
      <c r="AY131" s="794"/>
      <c r="AZ131" s="794"/>
      <c r="BA131" s="794"/>
      <c r="BB131" s="794"/>
      <c r="BC131" s="794"/>
      <c r="BD131" s="794"/>
      <c r="BE131" s="794"/>
      <c r="BF131" s="794"/>
      <c r="BG131" s="794"/>
      <c r="BH131" s="794"/>
      <c r="BI131" s="793"/>
      <c r="BJ131" s="793"/>
      <c r="BK131" s="793"/>
      <c r="BL131" s="793"/>
      <c r="BM131" s="793"/>
      <c r="BN131" s="793"/>
      <c r="BO131" s="793"/>
      <c r="BP131" s="793"/>
      <c r="BQ131" s="793"/>
      <c r="BR131" s="793"/>
    </row>
    <row r="132" spans="1:70" x14ac:dyDescent="0.5">
      <c r="A132" s="790" t="str">
        <f>A115</f>
        <v>New Jersey Natural Gas Company</v>
      </c>
      <c r="B132" s="790"/>
      <c r="C132" s="64">
        <f t="shared" si="21"/>
        <v>0.44922722629462575</v>
      </c>
      <c r="D132" s="64">
        <f t="shared" si="21"/>
        <v>0.43164406539488193</v>
      </c>
      <c r="E132" s="64">
        <f t="shared" si="21"/>
        <v>0.46023972056990831</v>
      </c>
      <c r="F132" s="64">
        <f t="shared" si="21"/>
        <v>0.45812219836550111</v>
      </c>
      <c r="G132" s="64">
        <f t="shared" si="21"/>
        <v>0.45124342138346268</v>
      </c>
      <c r="H132" s="64">
        <f t="shared" si="21"/>
        <v>0.45435269383237153</v>
      </c>
      <c r="I132" s="64">
        <f t="shared" si="21"/>
        <v>0.47185729261308512</v>
      </c>
      <c r="J132" s="64">
        <f t="shared" si="21"/>
        <v>0.45574540440398947</v>
      </c>
      <c r="K132" s="64"/>
      <c r="L132" s="791">
        <f t="shared" si="22"/>
        <v>0.4540540028572283</v>
      </c>
      <c r="Q132" s="793"/>
      <c r="R132" s="793"/>
      <c r="S132" s="793"/>
      <c r="T132" s="793"/>
      <c r="U132" s="793"/>
      <c r="V132" s="793"/>
      <c r="W132" s="793"/>
      <c r="X132" s="793"/>
      <c r="Y132" s="793"/>
      <c r="Z132" s="793"/>
      <c r="AA132" s="793"/>
      <c r="AB132" s="793"/>
      <c r="AC132" s="793"/>
      <c r="AD132" s="793"/>
      <c r="AE132" s="793"/>
      <c r="AF132" s="793"/>
      <c r="AG132" s="793"/>
      <c r="AH132" s="793"/>
      <c r="AI132" s="793"/>
      <c r="AJ132" s="793"/>
      <c r="AK132" s="793"/>
      <c r="AL132" s="793"/>
      <c r="AM132" s="793"/>
      <c r="AN132" s="793"/>
      <c r="AO132" s="793"/>
      <c r="AP132" s="793"/>
      <c r="AQ132" s="793"/>
      <c r="AR132" s="794"/>
      <c r="AS132" s="794"/>
      <c r="AT132" s="794"/>
      <c r="AU132" s="794"/>
      <c r="AV132" s="794"/>
      <c r="AW132" s="794"/>
      <c r="AX132" s="794"/>
      <c r="AY132" s="794"/>
      <c r="AZ132" s="794"/>
      <c r="BA132" s="794"/>
      <c r="BB132" s="794"/>
      <c r="BC132" s="794"/>
      <c r="BD132" s="794"/>
      <c r="BE132" s="794"/>
      <c r="BF132" s="794"/>
      <c r="BG132" s="794"/>
      <c r="BH132" s="794"/>
      <c r="BI132" s="793"/>
      <c r="BJ132" s="793"/>
      <c r="BK132" s="793"/>
      <c r="BL132" s="793"/>
      <c r="BM132" s="793"/>
      <c r="BN132" s="793"/>
      <c r="BO132" s="793"/>
      <c r="BP132" s="793"/>
      <c r="BQ132" s="793"/>
      <c r="BR132" s="793"/>
    </row>
    <row r="133" spans="1:70" x14ac:dyDescent="0.5">
      <c r="A133" s="790" t="str">
        <f>A116</f>
        <v>NiSource Inc.</v>
      </c>
      <c r="B133" s="790"/>
      <c r="C133" s="64">
        <f t="shared" si="21"/>
        <v>0.62006182816505118</v>
      </c>
      <c r="D133" s="64">
        <f t="shared" si="21"/>
        <v>0.62330718009353892</v>
      </c>
      <c r="E133" s="64">
        <f t="shared" si="21"/>
        <v>0.60190077644448925</v>
      </c>
      <c r="F133" s="64">
        <f t="shared" si="21"/>
        <v>0.57164982362721894</v>
      </c>
      <c r="G133" s="64">
        <f t="shared" si="21"/>
        <v>0.60484546983634757</v>
      </c>
      <c r="H133" s="64">
        <f t="shared" si="21"/>
        <v>0.6085369947266408</v>
      </c>
      <c r="I133" s="64">
        <f t="shared" si="21"/>
        <v>0.5715824908306304</v>
      </c>
      <c r="J133" s="64">
        <f t="shared" si="21"/>
        <v>0.55716248209744834</v>
      </c>
      <c r="K133" s="64"/>
      <c r="L133" s="791">
        <f t="shared" si="22"/>
        <v>0.59488088072767065</v>
      </c>
      <c r="Q133" s="793"/>
      <c r="R133" s="793"/>
      <c r="S133" s="793"/>
      <c r="T133" s="793"/>
      <c r="U133" s="793"/>
      <c r="V133" s="793"/>
      <c r="W133" s="793"/>
      <c r="X133" s="793"/>
      <c r="Y133" s="793"/>
      <c r="Z133" s="793"/>
      <c r="AA133" s="793"/>
      <c r="AB133" s="793"/>
      <c r="AC133" s="793"/>
      <c r="AD133" s="793"/>
      <c r="AE133" s="793"/>
      <c r="AF133" s="793"/>
      <c r="AG133" s="793"/>
      <c r="AH133" s="793"/>
      <c r="AI133" s="793"/>
      <c r="AJ133" s="793"/>
      <c r="AK133" s="793"/>
      <c r="AL133" s="793"/>
      <c r="AM133" s="793"/>
      <c r="AN133" s="793"/>
      <c r="AO133" s="793"/>
      <c r="AP133" s="793"/>
      <c r="AQ133" s="793"/>
      <c r="AR133" s="794"/>
      <c r="AS133" s="794"/>
      <c r="AT133" s="794"/>
      <c r="AU133" s="794"/>
      <c r="AV133" s="794"/>
      <c r="AW133" s="794"/>
      <c r="AX133" s="794"/>
      <c r="AY133" s="794"/>
      <c r="AZ133" s="794"/>
      <c r="BA133" s="794"/>
      <c r="BB133" s="794"/>
      <c r="BC133" s="794"/>
      <c r="BD133" s="794"/>
      <c r="BE133" s="794"/>
      <c r="BF133" s="794"/>
      <c r="BG133" s="794"/>
      <c r="BH133" s="794"/>
      <c r="BI133" s="793"/>
      <c r="BJ133" s="793"/>
      <c r="BK133" s="793"/>
      <c r="BL133" s="793"/>
      <c r="BM133" s="793"/>
      <c r="BN133" s="793"/>
      <c r="BO133" s="793"/>
      <c r="BP133" s="793"/>
      <c r="BQ133" s="793"/>
      <c r="BR133" s="793"/>
    </row>
    <row r="134" spans="1:70" x14ac:dyDescent="0.5">
      <c r="A134" s="790" t="str">
        <f>A117</f>
        <v>Northwest Natural Gas Company</v>
      </c>
      <c r="B134" s="790"/>
      <c r="C134" s="64">
        <f t="shared" si="21"/>
        <v>0.5281122455097812</v>
      </c>
      <c r="D134" s="64">
        <f t="shared" si="21"/>
        <v>0.51915494029056053</v>
      </c>
      <c r="E134" s="64">
        <f t="shared" si="21"/>
        <v>0.51558913155899622</v>
      </c>
      <c r="F134" s="64">
        <f t="shared" si="21"/>
        <v>0.52543205541643956</v>
      </c>
      <c r="G134" s="64">
        <f t="shared" si="21"/>
        <v>0.53883327911316259</v>
      </c>
      <c r="H134" s="64">
        <f t="shared" si="21"/>
        <v>0.52253837004483494</v>
      </c>
      <c r="I134" s="64">
        <f t="shared" si="21"/>
        <v>0.51441815084428588</v>
      </c>
      <c r="J134" s="64">
        <f t="shared" si="21"/>
        <v>0.48592875402629049</v>
      </c>
      <c r="K134" s="64"/>
      <c r="L134" s="791">
        <f t="shared" si="22"/>
        <v>0.51875086585054397</v>
      </c>
      <c r="Q134" s="793"/>
      <c r="R134" s="793"/>
      <c r="S134" s="793"/>
      <c r="T134" s="793"/>
      <c r="U134" s="793"/>
      <c r="V134" s="793"/>
      <c r="W134" s="793"/>
      <c r="X134" s="793"/>
      <c r="Y134" s="793"/>
      <c r="Z134" s="793"/>
      <c r="AA134" s="793"/>
      <c r="AB134" s="793"/>
      <c r="AC134" s="793"/>
      <c r="AD134" s="793"/>
      <c r="AE134" s="793"/>
      <c r="AF134" s="793"/>
      <c r="AG134" s="793"/>
      <c r="AH134" s="793"/>
      <c r="AI134" s="793"/>
      <c r="AJ134" s="793"/>
      <c r="AK134" s="793"/>
      <c r="AL134" s="793"/>
      <c r="AM134" s="793"/>
      <c r="AN134" s="793"/>
      <c r="AO134" s="793"/>
      <c r="AP134" s="793"/>
      <c r="AQ134" s="793"/>
      <c r="AR134" s="794"/>
      <c r="AS134" s="794"/>
      <c r="AT134" s="794"/>
      <c r="AU134" s="794"/>
      <c r="AV134" s="794"/>
      <c r="AW134" s="794"/>
      <c r="AX134" s="794"/>
      <c r="AY134" s="794"/>
      <c r="AZ134" s="794"/>
      <c r="BA134" s="794"/>
      <c r="BB134" s="794"/>
      <c r="BC134" s="794"/>
      <c r="BD134" s="794"/>
      <c r="BE134" s="794"/>
      <c r="BF134" s="794"/>
      <c r="BG134" s="794"/>
      <c r="BH134" s="794"/>
      <c r="BI134" s="793"/>
      <c r="BJ134" s="793"/>
      <c r="BK134" s="793"/>
      <c r="BL134" s="793"/>
      <c r="BM134" s="793"/>
      <c r="BN134" s="793"/>
      <c r="BO134" s="793"/>
      <c r="BP134" s="793"/>
      <c r="BQ134" s="793"/>
      <c r="BR134" s="793"/>
    </row>
    <row r="135" spans="1:70" x14ac:dyDescent="0.5">
      <c r="A135" s="790" t="str">
        <f>A118</f>
        <v>ONE Gas, Inc.</v>
      </c>
      <c r="B135" s="790"/>
      <c r="C135" s="64">
        <f t="shared" si="21"/>
        <v>0.43878502677552733</v>
      </c>
      <c r="D135" s="64">
        <f t="shared" si="21"/>
        <v>0.40621030677851783</v>
      </c>
      <c r="E135" s="64">
        <f t="shared" si="21"/>
        <v>0.40560319623347862</v>
      </c>
      <c r="F135" s="64">
        <f t="shared" si="21"/>
        <v>0.4946873124518712</v>
      </c>
      <c r="G135" s="64">
        <f t="shared" si="21"/>
        <v>0.47708062579299898</v>
      </c>
      <c r="H135" s="64">
        <f t="shared" si="21"/>
        <v>0.47498967708661283</v>
      </c>
      <c r="I135" s="64">
        <f t="shared" si="21"/>
        <v>0.4754487800506414</v>
      </c>
      <c r="J135" s="64">
        <f t="shared" si="21"/>
        <v>0.48194928951154309</v>
      </c>
      <c r="K135" s="64"/>
      <c r="L135" s="791">
        <f t="shared" si="22"/>
        <v>0.45684427683514889</v>
      </c>
      <c r="Q135" s="793"/>
      <c r="R135" s="793"/>
      <c r="S135" s="793"/>
      <c r="T135" s="793"/>
      <c r="U135" s="793"/>
      <c r="V135" s="793"/>
      <c r="W135" s="793"/>
      <c r="X135" s="793"/>
      <c r="Y135" s="793"/>
      <c r="Z135" s="793"/>
      <c r="AA135" s="793"/>
      <c r="AB135" s="793"/>
      <c r="AC135" s="793"/>
      <c r="AD135" s="793"/>
      <c r="AE135" s="793"/>
      <c r="AF135" s="793"/>
      <c r="AG135" s="793"/>
      <c r="AH135" s="793"/>
      <c r="AI135" s="793"/>
      <c r="AJ135" s="793"/>
      <c r="AK135" s="793"/>
      <c r="AL135" s="793"/>
      <c r="AM135" s="793"/>
      <c r="AN135" s="793"/>
      <c r="AO135" s="793"/>
      <c r="AP135" s="793"/>
      <c r="AQ135" s="793"/>
      <c r="AR135" s="794"/>
      <c r="AS135" s="794"/>
      <c r="AT135" s="794"/>
      <c r="AU135" s="794"/>
      <c r="AV135" s="794"/>
      <c r="AW135" s="794"/>
      <c r="AX135" s="794"/>
      <c r="AY135" s="794"/>
      <c r="AZ135" s="794"/>
      <c r="BA135" s="794"/>
      <c r="BB135" s="794"/>
      <c r="BC135" s="794"/>
      <c r="BD135" s="794"/>
      <c r="BE135" s="794"/>
      <c r="BF135" s="794"/>
      <c r="BG135" s="794"/>
      <c r="BH135" s="794"/>
      <c r="BI135" s="793"/>
      <c r="BJ135" s="793"/>
      <c r="BK135" s="793"/>
      <c r="BL135" s="793"/>
      <c r="BM135" s="793"/>
      <c r="BN135" s="793"/>
      <c r="BO135" s="793"/>
      <c r="BP135" s="793"/>
      <c r="BQ135" s="793"/>
      <c r="BR135" s="793"/>
    </row>
    <row r="136" spans="1:70" x14ac:dyDescent="0.5">
      <c r="A136" s="779" t="s">
        <v>3811</v>
      </c>
      <c r="C136" s="64">
        <f t="shared" si="21"/>
        <v>0.52572419140520543</v>
      </c>
      <c r="D136" s="64">
        <f t="shared" si="21"/>
        <v>0.52223171637456745</v>
      </c>
      <c r="E136" s="64">
        <f t="shared" si="21"/>
        <v>0.52030733334884727</v>
      </c>
      <c r="F136" s="64">
        <f t="shared" si="21"/>
        <v>0.52720587951380671</v>
      </c>
      <c r="G136" s="64">
        <f t="shared" si="21"/>
        <v>0.53086806202909809</v>
      </c>
      <c r="H136" s="64">
        <f t="shared" si="21"/>
        <v>0.52760958146267023</v>
      </c>
      <c r="I136" s="64">
        <f t="shared" si="21"/>
        <v>0.57097941139507447</v>
      </c>
      <c r="J136" s="64">
        <f t="shared" si="21"/>
        <v>0.56244434063116466</v>
      </c>
      <c r="L136" s="791">
        <f t="shared" si="22"/>
        <v>0.53592131452005431</v>
      </c>
      <c r="Q136" s="793"/>
      <c r="R136" s="793"/>
      <c r="S136" s="793"/>
      <c r="T136" s="793"/>
      <c r="U136" s="793"/>
      <c r="V136" s="793"/>
      <c r="W136" s="793"/>
      <c r="X136" s="793"/>
      <c r="Y136" s="793"/>
      <c r="Z136" s="793"/>
      <c r="AA136" s="793"/>
      <c r="AB136" s="793"/>
      <c r="AC136" s="793"/>
      <c r="AD136" s="793"/>
      <c r="AE136" s="793"/>
      <c r="AF136" s="793"/>
      <c r="AG136" s="793"/>
      <c r="AH136" s="793"/>
      <c r="AI136" s="793"/>
      <c r="AJ136" s="793"/>
      <c r="AK136" s="793"/>
      <c r="AL136" s="793"/>
      <c r="AM136" s="793"/>
      <c r="AN136" s="793"/>
      <c r="AO136" s="793"/>
      <c r="AP136" s="793"/>
      <c r="AQ136" s="793"/>
      <c r="AR136" s="794"/>
      <c r="AS136" s="794"/>
      <c r="AT136" s="794"/>
      <c r="AU136" s="794"/>
      <c r="AV136" s="794"/>
      <c r="AW136" s="794"/>
      <c r="AX136" s="794"/>
      <c r="AY136" s="794"/>
      <c r="AZ136" s="794"/>
      <c r="BA136" s="794"/>
      <c r="BB136" s="794"/>
      <c r="BC136" s="794"/>
      <c r="BD136" s="794"/>
      <c r="BE136" s="794"/>
      <c r="BF136" s="794"/>
      <c r="BG136" s="794"/>
      <c r="BH136" s="794"/>
      <c r="BI136" s="793"/>
      <c r="BJ136" s="793"/>
      <c r="BK136" s="793"/>
      <c r="BL136" s="793"/>
      <c r="BM136" s="793"/>
      <c r="BN136" s="793"/>
      <c r="BO136" s="793"/>
      <c r="BP136" s="793"/>
      <c r="BQ136" s="793"/>
      <c r="BR136" s="793"/>
    </row>
    <row r="137" spans="1:70" x14ac:dyDescent="0.5">
      <c r="A137" s="790" t="str">
        <f>A120</f>
        <v>Spire Alabama Inc.</v>
      </c>
      <c r="B137" s="790"/>
      <c r="C137" s="64">
        <f t="shared" si="21"/>
        <v>0.4452634609847394</v>
      </c>
      <c r="D137" s="64">
        <f t="shared" si="21"/>
        <v>0.44373489817052125</v>
      </c>
      <c r="E137" s="64">
        <f t="shared" si="21"/>
        <v>0.45605980340220142</v>
      </c>
      <c r="F137" s="64">
        <f t="shared" si="21"/>
        <v>0.45453476753071181</v>
      </c>
      <c r="G137" s="64">
        <f t="shared" si="21"/>
        <v>0.452332062188325</v>
      </c>
      <c r="H137" s="64">
        <f t="shared" si="21"/>
        <v>0.45175284324070819</v>
      </c>
      <c r="I137" s="64">
        <f t="shared" si="21"/>
        <v>0.46249328638777826</v>
      </c>
      <c r="J137" s="64">
        <f t="shared" si="21"/>
        <v>0.39856611789697294</v>
      </c>
      <c r="K137" s="64"/>
      <c r="L137" s="791">
        <f t="shared" si="22"/>
        <v>0.44559215497524479</v>
      </c>
      <c r="Q137" s="793"/>
      <c r="R137" s="793"/>
      <c r="S137" s="793"/>
      <c r="T137" s="793"/>
      <c r="U137" s="793"/>
      <c r="V137" s="793"/>
      <c r="W137" s="793"/>
      <c r="X137" s="793"/>
      <c r="Y137" s="793"/>
      <c r="Z137" s="793"/>
      <c r="AA137" s="793"/>
      <c r="AB137" s="793"/>
      <c r="AC137" s="793"/>
      <c r="AD137" s="793"/>
      <c r="AE137" s="793"/>
      <c r="AF137" s="793"/>
      <c r="AG137" s="793"/>
      <c r="AH137" s="793"/>
      <c r="AI137" s="793"/>
      <c r="AJ137" s="793"/>
      <c r="AK137" s="793"/>
      <c r="AL137" s="793"/>
      <c r="AM137" s="793"/>
      <c r="AN137" s="793"/>
      <c r="AO137" s="793"/>
      <c r="AP137" s="793"/>
      <c r="AQ137" s="793"/>
      <c r="AR137" s="794"/>
      <c r="AS137" s="794"/>
      <c r="AT137" s="794"/>
      <c r="AU137" s="794"/>
      <c r="AV137" s="794"/>
      <c r="AW137" s="794"/>
      <c r="AX137" s="794"/>
      <c r="AY137" s="794"/>
      <c r="AZ137" s="794"/>
      <c r="BA137" s="794"/>
      <c r="BB137" s="794"/>
      <c r="BC137" s="794"/>
      <c r="BD137" s="794"/>
      <c r="BE137" s="794"/>
      <c r="BF137" s="794"/>
      <c r="BG137" s="794"/>
      <c r="BH137" s="794"/>
      <c r="BI137" s="793"/>
      <c r="BJ137" s="793"/>
      <c r="BK137" s="793"/>
      <c r="BL137" s="793"/>
      <c r="BM137" s="793"/>
      <c r="BN137" s="793"/>
      <c r="BO137" s="793"/>
      <c r="BP137" s="793"/>
      <c r="BQ137" s="793"/>
      <c r="BR137" s="793"/>
    </row>
    <row r="138" spans="1:70" x14ac:dyDescent="0.5">
      <c r="A138" s="790" t="str">
        <f>A121</f>
        <v>Spire Missouri Inc.</v>
      </c>
      <c r="B138" s="790"/>
      <c r="C138" s="64">
        <f t="shared" si="21"/>
        <v>0.47496374423203691</v>
      </c>
      <c r="D138" s="64">
        <f t="shared" si="21"/>
        <v>0.47170456938302802</v>
      </c>
      <c r="E138" s="64">
        <f t="shared" si="21"/>
        <v>0.48706815178402868</v>
      </c>
      <c r="F138" s="64">
        <f t="shared" si="21"/>
        <v>0.49415958321908415</v>
      </c>
      <c r="G138" s="64">
        <f t="shared" si="21"/>
        <v>0.52484184539422929</v>
      </c>
      <c r="H138" s="64">
        <f t="shared" si="21"/>
        <v>0.52113395479504532</v>
      </c>
      <c r="I138" s="64">
        <f t="shared" si="21"/>
        <v>0.47921568627450978</v>
      </c>
      <c r="J138" s="64">
        <f t="shared" si="21"/>
        <v>0.48613319201554495</v>
      </c>
      <c r="K138" s="64"/>
      <c r="L138" s="791">
        <f t="shared" si="22"/>
        <v>0.49240259088718841</v>
      </c>
      <c r="Q138" s="793"/>
      <c r="R138" s="793"/>
      <c r="S138" s="793"/>
      <c r="T138" s="793"/>
      <c r="U138" s="793"/>
      <c r="V138" s="793"/>
      <c r="W138" s="793"/>
      <c r="X138" s="793"/>
      <c r="Y138" s="793"/>
      <c r="Z138" s="793"/>
      <c r="AA138" s="793"/>
      <c r="AB138" s="793"/>
      <c r="AC138" s="793"/>
      <c r="AD138" s="793"/>
      <c r="AE138" s="793"/>
      <c r="AF138" s="793"/>
      <c r="AG138" s="793"/>
      <c r="AH138" s="793"/>
      <c r="AI138" s="793"/>
      <c r="AJ138" s="793"/>
      <c r="AK138" s="793"/>
      <c r="AL138" s="793"/>
      <c r="AM138" s="793"/>
      <c r="AN138" s="793"/>
      <c r="AO138" s="793"/>
      <c r="AP138" s="793"/>
      <c r="AQ138" s="793"/>
      <c r="AR138" s="794"/>
      <c r="AS138" s="794"/>
      <c r="AT138" s="794"/>
      <c r="AU138" s="794"/>
      <c r="AV138" s="794"/>
      <c r="AW138" s="794"/>
      <c r="AX138" s="794"/>
      <c r="AY138" s="794"/>
      <c r="AZ138" s="794"/>
      <c r="BA138" s="794"/>
      <c r="BB138" s="794"/>
      <c r="BC138" s="794"/>
      <c r="BD138" s="794"/>
      <c r="BE138" s="794"/>
      <c r="BF138" s="794"/>
      <c r="BG138" s="794"/>
      <c r="BH138" s="794"/>
      <c r="BI138" s="793"/>
      <c r="BJ138" s="793"/>
      <c r="BK138" s="793"/>
      <c r="BL138" s="793"/>
      <c r="BM138" s="793"/>
      <c r="BN138" s="793"/>
      <c r="BO138" s="793"/>
      <c r="BP138" s="793"/>
      <c r="BQ138" s="793"/>
      <c r="BR138" s="793"/>
    </row>
    <row r="139" spans="1:70" x14ac:dyDescent="0.5">
      <c r="A139" s="796"/>
      <c r="B139" s="796"/>
      <c r="C139" s="796"/>
      <c r="D139" s="796"/>
      <c r="E139" s="797"/>
      <c r="F139" s="797"/>
      <c r="G139" s="797"/>
      <c r="H139" s="797"/>
      <c r="I139" s="797"/>
      <c r="J139" s="797"/>
      <c r="K139" s="797"/>
      <c r="L139" s="798"/>
      <c r="Q139" s="793"/>
      <c r="R139" s="793"/>
      <c r="S139" s="793"/>
      <c r="T139" s="793"/>
      <c r="U139" s="793"/>
      <c r="V139" s="793"/>
      <c r="W139" s="793"/>
      <c r="X139" s="793"/>
      <c r="Y139" s="793"/>
      <c r="Z139" s="793"/>
      <c r="AA139" s="793"/>
      <c r="AB139" s="793"/>
      <c r="AC139" s="793"/>
      <c r="AD139" s="793"/>
      <c r="AE139" s="793"/>
      <c r="AF139" s="793"/>
      <c r="AG139" s="793"/>
      <c r="AH139" s="793"/>
      <c r="AI139" s="793"/>
      <c r="AJ139" s="793"/>
      <c r="AK139" s="793"/>
      <c r="AL139" s="793"/>
      <c r="AM139" s="793"/>
      <c r="AN139" s="793"/>
      <c r="AO139" s="793"/>
      <c r="AP139" s="793"/>
      <c r="AQ139" s="793"/>
      <c r="AR139" s="794"/>
      <c r="AS139" s="794"/>
      <c r="AT139" s="794"/>
      <c r="AU139" s="794"/>
      <c r="AV139" s="794"/>
      <c r="AW139" s="794"/>
      <c r="AX139" s="794"/>
      <c r="AY139" s="794"/>
      <c r="AZ139" s="794"/>
      <c r="BA139" s="794"/>
      <c r="BB139" s="794"/>
      <c r="BC139" s="794"/>
      <c r="BD139" s="794"/>
      <c r="BE139" s="794"/>
      <c r="BF139" s="794"/>
      <c r="BG139" s="794"/>
      <c r="BH139" s="794"/>
      <c r="BI139" s="793"/>
      <c r="BJ139" s="793"/>
      <c r="BK139" s="793"/>
      <c r="BL139" s="793"/>
      <c r="BM139" s="793"/>
      <c r="BN139" s="793"/>
      <c r="BO139" s="793"/>
      <c r="BP139" s="793"/>
      <c r="BQ139" s="793"/>
      <c r="BR139" s="793"/>
    </row>
    <row r="140" spans="1:70" x14ac:dyDescent="0.5">
      <c r="A140" s="790"/>
      <c r="B140" s="790"/>
      <c r="C140" s="790"/>
      <c r="D140" s="790"/>
      <c r="I140" s="66"/>
      <c r="J140" s="61" t="s">
        <v>4579</v>
      </c>
      <c r="K140" s="799"/>
      <c r="L140" s="800">
        <f>MIN(L131:L138)</f>
        <v>0.40758190063358901</v>
      </c>
      <c r="Q140" s="793"/>
      <c r="R140" s="793"/>
      <c r="S140" s="793"/>
      <c r="T140" s="793"/>
      <c r="U140" s="793"/>
      <c r="V140" s="793"/>
      <c r="W140" s="793"/>
      <c r="X140" s="793"/>
      <c r="Y140" s="793"/>
      <c r="Z140" s="793"/>
      <c r="AA140" s="793"/>
      <c r="AB140" s="793"/>
      <c r="AC140" s="793"/>
      <c r="AD140" s="793"/>
      <c r="AE140" s="793"/>
      <c r="AF140" s="793"/>
      <c r="AG140" s="793"/>
      <c r="AH140" s="793"/>
      <c r="AI140" s="793"/>
      <c r="AJ140" s="793"/>
      <c r="AK140" s="793"/>
      <c r="AL140" s="793"/>
      <c r="AM140" s="793"/>
      <c r="AN140" s="793"/>
      <c r="AO140" s="793"/>
      <c r="AP140" s="793"/>
      <c r="AQ140" s="793"/>
      <c r="AR140" s="794"/>
      <c r="AS140" s="794"/>
      <c r="AT140" s="794"/>
      <c r="AU140" s="794"/>
      <c r="AV140" s="794"/>
      <c r="AW140" s="794"/>
      <c r="AX140" s="794"/>
      <c r="AY140" s="794"/>
      <c r="AZ140" s="794"/>
      <c r="BA140" s="794"/>
      <c r="BB140" s="794"/>
      <c r="BC140" s="794"/>
      <c r="BD140" s="794"/>
      <c r="BE140" s="794"/>
      <c r="BF140" s="794"/>
      <c r="BG140" s="794"/>
      <c r="BH140" s="794"/>
      <c r="BI140" s="793"/>
      <c r="BJ140" s="793"/>
      <c r="BK140" s="793"/>
      <c r="BL140" s="793"/>
      <c r="BM140" s="793"/>
      <c r="BN140" s="793"/>
      <c r="BO140" s="793"/>
      <c r="BP140" s="793"/>
      <c r="BQ140" s="793"/>
      <c r="BR140" s="793"/>
    </row>
    <row r="141" spans="1:70" x14ac:dyDescent="0.5">
      <c r="E141" s="801"/>
      <c r="F141" s="801"/>
      <c r="G141" s="801"/>
      <c r="H141" s="801"/>
      <c r="I141" s="801"/>
      <c r="J141" s="61" t="s">
        <v>4580</v>
      </c>
      <c r="L141" s="800">
        <f>MAX(L131:L138)</f>
        <v>0.59488088072767065</v>
      </c>
      <c r="Q141" s="793"/>
      <c r="R141" s="793"/>
      <c r="S141" s="793"/>
      <c r="T141" s="793"/>
      <c r="U141" s="793"/>
      <c r="V141" s="793"/>
      <c r="W141" s="793"/>
      <c r="X141" s="793"/>
      <c r="Y141" s="793"/>
      <c r="Z141" s="793"/>
      <c r="AA141" s="793"/>
      <c r="AB141" s="793"/>
      <c r="AC141" s="793"/>
      <c r="AD141" s="793"/>
      <c r="AE141" s="793"/>
      <c r="AF141" s="793"/>
      <c r="AG141" s="793"/>
      <c r="AH141" s="793"/>
      <c r="AI141" s="793"/>
      <c r="AJ141" s="793"/>
      <c r="AK141" s="793"/>
      <c r="AL141" s="793"/>
      <c r="AM141" s="793"/>
      <c r="AN141" s="793"/>
      <c r="AO141" s="793"/>
      <c r="AP141" s="793"/>
      <c r="AQ141" s="793"/>
      <c r="AR141" s="794"/>
      <c r="AS141" s="794"/>
      <c r="AT141" s="794"/>
      <c r="AU141" s="794"/>
      <c r="AV141" s="794"/>
      <c r="AW141" s="794"/>
      <c r="AX141" s="794"/>
      <c r="AY141" s="794"/>
      <c r="AZ141" s="794"/>
      <c r="BA141" s="794"/>
      <c r="BB141" s="794"/>
      <c r="BC141" s="794"/>
      <c r="BD141" s="794"/>
      <c r="BE141" s="794"/>
      <c r="BF141" s="794"/>
      <c r="BG141" s="794"/>
      <c r="BH141" s="794"/>
      <c r="BI141" s="793"/>
      <c r="BJ141" s="793"/>
      <c r="BK141" s="793"/>
      <c r="BL141" s="793"/>
      <c r="BM141" s="793"/>
      <c r="BN141" s="793"/>
      <c r="BO141" s="793"/>
      <c r="BP141" s="793"/>
      <c r="BQ141" s="793"/>
      <c r="BR141" s="793"/>
    </row>
    <row r="142" spans="1:70" x14ac:dyDescent="0.5">
      <c r="A142" s="779" t="s">
        <v>4573</v>
      </c>
      <c r="I142" s="792"/>
      <c r="J142" s="792"/>
      <c r="Q142" s="793"/>
      <c r="R142" s="793"/>
      <c r="S142" s="793"/>
      <c r="T142" s="793"/>
      <c r="U142" s="793"/>
      <c r="V142" s="793"/>
      <c r="W142" s="793"/>
      <c r="X142" s="793"/>
      <c r="Y142" s="793"/>
      <c r="Z142" s="793"/>
      <c r="AA142" s="793"/>
      <c r="AB142" s="793"/>
      <c r="AC142" s="793"/>
      <c r="AD142" s="793"/>
      <c r="AE142" s="793"/>
      <c r="AF142" s="793"/>
      <c r="AG142" s="793"/>
      <c r="AH142" s="793"/>
      <c r="AI142" s="793"/>
      <c r="AJ142" s="793"/>
      <c r="AK142" s="793"/>
      <c r="AL142" s="793"/>
      <c r="AM142" s="793"/>
      <c r="AN142" s="793"/>
      <c r="AO142" s="793"/>
      <c r="AP142" s="793"/>
      <c r="AQ142" s="793"/>
      <c r="AR142" s="794"/>
      <c r="AS142" s="794"/>
      <c r="AT142" s="794"/>
      <c r="AU142" s="794"/>
      <c r="AV142" s="794"/>
      <c r="AW142" s="794"/>
      <c r="AX142" s="794"/>
      <c r="AY142" s="794"/>
      <c r="AZ142" s="794"/>
      <c r="BA142" s="794"/>
      <c r="BB142" s="794"/>
      <c r="BC142" s="794"/>
      <c r="BD142" s="794"/>
      <c r="BE142" s="794"/>
      <c r="BF142" s="794"/>
      <c r="BG142" s="794"/>
      <c r="BH142" s="794"/>
      <c r="BI142" s="793"/>
      <c r="BJ142" s="793"/>
      <c r="BK142" s="793"/>
      <c r="BL142" s="793"/>
      <c r="BM142" s="793"/>
      <c r="BN142" s="793"/>
      <c r="BO142" s="793"/>
      <c r="BP142" s="793"/>
      <c r="BQ142" s="793"/>
      <c r="BR142" s="793"/>
    </row>
    <row r="143" spans="1:70" x14ac:dyDescent="0.5">
      <c r="Q143" s="793"/>
      <c r="R143" s="793"/>
      <c r="S143" s="793"/>
      <c r="T143" s="793"/>
      <c r="U143" s="793"/>
      <c r="V143" s="793"/>
      <c r="W143" s="793"/>
      <c r="X143" s="793"/>
      <c r="Y143" s="793"/>
      <c r="Z143" s="793"/>
      <c r="AA143" s="793"/>
      <c r="AB143" s="793"/>
      <c r="AC143" s="793"/>
      <c r="AD143" s="793"/>
      <c r="AE143" s="793"/>
      <c r="AF143" s="793"/>
      <c r="AG143" s="793"/>
      <c r="AH143" s="793"/>
      <c r="AI143" s="793"/>
      <c r="AJ143" s="793"/>
      <c r="AK143" s="793"/>
      <c r="AL143" s="793"/>
      <c r="AM143" s="793"/>
      <c r="AN143" s="793"/>
      <c r="AO143" s="793"/>
      <c r="AP143" s="793"/>
      <c r="AQ143" s="793"/>
      <c r="AR143" s="794"/>
      <c r="AS143" s="794"/>
      <c r="AT143" s="794"/>
      <c r="AU143" s="794"/>
      <c r="AV143" s="794"/>
      <c r="AW143" s="794"/>
      <c r="AX143" s="794"/>
      <c r="AY143" s="794"/>
      <c r="AZ143" s="794"/>
      <c r="BA143" s="794"/>
      <c r="BB143" s="794"/>
      <c r="BC143" s="794"/>
      <c r="BD143" s="794"/>
      <c r="BE143" s="794"/>
      <c r="BF143" s="794"/>
      <c r="BG143" s="794"/>
      <c r="BH143" s="794"/>
      <c r="BI143" s="793"/>
      <c r="BJ143" s="793"/>
      <c r="BK143" s="793"/>
      <c r="BL143" s="793"/>
      <c r="BM143" s="793"/>
      <c r="BN143" s="793"/>
      <c r="BO143" s="793"/>
      <c r="BP143" s="793"/>
      <c r="BQ143" s="793"/>
      <c r="BR143" s="793"/>
    </row>
    <row r="144" spans="1:70" x14ac:dyDescent="0.5">
      <c r="Q144" s="793"/>
      <c r="R144" s="793"/>
      <c r="S144" s="793"/>
      <c r="T144" s="793"/>
      <c r="U144" s="793"/>
      <c r="V144" s="793"/>
      <c r="W144" s="793"/>
      <c r="X144" s="793"/>
      <c r="Y144" s="793"/>
      <c r="Z144" s="793"/>
      <c r="AA144" s="793"/>
      <c r="AB144" s="793"/>
      <c r="AC144" s="793"/>
      <c r="AD144" s="793"/>
      <c r="AE144" s="793"/>
      <c r="AF144" s="793"/>
      <c r="AG144" s="793"/>
      <c r="AH144" s="793"/>
      <c r="AI144" s="793"/>
      <c r="AJ144" s="793"/>
      <c r="AK144" s="793"/>
      <c r="AL144" s="793"/>
      <c r="AM144" s="793"/>
      <c r="AN144" s="793"/>
      <c r="AO144" s="793"/>
      <c r="AP144" s="793"/>
      <c r="AQ144" s="793"/>
      <c r="AR144" s="794"/>
      <c r="AS144" s="794"/>
      <c r="AT144" s="794"/>
      <c r="AU144" s="794"/>
      <c r="AV144" s="794"/>
      <c r="AW144" s="794"/>
      <c r="AX144" s="794"/>
      <c r="AY144" s="794"/>
      <c r="AZ144" s="794"/>
      <c r="BA144" s="794"/>
      <c r="BB144" s="794"/>
      <c r="BC144" s="794"/>
      <c r="BD144" s="794"/>
      <c r="BE144" s="794"/>
      <c r="BF144" s="794"/>
      <c r="BG144" s="794"/>
      <c r="BH144" s="794"/>
      <c r="BI144" s="793"/>
      <c r="BJ144" s="793"/>
      <c r="BK144" s="793"/>
      <c r="BL144" s="793"/>
      <c r="BM144" s="793"/>
      <c r="BN144" s="793"/>
      <c r="BO144" s="793"/>
      <c r="BP144" s="793"/>
      <c r="BQ144" s="793"/>
      <c r="BR144" s="793"/>
    </row>
    <row r="145" spans="17:70" x14ac:dyDescent="0.5">
      <c r="Q145" s="793"/>
      <c r="R145" s="793"/>
      <c r="S145" s="793"/>
      <c r="T145" s="793"/>
      <c r="U145" s="793"/>
      <c r="V145" s="793"/>
      <c r="W145" s="793"/>
      <c r="X145" s="793"/>
      <c r="Y145" s="793"/>
      <c r="Z145" s="793"/>
      <c r="AA145" s="793"/>
      <c r="AB145" s="793"/>
      <c r="AC145" s="793"/>
      <c r="AD145" s="793"/>
      <c r="AE145" s="793"/>
      <c r="AF145" s="793"/>
      <c r="AG145" s="793"/>
      <c r="AH145" s="793"/>
      <c r="AI145" s="793"/>
      <c r="AJ145" s="793"/>
      <c r="AK145" s="793"/>
      <c r="AL145" s="793"/>
      <c r="AM145" s="793"/>
      <c r="AN145" s="793"/>
      <c r="AO145" s="793"/>
      <c r="AP145" s="793"/>
      <c r="AQ145" s="793"/>
      <c r="AR145" s="794"/>
      <c r="AS145" s="794"/>
      <c r="AT145" s="794"/>
      <c r="AU145" s="794"/>
      <c r="AV145" s="794"/>
      <c r="AW145" s="794"/>
      <c r="AX145" s="794"/>
      <c r="AY145" s="794"/>
      <c r="AZ145" s="794"/>
      <c r="BA145" s="794"/>
      <c r="BB145" s="794"/>
      <c r="BC145" s="794"/>
      <c r="BD145" s="794"/>
      <c r="BE145" s="794"/>
      <c r="BF145" s="794"/>
      <c r="BG145" s="794"/>
      <c r="BH145" s="794"/>
      <c r="BI145" s="793"/>
      <c r="BJ145" s="793"/>
      <c r="BK145" s="793"/>
      <c r="BL145" s="793"/>
      <c r="BM145" s="793"/>
      <c r="BN145" s="793"/>
      <c r="BO145" s="793"/>
      <c r="BP145" s="793"/>
      <c r="BQ145" s="793"/>
      <c r="BR145" s="793"/>
    </row>
    <row r="146" spans="17:70" x14ac:dyDescent="0.5">
      <c r="Q146" s="793"/>
      <c r="R146" s="793"/>
      <c r="S146" s="793"/>
      <c r="T146" s="793"/>
      <c r="U146" s="793"/>
      <c r="V146" s="793"/>
      <c r="W146" s="793"/>
      <c r="X146" s="793"/>
      <c r="Y146" s="793"/>
      <c r="Z146" s="793"/>
      <c r="AA146" s="793"/>
      <c r="AB146" s="793"/>
      <c r="AC146" s="793"/>
      <c r="AD146" s="793"/>
      <c r="AE146" s="793"/>
      <c r="AF146" s="793"/>
      <c r="AG146" s="793"/>
      <c r="AH146" s="793"/>
      <c r="AI146" s="793"/>
      <c r="AJ146" s="793"/>
      <c r="AK146" s="793"/>
      <c r="AL146" s="793"/>
      <c r="AM146" s="793"/>
      <c r="AN146" s="793"/>
      <c r="AO146" s="793"/>
      <c r="AP146" s="793"/>
      <c r="AQ146" s="793"/>
      <c r="AR146" s="794"/>
      <c r="AS146" s="794"/>
      <c r="AT146" s="794"/>
      <c r="AU146" s="794"/>
      <c r="AV146" s="794"/>
      <c r="AW146" s="794"/>
      <c r="AX146" s="794"/>
      <c r="AY146" s="794"/>
      <c r="AZ146" s="794"/>
      <c r="BA146" s="794"/>
      <c r="BB146" s="794"/>
      <c r="BC146" s="794"/>
      <c r="BD146" s="794"/>
      <c r="BE146" s="794"/>
      <c r="BF146" s="794"/>
      <c r="BG146" s="794"/>
      <c r="BH146" s="794"/>
      <c r="BI146" s="793"/>
      <c r="BJ146" s="793"/>
      <c r="BK146" s="793"/>
      <c r="BL146" s="793"/>
      <c r="BM146" s="793"/>
      <c r="BN146" s="793"/>
      <c r="BO146" s="793"/>
      <c r="BP146" s="793"/>
      <c r="BQ146" s="793"/>
      <c r="BR146" s="793"/>
    </row>
    <row r="147" spans="17:70" x14ac:dyDescent="0.5">
      <c r="Q147" s="793"/>
      <c r="R147" s="793"/>
      <c r="S147" s="793"/>
      <c r="T147" s="793"/>
      <c r="U147" s="793"/>
      <c r="V147" s="793"/>
      <c r="W147" s="793"/>
      <c r="X147" s="793"/>
      <c r="Y147" s="793"/>
      <c r="Z147" s="793"/>
      <c r="AA147" s="793"/>
      <c r="AB147" s="793"/>
      <c r="AC147" s="793"/>
      <c r="AD147" s="793"/>
      <c r="AE147" s="793"/>
      <c r="AF147" s="793"/>
      <c r="AG147" s="793"/>
      <c r="AH147" s="793"/>
      <c r="AI147" s="793"/>
      <c r="AJ147" s="793"/>
      <c r="AK147" s="793"/>
      <c r="AL147" s="793"/>
      <c r="AM147" s="793"/>
      <c r="AN147" s="793"/>
      <c r="AO147" s="793"/>
      <c r="AP147" s="793"/>
      <c r="AQ147" s="793"/>
      <c r="AR147" s="794"/>
      <c r="AS147" s="794"/>
      <c r="AT147" s="794"/>
      <c r="AU147" s="794"/>
      <c r="AV147" s="794"/>
      <c r="AW147" s="794"/>
      <c r="AX147" s="794"/>
      <c r="AY147" s="794"/>
      <c r="AZ147" s="794"/>
      <c r="BA147" s="794"/>
      <c r="BB147" s="794"/>
      <c r="BC147" s="794"/>
      <c r="BD147" s="794"/>
      <c r="BE147" s="794"/>
      <c r="BF147" s="794"/>
      <c r="BG147" s="794"/>
      <c r="BH147" s="794"/>
      <c r="BI147" s="793"/>
      <c r="BJ147" s="793"/>
      <c r="BK147" s="793"/>
      <c r="BL147" s="793"/>
      <c r="BM147" s="793"/>
      <c r="BN147" s="793"/>
      <c r="BO147" s="793"/>
      <c r="BP147" s="793"/>
      <c r="BQ147" s="793"/>
      <c r="BR147" s="793"/>
    </row>
    <row r="148" spans="17:70" x14ac:dyDescent="0.5">
      <c r="Q148" s="793"/>
      <c r="R148" s="793"/>
      <c r="S148" s="793"/>
      <c r="T148" s="793"/>
      <c r="U148" s="793"/>
      <c r="V148" s="793"/>
      <c r="W148" s="793"/>
      <c r="X148" s="793"/>
      <c r="Y148" s="793"/>
      <c r="Z148" s="793"/>
      <c r="AA148" s="793"/>
      <c r="AB148" s="793"/>
      <c r="AC148" s="793"/>
      <c r="AD148" s="793"/>
      <c r="AE148" s="793"/>
      <c r="AF148" s="793"/>
      <c r="AG148" s="793"/>
      <c r="AH148" s="793"/>
      <c r="AI148" s="793"/>
      <c r="AJ148" s="793"/>
      <c r="AK148" s="793"/>
      <c r="AL148" s="793"/>
      <c r="AM148" s="793"/>
      <c r="AN148" s="793"/>
      <c r="AO148" s="793"/>
      <c r="AP148" s="793"/>
      <c r="AQ148" s="793"/>
      <c r="AR148" s="794"/>
      <c r="AS148" s="794"/>
      <c r="AT148" s="794"/>
      <c r="AU148" s="794"/>
      <c r="AV148" s="794"/>
      <c r="AW148" s="794"/>
      <c r="AX148" s="794"/>
      <c r="AY148" s="794"/>
      <c r="AZ148" s="794"/>
      <c r="BA148" s="794"/>
      <c r="BB148" s="794"/>
      <c r="BC148" s="794"/>
      <c r="BD148" s="794"/>
      <c r="BE148" s="794"/>
      <c r="BF148" s="794"/>
      <c r="BG148" s="794"/>
      <c r="BH148" s="794"/>
      <c r="BI148" s="793"/>
      <c r="BJ148" s="793"/>
      <c r="BK148" s="793"/>
      <c r="BL148" s="793"/>
      <c r="BM148" s="793"/>
      <c r="BN148" s="793"/>
      <c r="BO148" s="793"/>
      <c r="BP148" s="793"/>
      <c r="BQ148" s="793"/>
      <c r="BR148" s="793"/>
    </row>
    <row r="149" spans="17:70" x14ac:dyDescent="0.5">
      <c r="Q149" s="793"/>
      <c r="R149" s="793"/>
      <c r="S149" s="793"/>
      <c r="T149" s="793"/>
      <c r="U149" s="793"/>
      <c r="V149" s="793"/>
      <c r="W149" s="793"/>
      <c r="X149" s="793"/>
      <c r="Y149" s="793"/>
      <c r="Z149" s="793"/>
      <c r="AA149" s="793"/>
      <c r="AB149" s="793"/>
      <c r="AC149" s="793"/>
      <c r="AD149" s="793"/>
      <c r="AE149" s="793"/>
      <c r="AF149" s="793"/>
      <c r="AG149" s="793"/>
      <c r="AH149" s="793"/>
      <c r="AI149" s="793"/>
      <c r="AJ149" s="793"/>
      <c r="AK149" s="793"/>
      <c r="AL149" s="793"/>
      <c r="AM149" s="793"/>
      <c r="AN149" s="793"/>
      <c r="AO149" s="793"/>
      <c r="AP149" s="793"/>
      <c r="AQ149" s="793"/>
      <c r="AR149" s="794"/>
      <c r="AS149" s="794"/>
      <c r="AT149" s="794"/>
      <c r="AU149" s="794"/>
      <c r="AV149" s="794"/>
      <c r="AW149" s="794"/>
      <c r="AX149" s="794"/>
      <c r="AY149" s="794"/>
      <c r="AZ149" s="794"/>
      <c r="BA149" s="794"/>
      <c r="BB149" s="794"/>
      <c r="BC149" s="794"/>
      <c r="BD149" s="794"/>
      <c r="BE149" s="794"/>
      <c r="BF149" s="794"/>
      <c r="BG149" s="794"/>
      <c r="BH149" s="794"/>
      <c r="BI149" s="793"/>
      <c r="BJ149" s="793"/>
      <c r="BK149" s="793"/>
      <c r="BL149" s="793"/>
      <c r="BM149" s="793"/>
      <c r="BN149" s="793"/>
      <c r="BO149" s="793"/>
      <c r="BP149" s="793"/>
      <c r="BQ149" s="793"/>
      <c r="BR149" s="793"/>
    </row>
    <row r="150" spans="17:70" x14ac:dyDescent="0.5">
      <c r="Q150" s="793"/>
      <c r="R150" s="793"/>
      <c r="S150" s="793"/>
      <c r="T150" s="793"/>
      <c r="U150" s="793"/>
      <c r="V150" s="793"/>
      <c r="W150" s="793"/>
      <c r="X150" s="793"/>
      <c r="Y150" s="793"/>
      <c r="Z150" s="793"/>
      <c r="AA150" s="793"/>
      <c r="AB150" s="793"/>
      <c r="AC150" s="793"/>
      <c r="AD150" s="793"/>
      <c r="AE150" s="793"/>
      <c r="AF150" s="793"/>
      <c r="AG150" s="793"/>
      <c r="AH150" s="793"/>
      <c r="AI150" s="793"/>
      <c r="AJ150" s="793"/>
      <c r="AK150" s="793"/>
      <c r="AL150" s="793"/>
      <c r="AM150" s="793"/>
      <c r="AN150" s="793"/>
      <c r="AO150" s="793"/>
      <c r="AP150" s="793"/>
      <c r="AQ150" s="793"/>
      <c r="AR150" s="794"/>
      <c r="AS150" s="794"/>
      <c r="AT150" s="794"/>
      <c r="AU150" s="794"/>
      <c r="AV150" s="794"/>
      <c r="AW150" s="794"/>
      <c r="AX150" s="794"/>
      <c r="AY150" s="794"/>
      <c r="AZ150" s="794"/>
      <c r="BA150" s="794"/>
      <c r="BB150" s="794"/>
      <c r="BC150" s="794"/>
      <c r="BD150" s="794"/>
      <c r="BE150" s="794"/>
      <c r="BF150" s="794"/>
      <c r="BG150" s="794"/>
      <c r="BH150" s="794"/>
      <c r="BI150" s="793"/>
      <c r="BJ150" s="793"/>
      <c r="BK150" s="793"/>
      <c r="BL150" s="793"/>
      <c r="BM150" s="793"/>
      <c r="BN150" s="793"/>
      <c r="BO150" s="793"/>
      <c r="BP150" s="793"/>
      <c r="BQ150" s="793"/>
      <c r="BR150" s="793"/>
    </row>
    <row r="151" spans="17:70" x14ac:dyDescent="0.5">
      <c r="Q151" s="793"/>
      <c r="R151" s="793"/>
      <c r="S151" s="793"/>
      <c r="T151" s="793"/>
      <c r="U151" s="793"/>
      <c r="V151" s="793"/>
      <c r="W151" s="793"/>
      <c r="X151" s="793"/>
      <c r="Y151" s="793"/>
      <c r="Z151" s="793"/>
      <c r="AA151" s="793"/>
      <c r="AB151" s="793"/>
      <c r="AC151" s="793"/>
      <c r="AD151" s="793"/>
      <c r="AE151" s="793"/>
      <c r="AF151" s="793"/>
      <c r="AG151" s="793"/>
      <c r="AH151" s="793"/>
      <c r="AI151" s="793"/>
      <c r="AJ151" s="793"/>
      <c r="AK151" s="793"/>
      <c r="AL151" s="793"/>
      <c r="AM151" s="793"/>
      <c r="AN151" s="793"/>
      <c r="AO151" s="793"/>
      <c r="AP151" s="793"/>
      <c r="AQ151" s="793"/>
      <c r="AR151" s="794"/>
      <c r="AS151" s="794"/>
      <c r="AT151" s="794"/>
      <c r="AU151" s="794"/>
      <c r="AV151" s="794"/>
      <c r="AW151" s="794"/>
      <c r="AX151" s="794"/>
      <c r="AY151" s="794"/>
      <c r="AZ151" s="794"/>
      <c r="BA151" s="794"/>
      <c r="BB151" s="794"/>
      <c r="BC151" s="794"/>
      <c r="BD151" s="794"/>
      <c r="BE151" s="794"/>
      <c r="BF151" s="794"/>
      <c r="BG151" s="794"/>
      <c r="BH151" s="794"/>
      <c r="BI151" s="793"/>
      <c r="BJ151" s="793"/>
      <c r="BK151" s="793"/>
      <c r="BL151" s="793"/>
      <c r="BM151" s="793"/>
      <c r="BN151" s="793"/>
      <c r="BO151" s="793"/>
      <c r="BP151" s="793"/>
      <c r="BQ151" s="793"/>
      <c r="BR151" s="793"/>
    </row>
    <row r="152" spans="17:70" x14ac:dyDescent="0.5">
      <c r="Q152" s="793"/>
      <c r="R152" s="793"/>
      <c r="S152" s="793"/>
      <c r="T152" s="793"/>
      <c r="U152" s="793"/>
      <c r="V152" s="793"/>
      <c r="W152" s="793"/>
      <c r="X152" s="793"/>
      <c r="Y152" s="793"/>
      <c r="Z152" s="793"/>
      <c r="AA152" s="793"/>
      <c r="AB152" s="793"/>
      <c r="AC152" s="793"/>
      <c r="AD152" s="793"/>
      <c r="AE152" s="793"/>
      <c r="AF152" s="793"/>
      <c r="AG152" s="793"/>
      <c r="AH152" s="793"/>
      <c r="AI152" s="793"/>
      <c r="AJ152" s="793"/>
      <c r="AK152" s="793"/>
      <c r="AL152" s="793"/>
      <c r="AM152" s="793"/>
      <c r="AN152" s="793"/>
      <c r="AO152" s="793"/>
      <c r="AP152" s="793"/>
      <c r="AQ152" s="793"/>
      <c r="AR152" s="794"/>
      <c r="AS152" s="794"/>
      <c r="AT152" s="794"/>
      <c r="AU152" s="794"/>
      <c r="AV152" s="794"/>
      <c r="AW152" s="794"/>
      <c r="AX152" s="794"/>
      <c r="AY152" s="794"/>
      <c r="AZ152" s="794"/>
      <c r="BA152" s="794"/>
      <c r="BB152" s="794"/>
      <c r="BC152" s="794"/>
      <c r="BD152" s="794"/>
      <c r="BE152" s="794"/>
      <c r="BF152" s="794"/>
      <c r="BG152" s="794"/>
      <c r="BH152" s="794"/>
      <c r="BI152" s="793"/>
      <c r="BJ152" s="793"/>
      <c r="BK152" s="793"/>
      <c r="BL152" s="793"/>
      <c r="BM152" s="793"/>
      <c r="BN152" s="793"/>
      <c r="BO152" s="793"/>
      <c r="BP152" s="793"/>
      <c r="BQ152" s="793"/>
      <c r="BR152" s="793"/>
    </row>
    <row r="163" spans="17:70" x14ac:dyDescent="0.5">
      <c r="Q163" s="793"/>
      <c r="R163" s="793"/>
      <c r="S163" s="793"/>
      <c r="T163" s="793"/>
      <c r="U163" s="793"/>
      <c r="V163" s="793"/>
      <c r="W163" s="793"/>
      <c r="X163" s="793"/>
      <c r="Y163" s="793"/>
      <c r="Z163" s="793"/>
      <c r="AA163" s="793"/>
      <c r="AB163" s="793"/>
      <c r="AC163" s="793"/>
      <c r="AD163" s="793"/>
      <c r="AE163" s="793"/>
      <c r="AF163" s="793"/>
      <c r="AG163" s="793"/>
      <c r="AH163" s="793"/>
      <c r="AI163" s="793"/>
      <c r="AJ163" s="793"/>
      <c r="AK163" s="793"/>
      <c r="AL163" s="793"/>
      <c r="AM163" s="793"/>
      <c r="AN163" s="793"/>
      <c r="AO163" s="793"/>
      <c r="AP163" s="793"/>
      <c r="AQ163" s="793"/>
      <c r="AR163" s="794"/>
      <c r="AS163" s="794"/>
      <c r="AT163" s="794"/>
      <c r="AU163" s="794"/>
      <c r="AV163" s="794"/>
      <c r="AW163" s="794"/>
      <c r="AX163" s="794"/>
      <c r="AY163" s="794"/>
      <c r="AZ163" s="794"/>
      <c r="BA163" s="794"/>
      <c r="BB163" s="794"/>
      <c r="BC163" s="794"/>
      <c r="BD163" s="794"/>
      <c r="BE163" s="794"/>
      <c r="BF163" s="794"/>
      <c r="BG163" s="794"/>
      <c r="BH163" s="794"/>
      <c r="BI163" s="793"/>
      <c r="BJ163" s="793"/>
      <c r="BK163" s="793"/>
      <c r="BL163" s="793"/>
      <c r="BM163" s="793"/>
      <c r="BN163" s="793"/>
      <c r="BO163" s="793"/>
      <c r="BP163" s="793"/>
      <c r="BQ163" s="793"/>
      <c r="BR163" s="793"/>
    </row>
    <row r="164" spans="17:70" x14ac:dyDescent="0.5">
      <c r="Q164" s="793"/>
      <c r="R164" s="793"/>
      <c r="S164" s="793"/>
      <c r="T164" s="793"/>
      <c r="U164" s="793"/>
      <c r="V164" s="793"/>
      <c r="W164" s="793"/>
      <c r="X164" s="793"/>
      <c r="Y164" s="793"/>
      <c r="Z164" s="793"/>
      <c r="AA164" s="793"/>
      <c r="AB164" s="793"/>
      <c r="AC164" s="793"/>
      <c r="AD164" s="793"/>
      <c r="AE164" s="793"/>
      <c r="AF164" s="793"/>
      <c r="AG164" s="793"/>
      <c r="AH164" s="793"/>
      <c r="AI164" s="793"/>
      <c r="AJ164" s="793"/>
      <c r="AK164" s="793"/>
      <c r="AL164" s="793"/>
      <c r="AM164" s="793"/>
      <c r="AN164" s="793"/>
      <c r="AO164" s="793"/>
      <c r="AP164" s="793"/>
      <c r="AQ164" s="793"/>
      <c r="AR164" s="794"/>
      <c r="AS164" s="794"/>
      <c r="AT164" s="794"/>
      <c r="AU164" s="794"/>
      <c r="AV164" s="794"/>
      <c r="AW164" s="794"/>
      <c r="AX164" s="794"/>
      <c r="AY164" s="794"/>
      <c r="AZ164" s="794"/>
      <c r="BA164" s="794"/>
      <c r="BB164" s="794"/>
      <c r="BC164" s="794"/>
      <c r="BD164" s="794"/>
      <c r="BE164" s="794"/>
      <c r="BF164" s="794"/>
      <c r="BG164" s="794"/>
      <c r="BH164" s="794"/>
      <c r="BI164" s="793"/>
      <c r="BJ164" s="793"/>
      <c r="BK164" s="793"/>
      <c r="BL164" s="793"/>
      <c r="BM164" s="793"/>
      <c r="BN164" s="793"/>
      <c r="BO164" s="793"/>
      <c r="BP164" s="793"/>
      <c r="BQ164" s="793"/>
      <c r="BR164" s="793"/>
    </row>
    <row r="165" spans="17:70" x14ac:dyDescent="0.5">
      <c r="Q165" s="793"/>
      <c r="R165" s="793"/>
      <c r="S165" s="793"/>
      <c r="T165" s="793"/>
      <c r="U165" s="793"/>
      <c r="V165" s="793"/>
      <c r="W165" s="793"/>
      <c r="X165" s="793"/>
      <c r="Y165" s="793"/>
      <c r="Z165" s="793"/>
      <c r="AA165" s="793"/>
      <c r="AB165" s="793"/>
      <c r="AC165" s="793"/>
      <c r="AD165" s="793"/>
      <c r="AE165" s="793"/>
      <c r="AF165" s="793"/>
      <c r="AG165" s="793"/>
      <c r="AH165" s="793"/>
      <c r="AI165" s="793"/>
      <c r="AJ165" s="793"/>
      <c r="AK165" s="793"/>
      <c r="AL165" s="793"/>
      <c r="AM165" s="793"/>
      <c r="AN165" s="793"/>
      <c r="AO165" s="793"/>
      <c r="AP165" s="793"/>
      <c r="AQ165" s="793"/>
      <c r="AR165" s="794"/>
      <c r="AS165" s="794"/>
      <c r="AT165" s="794"/>
      <c r="AU165" s="794"/>
      <c r="AV165" s="794"/>
      <c r="AW165" s="794"/>
      <c r="AX165" s="794"/>
      <c r="AY165" s="794"/>
      <c r="AZ165" s="794"/>
      <c r="BA165" s="794"/>
      <c r="BB165" s="794"/>
      <c r="BC165" s="794"/>
      <c r="BD165" s="794"/>
      <c r="BE165" s="794"/>
      <c r="BF165" s="794"/>
      <c r="BG165" s="794"/>
      <c r="BH165" s="794"/>
      <c r="BI165" s="793"/>
      <c r="BJ165" s="793"/>
      <c r="BK165" s="793"/>
      <c r="BL165" s="793"/>
      <c r="BM165" s="793"/>
      <c r="BN165" s="793"/>
      <c r="BO165" s="793"/>
      <c r="BP165" s="793"/>
      <c r="BQ165" s="793"/>
      <c r="BR165" s="793"/>
    </row>
    <row r="166" spans="17:70" x14ac:dyDescent="0.5">
      <c r="Q166" s="793"/>
      <c r="R166" s="793"/>
      <c r="S166" s="793"/>
      <c r="T166" s="793"/>
      <c r="U166" s="793"/>
      <c r="V166" s="793"/>
      <c r="W166" s="793"/>
      <c r="X166" s="793"/>
      <c r="Y166" s="793"/>
      <c r="Z166" s="793"/>
      <c r="AA166" s="793"/>
      <c r="AB166" s="793"/>
      <c r="AC166" s="793"/>
      <c r="AD166" s="793"/>
      <c r="AE166" s="793"/>
      <c r="AF166" s="793"/>
      <c r="AG166" s="793"/>
      <c r="AH166" s="793"/>
      <c r="AI166" s="793"/>
      <c r="AJ166" s="793"/>
      <c r="AK166" s="793"/>
      <c r="AL166" s="793"/>
      <c r="AM166" s="793"/>
      <c r="AN166" s="793"/>
      <c r="AO166" s="793"/>
      <c r="AP166" s="793"/>
      <c r="AQ166" s="793"/>
      <c r="AR166" s="794"/>
      <c r="AS166" s="794"/>
      <c r="AT166" s="794"/>
      <c r="AU166" s="794"/>
      <c r="AV166" s="794"/>
      <c r="AW166" s="794"/>
      <c r="AX166" s="794"/>
      <c r="AY166" s="794"/>
      <c r="AZ166" s="794"/>
      <c r="BA166" s="794"/>
      <c r="BB166" s="794"/>
      <c r="BC166" s="794"/>
      <c r="BD166" s="794"/>
      <c r="BE166" s="794"/>
      <c r="BF166" s="794"/>
      <c r="BG166" s="794"/>
      <c r="BH166" s="794"/>
      <c r="BI166" s="793"/>
      <c r="BJ166" s="793"/>
      <c r="BK166" s="793"/>
      <c r="BL166" s="793"/>
      <c r="BM166" s="793"/>
      <c r="BN166" s="793"/>
      <c r="BO166" s="793"/>
      <c r="BP166" s="793"/>
      <c r="BQ166" s="793"/>
      <c r="BR166" s="793"/>
    </row>
    <row r="167" spans="17:70" x14ac:dyDescent="0.5">
      <c r="Q167" s="793"/>
      <c r="R167" s="793"/>
      <c r="S167" s="793"/>
      <c r="T167" s="793"/>
      <c r="U167" s="793"/>
      <c r="V167" s="793"/>
      <c r="W167" s="793"/>
      <c r="X167" s="793"/>
      <c r="Y167" s="793"/>
      <c r="Z167" s="793"/>
      <c r="AA167" s="793"/>
      <c r="AB167" s="793"/>
      <c r="AC167" s="793"/>
      <c r="AD167" s="793"/>
      <c r="AE167" s="793"/>
      <c r="AF167" s="793"/>
      <c r="AG167" s="793"/>
      <c r="AH167" s="793"/>
      <c r="AI167" s="793"/>
      <c r="AJ167" s="793"/>
      <c r="AK167" s="793"/>
      <c r="AL167" s="793"/>
      <c r="AM167" s="793"/>
      <c r="AN167" s="793"/>
      <c r="AO167" s="793"/>
      <c r="AP167" s="793"/>
      <c r="AQ167" s="793"/>
      <c r="AR167" s="794"/>
      <c r="AS167" s="794"/>
      <c r="AT167" s="794"/>
      <c r="AU167" s="794"/>
      <c r="AV167" s="794"/>
      <c r="AW167" s="794"/>
      <c r="AX167" s="794"/>
      <c r="AY167" s="794"/>
      <c r="AZ167" s="794"/>
      <c r="BA167" s="794"/>
      <c r="BB167" s="794"/>
      <c r="BC167" s="794"/>
      <c r="BD167" s="794"/>
      <c r="BE167" s="794"/>
      <c r="BF167" s="794"/>
      <c r="BG167" s="794"/>
      <c r="BH167" s="794"/>
      <c r="BI167" s="793"/>
      <c r="BJ167" s="793"/>
      <c r="BK167" s="793"/>
      <c r="BL167" s="793"/>
      <c r="BM167" s="793"/>
      <c r="BN167" s="793"/>
      <c r="BO167" s="793"/>
      <c r="BP167" s="793"/>
      <c r="BQ167" s="793"/>
      <c r="BR167" s="793"/>
    </row>
    <row r="168" spans="17:70" x14ac:dyDescent="0.5">
      <c r="Q168" s="793"/>
      <c r="R168" s="793"/>
      <c r="S168" s="793"/>
      <c r="T168" s="793"/>
      <c r="U168" s="793"/>
      <c r="V168" s="793"/>
      <c r="W168" s="793"/>
      <c r="X168" s="793"/>
      <c r="Y168" s="793"/>
      <c r="Z168" s="793"/>
      <c r="AA168" s="793"/>
      <c r="AB168" s="793"/>
      <c r="AC168" s="793"/>
      <c r="AD168" s="793"/>
      <c r="AE168" s="793"/>
      <c r="AF168" s="793"/>
      <c r="AG168" s="793"/>
      <c r="AH168" s="793"/>
      <c r="AI168" s="793"/>
      <c r="AJ168" s="793"/>
      <c r="AK168" s="793"/>
      <c r="AL168" s="793"/>
      <c r="AM168" s="793"/>
      <c r="AN168" s="793"/>
      <c r="AO168" s="793"/>
      <c r="AP168" s="793"/>
      <c r="AQ168" s="793"/>
      <c r="AR168" s="794"/>
      <c r="AS168" s="794"/>
      <c r="AT168" s="794"/>
      <c r="AU168" s="794"/>
      <c r="AV168" s="794"/>
      <c r="AW168" s="794"/>
      <c r="AX168" s="794"/>
      <c r="AY168" s="794"/>
      <c r="AZ168" s="794"/>
      <c r="BA168" s="794"/>
      <c r="BB168" s="794"/>
      <c r="BC168" s="794"/>
      <c r="BD168" s="794"/>
      <c r="BE168" s="794"/>
      <c r="BF168" s="794"/>
      <c r="BG168" s="794"/>
      <c r="BH168" s="794"/>
      <c r="BI168" s="793"/>
      <c r="BJ168" s="793"/>
      <c r="BK168" s="793"/>
      <c r="BL168" s="793"/>
      <c r="BM168" s="793"/>
      <c r="BN168" s="793"/>
      <c r="BO168" s="793"/>
      <c r="BP168" s="793"/>
      <c r="BQ168" s="793"/>
      <c r="BR168" s="793"/>
    </row>
    <row r="169" spans="17:70" x14ac:dyDescent="0.5">
      <c r="Q169" s="793"/>
      <c r="R169" s="793"/>
      <c r="S169" s="793"/>
      <c r="T169" s="793"/>
      <c r="U169" s="793"/>
      <c r="V169" s="793"/>
      <c r="W169" s="793"/>
      <c r="X169" s="793"/>
      <c r="Y169" s="793"/>
      <c r="Z169" s="793"/>
      <c r="AA169" s="793"/>
      <c r="AB169" s="793"/>
      <c r="AC169" s="793"/>
      <c r="AD169" s="793"/>
      <c r="AE169" s="793"/>
      <c r="AF169" s="793"/>
      <c r="AG169" s="793"/>
      <c r="AH169" s="793"/>
      <c r="AI169" s="793"/>
      <c r="AJ169" s="793"/>
      <c r="AK169" s="793"/>
      <c r="AL169" s="793"/>
      <c r="AM169" s="793"/>
      <c r="AN169" s="793"/>
      <c r="AO169" s="793"/>
      <c r="AP169" s="793"/>
      <c r="AQ169" s="793"/>
      <c r="AR169" s="794"/>
      <c r="AS169" s="794"/>
      <c r="AT169" s="794"/>
      <c r="AU169" s="794"/>
      <c r="AV169" s="794"/>
      <c r="AW169" s="794"/>
      <c r="AX169" s="794"/>
      <c r="AY169" s="794"/>
      <c r="AZ169" s="794"/>
      <c r="BA169" s="794"/>
      <c r="BB169" s="794"/>
      <c r="BC169" s="794"/>
      <c r="BD169" s="794"/>
      <c r="BE169" s="794"/>
      <c r="BF169" s="794"/>
      <c r="BG169" s="794"/>
      <c r="BH169" s="794"/>
      <c r="BI169" s="793"/>
      <c r="BJ169" s="793"/>
      <c r="BK169" s="793"/>
      <c r="BL169" s="793"/>
      <c r="BM169" s="793"/>
      <c r="BN169" s="793"/>
      <c r="BO169" s="793"/>
      <c r="BP169" s="793"/>
      <c r="BQ169" s="793"/>
      <c r="BR169" s="793"/>
    </row>
    <row r="170" spans="17:70" x14ac:dyDescent="0.5">
      <c r="Q170" s="793"/>
      <c r="R170" s="793"/>
      <c r="S170" s="793"/>
      <c r="T170" s="793"/>
      <c r="U170" s="793"/>
      <c r="V170" s="793"/>
      <c r="W170" s="793"/>
      <c r="X170" s="793"/>
      <c r="Y170" s="793"/>
      <c r="Z170" s="793"/>
      <c r="AA170" s="793"/>
      <c r="AB170" s="793"/>
      <c r="AC170" s="793"/>
      <c r="AD170" s="793"/>
      <c r="AE170" s="793"/>
      <c r="AF170" s="793"/>
      <c r="AG170" s="793"/>
      <c r="AH170" s="793"/>
      <c r="AI170" s="793"/>
      <c r="AJ170" s="793"/>
      <c r="AK170" s="793"/>
      <c r="AL170" s="793"/>
      <c r="AM170" s="793"/>
      <c r="AN170" s="793"/>
      <c r="AO170" s="793"/>
      <c r="AP170" s="793"/>
      <c r="AQ170" s="793"/>
      <c r="AR170" s="794"/>
      <c r="AS170" s="794"/>
      <c r="AT170" s="794"/>
      <c r="AU170" s="794"/>
      <c r="AV170" s="794"/>
      <c r="AW170" s="794"/>
      <c r="AX170" s="794"/>
      <c r="AY170" s="794"/>
      <c r="AZ170" s="794"/>
      <c r="BA170" s="794"/>
      <c r="BB170" s="794"/>
      <c r="BC170" s="794"/>
      <c r="BD170" s="794"/>
      <c r="BE170" s="794"/>
      <c r="BF170" s="794"/>
      <c r="BG170" s="794"/>
      <c r="BH170" s="794"/>
      <c r="BI170" s="793"/>
      <c r="BJ170" s="793"/>
      <c r="BK170" s="793"/>
      <c r="BL170" s="793"/>
      <c r="BM170" s="793"/>
      <c r="BN170" s="793"/>
      <c r="BO170" s="793"/>
      <c r="BP170" s="793"/>
      <c r="BQ170" s="793"/>
      <c r="BR170" s="793"/>
    </row>
    <row r="171" spans="17:70" x14ac:dyDescent="0.5">
      <c r="Q171" s="793"/>
      <c r="R171" s="793"/>
      <c r="S171" s="793"/>
      <c r="T171" s="793"/>
      <c r="U171" s="793"/>
      <c r="V171" s="793"/>
      <c r="W171" s="793"/>
      <c r="X171" s="793"/>
      <c r="Y171" s="793"/>
      <c r="Z171" s="793"/>
      <c r="AA171" s="793"/>
      <c r="AB171" s="793"/>
      <c r="AC171" s="793"/>
      <c r="AD171" s="793"/>
      <c r="AE171" s="793"/>
      <c r="AF171" s="793"/>
      <c r="AG171" s="793"/>
      <c r="AH171" s="793"/>
      <c r="AI171" s="793"/>
      <c r="AJ171" s="793"/>
      <c r="AK171" s="793"/>
      <c r="AL171" s="793"/>
      <c r="AM171" s="793"/>
      <c r="AN171" s="793"/>
      <c r="AO171" s="793"/>
      <c r="AP171" s="793"/>
      <c r="AQ171" s="793"/>
      <c r="AR171" s="794"/>
      <c r="AS171" s="794"/>
      <c r="AT171" s="794"/>
      <c r="AU171" s="794"/>
      <c r="AV171" s="794"/>
      <c r="AW171" s="794"/>
      <c r="AX171" s="794"/>
      <c r="AY171" s="794"/>
      <c r="AZ171" s="794"/>
      <c r="BA171" s="794"/>
      <c r="BB171" s="794"/>
      <c r="BC171" s="794"/>
      <c r="BD171" s="794"/>
      <c r="BE171" s="794"/>
      <c r="BF171" s="794"/>
      <c r="BG171" s="794"/>
      <c r="BH171" s="794"/>
      <c r="BI171" s="793"/>
      <c r="BJ171" s="793"/>
      <c r="BK171" s="793"/>
      <c r="BL171" s="793"/>
      <c r="BM171" s="793"/>
      <c r="BN171" s="793"/>
      <c r="BO171" s="793"/>
      <c r="BP171" s="793"/>
      <c r="BQ171" s="793"/>
      <c r="BR171" s="793"/>
    </row>
    <row r="172" spans="17:70" x14ac:dyDescent="0.5">
      <c r="Q172" s="793"/>
      <c r="R172" s="793"/>
      <c r="S172" s="793"/>
      <c r="T172" s="793"/>
      <c r="U172" s="793"/>
      <c r="V172" s="793"/>
      <c r="W172" s="793"/>
      <c r="X172" s="793"/>
      <c r="Y172" s="793"/>
      <c r="Z172" s="793"/>
      <c r="AA172" s="793"/>
      <c r="AB172" s="793"/>
      <c r="AC172" s="793"/>
      <c r="AD172" s="793"/>
      <c r="AE172" s="793"/>
      <c r="AF172" s="793"/>
      <c r="AG172" s="793"/>
      <c r="AH172" s="793"/>
      <c r="AI172" s="793"/>
      <c r="AJ172" s="793"/>
      <c r="AK172" s="793"/>
      <c r="AL172" s="793"/>
      <c r="AM172" s="793"/>
      <c r="AN172" s="793"/>
      <c r="AO172" s="793"/>
      <c r="AP172" s="793"/>
      <c r="AQ172" s="793"/>
      <c r="AR172" s="794"/>
      <c r="AS172" s="794"/>
      <c r="AT172" s="794"/>
      <c r="AU172" s="794"/>
      <c r="AV172" s="794"/>
      <c r="AW172" s="794"/>
      <c r="AX172" s="794"/>
      <c r="AY172" s="794"/>
      <c r="AZ172" s="794"/>
      <c r="BA172" s="794"/>
      <c r="BB172" s="794"/>
      <c r="BC172" s="794"/>
      <c r="BD172" s="794"/>
      <c r="BE172" s="794"/>
      <c r="BF172" s="794"/>
      <c r="BG172" s="794"/>
      <c r="BH172" s="794"/>
      <c r="BI172" s="793"/>
      <c r="BJ172" s="793"/>
      <c r="BK172" s="793"/>
      <c r="BL172" s="793"/>
      <c r="BM172" s="793"/>
      <c r="BN172" s="793"/>
      <c r="BO172" s="793"/>
      <c r="BP172" s="793"/>
      <c r="BQ172" s="793"/>
      <c r="BR172" s="793"/>
    </row>
    <row r="173" spans="17:70" x14ac:dyDescent="0.5">
      <c r="Q173" s="793"/>
      <c r="R173" s="793"/>
      <c r="S173" s="793"/>
      <c r="T173" s="793"/>
      <c r="U173" s="793"/>
      <c r="V173" s="793"/>
      <c r="W173" s="793"/>
      <c r="X173" s="793"/>
      <c r="Y173" s="793"/>
      <c r="Z173" s="793"/>
      <c r="AA173" s="793"/>
      <c r="AB173" s="793"/>
      <c r="AC173" s="793"/>
      <c r="AD173" s="793"/>
      <c r="AE173" s="793"/>
      <c r="AF173" s="793"/>
      <c r="AG173" s="793"/>
      <c r="AH173" s="793"/>
      <c r="AI173" s="793"/>
      <c r="AJ173" s="793"/>
      <c r="AK173" s="793"/>
      <c r="AL173" s="793"/>
      <c r="AM173" s="793"/>
      <c r="AN173" s="793"/>
      <c r="AO173" s="793"/>
      <c r="AP173" s="793"/>
      <c r="AQ173" s="793"/>
      <c r="AR173" s="794"/>
      <c r="AS173" s="794"/>
      <c r="AT173" s="794"/>
      <c r="AU173" s="794"/>
      <c r="AV173" s="794"/>
      <c r="AW173" s="794"/>
      <c r="AX173" s="794"/>
      <c r="AY173" s="794"/>
      <c r="AZ173" s="794"/>
      <c r="BA173" s="794"/>
      <c r="BB173" s="794"/>
      <c r="BC173" s="794"/>
      <c r="BD173" s="794"/>
      <c r="BE173" s="794"/>
      <c r="BF173" s="794"/>
      <c r="BG173" s="794"/>
      <c r="BH173" s="794"/>
      <c r="BI173" s="793"/>
      <c r="BJ173" s="793"/>
      <c r="BK173" s="793"/>
      <c r="BL173" s="793"/>
      <c r="BM173" s="793"/>
      <c r="BN173" s="793"/>
      <c r="BO173" s="793"/>
      <c r="BP173" s="793"/>
      <c r="BQ173" s="793"/>
      <c r="BR173" s="793"/>
    </row>
    <row r="174" spans="17:70" x14ac:dyDescent="0.5">
      <c r="Q174" s="793"/>
      <c r="R174" s="793"/>
      <c r="S174" s="793"/>
      <c r="T174" s="793"/>
      <c r="U174" s="793"/>
      <c r="V174" s="793"/>
      <c r="W174" s="793"/>
      <c r="X174" s="793"/>
      <c r="Y174" s="793"/>
      <c r="Z174" s="793"/>
      <c r="AA174" s="793"/>
      <c r="AB174" s="793"/>
      <c r="AC174" s="793"/>
      <c r="AD174" s="793"/>
      <c r="AE174" s="793"/>
      <c r="AF174" s="793"/>
      <c r="AG174" s="793"/>
      <c r="AH174" s="793"/>
      <c r="AI174" s="793"/>
      <c r="AJ174" s="793"/>
      <c r="AK174" s="793"/>
      <c r="AL174" s="793"/>
      <c r="AM174" s="793"/>
      <c r="AN174" s="793"/>
      <c r="AO174" s="793"/>
      <c r="AP174" s="793"/>
      <c r="AQ174" s="793"/>
      <c r="AR174" s="794"/>
      <c r="AS174" s="794"/>
      <c r="AT174" s="794"/>
      <c r="AU174" s="794"/>
      <c r="AV174" s="794"/>
      <c r="AW174" s="794"/>
      <c r="AX174" s="794"/>
      <c r="AY174" s="794"/>
      <c r="AZ174" s="794"/>
      <c r="BA174" s="794"/>
      <c r="BB174" s="794"/>
      <c r="BC174" s="794"/>
      <c r="BD174" s="794"/>
      <c r="BE174" s="794"/>
      <c r="BF174" s="794"/>
      <c r="BG174" s="794"/>
      <c r="BH174" s="794"/>
      <c r="BI174" s="793"/>
      <c r="BJ174" s="793"/>
      <c r="BK174" s="793"/>
      <c r="BL174" s="793"/>
      <c r="BM174" s="793"/>
      <c r="BN174" s="793"/>
      <c r="BO174" s="793"/>
      <c r="BP174" s="793"/>
      <c r="BQ174" s="793"/>
      <c r="BR174" s="793"/>
    </row>
    <row r="175" spans="17:70" x14ac:dyDescent="0.5">
      <c r="Q175" s="793"/>
      <c r="R175" s="793"/>
      <c r="S175" s="793"/>
      <c r="T175" s="793"/>
      <c r="U175" s="793"/>
      <c r="V175" s="793"/>
      <c r="W175" s="793"/>
      <c r="X175" s="793"/>
      <c r="Y175" s="793"/>
      <c r="Z175" s="793"/>
      <c r="AA175" s="793"/>
      <c r="AB175" s="793"/>
      <c r="AC175" s="793"/>
      <c r="AD175" s="793"/>
      <c r="AE175" s="793"/>
      <c r="AF175" s="793"/>
      <c r="AG175" s="793"/>
      <c r="AH175" s="793"/>
      <c r="AI175" s="793"/>
      <c r="AJ175" s="793"/>
      <c r="AK175" s="793"/>
      <c r="AL175" s="793"/>
      <c r="AM175" s="793"/>
      <c r="AN175" s="793"/>
      <c r="AO175" s="793"/>
      <c r="AP175" s="793"/>
      <c r="AQ175" s="793"/>
      <c r="AR175" s="794"/>
      <c r="AS175" s="794"/>
      <c r="AT175" s="794"/>
      <c r="AU175" s="794"/>
      <c r="AV175" s="794"/>
      <c r="AW175" s="794"/>
      <c r="AX175" s="794"/>
      <c r="AY175" s="794"/>
      <c r="AZ175" s="794"/>
      <c r="BA175" s="794"/>
      <c r="BB175" s="794"/>
      <c r="BC175" s="794"/>
      <c r="BD175" s="794"/>
      <c r="BE175" s="794"/>
      <c r="BF175" s="794"/>
      <c r="BG175" s="794"/>
      <c r="BH175" s="794"/>
      <c r="BI175" s="793"/>
      <c r="BJ175" s="793"/>
      <c r="BK175" s="793"/>
      <c r="BL175" s="793"/>
      <c r="BM175" s="793"/>
      <c r="BN175" s="793"/>
      <c r="BO175" s="793"/>
      <c r="BP175" s="793"/>
      <c r="BQ175" s="793"/>
      <c r="BR175" s="793"/>
    </row>
    <row r="176" spans="17:70" x14ac:dyDescent="0.5">
      <c r="Q176" s="793"/>
      <c r="R176" s="793"/>
      <c r="S176" s="793"/>
      <c r="T176" s="793"/>
      <c r="U176" s="793"/>
      <c r="V176" s="793"/>
      <c r="W176" s="793"/>
      <c r="X176" s="793"/>
      <c r="Y176" s="793"/>
      <c r="Z176" s="793"/>
      <c r="AA176" s="793"/>
      <c r="AB176" s="793"/>
      <c r="AC176" s="793"/>
      <c r="AD176" s="793"/>
      <c r="AE176" s="793"/>
      <c r="AF176" s="793"/>
      <c r="AG176" s="793"/>
      <c r="AH176" s="793"/>
      <c r="AI176" s="793"/>
      <c r="AJ176" s="793"/>
      <c r="AK176" s="793"/>
      <c r="AL176" s="793"/>
      <c r="AM176" s="793"/>
      <c r="AN176" s="793"/>
      <c r="AO176" s="793"/>
      <c r="AP176" s="793"/>
      <c r="AQ176" s="793"/>
      <c r="AR176" s="794"/>
      <c r="AS176" s="794"/>
      <c r="AT176" s="794"/>
      <c r="AU176" s="794"/>
      <c r="AV176" s="794"/>
      <c r="AW176" s="794"/>
      <c r="AX176" s="794"/>
      <c r="AY176" s="794"/>
      <c r="AZ176" s="794"/>
      <c r="BA176" s="794"/>
      <c r="BB176" s="794"/>
      <c r="BC176" s="794"/>
      <c r="BD176" s="794"/>
      <c r="BE176" s="794"/>
      <c r="BF176" s="794"/>
      <c r="BG176" s="794"/>
      <c r="BH176" s="794"/>
      <c r="BI176" s="793"/>
      <c r="BJ176" s="793"/>
      <c r="BK176" s="793"/>
      <c r="BL176" s="793"/>
      <c r="BM176" s="793"/>
      <c r="BN176" s="793"/>
      <c r="BO176" s="793"/>
      <c r="BP176" s="793"/>
      <c r="BQ176" s="793"/>
      <c r="BR176" s="793"/>
    </row>
    <row r="177" spans="17:70" x14ac:dyDescent="0.5">
      <c r="Q177" s="793"/>
      <c r="R177" s="793"/>
      <c r="S177" s="793"/>
      <c r="T177" s="793"/>
      <c r="U177" s="793"/>
      <c r="V177" s="793"/>
      <c r="W177" s="793"/>
      <c r="X177" s="793"/>
      <c r="Y177" s="793"/>
      <c r="Z177" s="793"/>
      <c r="AA177" s="793"/>
      <c r="AB177" s="793"/>
      <c r="AC177" s="793"/>
      <c r="AD177" s="793"/>
      <c r="AE177" s="793"/>
      <c r="AF177" s="793"/>
      <c r="AG177" s="793"/>
      <c r="AH177" s="793"/>
      <c r="AI177" s="793"/>
      <c r="AJ177" s="793"/>
      <c r="AK177" s="793"/>
      <c r="AL177" s="793"/>
      <c r="AM177" s="793"/>
      <c r="AN177" s="793"/>
      <c r="AO177" s="793"/>
      <c r="AP177" s="793"/>
      <c r="AQ177" s="793"/>
      <c r="AR177" s="794"/>
      <c r="AS177" s="794"/>
      <c r="AT177" s="794"/>
      <c r="AU177" s="794"/>
      <c r="AV177" s="794"/>
      <c r="AW177" s="794"/>
      <c r="AX177" s="794"/>
      <c r="AY177" s="794"/>
      <c r="AZ177" s="794"/>
      <c r="BA177" s="794"/>
      <c r="BB177" s="794"/>
      <c r="BC177" s="794"/>
      <c r="BD177" s="794"/>
      <c r="BE177" s="794"/>
      <c r="BF177" s="794"/>
      <c r="BG177" s="794"/>
      <c r="BH177" s="794"/>
      <c r="BI177" s="793"/>
      <c r="BJ177" s="793"/>
      <c r="BK177" s="793"/>
      <c r="BL177" s="793"/>
      <c r="BM177" s="793"/>
      <c r="BN177" s="793"/>
      <c r="BO177" s="793"/>
      <c r="BP177" s="793"/>
      <c r="BQ177" s="793"/>
      <c r="BR177" s="793"/>
    </row>
    <row r="178" spans="17:70" x14ac:dyDescent="0.5">
      <c r="Q178" s="793"/>
      <c r="R178" s="793"/>
      <c r="S178" s="793"/>
      <c r="T178" s="793"/>
      <c r="U178" s="793"/>
      <c r="V178" s="793"/>
      <c r="W178" s="793"/>
      <c r="X178" s="793"/>
      <c r="Y178" s="793"/>
      <c r="Z178" s="793"/>
      <c r="AA178" s="793"/>
      <c r="AB178" s="793"/>
      <c r="AC178" s="793"/>
      <c r="AD178" s="793"/>
      <c r="AE178" s="793"/>
      <c r="AF178" s="793"/>
      <c r="AG178" s="793"/>
      <c r="AH178" s="793"/>
      <c r="AI178" s="793"/>
      <c r="AJ178" s="793"/>
      <c r="AK178" s="793"/>
      <c r="AL178" s="793"/>
      <c r="AM178" s="793"/>
      <c r="AN178" s="793"/>
      <c r="AO178" s="793"/>
      <c r="AP178" s="793"/>
      <c r="AQ178" s="793"/>
      <c r="AR178" s="794"/>
      <c r="AS178" s="794"/>
      <c r="AT178" s="794"/>
      <c r="AU178" s="794"/>
      <c r="AV178" s="794"/>
      <c r="AW178" s="794"/>
      <c r="AX178" s="794"/>
      <c r="AY178" s="794"/>
      <c r="AZ178" s="794"/>
      <c r="BA178" s="794"/>
      <c r="BB178" s="794"/>
      <c r="BC178" s="794"/>
      <c r="BD178" s="794"/>
      <c r="BE178" s="794"/>
      <c r="BF178" s="794"/>
      <c r="BG178" s="794"/>
      <c r="BH178" s="794"/>
      <c r="BI178" s="793"/>
      <c r="BJ178" s="793"/>
      <c r="BK178" s="793"/>
      <c r="BL178" s="793"/>
      <c r="BM178" s="793"/>
      <c r="BN178" s="793"/>
      <c r="BO178" s="793"/>
      <c r="BP178" s="793"/>
      <c r="BQ178" s="793"/>
      <c r="BR178" s="793"/>
    </row>
    <row r="179" spans="17:70" x14ac:dyDescent="0.5">
      <c r="Q179" s="793"/>
      <c r="R179" s="793"/>
      <c r="S179" s="793"/>
      <c r="T179" s="793"/>
      <c r="U179" s="793"/>
      <c r="V179" s="793"/>
      <c r="W179" s="793"/>
      <c r="X179" s="793"/>
      <c r="Y179" s="793"/>
      <c r="Z179" s="793"/>
      <c r="AA179" s="793"/>
      <c r="AB179" s="793"/>
      <c r="AC179" s="793"/>
      <c r="AD179" s="793"/>
      <c r="AE179" s="793"/>
      <c r="AF179" s="793"/>
      <c r="AG179" s="793"/>
      <c r="AH179" s="793"/>
      <c r="AI179" s="793"/>
      <c r="AJ179" s="793"/>
      <c r="AK179" s="793"/>
      <c r="AL179" s="793"/>
      <c r="AM179" s="793"/>
      <c r="AN179" s="793"/>
      <c r="AO179" s="793"/>
      <c r="AP179" s="793"/>
      <c r="AQ179" s="793"/>
      <c r="AR179" s="794"/>
      <c r="AS179" s="794"/>
      <c r="AT179" s="794"/>
      <c r="AU179" s="794"/>
      <c r="AV179" s="794"/>
      <c r="AW179" s="794"/>
      <c r="AX179" s="794"/>
      <c r="AY179" s="794"/>
      <c r="AZ179" s="794"/>
      <c r="BA179" s="794"/>
      <c r="BB179" s="794"/>
      <c r="BC179" s="794"/>
      <c r="BD179" s="794"/>
      <c r="BE179" s="794"/>
      <c r="BF179" s="794"/>
      <c r="BG179" s="794"/>
      <c r="BH179" s="794"/>
      <c r="BI179" s="793"/>
      <c r="BJ179" s="793"/>
      <c r="BK179" s="793"/>
      <c r="BL179" s="793"/>
      <c r="BM179" s="793"/>
      <c r="BN179" s="793"/>
      <c r="BO179" s="793"/>
      <c r="BP179" s="793"/>
      <c r="BQ179" s="793"/>
      <c r="BR179" s="793"/>
    </row>
    <row r="180" spans="17:70" x14ac:dyDescent="0.5">
      <c r="Q180" s="793"/>
      <c r="R180" s="793"/>
      <c r="S180" s="793"/>
      <c r="T180" s="793"/>
      <c r="U180" s="793"/>
      <c r="V180" s="793"/>
      <c r="W180" s="793"/>
      <c r="X180" s="793"/>
      <c r="Y180" s="793"/>
      <c r="Z180" s="793"/>
      <c r="AA180" s="793"/>
      <c r="AB180" s="793"/>
      <c r="AC180" s="793"/>
      <c r="AD180" s="793"/>
      <c r="AE180" s="793"/>
      <c r="AF180" s="793"/>
      <c r="AG180" s="793"/>
      <c r="AH180" s="793"/>
      <c r="AI180" s="793"/>
      <c r="AJ180" s="793"/>
      <c r="AK180" s="793"/>
      <c r="AL180" s="793"/>
      <c r="AM180" s="793"/>
      <c r="AN180" s="793"/>
      <c r="AO180" s="793"/>
      <c r="AP180" s="793"/>
      <c r="AQ180" s="793"/>
      <c r="AR180" s="794"/>
      <c r="AS180" s="794"/>
      <c r="AT180" s="794"/>
      <c r="AU180" s="794"/>
      <c r="AV180" s="794"/>
      <c r="AW180" s="794"/>
      <c r="AX180" s="794"/>
      <c r="AY180" s="794"/>
      <c r="AZ180" s="794"/>
      <c r="BA180" s="794"/>
      <c r="BB180" s="794"/>
      <c r="BC180" s="794"/>
      <c r="BD180" s="794"/>
      <c r="BE180" s="794"/>
      <c r="BF180" s="794"/>
      <c r="BG180" s="794"/>
      <c r="BH180" s="794"/>
      <c r="BI180" s="793"/>
      <c r="BJ180" s="793"/>
      <c r="BK180" s="793"/>
      <c r="BL180" s="793"/>
      <c r="BM180" s="793"/>
      <c r="BN180" s="793"/>
      <c r="BO180" s="793"/>
      <c r="BP180" s="793"/>
      <c r="BQ180" s="793"/>
      <c r="BR180" s="793"/>
    </row>
    <row r="181" spans="17:70" x14ac:dyDescent="0.5">
      <c r="Q181" s="793"/>
      <c r="R181" s="793"/>
      <c r="S181" s="793"/>
      <c r="T181" s="793"/>
      <c r="U181" s="793"/>
      <c r="V181" s="793"/>
      <c r="W181" s="793"/>
      <c r="X181" s="793"/>
      <c r="Y181" s="793"/>
      <c r="Z181" s="793"/>
      <c r="AA181" s="793"/>
      <c r="AB181" s="793"/>
      <c r="AC181" s="793"/>
      <c r="AD181" s="793"/>
      <c r="AE181" s="793"/>
      <c r="AF181" s="793"/>
      <c r="AG181" s="793"/>
      <c r="AH181" s="793"/>
      <c r="AI181" s="793"/>
      <c r="AJ181" s="793"/>
      <c r="AK181" s="793"/>
      <c r="AL181" s="793"/>
      <c r="AM181" s="793"/>
      <c r="AN181" s="793"/>
      <c r="AO181" s="793"/>
      <c r="AP181" s="793"/>
      <c r="AQ181" s="793"/>
      <c r="AR181" s="794"/>
      <c r="AS181" s="794"/>
      <c r="AT181" s="794"/>
      <c r="AU181" s="794"/>
      <c r="AV181" s="794"/>
      <c r="AW181" s="794"/>
      <c r="AX181" s="794"/>
      <c r="AY181" s="794"/>
      <c r="AZ181" s="794"/>
      <c r="BA181" s="794"/>
      <c r="BB181" s="794"/>
      <c r="BC181" s="794"/>
      <c r="BD181" s="794"/>
      <c r="BE181" s="794"/>
      <c r="BF181" s="794"/>
      <c r="BG181" s="794"/>
      <c r="BH181" s="794"/>
      <c r="BI181" s="793"/>
      <c r="BJ181" s="793"/>
      <c r="BK181" s="793"/>
      <c r="BL181" s="793"/>
      <c r="BM181" s="793"/>
      <c r="BN181" s="793"/>
      <c r="BO181" s="793"/>
      <c r="BP181" s="793"/>
      <c r="BQ181" s="793"/>
      <c r="BR181" s="793"/>
    </row>
    <row r="182" spans="17:70" x14ac:dyDescent="0.5">
      <c r="Q182" s="793"/>
      <c r="R182" s="793"/>
      <c r="S182" s="793"/>
      <c r="T182" s="793"/>
      <c r="U182" s="793"/>
      <c r="V182" s="793"/>
      <c r="W182" s="793"/>
      <c r="X182" s="793"/>
      <c r="Y182" s="793"/>
      <c r="Z182" s="793"/>
      <c r="AA182" s="793"/>
      <c r="AB182" s="793"/>
      <c r="AC182" s="793"/>
      <c r="AD182" s="793"/>
      <c r="AE182" s="793"/>
      <c r="AF182" s="793"/>
      <c r="AG182" s="793"/>
      <c r="AH182" s="793"/>
      <c r="AI182" s="793"/>
      <c r="AJ182" s="793"/>
      <c r="AK182" s="793"/>
      <c r="AL182" s="793"/>
      <c r="AM182" s="793"/>
      <c r="AN182" s="793"/>
      <c r="AO182" s="793"/>
      <c r="AP182" s="793"/>
      <c r="AQ182" s="793"/>
      <c r="AR182" s="794"/>
      <c r="AS182" s="794"/>
      <c r="AT182" s="794"/>
      <c r="AU182" s="794"/>
      <c r="AV182" s="794"/>
      <c r="AW182" s="794"/>
      <c r="AX182" s="794"/>
      <c r="AY182" s="794"/>
      <c r="AZ182" s="794"/>
      <c r="BA182" s="794"/>
      <c r="BB182" s="794"/>
      <c r="BC182" s="794"/>
      <c r="BD182" s="794"/>
      <c r="BE182" s="794"/>
      <c r="BF182" s="794"/>
      <c r="BG182" s="794"/>
      <c r="BH182" s="794"/>
      <c r="BI182" s="793"/>
      <c r="BJ182" s="793"/>
      <c r="BK182" s="793"/>
      <c r="BL182" s="793"/>
      <c r="BM182" s="793"/>
      <c r="BN182" s="793"/>
      <c r="BO182" s="793"/>
      <c r="BP182" s="793"/>
      <c r="BQ182" s="793"/>
      <c r="BR182" s="793"/>
    </row>
    <row r="183" spans="17:70" x14ac:dyDescent="0.5">
      <c r="Q183" s="793"/>
      <c r="R183" s="793"/>
      <c r="S183" s="793"/>
      <c r="T183" s="793"/>
      <c r="U183" s="793"/>
      <c r="V183" s="793"/>
      <c r="W183" s="793"/>
      <c r="X183" s="793"/>
      <c r="Y183" s="793"/>
      <c r="Z183" s="793"/>
      <c r="AA183" s="793"/>
      <c r="AB183" s="793"/>
      <c r="AC183" s="793"/>
      <c r="AD183" s="793"/>
      <c r="AE183" s="793"/>
      <c r="AF183" s="793"/>
      <c r="AG183" s="793"/>
      <c r="AH183" s="793"/>
      <c r="AI183" s="793"/>
      <c r="AJ183" s="793"/>
      <c r="AK183" s="793"/>
      <c r="AL183" s="793"/>
      <c r="AM183" s="793"/>
      <c r="AN183" s="793"/>
      <c r="AO183" s="793"/>
      <c r="AP183" s="793"/>
      <c r="AQ183" s="793"/>
      <c r="AR183" s="794"/>
      <c r="AS183" s="794"/>
      <c r="AT183" s="794"/>
      <c r="AU183" s="794"/>
      <c r="AV183" s="794"/>
      <c r="AW183" s="794"/>
      <c r="AX183" s="794"/>
      <c r="AY183" s="794"/>
      <c r="AZ183" s="794"/>
      <c r="BA183" s="794"/>
      <c r="BB183" s="794"/>
      <c r="BC183" s="794"/>
      <c r="BD183" s="794"/>
      <c r="BE183" s="794"/>
      <c r="BF183" s="794"/>
      <c r="BG183" s="794"/>
      <c r="BH183" s="794"/>
      <c r="BI183" s="793"/>
      <c r="BJ183" s="793"/>
      <c r="BK183" s="793"/>
      <c r="BL183" s="793"/>
      <c r="BM183" s="793"/>
      <c r="BN183" s="793"/>
      <c r="BO183" s="793"/>
      <c r="BP183" s="793"/>
      <c r="BQ183" s="793"/>
      <c r="BR183" s="793"/>
    </row>
    <row r="184" spans="17:70" x14ac:dyDescent="0.5">
      <c r="Q184" s="793"/>
      <c r="R184" s="793"/>
      <c r="S184" s="793"/>
      <c r="T184" s="793"/>
      <c r="U184" s="793"/>
      <c r="V184" s="793"/>
      <c r="W184" s="793"/>
      <c r="X184" s="793"/>
      <c r="Y184" s="793"/>
      <c r="Z184" s="793"/>
      <c r="AA184" s="793"/>
      <c r="AB184" s="793"/>
      <c r="AC184" s="793"/>
      <c r="AD184" s="793"/>
      <c r="AE184" s="793"/>
      <c r="AF184" s="793"/>
      <c r="AG184" s="793"/>
      <c r="AH184" s="793"/>
      <c r="AI184" s="793"/>
      <c r="AJ184" s="793"/>
      <c r="AK184" s="793"/>
      <c r="AL184" s="793"/>
      <c r="AM184" s="793"/>
      <c r="AN184" s="793"/>
      <c r="AO184" s="793"/>
      <c r="AP184" s="793"/>
      <c r="AQ184" s="793"/>
      <c r="AR184" s="794"/>
      <c r="AS184" s="794"/>
      <c r="AT184" s="794"/>
      <c r="AU184" s="794"/>
      <c r="AV184" s="794"/>
      <c r="AW184" s="794"/>
      <c r="AX184" s="794"/>
      <c r="AY184" s="794"/>
      <c r="AZ184" s="794"/>
      <c r="BA184" s="794"/>
      <c r="BB184" s="794"/>
      <c r="BC184" s="794"/>
      <c r="BD184" s="794"/>
      <c r="BE184" s="794"/>
      <c r="BF184" s="794"/>
      <c r="BG184" s="794"/>
      <c r="BH184" s="794"/>
      <c r="BI184" s="793"/>
      <c r="BJ184" s="793"/>
      <c r="BK184" s="793"/>
      <c r="BL184" s="793"/>
      <c r="BM184" s="793"/>
      <c r="BN184" s="793"/>
      <c r="BO184" s="793"/>
      <c r="BP184" s="793"/>
      <c r="BQ184" s="793"/>
      <c r="BR184" s="793"/>
    </row>
    <row r="185" spans="17:70" x14ac:dyDescent="0.5">
      <c r="Q185" s="793"/>
      <c r="R185" s="793"/>
      <c r="S185" s="793"/>
      <c r="T185" s="793"/>
      <c r="U185" s="793"/>
      <c r="V185" s="793"/>
      <c r="W185" s="793"/>
      <c r="X185" s="793"/>
      <c r="Y185" s="793"/>
      <c r="Z185" s="793"/>
      <c r="AA185" s="793"/>
      <c r="AB185" s="793"/>
      <c r="AC185" s="793"/>
      <c r="AD185" s="793"/>
      <c r="AE185" s="793"/>
      <c r="AF185" s="793"/>
      <c r="AG185" s="793"/>
      <c r="AH185" s="793"/>
      <c r="AI185" s="793"/>
      <c r="AJ185" s="793"/>
      <c r="AK185" s="793"/>
      <c r="AL185" s="793"/>
      <c r="AM185" s="793"/>
      <c r="AN185" s="793"/>
      <c r="AO185" s="793"/>
      <c r="AP185" s="793"/>
      <c r="AQ185" s="793"/>
      <c r="AR185" s="794"/>
      <c r="AS185" s="794"/>
      <c r="AT185" s="794"/>
      <c r="AU185" s="794"/>
      <c r="AV185" s="794"/>
      <c r="AW185" s="794"/>
      <c r="AX185" s="794"/>
      <c r="AY185" s="794"/>
      <c r="AZ185" s="794"/>
      <c r="BA185" s="794"/>
      <c r="BB185" s="794"/>
      <c r="BC185" s="794"/>
      <c r="BD185" s="794"/>
      <c r="BE185" s="794"/>
      <c r="BF185" s="794"/>
      <c r="BG185" s="794"/>
      <c r="BH185" s="794"/>
      <c r="BI185" s="793"/>
      <c r="BJ185" s="793"/>
      <c r="BK185" s="793"/>
      <c r="BL185" s="793"/>
      <c r="BM185" s="793"/>
      <c r="BN185" s="793"/>
      <c r="BO185" s="793"/>
      <c r="BP185" s="793"/>
      <c r="BQ185" s="793"/>
      <c r="BR185" s="793"/>
    </row>
    <row r="186" spans="17:70" x14ac:dyDescent="0.5">
      <c r="Q186" s="793"/>
      <c r="R186" s="793"/>
      <c r="S186" s="793"/>
      <c r="T186" s="793"/>
      <c r="U186" s="793"/>
      <c r="V186" s="793"/>
      <c r="W186" s="793"/>
      <c r="X186" s="793"/>
      <c r="Y186" s="793"/>
      <c r="Z186" s="793"/>
      <c r="AA186" s="793"/>
      <c r="AB186" s="793"/>
      <c r="AC186" s="793"/>
      <c r="AD186" s="793"/>
      <c r="AE186" s="793"/>
      <c r="AF186" s="793"/>
      <c r="AG186" s="793"/>
      <c r="AH186" s="793"/>
      <c r="AI186" s="793"/>
      <c r="AJ186" s="793"/>
      <c r="AK186" s="793"/>
      <c r="AL186" s="793"/>
      <c r="AM186" s="793"/>
      <c r="AN186" s="793"/>
      <c r="AO186" s="793"/>
      <c r="AP186" s="793"/>
      <c r="AQ186" s="793"/>
      <c r="AR186" s="794"/>
      <c r="AS186" s="794"/>
      <c r="AT186" s="794"/>
      <c r="AU186" s="794"/>
      <c r="AV186" s="794"/>
      <c r="AW186" s="794"/>
      <c r="AX186" s="794"/>
      <c r="AY186" s="794"/>
      <c r="AZ186" s="794"/>
      <c r="BA186" s="794"/>
      <c r="BB186" s="794"/>
      <c r="BC186" s="794"/>
      <c r="BD186" s="794"/>
      <c r="BE186" s="794"/>
      <c r="BF186" s="794"/>
      <c r="BG186" s="794"/>
      <c r="BH186" s="794"/>
      <c r="BI186" s="793"/>
      <c r="BJ186" s="793"/>
      <c r="BK186" s="793"/>
      <c r="BL186" s="793"/>
      <c r="BM186" s="793"/>
      <c r="BN186" s="793"/>
      <c r="BO186" s="793"/>
      <c r="BP186" s="793"/>
      <c r="BQ186" s="793"/>
      <c r="BR186" s="793"/>
    </row>
    <row r="187" spans="17:70" x14ac:dyDescent="0.5">
      <c r="Q187" s="793"/>
      <c r="R187" s="793"/>
      <c r="S187" s="793"/>
      <c r="T187" s="793"/>
      <c r="U187" s="793"/>
      <c r="V187" s="793"/>
      <c r="W187" s="793"/>
      <c r="X187" s="793"/>
      <c r="Y187" s="793"/>
      <c r="Z187" s="793"/>
      <c r="AA187" s="793"/>
      <c r="AB187" s="793"/>
      <c r="AC187" s="793"/>
      <c r="AD187" s="793"/>
      <c r="AE187" s="793"/>
      <c r="AF187" s="793"/>
      <c r="AG187" s="793"/>
      <c r="AH187" s="793"/>
      <c r="AI187" s="793"/>
      <c r="AJ187" s="793"/>
      <c r="AK187" s="793"/>
      <c r="AL187" s="793"/>
      <c r="AM187" s="793"/>
      <c r="AN187" s="793"/>
      <c r="AO187" s="793"/>
      <c r="AP187" s="793"/>
      <c r="AQ187" s="793"/>
      <c r="AR187" s="794"/>
      <c r="AS187" s="794"/>
      <c r="AT187" s="794"/>
      <c r="AU187" s="794"/>
      <c r="AV187" s="794"/>
      <c r="AW187" s="794"/>
      <c r="AX187" s="794"/>
      <c r="AY187" s="794"/>
      <c r="AZ187" s="794"/>
      <c r="BA187" s="794"/>
      <c r="BB187" s="794"/>
      <c r="BC187" s="794"/>
      <c r="BD187" s="794"/>
      <c r="BE187" s="794"/>
      <c r="BF187" s="794"/>
      <c r="BG187" s="794"/>
      <c r="BH187" s="794"/>
      <c r="BI187" s="793"/>
      <c r="BJ187" s="793"/>
      <c r="BK187" s="793"/>
      <c r="BL187" s="793"/>
      <c r="BM187" s="793"/>
      <c r="BN187" s="793"/>
      <c r="BO187" s="793"/>
      <c r="BP187" s="793"/>
      <c r="BQ187" s="793"/>
      <c r="BR187" s="793"/>
    </row>
    <row r="188" spans="17:70" x14ac:dyDescent="0.5">
      <c r="Q188" s="793"/>
      <c r="R188" s="793"/>
      <c r="S188" s="793"/>
      <c r="T188" s="793"/>
      <c r="U188" s="793"/>
      <c r="V188" s="793"/>
      <c r="W188" s="793"/>
      <c r="X188" s="793"/>
      <c r="Y188" s="793"/>
      <c r="Z188" s="793"/>
      <c r="AA188" s="793"/>
      <c r="AB188" s="793"/>
      <c r="AC188" s="793"/>
      <c r="AD188" s="793"/>
      <c r="AE188" s="793"/>
      <c r="AF188" s="793"/>
      <c r="AG188" s="793"/>
      <c r="AH188" s="793"/>
      <c r="AI188" s="793"/>
      <c r="AJ188" s="793"/>
      <c r="AK188" s="793"/>
      <c r="AL188" s="793"/>
      <c r="AM188" s="793"/>
      <c r="AN188" s="793"/>
      <c r="AO188" s="793"/>
      <c r="AP188" s="793"/>
      <c r="AQ188" s="793"/>
      <c r="AR188" s="794"/>
      <c r="AS188" s="794"/>
      <c r="AT188" s="794"/>
      <c r="AU188" s="794"/>
      <c r="AV188" s="794"/>
      <c r="AW188" s="794"/>
      <c r="AX188" s="794"/>
      <c r="AY188" s="794"/>
      <c r="AZ188" s="794"/>
      <c r="BA188" s="794"/>
      <c r="BB188" s="794"/>
      <c r="BC188" s="794"/>
      <c r="BD188" s="794"/>
      <c r="BE188" s="794"/>
      <c r="BF188" s="794"/>
      <c r="BG188" s="794"/>
      <c r="BH188" s="794"/>
      <c r="BI188" s="793"/>
      <c r="BJ188" s="793"/>
      <c r="BK188" s="793"/>
      <c r="BL188" s="793"/>
      <c r="BM188" s="793"/>
      <c r="BN188" s="793"/>
      <c r="BO188" s="793"/>
      <c r="BP188" s="793"/>
      <c r="BQ188" s="793"/>
      <c r="BR188" s="793"/>
    </row>
    <row r="189" spans="17:70" x14ac:dyDescent="0.5">
      <c r="Q189" s="793"/>
      <c r="R189" s="793"/>
      <c r="S189" s="793"/>
      <c r="T189" s="793"/>
      <c r="U189" s="793"/>
      <c r="V189" s="793"/>
      <c r="W189" s="793"/>
      <c r="X189" s="793"/>
      <c r="Y189" s="793"/>
      <c r="Z189" s="793"/>
      <c r="AA189" s="793"/>
      <c r="AB189" s="793"/>
      <c r="AC189" s="793"/>
      <c r="AD189" s="793"/>
      <c r="AE189" s="793"/>
      <c r="AF189" s="793"/>
      <c r="AG189" s="793"/>
      <c r="AH189" s="793"/>
      <c r="AI189" s="793"/>
      <c r="AJ189" s="793"/>
      <c r="AK189" s="793"/>
      <c r="AL189" s="793"/>
      <c r="AM189" s="793"/>
      <c r="AN189" s="793"/>
      <c r="AO189" s="793"/>
      <c r="AP189" s="793"/>
      <c r="AQ189" s="793"/>
      <c r="AR189" s="794"/>
      <c r="AS189" s="794"/>
      <c r="AT189" s="794"/>
      <c r="AU189" s="794"/>
      <c r="AV189" s="794"/>
      <c r="AW189" s="794"/>
      <c r="AX189" s="794"/>
      <c r="AY189" s="794"/>
      <c r="AZ189" s="794"/>
      <c r="BA189" s="794"/>
      <c r="BB189" s="794"/>
      <c r="BC189" s="794"/>
      <c r="BD189" s="794"/>
      <c r="BE189" s="794"/>
      <c r="BF189" s="794"/>
      <c r="BG189" s="794"/>
      <c r="BH189" s="794"/>
      <c r="BI189" s="793"/>
      <c r="BJ189" s="793"/>
      <c r="BK189" s="793"/>
      <c r="BL189" s="793"/>
      <c r="BM189" s="793"/>
      <c r="BN189" s="793"/>
      <c r="BO189" s="793"/>
      <c r="BP189" s="793"/>
      <c r="BQ189" s="793"/>
      <c r="BR189" s="793"/>
    </row>
    <row r="190" spans="17:70" x14ac:dyDescent="0.5">
      <c r="Q190" s="793"/>
      <c r="R190" s="793"/>
      <c r="S190" s="793"/>
      <c r="T190" s="793"/>
      <c r="U190" s="793"/>
      <c r="V190" s="793"/>
      <c r="W190" s="793"/>
      <c r="X190" s="793"/>
      <c r="Y190" s="793"/>
      <c r="Z190" s="793"/>
      <c r="AA190" s="793"/>
      <c r="AB190" s="793"/>
      <c r="AC190" s="793"/>
      <c r="AD190" s="793"/>
      <c r="AE190" s="793"/>
      <c r="AF190" s="793"/>
      <c r="AG190" s="793"/>
      <c r="AH190" s="793"/>
      <c r="AI190" s="793"/>
      <c r="AJ190" s="793"/>
      <c r="AK190" s="793"/>
      <c r="AL190" s="793"/>
      <c r="AM190" s="793"/>
      <c r="AN190" s="793"/>
      <c r="AO190" s="793"/>
      <c r="AP190" s="793"/>
      <c r="AQ190" s="793"/>
      <c r="AR190" s="794"/>
      <c r="AS190" s="794"/>
      <c r="AT190" s="794"/>
      <c r="AU190" s="794"/>
      <c r="AV190" s="794"/>
      <c r="AW190" s="794"/>
      <c r="AX190" s="794"/>
      <c r="AY190" s="794"/>
      <c r="AZ190" s="794"/>
      <c r="BA190" s="794"/>
      <c r="BB190" s="794"/>
      <c r="BC190" s="794"/>
      <c r="BD190" s="794"/>
      <c r="BE190" s="794"/>
      <c r="BF190" s="794"/>
      <c r="BG190" s="794"/>
      <c r="BH190" s="794"/>
      <c r="BI190" s="793"/>
      <c r="BJ190" s="793"/>
      <c r="BK190" s="793"/>
      <c r="BL190" s="793"/>
      <c r="BM190" s="793"/>
      <c r="BN190" s="793"/>
      <c r="BO190" s="793"/>
      <c r="BP190" s="793"/>
      <c r="BQ190" s="793"/>
      <c r="BR190" s="793"/>
    </row>
    <row r="191" spans="17:70" x14ac:dyDescent="0.5">
      <c r="Q191" s="793"/>
      <c r="R191" s="793"/>
      <c r="S191" s="793"/>
      <c r="T191" s="793"/>
      <c r="U191" s="793"/>
      <c r="V191" s="793"/>
      <c r="W191" s="793"/>
      <c r="X191" s="793"/>
      <c r="Y191" s="793"/>
      <c r="Z191" s="793"/>
      <c r="AA191" s="793"/>
      <c r="AB191" s="793"/>
      <c r="AC191" s="793"/>
      <c r="AD191" s="793"/>
      <c r="AE191" s="793"/>
      <c r="AF191" s="793"/>
      <c r="AG191" s="793"/>
      <c r="AH191" s="793"/>
      <c r="AI191" s="793"/>
      <c r="AJ191" s="793"/>
      <c r="AK191" s="793"/>
      <c r="AL191" s="793"/>
      <c r="AM191" s="793"/>
      <c r="AN191" s="793"/>
      <c r="AO191" s="793"/>
      <c r="AP191" s="793"/>
      <c r="AQ191" s="793"/>
      <c r="AR191" s="794"/>
      <c r="AS191" s="794"/>
      <c r="AT191" s="794"/>
      <c r="AU191" s="794"/>
      <c r="AV191" s="794"/>
      <c r="AW191" s="794"/>
      <c r="AX191" s="794"/>
      <c r="AY191" s="794"/>
      <c r="AZ191" s="794"/>
      <c r="BA191" s="794"/>
      <c r="BB191" s="794"/>
      <c r="BC191" s="794"/>
      <c r="BD191" s="794"/>
      <c r="BE191" s="794"/>
      <c r="BF191" s="794"/>
      <c r="BG191" s="794"/>
      <c r="BH191" s="794"/>
      <c r="BI191" s="793"/>
      <c r="BJ191" s="793"/>
      <c r="BK191" s="793"/>
      <c r="BL191" s="793"/>
      <c r="BM191" s="793"/>
      <c r="BN191" s="793"/>
      <c r="BO191" s="793"/>
      <c r="BP191" s="793"/>
      <c r="BQ191" s="793"/>
      <c r="BR191" s="793"/>
    </row>
    <row r="192" spans="17:70" x14ac:dyDescent="0.5">
      <c r="Q192" s="793"/>
      <c r="R192" s="793"/>
      <c r="S192" s="793"/>
      <c r="T192" s="793"/>
      <c r="U192" s="793"/>
      <c r="V192" s="793"/>
      <c r="W192" s="793"/>
      <c r="X192" s="793"/>
      <c r="Y192" s="793"/>
      <c r="Z192" s="793"/>
      <c r="AA192" s="793"/>
      <c r="AB192" s="793"/>
      <c r="AC192" s="793"/>
      <c r="AD192" s="793"/>
      <c r="AE192" s="793"/>
      <c r="AF192" s="793"/>
      <c r="AG192" s="793"/>
      <c r="AH192" s="793"/>
      <c r="AI192" s="793"/>
      <c r="AJ192" s="793"/>
      <c r="AK192" s="793"/>
      <c r="AL192" s="793"/>
      <c r="AM192" s="793"/>
      <c r="AN192" s="793"/>
      <c r="AO192" s="793"/>
      <c r="AP192" s="793"/>
      <c r="AQ192" s="793"/>
      <c r="AR192" s="794"/>
      <c r="AS192" s="794"/>
      <c r="AT192" s="794"/>
      <c r="AU192" s="794"/>
      <c r="AV192" s="794"/>
      <c r="AW192" s="794"/>
      <c r="AX192" s="794"/>
      <c r="AY192" s="794"/>
      <c r="AZ192" s="794"/>
      <c r="BA192" s="794"/>
      <c r="BB192" s="794"/>
      <c r="BC192" s="794"/>
      <c r="BD192" s="794"/>
      <c r="BE192" s="794"/>
      <c r="BF192" s="794"/>
      <c r="BG192" s="794"/>
      <c r="BH192" s="794"/>
      <c r="BI192" s="793"/>
      <c r="BJ192" s="793"/>
      <c r="BK192" s="793"/>
      <c r="BL192" s="793"/>
      <c r="BM192" s="793"/>
      <c r="BN192" s="793"/>
      <c r="BO192" s="793"/>
      <c r="BP192" s="793"/>
      <c r="BQ192" s="793"/>
      <c r="BR192" s="793"/>
    </row>
    <row r="193" spans="17:70" x14ac:dyDescent="0.5">
      <c r="Q193" s="793"/>
      <c r="R193" s="793"/>
      <c r="S193" s="793"/>
      <c r="T193" s="793"/>
      <c r="U193" s="793"/>
      <c r="V193" s="793"/>
      <c r="W193" s="793"/>
      <c r="X193" s="793"/>
      <c r="Y193" s="793"/>
      <c r="Z193" s="793"/>
      <c r="AA193" s="793"/>
      <c r="AB193" s="793"/>
      <c r="AC193" s="793"/>
      <c r="AD193" s="793"/>
      <c r="AE193" s="793"/>
      <c r="AF193" s="793"/>
      <c r="AG193" s="793"/>
      <c r="AH193" s="793"/>
      <c r="AI193" s="793"/>
      <c r="AJ193" s="793"/>
      <c r="AK193" s="793"/>
      <c r="AL193" s="793"/>
      <c r="AM193" s="793"/>
      <c r="AN193" s="793"/>
      <c r="AO193" s="793"/>
      <c r="AP193" s="793"/>
      <c r="AQ193" s="793"/>
      <c r="AR193" s="794"/>
      <c r="AS193" s="794"/>
      <c r="AT193" s="794"/>
      <c r="AU193" s="794"/>
      <c r="AV193" s="794"/>
      <c r="AW193" s="794"/>
      <c r="AX193" s="794"/>
      <c r="AY193" s="794"/>
      <c r="AZ193" s="794"/>
      <c r="BA193" s="794"/>
      <c r="BB193" s="794"/>
      <c r="BC193" s="794"/>
      <c r="BD193" s="794"/>
      <c r="BE193" s="794"/>
      <c r="BF193" s="794"/>
      <c r="BG193" s="794"/>
      <c r="BH193" s="794"/>
      <c r="BI193" s="793"/>
      <c r="BJ193" s="793"/>
      <c r="BK193" s="793"/>
      <c r="BL193" s="793"/>
      <c r="BM193" s="793"/>
      <c r="BN193" s="793"/>
      <c r="BO193" s="793"/>
      <c r="BP193" s="793"/>
      <c r="BQ193" s="793"/>
      <c r="BR193" s="793"/>
    </row>
    <row r="194" spans="17:70" x14ac:dyDescent="0.5">
      <c r="Q194" s="793"/>
      <c r="R194" s="793"/>
      <c r="S194" s="793"/>
      <c r="T194" s="793"/>
      <c r="U194" s="793"/>
      <c r="V194" s="793"/>
      <c r="W194" s="793"/>
      <c r="X194" s="793"/>
      <c r="Y194" s="793"/>
      <c r="Z194" s="793"/>
      <c r="AA194" s="793"/>
      <c r="AB194" s="793"/>
      <c r="AC194" s="793"/>
      <c r="AD194" s="793"/>
      <c r="AE194" s="793"/>
      <c r="AF194" s="793"/>
      <c r="AG194" s="793"/>
      <c r="AH194" s="793"/>
      <c r="AI194" s="793"/>
      <c r="AJ194" s="793"/>
      <c r="AK194" s="793"/>
      <c r="AL194" s="793"/>
      <c r="AM194" s="793"/>
      <c r="AN194" s="793"/>
      <c r="AO194" s="793"/>
      <c r="AP194" s="793"/>
      <c r="AQ194" s="793"/>
      <c r="AR194" s="794"/>
      <c r="AS194" s="794"/>
      <c r="AT194" s="794"/>
      <c r="AU194" s="794"/>
      <c r="AV194" s="794"/>
      <c r="AW194" s="794"/>
      <c r="AX194" s="794"/>
      <c r="AY194" s="794"/>
      <c r="AZ194" s="794"/>
      <c r="BA194" s="794"/>
      <c r="BB194" s="794"/>
      <c r="BC194" s="794"/>
      <c r="BD194" s="794"/>
      <c r="BE194" s="794"/>
      <c r="BF194" s="794"/>
      <c r="BG194" s="794"/>
      <c r="BH194" s="794"/>
      <c r="BI194" s="793"/>
      <c r="BJ194" s="793"/>
      <c r="BK194" s="793"/>
      <c r="BL194" s="793"/>
      <c r="BM194" s="793"/>
      <c r="BN194" s="793"/>
      <c r="BO194" s="793"/>
      <c r="BP194" s="793"/>
      <c r="BQ194" s="793"/>
      <c r="BR194" s="793"/>
    </row>
    <row r="195" spans="17:70" x14ac:dyDescent="0.5">
      <c r="Q195" s="793"/>
      <c r="R195" s="793"/>
      <c r="S195" s="793"/>
      <c r="T195" s="793"/>
      <c r="U195" s="793"/>
      <c r="V195" s="793"/>
      <c r="W195" s="793"/>
      <c r="X195" s="793"/>
      <c r="Y195" s="793"/>
      <c r="Z195" s="793"/>
      <c r="AA195" s="793"/>
      <c r="AB195" s="793"/>
      <c r="AC195" s="793"/>
      <c r="AD195" s="793"/>
      <c r="AE195" s="793"/>
      <c r="AF195" s="793"/>
      <c r="AG195" s="793"/>
      <c r="AH195" s="793"/>
      <c r="AI195" s="793"/>
      <c r="AJ195" s="793"/>
      <c r="AK195" s="793"/>
      <c r="AL195" s="793"/>
      <c r="AM195" s="793"/>
      <c r="AN195" s="793"/>
      <c r="AO195" s="793"/>
      <c r="AP195" s="793"/>
      <c r="AQ195" s="793"/>
      <c r="AR195" s="794"/>
      <c r="AS195" s="794"/>
      <c r="AT195" s="794"/>
      <c r="AU195" s="794"/>
      <c r="AV195" s="794"/>
      <c r="AW195" s="794"/>
      <c r="AX195" s="794"/>
      <c r="AY195" s="794"/>
      <c r="AZ195" s="794"/>
      <c r="BA195" s="794"/>
      <c r="BB195" s="794"/>
      <c r="BC195" s="794"/>
      <c r="BD195" s="794"/>
      <c r="BE195" s="794"/>
      <c r="BF195" s="794"/>
      <c r="BG195" s="794"/>
      <c r="BH195" s="794"/>
      <c r="BI195" s="793"/>
      <c r="BJ195" s="793"/>
      <c r="BK195" s="793"/>
      <c r="BL195" s="793"/>
      <c r="BM195" s="793"/>
      <c r="BN195" s="793"/>
      <c r="BO195" s="793"/>
      <c r="BP195" s="793"/>
      <c r="BQ195" s="793"/>
      <c r="BR195" s="793"/>
    </row>
    <row r="196" spans="17:70" x14ac:dyDescent="0.5">
      <c r="Q196" s="793"/>
      <c r="R196" s="793"/>
      <c r="S196" s="793"/>
      <c r="T196" s="793"/>
      <c r="U196" s="793"/>
      <c r="V196" s="793"/>
      <c r="W196" s="793"/>
      <c r="X196" s="793"/>
      <c r="Y196" s="793"/>
      <c r="Z196" s="793"/>
      <c r="AA196" s="793"/>
      <c r="AB196" s="793"/>
      <c r="AC196" s="793"/>
      <c r="AD196" s="793"/>
      <c r="AE196" s="793"/>
      <c r="AF196" s="793"/>
      <c r="AG196" s="793"/>
      <c r="AH196" s="793"/>
      <c r="AI196" s="793"/>
      <c r="AJ196" s="793"/>
      <c r="AK196" s="793"/>
      <c r="AL196" s="793"/>
      <c r="AM196" s="793"/>
      <c r="AN196" s="793"/>
      <c r="AO196" s="793"/>
      <c r="AP196" s="793"/>
      <c r="AQ196" s="793"/>
      <c r="AR196" s="794"/>
      <c r="AS196" s="794"/>
      <c r="AT196" s="794"/>
      <c r="AU196" s="794"/>
      <c r="AV196" s="794"/>
      <c r="AW196" s="794"/>
      <c r="AX196" s="794"/>
      <c r="AY196" s="794"/>
      <c r="AZ196" s="794"/>
      <c r="BA196" s="794"/>
      <c r="BB196" s="794"/>
      <c r="BC196" s="794"/>
      <c r="BD196" s="794"/>
      <c r="BE196" s="794"/>
      <c r="BF196" s="794"/>
      <c r="BG196" s="794"/>
      <c r="BH196" s="794"/>
      <c r="BI196" s="793"/>
      <c r="BJ196" s="793"/>
      <c r="BK196" s="793"/>
      <c r="BL196" s="793"/>
      <c r="BM196" s="793"/>
      <c r="BN196" s="793"/>
      <c r="BO196" s="793"/>
      <c r="BP196" s="793"/>
      <c r="BQ196" s="793"/>
      <c r="BR196" s="793"/>
    </row>
    <row r="197" spans="17:70" x14ac:dyDescent="0.5">
      <c r="Q197" s="793"/>
      <c r="R197" s="793"/>
      <c r="S197" s="793"/>
      <c r="T197" s="793"/>
      <c r="U197" s="793"/>
      <c r="V197" s="793"/>
      <c r="W197" s="793"/>
      <c r="X197" s="793"/>
      <c r="Y197" s="793"/>
      <c r="Z197" s="793"/>
      <c r="AA197" s="793"/>
      <c r="AB197" s="793"/>
      <c r="AC197" s="793"/>
      <c r="AD197" s="793"/>
      <c r="AE197" s="793"/>
      <c r="AF197" s="793"/>
      <c r="AG197" s="793"/>
      <c r="AH197" s="793"/>
      <c r="AI197" s="793"/>
      <c r="AJ197" s="793"/>
      <c r="AK197" s="793"/>
      <c r="AL197" s="793"/>
      <c r="AM197" s="793"/>
      <c r="AN197" s="793"/>
      <c r="AO197" s="793"/>
      <c r="AP197" s="793"/>
      <c r="AQ197" s="793"/>
      <c r="AR197" s="794"/>
      <c r="AS197" s="794"/>
      <c r="AT197" s="794"/>
      <c r="AU197" s="794"/>
      <c r="AV197" s="794"/>
      <c r="AW197" s="794"/>
      <c r="AX197" s="794"/>
      <c r="AY197" s="794"/>
      <c r="AZ197" s="794"/>
      <c r="BA197" s="794"/>
      <c r="BB197" s="794"/>
      <c r="BC197" s="794"/>
      <c r="BD197" s="794"/>
      <c r="BE197" s="794"/>
      <c r="BF197" s="794"/>
      <c r="BG197" s="794"/>
      <c r="BH197" s="794"/>
      <c r="BI197" s="793"/>
      <c r="BJ197" s="793"/>
      <c r="BK197" s="793"/>
      <c r="BL197" s="793"/>
      <c r="BM197" s="793"/>
      <c r="BN197" s="793"/>
      <c r="BO197" s="793"/>
      <c r="BP197" s="793"/>
      <c r="BQ197" s="793"/>
      <c r="BR197" s="793"/>
    </row>
    <row r="198" spans="17:70" x14ac:dyDescent="0.5">
      <c r="Q198" s="793"/>
      <c r="R198" s="793"/>
      <c r="S198" s="793"/>
      <c r="T198" s="793"/>
      <c r="U198" s="793"/>
      <c r="V198" s="793"/>
      <c r="W198" s="793"/>
      <c r="X198" s="793"/>
      <c r="Y198" s="793"/>
      <c r="Z198" s="793"/>
      <c r="AA198" s="793"/>
      <c r="AB198" s="793"/>
      <c r="AC198" s="793"/>
      <c r="AD198" s="793"/>
      <c r="AE198" s="793"/>
      <c r="AF198" s="793"/>
      <c r="AG198" s="793"/>
      <c r="AH198" s="793"/>
      <c r="AI198" s="793"/>
      <c r="AJ198" s="793"/>
      <c r="AK198" s="793"/>
      <c r="AL198" s="793"/>
      <c r="AM198" s="793"/>
      <c r="AN198" s="793"/>
      <c r="AO198" s="793"/>
      <c r="AP198" s="793"/>
      <c r="AQ198" s="793"/>
      <c r="AR198" s="794"/>
      <c r="AS198" s="794"/>
      <c r="AT198" s="794"/>
      <c r="AU198" s="794"/>
      <c r="AV198" s="794"/>
      <c r="AW198" s="794"/>
      <c r="AX198" s="794"/>
      <c r="AY198" s="794"/>
      <c r="AZ198" s="794"/>
      <c r="BA198" s="794"/>
      <c r="BB198" s="794"/>
      <c r="BC198" s="794"/>
      <c r="BD198" s="794"/>
      <c r="BE198" s="794"/>
      <c r="BF198" s="794"/>
      <c r="BG198" s="794"/>
      <c r="BH198" s="794"/>
      <c r="BI198" s="793"/>
      <c r="BJ198" s="793"/>
      <c r="BK198" s="793"/>
      <c r="BL198" s="793"/>
      <c r="BM198" s="793"/>
      <c r="BN198" s="793"/>
      <c r="BO198" s="793"/>
      <c r="BP198" s="793"/>
      <c r="BQ198" s="793"/>
      <c r="BR198" s="793"/>
    </row>
    <row r="199" spans="17:70" x14ac:dyDescent="0.5">
      <c r="Q199" s="793"/>
      <c r="R199" s="793"/>
      <c r="S199" s="793"/>
      <c r="T199" s="793"/>
      <c r="U199" s="793"/>
      <c r="V199" s="793"/>
      <c r="W199" s="793"/>
      <c r="X199" s="793"/>
      <c r="Y199" s="793"/>
      <c r="Z199" s="793"/>
      <c r="AA199" s="793"/>
      <c r="AB199" s="793"/>
      <c r="AC199" s="793"/>
      <c r="AD199" s="793"/>
      <c r="AE199" s="793"/>
      <c r="AF199" s="793"/>
      <c r="AG199" s="793"/>
      <c r="AH199" s="793"/>
      <c r="AI199" s="793"/>
      <c r="AJ199" s="793"/>
      <c r="AK199" s="793"/>
      <c r="AL199" s="793"/>
      <c r="AM199" s="793"/>
      <c r="AN199" s="793"/>
      <c r="AO199" s="793"/>
      <c r="AP199" s="793"/>
      <c r="AQ199" s="793"/>
      <c r="AR199" s="794"/>
      <c r="AS199" s="794"/>
      <c r="AT199" s="794"/>
      <c r="AU199" s="794"/>
      <c r="AV199" s="794"/>
      <c r="AW199" s="794"/>
      <c r="AX199" s="794"/>
      <c r="AY199" s="794"/>
      <c r="AZ199" s="794"/>
      <c r="BA199" s="794"/>
      <c r="BB199" s="794"/>
      <c r="BC199" s="794"/>
      <c r="BD199" s="794"/>
      <c r="BE199" s="794"/>
      <c r="BF199" s="794"/>
      <c r="BG199" s="794"/>
      <c r="BH199" s="794"/>
      <c r="BI199" s="793"/>
      <c r="BJ199" s="793"/>
      <c r="BK199" s="793"/>
      <c r="BL199" s="793"/>
      <c r="BM199" s="793"/>
      <c r="BN199" s="793"/>
      <c r="BO199" s="793"/>
      <c r="BP199" s="793"/>
      <c r="BQ199" s="793"/>
      <c r="BR199" s="793"/>
    </row>
    <row r="200" spans="17:70" x14ac:dyDescent="0.5">
      <c r="Q200" s="793"/>
      <c r="R200" s="793"/>
      <c r="S200" s="793"/>
      <c r="T200" s="793"/>
      <c r="U200" s="793"/>
      <c r="V200" s="793"/>
      <c r="W200" s="793"/>
      <c r="X200" s="793"/>
      <c r="Y200" s="793"/>
      <c r="Z200" s="793"/>
      <c r="AA200" s="793"/>
      <c r="AB200" s="793"/>
      <c r="AC200" s="793"/>
      <c r="AD200" s="793"/>
      <c r="AE200" s="793"/>
      <c r="AF200" s="793"/>
      <c r="AG200" s="793"/>
      <c r="AH200" s="793"/>
      <c r="AI200" s="793"/>
      <c r="AJ200" s="793"/>
      <c r="AK200" s="793"/>
      <c r="AL200" s="793"/>
      <c r="AM200" s="793"/>
      <c r="AN200" s="793"/>
      <c r="AO200" s="793"/>
      <c r="AP200" s="793"/>
      <c r="AQ200" s="793"/>
      <c r="AR200" s="794"/>
      <c r="AS200" s="794"/>
      <c r="AT200" s="794"/>
      <c r="AU200" s="794"/>
      <c r="AV200" s="794"/>
      <c r="AW200" s="794"/>
      <c r="AX200" s="794"/>
      <c r="AY200" s="794"/>
      <c r="AZ200" s="794"/>
      <c r="BA200" s="794"/>
      <c r="BB200" s="794"/>
      <c r="BC200" s="794"/>
      <c r="BD200" s="794"/>
      <c r="BE200" s="794"/>
      <c r="BF200" s="794"/>
      <c r="BG200" s="794"/>
      <c r="BH200" s="794"/>
      <c r="BI200" s="793"/>
      <c r="BJ200" s="793"/>
      <c r="BK200" s="793"/>
      <c r="BL200" s="793"/>
      <c r="BM200" s="793"/>
      <c r="BN200" s="793"/>
      <c r="BO200" s="793"/>
      <c r="BP200" s="793"/>
      <c r="BQ200" s="793"/>
      <c r="BR200" s="793"/>
    </row>
    <row r="201" spans="17:70" x14ac:dyDescent="0.5">
      <c r="Q201" s="793"/>
      <c r="R201" s="793"/>
      <c r="S201" s="793"/>
      <c r="T201" s="793"/>
      <c r="U201" s="793"/>
      <c r="V201" s="793"/>
      <c r="W201" s="793"/>
      <c r="X201" s="793"/>
      <c r="Y201" s="793"/>
      <c r="Z201" s="793"/>
      <c r="AA201" s="793"/>
      <c r="AB201" s="793"/>
      <c r="AC201" s="793"/>
      <c r="AD201" s="793"/>
      <c r="AE201" s="793"/>
      <c r="AF201" s="793"/>
      <c r="AG201" s="793"/>
      <c r="AH201" s="793"/>
      <c r="AI201" s="793"/>
      <c r="AJ201" s="793"/>
      <c r="AK201" s="793"/>
      <c r="AL201" s="793"/>
      <c r="AM201" s="793"/>
      <c r="AN201" s="793"/>
      <c r="AO201" s="793"/>
      <c r="AP201" s="793"/>
      <c r="AQ201" s="793"/>
      <c r="AR201" s="794"/>
      <c r="AS201" s="794"/>
      <c r="AT201" s="794"/>
      <c r="AU201" s="794"/>
      <c r="AV201" s="794"/>
      <c r="AW201" s="794"/>
      <c r="AX201" s="794"/>
      <c r="AY201" s="794"/>
      <c r="AZ201" s="794"/>
      <c r="BA201" s="794"/>
      <c r="BB201" s="794"/>
      <c r="BC201" s="794"/>
      <c r="BD201" s="794"/>
      <c r="BE201" s="794"/>
      <c r="BF201" s="794"/>
      <c r="BG201" s="794"/>
      <c r="BH201" s="794"/>
      <c r="BI201" s="793"/>
      <c r="BJ201" s="793"/>
      <c r="BK201" s="793"/>
      <c r="BL201" s="793"/>
      <c r="BM201" s="793"/>
      <c r="BN201" s="793"/>
      <c r="BO201" s="793"/>
      <c r="BP201" s="793"/>
      <c r="BQ201" s="793"/>
      <c r="BR201" s="793"/>
    </row>
    <row r="202" spans="17:70" x14ac:dyDescent="0.5">
      <c r="Q202" s="793"/>
      <c r="R202" s="793"/>
      <c r="S202" s="793"/>
      <c r="T202" s="793"/>
      <c r="U202" s="793"/>
      <c r="V202" s="793"/>
      <c r="W202" s="793"/>
      <c r="X202" s="793"/>
      <c r="Y202" s="793"/>
      <c r="Z202" s="793"/>
      <c r="AA202" s="793"/>
      <c r="AB202" s="793"/>
      <c r="AC202" s="793"/>
      <c r="AD202" s="793"/>
      <c r="AE202" s="793"/>
      <c r="AF202" s="793"/>
      <c r="AG202" s="793"/>
      <c r="AH202" s="793"/>
      <c r="AI202" s="793"/>
      <c r="AJ202" s="793"/>
      <c r="AK202" s="793"/>
      <c r="AL202" s="793"/>
      <c r="AM202" s="793"/>
      <c r="AN202" s="793"/>
      <c r="AO202" s="793"/>
      <c r="AP202" s="793"/>
      <c r="AQ202" s="793"/>
      <c r="AR202" s="794"/>
      <c r="AS202" s="794"/>
      <c r="AT202" s="794"/>
      <c r="AU202" s="794"/>
      <c r="AV202" s="794"/>
      <c r="AW202" s="794"/>
      <c r="AX202" s="794"/>
      <c r="AY202" s="794"/>
      <c r="AZ202" s="794"/>
      <c r="BA202" s="794"/>
      <c r="BB202" s="794"/>
      <c r="BC202" s="794"/>
      <c r="BD202" s="794"/>
      <c r="BE202" s="794"/>
      <c r="BF202" s="794"/>
      <c r="BG202" s="794"/>
      <c r="BH202" s="794"/>
      <c r="BI202" s="793"/>
      <c r="BJ202" s="793"/>
      <c r="BK202" s="793"/>
      <c r="BL202" s="793"/>
      <c r="BM202" s="793"/>
      <c r="BN202" s="793"/>
      <c r="BO202" s="793"/>
      <c r="BP202" s="793"/>
      <c r="BQ202" s="793"/>
      <c r="BR202" s="793"/>
    </row>
    <row r="203" spans="17:70" x14ac:dyDescent="0.5">
      <c r="Q203" s="793"/>
      <c r="R203" s="793"/>
      <c r="S203" s="793"/>
      <c r="T203" s="793"/>
      <c r="U203" s="793"/>
      <c r="V203" s="793"/>
      <c r="W203" s="793"/>
      <c r="X203" s="793"/>
      <c r="Y203" s="793"/>
      <c r="Z203" s="793"/>
      <c r="AA203" s="793"/>
      <c r="AB203" s="793"/>
      <c r="AC203" s="793"/>
      <c r="AD203" s="793"/>
      <c r="AE203" s="793"/>
      <c r="AF203" s="793"/>
      <c r="AG203" s="793"/>
      <c r="AH203" s="793"/>
      <c r="AI203" s="793"/>
      <c r="AJ203" s="793"/>
      <c r="AK203" s="793"/>
      <c r="AL203" s="793"/>
      <c r="AM203" s="793"/>
      <c r="AN203" s="793"/>
      <c r="AO203" s="793"/>
      <c r="AP203" s="793"/>
      <c r="AQ203" s="793"/>
      <c r="AR203" s="794"/>
      <c r="AS203" s="794"/>
      <c r="AT203" s="794"/>
      <c r="AU203" s="794"/>
      <c r="AV203" s="794"/>
      <c r="AW203" s="794"/>
      <c r="AX203" s="794"/>
      <c r="AY203" s="794"/>
      <c r="AZ203" s="794"/>
      <c r="BA203" s="794"/>
      <c r="BB203" s="794"/>
      <c r="BC203" s="794"/>
      <c r="BD203" s="794"/>
      <c r="BE203" s="794"/>
      <c r="BF203" s="794"/>
      <c r="BG203" s="794"/>
      <c r="BH203" s="794"/>
      <c r="BI203" s="793"/>
      <c r="BJ203" s="793"/>
      <c r="BK203" s="793"/>
      <c r="BL203" s="793"/>
      <c r="BM203" s="793"/>
      <c r="BN203" s="793"/>
      <c r="BO203" s="793"/>
      <c r="BP203" s="793"/>
      <c r="BQ203" s="793"/>
      <c r="BR203" s="793"/>
    </row>
    <row r="244" spans="42:52" x14ac:dyDescent="0.5">
      <c r="AP244" s="779"/>
      <c r="AQ244" s="779"/>
      <c r="AR244" s="779"/>
      <c r="AS244" s="779"/>
      <c r="AT244" s="779"/>
      <c r="AU244" s="779"/>
      <c r="AV244" s="779"/>
      <c r="AW244" s="779"/>
      <c r="AX244" s="779"/>
      <c r="AY244" s="779"/>
      <c r="AZ244" s="779"/>
    </row>
    <row r="245" spans="42:52" x14ac:dyDescent="0.5">
      <c r="AP245" s="779"/>
      <c r="AQ245" s="779"/>
      <c r="AR245" s="779"/>
      <c r="AS245" s="779"/>
      <c r="AT245" s="779"/>
      <c r="AU245" s="779"/>
      <c r="AV245" s="779"/>
      <c r="AW245" s="779"/>
      <c r="AX245" s="779"/>
      <c r="AY245" s="779"/>
      <c r="AZ245" s="779"/>
    </row>
    <row r="246" spans="42:52" x14ac:dyDescent="0.5">
      <c r="AP246" s="779"/>
      <c r="AQ246" s="779"/>
      <c r="AR246" s="779"/>
      <c r="AS246" s="779"/>
      <c r="AT246" s="779"/>
      <c r="AU246" s="779"/>
      <c r="AV246" s="779"/>
      <c r="AW246" s="779"/>
      <c r="AX246" s="779"/>
      <c r="AY246" s="779"/>
      <c r="AZ246" s="779"/>
    </row>
    <row r="247" spans="42:52" x14ac:dyDescent="0.5">
      <c r="AP247" s="779"/>
      <c r="AQ247" s="779"/>
      <c r="AR247" s="779"/>
      <c r="AS247" s="779"/>
      <c r="AT247" s="779"/>
      <c r="AU247" s="779"/>
      <c r="AV247" s="779"/>
      <c r="AW247" s="779"/>
      <c r="AX247" s="779"/>
      <c r="AY247" s="779"/>
      <c r="AZ247" s="779"/>
    </row>
  </sheetData>
  <mergeCells count="14">
    <mergeCell ref="A38:L38"/>
    <mergeCell ref="A1:L1"/>
    <mergeCell ref="A2:L2"/>
    <mergeCell ref="A3:L3"/>
    <mergeCell ref="A6:L6"/>
    <mergeCell ref="A22:L22"/>
    <mergeCell ref="A110:L110"/>
    <mergeCell ref="A127:L127"/>
    <mergeCell ref="A54:L54"/>
    <mergeCell ref="A71:L71"/>
    <mergeCell ref="A72:L72"/>
    <mergeCell ref="A73:L73"/>
    <mergeCell ref="A76:L76"/>
    <mergeCell ref="A93:L93"/>
  </mergeCells>
  <printOptions horizontalCentered="1"/>
  <pageMargins left="0.7" right="0.7" top="0.75" bottom="0.75" header="0.3" footer="0.3"/>
  <pageSetup scale="49" orientation="portrait" r:id="rId1"/>
  <rowBreaks count="1" manualBreakCount="1">
    <brk id="70"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8836A-928A-4CEF-BE63-8F593D6C526A}">
  <sheetPr codeName="Sheet22"/>
  <dimension ref="A2:L20"/>
  <sheetViews>
    <sheetView view="pageBreakPreview" zoomScaleNormal="100" zoomScaleSheetLayoutView="100" workbookViewId="0"/>
  </sheetViews>
  <sheetFormatPr defaultColWidth="8.734375" defaultRowHeight="15" x14ac:dyDescent="0.5"/>
  <cols>
    <col min="1" max="1" width="37.734375" style="680" customWidth="1"/>
    <col min="2" max="2" width="4.26171875" style="680" customWidth="1"/>
    <col min="3" max="3" width="10.7890625" style="680" customWidth="1"/>
    <col min="4" max="4" width="4.734375" style="680" customWidth="1"/>
    <col min="5" max="5" width="10.5234375" style="680" customWidth="1"/>
    <col min="6" max="6" width="2.734375" style="680" customWidth="1"/>
    <col min="7" max="7" width="14.15625" style="680" customWidth="1"/>
    <col min="8" max="16384" width="8.734375" style="680"/>
  </cols>
  <sheetData>
    <row r="2" spans="1:12" x14ac:dyDescent="0.5">
      <c r="A2" s="1436" t="s">
        <v>2675</v>
      </c>
      <c r="B2" s="1436"/>
      <c r="C2" s="1436"/>
      <c r="D2" s="1436"/>
      <c r="E2" s="1436"/>
      <c r="F2" s="1436"/>
      <c r="G2" s="1436"/>
      <c r="H2" s="813"/>
      <c r="I2" s="813"/>
      <c r="J2" s="813"/>
      <c r="K2" s="813"/>
      <c r="L2" s="813"/>
    </row>
    <row r="3" spans="1:12" x14ac:dyDescent="0.5">
      <c r="A3" s="1437" t="s">
        <v>7127</v>
      </c>
      <c r="B3" s="1437"/>
      <c r="C3" s="1437"/>
      <c r="D3" s="1437"/>
      <c r="E3" s="1437"/>
      <c r="F3" s="1437"/>
      <c r="G3" s="1437"/>
    </row>
    <row r="4" spans="1:12" x14ac:dyDescent="0.5">
      <c r="A4" s="1438" t="s">
        <v>7132</v>
      </c>
      <c r="B4" s="1438"/>
      <c r="C4" s="1438"/>
      <c r="D4" s="1438"/>
      <c r="E4" s="1438"/>
      <c r="F4" s="1438"/>
      <c r="G4" s="1438"/>
    </row>
    <row r="5" spans="1:12" x14ac:dyDescent="0.5">
      <c r="A5" s="1361"/>
      <c r="B5" s="1361"/>
      <c r="C5" s="1361"/>
      <c r="D5" s="1361"/>
      <c r="E5" s="1361"/>
      <c r="F5" s="1361"/>
      <c r="G5" s="1361"/>
    </row>
    <row r="6" spans="1:12" x14ac:dyDescent="0.5">
      <c r="C6" s="1437" t="s">
        <v>7133</v>
      </c>
      <c r="D6" s="1437"/>
      <c r="E6" s="1437"/>
      <c r="F6" s="1437"/>
      <c r="G6" s="1437"/>
    </row>
    <row r="7" spans="1:12" x14ac:dyDescent="0.5">
      <c r="C7" s="1360"/>
      <c r="D7" s="1360"/>
      <c r="E7" s="1360"/>
      <c r="F7" s="1360"/>
      <c r="G7" s="1360"/>
    </row>
    <row r="8" spans="1:12" ht="30" x14ac:dyDescent="0.5">
      <c r="A8" s="1130" t="s">
        <v>4578</v>
      </c>
      <c r="B8" s="1130"/>
      <c r="C8" s="1120">
        <v>2024</v>
      </c>
      <c r="D8" s="1120"/>
      <c r="E8" s="1120">
        <v>2025</v>
      </c>
      <c r="F8" s="1120"/>
      <c r="G8" s="1120" t="s">
        <v>7134</v>
      </c>
    </row>
    <row r="9" spans="1:12" x14ac:dyDescent="0.5">
      <c r="A9" s="1145" t="s">
        <v>2675</v>
      </c>
      <c r="B9" s="1145"/>
      <c r="C9" s="1362">
        <v>0.61</v>
      </c>
      <c r="D9" s="1362"/>
      <c r="E9" s="1362">
        <v>0.6</v>
      </c>
      <c r="F9" s="1362"/>
      <c r="G9" s="1362">
        <v>0.6</v>
      </c>
    </row>
    <row r="10" spans="1:12" x14ac:dyDescent="0.5">
      <c r="A10" s="1145" t="s">
        <v>2866</v>
      </c>
      <c r="B10" s="1145"/>
      <c r="C10" s="1363">
        <v>0.42499999999999999</v>
      </c>
      <c r="D10" s="1363"/>
      <c r="E10" s="1363">
        <v>0.43</v>
      </c>
      <c r="F10" s="1363"/>
      <c r="G10" s="1363">
        <v>0.45</v>
      </c>
    </row>
    <row r="11" spans="1:12" x14ac:dyDescent="0.5">
      <c r="A11" s="1145" t="s">
        <v>2630</v>
      </c>
      <c r="B11" s="1145"/>
      <c r="C11" s="1363">
        <v>0.46</v>
      </c>
      <c r="D11" s="1363"/>
      <c r="E11" s="1363">
        <v>0.45</v>
      </c>
      <c r="F11" s="1363"/>
      <c r="G11" s="1363">
        <v>0.45</v>
      </c>
    </row>
    <row r="12" spans="1:12" x14ac:dyDescent="0.5">
      <c r="A12" s="1145" t="s">
        <v>2867</v>
      </c>
      <c r="B12" s="1145"/>
      <c r="C12" s="1363">
        <v>0.47499999999999998</v>
      </c>
      <c r="D12" s="1363"/>
      <c r="E12" s="1363">
        <v>0.45</v>
      </c>
      <c r="F12" s="1363"/>
      <c r="G12" s="1363">
        <v>0.45</v>
      </c>
    </row>
    <row r="13" spans="1:12" x14ac:dyDescent="0.5">
      <c r="A13" s="1145" t="s">
        <v>4576</v>
      </c>
      <c r="B13" s="1145"/>
      <c r="C13" s="1363">
        <v>0.54</v>
      </c>
      <c r="D13" s="1363"/>
      <c r="E13" s="1363">
        <v>0.55000000000000004</v>
      </c>
      <c r="F13" s="1363"/>
      <c r="G13" s="1363">
        <v>0.49</v>
      </c>
    </row>
    <row r="14" spans="1:12" x14ac:dyDescent="0.5">
      <c r="A14" s="1145" t="s">
        <v>3811</v>
      </c>
      <c r="B14" s="1145"/>
      <c r="C14" s="1363">
        <v>0.45</v>
      </c>
      <c r="D14" s="1363"/>
      <c r="E14" s="1363">
        <v>0.45</v>
      </c>
      <c r="F14" s="1363"/>
      <c r="G14" s="1363">
        <v>0.44</v>
      </c>
    </row>
    <row r="15" spans="1:12" x14ac:dyDescent="0.5">
      <c r="A15" s="1145" t="s">
        <v>4577</v>
      </c>
      <c r="B15" s="1145"/>
      <c r="C15" s="1363">
        <v>0.45</v>
      </c>
      <c r="D15" s="1363"/>
      <c r="E15" s="1363">
        <v>0.45</v>
      </c>
      <c r="F15" s="1363"/>
      <c r="G15" s="1363">
        <v>0.45</v>
      </c>
    </row>
    <row r="16" spans="1:12" x14ac:dyDescent="0.5">
      <c r="C16" s="1363"/>
      <c r="D16" s="1363"/>
      <c r="E16" s="1363"/>
      <c r="F16" s="1363"/>
      <c r="G16" s="1363"/>
    </row>
    <row r="17" spans="1:7" x14ac:dyDescent="0.5">
      <c r="A17" s="1146" t="s">
        <v>4579</v>
      </c>
      <c r="B17" s="1146"/>
      <c r="C17" s="1363">
        <f>MIN(C9:C15)</f>
        <v>0.42499999999999999</v>
      </c>
      <c r="D17" s="1363"/>
      <c r="E17" s="1363">
        <f>MIN(E9:E15)</f>
        <v>0.43</v>
      </c>
      <c r="F17" s="1363"/>
      <c r="G17" s="1363">
        <f>MIN(G9:G15)</f>
        <v>0.44</v>
      </c>
    </row>
    <row r="18" spans="1:7" x14ac:dyDescent="0.5">
      <c r="A18" s="1146" t="s">
        <v>4580</v>
      </c>
      <c r="B18" s="1146"/>
      <c r="C18" s="1363">
        <f>MAX(C9:C15)</f>
        <v>0.61</v>
      </c>
      <c r="D18" s="1363"/>
      <c r="E18" s="1363">
        <f>MAX(E9:E15)</f>
        <v>0.6</v>
      </c>
      <c r="F18" s="1363"/>
      <c r="G18" s="1363">
        <f>MAX(G9:G15)</f>
        <v>0.6</v>
      </c>
    </row>
    <row r="20" spans="1:7" x14ac:dyDescent="0.5">
      <c r="A20" s="1145" t="s">
        <v>7131</v>
      </c>
      <c r="B20" s="1145"/>
    </row>
  </sheetData>
  <mergeCells count="4">
    <mergeCell ref="C6:G6"/>
    <mergeCell ref="A2:G2"/>
    <mergeCell ref="A3:G3"/>
    <mergeCell ref="A4:G4"/>
  </mergeCells>
  <printOptions horizontalCentered="1"/>
  <pageMargins left="0.7" right="0.7" top="0.75" bottom="0.75" header="0.3" footer="0.3"/>
  <pageSetup scale="97" orientation="portrait" horizontalDpi="1200" verticalDpi="1200" r:id="rId1"/>
  <ignoredErrors>
    <ignoredError sqref="E17:E19 C17:C1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3"/>
  <sheetViews>
    <sheetView view="pageBreakPreview" zoomScale="85" zoomScaleNormal="85" zoomScaleSheetLayoutView="85" workbookViewId="0"/>
  </sheetViews>
  <sheetFormatPr defaultColWidth="9" defaultRowHeight="15" x14ac:dyDescent="0.5"/>
  <cols>
    <col min="1" max="1" width="11.26171875" style="110" customWidth="1"/>
    <col min="2" max="2" width="5.734375" style="110" customWidth="1"/>
    <col min="3" max="3" width="56.26171875" style="110" customWidth="1"/>
    <col min="4" max="4" width="5.734375" style="110" customWidth="1"/>
    <col min="5" max="5" width="25.26171875" style="110" customWidth="1"/>
    <col min="6" max="6" width="3.734375" style="110" customWidth="1"/>
    <col min="7" max="7" width="25.26171875" style="110" customWidth="1"/>
    <col min="8" max="8" width="10.5234375" style="108" bestFit="1" customWidth="1"/>
    <col min="9" max="10" width="12.734375" style="108" customWidth="1"/>
    <col min="11" max="11" width="3.734375" style="185" customWidth="1"/>
    <col min="12" max="13" width="12.734375" style="108" customWidth="1"/>
    <col min="14" max="14" width="9" style="108"/>
    <col min="15" max="15" width="30.47265625" style="108" bestFit="1" customWidth="1"/>
    <col min="16" max="16384" width="9" style="108"/>
  </cols>
  <sheetData>
    <row r="1" spans="1:15" x14ac:dyDescent="0.5">
      <c r="A1" s="283" t="str">
        <f>Input!G28</f>
        <v>Atmos Energy Corporation</v>
      </c>
      <c r="B1" s="283"/>
      <c r="C1" s="283"/>
      <c r="D1" s="283"/>
      <c r="E1" s="283"/>
      <c r="F1" s="283"/>
      <c r="G1" s="283"/>
    </row>
    <row r="2" spans="1:15" x14ac:dyDescent="0.5">
      <c r="A2" s="283" t="s">
        <v>2791</v>
      </c>
      <c r="B2" s="283"/>
      <c r="C2" s="283"/>
      <c r="D2" s="283"/>
      <c r="E2" s="283"/>
      <c r="F2" s="283"/>
      <c r="G2" s="283"/>
    </row>
    <row r="3" spans="1:15" x14ac:dyDescent="0.5">
      <c r="A3" s="109"/>
      <c r="B3" s="109"/>
      <c r="C3" s="109"/>
      <c r="D3" s="109"/>
      <c r="E3" s="109"/>
      <c r="F3" s="109"/>
      <c r="G3" s="109"/>
    </row>
    <row r="4" spans="1:15" ht="58.5" customHeight="1" x14ac:dyDescent="0.5">
      <c r="A4" s="186" t="s">
        <v>1144</v>
      </c>
      <c r="B4" s="109"/>
      <c r="C4" s="187" t="s">
        <v>1240</v>
      </c>
      <c r="D4" s="109"/>
      <c r="E4" s="182" t="str">
        <f>Input!$I$32</f>
        <v>Proxy Group of Seven Natural Gas Companies</v>
      </c>
      <c r="F4" s="284"/>
      <c r="G4" s="182" t="str">
        <f>E4&amp;" (exc. PRPM)"</f>
        <v>Proxy Group of Seven Natural Gas Companies (exc. PRPM)</v>
      </c>
      <c r="I4" s="327" t="s">
        <v>1360</v>
      </c>
      <c r="J4" s="327"/>
      <c r="L4" s="327" t="s">
        <v>1360</v>
      </c>
      <c r="M4" s="327"/>
    </row>
    <row r="5" spans="1:15" x14ac:dyDescent="0.5">
      <c r="A5" s="109"/>
      <c r="B5" s="109"/>
      <c r="C5" s="109"/>
      <c r="E5" s="139"/>
      <c r="F5" s="139"/>
      <c r="G5" s="139"/>
      <c r="H5" s="110"/>
      <c r="I5" s="328" t="s">
        <v>3873</v>
      </c>
      <c r="J5" s="328" t="s">
        <v>3874</v>
      </c>
      <c r="K5" s="188"/>
      <c r="L5" s="328" t="s">
        <v>3873</v>
      </c>
      <c r="M5" s="328" t="s">
        <v>3874</v>
      </c>
      <c r="N5" s="110"/>
      <c r="O5" s="188"/>
    </row>
    <row r="6" spans="1:15" x14ac:dyDescent="0.5">
      <c r="A6" s="189" t="s">
        <v>1145</v>
      </c>
      <c r="B6" s="189"/>
      <c r="C6" s="190" t="s">
        <v>1241</v>
      </c>
      <c r="E6" s="32">
        <f>'1.3 DCF Summary'!V22/100</f>
        <v>0.10369999999999999</v>
      </c>
      <c r="F6" s="32"/>
      <c r="G6" s="32">
        <f>E6</f>
        <v>0.10369999999999999</v>
      </c>
      <c r="I6" s="191">
        <f>MIN(E6:E10)</f>
        <v>0.10369999999999999</v>
      </c>
      <c r="J6" s="191">
        <f>MAX(E6:E12)</f>
        <v>0.1188</v>
      </c>
      <c r="K6" s="193"/>
      <c r="L6" s="329">
        <f>MIN(G6:G10)</f>
        <v>0.10369999999999999</v>
      </c>
      <c r="M6" s="191">
        <f>MAX(G6:G12)</f>
        <v>0.11849999999999999</v>
      </c>
      <c r="N6" s="192"/>
      <c r="O6" s="193"/>
    </row>
    <row r="7" spans="1:15" x14ac:dyDescent="0.5">
      <c r="A7" s="189"/>
      <c r="B7" s="189"/>
      <c r="C7" s="190"/>
      <c r="D7" s="112"/>
      <c r="E7" s="194"/>
      <c r="F7" s="194"/>
      <c r="G7" s="194"/>
      <c r="I7" s="188"/>
      <c r="J7" s="192"/>
      <c r="K7" s="188"/>
      <c r="M7" s="188"/>
      <c r="N7" s="192"/>
      <c r="O7" s="188"/>
    </row>
    <row r="8" spans="1:15" x14ac:dyDescent="0.5">
      <c r="A8" s="189" t="str">
        <f>A6+1&amp;"."</f>
        <v>2.</v>
      </c>
      <c r="B8" s="189"/>
      <c r="C8" s="190" t="s">
        <v>1242</v>
      </c>
      <c r="D8" s="190"/>
      <c r="E8" s="195">
        <f>'1.11 Risk Premium Summary'!G28/100</f>
        <v>0.11030000000000001</v>
      </c>
      <c r="F8" s="195"/>
      <c r="G8" s="195">
        <f>'1.11 Risk Premium Summary'!I28/100</f>
        <v>0.11</v>
      </c>
      <c r="I8" s="191"/>
      <c r="J8" s="192"/>
      <c r="K8" s="193"/>
      <c r="M8" s="191"/>
      <c r="N8" s="192"/>
      <c r="O8" s="193"/>
    </row>
    <row r="9" spans="1:15" x14ac:dyDescent="0.5">
      <c r="A9" s="189"/>
      <c r="B9" s="189"/>
      <c r="C9" s="189"/>
      <c r="D9" s="190"/>
      <c r="E9" s="32"/>
      <c r="F9" s="32"/>
      <c r="G9" s="32"/>
      <c r="I9" s="327" t="s">
        <v>2604</v>
      </c>
      <c r="J9" s="327"/>
      <c r="L9" s="327" t="s">
        <v>2604</v>
      </c>
      <c r="M9" s="327"/>
      <c r="N9" s="192"/>
      <c r="O9" s="188"/>
    </row>
    <row r="10" spans="1:15" x14ac:dyDescent="0.5">
      <c r="A10" s="189" t="str">
        <f>A8+1&amp;"."</f>
        <v>3.</v>
      </c>
      <c r="B10" s="189"/>
      <c r="C10" s="190" t="s">
        <v>1243</v>
      </c>
      <c r="E10" s="196">
        <f>'1.21 CAPM'!V23/100</f>
        <v>0.11210000000000001</v>
      </c>
      <c r="F10" s="196"/>
      <c r="G10" s="196">
        <f>'1.21 CAPM'!V43/100</f>
        <v>0.1119</v>
      </c>
      <c r="I10" s="328" t="s">
        <v>3873</v>
      </c>
      <c r="J10" s="328" t="s">
        <v>3874</v>
      </c>
      <c r="K10" s="188"/>
      <c r="L10" s="328" t="s">
        <v>3873</v>
      </c>
      <c r="M10" s="328" t="s">
        <v>3874</v>
      </c>
      <c r="N10" s="192"/>
      <c r="O10" s="193"/>
    </row>
    <row r="11" spans="1:15" x14ac:dyDescent="0.5">
      <c r="A11" s="189"/>
      <c r="B11" s="189"/>
      <c r="C11" s="189"/>
      <c r="D11" s="190"/>
      <c r="E11" s="32"/>
      <c r="F11" s="32"/>
      <c r="G11" s="32"/>
      <c r="I11" s="191">
        <f>SUM(I6,E16:E20)</f>
        <v>0.10432845958380224</v>
      </c>
      <c r="J11" s="191">
        <f>SUM(J6,E16:E20)</f>
        <v>0.11942845958380226</v>
      </c>
      <c r="K11" s="193"/>
      <c r="L11" s="329">
        <f>SUM(L6,G15:G20)</f>
        <v>0.10432845958380224</v>
      </c>
      <c r="M11" s="191">
        <f>SUM(M6,G16:G20)</f>
        <v>0.11912845958380225</v>
      </c>
      <c r="O11" s="188"/>
    </row>
    <row r="12" spans="1:15" ht="47.25" customHeight="1" thickBot="1" x14ac:dyDescent="0.55000000000000004">
      <c r="A12" s="197" t="str">
        <f>A10+1&amp;"."</f>
        <v>4.</v>
      </c>
      <c r="B12" s="189"/>
      <c r="C12" s="198" t="s">
        <v>2609</v>
      </c>
      <c r="E12" s="199">
        <f>'1.26 CEM Summary'!D19/100</f>
        <v>0.1188</v>
      </c>
      <c r="F12" s="196"/>
      <c r="G12" s="199">
        <f>'1.26 CEM Summary'!F19/100</f>
        <v>0.11849999999999999</v>
      </c>
      <c r="I12" s="191"/>
      <c r="K12" s="193"/>
      <c r="M12" s="191"/>
      <c r="O12" s="193"/>
    </row>
    <row r="13" spans="1:15" x14ac:dyDescent="0.5">
      <c r="A13" s="197"/>
      <c r="B13" s="189"/>
      <c r="C13" s="189"/>
      <c r="D13" s="190"/>
      <c r="E13" s="194"/>
      <c r="F13" s="194"/>
      <c r="G13" s="194"/>
      <c r="I13" s="188"/>
      <c r="K13" s="188"/>
      <c r="M13" s="188"/>
      <c r="O13" s="188"/>
    </row>
    <row r="14" spans="1:15" ht="30" x14ac:dyDescent="0.5">
      <c r="A14" s="197" t="str">
        <f>A12+1&amp;"."</f>
        <v>5.</v>
      </c>
      <c r="B14" s="136"/>
      <c r="C14" s="138" t="s">
        <v>1244</v>
      </c>
      <c r="D14" s="138"/>
      <c r="E14" s="109" t="str">
        <f>_xlfn.CONCAT(TEXT(I6,"0.00%")," - ",TEXT(J6,"0.00%"))</f>
        <v>10.37% - 11.88%</v>
      </c>
      <c r="F14" s="109"/>
      <c r="G14" s="109" t="str">
        <f>_xlfn.CONCAT(TEXT(L6,"0.00%")," - ",TEXT(M6,"0.00%"))</f>
        <v>10.37% - 11.85%</v>
      </c>
      <c r="I14" s="191"/>
      <c r="K14" s="191"/>
      <c r="M14" s="191"/>
      <c r="O14" s="191"/>
    </row>
    <row r="15" spans="1:15" x14ac:dyDescent="0.5">
      <c r="A15" s="200"/>
      <c r="B15" s="136"/>
      <c r="C15" s="138"/>
      <c r="D15" s="138"/>
      <c r="E15" s="109"/>
      <c r="F15" s="109"/>
      <c r="G15" s="109"/>
    </row>
    <row r="16" spans="1:15" x14ac:dyDescent="0.5">
      <c r="A16" s="197" t="str">
        <f>A14+1&amp;"."</f>
        <v>6.</v>
      </c>
      <c r="B16" s="136"/>
      <c r="C16" s="138" t="s">
        <v>2851</v>
      </c>
      <c r="D16" s="138"/>
      <c r="E16" s="194">
        <v>5.0000000000000001E-4</v>
      </c>
      <c r="F16" s="194"/>
      <c r="G16" s="194">
        <f>E16</f>
        <v>5.0000000000000001E-4</v>
      </c>
    </row>
    <row r="17" spans="1:12" x14ac:dyDescent="0.5">
      <c r="A17" s="197"/>
      <c r="B17" s="136"/>
      <c r="C17" s="138"/>
      <c r="D17" s="138"/>
      <c r="E17" s="194"/>
      <c r="F17" s="194"/>
      <c r="G17" s="194"/>
    </row>
    <row r="18" spans="1:12" x14ac:dyDescent="0.5">
      <c r="A18" s="197" t="str">
        <f>A16+1&amp;"."</f>
        <v>7.</v>
      </c>
      <c r="B18" s="136"/>
      <c r="C18" s="138" t="s">
        <v>3886</v>
      </c>
      <c r="D18" s="138"/>
      <c r="E18" s="194">
        <f>-ROUND((1/3*'1.12 Moody''s Bond Yields'!L26)/100,4)</f>
        <v>-4.0000000000000002E-4</v>
      </c>
      <c r="F18" s="194"/>
      <c r="G18" s="194">
        <f>E18</f>
        <v>-4.0000000000000002E-4</v>
      </c>
    </row>
    <row r="19" spans="1:12" x14ac:dyDescent="0.5">
      <c r="A19" s="200"/>
      <c r="B19" s="136"/>
      <c r="C19" s="138"/>
      <c r="D19" s="138"/>
      <c r="E19" s="194"/>
      <c r="F19" s="194"/>
      <c r="G19" s="194"/>
    </row>
    <row r="20" spans="1:12" ht="15.3" thickBot="1" x14ac:dyDescent="0.55000000000000004">
      <c r="A20" s="197" t="str">
        <f>A18+1&amp;"."</f>
        <v>8.</v>
      </c>
      <c r="B20" s="136"/>
      <c r="C20" s="138" t="s">
        <v>3887</v>
      </c>
      <c r="D20" s="138"/>
      <c r="E20" s="194">
        <f>'1.35 Equity Contributions'!$M$42/100</f>
        <v>5.2845958380224548E-4</v>
      </c>
      <c r="F20" s="194"/>
      <c r="G20" s="194">
        <f>E20</f>
        <v>5.2845958380224548E-4</v>
      </c>
    </row>
    <row r="21" spans="1:12" x14ac:dyDescent="0.5">
      <c r="A21" s="200"/>
      <c r="B21" s="136"/>
      <c r="C21" s="138"/>
      <c r="D21" s="138"/>
      <c r="E21" s="201"/>
      <c r="F21" s="194"/>
      <c r="G21" s="201"/>
    </row>
    <row r="22" spans="1:12" ht="15.3" thickBot="1" x14ac:dyDescent="0.55000000000000004">
      <c r="A22" s="197" t="str">
        <f>A20+1&amp;"."</f>
        <v>9.</v>
      </c>
      <c r="B22" s="136"/>
      <c r="C22" s="138" t="s">
        <v>1245</v>
      </c>
      <c r="D22" s="138"/>
      <c r="E22" s="202" t="str">
        <f>_xlfn.CONCAT(TEXT(I11,"0.00%")," - ",TEXT(J11,"0.00%"))</f>
        <v>10.43% - 11.94%</v>
      </c>
      <c r="F22" s="194"/>
      <c r="G22" s="202" t="str">
        <f>_xlfn.CONCAT(TEXT(L11,"0.00%")," - ",TEXT(M11,"0.00%"))</f>
        <v>10.43% - 11.91%</v>
      </c>
      <c r="I22" s="690"/>
      <c r="L22" s="690"/>
    </row>
    <row r="23" spans="1:12" ht="15.3" thickTop="1" x14ac:dyDescent="0.5">
      <c r="A23" s="108"/>
      <c r="B23" s="136"/>
      <c r="C23" s="138"/>
      <c r="D23" s="138"/>
      <c r="E23" s="32"/>
      <c r="F23" s="32"/>
      <c r="G23" s="32"/>
    </row>
    <row r="24" spans="1:12" ht="15.3" thickBot="1" x14ac:dyDescent="0.55000000000000004">
      <c r="A24" s="197" t="str">
        <f>A22+1&amp;"."</f>
        <v>10.</v>
      </c>
      <c r="B24" s="136"/>
      <c r="C24" s="138" t="s">
        <v>6</v>
      </c>
      <c r="D24" s="138"/>
      <c r="E24" s="1388">
        <v>0.1095</v>
      </c>
      <c r="F24" s="1388"/>
      <c r="G24" s="1388"/>
    </row>
    <row r="25" spans="1:12" ht="15.3" thickTop="1" x14ac:dyDescent="0.5">
      <c r="A25" s="200"/>
      <c r="B25" s="136"/>
      <c r="C25" s="138"/>
      <c r="D25" s="138"/>
      <c r="E25" s="32"/>
      <c r="F25" s="32"/>
      <c r="G25" s="32"/>
    </row>
    <row r="26" spans="1:12" x14ac:dyDescent="0.5">
      <c r="A26" s="136" t="s">
        <v>1246</v>
      </c>
      <c r="B26" s="203" t="s">
        <v>1146</v>
      </c>
      <c r="C26" s="137" t="str">
        <f>"From page 3 of this " &amp; Input!I49 &amp; "."</f>
        <v>From page 3 of this Exhibit.</v>
      </c>
      <c r="E26" s="204"/>
      <c r="F26" s="204"/>
      <c r="G26" s="204"/>
    </row>
    <row r="27" spans="1:12" x14ac:dyDescent="0.5">
      <c r="A27" s="109"/>
      <c r="B27" s="111" t="s">
        <v>1147</v>
      </c>
      <c r="C27" s="205" t="str">
        <f>"From page 11 of this " &amp; Input!I49 &amp; "."</f>
        <v>From page 11 of this Exhibit.</v>
      </c>
      <c r="D27" s="206"/>
      <c r="E27" s="207"/>
      <c r="F27" s="207"/>
      <c r="G27" s="207"/>
    </row>
    <row r="28" spans="1:12" x14ac:dyDescent="0.5">
      <c r="A28" s="109"/>
      <c r="B28" s="111" t="s">
        <v>1149</v>
      </c>
      <c r="C28" s="205" t="str">
        <f>"From page 21 of this " &amp; Input!I49 &amp; "."</f>
        <v>From page 21 of this Exhibit.</v>
      </c>
      <c r="D28" s="206"/>
      <c r="E28" s="207"/>
      <c r="F28" s="207"/>
      <c r="G28" s="207"/>
    </row>
    <row r="29" spans="1:12" x14ac:dyDescent="0.5">
      <c r="A29" s="109"/>
      <c r="B29" s="111" t="s">
        <v>1153</v>
      </c>
      <c r="C29" s="205" t="str">
        <f>"From page 26 of this " &amp; Input!I49 &amp; "."</f>
        <v>From page 26 of this Exhibit.</v>
      </c>
      <c r="D29" s="206"/>
      <c r="E29" s="207"/>
      <c r="F29" s="207"/>
      <c r="G29" s="207"/>
    </row>
    <row r="30" spans="1:12" ht="30.75" customHeight="1" x14ac:dyDescent="0.5">
      <c r="B30" s="203" t="s">
        <v>1155</v>
      </c>
      <c r="C30" s="1386" t="s">
        <v>4524</v>
      </c>
      <c r="D30" s="1386"/>
      <c r="E30" s="1386"/>
      <c r="F30" s="1386"/>
      <c r="G30" s="1386"/>
    </row>
    <row r="31" spans="1:12" ht="34.5" customHeight="1" x14ac:dyDescent="0.5">
      <c r="B31" s="203" t="s">
        <v>1158</v>
      </c>
      <c r="C31" s="1386" t="s">
        <v>4525</v>
      </c>
      <c r="D31" s="1386"/>
      <c r="E31" s="1386"/>
      <c r="F31" s="1387"/>
      <c r="G31" s="1387"/>
    </row>
    <row r="32" spans="1:12" x14ac:dyDescent="0.5">
      <c r="B32" s="203" t="s">
        <v>3888</v>
      </c>
      <c r="C32" s="1386" t="str">
        <f>"From page 35 of this " &amp; Input!I49 &amp; "."</f>
        <v>From page 35 of this Exhibit.</v>
      </c>
      <c r="D32" s="1386"/>
      <c r="E32" s="1386"/>
      <c r="F32" s="1387"/>
      <c r="G32" s="1387"/>
    </row>
    <row r="33" spans="3:3" x14ac:dyDescent="0.5">
      <c r="C33" s="205"/>
    </row>
  </sheetData>
  <mergeCells count="4">
    <mergeCell ref="C31:G31"/>
    <mergeCell ref="C30:G30"/>
    <mergeCell ref="E24:G24"/>
    <mergeCell ref="C32:G32"/>
  </mergeCells>
  <printOptions horizontalCentered="1"/>
  <pageMargins left="0.7" right="0.7" top="0.75" bottom="0.75" header="0.3" footer="0.3"/>
  <pageSetup scale="67"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109-0BE6-4A43-8785-E69334DA985E}">
  <sheetPr codeName="Sheet27">
    <outlinePr summaryBelow="0" summaryRight="0"/>
    <pageSetUpPr autoPageBreaks="0"/>
  </sheetPr>
  <dimension ref="A1:J342"/>
  <sheetViews>
    <sheetView view="pageBreakPreview" zoomScale="80" zoomScaleNormal="100" zoomScaleSheetLayoutView="80" workbookViewId="0">
      <selection sqref="A1:F1"/>
    </sheetView>
  </sheetViews>
  <sheetFormatPr defaultRowHeight="15" x14ac:dyDescent="0.5"/>
  <cols>
    <col min="1" max="1" width="23.47265625" style="60" customWidth="1"/>
    <col min="2" max="2" width="20.5234375" style="60" customWidth="1"/>
    <col min="3" max="3" width="54.15625" style="60" customWidth="1"/>
    <col min="4" max="4" width="35.7890625" style="60" bestFit="1" customWidth="1"/>
    <col min="5" max="5" width="15.734375" style="60" customWidth="1"/>
    <col min="6" max="6" width="4.26171875" style="60" bestFit="1" customWidth="1"/>
    <col min="7" max="7" width="22" style="60" customWidth="1"/>
    <col min="8" max="8" width="21.47265625" style="60" customWidth="1"/>
    <col min="9" max="9" width="14.7890625" style="60" customWidth="1"/>
    <col min="10" max="10" width="25.5234375" style="60" bestFit="1" customWidth="1"/>
    <col min="11" max="11" width="8.734375" style="60"/>
    <col min="12" max="12" width="14.47265625" style="60" customWidth="1"/>
    <col min="13" max="256" width="8.734375" style="60"/>
    <col min="257" max="257" width="3.5234375" style="60" customWidth="1"/>
    <col min="258" max="258" width="23.47265625" style="60" customWidth="1"/>
    <col min="259" max="259" width="20.5234375" style="60" customWidth="1"/>
    <col min="260" max="260" width="28.47265625" style="60" customWidth="1"/>
    <col min="261" max="261" width="29.5234375" style="60" bestFit="1" customWidth="1"/>
    <col min="262" max="262" width="10.47265625" style="60" bestFit="1" customWidth="1"/>
    <col min="263" max="263" width="16.47265625" style="60" bestFit="1" customWidth="1"/>
    <col min="264" max="264" width="9.7890625" style="60" bestFit="1" customWidth="1"/>
    <col min="265" max="265" width="12.15625" style="60" bestFit="1" customWidth="1"/>
    <col min="266" max="266" width="25.5234375" style="60" bestFit="1" customWidth="1"/>
    <col min="267" max="267" width="8.734375" style="60"/>
    <col min="268" max="268" width="14.47265625" style="60" customWidth="1"/>
    <col min="269" max="512" width="8.734375" style="60"/>
    <col min="513" max="513" width="3.5234375" style="60" customWidth="1"/>
    <col min="514" max="514" width="23.47265625" style="60" customWidth="1"/>
    <col min="515" max="515" width="20.5234375" style="60" customWidth="1"/>
    <col min="516" max="516" width="28.47265625" style="60" customWidth="1"/>
    <col min="517" max="517" width="29.5234375" style="60" bestFit="1" customWidth="1"/>
    <col min="518" max="518" width="10.47265625" style="60" bestFit="1" customWidth="1"/>
    <col min="519" max="519" width="16.47265625" style="60" bestFit="1" customWidth="1"/>
    <col min="520" max="520" width="9.7890625" style="60" bestFit="1" customWidth="1"/>
    <col min="521" max="521" width="12.15625" style="60" bestFit="1" customWidth="1"/>
    <col min="522" max="522" width="25.5234375" style="60" bestFit="1" customWidth="1"/>
    <col min="523" max="523" width="8.734375" style="60"/>
    <col min="524" max="524" width="14.47265625" style="60" customWidth="1"/>
    <col min="525" max="768" width="8.734375" style="60"/>
    <col min="769" max="769" width="3.5234375" style="60" customWidth="1"/>
    <col min="770" max="770" width="23.47265625" style="60" customWidth="1"/>
    <col min="771" max="771" width="20.5234375" style="60" customWidth="1"/>
    <col min="772" max="772" width="28.47265625" style="60" customWidth="1"/>
    <col min="773" max="773" width="29.5234375" style="60" bestFit="1" customWidth="1"/>
    <col min="774" max="774" width="10.47265625" style="60" bestFit="1" customWidth="1"/>
    <col min="775" max="775" width="16.47265625" style="60" bestFit="1" customWidth="1"/>
    <col min="776" max="776" width="9.7890625" style="60" bestFit="1" customWidth="1"/>
    <col min="777" max="777" width="12.15625" style="60" bestFit="1" customWidth="1"/>
    <col min="778" max="778" width="25.5234375" style="60" bestFit="1" customWidth="1"/>
    <col min="779" max="779" width="8.734375" style="60"/>
    <col min="780" max="780" width="14.47265625" style="60" customWidth="1"/>
    <col min="781" max="1024" width="8.734375" style="60"/>
    <col min="1025" max="1025" width="3.5234375" style="60" customWidth="1"/>
    <col min="1026" max="1026" width="23.47265625" style="60" customWidth="1"/>
    <col min="1027" max="1027" width="20.5234375" style="60" customWidth="1"/>
    <col min="1028" max="1028" width="28.47265625" style="60" customWidth="1"/>
    <col min="1029" max="1029" width="29.5234375" style="60" bestFit="1" customWidth="1"/>
    <col min="1030" max="1030" width="10.47265625" style="60" bestFit="1" customWidth="1"/>
    <col min="1031" max="1031" width="16.47265625" style="60" bestFit="1" customWidth="1"/>
    <col min="1032" max="1032" width="9.7890625" style="60" bestFit="1" customWidth="1"/>
    <col min="1033" max="1033" width="12.15625" style="60" bestFit="1" customWidth="1"/>
    <col min="1034" max="1034" width="25.5234375" style="60" bestFit="1" customWidth="1"/>
    <col min="1035" max="1035" width="8.734375" style="60"/>
    <col min="1036" max="1036" width="14.47265625" style="60" customWidth="1"/>
    <col min="1037" max="1280" width="8.734375" style="60"/>
    <col min="1281" max="1281" width="3.5234375" style="60" customWidth="1"/>
    <col min="1282" max="1282" width="23.47265625" style="60" customWidth="1"/>
    <col min="1283" max="1283" width="20.5234375" style="60" customWidth="1"/>
    <col min="1284" max="1284" width="28.47265625" style="60" customWidth="1"/>
    <col min="1285" max="1285" width="29.5234375" style="60" bestFit="1" customWidth="1"/>
    <col min="1286" max="1286" width="10.47265625" style="60" bestFit="1" customWidth="1"/>
    <col min="1287" max="1287" width="16.47265625" style="60" bestFit="1" customWidth="1"/>
    <col min="1288" max="1288" width="9.7890625" style="60" bestFit="1" customWidth="1"/>
    <col min="1289" max="1289" width="12.15625" style="60" bestFit="1" customWidth="1"/>
    <col min="1290" max="1290" width="25.5234375" style="60" bestFit="1" customWidth="1"/>
    <col min="1291" max="1291" width="8.734375" style="60"/>
    <col min="1292" max="1292" width="14.47265625" style="60" customWidth="1"/>
    <col min="1293" max="1536" width="8.734375" style="60"/>
    <col min="1537" max="1537" width="3.5234375" style="60" customWidth="1"/>
    <col min="1538" max="1538" width="23.47265625" style="60" customWidth="1"/>
    <col min="1539" max="1539" width="20.5234375" style="60" customWidth="1"/>
    <col min="1540" max="1540" width="28.47265625" style="60" customWidth="1"/>
    <col min="1541" max="1541" width="29.5234375" style="60" bestFit="1" customWidth="1"/>
    <col min="1542" max="1542" width="10.47265625" style="60" bestFit="1" customWidth="1"/>
    <col min="1543" max="1543" width="16.47265625" style="60" bestFit="1" customWidth="1"/>
    <col min="1544" max="1544" width="9.7890625" style="60" bestFit="1" customWidth="1"/>
    <col min="1545" max="1545" width="12.15625" style="60" bestFit="1" customWidth="1"/>
    <col min="1546" max="1546" width="25.5234375" style="60" bestFit="1" customWidth="1"/>
    <col min="1547" max="1547" width="8.734375" style="60"/>
    <col min="1548" max="1548" width="14.47265625" style="60" customWidth="1"/>
    <col min="1549" max="1792" width="8.734375" style="60"/>
    <col min="1793" max="1793" width="3.5234375" style="60" customWidth="1"/>
    <col min="1794" max="1794" width="23.47265625" style="60" customWidth="1"/>
    <col min="1795" max="1795" width="20.5234375" style="60" customWidth="1"/>
    <col min="1796" max="1796" width="28.47265625" style="60" customWidth="1"/>
    <col min="1797" max="1797" width="29.5234375" style="60" bestFit="1" customWidth="1"/>
    <col min="1798" max="1798" width="10.47265625" style="60" bestFit="1" customWidth="1"/>
    <col min="1799" max="1799" width="16.47265625" style="60" bestFit="1" customWidth="1"/>
    <col min="1800" max="1800" width="9.7890625" style="60" bestFit="1" customWidth="1"/>
    <col min="1801" max="1801" width="12.15625" style="60" bestFit="1" customWidth="1"/>
    <col min="1802" max="1802" width="25.5234375" style="60" bestFit="1" customWidth="1"/>
    <col min="1803" max="1803" width="8.734375" style="60"/>
    <col min="1804" max="1804" width="14.47265625" style="60" customWidth="1"/>
    <col min="1805" max="2048" width="8.734375" style="60"/>
    <col min="2049" max="2049" width="3.5234375" style="60" customWidth="1"/>
    <col min="2050" max="2050" width="23.47265625" style="60" customWidth="1"/>
    <col min="2051" max="2051" width="20.5234375" style="60" customWidth="1"/>
    <col min="2052" max="2052" width="28.47265625" style="60" customWidth="1"/>
    <col min="2053" max="2053" width="29.5234375" style="60" bestFit="1" customWidth="1"/>
    <col min="2054" max="2054" width="10.47265625" style="60" bestFit="1" customWidth="1"/>
    <col min="2055" max="2055" width="16.47265625" style="60" bestFit="1" customWidth="1"/>
    <col min="2056" max="2056" width="9.7890625" style="60" bestFit="1" customWidth="1"/>
    <col min="2057" max="2057" width="12.15625" style="60" bestFit="1" customWidth="1"/>
    <col min="2058" max="2058" width="25.5234375" style="60" bestFit="1" customWidth="1"/>
    <col min="2059" max="2059" width="8.734375" style="60"/>
    <col min="2060" max="2060" width="14.47265625" style="60" customWidth="1"/>
    <col min="2061" max="2304" width="8.734375" style="60"/>
    <col min="2305" max="2305" width="3.5234375" style="60" customWidth="1"/>
    <col min="2306" max="2306" width="23.47265625" style="60" customWidth="1"/>
    <col min="2307" max="2307" width="20.5234375" style="60" customWidth="1"/>
    <col min="2308" max="2308" width="28.47265625" style="60" customWidth="1"/>
    <col min="2309" max="2309" width="29.5234375" style="60" bestFit="1" customWidth="1"/>
    <col min="2310" max="2310" width="10.47265625" style="60" bestFit="1" customWidth="1"/>
    <col min="2311" max="2311" width="16.47265625" style="60" bestFit="1" customWidth="1"/>
    <col min="2312" max="2312" width="9.7890625" style="60" bestFit="1" customWidth="1"/>
    <col min="2313" max="2313" width="12.15625" style="60" bestFit="1" customWidth="1"/>
    <col min="2314" max="2314" width="25.5234375" style="60" bestFit="1" customWidth="1"/>
    <col min="2315" max="2315" width="8.734375" style="60"/>
    <col min="2316" max="2316" width="14.47265625" style="60" customWidth="1"/>
    <col min="2317" max="2560" width="8.734375" style="60"/>
    <col min="2561" max="2561" width="3.5234375" style="60" customWidth="1"/>
    <col min="2562" max="2562" width="23.47265625" style="60" customWidth="1"/>
    <col min="2563" max="2563" width="20.5234375" style="60" customWidth="1"/>
    <col min="2564" max="2564" width="28.47265625" style="60" customWidth="1"/>
    <col min="2565" max="2565" width="29.5234375" style="60" bestFit="1" customWidth="1"/>
    <col min="2566" max="2566" width="10.47265625" style="60" bestFit="1" customWidth="1"/>
    <col min="2567" max="2567" width="16.47265625" style="60" bestFit="1" customWidth="1"/>
    <col min="2568" max="2568" width="9.7890625" style="60" bestFit="1" customWidth="1"/>
    <col min="2569" max="2569" width="12.15625" style="60" bestFit="1" customWidth="1"/>
    <col min="2570" max="2570" width="25.5234375" style="60" bestFit="1" customWidth="1"/>
    <col min="2571" max="2571" width="8.734375" style="60"/>
    <col min="2572" max="2572" width="14.47265625" style="60" customWidth="1"/>
    <col min="2573" max="2816" width="8.734375" style="60"/>
    <col min="2817" max="2817" width="3.5234375" style="60" customWidth="1"/>
    <col min="2818" max="2818" width="23.47265625" style="60" customWidth="1"/>
    <col min="2819" max="2819" width="20.5234375" style="60" customWidth="1"/>
    <col min="2820" max="2820" width="28.47265625" style="60" customWidth="1"/>
    <col min="2821" max="2821" width="29.5234375" style="60" bestFit="1" customWidth="1"/>
    <col min="2822" max="2822" width="10.47265625" style="60" bestFit="1" customWidth="1"/>
    <col min="2823" max="2823" width="16.47265625" style="60" bestFit="1" customWidth="1"/>
    <col min="2824" max="2824" width="9.7890625" style="60" bestFit="1" customWidth="1"/>
    <col min="2825" max="2825" width="12.15625" style="60" bestFit="1" customWidth="1"/>
    <col min="2826" max="2826" width="25.5234375" style="60" bestFit="1" customWidth="1"/>
    <col min="2827" max="2827" width="8.734375" style="60"/>
    <col min="2828" max="2828" width="14.47265625" style="60" customWidth="1"/>
    <col min="2829" max="3072" width="8.734375" style="60"/>
    <col min="3073" max="3073" width="3.5234375" style="60" customWidth="1"/>
    <col min="3074" max="3074" width="23.47265625" style="60" customWidth="1"/>
    <col min="3075" max="3075" width="20.5234375" style="60" customWidth="1"/>
    <col min="3076" max="3076" width="28.47265625" style="60" customWidth="1"/>
    <col min="3077" max="3077" width="29.5234375" style="60" bestFit="1" customWidth="1"/>
    <col min="3078" max="3078" width="10.47265625" style="60" bestFit="1" customWidth="1"/>
    <col min="3079" max="3079" width="16.47265625" style="60" bestFit="1" customWidth="1"/>
    <col min="3080" max="3080" width="9.7890625" style="60" bestFit="1" customWidth="1"/>
    <col min="3081" max="3081" width="12.15625" style="60" bestFit="1" customWidth="1"/>
    <col min="3082" max="3082" width="25.5234375" style="60" bestFit="1" customWidth="1"/>
    <col min="3083" max="3083" width="8.734375" style="60"/>
    <col min="3084" max="3084" width="14.47265625" style="60" customWidth="1"/>
    <col min="3085" max="3328" width="8.734375" style="60"/>
    <col min="3329" max="3329" width="3.5234375" style="60" customWidth="1"/>
    <col min="3330" max="3330" width="23.47265625" style="60" customWidth="1"/>
    <col min="3331" max="3331" width="20.5234375" style="60" customWidth="1"/>
    <col min="3332" max="3332" width="28.47265625" style="60" customWidth="1"/>
    <col min="3333" max="3333" width="29.5234375" style="60" bestFit="1" customWidth="1"/>
    <col min="3334" max="3334" width="10.47265625" style="60" bestFit="1" customWidth="1"/>
    <col min="3335" max="3335" width="16.47265625" style="60" bestFit="1" customWidth="1"/>
    <col min="3336" max="3336" width="9.7890625" style="60" bestFit="1" customWidth="1"/>
    <col min="3337" max="3337" width="12.15625" style="60" bestFit="1" customWidth="1"/>
    <col min="3338" max="3338" width="25.5234375" style="60" bestFit="1" customWidth="1"/>
    <col min="3339" max="3339" width="8.734375" style="60"/>
    <col min="3340" max="3340" width="14.47265625" style="60" customWidth="1"/>
    <col min="3341" max="3584" width="8.734375" style="60"/>
    <col min="3585" max="3585" width="3.5234375" style="60" customWidth="1"/>
    <col min="3586" max="3586" width="23.47265625" style="60" customWidth="1"/>
    <col min="3587" max="3587" width="20.5234375" style="60" customWidth="1"/>
    <col min="3588" max="3588" width="28.47265625" style="60" customWidth="1"/>
    <col min="3589" max="3589" width="29.5234375" style="60" bestFit="1" customWidth="1"/>
    <col min="3590" max="3590" width="10.47265625" style="60" bestFit="1" customWidth="1"/>
    <col min="3591" max="3591" width="16.47265625" style="60" bestFit="1" customWidth="1"/>
    <col min="3592" max="3592" width="9.7890625" style="60" bestFit="1" customWidth="1"/>
    <col min="3593" max="3593" width="12.15625" style="60" bestFit="1" customWidth="1"/>
    <col min="3594" max="3594" width="25.5234375" style="60" bestFit="1" customWidth="1"/>
    <col min="3595" max="3595" width="8.734375" style="60"/>
    <col min="3596" max="3596" width="14.47265625" style="60" customWidth="1"/>
    <col min="3597" max="3840" width="8.734375" style="60"/>
    <col min="3841" max="3841" width="3.5234375" style="60" customWidth="1"/>
    <col min="3842" max="3842" width="23.47265625" style="60" customWidth="1"/>
    <col min="3843" max="3843" width="20.5234375" style="60" customWidth="1"/>
    <col min="3844" max="3844" width="28.47265625" style="60" customWidth="1"/>
    <col min="3845" max="3845" width="29.5234375" style="60" bestFit="1" customWidth="1"/>
    <col min="3846" max="3846" width="10.47265625" style="60" bestFit="1" customWidth="1"/>
    <col min="3847" max="3847" width="16.47265625" style="60" bestFit="1" customWidth="1"/>
    <col min="3848" max="3848" width="9.7890625" style="60" bestFit="1" customWidth="1"/>
    <col min="3849" max="3849" width="12.15625" style="60" bestFit="1" customWidth="1"/>
    <col min="3850" max="3850" width="25.5234375" style="60" bestFit="1" customWidth="1"/>
    <col min="3851" max="3851" width="8.734375" style="60"/>
    <col min="3852" max="3852" width="14.47265625" style="60" customWidth="1"/>
    <col min="3853" max="4096" width="8.734375" style="60"/>
    <col min="4097" max="4097" width="3.5234375" style="60" customWidth="1"/>
    <col min="4098" max="4098" width="23.47265625" style="60" customWidth="1"/>
    <col min="4099" max="4099" width="20.5234375" style="60" customWidth="1"/>
    <col min="4100" max="4100" width="28.47265625" style="60" customWidth="1"/>
    <col min="4101" max="4101" width="29.5234375" style="60" bestFit="1" customWidth="1"/>
    <col min="4102" max="4102" width="10.47265625" style="60" bestFit="1" customWidth="1"/>
    <col min="4103" max="4103" width="16.47265625" style="60" bestFit="1" customWidth="1"/>
    <col min="4104" max="4104" width="9.7890625" style="60" bestFit="1" customWidth="1"/>
    <col min="4105" max="4105" width="12.15625" style="60" bestFit="1" customWidth="1"/>
    <col min="4106" max="4106" width="25.5234375" style="60" bestFit="1" customWidth="1"/>
    <col min="4107" max="4107" width="8.734375" style="60"/>
    <col min="4108" max="4108" width="14.47265625" style="60" customWidth="1"/>
    <col min="4109" max="4352" width="8.734375" style="60"/>
    <col min="4353" max="4353" width="3.5234375" style="60" customWidth="1"/>
    <col min="4354" max="4354" width="23.47265625" style="60" customWidth="1"/>
    <col min="4355" max="4355" width="20.5234375" style="60" customWidth="1"/>
    <col min="4356" max="4356" width="28.47265625" style="60" customWidth="1"/>
    <col min="4357" max="4357" width="29.5234375" style="60" bestFit="1" customWidth="1"/>
    <col min="4358" max="4358" width="10.47265625" style="60" bestFit="1" customWidth="1"/>
    <col min="4359" max="4359" width="16.47265625" style="60" bestFit="1" customWidth="1"/>
    <col min="4360" max="4360" width="9.7890625" style="60" bestFit="1" customWidth="1"/>
    <col min="4361" max="4361" width="12.15625" style="60" bestFit="1" customWidth="1"/>
    <col min="4362" max="4362" width="25.5234375" style="60" bestFit="1" customWidth="1"/>
    <col min="4363" max="4363" width="8.734375" style="60"/>
    <col min="4364" max="4364" width="14.47265625" style="60" customWidth="1"/>
    <col min="4365" max="4608" width="8.734375" style="60"/>
    <col min="4609" max="4609" width="3.5234375" style="60" customWidth="1"/>
    <col min="4610" max="4610" width="23.47265625" style="60" customWidth="1"/>
    <col min="4611" max="4611" width="20.5234375" style="60" customWidth="1"/>
    <col min="4612" max="4612" width="28.47265625" style="60" customWidth="1"/>
    <col min="4613" max="4613" width="29.5234375" style="60" bestFit="1" customWidth="1"/>
    <col min="4614" max="4614" width="10.47265625" style="60" bestFit="1" customWidth="1"/>
    <col min="4615" max="4615" width="16.47265625" style="60" bestFit="1" customWidth="1"/>
    <col min="4616" max="4616" width="9.7890625" style="60" bestFit="1" customWidth="1"/>
    <col min="4617" max="4617" width="12.15625" style="60" bestFit="1" customWidth="1"/>
    <col min="4618" max="4618" width="25.5234375" style="60" bestFit="1" customWidth="1"/>
    <col min="4619" max="4619" width="8.734375" style="60"/>
    <col min="4620" max="4620" width="14.47265625" style="60" customWidth="1"/>
    <col min="4621" max="4864" width="8.734375" style="60"/>
    <col min="4865" max="4865" width="3.5234375" style="60" customWidth="1"/>
    <col min="4866" max="4866" width="23.47265625" style="60" customWidth="1"/>
    <col min="4867" max="4867" width="20.5234375" style="60" customWidth="1"/>
    <col min="4868" max="4868" width="28.47265625" style="60" customWidth="1"/>
    <col min="4869" max="4869" width="29.5234375" style="60" bestFit="1" customWidth="1"/>
    <col min="4870" max="4870" width="10.47265625" style="60" bestFit="1" customWidth="1"/>
    <col min="4871" max="4871" width="16.47265625" style="60" bestFit="1" customWidth="1"/>
    <col min="4872" max="4872" width="9.7890625" style="60" bestFit="1" customWidth="1"/>
    <col min="4873" max="4873" width="12.15625" style="60" bestFit="1" customWidth="1"/>
    <col min="4874" max="4874" width="25.5234375" style="60" bestFit="1" customWidth="1"/>
    <col min="4875" max="4875" width="8.734375" style="60"/>
    <col min="4876" max="4876" width="14.47265625" style="60" customWidth="1"/>
    <col min="4877" max="5120" width="8.734375" style="60"/>
    <col min="5121" max="5121" width="3.5234375" style="60" customWidth="1"/>
    <col min="5122" max="5122" width="23.47265625" style="60" customWidth="1"/>
    <col min="5123" max="5123" width="20.5234375" style="60" customWidth="1"/>
    <col min="5124" max="5124" width="28.47265625" style="60" customWidth="1"/>
    <col min="5125" max="5125" width="29.5234375" style="60" bestFit="1" customWidth="1"/>
    <col min="5126" max="5126" width="10.47265625" style="60" bestFit="1" customWidth="1"/>
    <col min="5127" max="5127" width="16.47265625" style="60" bestFit="1" customWidth="1"/>
    <col min="5128" max="5128" width="9.7890625" style="60" bestFit="1" customWidth="1"/>
    <col min="5129" max="5129" width="12.15625" style="60" bestFit="1" customWidth="1"/>
    <col min="5130" max="5130" width="25.5234375" style="60" bestFit="1" customWidth="1"/>
    <col min="5131" max="5131" width="8.734375" style="60"/>
    <col min="5132" max="5132" width="14.47265625" style="60" customWidth="1"/>
    <col min="5133" max="5376" width="8.734375" style="60"/>
    <col min="5377" max="5377" width="3.5234375" style="60" customWidth="1"/>
    <col min="5378" max="5378" width="23.47265625" style="60" customWidth="1"/>
    <col min="5379" max="5379" width="20.5234375" style="60" customWidth="1"/>
    <col min="5380" max="5380" width="28.47265625" style="60" customWidth="1"/>
    <col min="5381" max="5381" width="29.5234375" style="60" bestFit="1" customWidth="1"/>
    <col min="5382" max="5382" width="10.47265625" style="60" bestFit="1" customWidth="1"/>
    <col min="5383" max="5383" width="16.47265625" style="60" bestFit="1" customWidth="1"/>
    <col min="5384" max="5384" width="9.7890625" style="60" bestFit="1" customWidth="1"/>
    <col min="5385" max="5385" width="12.15625" style="60" bestFit="1" customWidth="1"/>
    <col min="5386" max="5386" width="25.5234375" style="60" bestFit="1" customWidth="1"/>
    <col min="5387" max="5387" width="8.734375" style="60"/>
    <col min="5388" max="5388" width="14.47265625" style="60" customWidth="1"/>
    <col min="5389" max="5632" width="8.734375" style="60"/>
    <col min="5633" max="5633" width="3.5234375" style="60" customWidth="1"/>
    <col min="5634" max="5634" width="23.47265625" style="60" customWidth="1"/>
    <col min="5635" max="5635" width="20.5234375" style="60" customWidth="1"/>
    <col min="5636" max="5636" width="28.47265625" style="60" customWidth="1"/>
    <col min="5637" max="5637" width="29.5234375" style="60" bestFit="1" customWidth="1"/>
    <col min="5638" max="5638" width="10.47265625" style="60" bestFit="1" customWidth="1"/>
    <col min="5639" max="5639" width="16.47265625" style="60" bestFit="1" customWidth="1"/>
    <col min="5640" max="5640" width="9.7890625" style="60" bestFit="1" customWidth="1"/>
    <col min="5641" max="5641" width="12.15625" style="60" bestFit="1" customWidth="1"/>
    <col min="5642" max="5642" width="25.5234375" style="60" bestFit="1" customWidth="1"/>
    <col min="5643" max="5643" width="8.734375" style="60"/>
    <col min="5644" max="5644" width="14.47265625" style="60" customWidth="1"/>
    <col min="5645" max="5888" width="8.734375" style="60"/>
    <col min="5889" max="5889" width="3.5234375" style="60" customWidth="1"/>
    <col min="5890" max="5890" width="23.47265625" style="60" customWidth="1"/>
    <col min="5891" max="5891" width="20.5234375" style="60" customWidth="1"/>
    <col min="5892" max="5892" width="28.47265625" style="60" customWidth="1"/>
    <col min="5893" max="5893" width="29.5234375" style="60" bestFit="1" customWidth="1"/>
    <col min="5894" max="5894" width="10.47265625" style="60" bestFit="1" customWidth="1"/>
    <col min="5895" max="5895" width="16.47265625" style="60" bestFit="1" customWidth="1"/>
    <col min="5896" max="5896" width="9.7890625" style="60" bestFit="1" customWidth="1"/>
    <col min="5897" max="5897" width="12.15625" style="60" bestFit="1" customWidth="1"/>
    <col min="5898" max="5898" width="25.5234375" style="60" bestFit="1" customWidth="1"/>
    <col min="5899" max="5899" width="8.734375" style="60"/>
    <col min="5900" max="5900" width="14.47265625" style="60" customWidth="1"/>
    <col min="5901" max="6144" width="8.734375" style="60"/>
    <col min="6145" max="6145" width="3.5234375" style="60" customWidth="1"/>
    <col min="6146" max="6146" width="23.47265625" style="60" customWidth="1"/>
    <col min="6147" max="6147" width="20.5234375" style="60" customWidth="1"/>
    <col min="6148" max="6148" width="28.47265625" style="60" customWidth="1"/>
    <col min="6149" max="6149" width="29.5234375" style="60" bestFit="1" customWidth="1"/>
    <col min="6150" max="6150" width="10.47265625" style="60" bestFit="1" customWidth="1"/>
    <col min="6151" max="6151" width="16.47265625" style="60" bestFit="1" customWidth="1"/>
    <col min="6152" max="6152" width="9.7890625" style="60" bestFit="1" customWidth="1"/>
    <col min="6153" max="6153" width="12.15625" style="60" bestFit="1" customWidth="1"/>
    <col min="6154" max="6154" width="25.5234375" style="60" bestFit="1" customWidth="1"/>
    <col min="6155" max="6155" width="8.734375" style="60"/>
    <col min="6156" max="6156" width="14.47265625" style="60" customWidth="1"/>
    <col min="6157" max="6400" width="8.734375" style="60"/>
    <col min="6401" max="6401" width="3.5234375" style="60" customWidth="1"/>
    <col min="6402" max="6402" width="23.47265625" style="60" customWidth="1"/>
    <col min="6403" max="6403" width="20.5234375" style="60" customWidth="1"/>
    <col min="6404" max="6404" width="28.47265625" style="60" customWidth="1"/>
    <col min="6405" max="6405" width="29.5234375" style="60" bestFit="1" customWidth="1"/>
    <col min="6406" max="6406" width="10.47265625" style="60" bestFit="1" customWidth="1"/>
    <col min="6407" max="6407" width="16.47265625" style="60" bestFit="1" customWidth="1"/>
    <col min="6408" max="6408" width="9.7890625" style="60" bestFit="1" customWidth="1"/>
    <col min="6409" max="6409" width="12.15625" style="60" bestFit="1" customWidth="1"/>
    <col min="6410" max="6410" width="25.5234375" style="60" bestFit="1" customWidth="1"/>
    <col min="6411" max="6411" width="8.734375" style="60"/>
    <col min="6412" max="6412" width="14.47265625" style="60" customWidth="1"/>
    <col min="6413" max="6656" width="8.734375" style="60"/>
    <col min="6657" max="6657" width="3.5234375" style="60" customWidth="1"/>
    <col min="6658" max="6658" width="23.47265625" style="60" customWidth="1"/>
    <col min="6659" max="6659" width="20.5234375" style="60" customWidth="1"/>
    <col min="6660" max="6660" width="28.47265625" style="60" customWidth="1"/>
    <col min="6661" max="6661" width="29.5234375" style="60" bestFit="1" customWidth="1"/>
    <col min="6662" max="6662" width="10.47265625" style="60" bestFit="1" customWidth="1"/>
    <col min="6663" max="6663" width="16.47265625" style="60" bestFit="1" customWidth="1"/>
    <col min="6664" max="6664" width="9.7890625" style="60" bestFit="1" customWidth="1"/>
    <col min="6665" max="6665" width="12.15625" style="60" bestFit="1" customWidth="1"/>
    <col min="6666" max="6666" width="25.5234375" style="60" bestFit="1" customWidth="1"/>
    <col min="6667" max="6667" width="8.734375" style="60"/>
    <col min="6668" max="6668" width="14.47265625" style="60" customWidth="1"/>
    <col min="6669" max="6912" width="8.734375" style="60"/>
    <col min="6913" max="6913" width="3.5234375" style="60" customWidth="1"/>
    <col min="6914" max="6914" width="23.47265625" style="60" customWidth="1"/>
    <col min="6915" max="6915" width="20.5234375" style="60" customWidth="1"/>
    <col min="6916" max="6916" width="28.47265625" style="60" customWidth="1"/>
    <col min="6917" max="6917" width="29.5234375" style="60" bestFit="1" customWidth="1"/>
    <col min="6918" max="6918" width="10.47265625" style="60" bestFit="1" customWidth="1"/>
    <col min="6919" max="6919" width="16.47265625" style="60" bestFit="1" customWidth="1"/>
    <col min="6920" max="6920" width="9.7890625" style="60" bestFit="1" customWidth="1"/>
    <col min="6921" max="6921" width="12.15625" style="60" bestFit="1" customWidth="1"/>
    <col min="6922" max="6922" width="25.5234375" style="60" bestFit="1" customWidth="1"/>
    <col min="6923" max="6923" width="8.734375" style="60"/>
    <col min="6924" max="6924" width="14.47265625" style="60" customWidth="1"/>
    <col min="6925" max="7168" width="8.734375" style="60"/>
    <col min="7169" max="7169" width="3.5234375" style="60" customWidth="1"/>
    <col min="7170" max="7170" width="23.47265625" style="60" customWidth="1"/>
    <col min="7171" max="7171" width="20.5234375" style="60" customWidth="1"/>
    <col min="7172" max="7172" width="28.47265625" style="60" customWidth="1"/>
    <col min="7173" max="7173" width="29.5234375" style="60" bestFit="1" customWidth="1"/>
    <col min="7174" max="7174" width="10.47265625" style="60" bestFit="1" customWidth="1"/>
    <col min="7175" max="7175" width="16.47265625" style="60" bestFit="1" customWidth="1"/>
    <col min="7176" max="7176" width="9.7890625" style="60" bestFit="1" customWidth="1"/>
    <col min="7177" max="7177" width="12.15625" style="60" bestFit="1" customWidth="1"/>
    <col min="7178" max="7178" width="25.5234375" style="60" bestFit="1" customWidth="1"/>
    <col min="7179" max="7179" width="8.734375" style="60"/>
    <col min="7180" max="7180" width="14.47265625" style="60" customWidth="1"/>
    <col min="7181" max="7424" width="8.734375" style="60"/>
    <col min="7425" max="7425" width="3.5234375" style="60" customWidth="1"/>
    <col min="7426" max="7426" width="23.47265625" style="60" customWidth="1"/>
    <col min="7427" max="7427" width="20.5234375" style="60" customWidth="1"/>
    <col min="7428" max="7428" width="28.47265625" style="60" customWidth="1"/>
    <col min="7429" max="7429" width="29.5234375" style="60" bestFit="1" customWidth="1"/>
    <col min="7430" max="7430" width="10.47265625" style="60" bestFit="1" customWidth="1"/>
    <col min="7431" max="7431" width="16.47265625" style="60" bestFit="1" customWidth="1"/>
    <col min="7432" max="7432" width="9.7890625" style="60" bestFit="1" customWidth="1"/>
    <col min="7433" max="7433" width="12.15625" style="60" bestFit="1" customWidth="1"/>
    <col min="7434" max="7434" width="25.5234375" style="60" bestFit="1" customWidth="1"/>
    <col min="7435" max="7435" width="8.734375" style="60"/>
    <col min="7436" max="7436" width="14.47265625" style="60" customWidth="1"/>
    <col min="7437" max="7680" width="8.734375" style="60"/>
    <col min="7681" max="7681" width="3.5234375" style="60" customWidth="1"/>
    <col min="7682" max="7682" width="23.47265625" style="60" customWidth="1"/>
    <col min="7683" max="7683" width="20.5234375" style="60" customWidth="1"/>
    <col min="7684" max="7684" width="28.47265625" style="60" customWidth="1"/>
    <col min="7685" max="7685" width="29.5234375" style="60" bestFit="1" customWidth="1"/>
    <col min="7686" max="7686" width="10.47265625" style="60" bestFit="1" customWidth="1"/>
    <col min="7687" max="7687" width="16.47265625" style="60" bestFit="1" customWidth="1"/>
    <col min="7688" max="7688" width="9.7890625" style="60" bestFit="1" customWidth="1"/>
    <col min="7689" max="7689" width="12.15625" style="60" bestFit="1" customWidth="1"/>
    <col min="7690" max="7690" width="25.5234375" style="60" bestFit="1" customWidth="1"/>
    <col min="7691" max="7691" width="8.734375" style="60"/>
    <col min="7692" max="7692" width="14.47265625" style="60" customWidth="1"/>
    <col min="7693" max="7936" width="8.734375" style="60"/>
    <col min="7937" max="7937" width="3.5234375" style="60" customWidth="1"/>
    <col min="7938" max="7938" width="23.47265625" style="60" customWidth="1"/>
    <col min="7939" max="7939" width="20.5234375" style="60" customWidth="1"/>
    <col min="7940" max="7940" width="28.47265625" style="60" customWidth="1"/>
    <col min="7941" max="7941" width="29.5234375" style="60" bestFit="1" customWidth="1"/>
    <col min="7942" max="7942" width="10.47265625" style="60" bestFit="1" customWidth="1"/>
    <col min="7943" max="7943" width="16.47265625" style="60" bestFit="1" customWidth="1"/>
    <col min="7944" max="7944" width="9.7890625" style="60" bestFit="1" customWidth="1"/>
    <col min="7945" max="7945" width="12.15625" style="60" bestFit="1" customWidth="1"/>
    <col min="7946" max="7946" width="25.5234375" style="60" bestFit="1" customWidth="1"/>
    <col min="7947" max="7947" width="8.734375" style="60"/>
    <col min="7948" max="7948" width="14.47265625" style="60" customWidth="1"/>
    <col min="7949" max="8192" width="8.734375" style="60"/>
    <col min="8193" max="8193" width="3.5234375" style="60" customWidth="1"/>
    <col min="8194" max="8194" width="23.47265625" style="60" customWidth="1"/>
    <col min="8195" max="8195" width="20.5234375" style="60" customWidth="1"/>
    <col min="8196" max="8196" width="28.47265625" style="60" customWidth="1"/>
    <col min="8197" max="8197" width="29.5234375" style="60" bestFit="1" customWidth="1"/>
    <col min="8198" max="8198" width="10.47265625" style="60" bestFit="1" customWidth="1"/>
    <col min="8199" max="8199" width="16.47265625" style="60" bestFit="1" customWidth="1"/>
    <col min="8200" max="8200" width="9.7890625" style="60" bestFit="1" customWidth="1"/>
    <col min="8201" max="8201" width="12.15625" style="60" bestFit="1" customWidth="1"/>
    <col min="8202" max="8202" width="25.5234375" style="60" bestFit="1" customWidth="1"/>
    <col min="8203" max="8203" width="8.734375" style="60"/>
    <col min="8204" max="8204" width="14.47265625" style="60" customWidth="1"/>
    <col min="8205" max="8448" width="8.734375" style="60"/>
    <col min="8449" max="8449" width="3.5234375" style="60" customWidth="1"/>
    <col min="8450" max="8450" width="23.47265625" style="60" customWidth="1"/>
    <col min="8451" max="8451" width="20.5234375" style="60" customWidth="1"/>
    <col min="8452" max="8452" width="28.47265625" style="60" customWidth="1"/>
    <col min="8453" max="8453" width="29.5234375" style="60" bestFit="1" customWidth="1"/>
    <col min="8454" max="8454" width="10.47265625" style="60" bestFit="1" customWidth="1"/>
    <col min="8455" max="8455" width="16.47265625" style="60" bestFit="1" customWidth="1"/>
    <col min="8456" max="8456" width="9.7890625" style="60" bestFit="1" customWidth="1"/>
    <col min="8457" max="8457" width="12.15625" style="60" bestFit="1" customWidth="1"/>
    <col min="8458" max="8458" width="25.5234375" style="60" bestFit="1" customWidth="1"/>
    <col min="8459" max="8459" width="8.734375" style="60"/>
    <col min="8460" max="8460" width="14.47265625" style="60" customWidth="1"/>
    <col min="8461" max="8704" width="8.734375" style="60"/>
    <col min="8705" max="8705" width="3.5234375" style="60" customWidth="1"/>
    <col min="8706" max="8706" width="23.47265625" style="60" customWidth="1"/>
    <col min="8707" max="8707" width="20.5234375" style="60" customWidth="1"/>
    <col min="8708" max="8708" width="28.47265625" style="60" customWidth="1"/>
    <col min="8709" max="8709" width="29.5234375" style="60" bestFit="1" customWidth="1"/>
    <col min="8710" max="8710" width="10.47265625" style="60" bestFit="1" customWidth="1"/>
    <col min="8711" max="8711" width="16.47265625" style="60" bestFit="1" customWidth="1"/>
    <col min="8712" max="8712" width="9.7890625" style="60" bestFit="1" customWidth="1"/>
    <col min="8713" max="8713" width="12.15625" style="60" bestFit="1" customWidth="1"/>
    <col min="8714" max="8714" width="25.5234375" style="60" bestFit="1" customWidth="1"/>
    <col min="8715" max="8715" width="8.734375" style="60"/>
    <col min="8716" max="8716" width="14.47265625" style="60" customWidth="1"/>
    <col min="8717" max="8960" width="8.734375" style="60"/>
    <col min="8961" max="8961" width="3.5234375" style="60" customWidth="1"/>
    <col min="8962" max="8962" width="23.47265625" style="60" customWidth="1"/>
    <col min="8963" max="8963" width="20.5234375" style="60" customWidth="1"/>
    <col min="8964" max="8964" width="28.47265625" style="60" customWidth="1"/>
    <col min="8965" max="8965" width="29.5234375" style="60" bestFit="1" customWidth="1"/>
    <col min="8966" max="8966" width="10.47265625" style="60" bestFit="1" customWidth="1"/>
    <col min="8967" max="8967" width="16.47265625" style="60" bestFit="1" customWidth="1"/>
    <col min="8968" max="8968" width="9.7890625" style="60" bestFit="1" customWidth="1"/>
    <col min="8969" max="8969" width="12.15625" style="60" bestFit="1" customWidth="1"/>
    <col min="8970" max="8970" width="25.5234375" style="60" bestFit="1" customWidth="1"/>
    <col min="8971" max="8971" width="8.734375" style="60"/>
    <col min="8972" max="8972" width="14.47265625" style="60" customWidth="1"/>
    <col min="8973" max="9216" width="8.734375" style="60"/>
    <col min="9217" max="9217" width="3.5234375" style="60" customWidth="1"/>
    <col min="9218" max="9218" width="23.47265625" style="60" customWidth="1"/>
    <col min="9219" max="9219" width="20.5234375" style="60" customWidth="1"/>
    <col min="9220" max="9220" width="28.47265625" style="60" customWidth="1"/>
    <col min="9221" max="9221" width="29.5234375" style="60" bestFit="1" customWidth="1"/>
    <col min="9222" max="9222" width="10.47265625" style="60" bestFit="1" customWidth="1"/>
    <col min="9223" max="9223" width="16.47265625" style="60" bestFit="1" customWidth="1"/>
    <col min="9224" max="9224" width="9.7890625" style="60" bestFit="1" customWidth="1"/>
    <col min="9225" max="9225" width="12.15625" style="60" bestFit="1" customWidth="1"/>
    <col min="9226" max="9226" width="25.5234375" style="60" bestFit="1" customWidth="1"/>
    <col min="9227" max="9227" width="8.734375" style="60"/>
    <col min="9228" max="9228" width="14.47265625" style="60" customWidth="1"/>
    <col min="9229" max="9472" width="8.734375" style="60"/>
    <col min="9473" max="9473" width="3.5234375" style="60" customWidth="1"/>
    <col min="9474" max="9474" width="23.47265625" style="60" customWidth="1"/>
    <col min="9475" max="9475" width="20.5234375" style="60" customWidth="1"/>
    <col min="9476" max="9476" width="28.47265625" style="60" customWidth="1"/>
    <col min="9477" max="9477" width="29.5234375" style="60" bestFit="1" customWidth="1"/>
    <col min="9478" max="9478" width="10.47265625" style="60" bestFit="1" customWidth="1"/>
    <col min="9479" max="9479" width="16.47265625" style="60" bestFit="1" customWidth="1"/>
    <col min="9480" max="9480" width="9.7890625" style="60" bestFit="1" customWidth="1"/>
    <col min="9481" max="9481" width="12.15625" style="60" bestFit="1" customWidth="1"/>
    <col min="9482" max="9482" width="25.5234375" style="60" bestFit="1" customWidth="1"/>
    <col min="9483" max="9483" width="8.734375" style="60"/>
    <col min="9484" max="9484" width="14.47265625" style="60" customWidth="1"/>
    <col min="9485" max="9728" width="8.734375" style="60"/>
    <col min="9729" max="9729" width="3.5234375" style="60" customWidth="1"/>
    <col min="9730" max="9730" width="23.47265625" style="60" customWidth="1"/>
    <col min="9731" max="9731" width="20.5234375" style="60" customWidth="1"/>
    <col min="9732" max="9732" width="28.47265625" style="60" customWidth="1"/>
    <col min="9733" max="9733" width="29.5234375" style="60" bestFit="1" customWidth="1"/>
    <col min="9734" max="9734" width="10.47265625" style="60" bestFit="1" customWidth="1"/>
    <col min="9735" max="9735" width="16.47265625" style="60" bestFit="1" customWidth="1"/>
    <col min="9736" max="9736" width="9.7890625" style="60" bestFit="1" customWidth="1"/>
    <col min="9737" max="9737" width="12.15625" style="60" bestFit="1" customWidth="1"/>
    <col min="9738" max="9738" width="25.5234375" style="60" bestFit="1" customWidth="1"/>
    <col min="9739" max="9739" width="8.734375" style="60"/>
    <col min="9740" max="9740" width="14.47265625" style="60" customWidth="1"/>
    <col min="9741" max="9984" width="8.734375" style="60"/>
    <col min="9985" max="9985" width="3.5234375" style="60" customWidth="1"/>
    <col min="9986" max="9986" width="23.47265625" style="60" customWidth="1"/>
    <col min="9987" max="9987" width="20.5234375" style="60" customWidth="1"/>
    <col min="9988" max="9988" width="28.47265625" style="60" customWidth="1"/>
    <col min="9989" max="9989" width="29.5234375" style="60" bestFit="1" customWidth="1"/>
    <col min="9990" max="9990" width="10.47265625" style="60" bestFit="1" customWidth="1"/>
    <col min="9991" max="9991" width="16.47265625" style="60" bestFit="1" customWidth="1"/>
    <col min="9992" max="9992" width="9.7890625" style="60" bestFit="1" customWidth="1"/>
    <col min="9993" max="9993" width="12.15625" style="60" bestFit="1" customWidth="1"/>
    <col min="9994" max="9994" width="25.5234375" style="60" bestFit="1" customWidth="1"/>
    <col min="9995" max="9995" width="8.734375" style="60"/>
    <col min="9996" max="9996" width="14.47265625" style="60" customWidth="1"/>
    <col min="9997" max="10240" width="8.734375" style="60"/>
    <col min="10241" max="10241" width="3.5234375" style="60" customWidth="1"/>
    <col min="10242" max="10242" width="23.47265625" style="60" customWidth="1"/>
    <col min="10243" max="10243" width="20.5234375" style="60" customWidth="1"/>
    <col min="10244" max="10244" width="28.47265625" style="60" customWidth="1"/>
    <col min="10245" max="10245" width="29.5234375" style="60" bestFit="1" customWidth="1"/>
    <col min="10246" max="10246" width="10.47265625" style="60" bestFit="1" customWidth="1"/>
    <col min="10247" max="10247" width="16.47265625" style="60" bestFit="1" customWidth="1"/>
    <col min="10248" max="10248" width="9.7890625" style="60" bestFit="1" customWidth="1"/>
    <col min="10249" max="10249" width="12.15625" style="60" bestFit="1" customWidth="1"/>
    <col min="10250" max="10250" width="25.5234375" style="60" bestFit="1" customWidth="1"/>
    <col min="10251" max="10251" width="8.734375" style="60"/>
    <col min="10252" max="10252" width="14.47265625" style="60" customWidth="1"/>
    <col min="10253" max="10496" width="8.734375" style="60"/>
    <col min="10497" max="10497" width="3.5234375" style="60" customWidth="1"/>
    <col min="10498" max="10498" width="23.47265625" style="60" customWidth="1"/>
    <col min="10499" max="10499" width="20.5234375" style="60" customWidth="1"/>
    <col min="10500" max="10500" width="28.47265625" style="60" customWidth="1"/>
    <col min="10501" max="10501" width="29.5234375" style="60" bestFit="1" customWidth="1"/>
    <col min="10502" max="10502" width="10.47265625" style="60" bestFit="1" customWidth="1"/>
    <col min="10503" max="10503" width="16.47265625" style="60" bestFit="1" customWidth="1"/>
    <col min="10504" max="10504" width="9.7890625" style="60" bestFit="1" customWidth="1"/>
    <col min="10505" max="10505" width="12.15625" style="60" bestFit="1" customWidth="1"/>
    <col min="10506" max="10506" width="25.5234375" style="60" bestFit="1" customWidth="1"/>
    <col min="10507" max="10507" width="8.734375" style="60"/>
    <col min="10508" max="10508" width="14.47265625" style="60" customWidth="1"/>
    <col min="10509" max="10752" width="8.734375" style="60"/>
    <col min="10753" max="10753" width="3.5234375" style="60" customWidth="1"/>
    <col min="10754" max="10754" width="23.47265625" style="60" customWidth="1"/>
    <col min="10755" max="10755" width="20.5234375" style="60" customWidth="1"/>
    <col min="10756" max="10756" width="28.47265625" style="60" customWidth="1"/>
    <col min="10757" max="10757" width="29.5234375" style="60" bestFit="1" customWidth="1"/>
    <col min="10758" max="10758" width="10.47265625" style="60" bestFit="1" customWidth="1"/>
    <col min="10759" max="10759" width="16.47265625" style="60" bestFit="1" customWidth="1"/>
    <col min="10760" max="10760" width="9.7890625" style="60" bestFit="1" customWidth="1"/>
    <col min="10761" max="10761" width="12.15625" style="60" bestFit="1" customWidth="1"/>
    <col min="10762" max="10762" width="25.5234375" style="60" bestFit="1" customWidth="1"/>
    <col min="10763" max="10763" width="8.734375" style="60"/>
    <col min="10764" max="10764" width="14.47265625" style="60" customWidth="1"/>
    <col min="10765" max="11008" width="8.734375" style="60"/>
    <col min="11009" max="11009" width="3.5234375" style="60" customWidth="1"/>
    <col min="11010" max="11010" width="23.47265625" style="60" customWidth="1"/>
    <col min="11011" max="11011" width="20.5234375" style="60" customWidth="1"/>
    <col min="11012" max="11012" width="28.47265625" style="60" customWidth="1"/>
    <col min="11013" max="11013" width="29.5234375" style="60" bestFit="1" customWidth="1"/>
    <col min="11014" max="11014" width="10.47265625" style="60" bestFit="1" customWidth="1"/>
    <col min="11015" max="11015" width="16.47265625" style="60" bestFit="1" customWidth="1"/>
    <col min="11016" max="11016" width="9.7890625" style="60" bestFit="1" customWidth="1"/>
    <col min="11017" max="11017" width="12.15625" style="60" bestFit="1" customWidth="1"/>
    <col min="11018" max="11018" width="25.5234375" style="60" bestFit="1" customWidth="1"/>
    <col min="11019" max="11019" width="8.734375" style="60"/>
    <col min="11020" max="11020" width="14.47265625" style="60" customWidth="1"/>
    <col min="11021" max="11264" width="8.734375" style="60"/>
    <col min="11265" max="11265" width="3.5234375" style="60" customWidth="1"/>
    <col min="11266" max="11266" width="23.47265625" style="60" customWidth="1"/>
    <col min="11267" max="11267" width="20.5234375" style="60" customWidth="1"/>
    <col min="11268" max="11268" width="28.47265625" style="60" customWidth="1"/>
    <col min="11269" max="11269" width="29.5234375" style="60" bestFit="1" customWidth="1"/>
    <col min="11270" max="11270" width="10.47265625" style="60" bestFit="1" customWidth="1"/>
    <col min="11271" max="11271" width="16.47265625" style="60" bestFit="1" customWidth="1"/>
    <col min="11272" max="11272" width="9.7890625" style="60" bestFit="1" customWidth="1"/>
    <col min="11273" max="11273" width="12.15625" style="60" bestFit="1" customWidth="1"/>
    <col min="11274" max="11274" width="25.5234375" style="60" bestFit="1" customWidth="1"/>
    <col min="11275" max="11275" width="8.734375" style="60"/>
    <col min="11276" max="11276" width="14.47265625" style="60" customWidth="1"/>
    <col min="11277" max="11520" width="8.734375" style="60"/>
    <col min="11521" max="11521" width="3.5234375" style="60" customWidth="1"/>
    <col min="11522" max="11522" width="23.47265625" style="60" customWidth="1"/>
    <col min="11523" max="11523" width="20.5234375" style="60" customWidth="1"/>
    <col min="11524" max="11524" width="28.47265625" style="60" customWidth="1"/>
    <col min="11525" max="11525" width="29.5234375" style="60" bestFit="1" customWidth="1"/>
    <col min="11526" max="11526" width="10.47265625" style="60" bestFit="1" customWidth="1"/>
    <col min="11527" max="11527" width="16.47265625" style="60" bestFit="1" customWidth="1"/>
    <col min="11528" max="11528" width="9.7890625" style="60" bestFit="1" customWidth="1"/>
    <col min="11529" max="11529" width="12.15625" style="60" bestFit="1" customWidth="1"/>
    <col min="11530" max="11530" width="25.5234375" style="60" bestFit="1" customWidth="1"/>
    <col min="11531" max="11531" width="8.734375" style="60"/>
    <col min="11532" max="11532" width="14.47265625" style="60" customWidth="1"/>
    <col min="11533" max="11776" width="8.734375" style="60"/>
    <col min="11777" max="11777" width="3.5234375" style="60" customWidth="1"/>
    <col min="11778" max="11778" width="23.47265625" style="60" customWidth="1"/>
    <col min="11779" max="11779" width="20.5234375" style="60" customWidth="1"/>
    <col min="11780" max="11780" width="28.47265625" style="60" customWidth="1"/>
    <col min="11781" max="11781" width="29.5234375" style="60" bestFit="1" customWidth="1"/>
    <col min="11782" max="11782" width="10.47265625" style="60" bestFit="1" customWidth="1"/>
    <col min="11783" max="11783" width="16.47265625" style="60" bestFit="1" customWidth="1"/>
    <col min="11784" max="11784" width="9.7890625" style="60" bestFit="1" customWidth="1"/>
    <col min="11785" max="11785" width="12.15625" style="60" bestFit="1" customWidth="1"/>
    <col min="11786" max="11786" width="25.5234375" style="60" bestFit="1" customWidth="1"/>
    <col min="11787" max="11787" width="8.734375" style="60"/>
    <col min="11788" max="11788" width="14.47265625" style="60" customWidth="1"/>
    <col min="11789" max="12032" width="8.734375" style="60"/>
    <col min="12033" max="12033" width="3.5234375" style="60" customWidth="1"/>
    <col min="12034" max="12034" width="23.47265625" style="60" customWidth="1"/>
    <col min="12035" max="12035" width="20.5234375" style="60" customWidth="1"/>
    <col min="12036" max="12036" width="28.47265625" style="60" customWidth="1"/>
    <col min="12037" max="12037" width="29.5234375" style="60" bestFit="1" customWidth="1"/>
    <col min="12038" max="12038" width="10.47265625" style="60" bestFit="1" customWidth="1"/>
    <col min="12039" max="12039" width="16.47265625" style="60" bestFit="1" customWidth="1"/>
    <col min="12040" max="12040" width="9.7890625" style="60" bestFit="1" customWidth="1"/>
    <col min="12041" max="12041" width="12.15625" style="60" bestFit="1" customWidth="1"/>
    <col min="12042" max="12042" width="25.5234375" style="60" bestFit="1" customWidth="1"/>
    <col min="12043" max="12043" width="8.734375" style="60"/>
    <col min="12044" max="12044" width="14.47265625" style="60" customWidth="1"/>
    <col min="12045" max="12288" width="8.734375" style="60"/>
    <col min="12289" max="12289" width="3.5234375" style="60" customWidth="1"/>
    <col min="12290" max="12290" width="23.47265625" style="60" customWidth="1"/>
    <col min="12291" max="12291" width="20.5234375" style="60" customWidth="1"/>
    <col min="12292" max="12292" width="28.47265625" style="60" customWidth="1"/>
    <col min="12293" max="12293" width="29.5234375" style="60" bestFit="1" customWidth="1"/>
    <col min="12294" max="12294" width="10.47265625" style="60" bestFit="1" customWidth="1"/>
    <col min="12295" max="12295" width="16.47265625" style="60" bestFit="1" customWidth="1"/>
    <col min="12296" max="12296" width="9.7890625" style="60" bestFit="1" customWidth="1"/>
    <col min="12297" max="12297" width="12.15625" style="60" bestFit="1" customWidth="1"/>
    <col min="12298" max="12298" width="25.5234375" style="60" bestFit="1" customWidth="1"/>
    <col min="12299" max="12299" width="8.734375" style="60"/>
    <col min="12300" max="12300" width="14.47265625" style="60" customWidth="1"/>
    <col min="12301" max="12544" width="8.734375" style="60"/>
    <col min="12545" max="12545" width="3.5234375" style="60" customWidth="1"/>
    <col min="12546" max="12546" width="23.47265625" style="60" customWidth="1"/>
    <col min="12547" max="12547" width="20.5234375" style="60" customWidth="1"/>
    <col min="12548" max="12548" width="28.47265625" style="60" customWidth="1"/>
    <col min="12549" max="12549" width="29.5234375" style="60" bestFit="1" customWidth="1"/>
    <col min="12550" max="12550" width="10.47265625" style="60" bestFit="1" customWidth="1"/>
    <col min="12551" max="12551" width="16.47265625" style="60" bestFit="1" customWidth="1"/>
    <col min="12552" max="12552" width="9.7890625" style="60" bestFit="1" customWidth="1"/>
    <col min="12553" max="12553" width="12.15625" style="60" bestFit="1" customWidth="1"/>
    <col min="12554" max="12554" width="25.5234375" style="60" bestFit="1" customWidth="1"/>
    <col min="12555" max="12555" width="8.734375" style="60"/>
    <col min="12556" max="12556" width="14.47265625" style="60" customWidth="1"/>
    <col min="12557" max="12800" width="8.734375" style="60"/>
    <col min="12801" max="12801" width="3.5234375" style="60" customWidth="1"/>
    <col min="12802" max="12802" width="23.47265625" style="60" customWidth="1"/>
    <col min="12803" max="12803" width="20.5234375" style="60" customWidth="1"/>
    <col min="12804" max="12804" width="28.47265625" style="60" customWidth="1"/>
    <col min="12805" max="12805" width="29.5234375" style="60" bestFit="1" customWidth="1"/>
    <col min="12806" max="12806" width="10.47265625" style="60" bestFit="1" customWidth="1"/>
    <col min="12807" max="12807" width="16.47265625" style="60" bestFit="1" customWidth="1"/>
    <col min="12808" max="12808" width="9.7890625" style="60" bestFit="1" customWidth="1"/>
    <col min="12809" max="12809" width="12.15625" style="60" bestFit="1" customWidth="1"/>
    <col min="12810" max="12810" width="25.5234375" style="60" bestFit="1" customWidth="1"/>
    <col min="12811" max="12811" width="8.734375" style="60"/>
    <col min="12812" max="12812" width="14.47265625" style="60" customWidth="1"/>
    <col min="12813" max="13056" width="8.734375" style="60"/>
    <col min="13057" max="13057" width="3.5234375" style="60" customWidth="1"/>
    <col min="13058" max="13058" width="23.47265625" style="60" customWidth="1"/>
    <col min="13059" max="13059" width="20.5234375" style="60" customWidth="1"/>
    <col min="13060" max="13060" width="28.47265625" style="60" customWidth="1"/>
    <col min="13061" max="13061" width="29.5234375" style="60" bestFit="1" customWidth="1"/>
    <col min="13062" max="13062" width="10.47265625" style="60" bestFit="1" customWidth="1"/>
    <col min="13063" max="13063" width="16.47265625" style="60" bestFit="1" customWidth="1"/>
    <col min="13064" max="13064" width="9.7890625" style="60" bestFit="1" customWidth="1"/>
    <col min="13065" max="13065" width="12.15625" style="60" bestFit="1" customWidth="1"/>
    <col min="13066" max="13066" width="25.5234375" style="60" bestFit="1" customWidth="1"/>
    <col min="13067" max="13067" width="8.734375" style="60"/>
    <col min="13068" max="13068" width="14.47265625" style="60" customWidth="1"/>
    <col min="13069" max="13312" width="8.734375" style="60"/>
    <col min="13313" max="13313" width="3.5234375" style="60" customWidth="1"/>
    <col min="13314" max="13314" width="23.47265625" style="60" customWidth="1"/>
    <col min="13315" max="13315" width="20.5234375" style="60" customWidth="1"/>
    <col min="13316" max="13316" width="28.47265625" style="60" customWidth="1"/>
    <col min="13317" max="13317" width="29.5234375" style="60" bestFit="1" customWidth="1"/>
    <col min="13318" max="13318" width="10.47265625" style="60" bestFit="1" customWidth="1"/>
    <col min="13319" max="13319" width="16.47265625" style="60" bestFit="1" customWidth="1"/>
    <col min="13320" max="13320" width="9.7890625" style="60" bestFit="1" customWidth="1"/>
    <col min="13321" max="13321" width="12.15625" style="60" bestFit="1" customWidth="1"/>
    <col min="13322" max="13322" width="25.5234375" style="60" bestFit="1" customWidth="1"/>
    <col min="13323" max="13323" width="8.734375" style="60"/>
    <col min="13324" max="13324" width="14.47265625" style="60" customWidth="1"/>
    <col min="13325" max="13568" width="8.734375" style="60"/>
    <col min="13569" max="13569" width="3.5234375" style="60" customWidth="1"/>
    <col min="13570" max="13570" width="23.47265625" style="60" customWidth="1"/>
    <col min="13571" max="13571" width="20.5234375" style="60" customWidth="1"/>
    <col min="13572" max="13572" width="28.47265625" style="60" customWidth="1"/>
    <col min="13573" max="13573" width="29.5234375" style="60" bestFit="1" customWidth="1"/>
    <col min="13574" max="13574" width="10.47265625" style="60" bestFit="1" customWidth="1"/>
    <col min="13575" max="13575" width="16.47265625" style="60" bestFit="1" customWidth="1"/>
    <col min="13576" max="13576" width="9.7890625" style="60" bestFit="1" customWidth="1"/>
    <col min="13577" max="13577" width="12.15625" style="60" bestFit="1" customWidth="1"/>
    <col min="13578" max="13578" width="25.5234375" style="60" bestFit="1" customWidth="1"/>
    <col min="13579" max="13579" width="8.734375" style="60"/>
    <col min="13580" max="13580" width="14.47265625" style="60" customWidth="1"/>
    <col min="13581" max="13824" width="8.734375" style="60"/>
    <col min="13825" max="13825" width="3.5234375" style="60" customWidth="1"/>
    <col min="13826" max="13826" width="23.47265625" style="60" customWidth="1"/>
    <col min="13827" max="13827" width="20.5234375" style="60" customWidth="1"/>
    <col min="13828" max="13828" width="28.47265625" style="60" customWidth="1"/>
    <col min="13829" max="13829" width="29.5234375" style="60" bestFit="1" customWidth="1"/>
    <col min="13830" max="13830" width="10.47265625" style="60" bestFit="1" customWidth="1"/>
    <col min="13831" max="13831" width="16.47265625" style="60" bestFit="1" customWidth="1"/>
    <col min="13832" max="13832" width="9.7890625" style="60" bestFit="1" customWidth="1"/>
    <col min="13833" max="13833" width="12.15625" style="60" bestFit="1" customWidth="1"/>
    <col min="13834" max="13834" width="25.5234375" style="60" bestFit="1" customWidth="1"/>
    <col min="13835" max="13835" width="8.734375" style="60"/>
    <col min="13836" max="13836" width="14.47265625" style="60" customWidth="1"/>
    <col min="13837" max="14080" width="8.734375" style="60"/>
    <col min="14081" max="14081" width="3.5234375" style="60" customWidth="1"/>
    <col min="14082" max="14082" width="23.47265625" style="60" customWidth="1"/>
    <col min="14083" max="14083" width="20.5234375" style="60" customWidth="1"/>
    <col min="14084" max="14084" width="28.47265625" style="60" customWidth="1"/>
    <col min="14085" max="14085" width="29.5234375" style="60" bestFit="1" customWidth="1"/>
    <col min="14086" max="14086" width="10.47265625" style="60" bestFit="1" customWidth="1"/>
    <col min="14087" max="14087" width="16.47265625" style="60" bestFit="1" customWidth="1"/>
    <col min="14088" max="14088" width="9.7890625" style="60" bestFit="1" customWidth="1"/>
    <col min="14089" max="14089" width="12.15625" style="60" bestFit="1" customWidth="1"/>
    <col min="14090" max="14090" width="25.5234375" style="60" bestFit="1" customWidth="1"/>
    <col min="14091" max="14091" width="8.734375" style="60"/>
    <col min="14092" max="14092" width="14.47265625" style="60" customWidth="1"/>
    <col min="14093" max="14336" width="8.734375" style="60"/>
    <col min="14337" max="14337" width="3.5234375" style="60" customWidth="1"/>
    <col min="14338" max="14338" width="23.47265625" style="60" customWidth="1"/>
    <col min="14339" max="14339" width="20.5234375" style="60" customWidth="1"/>
    <col min="14340" max="14340" width="28.47265625" style="60" customWidth="1"/>
    <col min="14341" max="14341" width="29.5234375" style="60" bestFit="1" customWidth="1"/>
    <col min="14342" max="14342" width="10.47265625" style="60" bestFit="1" customWidth="1"/>
    <col min="14343" max="14343" width="16.47265625" style="60" bestFit="1" customWidth="1"/>
    <col min="14344" max="14344" width="9.7890625" style="60" bestFit="1" customWidth="1"/>
    <col min="14345" max="14345" width="12.15625" style="60" bestFit="1" customWidth="1"/>
    <col min="14346" max="14346" width="25.5234375" style="60" bestFit="1" customWidth="1"/>
    <col min="14347" max="14347" width="8.734375" style="60"/>
    <col min="14348" max="14348" width="14.47265625" style="60" customWidth="1"/>
    <col min="14349" max="14592" width="8.734375" style="60"/>
    <col min="14593" max="14593" width="3.5234375" style="60" customWidth="1"/>
    <col min="14594" max="14594" width="23.47265625" style="60" customWidth="1"/>
    <col min="14595" max="14595" width="20.5234375" style="60" customWidth="1"/>
    <col min="14596" max="14596" width="28.47265625" style="60" customWidth="1"/>
    <col min="14597" max="14597" width="29.5234375" style="60" bestFit="1" customWidth="1"/>
    <col min="14598" max="14598" width="10.47265625" style="60" bestFit="1" customWidth="1"/>
    <col min="14599" max="14599" width="16.47265625" style="60" bestFit="1" customWidth="1"/>
    <col min="14600" max="14600" width="9.7890625" style="60" bestFit="1" customWidth="1"/>
    <col min="14601" max="14601" width="12.15625" style="60" bestFit="1" customWidth="1"/>
    <col min="14602" max="14602" width="25.5234375" style="60" bestFit="1" customWidth="1"/>
    <col min="14603" max="14603" width="8.734375" style="60"/>
    <col min="14604" max="14604" width="14.47265625" style="60" customWidth="1"/>
    <col min="14605" max="14848" width="8.734375" style="60"/>
    <col min="14849" max="14849" width="3.5234375" style="60" customWidth="1"/>
    <col min="14850" max="14850" width="23.47265625" style="60" customWidth="1"/>
    <col min="14851" max="14851" width="20.5234375" style="60" customWidth="1"/>
    <col min="14852" max="14852" width="28.47265625" style="60" customWidth="1"/>
    <col min="14853" max="14853" width="29.5234375" style="60" bestFit="1" customWidth="1"/>
    <col min="14854" max="14854" width="10.47265625" style="60" bestFit="1" customWidth="1"/>
    <col min="14855" max="14855" width="16.47265625" style="60" bestFit="1" customWidth="1"/>
    <col min="14856" max="14856" width="9.7890625" style="60" bestFit="1" customWidth="1"/>
    <col min="14857" max="14857" width="12.15625" style="60" bestFit="1" customWidth="1"/>
    <col min="14858" max="14858" width="25.5234375" style="60" bestFit="1" customWidth="1"/>
    <col min="14859" max="14859" width="8.734375" style="60"/>
    <col min="14860" max="14860" width="14.47265625" style="60" customWidth="1"/>
    <col min="14861" max="15104" width="8.734375" style="60"/>
    <col min="15105" max="15105" width="3.5234375" style="60" customWidth="1"/>
    <col min="15106" max="15106" width="23.47265625" style="60" customWidth="1"/>
    <col min="15107" max="15107" width="20.5234375" style="60" customWidth="1"/>
    <col min="15108" max="15108" width="28.47265625" style="60" customWidth="1"/>
    <col min="15109" max="15109" width="29.5234375" style="60" bestFit="1" customWidth="1"/>
    <col min="15110" max="15110" width="10.47265625" style="60" bestFit="1" customWidth="1"/>
    <col min="15111" max="15111" width="16.47265625" style="60" bestFit="1" customWidth="1"/>
    <col min="15112" max="15112" width="9.7890625" style="60" bestFit="1" customWidth="1"/>
    <col min="15113" max="15113" width="12.15625" style="60" bestFit="1" customWidth="1"/>
    <col min="15114" max="15114" width="25.5234375" style="60" bestFit="1" customWidth="1"/>
    <col min="15115" max="15115" width="8.734375" style="60"/>
    <col min="15116" max="15116" width="14.47265625" style="60" customWidth="1"/>
    <col min="15117" max="15360" width="8.734375" style="60"/>
    <col min="15361" max="15361" width="3.5234375" style="60" customWidth="1"/>
    <col min="15362" max="15362" width="23.47265625" style="60" customWidth="1"/>
    <col min="15363" max="15363" width="20.5234375" style="60" customWidth="1"/>
    <col min="15364" max="15364" width="28.47265625" style="60" customWidth="1"/>
    <col min="15365" max="15365" width="29.5234375" style="60" bestFit="1" customWidth="1"/>
    <col min="15366" max="15366" width="10.47265625" style="60" bestFit="1" customWidth="1"/>
    <col min="15367" max="15367" width="16.47265625" style="60" bestFit="1" customWidth="1"/>
    <col min="15368" max="15368" width="9.7890625" style="60" bestFit="1" customWidth="1"/>
    <col min="15369" max="15369" width="12.15625" style="60" bestFit="1" customWidth="1"/>
    <col min="15370" max="15370" width="25.5234375" style="60" bestFit="1" customWidth="1"/>
    <col min="15371" max="15371" width="8.734375" style="60"/>
    <col min="15372" max="15372" width="14.47265625" style="60" customWidth="1"/>
    <col min="15373" max="15616" width="8.734375" style="60"/>
    <col min="15617" max="15617" width="3.5234375" style="60" customWidth="1"/>
    <col min="15618" max="15618" width="23.47265625" style="60" customWidth="1"/>
    <col min="15619" max="15619" width="20.5234375" style="60" customWidth="1"/>
    <col min="15620" max="15620" width="28.47265625" style="60" customWidth="1"/>
    <col min="15621" max="15621" width="29.5234375" style="60" bestFit="1" customWidth="1"/>
    <col min="15622" max="15622" width="10.47265625" style="60" bestFit="1" customWidth="1"/>
    <col min="15623" max="15623" width="16.47265625" style="60" bestFit="1" customWidth="1"/>
    <col min="15624" max="15624" width="9.7890625" style="60" bestFit="1" customWidth="1"/>
    <col min="15625" max="15625" width="12.15625" style="60" bestFit="1" customWidth="1"/>
    <col min="15626" max="15626" width="25.5234375" style="60" bestFit="1" customWidth="1"/>
    <col min="15627" max="15627" width="8.734375" style="60"/>
    <col min="15628" max="15628" width="14.47265625" style="60" customWidth="1"/>
    <col min="15629" max="15872" width="8.734375" style="60"/>
    <col min="15873" max="15873" width="3.5234375" style="60" customWidth="1"/>
    <col min="15874" max="15874" width="23.47265625" style="60" customWidth="1"/>
    <col min="15875" max="15875" width="20.5234375" style="60" customWidth="1"/>
    <col min="15876" max="15876" width="28.47265625" style="60" customWidth="1"/>
    <col min="15877" max="15877" width="29.5234375" style="60" bestFit="1" customWidth="1"/>
    <col min="15878" max="15878" width="10.47265625" style="60" bestFit="1" customWidth="1"/>
    <col min="15879" max="15879" width="16.47265625" style="60" bestFit="1" customWidth="1"/>
    <col min="15880" max="15880" width="9.7890625" style="60" bestFit="1" customWidth="1"/>
    <col min="15881" max="15881" width="12.15625" style="60" bestFit="1" customWidth="1"/>
    <col min="15882" max="15882" width="25.5234375" style="60" bestFit="1" customWidth="1"/>
    <col min="15883" max="15883" width="8.734375" style="60"/>
    <col min="15884" max="15884" width="14.47265625" style="60" customWidth="1"/>
    <col min="15885" max="16128" width="8.734375" style="60"/>
    <col min="16129" max="16129" width="3.5234375" style="60" customWidth="1"/>
    <col min="16130" max="16130" width="23.47265625" style="60" customWidth="1"/>
    <col min="16131" max="16131" width="20.5234375" style="60" customWidth="1"/>
    <col min="16132" max="16132" width="28.47265625" style="60" customWidth="1"/>
    <col min="16133" max="16133" width="29.5234375" style="60" bestFit="1" customWidth="1"/>
    <col min="16134" max="16134" width="10.47265625" style="60" bestFit="1" customWidth="1"/>
    <col min="16135" max="16135" width="16.47265625" style="60" bestFit="1" customWidth="1"/>
    <col min="16136" max="16136" width="9.7890625" style="60" bestFit="1" customWidth="1"/>
    <col min="16137" max="16137" width="12.15625" style="60" bestFit="1" customWidth="1"/>
    <col min="16138" max="16138" width="25.5234375" style="60" bestFit="1" customWidth="1"/>
    <col min="16139" max="16139" width="8.734375" style="60"/>
    <col min="16140" max="16140" width="14.47265625" style="60" customWidth="1"/>
    <col min="16141" max="16383" width="8.734375" style="60"/>
    <col min="16384" max="16384" width="8.734375" style="60" customWidth="1"/>
  </cols>
  <sheetData>
    <row r="1" spans="1:8" x14ac:dyDescent="0.5">
      <c r="A1" s="1436" t="s">
        <v>2675</v>
      </c>
      <c r="B1" s="1436"/>
      <c r="C1" s="1436"/>
      <c r="D1" s="1436"/>
      <c r="E1" s="1436"/>
      <c r="F1" s="1436"/>
    </row>
    <row r="2" spans="1:8" x14ac:dyDescent="0.5">
      <c r="A2" s="1415" t="s">
        <v>7116</v>
      </c>
      <c r="B2" s="1415"/>
      <c r="C2" s="1415"/>
      <c r="D2" s="1415"/>
      <c r="E2" s="1415"/>
      <c r="F2" s="1415"/>
    </row>
    <row r="3" spans="1:8" x14ac:dyDescent="0.5">
      <c r="A3" s="1414" t="s">
        <v>7128</v>
      </c>
      <c r="B3" s="1414"/>
      <c r="C3" s="1414"/>
      <c r="D3" s="1414"/>
      <c r="E3" s="1414"/>
      <c r="F3" s="1414"/>
    </row>
    <row r="5" spans="1:8" s="447" customFormat="1" ht="30" x14ac:dyDescent="0.5">
      <c r="A5" s="451" t="s">
        <v>120</v>
      </c>
      <c r="B5" s="451" t="s">
        <v>2684</v>
      </c>
      <c r="C5" s="451" t="s">
        <v>611</v>
      </c>
      <c r="D5" s="451" t="s">
        <v>2685</v>
      </c>
      <c r="E5" s="123" t="s">
        <v>7136</v>
      </c>
      <c r="F5" s="451"/>
      <c r="G5" s="1147"/>
      <c r="H5" s="1147"/>
    </row>
    <row r="6" spans="1:8" x14ac:dyDescent="0.5">
      <c r="A6" s="1148">
        <v>43845</v>
      </c>
      <c r="B6" s="675" t="s">
        <v>2777</v>
      </c>
      <c r="C6" s="183" t="s">
        <v>2746</v>
      </c>
      <c r="D6" s="675" t="s">
        <v>4652</v>
      </c>
      <c r="E6" s="1149">
        <v>51.25</v>
      </c>
      <c r="H6" s="1150"/>
    </row>
    <row r="7" spans="1:8" x14ac:dyDescent="0.5">
      <c r="A7" s="1148">
        <v>43846</v>
      </c>
      <c r="B7" s="675" t="s">
        <v>2704</v>
      </c>
      <c r="C7" s="183" t="s">
        <v>7135</v>
      </c>
      <c r="D7" s="675" t="s">
        <v>4593</v>
      </c>
      <c r="E7" s="1149">
        <v>48</v>
      </c>
      <c r="H7" s="1150"/>
    </row>
    <row r="8" spans="1:8" x14ac:dyDescent="0.5">
      <c r="A8" s="1148">
        <v>43854</v>
      </c>
      <c r="B8" s="675" t="s">
        <v>2766</v>
      </c>
      <c r="C8" s="183" t="s">
        <v>3751</v>
      </c>
      <c r="D8" s="675" t="s">
        <v>3752</v>
      </c>
      <c r="E8" s="1149">
        <v>59.64</v>
      </c>
      <c r="H8" s="1150"/>
    </row>
    <row r="9" spans="1:8" x14ac:dyDescent="0.5">
      <c r="A9" s="1148">
        <v>43864</v>
      </c>
      <c r="B9" s="675" t="s">
        <v>2736</v>
      </c>
      <c r="C9" s="183" t="s">
        <v>2980</v>
      </c>
      <c r="D9" s="675" t="s">
        <v>4614</v>
      </c>
      <c r="E9" s="1149">
        <v>49.1</v>
      </c>
      <c r="H9" s="1150"/>
    </row>
    <row r="10" spans="1:8" x14ac:dyDescent="0.5">
      <c r="A10" s="1148">
        <v>43885</v>
      </c>
      <c r="B10" s="675" t="s">
        <v>2706</v>
      </c>
      <c r="C10" s="183" t="s">
        <v>2944</v>
      </c>
      <c r="D10" s="675" t="s">
        <v>3753</v>
      </c>
      <c r="E10" s="1149">
        <v>56.32</v>
      </c>
      <c r="G10" s="447"/>
      <c r="H10" s="1150"/>
    </row>
    <row r="11" spans="1:8" x14ac:dyDescent="0.5">
      <c r="A11" s="1148">
        <v>43886</v>
      </c>
      <c r="B11" s="675" t="s">
        <v>2714</v>
      </c>
      <c r="C11" s="183" t="s">
        <v>4648</v>
      </c>
      <c r="D11" s="675" t="s">
        <v>3754</v>
      </c>
      <c r="E11" s="1149">
        <v>55</v>
      </c>
    </row>
    <row r="12" spans="1:8" x14ac:dyDescent="0.5">
      <c r="A12" s="1148">
        <v>43889</v>
      </c>
      <c r="B12" s="675" t="s">
        <v>2700</v>
      </c>
      <c r="C12" s="183" t="s">
        <v>2778</v>
      </c>
      <c r="D12" s="675" t="s">
        <v>4679</v>
      </c>
      <c r="E12" s="1149">
        <v>52.45</v>
      </c>
    </row>
    <row r="13" spans="1:8" x14ac:dyDescent="0.5">
      <c r="A13" s="1148">
        <v>43915</v>
      </c>
      <c r="B13" s="675" t="s">
        <v>2736</v>
      </c>
      <c r="C13" s="183" t="s">
        <v>2727</v>
      </c>
      <c r="D13" s="675" t="s">
        <v>4611</v>
      </c>
      <c r="E13" s="1149">
        <v>48.5</v>
      </c>
    </row>
    <row r="14" spans="1:8" x14ac:dyDescent="0.5">
      <c r="A14" s="1148">
        <v>43916</v>
      </c>
      <c r="B14" s="675" t="s">
        <v>2780</v>
      </c>
      <c r="C14" s="183" t="s">
        <v>3727</v>
      </c>
      <c r="D14" s="675" t="s">
        <v>3755</v>
      </c>
      <c r="E14" s="1149">
        <v>50</v>
      </c>
    </row>
    <row r="15" spans="1:8" x14ac:dyDescent="0.5">
      <c r="A15" s="1148">
        <v>43942</v>
      </c>
      <c r="B15" s="675" t="s">
        <v>2775</v>
      </c>
      <c r="C15" s="183" t="s">
        <v>2944</v>
      </c>
      <c r="D15" s="675" t="s">
        <v>4719</v>
      </c>
      <c r="E15" s="1149">
        <v>60.12</v>
      </c>
    </row>
    <row r="16" spans="1:8" x14ac:dyDescent="0.5">
      <c r="A16" s="1148">
        <v>43970</v>
      </c>
      <c r="B16" s="675" t="s">
        <v>2715</v>
      </c>
      <c r="C16" s="183" t="s">
        <v>3756</v>
      </c>
      <c r="D16" s="675" t="s">
        <v>3757</v>
      </c>
      <c r="E16" s="1149">
        <v>50.15</v>
      </c>
    </row>
    <row r="17" spans="1:5" x14ac:dyDescent="0.5">
      <c r="A17" s="1148">
        <v>43998</v>
      </c>
      <c r="B17" s="675" t="s">
        <v>2775</v>
      </c>
      <c r="C17" s="183" t="s">
        <v>2975</v>
      </c>
      <c r="D17" s="675" t="s">
        <v>4710</v>
      </c>
      <c r="E17" s="1149">
        <v>56.95</v>
      </c>
    </row>
    <row r="18" spans="1:5" x14ac:dyDescent="0.5">
      <c r="A18" s="1148">
        <v>44020</v>
      </c>
      <c r="B18" s="675" t="s">
        <v>2736</v>
      </c>
      <c r="C18" s="183" t="s">
        <v>2737</v>
      </c>
      <c r="D18" s="675" t="s">
        <v>3758</v>
      </c>
      <c r="E18" s="1149">
        <v>48.5</v>
      </c>
    </row>
    <row r="19" spans="1:5" x14ac:dyDescent="0.5">
      <c r="A19" s="1148">
        <v>44047</v>
      </c>
      <c r="B19" s="675" t="s">
        <v>2775</v>
      </c>
      <c r="C19" s="183" t="s">
        <v>3643</v>
      </c>
      <c r="D19" s="675" t="s">
        <v>4713</v>
      </c>
      <c r="E19" s="1149">
        <v>59</v>
      </c>
    </row>
    <row r="20" spans="1:5" x14ac:dyDescent="0.5">
      <c r="A20" s="1148">
        <v>44064</v>
      </c>
      <c r="B20" s="675" t="s">
        <v>2777</v>
      </c>
      <c r="C20" s="183" t="s">
        <v>4648</v>
      </c>
      <c r="D20" s="675" t="s">
        <v>4700</v>
      </c>
      <c r="E20" s="1149">
        <v>55</v>
      </c>
    </row>
    <row r="21" spans="1:5" x14ac:dyDescent="0.5">
      <c r="A21" s="1148">
        <v>44088</v>
      </c>
      <c r="B21" s="675" t="s">
        <v>2768</v>
      </c>
      <c r="C21" s="183" t="s">
        <v>3106</v>
      </c>
      <c r="D21" s="675" t="s">
        <v>4615</v>
      </c>
      <c r="E21" s="1149">
        <v>49.23</v>
      </c>
    </row>
    <row r="22" spans="1:5" x14ac:dyDescent="0.5">
      <c r="A22" s="1148">
        <v>44097</v>
      </c>
      <c r="B22" s="675" t="s">
        <v>2712</v>
      </c>
      <c r="C22" s="183" t="s">
        <v>3085</v>
      </c>
      <c r="D22" s="675" t="s">
        <v>4692</v>
      </c>
      <c r="E22" s="1149">
        <v>54</v>
      </c>
    </row>
    <row r="23" spans="1:5" x14ac:dyDescent="0.5">
      <c r="A23" s="1148">
        <v>44099</v>
      </c>
      <c r="B23" s="675" t="s">
        <v>2731</v>
      </c>
      <c r="C23" s="183" t="s">
        <v>2939</v>
      </c>
      <c r="D23" s="675" t="s">
        <v>3759</v>
      </c>
      <c r="E23" s="1149">
        <v>49.26</v>
      </c>
    </row>
    <row r="24" spans="1:5" x14ac:dyDescent="0.5">
      <c r="A24" s="1148">
        <v>44099</v>
      </c>
      <c r="B24" s="675" t="s">
        <v>2731</v>
      </c>
      <c r="C24" s="183" t="s">
        <v>2939</v>
      </c>
      <c r="D24" s="675" t="s">
        <v>3760</v>
      </c>
      <c r="E24" s="1149">
        <v>49.26</v>
      </c>
    </row>
    <row r="25" spans="1:5" x14ac:dyDescent="0.5">
      <c r="A25" s="1148">
        <v>44102</v>
      </c>
      <c r="B25" s="675" t="s">
        <v>2751</v>
      </c>
      <c r="C25" s="183" t="s">
        <v>2975</v>
      </c>
      <c r="D25" s="675" t="s">
        <v>4582</v>
      </c>
      <c r="E25" s="1149">
        <v>33.07</v>
      </c>
    </row>
    <row r="26" spans="1:5" x14ac:dyDescent="0.5">
      <c r="A26" s="1148">
        <v>44108</v>
      </c>
      <c r="B26" s="675" t="s">
        <v>2757</v>
      </c>
      <c r="C26" s="183" t="s">
        <v>3012</v>
      </c>
      <c r="D26" s="675" t="s">
        <v>4676</v>
      </c>
      <c r="E26" s="1149">
        <v>52.31</v>
      </c>
    </row>
    <row r="27" spans="1:5" x14ac:dyDescent="0.5">
      <c r="A27" s="1148">
        <v>44111</v>
      </c>
      <c r="B27" s="675" t="s">
        <v>2700</v>
      </c>
      <c r="C27" s="183" t="s">
        <v>3035</v>
      </c>
      <c r="D27" s="675" t="s">
        <v>4691</v>
      </c>
      <c r="E27" s="1149">
        <v>53.25</v>
      </c>
    </row>
    <row r="28" spans="1:5" x14ac:dyDescent="0.5">
      <c r="A28" s="1148">
        <v>44116</v>
      </c>
      <c r="B28" s="675" t="s">
        <v>2715</v>
      </c>
      <c r="C28" s="183" t="s">
        <v>2716</v>
      </c>
      <c r="D28" s="675" t="s">
        <v>4707</v>
      </c>
      <c r="E28" s="1149">
        <v>55.62</v>
      </c>
    </row>
    <row r="29" spans="1:5" x14ac:dyDescent="0.5">
      <c r="A29" s="1148">
        <v>44120</v>
      </c>
      <c r="B29" s="675" t="s">
        <v>2774</v>
      </c>
      <c r="C29" s="183" t="s">
        <v>3493</v>
      </c>
      <c r="D29" s="675" t="s">
        <v>4621</v>
      </c>
      <c r="E29" s="1149">
        <v>50</v>
      </c>
    </row>
    <row r="30" spans="1:5" x14ac:dyDescent="0.5">
      <c r="A30" s="1148">
        <v>44134</v>
      </c>
      <c r="B30" s="675" t="s">
        <v>2700</v>
      </c>
      <c r="C30" s="183" t="s">
        <v>2898</v>
      </c>
      <c r="D30" s="675" t="s">
        <v>3761</v>
      </c>
      <c r="E30" s="1149">
        <v>54.77</v>
      </c>
    </row>
    <row r="31" spans="1:5" x14ac:dyDescent="0.5">
      <c r="A31" s="1148">
        <v>44142</v>
      </c>
      <c r="B31" s="675" t="s">
        <v>2698</v>
      </c>
      <c r="C31" s="183" t="s">
        <v>3678</v>
      </c>
      <c r="D31" s="675" t="s">
        <v>4685</v>
      </c>
      <c r="E31" s="1149">
        <v>52.63</v>
      </c>
    </row>
    <row r="32" spans="1:5" x14ac:dyDescent="0.5">
      <c r="A32" s="1148">
        <v>44154</v>
      </c>
      <c r="B32" s="675" t="s">
        <v>2704</v>
      </c>
      <c r="C32" s="183" t="s">
        <v>2725</v>
      </c>
      <c r="D32" s="675" t="s">
        <v>4594</v>
      </c>
      <c r="E32" s="1149">
        <v>48</v>
      </c>
    </row>
    <row r="33" spans="1:5" x14ac:dyDescent="0.5">
      <c r="A33" s="1148">
        <v>44154</v>
      </c>
      <c r="B33" s="675" t="s">
        <v>2704</v>
      </c>
      <c r="C33" s="183" t="s">
        <v>2927</v>
      </c>
      <c r="D33" s="675" t="s">
        <v>4595</v>
      </c>
      <c r="E33" s="1149">
        <v>48</v>
      </c>
    </row>
    <row r="34" spans="1:5" x14ac:dyDescent="0.5">
      <c r="A34" s="1148">
        <v>44154</v>
      </c>
      <c r="B34" s="675" t="s">
        <v>2772</v>
      </c>
      <c r="C34" s="183" t="s">
        <v>3600</v>
      </c>
      <c r="D34" s="675" t="s">
        <v>4698</v>
      </c>
      <c r="E34" s="1149">
        <v>54.7</v>
      </c>
    </row>
    <row r="35" spans="1:5" x14ac:dyDescent="0.5">
      <c r="A35" s="1148">
        <v>44159</v>
      </c>
      <c r="B35" s="675" t="s">
        <v>2702</v>
      </c>
      <c r="C35" s="183" t="s">
        <v>4701</v>
      </c>
      <c r="D35" s="675" t="s">
        <v>4703</v>
      </c>
      <c r="E35" s="1149">
        <v>55</v>
      </c>
    </row>
    <row r="36" spans="1:5" x14ac:dyDescent="0.5">
      <c r="A36" s="1148">
        <v>44174</v>
      </c>
      <c r="B36" s="675" t="s">
        <v>2717</v>
      </c>
      <c r="C36" s="183" t="s">
        <v>2939</v>
      </c>
      <c r="D36" s="675" t="s">
        <v>3762</v>
      </c>
      <c r="E36" s="1149">
        <v>51.1</v>
      </c>
    </row>
    <row r="37" spans="1:5" x14ac:dyDescent="0.5">
      <c r="A37" s="1148">
        <v>44175</v>
      </c>
      <c r="B37" s="675" t="s">
        <v>2774</v>
      </c>
      <c r="C37" s="183" t="s">
        <v>2727</v>
      </c>
      <c r="D37" s="675" t="s">
        <v>4622</v>
      </c>
      <c r="E37" s="1149">
        <v>50</v>
      </c>
    </row>
    <row r="38" spans="1:5" x14ac:dyDescent="0.5">
      <c r="A38" s="1148">
        <v>44181</v>
      </c>
      <c r="B38" s="675" t="s">
        <v>2698</v>
      </c>
      <c r="C38" s="183" t="s">
        <v>2722</v>
      </c>
      <c r="D38" s="675" t="s">
        <v>3763</v>
      </c>
      <c r="E38" s="1149">
        <v>52</v>
      </c>
    </row>
    <row r="39" spans="1:5" x14ac:dyDescent="0.5">
      <c r="A39" s="1148">
        <v>44181</v>
      </c>
      <c r="B39" s="675" t="s">
        <v>2752</v>
      </c>
      <c r="C39" s="183" t="s">
        <v>4661</v>
      </c>
      <c r="D39" s="675" t="s">
        <v>4662</v>
      </c>
      <c r="E39" s="1149">
        <v>52</v>
      </c>
    </row>
    <row r="40" spans="1:5" x14ac:dyDescent="0.5">
      <c r="A40" s="1148">
        <v>44188</v>
      </c>
      <c r="B40" s="675" t="s">
        <v>2702</v>
      </c>
      <c r="C40" s="183" t="s">
        <v>2749</v>
      </c>
      <c r="D40" s="675" t="s">
        <v>3764</v>
      </c>
      <c r="E40" s="1149">
        <v>52.53</v>
      </c>
    </row>
    <row r="41" spans="1:5" x14ac:dyDescent="0.5">
      <c r="A41" s="1148">
        <v>44197</v>
      </c>
      <c r="B41" s="675" t="s">
        <v>2699</v>
      </c>
      <c r="C41" s="183" t="s">
        <v>2628</v>
      </c>
      <c r="D41" s="675" t="s">
        <v>4708</v>
      </c>
      <c r="E41" s="1149">
        <v>56</v>
      </c>
    </row>
    <row r="42" spans="1:5" x14ac:dyDescent="0.5">
      <c r="A42" s="1148">
        <v>44202</v>
      </c>
      <c r="B42" s="675" t="s">
        <v>2774</v>
      </c>
      <c r="C42" s="183" t="s">
        <v>2980</v>
      </c>
      <c r="D42" s="675" t="s">
        <v>4623</v>
      </c>
      <c r="E42" s="1149">
        <v>50</v>
      </c>
    </row>
    <row r="43" spans="1:5" x14ac:dyDescent="0.5">
      <c r="A43" s="1148">
        <v>44202</v>
      </c>
      <c r="B43" s="675" t="s">
        <v>2758</v>
      </c>
      <c r="C43" s="183" t="s">
        <v>2759</v>
      </c>
      <c r="D43" s="675" t="s">
        <v>4643</v>
      </c>
      <c r="E43" s="1149">
        <v>50.37</v>
      </c>
    </row>
    <row r="44" spans="1:5" x14ac:dyDescent="0.5">
      <c r="A44" s="1148">
        <v>44209</v>
      </c>
      <c r="B44" s="675" t="s">
        <v>2693</v>
      </c>
      <c r="C44" s="183" t="s">
        <v>2742</v>
      </c>
      <c r="D44" s="675" t="s">
        <v>3765</v>
      </c>
      <c r="E44" s="1149">
        <v>52</v>
      </c>
    </row>
    <row r="45" spans="1:5" x14ac:dyDescent="0.5">
      <c r="A45" s="1148">
        <v>44222</v>
      </c>
      <c r="B45" s="675" t="s">
        <v>3577</v>
      </c>
      <c r="C45" s="183" t="s">
        <v>3578</v>
      </c>
      <c r="D45" s="675" t="s">
        <v>4624</v>
      </c>
      <c r="E45" s="1149">
        <v>50</v>
      </c>
    </row>
    <row r="46" spans="1:5" x14ac:dyDescent="0.5">
      <c r="A46" s="1148">
        <v>44243</v>
      </c>
      <c r="B46" s="675" t="s">
        <v>2768</v>
      </c>
      <c r="C46" s="183" t="s">
        <v>3012</v>
      </c>
      <c r="D46" s="675" t="s">
        <v>4644</v>
      </c>
      <c r="E46" s="1149">
        <v>50.5</v>
      </c>
    </row>
    <row r="47" spans="1:5" x14ac:dyDescent="0.5">
      <c r="A47" s="1148">
        <v>44246</v>
      </c>
      <c r="B47" s="675" t="s">
        <v>2696</v>
      </c>
      <c r="C47" s="183" t="s">
        <v>3195</v>
      </c>
      <c r="D47" s="675" t="s">
        <v>3766</v>
      </c>
      <c r="E47" s="1149">
        <v>54.19</v>
      </c>
    </row>
    <row r="48" spans="1:5" x14ac:dyDescent="0.5">
      <c r="A48" s="1148">
        <v>44251</v>
      </c>
      <c r="B48" s="675" t="s">
        <v>2734</v>
      </c>
      <c r="C48" s="183" t="s">
        <v>2895</v>
      </c>
      <c r="D48" s="675" t="s">
        <v>4672</v>
      </c>
      <c r="E48" s="1149">
        <v>52.1</v>
      </c>
    </row>
    <row r="49" spans="1:5" x14ac:dyDescent="0.5">
      <c r="A49" s="1148">
        <v>44280</v>
      </c>
      <c r="B49" s="675" t="s">
        <v>2738</v>
      </c>
      <c r="C49" s="183" t="s">
        <v>2939</v>
      </c>
      <c r="D49" s="675" t="s">
        <v>4663</v>
      </c>
      <c r="E49" s="1149">
        <v>52</v>
      </c>
    </row>
    <row r="50" spans="1:5" x14ac:dyDescent="0.5">
      <c r="A50" s="1148">
        <v>44280</v>
      </c>
      <c r="B50" s="675" t="s">
        <v>2738</v>
      </c>
      <c r="C50" s="183" t="s">
        <v>2939</v>
      </c>
      <c r="D50" s="675" t="s">
        <v>4664</v>
      </c>
      <c r="E50" s="1149">
        <v>52</v>
      </c>
    </row>
    <row r="51" spans="1:5" x14ac:dyDescent="0.5">
      <c r="A51" s="1148">
        <v>44280</v>
      </c>
      <c r="B51" s="675" t="s">
        <v>2738</v>
      </c>
      <c r="C51" s="183" t="s">
        <v>2939</v>
      </c>
      <c r="D51" s="675" t="s">
        <v>4665</v>
      </c>
      <c r="E51" s="1149">
        <v>52</v>
      </c>
    </row>
    <row r="52" spans="1:5" x14ac:dyDescent="0.5">
      <c r="A52" s="1148">
        <v>44295</v>
      </c>
      <c r="B52" s="675" t="s">
        <v>2698</v>
      </c>
      <c r="C52" s="183" t="s">
        <v>2895</v>
      </c>
      <c r="D52" s="675" t="s">
        <v>3767</v>
      </c>
      <c r="E52" s="1149">
        <v>52.03</v>
      </c>
    </row>
    <row r="53" spans="1:5" x14ac:dyDescent="0.5">
      <c r="A53" s="1148">
        <v>44321</v>
      </c>
      <c r="B53" s="675" t="s">
        <v>2762</v>
      </c>
      <c r="C53" s="183" t="s">
        <v>2746</v>
      </c>
      <c r="D53" s="675" t="s">
        <v>4642</v>
      </c>
      <c r="E53" s="1149">
        <v>50.31</v>
      </c>
    </row>
    <row r="54" spans="1:5" x14ac:dyDescent="0.5">
      <c r="A54" s="1148">
        <v>44334</v>
      </c>
      <c r="B54" s="675" t="s">
        <v>2736</v>
      </c>
      <c r="C54" s="183" t="s">
        <v>2980</v>
      </c>
      <c r="D54" s="675" t="s">
        <v>3768</v>
      </c>
      <c r="E54" s="1149">
        <v>49.1</v>
      </c>
    </row>
    <row r="55" spans="1:5" x14ac:dyDescent="0.5">
      <c r="A55" s="1148">
        <v>44335</v>
      </c>
      <c r="B55" s="675" t="s">
        <v>2704</v>
      </c>
      <c r="C55" s="183" t="s">
        <v>3769</v>
      </c>
      <c r="D55" s="675" t="s">
        <v>3770</v>
      </c>
      <c r="E55" s="1149">
        <v>48</v>
      </c>
    </row>
    <row r="56" spans="1:5" x14ac:dyDescent="0.5">
      <c r="A56" s="1148">
        <v>44364</v>
      </c>
      <c r="B56" s="675" t="s">
        <v>2696</v>
      </c>
      <c r="C56" s="183" t="s">
        <v>2697</v>
      </c>
      <c r="D56" s="675" t="s">
        <v>3771</v>
      </c>
      <c r="E56" s="1149">
        <v>53.38</v>
      </c>
    </row>
    <row r="57" spans="1:5" x14ac:dyDescent="0.5">
      <c r="A57" s="1148">
        <v>44396</v>
      </c>
      <c r="B57" s="675" t="s">
        <v>2768</v>
      </c>
      <c r="C57" s="183" t="s">
        <v>2944</v>
      </c>
      <c r="D57" s="675" t="s">
        <v>4718</v>
      </c>
      <c r="E57" s="1149">
        <v>59.88</v>
      </c>
    </row>
    <row r="58" spans="1:5" x14ac:dyDescent="0.5">
      <c r="A58" s="1148">
        <v>44404</v>
      </c>
      <c r="B58" s="675" t="s">
        <v>2724</v>
      </c>
      <c r="C58" s="183" t="s">
        <v>2942</v>
      </c>
      <c r="D58" s="675" t="s">
        <v>3772</v>
      </c>
      <c r="E58" s="1149">
        <v>47.45</v>
      </c>
    </row>
    <row r="59" spans="1:5" x14ac:dyDescent="0.5">
      <c r="A59" s="1148">
        <v>44407</v>
      </c>
      <c r="B59" s="675" t="s">
        <v>2776</v>
      </c>
      <c r="C59" s="183" t="s">
        <v>3602</v>
      </c>
      <c r="D59" s="675" t="s">
        <v>4666</v>
      </c>
      <c r="E59" s="1149">
        <v>52</v>
      </c>
    </row>
    <row r="60" spans="1:5" x14ac:dyDescent="0.5">
      <c r="A60" s="1148">
        <v>44420</v>
      </c>
      <c r="B60" s="675" t="s">
        <v>2704</v>
      </c>
      <c r="C60" s="183" t="s">
        <v>4596</v>
      </c>
      <c r="D60" s="675" t="s">
        <v>4597</v>
      </c>
      <c r="E60" s="1149">
        <v>48</v>
      </c>
    </row>
    <row r="61" spans="1:5" x14ac:dyDescent="0.5">
      <c r="A61" s="1148">
        <v>44420</v>
      </c>
      <c r="B61" s="675" t="s">
        <v>2704</v>
      </c>
      <c r="C61" s="183" t="s">
        <v>2934</v>
      </c>
      <c r="D61" s="675" t="s">
        <v>4598</v>
      </c>
      <c r="E61" s="1149">
        <v>48</v>
      </c>
    </row>
    <row r="62" spans="1:5" x14ac:dyDescent="0.5">
      <c r="A62" s="1148">
        <v>44440</v>
      </c>
      <c r="B62" s="675" t="s">
        <v>2726</v>
      </c>
      <c r="C62" s="183" t="s">
        <v>2727</v>
      </c>
      <c r="D62" s="675" t="s">
        <v>4625</v>
      </c>
      <c r="E62" s="1149">
        <v>50</v>
      </c>
    </row>
    <row r="63" spans="1:5" x14ac:dyDescent="0.5">
      <c r="A63" s="1148">
        <v>44447</v>
      </c>
      <c r="B63" s="675" t="s">
        <v>2693</v>
      </c>
      <c r="C63" s="183" t="s">
        <v>2959</v>
      </c>
      <c r="D63" s="675" t="s">
        <v>3773</v>
      </c>
      <c r="E63" s="1149">
        <v>51.58</v>
      </c>
    </row>
    <row r="64" spans="1:5" x14ac:dyDescent="0.5">
      <c r="A64" s="1148">
        <v>44453</v>
      </c>
      <c r="B64" s="675" t="s">
        <v>2766</v>
      </c>
      <c r="C64" s="183" t="s">
        <v>3110</v>
      </c>
      <c r="D64" s="675" t="s">
        <v>4660</v>
      </c>
      <c r="E64" s="1149">
        <v>51.89</v>
      </c>
    </row>
    <row r="65" spans="1:5" x14ac:dyDescent="0.5">
      <c r="A65" s="1148">
        <v>44462</v>
      </c>
      <c r="B65" s="675" t="s">
        <v>2751</v>
      </c>
      <c r="C65" s="183" t="s">
        <v>2975</v>
      </c>
      <c r="D65" s="675" t="s">
        <v>4581</v>
      </c>
      <c r="E65" s="1149">
        <v>32.270000000000003</v>
      </c>
    </row>
    <row r="66" spans="1:5" x14ac:dyDescent="0.5">
      <c r="A66" s="1148">
        <v>44466</v>
      </c>
      <c r="B66" s="675" t="s">
        <v>2736</v>
      </c>
      <c r="C66" s="183" t="s">
        <v>2727</v>
      </c>
      <c r="D66" s="675" t="s">
        <v>4612</v>
      </c>
      <c r="E66" s="1149">
        <v>48.5</v>
      </c>
    </row>
    <row r="67" spans="1:5" x14ac:dyDescent="0.5">
      <c r="A67" s="1148">
        <v>44468</v>
      </c>
      <c r="B67" s="675" t="s">
        <v>2757</v>
      </c>
      <c r="C67" s="183" t="s">
        <v>3012</v>
      </c>
      <c r="D67" s="675" t="s">
        <v>4673</v>
      </c>
      <c r="E67" s="1149">
        <v>52.2</v>
      </c>
    </row>
    <row r="68" spans="1:5" x14ac:dyDescent="0.5">
      <c r="A68" s="1148">
        <v>44469</v>
      </c>
      <c r="B68" s="675" t="s">
        <v>2700</v>
      </c>
      <c r="C68" s="183" t="s">
        <v>3082</v>
      </c>
      <c r="D68" s="675" t="s">
        <v>3774</v>
      </c>
      <c r="E68" s="1149">
        <v>53.44</v>
      </c>
    </row>
    <row r="69" spans="1:5" x14ac:dyDescent="0.5">
      <c r="A69" s="1148">
        <v>44475</v>
      </c>
      <c r="B69" s="675" t="s">
        <v>2739</v>
      </c>
      <c r="C69" s="183" t="s">
        <v>4589</v>
      </c>
      <c r="D69" s="675" t="s">
        <v>4590</v>
      </c>
      <c r="E69" s="1149">
        <v>45.74</v>
      </c>
    </row>
    <row r="70" spans="1:5" x14ac:dyDescent="0.5">
      <c r="A70" s="1148">
        <v>44496</v>
      </c>
      <c r="B70" s="675" t="s">
        <v>2756</v>
      </c>
      <c r="C70" s="183" t="s">
        <v>2875</v>
      </c>
      <c r="D70" s="675" t="s">
        <v>3775</v>
      </c>
      <c r="E70" s="1149">
        <v>49.86</v>
      </c>
    </row>
    <row r="71" spans="1:5" x14ac:dyDescent="0.5">
      <c r="A71" s="1148">
        <v>44517</v>
      </c>
      <c r="B71" s="675" t="s">
        <v>2739</v>
      </c>
      <c r="C71" s="183" t="s">
        <v>2956</v>
      </c>
      <c r="D71" s="675" t="s">
        <v>4591</v>
      </c>
      <c r="E71" s="1149">
        <v>46.21</v>
      </c>
    </row>
    <row r="72" spans="1:5" x14ac:dyDescent="0.5">
      <c r="A72" s="1148">
        <v>44517</v>
      </c>
      <c r="B72" s="675" t="s">
        <v>2712</v>
      </c>
      <c r="C72" s="183" t="s">
        <v>3255</v>
      </c>
      <c r="D72" s="675" t="s">
        <v>4693</v>
      </c>
      <c r="E72" s="1149">
        <v>54</v>
      </c>
    </row>
    <row r="73" spans="1:5" x14ac:dyDescent="0.5">
      <c r="A73" s="1148">
        <v>44518</v>
      </c>
      <c r="B73" s="675" t="s">
        <v>2704</v>
      </c>
      <c r="C73" s="183" t="s">
        <v>2750</v>
      </c>
      <c r="D73" s="675" t="s">
        <v>4626</v>
      </c>
      <c r="E73" s="1149">
        <v>50</v>
      </c>
    </row>
    <row r="74" spans="1:5" x14ac:dyDescent="0.5">
      <c r="A74" s="1148">
        <v>44518</v>
      </c>
      <c r="B74" s="675" t="s">
        <v>2702</v>
      </c>
      <c r="C74" s="183" t="s">
        <v>2755</v>
      </c>
      <c r="D74" s="675" t="s">
        <v>4680</v>
      </c>
      <c r="E74" s="1149">
        <v>52.5</v>
      </c>
    </row>
    <row r="75" spans="1:5" x14ac:dyDescent="0.5">
      <c r="A75" s="1148">
        <v>44518</v>
      </c>
      <c r="B75" s="675" t="s">
        <v>2702</v>
      </c>
      <c r="C75" s="183" t="s">
        <v>2749</v>
      </c>
      <c r="D75" s="675" t="s">
        <v>4681</v>
      </c>
      <c r="E75" s="1149">
        <v>52.5</v>
      </c>
    </row>
    <row r="76" spans="1:5" x14ac:dyDescent="0.5">
      <c r="A76" s="1148">
        <v>44518</v>
      </c>
      <c r="B76" s="675" t="s">
        <v>2693</v>
      </c>
      <c r="C76" s="183" t="s">
        <v>2629</v>
      </c>
      <c r="D76" s="675" t="s">
        <v>3776</v>
      </c>
      <c r="E76" s="1149">
        <v>54.46</v>
      </c>
    </row>
    <row r="77" spans="1:5" x14ac:dyDescent="0.5">
      <c r="A77" s="1148">
        <v>44518</v>
      </c>
      <c r="B77" s="675" t="s">
        <v>2699</v>
      </c>
      <c r="C77" s="183" t="s">
        <v>2628</v>
      </c>
      <c r="D77" s="675" t="s">
        <v>4709</v>
      </c>
      <c r="E77" s="1149">
        <v>56</v>
      </c>
    </row>
    <row r="78" spans="1:5" x14ac:dyDescent="0.5">
      <c r="A78" s="1148">
        <v>44523</v>
      </c>
      <c r="B78" s="675" t="s">
        <v>2702</v>
      </c>
      <c r="C78" s="183" t="s">
        <v>4701</v>
      </c>
      <c r="D78" s="675" t="s">
        <v>4704</v>
      </c>
      <c r="E78" s="1149">
        <v>55</v>
      </c>
    </row>
    <row r="79" spans="1:5" x14ac:dyDescent="0.5">
      <c r="A79" s="1148">
        <v>44530</v>
      </c>
      <c r="B79" s="675" t="s">
        <v>2701</v>
      </c>
      <c r="C79" s="183" t="s">
        <v>2900</v>
      </c>
      <c r="D79" s="675" t="s">
        <v>4712</v>
      </c>
      <c r="E79" s="1149">
        <v>58.55</v>
      </c>
    </row>
    <row r="80" spans="1:5" x14ac:dyDescent="0.5">
      <c r="A80" s="1148">
        <v>44533</v>
      </c>
      <c r="B80" s="675" t="s">
        <v>2698</v>
      </c>
      <c r="C80" s="183" t="s">
        <v>3678</v>
      </c>
      <c r="D80" s="675" t="s">
        <v>3777</v>
      </c>
      <c r="E80" s="1149">
        <v>52.95</v>
      </c>
    </row>
    <row r="81" spans="1:5" x14ac:dyDescent="0.5">
      <c r="A81" s="1148">
        <v>44539</v>
      </c>
      <c r="B81" s="675" t="s">
        <v>2744</v>
      </c>
      <c r="C81" s="183" t="s">
        <v>2972</v>
      </c>
      <c r="D81" s="675" t="s">
        <v>3778</v>
      </c>
      <c r="E81" s="1149">
        <v>39.229999999999997</v>
      </c>
    </row>
    <row r="82" spans="1:5" x14ac:dyDescent="0.5">
      <c r="A82" s="1148">
        <v>44543</v>
      </c>
      <c r="B82" s="675" t="s">
        <v>2715</v>
      </c>
      <c r="C82" s="183" t="s">
        <v>3756</v>
      </c>
      <c r="D82" s="675" t="s">
        <v>4641</v>
      </c>
      <c r="E82" s="1149">
        <v>50.26</v>
      </c>
    </row>
    <row r="83" spans="1:5" x14ac:dyDescent="0.5">
      <c r="A83" s="1148">
        <v>44558</v>
      </c>
      <c r="B83" s="675" t="s">
        <v>2708</v>
      </c>
      <c r="C83" s="183" t="s">
        <v>3271</v>
      </c>
      <c r="D83" s="675" t="s">
        <v>4638</v>
      </c>
      <c r="E83" s="1149">
        <v>50.01</v>
      </c>
    </row>
    <row r="84" spans="1:5" x14ac:dyDescent="0.5">
      <c r="A84" s="1148">
        <v>44558</v>
      </c>
      <c r="B84" s="675" t="s">
        <v>2728</v>
      </c>
      <c r="C84" s="183" t="s">
        <v>2771</v>
      </c>
      <c r="D84" s="675" t="s">
        <v>4653</v>
      </c>
      <c r="E84" s="1149">
        <v>51.34</v>
      </c>
    </row>
    <row r="85" spans="1:5" x14ac:dyDescent="0.5">
      <c r="A85" s="1148">
        <v>44558</v>
      </c>
      <c r="B85" s="675" t="s">
        <v>2728</v>
      </c>
      <c r="C85" s="183" t="s">
        <v>3144</v>
      </c>
      <c r="D85" s="675" t="s">
        <v>4686</v>
      </c>
      <c r="E85" s="1149">
        <v>52.64</v>
      </c>
    </row>
    <row r="86" spans="1:5" x14ac:dyDescent="0.5">
      <c r="A86" s="1148">
        <v>44567</v>
      </c>
      <c r="B86" s="675" t="s">
        <v>2743</v>
      </c>
      <c r="C86" s="183" t="s">
        <v>3012</v>
      </c>
      <c r="D86" s="675" t="s">
        <v>4658</v>
      </c>
      <c r="E86" s="1149">
        <v>51.6</v>
      </c>
    </row>
    <row r="87" spans="1:5" x14ac:dyDescent="0.5">
      <c r="A87" s="1148">
        <v>44581</v>
      </c>
      <c r="B87" s="675" t="s">
        <v>2704</v>
      </c>
      <c r="C87" s="183" t="s">
        <v>2705</v>
      </c>
      <c r="D87" s="675" t="s">
        <v>4599</v>
      </c>
      <c r="E87" s="1149">
        <v>48</v>
      </c>
    </row>
    <row r="88" spans="1:5" x14ac:dyDescent="0.5">
      <c r="A88" s="1148">
        <v>44582</v>
      </c>
      <c r="B88" s="675" t="s">
        <v>2743</v>
      </c>
      <c r="C88" s="183" t="s">
        <v>2969</v>
      </c>
      <c r="D88" s="675" t="s">
        <v>4659</v>
      </c>
      <c r="E88" s="1149">
        <v>51.6</v>
      </c>
    </row>
    <row r="89" spans="1:5" x14ac:dyDescent="0.5">
      <c r="A89" s="1148">
        <v>44642</v>
      </c>
      <c r="B89" s="675" t="s">
        <v>2731</v>
      </c>
      <c r="C89" s="183" t="s">
        <v>2939</v>
      </c>
      <c r="D89" s="675" t="s">
        <v>4627</v>
      </c>
      <c r="E89" s="1149">
        <v>50</v>
      </c>
    </row>
    <row r="90" spans="1:5" x14ac:dyDescent="0.5">
      <c r="A90" s="1148">
        <v>44642</v>
      </c>
      <c r="B90" s="675" t="s">
        <v>2731</v>
      </c>
      <c r="C90" s="183" t="s">
        <v>2939</v>
      </c>
      <c r="D90" s="675" t="s">
        <v>4628</v>
      </c>
      <c r="E90" s="1149">
        <v>50</v>
      </c>
    </row>
    <row r="91" spans="1:5" x14ac:dyDescent="0.5">
      <c r="A91" s="1148">
        <v>44665</v>
      </c>
      <c r="B91" s="675" t="s">
        <v>2704</v>
      </c>
      <c r="C91" s="183" t="s">
        <v>2707</v>
      </c>
      <c r="D91" s="675" t="s">
        <v>4600</v>
      </c>
      <c r="E91" s="1149">
        <v>48</v>
      </c>
    </row>
    <row r="92" spans="1:5" x14ac:dyDescent="0.5">
      <c r="A92" s="1148">
        <v>44700</v>
      </c>
      <c r="B92" s="675" t="s">
        <v>2728</v>
      </c>
      <c r="C92" s="183" t="s">
        <v>2944</v>
      </c>
      <c r="D92" s="675" t="s">
        <v>3779</v>
      </c>
      <c r="E92" s="1149">
        <v>54.5</v>
      </c>
    </row>
    <row r="93" spans="1:5" x14ac:dyDescent="0.5">
      <c r="A93" s="1148">
        <v>44728</v>
      </c>
      <c r="B93" s="675" t="s">
        <v>2704</v>
      </c>
      <c r="C93" s="183" t="s">
        <v>3769</v>
      </c>
      <c r="D93" s="675" t="s">
        <v>4601</v>
      </c>
      <c r="E93" s="1149">
        <v>48</v>
      </c>
    </row>
    <row r="94" spans="1:5" x14ac:dyDescent="0.5">
      <c r="A94" s="1148">
        <v>44732</v>
      </c>
      <c r="B94" s="675" t="s">
        <v>2768</v>
      </c>
      <c r="C94" s="183" t="s">
        <v>2944</v>
      </c>
      <c r="D94" s="675" t="s">
        <v>4720</v>
      </c>
      <c r="E94" s="1149">
        <v>60.59</v>
      </c>
    </row>
    <row r="95" spans="1:5" x14ac:dyDescent="0.5">
      <c r="A95" s="1148">
        <v>44762</v>
      </c>
      <c r="B95" s="675" t="s">
        <v>2776</v>
      </c>
      <c r="C95" s="183" t="s">
        <v>3727</v>
      </c>
      <c r="D95" s="675" t="s">
        <v>4667</v>
      </c>
      <c r="E95" s="1149">
        <v>52</v>
      </c>
    </row>
    <row r="96" spans="1:5" x14ac:dyDescent="0.5">
      <c r="A96" s="1148">
        <v>44769</v>
      </c>
      <c r="B96" s="675" t="s">
        <v>2739</v>
      </c>
      <c r="C96" s="183" t="s">
        <v>3070</v>
      </c>
      <c r="D96" s="675" t="s">
        <v>4618</v>
      </c>
      <c r="E96" s="1149">
        <v>49.47</v>
      </c>
    </row>
    <row r="97" spans="1:5" x14ac:dyDescent="0.5">
      <c r="A97" s="1148">
        <v>44775</v>
      </c>
      <c r="B97" s="675" t="s">
        <v>2774</v>
      </c>
      <c r="C97" s="183" t="s">
        <v>2727</v>
      </c>
      <c r="D97" s="675" t="s">
        <v>4629</v>
      </c>
      <c r="E97" s="1149">
        <v>50</v>
      </c>
    </row>
    <row r="98" spans="1:5" x14ac:dyDescent="0.5">
      <c r="A98" s="1148">
        <v>44790</v>
      </c>
      <c r="B98" s="675" t="s">
        <v>2712</v>
      </c>
      <c r="C98" s="183" t="s">
        <v>3333</v>
      </c>
      <c r="D98" s="675" t="s">
        <v>4668</v>
      </c>
      <c r="E98" s="1149">
        <v>52</v>
      </c>
    </row>
    <row r="99" spans="1:5" x14ac:dyDescent="0.5">
      <c r="A99" s="1148">
        <v>44791</v>
      </c>
      <c r="B99" s="675" t="s">
        <v>2754</v>
      </c>
      <c r="C99" s="183" t="s">
        <v>2975</v>
      </c>
      <c r="D99" s="675" t="s">
        <v>4647</v>
      </c>
      <c r="E99" s="1149">
        <v>51</v>
      </c>
    </row>
    <row r="100" spans="1:5" x14ac:dyDescent="0.5">
      <c r="A100" s="1148">
        <v>44796</v>
      </c>
      <c r="B100" s="675" t="s">
        <v>2736</v>
      </c>
      <c r="C100" s="183" t="s">
        <v>2980</v>
      </c>
      <c r="D100" s="675" t="s">
        <v>4592</v>
      </c>
      <c r="E100" s="1149">
        <v>47</v>
      </c>
    </row>
    <row r="101" spans="1:5" x14ac:dyDescent="0.5">
      <c r="A101" s="1148">
        <v>44819</v>
      </c>
      <c r="B101" s="675" t="s">
        <v>2757</v>
      </c>
      <c r="C101" s="183" t="s">
        <v>3012</v>
      </c>
      <c r="D101" s="675" t="s">
        <v>4674</v>
      </c>
      <c r="E101" s="1149">
        <v>52.2</v>
      </c>
    </row>
    <row r="102" spans="1:5" x14ac:dyDescent="0.5">
      <c r="A102" s="1148">
        <v>44844</v>
      </c>
      <c r="B102" s="675" t="s">
        <v>2751</v>
      </c>
      <c r="C102" s="183" t="s">
        <v>2993</v>
      </c>
      <c r="D102" s="675" t="s">
        <v>3780</v>
      </c>
      <c r="E102" s="1149">
        <v>45</v>
      </c>
    </row>
    <row r="103" spans="1:5" x14ac:dyDescent="0.5">
      <c r="A103" s="1148">
        <v>44846</v>
      </c>
      <c r="B103" s="675" t="s">
        <v>2758</v>
      </c>
      <c r="C103" s="183" t="s">
        <v>2759</v>
      </c>
      <c r="D103" s="675" t="s">
        <v>4619</v>
      </c>
      <c r="E103" s="1149">
        <v>49.94</v>
      </c>
    </row>
    <row r="104" spans="1:5" x14ac:dyDescent="0.5">
      <c r="A104" s="1148">
        <v>44858</v>
      </c>
      <c r="B104" s="675" t="s">
        <v>2774</v>
      </c>
      <c r="C104" s="183" t="s">
        <v>3493</v>
      </c>
      <c r="D104" s="675" t="s">
        <v>4630</v>
      </c>
      <c r="E104" s="1149">
        <v>50</v>
      </c>
    </row>
    <row r="105" spans="1:5" x14ac:dyDescent="0.5">
      <c r="A105" s="1148">
        <v>44859</v>
      </c>
      <c r="B105" s="675" t="s">
        <v>2715</v>
      </c>
      <c r="C105" s="183" t="s">
        <v>2716</v>
      </c>
      <c r="D105" s="675" t="s">
        <v>3781</v>
      </c>
      <c r="E105" s="1149">
        <v>53.78</v>
      </c>
    </row>
    <row r="106" spans="1:5" x14ac:dyDescent="0.5">
      <c r="A106" s="1148">
        <v>44861</v>
      </c>
      <c r="B106" s="675" t="s">
        <v>2762</v>
      </c>
      <c r="C106" s="183" t="s">
        <v>2755</v>
      </c>
      <c r="D106" s="675" t="s">
        <v>4684</v>
      </c>
      <c r="E106" s="1149">
        <v>52.54</v>
      </c>
    </row>
    <row r="107" spans="1:5" x14ac:dyDescent="0.5">
      <c r="A107" s="1148">
        <v>44861</v>
      </c>
      <c r="B107" s="675" t="s">
        <v>2700</v>
      </c>
      <c r="C107" s="183" t="s">
        <v>4694</v>
      </c>
      <c r="D107" s="675" t="s">
        <v>4695</v>
      </c>
      <c r="E107" s="1149">
        <v>54</v>
      </c>
    </row>
    <row r="108" spans="1:5" x14ac:dyDescent="0.5">
      <c r="A108" s="1148">
        <v>44868</v>
      </c>
      <c r="B108" s="675" t="s">
        <v>2738</v>
      </c>
      <c r="C108" s="183" t="s">
        <v>2741</v>
      </c>
      <c r="D108" s="675" t="s">
        <v>3782</v>
      </c>
      <c r="E108" s="1149">
        <v>52</v>
      </c>
    </row>
    <row r="109" spans="1:5" x14ac:dyDescent="0.5">
      <c r="A109" s="1148">
        <v>44882</v>
      </c>
      <c r="B109" s="675" t="s">
        <v>2698</v>
      </c>
      <c r="C109" s="183" t="s">
        <v>3678</v>
      </c>
      <c r="D109" s="675" t="s">
        <v>4688</v>
      </c>
      <c r="E109" s="1149">
        <v>52.97</v>
      </c>
    </row>
    <row r="110" spans="1:5" x14ac:dyDescent="0.5">
      <c r="A110" s="1148">
        <v>44895</v>
      </c>
      <c r="B110" s="675" t="s">
        <v>2752</v>
      </c>
      <c r="C110" s="183" t="s">
        <v>4661</v>
      </c>
      <c r="D110" s="675" t="s">
        <v>4669</v>
      </c>
      <c r="E110" s="1149">
        <v>52</v>
      </c>
    </row>
    <row r="111" spans="1:5" x14ac:dyDescent="0.5">
      <c r="A111" s="1148">
        <v>44910</v>
      </c>
      <c r="B111" s="675" t="s">
        <v>2738</v>
      </c>
      <c r="C111" s="183" t="s">
        <v>2954</v>
      </c>
      <c r="D111" s="675" t="s">
        <v>3783</v>
      </c>
      <c r="E111" s="1149">
        <v>52</v>
      </c>
    </row>
    <row r="112" spans="1:5" x14ac:dyDescent="0.5">
      <c r="A112" s="1148">
        <v>44916</v>
      </c>
      <c r="B112" s="675" t="s">
        <v>2712</v>
      </c>
      <c r="C112" s="183" t="s">
        <v>3085</v>
      </c>
      <c r="D112" s="675" t="s">
        <v>4696</v>
      </c>
      <c r="E112" s="1149">
        <v>54</v>
      </c>
    </row>
    <row r="113" spans="1:5" x14ac:dyDescent="0.5">
      <c r="A113" s="1148">
        <v>44917</v>
      </c>
      <c r="B113" s="675" t="s">
        <v>2736</v>
      </c>
      <c r="C113" s="183" t="s">
        <v>2737</v>
      </c>
      <c r="D113" s="675" t="s">
        <v>4613</v>
      </c>
      <c r="E113" s="1149">
        <v>49</v>
      </c>
    </row>
    <row r="114" spans="1:5" x14ac:dyDescent="0.5">
      <c r="A114" s="1148">
        <v>44917</v>
      </c>
      <c r="B114" s="675" t="s">
        <v>2702</v>
      </c>
      <c r="C114" s="183" t="s">
        <v>2748</v>
      </c>
      <c r="D114" s="675" t="s">
        <v>3784</v>
      </c>
      <c r="E114" s="1149">
        <v>53.4</v>
      </c>
    </row>
    <row r="115" spans="1:5" x14ac:dyDescent="0.5">
      <c r="A115" s="1148">
        <v>44918</v>
      </c>
      <c r="B115" s="675" t="s">
        <v>2714</v>
      </c>
      <c r="C115" s="183" t="s">
        <v>4648</v>
      </c>
      <c r="D115" s="675" t="s">
        <v>3785</v>
      </c>
      <c r="E115" s="1149">
        <v>51</v>
      </c>
    </row>
    <row r="116" spans="1:5" x14ac:dyDescent="0.5">
      <c r="A116" s="1148">
        <v>44924</v>
      </c>
      <c r="B116" s="675" t="s">
        <v>2702</v>
      </c>
      <c r="C116" s="183" t="s">
        <v>2903</v>
      </c>
      <c r="D116" s="675" t="s">
        <v>3787</v>
      </c>
      <c r="E116" s="1149">
        <v>52.7</v>
      </c>
    </row>
    <row r="117" spans="1:5" x14ac:dyDescent="0.5">
      <c r="A117" s="1148">
        <v>44924</v>
      </c>
      <c r="B117" s="675" t="s">
        <v>2702</v>
      </c>
      <c r="C117" s="183" t="s">
        <v>2773</v>
      </c>
      <c r="D117" s="675" t="s">
        <v>3786</v>
      </c>
      <c r="E117" s="1149">
        <v>58.22</v>
      </c>
    </row>
    <row r="118" spans="1:5" x14ac:dyDescent="0.5">
      <c r="A118" s="1148">
        <v>44945</v>
      </c>
      <c r="B118" s="675" t="s">
        <v>2775</v>
      </c>
      <c r="C118" s="183" t="s">
        <v>3643</v>
      </c>
      <c r="D118" s="675" t="s">
        <v>4717</v>
      </c>
      <c r="E118" s="1149">
        <v>59.74</v>
      </c>
    </row>
    <row r="119" spans="1:5" x14ac:dyDescent="0.5">
      <c r="A119" s="1148">
        <v>44949</v>
      </c>
      <c r="B119" s="675" t="s">
        <v>2717</v>
      </c>
      <c r="C119" s="183" t="s">
        <v>2939</v>
      </c>
      <c r="D119" s="675" t="s">
        <v>4631</v>
      </c>
      <c r="E119" s="1149">
        <v>50</v>
      </c>
    </row>
    <row r="120" spans="1:5" x14ac:dyDescent="0.5">
      <c r="A120" s="1148">
        <v>44950</v>
      </c>
      <c r="B120" s="675" t="s">
        <v>2772</v>
      </c>
      <c r="C120" s="183" t="s">
        <v>2781</v>
      </c>
      <c r="D120" s="675" t="s">
        <v>3789</v>
      </c>
      <c r="E120" s="1149">
        <v>45.16</v>
      </c>
    </row>
    <row r="121" spans="1:5" x14ac:dyDescent="0.5">
      <c r="A121" s="1148">
        <v>44952</v>
      </c>
      <c r="B121" s="675" t="s">
        <v>2710</v>
      </c>
      <c r="C121" s="183" t="s">
        <v>3000</v>
      </c>
      <c r="D121" s="675" t="s">
        <v>4645</v>
      </c>
      <c r="E121" s="1149">
        <v>50.6</v>
      </c>
    </row>
    <row r="122" spans="1:5" x14ac:dyDescent="0.5">
      <c r="A122" s="1148">
        <v>45008</v>
      </c>
      <c r="B122" s="675" t="s">
        <v>2754</v>
      </c>
      <c r="C122" s="183" t="s">
        <v>2755</v>
      </c>
      <c r="D122" s="675" t="s">
        <v>4682</v>
      </c>
      <c r="E122" s="1149">
        <v>52.5</v>
      </c>
    </row>
    <row r="123" spans="1:5" x14ac:dyDescent="0.5">
      <c r="A123" s="1148">
        <v>45013</v>
      </c>
      <c r="B123" s="675" t="s">
        <v>2772</v>
      </c>
      <c r="C123" s="183" t="s">
        <v>3361</v>
      </c>
      <c r="D123" s="675" t="s">
        <v>3790</v>
      </c>
      <c r="E123" s="1149">
        <v>59.6</v>
      </c>
    </row>
    <row r="124" spans="1:5" x14ac:dyDescent="0.5">
      <c r="A124" s="1148">
        <v>45050</v>
      </c>
      <c r="B124" s="675" t="s">
        <v>2715</v>
      </c>
      <c r="C124" s="183" t="s">
        <v>2944</v>
      </c>
      <c r="D124" s="675" t="s">
        <v>4711</v>
      </c>
      <c r="E124" s="1149">
        <v>58</v>
      </c>
    </row>
    <row r="125" spans="1:5" x14ac:dyDescent="0.5">
      <c r="A125" s="1148">
        <v>45099</v>
      </c>
      <c r="B125" s="675" t="s">
        <v>2768</v>
      </c>
      <c r="C125" s="183" t="s">
        <v>2944</v>
      </c>
      <c r="D125" s="675" t="s">
        <v>4722</v>
      </c>
      <c r="E125" s="1149">
        <v>62.2</v>
      </c>
    </row>
    <row r="126" spans="1:5" x14ac:dyDescent="0.5">
      <c r="A126" s="1148">
        <v>45107</v>
      </c>
      <c r="B126" s="675" t="s">
        <v>2726</v>
      </c>
      <c r="C126" s="183" t="s">
        <v>2946</v>
      </c>
      <c r="D126" s="675" t="s">
        <v>4632</v>
      </c>
      <c r="E126" s="1149">
        <v>50</v>
      </c>
    </row>
    <row r="127" spans="1:5" x14ac:dyDescent="0.5">
      <c r="A127" s="1148">
        <v>45127</v>
      </c>
      <c r="B127" s="675" t="s">
        <v>2704</v>
      </c>
      <c r="C127" s="183" t="s">
        <v>2908</v>
      </c>
      <c r="D127" s="675" t="s">
        <v>4602</v>
      </c>
      <c r="E127" s="1149">
        <v>48</v>
      </c>
    </row>
    <row r="128" spans="1:5" x14ac:dyDescent="0.5">
      <c r="A128" s="1148">
        <v>45169</v>
      </c>
      <c r="B128" s="675" t="s">
        <v>2726</v>
      </c>
      <c r="C128" s="183" t="s">
        <v>2727</v>
      </c>
      <c r="D128" s="675" t="s">
        <v>4633</v>
      </c>
      <c r="E128" s="1149">
        <v>50</v>
      </c>
    </row>
    <row r="129" spans="1:5" x14ac:dyDescent="0.5">
      <c r="A129" s="1148">
        <v>45189</v>
      </c>
      <c r="B129" s="675" t="s">
        <v>2780</v>
      </c>
      <c r="C129" s="183" t="s">
        <v>3727</v>
      </c>
      <c r="D129" s="675" t="s">
        <v>4671</v>
      </c>
      <c r="E129" s="1149">
        <v>52.01</v>
      </c>
    </row>
    <row r="130" spans="1:5" x14ac:dyDescent="0.5">
      <c r="A130" s="1148">
        <v>45189</v>
      </c>
      <c r="B130" s="675" t="s">
        <v>2757</v>
      </c>
      <c r="C130" s="183" t="s">
        <v>2765</v>
      </c>
      <c r="D130" s="675" t="s">
        <v>4699</v>
      </c>
      <c r="E130" s="1149">
        <v>54.78</v>
      </c>
    </row>
    <row r="131" spans="1:5" x14ac:dyDescent="0.5">
      <c r="A131" s="1148">
        <v>45204</v>
      </c>
      <c r="B131" s="675" t="s">
        <v>2757</v>
      </c>
      <c r="C131" s="183" t="s">
        <v>3012</v>
      </c>
      <c r="D131" s="675" t="s">
        <v>4690</v>
      </c>
      <c r="E131" s="1149">
        <v>53.13</v>
      </c>
    </row>
    <row r="132" spans="1:5" x14ac:dyDescent="0.5">
      <c r="A132" s="1148">
        <v>45205</v>
      </c>
      <c r="B132" s="675" t="s">
        <v>2768</v>
      </c>
      <c r="C132" s="183" t="s">
        <v>3106</v>
      </c>
      <c r="D132" s="675" t="s">
        <v>4616</v>
      </c>
      <c r="E132" s="1149">
        <v>49.23</v>
      </c>
    </row>
    <row r="133" spans="1:5" x14ac:dyDescent="0.5">
      <c r="A133" s="1148">
        <v>45211</v>
      </c>
      <c r="B133" s="675" t="s">
        <v>2704</v>
      </c>
      <c r="C133" s="183" t="s">
        <v>2725</v>
      </c>
      <c r="D133" s="675" t="s">
        <v>4603</v>
      </c>
      <c r="E133" s="1149">
        <v>48</v>
      </c>
    </row>
    <row r="134" spans="1:5" x14ac:dyDescent="0.5">
      <c r="A134" s="1148">
        <v>45211</v>
      </c>
      <c r="B134" s="675" t="s">
        <v>2704</v>
      </c>
      <c r="C134" s="183" t="s">
        <v>2927</v>
      </c>
      <c r="D134" s="675" t="s">
        <v>4604</v>
      </c>
      <c r="E134" s="1149">
        <v>48</v>
      </c>
    </row>
    <row r="135" spans="1:5" x14ac:dyDescent="0.5">
      <c r="A135" s="1148">
        <v>45224</v>
      </c>
      <c r="B135" s="675" t="s">
        <v>2740</v>
      </c>
      <c r="C135" s="183" t="s">
        <v>2964</v>
      </c>
      <c r="D135" s="675" t="s">
        <v>4609</v>
      </c>
      <c r="E135" s="1149">
        <v>48.02</v>
      </c>
    </row>
    <row r="136" spans="1:5" x14ac:dyDescent="0.5">
      <c r="A136" s="1148">
        <v>45225</v>
      </c>
      <c r="B136" s="675" t="s">
        <v>2774</v>
      </c>
      <c r="C136" s="183" t="s">
        <v>2727</v>
      </c>
      <c r="D136" s="675" t="s">
        <v>4634</v>
      </c>
      <c r="E136" s="1149">
        <v>50</v>
      </c>
    </row>
    <row r="137" spans="1:5" x14ac:dyDescent="0.5">
      <c r="A137" s="1148">
        <v>45225</v>
      </c>
      <c r="B137" s="675" t="s">
        <v>2754</v>
      </c>
      <c r="C137" s="183" t="s">
        <v>3123</v>
      </c>
      <c r="D137" s="675" t="s">
        <v>4689</v>
      </c>
      <c r="E137" s="1149">
        <v>53</v>
      </c>
    </row>
    <row r="138" spans="1:5" x14ac:dyDescent="0.5">
      <c r="A138" s="1148">
        <v>45231</v>
      </c>
      <c r="B138" s="675" t="s">
        <v>2710</v>
      </c>
      <c r="C138" s="183" t="s">
        <v>2761</v>
      </c>
      <c r="D138" s="675" t="s">
        <v>4677</v>
      </c>
      <c r="E138" s="1149">
        <v>52.32</v>
      </c>
    </row>
    <row r="139" spans="1:5" x14ac:dyDescent="0.5">
      <c r="A139" s="1148">
        <v>45233</v>
      </c>
      <c r="B139" s="675" t="s">
        <v>2702</v>
      </c>
      <c r="C139" s="183" t="s">
        <v>4701</v>
      </c>
      <c r="D139" s="675" t="s">
        <v>3791</v>
      </c>
      <c r="E139" s="1149">
        <v>56.06</v>
      </c>
    </row>
    <row r="140" spans="1:5" x14ac:dyDescent="0.5">
      <c r="A140" s="1148">
        <v>45237</v>
      </c>
      <c r="B140" s="675" t="s">
        <v>2777</v>
      </c>
      <c r="C140" s="183" t="s">
        <v>4648</v>
      </c>
      <c r="D140" s="675" t="s">
        <v>4657</v>
      </c>
      <c r="E140" s="1149">
        <v>51.56</v>
      </c>
    </row>
    <row r="141" spans="1:5" x14ac:dyDescent="0.5">
      <c r="A141" s="1148">
        <v>45239</v>
      </c>
      <c r="B141" s="675" t="s">
        <v>2702</v>
      </c>
      <c r="C141" s="183" t="s">
        <v>2755</v>
      </c>
      <c r="D141" s="675" t="s">
        <v>3793</v>
      </c>
      <c r="E141" s="1149">
        <v>52.5</v>
      </c>
    </row>
    <row r="142" spans="1:5" x14ac:dyDescent="0.5">
      <c r="A142" s="1148">
        <v>45239</v>
      </c>
      <c r="B142" s="675" t="s">
        <v>2702</v>
      </c>
      <c r="C142" s="183" t="s">
        <v>2749</v>
      </c>
      <c r="D142" s="675" t="s">
        <v>3794</v>
      </c>
      <c r="E142" s="1149">
        <v>53.7</v>
      </c>
    </row>
    <row r="143" spans="1:5" x14ac:dyDescent="0.5">
      <c r="A143" s="1148">
        <v>45246</v>
      </c>
      <c r="B143" s="675" t="s">
        <v>2693</v>
      </c>
      <c r="C143" s="183" t="s">
        <v>2742</v>
      </c>
      <c r="D143" s="675" t="s">
        <v>3796</v>
      </c>
      <c r="E143" s="1149">
        <v>50</v>
      </c>
    </row>
    <row r="144" spans="1:5" x14ac:dyDescent="0.5">
      <c r="A144" s="1148">
        <v>45246</v>
      </c>
      <c r="B144" s="675" t="s">
        <v>2693</v>
      </c>
      <c r="C144" s="183" t="s">
        <v>2629</v>
      </c>
      <c r="D144" s="675" t="s">
        <v>3795</v>
      </c>
      <c r="E144" s="1149">
        <v>50</v>
      </c>
    </row>
    <row r="145" spans="1:5" x14ac:dyDescent="0.5">
      <c r="A145" s="1148">
        <v>45246</v>
      </c>
      <c r="B145" s="675" t="s">
        <v>2693</v>
      </c>
      <c r="C145" s="183" t="s">
        <v>2961</v>
      </c>
      <c r="D145" s="675" t="s">
        <v>3798</v>
      </c>
      <c r="E145" s="1149">
        <v>50.79</v>
      </c>
    </row>
    <row r="146" spans="1:5" x14ac:dyDescent="0.5">
      <c r="A146" s="1148">
        <v>45246</v>
      </c>
      <c r="B146" s="675" t="s">
        <v>2693</v>
      </c>
      <c r="C146" s="183" t="s">
        <v>2959</v>
      </c>
      <c r="D146" s="675" t="s">
        <v>3797</v>
      </c>
      <c r="E146" s="1149">
        <v>52.58</v>
      </c>
    </row>
    <row r="147" spans="1:5" x14ac:dyDescent="0.5">
      <c r="A147" s="1148">
        <v>45264</v>
      </c>
      <c r="B147" s="675" t="s">
        <v>2768</v>
      </c>
      <c r="C147" s="183" t="s">
        <v>3012</v>
      </c>
      <c r="D147" s="675" t="s">
        <v>4639</v>
      </c>
      <c r="E147" s="1149">
        <v>50.09</v>
      </c>
    </row>
    <row r="148" spans="1:5" x14ac:dyDescent="0.5">
      <c r="A148" s="1148">
        <v>45274</v>
      </c>
      <c r="B148" s="675" t="s">
        <v>2698</v>
      </c>
      <c r="C148" s="183" t="s">
        <v>2722</v>
      </c>
      <c r="D148" s="675" t="s">
        <v>3799</v>
      </c>
      <c r="E148" s="1149">
        <v>52</v>
      </c>
    </row>
    <row r="149" spans="1:5" x14ac:dyDescent="0.5">
      <c r="A149" s="1148">
        <v>45274</v>
      </c>
      <c r="B149" s="675" t="s">
        <v>2698</v>
      </c>
      <c r="C149" s="183" t="s">
        <v>2895</v>
      </c>
      <c r="D149" s="675" t="s">
        <v>3800</v>
      </c>
      <c r="E149" s="1149">
        <v>52.6</v>
      </c>
    </row>
    <row r="150" spans="1:5" x14ac:dyDescent="0.5">
      <c r="A150" s="1148">
        <v>45275</v>
      </c>
      <c r="B150" s="675" t="s">
        <v>2734</v>
      </c>
      <c r="C150" s="183" t="s">
        <v>2895</v>
      </c>
      <c r="D150" s="675" t="s">
        <v>3801</v>
      </c>
      <c r="E150" s="1149">
        <v>52</v>
      </c>
    </row>
    <row r="151" spans="1:5" x14ac:dyDescent="0.5">
      <c r="A151" s="1148">
        <v>45282</v>
      </c>
      <c r="B151" s="675" t="s">
        <v>2738</v>
      </c>
      <c r="C151" s="183" t="s">
        <v>2954</v>
      </c>
      <c r="D151" s="675" t="s">
        <v>3802</v>
      </c>
      <c r="E151" s="1149">
        <v>52</v>
      </c>
    </row>
    <row r="152" spans="1:5" x14ac:dyDescent="0.5">
      <c r="A152" s="1148">
        <v>45308</v>
      </c>
      <c r="B152" s="675" t="s">
        <v>2777</v>
      </c>
      <c r="C152" s="183" t="s">
        <v>4649</v>
      </c>
      <c r="D152" s="675" t="s">
        <v>4650</v>
      </c>
      <c r="E152" s="1149">
        <v>51</v>
      </c>
    </row>
    <row r="153" spans="1:5" x14ac:dyDescent="0.5">
      <c r="A153" s="1148">
        <v>45322</v>
      </c>
      <c r="B153" s="675" t="s">
        <v>2775</v>
      </c>
      <c r="C153" s="183" t="s">
        <v>3643</v>
      </c>
      <c r="D153" s="675" t="s">
        <v>4714</v>
      </c>
      <c r="E153" s="1149">
        <v>59.07</v>
      </c>
    </row>
    <row r="154" spans="1:5" x14ac:dyDescent="0.5">
      <c r="A154" s="1148">
        <v>45375</v>
      </c>
      <c r="B154" s="675" t="s">
        <v>2715</v>
      </c>
      <c r="C154" s="183" t="s">
        <v>3756</v>
      </c>
      <c r="D154" s="675" t="s">
        <v>4646</v>
      </c>
      <c r="E154" s="1149">
        <v>50.87</v>
      </c>
    </row>
    <row r="155" spans="1:5" x14ac:dyDescent="0.5">
      <c r="A155" s="1148">
        <v>45380</v>
      </c>
      <c r="B155" s="675" t="s">
        <v>2708</v>
      </c>
      <c r="C155" s="183" t="s">
        <v>2709</v>
      </c>
      <c r="D155" s="675" t="s">
        <v>4656</v>
      </c>
      <c r="E155" s="1149">
        <v>51.5</v>
      </c>
    </row>
    <row r="156" spans="1:5" x14ac:dyDescent="0.5">
      <c r="A156" s="1148">
        <v>45390</v>
      </c>
      <c r="B156" s="675" t="s">
        <v>2731</v>
      </c>
      <c r="C156" s="183" t="s">
        <v>2939</v>
      </c>
      <c r="D156" s="675" t="s">
        <v>4635</v>
      </c>
      <c r="E156" s="1149">
        <v>50</v>
      </c>
    </row>
    <row r="157" spans="1:5" x14ac:dyDescent="0.5">
      <c r="A157" s="1148">
        <v>45390</v>
      </c>
      <c r="B157" s="675" t="s">
        <v>2731</v>
      </c>
      <c r="C157" s="183" t="s">
        <v>2939</v>
      </c>
      <c r="D157" s="675" t="s">
        <v>4636</v>
      </c>
      <c r="E157" s="1149">
        <v>50</v>
      </c>
    </row>
    <row r="158" spans="1:5" x14ac:dyDescent="0.5">
      <c r="A158" s="1148">
        <v>45390</v>
      </c>
      <c r="B158" s="675" t="s">
        <v>2779</v>
      </c>
      <c r="C158" s="183" t="s">
        <v>3721</v>
      </c>
      <c r="D158" s="675" t="s">
        <v>3803</v>
      </c>
      <c r="E158" s="1149">
        <v>54.11</v>
      </c>
    </row>
    <row r="159" spans="1:5" x14ac:dyDescent="0.5">
      <c r="A159" s="1148">
        <v>45399</v>
      </c>
      <c r="B159" s="675" t="s">
        <v>2710</v>
      </c>
      <c r="C159" s="183" t="s">
        <v>4654</v>
      </c>
      <c r="D159" s="675" t="s">
        <v>4655</v>
      </c>
      <c r="E159" s="1149">
        <v>51.42</v>
      </c>
    </row>
    <row r="160" spans="1:5" x14ac:dyDescent="0.5">
      <c r="A160" s="1148">
        <v>45469</v>
      </c>
      <c r="B160" s="675" t="s">
        <v>2775</v>
      </c>
      <c r="C160" s="183" t="s">
        <v>2975</v>
      </c>
      <c r="D160" s="675" t="s">
        <v>4721</v>
      </c>
      <c r="E160" s="1149">
        <v>60.61</v>
      </c>
    </row>
    <row r="161" spans="1:5" x14ac:dyDescent="0.5">
      <c r="A161" s="1148">
        <v>45471</v>
      </c>
      <c r="B161" s="675" t="s">
        <v>2700</v>
      </c>
      <c r="C161" s="183" t="s">
        <v>2778</v>
      </c>
      <c r="D161" s="675" t="s">
        <v>3804</v>
      </c>
      <c r="E161" s="1149">
        <v>52.26</v>
      </c>
    </row>
    <row r="162" spans="1:5" x14ac:dyDescent="0.5">
      <c r="A162" s="1148">
        <v>45491</v>
      </c>
      <c r="B162" s="675" t="s">
        <v>2704</v>
      </c>
      <c r="C162" s="183" t="s">
        <v>2750</v>
      </c>
      <c r="D162" s="675" t="s">
        <v>3805</v>
      </c>
      <c r="E162" s="1149">
        <v>48</v>
      </c>
    </row>
    <row r="163" spans="1:5" x14ac:dyDescent="0.5">
      <c r="A163" s="1148">
        <v>45498</v>
      </c>
      <c r="B163" s="675" t="s">
        <v>2752</v>
      </c>
      <c r="C163" s="183" t="s">
        <v>4661</v>
      </c>
      <c r="D163" s="675" t="s">
        <v>4670</v>
      </c>
      <c r="E163" s="1149">
        <v>52</v>
      </c>
    </row>
    <row r="164" spans="1:5" x14ac:dyDescent="0.5">
      <c r="A164" s="1148">
        <v>45502</v>
      </c>
      <c r="B164" s="675" t="s">
        <v>2768</v>
      </c>
      <c r="C164" s="183" t="s">
        <v>2944</v>
      </c>
      <c r="D164" s="675" t="s">
        <v>4723</v>
      </c>
      <c r="E164" s="1149">
        <v>62.38</v>
      </c>
    </row>
    <row r="165" spans="1:5" x14ac:dyDescent="0.5">
      <c r="A165" s="1148">
        <v>45504</v>
      </c>
      <c r="B165" s="675" t="s">
        <v>2739</v>
      </c>
      <c r="C165" s="183" t="s">
        <v>3070</v>
      </c>
      <c r="D165" s="675" t="s">
        <v>4678</v>
      </c>
      <c r="E165" s="1149">
        <v>52.39</v>
      </c>
    </row>
    <row r="166" spans="1:5" x14ac:dyDescent="0.5">
      <c r="A166" s="1148">
        <v>45516</v>
      </c>
      <c r="B166" s="675" t="s">
        <v>2768</v>
      </c>
      <c r="C166" s="183" t="s">
        <v>3106</v>
      </c>
      <c r="D166" s="675" t="s">
        <v>4617</v>
      </c>
      <c r="E166" s="1149">
        <v>49.23</v>
      </c>
    </row>
    <row r="167" spans="1:5" x14ac:dyDescent="0.5">
      <c r="A167" s="1148">
        <v>45519</v>
      </c>
      <c r="B167" s="675" t="s">
        <v>2704</v>
      </c>
      <c r="C167" s="183" t="s">
        <v>4596</v>
      </c>
      <c r="D167" s="675" t="s">
        <v>4605</v>
      </c>
      <c r="E167" s="1149">
        <v>48</v>
      </c>
    </row>
    <row r="168" spans="1:5" x14ac:dyDescent="0.5">
      <c r="A168" s="1148">
        <v>45519</v>
      </c>
      <c r="B168" s="675" t="s">
        <v>2704</v>
      </c>
      <c r="C168" s="183" t="s">
        <v>2934</v>
      </c>
      <c r="D168" s="675" t="s">
        <v>4606</v>
      </c>
      <c r="E168" s="1149">
        <v>48</v>
      </c>
    </row>
    <row r="169" spans="1:5" x14ac:dyDescent="0.5">
      <c r="A169" s="1148">
        <v>45552</v>
      </c>
      <c r="B169" s="675" t="s">
        <v>2708</v>
      </c>
      <c r="C169" s="183" t="s">
        <v>2747</v>
      </c>
      <c r="D169" s="675" t="s">
        <v>4651</v>
      </c>
      <c r="E169" s="1149">
        <v>51</v>
      </c>
    </row>
    <row r="170" spans="1:5" x14ac:dyDescent="0.5">
      <c r="A170" s="1148">
        <v>45553</v>
      </c>
      <c r="B170" s="675" t="s">
        <v>2731</v>
      </c>
      <c r="C170" s="183" t="s">
        <v>2733</v>
      </c>
      <c r="D170" s="675" t="s">
        <v>3860</v>
      </c>
      <c r="E170" s="1149">
        <v>52.4</v>
      </c>
    </row>
    <row r="171" spans="1:5" x14ac:dyDescent="0.5">
      <c r="A171" s="1148">
        <v>45566</v>
      </c>
      <c r="B171" s="675" t="s">
        <v>2751</v>
      </c>
      <c r="C171" s="183" t="s">
        <v>2993</v>
      </c>
      <c r="D171" s="675" t="s">
        <v>4584</v>
      </c>
      <c r="E171" s="1149">
        <v>39.64</v>
      </c>
    </row>
    <row r="172" spans="1:5" x14ac:dyDescent="0.5">
      <c r="A172" s="1148">
        <v>45574</v>
      </c>
      <c r="B172" s="675" t="s">
        <v>2712</v>
      </c>
      <c r="C172" s="183" t="s">
        <v>2713</v>
      </c>
      <c r="D172" s="675" t="s">
        <v>4705</v>
      </c>
      <c r="E172" s="1149">
        <v>55</v>
      </c>
    </row>
    <row r="173" spans="1:5" x14ac:dyDescent="0.5">
      <c r="A173" s="1148">
        <v>45590</v>
      </c>
      <c r="B173" s="675" t="s">
        <v>2774</v>
      </c>
      <c r="C173" s="183" t="s">
        <v>3493</v>
      </c>
      <c r="D173" s="675" t="s">
        <v>4637</v>
      </c>
      <c r="E173" s="1149">
        <v>50</v>
      </c>
    </row>
    <row r="174" spans="1:5" x14ac:dyDescent="0.5">
      <c r="A174" s="1148">
        <v>45590</v>
      </c>
      <c r="B174" s="675" t="s">
        <v>2715</v>
      </c>
      <c r="C174" s="183" t="s">
        <v>2716</v>
      </c>
      <c r="D174" s="675" t="s">
        <v>3862</v>
      </c>
      <c r="E174" s="1149">
        <v>54</v>
      </c>
    </row>
    <row r="175" spans="1:5" x14ac:dyDescent="0.5">
      <c r="A175" s="1148">
        <v>45596</v>
      </c>
      <c r="B175" s="675" t="s">
        <v>2693</v>
      </c>
      <c r="C175" s="183" t="s">
        <v>3863</v>
      </c>
      <c r="D175" s="675" t="s">
        <v>3864</v>
      </c>
      <c r="E175" s="1149">
        <v>45.3</v>
      </c>
    </row>
    <row r="176" spans="1:5" x14ac:dyDescent="0.5">
      <c r="A176" s="1148">
        <v>45602</v>
      </c>
      <c r="B176" s="675" t="s">
        <v>2739</v>
      </c>
      <c r="C176" s="183" t="s">
        <v>4724</v>
      </c>
      <c r="D176" s="675" t="s">
        <v>4725</v>
      </c>
      <c r="E176" s="1149">
        <v>83.18</v>
      </c>
    </row>
    <row r="177" spans="1:5" x14ac:dyDescent="0.5">
      <c r="A177" s="1148">
        <v>45603</v>
      </c>
      <c r="B177" s="675" t="s">
        <v>2744</v>
      </c>
      <c r="C177" s="183" t="s">
        <v>2972</v>
      </c>
      <c r="D177" s="675" t="s">
        <v>3865</v>
      </c>
      <c r="E177" s="1149">
        <v>39.590000000000003</v>
      </c>
    </row>
    <row r="178" spans="1:5" x14ac:dyDescent="0.5">
      <c r="A178" s="1148">
        <v>45603</v>
      </c>
      <c r="B178" s="675" t="s">
        <v>2762</v>
      </c>
      <c r="C178" s="183" t="s">
        <v>2746</v>
      </c>
      <c r="D178" s="675" t="s">
        <v>4640</v>
      </c>
      <c r="E178" s="1149">
        <v>50.19</v>
      </c>
    </row>
    <row r="179" spans="1:5" x14ac:dyDescent="0.5">
      <c r="A179" s="1148">
        <v>45603</v>
      </c>
      <c r="B179" s="675" t="s">
        <v>2762</v>
      </c>
      <c r="C179" s="183" t="s">
        <v>2755</v>
      </c>
      <c r="D179" s="675" t="s">
        <v>4683</v>
      </c>
      <c r="E179" s="1149">
        <v>52.5</v>
      </c>
    </row>
    <row r="180" spans="1:5" x14ac:dyDescent="0.5">
      <c r="A180" s="1148">
        <v>45614</v>
      </c>
      <c r="B180" s="675" t="s">
        <v>2723</v>
      </c>
      <c r="C180" s="183" t="s">
        <v>2921</v>
      </c>
      <c r="D180" s="675" t="s">
        <v>4422</v>
      </c>
      <c r="E180" s="1149">
        <v>53</v>
      </c>
    </row>
    <row r="181" spans="1:5" x14ac:dyDescent="0.5">
      <c r="A181" s="1148">
        <v>45614</v>
      </c>
      <c r="B181" s="675" t="s">
        <v>2723</v>
      </c>
      <c r="C181" s="183" t="s">
        <v>2949</v>
      </c>
      <c r="D181" s="675" t="s">
        <v>4423</v>
      </c>
      <c r="E181" s="1149">
        <v>53</v>
      </c>
    </row>
    <row r="182" spans="1:5" x14ac:dyDescent="0.5">
      <c r="A182" s="1148">
        <v>45616</v>
      </c>
      <c r="B182" s="675" t="s">
        <v>2775</v>
      </c>
      <c r="C182" s="183" t="s">
        <v>3643</v>
      </c>
      <c r="D182" s="675" t="s">
        <v>4715</v>
      </c>
      <c r="E182" s="1149">
        <v>59.58</v>
      </c>
    </row>
    <row r="183" spans="1:5" x14ac:dyDescent="0.5">
      <c r="A183" s="1148">
        <v>45617</v>
      </c>
      <c r="B183" s="675" t="s">
        <v>2751</v>
      </c>
      <c r="C183" s="183" t="s">
        <v>4586</v>
      </c>
      <c r="D183" s="675" t="s">
        <v>4587</v>
      </c>
      <c r="E183" s="1149">
        <v>41.07</v>
      </c>
    </row>
    <row r="184" spans="1:5" x14ac:dyDescent="0.5">
      <c r="A184" s="1148">
        <v>45617</v>
      </c>
      <c r="B184" s="675" t="s">
        <v>2712</v>
      </c>
      <c r="C184" s="183" t="s">
        <v>3255</v>
      </c>
      <c r="D184" s="675" t="s">
        <v>4697</v>
      </c>
      <c r="E184" s="1149">
        <v>54</v>
      </c>
    </row>
    <row r="185" spans="1:5" x14ac:dyDescent="0.5">
      <c r="A185" s="1148">
        <v>45617</v>
      </c>
      <c r="B185" s="675" t="s">
        <v>2712</v>
      </c>
      <c r="C185" s="183" t="s">
        <v>3333</v>
      </c>
      <c r="D185" s="675" t="s">
        <v>4706</v>
      </c>
      <c r="E185" s="1149">
        <v>55</v>
      </c>
    </row>
    <row r="186" spans="1:5" x14ac:dyDescent="0.5">
      <c r="A186" s="1148">
        <v>45645</v>
      </c>
      <c r="B186" s="675" t="s">
        <v>2704</v>
      </c>
      <c r="C186" s="183" t="s">
        <v>2910</v>
      </c>
      <c r="D186" s="675" t="s">
        <v>4607</v>
      </c>
      <c r="E186" s="1149">
        <v>48</v>
      </c>
    </row>
    <row r="187" spans="1:5" x14ac:dyDescent="0.5">
      <c r="A187" s="1148">
        <v>45645</v>
      </c>
      <c r="B187" s="675" t="s">
        <v>2702</v>
      </c>
      <c r="C187" s="183" t="s">
        <v>2903</v>
      </c>
      <c r="D187" s="675" t="s">
        <v>3867</v>
      </c>
      <c r="E187" s="1149">
        <v>52.76</v>
      </c>
    </row>
    <row r="188" spans="1:5" x14ac:dyDescent="0.5">
      <c r="A188" s="1148">
        <v>45645</v>
      </c>
      <c r="B188" s="675" t="s">
        <v>2702</v>
      </c>
      <c r="C188" s="183" t="s">
        <v>2748</v>
      </c>
      <c r="D188" s="675" t="s">
        <v>3868</v>
      </c>
      <c r="E188" s="1149">
        <v>54.17</v>
      </c>
    </row>
    <row r="189" spans="1:5" x14ac:dyDescent="0.5">
      <c r="A189" s="1148">
        <v>45645</v>
      </c>
      <c r="B189" s="675" t="s">
        <v>2702</v>
      </c>
      <c r="C189" s="183" t="s">
        <v>2773</v>
      </c>
      <c r="D189" s="675" t="s">
        <v>3866</v>
      </c>
      <c r="E189" s="1149">
        <v>56.54</v>
      </c>
    </row>
    <row r="190" spans="1:5" x14ac:dyDescent="0.5">
      <c r="A190" s="1148">
        <v>45646</v>
      </c>
      <c r="B190" s="675" t="s">
        <v>2736</v>
      </c>
      <c r="C190" s="183" t="s">
        <v>2727</v>
      </c>
      <c r="D190" s="675" t="s">
        <v>4424</v>
      </c>
      <c r="E190" s="1149">
        <v>48.5</v>
      </c>
    </row>
    <row r="191" spans="1:5" x14ac:dyDescent="0.5">
      <c r="A191" s="1148">
        <v>45656</v>
      </c>
      <c r="B191" s="675" t="s">
        <v>2728</v>
      </c>
      <c r="C191" s="183" t="s">
        <v>3144</v>
      </c>
      <c r="D191" s="675" t="s">
        <v>4687</v>
      </c>
      <c r="E191" s="1149">
        <v>52.64</v>
      </c>
    </row>
    <row r="192" spans="1:5" x14ac:dyDescent="0.5">
      <c r="A192" s="1148">
        <v>45664</v>
      </c>
      <c r="B192" s="675" t="s">
        <v>2743</v>
      </c>
      <c r="C192" s="183" t="s">
        <v>3012</v>
      </c>
      <c r="D192" s="675" t="s">
        <v>4675</v>
      </c>
      <c r="E192" s="1149">
        <v>52.3</v>
      </c>
    </row>
    <row r="193" spans="1:10" x14ac:dyDescent="0.5">
      <c r="A193" s="1148">
        <v>45672</v>
      </c>
      <c r="B193" s="675" t="s">
        <v>2736</v>
      </c>
      <c r="C193" s="183" t="s">
        <v>2737</v>
      </c>
      <c r="D193" s="675" t="s">
        <v>4425</v>
      </c>
      <c r="E193" s="1149">
        <v>50</v>
      </c>
    </row>
    <row r="194" spans="1:10" x14ac:dyDescent="0.5">
      <c r="A194" s="675"/>
      <c r="B194" s="183"/>
      <c r="C194" s="675"/>
      <c r="D194" s="675"/>
      <c r="E194" s="675"/>
      <c r="F194" s="675"/>
      <c r="G194" s="675"/>
      <c r="H194" s="1148"/>
      <c r="I194" s="675"/>
      <c r="J194" s="675"/>
    </row>
    <row r="195" spans="1:10" x14ac:dyDescent="0.5">
      <c r="A195" s="675"/>
      <c r="B195" s="183"/>
      <c r="C195" s="675"/>
      <c r="D195" s="675" t="s">
        <v>4579</v>
      </c>
      <c r="E195" s="1149">
        <f>MIN(E6:E193)</f>
        <v>32.270000000000003</v>
      </c>
      <c r="F195" s="675"/>
      <c r="G195" s="675"/>
      <c r="H195" s="1148"/>
      <c r="I195" s="675"/>
      <c r="J195" s="675"/>
    </row>
    <row r="196" spans="1:10" x14ac:dyDescent="0.5">
      <c r="A196" s="675"/>
      <c r="B196" s="183"/>
      <c r="C196" s="675"/>
      <c r="D196" s="675" t="s">
        <v>4580</v>
      </c>
      <c r="E196" s="1149">
        <f>MAX(E6:E175,E177:E193)</f>
        <v>62.38</v>
      </c>
      <c r="F196" s="1364" t="s">
        <v>1146</v>
      </c>
      <c r="G196" s="675"/>
      <c r="H196" s="1148"/>
      <c r="I196" s="675"/>
      <c r="J196" s="675"/>
    </row>
    <row r="197" spans="1:10" x14ac:dyDescent="0.5">
      <c r="A197" s="1365" t="s">
        <v>17</v>
      </c>
      <c r="B197" s="183"/>
      <c r="C197" s="675"/>
      <c r="D197" s="675"/>
      <c r="E197" s="675"/>
      <c r="F197" s="675"/>
      <c r="G197" s="675"/>
      <c r="H197" s="1148"/>
      <c r="I197" s="675"/>
      <c r="J197" s="675"/>
    </row>
    <row r="198" spans="1:10" x14ac:dyDescent="0.5">
      <c r="A198" s="469" t="s">
        <v>1146</v>
      </c>
      <c r="B198" s="675" t="s">
        <v>7137</v>
      </c>
      <c r="C198" s="675"/>
      <c r="D198" s="675"/>
      <c r="E198" s="675"/>
      <c r="F198" s="675"/>
      <c r="G198" s="675"/>
      <c r="H198" s="1148"/>
      <c r="I198" s="675"/>
      <c r="J198" s="675"/>
    </row>
    <row r="199" spans="1:10" x14ac:dyDescent="0.5">
      <c r="A199" s="675"/>
      <c r="B199" s="183"/>
      <c r="C199" s="675"/>
      <c r="D199" s="675"/>
      <c r="E199" s="675"/>
      <c r="F199" s="675"/>
      <c r="G199" s="675"/>
      <c r="H199" s="1148"/>
      <c r="I199" s="675"/>
      <c r="J199" s="675"/>
    </row>
    <row r="200" spans="1:10" x14ac:dyDescent="0.5">
      <c r="A200" s="675" t="s">
        <v>7138</v>
      </c>
      <c r="B200" s="183"/>
      <c r="C200" s="675"/>
      <c r="D200" s="675"/>
      <c r="E200" s="675"/>
      <c r="F200" s="675"/>
      <c r="G200" s="675"/>
      <c r="H200" s="1148"/>
      <c r="I200" s="675"/>
      <c r="J200" s="675"/>
    </row>
    <row r="201" spans="1:10" x14ac:dyDescent="0.5">
      <c r="A201" s="675"/>
      <c r="B201" s="183"/>
      <c r="C201" s="675"/>
      <c r="D201" s="675"/>
      <c r="E201" s="675"/>
      <c r="F201" s="675"/>
      <c r="G201" s="675"/>
      <c r="H201" s="1148"/>
      <c r="I201" s="675"/>
      <c r="J201" s="675"/>
    </row>
    <row r="202" spans="1:10" x14ac:dyDescent="0.5">
      <c r="A202" s="675"/>
      <c r="B202" s="183"/>
      <c r="C202" s="675"/>
      <c r="D202" s="675"/>
      <c r="E202" s="675"/>
      <c r="F202" s="675"/>
      <c r="G202" s="675"/>
      <c r="H202" s="1148"/>
      <c r="I202" s="675"/>
      <c r="J202" s="675"/>
    </row>
    <row r="203" spans="1:10" x14ac:dyDescent="0.5">
      <c r="A203" s="675"/>
      <c r="B203" s="183"/>
      <c r="C203" s="675"/>
      <c r="D203" s="675"/>
      <c r="E203" s="675"/>
      <c r="F203" s="675"/>
      <c r="G203" s="675"/>
      <c r="H203" s="1148"/>
      <c r="I203" s="675"/>
      <c r="J203" s="675"/>
    </row>
    <row r="204" spans="1:10" x14ac:dyDescent="0.5">
      <c r="A204" s="675"/>
      <c r="B204" s="183"/>
      <c r="C204" s="675"/>
      <c r="D204" s="675"/>
      <c r="E204" s="675"/>
      <c r="F204" s="675"/>
      <c r="G204" s="675"/>
      <c r="H204" s="1148"/>
      <c r="I204" s="675"/>
      <c r="J204" s="675"/>
    </row>
    <row r="205" spans="1:10" x14ac:dyDescent="0.5">
      <c r="A205" s="675"/>
      <c r="B205" s="183"/>
      <c r="C205" s="675"/>
      <c r="D205" s="675"/>
      <c r="E205" s="675"/>
      <c r="F205" s="675"/>
      <c r="G205" s="675"/>
      <c r="H205" s="1148"/>
      <c r="I205" s="675"/>
      <c r="J205" s="675"/>
    </row>
    <row r="206" spans="1:10" x14ac:dyDescent="0.5">
      <c r="A206" s="675"/>
      <c r="B206" s="183"/>
      <c r="C206" s="675"/>
      <c r="D206" s="675"/>
      <c r="E206" s="675"/>
      <c r="F206" s="675"/>
      <c r="G206" s="675"/>
      <c r="H206" s="1148"/>
      <c r="I206" s="675"/>
      <c r="J206" s="675"/>
    </row>
    <row r="207" spans="1:10" x14ac:dyDescent="0.5">
      <c r="A207" s="675"/>
      <c r="B207" s="183"/>
      <c r="C207" s="675"/>
      <c r="D207" s="675"/>
      <c r="E207" s="675"/>
      <c r="F207" s="675"/>
      <c r="G207" s="675"/>
      <c r="H207" s="1148"/>
      <c r="I207" s="675"/>
      <c r="J207" s="675"/>
    </row>
    <row r="208" spans="1:10" x14ac:dyDescent="0.5">
      <c r="A208" s="675"/>
      <c r="B208" s="183"/>
      <c r="C208" s="675"/>
      <c r="D208" s="675"/>
      <c r="E208" s="675"/>
      <c r="F208" s="675"/>
      <c r="G208" s="675"/>
      <c r="H208" s="1148"/>
      <c r="I208" s="675"/>
      <c r="J208" s="675"/>
    </row>
    <row r="209" spans="1:10" x14ac:dyDescent="0.5">
      <c r="A209" s="675"/>
      <c r="B209" s="183"/>
      <c r="C209" s="675"/>
      <c r="D209" s="675"/>
      <c r="E209" s="675"/>
      <c r="F209" s="675"/>
      <c r="G209" s="675"/>
      <c r="H209" s="1148"/>
      <c r="I209" s="675"/>
      <c r="J209" s="675"/>
    </row>
    <row r="210" spans="1:10" x14ac:dyDescent="0.5">
      <c r="A210" s="675"/>
      <c r="B210" s="183"/>
      <c r="C210" s="675"/>
      <c r="D210" s="675"/>
      <c r="E210" s="675"/>
      <c r="F210" s="675"/>
      <c r="G210" s="675"/>
      <c r="H210" s="1148"/>
      <c r="I210" s="675"/>
      <c r="J210" s="675"/>
    </row>
    <row r="211" spans="1:10" x14ac:dyDescent="0.5">
      <c r="A211" s="675"/>
      <c r="B211" s="183"/>
      <c r="C211" s="675"/>
      <c r="D211" s="675"/>
      <c r="E211" s="675"/>
      <c r="F211" s="675"/>
      <c r="G211" s="675"/>
      <c r="H211" s="1148"/>
      <c r="I211" s="675"/>
      <c r="J211" s="675"/>
    </row>
    <row r="212" spans="1:10" x14ac:dyDescent="0.5">
      <c r="A212" s="675"/>
      <c r="B212" s="183"/>
      <c r="C212" s="675"/>
      <c r="D212" s="675"/>
      <c r="E212" s="675"/>
      <c r="F212" s="675"/>
      <c r="G212" s="675"/>
      <c r="H212" s="1148"/>
      <c r="I212" s="675"/>
      <c r="J212" s="675"/>
    </row>
    <row r="213" spans="1:10" x14ac:dyDescent="0.5">
      <c r="A213" s="675"/>
      <c r="B213" s="183"/>
      <c r="C213" s="675"/>
      <c r="D213" s="675"/>
      <c r="E213" s="675"/>
      <c r="F213" s="675"/>
      <c r="G213" s="675"/>
      <c r="H213" s="1148"/>
      <c r="I213" s="675"/>
      <c r="J213" s="675"/>
    </row>
    <row r="214" spans="1:10" x14ac:dyDescent="0.5">
      <c r="A214" s="675"/>
      <c r="B214" s="183"/>
      <c r="C214" s="675"/>
      <c r="D214" s="675"/>
      <c r="E214" s="675"/>
      <c r="F214" s="675"/>
      <c r="G214" s="675"/>
      <c r="H214" s="1148"/>
      <c r="I214" s="675"/>
      <c r="J214" s="675"/>
    </row>
    <row r="215" spans="1:10" x14ac:dyDescent="0.5">
      <c r="A215" s="675"/>
      <c r="B215" s="183"/>
      <c r="C215" s="675"/>
      <c r="D215" s="675"/>
      <c r="E215" s="675"/>
      <c r="F215" s="675"/>
      <c r="G215" s="675"/>
      <c r="H215" s="1148"/>
      <c r="I215" s="675"/>
      <c r="J215" s="675"/>
    </row>
    <row r="216" spans="1:10" x14ac:dyDescent="0.5">
      <c r="A216" s="675"/>
      <c r="B216" s="183"/>
      <c r="C216" s="675"/>
      <c r="D216" s="675"/>
      <c r="E216" s="675"/>
      <c r="F216" s="675"/>
      <c r="G216" s="675"/>
      <c r="H216" s="1148"/>
      <c r="I216" s="675"/>
      <c r="J216" s="675"/>
    </row>
    <row r="217" spans="1:10" x14ac:dyDescent="0.5">
      <c r="A217" s="675"/>
      <c r="B217" s="183"/>
      <c r="C217" s="675"/>
      <c r="D217" s="675"/>
      <c r="E217" s="675"/>
      <c r="F217" s="675"/>
      <c r="G217" s="675"/>
      <c r="H217" s="1148"/>
      <c r="I217" s="675"/>
      <c r="J217" s="675"/>
    </row>
    <row r="218" spans="1:10" x14ac:dyDescent="0.5">
      <c r="A218" s="675"/>
      <c r="B218" s="183"/>
      <c r="C218" s="675"/>
      <c r="D218" s="675"/>
      <c r="E218" s="675"/>
      <c r="F218" s="675"/>
      <c r="G218" s="675"/>
      <c r="H218" s="1148"/>
      <c r="I218" s="675"/>
      <c r="J218" s="675"/>
    </row>
    <row r="219" spans="1:10" x14ac:dyDescent="0.5">
      <c r="A219" s="675"/>
      <c r="B219" s="183"/>
      <c r="C219" s="675"/>
      <c r="D219" s="675"/>
      <c r="E219" s="675"/>
      <c r="F219" s="675"/>
      <c r="G219" s="675"/>
      <c r="H219" s="1148"/>
      <c r="I219" s="675"/>
      <c r="J219" s="675"/>
    </row>
    <row r="220" spans="1:10" x14ac:dyDescent="0.5">
      <c r="A220" s="675"/>
      <c r="B220" s="183"/>
      <c r="C220" s="675"/>
      <c r="D220" s="675"/>
      <c r="E220" s="675"/>
      <c r="F220" s="675"/>
      <c r="G220" s="675"/>
      <c r="H220" s="1148"/>
      <c r="I220" s="675"/>
      <c r="J220" s="675"/>
    </row>
    <row r="221" spans="1:10" x14ac:dyDescent="0.5">
      <c r="A221" s="675"/>
      <c r="B221" s="183"/>
      <c r="C221" s="675"/>
      <c r="D221" s="675"/>
      <c r="E221" s="675"/>
      <c r="F221" s="675"/>
      <c r="G221" s="675"/>
      <c r="H221" s="1148"/>
      <c r="I221" s="675"/>
      <c r="J221" s="675"/>
    </row>
    <row r="222" spans="1:10" x14ac:dyDescent="0.5">
      <c r="A222" s="675"/>
      <c r="B222" s="183"/>
      <c r="C222" s="675"/>
      <c r="D222" s="675"/>
      <c r="E222" s="675"/>
      <c r="F222" s="675"/>
      <c r="G222" s="675"/>
      <c r="H222" s="1148"/>
      <c r="I222" s="675"/>
      <c r="J222" s="675"/>
    </row>
    <row r="223" spans="1:10" x14ac:dyDescent="0.5">
      <c r="A223" s="675"/>
      <c r="B223" s="183"/>
      <c r="C223" s="675"/>
      <c r="D223" s="675"/>
      <c r="E223" s="675"/>
      <c r="F223" s="675"/>
      <c r="G223" s="675"/>
      <c r="H223" s="1148"/>
      <c r="I223" s="675"/>
      <c r="J223" s="675"/>
    </row>
    <row r="224" spans="1:10" x14ac:dyDescent="0.5">
      <c r="A224" s="675"/>
      <c r="B224" s="183"/>
      <c r="C224" s="675"/>
      <c r="D224" s="675"/>
      <c r="E224" s="675"/>
      <c r="F224" s="675"/>
      <c r="G224" s="675"/>
      <c r="H224" s="1148"/>
      <c r="I224" s="675"/>
      <c r="J224" s="675"/>
    </row>
    <row r="225" spans="1:10" x14ac:dyDescent="0.5">
      <c r="A225" s="675"/>
      <c r="B225" s="183"/>
      <c r="C225" s="675"/>
      <c r="D225" s="675"/>
      <c r="E225" s="675"/>
      <c r="F225" s="675"/>
      <c r="G225" s="675"/>
      <c r="H225" s="1148"/>
      <c r="I225" s="675"/>
      <c r="J225" s="675"/>
    </row>
    <row r="226" spans="1:10" x14ac:dyDescent="0.5">
      <c r="A226" s="675"/>
      <c r="B226" s="183"/>
      <c r="C226" s="675"/>
      <c r="D226" s="675"/>
      <c r="E226" s="675"/>
      <c r="F226" s="675"/>
      <c r="G226" s="675"/>
      <c r="H226" s="1148"/>
      <c r="I226" s="675"/>
      <c r="J226" s="675"/>
    </row>
    <row r="227" spans="1:10" x14ac:dyDescent="0.5">
      <c r="A227" s="675"/>
      <c r="B227" s="183"/>
      <c r="C227" s="675"/>
      <c r="D227" s="675"/>
      <c r="E227" s="675"/>
      <c r="F227" s="675"/>
      <c r="G227" s="675"/>
      <c r="H227" s="1148"/>
      <c r="I227" s="675"/>
      <c r="J227" s="675"/>
    </row>
    <row r="228" spans="1:10" x14ac:dyDescent="0.5">
      <c r="A228" s="675"/>
      <c r="B228" s="183"/>
      <c r="C228" s="675"/>
      <c r="D228" s="675"/>
      <c r="E228" s="675"/>
      <c r="F228" s="675"/>
      <c r="G228" s="675"/>
      <c r="H228" s="1148"/>
      <c r="I228" s="675"/>
      <c r="J228" s="675"/>
    </row>
    <row r="229" spans="1:10" x14ac:dyDescent="0.5">
      <c r="A229" s="675"/>
      <c r="B229" s="183"/>
      <c r="C229" s="675"/>
      <c r="D229" s="675"/>
      <c r="E229" s="675"/>
      <c r="F229" s="675"/>
      <c r="G229" s="675"/>
      <c r="H229" s="1148"/>
      <c r="I229" s="675"/>
      <c r="J229" s="675"/>
    </row>
    <row r="230" spans="1:10" x14ac:dyDescent="0.5">
      <c r="A230" s="675"/>
      <c r="B230" s="183"/>
      <c r="C230" s="675"/>
      <c r="D230" s="675"/>
      <c r="E230" s="675"/>
      <c r="F230" s="675"/>
      <c r="G230" s="675"/>
      <c r="H230" s="1148"/>
      <c r="I230" s="675"/>
      <c r="J230" s="675"/>
    </row>
    <row r="231" spans="1:10" x14ac:dyDescent="0.5">
      <c r="A231" s="675"/>
      <c r="B231" s="183"/>
      <c r="C231" s="675"/>
      <c r="D231" s="675"/>
      <c r="E231" s="675"/>
      <c r="F231" s="675"/>
      <c r="G231" s="675"/>
      <c r="H231" s="1148"/>
      <c r="I231" s="675"/>
      <c r="J231" s="675"/>
    </row>
    <row r="232" spans="1:10" x14ac:dyDescent="0.5">
      <c r="A232" s="675"/>
      <c r="B232" s="183"/>
      <c r="C232" s="675"/>
      <c r="D232" s="675"/>
      <c r="E232" s="675"/>
      <c r="F232" s="675"/>
      <c r="G232" s="675"/>
      <c r="H232" s="1148"/>
      <c r="I232" s="675"/>
      <c r="J232" s="675"/>
    </row>
    <row r="233" spans="1:10" x14ac:dyDescent="0.5">
      <c r="A233" s="675"/>
      <c r="B233" s="183"/>
      <c r="C233" s="675"/>
      <c r="D233" s="675"/>
      <c r="E233" s="675"/>
      <c r="F233" s="675"/>
      <c r="G233" s="675"/>
      <c r="H233" s="1148"/>
      <c r="I233" s="675"/>
      <c r="J233" s="675"/>
    </row>
    <row r="234" spans="1:10" x14ac:dyDescent="0.5">
      <c r="A234" s="675"/>
      <c r="B234" s="183"/>
      <c r="C234" s="675"/>
      <c r="D234" s="675"/>
      <c r="E234" s="675"/>
      <c r="F234" s="675"/>
      <c r="G234" s="675"/>
      <c r="H234" s="1148"/>
      <c r="I234" s="675"/>
      <c r="J234" s="675"/>
    </row>
    <row r="235" spans="1:10" x14ac:dyDescent="0.5">
      <c r="A235" s="675"/>
      <c r="B235" s="183"/>
      <c r="C235" s="675"/>
      <c r="D235" s="675"/>
      <c r="E235" s="675"/>
      <c r="F235" s="675"/>
      <c r="G235" s="675"/>
      <c r="H235" s="1148"/>
      <c r="I235" s="675"/>
      <c r="J235" s="675"/>
    </row>
    <row r="236" spans="1:10" x14ac:dyDescent="0.5">
      <c r="A236" s="675"/>
      <c r="B236" s="183"/>
      <c r="C236" s="675"/>
      <c r="D236" s="675"/>
      <c r="E236" s="675"/>
      <c r="F236" s="675"/>
      <c r="G236" s="675"/>
      <c r="H236" s="1148"/>
      <c r="I236" s="675"/>
      <c r="J236" s="675"/>
    </row>
    <row r="237" spans="1:10" x14ac:dyDescent="0.5">
      <c r="A237" s="675"/>
      <c r="B237" s="183"/>
      <c r="C237" s="675"/>
      <c r="D237" s="675"/>
      <c r="E237" s="675"/>
      <c r="F237" s="675"/>
      <c r="G237" s="675"/>
      <c r="H237" s="1148"/>
      <c r="I237" s="675"/>
      <c r="J237" s="675"/>
    </row>
    <row r="238" spans="1:10" x14ac:dyDescent="0.5">
      <c r="A238" s="675"/>
      <c r="B238" s="183"/>
      <c r="C238" s="675"/>
      <c r="D238" s="675"/>
      <c r="E238" s="675"/>
      <c r="F238" s="675"/>
      <c r="G238" s="675"/>
      <c r="H238" s="1148"/>
      <c r="I238" s="675"/>
      <c r="J238" s="675"/>
    </row>
    <row r="239" spans="1:10" x14ac:dyDescent="0.5">
      <c r="A239" s="675"/>
      <c r="B239" s="183"/>
      <c r="C239" s="675"/>
      <c r="D239" s="675"/>
      <c r="E239" s="675"/>
      <c r="F239" s="675"/>
      <c r="G239" s="675"/>
      <c r="H239" s="1148"/>
      <c r="I239" s="675"/>
      <c r="J239" s="675"/>
    </row>
    <row r="240" spans="1:10" x14ac:dyDescent="0.5">
      <c r="A240" s="675"/>
      <c r="B240" s="183"/>
      <c r="C240" s="675"/>
      <c r="D240" s="675"/>
      <c r="E240" s="675"/>
      <c r="F240" s="675"/>
      <c r="G240" s="675"/>
      <c r="H240" s="1148"/>
      <c r="I240" s="675"/>
      <c r="J240" s="675"/>
    </row>
    <row r="241" spans="1:10" x14ac:dyDescent="0.5">
      <c r="A241" s="675"/>
      <c r="B241" s="183"/>
      <c r="C241" s="675"/>
      <c r="D241" s="675"/>
      <c r="E241" s="675"/>
      <c r="F241" s="675"/>
      <c r="G241" s="675"/>
      <c r="H241" s="1148"/>
      <c r="I241" s="675"/>
      <c r="J241" s="675"/>
    </row>
    <row r="242" spans="1:10" x14ac:dyDescent="0.5">
      <c r="A242" s="675"/>
      <c r="B242" s="183"/>
      <c r="C242" s="675"/>
      <c r="D242" s="675"/>
      <c r="E242" s="675"/>
      <c r="F242" s="675"/>
      <c r="G242" s="675"/>
      <c r="H242" s="1148"/>
      <c r="I242" s="675"/>
      <c r="J242" s="675"/>
    </row>
    <row r="243" spans="1:10" x14ac:dyDescent="0.5">
      <c r="A243" s="675"/>
      <c r="B243" s="183"/>
      <c r="C243" s="675"/>
      <c r="D243" s="675"/>
      <c r="E243" s="675"/>
      <c r="F243" s="675"/>
      <c r="G243" s="675"/>
      <c r="H243" s="1148"/>
      <c r="I243" s="675"/>
      <c r="J243" s="675"/>
    </row>
    <row r="244" spans="1:10" x14ac:dyDescent="0.5">
      <c r="A244" s="675"/>
      <c r="B244" s="183"/>
      <c r="C244" s="675"/>
      <c r="D244" s="675"/>
      <c r="E244" s="675"/>
      <c r="F244" s="675"/>
      <c r="G244" s="675"/>
      <c r="H244" s="1148"/>
      <c r="I244" s="675"/>
      <c r="J244" s="675"/>
    </row>
    <row r="245" spans="1:10" x14ac:dyDescent="0.5">
      <c r="A245" s="675"/>
      <c r="B245" s="183"/>
      <c r="C245" s="675"/>
      <c r="D245" s="675"/>
      <c r="E245" s="675"/>
      <c r="F245" s="675"/>
      <c r="G245" s="675"/>
      <c r="H245" s="1148"/>
      <c r="I245" s="675"/>
      <c r="J245" s="675"/>
    </row>
    <row r="246" spans="1:10" x14ac:dyDescent="0.5">
      <c r="A246" s="675"/>
      <c r="B246" s="183"/>
      <c r="C246" s="675"/>
      <c r="D246" s="675"/>
      <c r="E246" s="675"/>
      <c r="F246" s="675"/>
      <c r="G246" s="675"/>
      <c r="H246" s="1148"/>
      <c r="I246" s="675"/>
      <c r="J246" s="675"/>
    </row>
    <row r="247" spans="1:10" x14ac:dyDescent="0.5">
      <c r="A247" s="675"/>
      <c r="B247" s="183"/>
      <c r="C247" s="675"/>
      <c r="D247" s="675"/>
      <c r="E247" s="675"/>
      <c r="F247" s="675"/>
      <c r="G247" s="675"/>
      <c r="H247" s="1148"/>
      <c r="I247" s="675"/>
      <c r="J247" s="675"/>
    </row>
    <row r="248" spans="1:10" x14ac:dyDescent="0.5">
      <c r="A248" s="675"/>
      <c r="B248" s="183"/>
      <c r="C248" s="675"/>
      <c r="D248" s="675"/>
      <c r="E248" s="675"/>
      <c r="F248" s="675"/>
      <c r="G248" s="675"/>
      <c r="H248" s="1148"/>
      <c r="I248" s="675"/>
      <c r="J248" s="675"/>
    </row>
    <row r="249" spans="1:10" x14ac:dyDescent="0.5">
      <c r="A249" s="675"/>
      <c r="B249" s="183"/>
      <c r="C249" s="675"/>
      <c r="D249" s="675"/>
      <c r="E249" s="675"/>
      <c r="F249" s="675"/>
      <c r="G249" s="675"/>
      <c r="H249" s="1148"/>
      <c r="I249" s="675"/>
      <c r="J249" s="675"/>
    </row>
    <row r="250" spans="1:10" x14ac:dyDescent="0.5">
      <c r="A250" s="675"/>
      <c r="B250" s="183"/>
      <c r="C250" s="675"/>
      <c r="D250" s="675"/>
      <c r="E250" s="675"/>
      <c r="F250" s="675"/>
      <c r="G250" s="675"/>
      <c r="H250" s="1148"/>
      <c r="I250" s="675"/>
      <c r="J250" s="675"/>
    </row>
    <row r="251" spans="1:10" x14ac:dyDescent="0.5">
      <c r="A251" s="675"/>
      <c r="B251" s="183"/>
      <c r="C251" s="675"/>
      <c r="D251" s="675"/>
      <c r="E251" s="675"/>
      <c r="F251" s="675"/>
      <c r="G251" s="675"/>
      <c r="H251" s="1148"/>
      <c r="I251" s="675"/>
      <c r="J251" s="675"/>
    </row>
    <row r="252" spans="1:10" x14ac:dyDescent="0.5">
      <c r="A252" s="675"/>
      <c r="B252" s="183"/>
      <c r="C252" s="675"/>
      <c r="D252" s="675"/>
      <c r="E252" s="675"/>
      <c r="F252" s="675"/>
      <c r="G252" s="675"/>
      <c r="H252" s="1148"/>
      <c r="I252" s="675"/>
      <c r="J252" s="675"/>
    </row>
    <row r="253" spans="1:10" x14ac:dyDescent="0.5">
      <c r="A253" s="675"/>
      <c r="B253" s="183"/>
      <c r="C253" s="675"/>
      <c r="D253" s="675"/>
      <c r="E253" s="675"/>
      <c r="F253" s="675"/>
      <c r="G253" s="675"/>
      <c r="H253" s="1148"/>
      <c r="I253" s="675"/>
      <c r="J253" s="675"/>
    </row>
    <row r="254" spans="1:10" x14ac:dyDescent="0.5">
      <c r="A254" s="675"/>
      <c r="B254" s="183"/>
      <c r="C254" s="675"/>
      <c r="D254" s="675"/>
      <c r="E254" s="675"/>
      <c r="F254" s="675"/>
      <c r="G254" s="675"/>
      <c r="H254" s="1148"/>
      <c r="I254" s="675"/>
      <c r="J254" s="675"/>
    </row>
    <row r="255" spans="1:10" x14ac:dyDescent="0.5">
      <c r="A255" s="675"/>
      <c r="B255" s="183"/>
      <c r="C255" s="675"/>
      <c r="D255" s="675"/>
      <c r="E255" s="675"/>
      <c r="F255" s="675"/>
      <c r="G255" s="675"/>
      <c r="H255" s="1148"/>
      <c r="I255" s="675"/>
      <c r="J255" s="675"/>
    </row>
    <row r="256" spans="1:10" x14ac:dyDescent="0.5">
      <c r="A256" s="675"/>
      <c r="B256" s="183"/>
      <c r="C256" s="675"/>
      <c r="D256" s="675"/>
      <c r="E256" s="675"/>
      <c r="F256" s="675"/>
      <c r="G256" s="675"/>
      <c r="H256" s="1148"/>
      <c r="I256" s="675"/>
      <c r="J256" s="675"/>
    </row>
    <row r="257" spans="1:10" x14ac:dyDescent="0.5">
      <c r="A257" s="675"/>
      <c r="B257" s="183"/>
      <c r="C257" s="675"/>
      <c r="D257" s="675"/>
      <c r="E257" s="675"/>
      <c r="F257" s="675"/>
      <c r="G257" s="675"/>
      <c r="H257" s="1148"/>
      <c r="I257" s="675"/>
      <c r="J257" s="675"/>
    </row>
    <row r="258" spans="1:10" x14ac:dyDescent="0.5">
      <c r="A258" s="675"/>
      <c r="B258" s="183"/>
      <c r="C258" s="675"/>
      <c r="D258" s="675"/>
      <c r="E258" s="675"/>
      <c r="F258" s="675"/>
      <c r="G258" s="675"/>
      <c r="H258" s="1148"/>
      <c r="I258" s="675"/>
      <c r="J258" s="675"/>
    </row>
    <row r="259" spans="1:10" x14ac:dyDescent="0.5">
      <c r="A259" s="675"/>
      <c r="B259" s="183"/>
      <c r="C259" s="675"/>
      <c r="D259" s="675"/>
      <c r="E259" s="675"/>
      <c r="F259" s="675"/>
      <c r="G259" s="675"/>
      <c r="H259" s="1148"/>
      <c r="I259" s="675"/>
      <c r="J259" s="675"/>
    </row>
    <row r="260" spans="1:10" x14ac:dyDescent="0.5">
      <c r="A260" s="675"/>
      <c r="B260" s="183"/>
      <c r="C260" s="675"/>
      <c r="D260" s="675"/>
      <c r="E260" s="675"/>
      <c r="F260" s="675"/>
      <c r="G260" s="675"/>
      <c r="H260" s="1148"/>
      <c r="I260" s="675"/>
      <c r="J260" s="675"/>
    </row>
    <row r="261" spans="1:10" x14ac:dyDescent="0.5">
      <c r="A261" s="675"/>
      <c r="B261" s="183"/>
      <c r="C261" s="675"/>
      <c r="D261" s="675"/>
      <c r="E261" s="675"/>
      <c r="F261" s="675"/>
      <c r="G261" s="675"/>
      <c r="H261" s="1148"/>
      <c r="I261" s="675"/>
      <c r="J261" s="675"/>
    </row>
    <row r="262" spans="1:10" x14ac:dyDescent="0.5">
      <c r="A262" s="675"/>
      <c r="B262" s="183"/>
      <c r="C262" s="675"/>
      <c r="D262" s="675"/>
      <c r="E262" s="675"/>
      <c r="F262" s="675"/>
      <c r="G262" s="675"/>
      <c r="H262" s="1148"/>
      <c r="I262" s="675"/>
      <c r="J262" s="675"/>
    </row>
    <row r="263" spans="1:10" x14ac:dyDescent="0.5">
      <c r="A263" s="675"/>
      <c r="B263" s="183"/>
      <c r="C263" s="675"/>
      <c r="D263" s="675"/>
      <c r="E263" s="675"/>
      <c r="F263" s="675"/>
      <c r="G263" s="675"/>
      <c r="H263" s="1148"/>
      <c r="I263" s="675"/>
      <c r="J263" s="675"/>
    </row>
    <row r="264" spans="1:10" x14ac:dyDescent="0.5">
      <c r="A264" s="675"/>
      <c r="B264" s="183"/>
      <c r="C264" s="675"/>
      <c r="D264" s="675"/>
      <c r="E264" s="675"/>
      <c r="F264" s="675"/>
      <c r="G264" s="675"/>
      <c r="H264" s="1148"/>
      <c r="I264" s="675"/>
      <c r="J264" s="675"/>
    </row>
    <row r="265" spans="1:10" x14ac:dyDescent="0.5">
      <c r="A265" s="675"/>
      <c r="B265" s="183"/>
      <c r="C265" s="675"/>
      <c r="D265" s="675"/>
      <c r="E265" s="675"/>
      <c r="F265" s="675"/>
      <c r="G265" s="675"/>
      <c r="H265" s="1148"/>
      <c r="I265" s="675"/>
      <c r="J265" s="675"/>
    </row>
    <row r="266" spans="1:10" x14ac:dyDescent="0.5">
      <c r="A266" s="675"/>
      <c r="B266" s="183"/>
      <c r="C266" s="675"/>
      <c r="D266" s="675"/>
      <c r="E266" s="675"/>
      <c r="F266" s="675"/>
      <c r="G266" s="675"/>
      <c r="H266" s="1148"/>
      <c r="I266" s="675"/>
      <c r="J266" s="675"/>
    </row>
    <row r="267" spans="1:10" x14ac:dyDescent="0.5">
      <c r="A267" s="675"/>
      <c r="B267" s="183"/>
      <c r="C267" s="675"/>
      <c r="D267" s="675"/>
      <c r="E267" s="675"/>
      <c r="F267" s="675"/>
      <c r="G267" s="675"/>
      <c r="H267" s="1148"/>
      <c r="I267" s="675"/>
      <c r="J267" s="675"/>
    </row>
    <row r="268" spans="1:10" x14ac:dyDescent="0.5">
      <c r="A268" s="675"/>
      <c r="B268" s="183"/>
      <c r="C268" s="675"/>
      <c r="D268" s="675"/>
      <c r="E268" s="675"/>
      <c r="F268" s="675"/>
      <c r="G268" s="675"/>
      <c r="H268" s="1148"/>
      <c r="I268" s="675"/>
      <c r="J268" s="675"/>
    </row>
    <row r="269" spans="1:10" x14ac:dyDescent="0.5">
      <c r="A269" s="675"/>
      <c r="B269" s="183"/>
      <c r="C269" s="675"/>
      <c r="D269" s="675"/>
      <c r="E269" s="675"/>
      <c r="F269" s="675"/>
      <c r="G269" s="675"/>
      <c r="H269" s="1148"/>
      <c r="I269" s="675"/>
      <c r="J269" s="675"/>
    </row>
    <row r="270" spans="1:10" x14ac:dyDescent="0.5">
      <c r="A270" s="675"/>
      <c r="B270" s="183"/>
      <c r="C270" s="675"/>
      <c r="D270" s="675"/>
      <c r="E270" s="675"/>
      <c r="F270" s="675"/>
      <c r="G270" s="675"/>
      <c r="H270" s="1148"/>
      <c r="I270" s="675"/>
      <c r="J270" s="675"/>
    </row>
    <row r="271" spans="1:10" x14ac:dyDescent="0.5">
      <c r="A271" s="675"/>
      <c r="B271" s="183"/>
      <c r="C271" s="675"/>
      <c r="D271" s="675"/>
      <c r="E271" s="675"/>
      <c r="F271" s="675"/>
      <c r="G271" s="675"/>
      <c r="H271" s="1148"/>
      <c r="I271" s="675"/>
      <c r="J271" s="675"/>
    </row>
    <row r="272" spans="1:10" x14ac:dyDescent="0.5">
      <c r="A272" s="675"/>
      <c r="B272" s="183"/>
      <c r="C272" s="675"/>
      <c r="D272" s="675"/>
      <c r="E272" s="675"/>
      <c r="F272" s="675"/>
      <c r="G272" s="675"/>
      <c r="H272" s="1148"/>
      <c r="I272" s="675"/>
      <c r="J272" s="675"/>
    </row>
    <row r="273" spans="1:10" x14ac:dyDescent="0.5">
      <c r="A273" s="675"/>
      <c r="B273" s="183"/>
      <c r="C273" s="675"/>
      <c r="D273" s="675"/>
      <c r="E273" s="675"/>
      <c r="F273" s="675"/>
      <c r="G273" s="675"/>
      <c r="H273" s="1148"/>
      <c r="I273" s="675"/>
      <c r="J273" s="675"/>
    </row>
    <row r="274" spans="1:10" x14ac:dyDescent="0.5">
      <c r="A274" s="675"/>
      <c r="B274" s="183"/>
      <c r="C274" s="675"/>
      <c r="D274" s="675"/>
      <c r="E274" s="675"/>
      <c r="F274" s="675"/>
      <c r="G274" s="675"/>
      <c r="H274" s="1148"/>
      <c r="I274" s="675"/>
      <c r="J274" s="675"/>
    </row>
    <row r="275" spans="1:10" x14ac:dyDescent="0.5">
      <c r="A275" s="675"/>
      <c r="B275" s="183"/>
      <c r="C275" s="675"/>
      <c r="D275" s="675"/>
      <c r="E275" s="675"/>
      <c r="F275" s="675"/>
      <c r="G275" s="675"/>
      <c r="H275" s="1148"/>
      <c r="I275" s="675"/>
      <c r="J275" s="675"/>
    </row>
    <row r="276" spans="1:10" x14ac:dyDescent="0.5">
      <c r="A276" s="675"/>
      <c r="B276" s="183"/>
      <c r="C276" s="675"/>
      <c r="D276" s="675"/>
      <c r="E276" s="675"/>
      <c r="F276" s="675"/>
      <c r="G276" s="675"/>
      <c r="H276" s="1148"/>
      <c r="I276" s="675"/>
      <c r="J276" s="675"/>
    </row>
    <row r="277" spans="1:10" x14ac:dyDescent="0.5">
      <c r="A277" s="675"/>
      <c r="B277" s="183"/>
      <c r="C277" s="675"/>
      <c r="D277" s="675"/>
      <c r="E277" s="675"/>
      <c r="F277" s="675"/>
      <c r="G277" s="675"/>
      <c r="H277" s="1148"/>
      <c r="I277" s="675"/>
      <c r="J277" s="675"/>
    </row>
    <row r="278" spans="1:10" x14ac:dyDescent="0.5">
      <c r="A278" s="675"/>
      <c r="B278" s="183"/>
      <c r="C278" s="675"/>
      <c r="D278" s="675"/>
      <c r="E278" s="675"/>
      <c r="F278" s="675"/>
      <c r="G278" s="675"/>
      <c r="H278" s="1148"/>
      <c r="I278" s="675"/>
      <c r="J278" s="675"/>
    </row>
    <row r="279" spans="1:10" x14ac:dyDescent="0.5">
      <c r="A279" s="675"/>
      <c r="B279" s="183"/>
      <c r="C279" s="675"/>
      <c r="D279" s="675"/>
      <c r="E279" s="675"/>
      <c r="F279" s="675"/>
      <c r="G279" s="675"/>
      <c r="H279" s="1148"/>
      <c r="I279" s="675"/>
      <c r="J279" s="675"/>
    </row>
    <row r="280" spans="1:10" x14ac:dyDescent="0.5">
      <c r="A280" s="675"/>
      <c r="B280" s="183"/>
      <c r="C280" s="675"/>
      <c r="D280" s="675"/>
      <c r="E280" s="675"/>
      <c r="F280" s="675"/>
      <c r="G280" s="675"/>
      <c r="H280" s="1148"/>
      <c r="I280" s="675"/>
      <c r="J280" s="675"/>
    </row>
    <row r="281" spans="1:10" x14ac:dyDescent="0.5">
      <c r="A281" s="675"/>
      <c r="B281" s="183"/>
      <c r="C281" s="675"/>
      <c r="D281" s="675"/>
      <c r="E281" s="675"/>
      <c r="F281" s="675"/>
      <c r="G281" s="675"/>
      <c r="H281" s="1148"/>
      <c r="I281" s="675"/>
      <c r="J281" s="675"/>
    </row>
    <row r="282" spans="1:10" x14ac:dyDescent="0.5">
      <c r="A282" s="675"/>
      <c r="B282" s="183"/>
      <c r="C282" s="675"/>
      <c r="D282" s="675"/>
      <c r="E282" s="675"/>
      <c r="F282" s="675"/>
      <c r="G282" s="675"/>
      <c r="H282" s="1148"/>
      <c r="I282" s="675"/>
      <c r="J282" s="675"/>
    </row>
    <row r="283" spans="1:10" x14ac:dyDescent="0.5">
      <c r="A283" s="675"/>
      <c r="B283" s="183"/>
      <c r="C283" s="675"/>
      <c r="D283" s="675"/>
      <c r="E283" s="675"/>
      <c r="F283" s="675"/>
      <c r="G283" s="675"/>
      <c r="H283" s="1148"/>
      <c r="I283" s="675"/>
      <c r="J283" s="675"/>
    </row>
    <row r="284" spans="1:10" x14ac:dyDescent="0.5">
      <c r="A284" s="675"/>
      <c r="B284" s="183"/>
      <c r="C284" s="675"/>
      <c r="D284" s="675"/>
      <c r="E284" s="675"/>
      <c r="F284" s="675"/>
      <c r="G284" s="675"/>
      <c r="H284" s="1148"/>
      <c r="I284" s="675"/>
      <c r="J284" s="675"/>
    </row>
    <row r="285" spans="1:10" x14ac:dyDescent="0.5">
      <c r="A285" s="675"/>
      <c r="B285" s="183"/>
      <c r="C285" s="675"/>
      <c r="D285" s="675"/>
      <c r="E285" s="675"/>
      <c r="F285" s="675"/>
      <c r="G285" s="675"/>
      <c r="H285" s="1148"/>
      <c r="I285" s="675"/>
      <c r="J285" s="675"/>
    </row>
    <row r="286" spans="1:10" x14ac:dyDescent="0.5">
      <c r="A286" s="675"/>
      <c r="B286" s="183"/>
      <c r="C286" s="675"/>
      <c r="D286" s="675"/>
      <c r="E286" s="675"/>
      <c r="F286" s="675"/>
      <c r="G286" s="675"/>
      <c r="H286" s="1148"/>
      <c r="I286" s="675"/>
      <c r="J286" s="675"/>
    </row>
    <row r="287" spans="1:10" x14ac:dyDescent="0.5">
      <c r="A287" s="675"/>
      <c r="B287" s="183"/>
      <c r="C287" s="675"/>
      <c r="D287" s="675"/>
      <c r="E287" s="675"/>
      <c r="F287" s="675"/>
      <c r="G287" s="675"/>
      <c r="H287" s="1148"/>
      <c r="I287" s="675"/>
      <c r="J287" s="675"/>
    </row>
    <row r="288" spans="1:10" x14ac:dyDescent="0.5">
      <c r="A288" s="675"/>
      <c r="B288" s="183"/>
      <c r="C288" s="675"/>
      <c r="D288" s="675"/>
      <c r="E288" s="675"/>
      <c r="F288" s="675"/>
      <c r="G288" s="675"/>
      <c r="H288" s="1148"/>
      <c r="I288" s="675"/>
      <c r="J288" s="675"/>
    </row>
    <row r="289" spans="1:10" x14ac:dyDescent="0.5">
      <c r="A289" s="675"/>
      <c r="B289" s="183"/>
      <c r="C289" s="675"/>
      <c r="D289" s="675"/>
      <c r="E289" s="675"/>
      <c r="F289" s="675"/>
      <c r="G289" s="675"/>
      <c r="H289" s="1148"/>
      <c r="I289" s="675"/>
      <c r="J289" s="675"/>
    </row>
    <row r="290" spans="1:10" x14ac:dyDescent="0.5">
      <c r="A290" s="675"/>
      <c r="B290" s="183"/>
      <c r="C290" s="675"/>
      <c r="D290" s="675"/>
      <c r="E290" s="675"/>
      <c r="F290" s="675"/>
      <c r="G290" s="675"/>
      <c r="H290" s="1148"/>
      <c r="I290" s="675"/>
      <c r="J290" s="675"/>
    </row>
    <row r="291" spans="1:10" x14ac:dyDescent="0.5">
      <c r="A291" s="675"/>
      <c r="B291" s="183"/>
      <c r="C291" s="675"/>
      <c r="D291" s="675"/>
      <c r="E291" s="675"/>
      <c r="F291" s="675"/>
      <c r="G291" s="675"/>
      <c r="H291" s="1148"/>
      <c r="I291" s="675"/>
      <c r="J291" s="675"/>
    </row>
    <row r="292" spans="1:10" x14ac:dyDescent="0.5">
      <c r="A292" s="675"/>
      <c r="B292" s="183"/>
      <c r="C292" s="675"/>
      <c r="D292" s="675"/>
      <c r="E292" s="675"/>
      <c r="F292" s="675"/>
      <c r="G292" s="675"/>
      <c r="H292" s="1148"/>
      <c r="I292" s="675"/>
      <c r="J292" s="675"/>
    </row>
    <row r="293" spans="1:10" x14ac:dyDescent="0.5">
      <c r="A293" s="675"/>
      <c r="B293" s="183"/>
      <c r="C293" s="675"/>
      <c r="D293" s="675"/>
      <c r="E293" s="675"/>
      <c r="F293" s="675"/>
      <c r="G293" s="675"/>
      <c r="H293" s="1148"/>
      <c r="I293" s="675"/>
      <c r="J293" s="675"/>
    </row>
    <row r="294" spans="1:10" x14ac:dyDescent="0.5">
      <c r="A294" s="675"/>
      <c r="B294" s="183"/>
      <c r="C294" s="675"/>
      <c r="D294" s="675"/>
      <c r="E294" s="675"/>
      <c r="F294" s="675"/>
      <c r="G294" s="675"/>
      <c r="H294" s="1148"/>
      <c r="I294" s="675"/>
      <c r="J294" s="675"/>
    </row>
    <row r="295" spans="1:10" x14ac:dyDescent="0.5">
      <c r="A295" s="675"/>
      <c r="B295" s="183"/>
      <c r="C295" s="675"/>
      <c r="D295" s="675"/>
      <c r="E295" s="675"/>
      <c r="F295" s="675"/>
      <c r="G295" s="675"/>
      <c r="H295" s="1148"/>
      <c r="I295" s="675"/>
      <c r="J295" s="675"/>
    </row>
    <row r="296" spans="1:10" x14ac:dyDescent="0.5">
      <c r="A296" s="675"/>
      <c r="B296" s="183"/>
      <c r="C296" s="675"/>
      <c r="D296" s="675"/>
      <c r="E296" s="675"/>
      <c r="F296" s="675"/>
      <c r="G296" s="675"/>
      <c r="H296" s="1148"/>
      <c r="I296" s="675"/>
      <c r="J296" s="675"/>
    </row>
    <row r="297" spans="1:10" x14ac:dyDescent="0.5">
      <c r="A297" s="675"/>
      <c r="B297" s="183"/>
      <c r="C297" s="675"/>
      <c r="D297" s="675"/>
      <c r="E297" s="675"/>
      <c r="F297" s="675"/>
      <c r="G297" s="675"/>
      <c r="H297" s="1148"/>
      <c r="I297" s="675"/>
      <c r="J297" s="675"/>
    </row>
    <row r="298" spans="1:10" x14ac:dyDescent="0.5">
      <c r="A298" s="675"/>
      <c r="B298" s="183"/>
      <c r="C298" s="675"/>
      <c r="D298" s="675"/>
      <c r="E298" s="675"/>
      <c r="F298" s="675"/>
      <c r="G298" s="675"/>
      <c r="H298" s="1148"/>
      <c r="I298" s="675"/>
      <c r="J298" s="675"/>
    </row>
    <row r="299" spans="1:10" x14ac:dyDescent="0.5">
      <c r="A299" s="675"/>
      <c r="B299" s="183"/>
      <c r="C299" s="675"/>
      <c r="D299" s="675"/>
      <c r="E299" s="675"/>
      <c r="F299" s="675"/>
      <c r="G299" s="675"/>
      <c r="H299" s="1148"/>
      <c r="I299" s="675"/>
      <c r="J299" s="675"/>
    </row>
    <row r="300" spans="1:10" x14ac:dyDescent="0.5">
      <c r="A300" s="675"/>
      <c r="B300" s="183"/>
      <c r="C300" s="675"/>
      <c r="D300" s="675"/>
      <c r="E300" s="675"/>
      <c r="F300" s="675"/>
      <c r="G300" s="675"/>
      <c r="H300" s="1148"/>
      <c r="I300" s="675"/>
      <c r="J300" s="675"/>
    </row>
    <row r="301" spans="1:10" x14ac:dyDescent="0.5">
      <c r="A301" s="675"/>
      <c r="B301" s="183"/>
      <c r="C301" s="675"/>
      <c r="D301" s="675"/>
      <c r="E301" s="675"/>
      <c r="F301" s="675"/>
      <c r="G301" s="675"/>
      <c r="H301" s="1148"/>
      <c r="I301" s="675"/>
      <c r="J301" s="675"/>
    </row>
    <row r="302" spans="1:10" x14ac:dyDescent="0.5">
      <c r="A302" s="675"/>
      <c r="B302" s="183"/>
      <c r="C302" s="675"/>
      <c r="D302" s="675"/>
      <c r="E302" s="675"/>
      <c r="F302" s="675"/>
      <c r="G302" s="675"/>
      <c r="H302" s="1148"/>
      <c r="I302" s="675"/>
      <c r="J302" s="675"/>
    </row>
    <row r="303" spans="1:10" x14ac:dyDescent="0.5">
      <c r="A303" s="675"/>
      <c r="B303" s="183"/>
      <c r="C303" s="675"/>
      <c r="D303" s="675"/>
      <c r="E303" s="675"/>
      <c r="F303" s="675"/>
      <c r="G303" s="675"/>
      <c r="H303" s="1148"/>
      <c r="I303" s="675"/>
      <c r="J303" s="675"/>
    </row>
    <row r="304" spans="1:10" x14ac:dyDescent="0.5">
      <c r="A304" s="675"/>
      <c r="B304" s="183"/>
      <c r="C304" s="675"/>
      <c r="D304" s="675"/>
      <c r="E304" s="675"/>
      <c r="F304" s="675"/>
      <c r="G304" s="675"/>
      <c r="H304" s="1148"/>
      <c r="I304" s="675"/>
      <c r="J304" s="675"/>
    </row>
    <row r="305" spans="1:10" x14ac:dyDescent="0.5">
      <c r="A305" s="675"/>
      <c r="B305" s="183"/>
      <c r="C305" s="675"/>
      <c r="D305" s="675"/>
      <c r="E305" s="675"/>
      <c r="F305" s="675"/>
      <c r="G305" s="675"/>
      <c r="H305" s="1148"/>
      <c r="I305" s="675"/>
      <c r="J305" s="675"/>
    </row>
    <row r="306" spans="1:10" x14ac:dyDescent="0.5">
      <c r="A306" s="675"/>
      <c r="B306" s="183"/>
      <c r="C306" s="675"/>
      <c r="D306" s="675"/>
      <c r="E306" s="675"/>
      <c r="F306" s="675"/>
      <c r="G306" s="675"/>
      <c r="H306" s="1148"/>
      <c r="I306" s="675"/>
      <c r="J306" s="675"/>
    </row>
    <row r="307" spans="1:10" x14ac:dyDescent="0.5">
      <c r="A307" s="675"/>
      <c r="B307" s="183"/>
      <c r="C307" s="675"/>
      <c r="D307" s="675"/>
      <c r="E307" s="675"/>
      <c r="F307" s="675"/>
      <c r="G307" s="675"/>
      <c r="H307" s="1148"/>
      <c r="I307" s="675"/>
      <c r="J307" s="675"/>
    </row>
    <row r="308" spans="1:10" x14ac:dyDescent="0.5">
      <c r="A308" s="675"/>
      <c r="B308" s="183"/>
      <c r="C308" s="675"/>
      <c r="D308" s="675"/>
      <c r="E308" s="675"/>
      <c r="F308" s="675"/>
      <c r="G308" s="675"/>
      <c r="H308" s="1148"/>
      <c r="I308" s="675"/>
      <c r="J308" s="675"/>
    </row>
    <row r="309" spans="1:10" x14ac:dyDescent="0.5">
      <c r="A309" s="675"/>
      <c r="B309" s="183"/>
      <c r="C309" s="675"/>
      <c r="D309" s="675"/>
      <c r="E309" s="675"/>
      <c r="F309" s="675"/>
      <c r="G309" s="675"/>
      <c r="H309" s="1148"/>
      <c r="I309" s="675"/>
      <c r="J309" s="675"/>
    </row>
    <row r="310" spans="1:10" x14ac:dyDescent="0.5">
      <c r="A310" s="675"/>
      <c r="B310" s="183"/>
      <c r="C310" s="675"/>
      <c r="D310" s="675"/>
      <c r="E310" s="675"/>
      <c r="F310" s="675"/>
      <c r="G310" s="675"/>
      <c r="H310" s="1148"/>
      <c r="I310" s="675"/>
      <c r="J310" s="675"/>
    </row>
    <row r="311" spans="1:10" x14ac:dyDescent="0.5">
      <c r="A311" s="675"/>
      <c r="B311" s="183"/>
      <c r="C311" s="675"/>
      <c r="D311" s="675"/>
      <c r="E311" s="675"/>
      <c r="F311" s="675"/>
      <c r="G311" s="675"/>
      <c r="H311" s="1148"/>
      <c r="I311" s="675"/>
      <c r="J311" s="675"/>
    </row>
    <row r="312" spans="1:10" x14ac:dyDescent="0.5">
      <c r="A312" s="675"/>
      <c r="B312" s="183"/>
      <c r="C312" s="675"/>
      <c r="D312" s="675"/>
      <c r="E312" s="675"/>
      <c r="F312" s="675"/>
      <c r="G312" s="675"/>
      <c r="H312" s="1148"/>
      <c r="I312" s="675"/>
      <c r="J312" s="675"/>
    </row>
    <row r="313" spans="1:10" x14ac:dyDescent="0.5">
      <c r="A313" s="675"/>
      <c r="B313" s="183"/>
      <c r="C313" s="675"/>
      <c r="D313" s="675"/>
      <c r="E313" s="675"/>
      <c r="F313" s="675"/>
      <c r="G313" s="675"/>
      <c r="H313" s="1148"/>
      <c r="I313" s="675"/>
      <c r="J313" s="675"/>
    </row>
    <row r="314" spans="1:10" x14ac:dyDescent="0.5">
      <c r="A314" s="675"/>
      <c r="B314" s="183"/>
      <c r="C314" s="675"/>
      <c r="D314" s="675"/>
      <c r="E314" s="675"/>
      <c r="F314" s="675"/>
      <c r="G314" s="675"/>
      <c r="H314" s="1148"/>
      <c r="I314" s="675"/>
      <c r="J314" s="675"/>
    </row>
    <row r="315" spans="1:10" x14ac:dyDescent="0.5">
      <c r="A315" s="675"/>
      <c r="B315" s="183"/>
      <c r="C315" s="675"/>
      <c r="D315" s="675"/>
      <c r="E315" s="675"/>
      <c r="F315" s="675"/>
      <c r="G315" s="675"/>
      <c r="H315" s="1148"/>
      <c r="I315" s="675"/>
      <c r="J315" s="675"/>
    </row>
    <row r="316" spans="1:10" x14ac:dyDescent="0.5">
      <c r="A316" s="675"/>
      <c r="B316" s="183"/>
      <c r="C316" s="675"/>
      <c r="D316" s="675"/>
      <c r="E316" s="675"/>
      <c r="F316" s="675"/>
      <c r="G316" s="675"/>
      <c r="H316" s="1148"/>
      <c r="I316" s="675"/>
      <c r="J316" s="675"/>
    </row>
    <row r="317" spans="1:10" x14ac:dyDescent="0.5">
      <c r="A317" s="675"/>
      <c r="B317" s="183"/>
      <c r="C317" s="675"/>
      <c r="D317" s="675"/>
      <c r="E317" s="675"/>
      <c r="F317" s="675"/>
      <c r="G317" s="675"/>
      <c r="H317" s="1148"/>
      <c r="I317" s="675"/>
      <c r="J317" s="675"/>
    </row>
    <row r="318" spans="1:10" x14ac:dyDescent="0.5">
      <c r="A318" s="675"/>
      <c r="B318" s="183"/>
      <c r="C318" s="675"/>
      <c r="D318" s="675"/>
      <c r="E318" s="675"/>
      <c r="F318" s="675"/>
      <c r="G318" s="675"/>
      <c r="H318" s="1148"/>
      <c r="I318" s="675"/>
      <c r="J318" s="675"/>
    </row>
    <row r="319" spans="1:10" x14ac:dyDescent="0.5">
      <c r="A319" s="675"/>
      <c r="B319" s="183"/>
      <c r="C319" s="675"/>
      <c r="D319" s="675"/>
      <c r="E319" s="675"/>
      <c r="F319" s="675"/>
      <c r="G319" s="675"/>
      <c r="H319" s="1148"/>
      <c r="I319" s="675"/>
      <c r="J319" s="675"/>
    </row>
    <row r="320" spans="1:10" x14ac:dyDescent="0.5">
      <c r="A320" s="675"/>
      <c r="B320" s="183"/>
      <c r="C320" s="675"/>
      <c r="D320" s="675"/>
      <c r="E320" s="675"/>
      <c r="F320" s="675"/>
      <c r="G320" s="675"/>
      <c r="H320" s="1148"/>
      <c r="I320" s="675"/>
      <c r="J320" s="675"/>
    </row>
    <row r="321" spans="1:10" x14ac:dyDescent="0.5">
      <c r="A321" s="675"/>
      <c r="B321" s="183"/>
      <c r="C321" s="675"/>
      <c r="D321" s="675"/>
      <c r="E321" s="675"/>
      <c r="F321" s="675"/>
      <c r="G321" s="675"/>
      <c r="H321" s="1148"/>
      <c r="I321" s="675"/>
      <c r="J321" s="675"/>
    </row>
    <row r="322" spans="1:10" x14ac:dyDescent="0.5">
      <c r="A322" s="675"/>
      <c r="B322" s="183"/>
      <c r="C322" s="675"/>
      <c r="D322" s="675"/>
      <c r="E322" s="675"/>
      <c r="F322" s="675"/>
      <c r="G322" s="675"/>
      <c r="H322" s="1148"/>
      <c r="I322" s="675"/>
      <c r="J322" s="675"/>
    </row>
    <row r="323" spans="1:10" x14ac:dyDescent="0.5">
      <c r="A323" s="675"/>
      <c r="B323" s="183"/>
      <c r="C323" s="675"/>
      <c r="D323" s="675"/>
      <c r="E323" s="675"/>
      <c r="F323" s="675"/>
      <c r="G323" s="675"/>
      <c r="H323" s="1148"/>
      <c r="I323" s="675"/>
      <c r="J323" s="675"/>
    </row>
    <row r="324" spans="1:10" x14ac:dyDescent="0.5">
      <c r="A324" s="675"/>
      <c r="B324" s="183"/>
      <c r="C324" s="675"/>
      <c r="D324" s="675"/>
      <c r="E324" s="675"/>
      <c r="F324" s="675"/>
      <c r="G324" s="675"/>
      <c r="H324" s="1148"/>
      <c r="I324" s="675"/>
      <c r="J324" s="675"/>
    </row>
    <row r="325" spans="1:10" x14ac:dyDescent="0.5">
      <c r="A325" s="675"/>
      <c r="B325" s="183"/>
      <c r="C325" s="675"/>
      <c r="D325" s="675"/>
      <c r="E325" s="675"/>
      <c r="F325" s="675"/>
      <c r="G325" s="675"/>
      <c r="H325" s="1148"/>
      <c r="I325" s="675"/>
      <c r="J325" s="675"/>
    </row>
    <row r="326" spans="1:10" x14ac:dyDescent="0.5">
      <c r="A326" s="675"/>
      <c r="B326" s="183"/>
      <c r="C326" s="675"/>
      <c r="D326" s="675"/>
      <c r="E326" s="675"/>
      <c r="F326" s="675"/>
      <c r="G326" s="675"/>
      <c r="H326" s="1148"/>
      <c r="I326" s="675"/>
      <c r="J326" s="675"/>
    </row>
    <row r="327" spans="1:10" x14ac:dyDescent="0.5">
      <c r="A327" s="675"/>
      <c r="B327" s="183"/>
      <c r="C327" s="675"/>
      <c r="D327" s="675"/>
      <c r="E327" s="675"/>
      <c r="F327" s="675"/>
      <c r="G327" s="675"/>
      <c r="H327" s="1148"/>
      <c r="I327" s="675"/>
      <c r="J327" s="675"/>
    </row>
    <row r="328" spans="1:10" x14ac:dyDescent="0.5">
      <c r="A328" s="675"/>
      <c r="B328" s="183"/>
      <c r="C328" s="675"/>
      <c r="D328" s="675"/>
      <c r="E328" s="675"/>
      <c r="F328" s="675"/>
      <c r="G328" s="675"/>
      <c r="H328" s="1148"/>
      <c r="I328" s="675"/>
      <c r="J328" s="675"/>
    </row>
    <row r="329" spans="1:10" x14ac:dyDescent="0.5">
      <c r="A329" s="675"/>
      <c r="B329" s="183"/>
      <c r="C329" s="675"/>
      <c r="D329" s="675"/>
      <c r="E329" s="675"/>
      <c r="F329" s="675"/>
      <c r="G329" s="675"/>
      <c r="H329" s="1148"/>
      <c r="I329" s="675"/>
      <c r="J329" s="675"/>
    </row>
    <row r="330" spans="1:10" x14ac:dyDescent="0.5">
      <c r="A330" s="675"/>
      <c r="B330" s="183"/>
      <c r="C330" s="675"/>
      <c r="D330" s="675"/>
      <c r="E330" s="675"/>
      <c r="F330" s="675"/>
      <c r="G330" s="675"/>
      <c r="H330" s="1148"/>
      <c r="I330" s="675"/>
      <c r="J330" s="675"/>
    </row>
    <row r="331" spans="1:10" x14ac:dyDescent="0.5">
      <c r="A331" s="675"/>
      <c r="B331" s="183"/>
      <c r="C331" s="675"/>
      <c r="D331" s="675"/>
      <c r="E331" s="675"/>
      <c r="F331" s="675"/>
      <c r="G331" s="675"/>
      <c r="H331" s="1148"/>
      <c r="I331" s="675"/>
      <c r="J331" s="675"/>
    </row>
    <row r="332" spans="1:10" x14ac:dyDescent="0.5">
      <c r="A332" s="675"/>
      <c r="B332" s="183"/>
      <c r="C332" s="675"/>
      <c r="D332" s="675"/>
      <c r="E332" s="675"/>
      <c r="F332" s="675"/>
      <c r="G332" s="675"/>
      <c r="H332" s="1148"/>
      <c r="I332" s="675"/>
      <c r="J332" s="675"/>
    </row>
    <row r="333" spans="1:10" x14ac:dyDescent="0.5">
      <c r="A333" s="675"/>
      <c r="B333" s="183"/>
      <c r="C333" s="675"/>
      <c r="D333" s="675"/>
      <c r="E333" s="675"/>
      <c r="F333" s="675"/>
      <c r="G333" s="675"/>
      <c r="H333" s="1148"/>
      <c r="I333" s="675"/>
      <c r="J333" s="675"/>
    </row>
    <row r="334" spans="1:10" x14ac:dyDescent="0.5">
      <c r="A334" s="675"/>
      <c r="B334" s="183"/>
      <c r="C334" s="675"/>
      <c r="D334" s="675"/>
      <c r="E334" s="675"/>
      <c r="F334" s="675"/>
      <c r="G334" s="675"/>
      <c r="H334" s="1148"/>
      <c r="I334" s="675"/>
      <c r="J334" s="675"/>
    </row>
    <row r="335" spans="1:10" x14ac:dyDescent="0.5">
      <c r="A335" s="675"/>
      <c r="B335" s="183"/>
      <c r="C335" s="675"/>
      <c r="D335" s="675"/>
      <c r="E335" s="675"/>
      <c r="F335" s="675"/>
      <c r="G335" s="675"/>
      <c r="H335" s="1148"/>
      <c r="I335" s="675"/>
      <c r="J335" s="675"/>
    </row>
    <row r="336" spans="1:10" x14ac:dyDescent="0.5">
      <c r="A336" s="675"/>
      <c r="B336" s="183"/>
      <c r="C336" s="675"/>
      <c r="D336" s="675"/>
      <c r="E336" s="675"/>
      <c r="F336" s="675"/>
      <c r="G336" s="675"/>
      <c r="H336" s="1148"/>
      <c r="I336" s="675"/>
      <c r="J336" s="675"/>
    </row>
    <row r="337" spans="1:10" x14ac:dyDescent="0.5">
      <c r="A337" s="675"/>
      <c r="B337" s="183"/>
      <c r="C337" s="675"/>
      <c r="D337" s="675"/>
      <c r="E337" s="675"/>
      <c r="F337" s="675"/>
      <c r="G337" s="675"/>
      <c r="H337" s="1148"/>
      <c r="I337" s="675"/>
      <c r="J337" s="675"/>
    </row>
    <row r="338" spans="1:10" x14ac:dyDescent="0.5">
      <c r="A338" s="675"/>
      <c r="B338" s="183"/>
      <c r="C338" s="675"/>
      <c r="D338" s="675"/>
      <c r="E338" s="675"/>
      <c r="F338" s="675"/>
      <c r="G338" s="675"/>
      <c r="H338" s="1148"/>
      <c r="I338" s="675"/>
      <c r="J338" s="675"/>
    </row>
    <row r="339" spans="1:10" x14ac:dyDescent="0.5">
      <c r="A339" s="675"/>
      <c r="B339" s="183"/>
      <c r="C339" s="675"/>
      <c r="D339" s="675"/>
      <c r="E339" s="675"/>
      <c r="F339" s="675"/>
      <c r="G339" s="675"/>
      <c r="H339" s="1148"/>
      <c r="I339" s="675"/>
      <c r="J339" s="675"/>
    </row>
    <row r="340" spans="1:10" x14ac:dyDescent="0.5">
      <c r="A340" s="675"/>
      <c r="B340" s="183"/>
      <c r="C340" s="675"/>
      <c r="D340" s="675"/>
      <c r="E340" s="675"/>
      <c r="F340" s="675"/>
      <c r="G340" s="675"/>
      <c r="H340" s="1148"/>
      <c r="I340" s="675"/>
      <c r="J340" s="675"/>
    </row>
    <row r="341" spans="1:10" x14ac:dyDescent="0.5">
      <c r="A341" s="675"/>
      <c r="B341" s="183"/>
      <c r="C341" s="675"/>
      <c r="D341" s="675"/>
      <c r="E341" s="675"/>
      <c r="F341" s="675"/>
      <c r="G341" s="675"/>
      <c r="H341" s="1148"/>
      <c r="I341" s="675"/>
      <c r="J341" s="675"/>
    </row>
    <row r="342" spans="1:10" x14ac:dyDescent="0.5">
      <c r="A342" s="675"/>
      <c r="B342" s="183"/>
      <c r="C342" s="675"/>
      <c r="D342" s="675"/>
      <c r="E342" s="675"/>
      <c r="F342" s="675"/>
      <c r="G342" s="675"/>
      <c r="H342" s="1148"/>
      <c r="I342" s="675"/>
      <c r="J342" s="675"/>
    </row>
  </sheetData>
  <mergeCells count="3">
    <mergeCell ref="A3:F3"/>
    <mergeCell ref="A2:F2"/>
    <mergeCell ref="A1:F1"/>
  </mergeCells>
  <printOptions horizontalCentered="1"/>
  <pageMargins left="0.7" right="0.7" top="0.75" bottom="0.75" header="0.3" footer="0.3"/>
  <pageSetup scale="55" fitToWidth="0" fitToHeight="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43BC-0BD6-4433-9468-2D3130F1082E}">
  <sheetPr codeName="Sheet28">
    <pageSetUpPr fitToPage="1"/>
  </sheetPr>
  <dimension ref="A1:AF1338"/>
  <sheetViews>
    <sheetView view="pageBreakPreview" topLeftCell="K1" zoomScale="80" zoomScaleNormal="70" zoomScaleSheetLayoutView="80" workbookViewId="0">
      <selection activeCell="U4" sqref="U4"/>
    </sheetView>
  </sheetViews>
  <sheetFormatPr defaultColWidth="8.7890625" defaultRowHeight="15" x14ac:dyDescent="0.5"/>
  <cols>
    <col min="1" max="1" width="3.5234375" style="1118" customWidth="1"/>
    <col min="2" max="2" width="25.734375" style="1152" customWidth="1"/>
    <col min="3" max="3" width="54.734375" style="1174" customWidth="1"/>
    <col min="4" max="4" width="19.7890625" style="1152" customWidth="1"/>
    <col min="5" max="5" width="2.5234375" style="1152" customWidth="1"/>
    <col min="6" max="6" width="13.15625" style="1175" bestFit="1" customWidth="1"/>
    <col min="7" max="7" width="20.26171875" style="1152" customWidth="1"/>
    <col min="8" max="8" width="20.26171875" style="1175" customWidth="1"/>
    <col min="9" max="9" width="18.15625" style="1152" customWidth="1"/>
    <col min="10" max="10" width="8.7890625" style="1118"/>
    <col min="11" max="11" width="23.5234375" style="1118" customWidth="1"/>
    <col min="12" max="12" width="12.47265625" style="1118" bestFit="1" customWidth="1"/>
    <col min="13" max="13" width="13.5234375" style="1118" bestFit="1" customWidth="1"/>
    <col min="14" max="15" width="12.47265625" style="1118" bestFit="1" customWidth="1"/>
    <col min="16" max="16" width="13.26171875" style="1118" bestFit="1" customWidth="1"/>
    <col min="17" max="19" width="12.47265625" style="1118" bestFit="1" customWidth="1"/>
    <col min="20" max="20" width="12.26171875" style="1118" customWidth="1"/>
    <col min="21" max="21" width="8.7890625" style="1118" customWidth="1"/>
    <col min="22" max="22" width="9" style="1118" bestFit="1" customWidth="1"/>
    <col min="23" max="23" width="8.7890625" style="1118"/>
    <col min="24" max="24" width="9" style="1118" bestFit="1" customWidth="1"/>
    <col min="25" max="25" width="8.7890625" style="1118"/>
    <col min="26" max="26" width="14.7890625" style="1118" customWidth="1"/>
    <col min="27" max="27" width="7.26171875" style="1118" bestFit="1" customWidth="1"/>
    <col min="28" max="28" width="9" style="1118" bestFit="1" customWidth="1"/>
    <col min="29" max="29" width="8.7890625" style="1118"/>
    <col min="30" max="30" width="11.15625" style="1118" customWidth="1"/>
    <col min="31" max="16384" width="8.7890625" style="1118"/>
  </cols>
  <sheetData>
    <row r="1" spans="1:29" x14ac:dyDescent="0.5">
      <c r="C1" s="1153"/>
      <c r="D1" s="1153"/>
      <c r="E1" s="1153"/>
      <c r="F1" s="1154"/>
      <c r="G1" s="1154"/>
      <c r="H1" s="1154"/>
    </row>
    <row r="2" spans="1:29" x14ac:dyDescent="0.5">
      <c r="C2" s="1155"/>
      <c r="D2" s="1156"/>
      <c r="E2" s="1155"/>
      <c r="F2" s="1439" t="s">
        <v>4726</v>
      </c>
      <c r="G2" s="1439"/>
      <c r="H2" s="1439"/>
      <c r="I2" s="1157"/>
      <c r="K2" s="108" t="s">
        <v>1096</v>
      </c>
      <c r="L2" s="108"/>
      <c r="M2" s="108"/>
      <c r="N2" s="108"/>
      <c r="O2" s="108"/>
      <c r="P2" s="108"/>
      <c r="Q2" s="108"/>
      <c r="R2" s="108"/>
      <c r="S2" s="108"/>
      <c r="T2" s="108"/>
    </row>
    <row r="3" spans="1:29" ht="42" customHeight="1" thickBot="1" x14ac:dyDescent="0.55000000000000004">
      <c r="A3" s="1158"/>
      <c r="B3" s="1159" t="s">
        <v>2684</v>
      </c>
      <c r="C3" s="1159" t="s">
        <v>611</v>
      </c>
      <c r="D3" s="1159" t="s">
        <v>4727</v>
      </c>
      <c r="E3" s="1159"/>
      <c r="F3" s="1159" t="s">
        <v>4728</v>
      </c>
      <c r="G3" s="1159" t="s">
        <v>4729</v>
      </c>
      <c r="H3" s="1160" t="s">
        <v>4730</v>
      </c>
      <c r="I3" s="1161" t="s">
        <v>4731</v>
      </c>
      <c r="K3" s="108"/>
      <c r="L3" s="108"/>
      <c r="M3" s="108"/>
      <c r="N3" s="108"/>
      <c r="O3" s="108"/>
      <c r="P3" s="108"/>
      <c r="Q3" s="108"/>
      <c r="R3" s="108"/>
      <c r="S3" s="108"/>
      <c r="T3" s="108"/>
    </row>
    <row r="4" spans="1:29" x14ac:dyDescent="0.5">
      <c r="B4" s="1162" t="s">
        <v>2693</v>
      </c>
      <c r="C4" s="1163" t="s">
        <v>2629</v>
      </c>
      <c r="D4" s="1163" t="s">
        <v>2892</v>
      </c>
      <c r="E4" s="1164"/>
      <c r="F4" s="1165">
        <v>29223</v>
      </c>
      <c r="G4" s="1166" t="s">
        <v>2695</v>
      </c>
      <c r="H4" s="1167">
        <v>12.55</v>
      </c>
      <c r="I4" s="1168">
        <f>IF(DAY($F4)&gt;15, VLOOKUP(EOMONTH($F4,-1),'WP 3.1 Rate Case Regress.'!$C$5:$D$556,2,FALSE), VLOOKUP(EOMONTH($F4, -2), 'WP 3.1 Rate Case Regress.'!$C$5:$D$556, 2, FALSE))</f>
        <v>11.89</v>
      </c>
      <c r="K4" s="1169" t="s">
        <v>1099</v>
      </c>
      <c r="L4" s="1169"/>
      <c r="M4" s="108"/>
      <c r="N4" s="108"/>
      <c r="O4" s="108"/>
      <c r="P4" s="108"/>
      <c r="Q4" s="108"/>
      <c r="R4" s="108"/>
      <c r="S4" s="108"/>
      <c r="T4" s="108"/>
      <c r="V4" s="113" t="s">
        <v>2675</v>
      </c>
      <c r="W4" s="113"/>
      <c r="X4" s="113"/>
      <c r="Y4" s="113"/>
      <c r="Z4" s="113"/>
      <c r="AA4" s="113"/>
      <c r="AB4" s="113"/>
      <c r="AC4" s="113"/>
    </row>
    <row r="5" spans="1:29" x14ac:dyDescent="0.5">
      <c r="B5" s="1162" t="s">
        <v>2696</v>
      </c>
      <c r="C5" s="1163" t="s">
        <v>2697</v>
      </c>
      <c r="D5" s="1163" t="s">
        <v>2894</v>
      </c>
      <c r="E5" s="1164"/>
      <c r="F5" s="1165">
        <v>29224</v>
      </c>
      <c r="G5" s="1166" t="s">
        <v>2695</v>
      </c>
      <c r="H5" s="1167">
        <v>13.75</v>
      </c>
      <c r="I5" s="1168">
        <f>IF(DAY($F5)&gt;15, VLOOKUP(EOMONTH($F5,-1),'WP 3.1 Rate Case Regress.'!$C$5:$D$556,2,FALSE), VLOOKUP(EOMONTH($F5, -2), 'WP 3.1 Rate Case Regress.'!$C$5:$D$556, 2, FALSE))</f>
        <v>11.89</v>
      </c>
      <c r="K5" s="108" t="s">
        <v>1118</v>
      </c>
      <c r="L5" s="108">
        <v>0.9465109287907949</v>
      </c>
      <c r="M5" s="108"/>
      <c r="N5" s="108"/>
      <c r="O5" s="108"/>
      <c r="P5" s="108"/>
      <c r="Q5" s="108"/>
      <c r="R5" s="108"/>
      <c r="S5" s="108"/>
      <c r="T5" s="108"/>
      <c r="V5" s="114" t="s">
        <v>7117</v>
      </c>
      <c r="W5" s="114"/>
      <c r="X5" s="114"/>
      <c r="Y5" s="114"/>
      <c r="Z5" s="114"/>
      <c r="AA5" s="114"/>
      <c r="AB5" s="114"/>
      <c r="AC5" s="114"/>
    </row>
    <row r="6" spans="1:29" x14ac:dyDescent="0.5">
      <c r="B6" s="1162" t="s">
        <v>2698</v>
      </c>
      <c r="C6" s="1163" t="s">
        <v>2895</v>
      </c>
      <c r="D6" s="1163" t="s">
        <v>2896</v>
      </c>
      <c r="E6" s="1164"/>
      <c r="F6" s="1165">
        <v>29234</v>
      </c>
      <c r="G6" s="1166" t="s">
        <v>2695</v>
      </c>
      <c r="H6" s="1167">
        <v>13.2</v>
      </c>
      <c r="I6" s="1168">
        <f>IF(DAY($F6)&gt;15, VLOOKUP(EOMONTH($F6,-1),'WP 3.1 Rate Case Regress.'!$C$5:$D$556,2,FALSE), VLOOKUP(EOMONTH($F6, -2), 'WP 3.1 Rate Case Regress.'!$C$5:$D$556, 2, FALSE))</f>
        <v>11.89</v>
      </c>
      <c r="K6" s="108" t="s">
        <v>1119</v>
      </c>
      <c r="L6" s="108">
        <v>0.89588293832041321</v>
      </c>
      <c r="M6" s="108"/>
      <c r="N6" s="108"/>
      <c r="O6" s="108"/>
      <c r="P6" s="108"/>
      <c r="Q6" s="108"/>
      <c r="R6" s="108"/>
      <c r="S6" s="108"/>
      <c r="T6" s="108"/>
      <c r="V6" s="113" t="s">
        <v>7118</v>
      </c>
      <c r="W6" s="113"/>
      <c r="X6" s="113"/>
      <c r="Y6" s="113"/>
      <c r="Z6" s="113"/>
      <c r="AA6" s="113"/>
      <c r="AB6" s="113"/>
      <c r="AC6" s="113"/>
    </row>
    <row r="7" spans="1:29" x14ac:dyDescent="0.5">
      <c r="B7" s="1162" t="s">
        <v>2699</v>
      </c>
      <c r="C7" s="1163" t="s">
        <v>2628</v>
      </c>
      <c r="D7" s="1163" t="s">
        <v>2897</v>
      </c>
      <c r="E7" s="1164"/>
      <c r="F7" s="1165">
        <v>29238</v>
      </c>
      <c r="G7" s="1166" t="s">
        <v>2695</v>
      </c>
      <c r="H7" s="1167">
        <v>14</v>
      </c>
      <c r="I7" s="1168">
        <f>IF(DAY($F7)&gt;15, VLOOKUP(EOMONTH($F7,-1),'WP 3.1 Rate Case Regress.'!$C$5:$D$556,2,FALSE), VLOOKUP(EOMONTH($F7, -2), 'WP 3.1 Rate Case Regress.'!$C$5:$D$556, 2, FALSE))</f>
        <v>12.15</v>
      </c>
      <c r="K7" s="108" t="s">
        <v>1120</v>
      </c>
      <c r="L7" s="108">
        <v>0.89580483099732278</v>
      </c>
      <c r="M7" s="108"/>
      <c r="N7" s="108"/>
      <c r="O7" s="108"/>
      <c r="P7" s="108"/>
      <c r="Q7" s="108"/>
      <c r="R7" s="108"/>
      <c r="S7" s="108"/>
      <c r="T7" s="108"/>
      <c r="V7" s="60"/>
      <c r="W7" s="60"/>
      <c r="X7" s="60"/>
      <c r="Y7" s="60"/>
      <c r="Z7" s="60"/>
      <c r="AA7" s="60"/>
      <c r="AB7" s="60"/>
      <c r="AC7" s="60"/>
    </row>
    <row r="8" spans="1:29" x14ac:dyDescent="0.5">
      <c r="B8" s="1162" t="s">
        <v>2700</v>
      </c>
      <c r="C8" s="1163" t="s">
        <v>2898</v>
      </c>
      <c r="D8" s="1163" t="s">
        <v>2899</v>
      </c>
      <c r="E8" s="1164"/>
      <c r="F8" s="1165">
        <v>29251</v>
      </c>
      <c r="G8" s="1166" t="s">
        <v>2695</v>
      </c>
      <c r="H8" s="1167">
        <v>12.61</v>
      </c>
      <c r="I8" s="1168">
        <f>IF(DAY($F8)&gt;15, VLOOKUP(EOMONTH($F8,-1),'WP 3.1 Rate Case Regress.'!$C$5:$D$556,2,FALSE), VLOOKUP(EOMONTH($F8, -2), 'WP 3.1 Rate Case Regress.'!$C$5:$D$556, 2, FALSE))</f>
        <v>12.15</v>
      </c>
      <c r="K8" s="108" t="s">
        <v>1121</v>
      </c>
      <c r="L8" s="108">
        <v>0.72631493112547374</v>
      </c>
      <c r="M8" s="108"/>
      <c r="N8" s="108"/>
      <c r="O8" s="108"/>
      <c r="P8" s="108"/>
      <c r="Q8" s="108"/>
      <c r="R8" s="108"/>
      <c r="S8" s="108"/>
      <c r="T8" s="108"/>
      <c r="V8" s="60"/>
      <c r="W8" s="60"/>
      <c r="X8" s="60"/>
      <c r="Y8" s="60"/>
      <c r="Z8" s="60"/>
      <c r="AA8" s="60"/>
      <c r="AB8" s="60"/>
      <c r="AC8" s="60"/>
    </row>
    <row r="9" spans="1:29" ht="15.3" thickBot="1" x14ac:dyDescent="0.55000000000000004">
      <c r="B9" s="1162" t="s">
        <v>2701</v>
      </c>
      <c r="C9" s="1163" t="s">
        <v>2900</v>
      </c>
      <c r="D9" s="1163" t="s">
        <v>2901</v>
      </c>
      <c r="E9" s="1164"/>
      <c r="F9" s="1165">
        <v>29259</v>
      </c>
      <c r="G9" s="1166" t="s">
        <v>2695</v>
      </c>
      <c r="H9" s="1167">
        <v>14.5</v>
      </c>
      <c r="I9" s="1168">
        <f>IF(DAY($F9)&gt;15, VLOOKUP(EOMONTH($F9,-1),'WP 3.1 Rate Case Regress.'!$C$5:$D$556,2,FALSE), VLOOKUP(EOMONTH($F9, -2), 'WP 3.1 Rate Case Regress.'!$C$5:$D$556, 2, FALSE))</f>
        <v>12.15</v>
      </c>
      <c r="K9" s="1170" t="s">
        <v>1122</v>
      </c>
      <c r="L9" s="1170">
        <v>1335</v>
      </c>
      <c r="M9" s="108"/>
      <c r="N9" s="108"/>
      <c r="O9" s="108"/>
      <c r="P9" s="108"/>
      <c r="Q9" s="108"/>
      <c r="R9" s="108"/>
      <c r="S9" s="108"/>
      <c r="T9" s="108"/>
      <c r="V9" s="60"/>
      <c r="W9" s="60"/>
      <c r="X9" s="60"/>
      <c r="Y9" s="60"/>
      <c r="Z9" s="60"/>
      <c r="AA9" s="60"/>
      <c r="AB9" s="60"/>
      <c r="AC9" s="60"/>
    </row>
    <row r="10" spans="1:29" x14ac:dyDescent="0.5">
      <c r="B10" s="1162" t="s">
        <v>2702</v>
      </c>
      <c r="C10" s="1163" t="s">
        <v>4701</v>
      </c>
      <c r="D10" s="1163" t="s">
        <v>2902</v>
      </c>
      <c r="E10" s="1164"/>
      <c r="F10" s="1165">
        <v>29265</v>
      </c>
      <c r="G10" s="1166" t="s">
        <v>2695</v>
      </c>
      <c r="H10" s="1167">
        <v>13</v>
      </c>
      <c r="I10" s="1168">
        <f>IF(DAY($F10)&gt;15, VLOOKUP(EOMONTH($F10,-1),'WP 3.1 Rate Case Regress.'!$C$5:$D$556,2,FALSE), VLOOKUP(EOMONTH($F10, -2), 'WP 3.1 Rate Case Regress.'!$C$5:$D$556, 2, FALSE))</f>
        <v>12.15</v>
      </c>
      <c r="K10" s="108"/>
      <c r="L10" s="108"/>
      <c r="M10" s="108"/>
      <c r="N10" s="108"/>
      <c r="O10" s="108"/>
      <c r="P10" s="108"/>
      <c r="Q10" s="108"/>
      <c r="R10" s="108"/>
      <c r="S10" s="108"/>
      <c r="T10" s="108"/>
      <c r="V10" s="60"/>
      <c r="W10" s="60"/>
      <c r="X10" s="60"/>
      <c r="Y10" s="60"/>
      <c r="Z10" s="60"/>
      <c r="AA10" s="60"/>
      <c r="AB10" s="60"/>
      <c r="AC10" s="60"/>
    </row>
    <row r="11" spans="1:29" ht="15.3" thickBot="1" x14ac:dyDescent="0.55000000000000004">
      <c r="B11" s="1162" t="s">
        <v>2702</v>
      </c>
      <c r="C11" s="1163" t="s">
        <v>2903</v>
      </c>
      <c r="D11" s="1163" t="s">
        <v>2904</v>
      </c>
      <c r="E11" s="1164"/>
      <c r="F11" s="1165">
        <v>29266</v>
      </c>
      <c r="G11" s="1166" t="s">
        <v>2695</v>
      </c>
      <c r="H11" s="1167">
        <v>13</v>
      </c>
      <c r="I11" s="1168">
        <f>IF(DAY($F11)&gt;15, VLOOKUP(EOMONTH($F11,-1),'WP 3.1 Rate Case Regress.'!$C$5:$D$556,2,FALSE), VLOOKUP(EOMONTH($F11, -2), 'WP 3.1 Rate Case Regress.'!$C$5:$D$556, 2, FALSE))</f>
        <v>12.15</v>
      </c>
      <c r="K11" s="108" t="s">
        <v>1123</v>
      </c>
      <c r="L11" s="108"/>
      <c r="M11" s="108"/>
      <c r="N11" s="108"/>
      <c r="O11" s="108"/>
      <c r="P11" s="108"/>
      <c r="Q11" s="108"/>
      <c r="R11" s="108"/>
      <c r="S11" s="108"/>
      <c r="T11" s="108"/>
      <c r="V11" s="60"/>
      <c r="W11" s="60"/>
      <c r="X11" s="60"/>
      <c r="Y11" s="60"/>
      <c r="Z11" s="60"/>
      <c r="AA11" s="60"/>
      <c r="AB11" s="60"/>
      <c r="AC11" s="60"/>
    </row>
    <row r="12" spans="1:29" x14ac:dyDescent="0.5">
      <c r="B12" s="1162" t="s">
        <v>2704</v>
      </c>
      <c r="C12" s="1163" t="s">
        <v>2705</v>
      </c>
      <c r="D12" s="1163" t="s">
        <v>2905</v>
      </c>
      <c r="E12" s="1164"/>
      <c r="F12" s="1165">
        <v>29280</v>
      </c>
      <c r="G12" s="1166" t="s">
        <v>2695</v>
      </c>
      <c r="H12" s="1167">
        <v>14</v>
      </c>
      <c r="I12" s="1168">
        <f>IF(DAY($F12)&gt;15, VLOOKUP(EOMONTH($F12,-1),'WP 3.1 Rate Case Regress.'!$C$5:$D$556,2,FALSE), VLOOKUP(EOMONTH($F12, -2), 'WP 3.1 Rate Case Regress.'!$C$5:$D$556, 2, FALSE))</f>
        <v>12.2125</v>
      </c>
      <c r="K12" s="1171"/>
      <c r="L12" s="1171" t="s">
        <v>1124</v>
      </c>
      <c r="M12" s="1171" t="s">
        <v>1125</v>
      </c>
      <c r="N12" s="1171" t="s">
        <v>433</v>
      </c>
      <c r="O12" s="1171" t="s">
        <v>290</v>
      </c>
      <c r="P12" s="1171" t="s">
        <v>1126</v>
      </c>
      <c r="Q12" s="108"/>
      <c r="R12" s="108"/>
      <c r="S12" s="108"/>
      <c r="T12" s="108"/>
      <c r="V12" s="60"/>
      <c r="W12" s="60"/>
      <c r="X12" s="60"/>
      <c r="Y12" s="60"/>
      <c r="Z12" s="60"/>
      <c r="AA12" s="60"/>
      <c r="AB12" s="60"/>
      <c r="AC12" s="60"/>
    </row>
    <row r="13" spans="1:29" x14ac:dyDescent="0.5">
      <c r="B13" s="1162" t="s">
        <v>2706</v>
      </c>
      <c r="C13" s="1163" t="s">
        <v>2906</v>
      </c>
      <c r="D13" s="1163" t="s">
        <v>2907</v>
      </c>
      <c r="E13" s="1164"/>
      <c r="F13" s="1165">
        <v>29285</v>
      </c>
      <c r="G13" s="1166" t="s">
        <v>2695</v>
      </c>
      <c r="H13" s="1167">
        <v>14</v>
      </c>
      <c r="I13" s="1168">
        <f>IF(DAY($F13)&gt;15, VLOOKUP(EOMONTH($F13,-1),'WP 3.1 Rate Case Regress.'!$C$5:$D$556,2,FALSE), VLOOKUP(EOMONTH($F13, -2), 'WP 3.1 Rate Case Regress.'!$C$5:$D$556, 2, FALSE))</f>
        <v>12.2125</v>
      </c>
      <c r="K13" s="108" t="s">
        <v>1127</v>
      </c>
      <c r="L13" s="108">
        <v>1</v>
      </c>
      <c r="M13" s="108">
        <v>6050.7534389668672</v>
      </c>
      <c r="N13" s="108">
        <v>6050.7534389668672</v>
      </c>
      <c r="O13" s="108">
        <v>11469.896840310535</v>
      </c>
      <c r="P13" s="108">
        <v>0</v>
      </c>
      <c r="Q13" s="108"/>
      <c r="R13" s="108"/>
      <c r="S13" s="108"/>
      <c r="T13" s="108"/>
      <c r="V13" s="60"/>
      <c r="W13" s="60"/>
      <c r="X13" s="60"/>
      <c r="Y13" s="60"/>
      <c r="Z13" s="60"/>
      <c r="AA13" s="60"/>
      <c r="AB13" s="60"/>
      <c r="AC13" s="60"/>
    </row>
    <row r="14" spans="1:29" x14ac:dyDescent="0.5">
      <c r="B14" s="1162" t="s">
        <v>2704</v>
      </c>
      <c r="C14" s="1163" t="s">
        <v>2908</v>
      </c>
      <c r="D14" s="1163" t="s">
        <v>2909</v>
      </c>
      <c r="E14" s="1164"/>
      <c r="F14" s="1165">
        <v>29287</v>
      </c>
      <c r="G14" s="1166" t="s">
        <v>2695</v>
      </c>
      <c r="H14" s="1167">
        <v>13.5</v>
      </c>
      <c r="I14" s="1168">
        <f>IF(DAY($F14)&gt;15, VLOOKUP(EOMONTH($F14,-1),'WP 3.1 Rate Case Regress.'!$C$5:$D$556,2,FALSE), VLOOKUP(EOMONTH($F14, -2), 'WP 3.1 Rate Case Regress.'!$C$5:$D$556, 2, FALSE))</f>
        <v>12.2125</v>
      </c>
      <c r="K14" s="108" t="s">
        <v>1128</v>
      </c>
      <c r="L14" s="108">
        <v>1333</v>
      </c>
      <c r="M14" s="108">
        <v>703.20199444134357</v>
      </c>
      <c r="N14" s="108">
        <v>0.52753337917580168</v>
      </c>
      <c r="O14" s="108"/>
      <c r="P14" s="108"/>
      <c r="Q14" s="108"/>
      <c r="R14" s="108"/>
      <c r="S14" s="108"/>
      <c r="T14" s="108"/>
      <c r="V14" s="60"/>
      <c r="W14" s="60"/>
      <c r="X14" s="60"/>
      <c r="Y14" s="60"/>
      <c r="Z14" s="60"/>
      <c r="AA14" s="60"/>
      <c r="AB14" s="60"/>
      <c r="AC14" s="60"/>
    </row>
    <row r="15" spans="1:29" ht="15.3" thickBot="1" x14ac:dyDescent="0.55000000000000004">
      <c r="B15" s="1162" t="s">
        <v>2704</v>
      </c>
      <c r="C15" s="1163" t="s">
        <v>2910</v>
      </c>
      <c r="D15" s="1163" t="s">
        <v>2911</v>
      </c>
      <c r="E15" s="1164"/>
      <c r="F15" s="1165">
        <v>29294</v>
      </c>
      <c r="G15" s="1166" t="s">
        <v>2695</v>
      </c>
      <c r="H15" s="1167">
        <v>14</v>
      </c>
      <c r="I15" s="1168">
        <f>IF(DAY($F15)&gt;15, VLOOKUP(EOMONTH($F15,-1),'WP 3.1 Rate Case Regress.'!$C$5:$D$556,2,FALSE), VLOOKUP(EOMONTH($F15, -2), 'WP 3.1 Rate Case Regress.'!$C$5:$D$556, 2, FALSE))</f>
        <v>12.2125</v>
      </c>
      <c r="K15" s="1170" t="s">
        <v>1129</v>
      </c>
      <c r="L15" s="1170">
        <v>1334</v>
      </c>
      <c r="M15" s="1170">
        <v>6753.9554334082104</v>
      </c>
      <c r="N15" s="1170"/>
      <c r="O15" s="1170"/>
      <c r="P15" s="1170"/>
      <c r="Q15" s="108"/>
      <c r="R15" s="108"/>
      <c r="S15" s="108"/>
      <c r="T15" s="108"/>
      <c r="V15" s="60"/>
      <c r="W15" s="60"/>
      <c r="X15" s="60"/>
      <c r="Y15" s="60"/>
      <c r="Z15" s="60"/>
      <c r="AA15" s="60"/>
      <c r="AB15" s="60"/>
      <c r="AC15" s="60"/>
    </row>
    <row r="16" spans="1:29" ht="15.3" thickBot="1" x14ac:dyDescent="0.55000000000000004">
      <c r="B16" s="1162" t="s">
        <v>2704</v>
      </c>
      <c r="C16" s="1163" t="s">
        <v>2707</v>
      </c>
      <c r="D16" s="1163" t="s">
        <v>2912</v>
      </c>
      <c r="E16" s="1164"/>
      <c r="F16" s="1165">
        <v>29307</v>
      </c>
      <c r="G16" s="1166" t="s">
        <v>2695</v>
      </c>
      <c r="H16" s="1167">
        <v>12.69</v>
      </c>
      <c r="I16" s="1168">
        <f>IF(DAY($F16)&gt;15, VLOOKUP(EOMONTH($F16,-1),'WP 3.1 Rate Case Regress.'!$C$5:$D$556,2,FALSE), VLOOKUP(EOMONTH($F16, -2), 'WP 3.1 Rate Case Regress.'!$C$5:$D$556, 2, FALSE))</f>
        <v>13.234</v>
      </c>
      <c r="K16" s="108"/>
      <c r="L16" s="108"/>
      <c r="M16" s="108"/>
      <c r="N16" s="108"/>
      <c r="O16" s="108"/>
      <c r="P16" s="108"/>
      <c r="Q16" s="108"/>
      <c r="R16" s="108"/>
      <c r="S16" s="108"/>
      <c r="T16" s="108"/>
      <c r="V16" s="60"/>
      <c r="W16" s="60"/>
      <c r="X16" s="60"/>
      <c r="Y16" s="60"/>
      <c r="Z16" s="60"/>
      <c r="AA16" s="60"/>
      <c r="AB16" s="60"/>
      <c r="AC16" s="60"/>
    </row>
    <row r="17" spans="2:32" x14ac:dyDescent="0.5">
      <c r="B17" s="1162" t="s">
        <v>2774</v>
      </c>
      <c r="C17" s="1163" t="s">
        <v>3493</v>
      </c>
      <c r="D17" s="1163" t="s">
        <v>4732</v>
      </c>
      <c r="E17" s="1164"/>
      <c r="F17" s="1165">
        <v>29312</v>
      </c>
      <c r="G17" s="1166" t="s">
        <v>4585</v>
      </c>
      <c r="H17" s="1167">
        <v>14.75</v>
      </c>
      <c r="I17" s="1168">
        <f>IF(DAY($F17)&gt;15, VLOOKUP(EOMONTH($F17,-1),'WP 3.1 Rate Case Regress.'!$C$5:$D$556,2,FALSE), VLOOKUP(EOMONTH($F17, -2), 'WP 3.1 Rate Case Regress.'!$C$5:$D$556, 2, FALSE))</f>
        <v>13.234</v>
      </c>
      <c r="K17" s="1171"/>
      <c r="L17" s="1171" t="s">
        <v>1130</v>
      </c>
      <c r="M17" s="1171" t="s">
        <v>1121</v>
      </c>
      <c r="N17" s="1171" t="s">
        <v>1131</v>
      </c>
      <c r="O17" s="1171" t="s">
        <v>1132</v>
      </c>
      <c r="P17" s="1171" t="s">
        <v>1133</v>
      </c>
      <c r="Q17" s="1171" t="s">
        <v>1134</v>
      </c>
      <c r="R17" s="1171" t="s">
        <v>1135</v>
      </c>
      <c r="S17" s="1171" t="s">
        <v>1136</v>
      </c>
      <c r="T17" s="1172"/>
      <c r="V17" s="60"/>
      <c r="W17" s="60"/>
      <c r="X17" s="60"/>
      <c r="Y17" s="60"/>
      <c r="Z17" s="60"/>
      <c r="AA17" s="60"/>
      <c r="AB17" s="60"/>
      <c r="AC17" s="60"/>
    </row>
    <row r="18" spans="2:32" x14ac:dyDescent="0.5">
      <c r="B18" s="1162" t="s">
        <v>2708</v>
      </c>
      <c r="C18" s="1163" t="s">
        <v>2709</v>
      </c>
      <c r="D18" s="1163" t="s">
        <v>2913</v>
      </c>
      <c r="E18" s="1164"/>
      <c r="F18" s="1165">
        <v>29340</v>
      </c>
      <c r="G18" s="1166" t="s">
        <v>2695</v>
      </c>
      <c r="H18" s="1167">
        <v>12.5</v>
      </c>
      <c r="I18" s="1168">
        <f>IF(DAY($F18)&gt;15, VLOOKUP(EOMONTH($F18,-1),'WP 3.1 Rate Case Regress.'!$C$5:$D$556,2,FALSE), VLOOKUP(EOMONTH($F18, -2), 'WP 3.1 Rate Case Regress.'!$C$5:$D$556, 2, FALSE))</f>
        <v>14.59</v>
      </c>
      <c r="K18" s="108" t="s">
        <v>1137</v>
      </c>
      <c r="L18" s="108">
        <v>7.4432931193236529</v>
      </c>
      <c r="M18" s="108">
        <v>4.5095911495255589E-2</v>
      </c>
      <c r="N18" s="108">
        <v>165.05472164825275</v>
      </c>
      <c r="O18" s="108">
        <v>0</v>
      </c>
      <c r="P18" s="108">
        <v>7.3548264303978801</v>
      </c>
      <c r="Q18" s="108">
        <v>7.5317598082494257</v>
      </c>
      <c r="R18" s="108">
        <v>7.3548264303978801</v>
      </c>
      <c r="S18" s="108">
        <v>7.5317598082494257</v>
      </c>
      <c r="T18" s="108"/>
      <c r="V18" s="60"/>
      <c r="W18" s="60"/>
      <c r="X18" s="60"/>
      <c r="Y18" s="60"/>
      <c r="Z18" s="60"/>
      <c r="AA18" s="60"/>
      <c r="AB18" s="60"/>
      <c r="AC18" s="60"/>
    </row>
    <row r="19" spans="2:32" ht="15.3" thickBot="1" x14ac:dyDescent="0.55000000000000004">
      <c r="B19" s="1162" t="s">
        <v>2710</v>
      </c>
      <c r="C19" s="1163" t="s">
        <v>2711</v>
      </c>
      <c r="D19" s="1163" t="s">
        <v>2914</v>
      </c>
      <c r="E19" s="1164"/>
      <c r="F19" s="1165">
        <v>29348</v>
      </c>
      <c r="G19" s="1166" t="s">
        <v>2695</v>
      </c>
      <c r="H19" s="1167">
        <v>14.27</v>
      </c>
      <c r="I19" s="1168">
        <f>IF(DAY($F19)&gt;15, VLOOKUP(EOMONTH($F19,-1),'WP 3.1 Rate Case Regress.'!$C$5:$D$556,2,FALSE), VLOOKUP(EOMONTH($F19, -2), 'WP 3.1 Rate Case Regress.'!$C$5:$D$556, 2, FALSE))</f>
        <v>14.59</v>
      </c>
      <c r="K19" s="1170" t="s">
        <v>4733</v>
      </c>
      <c r="L19" s="1170">
        <v>0.52020468276524612</v>
      </c>
      <c r="M19" s="1170">
        <v>4.8572952337496197E-3</v>
      </c>
      <c r="N19" s="1170">
        <v>107.09760426970605</v>
      </c>
      <c r="O19" s="1170">
        <v>0</v>
      </c>
      <c r="P19" s="1170">
        <v>0.51067590704663191</v>
      </c>
      <c r="Q19" s="1170">
        <v>0.52973345848386033</v>
      </c>
      <c r="R19" s="1170">
        <v>0.51067590704663191</v>
      </c>
      <c r="S19" s="1170">
        <v>0.52973345848386033</v>
      </c>
      <c r="T19" s="108"/>
      <c r="V19" s="60"/>
      <c r="W19" s="60"/>
      <c r="X19" s="60"/>
      <c r="Y19" s="60"/>
      <c r="Z19" s="60"/>
      <c r="AA19" s="60"/>
      <c r="AB19" s="60"/>
      <c r="AC19" s="60"/>
    </row>
    <row r="20" spans="2:32" ht="15" customHeight="1" x14ac:dyDescent="0.5">
      <c r="B20" s="1162" t="s">
        <v>2712</v>
      </c>
      <c r="C20" s="1163" t="s">
        <v>2713</v>
      </c>
      <c r="D20" s="1163" t="s">
        <v>2915</v>
      </c>
      <c r="E20" s="1164"/>
      <c r="F20" s="1165">
        <v>29349</v>
      </c>
      <c r="G20" s="1166" t="s">
        <v>2695</v>
      </c>
      <c r="H20" s="1167">
        <v>13.75</v>
      </c>
      <c r="I20" s="1168">
        <f>IF(DAY($F20)&gt;15, VLOOKUP(EOMONTH($F20,-1),'WP 3.1 Rate Case Regress.'!$C$5:$D$556,2,FALSE), VLOOKUP(EOMONTH($F20, -2), 'WP 3.1 Rate Case Regress.'!$C$5:$D$556, 2, FALSE))</f>
        <v>14.59</v>
      </c>
      <c r="K20" s="108"/>
      <c r="L20" s="108"/>
      <c r="M20" s="108"/>
      <c r="N20" s="108"/>
      <c r="O20" s="108"/>
      <c r="P20" s="108"/>
      <c r="Q20" s="108"/>
      <c r="R20" s="108"/>
      <c r="S20" s="108"/>
      <c r="T20" s="108"/>
      <c r="V20" s="60"/>
      <c r="W20" s="60"/>
      <c r="X20" s="60"/>
      <c r="Y20" s="60"/>
      <c r="Z20" s="60"/>
      <c r="AA20" s="60"/>
      <c r="AB20" s="60"/>
      <c r="AC20" s="60"/>
    </row>
    <row r="21" spans="2:32" ht="15" customHeight="1" x14ac:dyDescent="0.5">
      <c r="B21" s="1162" t="s">
        <v>2714</v>
      </c>
      <c r="C21" s="1163" t="s">
        <v>4648</v>
      </c>
      <c r="D21" s="1163" t="s">
        <v>2917</v>
      </c>
      <c r="E21" s="1164"/>
      <c r="F21" s="1165">
        <v>29360</v>
      </c>
      <c r="G21" s="1166" t="s">
        <v>2695</v>
      </c>
      <c r="H21" s="1167">
        <v>15.5</v>
      </c>
      <c r="I21" s="1168">
        <f>IF(DAY($F21)&gt;15, VLOOKUP(EOMONTH($F21,-1),'WP 3.1 Rate Case Regress.'!$C$5:$D$556,2,FALSE), VLOOKUP(EOMONTH($F21, -2), 'WP 3.1 Rate Case Regress.'!$C$5:$D$556, 2, FALSE))</f>
        <v>14.290000000000001</v>
      </c>
      <c r="K21" s="108"/>
      <c r="L21" s="108"/>
      <c r="M21" s="108"/>
      <c r="N21" s="108"/>
      <c r="O21" s="108"/>
      <c r="P21" s="108"/>
      <c r="Q21" s="108"/>
      <c r="R21" s="108"/>
      <c r="S21" s="108"/>
      <c r="T21" s="108"/>
      <c r="V21" s="60"/>
      <c r="W21" s="60"/>
      <c r="X21" s="60"/>
      <c r="Y21" s="60"/>
      <c r="Z21" s="60"/>
      <c r="AA21" s="60"/>
      <c r="AB21" s="60"/>
      <c r="AC21" s="60"/>
    </row>
    <row r="22" spans="2:32" ht="15" customHeight="1" x14ac:dyDescent="0.5">
      <c r="B22" s="1162" t="s">
        <v>2715</v>
      </c>
      <c r="C22" s="1163" t="s">
        <v>2716</v>
      </c>
      <c r="D22" s="1163" t="s">
        <v>2918</v>
      </c>
      <c r="E22" s="1164"/>
      <c r="F22" s="1165">
        <v>29368</v>
      </c>
      <c r="G22" s="1166" t="s">
        <v>2695</v>
      </c>
      <c r="H22" s="1167">
        <v>14.6</v>
      </c>
      <c r="I22" s="1168">
        <f>IF(DAY($F22)&gt;15, VLOOKUP(EOMONTH($F22,-1),'WP 3.1 Rate Case Regress.'!$C$5:$D$556,2,FALSE), VLOOKUP(EOMONTH($F22, -2), 'WP 3.1 Rate Case Regress.'!$C$5:$D$556, 2, FALSE))</f>
        <v>14.290000000000001</v>
      </c>
      <c r="K22" s="108"/>
      <c r="L22" s="108"/>
      <c r="M22" s="108"/>
      <c r="N22" s="108"/>
      <c r="O22" s="108"/>
      <c r="P22" s="108"/>
      <c r="Q22" s="108"/>
      <c r="R22" s="108"/>
      <c r="S22" s="108"/>
      <c r="T22" s="108"/>
      <c r="V22" s="60"/>
      <c r="W22" s="60"/>
      <c r="X22" s="60"/>
      <c r="Y22" s="60"/>
      <c r="Z22" s="60"/>
      <c r="AA22" s="60"/>
      <c r="AB22" s="60"/>
      <c r="AC22" s="60"/>
    </row>
    <row r="23" spans="2:32" ht="15" customHeight="1" x14ac:dyDescent="0.5">
      <c r="B23" s="1162" t="s">
        <v>2717</v>
      </c>
      <c r="C23" s="1163" t="s">
        <v>2627</v>
      </c>
      <c r="D23" s="1163" t="s">
        <v>2919</v>
      </c>
      <c r="E23" s="1164"/>
      <c r="F23" s="1165">
        <v>29370</v>
      </c>
      <c r="G23" s="1166" t="s">
        <v>2695</v>
      </c>
      <c r="H23" s="1167">
        <v>16</v>
      </c>
      <c r="I23" s="1168">
        <f>IF(DAY($F23)&gt;15, VLOOKUP(EOMONTH($F23,-1),'WP 3.1 Rate Case Regress.'!$C$5:$D$556,2,FALSE), VLOOKUP(EOMONTH($F23, -2), 'WP 3.1 Rate Case Regress.'!$C$5:$D$556, 2, FALSE))</f>
        <v>14.290000000000001</v>
      </c>
      <c r="K23" s="108"/>
      <c r="L23" s="108"/>
      <c r="M23" s="108"/>
      <c r="N23" s="108"/>
      <c r="O23" s="108"/>
      <c r="P23" s="108"/>
      <c r="Q23" s="108"/>
      <c r="R23" s="108"/>
      <c r="S23" s="108"/>
      <c r="T23" s="108"/>
    </row>
    <row r="24" spans="2:32" ht="15" customHeight="1" x14ac:dyDescent="0.5">
      <c r="B24" s="1162" t="s">
        <v>2698</v>
      </c>
      <c r="C24" s="1163" t="s">
        <v>2722</v>
      </c>
      <c r="D24" s="1163" t="s">
        <v>2920</v>
      </c>
      <c r="E24" s="1164"/>
      <c r="F24" s="1165">
        <v>29382</v>
      </c>
      <c r="G24" s="1166" t="s">
        <v>2695</v>
      </c>
      <c r="H24" s="1167">
        <v>13.78</v>
      </c>
      <c r="I24" s="1168">
        <f>IF(DAY($F24)&gt;15, VLOOKUP(EOMONTH($F24,-1),'WP 3.1 Rate Case Regress.'!$C$5:$D$556,2,FALSE), VLOOKUP(EOMONTH($F24, -2), 'WP 3.1 Rate Case Regress.'!$C$5:$D$556, 2, FALSE))</f>
        <v>14.290000000000001</v>
      </c>
      <c r="K24" s="108"/>
      <c r="L24" s="108"/>
      <c r="M24" s="108"/>
      <c r="N24" s="108"/>
      <c r="O24" s="108"/>
      <c r="P24" s="108"/>
      <c r="Q24" s="108"/>
      <c r="R24" s="108"/>
      <c r="S24" s="108"/>
      <c r="T24" s="108"/>
    </row>
    <row r="25" spans="2:32" ht="15" customHeight="1" x14ac:dyDescent="0.5">
      <c r="B25" s="1162" t="s">
        <v>2723</v>
      </c>
      <c r="C25" s="1163" t="s">
        <v>2921</v>
      </c>
      <c r="D25" s="1163" t="s">
        <v>2922</v>
      </c>
      <c r="E25" s="1164"/>
      <c r="F25" s="1165">
        <v>29397</v>
      </c>
      <c r="G25" s="1166" t="s">
        <v>2695</v>
      </c>
      <c r="H25" s="1167">
        <v>14.25</v>
      </c>
      <c r="I25" s="1168">
        <f>IF(DAY($F25)&gt;15, VLOOKUP(EOMONTH($F25,-1),'WP 3.1 Rate Case Regress.'!$C$5:$D$556,2,FALSE), VLOOKUP(EOMONTH($F25, -2), 'WP 3.1 Rate Case Regress.'!$C$5:$D$556, 2, FALSE))</f>
        <v>12.736000000000001</v>
      </c>
      <c r="K25" s="108"/>
      <c r="L25" s="108"/>
      <c r="M25" s="108"/>
      <c r="N25" s="108"/>
      <c r="O25" s="108"/>
      <c r="P25" s="108"/>
      <c r="Q25" s="108"/>
      <c r="R25" s="108"/>
      <c r="S25" s="108"/>
      <c r="T25" s="108"/>
    </row>
    <row r="26" spans="2:32" ht="15" customHeight="1" x14ac:dyDescent="0.5">
      <c r="B26" s="1162" t="s">
        <v>2710</v>
      </c>
      <c r="C26" s="1163" t="s">
        <v>2923</v>
      </c>
      <c r="D26" s="1163" t="s">
        <v>2924</v>
      </c>
      <c r="E26" s="1164"/>
      <c r="F26" s="1165">
        <v>29411</v>
      </c>
      <c r="G26" s="1166" t="s">
        <v>2695</v>
      </c>
      <c r="H26" s="1167">
        <v>14.51</v>
      </c>
      <c r="I26" s="1168">
        <f>IF(DAY($F26)&gt;15, VLOOKUP(EOMONTH($F26,-1),'WP 3.1 Rate Case Regress.'!$C$5:$D$556,2,FALSE), VLOOKUP(EOMONTH($F26, -2), 'WP 3.1 Rate Case Regress.'!$C$5:$D$556, 2, FALSE))</f>
        <v>12.736000000000001</v>
      </c>
      <c r="K26" s="108"/>
      <c r="L26" s="108"/>
      <c r="M26" s="108"/>
      <c r="N26" s="108"/>
      <c r="O26" s="108"/>
      <c r="P26" s="108"/>
      <c r="Q26" s="108"/>
      <c r="R26" s="108"/>
      <c r="S26" s="108"/>
      <c r="T26" s="108"/>
    </row>
    <row r="27" spans="2:32" ht="15" customHeight="1" x14ac:dyDescent="0.5">
      <c r="B27" s="1162" t="s">
        <v>2724</v>
      </c>
      <c r="C27" s="1163" t="s">
        <v>2925</v>
      </c>
      <c r="D27" s="1163" t="s">
        <v>2926</v>
      </c>
      <c r="E27" s="1164"/>
      <c r="F27" s="1165">
        <v>29419</v>
      </c>
      <c r="G27" s="1166" t="s">
        <v>2695</v>
      </c>
      <c r="H27" s="1167">
        <v>12.9</v>
      </c>
      <c r="I27" s="1168">
        <f>IF(DAY($F27)&gt;15, VLOOKUP(EOMONTH($F27,-1),'WP 3.1 Rate Case Regress.'!$C$5:$D$556,2,FALSE), VLOOKUP(EOMONTH($F27, -2), 'WP 3.1 Rate Case Regress.'!$C$5:$D$556, 2, FALSE))</f>
        <v>12.397500000000001</v>
      </c>
      <c r="K27" s="108"/>
      <c r="L27" s="108"/>
      <c r="M27" s="108"/>
      <c r="N27" s="108"/>
      <c r="O27" s="108"/>
      <c r="P27" s="108"/>
      <c r="Q27" s="108"/>
      <c r="R27" s="108"/>
      <c r="S27" s="108"/>
      <c r="T27" s="108"/>
    </row>
    <row r="28" spans="2:32" ht="15" customHeight="1" x14ac:dyDescent="0.5">
      <c r="B28" s="1162" t="s">
        <v>2704</v>
      </c>
      <c r="C28" s="1163" t="s">
        <v>2927</v>
      </c>
      <c r="D28" s="1163" t="s">
        <v>2928</v>
      </c>
      <c r="E28" s="1164"/>
      <c r="F28" s="1165">
        <v>29420</v>
      </c>
      <c r="G28" s="1166" t="s">
        <v>2695</v>
      </c>
      <c r="H28" s="1167">
        <v>13.8</v>
      </c>
      <c r="I28" s="1168">
        <f>IF(DAY($F28)&gt;15, VLOOKUP(EOMONTH($F28,-1),'WP 3.1 Rate Case Regress.'!$C$5:$D$556,2,FALSE), VLOOKUP(EOMONTH($F28, -2), 'WP 3.1 Rate Case Regress.'!$C$5:$D$556, 2, FALSE))</f>
        <v>12.397500000000001</v>
      </c>
      <c r="K28" s="108"/>
      <c r="L28" s="108"/>
      <c r="M28" s="108"/>
      <c r="N28" s="108"/>
      <c r="O28" s="108"/>
      <c r="P28" s="108"/>
      <c r="Q28" s="108"/>
      <c r="R28" s="108"/>
      <c r="S28" s="108"/>
      <c r="T28" s="108"/>
    </row>
    <row r="29" spans="2:32" ht="15" customHeight="1" x14ac:dyDescent="0.5">
      <c r="B29" s="1162" t="s">
        <v>2704</v>
      </c>
      <c r="C29" s="1163" t="s">
        <v>2725</v>
      </c>
      <c r="D29" s="1163" t="s">
        <v>2929</v>
      </c>
      <c r="E29" s="1164"/>
      <c r="F29" s="1165">
        <v>29424</v>
      </c>
      <c r="G29" s="1166" t="s">
        <v>2695</v>
      </c>
      <c r="H29" s="1167">
        <v>14.1</v>
      </c>
      <c r="I29" s="1168">
        <f>IF(DAY($F29)&gt;15, VLOOKUP(EOMONTH($F29,-1),'WP 3.1 Rate Case Regress.'!$C$5:$D$556,2,FALSE), VLOOKUP(EOMONTH($F29, -2), 'WP 3.1 Rate Case Regress.'!$C$5:$D$556, 2, FALSE))</f>
        <v>12.397500000000001</v>
      </c>
      <c r="K29" s="108"/>
      <c r="L29" s="108"/>
      <c r="M29" s="108"/>
      <c r="N29" s="108"/>
      <c r="O29" s="108"/>
      <c r="P29" s="108"/>
      <c r="Q29" s="108"/>
      <c r="R29" s="108"/>
      <c r="S29" s="108"/>
      <c r="T29" s="108"/>
      <c r="V29" s="60"/>
      <c r="W29" s="60"/>
      <c r="X29" s="60"/>
      <c r="Y29" s="60"/>
      <c r="Z29" s="60"/>
      <c r="AA29" s="60"/>
      <c r="AB29" s="60"/>
      <c r="AC29" s="60"/>
    </row>
    <row r="30" spans="2:32" ht="46.5" customHeight="1" x14ac:dyDescent="0.5">
      <c r="B30" s="1162" t="s">
        <v>2706</v>
      </c>
      <c r="C30" s="1163" t="s">
        <v>2906</v>
      </c>
      <c r="D30" s="1163" t="s">
        <v>2930</v>
      </c>
      <c r="E30" s="1164"/>
      <c r="F30" s="1165">
        <v>29425</v>
      </c>
      <c r="G30" s="1166" t="s">
        <v>2695</v>
      </c>
      <c r="H30" s="1167">
        <v>14.19</v>
      </c>
      <c r="I30" s="1168">
        <f>IF(DAY($F30)&gt;15, VLOOKUP(EOMONTH($F30,-1),'WP 3.1 Rate Case Regress.'!$C$5:$D$556,2,FALSE), VLOOKUP(EOMONTH($F30, -2), 'WP 3.1 Rate Case Regress.'!$C$5:$D$556, 2, FALSE))</f>
        <v>12.397500000000001</v>
      </c>
      <c r="K30" s="108"/>
      <c r="L30" s="108"/>
      <c r="M30" s="108"/>
      <c r="N30" s="108"/>
      <c r="O30" s="108"/>
      <c r="P30" s="108"/>
      <c r="Q30" s="108"/>
      <c r="R30" s="108"/>
      <c r="S30" s="108"/>
      <c r="T30" s="108"/>
      <c r="V30" s="60"/>
      <c r="W30" s="60"/>
      <c r="X30" s="60"/>
      <c r="Y30" s="60"/>
      <c r="Z30" s="60"/>
      <c r="AA30" s="60"/>
      <c r="AB30" s="60"/>
      <c r="AC30" s="60"/>
    </row>
    <row r="31" spans="2:32" ht="15" customHeight="1" x14ac:dyDescent="0.5">
      <c r="B31" s="1162" t="s">
        <v>2708</v>
      </c>
      <c r="C31" s="1163" t="s">
        <v>2709</v>
      </c>
      <c r="D31" s="1163" t="s">
        <v>2931</v>
      </c>
      <c r="E31" s="1164"/>
      <c r="F31" s="1165">
        <v>29434</v>
      </c>
      <c r="G31" s="1166" t="s">
        <v>2695</v>
      </c>
      <c r="H31" s="1167">
        <v>12.5</v>
      </c>
      <c r="I31" s="1168">
        <f>IF(DAY($F31)&gt;15, VLOOKUP(EOMONTH($F31,-1),'WP 3.1 Rate Case Regress.'!$C$5:$D$556,2,FALSE), VLOOKUP(EOMONTH($F31, -2), 'WP 3.1 Rate Case Regress.'!$C$5:$D$556, 2, FALSE))</f>
        <v>12.397500000000001</v>
      </c>
      <c r="K31" s="108"/>
      <c r="L31" s="108"/>
      <c r="M31" s="108"/>
      <c r="N31" s="108"/>
      <c r="O31" s="108"/>
      <c r="P31" s="108"/>
      <c r="Q31" s="108"/>
      <c r="R31" s="108"/>
      <c r="S31" s="108"/>
      <c r="T31" s="108"/>
      <c r="V31" s="60"/>
      <c r="W31" s="60"/>
      <c r="X31" s="60"/>
      <c r="Y31" s="60"/>
      <c r="Z31" s="60"/>
      <c r="AA31" s="60"/>
      <c r="AB31" s="60"/>
      <c r="AC31" s="60"/>
    </row>
    <row r="32" spans="2:32" ht="50.5" customHeight="1" x14ac:dyDescent="0.5">
      <c r="B32" s="1162" t="s">
        <v>2726</v>
      </c>
      <c r="C32" s="1163" t="s">
        <v>2727</v>
      </c>
      <c r="D32" s="1163" t="s">
        <v>2932</v>
      </c>
      <c r="E32" s="1164"/>
      <c r="F32" s="1165">
        <v>29444</v>
      </c>
      <c r="G32" s="1166" t="s">
        <v>2695</v>
      </c>
      <c r="H32" s="1167">
        <v>14.85</v>
      </c>
      <c r="I32" s="1168">
        <f>IF(DAY($F32)&gt;15, VLOOKUP(EOMONTH($F32,-1),'WP 3.1 Rate Case Regress.'!$C$5:$D$556,2,FALSE), VLOOKUP(EOMONTH($F32, -2), 'WP 3.1 Rate Case Regress.'!$C$5:$D$556, 2, FALSE))</f>
        <v>12.397500000000001</v>
      </c>
      <c r="K32" s="108"/>
      <c r="L32" s="108"/>
      <c r="M32" s="108"/>
      <c r="N32" s="108"/>
      <c r="O32" s="108"/>
      <c r="P32" s="108"/>
      <c r="Q32" s="108"/>
      <c r="R32" s="108"/>
      <c r="S32" s="108"/>
      <c r="T32" s="108"/>
      <c r="V32" s="115" t="s">
        <v>2718</v>
      </c>
      <c r="W32" s="59"/>
      <c r="X32" s="115" t="s">
        <v>2719</v>
      </c>
      <c r="Y32" s="59"/>
      <c r="Z32" s="123" t="s">
        <v>4734</v>
      </c>
      <c r="AA32" s="59"/>
      <c r="AB32" s="123" t="s">
        <v>4493</v>
      </c>
      <c r="AC32" s="60"/>
      <c r="AF32" s="457"/>
    </row>
    <row r="33" spans="2:32" ht="15" customHeight="1" x14ac:dyDescent="0.5">
      <c r="B33" s="1162" t="s">
        <v>2696</v>
      </c>
      <c r="C33" s="1163" t="s">
        <v>3177</v>
      </c>
      <c r="D33" s="1163" t="s">
        <v>4735</v>
      </c>
      <c r="E33" s="1164"/>
      <c r="F33" s="1165">
        <v>29454</v>
      </c>
      <c r="G33" s="1166" t="s">
        <v>4585</v>
      </c>
      <c r="H33" s="1167">
        <v>13.03</v>
      </c>
      <c r="I33" s="1168">
        <f>IF(DAY($F33)&gt;15, VLOOKUP(EOMONTH($F33,-1),'WP 3.1 Rate Case Regress.'!$C$5:$D$556,2,FALSE), VLOOKUP(EOMONTH($F33, -2), 'WP 3.1 Rate Case Regress.'!$C$5:$D$556, 2, FALSE))</f>
        <v>12.1525</v>
      </c>
      <c r="K33" s="108"/>
      <c r="L33" s="108"/>
      <c r="M33" s="108"/>
      <c r="N33" s="108"/>
      <c r="O33" s="108"/>
      <c r="P33" s="108"/>
      <c r="Q33" s="108"/>
      <c r="R33" s="108"/>
      <c r="S33" s="108"/>
      <c r="T33" s="108"/>
      <c r="V33" s="59">
        <f>L18</f>
        <v>7.4432931193236529</v>
      </c>
      <c r="W33" s="460" t="s">
        <v>1090</v>
      </c>
      <c r="X33" s="59">
        <f>L19</f>
        <v>0.52020468276524612</v>
      </c>
      <c r="Y33" s="59"/>
      <c r="Z33" s="457">
        <f>AVERAGE('WP 3.1 Rate Case Regress.'!D4:D6)</f>
        <v>5.6733333333333329</v>
      </c>
      <c r="AA33" s="460" t="s">
        <v>1090</v>
      </c>
      <c r="AB33" s="457">
        <f>X33*Z33+V33</f>
        <v>10.394587686211816</v>
      </c>
      <c r="AC33" s="460" t="s">
        <v>1090</v>
      </c>
    </row>
    <row r="34" spans="2:32" ht="15" customHeight="1" x14ac:dyDescent="0.5">
      <c r="B34" s="1162" t="s">
        <v>2696</v>
      </c>
      <c r="C34" s="1163" t="s">
        <v>2910</v>
      </c>
      <c r="D34" s="1163" t="s">
        <v>2933</v>
      </c>
      <c r="E34" s="1164"/>
      <c r="F34" s="1165">
        <v>29461</v>
      </c>
      <c r="G34" s="1166" t="s">
        <v>2695</v>
      </c>
      <c r="H34" s="1167">
        <v>14</v>
      </c>
      <c r="I34" s="1168">
        <f>IF(DAY($F34)&gt;15, VLOOKUP(EOMONTH($F34,-1),'WP 3.1 Rate Case Regress.'!$C$5:$D$556,2,FALSE), VLOOKUP(EOMONTH($F34, -2), 'WP 3.1 Rate Case Regress.'!$C$5:$D$556, 2, FALSE))</f>
        <v>12.1525</v>
      </c>
      <c r="K34" s="108"/>
      <c r="L34" s="108"/>
      <c r="M34" s="108"/>
      <c r="N34" s="108"/>
      <c r="O34" s="108"/>
      <c r="P34" s="108"/>
      <c r="Q34" s="108"/>
      <c r="R34" s="108"/>
      <c r="S34" s="108"/>
      <c r="T34" s="108"/>
      <c r="V34" s="59"/>
      <c r="W34" s="460"/>
      <c r="X34" s="59"/>
      <c r="Y34" s="59"/>
      <c r="Z34" s="59"/>
      <c r="AA34" s="460"/>
      <c r="AB34" s="457"/>
      <c r="AC34" s="141"/>
    </row>
    <row r="35" spans="2:32" ht="15" customHeight="1" x14ac:dyDescent="0.5">
      <c r="B35" s="1162" t="s">
        <v>2696</v>
      </c>
      <c r="C35" s="1163" t="s">
        <v>3195</v>
      </c>
      <c r="D35" s="1163" t="s">
        <v>4736</v>
      </c>
      <c r="E35" s="1164"/>
      <c r="F35" s="1165">
        <v>29461</v>
      </c>
      <c r="G35" s="1166" t="s">
        <v>4585</v>
      </c>
      <c r="H35" s="1167">
        <v>13.61</v>
      </c>
      <c r="I35" s="1168">
        <f>IF(DAY($F35)&gt;15, VLOOKUP(EOMONTH($F35,-1),'WP 3.1 Rate Case Regress.'!$C$5:$D$556,2,FALSE), VLOOKUP(EOMONTH($F35, -2), 'WP 3.1 Rate Case Regress.'!$C$5:$D$556, 2, FALSE))</f>
        <v>12.1525</v>
      </c>
      <c r="K35" s="108"/>
      <c r="L35" s="108"/>
      <c r="M35" s="108"/>
      <c r="N35" s="108"/>
      <c r="O35" s="108"/>
      <c r="P35" s="108"/>
      <c r="Q35" s="108"/>
      <c r="R35" s="108"/>
      <c r="S35" s="108"/>
      <c r="T35" s="108"/>
      <c r="V35" s="60" t="s">
        <v>4737</v>
      </c>
      <c r="W35" s="60"/>
      <c r="X35" s="816">
        <f>CORREL(I4:I1338,H4:H1338)</f>
        <v>0.94651092879079624</v>
      </c>
      <c r="Y35" s="60"/>
      <c r="Z35" s="60"/>
      <c r="AA35" s="60"/>
      <c r="AB35" s="60"/>
      <c r="AC35" s="60"/>
      <c r="AF35" s="816"/>
    </row>
    <row r="36" spans="2:32" ht="15" customHeight="1" x14ac:dyDescent="0.5">
      <c r="B36" s="1162" t="s">
        <v>2704</v>
      </c>
      <c r="C36" s="1163" t="s">
        <v>2934</v>
      </c>
      <c r="D36" s="1163" t="s">
        <v>2935</v>
      </c>
      <c r="E36" s="1164"/>
      <c r="F36" s="1165">
        <v>29468</v>
      </c>
      <c r="G36" s="1166" t="s">
        <v>2695</v>
      </c>
      <c r="H36" s="1167">
        <v>14</v>
      </c>
      <c r="I36" s="1168">
        <f>IF(DAY($F36)&gt;15, VLOOKUP(EOMONTH($F36,-1),'WP 3.1 Rate Case Regress.'!$C$5:$D$556,2,FALSE), VLOOKUP(EOMONTH($F36, -2), 'WP 3.1 Rate Case Regress.'!$C$5:$D$556, 2, FALSE))</f>
        <v>12.1525</v>
      </c>
      <c r="K36" s="108"/>
      <c r="L36" s="108"/>
      <c r="M36" s="108"/>
      <c r="N36" s="108"/>
      <c r="O36" s="108"/>
      <c r="P36" s="108"/>
      <c r="Q36" s="108"/>
      <c r="R36" s="108"/>
      <c r="S36" s="108"/>
      <c r="T36" s="108"/>
      <c r="AF36" s="816"/>
    </row>
    <row r="37" spans="2:32" ht="15" customHeight="1" x14ac:dyDescent="0.5">
      <c r="B37" s="1162" t="s">
        <v>2728</v>
      </c>
      <c r="C37" s="1163" t="s">
        <v>2729</v>
      </c>
      <c r="D37" s="1163" t="s">
        <v>2936</v>
      </c>
      <c r="E37" s="1164"/>
      <c r="F37" s="1165">
        <v>29488</v>
      </c>
      <c r="G37" s="1166" t="s">
        <v>2695</v>
      </c>
      <c r="H37" s="1167">
        <v>15</v>
      </c>
      <c r="I37" s="1168">
        <f>IF(DAY($F37)&gt;15, VLOOKUP(EOMONTH($F37,-1),'WP 3.1 Rate Case Regress.'!$C$5:$D$556,2,FALSE), VLOOKUP(EOMONTH($F37, -2), 'WP 3.1 Rate Case Regress.'!$C$5:$D$556, 2, FALSE))</f>
        <v>12.66</v>
      </c>
      <c r="K37" s="108"/>
      <c r="L37" s="108"/>
      <c r="M37" s="108"/>
      <c r="N37" s="108"/>
      <c r="O37" s="108"/>
      <c r="P37" s="108"/>
      <c r="Q37" s="108"/>
      <c r="R37" s="108"/>
      <c r="S37" s="108"/>
      <c r="T37" s="108"/>
      <c r="V37" s="1118" t="s">
        <v>5121</v>
      </c>
      <c r="X37" s="1118">
        <f>COUNTA(F880:F918)</f>
        <v>39</v>
      </c>
      <c r="Z37" s="1118" t="s">
        <v>5122</v>
      </c>
      <c r="AA37" s="1151">
        <f>AVERAGE(H880:H918)</f>
        <v>10.146666666666667</v>
      </c>
      <c r="AB37" s="1118" t="s">
        <v>1090</v>
      </c>
    </row>
    <row r="38" spans="2:32" ht="15" customHeight="1" x14ac:dyDescent="0.5">
      <c r="B38" s="1162" t="s">
        <v>2723</v>
      </c>
      <c r="C38" s="1163" t="s">
        <v>2730</v>
      </c>
      <c r="D38" s="1163" t="s">
        <v>2937</v>
      </c>
      <c r="E38" s="1164"/>
      <c r="F38" s="1165">
        <v>29503</v>
      </c>
      <c r="G38" s="1166" t="s">
        <v>2695</v>
      </c>
      <c r="H38" s="1167">
        <v>14.5</v>
      </c>
      <c r="I38" s="1168">
        <f>IF(DAY($F38)&gt;15, VLOOKUP(EOMONTH($F38,-1),'WP 3.1 Rate Case Regress.'!$C$5:$D$556,2,FALSE), VLOOKUP(EOMONTH($F38, -2), 'WP 3.1 Rate Case Regress.'!$C$5:$D$556, 2, FALSE))</f>
        <v>12.66</v>
      </c>
      <c r="K38" s="108"/>
      <c r="L38" s="108"/>
      <c r="M38" s="108"/>
      <c r="N38" s="108"/>
      <c r="O38" s="108"/>
      <c r="P38" s="108"/>
      <c r="Q38" s="108"/>
      <c r="R38" s="108"/>
      <c r="S38" s="108"/>
      <c r="T38" s="108"/>
      <c r="W38" s="60"/>
      <c r="X38" s="60"/>
      <c r="Y38" s="60"/>
      <c r="Z38" s="60"/>
      <c r="AA38" s="60"/>
      <c r="AB38" s="60"/>
      <c r="AC38" s="60"/>
    </row>
    <row r="39" spans="2:32" ht="15" customHeight="1" x14ac:dyDescent="0.5">
      <c r="B39" s="1162" t="s">
        <v>2723</v>
      </c>
      <c r="C39" s="1163" t="s">
        <v>2730</v>
      </c>
      <c r="D39" s="1163" t="s">
        <v>2938</v>
      </c>
      <c r="E39" s="1164"/>
      <c r="F39" s="1165">
        <v>29503</v>
      </c>
      <c r="G39" s="1166" t="s">
        <v>2695</v>
      </c>
      <c r="H39" s="1167">
        <v>14.5</v>
      </c>
      <c r="I39" s="1168">
        <f>IF(DAY($F39)&gt;15, VLOOKUP(EOMONTH($F39,-1),'WP 3.1 Rate Case Regress.'!$C$5:$D$556,2,FALSE), VLOOKUP(EOMONTH($F39, -2), 'WP 3.1 Rate Case Regress.'!$C$5:$D$556, 2, FALSE))</f>
        <v>12.66</v>
      </c>
      <c r="K39" s="108"/>
      <c r="L39" s="108"/>
      <c r="M39" s="108"/>
      <c r="N39" s="108"/>
      <c r="O39" s="108"/>
      <c r="P39" s="108"/>
      <c r="Q39" s="108"/>
      <c r="R39" s="108"/>
      <c r="S39" s="108"/>
      <c r="T39" s="108"/>
      <c r="V39" s="60" t="s">
        <v>17</v>
      </c>
      <c r="W39" s="60"/>
      <c r="X39" s="60"/>
      <c r="Y39" s="60"/>
      <c r="Z39" s="60"/>
      <c r="AA39" s="60"/>
      <c r="AB39" s="60"/>
      <c r="AC39" s="60"/>
    </row>
    <row r="40" spans="2:32" ht="15" customHeight="1" x14ac:dyDescent="0.5">
      <c r="B40" s="1162" t="s">
        <v>2696</v>
      </c>
      <c r="C40" s="1163" t="s">
        <v>3146</v>
      </c>
      <c r="D40" s="1163" t="s">
        <v>4739</v>
      </c>
      <c r="E40" s="1164"/>
      <c r="F40" s="1165">
        <v>29518</v>
      </c>
      <c r="G40" s="1166" t="s">
        <v>4585</v>
      </c>
      <c r="H40" s="1167">
        <v>14</v>
      </c>
      <c r="I40" s="1168">
        <f>IF(DAY($F40)&gt;15, VLOOKUP(EOMONTH($F40,-1),'WP 3.1 Rate Case Regress.'!$C$5:$D$556,2,FALSE), VLOOKUP(EOMONTH($F40, -2), 'WP 3.1 Rate Case Regress.'!$C$5:$D$556, 2, FALSE))</f>
        <v>13.2925</v>
      </c>
      <c r="K40" s="108"/>
      <c r="L40" s="108"/>
      <c r="M40" s="108"/>
      <c r="N40" s="108"/>
      <c r="O40" s="108"/>
      <c r="P40" s="108"/>
      <c r="Q40" s="108"/>
      <c r="R40" s="108"/>
      <c r="S40" s="108"/>
      <c r="T40" s="108"/>
      <c r="V40" s="60" t="s">
        <v>7119</v>
      </c>
    </row>
    <row r="41" spans="2:32" ht="15" customHeight="1" x14ac:dyDescent="0.5">
      <c r="B41" s="1162" t="s">
        <v>2731</v>
      </c>
      <c r="C41" s="1163" t="s">
        <v>2939</v>
      </c>
      <c r="D41" s="1163" t="s">
        <v>2940</v>
      </c>
      <c r="E41" s="1164"/>
      <c r="F41" s="1165">
        <v>29521</v>
      </c>
      <c r="G41" s="1166" t="s">
        <v>2695</v>
      </c>
      <c r="H41" s="1167">
        <v>15.2</v>
      </c>
      <c r="I41" s="1168">
        <f>IF(DAY($F41)&gt;15, VLOOKUP(EOMONTH($F41,-1),'WP 3.1 Rate Case Regress.'!$C$5:$D$556,2,FALSE), VLOOKUP(EOMONTH($F41, -2), 'WP 3.1 Rate Case Regress.'!$C$5:$D$556, 2, FALSE))</f>
        <v>13.2925</v>
      </c>
      <c r="K41" s="108"/>
      <c r="L41" s="108"/>
      <c r="M41" s="108"/>
      <c r="N41" s="108"/>
      <c r="O41" s="108"/>
      <c r="P41" s="108"/>
      <c r="Q41" s="108"/>
      <c r="R41" s="108"/>
      <c r="S41" s="108"/>
      <c r="T41" s="108"/>
    </row>
    <row r="42" spans="2:32" ht="15" customHeight="1" x14ac:dyDescent="0.5">
      <c r="B42" s="1162" t="s">
        <v>2731</v>
      </c>
      <c r="C42" s="1163" t="s">
        <v>2939</v>
      </c>
      <c r="D42" s="1163" t="s">
        <v>2941</v>
      </c>
      <c r="E42" s="1164"/>
      <c r="F42" s="1165">
        <v>29521</v>
      </c>
      <c r="G42" s="1166" t="s">
        <v>2695</v>
      </c>
      <c r="H42" s="1167">
        <v>15.2</v>
      </c>
      <c r="I42" s="1168">
        <f>IF(DAY($F42)&gt;15, VLOOKUP(EOMONTH($F42,-1),'WP 3.1 Rate Case Regress.'!$C$5:$D$556,2,FALSE), VLOOKUP(EOMONTH($F42, -2), 'WP 3.1 Rate Case Regress.'!$C$5:$D$556, 2, FALSE))</f>
        <v>13.2925</v>
      </c>
      <c r="K42" s="108"/>
      <c r="L42" s="108"/>
      <c r="M42" s="108"/>
      <c r="N42" s="108"/>
      <c r="O42" s="108"/>
      <c r="P42" s="108"/>
      <c r="Q42" s="108"/>
      <c r="R42" s="108"/>
      <c r="S42" s="108"/>
      <c r="T42" s="108"/>
      <c r="V42" s="60" t="s">
        <v>4738</v>
      </c>
    </row>
    <row r="43" spans="2:32" ht="15" customHeight="1" x14ac:dyDescent="0.5">
      <c r="B43" s="1162" t="s">
        <v>2724</v>
      </c>
      <c r="C43" s="1163" t="s">
        <v>2942</v>
      </c>
      <c r="D43" s="1163" t="s">
        <v>2943</v>
      </c>
      <c r="E43" s="1164"/>
      <c r="F43" s="1165">
        <v>29522</v>
      </c>
      <c r="G43" s="1166" t="s">
        <v>2695</v>
      </c>
      <c r="H43" s="1167">
        <v>13</v>
      </c>
      <c r="I43" s="1168">
        <f>IF(DAY($F43)&gt;15, VLOOKUP(EOMONTH($F43,-1),'WP 3.1 Rate Case Regress.'!$C$5:$D$556,2,FALSE), VLOOKUP(EOMONTH($F43, -2), 'WP 3.1 Rate Case Regress.'!$C$5:$D$556, 2, FALSE))</f>
        <v>13.2925</v>
      </c>
      <c r="K43" s="108"/>
      <c r="L43" s="108"/>
      <c r="M43" s="108"/>
      <c r="N43" s="108"/>
      <c r="O43" s="108"/>
      <c r="P43" s="108"/>
      <c r="Q43" s="108"/>
      <c r="R43" s="108"/>
      <c r="S43" s="108"/>
      <c r="T43" s="108"/>
      <c r="V43" s="60"/>
      <c r="W43" s="60"/>
      <c r="X43" s="60"/>
      <c r="Y43" s="60"/>
      <c r="Z43" s="60"/>
      <c r="AA43" s="60"/>
      <c r="AB43" s="60"/>
      <c r="AC43" s="60"/>
    </row>
    <row r="44" spans="2:32" ht="15" customHeight="1" x14ac:dyDescent="0.5">
      <c r="B44" s="1162" t="s">
        <v>2732</v>
      </c>
      <c r="C44" s="1163" t="s">
        <v>2944</v>
      </c>
      <c r="D44" s="1163" t="s">
        <v>2945</v>
      </c>
      <c r="E44" s="1164"/>
      <c r="F44" s="1165">
        <v>29522</v>
      </c>
      <c r="G44" s="1166" t="s">
        <v>2695</v>
      </c>
      <c r="H44" s="1167">
        <v>12</v>
      </c>
      <c r="I44" s="1168">
        <f>IF(DAY($F44)&gt;15, VLOOKUP(EOMONTH($F44,-1),'WP 3.1 Rate Case Regress.'!$C$5:$D$556,2,FALSE), VLOOKUP(EOMONTH($F44, -2), 'WP 3.1 Rate Case Regress.'!$C$5:$D$556, 2, FALSE))</f>
        <v>13.2925</v>
      </c>
      <c r="K44" s="108"/>
      <c r="L44" s="108"/>
      <c r="M44" s="108"/>
      <c r="N44" s="108"/>
      <c r="O44" s="108"/>
      <c r="P44" s="108"/>
      <c r="Q44" s="108"/>
      <c r="R44" s="108"/>
      <c r="S44" s="108"/>
      <c r="T44" s="108"/>
      <c r="V44" s="60"/>
      <c r="W44" s="60"/>
      <c r="X44" s="60"/>
      <c r="Y44" s="60"/>
      <c r="Z44" s="60"/>
      <c r="AA44" s="60"/>
      <c r="AB44" s="60"/>
      <c r="AC44" s="60"/>
    </row>
    <row r="45" spans="2:32" ht="15" customHeight="1" x14ac:dyDescent="0.5">
      <c r="B45" s="1162" t="s">
        <v>2726</v>
      </c>
      <c r="C45" s="1163" t="s">
        <v>2946</v>
      </c>
      <c r="D45" s="1163" t="s">
        <v>2947</v>
      </c>
      <c r="E45" s="1164"/>
      <c r="F45" s="1165">
        <v>29525</v>
      </c>
      <c r="G45" s="1166" t="s">
        <v>2695</v>
      </c>
      <c r="H45" s="1167">
        <v>14.5</v>
      </c>
      <c r="I45" s="1168">
        <f>IF(DAY($F45)&gt;15, VLOOKUP(EOMONTH($F45,-1),'WP 3.1 Rate Case Regress.'!$C$5:$D$556,2,FALSE), VLOOKUP(EOMONTH($F45, -2), 'WP 3.1 Rate Case Regress.'!$C$5:$D$556, 2, FALSE))</f>
        <v>13.2925</v>
      </c>
      <c r="K45" s="108"/>
      <c r="L45" s="108"/>
      <c r="M45" s="108"/>
      <c r="N45" s="108"/>
      <c r="O45" s="108"/>
      <c r="P45" s="108"/>
      <c r="Q45" s="108"/>
      <c r="R45" s="108"/>
      <c r="S45" s="108"/>
      <c r="T45" s="108"/>
      <c r="V45" s="60"/>
      <c r="W45" s="60"/>
      <c r="X45" s="60"/>
      <c r="Y45" s="60"/>
      <c r="Z45" s="60"/>
      <c r="AA45" s="60"/>
      <c r="AB45" s="60"/>
      <c r="AC45" s="60"/>
    </row>
    <row r="46" spans="2:32" ht="15" customHeight="1" x14ac:dyDescent="0.5">
      <c r="B46" s="1162" t="s">
        <v>2731</v>
      </c>
      <c r="C46" s="1163" t="s">
        <v>2733</v>
      </c>
      <c r="D46" s="1163" t="s">
        <v>2948</v>
      </c>
      <c r="E46" s="1164"/>
      <c r="F46" s="1165">
        <v>29529</v>
      </c>
      <c r="G46" s="1166" t="s">
        <v>2695</v>
      </c>
      <c r="H46" s="1167">
        <v>15</v>
      </c>
      <c r="I46" s="1168">
        <f>IF(DAY($F46)&gt;15, VLOOKUP(EOMONTH($F46,-1),'WP 3.1 Rate Case Regress.'!$C$5:$D$556,2,FALSE), VLOOKUP(EOMONTH($F46, -2), 'WP 3.1 Rate Case Regress.'!$C$5:$D$556, 2, FALSE))</f>
        <v>13.2925</v>
      </c>
      <c r="K46" s="1173"/>
      <c r="L46" s="108"/>
      <c r="M46" s="108"/>
      <c r="N46" s="108"/>
      <c r="O46" s="108"/>
      <c r="P46" s="108"/>
      <c r="Q46" s="108"/>
      <c r="R46" s="108"/>
      <c r="S46" s="108"/>
      <c r="T46" s="108"/>
      <c r="V46" s="60"/>
      <c r="W46" s="60"/>
      <c r="X46" s="60"/>
      <c r="Y46" s="60"/>
      <c r="Z46" s="60"/>
      <c r="AA46" s="60"/>
      <c r="AB46" s="60"/>
      <c r="AC46" s="60"/>
    </row>
    <row r="47" spans="2:32" ht="15" customHeight="1" x14ac:dyDescent="0.5">
      <c r="B47" s="1162" t="s">
        <v>2723</v>
      </c>
      <c r="C47" s="1163" t="s">
        <v>2949</v>
      </c>
      <c r="D47" s="1163" t="s">
        <v>2950</v>
      </c>
      <c r="E47" s="1164"/>
      <c r="F47" s="1165">
        <v>29531</v>
      </c>
      <c r="G47" s="1166" t="s">
        <v>2695</v>
      </c>
      <c r="H47" s="1167">
        <v>14.35</v>
      </c>
      <c r="I47" s="1168">
        <f>IF(DAY($F47)&gt;15, VLOOKUP(EOMONTH($F47,-1),'WP 3.1 Rate Case Regress.'!$C$5:$D$556,2,FALSE), VLOOKUP(EOMONTH($F47, -2), 'WP 3.1 Rate Case Regress.'!$C$5:$D$556, 2, FALSE))</f>
        <v>13.2925</v>
      </c>
      <c r="K47" s="108"/>
      <c r="L47" s="108"/>
      <c r="M47" s="108"/>
      <c r="N47" s="108"/>
      <c r="O47" s="108"/>
      <c r="P47" s="108"/>
      <c r="Q47" s="108"/>
      <c r="R47" s="108"/>
      <c r="S47" s="108"/>
      <c r="T47" s="108"/>
      <c r="V47" s="60"/>
      <c r="W47" s="60"/>
      <c r="X47" s="60"/>
      <c r="Y47" s="60"/>
      <c r="Z47" s="60"/>
      <c r="AA47" s="60"/>
      <c r="AB47" s="60"/>
      <c r="AC47" s="60"/>
    </row>
    <row r="48" spans="2:32" ht="15" customHeight="1" x14ac:dyDescent="0.5">
      <c r="B48" s="1162" t="s">
        <v>2734</v>
      </c>
      <c r="C48" s="1163" t="s">
        <v>2895</v>
      </c>
      <c r="D48" s="1163" t="s">
        <v>2951</v>
      </c>
      <c r="E48" s="1164"/>
      <c r="F48" s="1165">
        <v>29535</v>
      </c>
      <c r="G48" s="1166" t="s">
        <v>2695</v>
      </c>
      <c r="H48" s="1167">
        <v>13.25</v>
      </c>
      <c r="I48" s="1168">
        <f>IF(DAY($F48)&gt;15, VLOOKUP(EOMONTH($F48,-1),'WP 3.1 Rate Case Regress.'!$C$5:$D$556,2,FALSE), VLOOKUP(EOMONTH($F48, -2), 'WP 3.1 Rate Case Regress.'!$C$5:$D$556, 2, FALSE))</f>
        <v>13.2925</v>
      </c>
      <c r="K48" s="108"/>
      <c r="L48" s="108"/>
      <c r="M48" s="108"/>
      <c r="N48" s="108"/>
      <c r="O48" s="108"/>
      <c r="P48" s="108"/>
      <c r="Q48" s="108"/>
      <c r="R48" s="108"/>
      <c r="S48" s="108"/>
      <c r="T48" s="108"/>
      <c r="V48" s="60"/>
      <c r="W48" s="60"/>
      <c r="X48" s="60"/>
      <c r="Y48" s="60"/>
      <c r="Z48" s="60"/>
      <c r="AA48" s="60"/>
      <c r="AB48" s="60"/>
      <c r="AC48" s="60"/>
    </row>
    <row r="49" spans="2:29" ht="15" customHeight="1" x14ac:dyDescent="0.5">
      <c r="B49" s="1162" t="s">
        <v>2732</v>
      </c>
      <c r="C49" s="1163" t="s">
        <v>2735</v>
      </c>
      <c r="D49" s="1163" t="s">
        <v>2952</v>
      </c>
      <c r="E49" s="1164"/>
      <c r="F49" s="1165">
        <v>29542</v>
      </c>
      <c r="G49" s="1166" t="s">
        <v>2695</v>
      </c>
      <c r="H49" s="1167">
        <v>15.5</v>
      </c>
      <c r="I49" s="1168">
        <f>IF(DAY($F49)&gt;15, VLOOKUP(EOMONTH($F49,-1),'WP 3.1 Rate Case Regress.'!$C$5:$D$556,2,FALSE), VLOOKUP(EOMONTH($F49, -2), 'WP 3.1 Rate Case Regress.'!$C$5:$D$556, 2, FALSE))</f>
        <v>13.536</v>
      </c>
      <c r="K49" s="108"/>
      <c r="L49" s="108"/>
      <c r="M49" s="108"/>
      <c r="N49" s="108"/>
      <c r="O49" s="108"/>
      <c r="P49" s="108"/>
      <c r="Q49" s="108"/>
      <c r="R49" s="108"/>
      <c r="S49" s="108"/>
      <c r="T49" s="108"/>
      <c r="V49" s="60"/>
      <c r="W49" s="60"/>
      <c r="X49" s="60"/>
      <c r="Y49" s="60"/>
      <c r="Z49" s="60"/>
      <c r="AA49" s="60"/>
      <c r="AB49" s="60"/>
      <c r="AC49" s="60"/>
    </row>
    <row r="50" spans="2:29" ht="15" customHeight="1" x14ac:dyDescent="0.5">
      <c r="B50" s="1162" t="s">
        <v>2736</v>
      </c>
      <c r="C50" s="1163" t="s">
        <v>2737</v>
      </c>
      <c r="D50" s="1163" t="s">
        <v>2953</v>
      </c>
      <c r="E50" s="1164"/>
      <c r="F50" s="1165">
        <v>29544</v>
      </c>
      <c r="G50" s="1166" t="s">
        <v>2695</v>
      </c>
      <c r="H50" s="1167">
        <v>13.5</v>
      </c>
      <c r="I50" s="1168">
        <f>IF(DAY($F50)&gt;15, VLOOKUP(EOMONTH($F50,-1),'WP 3.1 Rate Case Regress.'!$C$5:$D$556,2,FALSE), VLOOKUP(EOMONTH($F50, -2), 'WP 3.1 Rate Case Regress.'!$C$5:$D$556, 2, FALSE))</f>
        <v>13.536</v>
      </c>
      <c r="K50" s="108"/>
      <c r="L50" s="108"/>
      <c r="M50" s="108"/>
      <c r="N50" s="108"/>
      <c r="O50" s="108"/>
      <c r="P50" s="108"/>
      <c r="Q50" s="108"/>
      <c r="R50" s="108"/>
      <c r="S50" s="108"/>
      <c r="T50" s="108"/>
      <c r="V50" s="60"/>
      <c r="W50" s="60"/>
      <c r="X50" s="60"/>
      <c r="Y50" s="60"/>
      <c r="Z50" s="60"/>
      <c r="AA50" s="60"/>
      <c r="AB50" s="60"/>
      <c r="AC50" s="60"/>
    </row>
    <row r="51" spans="2:29" ht="15" customHeight="1" x14ac:dyDescent="0.5">
      <c r="B51" s="1162" t="s">
        <v>2738</v>
      </c>
      <c r="C51" s="1163" t="s">
        <v>2954</v>
      </c>
      <c r="D51" s="1163" t="s">
        <v>2955</v>
      </c>
      <c r="E51" s="1164"/>
      <c r="F51" s="1165">
        <v>29560</v>
      </c>
      <c r="G51" s="1166" t="s">
        <v>2695</v>
      </c>
      <c r="H51" s="1167">
        <v>14.6</v>
      </c>
      <c r="I51" s="1168">
        <f>IF(DAY($F51)&gt;15, VLOOKUP(EOMONTH($F51,-1),'WP 3.1 Rate Case Regress.'!$C$5:$D$556,2,FALSE), VLOOKUP(EOMONTH($F51, -2), 'WP 3.1 Rate Case Regress.'!$C$5:$D$556, 2, FALSE))</f>
        <v>13.536</v>
      </c>
      <c r="K51" s="108"/>
      <c r="L51" s="108"/>
      <c r="M51" s="108"/>
      <c r="N51" s="108"/>
      <c r="O51" s="108"/>
      <c r="P51" s="108"/>
      <c r="Q51" s="108"/>
      <c r="R51" s="108"/>
      <c r="S51" s="108"/>
      <c r="T51" s="108"/>
      <c r="V51" s="60"/>
      <c r="W51" s="60"/>
      <c r="X51" s="60"/>
      <c r="Y51" s="60"/>
      <c r="Z51" s="60"/>
      <c r="AA51" s="60"/>
      <c r="AB51" s="60"/>
      <c r="AC51" s="60"/>
    </row>
    <row r="52" spans="2:29" ht="15" customHeight="1" x14ac:dyDescent="0.5">
      <c r="B52" s="1162" t="s">
        <v>2739</v>
      </c>
      <c r="C52" s="1163" t="s">
        <v>2956</v>
      </c>
      <c r="D52" s="1163" t="s">
        <v>2957</v>
      </c>
      <c r="E52" s="1164"/>
      <c r="F52" s="1165">
        <v>29563</v>
      </c>
      <c r="G52" s="1166" t="s">
        <v>2695</v>
      </c>
      <c r="H52" s="1167">
        <v>16.399999999999999</v>
      </c>
      <c r="I52" s="1168">
        <f>IF(DAY($F52)&gt;15, VLOOKUP(EOMONTH($F52,-1),'WP 3.1 Rate Case Regress.'!$C$5:$D$556,2,FALSE), VLOOKUP(EOMONTH($F52, -2), 'WP 3.1 Rate Case Regress.'!$C$5:$D$556, 2, FALSE))</f>
        <v>13.536</v>
      </c>
      <c r="K52" s="108"/>
      <c r="L52" s="108"/>
      <c r="M52" s="108"/>
      <c r="N52" s="108"/>
      <c r="O52" s="108"/>
      <c r="P52" s="108"/>
      <c r="Q52" s="108"/>
      <c r="R52" s="108"/>
      <c r="S52" s="108"/>
      <c r="T52" s="108"/>
      <c r="V52" s="60"/>
      <c r="W52" s="60"/>
      <c r="X52" s="60"/>
      <c r="Y52" s="60"/>
      <c r="Z52" s="60"/>
      <c r="AA52" s="60"/>
      <c r="AB52" s="60"/>
      <c r="AC52" s="60"/>
    </row>
    <row r="53" spans="2:29" ht="15" customHeight="1" x14ac:dyDescent="0.5">
      <c r="B53" s="1162" t="s">
        <v>2715</v>
      </c>
      <c r="C53" s="1163" t="s">
        <v>2716</v>
      </c>
      <c r="D53" s="1163" t="s">
        <v>2958</v>
      </c>
      <c r="E53" s="1164"/>
      <c r="F53" s="1165">
        <v>29567</v>
      </c>
      <c r="G53" s="1166" t="s">
        <v>2695</v>
      </c>
      <c r="H53" s="1167">
        <v>15.45</v>
      </c>
      <c r="I53" s="1168">
        <f>IF(DAY($F53)&gt;15, VLOOKUP(EOMONTH($F53,-1),'WP 3.1 Rate Case Regress.'!$C$5:$D$556,2,FALSE), VLOOKUP(EOMONTH($F53, -2), 'WP 3.1 Rate Case Regress.'!$C$5:$D$556, 2, FALSE))</f>
        <v>13.536</v>
      </c>
      <c r="K53" s="108"/>
      <c r="L53" s="108"/>
      <c r="M53" s="108"/>
      <c r="N53" s="108"/>
      <c r="O53" s="108"/>
      <c r="P53" s="108"/>
      <c r="Q53" s="108"/>
      <c r="R53" s="108"/>
      <c r="S53" s="108"/>
      <c r="T53" s="108"/>
      <c r="V53" s="60"/>
      <c r="W53" s="60"/>
      <c r="X53" s="60"/>
      <c r="Y53" s="60"/>
      <c r="Z53" s="60"/>
      <c r="AA53" s="60"/>
      <c r="AB53" s="60"/>
      <c r="AC53" s="60"/>
    </row>
    <row r="54" spans="2:29" ht="15" customHeight="1" x14ac:dyDescent="0.5">
      <c r="B54" s="1162" t="s">
        <v>2693</v>
      </c>
      <c r="C54" s="1163" t="s">
        <v>2959</v>
      </c>
      <c r="D54" s="1163" t="s">
        <v>2960</v>
      </c>
      <c r="E54" s="1164"/>
      <c r="F54" s="1165">
        <v>29572</v>
      </c>
      <c r="G54" s="1166" t="s">
        <v>2695</v>
      </c>
      <c r="H54" s="1167">
        <v>14.4</v>
      </c>
      <c r="I54" s="1168">
        <f>IF(DAY($F54)&gt;15, VLOOKUP(EOMONTH($F54,-1),'WP 3.1 Rate Case Regress.'!$C$5:$D$556,2,FALSE), VLOOKUP(EOMONTH($F54, -2), 'WP 3.1 Rate Case Regress.'!$C$5:$D$556, 2, FALSE))</f>
        <v>14.012500000000001</v>
      </c>
      <c r="K54" s="108"/>
      <c r="L54" s="108"/>
      <c r="M54" s="108"/>
      <c r="N54" s="108"/>
      <c r="O54" s="108"/>
      <c r="P54" s="108"/>
      <c r="Q54" s="108"/>
      <c r="R54" s="108"/>
      <c r="S54" s="108"/>
      <c r="T54" s="108"/>
      <c r="V54" s="60"/>
      <c r="W54" s="60"/>
      <c r="X54" s="60"/>
      <c r="Y54" s="60"/>
      <c r="Z54" s="60"/>
      <c r="AA54" s="60"/>
      <c r="AB54" s="60"/>
      <c r="AC54" s="60"/>
    </row>
    <row r="55" spans="2:29" ht="15" customHeight="1" x14ac:dyDescent="0.5">
      <c r="B55" s="1162" t="s">
        <v>2693</v>
      </c>
      <c r="C55" s="1163" t="s">
        <v>2961</v>
      </c>
      <c r="D55" s="1163" t="s">
        <v>2962</v>
      </c>
      <c r="E55" s="1164"/>
      <c r="F55" s="1165">
        <v>29572</v>
      </c>
      <c r="G55" s="1166" t="s">
        <v>2695</v>
      </c>
      <c r="H55" s="1167">
        <v>14.2</v>
      </c>
      <c r="I55" s="1168">
        <f>IF(DAY($F55)&gt;15, VLOOKUP(EOMONTH($F55,-1),'WP 3.1 Rate Case Regress.'!$C$5:$D$556,2,FALSE), VLOOKUP(EOMONTH($F55, -2), 'WP 3.1 Rate Case Regress.'!$C$5:$D$556, 2, FALSE))</f>
        <v>14.012500000000001</v>
      </c>
      <c r="K55" s="108"/>
      <c r="L55" s="108"/>
      <c r="M55" s="108"/>
      <c r="N55" s="108"/>
      <c r="O55" s="108"/>
      <c r="P55" s="108"/>
      <c r="Q55" s="108"/>
      <c r="R55" s="108"/>
      <c r="S55" s="108"/>
      <c r="T55" s="108"/>
      <c r="V55" s="60"/>
      <c r="W55" s="60"/>
      <c r="X55" s="60"/>
      <c r="Y55" s="60"/>
      <c r="Z55" s="60"/>
      <c r="AA55" s="60"/>
      <c r="AB55" s="60"/>
      <c r="AC55" s="60"/>
    </row>
    <row r="56" spans="2:29" ht="15" customHeight="1" x14ac:dyDescent="0.5">
      <c r="B56" s="1162" t="s">
        <v>2702</v>
      </c>
      <c r="C56" s="1163" t="s">
        <v>2903</v>
      </c>
      <c r="D56" s="1163" t="s">
        <v>2963</v>
      </c>
      <c r="E56" s="1164"/>
      <c r="F56" s="1165">
        <v>29573</v>
      </c>
      <c r="G56" s="1166" t="s">
        <v>2695</v>
      </c>
      <c r="H56" s="1167">
        <v>14</v>
      </c>
      <c r="I56" s="1168">
        <f>IF(DAY($F56)&gt;15, VLOOKUP(EOMONTH($F56,-1),'WP 3.1 Rate Case Regress.'!$C$5:$D$556,2,FALSE), VLOOKUP(EOMONTH($F56, -2), 'WP 3.1 Rate Case Regress.'!$C$5:$D$556, 2, FALSE))</f>
        <v>14.012500000000001</v>
      </c>
      <c r="K56" s="108"/>
      <c r="L56" s="108"/>
      <c r="M56" s="108"/>
      <c r="N56" s="108"/>
      <c r="O56" s="108"/>
      <c r="P56" s="108"/>
      <c r="Q56" s="108"/>
      <c r="R56" s="108"/>
      <c r="S56" s="108"/>
      <c r="T56" s="108"/>
      <c r="V56" s="60"/>
      <c r="W56" s="60"/>
      <c r="X56" s="60"/>
      <c r="Y56" s="60"/>
      <c r="Z56" s="60"/>
      <c r="AA56" s="60"/>
      <c r="AB56" s="60"/>
      <c r="AC56" s="60"/>
    </row>
    <row r="57" spans="2:29" ht="15" customHeight="1" x14ac:dyDescent="0.5">
      <c r="B57" s="1162" t="s">
        <v>2740</v>
      </c>
      <c r="C57" s="1163" t="s">
        <v>2964</v>
      </c>
      <c r="D57" s="1163" t="s">
        <v>2965</v>
      </c>
      <c r="E57" s="1164"/>
      <c r="F57" s="1165">
        <v>29577</v>
      </c>
      <c r="G57" s="1166" t="s">
        <v>2695</v>
      </c>
      <c r="H57" s="1167">
        <v>13.45</v>
      </c>
      <c r="I57" s="1168">
        <f>IF(DAY($F57)&gt;15, VLOOKUP(EOMONTH($F57,-1),'WP 3.1 Rate Case Regress.'!$C$5:$D$556,2,FALSE), VLOOKUP(EOMONTH($F57, -2), 'WP 3.1 Rate Case Regress.'!$C$5:$D$556, 2, FALSE))</f>
        <v>14.012500000000001</v>
      </c>
      <c r="K57" s="108"/>
      <c r="L57" s="108"/>
      <c r="M57" s="108"/>
      <c r="N57" s="108"/>
      <c r="O57" s="108"/>
      <c r="P57" s="108"/>
      <c r="Q57" s="108"/>
      <c r="R57" s="108"/>
      <c r="S57" s="108"/>
      <c r="T57" s="108"/>
      <c r="V57" s="60"/>
      <c r="W57" s="60"/>
      <c r="X57" s="60"/>
      <c r="Y57" s="60"/>
      <c r="Z57" s="60"/>
      <c r="AA57" s="60"/>
      <c r="AB57" s="60"/>
      <c r="AC57" s="60"/>
    </row>
    <row r="58" spans="2:29" ht="15" customHeight="1" x14ac:dyDescent="0.5">
      <c r="B58" s="1162" t="s">
        <v>2704</v>
      </c>
      <c r="C58" s="1163" t="s">
        <v>2910</v>
      </c>
      <c r="D58" s="1163" t="s">
        <v>2966</v>
      </c>
      <c r="E58" s="1164"/>
      <c r="F58" s="1165">
        <v>29581</v>
      </c>
      <c r="G58" s="1166" t="s">
        <v>2695</v>
      </c>
      <c r="H58" s="1167">
        <v>14</v>
      </c>
      <c r="I58" s="1168">
        <f>IF(DAY($F58)&gt;15, VLOOKUP(EOMONTH($F58,-1),'WP 3.1 Rate Case Regress.'!$C$5:$D$556,2,FALSE), VLOOKUP(EOMONTH($F58, -2), 'WP 3.1 Rate Case Regress.'!$C$5:$D$556, 2, FALSE))</f>
        <v>14.012500000000001</v>
      </c>
      <c r="K58" s="108"/>
      <c r="L58" s="108"/>
      <c r="M58" s="108"/>
      <c r="N58" s="108"/>
      <c r="O58" s="108"/>
      <c r="P58" s="108"/>
      <c r="Q58" s="108"/>
      <c r="R58" s="108"/>
      <c r="S58" s="108"/>
      <c r="T58" s="108"/>
      <c r="V58" s="60"/>
      <c r="W58" s="60"/>
      <c r="X58" s="60"/>
      <c r="Y58" s="60"/>
      <c r="Z58" s="60"/>
      <c r="AA58" s="60"/>
      <c r="AB58" s="60"/>
      <c r="AC58" s="60"/>
    </row>
    <row r="59" spans="2:29" ht="15" customHeight="1" x14ac:dyDescent="0.5">
      <c r="B59" s="1162" t="s">
        <v>2738</v>
      </c>
      <c r="C59" s="1163" t="s">
        <v>2741</v>
      </c>
      <c r="D59" s="1163" t="s">
        <v>2967</v>
      </c>
      <c r="E59" s="1164"/>
      <c r="F59" s="1165">
        <v>29585</v>
      </c>
      <c r="G59" s="1166" t="s">
        <v>2695</v>
      </c>
      <c r="H59" s="1167">
        <v>14.5</v>
      </c>
      <c r="I59" s="1168">
        <f>IF(DAY($F59)&gt;15, VLOOKUP(EOMONTH($F59,-1),'WP 3.1 Rate Case Regress.'!$C$5:$D$556,2,FALSE), VLOOKUP(EOMONTH($F59, -2), 'WP 3.1 Rate Case Regress.'!$C$5:$D$556, 2, FALSE))</f>
        <v>14.012500000000001</v>
      </c>
      <c r="K59" s="108"/>
      <c r="L59" s="108"/>
      <c r="M59" s="108"/>
      <c r="N59" s="108"/>
      <c r="O59" s="108"/>
      <c r="P59" s="108"/>
      <c r="Q59" s="108"/>
      <c r="R59" s="108"/>
      <c r="S59" s="108"/>
      <c r="T59" s="108"/>
      <c r="V59" s="60"/>
      <c r="W59" s="60"/>
      <c r="X59" s="60"/>
      <c r="Y59" s="60"/>
      <c r="Z59" s="60"/>
      <c r="AA59" s="60"/>
      <c r="AB59" s="60"/>
      <c r="AC59" s="60"/>
    </row>
    <row r="60" spans="2:29" ht="15" customHeight="1" x14ac:dyDescent="0.5">
      <c r="B60" s="1162" t="s">
        <v>2698</v>
      </c>
      <c r="C60" s="1163" t="s">
        <v>2895</v>
      </c>
      <c r="D60" s="1163" t="s">
        <v>4740</v>
      </c>
      <c r="E60" s="1164"/>
      <c r="F60" s="1165">
        <v>29586</v>
      </c>
      <c r="G60" s="1166" t="s">
        <v>4585</v>
      </c>
      <c r="H60" s="1167">
        <v>14.56</v>
      </c>
      <c r="I60" s="1168">
        <f>IF(DAY($F60)&gt;15, VLOOKUP(EOMONTH($F60,-1),'WP 3.1 Rate Case Regress.'!$C$5:$D$556,2,FALSE), VLOOKUP(EOMONTH($F60, -2), 'WP 3.1 Rate Case Regress.'!$C$5:$D$556, 2, FALSE))</f>
        <v>14.012500000000001</v>
      </c>
      <c r="K60" s="108"/>
      <c r="L60" s="108"/>
      <c r="M60" s="108"/>
      <c r="N60" s="108"/>
      <c r="O60" s="108"/>
      <c r="P60" s="108"/>
      <c r="Q60" s="108"/>
      <c r="R60" s="108"/>
      <c r="S60" s="108"/>
      <c r="T60" s="108"/>
      <c r="V60" s="60"/>
      <c r="W60" s="60"/>
      <c r="X60" s="60"/>
      <c r="Y60" s="60"/>
      <c r="Z60" s="60"/>
      <c r="AA60" s="60"/>
      <c r="AB60" s="60"/>
      <c r="AC60" s="60"/>
    </row>
    <row r="61" spans="2:29" ht="15" customHeight="1" x14ac:dyDescent="0.5">
      <c r="B61" s="1162" t="s">
        <v>2693</v>
      </c>
      <c r="C61" s="1163" t="s">
        <v>2742</v>
      </c>
      <c r="D61" s="1163" t="s">
        <v>2968</v>
      </c>
      <c r="E61" s="1164"/>
      <c r="F61" s="1165">
        <v>29593</v>
      </c>
      <c r="G61" s="1166" t="s">
        <v>2695</v>
      </c>
      <c r="H61" s="1167">
        <v>14.3</v>
      </c>
      <c r="I61" s="1168">
        <f>IF(DAY($F61)&gt;15, VLOOKUP(EOMONTH($F61,-1),'WP 3.1 Rate Case Regress.'!$C$5:$D$556,2,FALSE), VLOOKUP(EOMONTH($F61, -2), 'WP 3.1 Rate Case Regress.'!$C$5:$D$556, 2, FALSE))</f>
        <v>14.012500000000001</v>
      </c>
      <c r="K61" s="108"/>
      <c r="L61" s="108"/>
      <c r="M61" s="108"/>
      <c r="N61" s="108"/>
      <c r="O61" s="108"/>
      <c r="P61" s="108"/>
      <c r="Q61" s="108"/>
      <c r="R61" s="108"/>
      <c r="S61" s="108"/>
      <c r="T61" s="108"/>
      <c r="V61" s="60"/>
      <c r="W61" s="60"/>
      <c r="X61" s="60"/>
      <c r="Y61" s="60"/>
      <c r="Z61" s="60"/>
      <c r="AA61" s="60"/>
      <c r="AB61" s="60"/>
      <c r="AC61" s="60"/>
    </row>
    <row r="62" spans="2:29" ht="15" customHeight="1" x14ac:dyDescent="0.5">
      <c r="B62" s="1162" t="s">
        <v>2743</v>
      </c>
      <c r="C62" s="1163" t="s">
        <v>2969</v>
      </c>
      <c r="D62" s="1163" t="s">
        <v>2970</v>
      </c>
      <c r="E62" s="1164"/>
      <c r="F62" s="1165">
        <v>29598</v>
      </c>
      <c r="G62" s="1166" t="s">
        <v>2695</v>
      </c>
      <c r="H62" s="1167">
        <v>14.95</v>
      </c>
      <c r="I62" s="1168">
        <f>IF(DAY($F62)&gt;15, VLOOKUP(EOMONTH($F62,-1),'WP 3.1 Rate Case Regress.'!$C$5:$D$556,2,FALSE), VLOOKUP(EOMONTH($F62, -2), 'WP 3.1 Rate Case Regress.'!$C$5:$D$556, 2, FALSE))</f>
        <v>14.012500000000001</v>
      </c>
      <c r="K62" s="108"/>
      <c r="L62" s="108"/>
      <c r="M62" s="108"/>
      <c r="N62" s="108"/>
      <c r="O62" s="108"/>
      <c r="P62" s="108"/>
      <c r="Q62" s="108"/>
      <c r="R62" s="108"/>
      <c r="S62" s="108"/>
      <c r="T62" s="108"/>
      <c r="V62" s="60"/>
      <c r="W62" s="60"/>
      <c r="X62" s="60"/>
      <c r="Y62" s="60"/>
      <c r="Z62" s="60"/>
      <c r="AA62" s="60"/>
      <c r="AB62" s="60"/>
      <c r="AC62" s="60"/>
    </row>
    <row r="63" spans="2:29" ht="15" customHeight="1" x14ac:dyDescent="0.5">
      <c r="B63" s="1162" t="s">
        <v>2736</v>
      </c>
      <c r="C63" s="1163" t="s">
        <v>2727</v>
      </c>
      <c r="D63" s="1163" t="s">
        <v>2971</v>
      </c>
      <c r="E63" s="1164"/>
      <c r="F63" s="1165">
        <v>29612</v>
      </c>
      <c r="G63" s="1166" t="s">
        <v>2695</v>
      </c>
      <c r="H63" s="1167">
        <v>15.25</v>
      </c>
      <c r="I63" s="1168">
        <f>IF(DAY($F63)&gt;15, VLOOKUP(EOMONTH($F63,-1),'WP 3.1 Rate Case Regress.'!$C$5:$D$556,2,FALSE), VLOOKUP(EOMONTH($F63, -2), 'WP 3.1 Rate Case Regress.'!$C$5:$D$556, 2, FALSE))</f>
        <v>14.66</v>
      </c>
      <c r="K63" s="108"/>
      <c r="L63" s="108"/>
      <c r="M63" s="108"/>
      <c r="N63" s="108"/>
      <c r="O63" s="108"/>
      <c r="P63" s="108"/>
      <c r="Q63" s="108"/>
      <c r="R63" s="108"/>
      <c r="S63" s="108"/>
      <c r="T63" s="108"/>
      <c r="V63" s="60"/>
      <c r="W63" s="60"/>
      <c r="X63" s="60"/>
      <c r="Y63" s="60"/>
      <c r="Z63" s="60"/>
      <c r="AA63" s="60"/>
      <c r="AB63" s="60"/>
      <c r="AC63" s="60"/>
    </row>
    <row r="64" spans="2:29" ht="15" customHeight="1" x14ac:dyDescent="0.5">
      <c r="B64" s="1162" t="s">
        <v>2744</v>
      </c>
      <c r="C64" s="1163" t="s">
        <v>2972</v>
      </c>
      <c r="D64" s="1163" t="s">
        <v>2973</v>
      </c>
      <c r="E64" s="1164"/>
      <c r="F64" s="1165">
        <v>29616</v>
      </c>
      <c r="G64" s="1166" t="s">
        <v>2695</v>
      </c>
      <c r="H64" s="1167">
        <v>13.25</v>
      </c>
      <c r="I64" s="1168">
        <f>IF(DAY($F64)&gt;15, VLOOKUP(EOMONTH($F64,-1),'WP 3.1 Rate Case Regress.'!$C$5:$D$556,2,FALSE), VLOOKUP(EOMONTH($F64, -2), 'WP 3.1 Rate Case Regress.'!$C$5:$D$556, 2, FALSE))</f>
        <v>14.66</v>
      </c>
      <c r="K64" s="108"/>
      <c r="L64" s="108"/>
      <c r="M64" s="108"/>
      <c r="N64" s="108"/>
      <c r="O64" s="108"/>
      <c r="P64" s="108"/>
      <c r="Q64" s="108"/>
      <c r="R64" s="108"/>
      <c r="S64" s="108"/>
      <c r="T64" s="108"/>
      <c r="V64" s="60"/>
      <c r="W64" s="60"/>
      <c r="X64" s="60"/>
      <c r="Y64" s="60"/>
      <c r="Z64" s="60"/>
      <c r="AA64" s="60"/>
      <c r="AB64" s="60"/>
      <c r="AC64" s="60"/>
    </row>
    <row r="65" spans="2:29" ht="15" customHeight="1" x14ac:dyDescent="0.5">
      <c r="B65" s="1162" t="s">
        <v>2701</v>
      </c>
      <c r="C65" s="1163" t="s">
        <v>2900</v>
      </c>
      <c r="D65" s="1163" t="s">
        <v>2974</v>
      </c>
      <c r="E65" s="1164"/>
      <c r="F65" s="1165">
        <v>29628</v>
      </c>
      <c r="G65" s="1166" t="s">
        <v>2695</v>
      </c>
      <c r="H65" s="1167">
        <v>14.5</v>
      </c>
      <c r="I65" s="1168">
        <f>IF(DAY($F65)&gt;15, VLOOKUP(EOMONTH($F65,-1),'WP 3.1 Rate Case Regress.'!$C$5:$D$556,2,FALSE), VLOOKUP(EOMONTH($F65, -2), 'WP 3.1 Rate Case Regress.'!$C$5:$D$556, 2, FALSE))</f>
        <v>14.66</v>
      </c>
      <c r="K65" s="108"/>
      <c r="L65" s="108"/>
      <c r="M65" s="108"/>
      <c r="N65" s="108"/>
      <c r="O65" s="108"/>
      <c r="P65" s="108"/>
      <c r="Q65" s="108"/>
      <c r="R65" s="108"/>
      <c r="S65" s="108"/>
      <c r="T65" s="108"/>
      <c r="V65" s="60"/>
      <c r="W65" s="60"/>
      <c r="X65" s="60"/>
      <c r="Y65" s="60"/>
      <c r="Z65" s="60"/>
      <c r="AA65" s="60"/>
      <c r="AB65" s="60"/>
      <c r="AC65" s="60"/>
    </row>
    <row r="66" spans="2:29" ht="15" customHeight="1" x14ac:dyDescent="0.5">
      <c r="B66" s="1162" t="s">
        <v>2701</v>
      </c>
      <c r="C66" s="1163" t="s">
        <v>2975</v>
      </c>
      <c r="D66" s="1163" t="s">
        <v>2976</v>
      </c>
      <c r="E66" s="1164"/>
      <c r="F66" s="1165">
        <v>29637</v>
      </c>
      <c r="G66" s="1166" t="s">
        <v>2695</v>
      </c>
      <c r="H66" s="1167">
        <v>14.5</v>
      </c>
      <c r="I66" s="1168">
        <f>IF(DAY($F66)&gt;15, VLOOKUP(EOMONTH($F66,-1),'WP 3.1 Rate Case Regress.'!$C$5:$D$556,2,FALSE), VLOOKUP(EOMONTH($F66, -2), 'WP 3.1 Rate Case Regress.'!$C$5:$D$556, 2, FALSE))</f>
        <v>14.273999999999999</v>
      </c>
      <c r="K66" s="108"/>
      <c r="L66" s="108"/>
      <c r="M66" s="108"/>
      <c r="N66" s="108"/>
      <c r="O66" s="108"/>
      <c r="P66" s="108"/>
      <c r="Q66" s="108"/>
      <c r="R66" s="108"/>
      <c r="S66" s="108"/>
      <c r="T66" s="108"/>
      <c r="V66" s="60"/>
      <c r="W66" s="60"/>
      <c r="X66" s="60"/>
      <c r="Y66" s="60"/>
      <c r="Z66" s="60"/>
      <c r="AA66" s="60"/>
      <c r="AB66" s="60"/>
      <c r="AC66" s="60"/>
    </row>
    <row r="67" spans="2:29" ht="15" customHeight="1" x14ac:dyDescent="0.5">
      <c r="B67" s="1162" t="s">
        <v>2704</v>
      </c>
      <c r="C67" s="1163" t="s">
        <v>2705</v>
      </c>
      <c r="D67" s="1163" t="s">
        <v>2977</v>
      </c>
      <c r="E67" s="1164"/>
      <c r="F67" s="1165">
        <v>29657</v>
      </c>
      <c r="G67" s="1166" t="s">
        <v>2695</v>
      </c>
      <c r="H67" s="1167">
        <v>15.65</v>
      </c>
      <c r="I67" s="1168">
        <f>IF(DAY($F67)&gt;15, VLOOKUP(EOMONTH($F67,-1),'WP 3.1 Rate Case Regress.'!$C$5:$D$556,2,FALSE), VLOOKUP(EOMONTH($F67, -2), 'WP 3.1 Rate Case Regress.'!$C$5:$D$556, 2, FALSE))</f>
        <v>14.273999999999999</v>
      </c>
      <c r="K67" s="108"/>
      <c r="L67" s="108"/>
      <c r="M67" s="108"/>
      <c r="N67" s="108"/>
      <c r="O67" s="108"/>
      <c r="P67" s="108"/>
      <c r="Q67" s="108"/>
      <c r="R67" s="108"/>
      <c r="S67" s="108"/>
      <c r="T67" s="108"/>
      <c r="V67" s="60"/>
      <c r="W67" s="60"/>
      <c r="X67" s="60"/>
      <c r="Y67" s="60"/>
      <c r="Z67" s="60"/>
      <c r="AA67" s="60"/>
      <c r="AB67" s="60"/>
      <c r="AC67" s="60"/>
    </row>
    <row r="68" spans="2:29" ht="15" customHeight="1" x14ac:dyDescent="0.5">
      <c r="B68" s="1162" t="s">
        <v>2693</v>
      </c>
      <c r="C68" s="1163" t="s">
        <v>2742</v>
      </c>
      <c r="D68" s="1163" t="s">
        <v>2978</v>
      </c>
      <c r="E68" s="1164"/>
      <c r="F68" s="1165">
        <v>29670</v>
      </c>
      <c r="G68" s="1166" t="s">
        <v>2695</v>
      </c>
      <c r="H68" s="1167">
        <v>15.3</v>
      </c>
      <c r="I68" s="1168">
        <f>IF(DAY($F68)&gt;15, VLOOKUP(EOMONTH($F68,-1),'WP 3.1 Rate Case Regress.'!$C$5:$D$556,2,FALSE), VLOOKUP(EOMONTH($F68, -2), 'WP 3.1 Rate Case Regress.'!$C$5:$D$556, 2, FALSE))</f>
        <v>14.68</v>
      </c>
      <c r="K68" s="108"/>
      <c r="L68" s="108"/>
      <c r="M68" s="108"/>
      <c r="N68" s="108"/>
      <c r="O68" s="108"/>
      <c r="P68" s="108"/>
      <c r="Q68" s="108"/>
      <c r="R68" s="108"/>
      <c r="S68" s="108"/>
      <c r="T68" s="108"/>
      <c r="V68" s="60"/>
      <c r="W68" s="60"/>
      <c r="X68" s="60"/>
      <c r="Y68" s="60"/>
      <c r="Z68" s="60"/>
      <c r="AA68" s="60"/>
      <c r="AB68" s="60"/>
      <c r="AC68" s="60"/>
    </row>
    <row r="69" spans="2:29" ht="15" customHeight="1" x14ac:dyDescent="0.5">
      <c r="B69" s="1162" t="s">
        <v>2774</v>
      </c>
      <c r="C69" s="1163" t="s">
        <v>3493</v>
      </c>
      <c r="D69" s="1163" t="s">
        <v>4741</v>
      </c>
      <c r="E69" s="1164"/>
      <c r="F69" s="1165">
        <v>29677</v>
      </c>
      <c r="G69" s="1166" t="s">
        <v>4585</v>
      </c>
      <c r="H69" s="1167">
        <v>15.3</v>
      </c>
      <c r="I69" s="1168">
        <f>IF(DAY($F69)&gt;15, VLOOKUP(EOMONTH($F69,-1),'WP 3.1 Rate Case Regress.'!$C$5:$D$556,2,FALSE), VLOOKUP(EOMONTH($F69, -2), 'WP 3.1 Rate Case Regress.'!$C$5:$D$556, 2, FALSE))</f>
        <v>14.68</v>
      </c>
      <c r="K69" s="108"/>
      <c r="L69" s="108"/>
      <c r="M69" s="108"/>
      <c r="N69" s="108"/>
      <c r="O69" s="108"/>
      <c r="P69" s="108"/>
      <c r="Q69" s="108"/>
      <c r="R69" s="108"/>
      <c r="S69" s="108"/>
      <c r="T69" s="108"/>
      <c r="V69" s="60"/>
      <c r="W69" s="60"/>
      <c r="X69" s="60"/>
      <c r="Y69" s="60"/>
      <c r="Z69" s="60"/>
      <c r="AA69" s="60"/>
      <c r="AB69" s="60"/>
      <c r="AC69" s="60"/>
    </row>
    <row r="70" spans="2:29" ht="15" customHeight="1" x14ac:dyDescent="0.5">
      <c r="B70" s="1162" t="s">
        <v>2732</v>
      </c>
      <c r="C70" s="1163" t="s">
        <v>2745</v>
      </c>
      <c r="D70" s="1163" t="s">
        <v>2979</v>
      </c>
      <c r="E70" s="1164"/>
      <c r="F70" s="1165">
        <v>29685</v>
      </c>
      <c r="G70" s="1166" t="s">
        <v>2695</v>
      </c>
      <c r="H70" s="1167">
        <v>15</v>
      </c>
      <c r="I70" s="1168">
        <f>IF(DAY($F70)&gt;15, VLOOKUP(EOMONTH($F70,-1),'WP 3.1 Rate Case Regress.'!$C$5:$D$556,2,FALSE), VLOOKUP(EOMONTH($F70, -2), 'WP 3.1 Rate Case Regress.'!$C$5:$D$556, 2, FALSE))</f>
        <v>14.68</v>
      </c>
      <c r="K70" s="108"/>
      <c r="L70" s="108"/>
      <c r="M70" s="108"/>
      <c r="N70" s="108"/>
      <c r="O70" s="108"/>
      <c r="P70" s="108"/>
      <c r="Q70" s="108"/>
      <c r="R70" s="108"/>
      <c r="S70" s="108"/>
      <c r="T70" s="108"/>
      <c r="V70" s="60"/>
      <c r="W70" s="60"/>
      <c r="X70" s="60"/>
      <c r="Y70" s="60"/>
      <c r="Z70" s="60"/>
      <c r="AA70" s="60"/>
      <c r="AB70" s="60"/>
      <c r="AC70" s="60"/>
    </row>
    <row r="71" spans="2:29" ht="15" customHeight="1" x14ac:dyDescent="0.5">
      <c r="B71" s="1162" t="s">
        <v>2736</v>
      </c>
      <c r="C71" s="1163" t="s">
        <v>2980</v>
      </c>
      <c r="D71" s="1163" t="s">
        <v>2981</v>
      </c>
      <c r="E71" s="1164"/>
      <c r="F71" s="1165">
        <v>29705</v>
      </c>
      <c r="G71" s="1166" t="s">
        <v>2695</v>
      </c>
      <c r="H71" s="1167">
        <v>14.25</v>
      </c>
      <c r="I71" s="1168">
        <f>IF(DAY($F71)&gt;15, VLOOKUP(EOMONTH($F71,-1),'WP 3.1 Rate Case Regress.'!$C$5:$D$556,2,FALSE), VLOOKUP(EOMONTH($F71, -2), 'WP 3.1 Rate Case Regress.'!$C$5:$D$556, 2, FALSE))</f>
        <v>15.125</v>
      </c>
      <c r="K71" s="108"/>
      <c r="L71" s="108"/>
      <c r="M71" s="108"/>
      <c r="N71" s="108"/>
      <c r="O71" s="108"/>
      <c r="P71" s="108"/>
      <c r="Q71" s="108"/>
      <c r="R71" s="108"/>
      <c r="S71" s="108"/>
      <c r="T71" s="108"/>
      <c r="V71" s="60"/>
      <c r="W71" s="60"/>
      <c r="X71" s="60"/>
      <c r="Y71" s="60"/>
      <c r="Z71" s="60"/>
      <c r="AA71" s="60"/>
      <c r="AB71" s="60"/>
      <c r="AC71" s="60"/>
    </row>
    <row r="72" spans="2:29" ht="15" customHeight="1" x14ac:dyDescent="0.5">
      <c r="B72" s="1162" t="s">
        <v>2740</v>
      </c>
      <c r="C72" s="1163" t="s">
        <v>2746</v>
      </c>
      <c r="D72" s="1163" t="s">
        <v>2982</v>
      </c>
      <c r="E72" s="1164"/>
      <c r="F72" s="1165">
        <v>29705</v>
      </c>
      <c r="G72" s="1166" t="s">
        <v>2695</v>
      </c>
      <c r="H72" s="1167">
        <v>13.5</v>
      </c>
      <c r="I72" s="1168">
        <f>IF(DAY($F72)&gt;15, VLOOKUP(EOMONTH($F72,-1),'WP 3.1 Rate Case Regress.'!$C$5:$D$556,2,FALSE), VLOOKUP(EOMONTH($F72, -2), 'WP 3.1 Rate Case Regress.'!$C$5:$D$556, 2, FALSE))</f>
        <v>15.125</v>
      </c>
      <c r="K72" s="108"/>
      <c r="L72" s="108"/>
      <c r="M72" s="108"/>
      <c r="N72" s="108"/>
      <c r="O72" s="108"/>
      <c r="P72" s="108"/>
      <c r="Q72" s="108"/>
      <c r="R72" s="108"/>
      <c r="S72" s="108"/>
      <c r="T72" s="108"/>
      <c r="V72" s="60"/>
      <c r="W72" s="60"/>
      <c r="X72" s="60"/>
      <c r="Y72" s="60"/>
      <c r="Z72" s="60"/>
      <c r="AA72" s="60"/>
      <c r="AB72" s="60"/>
      <c r="AC72" s="60"/>
    </row>
    <row r="73" spans="2:29" ht="15" customHeight="1" x14ac:dyDescent="0.5">
      <c r="B73" s="1162" t="s">
        <v>2717</v>
      </c>
      <c r="C73" s="1163" t="s">
        <v>2939</v>
      </c>
      <c r="D73" s="1163" t="s">
        <v>2983</v>
      </c>
      <c r="E73" s="1164"/>
      <c r="F73" s="1165">
        <v>29706</v>
      </c>
      <c r="G73" s="1166" t="s">
        <v>2695</v>
      </c>
      <c r="H73" s="1167">
        <v>15</v>
      </c>
      <c r="I73" s="1168">
        <f>IF(DAY($F73)&gt;15, VLOOKUP(EOMONTH($F73,-1),'WP 3.1 Rate Case Regress.'!$C$5:$D$556,2,FALSE), VLOOKUP(EOMONTH($F73, -2), 'WP 3.1 Rate Case Regress.'!$C$5:$D$556, 2, FALSE))</f>
        <v>15.125</v>
      </c>
      <c r="K73" s="108"/>
      <c r="L73" s="108"/>
      <c r="M73" s="108"/>
      <c r="N73" s="108"/>
      <c r="O73" s="108"/>
      <c r="P73" s="108"/>
      <c r="Q73" s="108"/>
      <c r="R73" s="108"/>
      <c r="S73" s="108"/>
      <c r="T73" s="108"/>
      <c r="V73" s="60"/>
      <c r="W73" s="60"/>
      <c r="X73" s="60"/>
      <c r="Y73" s="60"/>
      <c r="Z73" s="60"/>
      <c r="AA73" s="60"/>
      <c r="AB73" s="60"/>
      <c r="AC73" s="60"/>
    </row>
    <row r="74" spans="2:29" ht="15" customHeight="1" x14ac:dyDescent="0.5">
      <c r="B74" s="1162" t="s">
        <v>2708</v>
      </c>
      <c r="C74" s="1163" t="s">
        <v>2747</v>
      </c>
      <c r="D74" s="1163" t="s">
        <v>2984</v>
      </c>
      <c r="E74" s="1164"/>
      <c r="F74" s="1165">
        <v>29706</v>
      </c>
      <c r="G74" s="1166" t="s">
        <v>2695</v>
      </c>
      <c r="H74" s="1167">
        <v>13.6</v>
      </c>
      <c r="I74" s="1168">
        <f>IF(DAY($F74)&gt;15, VLOOKUP(EOMONTH($F74,-1),'WP 3.1 Rate Case Regress.'!$C$5:$D$556,2,FALSE), VLOOKUP(EOMONTH($F74, -2), 'WP 3.1 Rate Case Regress.'!$C$5:$D$556, 2, FALSE))</f>
        <v>15.125</v>
      </c>
      <c r="K74" s="108"/>
      <c r="L74" s="108"/>
      <c r="M74" s="108"/>
      <c r="N74" s="108"/>
      <c r="O74" s="108"/>
      <c r="P74" s="108"/>
      <c r="Q74" s="108"/>
      <c r="R74" s="108"/>
      <c r="S74" s="108"/>
      <c r="T74" s="108"/>
      <c r="V74" s="60"/>
      <c r="W74" s="60"/>
      <c r="X74" s="60"/>
      <c r="Y74" s="60"/>
      <c r="Z74" s="60"/>
      <c r="AA74" s="60"/>
      <c r="AB74" s="60"/>
      <c r="AC74" s="60"/>
    </row>
    <row r="75" spans="2:29" ht="15" customHeight="1" x14ac:dyDescent="0.5">
      <c r="B75" s="1162" t="s">
        <v>2702</v>
      </c>
      <c r="C75" s="1163" t="s">
        <v>2748</v>
      </c>
      <c r="D75" s="1163" t="s">
        <v>2985</v>
      </c>
      <c r="E75" s="1164"/>
      <c r="F75" s="1165">
        <v>29727</v>
      </c>
      <c r="G75" s="1166" t="s">
        <v>2695</v>
      </c>
      <c r="H75" s="1167">
        <v>14</v>
      </c>
      <c r="I75" s="1168">
        <f>IF(DAY($F75)&gt;15, VLOOKUP(EOMONTH($F75,-1),'WP 3.1 Rate Case Regress.'!$C$5:$D$556,2,FALSE), VLOOKUP(EOMONTH($F75, -2), 'WP 3.1 Rate Case Regress.'!$C$5:$D$556, 2, FALSE))</f>
        <v>15.25</v>
      </c>
      <c r="K75" s="108"/>
      <c r="L75" s="108"/>
      <c r="M75" s="108"/>
      <c r="N75" s="108"/>
      <c r="O75" s="108"/>
      <c r="P75" s="108"/>
      <c r="Q75" s="108"/>
      <c r="R75" s="108"/>
      <c r="S75" s="108"/>
      <c r="T75" s="108"/>
      <c r="V75" s="60"/>
      <c r="W75" s="60"/>
      <c r="X75" s="60"/>
      <c r="Y75" s="60"/>
      <c r="Z75" s="60"/>
      <c r="AA75" s="60"/>
      <c r="AB75" s="60"/>
      <c r="AC75" s="60"/>
    </row>
    <row r="76" spans="2:29" ht="15" customHeight="1" x14ac:dyDescent="0.5">
      <c r="B76" s="1162" t="s">
        <v>2693</v>
      </c>
      <c r="C76" s="1163" t="s">
        <v>2709</v>
      </c>
      <c r="D76" s="1163" t="s">
        <v>2986</v>
      </c>
      <c r="E76" s="1164"/>
      <c r="F76" s="1165">
        <v>29740</v>
      </c>
      <c r="G76" s="1166" t="s">
        <v>2695</v>
      </c>
      <c r="H76" s="1167">
        <v>14.67</v>
      </c>
      <c r="I76" s="1168">
        <f>IF(DAY($F76)&gt;15, VLOOKUP(EOMONTH($F76,-1),'WP 3.1 Rate Case Regress.'!$C$5:$D$556,2,FALSE), VLOOKUP(EOMONTH($F76, -2), 'WP 3.1 Rate Case Regress.'!$C$5:$D$556, 2, FALSE))</f>
        <v>15.25</v>
      </c>
      <c r="K76" s="108"/>
      <c r="L76" s="108"/>
      <c r="M76" s="108"/>
      <c r="N76" s="108"/>
      <c r="O76" s="108"/>
      <c r="P76" s="108"/>
      <c r="Q76" s="108"/>
      <c r="R76" s="108"/>
      <c r="S76" s="108"/>
      <c r="T76" s="108"/>
      <c r="V76" s="60"/>
      <c r="W76" s="60"/>
      <c r="X76" s="60"/>
      <c r="Y76" s="60"/>
      <c r="Z76" s="60"/>
      <c r="AA76" s="60"/>
      <c r="AB76" s="60"/>
      <c r="AC76" s="60"/>
    </row>
    <row r="77" spans="2:29" ht="15" customHeight="1" x14ac:dyDescent="0.5">
      <c r="B77" s="1162" t="s">
        <v>2714</v>
      </c>
      <c r="C77" s="1163" t="s">
        <v>4648</v>
      </c>
      <c r="D77" s="1163" t="s">
        <v>2987</v>
      </c>
      <c r="E77" s="1164"/>
      <c r="F77" s="1165">
        <v>29759</v>
      </c>
      <c r="G77" s="1166" t="s">
        <v>2695</v>
      </c>
      <c r="H77" s="1167">
        <v>16</v>
      </c>
      <c r="I77" s="1168">
        <f>IF(DAY($F77)&gt;15, VLOOKUP(EOMONTH($F77,-1),'WP 3.1 Rate Case Regress.'!$C$5:$D$556,2,FALSE), VLOOKUP(EOMONTH($F77, -2), 'WP 3.1 Rate Case Regress.'!$C$5:$D$556, 2, FALSE))</f>
        <v>16.116</v>
      </c>
      <c r="K77" s="108"/>
      <c r="L77" s="108"/>
      <c r="M77" s="108"/>
      <c r="N77" s="108"/>
      <c r="O77" s="108"/>
      <c r="P77" s="108"/>
      <c r="Q77" s="108"/>
      <c r="R77" s="108"/>
      <c r="S77" s="108"/>
      <c r="T77" s="108"/>
      <c r="V77" s="60"/>
      <c r="W77" s="60"/>
      <c r="X77" s="60"/>
      <c r="Y77" s="60"/>
      <c r="Z77" s="60"/>
      <c r="AA77" s="60"/>
      <c r="AB77" s="60"/>
      <c r="AC77" s="60"/>
    </row>
    <row r="78" spans="2:29" ht="15" customHeight="1" x14ac:dyDescent="0.5">
      <c r="B78" s="1162" t="s">
        <v>2702</v>
      </c>
      <c r="C78" s="1163" t="s">
        <v>2749</v>
      </c>
      <c r="D78" s="1163" t="s">
        <v>2988</v>
      </c>
      <c r="E78" s="1164"/>
      <c r="F78" s="1165">
        <v>29762</v>
      </c>
      <c r="G78" s="1166" t="s">
        <v>2695</v>
      </c>
      <c r="H78" s="1167">
        <v>14.75</v>
      </c>
      <c r="I78" s="1168">
        <f>IF(DAY($F78)&gt;15, VLOOKUP(EOMONTH($F78,-1),'WP 3.1 Rate Case Regress.'!$C$5:$D$556,2,FALSE), VLOOKUP(EOMONTH($F78, -2), 'WP 3.1 Rate Case Regress.'!$C$5:$D$556, 2, FALSE))</f>
        <v>16.116</v>
      </c>
      <c r="K78" s="108"/>
      <c r="L78" s="108"/>
      <c r="M78" s="108"/>
      <c r="N78" s="108"/>
      <c r="O78" s="108"/>
      <c r="P78" s="108"/>
      <c r="Q78" s="108"/>
      <c r="R78" s="108"/>
      <c r="S78" s="108"/>
      <c r="T78" s="108"/>
      <c r="V78" s="60"/>
      <c r="W78" s="60"/>
      <c r="X78" s="60"/>
      <c r="Y78" s="60"/>
      <c r="Z78" s="60"/>
      <c r="AA78" s="60"/>
      <c r="AB78" s="60"/>
      <c r="AC78" s="60"/>
    </row>
    <row r="79" spans="2:29" ht="15" customHeight="1" x14ac:dyDescent="0.5">
      <c r="B79" s="1162" t="s">
        <v>2989</v>
      </c>
      <c r="C79" s="1163" t="s">
        <v>2874</v>
      </c>
      <c r="D79" s="1163" t="s">
        <v>2990</v>
      </c>
      <c r="E79" s="1164"/>
      <c r="F79" s="1165">
        <v>29769</v>
      </c>
      <c r="G79" s="1166" t="s">
        <v>2695</v>
      </c>
      <c r="H79" s="1167">
        <v>14</v>
      </c>
      <c r="I79" s="1168">
        <f>IF(DAY($F79)&gt;15, VLOOKUP(EOMONTH($F79,-1),'WP 3.1 Rate Case Regress.'!$C$5:$D$556,2,FALSE), VLOOKUP(EOMONTH($F79, -2), 'WP 3.1 Rate Case Regress.'!$C$5:$D$556, 2, FALSE))</f>
        <v>16.116</v>
      </c>
      <c r="K79" s="108"/>
      <c r="L79" s="108"/>
      <c r="M79" s="108"/>
      <c r="N79" s="108"/>
      <c r="O79" s="108"/>
      <c r="P79" s="108"/>
      <c r="Q79" s="108"/>
      <c r="R79" s="108"/>
      <c r="S79" s="108"/>
      <c r="T79" s="108"/>
      <c r="V79" s="60"/>
      <c r="W79" s="60"/>
      <c r="X79" s="60"/>
      <c r="Y79" s="60"/>
      <c r="Z79" s="60"/>
      <c r="AA79" s="60"/>
      <c r="AB79" s="60"/>
      <c r="AC79" s="60"/>
    </row>
    <row r="80" spans="2:29" ht="15" customHeight="1" x14ac:dyDescent="0.5">
      <c r="B80" s="1162" t="s">
        <v>2704</v>
      </c>
      <c r="C80" s="1163" t="s">
        <v>2927</v>
      </c>
      <c r="D80" s="1163" t="s">
        <v>2991</v>
      </c>
      <c r="E80" s="1164"/>
      <c r="F80" s="1165">
        <v>29777</v>
      </c>
      <c r="G80" s="1166" t="s">
        <v>2695</v>
      </c>
      <c r="H80" s="1167">
        <v>16</v>
      </c>
      <c r="I80" s="1168">
        <f>IF(DAY($F80)&gt;15, VLOOKUP(EOMONTH($F80,-1),'WP 3.1 Rate Case Regress.'!$C$5:$D$556,2,FALSE), VLOOKUP(EOMONTH($F80, -2), 'WP 3.1 Rate Case Regress.'!$C$5:$D$556, 2, FALSE))</f>
        <v>16.116</v>
      </c>
      <c r="K80" s="108"/>
      <c r="L80" s="108"/>
      <c r="M80" s="108"/>
      <c r="N80" s="108"/>
      <c r="O80" s="108"/>
      <c r="P80" s="108"/>
      <c r="Q80" s="108"/>
      <c r="R80" s="108"/>
      <c r="S80" s="108"/>
      <c r="T80" s="108"/>
      <c r="V80" s="60"/>
      <c r="W80" s="60"/>
      <c r="X80" s="60"/>
      <c r="Y80" s="60"/>
      <c r="Z80" s="60"/>
      <c r="AA80" s="60"/>
      <c r="AB80" s="60"/>
      <c r="AC80" s="60"/>
    </row>
    <row r="81" spans="2:29" ht="15" customHeight="1" x14ac:dyDescent="0.5">
      <c r="B81" s="1162" t="s">
        <v>2704</v>
      </c>
      <c r="C81" s="1163" t="s">
        <v>2750</v>
      </c>
      <c r="D81" s="1163" t="s">
        <v>2992</v>
      </c>
      <c r="E81" s="1164"/>
      <c r="F81" s="1165">
        <v>29781</v>
      </c>
      <c r="G81" s="1166" t="s">
        <v>2695</v>
      </c>
      <c r="H81" s="1167">
        <v>16.899999999999999</v>
      </c>
      <c r="I81" s="1168">
        <f>IF(DAY($F81)&gt;15, VLOOKUP(EOMONTH($F81,-1),'WP 3.1 Rate Case Regress.'!$C$5:$D$556,2,FALSE), VLOOKUP(EOMONTH($F81, -2), 'WP 3.1 Rate Case Regress.'!$C$5:$D$556, 2, FALSE))</f>
        <v>16.116</v>
      </c>
      <c r="K81" s="108"/>
      <c r="L81" s="108"/>
      <c r="M81" s="108"/>
      <c r="N81" s="108"/>
      <c r="O81" s="108"/>
      <c r="P81" s="108"/>
      <c r="Q81" s="108"/>
      <c r="R81" s="108"/>
      <c r="S81" s="108"/>
      <c r="T81" s="108"/>
      <c r="V81" s="60"/>
      <c r="W81" s="60"/>
      <c r="X81" s="60"/>
      <c r="Y81" s="60"/>
      <c r="Z81" s="60"/>
      <c r="AA81" s="60"/>
      <c r="AB81" s="60"/>
      <c r="AC81" s="60"/>
    </row>
    <row r="82" spans="2:29" ht="15" customHeight="1" x14ac:dyDescent="0.5">
      <c r="B82" s="1162" t="s">
        <v>2751</v>
      </c>
      <c r="C82" s="1163" t="s">
        <v>2993</v>
      </c>
      <c r="D82" s="1163" t="s">
        <v>2994</v>
      </c>
      <c r="E82" s="1164"/>
      <c r="F82" s="1165">
        <v>29788</v>
      </c>
      <c r="G82" s="1166" t="s">
        <v>2695</v>
      </c>
      <c r="H82" s="1167">
        <v>15.78</v>
      </c>
      <c r="I82" s="1168">
        <f>IF(DAY($F82)&gt;15, VLOOKUP(EOMONTH($F82,-1),'WP 3.1 Rate Case Regress.'!$C$5:$D$556,2,FALSE), VLOOKUP(EOMONTH($F82, -2), 'WP 3.1 Rate Case Regress.'!$C$5:$D$556, 2, FALSE))</f>
        <v>15.7925</v>
      </c>
      <c r="K82" s="108"/>
      <c r="L82" s="108"/>
      <c r="M82" s="108"/>
      <c r="N82" s="108"/>
      <c r="O82" s="108"/>
      <c r="P82" s="108"/>
      <c r="Q82" s="108"/>
      <c r="R82" s="108"/>
      <c r="S82" s="108"/>
      <c r="T82" s="108"/>
      <c r="V82" s="60"/>
      <c r="W82" s="60"/>
      <c r="X82" s="60"/>
      <c r="Y82" s="60"/>
      <c r="Z82" s="60"/>
      <c r="AA82" s="60"/>
      <c r="AB82" s="60"/>
      <c r="AC82" s="60"/>
    </row>
    <row r="83" spans="2:29" ht="15" customHeight="1" x14ac:dyDescent="0.5">
      <c r="B83" s="1162" t="s">
        <v>2752</v>
      </c>
      <c r="C83" s="1163" t="s">
        <v>2753</v>
      </c>
      <c r="D83" s="1163" t="s">
        <v>2995</v>
      </c>
      <c r="E83" s="1164"/>
      <c r="F83" s="1165">
        <v>29794</v>
      </c>
      <c r="G83" s="1166" t="s">
        <v>2695</v>
      </c>
      <c r="H83" s="1167">
        <v>15.5</v>
      </c>
      <c r="I83" s="1168">
        <f>IF(DAY($F83)&gt;15, VLOOKUP(EOMONTH($F83,-1),'WP 3.1 Rate Case Regress.'!$C$5:$D$556,2,FALSE), VLOOKUP(EOMONTH($F83, -2), 'WP 3.1 Rate Case Regress.'!$C$5:$D$556, 2, FALSE))</f>
        <v>15.7925</v>
      </c>
      <c r="K83" s="108"/>
      <c r="L83" s="108"/>
      <c r="M83" s="108"/>
      <c r="N83" s="108"/>
      <c r="O83" s="108"/>
      <c r="P83" s="108"/>
      <c r="Q83" s="108"/>
      <c r="R83" s="108"/>
      <c r="S83" s="108"/>
      <c r="T83" s="108"/>
      <c r="V83" s="60"/>
      <c r="W83" s="60"/>
      <c r="X83" s="60"/>
      <c r="Y83" s="60"/>
      <c r="Z83" s="60"/>
      <c r="AA83" s="60"/>
      <c r="AB83" s="60"/>
      <c r="AC83" s="60"/>
    </row>
    <row r="84" spans="2:29" ht="15" customHeight="1" x14ac:dyDescent="0.5">
      <c r="B84" s="1162" t="s">
        <v>2754</v>
      </c>
      <c r="C84" s="1163" t="s">
        <v>2755</v>
      </c>
      <c r="D84" s="1163" t="s">
        <v>2996</v>
      </c>
      <c r="E84" s="1164"/>
      <c r="F84" s="1165">
        <v>29794</v>
      </c>
      <c r="G84" s="1166" t="s">
        <v>2695</v>
      </c>
      <c r="H84" s="1167">
        <v>13.77</v>
      </c>
      <c r="I84" s="1168">
        <f>IF(DAY($F84)&gt;15, VLOOKUP(EOMONTH($F84,-1),'WP 3.1 Rate Case Regress.'!$C$5:$D$556,2,FALSE), VLOOKUP(EOMONTH($F84, -2), 'WP 3.1 Rate Case Regress.'!$C$5:$D$556, 2, FALSE))</f>
        <v>15.7925</v>
      </c>
      <c r="K84" s="108"/>
      <c r="L84" s="108"/>
      <c r="M84" s="108"/>
      <c r="N84" s="108"/>
      <c r="O84" s="108"/>
      <c r="P84" s="108"/>
      <c r="Q84" s="108"/>
      <c r="R84" s="108"/>
      <c r="S84" s="108"/>
      <c r="T84" s="108"/>
      <c r="V84" s="60"/>
      <c r="W84" s="60"/>
      <c r="X84" s="60"/>
      <c r="Y84" s="60"/>
      <c r="Z84" s="60"/>
      <c r="AA84" s="60"/>
      <c r="AB84" s="60"/>
      <c r="AC84" s="60"/>
    </row>
    <row r="85" spans="2:29" ht="15" customHeight="1" x14ac:dyDescent="0.5">
      <c r="B85" s="1162" t="s">
        <v>2708</v>
      </c>
      <c r="C85" s="1163" t="s">
        <v>2709</v>
      </c>
      <c r="D85" s="1163" t="s">
        <v>2997</v>
      </c>
      <c r="E85" s="1164"/>
      <c r="F85" s="1165">
        <v>29798</v>
      </c>
      <c r="G85" s="1166" t="s">
        <v>2695</v>
      </c>
      <c r="H85" s="1167">
        <v>14.2</v>
      </c>
      <c r="I85" s="1168">
        <f>IF(DAY($F85)&gt;15, VLOOKUP(EOMONTH($F85,-1),'WP 3.1 Rate Case Regress.'!$C$5:$D$556,2,FALSE), VLOOKUP(EOMONTH($F85, -2), 'WP 3.1 Rate Case Regress.'!$C$5:$D$556, 2, FALSE))</f>
        <v>15.7925</v>
      </c>
      <c r="K85" s="108"/>
      <c r="L85" s="108"/>
      <c r="M85" s="108"/>
      <c r="N85" s="108"/>
      <c r="O85" s="108"/>
      <c r="P85" s="108"/>
      <c r="Q85" s="108"/>
      <c r="R85" s="108"/>
      <c r="S85" s="108"/>
      <c r="T85" s="108"/>
      <c r="V85" s="60"/>
      <c r="W85" s="60"/>
      <c r="X85" s="60"/>
      <c r="Y85" s="60"/>
      <c r="Z85" s="60"/>
      <c r="AA85" s="60"/>
      <c r="AB85" s="60"/>
      <c r="AC85" s="60"/>
    </row>
    <row r="86" spans="2:29" ht="15" customHeight="1" x14ac:dyDescent="0.5">
      <c r="B86" s="1162" t="s">
        <v>2708</v>
      </c>
      <c r="C86" s="1163" t="s">
        <v>2709</v>
      </c>
      <c r="D86" s="1163" t="s">
        <v>2998</v>
      </c>
      <c r="E86" s="1164"/>
      <c r="F86" s="1165">
        <v>29798</v>
      </c>
      <c r="G86" s="1166" t="s">
        <v>2695</v>
      </c>
      <c r="H86" s="1167">
        <v>13.5</v>
      </c>
      <c r="I86" s="1168">
        <f>IF(DAY($F86)&gt;15, VLOOKUP(EOMONTH($F86,-1),'WP 3.1 Rate Case Regress.'!$C$5:$D$556,2,FALSE), VLOOKUP(EOMONTH($F86, -2), 'WP 3.1 Rate Case Regress.'!$C$5:$D$556, 2, FALSE))</f>
        <v>15.7925</v>
      </c>
      <c r="K86" s="108"/>
      <c r="L86" s="108"/>
      <c r="M86" s="108"/>
      <c r="N86" s="108"/>
      <c r="O86" s="108"/>
      <c r="P86" s="108"/>
      <c r="Q86" s="108"/>
      <c r="R86" s="108"/>
      <c r="S86" s="108"/>
      <c r="T86" s="108"/>
      <c r="V86" s="60"/>
      <c r="W86" s="60"/>
      <c r="X86" s="60"/>
      <c r="Y86" s="60"/>
      <c r="Z86" s="60"/>
      <c r="AA86" s="60"/>
      <c r="AB86" s="60"/>
      <c r="AC86" s="60"/>
    </row>
    <row r="87" spans="2:29" ht="15" customHeight="1" x14ac:dyDescent="0.5">
      <c r="B87" s="1162" t="s">
        <v>2710</v>
      </c>
      <c r="C87" s="1163" t="s">
        <v>2923</v>
      </c>
      <c r="D87" s="1163" t="s">
        <v>2999</v>
      </c>
      <c r="E87" s="1164"/>
      <c r="F87" s="1165">
        <v>29810</v>
      </c>
      <c r="G87" s="1166" t="s">
        <v>2695</v>
      </c>
      <c r="H87" s="1167">
        <v>14.41</v>
      </c>
      <c r="I87" s="1168">
        <f>IF(DAY($F87)&gt;15, VLOOKUP(EOMONTH($F87,-1),'WP 3.1 Rate Case Regress.'!$C$5:$D$556,2,FALSE), VLOOKUP(EOMONTH($F87, -2), 'WP 3.1 Rate Case Regress.'!$C$5:$D$556, 2, FALSE))</f>
        <v>15.7925</v>
      </c>
      <c r="K87" s="108"/>
      <c r="L87" s="108"/>
      <c r="M87" s="108"/>
      <c r="N87" s="108"/>
      <c r="O87" s="108"/>
      <c r="P87" s="108"/>
      <c r="Q87" s="108"/>
      <c r="R87" s="108"/>
      <c r="S87" s="108"/>
      <c r="T87" s="108"/>
      <c r="V87" s="60"/>
      <c r="W87" s="60"/>
      <c r="X87" s="60"/>
      <c r="Y87" s="60"/>
      <c r="Z87" s="60"/>
      <c r="AA87" s="60"/>
      <c r="AB87" s="60"/>
      <c r="AC87" s="60"/>
    </row>
    <row r="88" spans="2:29" ht="15" customHeight="1" x14ac:dyDescent="0.5">
      <c r="B88" s="1162" t="s">
        <v>2710</v>
      </c>
      <c r="C88" s="1163" t="s">
        <v>3000</v>
      </c>
      <c r="D88" s="1163" t="s">
        <v>3001</v>
      </c>
      <c r="E88" s="1164"/>
      <c r="F88" s="1165">
        <v>29810</v>
      </c>
      <c r="G88" s="1166" t="s">
        <v>2695</v>
      </c>
      <c r="H88" s="1167">
        <v>13.72</v>
      </c>
      <c r="I88" s="1168">
        <f>IF(DAY($F88)&gt;15, VLOOKUP(EOMONTH($F88,-1),'WP 3.1 Rate Case Regress.'!$C$5:$D$556,2,FALSE), VLOOKUP(EOMONTH($F88, -2), 'WP 3.1 Rate Case Regress.'!$C$5:$D$556, 2, FALSE))</f>
        <v>15.7925</v>
      </c>
      <c r="K88" s="108"/>
      <c r="L88" s="108"/>
      <c r="M88" s="108"/>
      <c r="N88" s="108"/>
      <c r="O88" s="108"/>
      <c r="P88" s="108"/>
      <c r="Q88" s="108"/>
      <c r="R88" s="108"/>
      <c r="S88" s="108"/>
      <c r="T88" s="108"/>
      <c r="V88" s="60"/>
      <c r="W88" s="60"/>
      <c r="X88" s="60"/>
      <c r="Y88" s="60"/>
      <c r="Z88" s="60"/>
      <c r="AA88" s="60"/>
      <c r="AB88" s="60"/>
      <c r="AC88" s="60"/>
    </row>
    <row r="89" spans="2:29" ht="15" customHeight="1" x14ac:dyDescent="0.5">
      <c r="B89" s="1162" t="s">
        <v>2710</v>
      </c>
      <c r="C89" s="1163" t="s">
        <v>3000</v>
      </c>
      <c r="D89" s="1163" t="s">
        <v>3002</v>
      </c>
      <c r="E89" s="1164"/>
      <c r="F89" s="1165">
        <v>29810</v>
      </c>
      <c r="G89" s="1166" t="s">
        <v>2695</v>
      </c>
      <c r="H89" s="1167">
        <v>13.72</v>
      </c>
      <c r="I89" s="1168">
        <f>IF(DAY($F89)&gt;15, VLOOKUP(EOMONTH($F89,-1),'WP 3.1 Rate Case Regress.'!$C$5:$D$556,2,FALSE), VLOOKUP(EOMONTH($F89, -2), 'WP 3.1 Rate Case Regress.'!$C$5:$D$556, 2, FALSE))</f>
        <v>15.7925</v>
      </c>
      <c r="K89" s="108"/>
      <c r="L89" s="108"/>
      <c r="M89" s="108"/>
      <c r="N89" s="108"/>
      <c r="O89" s="108"/>
      <c r="P89" s="108"/>
      <c r="Q89" s="108"/>
      <c r="R89" s="108"/>
      <c r="S89" s="108"/>
      <c r="T89" s="108"/>
      <c r="V89" s="60"/>
      <c r="W89" s="60"/>
      <c r="X89" s="60"/>
      <c r="Y89" s="60"/>
      <c r="Z89" s="60"/>
      <c r="AA89" s="60"/>
      <c r="AB89" s="60"/>
      <c r="AC89" s="60"/>
    </row>
    <row r="90" spans="2:29" ht="15" customHeight="1" x14ac:dyDescent="0.5">
      <c r="B90" s="1162" t="s">
        <v>2723</v>
      </c>
      <c r="C90" s="1163" t="s">
        <v>2949</v>
      </c>
      <c r="D90" s="1163" t="s">
        <v>3003</v>
      </c>
      <c r="E90" s="1164"/>
      <c r="F90" s="1165">
        <v>29823</v>
      </c>
      <c r="G90" s="1166" t="s">
        <v>2695</v>
      </c>
      <c r="H90" s="1167">
        <v>15.45</v>
      </c>
      <c r="I90" s="1168">
        <f>IF(DAY($F90)&gt;15, VLOOKUP(EOMONTH($F90,-1),'WP 3.1 Rate Case Regress.'!$C$5:$D$556,2,FALSE), VLOOKUP(EOMONTH($F90, -2), 'WP 3.1 Rate Case Regress.'!$C$5:$D$556, 2, FALSE))</f>
        <v>16.071999999999999</v>
      </c>
      <c r="K90" s="108"/>
      <c r="L90" s="108"/>
      <c r="M90" s="108"/>
      <c r="N90" s="108"/>
      <c r="O90" s="108"/>
      <c r="P90" s="108"/>
      <c r="Q90" s="108"/>
      <c r="R90" s="108"/>
      <c r="S90" s="108"/>
      <c r="T90" s="108"/>
      <c r="V90" s="60"/>
      <c r="W90" s="60"/>
      <c r="X90" s="60"/>
      <c r="Y90" s="60"/>
      <c r="Z90" s="60"/>
      <c r="AA90" s="60"/>
      <c r="AB90" s="60"/>
      <c r="AC90" s="60"/>
    </row>
    <row r="91" spans="2:29" ht="15" customHeight="1" x14ac:dyDescent="0.5">
      <c r="B91" s="1162" t="s">
        <v>2754</v>
      </c>
      <c r="C91" s="1163" t="s">
        <v>2975</v>
      </c>
      <c r="D91" s="1163" t="s">
        <v>3004</v>
      </c>
      <c r="E91" s="1164"/>
      <c r="F91" s="1165">
        <v>29825</v>
      </c>
      <c r="G91" s="1166" t="s">
        <v>2695</v>
      </c>
      <c r="H91" s="1167">
        <v>14.43</v>
      </c>
      <c r="I91" s="1168">
        <f>IF(DAY($F91)&gt;15, VLOOKUP(EOMONTH($F91,-1),'WP 3.1 Rate Case Regress.'!$C$5:$D$556,2,FALSE), VLOOKUP(EOMONTH($F91, -2), 'WP 3.1 Rate Case Regress.'!$C$5:$D$556, 2, FALSE))</f>
        <v>16.071999999999999</v>
      </c>
      <c r="K91" s="108"/>
      <c r="L91" s="108"/>
      <c r="M91" s="108"/>
      <c r="N91" s="108"/>
      <c r="O91" s="108"/>
      <c r="P91" s="108"/>
      <c r="Q91" s="108"/>
      <c r="R91" s="108"/>
      <c r="S91" s="108"/>
      <c r="T91" s="108"/>
      <c r="V91" s="60"/>
      <c r="W91" s="60"/>
      <c r="X91" s="60"/>
      <c r="Y91" s="60"/>
      <c r="Z91" s="60"/>
      <c r="AA91" s="60"/>
      <c r="AB91" s="60"/>
      <c r="AC91" s="60"/>
    </row>
    <row r="92" spans="2:29" ht="15" customHeight="1" x14ac:dyDescent="0.5">
      <c r="B92" s="1162" t="s">
        <v>2731</v>
      </c>
      <c r="C92" s="1163" t="s">
        <v>2733</v>
      </c>
      <c r="D92" s="1163" t="s">
        <v>3005</v>
      </c>
      <c r="E92" s="1164"/>
      <c r="F92" s="1165">
        <v>29826</v>
      </c>
      <c r="G92" s="1166" t="s">
        <v>2695</v>
      </c>
      <c r="H92" s="1167">
        <v>15</v>
      </c>
      <c r="I92" s="1168">
        <f>IF(DAY($F92)&gt;15, VLOOKUP(EOMONTH($F92,-1),'WP 3.1 Rate Case Regress.'!$C$5:$D$556,2,FALSE), VLOOKUP(EOMONTH($F92, -2), 'WP 3.1 Rate Case Regress.'!$C$5:$D$556, 2, FALSE))</f>
        <v>16.071999999999999</v>
      </c>
      <c r="K92" s="108"/>
      <c r="L92" s="108"/>
      <c r="M92" s="108"/>
      <c r="N92" s="108"/>
      <c r="O92" s="108"/>
      <c r="P92" s="108"/>
      <c r="Q92" s="108"/>
      <c r="R92" s="108"/>
      <c r="S92" s="108"/>
      <c r="T92" s="108"/>
      <c r="V92" s="60"/>
      <c r="W92" s="60"/>
      <c r="X92" s="60"/>
      <c r="Y92" s="60"/>
      <c r="Z92" s="60"/>
      <c r="AA92" s="60"/>
      <c r="AB92" s="60"/>
      <c r="AC92" s="60"/>
    </row>
    <row r="93" spans="2:29" ht="15" customHeight="1" x14ac:dyDescent="0.5">
      <c r="B93" s="1162" t="s">
        <v>2696</v>
      </c>
      <c r="C93" s="1163" t="s">
        <v>3177</v>
      </c>
      <c r="D93" s="1163" t="s">
        <v>4742</v>
      </c>
      <c r="E93" s="1164"/>
      <c r="F93" s="1165">
        <v>29852</v>
      </c>
      <c r="G93" s="1166" t="s">
        <v>4585</v>
      </c>
      <c r="H93" s="1167">
        <v>14.34</v>
      </c>
      <c r="I93" s="1168">
        <f>IF(DAY($F93)&gt;15, VLOOKUP(EOMONTH($F93,-1),'WP 3.1 Rate Case Regress.'!$C$5:$D$556,2,FALSE), VLOOKUP(EOMONTH($F93, -2), 'WP 3.1 Rate Case Regress.'!$C$5:$D$556, 2, FALSE))</f>
        <v>16.447500000000002</v>
      </c>
      <c r="K93" s="108"/>
      <c r="L93" s="108"/>
      <c r="M93" s="108"/>
      <c r="N93" s="108"/>
      <c r="O93" s="108"/>
      <c r="P93" s="108"/>
      <c r="Q93" s="108"/>
      <c r="R93" s="108"/>
      <c r="S93" s="108"/>
      <c r="T93" s="108"/>
      <c r="V93" s="60"/>
      <c r="W93" s="60"/>
      <c r="X93" s="60"/>
      <c r="Y93" s="60"/>
      <c r="Z93" s="60"/>
      <c r="AA93" s="60"/>
      <c r="AB93" s="60"/>
      <c r="AC93" s="60"/>
    </row>
    <row r="94" spans="2:29" ht="15" customHeight="1" x14ac:dyDescent="0.5">
      <c r="B94" s="1162" t="s">
        <v>2736</v>
      </c>
      <c r="C94" s="1163" t="s">
        <v>2737</v>
      </c>
      <c r="D94" s="1163" t="s">
        <v>3006</v>
      </c>
      <c r="E94" s="1164"/>
      <c r="F94" s="1165">
        <v>29853</v>
      </c>
      <c r="G94" s="1166" t="s">
        <v>2695</v>
      </c>
      <c r="H94" s="1167">
        <v>16.25</v>
      </c>
      <c r="I94" s="1168">
        <f>IF(DAY($F94)&gt;15, VLOOKUP(EOMONTH($F94,-1),'WP 3.1 Rate Case Regress.'!$C$5:$D$556,2,FALSE), VLOOKUP(EOMONTH($F94, -2), 'WP 3.1 Rate Case Regress.'!$C$5:$D$556, 2, FALSE))</f>
        <v>16.447500000000002</v>
      </c>
      <c r="K94" s="108"/>
      <c r="L94" s="108"/>
      <c r="M94" s="108"/>
      <c r="N94" s="108"/>
      <c r="O94" s="108"/>
      <c r="P94" s="108"/>
      <c r="Q94" s="108"/>
      <c r="R94" s="108"/>
      <c r="S94" s="108"/>
      <c r="T94" s="108"/>
      <c r="V94" s="60"/>
      <c r="W94" s="60"/>
      <c r="X94" s="60"/>
      <c r="Y94" s="60"/>
      <c r="Z94" s="60"/>
      <c r="AA94" s="60"/>
      <c r="AB94" s="60"/>
      <c r="AC94" s="60"/>
    </row>
    <row r="95" spans="2:29" ht="15" customHeight="1" x14ac:dyDescent="0.5">
      <c r="B95" s="1162" t="s">
        <v>2702</v>
      </c>
      <c r="C95" s="1163" t="s">
        <v>3007</v>
      </c>
      <c r="D95" s="1163" t="s">
        <v>3008</v>
      </c>
      <c r="E95" s="1164"/>
      <c r="F95" s="1165">
        <v>29858</v>
      </c>
      <c r="G95" s="1166" t="s">
        <v>2695</v>
      </c>
      <c r="H95" s="1167">
        <v>14.5</v>
      </c>
      <c r="I95" s="1168">
        <f>IF(DAY($F95)&gt;15, VLOOKUP(EOMONTH($F95,-1),'WP 3.1 Rate Case Regress.'!$C$5:$D$556,2,FALSE), VLOOKUP(EOMONTH($F95, -2), 'WP 3.1 Rate Case Regress.'!$C$5:$D$556, 2, FALSE))</f>
        <v>16.447500000000002</v>
      </c>
      <c r="K95" s="108"/>
      <c r="L95" s="108"/>
      <c r="M95" s="108"/>
      <c r="N95" s="108"/>
      <c r="O95" s="108"/>
      <c r="P95" s="108"/>
      <c r="Q95" s="108"/>
      <c r="R95" s="108"/>
      <c r="S95" s="108"/>
      <c r="T95" s="108"/>
      <c r="V95" s="60"/>
      <c r="W95" s="60"/>
      <c r="X95" s="60"/>
      <c r="Y95" s="60"/>
      <c r="Z95" s="60"/>
      <c r="AA95" s="60"/>
      <c r="AB95" s="60"/>
      <c r="AC95" s="60"/>
    </row>
    <row r="96" spans="2:29" ht="15" customHeight="1" x14ac:dyDescent="0.5">
      <c r="B96" s="1162" t="s">
        <v>2710</v>
      </c>
      <c r="C96" s="1163" t="s">
        <v>2711</v>
      </c>
      <c r="D96" s="1163" t="s">
        <v>3009</v>
      </c>
      <c r="E96" s="1164"/>
      <c r="F96" s="1165">
        <v>29859</v>
      </c>
      <c r="G96" s="1166" t="s">
        <v>2695</v>
      </c>
      <c r="H96" s="1167">
        <v>15.94</v>
      </c>
      <c r="I96" s="1168">
        <f>IF(DAY($F96)&gt;15, VLOOKUP(EOMONTH($F96,-1),'WP 3.1 Rate Case Regress.'!$C$5:$D$556,2,FALSE), VLOOKUP(EOMONTH($F96, -2), 'WP 3.1 Rate Case Regress.'!$C$5:$D$556, 2, FALSE))</f>
        <v>16.447500000000002</v>
      </c>
      <c r="K96" s="108"/>
      <c r="L96" s="108"/>
      <c r="M96" s="108"/>
      <c r="N96" s="108"/>
      <c r="O96" s="108"/>
      <c r="P96" s="108"/>
      <c r="Q96" s="108"/>
      <c r="R96" s="108"/>
      <c r="S96" s="108"/>
      <c r="T96" s="108"/>
      <c r="V96" s="60"/>
      <c r="W96" s="60"/>
      <c r="X96" s="60"/>
      <c r="Y96" s="60"/>
      <c r="Z96" s="60"/>
      <c r="AA96" s="60"/>
      <c r="AB96" s="60"/>
      <c r="AC96" s="60"/>
    </row>
    <row r="97" spans="2:29" ht="15" customHeight="1" x14ac:dyDescent="0.5">
      <c r="B97" s="1162" t="s">
        <v>2756</v>
      </c>
      <c r="C97" s="1163" t="s">
        <v>3010</v>
      </c>
      <c r="D97" s="1163" t="s">
        <v>3011</v>
      </c>
      <c r="E97" s="1164"/>
      <c r="F97" s="1165">
        <v>29861</v>
      </c>
      <c r="G97" s="1166" t="s">
        <v>2695</v>
      </c>
      <c r="H97" s="1167">
        <v>14.8</v>
      </c>
      <c r="I97" s="1168">
        <f>IF(DAY($F97)&gt;15, VLOOKUP(EOMONTH($F97,-1),'WP 3.1 Rate Case Regress.'!$C$5:$D$556,2,FALSE), VLOOKUP(EOMONTH($F97, -2), 'WP 3.1 Rate Case Regress.'!$C$5:$D$556, 2, FALSE))</f>
        <v>16.447500000000002</v>
      </c>
      <c r="K97" s="108"/>
      <c r="L97" s="108"/>
      <c r="M97" s="108"/>
      <c r="N97" s="108"/>
      <c r="O97" s="108"/>
      <c r="P97" s="108"/>
      <c r="Q97" s="108"/>
      <c r="R97" s="108"/>
      <c r="S97" s="108"/>
      <c r="T97" s="108"/>
      <c r="V97" s="60"/>
      <c r="W97" s="60"/>
      <c r="X97" s="60"/>
      <c r="Y97" s="60"/>
      <c r="Z97" s="60"/>
      <c r="AA97" s="60"/>
      <c r="AB97" s="60"/>
      <c r="AC97" s="60"/>
    </row>
    <row r="98" spans="2:29" ht="15" customHeight="1" x14ac:dyDescent="0.5">
      <c r="B98" s="1162" t="s">
        <v>2757</v>
      </c>
      <c r="C98" s="1163" t="s">
        <v>3012</v>
      </c>
      <c r="D98" s="1163" t="s">
        <v>3013</v>
      </c>
      <c r="E98" s="1164"/>
      <c r="F98" s="1165">
        <v>29871</v>
      </c>
      <c r="G98" s="1166" t="s">
        <v>2695</v>
      </c>
      <c r="H98" s="1167">
        <v>16.25</v>
      </c>
      <c r="I98" s="1168">
        <f>IF(DAY($F98)&gt;15, VLOOKUP(EOMONTH($F98,-1),'WP 3.1 Rate Case Regress.'!$C$5:$D$556,2,FALSE), VLOOKUP(EOMONTH($F98, -2), 'WP 3.1 Rate Case Regress.'!$C$5:$D$556, 2, FALSE))</f>
        <v>16.447500000000002</v>
      </c>
      <c r="K98" s="108"/>
      <c r="L98" s="108"/>
      <c r="M98" s="108"/>
      <c r="N98" s="108"/>
      <c r="O98" s="108"/>
      <c r="P98" s="108"/>
      <c r="Q98" s="108"/>
      <c r="R98" s="108"/>
      <c r="S98" s="108"/>
      <c r="T98" s="108"/>
      <c r="V98" s="60"/>
      <c r="W98" s="60"/>
      <c r="X98" s="60"/>
      <c r="Y98" s="60"/>
      <c r="Z98" s="60"/>
      <c r="AA98" s="60"/>
      <c r="AB98" s="60"/>
      <c r="AC98" s="60"/>
    </row>
    <row r="99" spans="2:29" ht="15" customHeight="1" x14ac:dyDescent="0.5">
      <c r="B99" s="1162" t="s">
        <v>2704</v>
      </c>
      <c r="C99" s="1163" t="s">
        <v>2725</v>
      </c>
      <c r="D99" s="1163" t="s">
        <v>3014</v>
      </c>
      <c r="E99" s="1164"/>
      <c r="F99" s="1165">
        <v>29879</v>
      </c>
      <c r="G99" s="1166" t="s">
        <v>2695</v>
      </c>
      <c r="H99" s="1167">
        <v>17</v>
      </c>
      <c r="I99" s="1168">
        <f>IF(DAY($F99)&gt;15, VLOOKUP(EOMONTH($F99,-1),'WP 3.1 Rate Case Regress.'!$C$5:$D$556,2,FALSE), VLOOKUP(EOMONTH($F99, -2), 'WP 3.1 Rate Case Regress.'!$C$5:$D$556, 2, FALSE))</f>
        <v>17.03</v>
      </c>
      <c r="K99" s="108"/>
      <c r="L99" s="108"/>
      <c r="M99" s="108"/>
      <c r="N99" s="108"/>
      <c r="O99" s="108"/>
      <c r="P99" s="108"/>
      <c r="Q99" s="108"/>
      <c r="R99" s="108"/>
      <c r="S99" s="108"/>
      <c r="T99" s="108"/>
      <c r="V99" s="60"/>
      <c r="W99" s="60"/>
      <c r="X99" s="60"/>
      <c r="Y99" s="60"/>
      <c r="Z99" s="60"/>
      <c r="AA99" s="60"/>
      <c r="AB99" s="60"/>
      <c r="AC99" s="60"/>
    </row>
    <row r="100" spans="2:29" ht="15" customHeight="1" x14ac:dyDescent="0.5">
      <c r="B100" s="1162" t="s">
        <v>2704</v>
      </c>
      <c r="C100" s="1163" t="s">
        <v>2934</v>
      </c>
      <c r="D100" s="1163" t="s">
        <v>3015</v>
      </c>
      <c r="E100" s="1164"/>
      <c r="F100" s="1165">
        <v>29879</v>
      </c>
      <c r="G100" s="1166" t="s">
        <v>2695</v>
      </c>
      <c r="H100" s="1167">
        <v>16.5</v>
      </c>
      <c r="I100" s="1168">
        <f>IF(DAY($F100)&gt;15, VLOOKUP(EOMONTH($F100,-1),'WP 3.1 Rate Case Regress.'!$C$5:$D$556,2,FALSE), VLOOKUP(EOMONTH($F100, -2), 'WP 3.1 Rate Case Regress.'!$C$5:$D$556, 2, FALSE))</f>
        <v>17.03</v>
      </c>
      <c r="K100" s="108"/>
      <c r="L100" s="108"/>
      <c r="M100" s="108"/>
      <c r="N100" s="108"/>
      <c r="O100" s="108"/>
      <c r="P100" s="108"/>
      <c r="Q100" s="108"/>
      <c r="R100" s="108"/>
      <c r="S100" s="108"/>
      <c r="T100" s="108"/>
      <c r="V100" s="60"/>
      <c r="W100" s="60"/>
      <c r="X100" s="60"/>
      <c r="Y100" s="60"/>
      <c r="Z100" s="60"/>
      <c r="AA100" s="60"/>
      <c r="AB100" s="60"/>
      <c r="AC100" s="60"/>
    </row>
    <row r="101" spans="2:29" ht="15" customHeight="1" x14ac:dyDescent="0.5">
      <c r="B101" s="1162" t="s">
        <v>2726</v>
      </c>
      <c r="C101" s="1163" t="s">
        <v>2727</v>
      </c>
      <c r="D101" s="1163" t="s">
        <v>3016</v>
      </c>
      <c r="E101" s="1164"/>
      <c r="F101" s="1165">
        <v>29879</v>
      </c>
      <c r="G101" s="1166" t="s">
        <v>2695</v>
      </c>
      <c r="H101" s="1167">
        <v>15.25</v>
      </c>
      <c r="I101" s="1168">
        <f>IF(DAY($F101)&gt;15, VLOOKUP(EOMONTH($F101,-1),'WP 3.1 Rate Case Regress.'!$C$5:$D$556,2,FALSE), VLOOKUP(EOMONTH($F101, -2), 'WP 3.1 Rate Case Regress.'!$C$5:$D$556, 2, FALSE))</f>
        <v>17.03</v>
      </c>
      <c r="K101" s="108"/>
      <c r="L101" s="108"/>
      <c r="M101" s="108"/>
      <c r="N101" s="108"/>
      <c r="O101" s="108"/>
      <c r="P101" s="108"/>
      <c r="Q101" s="108"/>
      <c r="R101" s="108"/>
      <c r="S101" s="108"/>
      <c r="T101" s="108"/>
      <c r="V101" s="60"/>
      <c r="W101" s="60"/>
      <c r="X101" s="60"/>
      <c r="Y101" s="60"/>
      <c r="Z101" s="60"/>
      <c r="AA101" s="60"/>
      <c r="AB101" s="60"/>
      <c r="AC101" s="60"/>
    </row>
    <row r="102" spans="2:29" ht="15" customHeight="1" x14ac:dyDescent="0.5">
      <c r="B102" s="1162" t="s">
        <v>2696</v>
      </c>
      <c r="C102" s="1163" t="s">
        <v>2769</v>
      </c>
      <c r="D102" s="1163" t="s">
        <v>4743</v>
      </c>
      <c r="E102" s="1164"/>
      <c r="F102" s="1165">
        <v>29882</v>
      </c>
      <c r="G102" s="1166" t="s">
        <v>4585</v>
      </c>
      <c r="H102" s="1167">
        <v>15.5</v>
      </c>
      <c r="I102" s="1168">
        <f>IF(DAY($F102)&gt;15, VLOOKUP(EOMONTH($F102,-1),'WP 3.1 Rate Case Regress.'!$C$5:$D$556,2,FALSE), VLOOKUP(EOMONTH($F102, -2), 'WP 3.1 Rate Case Regress.'!$C$5:$D$556, 2, FALSE))</f>
        <v>17.03</v>
      </c>
      <c r="K102" s="108"/>
      <c r="L102" s="108"/>
      <c r="M102" s="108"/>
      <c r="N102" s="108"/>
      <c r="O102" s="108"/>
      <c r="P102" s="108"/>
      <c r="Q102" s="108"/>
      <c r="R102" s="108"/>
      <c r="S102" s="108"/>
      <c r="T102" s="108"/>
      <c r="V102" s="60"/>
      <c r="W102" s="60"/>
      <c r="X102" s="60"/>
      <c r="Y102" s="60"/>
      <c r="Z102" s="60"/>
      <c r="AA102" s="60"/>
      <c r="AB102" s="60"/>
      <c r="AC102" s="60"/>
    </row>
    <row r="103" spans="2:29" ht="15" customHeight="1" x14ac:dyDescent="0.5">
      <c r="B103" s="1162" t="s">
        <v>2732</v>
      </c>
      <c r="C103" s="1163" t="s">
        <v>2975</v>
      </c>
      <c r="D103" s="1163" t="s">
        <v>3017</v>
      </c>
      <c r="E103" s="1164"/>
      <c r="F103" s="1165">
        <v>29885</v>
      </c>
      <c r="G103" s="1166" t="s">
        <v>2695</v>
      </c>
      <c r="H103" s="1167">
        <v>13.5</v>
      </c>
      <c r="I103" s="1168">
        <f>IF(DAY($F103)&gt;15, VLOOKUP(EOMONTH($F103,-1),'WP 3.1 Rate Case Regress.'!$C$5:$D$556,2,FALSE), VLOOKUP(EOMONTH($F103, -2), 'WP 3.1 Rate Case Regress.'!$C$5:$D$556, 2, FALSE))</f>
        <v>17.03</v>
      </c>
      <c r="K103" s="108"/>
      <c r="L103" s="108"/>
      <c r="M103" s="108"/>
      <c r="N103" s="108"/>
      <c r="O103" s="108"/>
      <c r="P103" s="108"/>
      <c r="Q103" s="108"/>
      <c r="R103" s="108"/>
      <c r="S103" s="108"/>
      <c r="T103" s="108"/>
      <c r="V103" s="60"/>
      <c r="W103" s="60"/>
      <c r="X103" s="60"/>
      <c r="Y103" s="60"/>
      <c r="Z103" s="60"/>
      <c r="AA103" s="60"/>
      <c r="AB103" s="60"/>
      <c r="AC103" s="60"/>
    </row>
    <row r="104" spans="2:29" ht="15" customHeight="1" x14ac:dyDescent="0.5">
      <c r="B104" s="1162" t="s">
        <v>2717</v>
      </c>
      <c r="C104" s="1163" t="s">
        <v>2627</v>
      </c>
      <c r="D104" s="1163" t="s">
        <v>3018</v>
      </c>
      <c r="E104" s="1164"/>
      <c r="F104" s="1165">
        <v>29888</v>
      </c>
      <c r="G104" s="1166" t="s">
        <v>2695</v>
      </c>
      <c r="H104" s="1167">
        <v>16.5</v>
      </c>
      <c r="I104" s="1168">
        <f>IF(DAY($F104)&gt;15, VLOOKUP(EOMONTH($F104,-1),'WP 3.1 Rate Case Regress.'!$C$5:$D$556,2,FALSE), VLOOKUP(EOMONTH($F104, -2), 'WP 3.1 Rate Case Regress.'!$C$5:$D$556, 2, FALSE))</f>
        <v>17.03</v>
      </c>
      <c r="K104" s="108"/>
      <c r="L104" s="108"/>
      <c r="M104" s="108"/>
      <c r="N104" s="108"/>
      <c r="O104" s="108"/>
      <c r="P104" s="108"/>
      <c r="Q104" s="108"/>
      <c r="R104" s="108"/>
      <c r="S104" s="108"/>
      <c r="T104" s="108"/>
      <c r="V104" s="60"/>
      <c r="W104" s="60"/>
      <c r="X104" s="60"/>
      <c r="Y104" s="60"/>
      <c r="Z104" s="60"/>
      <c r="AA104" s="60"/>
      <c r="AB104" s="60"/>
      <c r="AC104" s="60"/>
    </row>
    <row r="105" spans="2:29" ht="15" customHeight="1" x14ac:dyDescent="0.5">
      <c r="B105" s="1162" t="s">
        <v>2706</v>
      </c>
      <c r="C105" s="1163" t="s">
        <v>2906</v>
      </c>
      <c r="D105" s="1163" t="s">
        <v>3019</v>
      </c>
      <c r="E105" s="1164"/>
      <c r="F105" s="1165">
        <v>29894</v>
      </c>
      <c r="G105" s="1166" t="s">
        <v>2695</v>
      </c>
      <c r="H105" s="1167">
        <v>15.33</v>
      </c>
      <c r="I105" s="1168">
        <f>IF(DAY($F105)&gt;15, VLOOKUP(EOMONTH($F105,-1),'WP 3.1 Rate Case Regress.'!$C$5:$D$556,2,FALSE), VLOOKUP(EOMONTH($F105, -2), 'WP 3.1 Rate Case Regress.'!$C$5:$D$556, 2, FALSE))</f>
        <v>17.03</v>
      </c>
      <c r="K105" s="108"/>
      <c r="L105" s="108"/>
      <c r="M105" s="108"/>
      <c r="N105" s="108"/>
      <c r="O105" s="108"/>
      <c r="P105" s="108"/>
      <c r="Q105" s="108"/>
      <c r="R105" s="108"/>
      <c r="S105" s="108"/>
      <c r="T105" s="108"/>
      <c r="V105" s="60"/>
      <c r="W105" s="60"/>
      <c r="X105" s="60"/>
      <c r="Y105" s="60"/>
      <c r="Z105" s="60"/>
      <c r="AA105" s="60"/>
      <c r="AB105" s="60"/>
      <c r="AC105" s="60"/>
    </row>
    <row r="106" spans="2:29" ht="15" customHeight="1" x14ac:dyDescent="0.5">
      <c r="B106" s="1162" t="s">
        <v>2708</v>
      </c>
      <c r="C106" s="1163" t="s">
        <v>2709</v>
      </c>
      <c r="D106" s="1163" t="s">
        <v>3020</v>
      </c>
      <c r="E106" s="1164"/>
      <c r="F106" s="1165">
        <v>29896</v>
      </c>
      <c r="G106" s="1166" t="s">
        <v>2695</v>
      </c>
      <c r="H106" s="1167">
        <v>15.17</v>
      </c>
      <c r="I106" s="1168">
        <f>IF(DAY($F106)&gt;15, VLOOKUP(EOMONTH($F106,-1),'WP 3.1 Rate Case Regress.'!$C$5:$D$556,2,FALSE), VLOOKUP(EOMONTH($F106, -2), 'WP 3.1 Rate Case Regress.'!$C$5:$D$556, 2, FALSE))</f>
        <v>17.03</v>
      </c>
      <c r="K106" s="108"/>
      <c r="L106" s="108"/>
      <c r="M106" s="108"/>
      <c r="N106" s="108"/>
      <c r="O106" s="108"/>
      <c r="P106" s="108"/>
      <c r="Q106" s="108"/>
      <c r="R106" s="108"/>
      <c r="S106" s="108"/>
      <c r="T106" s="108"/>
      <c r="V106" s="60"/>
      <c r="W106" s="60"/>
      <c r="X106" s="60"/>
      <c r="Y106" s="60"/>
      <c r="Z106" s="60"/>
      <c r="AA106" s="60"/>
      <c r="AB106" s="60"/>
      <c r="AC106" s="60"/>
    </row>
    <row r="107" spans="2:29" ht="15" customHeight="1" x14ac:dyDescent="0.5">
      <c r="B107" s="1162" t="s">
        <v>2724</v>
      </c>
      <c r="C107" s="1163" t="s">
        <v>2942</v>
      </c>
      <c r="D107" s="1163" t="s">
        <v>4744</v>
      </c>
      <c r="E107" s="1164"/>
      <c r="F107" s="1165">
        <v>29902</v>
      </c>
      <c r="G107" s="1166" t="s">
        <v>4585</v>
      </c>
      <c r="H107" s="1167">
        <v>15</v>
      </c>
      <c r="I107" s="1168">
        <f>IF(DAY($F107)&gt;15, VLOOKUP(EOMONTH($F107,-1),'WP 3.1 Rate Case Regress.'!$C$5:$D$556,2,FALSE), VLOOKUP(EOMONTH($F107, -2), 'WP 3.1 Rate Case Regress.'!$C$5:$D$556, 2, FALSE))</f>
        <v>17.03</v>
      </c>
      <c r="K107" s="108"/>
      <c r="L107" s="108"/>
      <c r="M107" s="108"/>
      <c r="N107" s="108"/>
      <c r="O107" s="108"/>
      <c r="P107" s="108"/>
      <c r="Q107" s="108"/>
      <c r="R107" s="108"/>
      <c r="S107" s="108"/>
      <c r="T107" s="108"/>
      <c r="V107" s="60"/>
      <c r="W107" s="60"/>
      <c r="X107" s="60"/>
      <c r="Y107" s="60"/>
      <c r="Z107" s="60"/>
      <c r="AA107" s="60"/>
      <c r="AB107" s="60"/>
      <c r="AC107" s="60"/>
    </row>
    <row r="108" spans="2:29" ht="15" customHeight="1" x14ac:dyDescent="0.5">
      <c r="B108" s="1162" t="s">
        <v>2723</v>
      </c>
      <c r="C108" s="1163" t="s">
        <v>2730</v>
      </c>
      <c r="D108" s="1163" t="s">
        <v>3021</v>
      </c>
      <c r="E108" s="1164"/>
      <c r="F108" s="1165">
        <v>29915</v>
      </c>
      <c r="G108" s="1166" t="s">
        <v>2695</v>
      </c>
      <c r="H108" s="1167">
        <v>16.100000000000001</v>
      </c>
      <c r="I108" s="1168">
        <f>IF(DAY($F108)&gt;15, VLOOKUP(EOMONTH($F108,-1),'WP 3.1 Rate Case Regress.'!$C$5:$D$556,2,FALSE), VLOOKUP(EOMONTH($F108, -2), 'WP 3.1 Rate Case Regress.'!$C$5:$D$556, 2, FALSE))</f>
        <v>17.254999999999999</v>
      </c>
      <c r="K108" s="108"/>
      <c r="L108" s="108"/>
      <c r="M108" s="108"/>
      <c r="N108" s="108"/>
      <c r="O108" s="108"/>
      <c r="P108" s="108"/>
      <c r="Q108" s="108"/>
      <c r="R108" s="108"/>
      <c r="S108" s="108"/>
      <c r="T108" s="108"/>
      <c r="V108" s="60"/>
      <c r="W108" s="60"/>
      <c r="X108" s="60"/>
      <c r="Y108" s="60"/>
      <c r="Z108" s="60"/>
      <c r="AA108" s="60"/>
      <c r="AB108" s="60"/>
      <c r="AC108" s="60"/>
    </row>
    <row r="109" spans="2:29" ht="15" customHeight="1" x14ac:dyDescent="0.5">
      <c r="B109" s="1162" t="s">
        <v>2723</v>
      </c>
      <c r="C109" s="1163" t="s">
        <v>2730</v>
      </c>
      <c r="D109" s="1163" t="s">
        <v>3022</v>
      </c>
      <c r="E109" s="1164"/>
      <c r="F109" s="1165">
        <v>29915</v>
      </c>
      <c r="G109" s="1166" t="s">
        <v>2695</v>
      </c>
      <c r="H109" s="1167">
        <v>16.100000000000001</v>
      </c>
      <c r="I109" s="1168">
        <f>IF(DAY($F109)&gt;15, VLOOKUP(EOMONTH($F109,-1),'WP 3.1 Rate Case Regress.'!$C$5:$D$556,2,FALSE), VLOOKUP(EOMONTH($F109, -2), 'WP 3.1 Rate Case Regress.'!$C$5:$D$556, 2, FALSE))</f>
        <v>17.254999999999999</v>
      </c>
      <c r="K109" s="108"/>
      <c r="L109" s="108"/>
      <c r="M109" s="108"/>
      <c r="N109" s="108"/>
      <c r="O109" s="108"/>
      <c r="P109" s="108"/>
      <c r="Q109" s="108"/>
      <c r="R109" s="108"/>
      <c r="S109" s="108"/>
      <c r="T109" s="108"/>
      <c r="V109" s="60"/>
      <c r="W109" s="60"/>
      <c r="X109" s="60"/>
      <c r="Y109" s="60"/>
      <c r="Z109" s="60"/>
      <c r="AA109" s="60"/>
      <c r="AB109" s="60"/>
      <c r="AC109" s="60"/>
    </row>
    <row r="110" spans="2:29" ht="15" customHeight="1" x14ac:dyDescent="0.5">
      <c r="B110" s="1162" t="s">
        <v>2736</v>
      </c>
      <c r="C110" s="1163" t="s">
        <v>2727</v>
      </c>
      <c r="D110" s="1163" t="s">
        <v>3023</v>
      </c>
      <c r="E110" s="1164"/>
      <c r="F110" s="1165">
        <v>29915</v>
      </c>
      <c r="G110" s="1166" t="s">
        <v>2695</v>
      </c>
      <c r="H110" s="1167">
        <v>15.25</v>
      </c>
      <c r="I110" s="1168">
        <f>IF(DAY($F110)&gt;15, VLOOKUP(EOMONTH($F110,-1),'WP 3.1 Rate Case Regress.'!$C$5:$D$556,2,FALSE), VLOOKUP(EOMONTH($F110, -2), 'WP 3.1 Rate Case Regress.'!$C$5:$D$556, 2, FALSE))</f>
        <v>17.254999999999999</v>
      </c>
      <c r="K110" s="108"/>
      <c r="L110" s="108"/>
      <c r="M110" s="108"/>
      <c r="N110" s="108"/>
      <c r="O110" s="108"/>
      <c r="P110" s="108"/>
      <c r="Q110" s="108"/>
      <c r="R110" s="108"/>
      <c r="S110" s="108"/>
      <c r="T110" s="108"/>
      <c r="V110" s="60"/>
      <c r="W110" s="60"/>
      <c r="X110" s="60"/>
      <c r="Y110" s="60"/>
      <c r="Z110" s="60"/>
      <c r="AA110" s="60"/>
      <c r="AB110" s="60"/>
      <c r="AC110" s="60"/>
    </row>
    <row r="111" spans="2:29" ht="15" customHeight="1" x14ac:dyDescent="0.5">
      <c r="B111" s="1162" t="s">
        <v>2717</v>
      </c>
      <c r="C111" s="1163" t="s">
        <v>2939</v>
      </c>
      <c r="D111" s="1163" t="s">
        <v>3024</v>
      </c>
      <c r="E111" s="1164"/>
      <c r="F111" s="1165">
        <v>29920</v>
      </c>
      <c r="G111" s="1166" t="s">
        <v>2695</v>
      </c>
      <c r="H111" s="1167">
        <v>16.75</v>
      </c>
      <c r="I111" s="1168">
        <f>IF(DAY($F111)&gt;15, VLOOKUP(EOMONTH($F111,-1),'WP 3.1 Rate Case Regress.'!$C$5:$D$556,2,FALSE), VLOOKUP(EOMONTH($F111, -2), 'WP 3.1 Rate Case Regress.'!$C$5:$D$556, 2, FALSE))</f>
        <v>17.254999999999999</v>
      </c>
      <c r="K111" s="108"/>
      <c r="L111" s="108"/>
      <c r="M111" s="108"/>
      <c r="N111" s="108"/>
      <c r="O111" s="108"/>
      <c r="P111" s="108"/>
      <c r="Q111" s="108"/>
      <c r="R111" s="108"/>
      <c r="S111" s="108"/>
      <c r="T111" s="108"/>
      <c r="V111" s="60"/>
      <c r="W111" s="60"/>
      <c r="X111" s="60"/>
      <c r="Y111" s="60"/>
      <c r="Z111" s="60"/>
      <c r="AA111" s="60"/>
      <c r="AB111" s="60"/>
      <c r="AC111" s="60"/>
    </row>
    <row r="112" spans="2:29" ht="15" customHeight="1" x14ac:dyDescent="0.5">
      <c r="B112" s="1162" t="s">
        <v>2704</v>
      </c>
      <c r="C112" s="1163" t="s">
        <v>2707</v>
      </c>
      <c r="D112" s="1163" t="s">
        <v>3025</v>
      </c>
      <c r="E112" s="1164"/>
      <c r="F112" s="1165">
        <v>29921</v>
      </c>
      <c r="G112" s="1166" t="s">
        <v>2695</v>
      </c>
      <c r="H112" s="1167">
        <v>16</v>
      </c>
      <c r="I112" s="1168">
        <f>IF(DAY($F112)&gt;15, VLOOKUP(EOMONTH($F112,-1),'WP 3.1 Rate Case Regress.'!$C$5:$D$556,2,FALSE), VLOOKUP(EOMONTH($F112, -2), 'WP 3.1 Rate Case Regress.'!$C$5:$D$556, 2, FALSE))</f>
        <v>17.254999999999999</v>
      </c>
      <c r="K112" s="108"/>
      <c r="L112" s="108"/>
      <c r="M112" s="108"/>
      <c r="N112" s="108"/>
      <c r="O112" s="108"/>
      <c r="P112" s="108"/>
      <c r="Q112" s="108"/>
      <c r="R112" s="108"/>
      <c r="S112" s="108"/>
      <c r="T112" s="108"/>
      <c r="V112" s="60"/>
      <c r="W112" s="60"/>
      <c r="X112" s="60"/>
      <c r="Y112" s="60"/>
      <c r="Z112" s="60"/>
      <c r="AA112" s="60"/>
      <c r="AB112" s="60"/>
      <c r="AC112" s="60"/>
    </row>
    <row r="113" spans="2:29" ht="15" customHeight="1" x14ac:dyDescent="0.5">
      <c r="B113" s="1162" t="s">
        <v>2715</v>
      </c>
      <c r="C113" s="1163" t="s">
        <v>2716</v>
      </c>
      <c r="D113" s="1163" t="s">
        <v>3026</v>
      </c>
      <c r="E113" s="1164"/>
      <c r="F113" s="1165">
        <v>29921</v>
      </c>
      <c r="G113" s="1166" t="s">
        <v>2695</v>
      </c>
      <c r="H113" s="1167">
        <v>15.7</v>
      </c>
      <c r="I113" s="1168">
        <f>IF(DAY($F113)&gt;15, VLOOKUP(EOMONTH($F113,-1),'WP 3.1 Rate Case Regress.'!$C$5:$D$556,2,FALSE), VLOOKUP(EOMONTH($F113, -2), 'WP 3.1 Rate Case Regress.'!$C$5:$D$556, 2, FALSE))</f>
        <v>17.254999999999999</v>
      </c>
      <c r="K113" s="108"/>
      <c r="L113" s="108"/>
      <c r="M113" s="108"/>
      <c r="N113" s="108"/>
      <c r="O113" s="108"/>
      <c r="P113" s="108"/>
      <c r="Q113" s="108"/>
      <c r="R113" s="108"/>
      <c r="S113" s="108"/>
      <c r="T113" s="108"/>
      <c r="V113" s="60"/>
      <c r="W113" s="60"/>
      <c r="X113" s="60"/>
      <c r="Y113" s="60"/>
      <c r="Z113" s="60"/>
      <c r="AA113" s="60"/>
      <c r="AB113" s="60"/>
      <c r="AC113" s="60"/>
    </row>
    <row r="114" spans="2:29" ht="15" customHeight="1" x14ac:dyDescent="0.5">
      <c r="B114" s="1162" t="s">
        <v>2758</v>
      </c>
      <c r="C114" s="1163" t="s">
        <v>2759</v>
      </c>
      <c r="D114" s="1163" t="s">
        <v>3027</v>
      </c>
      <c r="E114" s="1164"/>
      <c r="F114" s="1165">
        <v>29935</v>
      </c>
      <c r="G114" s="1166" t="s">
        <v>2695</v>
      </c>
      <c r="H114" s="1167">
        <v>15.81</v>
      </c>
      <c r="I114" s="1168">
        <f>IF(DAY($F114)&gt;15, VLOOKUP(EOMONTH($F114,-1),'WP 3.1 Rate Case Regress.'!$C$5:$D$556,2,FALSE), VLOOKUP(EOMONTH($F114, -2), 'WP 3.1 Rate Case Regress.'!$C$5:$D$556, 2, FALSE))</f>
        <v>17.254999999999999</v>
      </c>
      <c r="K114" s="108"/>
      <c r="L114" s="108"/>
      <c r="M114" s="108"/>
      <c r="N114" s="108"/>
      <c r="O114" s="108"/>
      <c r="P114" s="108"/>
      <c r="Q114" s="108"/>
      <c r="R114" s="108"/>
      <c r="S114" s="108"/>
      <c r="T114" s="108"/>
      <c r="V114" s="60"/>
      <c r="W114" s="60"/>
      <c r="X114" s="60"/>
      <c r="Y114" s="60"/>
      <c r="Z114" s="60"/>
      <c r="AA114" s="60"/>
      <c r="AB114" s="60"/>
      <c r="AC114" s="60"/>
    </row>
    <row r="115" spans="2:29" ht="15" customHeight="1" x14ac:dyDescent="0.5">
      <c r="B115" s="1162" t="s">
        <v>2712</v>
      </c>
      <c r="C115" s="1163" t="s">
        <v>3255</v>
      </c>
      <c r="D115" s="1163" t="s">
        <v>4745</v>
      </c>
      <c r="E115" s="1164"/>
      <c r="F115" s="1165">
        <v>29937</v>
      </c>
      <c r="G115" s="1166" t="s">
        <v>4585</v>
      </c>
      <c r="H115" s="1167">
        <v>14.75</v>
      </c>
      <c r="I115" s="1168">
        <f>IF(DAY($F115)&gt;15, VLOOKUP(EOMONTH($F115,-1),'WP 3.1 Rate Case Regress.'!$C$5:$D$556,2,FALSE), VLOOKUP(EOMONTH($F115, -2), 'WP 3.1 Rate Case Regress.'!$C$5:$D$556, 2, FALSE))</f>
        <v>16.414999999999999</v>
      </c>
      <c r="K115" s="108"/>
      <c r="L115" s="108"/>
      <c r="M115" s="108"/>
      <c r="N115" s="108"/>
      <c r="O115" s="108"/>
      <c r="P115" s="108"/>
      <c r="Q115" s="108"/>
      <c r="R115" s="108"/>
      <c r="S115" s="108"/>
      <c r="T115" s="108"/>
      <c r="V115" s="60"/>
      <c r="W115" s="60"/>
      <c r="X115" s="60"/>
      <c r="Y115" s="60"/>
      <c r="Z115" s="60"/>
      <c r="AA115" s="60"/>
      <c r="AB115" s="60"/>
      <c r="AC115" s="60"/>
    </row>
    <row r="116" spans="2:29" ht="15" customHeight="1" x14ac:dyDescent="0.5">
      <c r="B116" s="1162" t="s">
        <v>2699</v>
      </c>
      <c r="C116" s="1163" t="s">
        <v>2628</v>
      </c>
      <c r="D116" s="1163" t="s">
        <v>3028</v>
      </c>
      <c r="E116" s="1164"/>
      <c r="F116" s="1165">
        <v>29942</v>
      </c>
      <c r="G116" s="1166" t="s">
        <v>2695</v>
      </c>
      <c r="H116" s="1167">
        <v>16</v>
      </c>
      <c r="I116" s="1168">
        <f>IF(DAY($F116)&gt;15, VLOOKUP(EOMONTH($F116,-1),'WP 3.1 Rate Case Regress.'!$C$5:$D$556,2,FALSE), VLOOKUP(EOMONTH($F116, -2), 'WP 3.1 Rate Case Regress.'!$C$5:$D$556, 2, FALSE))</f>
        <v>16.414999999999999</v>
      </c>
      <c r="K116" s="108"/>
      <c r="L116" s="108"/>
      <c r="M116" s="108"/>
      <c r="N116" s="108"/>
      <c r="O116" s="108"/>
      <c r="P116" s="108"/>
      <c r="Q116" s="108"/>
      <c r="R116" s="108"/>
      <c r="S116" s="108"/>
      <c r="T116" s="108"/>
      <c r="V116" s="60"/>
      <c r="W116" s="60"/>
      <c r="X116" s="60"/>
      <c r="Y116" s="60"/>
      <c r="Z116" s="60"/>
      <c r="AA116" s="60"/>
      <c r="AB116" s="60"/>
      <c r="AC116" s="60"/>
    </row>
    <row r="117" spans="2:29" ht="15" customHeight="1" x14ac:dyDescent="0.5">
      <c r="B117" s="1162" t="s">
        <v>2704</v>
      </c>
      <c r="C117" s="1163" t="s">
        <v>2910</v>
      </c>
      <c r="D117" s="1163" t="s">
        <v>3029</v>
      </c>
      <c r="E117" s="1164"/>
      <c r="F117" s="1165">
        <v>29942</v>
      </c>
      <c r="G117" s="1166" t="s">
        <v>2695</v>
      </c>
      <c r="H117" s="1167">
        <v>15.7</v>
      </c>
      <c r="I117" s="1168">
        <f>IF(DAY($F117)&gt;15, VLOOKUP(EOMONTH($F117,-1),'WP 3.1 Rate Case Regress.'!$C$5:$D$556,2,FALSE), VLOOKUP(EOMONTH($F117, -2), 'WP 3.1 Rate Case Regress.'!$C$5:$D$556, 2, FALSE))</f>
        <v>16.414999999999999</v>
      </c>
      <c r="K117" s="108"/>
      <c r="L117" s="108"/>
      <c r="M117" s="108"/>
      <c r="N117" s="108"/>
      <c r="O117" s="108"/>
      <c r="P117" s="108"/>
      <c r="Q117" s="108"/>
      <c r="R117" s="108"/>
      <c r="S117" s="108"/>
      <c r="T117" s="108"/>
      <c r="V117" s="60"/>
      <c r="W117" s="60"/>
      <c r="X117" s="60"/>
      <c r="Y117" s="60"/>
      <c r="Z117" s="60"/>
      <c r="AA117" s="60"/>
      <c r="AB117" s="60"/>
      <c r="AC117" s="60"/>
    </row>
    <row r="118" spans="2:29" ht="15" customHeight="1" x14ac:dyDescent="0.5">
      <c r="B118" s="1162" t="s">
        <v>2738</v>
      </c>
      <c r="C118" s="1163" t="s">
        <v>2741</v>
      </c>
      <c r="D118" s="1163" t="s">
        <v>3030</v>
      </c>
      <c r="E118" s="1164"/>
      <c r="F118" s="1165">
        <v>29950</v>
      </c>
      <c r="G118" s="1166" t="s">
        <v>2695</v>
      </c>
      <c r="H118" s="1167">
        <v>16.25</v>
      </c>
      <c r="I118" s="1168">
        <f>IF(DAY($F118)&gt;15, VLOOKUP(EOMONTH($F118,-1),'WP 3.1 Rate Case Regress.'!$C$5:$D$556,2,FALSE), VLOOKUP(EOMONTH($F118, -2), 'WP 3.1 Rate Case Regress.'!$C$5:$D$556, 2, FALSE))</f>
        <v>16.414999999999999</v>
      </c>
      <c r="K118" s="108"/>
      <c r="L118" s="108"/>
      <c r="M118" s="108"/>
      <c r="N118" s="108"/>
      <c r="O118" s="108"/>
      <c r="P118" s="108"/>
      <c r="Q118" s="108"/>
      <c r="R118" s="108"/>
      <c r="S118" s="108"/>
      <c r="T118" s="108"/>
      <c r="V118" s="60"/>
      <c r="W118" s="60"/>
      <c r="X118" s="60"/>
      <c r="Y118" s="60"/>
      <c r="Z118" s="60"/>
      <c r="AA118" s="60"/>
      <c r="AB118" s="60"/>
      <c r="AC118" s="60"/>
    </row>
    <row r="119" spans="2:29" ht="15" customHeight="1" x14ac:dyDescent="0.5">
      <c r="B119" s="1162" t="s">
        <v>2738</v>
      </c>
      <c r="C119" s="1163" t="s">
        <v>2760</v>
      </c>
      <c r="D119" s="1163" t="s">
        <v>3031</v>
      </c>
      <c r="E119" s="1164"/>
      <c r="F119" s="1165">
        <v>29950</v>
      </c>
      <c r="G119" s="1166" t="s">
        <v>2695</v>
      </c>
      <c r="H119" s="1167">
        <v>16</v>
      </c>
      <c r="I119" s="1168">
        <f>IF(DAY($F119)&gt;15, VLOOKUP(EOMONTH($F119,-1),'WP 3.1 Rate Case Regress.'!$C$5:$D$556,2,FALSE), VLOOKUP(EOMONTH($F119, -2), 'WP 3.1 Rate Case Regress.'!$C$5:$D$556, 2, FALSE))</f>
        <v>16.414999999999999</v>
      </c>
      <c r="K119" s="108"/>
      <c r="L119" s="108"/>
      <c r="M119" s="108"/>
      <c r="N119" s="108"/>
      <c r="O119" s="108"/>
      <c r="P119" s="108"/>
      <c r="Q119" s="108"/>
      <c r="R119" s="108"/>
      <c r="S119" s="108"/>
      <c r="T119" s="108"/>
      <c r="V119" s="60"/>
      <c r="W119" s="60"/>
      <c r="X119" s="60"/>
      <c r="Y119" s="60"/>
      <c r="Z119" s="60"/>
      <c r="AA119" s="60"/>
      <c r="AB119" s="60"/>
      <c r="AC119" s="60"/>
    </row>
    <row r="120" spans="2:29" ht="15" customHeight="1" x14ac:dyDescent="0.5">
      <c r="B120" s="1162" t="s">
        <v>2728</v>
      </c>
      <c r="C120" s="1163" t="s">
        <v>2729</v>
      </c>
      <c r="D120" s="1163" t="s">
        <v>3032</v>
      </c>
      <c r="E120" s="1164"/>
      <c r="F120" s="1165">
        <v>29955</v>
      </c>
      <c r="G120" s="1166" t="s">
        <v>2695</v>
      </c>
      <c r="H120" s="1167">
        <v>15.5</v>
      </c>
      <c r="I120" s="1168">
        <f>IF(DAY($F120)&gt;15, VLOOKUP(EOMONTH($F120,-1),'WP 3.1 Rate Case Regress.'!$C$5:$D$556,2,FALSE), VLOOKUP(EOMONTH($F120, -2), 'WP 3.1 Rate Case Regress.'!$C$5:$D$556, 2, FALSE))</f>
        <v>16.414999999999999</v>
      </c>
      <c r="K120" s="108"/>
      <c r="L120" s="108"/>
      <c r="M120" s="108"/>
      <c r="N120" s="108"/>
      <c r="O120" s="108"/>
      <c r="P120" s="108"/>
      <c r="Q120" s="108"/>
      <c r="R120" s="108"/>
      <c r="S120" s="108"/>
      <c r="T120" s="108"/>
      <c r="V120" s="60"/>
      <c r="W120" s="60"/>
      <c r="X120" s="60"/>
      <c r="Y120" s="60"/>
      <c r="Z120" s="60"/>
      <c r="AA120" s="60"/>
      <c r="AB120" s="60"/>
      <c r="AC120" s="60"/>
    </row>
    <row r="121" spans="2:29" ht="15" customHeight="1" x14ac:dyDescent="0.5">
      <c r="B121" s="1162" t="s">
        <v>2696</v>
      </c>
      <c r="C121" s="1163" t="s">
        <v>3195</v>
      </c>
      <c r="D121" s="1163" t="s">
        <v>4746</v>
      </c>
      <c r="E121" s="1164"/>
      <c r="F121" s="1165">
        <v>29965</v>
      </c>
      <c r="G121" s="1166" t="s">
        <v>4585</v>
      </c>
      <c r="H121" s="1167">
        <v>11.95</v>
      </c>
      <c r="I121" s="1168">
        <f>IF(DAY($F121)&gt;15, VLOOKUP(EOMONTH($F121,-1),'WP 3.1 Rate Case Regress.'!$C$5:$D$556,2,FALSE), VLOOKUP(EOMONTH($F121, -2), 'WP 3.1 Rate Case Regress.'!$C$5:$D$556, 2, FALSE))</f>
        <v>16.414999999999999</v>
      </c>
      <c r="K121" s="108"/>
      <c r="L121" s="108"/>
      <c r="M121" s="108"/>
      <c r="N121" s="108"/>
      <c r="O121" s="108"/>
      <c r="P121" s="108"/>
      <c r="Q121" s="108"/>
      <c r="R121" s="108"/>
      <c r="S121" s="108"/>
      <c r="T121" s="108"/>
      <c r="V121" s="60"/>
      <c r="W121" s="60"/>
      <c r="X121" s="60"/>
      <c r="Y121" s="60"/>
      <c r="Z121" s="60"/>
      <c r="AA121" s="60"/>
      <c r="AB121" s="60"/>
      <c r="AC121" s="60"/>
    </row>
    <row r="122" spans="2:29" ht="15" customHeight="1" x14ac:dyDescent="0.5">
      <c r="B122" s="1162" t="s">
        <v>2706</v>
      </c>
      <c r="C122" s="1163" t="s">
        <v>2906</v>
      </c>
      <c r="D122" s="1163" t="s">
        <v>3033</v>
      </c>
      <c r="E122" s="1164"/>
      <c r="F122" s="1165">
        <v>29976</v>
      </c>
      <c r="G122" s="1166" t="s">
        <v>2695</v>
      </c>
      <c r="H122" s="1167">
        <v>16.25</v>
      </c>
      <c r="I122" s="1168">
        <f>IF(DAY($F122)&gt;15, VLOOKUP(EOMONTH($F122,-1),'WP 3.1 Rate Case Regress.'!$C$5:$D$556,2,FALSE), VLOOKUP(EOMONTH($F122, -2), 'WP 3.1 Rate Case Regress.'!$C$5:$D$556, 2, FALSE))</f>
        <v>16.161999999999999</v>
      </c>
      <c r="K122" s="108"/>
      <c r="L122" s="108"/>
      <c r="M122" s="108"/>
      <c r="N122" s="108"/>
      <c r="O122" s="108"/>
      <c r="P122" s="108"/>
      <c r="Q122" s="108"/>
      <c r="R122" s="108"/>
      <c r="S122" s="108"/>
      <c r="T122" s="108"/>
      <c r="V122" s="60"/>
      <c r="W122" s="60"/>
      <c r="X122" s="60"/>
      <c r="Y122" s="60"/>
      <c r="Z122" s="60"/>
      <c r="AA122" s="60"/>
      <c r="AB122" s="60"/>
      <c r="AC122" s="60"/>
    </row>
    <row r="123" spans="2:29" ht="15" customHeight="1" x14ac:dyDescent="0.5">
      <c r="B123" s="1162" t="s">
        <v>2710</v>
      </c>
      <c r="C123" s="1163" t="s">
        <v>2761</v>
      </c>
      <c r="D123" s="1163" t="s">
        <v>3034</v>
      </c>
      <c r="E123" s="1164"/>
      <c r="F123" s="1165">
        <v>29978</v>
      </c>
      <c r="G123" s="1166" t="s">
        <v>2695</v>
      </c>
      <c r="H123" s="1167">
        <v>16.84</v>
      </c>
      <c r="I123" s="1168">
        <f>IF(DAY($F123)&gt;15, VLOOKUP(EOMONTH($F123,-1),'WP 3.1 Rate Case Regress.'!$C$5:$D$556,2,FALSE), VLOOKUP(EOMONTH($F123, -2), 'WP 3.1 Rate Case Regress.'!$C$5:$D$556, 2, FALSE))</f>
        <v>16.161999999999999</v>
      </c>
      <c r="K123" s="108"/>
      <c r="L123" s="108"/>
      <c r="M123" s="108"/>
      <c r="N123" s="108"/>
      <c r="O123" s="108"/>
      <c r="P123" s="108"/>
      <c r="Q123" s="108"/>
      <c r="R123" s="108"/>
      <c r="S123" s="108"/>
      <c r="T123" s="108"/>
      <c r="V123" s="60"/>
      <c r="W123" s="60"/>
      <c r="X123" s="60"/>
      <c r="Y123" s="60"/>
      <c r="Z123" s="60"/>
      <c r="AA123" s="60"/>
      <c r="AB123" s="60"/>
      <c r="AC123" s="60"/>
    </row>
    <row r="124" spans="2:29" ht="15" customHeight="1" x14ac:dyDescent="0.5">
      <c r="B124" s="1162" t="s">
        <v>2700</v>
      </c>
      <c r="C124" s="1163" t="s">
        <v>3035</v>
      </c>
      <c r="D124" s="1163" t="s">
        <v>3036</v>
      </c>
      <c r="E124" s="1164"/>
      <c r="F124" s="1165">
        <v>29982</v>
      </c>
      <c r="G124" s="1166" t="s">
        <v>2695</v>
      </c>
      <c r="H124" s="1167">
        <v>14</v>
      </c>
      <c r="I124" s="1168">
        <f>IF(DAY($F124)&gt;15, VLOOKUP(EOMONTH($F124,-1),'WP 3.1 Rate Case Regress.'!$C$5:$D$556,2,FALSE), VLOOKUP(EOMONTH($F124, -2), 'WP 3.1 Rate Case Regress.'!$C$5:$D$556, 2, FALSE))</f>
        <v>16.161999999999999</v>
      </c>
      <c r="K124" s="108"/>
      <c r="L124" s="108"/>
      <c r="M124" s="108"/>
      <c r="N124" s="108"/>
      <c r="O124" s="108"/>
      <c r="P124" s="108"/>
      <c r="Q124" s="108"/>
      <c r="R124" s="108"/>
      <c r="S124" s="108"/>
      <c r="T124" s="108"/>
      <c r="V124" s="60"/>
      <c r="W124" s="60"/>
      <c r="X124" s="60"/>
      <c r="Y124" s="60"/>
      <c r="Z124" s="60"/>
      <c r="AA124" s="60"/>
      <c r="AB124" s="60"/>
      <c r="AC124" s="60"/>
    </row>
    <row r="125" spans="2:29" ht="15" customHeight="1" x14ac:dyDescent="0.5">
      <c r="B125" s="1162" t="s">
        <v>2743</v>
      </c>
      <c r="C125" s="1163" t="s">
        <v>3012</v>
      </c>
      <c r="D125" s="1163" t="s">
        <v>3037</v>
      </c>
      <c r="E125" s="1164"/>
      <c r="F125" s="1165">
        <v>29984</v>
      </c>
      <c r="G125" s="1166" t="s">
        <v>2695</v>
      </c>
      <c r="H125" s="1167">
        <v>16.239999999999998</v>
      </c>
      <c r="I125" s="1168">
        <f>IF(DAY($F125)&gt;15, VLOOKUP(EOMONTH($F125,-1),'WP 3.1 Rate Case Regress.'!$C$5:$D$556,2,FALSE), VLOOKUP(EOMONTH($F125, -2), 'WP 3.1 Rate Case Regress.'!$C$5:$D$556, 2, FALSE))</f>
        <v>16.161999999999999</v>
      </c>
      <c r="K125" s="108"/>
      <c r="L125" s="108"/>
      <c r="M125" s="108"/>
      <c r="N125" s="108"/>
      <c r="O125" s="108"/>
      <c r="P125" s="108"/>
      <c r="Q125" s="108"/>
      <c r="R125" s="108"/>
      <c r="S125" s="108"/>
      <c r="T125" s="108"/>
      <c r="V125" s="60"/>
      <c r="W125" s="60"/>
      <c r="X125" s="60"/>
      <c r="Y125" s="60"/>
      <c r="Z125" s="60"/>
      <c r="AA125" s="60"/>
      <c r="AB125" s="60"/>
      <c r="AC125" s="60"/>
    </row>
    <row r="126" spans="2:29" ht="15" customHeight="1" x14ac:dyDescent="0.5">
      <c r="B126" s="1162" t="s">
        <v>2698</v>
      </c>
      <c r="C126" s="1163" t="s">
        <v>2722</v>
      </c>
      <c r="D126" s="1163" t="s">
        <v>3038</v>
      </c>
      <c r="E126" s="1164"/>
      <c r="F126" s="1165">
        <v>29990</v>
      </c>
      <c r="G126" s="1166" t="s">
        <v>2695</v>
      </c>
      <c r="H126" s="1167">
        <v>15.5</v>
      </c>
      <c r="I126" s="1168">
        <f>IF(DAY($F126)&gt;15, VLOOKUP(EOMONTH($F126,-1),'WP 3.1 Rate Case Regress.'!$C$5:$D$556,2,FALSE), VLOOKUP(EOMONTH($F126, -2), 'WP 3.1 Rate Case Regress.'!$C$5:$D$556, 2, FALSE))</f>
        <v>16.161999999999999</v>
      </c>
      <c r="K126" s="108"/>
      <c r="L126" s="108"/>
      <c r="M126" s="108"/>
      <c r="N126" s="108"/>
      <c r="O126" s="108"/>
      <c r="P126" s="108"/>
      <c r="Q126" s="108"/>
      <c r="R126" s="108"/>
      <c r="S126" s="108"/>
      <c r="T126" s="108"/>
      <c r="V126" s="60"/>
      <c r="W126" s="60"/>
      <c r="X126" s="60"/>
      <c r="Y126" s="60"/>
      <c r="Z126" s="60"/>
      <c r="AA126" s="60"/>
      <c r="AB126" s="60"/>
      <c r="AC126" s="60"/>
    </row>
    <row r="127" spans="2:29" ht="15" customHeight="1" x14ac:dyDescent="0.5">
      <c r="B127" s="1162" t="s">
        <v>2726</v>
      </c>
      <c r="C127" s="1163" t="s">
        <v>2946</v>
      </c>
      <c r="D127" s="1163" t="s">
        <v>3039</v>
      </c>
      <c r="E127" s="1164"/>
      <c r="F127" s="1165">
        <v>29991</v>
      </c>
      <c r="G127" s="1166" t="s">
        <v>2695</v>
      </c>
      <c r="H127" s="1167">
        <v>15.75</v>
      </c>
      <c r="I127" s="1168">
        <f>IF(DAY($F127)&gt;15, VLOOKUP(EOMONTH($F127,-1),'WP 3.1 Rate Case Regress.'!$C$5:$D$556,2,FALSE), VLOOKUP(EOMONTH($F127, -2), 'WP 3.1 Rate Case Regress.'!$C$5:$D$556, 2, FALSE))</f>
        <v>16.161999999999999</v>
      </c>
      <c r="K127" s="108"/>
      <c r="L127" s="108"/>
      <c r="M127" s="108"/>
      <c r="N127" s="108"/>
      <c r="O127" s="108"/>
      <c r="P127" s="108"/>
      <c r="Q127" s="108"/>
      <c r="R127" s="108"/>
      <c r="S127" s="108"/>
      <c r="T127" s="108"/>
      <c r="V127" s="60"/>
      <c r="W127" s="60"/>
      <c r="X127" s="60"/>
      <c r="Y127" s="60"/>
      <c r="Z127" s="60"/>
      <c r="AA127" s="60"/>
      <c r="AB127" s="60"/>
      <c r="AC127" s="60"/>
    </row>
    <row r="128" spans="2:29" ht="15" customHeight="1" x14ac:dyDescent="0.5">
      <c r="B128" s="1162" t="s">
        <v>2734</v>
      </c>
      <c r="C128" s="1163" t="s">
        <v>2895</v>
      </c>
      <c r="D128" s="1163" t="s">
        <v>3040</v>
      </c>
      <c r="E128" s="1164"/>
      <c r="F128" s="1165">
        <v>29991</v>
      </c>
      <c r="G128" s="1166" t="s">
        <v>2695</v>
      </c>
      <c r="H128" s="1167">
        <v>14.95</v>
      </c>
      <c r="I128" s="1168">
        <f>IF(DAY($F128)&gt;15, VLOOKUP(EOMONTH($F128,-1),'WP 3.1 Rate Case Regress.'!$C$5:$D$556,2,FALSE), VLOOKUP(EOMONTH($F128, -2), 'WP 3.1 Rate Case Regress.'!$C$5:$D$556, 2, FALSE))</f>
        <v>16.161999999999999</v>
      </c>
      <c r="K128" s="108"/>
      <c r="L128" s="108"/>
      <c r="M128" s="108"/>
      <c r="N128" s="108"/>
      <c r="O128" s="108"/>
      <c r="P128" s="108"/>
      <c r="Q128" s="108"/>
      <c r="R128" s="108"/>
      <c r="S128" s="108"/>
      <c r="T128" s="108"/>
      <c r="V128" s="60"/>
      <c r="W128" s="60"/>
      <c r="X128" s="60"/>
      <c r="Y128" s="60"/>
      <c r="Z128" s="60"/>
      <c r="AA128" s="60"/>
      <c r="AB128" s="60"/>
      <c r="AC128" s="60"/>
    </row>
    <row r="129" spans="2:29" ht="15" customHeight="1" x14ac:dyDescent="0.5">
      <c r="B129" s="1162" t="s">
        <v>2712</v>
      </c>
      <c r="C129" s="1163" t="s">
        <v>2713</v>
      </c>
      <c r="D129" s="1163" t="s">
        <v>3041</v>
      </c>
      <c r="E129" s="1164"/>
      <c r="F129" s="1165">
        <v>29993</v>
      </c>
      <c r="G129" s="1166" t="s">
        <v>2695</v>
      </c>
      <c r="H129" s="1167">
        <v>16</v>
      </c>
      <c r="I129" s="1168">
        <f>IF(DAY($F129)&gt;15, VLOOKUP(EOMONTH($F129,-1),'WP 3.1 Rate Case Regress.'!$C$5:$D$556,2,FALSE), VLOOKUP(EOMONTH($F129, -2), 'WP 3.1 Rate Case Regress.'!$C$5:$D$556, 2, FALSE))</f>
        <v>16.161999999999999</v>
      </c>
      <c r="K129" s="108"/>
      <c r="L129" s="108"/>
      <c r="M129" s="108"/>
      <c r="N129" s="108"/>
      <c r="O129" s="108"/>
      <c r="P129" s="108"/>
      <c r="Q129" s="108"/>
      <c r="R129" s="108"/>
      <c r="S129" s="108"/>
      <c r="T129" s="108"/>
      <c r="V129" s="60"/>
      <c r="W129" s="60"/>
      <c r="X129" s="60"/>
      <c r="Y129" s="60"/>
      <c r="Z129" s="60"/>
      <c r="AA129" s="60"/>
      <c r="AB129" s="60"/>
      <c r="AC129" s="60"/>
    </row>
    <row r="130" spans="2:29" ht="15" customHeight="1" x14ac:dyDescent="0.5">
      <c r="B130" s="1162" t="s">
        <v>2698</v>
      </c>
      <c r="C130" s="1163" t="s">
        <v>2895</v>
      </c>
      <c r="D130" s="1163" t="s">
        <v>3042</v>
      </c>
      <c r="E130" s="1164"/>
      <c r="F130" s="1165">
        <v>30011</v>
      </c>
      <c r="G130" s="1166" t="s">
        <v>2695</v>
      </c>
      <c r="H130" s="1167">
        <v>15.96</v>
      </c>
      <c r="I130" s="1168">
        <f>IF(DAY($F130)&gt;15, VLOOKUP(EOMONTH($F130,-1),'WP 3.1 Rate Case Regress.'!$C$5:$D$556,2,FALSE), VLOOKUP(EOMONTH($F130, -2), 'WP 3.1 Rate Case Regress.'!$C$5:$D$556, 2, FALSE))</f>
        <v>16.8</v>
      </c>
      <c r="K130" s="108"/>
      <c r="L130" s="108"/>
      <c r="M130" s="108"/>
      <c r="N130" s="108"/>
      <c r="O130" s="108"/>
      <c r="P130" s="108"/>
      <c r="Q130" s="108"/>
      <c r="R130" s="108"/>
      <c r="S130" s="108"/>
      <c r="T130" s="108"/>
      <c r="V130" s="60"/>
      <c r="W130" s="60"/>
      <c r="X130" s="60"/>
      <c r="Y130" s="60"/>
      <c r="Z130" s="60"/>
      <c r="AA130" s="60"/>
      <c r="AB130" s="60"/>
      <c r="AC130" s="60"/>
    </row>
    <row r="131" spans="2:29" ht="15" customHeight="1" x14ac:dyDescent="0.5">
      <c r="B131" s="1162" t="s">
        <v>2708</v>
      </c>
      <c r="C131" s="1163" t="s">
        <v>2709</v>
      </c>
      <c r="D131" s="1163" t="s">
        <v>3043</v>
      </c>
      <c r="E131" s="1164"/>
      <c r="F131" s="1165">
        <v>30013</v>
      </c>
      <c r="G131" s="1166" t="s">
        <v>2695</v>
      </c>
      <c r="H131" s="1167">
        <v>15</v>
      </c>
      <c r="I131" s="1168">
        <f>IF(DAY($F131)&gt;15, VLOOKUP(EOMONTH($F131,-1),'WP 3.1 Rate Case Regress.'!$C$5:$D$556,2,FALSE), VLOOKUP(EOMONTH($F131, -2), 'WP 3.1 Rate Case Regress.'!$C$5:$D$556, 2, FALSE))</f>
        <v>16.8</v>
      </c>
      <c r="K131" s="108"/>
      <c r="L131" s="108"/>
      <c r="M131" s="108"/>
      <c r="N131" s="108"/>
      <c r="O131" s="108"/>
      <c r="P131" s="108"/>
      <c r="Q131" s="108"/>
      <c r="R131" s="108"/>
      <c r="S131" s="108"/>
      <c r="T131" s="108"/>
      <c r="V131" s="60"/>
      <c r="W131" s="60"/>
      <c r="X131" s="60"/>
      <c r="Y131" s="60"/>
      <c r="Z131" s="60"/>
      <c r="AA131" s="60"/>
      <c r="AB131" s="60"/>
      <c r="AC131" s="60"/>
    </row>
    <row r="132" spans="2:29" ht="15" customHeight="1" x14ac:dyDescent="0.5">
      <c r="B132" s="1162" t="s">
        <v>2704</v>
      </c>
      <c r="C132" s="1163" t="s">
        <v>2705</v>
      </c>
      <c r="D132" s="1163" t="s">
        <v>3044</v>
      </c>
      <c r="E132" s="1164"/>
      <c r="F132" s="1165">
        <v>30018</v>
      </c>
      <c r="G132" s="1166" t="s">
        <v>2695</v>
      </c>
      <c r="H132" s="1167">
        <v>17.100000000000001</v>
      </c>
      <c r="I132" s="1168">
        <f>IF(DAY($F132)&gt;15, VLOOKUP(EOMONTH($F132,-1),'WP 3.1 Rate Case Regress.'!$C$5:$D$556,2,FALSE), VLOOKUP(EOMONTH($F132, -2), 'WP 3.1 Rate Case Regress.'!$C$5:$D$556, 2, FALSE))</f>
        <v>16.8</v>
      </c>
      <c r="K132" s="108"/>
      <c r="L132" s="108"/>
      <c r="M132" s="108"/>
      <c r="N132" s="108"/>
      <c r="O132" s="108"/>
      <c r="P132" s="108"/>
      <c r="Q132" s="108"/>
      <c r="R132" s="108"/>
      <c r="S132" s="108"/>
      <c r="T132" s="108"/>
      <c r="V132" s="60"/>
      <c r="W132" s="60"/>
      <c r="X132" s="60"/>
      <c r="Y132" s="60"/>
      <c r="Z132" s="60"/>
      <c r="AA132" s="60"/>
      <c r="AB132" s="60"/>
      <c r="AC132" s="60"/>
    </row>
    <row r="133" spans="2:29" ht="15" customHeight="1" x14ac:dyDescent="0.5">
      <c r="B133" s="1162" t="s">
        <v>2696</v>
      </c>
      <c r="C133" s="1163" t="s">
        <v>2910</v>
      </c>
      <c r="D133" s="1163" t="s">
        <v>3045</v>
      </c>
      <c r="E133" s="1164"/>
      <c r="F133" s="1165">
        <v>30036</v>
      </c>
      <c r="G133" s="1166" t="s">
        <v>2695</v>
      </c>
      <c r="H133" s="1167">
        <v>16</v>
      </c>
      <c r="I133" s="1168">
        <f>IF(DAY($F133)&gt;15, VLOOKUP(EOMONTH($F133,-1),'WP 3.1 Rate Case Regress.'!$C$5:$D$556,2,FALSE), VLOOKUP(EOMONTH($F133, -2), 'WP 3.1 Rate Case Regress.'!$C$5:$D$556, 2, FALSE))</f>
        <v>16.914999999999999</v>
      </c>
      <c r="K133" s="108"/>
      <c r="L133" s="108"/>
      <c r="M133" s="108"/>
      <c r="N133" s="108"/>
      <c r="O133" s="108"/>
      <c r="P133" s="108"/>
      <c r="Q133" s="108"/>
      <c r="R133" s="108"/>
      <c r="S133" s="108"/>
      <c r="T133" s="108"/>
      <c r="V133" s="60"/>
      <c r="W133" s="60"/>
      <c r="X133" s="60"/>
      <c r="Y133" s="60"/>
      <c r="Z133" s="60"/>
      <c r="AA133" s="60"/>
      <c r="AB133" s="60"/>
      <c r="AC133" s="60"/>
    </row>
    <row r="134" spans="2:29" ht="15" customHeight="1" x14ac:dyDescent="0.5">
      <c r="B134" s="1162" t="s">
        <v>2701</v>
      </c>
      <c r="C134" s="1163" t="s">
        <v>2900</v>
      </c>
      <c r="D134" s="1163" t="s">
        <v>3046</v>
      </c>
      <c r="E134" s="1164"/>
      <c r="F134" s="1165">
        <v>30041</v>
      </c>
      <c r="G134" s="1166" t="s">
        <v>2695</v>
      </c>
      <c r="H134" s="1167">
        <v>16.25</v>
      </c>
      <c r="I134" s="1168">
        <f>IF(DAY($F134)&gt;15, VLOOKUP(EOMONTH($F134,-1),'WP 3.1 Rate Case Regress.'!$C$5:$D$556,2,FALSE), VLOOKUP(EOMONTH($F134, -2), 'WP 3.1 Rate Case Regress.'!$C$5:$D$556, 2, FALSE))</f>
        <v>16.914999999999999</v>
      </c>
      <c r="K134" s="108"/>
      <c r="L134" s="108"/>
      <c r="M134" s="108"/>
      <c r="N134" s="108"/>
      <c r="O134" s="108"/>
      <c r="P134" s="108"/>
      <c r="Q134" s="108"/>
      <c r="R134" s="108"/>
      <c r="S134" s="108"/>
      <c r="T134" s="108"/>
      <c r="V134" s="60"/>
      <c r="W134" s="60"/>
      <c r="X134" s="60"/>
      <c r="Y134" s="60"/>
      <c r="Z134" s="60"/>
      <c r="AA134" s="60"/>
      <c r="AB134" s="60"/>
      <c r="AC134" s="60"/>
    </row>
    <row r="135" spans="2:29" ht="15" customHeight="1" x14ac:dyDescent="0.5">
      <c r="B135" s="1162" t="s">
        <v>2774</v>
      </c>
      <c r="C135" s="1163" t="s">
        <v>3493</v>
      </c>
      <c r="D135" s="1163" t="s">
        <v>4747</v>
      </c>
      <c r="E135" s="1164"/>
      <c r="F135" s="1165">
        <v>30042</v>
      </c>
      <c r="G135" s="1166" t="s">
        <v>4585</v>
      </c>
      <c r="H135" s="1167">
        <v>16.5</v>
      </c>
      <c r="I135" s="1168">
        <f>IF(DAY($F135)&gt;15, VLOOKUP(EOMONTH($F135,-1),'WP 3.1 Rate Case Regress.'!$C$5:$D$556,2,FALSE), VLOOKUP(EOMONTH($F135, -2), 'WP 3.1 Rate Case Regress.'!$C$5:$D$556, 2, FALSE))</f>
        <v>16.914999999999999</v>
      </c>
      <c r="K135" s="108"/>
      <c r="L135" s="108"/>
      <c r="M135" s="108"/>
      <c r="N135" s="108"/>
      <c r="O135" s="108"/>
      <c r="P135" s="108"/>
      <c r="Q135" s="108"/>
      <c r="R135" s="108"/>
      <c r="S135" s="108"/>
      <c r="T135" s="108"/>
      <c r="V135" s="60"/>
      <c r="W135" s="60"/>
      <c r="X135" s="60"/>
      <c r="Y135" s="60"/>
      <c r="Z135" s="60"/>
      <c r="AA135" s="60"/>
      <c r="AB135" s="60"/>
      <c r="AC135" s="60"/>
    </row>
    <row r="136" spans="2:29" ht="15" customHeight="1" x14ac:dyDescent="0.5">
      <c r="B136" s="1162" t="s">
        <v>2702</v>
      </c>
      <c r="C136" s="1163" t="s">
        <v>2903</v>
      </c>
      <c r="D136" s="1163" t="s">
        <v>3047</v>
      </c>
      <c r="E136" s="1164"/>
      <c r="F136" s="1165">
        <v>30047</v>
      </c>
      <c r="G136" s="1166" t="s">
        <v>2695</v>
      </c>
      <c r="H136" s="1167">
        <v>15</v>
      </c>
      <c r="I136" s="1168">
        <f>IF(DAY($F136)&gt;15, VLOOKUP(EOMONTH($F136,-1),'WP 3.1 Rate Case Regress.'!$C$5:$D$556,2,FALSE), VLOOKUP(EOMONTH($F136, -2), 'WP 3.1 Rate Case Regress.'!$C$5:$D$556, 2, FALSE))</f>
        <v>16.914999999999999</v>
      </c>
      <c r="K136" s="108"/>
      <c r="L136" s="108"/>
      <c r="M136" s="108"/>
      <c r="N136" s="108"/>
      <c r="O136" s="108"/>
      <c r="P136" s="108"/>
      <c r="Q136" s="108"/>
      <c r="R136" s="108"/>
      <c r="S136" s="108"/>
      <c r="T136" s="108"/>
      <c r="V136" s="60"/>
      <c r="W136" s="60"/>
      <c r="X136" s="60"/>
      <c r="Y136" s="60"/>
      <c r="Z136" s="60"/>
      <c r="AA136" s="60"/>
      <c r="AB136" s="60"/>
      <c r="AC136" s="60"/>
    </row>
    <row r="137" spans="2:29" ht="15" customHeight="1" x14ac:dyDescent="0.5">
      <c r="B137" s="1162" t="s">
        <v>2736</v>
      </c>
      <c r="C137" s="1163" t="s">
        <v>2980</v>
      </c>
      <c r="D137" s="1163" t="s">
        <v>3048</v>
      </c>
      <c r="E137" s="1164"/>
      <c r="F137" s="1165">
        <v>30050</v>
      </c>
      <c r="G137" s="1166" t="s">
        <v>2695</v>
      </c>
      <c r="H137" s="1167">
        <v>16.5</v>
      </c>
      <c r="I137" s="1168">
        <f>IF(DAY($F137)&gt;15, VLOOKUP(EOMONTH($F137,-1),'WP 3.1 Rate Case Regress.'!$C$5:$D$556,2,FALSE), VLOOKUP(EOMONTH($F137, -2), 'WP 3.1 Rate Case Regress.'!$C$5:$D$556, 2, FALSE))</f>
        <v>16.914999999999999</v>
      </c>
      <c r="K137" s="108"/>
      <c r="L137" s="108"/>
      <c r="M137" s="108"/>
      <c r="N137" s="108"/>
      <c r="O137" s="108"/>
      <c r="P137" s="108"/>
      <c r="Q137" s="108"/>
      <c r="R137" s="108"/>
      <c r="S137" s="108"/>
      <c r="T137" s="108"/>
      <c r="V137" s="60"/>
      <c r="W137" s="60"/>
      <c r="X137" s="60"/>
      <c r="Y137" s="60"/>
      <c r="Z137" s="60"/>
      <c r="AA137" s="60"/>
      <c r="AB137" s="60"/>
      <c r="AC137" s="60"/>
    </row>
    <row r="138" spans="2:29" ht="15" customHeight="1" x14ac:dyDescent="0.5">
      <c r="B138" s="1162" t="s">
        <v>2731</v>
      </c>
      <c r="C138" s="1163" t="s">
        <v>2939</v>
      </c>
      <c r="D138" s="1163" t="s">
        <v>3049</v>
      </c>
      <c r="E138" s="1164"/>
      <c r="F138" s="1165">
        <v>30053</v>
      </c>
      <c r="G138" s="1166" t="s">
        <v>2695</v>
      </c>
      <c r="H138" s="1167">
        <v>16.7</v>
      </c>
      <c r="I138" s="1168">
        <f>IF(DAY($F138)&gt;15, VLOOKUP(EOMONTH($F138,-1),'WP 3.1 Rate Case Regress.'!$C$5:$D$556,2,FALSE), VLOOKUP(EOMONTH($F138, -2), 'WP 3.1 Rate Case Regress.'!$C$5:$D$556, 2, FALSE))</f>
        <v>16.914999999999999</v>
      </c>
      <c r="K138" s="108"/>
      <c r="L138" s="108"/>
      <c r="M138" s="108"/>
      <c r="N138" s="108"/>
      <c r="O138" s="108"/>
      <c r="P138" s="108"/>
      <c r="Q138" s="108"/>
      <c r="R138" s="108"/>
      <c r="S138" s="108"/>
      <c r="T138" s="108"/>
      <c r="V138" s="60"/>
      <c r="W138" s="60"/>
      <c r="X138" s="60"/>
      <c r="Y138" s="60"/>
      <c r="Z138" s="60"/>
      <c r="AA138" s="60"/>
      <c r="AB138" s="60"/>
      <c r="AC138" s="60"/>
    </row>
    <row r="139" spans="2:29" ht="15" customHeight="1" x14ac:dyDescent="0.5">
      <c r="B139" s="1162" t="s">
        <v>2762</v>
      </c>
      <c r="C139" s="1163" t="s">
        <v>2746</v>
      </c>
      <c r="D139" s="1163" t="s">
        <v>3050</v>
      </c>
      <c r="E139" s="1164"/>
      <c r="F139" s="1165">
        <v>30053</v>
      </c>
      <c r="G139" s="1166" t="s">
        <v>2695</v>
      </c>
      <c r="H139" s="1167">
        <v>15.1</v>
      </c>
      <c r="I139" s="1168">
        <f>IF(DAY($F139)&gt;15, VLOOKUP(EOMONTH($F139,-1),'WP 3.1 Rate Case Regress.'!$C$5:$D$556,2,FALSE), VLOOKUP(EOMONTH($F139, -2), 'WP 3.1 Rate Case Regress.'!$C$5:$D$556, 2, FALSE))</f>
        <v>16.914999999999999</v>
      </c>
      <c r="K139" s="108"/>
      <c r="L139" s="108"/>
      <c r="M139" s="108"/>
      <c r="N139" s="108"/>
      <c r="O139" s="108"/>
      <c r="P139" s="108"/>
      <c r="Q139" s="108"/>
      <c r="R139" s="108"/>
      <c r="S139" s="108"/>
      <c r="T139" s="108"/>
      <c r="V139" s="60"/>
      <c r="W139" s="60"/>
      <c r="X139" s="60"/>
      <c r="Y139" s="60"/>
      <c r="Z139" s="60"/>
      <c r="AA139" s="60"/>
      <c r="AB139" s="60"/>
      <c r="AC139" s="60"/>
    </row>
    <row r="140" spans="2:29" ht="15" customHeight="1" x14ac:dyDescent="0.5">
      <c r="B140" s="1162" t="s">
        <v>2740</v>
      </c>
      <c r="C140" s="1163" t="s">
        <v>2746</v>
      </c>
      <c r="D140" s="1163" t="s">
        <v>3051</v>
      </c>
      <c r="E140" s="1164"/>
      <c r="F140" s="1165">
        <v>30059</v>
      </c>
      <c r="G140" s="1166" t="s">
        <v>2695</v>
      </c>
      <c r="H140" s="1167">
        <v>14.7</v>
      </c>
      <c r="I140" s="1168">
        <f>IF(DAY($F140)&gt;15, VLOOKUP(EOMONTH($F140,-1),'WP 3.1 Rate Case Regress.'!$C$5:$D$556,2,FALSE), VLOOKUP(EOMONTH($F140, -2), 'WP 3.1 Rate Case Regress.'!$C$5:$D$556, 2, FALSE))</f>
        <v>16.488</v>
      </c>
      <c r="K140" s="108"/>
      <c r="L140" s="108"/>
      <c r="M140" s="108"/>
      <c r="N140" s="108"/>
      <c r="O140" s="108"/>
      <c r="P140" s="108"/>
      <c r="Q140" s="108"/>
      <c r="R140" s="108"/>
      <c r="S140" s="108"/>
      <c r="T140" s="108"/>
      <c r="V140" s="60"/>
      <c r="W140" s="60"/>
      <c r="X140" s="60"/>
      <c r="Y140" s="60"/>
      <c r="Z140" s="60"/>
      <c r="AA140" s="60"/>
      <c r="AB140" s="60"/>
      <c r="AC140" s="60"/>
    </row>
    <row r="141" spans="2:29" ht="15" customHeight="1" x14ac:dyDescent="0.5">
      <c r="B141" s="1162" t="s">
        <v>2702</v>
      </c>
      <c r="C141" s="1163" t="s">
        <v>2748</v>
      </c>
      <c r="D141" s="1163" t="s">
        <v>3052</v>
      </c>
      <c r="E141" s="1164"/>
      <c r="F141" s="1165">
        <v>30068</v>
      </c>
      <c r="G141" s="1166" t="s">
        <v>2695</v>
      </c>
      <c r="H141" s="1167">
        <v>15</v>
      </c>
      <c r="I141" s="1168">
        <f>IF(DAY($F141)&gt;15, VLOOKUP(EOMONTH($F141,-1),'WP 3.1 Rate Case Regress.'!$C$5:$D$556,2,FALSE), VLOOKUP(EOMONTH($F141, -2), 'WP 3.1 Rate Case Regress.'!$C$5:$D$556, 2, FALSE))</f>
        <v>16.488</v>
      </c>
      <c r="K141" s="108"/>
      <c r="L141" s="108"/>
      <c r="M141" s="108"/>
      <c r="N141" s="108"/>
      <c r="O141" s="108"/>
      <c r="P141" s="108"/>
      <c r="Q141" s="108"/>
      <c r="R141" s="108"/>
      <c r="S141" s="108"/>
      <c r="T141" s="108"/>
      <c r="V141" s="60"/>
      <c r="W141" s="60"/>
      <c r="X141" s="60"/>
      <c r="Y141" s="60"/>
      <c r="Z141" s="60"/>
      <c r="AA141" s="60"/>
      <c r="AB141" s="60"/>
      <c r="AC141" s="60"/>
    </row>
    <row r="142" spans="2:29" ht="15" customHeight="1" x14ac:dyDescent="0.5">
      <c r="B142" s="1162" t="s">
        <v>2740</v>
      </c>
      <c r="C142" s="1163" t="s">
        <v>2964</v>
      </c>
      <c r="D142" s="1163" t="s">
        <v>3053</v>
      </c>
      <c r="E142" s="1164"/>
      <c r="F142" s="1165">
        <v>30081</v>
      </c>
      <c r="G142" s="1166" t="s">
        <v>2695</v>
      </c>
      <c r="H142" s="1167">
        <v>14.57</v>
      </c>
      <c r="I142" s="1168">
        <f>IF(DAY($F142)&gt;15, VLOOKUP(EOMONTH($F142,-1),'WP 3.1 Rate Case Regress.'!$C$5:$D$556,2,FALSE), VLOOKUP(EOMONTH($F142, -2), 'WP 3.1 Rate Case Regress.'!$C$5:$D$556, 2, FALSE))</f>
        <v>16.488</v>
      </c>
      <c r="K142" s="108"/>
      <c r="L142" s="108"/>
      <c r="M142" s="108"/>
      <c r="N142" s="108"/>
      <c r="O142" s="108"/>
      <c r="P142" s="108"/>
      <c r="Q142" s="108"/>
      <c r="R142" s="108"/>
      <c r="S142" s="108"/>
      <c r="T142" s="108"/>
      <c r="V142" s="60"/>
      <c r="W142" s="60"/>
      <c r="X142" s="60"/>
      <c r="Y142" s="60"/>
      <c r="Z142" s="60"/>
      <c r="AA142" s="60"/>
      <c r="AB142" s="60"/>
      <c r="AC142" s="60"/>
    </row>
    <row r="143" spans="2:29" ht="15" customHeight="1" x14ac:dyDescent="0.5">
      <c r="B143" s="1162" t="s">
        <v>2743</v>
      </c>
      <c r="C143" s="1163" t="s">
        <v>2969</v>
      </c>
      <c r="D143" s="1163" t="s">
        <v>3054</v>
      </c>
      <c r="E143" s="1164"/>
      <c r="F143" s="1165">
        <v>30085</v>
      </c>
      <c r="G143" s="1166" t="s">
        <v>2695</v>
      </c>
      <c r="H143" s="1167">
        <v>15.8</v>
      </c>
      <c r="I143" s="1168">
        <f>IF(DAY($F143)&gt;15, VLOOKUP(EOMONTH($F143,-1),'WP 3.1 Rate Case Regress.'!$C$5:$D$556,2,FALSE), VLOOKUP(EOMONTH($F143, -2), 'WP 3.1 Rate Case Regress.'!$C$5:$D$556, 2, FALSE))</f>
        <v>16.488</v>
      </c>
      <c r="K143" s="108"/>
      <c r="L143" s="108"/>
      <c r="M143" s="108"/>
      <c r="N143" s="108"/>
      <c r="O143" s="108"/>
      <c r="P143" s="108"/>
      <c r="Q143" s="108"/>
      <c r="R143" s="108"/>
      <c r="S143" s="108"/>
      <c r="T143" s="108"/>
      <c r="V143" s="60"/>
      <c r="W143" s="60"/>
      <c r="X143" s="60"/>
      <c r="Y143" s="60"/>
      <c r="Z143" s="60"/>
      <c r="AA143" s="60"/>
      <c r="AB143" s="60"/>
      <c r="AC143" s="60"/>
    </row>
    <row r="144" spans="2:29" ht="15" customHeight="1" x14ac:dyDescent="0.5">
      <c r="B144" s="1162" t="s">
        <v>2732</v>
      </c>
      <c r="C144" s="1163" t="s">
        <v>2944</v>
      </c>
      <c r="D144" s="1163" t="s">
        <v>3055</v>
      </c>
      <c r="E144" s="1164"/>
      <c r="F144" s="1165">
        <v>30091</v>
      </c>
      <c r="G144" s="1166" t="s">
        <v>2695</v>
      </c>
      <c r="H144" s="1167">
        <v>15.82</v>
      </c>
      <c r="I144" s="1168">
        <f>IF(DAY($F144)&gt;15, VLOOKUP(EOMONTH($F144,-1),'WP 3.1 Rate Case Regress.'!$C$5:$D$556,2,FALSE), VLOOKUP(EOMONTH($F144, -2), 'WP 3.1 Rate Case Regress.'!$C$5:$D$556, 2, FALSE))</f>
        <v>16.397500000000001</v>
      </c>
      <c r="K144" s="108"/>
      <c r="L144" s="108"/>
      <c r="M144" s="108"/>
      <c r="N144" s="108"/>
      <c r="O144" s="108"/>
      <c r="P144" s="108"/>
      <c r="Q144" s="108"/>
      <c r="R144" s="108"/>
      <c r="S144" s="108"/>
      <c r="T144" s="108"/>
      <c r="V144" s="60"/>
      <c r="W144" s="60"/>
      <c r="X144" s="60"/>
      <c r="Y144" s="60"/>
      <c r="Z144" s="60"/>
      <c r="AA144" s="60"/>
      <c r="AB144" s="60"/>
      <c r="AC144" s="60"/>
    </row>
    <row r="145" spans="2:29" ht="15" customHeight="1" x14ac:dyDescent="0.5">
      <c r="B145" s="1162" t="s">
        <v>2712</v>
      </c>
      <c r="C145" s="1163" t="s">
        <v>3333</v>
      </c>
      <c r="D145" s="1163" t="s">
        <v>4748</v>
      </c>
      <c r="E145" s="1164"/>
      <c r="F145" s="1165">
        <v>30092</v>
      </c>
      <c r="G145" s="1166" t="s">
        <v>4585</v>
      </c>
      <c r="H145" s="1167">
        <v>15.5</v>
      </c>
      <c r="I145" s="1168">
        <f>IF(DAY($F145)&gt;15, VLOOKUP(EOMONTH($F145,-1),'WP 3.1 Rate Case Regress.'!$C$5:$D$556,2,FALSE), VLOOKUP(EOMONTH($F145, -2), 'WP 3.1 Rate Case Regress.'!$C$5:$D$556, 2, FALSE))</f>
        <v>16.397500000000001</v>
      </c>
      <c r="K145" s="108"/>
      <c r="L145" s="108"/>
      <c r="M145" s="108"/>
      <c r="N145" s="108"/>
      <c r="O145" s="108"/>
      <c r="P145" s="108"/>
      <c r="Q145" s="108"/>
      <c r="R145" s="108"/>
      <c r="S145" s="108"/>
      <c r="T145" s="108"/>
      <c r="V145" s="60"/>
      <c r="W145" s="60"/>
      <c r="X145" s="60"/>
      <c r="Y145" s="60"/>
      <c r="Z145" s="60"/>
      <c r="AA145" s="60"/>
      <c r="AB145" s="60"/>
      <c r="AC145" s="60"/>
    </row>
    <row r="146" spans="2:29" ht="15" customHeight="1" x14ac:dyDescent="0.5">
      <c r="B146" s="1162" t="s">
        <v>2723</v>
      </c>
      <c r="C146" s="1163" t="s">
        <v>2921</v>
      </c>
      <c r="D146" s="1163" t="s">
        <v>3056</v>
      </c>
      <c r="E146" s="1164"/>
      <c r="F146" s="1165">
        <v>30096</v>
      </c>
      <c r="G146" s="1166" t="s">
        <v>2695</v>
      </c>
      <c r="H146" s="1167">
        <v>16.25</v>
      </c>
      <c r="I146" s="1168">
        <f>IF(DAY($F146)&gt;15, VLOOKUP(EOMONTH($F146,-1),'WP 3.1 Rate Case Regress.'!$C$5:$D$556,2,FALSE), VLOOKUP(EOMONTH($F146, -2), 'WP 3.1 Rate Case Regress.'!$C$5:$D$556, 2, FALSE))</f>
        <v>16.397500000000001</v>
      </c>
      <c r="K146" s="108"/>
      <c r="L146" s="108"/>
      <c r="M146" s="108"/>
      <c r="N146" s="108"/>
      <c r="O146" s="108"/>
      <c r="P146" s="108"/>
      <c r="Q146" s="108"/>
      <c r="R146" s="108"/>
      <c r="S146" s="108"/>
      <c r="T146" s="108"/>
      <c r="V146" s="60"/>
      <c r="W146" s="60"/>
      <c r="X146" s="60"/>
      <c r="Y146" s="60"/>
      <c r="Z146" s="60"/>
      <c r="AA146" s="60"/>
      <c r="AB146" s="60"/>
      <c r="AC146" s="60"/>
    </row>
    <row r="147" spans="2:29" ht="15" customHeight="1" x14ac:dyDescent="0.5">
      <c r="B147" s="1162" t="s">
        <v>2724</v>
      </c>
      <c r="C147" s="1163" t="s">
        <v>2925</v>
      </c>
      <c r="D147" s="1163" t="s">
        <v>3057</v>
      </c>
      <c r="E147" s="1164"/>
      <c r="F147" s="1165">
        <v>30104</v>
      </c>
      <c r="G147" s="1166" t="s">
        <v>2695</v>
      </c>
      <c r="H147" s="1167">
        <v>14.5</v>
      </c>
      <c r="I147" s="1168">
        <f>IF(DAY($F147)&gt;15, VLOOKUP(EOMONTH($F147,-1),'WP 3.1 Rate Case Regress.'!$C$5:$D$556,2,FALSE), VLOOKUP(EOMONTH($F147, -2), 'WP 3.1 Rate Case Regress.'!$C$5:$D$556, 2, FALSE))</f>
        <v>16.397500000000001</v>
      </c>
      <c r="K147" s="108"/>
      <c r="L147" s="108"/>
      <c r="M147" s="108"/>
      <c r="N147" s="108"/>
      <c r="O147" s="108"/>
      <c r="P147" s="108"/>
      <c r="Q147" s="108"/>
      <c r="R147" s="108"/>
      <c r="S147" s="108"/>
      <c r="T147" s="108"/>
      <c r="V147" s="60"/>
      <c r="W147" s="60"/>
      <c r="X147" s="60"/>
      <c r="Y147" s="60"/>
      <c r="Z147" s="60"/>
      <c r="AA147" s="60"/>
      <c r="AB147" s="60"/>
      <c r="AC147" s="60"/>
    </row>
    <row r="148" spans="2:29" ht="15" customHeight="1" x14ac:dyDescent="0.5">
      <c r="B148" s="1162" t="s">
        <v>2704</v>
      </c>
      <c r="C148" s="1163" t="s">
        <v>2908</v>
      </c>
      <c r="D148" s="1163" t="s">
        <v>3058</v>
      </c>
      <c r="E148" s="1164"/>
      <c r="F148" s="1165">
        <v>30109</v>
      </c>
      <c r="G148" s="1166" t="s">
        <v>2695</v>
      </c>
      <c r="H148" s="1167">
        <v>16</v>
      </c>
      <c r="I148" s="1168">
        <f>IF(DAY($F148)&gt;15, VLOOKUP(EOMONTH($F148,-1),'WP 3.1 Rate Case Regress.'!$C$5:$D$556,2,FALSE), VLOOKUP(EOMONTH($F148, -2), 'WP 3.1 Rate Case Regress.'!$C$5:$D$556, 2, FALSE))</f>
        <v>16.397500000000001</v>
      </c>
      <c r="K148" s="108"/>
      <c r="L148" s="108"/>
      <c r="M148" s="108"/>
      <c r="N148" s="108"/>
      <c r="O148" s="108"/>
      <c r="P148" s="108"/>
      <c r="Q148" s="108"/>
      <c r="R148" s="108"/>
      <c r="S148" s="108"/>
      <c r="T148" s="108"/>
      <c r="V148" s="60"/>
      <c r="W148" s="60"/>
      <c r="X148" s="60"/>
      <c r="Y148" s="60"/>
      <c r="Z148" s="60"/>
      <c r="AA148" s="60"/>
      <c r="AB148" s="60"/>
      <c r="AC148" s="60"/>
    </row>
    <row r="149" spans="2:29" ht="15" customHeight="1" x14ac:dyDescent="0.5">
      <c r="B149" s="1162" t="s">
        <v>2763</v>
      </c>
      <c r="C149" s="1163" t="s">
        <v>3059</v>
      </c>
      <c r="D149" s="1163" t="s">
        <v>3060</v>
      </c>
      <c r="E149" s="1164"/>
      <c r="F149" s="1165">
        <v>30125</v>
      </c>
      <c r="G149" s="1166" t="s">
        <v>2695</v>
      </c>
      <c r="H149" s="1167">
        <v>15.5</v>
      </c>
      <c r="I149" s="1168">
        <f>IF(DAY($F149)&gt;15, VLOOKUP(EOMONTH($F149,-1),'WP 3.1 Rate Case Regress.'!$C$5:$D$556,2,FALSE), VLOOKUP(EOMONTH($F149, -2), 'WP 3.1 Rate Case Regress.'!$C$5:$D$556, 2, FALSE))</f>
        <v>16.079999999999998</v>
      </c>
      <c r="K149" s="108"/>
      <c r="L149" s="108"/>
      <c r="M149" s="108"/>
      <c r="N149" s="108"/>
      <c r="O149" s="108"/>
      <c r="P149" s="108"/>
      <c r="Q149" s="108"/>
      <c r="R149" s="108"/>
      <c r="S149" s="108"/>
      <c r="T149" s="108"/>
      <c r="V149" s="60"/>
      <c r="W149" s="60"/>
      <c r="X149" s="60"/>
      <c r="Y149" s="60"/>
      <c r="Z149" s="60"/>
      <c r="AA149" s="60"/>
      <c r="AB149" s="60"/>
      <c r="AC149" s="60"/>
    </row>
    <row r="150" spans="2:29" ht="15" customHeight="1" x14ac:dyDescent="0.5">
      <c r="B150" s="1162" t="s">
        <v>2696</v>
      </c>
      <c r="C150" s="1163" t="s">
        <v>2697</v>
      </c>
      <c r="D150" s="1163" t="s">
        <v>3061</v>
      </c>
      <c r="E150" s="1164"/>
      <c r="F150" s="1165">
        <v>30127</v>
      </c>
      <c r="G150" s="1166" t="s">
        <v>2695</v>
      </c>
      <c r="H150" s="1167">
        <v>16.5</v>
      </c>
      <c r="I150" s="1168">
        <f>IF(DAY($F150)&gt;15, VLOOKUP(EOMONTH($F150,-1),'WP 3.1 Rate Case Regress.'!$C$5:$D$556,2,FALSE), VLOOKUP(EOMONTH($F150, -2), 'WP 3.1 Rate Case Regress.'!$C$5:$D$556, 2, FALSE))</f>
        <v>16.079999999999998</v>
      </c>
      <c r="K150" s="108"/>
      <c r="L150" s="108"/>
      <c r="M150" s="108"/>
      <c r="N150" s="108"/>
      <c r="O150" s="108"/>
      <c r="P150" s="108"/>
      <c r="Q150" s="108"/>
      <c r="R150" s="108"/>
      <c r="S150" s="108"/>
      <c r="T150" s="108"/>
      <c r="V150" s="60"/>
      <c r="W150" s="60"/>
      <c r="X150" s="60"/>
      <c r="Y150" s="60"/>
      <c r="Z150" s="60"/>
      <c r="AA150" s="60"/>
      <c r="AB150" s="60"/>
      <c r="AC150" s="60"/>
    </row>
    <row r="151" spans="2:29" ht="15" customHeight="1" x14ac:dyDescent="0.5">
      <c r="B151" s="1162" t="s">
        <v>2693</v>
      </c>
      <c r="C151" s="1163" t="s">
        <v>2742</v>
      </c>
      <c r="D151" s="1163" t="s">
        <v>3062</v>
      </c>
      <c r="E151" s="1164"/>
      <c r="F151" s="1165">
        <v>30133</v>
      </c>
      <c r="G151" s="1166" t="s">
        <v>2695</v>
      </c>
      <c r="H151" s="1167">
        <v>16</v>
      </c>
      <c r="I151" s="1168">
        <f>IF(DAY($F151)&gt;15, VLOOKUP(EOMONTH($F151,-1),'WP 3.1 Rate Case Regress.'!$C$5:$D$556,2,FALSE), VLOOKUP(EOMONTH($F151, -2), 'WP 3.1 Rate Case Regress.'!$C$5:$D$556, 2, FALSE))</f>
        <v>16.079999999999998</v>
      </c>
      <c r="K151" s="108"/>
      <c r="L151" s="108"/>
      <c r="M151" s="108"/>
      <c r="N151" s="108"/>
      <c r="O151" s="108"/>
      <c r="P151" s="108"/>
      <c r="Q151" s="108"/>
      <c r="R151" s="108"/>
      <c r="S151" s="108"/>
      <c r="T151" s="108"/>
      <c r="V151" s="60"/>
      <c r="W151" s="60"/>
      <c r="X151" s="60"/>
      <c r="Y151" s="60"/>
      <c r="Z151" s="60"/>
      <c r="AA151" s="60"/>
      <c r="AB151" s="60"/>
      <c r="AC151" s="60"/>
    </row>
    <row r="152" spans="2:29" ht="15" customHeight="1" x14ac:dyDescent="0.5">
      <c r="B152" s="1162" t="s">
        <v>2693</v>
      </c>
      <c r="C152" s="1163" t="s">
        <v>2629</v>
      </c>
      <c r="D152" s="1163" t="s">
        <v>3063</v>
      </c>
      <c r="E152" s="1164"/>
      <c r="F152" s="1165">
        <v>30133</v>
      </c>
      <c r="G152" s="1166" t="s">
        <v>2695</v>
      </c>
      <c r="H152" s="1167">
        <v>15.55</v>
      </c>
      <c r="I152" s="1168">
        <f>IF(DAY($F152)&gt;15, VLOOKUP(EOMONTH($F152,-1),'WP 3.1 Rate Case Regress.'!$C$5:$D$556,2,FALSE), VLOOKUP(EOMONTH($F152, -2), 'WP 3.1 Rate Case Regress.'!$C$5:$D$556, 2, FALSE))</f>
        <v>16.079999999999998</v>
      </c>
      <c r="K152" s="108"/>
      <c r="L152" s="108"/>
      <c r="M152" s="108"/>
      <c r="N152" s="108"/>
      <c r="O152" s="108"/>
      <c r="P152" s="108"/>
      <c r="Q152" s="108"/>
      <c r="R152" s="108"/>
      <c r="S152" s="108"/>
      <c r="T152" s="108"/>
      <c r="V152" s="60"/>
      <c r="W152" s="60"/>
      <c r="X152" s="60"/>
      <c r="Y152" s="60"/>
      <c r="Z152" s="60"/>
      <c r="AA152" s="60"/>
      <c r="AB152" s="60"/>
      <c r="AC152" s="60"/>
    </row>
    <row r="153" spans="2:29" ht="15" customHeight="1" x14ac:dyDescent="0.5">
      <c r="B153" s="1162" t="s">
        <v>2708</v>
      </c>
      <c r="C153" s="1163" t="s">
        <v>2747</v>
      </c>
      <c r="D153" s="1163" t="s">
        <v>3064</v>
      </c>
      <c r="E153" s="1164"/>
      <c r="F153" s="1165">
        <v>30134</v>
      </c>
      <c r="G153" s="1166" t="s">
        <v>2695</v>
      </c>
      <c r="H153" s="1167">
        <v>15.1</v>
      </c>
      <c r="I153" s="1168">
        <f>IF(DAY($F153)&gt;15, VLOOKUP(EOMONTH($F153,-1),'WP 3.1 Rate Case Regress.'!$C$5:$D$556,2,FALSE), VLOOKUP(EOMONTH($F153, -2), 'WP 3.1 Rate Case Regress.'!$C$5:$D$556, 2, FALSE))</f>
        <v>16.079999999999998</v>
      </c>
      <c r="K153" s="108"/>
      <c r="L153" s="108"/>
      <c r="M153" s="108"/>
      <c r="N153" s="108"/>
      <c r="O153" s="108"/>
      <c r="P153" s="108"/>
      <c r="Q153" s="108"/>
      <c r="R153" s="108"/>
      <c r="S153" s="108"/>
      <c r="T153" s="108"/>
      <c r="V153" s="60"/>
      <c r="W153" s="60"/>
      <c r="X153" s="60"/>
      <c r="Y153" s="60"/>
      <c r="Z153" s="60"/>
      <c r="AA153" s="60"/>
      <c r="AB153" s="60"/>
      <c r="AC153" s="60"/>
    </row>
    <row r="154" spans="2:29" ht="15" customHeight="1" x14ac:dyDescent="0.5">
      <c r="B154" s="1162" t="s">
        <v>2704</v>
      </c>
      <c r="C154" s="1163" t="s">
        <v>2927</v>
      </c>
      <c r="D154" s="1163" t="s">
        <v>3065</v>
      </c>
      <c r="E154" s="1164"/>
      <c r="F154" s="1165">
        <v>30145</v>
      </c>
      <c r="G154" s="1166" t="s">
        <v>2695</v>
      </c>
      <c r="H154" s="1167">
        <v>16.8</v>
      </c>
      <c r="I154" s="1168">
        <f>IF(DAY($F154)&gt;15, VLOOKUP(EOMONTH($F154,-1),'WP 3.1 Rate Case Regress.'!$C$5:$D$556,2,FALSE), VLOOKUP(EOMONTH($F154, -2), 'WP 3.1 Rate Case Regress.'!$C$5:$D$556, 2, FALSE))</f>
        <v>16.079999999999998</v>
      </c>
      <c r="K154" s="108"/>
      <c r="L154" s="108"/>
      <c r="M154" s="108"/>
      <c r="N154" s="108"/>
      <c r="O154" s="108"/>
      <c r="P154" s="108"/>
      <c r="Q154" s="108"/>
      <c r="R154" s="108"/>
      <c r="S154" s="108"/>
      <c r="T154" s="108"/>
      <c r="V154" s="60"/>
      <c r="W154" s="60"/>
      <c r="X154" s="60"/>
      <c r="Y154" s="60"/>
      <c r="Z154" s="60"/>
      <c r="AA154" s="60"/>
      <c r="AB154" s="60"/>
      <c r="AC154" s="60"/>
    </row>
    <row r="155" spans="2:29" ht="15" customHeight="1" x14ac:dyDescent="0.5">
      <c r="B155" s="1162" t="s">
        <v>2702</v>
      </c>
      <c r="C155" s="1163" t="s">
        <v>4701</v>
      </c>
      <c r="D155" s="1163" t="s">
        <v>3066</v>
      </c>
      <c r="E155" s="1164"/>
      <c r="F155" s="1165">
        <v>30154</v>
      </c>
      <c r="G155" s="1166" t="s">
        <v>2695</v>
      </c>
      <c r="H155" s="1167">
        <v>14.5</v>
      </c>
      <c r="I155" s="1168">
        <f>IF(DAY($F155)&gt;15, VLOOKUP(EOMONTH($F155,-1),'WP 3.1 Rate Case Regress.'!$C$5:$D$556,2,FALSE), VLOOKUP(EOMONTH($F155, -2), 'WP 3.1 Rate Case Regress.'!$C$5:$D$556, 2, FALSE))</f>
        <v>16.34</v>
      </c>
      <c r="K155" s="108"/>
      <c r="L155" s="108"/>
      <c r="M155" s="108"/>
      <c r="N155" s="108"/>
      <c r="O155" s="108"/>
      <c r="P155" s="108"/>
      <c r="Q155" s="108"/>
      <c r="R155" s="108"/>
      <c r="S155" s="108"/>
      <c r="T155" s="108"/>
      <c r="V155" s="60"/>
      <c r="W155" s="60"/>
      <c r="X155" s="60"/>
      <c r="Y155" s="60"/>
      <c r="Z155" s="60"/>
      <c r="AA155" s="60"/>
      <c r="AB155" s="60"/>
      <c r="AC155" s="60"/>
    </row>
    <row r="156" spans="2:29" ht="15" customHeight="1" x14ac:dyDescent="0.5">
      <c r="B156" s="1162" t="s">
        <v>2714</v>
      </c>
      <c r="C156" s="1163" t="s">
        <v>4648</v>
      </c>
      <c r="D156" s="1163" t="s">
        <v>4749</v>
      </c>
      <c r="E156" s="1164"/>
      <c r="F156" s="1165">
        <v>30160</v>
      </c>
      <c r="G156" s="1166" t="s">
        <v>4585</v>
      </c>
      <c r="H156" s="1167">
        <v>16.100000000000001</v>
      </c>
      <c r="I156" s="1168">
        <f>IF(DAY($F156)&gt;15, VLOOKUP(EOMONTH($F156,-1),'WP 3.1 Rate Case Regress.'!$C$5:$D$556,2,FALSE), VLOOKUP(EOMONTH($F156, -2), 'WP 3.1 Rate Case Regress.'!$C$5:$D$556, 2, FALSE))</f>
        <v>16.34</v>
      </c>
      <c r="K156" s="108"/>
      <c r="L156" s="108"/>
      <c r="M156" s="108"/>
      <c r="N156" s="108"/>
      <c r="O156" s="108"/>
      <c r="P156" s="108"/>
      <c r="Q156" s="108"/>
      <c r="R156" s="108"/>
      <c r="S156" s="108"/>
      <c r="T156" s="108"/>
      <c r="V156" s="60"/>
      <c r="W156" s="60"/>
      <c r="X156" s="60"/>
      <c r="Y156" s="60"/>
      <c r="Z156" s="60"/>
      <c r="AA156" s="60"/>
      <c r="AB156" s="60"/>
      <c r="AC156" s="60"/>
    </row>
    <row r="157" spans="2:29" ht="15" customHeight="1" x14ac:dyDescent="0.5">
      <c r="B157" s="1162" t="s">
        <v>2744</v>
      </c>
      <c r="C157" s="1163" t="s">
        <v>2972</v>
      </c>
      <c r="D157" s="1163" t="s">
        <v>3067</v>
      </c>
      <c r="E157" s="1164"/>
      <c r="F157" s="1165">
        <v>30162</v>
      </c>
      <c r="G157" s="1166" t="s">
        <v>2695</v>
      </c>
      <c r="H157" s="1167">
        <v>14.82</v>
      </c>
      <c r="I157" s="1168">
        <f>IF(DAY($F157)&gt;15, VLOOKUP(EOMONTH($F157,-1),'WP 3.1 Rate Case Regress.'!$C$5:$D$556,2,FALSE), VLOOKUP(EOMONTH($F157, -2), 'WP 3.1 Rate Case Regress.'!$C$5:$D$556, 2, FALSE))</f>
        <v>16.34</v>
      </c>
      <c r="K157" s="108"/>
      <c r="L157" s="108"/>
      <c r="M157" s="108"/>
      <c r="N157" s="108"/>
      <c r="O157" s="108"/>
      <c r="P157" s="108"/>
      <c r="Q157" s="108"/>
      <c r="R157" s="108"/>
      <c r="S157" s="108"/>
      <c r="T157" s="108"/>
      <c r="V157" s="60"/>
      <c r="W157" s="60"/>
      <c r="X157" s="60"/>
      <c r="Y157" s="60"/>
      <c r="Z157" s="60"/>
      <c r="AA157" s="60"/>
      <c r="AB157" s="60"/>
      <c r="AC157" s="60"/>
    </row>
    <row r="158" spans="2:29" ht="15" customHeight="1" x14ac:dyDescent="0.5">
      <c r="B158" s="1162" t="s">
        <v>2710</v>
      </c>
      <c r="C158" s="1163" t="s">
        <v>2923</v>
      </c>
      <c r="D158" s="1163" t="s">
        <v>3068</v>
      </c>
      <c r="E158" s="1164"/>
      <c r="F158" s="1165">
        <v>30167</v>
      </c>
      <c r="G158" s="1166" t="s">
        <v>2695</v>
      </c>
      <c r="H158" s="1167">
        <v>15.58</v>
      </c>
      <c r="I158" s="1168">
        <f>IF(DAY($F158)&gt;15, VLOOKUP(EOMONTH($F158,-1),'WP 3.1 Rate Case Regress.'!$C$5:$D$556,2,FALSE), VLOOKUP(EOMONTH($F158, -2), 'WP 3.1 Rate Case Regress.'!$C$5:$D$556, 2, FALSE))</f>
        <v>16.34</v>
      </c>
      <c r="K158" s="108"/>
      <c r="L158" s="108"/>
      <c r="M158" s="108"/>
      <c r="N158" s="108"/>
      <c r="O158" s="108"/>
      <c r="P158" s="108"/>
      <c r="Q158" s="108"/>
      <c r="R158" s="108"/>
      <c r="S158" s="108"/>
      <c r="T158" s="108"/>
      <c r="V158" s="60"/>
      <c r="W158" s="60"/>
      <c r="X158" s="60"/>
      <c r="Y158" s="60"/>
      <c r="Z158" s="60"/>
      <c r="AA158" s="60"/>
      <c r="AB158" s="60"/>
      <c r="AC158" s="60"/>
    </row>
    <row r="159" spans="2:29" ht="15" customHeight="1" x14ac:dyDescent="0.5">
      <c r="B159" s="1162" t="s">
        <v>2736</v>
      </c>
      <c r="C159" s="1163" t="s">
        <v>2980</v>
      </c>
      <c r="D159" s="1163" t="s">
        <v>3069</v>
      </c>
      <c r="E159" s="1164"/>
      <c r="F159" s="1165">
        <v>30169</v>
      </c>
      <c r="G159" s="1166" t="s">
        <v>2695</v>
      </c>
      <c r="H159" s="1167">
        <v>16.5</v>
      </c>
      <c r="I159" s="1168">
        <f>IF(DAY($F159)&gt;15, VLOOKUP(EOMONTH($F159,-1),'WP 3.1 Rate Case Regress.'!$C$5:$D$556,2,FALSE), VLOOKUP(EOMONTH($F159, -2), 'WP 3.1 Rate Case Regress.'!$C$5:$D$556, 2, FALSE))</f>
        <v>16.34</v>
      </c>
      <c r="K159" s="108"/>
      <c r="L159" s="108"/>
      <c r="M159" s="108"/>
      <c r="N159" s="108"/>
      <c r="O159" s="108"/>
      <c r="P159" s="108"/>
      <c r="Q159" s="108"/>
      <c r="R159" s="108"/>
      <c r="S159" s="108"/>
      <c r="T159" s="108"/>
      <c r="V159" s="60"/>
      <c r="W159" s="60"/>
      <c r="X159" s="60"/>
      <c r="Y159" s="60"/>
      <c r="Z159" s="60"/>
      <c r="AA159" s="60"/>
      <c r="AB159" s="60"/>
      <c r="AC159" s="60"/>
    </row>
    <row r="160" spans="2:29" ht="15" customHeight="1" x14ac:dyDescent="0.5">
      <c r="B160" s="1162" t="s">
        <v>2739</v>
      </c>
      <c r="C160" s="1163" t="s">
        <v>3070</v>
      </c>
      <c r="D160" s="1163" t="s">
        <v>3071</v>
      </c>
      <c r="E160" s="1164"/>
      <c r="F160" s="1165">
        <v>30174</v>
      </c>
      <c r="G160" s="1166" t="s">
        <v>2695</v>
      </c>
      <c r="H160" s="1167">
        <v>17.11</v>
      </c>
      <c r="I160" s="1168">
        <f>IF(DAY($F160)&gt;15, VLOOKUP(EOMONTH($F160,-1),'WP 3.1 Rate Case Regress.'!$C$5:$D$556,2,FALSE), VLOOKUP(EOMONTH($F160, -2), 'WP 3.1 Rate Case Regress.'!$C$5:$D$556, 2, FALSE))</f>
        <v>16.34</v>
      </c>
      <c r="K160" s="108"/>
      <c r="L160" s="108"/>
      <c r="M160" s="108"/>
      <c r="N160" s="108"/>
      <c r="O160" s="108"/>
      <c r="P160" s="108"/>
      <c r="Q160" s="108"/>
      <c r="R160" s="108"/>
      <c r="S160" s="108"/>
      <c r="T160" s="108"/>
      <c r="V160" s="60"/>
      <c r="W160" s="60"/>
      <c r="X160" s="60"/>
      <c r="Y160" s="60"/>
      <c r="Z160" s="60"/>
      <c r="AA160" s="60"/>
      <c r="AB160" s="60"/>
      <c r="AC160" s="60"/>
    </row>
    <row r="161" spans="2:29" ht="15" customHeight="1" x14ac:dyDescent="0.5">
      <c r="B161" s="1162" t="s">
        <v>2693</v>
      </c>
      <c r="C161" s="1163" t="s">
        <v>2709</v>
      </c>
      <c r="D161" s="1163" t="s">
        <v>3072</v>
      </c>
      <c r="E161" s="1164"/>
      <c r="F161" s="1165">
        <v>30188</v>
      </c>
      <c r="G161" s="1166" t="s">
        <v>2695</v>
      </c>
      <c r="H161" s="1167">
        <v>16</v>
      </c>
      <c r="I161" s="1168">
        <f>IF(DAY($F161)&gt;15, VLOOKUP(EOMONTH($F161,-1),'WP 3.1 Rate Case Regress.'!$C$5:$D$556,2,FALSE), VLOOKUP(EOMONTH($F161, -2), 'WP 3.1 Rate Case Regress.'!$C$5:$D$556, 2, FALSE))</f>
        <v>16.46</v>
      </c>
      <c r="K161" s="108"/>
      <c r="L161" s="108"/>
      <c r="M161" s="108"/>
      <c r="N161" s="108"/>
      <c r="O161" s="108"/>
      <c r="P161" s="108"/>
      <c r="Q161" s="108"/>
      <c r="R161" s="108"/>
      <c r="S161" s="108"/>
      <c r="T161" s="108"/>
      <c r="V161" s="60"/>
      <c r="W161" s="60"/>
      <c r="X161" s="60"/>
      <c r="Y161" s="60"/>
      <c r="Z161" s="60"/>
      <c r="AA161" s="60"/>
      <c r="AB161" s="60"/>
      <c r="AC161" s="60"/>
    </row>
    <row r="162" spans="2:29" ht="15" customHeight="1" x14ac:dyDescent="0.5">
      <c r="B162" s="1162" t="s">
        <v>2752</v>
      </c>
      <c r="C162" s="1163" t="s">
        <v>2753</v>
      </c>
      <c r="D162" s="1163" t="s">
        <v>3073</v>
      </c>
      <c r="E162" s="1164"/>
      <c r="F162" s="1165">
        <v>30193</v>
      </c>
      <c r="G162" s="1166" t="s">
        <v>2695</v>
      </c>
      <c r="H162" s="1167">
        <v>16.25</v>
      </c>
      <c r="I162" s="1168">
        <f>IF(DAY($F162)&gt;15, VLOOKUP(EOMONTH($F162,-1),'WP 3.1 Rate Case Regress.'!$C$5:$D$556,2,FALSE), VLOOKUP(EOMONTH($F162, -2), 'WP 3.1 Rate Case Regress.'!$C$5:$D$556, 2, FALSE))</f>
        <v>16.46</v>
      </c>
      <c r="K162" s="108"/>
      <c r="L162" s="108"/>
      <c r="M162" s="108"/>
      <c r="N162" s="108"/>
      <c r="O162" s="108"/>
      <c r="P162" s="108"/>
      <c r="Q162" s="108"/>
      <c r="R162" s="108"/>
      <c r="S162" s="108"/>
      <c r="T162" s="108"/>
      <c r="V162" s="60"/>
      <c r="W162" s="60"/>
      <c r="X162" s="60"/>
      <c r="Y162" s="60"/>
      <c r="Z162" s="60"/>
      <c r="AA162" s="60"/>
      <c r="AB162" s="60"/>
      <c r="AC162" s="60"/>
    </row>
    <row r="163" spans="2:29" ht="15" customHeight="1" x14ac:dyDescent="0.5">
      <c r="B163" s="1162" t="s">
        <v>2764</v>
      </c>
      <c r="C163" s="1163" t="s">
        <v>3074</v>
      </c>
      <c r="D163" s="1163" t="s">
        <v>3075</v>
      </c>
      <c r="E163" s="1164"/>
      <c r="F163" s="1165">
        <v>30197</v>
      </c>
      <c r="G163" s="1166" t="s">
        <v>2695</v>
      </c>
      <c r="H163" s="1167">
        <v>15.5</v>
      </c>
      <c r="I163" s="1168">
        <f>IF(DAY($F163)&gt;15, VLOOKUP(EOMONTH($F163,-1),'WP 3.1 Rate Case Regress.'!$C$5:$D$556,2,FALSE), VLOOKUP(EOMONTH($F163, -2), 'WP 3.1 Rate Case Regress.'!$C$5:$D$556, 2, FALSE))</f>
        <v>16.46</v>
      </c>
      <c r="K163" s="108"/>
      <c r="L163" s="108"/>
      <c r="M163" s="108"/>
      <c r="N163" s="108"/>
      <c r="O163" s="108"/>
      <c r="P163" s="108"/>
      <c r="Q163" s="108"/>
      <c r="R163" s="108"/>
      <c r="S163" s="108"/>
      <c r="T163" s="108"/>
      <c r="V163" s="60"/>
      <c r="W163" s="60"/>
      <c r="X163" s="60"/>
      <c r="Y163" s="60"/>
      <c r="Z163" s="60"/>
      <c r="AA163" s="60"/>
      <c r="AB163" s="60"/>
      <c r="AC163" s="60"/>
    </row>
    <row r="164" spans="2:29" ht="15" customHeight="1" x14ac:dyDescent="0.5">
      <c r="B164" s="1162" t="s">
        <v>2710</v>
      </c>
      <c r="C164" s="1163" t="s">
        <v>3000</v>
      </c>
      <c r="D164" s="1163" t="s">
        <v>3076</v>
      </c>
      <c r="E164" s="1164"/>
      <c r="F164" s="1165">
        <v>30203</v>
      </c>
      <c r="G164" s="1166" t="s">
        <v>2695</v>
      </c>
      <c r="H164" s="1167">
        <v>16.04</v>
      </c>
      <c r="I164" s="1168">
        <f>IF(DAY($F164)&gt;15, VLOOKUP(EOMONTH($F164,-1),'WP 3.1 Rate Case Regress.'!$C$5:$D$556,2,FALSE), VLOOKUP(EOMONTH($F164, -2), 'WP 3.1 Rate Case Regress.'!$C$5:$D$556, 2, FALSE))</f>
        <v>16.46</v>
      </c>
      <c r="K164" s="108"/>
      <c r="L164" s="108"/>
      <c r="M164" s="108"/>
      <c r="N164" s="108"/>
      <c r="O164" s="108"/>
      <c r="P164" s="108"/>
      <c r="Q164" s="108"/>
      <c r="R164" s="108"/>
      <c r="S164" s="108"/>
      <c r="T164" s="108"/>
      <c r="V164" s="60"/>
      <c r="W164" s="60"/>
      <c r="X164" s="60"/>
      <c r="Y164" s="60"/>
      <c r="Z164" s="60"/>
      <c r="AA164" s="60"/>
      <c r="AB164" s="60"/>
      <c r="AC164" s="60"/>
    </row>
    <row r="165" spans="2:29" ht="15" customHeight="1" x14ac:dyDescent="0.5">
      <c r="B165" s="1162" t="s">
        <v>2710</v>
      </c>
      <c r="C165" s="1163" t="s">
        <v>3000</v>
      </c>
      <c r="D165" s="1163" t="s">
        <v>3077</v>
      </c>
      <c r="E165" s="1164"/>
      <c r="F165" s="1165">
        <v>30209</v>
      </c>
      <c r="G165" s="1166" t="s">
        <v>2695</v>
      </c>
      <c r="H165" s="1167">
        <v>16.04</v>
      </c>
      <c r="I165" s="1168">
        <f>IF(DAY($F165)&gt;15, VLOOKUP(EOMONTH($F165,-1),'WP 3.1 Rate Case Regress.'!$C$5:$D$556,2,FALSE), VLOOKUP(EOMONTH($F165, -2), 'WP 3.1 Rate Case Regress.'!$C$5:$D$556, 2, FALSE))</f>
        <v>16.46</v>
      </c>
      <c r="K165" s="108"/>
      <c r="L165" s="108"/>
      <c r="M165" s="108"/>
      <c r="N165" s="108"/>
      <c r="O165" s="108"/>
      <c r="P165" s="108"/>
      <c r="Q165" s="108"/>
      <c r="R165" s="108"/>
      <c r="S165" s="108"/>
      <c r="T165" s="108"/>
      <c r="V165" s="60"/>
      <c r="W165" s="60"/>
      <c r="X165" s="60"/>
      <c r="Y165" s="60"/>
      <c r="Z165" s="60"/>
      <c r="AA165" s="60"/>
      <c r="AB165" s="60"/>
      <c r="AC165" s="60"/>
    </row>
    <row r="166" spans="2:29" ht="15" customHeight="1" x14ac:dyDescent="0.5">
      <c r="B166" s="1162" t="s">
        <v>2726</v>
      </c>
      <c r="C166" s="1163" t="s">
        <v>2727</v>
      </c>
      <c r="D166" s="1163" t="s">
        <v>3078</v>
      </c>
      <c r="E166" s="1164"/>
      <c r="F166" s="1165">
        <v>30211</v>
      </c>
      <c r="G166" s="1166" t="s">
        <v>2695</v>
      </c>
      <c r="H166" s="1167">
        <v>15.25</v>
      </c>
      <c r="I166" s="1168">
        <f>IF(DAY($F166)&gt;15, VLOOKUP(EOMONTH($F166,-1),'WP 3.1 Rate Case Regress.'!$C$5:$D$556,2,FALSE), VLOOKUP(EOMONTH($F166, -2), 'WP 3.1 Rate Case Regress.'!$C$5:$D$556, 2, FALSE))</f>
        <v>15.92</v>
      </c>
      <c r="K166" s="108"/>
      <c r="L166" s="108"/>
      <c r="M166" s="108"/>
      <c r="N166" s="108"/>
      <c r="O166" s="108"/>
      <c r="P166" s="108"/>
      <c r="Q166" s="108"/>
      <c r="R166" s="108"/>
      <c r="S166" s="108"/>
      <c r="T166" s="108"/>
      <c r="V166" s="60"/>
      <c r="W166" s="60"/>
      <c r="X166" s="60"/>
      <c r="Y166" s="60"/>
      <c r="Z166" s="60"/>
      <c r="AA166" s="60"/>
      <c r="AB166" s="60"/>
      <c r="AC166" s="60"/>
    </row>
    <row r="167" spans="2:29" ht="15" customHeight="1" x14ac:dyDescent="0.5">
      <c r="B167" s="1162" t="s">
        <v>2757</v>
      </c>
      <c r="C167" s="1163" t="s">
        <v>2765</v>
      </c>
      <c r="D167" s="1163" t="s">
        <v>3079</v>
      </c>
      <c r="E167" s="1164"/>
      <c r="F167" s="1165">
        <v>30223</v>
      </c>
      <c r="G167" s="1166" t="s">
        <v>2695</v>
      </c>
      <c r="H167" s="1167">
        <v>14.5</v>
      </c>
      <c r="I167" s="1168">
        <f>IF(DAY($F167)&gt;15, VLOOKUP(EOMONTH($F167,-1),'WP 3.1 Rate Case Regress.'!$C$5:$D$556,2,FALSE), VLOOKUP(EOMONTH($F167, -2), 'WP 3.1 Rate Case Regress.'!$C$5:$D$556, 2, FALSE))</f>
        <v>15.92</v>
      </c>
      <c r="K167" s="108"/>
      <c r="L167" s="108"/>
      <c r="M167" s="108"/>
      <c r="N167" s="108"/>
      <c r="O167" s="108"/>
      <c r="P167" s="108"/>
      <c r="Q167" s="108"/>
      <c r="R167" s="108"/>
      <c r="S167" s="108"/>
      <c r="T167" s="108"/>
      <c r="V167" s="60"/>
      <c r="W167" s="60"/>
      <c r="X167" s="60"/>
      <c r="Y167" s="60"/>
      <c r="Z167" s="60"/>
      <c r="AA167" s="60"/>
      <c r="AB167" s="60"/>
      <c r="AC167" s="60"/>
    </row>
    <row r="168" spans="2:29" ht="15" customHeight="1" x14ac:dyDescent="0.5">
      <c r="B168" s="1162" t="s">
        <v>2699</v>
      </c>
      <c r="C168" s="1163" t="s">
        <v>2628</v>
      </c>
      <c r="D168" s="1163" t="s">
        <v>3080</v>
      </c>
      <c r="E168" s="1164"/>
      <c r="F168" s="1165">
        <v>30224</v>
      </c>
      <c r="G168" s="1166" t="s">
        <v>2695</v>
      </c>
      <c r="H168" s="1167">
        <v>16.7</v>
      </c>
      <c r="I168" s="1168">
        <f>IF(DAY($F168)&gt;15, VLOOKUP(EOMONTH($F168,-1),'WP 3.1 Rate Case Regress.'!$C$5:$D$556,2,FALSE), VLOOKUP(EOMONTH($F168, -2), 'WP 3.1 Rate Case Regress.'!$C$5:$D$556, 2, FALSE))</f>
        <v>15.92</v>
      </c>
      <c r="K168" s="108"/>
      <c r="L168" s="108"/>
      <c r="M168" s="108"/>
      <c r="N168" s="108"/>
      <c r="O168" s="108"/>
      <c r="P168" s="108"/>
      <c r="Q168" s="108"/>
      <c r="R168" s="108"/>
      <c r="S168" s="108"/>
      <c r="T168" s="108"/>
      <c r="V168" s="60"/>
      <c r="W168" s="60"/>
      <c r="X168" s="60"/>
      <c r="Y168" s="60"/>
      <c r="Z168" s="60"/>
      <c r="AA168" s="60"/>
      <c r="AB168" s="60"/>
      <c r="AC168" s="60"/>
    </row>
    <row r="169" spans="2:29" ht="15" customHeight="1" x14ac:dyDescent="0.5">
      <c r="B169" s="1162" t="s">
        <v>2717</v>
      </c>
      <c r="C169" s="1163" t="s">
        <v>2939</v>
      </c>
      <c r="D169" s="1163" t="s">
        <v>3081</v>
      </c>
      <c r="E169" s="1164"/>
      <c r="F169" s="1165">
        <v>30224</v>
      </c>
      <c r="G169" s="1166" t="s">
        <v>2695</v>
      </c>
      <c r="H169" s="1167">
        <v>16.5</v>
      </c>
      <c r="I169" s="1168">
        <f>IF(DAY($F169)&gt;15, VLOOKUP(EOMONTH($F169,-1),'WP 3.1 Rate Case Regress.'!$C$5:$D$556,2,FALSE), VLOOKUP(EOMONTH($F169, -2), 'WP 3.1 Rate Case Regress.'!$C$5:$D$556, 2, FALSE))</f>
        <v>15.92</v>
      </c>
      <c r="K169" s="108"/>
      <c r="L169" s="108"/>
      <c r="M169" s="108"/>
      <c r="N169" s="108"/>
      <c r="O169" s="108"/>
      <c r="P169" s="108"/>
      <c r="Q169" s="108"/>
      <c r="R169" s="108"/>
      <c r="S169" s="108"/>
      <c r="T169" s="108"/>
      <c r="V169" s="60"/>
      <c r="W169" s="60"/>
      <c r="X169" s="60"/>
      <c r="Y169" s="60"/>
      <c r="Z169" s="60"/>
      <c r="AA169" s="60"/>
      <c r="AB169" s="60"/>
      <c r="AC169" s="60"/>
    </row>
    <row r="170" spans="2:29" ht="15" customHeight="1" x14ac:dyDescent="0.5">
      <c r="B170" s="1162" t="s">
        <v>2700</v>
      </c>
      <c r="C170" s="1163" t="s">
        <v>3082</v>
      </c>
      <c r="D170" s="1163" t="s">
        <v>3083</v>
      </c>
      <c r="E170" s="1164"/>
      <c r="F170" s="1165">
        <v>30224</v>
      </c>
      <c r="G170" s="1166" t="s">
        <v>2695</v>
      </c>
      <c r="H170" s="1167">
        <v>15.5</v>
      </c>
      <c r="I170" s="1168">
        <f>IF(DAY($F170)&gt;15, VLOOKUP(EOMONTH($F170,-1),'WP 3.1 Rate Case Regress.'!$C$5:$D$556,2,FALSE), VLOOKUP(EOMONTH($F170, -2), 'WP 3.1 Rate Case Regress.'!$C$5:$D$556, 2, FALSE))</f>
        <v>15.92</v>
      </c>
      <c r="K170" s="108"/>
      <c r="L170" s="108"/>
      <c r="M170" s="108"/>
      <c r="N170" s="108"/>
      <c r="O170" s="108"/>
      <c r="P170" s="108"/>
      <c r="Q170" s="108"/>
      <c r="R170" s="108"/>
      <c r="S170" s="108"/>
      <c r="T170" s="108"/>
      <c r="V170" s="60"/>
      <c r="W170" s="60"/>
      <c r="X170" s="60"/>
      <c r="Y170" s="60"/>
      <c r="Z170" s="60"/>
      <c r="AA170" s="60"/>
      <c r="AB170" s="60"/>
      <c r="AC170" s="60"/>
    </row>
    <row r="171" spans="2:29" ht="15" customHeight="1" x14ac:dyDescent="0.5">
      <c r="B171" s="1162" t="s">
        <v>2754</v>
      </c>
      <c r="C171" s="1163" t="s">
        <v>2755</v>
      </c>
      <c r="D171" s="1163" t="s">
        <v>3084</v>
      </c>
      <c r="E171" s="1164"/>
      <c r="F171" s="1165">
        <v>30224</v>
      </c>
      <c r="G171" s="1166" t="s">
        <v>2695</v>
      </c>
      <c r="H171" s="1167">
        <v>14.74</v>
      </c>
      <c r="I171" s="1168">
        <f>IF(DAY($F171)&gt;15, VLOOKUP(EOMONTH($F171,-1),'WP 3.1 Rate Case Regress.'!$C$5:$D$556,2,FALSE), VLOOKUP(EOMONTH($F171, -2), 'WP 3.1 Rate Case Regress.'!$C$5:$D$556, 2, FALSE))</f>
        <v>15.92</v>
      </c>
      <c r="K171" s="108"/>
      <c r="L171" s="108"/>
      <c r="M171" s="108"/>
      <c r="N171" s="108"/>
      <c r="O171" s="108"/>
      <c r="P171" s="108"/>
      <c r="Q171" s="108"/>
      <c r="R171" s="108"/>
      <c r="S171" s="108"/>
      <c r="T171" s="108"/>
      <c r="V171" s="60"/>
      <c r="W171" s="60"/>
      <c r="X171" s="60"/>
      <c r="Y171" s="60"/>
      <c r="Z171" s="60"/>
      <c r="AA171" s="60"/>
      <c r="AB171" s="60"/>
      <c r="AC171" s="60"/>
    </row>
    <row r="172" spans="2:29" ht="15" customHeight="1" x14ac:dyDescent="0.5">
      <c r="B172" s="1162" t="s">
        <v>2774</v>
      </c>
      <c r="C172" s="1163" t="s">
        <v>3493</v>
      </c>
      <c r="D172" s="1163" t="s">
        <v>4750</v>
      </c>
      <c r="E172" s="1164"/>
      <c r="F172" s="1165">
        <v>30225</v>
      </c>
      <c r="G172" s="1166" t="s">
        <v>4585</v>
      </c>
      <c r="H172" s="1167">
        <v>16.5</v>
      </c>
      <c r="I172" s="1168">
        <f>IF(DAY($F172)&gt;15, VLOOKUP(EOMONTH($F172,-1),'WP 3.1 Rate Case Regress.'!$C$5:$D$556,2,FALSE), VLOOKUP(EOMONTH($F172, -2), 'WP 3.1 Rate Case Regress.'!$C$5:$D$556, 2, FALSE))</f>
        <v>15.92</v>
      </c>
      <c r="K172" s="108"/>
      <c r="L172" s="108"/>
      <c r="M172" s="108"/>
      <c r="N172" s="108"/>
      <c r="O172" s="108"/>
      <c r="P172" s="108"/>
      <c r="Q172" s="108"/>
      <c r="R172" s="108"/>
      <c r="S172" s="108"/>
      <c r="T172" s="108"/>
      <c r="V172" s="60"/>
      <c r="W172" s="60"/>
      <c r="X172" s="60"/>
      <c r="Y172" s="60"/>
      <c r="Z172" s="60"/>
      <c r="AA172" s="60"/>
      <c r="AB172" s="60"/>
      <c r="AC172" s="60"/>
    </row>
    <row r="173" spans="2:29" ht="15" customHeight="1" x14ac:dyDescent="0.5">
      <c r="B173" s="1162" t="s">
        <v>2712</v>
      </c>
      <c r="C173" s="1163" t="s">
        <v>3085</v>
      </c>
      <c r="D173" s="1163" t="s">
        <v>3086</v>
      </c>
      <c r="E173" s="1164"/>
      <c r="F173" s="1165">
        <v>30232</v>
      </c>
      <c r="G173" s="1166" t="s">
        <v>2695</v>
      </c>
      <c r="H173" s="1167">
        <v>15</v>
      </c>
      <c r="I173" s="1168">
        <f>IF(DAY($F173)&gt;15, VLOOKUP(EOMONTH($F173,-1),'WP 3.1 Rate Case Regress.'!$C$5:$D$556,2,FALSE), VLOOKUP(EOMONTH($F173, -2), 'WP 3.1 Rate Case Regress.'!$C$5:$D$556, 2, FALSE))</f>
        <v>15.92</v>
      </c>
      <c r="K173" s="108"/>
      <c r="L173" s="108"/>
      <c r="M173" s="108"/>
      <c r="N173" s="108"/>
      <c r="O173" s="108"/>
      <c r="P173" s="108"/>
      <c r="Q173" s="108"/>
      <c r="R173" s="108"/>
      <c r="S173" s="108"/>
      <c r="T173" s="108"/>
      <c r="V173" s="60"/>
      <c r="W173" s="60"/>
      <c r="X173" s="60"/>
      <c r="Y173" s="60"/>
      <c r="Z173" s="60"/>
      <c r="AA173" s="60"/>
      <c r="AB173" s="60"/>
      <c r="AC173" s="60"/>
    </row>
    <row r="174" spans="2:29" ht="15" customHeight="1" x14ac:dyDescent="0.5">
      <c r="B174" s="1162" t="s">
        <v>2704</v>
      </c>
      <c r="C174" s="1163" t="s">
        <v>2750</v>
      </c>
      <c r="D174" s="1163" t="s">
        <v>3087</v>
      </c>
      <c r="E174" s="1164"/>
      <c r="F174" s="1165">
        <v>30239</v>
      </c>
      <c r="G174" s="1166" t="s">
        <v>2695</v>
      </c>
      <c r="H174" s="1167">
        <v>15.9</v>
      </c>
      <c r="I174" s="1168">
        <f>IF(DAY($F174)&gt;15, VLOOKUP(EOMONTH($F174,-1),'WP 3.1 Rate Case Regress.'!$C$5:$D$556,2,FALSE), VLOOKUP(EOMONTH($F174, -2), 'WP 3.1 Rate Case Regress.'!$C$5:$D$556, 2, FALSE))</f>
        <v>15.92</v>
      </c>
      <c r="K174" s="108"/>
      <c r="L174" s="108"/>
      <c r="M174" s="108"/>
      <c r="N174" s="108"/>
      <c r="O174" s="108"/>
      <c r="P174" s="108"/>
      <c r="Q174" s="108"/>
      <c r="R174" s="108"/>
      <c r="S174" s="108"/>
      <c r="T174" s="108"/>
      <c r="V174" s="60"/>
      <c r="W174" s="60"/>
      <c r="X174" s="60"/>
      <c r="Y174" s="60"/>
      <c r="Z174" s="60"/>
      <c r="AA174" s="60"/>
      <c r="AB174" s="60"/>
      <c r="AC174" s="60"/>
    </row>
    <row r="175" spans="2:29" ht="15" customHeight="1" x14ac:dyDescent="0.5">
      <c r="B175" s="1162" t="s">
        <v>2704</v>
      </c>
      <c r="C175" s="1163" t="s">
        <v>2934</v>
      </c>
      <c r="D175" s="1163" t="s">
        <v>3088</v>
      </c>
      <c r="E175" s="1164"/>
      <c r="F175" s="1165">
        <v>30243</v>
      </c>
      <c r="G175" s="1166" t="s">
        <v>2695</v>
      </c>
      <c r="H175" s="1167">
        <v>15.9</v>
      </c>
      <c r="I175" s="1168">
        <f>IF(DAY($F175)&gt;15, VLOOKUP(EOMONTH($F175,-1),'WP 3.1 Rate Case Regress.'!$C$5:$D$556,2,FALSE), VLOOKUP(EOMONTH($F175, -2), 'WP 3.1 Rate Case Regress.'!$C$5:$D$556, 2, FALSE))</f>
        <v>15.450000000000001</v>
      </c>
      <c r="K175" s="108"/>
      <c r="L175" s="108"/>
      <c r="M175" s="108"/>
      <c r="N175" s="108"/>
      <c r="O175" s="108"/>
      <c r="P175" s="108"/>
      <c r="Q175" s="108"/>
      <c r="R175" s="108"/>
      <c r="S175" s="108"/>
      <c r="T175" s="108"/>
      <c r="V175" s="60"/>
      <c r="W175" s="60"/>
      <c r="X175" s="60"/>
      <c r="Y175" s="60"/>
      <c r="Z175" s="60"/>
      <c r="AA175" s="60"/>
      <c r="AB175" s="60"/>
      <c r="AC175" s="60"/>
    </row>
    <row r="176" spans="2:29" ht="15" customHeight="1" x14ac:dyDescent="0.5">
      <c r="B176" s="1162" t="s">
        <v>2739</v>
      </c>
      <c r="C176" s="1163" t="s">
        <v>2956</v>
      </c>
      <c r="D176" s="1163" t="s">
        <v>3089</v>
      </c>
      <c r="E176" s="1164"/>
      <c r="F176" s="1165">
        <v>30251</v>
      </c>
      <c r="G176" s="1166" t="s">
        <v>2695</v>
      </c>
      <c r="H176" s="1167">
        <v>17</v>
      </c>
      <c r="I176" s="1168">
        <f>IF(DAY($F176)&gt;15, VLOOKUP(EOMONTH($F176,-1),'WP 3.1 Rate Case Regress.'!$C$5:$D$556,2,FALSE), VLOOKUP(EOMONTH($F176, -2), 'WP 3.1 Rate Case Regress.'!$C$5:$D$556, 2, FALSE))</f>
        <v>15.450000000000001</v>
      </c>
      <c r="K176" s="108"/>
      <c r="L176" s="108"/>
      <c r="M176" s="108"/>
      <c r="N176" s="108"/>
      <c r="O176" s="108"/>
      <c r="P176" s="108"/>
      <c r="Q176" s="108"/>
      <c r="R176" s="108"/>
      <c r="S176" s="108"/>
      <c r="T176" s="108"/>
      <c r="V176" s="60"/>
      <c r="W176" s="60"/>
      <c r="X176" s="60"/>
      <c r="Y176" s="60"/>
      <c r="Z176" s="60"/>
      <c r="AA176" s="60"/>
      <c r="AB176" s="60"/>
      <c r="AC176" s="60"/>
    </row>
    <row r="177" spans="2:29" ht="15" customHeight="1" x14ac:dyDescent="0.5">
      <c r="B177" s="1162" t="s">
        <v>2702</v>
      </c>
      <c r="C177" s="1163" t="s">
        <v>3007</v>
      </c>
      <c r="D177" s="1163" t="s">
        <v>3090</v>
      </c>
      <c r="E177" s="1164"/>
      <c r="F177" s="1165">
        <v>30252</v>
      </c>
      <c r="G177" s="1166" t="s">
        <v>2695</v>
      </c>
      <c r="H177" s="1167">
        <v>14.75</v>
      </c>
      <c r="I177" s="1168">
        <f>IF(DAY($F177)&gt;15, VLOOKUP(EOMONTH($F177,-1),'WP 3.1 Rate Case Regress.'!$C$5:$D$556,2,FALSE), VLOOKUP(EOMONTH($F177, -2), 'WP 3.1 Rate Case Regress.'!$C$5:$D$556, 2, FALSE))</f>
        <v>15.450000000000001</v>
      </c>
      <c r="K177" s="108"/>
      <c r="L177" s="108"/>
      <c r="M177" s="108"/>
      <c r="N177" s="108"/>
      <c r="O177" s="108"/>
      <c r="P177" s="108"/>
      <c r="Q177" s="108"/>
      <c r="R177" s="108"/>
      <c r="S177" s="108"/>
      <c r="T177" s="108"/>
      <c r="V177" s="60"/>
      <c r="W177" s="60"/>
      <c r="X177" s="60"/>
      <c r="Y177" s="60"/>
      <c r="Z177" s="60"/>
      <c r="AA177" s="60"/>
      <c r="AB177" s="60"/>
      <c r="AC177" s="60"/>
    </row>
    <row r="178" spans="2:29" ht="15" customHeight="1" x14ac:dyDescent="0.5">
      <c r="B178" s="1162" t="s">
        <v>2723</v>
      </c>
      <c r="C178" s="1163" t="s">
        <v>2949</v>
      </c>
      <c r="D178" s="1163" t="s">
        <v>3091</v>
      </c>
      <c r="E178" s="1164"/>
      <c r="F178" s="1165">
        <v>30257</v>
      </c>
      <c r="G178" s="1166" t="s">
        <v>2695</v>
      </c>
      <c r="H178" s="1167">
        <v>16.25</v>
      </c>
      <c r="I178" s="1168">
        <f>IF(DAY($F178)&gt;15, VLOOKUP(EOMONTH($F178,-1),'WP 3.1 Rate Case Regress.'!$C$5:$D$556,2,FALSE), VLOOKUP(EOMONTH($F178, -2), 'WP 3.1 Rate Case Regress.'!$C$5:$D$556, 2, FALSE))</f>
        <v>15.450000000000001</v>
      </c>
      <c r="K178" s="108"/>
      <c r="L178" s="108"/>
      <c r="M178" s="108"/>
      <c r="N178" s="108"/>
      <c r="O178" s="108"/>
      <c r="P178" s="108"/>
      <c r="Q178" s="108"/>
      <c r="R178" s="108"/>
      <c r="S178" s="108"/>
      <c r="T178" s="108"/>
      <c r="V178" s="60"/>
      <c r="W178" s="60"/>
      <c r="X178" s="60"/>
      <c r="Y178" s="60"/>
      <c r="Z178" s="60"/>
      <c r="AA178" s="60"/>
      <c r="AB178" s="60"/>
      <c r="AC178" s="60"/>
    </row>
    <row r="179" spans="2:29" ht="15" customHeight="1" x14ac:dyDescent="0.5">
      <c r="B179" s="1162" t="s">
        <v>2726</v>
      </c>
      <c r="C179" s="1163" t="s">
        <v>2946</v>
      </c>
      <c r="D179" s="1163" t="s">
        <v>3092</v>
      </c>
      <c r="E179" s="1164"/>
      <c r="F179" s="1165">
        <v>30259</v>
      </c>
      <c r="G179" s="1166" t="s">
        <v>2695</v>
      </c>
      <c r="H179" s="1167">
        <v>15.75</v>
      </c>
      <c r="I179" s="1168">
        <f>IF(DAY($F179)&gt;15, VLOOKUP(EOMONTH($F179,-1),'WP 3.1 Rate Case Regress.'!$C$5:$D$556,2,FALSE), VLOOKUP(EOMONTH($F179, -2), 'WP 3.1 Rate Case Regress.'!$C$5:$D$556, 2, FALSE))</f>
        <v>15.450000000000001</v>
      </c>
      <c r="K179" s="108"/>
      <c r="L179" s="108"/>
      <c r="M179" s="108"/>
      <c r="N179" s="108"/>
      <c r="O179" s="108"/>
      <c r="P179" s="108"/>
      <c r="Q179" s="108"/>
      <c r="R179" s="108"/>
      <c r="S179" s="108"/>
      <c r="T179" s="108"/>
      <c r="V179" s="60"/>
      <c r="W179" s="60"/>
      <c r="X179" s="60"/>
      <c r="Y179" s="60"/>
      <c r="Z179" s="60"/>
      <c r="AA179" s="60"/>
      <c r="AB179" s="60"/>
      <c r="AC179" s="60"/>
    </row>
    <row r="180" spans="2:29" ht="15" customHeight="1" x14ac:dyDescent="0.5">
      <c r="B180" s="1162" t="s">
        <v>2696</v>
      </c>
      <c r="C180" s="1163" t="s">
        <v>3177</v>
      </c>
      <c r="D180" s="1163" t="s">
        <v>4751</v>
      </c>
      <c r="E180" s="1164"/>
      <c r="F180" s="1165">
        <v>30260</v>
      </c>
      <c r="G180" s="1166" t="s">
        <v>4585</v>
      </c>
      <c r="H180" s="1167">
        <v>14.73</v>
      </c>
      <c r="I180" s="1168">
        <f>IF(DAY($F180)&gt;15, VLOOKUP(EOMONTH($F180,-1),'WP 3.1 Rate Case Regress.'!$C$5:$D$556,2,FALSE), VLOOKUP(EOMONTH($F180, -2), 'WP 3.1 Rate Case Regress.'!$C$5:$D$556, 2, FALSE))</f>
        <v>15.450000000000001</v>
      </c>
      <c r="K180" s="108"/>
      <c r="L180" s="108"/>
      <c r="M180" s="108"/>
      <c r="N180" s="108"/>
      <c r="O180" s="108"/>
      <c r="P180" s="108"/>
      <c r="Q180" s="108"/>
      <c r="R180" s="108"/>
      <c r="S180" s="108"/>
      <c r="T180" s="108"/>
      <c r="V180" s="60"/>
      <c r="W180" s="60"/>
      <c r="X180" s="60"/>
      <c r="Y180" s="60"/>
      <c r="Z180" s="60"/>
      <c r="AA180" s="60"/>
      <c r="AB180" s="60"/>
      <c r="AC180" s="60"/>
    </row>
    <row r="181" spans="2:29" ht="15" customHeight="1" x14ac:dyDescent="0.5">
      <c r="B181" s="1162" t="s">
        <v>2738</v>
      </c>
      <c r="C181" s="1163" t="s">
        <v>2939</v>
      </c>
      <c r="D181" s="1163" t="s">
        <v>3093</v>
      </c>
      <c r="E181" s="1164"/>
      <c r="F181" s="1165">
        <v>30272</v>
      </c>
      <c r="G181" s="1166" t="s">
        <v>2695</v>
      </c>
      <c r="H181" s="1167">
        <v>16</v>
      </c>
      <c r="I181" s="1168">
        <f>IF(DAY($F181)&gt;15, VLOOKUP(EOMONTH($F181,-1),'WP 3.1 Rate Case Regress.'!$C$5:$D$556,2,FALSE), VLOOKUP(EOMONTH($F181, -2), 'WP 3.1 Rate Case Regress.'!$C$5:$D$556, 2, FALSE))</f>
        <v>14.984</v>
      </c>
      <c r="K181" s="108"/>
      <c r="L181" s="108"/>
      <c r="M181" s="108"/>
      <c r="N181" s="108"/>
      <c r="O181" s="108"/>
      <c r="P181" s="108"/>
      <c r="Q181" s="108"/>
      <c r="R181" s="108"/>
      <c r="S181" s="108"/>
      <c r="T181" s="108"/>
      <c r="V181" s="60"/>
      <c r="W181" s="60"/>
      <c r="X181" s="60"/>
      <c r="Y181" s="60"/>
      <c r="Z181" s="60"/>
      <c r="AA181" s="60"/>
      <c r="AB181" s="60"/>
      <c r="AC181" s="60"/>
    </row>
    <row r="182" spans="2:29" ht="15" customHeight="1" x14ac:dyDescent="0.5">
      <c r="B182" s="1162" t="s">
        <v>2693</v>
      </c>
      <c r="C182" s="1163" t="s">
        <v>2742</v>
      </c>
      <c r="D182" s="1163" t="s">
        <v>3094</v>
      </c>
      <c r="E182" s="1164"/>
      <c r="F182" s="1165">
        <v>30278</v>
      </c>
      <c r="G182" s="1166" t="s">
        <v>2695</v>
      </c>
      <c r="H182" s="1167">
        <v>15.5</v>
      </c>
      <c r="I182" s="1168">
        <f>IF(DAY($F182)&gt;15, VLOOKUP(EOMONTH($F182,-1),'WP 3.1 Rate Case Regress.'!$C$5:$D$556,2,FALSE), VLOOKUP(EOMONTH($F182, -2), 'WP 3.1 Rate Case Regress.'!$C$5:$D$556, 2, FALSE))</f>
        <v>14.984</v>
      </c>
      <c r="K182" s="108"/>
      <c r="L182" s="108"/>
      <c r="M182" s="108"/>
      <c r="N182" s="108"/>
      <c r="O182" s="108"/>
      <c r="P182" s="108"/>
      <c r="Q182" s="108"/>
      <c r="R182" s="108"/>
      <c r="S182" s="108"/>
      <c r="T182" s="108"/>
      <c r="V182" s="60"/>
      <c r="W182" s="60"/>
      <c r="X182" s="60"/>
      <c r="Y182" s="60"/>
      <c r="Z182" s="60"/>
      <c r="AA182" s="60"/>
      <c r="AB182" s="60"/>
      <c r="AC182" s="60"/>
    </row>
    <row r="183" spans="2:29" ht="15" customHeight="1" x14ac:dyDescent="0.5">
      <c r="B183" s="1162" t="s">
        <v>2698</v>
      </c>
      <c r="C183" s="1163" t="s">
        <v>2895</v>
      </c>
      <c r="D183" s="1163" t="s">
        <v>3095</v>
      </c>
      <c r="E183" s="1164"/>
      <c r="F183" s="1165">
        <v>30279</v>
      </c>
      <c r="G183" s="1166" t="s">
        <v>2695</v>
      </c>
      <c r="H183" s="1167">
        <v>16.02</v>
      </c>
      <c r="I183" s="1168">
        <f>IF(DAY($F183)&gt;15, VLOOKUP(EOMONTH($F183,-1),'WP 3.1 Rate Case Regress.'!$C$5:$D$556,2,FALSE), VLOOKUP(EOMONTH($F183, -2), 'WP 3.1 Rate Case Regress.'!$C$5:$D$556, 2, FALSE))</f>
        <v>14.984</v>
      </c>
      <c r="K183" s="108"/>
      <c r="L183" s="108"/>
      <c r="M183" s="108"/>
      <c r="N183" s="108"/>
      <c r="O183" s="108"/>
      <c r="P183" s="108"/>
      <c r="Q183" s="108"/>
      <c r="R183" s="108"/>
      <c r="S183" s="108"/>
      <c r="T183" s="108"/>
      <c r="V183" s="60"/>
      <c r="W183" s="60"/>
      <c r="X183" s="60"/>
      <c r="Y183" s="60"/>
      <c r="Z183" s="60"/>
      <c r="AA183" s="60"/>
      <c r="AB183" s="60"/>
      <c r="AC183" s="60"/>
    </row>
    <row r="184" spans="2:29" ht="15" customHeight="1" x14ac:dyDescent="0.5">
      <c r="B184" s="1162" t="s">
        <v>2766</v>
      </c>
      <c r="C184" s="1163" t="s">
        <v>2895</v>
      </c>
      <c r="D184" s="1163" t="s">
        <v>3096</v>
      </c>
      <c r="E184" s="1164"/>
      <c r="F184" s="1165">
        <v>30279</v>
      </c>
      <c r="G184" s="1166" t="s">
        <v>2695</v>
      </c>
      <c r="H184" s="1167">
        <v>14.5</v>
      </c>
      <c r="I184" s="1168">
        <f>IF(DAY($F184)&gt;15, VLOOKUP(EOMONTH($F184,-1),'WP 3.1 Rate Case Regress.'!$C$5:$D$556,2,FALSE), VLOOKUP(EOMONTH($F184, -2), 'WP 3.1 Rate Case Regress.'!$C$5:$D$556, 2, FALSE))</f>
        <v>14.984</v>
      </c>
      <c r="K184" s="108"/>
      <c r="L184" s="108"/>
      <c r="M184" s="108"/>
      <c r="N184" s="108"/>
      <c r="O184" s="108"/>
      <c r="P184" s="108"/>
      <c r="Q184" s="108"/>
      <c r="R184" s="108"/>
      <c r="S184" s="108"/>
      <c r="T184" s="108"/>
      <c r="V184" s="60"/>
      <c r="W184" s="60"/>
      <c r="X184" s="60"/>
      <c r="Y184" s="60"/>
      <c r="Z184" s="60"/>
      <c r="AA184" s="60"/>
      <c r="AB184" s="60"/>
      <c r="AC184" s="60"/>
    </row>
    <row r="185" spans="2:29" ht="15" customHeight="1" x14ac:dyDescent="0.5">
      <c r="B185" s="1162" t="s">
        <v>2700</v>
      </c>
      <c r="C185" s="1163" t="s">
        <v>3097</v>
      </c>
      <c r="D185" s="1163" t="s">
        <v>3098</v>
      </c>
      <c r="E185" s="1164"/>
      <c r="F185" s="1165">
        <v>30285</v>
      </c>
      <c r="G185" s="1166" t="s">
        <v>2695</v>
      </c>
      <c r="H185" s="1167">
        <v>16.100000000000001</v>
      </c>
      <c r="I185" s="1168">
        <f>IF(DAY($F185)&gt;15, VLOOKUP(EOMONTH($F185,-1),'WP 3.1 Rate Case Regress.'!$C$5:$D$556,2,FALSE), VLOOKUP(EOMONTH($F185, -2), 'WP 3.1 Rate Case Regress.'!$C$5:$D$556, 2, FALSE))</f>
        <v>14.984</v>
      </c>
      <c r="K185" s="108"/>
      <c r="L185" s="108"/>
      <c r="M185" s="108"/>
      <c r="N185" s="108"/>
      <c r="O185" s="108"/>
      <c r="P185" s="108"/>
      <c r="Q185" s="108"/>
      <c r="R185" s="108"/>
      <c r="S185" s="108"/>
      <c r="T185" s="108"/>
      <c r="V185" s="60"/>
      <c r="W185" s="60"/>
      <c r="X185" s="60"/>
      <c r="Y185" s="60"/>
      <c r="Z185" s="60"/>
      <c r="AA185" s="60"/>
      <c r="AB185" s="60"/>
      <c r="AC185" s="60"/>
    </row>
    <row r="186" spans="2:29" ht="15" customHeight="1" x14ac:dyDescent="0.5">
      <c r="B186" s="1162" t="s">
        <v>2731</v>
      </c>
      <c r="C186" s="1163" t="s">
        <v>2939</v>
      </c>
      <c r="D186" s="1163" t="s">
        <v>3099</v>
      </c>
      <c r="E186" s="1164"/>
      <c r="F186" s="1165">
        <v>30285</v>
      </c>
      <c r="G186" s="1166" t="s">
        <v>2695</v>
      </c>
      <c r="H186" s="1167">
        <v>16</v>
      </c>
      <c r="I186" s="1168">
        <f>IF(DAY($F186)&gt;15, VLOOKUP(EOMONTH($F186,-1),'WP 3.1 Rate Case Regress.'!$C$5:$D$556,2,FALSE), VLOOKUP(EOMONTH($F186, -2), 'WP 3.1 Rate Case Regress.'!$C$5:$D$556, 2, FALSE))</f>
        <v>14.984</v>
      </c>
      <c r="K186" s="108"/>
      <c r="L186" s="108"/>
      <c r="M186" s="108"/>
      <c r="N186" s="108"/>
      <c r="O186" s="108"/>
      <c r="P186" s="108"/>
      <c r="Q186" s="108"/>
      <c r="R186" s="108"/>
      <c r="S186" s="108"/>
      <c r="T186" s="108"/>
      <c r="V186" s="60"/>
      <c r="W186" s="60"/>
      <c r="X186" s="60"/>
      <c r="Y186" s="60"/>
      <c r="Z186" s="60"/>
      <c r="AA186" s="60"/>
      <c r="AB186" s="60"/>
      <c r="AC186" s="60"/>
    </row>
    <row r="187" spans="2:29" ht="15" customHeight="1" x14ac:dyDescent="0.5">
      <c r="B187" s="1162" t="s">
        <v>2743</v>
      </c>
      <c r="C187" s="1163" t="s">
        <v>3012</v>
      </c>
      <c r="D187" s="1163" t="s">
        <v>3100</v>
      </c>
      <c r="E187" s="1164"/>
      <c r="F187" s="1165">
        <v>30285</v>
      </c>
      <c r="G187" s="1166" t="s">
        <v>2695</v>
      </c>
      <c r="H187" s="1167">
        <v>15.65</v>
      </c>
      <c r="I187" s="1168">
        <f>IF(DAY($F187)&gt;15, VLOOKUP(EOMONTH($F187,-1),'WP 3.1 Rate Case Regress.'!$C$5:$D$556,2,FALSE), VLOOKUP(EOMONTH($F187, -2), 'WP 3.1 Rate Case Regress.'!$C$5:$D$556, 2, FALSE))</f>
        <v>14.984</v>
      </c>
      <c r="K187" s="108"/>
      <c r="L187" s="108"/>
      <c r="M187" s="108"/>
      <c r="N187" s="108"/>
      <c r="O187" s="108"/>
      <c r="P187" s="108"/>
      <c r="Q187" s="108"/>
      <c r="R187" s="108"/>
      <c r="S187" s="108"/>
      <c r="T187" s="108"/>
      <c r="V187" s="60"/>
      <c r="W187" s="60"/>
      <c r="X187" s="60"/>
      <c r="Y187" s="60"/>
      <c r="Z187" s="60"/>
      <c r="AA187" s="60"/>
      <c r="AB187" s="60"/>
      <c r="AC187" s="60"/>
    </row>
    <row r="188" spans="2:29" ht="15" customHeight="1" x14ac:dyDescent="0.5">
      <c r="B188" s="1162" t="s">
        <v>2700</v>
      </c>
      <c r="C188" s="1163" t="s">
        <v>3035</v>
      </c>
      <c r="D188" s="1163" t="s">
        <v>3101</v>
      </c>
      <c r="E188" s="1164"/>
      <c r="F188" s="1165">
        <v>30285</v>
      </c>
      <c r="G188" s="1166" t="s">
        <v>2695</v>
      </c>
      <c r="H188" s="1167">
        <v>15.5</v>
      </c>
      <c r="I188" s="1168">
        <f>IF(DAY($F188)&gt;15, VLOOKUP(EOMONTH($F188,-1),'WP 3.1 Rate Case Regress.'!$C$5:$D$556,2,FALSE), VLOOKUP(EOMONTH($F188, -2), 'WP 3.1 Rate Case Regress.'!$C$5:$D$556, 2, FALSE))</f>
        <v>14.984</v>
      </c>
      <c r="K188" s="108"/>
      <c r="L188" s="108"/>
      <c r="M188" s="108"/>
      <c r="N188" s="108"/>
      <c r="O188" s="108"/>
      <c r="P188" s="108"/>
      <c r="Q188" s="108"/>
      <c r="R188" s="108"/>
      <c r="S188" s="108"/>
      <c r="T188" s="108"/>
      <c r="V188" s="60"/>
      <c r="W188" s="60"/>
      <c r="X188" s="60"/>
      <c r="Y188" s="60"/>
      <c r="Z188" s="60"/>
      <c r="AA188" s="60"/>
      <c r="AB188" s="60"/>
      <c r="AC188" s="60"/>
    </row>
    <row r="189" spans="2:29" ht="15" customHeight="1" x14ac:dyDescent="0.5">
      <c r="B189" s="1162" t="s">
        <v>2700</v>
      </c>
      <c r="C189" s="1163" t="s">
        <v>2898</v>
      </c>
      <c r="D189" s="1163" t="s">
        <v>3102</v>
      </c>
      <c r="E189" s="1164"/>
      <c r="F189" s="1165">
        <v>30285</v>
      </c>
      <c r="G189" s="1166" t="s">
        <v>2695</v>
      </c>
      <c r="H189" s="1167">
        <v>15.5</v>
      </c>
      <c r="I189" s="1168">
        <f>IF(DAY($F189)&gt;15, VLOOKUP(EOMONTH($F189,-1),'WP 3.1 Rate Case Regress.'!$C$5:$D$556,2,FALSE), VLOOKUP(EOMONTH($F189, -2), 'WP 3.1 Rate Case Regress.'!$C$5:$D$556, 2, FALSE))</f>
        <v>14.984</v>
      </c>
      <c r="K189" s="108"/>
      <c r="L189" s="108"/>
      <c r="M189" s="108"/>
      <c r="N189" s="108"/>
      <c r="O189" s="108"/>
      <c r="P189" s="108"/>
      <c r="Q189" s="108"/>
      <c r="R189" s="108"/>
      <c r="S189" s="108"/>
      <c r="T189" s="108"/>
      <c r="V189" s="60"/>
      <c r="W189" s="60"/>
      <c r="X189" s="60"/>
      <c r="Y189" s="60"/>
      <c r="Z189" s="60"/>
      <c r="AA189" s="60"/>
      <c r="AB189" s="60"/>
      <c r="AC189" s="60"/>
    </row>
    <row r="190" spans="2:29" ht="15" customHeight="1" x14ac:dyDescent="0.5">
      <c r="B190" s="1162" t="s">
        <v>2767</v>
      </c>
      <c r="C190" s="1163" t="s">
        <v>2944</v>
      </c>
      <c r="D190" s="1163" t="s">
        <v>3103</v>
      </c>
      <c r="E190" s="1164"/>
      <c r="F190" s="1165">
        <v>30285</v>
      </c>
      <c r="G190" s="1166" t="s">
        <v>2695</v>
      </c>
      <c r="H190" s="1167">
        <v>12.98</v>
      </c>
      <c r="I190" s="1168">
        <f>IF(DAY($F190)&gt;15, VLOOKUP(EOMONTH($F190,-1),'WP 3.1 Rate Case Regress.'!$C$5:$D$556,2,FALSE), VLOOKUP(EOMONTH($F190, -2), 'WP 3.1 Rate Case Regress.'!$C$5:$D$556, 2, FALSE))</f>
        <v>14.984</v>
      </c>
      <c r="K190" s="108"/>
      <c r="L190" s="108"/>
      <c r="M190" s="108"/>
      <c r="N190" s="108"/>
      <c r="O190" s="108"/>
      <c r="P190" s="108"/>
      <c r="Q190" s="108"/>
      <c r="R190" s="108"/>
      <c r="S190" s="108"/>
      <c r="T190" s="108"/>
      <c r="V190" s="60"/>
      <c r="W190" s="60"/>
      <c r="X190" s="60"/>
      <c r="Y190" s="60"/>
      <c r="Z190" s="60"/>
      <c r="AA190" s="60"/>
      <c r="AB190" s="60"/>
      <c r="AC190" s="60"/>
    </row>
    <row r="191" spans="2:29" ht="15" customHeight="1" x14ac:dyDescent="0.5">
      <c r="B191" s="1162" t="s">
        <v>2706</v>
      </c>
      <c r="C191" s="1163" t="s">
        <v>2906</v>
      </c>
      <c r="D191" s="1163" t="s">
        <v>3104</v>
      </c>
      <c r="E191" s="1164"/>
      <c r="F191" s="1165">
        <v>30288</v>
      </c>
      <c r="G191" s="1166" t="s">
        <v>2695</v>
      </c>
      <c r="H191" s="1167">
        <v>15.33</v>
      </c>
      <c r="I191" s="1168">
        <f>IF(DAY($F191)&gt;15, VLOOKUP(EOMONTH($F191,-1),'WP 3.1 Rate Case Regress.'!$C$5:$D$556,2,FALSE), VLOOKUP(EOMONTH($F191, -2), 'WP 3.1 Rate Case Regress.'!$C$5:$D$556, 2, FALSE))</f>
        <v>14.984</v>
      </c>
      <c r="K191" s="108"/>
      <c r="L191" s="108"/>
      <c r="M191" s="108"/>
      <c r="N191" s="108"/>
      <c r="O191" s="108"/>
      <c r="P191" s="108"/>
      <c r="Q191" s="108"/>
      <c r="R191" s="108"/>
      <c r="S191" s="108"/>
      <c r="T191" s="108"/>
      <c r="V191" s="60"/>
      <c r="W191" s="60"/>
      <c r="X191" s="60"/>
      <c r="Y191" s="60"/>
      <c r="Z191" s="60"/>
      <c r="AA191" s="60"/>
      <c r="AB191" s="60"/>
      <c r="AC191" s="60"/>
    </row>
    <row r="192" spans="2:29" ht="15" customHeight="1" x14ac:dyDescent="0.5">
      <c r="B192" s="1162" t="s">
        <v>2738</v>
      </c>
      <c r="C192" s="1163" t="s">
        <v>2954</v>
      </c>
      <c r="D192" s="1163" t="s">
        <v>3105</v>
      </c>
      <c r="E192" s="1164"/>
      <c r="F192" s="1165">
        <v>30293</v>
      </c>
      <c r="G192" s="1166" t="s">
        <v>2695</v>
      </c>
      <c r="H192" s="1167">
        <v>15.75</v>
      </c>
      <c r="I192" s="1168">
        <f>IF(DAY($F192)&gt;15, VLOOKUP(EOMONTH($F192,-1),'WP 3.1 Rate Case Regress.'!$C$5:$D$556,2,FALSE), VLOOKUP(EOMONTH($F192, -2), 'WP 3.1 Rate Case Regress.'!$C$5:$D$556, 2, FALSE))</f>
        <v>14.984</v>
      </c>
      <c r="K192" s="108"/>
      <c r="L192" s="108"/>
      <c r="M192" s="108"/>
      <c r="N192" s="108"/>
      <c r="O192" s="108"/>
      <c r="P192" s="108"/>
      <c r="Q192" s="108"/>
      <c r="R192" s="108"/>
      <c r="S192" s="108"/>
      <c r="T192" s="108"/>
      <c r="V192" s="60"/>
      <c r="W192" s="60"/>
      <c r="X192" s="60"/>
      <c r="Y192" s="60"/>
      <c r="Z192" s="60"/>
      <c r="AA192" s="60"/>
      <c r="AB192" s="60"/>
      <c r="AC192" s="60"/>
    </row>
    <row r="193" spans="2:29" ht="15" customHeight="1" x14ac:dyDescent="0.5">
      <c r="B193" s="1162" t="s">
        <v>2768</v>
      </c>
      <c r="C193" s="1163" t="s">
        <v>3106</v>
      </c>
      <c r="D193" s="1163" t="s">
        <v>3107</v>
      </c>
      <c r="E193" s="1164"/>
      <c r="F193" s="1165">
        <v>30298</v>
      </c>
      <c r="G193" s="1166" t="s">
        <v>2695</v>
      </c>
      <c r="H193" s="1167">
        <v>16</v>
      </c>
      <c r="I193" s="1168">
        <f>IF(DAY($F193)&gt;15, VLOOKUP(EOMONTH($F193,-1),'WP 3.1 Rate Case Regress.'!$C$5:$D$556,2,FALSE), VLOOKUP(EOMONTH($F193, -2), 'WP 3.1 Rate Case Regress.'!$C$5:$D$556, 2, FALSE))</f>
        <v>14.984</v>
      </c>
      <c r="K193" s="108"/>
      <c r="L193" s="108"/>
      <c r="M193" s="108"/>
      <c r="N193" s="108"/>
      <c r="O193" s="108"/>
      <c r="P193" s="108"/>
      <c r="Q193" s="108"/>
      <c r="R193" s="108"/>
      <c r="S193" s="108"/>
      <c r="T193" s="108"/>
      <c r="V193" s="60"/>
      <c r="W193" s="60"/>
      <c r="X193" s="60"/>
      <c r="Y193" s="60"/>
      <c r="Z193" s="60"/>
      <c r="AA193" s="60"/>
      <c r="AB193" s="60"/>
      <c r="AC193" s="60"/>
    </row>
    <row r="194" spans="2:29" ht="15" customHeight="1" x14ac:dyDescent="0.5">
      <c r="B194" s="1162" t="s">
        <v>2723</v>
      </c>
      <c r="C194" s="1163" t="s">
        <v>2730</v>
      </c>
      <c r="D194" s="1163" t="s">
        <v>3108</v>
      </c>
      <c r="E194" s="1164"/>
      <c r="F194" s="1165">
        <v>30299</v>
      </c>
      <c r="G194" s="1166" t="s">
        <v>2695</v>
      </c>
      <c r="H194" s="1167">
        <v>16.399999999999999</v>
      </c>
      <c r="I194" s="1168">
        <f>IF(DAY($F194)&gt;15, VLOOKUP(EOMONTH($F194,-1),'WP 3.1 Rate Case Regress.'!$C$5:$D$556,2,FALSE), VLOOKUP(EOMONTH($F194, -2), 'WP 3.1 Rate Case Regress.'!$C$5:$D$556, 2, FALSE))</f>
        <v>14.984</v>
      </c>
      <c r="K194" s="108"/>
      <c r="L194" s="108"/>
      <c r="M194" s="108"/>
      <c r="N194" s="108"/>
      <c r="O194" s="108"/>
      <c r="P194" s="108"/>
      <c r="Q194" s="108"/>
      <c r="R194" s="108"/>
      <c r="S194" s="108"/>
      <c r="T194" s="108"/>
      <c r="V194" s="60"/>
      <c r="W194" s="60"/>
      <c r="X194" s="60"/>
      <c r="Y194" s="60"/>
      <c r="Z194" s="60"/>
      <c r="AA194" s="60"/>
      <c r="AB194" s="60"/>
      <c r="AC194" s="60"/>
    </row>
    <row r="195" spans="2:29" ht="15" customHeight="1" x14ac:dyDescent="0.5">
      <c r="B195" s="1162" t="s">
        <v>2696</v>
      </c>
      <c r="C195" s="1163" t="s">
        <v>2769</v>
      </c>
      <c r="D195" s="1163" t="s">
        <v>3109</v>
      </c>
      <c r="E195" s="1164"/>
      <c r="F195" s="1165">
        <v>30302</v>
      </c>
      <c r="G195" s="1166" t="s">
        <v>2695</v>
      </c>
      <c r="H195" s="1167">
        <v>16.25</v>
      </c>
      <c r="I195" s="1168">
        <f>IF(DAY($F195)&gt;15, VLOOKUP(EOMONTH($F195,-1),'WP 3.1 Rate Case Regress.'!$C$5:$D$556,2,FALSE), VLOOKUP(EOMONTH($F195, -2), 'WP 3.1 Rate Case Regress.'!$C$5:$D$556, 2, FALSE))</f>
        <v>14.4625</v>
      </c>
      <c r="K195" s="108"/>
      <c r="L195" s="108"/>
      <c r="M195" s="108"/>
      <c r="N195" s="108"/>
      <c r="O195" s="108"/>
      <c r="P195" s="108"/>
      <c r="Q195" s="108"/>
      <c r="R195" s="108"/>
      <c r="S195" s="108"/>
      <c r="T195" s="108"/>
      <c r="V195" s="60"/>
      <c r="W195" s="60"/>
      <c r="X195" s="60"/>
      <c r="Y195" s="60"/>
      <c r="Z195" s="60"/>
      <c r="AA195" s="60"/>
      <c r="AB195" s="60"/>
      <c r="AC195" s="60"/>
    </row>
    <row r="196" spans="2:29" ht="15" customHeight="1" x14ac:dyDescent="0.5">
      <c r="B196" s="1162" t="s">
        <v>2766</v>
      </c>
      <c r="C196" s="1163" t="s">
        <v>3110</v>
      </c>
      <c r="D196" s="1163" t="s">
        <v>3111</v>
      </c>
      <c r="E196" s="1164"/>
      <c r="F196" s="1165">
        <v>30305</v>
      </c>
      <c r="G196" s="1166" t="s">
        <v>2695</v>
      </c>
      <c r="H196" s="1167">
        <v>15</v>
      </c>
      <c r="I196" s="1168">
        <f>IF(DAY($F196)&gt;15, VLOOKUP(EOMONTH($F196,-1),'WP 3.1 Rate Case Regress.'!$C$5:$D$556,2,FALSE), VLOOKUP(EOMONTH($F196, -2), 'WP 3.1 Rate Case Regress.'!$C$5:$D$556, 2, FALSE))</f>
        <v>14.4625</v>
      </c>
      <c r="K196" s="108"/>
      <c r="L196" s="108"/>
      <c r="M196" s="108"/>
      <c r="N196" s="108"/>
      <c r="O196" s="108"/>
      <c r="P196" s="108"/>
      <c r="Q196" s="108"/>
      <c r="R196" s="108"/>
      <c r="S196" s="108"/>
      <c r="T196" s="108"/>
      <c r="V196" s="60"/>
      <c r="W196" s="60"/>
      <c r="X196" s="60"/>
      <c r="Y196" s="60"/>
      <c r="Z196" s="60"/>
      <c r="AA196" s="60"/>
      <c r="AB196" s="60"/>
      <c r="AC196" s="60"/>
    </row>
    <row r="197" spans="2:29" ht="15" customHeight="1" x14ac:dyDescent="0.5">
      <c r="B197" s="1162" t="s">
        <v>2704</v>
      </c>
      <c r="C197" s="1163" t="s">
        <v>2910</v>
      </c>
      <c r="D197" s="1163" t="s">
        <v>3112</v>
      </c>
      <c r="E197" s="1164"/>
      <c r="F197" s="1165">
        <v>30306</v>
      </c>
      <c r="G197" s="1166" t="s">
        <v>2695</v>
      </c>
      <c r="H197" s="1167">
        <v>15.7</v>
      </c>
      <c r="I197" s="1168">
        <f>IF(DAY($F197)&gt;15, VLOOKUP(EOMONTH($F197,-1),'WP 3.1 Rate Case Regress.'!$C$5:$D$556,2,FALSE), VLOOKUP(EOMONTH($F197, -2), 'WP 3.1 Rate Case Regress.'!$C$5:$D$556, 2, FALSE))</f>
        <v>14.4625</v>
      </c>
      <c r="K197" s="108"/>
      <c r="L197" s="108"/>
      <c r="M197" s="108"/>
      <c r="N197" s="108"/>
      <c r="O197" s="108"/>
      <c r="P197" s="108"/>
      <c r="Q197" s="108"/>
      <c r="R197" s="108"/>
      <c r="S197" s="108"/>
      <c r="T197" s="108"/>
      <c r="V197" s="60"/>
      <c r="W197" s="60"/>
      <c r="X197" s="60"/>
      <c r="Y197" s="60"/>
      <c r="Z197" s="60"/>
      <c r="AA197" s="60"/>
      <c r="AB197" s="60"/>
      <c r="AC197" s="60"/>
    </row>
    <row r="198" spans="2:29" ht="15" customHeight="1" x14ac:dyDescent="0.5">
      <c r="B198" s="1162" t="s">
        <v>2693</v>
      </c>
      <c r="C198" s="1163" t="s">
        <v>2959</v>
      </c>
      <c r="D198" s="1163" t="s">
        <v>3113</v>
      </c>
      <c r="E198" s="1164"/>
      <c r="F198" s="1165">
        <v>30313</v>
      </c>
      <c r="G198" s="1166" t="s">
        <v>2695</v>
      </c>
      <c r="H198" s="1167">
        <v>15.25</v>
      </c>
      <c r="I198" s="1168">
        <f>IF(DAY($F198)&gt;15, VLOOKUP(EOMONTH($F198,-1),'WP 3.1 Rate Case Regress.'!$C$5:$D$556,2,FALSE), VLOOKUP(EOMONTH($F198, -2), 'WP 3.1 Rate Case Regress.'!$C$5:$D$556, 2, FALSE))</f>
        <v>14.4625</v>
      </c>
      <c r="K198" s="108"/>
      <c r="L198" s="108"/>
      <c r="M198" s="108"/>
      <c r="N198" s="108"/>
      <c r="O198" s="108"/>
      <c r="P198" s="108"/>
      <c r="Q198" s="108"/>
      <c r="R198" s="108"/>
      <c r="S198" s="108"/>
      <c r="T198" s="108"/>
      <c r="V198" s="60"/>
      <c r="W198" s="60"/>
      <c r="X198" s="60"/>
      <c r="Y198" s="60"/>
      <c r="Z198" s="60"/>
      <c r="AA198" s="60"/>
      <c r="AB198" s="60"/>
      <c r="AC198" s="60"/>
    </row>
    <row r="199" spans="2:29" ht="15" customHeight="1" x14ac:dyDescent="0.5">
      <c r="B199" s="1162" t="s">
        <v>2693</v>
      </c>
      <c r="C199" s="1163" t="s">
        <v>2961</v>
      </c>
      <c r="D199" s="1163" t="s">
        <v>3114</v>
      </c>
      <c r="E199" s="1164"/>
      <c r="F199" s="1165">
        <v>30313</v>
      </c>
      <c r="G199" s="1166" t="s">
        <v>2695</v>
      </c>
      <c r="H199" s="1167">
        <v>15.25</v>
      </c>
      <c r="I199" s="1168">
        <f>IF(DAY($F199)&gt;15, VLOOKUP(EOMONTH($F199,-1),'WP 3.1 Rate Case Regress.'!$C$5:$D$556,2,FALSE), VLOOKUP(EOMONTH($F199, -2), 'WP 3.1 Rate Case Regress.'!$C$5:$D$556, 2, FALSE))</f>
        <v>14.4625</v>
      </c>
      <c r="K199" s="108"/>
      <c r="L199" s="108"/>
      <c r="M199" s="108"/>
      <c r="N199" s="108"/>
      <c r="O199" s="108"/>
      <c r="P199" s="108"/>
      <c r="Q199" s="108"/>
      <c r="R199" s="108"/>
      <c r="S199" s="108"/>
      <c r="T199" s="108"/>
      <c r="V199" s="60"/>
      <c r="W199" s="60"/>
      <c r="X199" s="60"/>
      <c r="Y199" s="60"/>
      <c r="Z199" s="60"/>
      <c r="AA199" s="60"/>
      <c r="AB199" s="60"/>
      <c r="AC199" s="60"/>
    </row>
    <row r="200" spans="2:29" ht="15" customHeight="1" x14ac:dyDescent="0.5">
      <c r="B200" s="1162" t="s">
        <v>2736</v>
      </c>
      <c r="C200" s="1163" t="s">
        <v>2727</v>
      </c>
      <c r="D200" s="1163" t="s">
        <v>3115</v>
      </c>
      <c r="E200" s="1164"/>
      <c r="F200" s="1165">
        <v>30314</v>
      </c>
      <c r="G200" s="1166" t="s">
        <v>2695</v>
      </c>
      <c r="H200" s="1167">
        <v>16.25</v>
      </c>
      <c r="I200" s="1168">
        <f>IF(DAY($F200)&gt;15, VLOOKUP(EOMONTH($F200,-1),'WP 3.1 Rate Case Regress.'!$C$5:$D$556,2,FALSE), VLOOKUP(EOMONTH($F200, -2), 'WP 3.1 Rate Case Regress.'!$C$5:$D$556, 2, FALSE))</f>
        <v>14.4625</v>
      </c>
      <c r="K200" s="108"/>
      <c r="L200" s="108"/>
      <c r="M200" s="108"/>
      <c r="N200" s="108"/>
      <c r="O200" s="108"/>
      <c r="P200" s="108"/>
      <c r="Q200" s="108"/>
      <c r="R200" s="108"/>
      <c r="S200" s="108"/>
      <c r="T200" s="108"/>
      <c r="V200" s="60"/>
      <c r="W200" s="60"/>
      <c r="X200" s="60"/>
      <c r="Y200" s="60"/>
      <c r="Z200" s="60"/>
      <c r="AA200" s="60"/>
      <c r="AB200" s="60"/>
      <c r="AC200" s="60"/>
    </row>
    <row r="201" spans="2:29" ht="15" customHeight="1" x14ac:dyDescent="0.5">
      <c r="B201" s="1162" t="s">
        <v>2736</v>
      </c>
      <c r="C201" s="1163" t="s">
        <v>2737</v>
      </c>
      <c r="D201" s="1163" t="s">
        <v>3116</v>
      </c>
      <c r="E201" s="1164"/>
      <c r="F201" s="1165">
        <v>30314</v>
      </c>
      <c r="G201" s="1166" t="s">
        <v>2695</v>
      </c>
      <c r="H201" s="1167">
        <v>16.25</v>
      </c>
      <c r="I201" s="1168">
        <f>IF(DAY($F201)&gt;15, VLOOKUP(EOMONTH($F201,-1),'WP 3.1 Rate Case Regress.'!$C$5:$D$556,2,FALSE), VLOOKUP(EOMONTH($F201, -2), 'WP 3.1 Rate Case Regress.'!$C$5:$D$556, 2, FALSE))</f>
        <v>14.4625</v>
      </c>
      <c r="K201" s="108"/>
      <c r="L201" s="108"/>
      <c r="M201" s="108"/>
      <c r="N201" s="108"/>
      <c r="O201" s="108"/>
      <c r="P201" s="108"/>
      <c r="Q201" s="108"/>
      <c r="R201" s="108"/>
      <c r="S201" s="108"/>
      <c r="T201" s="108"/>
      <c r="V201" s="60"/>
      <c r="W201" s="60"/>
      <c r="X201" s="60"/>
      <c r="Y201" s="60"/>
      <c r="Z201" s="60"/>
      <c r="AA201" s="60"/>
      <c r="AB201" s="60"/>
      <c r="AC201" s="60"/>
    </row>
    <row r="202" spans="2:29" ht="15" customHeight="1" x14ac:dyDescent="0.5">
      <c r="B202" s="1162" t="s">
        <v>2704</v>
      </c>
      <c r="C202" s="1163" t="s">
        <v>2725</v>
      </c>
      <c r="D202" s="1163" t="s">
        <v>3117</v>
      </c>
      <c r="E202" s="1164"/>
      <c r="F202" s="1165">
        <v>30327</v>
      </c>
      <c r="G202" s="1166" t="s">
        <v>2695</v>
      </c>
      <c r="H202" s="1167">
        <v>15.9</v>
      </c>
      <c r="I202" s="1168">
        <f>IF(DAY($F202)&gt;15, VLOOKUP(EOMONTH($F202,-1),'WP 3.1 Rate Case Regress.'!$C$5:$D$556,2,FALSE), VLOOKUP(EOMONTH($F202, -2), 'WP 3.1 Rate Case Regress.'!$C$5:$D$556, 2, FALSE))</f>
        <v>14.4625</v>
      </c>
      <c r="K202" s="108"/>
      <c r="L202" s="108"/>
      <c r="M202" s="108"/>
      <c r="N202" s="108"/>
      <c r="O202" s="108"/>
      <c r="P202" s="108"/>
      <c r="Q202" s="108"/>
      <c r="R202" s="108"/>
      <c r="S202" s="108"/>
      <c r="T202" s="108"/>
      <c r="V202" s="60"/>
      <c r="W202" s="60"/>
      <c r="X202" s="60"/>
      <c r="Y202" s="60"/>
      <c r="Z202" s="60"/>
      <c r="AA202" s="60"/>
      <c r="AB202" s="60"/>
      <c r="AC202" s="60"/>
    </row>
    <row r="203" spans="2:29" ht="15" customHeight="1" x14ac:dyDescent="0.5">
      <c r="B203" s="1162" t="s">
        <v>2693</v>
      </c>
      <c r="C203" s="1163" t="s">
        <v>2742</v>
      </c>
      <c r="D203" s="1163" t="s">
        <v>3118</v>
      </c>
      <c r="E203" s="1164"/>
      <c r="F203" s="1165">
        <v>30328</v>
      </c>
      <c r="G203" s="1166" t="s">
        <v>2695</v>
      </c>
      <c r="H203" s="1167">
        <v>15.5</v>
      </c>
      <c r="I203" s="1168">
        <f>IF(DAY($F203)&gt;15, VLOOKUP(EOMONTH($F203,-1),'WP 3.1 Rate Case Regress.'!$C$5:$D$556,2,FALSE), VLOOKUP(EOMONTH($F203, -2), 'WP 3.1 Rate Case Regress.'!$C$5:$D$556, 2, FALSE))</f>
        <v>14.4625</v>
      </c>
      <c r="K203" s="108"/>
      <c r="L203" s="108"/>
      <c r="M203" s="108"/>
      <c r="N203" s="108"/>
      <c r="O203" s="108"/>
      <c r="P203" s="108"/>
      <c r="Q203" s="108"/>
      <c r="R203" s="108"/>
      <c r="S203" s="108"/>
      <c r="T203" s="108"/>
      <c r="V203" s="60"/>
      <c r="W203" s="60"/>
      <c r="X203" s="60"/>
      <c r="Y203" s="60"/>
      <c r="Z203" s="60"/>
      <c r="AA203" s="60"/>
      <c r="AB203" s="60"/>
      <c r="AC203" s="60"/>
    </row>
    <row r="204" spans="2:29" ht="15" customHeight="1" x14ac:dyDescent="0.5">
      <c r="B204" s="1162" t="s">
        <v>2702</v>
      </c>
      <c r="C204" s="1163" t="s">
        <v>2903</v>
      </c>
      <c r="D204" s="1163" t="s">
        <v>3119</v>
      </c>
      <c r="E204" s="1164"/>
      <c r="F204" s="1165">
        <v>30334</v>
      </c>
      <c r="G204" s="1166" t="s">
        <v>2695</v>
      </c>
      <c r="H204" s="1167">
        <v>15</v>
      </c>
      <c r="I204" s="1168">
        <f>IF(DAY($F204)&gt;15, VLOOKUP(EOMONTH($F204,-1),'WP 3.1 Rate Case Regress.'!$C$5:$D$556,2,FALSE), VLOOKUP(EOMONTH($F204, -2), 'WP 3.1 Rate Case Regress.'!$C$5:$D$556, 2, FALSE))</f>
        <v>14.425599999999999</v>
      </c>
      <c r="K204" s="108"/>
      <c r="L204" s="108"/>
      <c r="M204" s="108"/>
      <c r="N204" s="108"/>
      <c r="O204" s="108"/>
      <c r="P204" s="108"/>
      <c r="Q204" s="108"/>
      <c r="R204" s="108"/>
      <c r="S204" s="108"/>
      <c r="T204" s="108"/>
      <c r="V204" s="60"/>
      <c r="W204" s="60"/>
      <c r="X204" s="60"/>
      <c r="Y204" s="60"/>
      <c r="Z204" s="60"/>
      <c r="AA204" s="60"/>
      <c r="AB204" s="60"/>
      <c r="AC204" s="60"/>
    </row>
    <row r="205" spans="2:29" ht="15" customHeight="1" x14ac:dyDescent="0.5">
      <c r="B205" s="1162" t="s">
        <v>2731</v>
      </c>
      <c r="C205" s="1163" t="s">
        <v>2939</v>
      </c>
      <c r="D205" s="1163" t="s">
        <v>3120</v>
      </c>
      <c r="E205" s="1164"/>
      <c r="F205" s="1165">
        <v>30340</v>
      </c>
      <c r="G205" s="1166" t="s">
        <v>2695</v>
      </c>
      <c r="H205" s="1167">
        <v>16</v>
      </c>
      <c r="I205" s="1168">
        <f>IF(DAY($F205)&gt;15, VLOOKUP(EOMONTH($F205,-1),'WP 3.1 Rate Case Regress.'!$C$5:$D$556,2,FALSE), VLOOKUP(EOMONTH($F205, -2), 'WP 3.1 Rate Case Regress.'!$C$5:$D$556, 2, FALSE))</f>
        <v>14.425599999999999</v>
      </c>
      <c r="K205" s="108"/>
      <c r="L205" s="108"/>
      <c r="M205" s="108"/>
      <c r="N205" s="108"/>
      <c r="O205" s="108"/>
      <c r="P205" s="108"/>
      <c r="Q205" s="108"/>
      <c r="R205" s="108"/>
      <c r="S205" s="108"/>
      <c r="T205" s="108"/>
      <c r="V205" s="60"/>
      <c r="W205" s="60"/>
      <c r="X205" s="60"/>
      <c r="Y205" s="60"/>
      <c r="Z205" s="60"/>
      <c r="AA205" s="60"/>
      <c r="AB205" s="60"/>
      <c r="AC205" s="60"/>
    </row>
    <row r="206" spans="2:29" ht="15" customHeight="1" x14ac:dyDescent="0.5">
      <c r="B206" s="1162" t="s">
        <v>2704</v>
      </c>
      <c r="C206" s="1163" t="s">
        <v>3121</v>
      </c>
      <c r="D206" s="1163" t="s">
        <v>3122</v>
      </c>
      <c r="E206" s="1164"/>
      <c r="F206" s="1165">
        <v>30340</v>
      </c>
      <c r="G206" s="1166" t="s">
        <v>2695</v>
      </c>
      <c r="H206" s="1167">
        <v>15.5</v>
      </c>
      <c r="I206" s="1168">
        <f>IF(DAY($F206)&gt;15, VLOOKUP(EOMONTH($F206,-1),'WP 3.1 Rate Case Regress.'!$C$5:$D$556,2,FALSE), VLOOKUP(EOMONTH($F206, -2), 'WP 3.1 Rate Case Regress.'!$C$5:$D$556, 2, FALSE))</f>
        <v>14.425599999999999</v>
      </c>
      <c r="K206" s="108"/>
      <c r="L206" s="108"/>
      <c r="M206" s="108"/>
      <c r="N206" s="108"/>
      <c r="O206" s="108"/>
      <c r="P206" s="108"/>
      <c r="Q206" s="108"/>
      <c r="R206" s="108"/>
      <c r="S206" s="108"/>
      <c r="T206" s="108"/>
      <c r="V206" s="60"/>
      <c r="W206" s="60"/>
      <c r="X206" s="60"/>
      <c r="Y206" s="60"/>
      <c r="Z206" s="60"/>
      <c r="AA206" s="60"/>
      <c r="AB206" s="60"/>
      <c r="AC206" s="60"/>
    </row>
    <row r="207" spans="2:29" ht="15" customHeight="1" x14ac:dyDescent="0.5">
      <c r="B207" s="1162" t="s">
        <v>2754</v>
      </c>
      <c r="C207" s="1163" t="s">
        <v>3123</v>
      </c>
      <c r="D207" s="1163" t="s">
        <v>3124</v>
      </c>
      <c r="E207" s="1164"/>
      <c r="F207" s="1165">
        <v>30344</v>
      </c>
      <c r="G207" s="1166" t="s">
        <v>2695</v>
      </c>
      <c r="H207" s="1167">
        <v>14.9</v>
      </c>
      <c r="I207" s="1168">
        <f>IF(DAY($F207)&gt;15, VLOOKUP(EOMONTH($F207,-1),'WP 3.1 Rate Case Regress.'!$C$5:$D$556,2,FALSE), VLOOKUP(EOMONTH($F207, -2), 'WP 3.1 Rate Case Regress.'!$C$5:$D$556, 2, FALSE))</f>
        <v>14.425599999999999</v>
      </c>
      <c r="K207" s="108"/>
      <c r="L207" s="108"/>
      <c r="M207" s="108"/>
      <c r="N207" s="108"/>
      <c r="O207" s="108"/>
      <c r="P207" s="108"/>
      <c r="Q207" s="108"/>
      <c r="R207" s="108"/>
      <c r="S207" s="108"/>
      <c r="T207" s="108"/>
      <c r="V207" s="60"/>
      <c r="W207" s="60"/>
      <c r="X207" s="60"/>
      <c r="Y207" s="60"/>
      <c r="Z207" s="60"/>
      <c r="AA207" s="60"/>
      <c r="AB207" s="60"/>
      <c r="AC207" s="60"/>
    </row>
    <row r="208" spans="2:29" ht="15" customHeight="1" x14ac:dyDescent="0.5">
      <c r="B208" s="1162" t="s">
        <v>2724</v>
      </c>
      <c r="C208" s="1163" t="s">
        <v>2942</v>
      </c>
      <c r="D208" s="1163" t="s">
        <v>4752</v>
      </c>
      <c r="E208" s="1164"/>
      <c r="F208" s="1165">
        <v>30347</v>
      </c>
      <c r="G208" s="1166" t="s">
        <v>4585</v>
      </c>
      <c r="H208" s="1167">
        <v>15</v>
      </c>
      <c r="I208" s="1168">
        <f>IF(DAY($F208)&gt;15, VLOOKUP(EOMONTH($F208,-1),'WP 3.1 Rate Case Regress.'!$C$5:$D$556,2,FALSE), VLOOKUP(EOMONTH($F208, -2), 'WP 3.1 Rate Case Regress.'!$C$5:$D$556, 2, FALSE))</f>
        <v>14.425599999999999</v>
      </c>
      <c r="K208" s="108"/>
      <c r="L208" s="108"/>
      <c r="M208" s="108"/>
      <c r="N208" s="108"/>
      <c r="O208" s="108"/>
      <c r="P208" s="108"/>
      <c r="Q208" s="108"/>
      <c r="R208" s="108"/>
      <c r="S208" s="108"/>
      <c r="T208" s="108"/>
      <c r="V208" s="60"/>
      <c r="W208" s="60"/>
      <c r="X208" s="60"/>
      <c r="Y208" s="60"/>
      <c r="Z208" s="60"/>
      <c r="AA208" s="60"/>
      <c r="AB208" s="60"/>
      <c r="AC208" s="60"/>
    </row>
    <row r="209" spans="2:29" ht="15" customHeight="1" x14ac:dyDescent="0.5">
      <c r="B209" s="1162" t="s">
        <v>2708</v>
      </c>
      <c r="C209" s="1163" t="s">
        <v>2709</v>
      </c>
      <c r="D209" s="1163" t="s">
        <v>3125</v>
      </c>
      <c r="E209" s="1164"/>
      <c r="F209" s="1165">
        <v>30357</v>
      </c>
      <c r="G209" s="1166" t="s">
        <v>2695</v>
      </c>
      <c r="H209" s="1167">
        <v>15</v>
      </c>
      <c r="I209" s="1168">
        <f>IF(DAY($F209)&gt;15, VLOOKUP(EOMONTH($F209,-1),'WP 3.1 Rate Case Regress.'!$C$5:$D$556,2,FALSE), VLOOKUP(EOMONTH($F209, -2), 'WP 3.1 Rate Case Regress.'!$C$5:$D$556, 2, FALSE))</f>
        <v>14.425599999999999</v>
      </c>
      <c r="K209" s="108"/>
      <c r="L209" s="108"/>
      <c r="M209" s="108"/>
      <c r="N209" s="108"/>
      <c r="O209" s="108"/>
      <c r="P209" s="108"/>
      <c r="Q209" s="108"/>
      <c r="R209" s="108"/>
      <c r="S209" s="108"/>
      <c r="T209" s="108"/>
      <c r="V209" s="60"/>
      <c r="W209" s="60"/>
      <c r="X209" s="60"/>
      <c r="Y209" s="60"/>
      <c r="Z209" s="60"/>
      <c r="AA209" s="60"/>
      <c r="AB209" s="60"/>
      <c r="AC209" s="60"/>
    </row>
    <row r="210" spans="2:29" ht="15" customHeight="1" x14ac:dyDescent="0.5">
      <c r="B210" s="1162" t="s">
        <v>2734</v>
      </c>
      <c r="C210" s="1163" t="s">
        <v>2895</v>
      </c>
      <c r="D210" s="1163" t="s">
        <v>3126</v>
      </c>
      <c r="E210" s="1164"/>
      <c r="F210" s="1165">
        <v>30372</v>
      </c>
      <c r="G210" s="1166" t="s">
        <v>2695</v>
      </c>
      <c r="H210" s="1167">
        <v>15.7</v>
      </c>
      <c r="I210" s="1168">
        <f>IF(DAY($F210)&gt;15, VLOOKUP(EOMONTH($F210,-1),'WP 3.1 Rate Case Regress.'!$C$5:$D$556,2,FALSE), VLOOKUP(EOMONTH($F210, -2), 'WP 3.1 Rate Case Regress.'!$C$5:$D$556, 2, FALSE))</f>
        <v>14.241</v>
      </c>
      <c r="K210" s="108"/>
      <c r="L210" s="108"/>
      <c r="M210" s="108"/>
      <c r="N210" s="108"/>
      <c r="O210" s="108"/>
      <c r="P210" s="108"/>
      <c r="Q210" s="108"/>
      <c r="R210" s="108"/>
      <c r="S210" s="108"/>
      <c r="T210" s="108"/>
      <c r="V210" s="60"/>
      <c r="W210" s="60"/>
      <c r="X210" s="60"/>
      <c r="Y210" s="60"/>
      <c r="Z210" s="60"/>
      <c r="AA210" s="60"/>
      <c r="AB210" s="60"/>
      <c r="AC210" s="60"/>
    </row>
    <row r="211" spans="2:29" ht="15" customHeight="1" x14ac:dyDescent="0.5">
      <c r="B211" s="1162" t="s">
        <v>2728</v>
      </c>
      <c r="C211" s="1163" t="s">
        <v>2729</v>
      </c>
      <c r="D211" s="1163" t="s">
        <v>3127</v>
      </c>
      <c r="E211" s="1164"/>
      <c r="F211" s="1165">
        <v>30377</v>
      </c>
      <c r="G211" s="1166" t="s">
        <v>2695</v>
      </c>
      <c r="H211" s="1167">
        <v>15.25</v>
      </c>
      <c r="I211" s="1168">
        <f>IF(DAY($F211)&gt;15, VLOOKUP(EOMONTH($F211,-1),'WP 3.1 Rate Case Regress.'!$C$5:$D$556,2,FALSE), VLOOKUP(EOMONTH($F211, -2), 'WP 3.1 Rate Case Regress.'!$C$5:$D$556, 2, FALSE))</f>
        <v>14.241</v>
      </c>
      <c r="K211" s="108"/>
      <c r="L211" s="108"/>
      <c r="M211" s="108"/>
      <c r="N211" s="108"/>
      <c r="O211" s="108"/>
      <c r="P211" s="108"/>
      <c r="Q211" s="108"/>
      <c r="R211" s="108"/>
      <c r="S211" s="108"/>
      <c r="T211" s="108"/>
      <c r="V211" s="60"/>
      <c r="W211" s="60"/>
      <c r="X211" s="60"/>
      <c r="Y211" s="60"/>
      <c r="Z211" s="60"/>
      <c r="AA211" s="60"/>
      <c r="AB211" s="60"/>
      <c r="AC211" s="60"/>
    </row>
    <row r="212" spans="2:29" ht="15" customHeight="1" x14ac:dyDescent="0.5">
      <c r="B212" s="1162" t="s">
        <v>2768</v>
      </c>
      <c r="C212" s="1163" t="s">
        <v>3012</v>
      </c>
      <c r="D212" s="1163" t="s">
        <v>3128</v>
      </c>
      <c r="E212" s="1164"/>
      <c r="F212" s="1165">
        <v>30391</v>
      </c>
      <c r="G212" s="1166" t="s">
        <v>2695</v>
      </c>
      <c r="H212" s="1167">
        <v>16</v>
      </c>
      <c r="I212" s="1168">
        <f>IF(DAY($F212)&gt;15, VLOOKUP(EOMONTH($F212,-1),'WP 3.1 Rate Case Regress.'!$C$5:$D$556,2,FALSE), VLOOKUP(EOMONTH($F212, -2), 'WP 3.1 Rate Case Regress.'!$C$5:$D$556, 2, FALSE))</f>
        <v>14.277900000000001</v>
      </c>
      <c r="K212" s="108"/>
      <c r="L212" s="108"/>
      <c r="M212" s="108"/>
      <c r="N212" s="108"/>
      <c r="O212" s="108"/>
      <c r="P212" s="108"/>
      <c r="Q212" s="108"/>
      <c r="R212" s="108"/>
      <c r="S212" s="108"/>
      <c r="T212" s="108"/>
      <c r="V212" s="60"/>
      <c r="W212" s="60"/>
      <c r="X212" s="60"/>
      <c r="Y212" s="60"/>
      <c r="Z212" s="60"/>
      <c r="AA212" s="60"/>
      <c r="AB212" s="60"/>
      <c r="AC212" s="60"/>
    </row>
    <row r="213" spans="2:29" ht="15" customHeight="1" x14ac:dyDescent="0.5">
      <c r="B213" s="1162" t="s">
        <v>2754</v>
      </c>
      <c r="C213" s="1163" t="s">
        <v>2975</v>
      </c>
      <c r="D213" s="1163" t="s">
        <v>3129</v>
      </c>
      <c r="E213" s="1164"/>
      <c r="F213" s="1165">
        <v>30396</v>
      </c>
      <c r="G213" s="1166" t="s">
        <v>2695</v>
      </c>
      <c r="H213" s="1167">
        <v>14.96</v>
      </c>
      <c r="I213" s="1168">
        <f>IF(DAY($F213)&gt;15, VLOOKUP(EOMONTH($F213,-1),'WP 3.1 Rate Case Regress.'!$C$5:$D$556,2,FALSE), VLOOKUP(EOMONTH($F213, -2), 'WP 3.1 Rate Case Regress.'!$C$5:$D$556, 2, FALSE))</f>
        <v>14.277900000000001</v>
      </c>
      <c r="K213" s="108"/>
      <c r="L213" s="108"/>
      <c r="M213" s="108"/>
      <c r="N213" s="108"/>
      <c r="O213" s="108"/>
      <c r="P213" s="108"/>
      <c r="Q213" s="108"/>
      <c r="R213" s="108"/>
      <c r="S213" s="108"/>
      <c r="T213" s="108"/>
      <c r="V213" s="60"/>
      <c r="W213" s="60"/>
      <c r="X213" s="60"/>
      <c r="Y213" s="60"/>
      <c r="Z213" s="60"/>
      <c r="AA213" s="60"/>
      <c r="AB213" s="60"/>
      <c r="AC213" s="60"/>
    </row>
    <row r="214" spans="2:29" ht="15" customHeight="1" x14ac:dyDescent="0.5">
      <c r="B214" s="1162" t="s">
        <v>2774</v>
      </c>
      <c r="C214" s="1163" t="s">
        <v>3493</v>
      </c>
      <c r="D214" s="1163" t="s">
        <v>4753</v>
      </c>
      <c r="E214" s="1164"/>
      <c r="F214" s="1165">
        <v>30398</v>
      </c>
      <c r="G214" s="1166" t="s">
        <v>4585</v>
      </c>
      <c r="H214" s="1167">
        <v>16.100000000000001</v>
      </c>
      <c r="I214" s="1168">
        <f>IF(DAY($F214)&gt;15, VLOOKUP(EOMONTH($F214,-1),'WP 3.1 Rate Case Regress.'!$C$5:$D$556,2,FALSE), VLOOKUP(EOMONTH($F214, -2), 'WP 3.1 Rate Case Regress.'!$C$5:$D$556, 2, FALSE))</f>
        <v>14.277900000000001</v>
      </c>
      <c r="K214" s="108"/>
      <c r="L214" s="108"/>
      <c r="M214" s="108"/>
      <c r="N214" s="108"/>
      <c r="O214" s="108"/>
      <c r="P214" s="108"/>
      <c r="Q214" s="108"/>
      <c r="R214" s="108"/>
      <c r="S214" s="108"/>
      <c r="T214" s="108"/>
      <c r="V214" s="60"/>
      <c r="W214" s="60"/>
      <c r="X214" s="60"/>
      <c r="Y214" s="60"/>
      <c r="Z214" s="60"/>
      <c r="AA214" s="60"/>
      <c r="AB214" s="60"/>
      <c r="AC214" s="60"/>
    </row>
    <row r="215" spans="2:29" ht="15" customHeight="1" x14ac:dyDescent="0.5">
      <c r="B215" s="1162" t="s">
        <v>2704</v>
      </c>
      <c r="C215" s="1163" t="s">
        <v>2705</v>
      </c>
      <c r="D215" s="1163" t="s">
        <v>3130</v>
      </c>
      <c r="E215" s="1164"/>
      <c r="F215" s="1165">
        <v>30398</v>
      </c>
      <c r="G215" s="1166" t="s">
        <v>2695</v>
      </c>
      <c r="H215" s="1167">
        <v>15.4</v>
      </c>
      <c r="I215" s="1168">
        <f>IF(DAY($F215)&gt;15, VLOOKUP(EOMONTH($F215,-1),'WP 3.1 Rate Case Regress.'!$C$5:$D$556,2,FALSE), VLOOKUP(EOMONTH($F215, -2), 'WP 3.1 Rate Case Regress.'!$C$5:$D$556, 2, FALSE))</f>
        <v>14.277900000000001</v>
      </c>
      <c r="K215" s="108"/>
      <c r="L215" s="108"/>
      <c r="M215" s="108"/>
      <c r="N215" s="108"/>
      <c r="O215" s="108"/>
      <c r="P215" s="108"/>
      <c r="Q215" s="108"/>
      <c r="R215" s="108"/>
      <c r="S215" s="108"/>
      <c r="T215" s="108"/>
      <c r="V215" s="60"/>
      <c r="W215" s="60"/>
      <c r="X215" s="60"/>
      <c r="Y215" s="60"/>
      <c r="Z215" s="60"/>
      <c r="AA215" s="60"/>
      <c r="AB215" s="60"/>
      <c r="AC215" s="60"/>
    </row>
    <row r="216" spans="2:29" ht="15" customHeight="1" x14ac:dyDescent="0.5">
      <c r="B216" s="1162" t="s">
        <v>2702</v>
      </c>
      <c r="C216" s="1163" t="s">
        <v>2748</v>
      </c>
      <c r="D216" s="1163" t="s">
        <v>3131</v>
      </c>
      <c r="E216" s="1164"/>
      <c r="F216" s="1165">
        <v>30399</v>
      </c>
      <c r="G216" s="1166" t="s">
        <v>2695</v>
      </c>
      <c r="H216" s="1167">
        <v>15</v>
      </c>
      <c r="I216" s="1168">
        <f>IF(DAY($F216)&gt;15, VLOOKUP(EOMONTH($F216,-1),'WP 3.1 Rate Case Regress.'!$C$5:$D$556,2,FALSE), VLOOKUP(EOMONTH($F216, -2), 'WP 3.1 Rate Case Regress.'!$C$5:$D$556, 2, FALSE))</f>
        <v>14.277900000000001</v>
      </c>
      <c r="K216" s="108"/>
      <c r="L216" s="108"/>
      <c r="M216" s="108"/>
      <c r="N216" s="108"/>
      <c r="O216" s="108"/>
      <c r="P216" s="108"/>
      <c r="Q216" s="108"/>
      <c r="R216" s="108"/>
      <c r="S216" s="108"/>
      <c r="T216" s="108"/>
      <c r="V216" s="60"/>
      <c r="W216" s="60"/>
      <c r="X216" s="60"/>
      <c r="Y216" s="60"/>
      <c r="Z216" s="60"/>
      <c r="AA216" s="60"/>
      <c r="AB216" s="60"/>
      <c r="AC216" s="60"/>
    </row>
    <row r="217" spans="2:29" ht="15" customHeight="1" x14ac:dyDescent="0.5">
      <c r="B217" s="1162" t="s">
        <v>2744</v>
      </c>
      <c r="C217" s="1163" t="s">
        <v>2770</v>
      </c>
      <c r="D217" s="1163" t="s">
        <v>3132</v>
      </c>
      <c r="E217" s="1164"/>
      <c r="F217" s="1165">
        <v>30418</v>
      </c>
      <c r="G217" s="1166" t="s">
        <v>2695</v>
      </c>
      <c r="H217" s="1167">
        <v>13.25</v>
      </c>
      <c r="I217" s="1168">
        <f>IF(DAY($F217)&gt;15, VLOOKUP(EOMONTH($F217,-1),'WP 3.1 Rate Case Regress.'!$C$5:$D$556,2,FALSE), VLOOKUP(EOMONTH($F217, -2), 'WP 3.1 Rate Case Regress.'!$C$5:$D$556, 2, FALSE))</f>
        <v>14.277900000000001</v>
      </c>
      <c r="K217" s="108"/>
      <c r="L217" s="108"/>
      <c r="M217" s="108"/>
      <c r="N217" s="108"/>
      <c r="O217" s="108"/>
      <c r="P217" s="108"/>
      <c r="Q217" s="108"/>
      <c r="R217" s="108"/>
      <c r="S217" s="108"/>
      <c r="T217" s="108"/>
      <c r="V217" s="60"/>
      <c r="W217" s="60"/>
      <c r="X217" s="60"/>
      <c r="Y217" s="60"/>
      <c r="Z217" s="60"/>
      <c r="AA217" s="60"/>
      <c r="AB217" s="60"/>
      <c r="AC217" s="60"/>
    </row>
    <row r="218" spans="2:29" ht="15" customHeight="1" x14ac:dyDescent="0.5">
      <c r="B218" s="1162" t="s">
        <v>2696</v>
      </c>
      <c r="C218" s="1163" t="s">
        <v>2910</v>
      </c>
      <c r="D218" s="1163" t="s">
        <v>4754</v>
      </c>
      <c r="E218" s="1164"/>
      <c r="F218" s="1165">
        <v>30435</v>
      </c>
      <c r="G218" s="1166" t="s">
        <v>4585</v>
      </c>
      <c r="H218" s="1167">
        <v>15.05</v>
      </c>
      <c r="I218" s="1168">
        <f>IF(DAY($F218)&gt;15, VLOOKUP(EOMONTH($F218,-1),'WP 3.1 Rate Case Regress.'!$C$5:$D$556,2,FALSE), VLOOKUP(EOMONTH($F218, -2), 'WP 3.1 Rate Case Regress.'!$C$5:$D$556, 2, FALSE))</f>
        <v>14.0274</v>
      </c>
      <c r="K218" s="108"/>
      <c r="L218" s="108"/>
      <c r="M218" s="108"/>
      <c r="N218" s="108"/>
      <c r="O218" s="108"/>
      <c r="P218" s="108"/>
      <c r="Q218" s="108"/>
      <c r="R218" s="108"/>
      <c r="S218" s="108"/>
      <c r="T218" s="108"/>
      <c r="V218" s="60"/>
      <c r="W218" s="60"/>
      <c r="X218" s="60"/>
      <c r="Y218" s="60"/>
      <c r="Z218" s="60"/>
      <c r="AA218" s="60"/>
      <c r="AB218" s="60"/>
      <c r="AC218" s="60"/>
    </row>
    <row r="219" spans="2:29" ht="15" customHeight="1" x14ac:dyDescent="0.5">
      <c r="B219" s="1162" t="s">
        <v>2714</v>
      </c>
      <c r="C219" s="1163" t="s">
        <v>4648</v>
      </c>
      <c r="D219" s="1163" t="s">
        <v>3133</v>
      </c>
      <c r="E219" s="1164"/>
      <c r="F219" s="1165">
        <v>30439</v>
      </c>
      <c r="G219" s="1166" t="s">
        <v>2695</v>
      </c>
      <c r="H219" s="1167">
        <v>15.4</v>
      </c>
      <c r="I219" s="1168">
        <f>IF(DAY($F219)&gt;15, VLOOKUP(EOMONTH($F219,-1),'WP 3.1 Rate Case Regress.'!$C$5:$D$556,2,FALSE), VLOOKUP(EOMONTH($F219, -2), 'WP 3.1 Rate Case Regress.'!$C$5:$D$556, 2, FALSE))</f>
        <v>14.0274</v>
      </c>
      <c r="K219" s="108"/>
      <c r="L219" s="108"/>
      <c r="M219" s="108"/>
      <c r="N219" s="108"/>
      <c r="O219" s="108"/>
      <c r="P219" s="108"/>
      <c r="Q219" s="108"/>
      <c r="R219" s="108"/>
      <c r="S219" s="108"/>
      <c r="T219" s="108"/>
      <c r="V219" s="60"/>
      <c r="W219" s="60"/>
      <c r="X219" s="60"/>
      <c r="Y219" s="60"/>
      <c r="Z219" s="60"/>
      <c r="AA219" s="60"/>
      <c r="AB219" s="60"/>
      <c r="AC219" s="60"/>
    </row>
    <row r="220" spans="2:29" ht="15" customHeight="1" x14ac:dyDescent="0.5">
      <c r="B220" s="1162" t="s">
        <v>2731</v>
      </c>
      <c r="C220" s="1163" t="s">
        <v>2733</v>
      </c>
      <c r="D220" s="1163" t="s">
        <v>3134</v>
      </c>
      <c r="E220" s="1164"/>
      <c r="F220" s="1165">
        <v>30445</v>
      </c>
      <c r="G220" s="1166" t="s">
        <v>2695</v>
      </c>
      <c r="H220" s="1167">
        <v>15.5</v>
      </c>
      <c r="I220" s="1168">
        <f>IF(DAY($F220)&gt;15, VLOOKUP(EOMONTH($F220,-1),'WP 3.1 Rate Case Regress.'!$C$5:$D$556,2,FALSE), VLOOKUP(EOMONTH($F220, -2), 'WP 3.1 Rate Case Regress.'!$C$5:$D$556, 2, FALSE))</f>
        <v>14.0274</v>
      </c>
      <c r="K220" s="108"/>
      <c r="L220" s="108"/>
      <c r="M220" s="108"/>
      <c r="N220" s="108"/>
      <c r="O220" s="108"/>
      <c r="P220" s="108"/>
      <c r="Q220" s="108"/>
      <c r="R220" s="108"/>
      <c r="S220" s="108"/>
      <c r="T220" s="108"/>
      <c r="V220" s="60"/>
      <c r="W220" s="60"/>
      <c r="X220" s="60"/>
      <c r="Y220" s="60"/>
      <c r="Z220" s="60"/>
      <c r="AA220" s="60"/>
      <c r="AB220" s="60"/>
      <c r="AC220" s="60"/>
    </row>
    <row r="221" spans="2:29" ht="15" customHeight="1" x14ac:dyDescent="0.5">
      <c r="B221" s="1162" t="s">
        <v>2712</v>
      </c>
      <c r="C221" s="1163" t="s">
        <v>3085</v>
      </c>
      <c r="D221" s="1163" t="s">
        <v>4755</v>
      </c>
      <c r="E221" s="1164"/>
      <c r="F221" s="1165">
        <v>30455</v>
      </c>
      <c r="G221" s="1166" t="s">
        <v>4585</v>
      </c>
      <c r="H221" s="1167">
        <v>14.85</v>
      </c>
      <c r="I221" s="1168">
        <f>IF(DAY($F221)&gt;15, VLOOKUP(EOMONTH($F221,-1),'WP 3.1 Rate Case Regress.'!$C$5:$D$556,2,FALSE), VLOOKUP(EOMONTH($F221, -2), 'WP 3.1 Rate Case Regress.'!$C$5:$D$556, 2, FALSE))</f>
        <v>13.637500000000001</v>
      </c>
      <c r="K221" s="108"/>
      <c r="L221" s="108"/>
      <c r="M221" s="108"/>
      <c r="N221" s="108"/>
      <c r="O221" s="108"/>
      <c r="P221" s="108"/>
      <c r="Q221" s="108"/>
      <c r="R221" s="108"/>
      <c r="S221" s="108"/>
      <c r="T221" s="108"/>
      <c r="V221" s="60"/>
      <c r="W221" s="60"/>
      <c r="X221" s="60"/>
      <c r="Y221" s="60"/>
      <c r="Z221" s="60"/>
      <c r="AA221" s="60"/>
      <c r="AB221" s="60"/>
      <c r="AC221" s="60"/>
    </row>
    <row r="222" spans="2:29" ht="15" customHeight="1" x14ac:dyDescent="0.5">
      <c r="B222" s="1162" t="s">
        <v>2704</v>
      </c>
      <c r="C222" s="1163" t="s">
        <v>2707</v>
      </c>
      <c r="D222" s="1163" t="s">
        <v>3135</v>
      </c>
      <c r="E222" s="1164"/>
      <c r="F222" s="1165">
        <v>30467</v>
      </c>
      <c r="G222" s="1166" t="s">
        <v>2695</v>
      </c>
      <c r="H222" s="1167">
        <v>14</v>
      </c>
      <c r="I222" s="1168">
        <f>IF(DAY($F222)&gt;15, VLOOKUP(EOMONTH($F222,-1),'WP 3.1 Rate Case Regress.'!$C$5:$D$556,2,FALSE), VLOOKUP(EOMONTH($F222, -2), 'WP 3.1 Rate Case Regress.'!$C$5:$D$556, 2, FALSE))</f>
        <v>13.637500000000001</v>
      </c>
      <c r="K222" s="108"/>
      <c r="L222" s="108"/>
      <c r="M222" s="108"/>
      <c r="N222" s="108"/>
      <c r="O222" s="108"/>
      <c r="P222" s="108"/>
      <c r="Q222" s="108"/>
      <c r="R222" s="108"/>
      <c r="S222" s="108"/>
      <c r="T222" s="108"/>
      <c r="V222" s="60"/>
      <c r="W222" s="60"/>
      <c r="X222" s="60"/>
      <c r="Y222" s="60"/>
      <c r="Z222" s="60"/>
      <c r="AA222" s="60"/>
      <c r="AB222" s="60"/>
      <c r="AC222" s="60"/>
    </row>
    <row r="223" spans="2:29" ht="15" customHeight="1" x14ac:dyDescent="0.5">
      <c r="B223" s="1162" t="s">
        <v>2702</v>
      </c>
      <c r="C223" s="1163" t="s">
        <v>4701</v>
      </c>
      <c r="D223" s="1163" t="s">
        <v>3136</v>
      </c>
      <c r="E223" s="1164"/>
      <c r="F223" s="1165">
        <v>30469</v>
      </c>
      <c r="G223" s="1166" t="s">
        <v>2695</v>
      </c>
      <c r="H223" s="1167">
        <v>14.5</v>
      </c>
      <c r="I223" s="1168">
        <f>IF(DAY($F223)&gt;15, VLOOKUP(EOMONTH($F223,-1),'WP 3.1 Rate Case Regress.'!$C$5:$D$556,2,FALSE), VLOOKUP(EOMONTH($F223, -2), 'WP 3.1 Rate Case Regress.'!$C$5:$D$556, 2, FALSE))</f>
        <v>13.637500000000001</v>
      </c>
      <c r="K223" s="108"/>
      <c r="L223" s="108"/>
      <c r="M223" s="108"/>
      <c r="N223" s="108"/>
      <c r="O223" s="108"/>
      <c r="P223" s="108"/>
      <c r="Q223" s="108"/>
      <c r="R223" s="108"/>
      <c r="S223" s="108"/>
      <c r="T223" s="108"/>
      <c r="V223" s="60"/>
      <c r="W223" s="60"/>
      <c r="X223" s="60"/>
      <c r="Y223" s="60"/>
      <c r="Z223" s="60"/>
      <c r="AA223" s="60"/>
      <c r="AB223" s="60"/>
      <c r="AC223" s="60"/>
    </row>
    <row r="224" spans="2:29" ht="15" customHeight="1" x14ac:dyDescent="0.5">
      <c r="B224" s="1162" t="s">
        <v>2724</v>
      </c>
      <c r="C224" s="1163" t="s">
        <v>2925</v>
      </c>
      <c r="D224" s="1163" t="s">
        <v>3137</v>
      </c>
      <c r="E224" s="1164"/>
      <c r="F224" s="1165">
        <v>30474</v>
      </c>
      <c r="G224" s="1166" t="s">
        <v>2695</v>
      </c>
      <c r="H224" s="1167">
        <v>14.5</v>
      </c>
      <c r="I224" s="1168">
        <f>IF(DAY($F224)&gt;15, VLOOKUP(EOMONTH($F224,-1),'WP 3.1 Rate Case Regress.'!$C$5:$D$556,2,FALSE), VLOOKUP(EOMONTH($F224, -2), 'WP 3.1 Rate Case Regress.'!$C$5:$D$556, 2, FALSE))</f>
        <v>13.637500000000001</v>
      </c>
      <c r="K224" s="108"/>
      <c r="L224" s="108"/>
      <c r="M224" s="108"/>
      <c r="N224" s="108"/>
      <c r="O224" s="108"/>
      <c r="P224" s="108"/>
      <c r="Q224" s="108"/>
      <c r="R224" s="108"/>
      <c r="S224" s="108"/>
      <c r="T224" s="108"/>
      <c r="V224" s="60"/>
      <c r="W224" s="60"/>
      <c r="X224" s="60"/>
      <c r="Y224" s="60"/>
      <c r="Z224" s="60"/>
      <c r="AA224" s="60"/>
      <c r="AB224" s="60"/>
      <c r="AC224" s="60"/>
    </row>
    <row r="225" spans="2:29" ht="15" customHeight="1" x14ac:dyDescent="0.5">
      <c r="B225" s="1162" t="s">
        <v>2712</v>
      </c>
      <c r="C225" s="1163" t="s">
        <v>3255</v>
      </c>
      <c r="D225" s="1163" t="s">
        <v>4756</v>
      </c>
      <c r="E225" s="1164"/>
      <c r="F225" s="1165">
        <v>30476</v>
      </c>
      <c r="G225" s="1166" t="s">
        <v>4585</v>
      </c>
      <c r="H225" s="1167">
        <v>14.85</v>
      </c>
      <c r="I225" s="1168">
        <f>IF(DAY($F225)&gt;15, VLOOKUP(EOMONTH($F225,-1),'WP 3.1 Rate Case Regress.'!$C$5:$D$556,2,FALSE), VLOOKUP(EOMONTH($F225, -2), 'WP 3.1 Rate Case Regress.'!$C$5:$D$556, 2, FALSE))</f>
        <v>13.637500000000001</v>
      </c>
      <c r="K225" s="108"/>
      <c r="L225" s="108"/>
      <c r="M225" s="108"/>
      <c r="N225" s="108"/>
      <c r="O225" s="108"/>
      <c r="P225" s="108"/>
      <c r="Q225" s="108"/>
      <c r="R225" s="108"/>
      <c r="S225" s="108"/>
      <c r="T225" s="108"/>
      <c r="V225" s="60"/>
      <c r="W225" s="60"/>
      <c r="X225" s="60"/>
      <c r="Y225" s="60"/>
      <c r="Z225" s="60"/>
      <c r="AA225" s="60"/>
      <c r="AB225" s="60"/>
      <c r="AC225" s="60"/>
    </row>
    <row r="226" spans="2:29" ht="15" customHeight="1" x14ac:dyDescent="0.5">
      <c r="B226" s="1162" t="s">
        <v>2736</v>
      </c>
      <c r="C226" s="1163" t="s">
        <v>2980</v>
      </c>
      <c r="D226" s="1163" t="s">
        <v>4757</v>
      </c>
      <c r="E226" s="1164"/>
      <c r="F226" s="1165">
        <v>30487</v>
      </c>
      <c r="G226" s="1166" t="s">
        <v>4585</v>
      </c>
      <c r="H226" s="1167">
        <v>16.5</v>
      </c>
      <c r="I226" s="1168">
        <f>IF(DAY($F226)&gt;15, VLOOKUP(EOMONTH($F226,-1),'WP 3.1 Rate Case Regress.'!$C$5:$D$556,2,FALSE), VLOOKUP(EOMONTH($F226, -2), 'WP 3.1 Rate Case Regress.'!$C$5:$D$556, 2, FALSE))</f>
        <v>13.491400000000001</v>
      </c>
      <c r="K226" s="108"/>
      <c r="L226" s="108"/>
      <c r="M226" s="108"/>
      <c r="N226" s="108"/>
      <c r="O226" s="108"/>
      <c r="P226" s="108"/>
      <c r="Q226" s="108"/>
      <c r="R226" s="108"/>
      <c r="S226" s="108"/>
      <c r="T226" s="108"/>
      <c r="V226" s="60"/>
      <c r="W226" s="60"/>
      <c r="X226" s="60"/>
      <c r="Y226" s="60"/>
      <c r="Z226" s="60"/>
      <c r="AA226" s="60"/>
      <c r="AB226" s="60"/>
      <c r="AC226" s="60"/>
    </row>
    <row r="227" spans="2:29" ht="15" customHeight="1" x14ac:dyDescent="0.5">
      <c r="B227" s="1162" t="s">
        <v>2740</v>
      </c>
      <c r="C227" s="1163" t="s">
        <v>2746</v>
      </c>
      <c r="D227" s="1163" t="s">
        <v>3138</v>
      </c>
      <c r="E227" s="1164"/>
      <c r="F227" s="1165">
        <v>30487</v>
      </c>
      <c r="G227" s="1166" t="s">
        <v>2695</v>
      </c>
      <c r="H227" s="1167">
        <v>14.15</v>
      </c>
      <c r="I227" s="1168">
        <f>IF(DAY($F227)&gt;15, VLOOKUP(EOMONTH($F227,-1),'WP 3.1 Rate Case Regress.'!$C$5:$D$556,2,FALSE), VLOOKUP(EOMONTH($F227, -2), 'WP 3.1 Rate Case Regress.'!$C$5:$D$556, 2, FALSE))</f>
        <v>13.491400000000001</v>
      </c>
      <c r="K227" s="108"/>
      <c r="L227" s="108"/>
      <c r="M227" s="108"/>
      <c r="N227" s="108"/>
      <c r="O227" s="108"/>
      <c r="P227" s="108"/>
      <c r="Q227" s="108"/>
      <c r="R227" s="108"/>
      <c r="S227" s="108"/>
      <c r="T227" s="108"/>
      <c r="V227" s="60"/>
      <c r="W227" s="60"/>
      <c r="X227" s="60"/>
      <c r="Y227" s="60"/>
      <c r="Z227" s="60"/>
      <c r="AA227" s="60"/>
      <c r="AB227" s="60"/>
      <c r="AC227" s="60"/>
    </row>
    <row r="228" spans="2:29" ht="15" customHeight="1" x14ac:dyDescent="0.5">
      <c r="B228" s="1162" t="s">
        <v>2732</v>
      </c>
      <c r="C228" s="1163" t="s">
        <v>2944</v>
      </c>
      <c r="D228" s="1163" t="s">
        <v>3139</v>
      </c>
      <c r="E228" s="1164"/>
      <c r="F228" s="1165">
        <v>30494</v>
      </c>
      <c r="G228" s="1166" t="s">
        <v>2695</v>
      </c>
      <c r="H228" s="1167">
        <v>14.5</v>
      </c>
      <c r="I228" s="1168">
        <f>IF(DAY($F228)&gt;15, VLOOKUP(EOMONTH($F228,-1),'WP 3.1 Rate Case Regress.'!$C$5:$D$556,2,FALSE), VLOOKUP(EOMONTH($F228, -2), 'WP 3.1 Rate Case Regress.'!$C$5:$D$556, 2, FALSE))</f>
        <v>13.491400000000001</v>
      </c>
      <c r="K228" s="108"/>
      <c r="L228" s="108"/>
      <c r="M228" s="108"/>
      <c r="N228" s="108"/>
      <c r="O228" s="108"/>
      <c r="P228" s="108"/>
      <c r="Q228" s="108"/>
      <c r="R228" s="108"/>
      <c r="S228" s="108"/>
      <c r="T228" s="108"/>
      <c r="V228" s="60"/>
      <c r="W228" s="60"/>
      <c r="X228" s="60"/>
      <c r="Y228" s="60"/>
      <c r="Z228" s="60"/>
      <c r="AA228" s="60"/>
      <c r="AB228" s="60"/>
      <c r="AC228" s="60"/>
    </row>
    <row r="229" spans="2:29" ht="15" customHeight="1" x14ac:dyDescent="0.5">
      <c r="B229" s="1162" t="s">
        <v>2723</v>
      </c>
      <c r="C229" s="1163" t="s">
        <v>2921</v>
      </c>
      <c r="D229" s="1163" t="s">
        <v>3140</v>
      </c>
      <c r="E229" s="1164"/>
      <c r="F229" s="1165">
        <v>30497</v>
      </c>
      <c r="G229" s="1166" t="s">
        <v>2695</v>
      </c>
      <c r="H229" s="1167">
        <v>15.9</v>
      </c>
      <c r="I229" s="1168">
        <f>IF(DAY($F229)&gt;15, VLOOKUP(EOMONTH($F229,-1),'WP 3.1 Rate Case Regress.'!$C$5:$D$556,2,FALSE), VLOOKUP(EOMONTH($F229, -2), 'WP 3.1 Rate Case Regress.'!$C$5:$D$556, 2, FALSE))</f>
        <v>13.491400000000001</v>
      </c>
      <c r="K229" s="108"/>
      <c r="L229" s="108"/>
      <c r="M229" s="108"/>
      <c r="N229" s="108"/>
      <c r="O229" s="108"/>
      <c r="P229" s="108"/>
      <c r="Q229" s="108"/>
      <c r="R229" s="108"/>
      <c r="S229" s="108"/>
      <c r="T229" s="108"/>
      <c r="V229" s="60"/>
      <c r="W229" s="60"/>
      <c r="X229" s="60"/>
      <c r="Y229" s="60"/>
      <c r="Z229" s="60"/>
      <c r="AA229" s="60"/>
      <c r="AB229" s="60"/>
      <c r="AC229" s="60"/>
    </row>
    <row r="230" spans="2:29" ht="15" customHeight="1" x14ac:dyDescent="0.5">
      <c r="B230" s="1162" t="s">
        <v>2989</v>
      </c>
      <c r="C230" s="1163" t="s">
        <v>3141</v>
      </c>
      <c r="D230" s="1163" t="s">
        <v>3142</v>
      </c>
      <c r="E230" s="1164"/>
      <c r="F230" s="1165">
        <v>30497</v>
      </c>
      <c r="G230" s="1166" t="s">
        <v>2695</v>
      </c>
      <c r="H230" s="1167">
        <v>14.8</v>
      </c>
      <c r="I230" s="1168">
        <f>IF(DAY($F230)&gt;15, VLOOKUP(EOMONTH($F230,-1),'WP 3.1 Rate Case Regress.'!$C$5:$D$556,2,FALSE), VLOOKUP(EOMONTH($F230, -2), 'WP 3.1 Rate Case Regress.'!$C$5:$D$556, 2, FALSE))</f>
        <v>13.491400000000001</v>
      </c>
      <c r="K230" s="108"/>
      <c r="L230" s="108"/>
      <c r="M230" s="108"/>
      <c r="N230" s="108"/>
      <c r="O230" s="108"/>
      <c r="P230" s="108"/>
      <c r="Q230" s="108"/>
      <c r="R230" s="108"/>
      <c r="S230" s="108"/>
      <c r="T230" s="108"/>
      <c r="V230" s="60"/>
      <c r="W230" s="60"/>
      <c r="X230" s="60"/>
      <c r="Y230" s="60"/>
      <c r="Z230" s="60"/>
      <c r="AA230" s="60"/>
      <c r="AB230" s="60"/>
      <c r="AC230" s="60"/>
    </row>
    <row r="231" spans="2:29" ht="15" customHeight="1" x14ac:dyDescent="0.5">
      <c r="B231" s="1162" t="s">
        <v>2698</v>
      </c>
      <c r="C231" s="1163" t="s">
        <v>2722</v>
      </c>
      <c r="D231" s="1163" t="s">
        <v>3143</v>
      </c>
      <c r="E231" s="1164"/>
      <c r="F231" s="1165">
        <v>30498</v>
      </c>
      <c r="G231" s="1166" t="s">
        <v>2695</v>
      </c>
      <c r="H231" s="1167">
        <v>14.8</v>
      </c>
      <c r="I231" s="1168">
        <f>IF(DAY($F231)&gt;15, VLOOKUP(EOMONTH($F231,-1),'WP 3.1 Rate Case Regress.'!$C$5:$D$556,2,FALSE), VLOOKUP(EOMONTH($F231, -2), 'WP 3.1 Rate Case Regress.'!$C$5:$D$556, 2, FALSE))</f>
        <v>13.491400000000001</v>
      </c>
      <c r="K231" s="108"/>
      <c r="L231" s="108"/>
      <c r="M231" s="108"/>
      <c r="N231" s="108"/>
      <c r="O231" s="108"/>
      <c r="P231" s="108"/>
      <c r="Q231" s="108"/>
      <c r="R231" s="108"/>
      <c r="S231" s="108"/>
      <c r="T231" s="108"/>
      <c r="V231" s="60"/>
      <c r="W231" s="60"/>
      <c r="X231" s="60"/>
      <c r="Y231" s="60"/>
      <c r="Z231" s="60"/>
      <c r="AA231" s="60"/>
      <c r="AB231" s="60"/>
      <c r="AC231" s="60"/>
    </row>
    <row r="232" spans="2:29" ht="15" customHeight="1" x14ac:dyDescent="0.5">
      <c r="B232" s="1162" t="s">
        <v>2728</v>
      </c>
      <c r="C232" s="1163" t="s">
        <v>3144</v>
      </c>
      <c r="D232" s="1163" t="s">
        <v>3145</v>
      </c>
      <c r="E232" s="1164"/>
      <c r="F232" s="1165">
        <v>30502</v>
      </c>
      <c r="G232" s="1166" t="s">
        <v>2695</v>
      </c>
      <c r="H232" s="1167">
        <v>15</v>
      </c>
      <c r="I232" s="1168">
        <f>IF(DAY($F232)&gt;15, VLOOKUP(EOMONTH($F232,-1),'WP 3.1 Rate Case Regress.'!$C$5:$D$556,2,FALSE), VLOOKUP(EOMONTH($F232, -2), 'WP 3.1 Rate Case Regress.'!$C$5:$D$556, 2, FALSE))</f>
        <v>13.491400000000001</v>
      </c>
      <c r="K232" s="108"/>
      <c r="L232" s="108"/>
      <c r="M232" s="108"/>
      <c r="N232" s="108"/>
      <c r="O232" s="108"/>
      <c r="P232" s="108"/>
      <c r="Q232" s="108"/>
      <c r="R232" s="108"/>
      <c r="S232" s="108"/>
      <c r="T232" s="108"/>
      <c r="V232" s="60"/>
      <c r="W232" s="60"/>
      <c r="X232" s="60"/>
      <c r="Y232" s="60"/>
      <c r="Z232" s="60"/>
      <c r="AA232" s="60"/>
      <c r="AB232" s="60"/>
      <c r="AC232" s="60"/>
    </row>
    <row r="233" spans="2:29" ht="15" customHeight="1" x14ac:dyDescent="0.5">
      <c r="B233" s="1162" t="s">
        <v>2696</v>
      </c>
      <c r="C233" s="1163" t="s">
        <v>3146</v>
      </c>
      <c r="D233" s="1163" t="s">
        <v>3147</v>
      </c>
      <c r="E233" s="1164"/>
      <c r="F233" s="1165">
        <v>30505</v>
      </c>
      <c r="G233" s="1166" t="s">
        <v>2695</v>
      </c>
      <c r="H233" s="1167">
        <v>15.5</v>
      </c>
      <c r="I233" s="1168">
        <f>IF(DAY($F233)&gt;15, VLOOKUP(EOMONTH($F233,-1),'WP 3.1 Rate Case Regress.'!$C$5:$D$556,2,FALSE), VLOOKUP(EOMONTH($F233, -2), 'WP 3.1 Rate Case Regress.'!$C$5:$D$556, 2, FALSE))</f>
        <v>13.491400000000001</v>
      </c>
      <c r="K233" s="108"/>
      <c r="L233" s="108"/>
      <c r="M233" s="108"/>
      <c r="N233" s="108"/>
      <c r="O233" s="108"/>
      <c r="P233" s="108"/>
      <c r="Q233" s="108"/>
      <c r="R233" s="108"/>
      <c r="S233" s="108"/>
      <c r="T233" s="108"/>
      <c r="V233" s="60"/>
      <c r="W233" s="60"/>
      <c r="X233" s="60"/>
      <c r="Y233" s="60"/>
      <c r="Z233" s="60"/>
      <c r="AA233" s="60"/>
      <c r="AB233" s="60"/>
      <c r="AC233" s="60"/>
    </row>
    <row r="234" spans="2:29" ht="15" customHeight="1" x14ac:dyDescent="0.5">
      <c r="B234" s="1162" t="s">
        <v>2704</v>
      </c>
      <c r="C234" s="1163" t="s">
        <v>2927</v>
      </c>
      <c r="D234" s="1163" t="s">
        <v>3148</v>
      </c>
      <c r="E234" s="1164"/>
      <c r="F234" s="1165">
        <v>30516</v>
      </c>
      <c r="G234" s="1166" t="s">
        <v>2695</v>
      </c>
      <c r="H234" s="1167">
        <v>15.1</v>
      </c>
      <c r="I234" s="1168">
        <f>IF(DAY($F234)&gt;15, VLOOKUP(EOMONTH($F234,-1),'WP 3.1 Rate Case Regress.'!$C$5:$D$556,2,FALSE), VLOOKUP(EOMONTH($F234, -2), 'WP 3.1 Rate Case Regress.'!$C$5:$D$556, 2, FALSE))</f>
        <v>13.6473</v>
      </c>
      <c r="K234" s="108"/>
      <c r="L234" s="108"/>
      <c r="M234" s="108"/>
      <c r="N234" s="108"/>
      <c r="O234" s="108"/>
      <c r="P234" s="108"/>
      <c r="Q234" s="108"/>
      <c r="R234" s="108"/>
      <c r="S234" s="108"/>
      <c r="T234" s="108"/>
      <c r="V234" s="60"/>
      <c r="W234" s="60"/>
      <c r="X234" s="60"/>
      <c r="Y234" s="60"/>
      <c r="Z234" s="60"/>
      <c r="AA234" s="60"/>
      <c r="AB234" s="60"/>
      <c r="AC234" s="60"/>
    </row>
    <row r="235" spans="2:29" ht="15" customHeight="1" x14ac:dyDescent="0.5">
      <c r="B235" s="1162" t="s">
        <v>2702</v>
      </c>
      <c r="C235" s="1163" t="s">
        <v>2755</v>
      </c>
      <c r="D235" s="1163" t="s">
        <v>3149</v>
      </c>
      <c r="E235" s="1164"/>
      <c r="F235" s="1165">
        <v>30516</v>
      </c>
      <c r="G235" s="1166" t="s">
        <v>2695</v>
      </c>
      <c r="H235" s="1167">
        <v>15</v>
      </c>
      <c r="I235" s="1168">
        <f>IF(DAY($F235)&gt;15, VLOOKUP(EOMONTH($F235,-1),'WP 3.1 Rate Case Regress.'!$C$5:$D$556,2,FALSE), VLOOKUP(EOMONTH($F235, -2), 'WP 3.1 Rate Case Regress.'!$C$5:$D$556, 2, FALSE))</f>
        <v>13.6473</v>
      </c>
      <c r="K235" s="108"/>
      <c r="L235" s="108"/>
      <c r="M235" s="108"/>
      <c r="N235" s="108"/>
      <c r="O235" s="108"/>
      <c r="P235" s="108"/>
      <c r="Q235" s="108"/>
      <c r="R235" s="108"/>
      <c r="S235" s="108"/>
      <c r="T235" s="108"/>
      <c r="V235" s="60"/>
      <c r="W235" s="60"/>
      <c r="X235" s="60"/>
      <c r="Y235" s="60"/>
      <c r="Z235" s="60"/>
      <c r="AA235" s="60"/>
      <c r="AB235" s="60"/>
      <c r="AC235" s="60"/>
    </row>
    <row r="236" spans="2:29" ht="15" customHeight="1" x14ac:dyDescent="0.5">
      <c r="B236" s="1162" t="s">
        <v>2743</v>
      </c>
      <c r="C236" s="1163" t="s">
        <v>2969</v>
      </c>
      <c r="D236" s="1163" t="s">
        <v>3150</v>
      </c>
      <c r="E236" s="1164"/>
      <c r="F236" s="1165">
        <v>30546</v>
      </c>
      <c r="G236" s="1166" t="s">
        <v>2695</v>
      </c>
      <c r="H236" s="1167">
        <v>15.3</v>
      </c>
      <c r="I236" s="1168">
        <f>IF(DAY($F236)&gt;15, VLOOKUP(EOMONTH($F236,-1),'WP 3.1 Rate Case Regress.'!$C$5:$D$556,2,FALSE), VLOOKUP(EOMONTH($F236, -2), 'WP 3.1 Rate Case Regress.'!$C$5:$D$556, 2, FALSE))</f>
        <v>13.571999999999999</v>
      </c>
      <c r="K236" s="108"/>
      <c r="L236" s="108"/>
      <c r="M236" s="108"/>
      <c r="N236" s="108"/>
      <c r="O236" s="108"/>
      <c r="P236" s="108"/>
      <c r="Q236" s="108"/>
      <c r="R236" s="108"/>
      <c r="S236" s="108"/>
      <c r="T236" s="108"/>
      <c r="V236" s="60"/>
      <c r="W236" s="60"/>
      <c r="X236" s="60"/>
      <c r="Y236" s="60"/>
      <c r="Z236" s="60"/>
      <c r="AA236" s="60"/>
      <c r="AB236" s="60"/>
      <c r="AC236" s="60"/>
    </row>
    <row r="237" spans="2:29" ht="15" customHeight="1" x14ac:dyDescent="0.5">
      <c r="B237" s="1162" t="s">
        <v>2710</v>
      </c>
      <c r="C237" s="1163" t="s">
        <v>2923</v>
      </c>
      <c r="D237" s="1163" t="s">
        <v>3151</v>
      </c>
      <c r="E237" s="1164"/>
      <c r="F237" s="1165">
        <v>30547</v>
      </c>
      <c r="G237" s="1166" t="s">
        <v>2695</v>
      </c>
      <c r="H237" s="1167">
        <v>15.79</v>
      </c>
      <c r="I237" s="1168">
        <f>IF(DAY($F237)&gt;15, VLOOKUP(EOMONTH($F237,-1),'WP 3.1 Rate Case Regress.'!$C$5:$D$556,2,FALSE), VLOOKUP(EOMONTH($F237, -2), 'WP 3.1 Rate Case Regress.'!$C$5:$D$556, 2, FALSE))</f>
        <v>13.571999999999999</v>
      </c>
      <c r="K237" s="108"/>
      <c r="L237" s="108"/>
      <c r="M237" s="108"/>
      <c r="N237" s="108"/>
      <c r="O237" s="108"/>
      <c r="P237" s="108"/>
      <c r="Q237" s="108"/>
      <c r="R237" s="108"/>
      <c r="S237" s="108"/>
      <c r="T237" s="108"/>
      <c r="V237" s="60"/>
      <c r="W237" s="60"/>
      <c r="X237" s="60"/>
      <c r="Y237" s="60"/>
      <c r="Z237" s="60"/>
      <c r="AA237" s="60"/>
      <c r="AB237" s="60"/>
      <c r="AC237" s="60"/>
    </row>
    <row r="238" spans="2:29" ht="15" customHeight="1" x14ac:dyDescent="0.5">
      <c r="B238" s="1162" t="s">
        <v>2698</v>
      </c>
      <c r="C238" s="1163" t="s">
        <v>2895</v>
      </c>
      <c r="D238" s="1163" t="s">
        <v>4758</v>
      </c>
      <c r="E238" s="1164"/>
      <c r="F238" s="1165">
        <v>30557</v>
      </c>
      <c r="G238" s="1166" t="s">
        <v>4585</v>
      </c>
      <c r="H238" s="1167">
        <v>16</v>
      </c>
      <c r="I238" s="1168">
        <f>IF(DAY($F238)&gt;15, VLOOKUP(EOMONTH($F238,-1),'WP 3.1 Rate Case Regress.'!$C$5:$D$556,2,FALSE), VLOOKUP(EOMONTH($F238, -2), 'WP 3.1 Rate Case Regress.'!$C$5:$D$556, 2, FALSE))</f>
        <v>13.571999999999999</v>
      </c>
      <c r="K238" s="108"/>
      <c r="L238" s="108"/>
      <c r="M238" s="108"/>
      <c r="N238" s="108"/>
      <c r="O238" s="108"/>
      <c r="P238" s="108"/>
      <c r="Q238" s="108"/>
      <c r="R238" s="108"/>
      <c r="S238" s="108"/>
      <c r="T238" s="108"/>
      <c r="V238" s="60"/>
      <c r="W238" s="60"/>
      <c r="X238" s="60"/>
      <c r="Y238" s="60"/>
      <c r="Z238" s="60"/>
      <c r="AA238" s="60"/>
      <c r="AB238" s="60"/>
      <c r="AC238" s="60"/>
    </row>
    <row r="239" spans="2:29" ht="15" customHeight="1" x14ac:dyDescent="0.5">
      <c r="B239" s="1162" t="s">
        <v>2700</v>
      </c>
      <c r="C239" s="1163" t="s">
        <v>3035</v>
      </c>
      <c r="D239" s="1163" t="s">
        <v>4759</v>
      </c>
      <c r="E239" s="1164"/>
      <c r="F239" s="1165">
        <v>30559</v>
      </c>
      <c r="G239" s="1166" t="s">
        <v>4585</v>
      </c>
      <c r="H239" s="1167">
        <v>15.25</v>
      </c>
      <c r="I239" s="1168">
        <f>IF(DAY($F239)&gt;15, VLOOKUP(EOMONTH($F239,-1),'WP 3.1 Rate Case Regress.'!$C$5:$D$556,2,FALSE), VLOOKUP(EOMONTH($F239, -2), 'WP 3.1 Rate Case Regress.'!$C$5:$D$556, 2, FALSE))</f>
        <v>13.571999999999999</v>
      </c>
      <c r="K239" s="108"/>
      <c r="L239" s="108"/>
      <c r="M239" s="108"/>
      <c r="N239" s="108"/>
      <c r="O239" s="108"/>
      <c r="P239" s="108"/>
      <c r="Q239" s="108"/>
      <c r="R239" s="108"/>
      <c r="S239" s="108"/>
      <c r="T239" s="108"/>
      <c r="V239" s="60"/>
      <c r="W239" s="60"/>
      <c r="X239" s="60"/>
      <c r="Y239" s="60"/>
      <c r="Z239" s="60"/>
      <c r="AA239" s="60"/>
      <c r="AB239" s="60"/>
      <c r="AC239" s="60"/>
    </row>
    <row r="240" spans="2:29" ht="15" customHeight="1" x14ac:dyDescent="0.5">
      <c r="B240" s="1162" t="s">
        <v>2702</v>
      </c>
      <c r="C240" s="1163" t="s">
        <v>2749</v>
      </c>
      <c r="D240" s="1163" t="s">
        <v>3152</v>
      </c>
      <c r="E240" s="1164"/>
      <c r="F240" s="1165">
        <v>30559</v>
      </c>
      <c r="G240" s="1166" t="s">
        <v>2695</v>
      </c>
      <c r="H240" s="1167">
        <v>14.75</v>
      </c>
      <c r="I240" s="1168">
        <f>IF(DAY($F240)&gt;15, VLOOKUP(EOMONTH($F240,-1),'WP 3.1 Rate Case Regress.'!$C$5:$D$556,2,FALSE), VLOOKUP(EOMONTH($F240, -2), 'WP 3.1 Rate Case Regress.'!$C$5:$D$556, 2, FALSE))</f>
        <v>13.571999999999999</v>
      </c>
      <c r="K240" s="108"/>
      <c r="L240" s="108"/>
      <c r="M240" s="108"/>
      <c r="N240" s="108"/>
      <c r="O240" s="108"/>
      <c r="P240" s="108"/>
      <c r="Q240" s="108"/>
      <c r="R240" s="108"/>
      <c r="S240" s="108"/>
      <c r="T240" s="108"/>
      <c r="V240" s="60"/>
      <c r="W240" s="60"/>
      <c r="X240" s="60"/>
      <c r="Y240" s="60"/>
      <c r="Z240" s="60"/>
      <c r="AA240" s="60"/>
      <c r="AB240" s="60"/>
      <c r="AC240" s="60"/>
    </row>
    <row r="241" spans="2:29" ht="15" customHeight="1" x14ac:dyDescent="0.5">
      <c r="B241" s="1162" t="s">
        <v>2702</v>
      </c>
      <c r="C241" s="1163" t="s">
        <v>3007</v>
      </c>
      <c r="D241" s="1163" t="s">
        <v>3153</v>
      </c>
      <c r="E241" s="1164"/>
      <c r="F241" s="1165">
        <v>30567</v>
      </c>
      <c r="G241" s="1166" t="s">
        <v>2695</v>
      </c>
      <c r="H241" s="1167">
        <v>14.75</v>
      </c>
      <c r="I241" s="1168">
        <f>IF(DAY($F241)&gt;15, VLOOKUP(EOMONTH($F241,-1),'WP 3.1 Rate Case Regress.'!$C$5:$D$556,2,FALSE), VLOOKUP(EOMONTH($F241, -2), 'WP 3.1 Rate Case Regress.'!$C$5:$D$556, 2, FALSE))</f>
        <v>13.571999999999999</v>
      </c>
      <c r="K241" s="108"/>
      <c r="L241" s="108"/>
      <c r="M241" s="108"/>
      <c r="N241" s="108"/>
      <c r="O241" s="108"/>
      <c r="P241" s="108"/>
      <c r="Q241" s="108"/>
      <c r="R241" s="108"/>
      <c r="S241" s="108"/>
      <c r="T241" s="108"/>
      <c r="V241" s="60"/>
      <c r="W241" s="60"/>
      <c r="X241" s="60"/>
      <c r="Y241" s="60"/>
      <c r="Z241" s="60"/>
      <c r="AA241" s="60"/>
      <c r="AB241" s="60"/>
      <c r="AC241" s="60"/>
    </row>
    <row r="242" spans="2:29" ht="15" customHeight="1" x14ac:dyDescent="0.5">
      <c r="B242" s="1162" t="s">
        <v>2701</v>
      </c>
      <c r="C242" s="1163" t="s">
        <v>2975</v>
      </c>
      <c r="D242" s="1163" t="s">
        <v>3154</v>
      </c>
      <c r="E242" s="1164"/>
      <c r="F242" s="1165">
        <v>30575</v>
      </c>
      <c r="G242" s="1166" t="s">
        <v>2695</v>
      </c>
      <c r="H242" s="1167">
        <v>15.51</v>
      </c>
      <c r="I242" s="1168">
        <f>IF(DAY($F242)&gt;15, VLOOKUP(EOMONTH($F242,-1),'WP 3.1 Rate Case Regress.'!$C$5:$D$556,2,FALSE), VLOOKUP(EOMONTH($F242, -2), 'WP 3.1 Rate Case Regress.'!$C$5:$D$556, 2, FALSE))</f>
        <v>13.567</v>
      </c>
      <c r="K242" s="108"/>
      <c r="L242" s="108"/>
      <c r="M242" s="108"/>
      <c r="N242" s="108"/>
      <c r="O242" s="108"/>
      <c r="P242" s="108"/>
      <c r="Q242" s="108"/>
      <c r="R242" s="108"/>
      <c r="S242" s="108"/>
      <c r="T242" s="108"/>
      <c r="V242" s="60"/>
      <c r="W242" s="60"/>
      <c r="X242" s="60"/>
      <c r="Y242" s="60"/>
      <c r="Z242" s="60"/>
      <c r="AA242" s="60"/>
      <c r="AB242" s="60"/>
      <c r="AC242" s="60"/>
    </row>
    <row r="243" spans="2:29" ht="15" customHeight="1" x14ac:dyDescent="0.5">
      <c r="B243" s="1162" t="s">
        <v>2732</v>
      </c>
      <c r="C243" s="1163" t="s">
        <v>2975</v>
      </c>
      <c r="D243" s="1163" t="s">
        <v>3155</v>
      </c>
      <c r="E243" s="1164"/>
      <c r="F243" s="1165">
        <v>30585</v>
      </c>
      <c r="G243" s="1166" t="s">
        <v>2695</v>
      </c>
      <c r="H243" s="1167">
        <v>14.5</v>
      </c>
      <c r="I243" s="1168">
        <f>IF(DAY($F243)&gt;15, VLOOKUP(EOMONTH($F243,-1),'WP 3.1 Rate Case Regress.'!$C$5:$D$556,2,FALSE), VLOOKUP(EOMONTH($F243, -2), 'WP 3.1 Rate Case Regress.'!$C$5:$D$556, 2, FALSE))</f>
        <v>13.567</v>
      </c>
      <c r="K243" s="108"/>
      <c r="L243" s="108"/>
      <c r="M243" s="108"/>
      <c r="N243" s="108"/>
      <c r="O243" s="108"/>
      <c r="P243" s="108"/>
      <c r="Q243" s="108"/>
      <c r="R243" s="108"/>
      <c r="S243" s="108"/>
      <c r="T243" s="108"/>
      <c r="V243" s="60"/>
      <c r="W243" s="60"/>
      <c r="X243" s="60"/>
      <c r="Y243" s="60"/>
      <c r="Z243" s="60"/>
      <c r="AA243" s="60"/>
      <c r="AB243" s="60"/>
      <c r="AC243" s="60"/>
    </row>
    <row r="244" spans="2:29" ht="15" customHeight="1" x14ac:dyDescent="0.5">
      <c r="B244" s="1162" t="s">
        <v>2757</v>
      </c>
      <c r="C244" s="1163" t="s">
        <v>2765</v>
      </c>
      <c r="D244" s="1163" t="s">
        <v>3156</v>
      </c>
      <c r="E244" s="1164"/>
      <c r="F244" s="1165">
        <v>30587</v>
      </c>
      <c r="G244" s="1166" t="s">
        <v>2695</v>
      </c>
      <c r="H244" s="1167">
        <v>14.25</v>
      </c>
      <c r="I244" s="1168">
        <f>IF(DAY($F244)&gt;15, VLOOKUP(EOMONTH($F244,-1),'WP 3.1 Rate Case Regress.'!$C$5:$D$556,2,FALSE), VLOOKUP(EOMONTH($F244, -2), 'WP 3.1 Rate Case Regress.'!$C$5:$D$556, 2, FALSE))</f>
        <v>13.567</v>
      </c>
      <c r="K244" s="108"/>
      <c r="L244" s="108"/>
      <c r="M244" s="108"/>
      <c r="N244" s="108"/>
      <c r="O244" s="108"/>
      <c r="P244" s="108"/>
      <c r="Q244" s="108"/>
      <c r="R244" s="108"/>
      <c r="S244" s="108"/>
      <c r="T244" s="108"/>
      <c r="V244" s="60"/>
      <c r="W244" s="60"/>
      <c r="X244" s="60"/>
      <c r="Y244" s="60"/>
      <c r="Z244" s="60"/>
      <c r="AA244" s="60"/>
      <c r="AB244" s="60"/>
      <c r="AC244" s="60"/>
    </row>
    <row r="245" spans="2:29" ht="15" customHeight="1" x14ac:dyDescent="0.5">
      <c r="B245" s="1162" t="s">
        <v>2699</v>
      </c>
      <c r="C245" s="1163" t="s">
        <v>2628</v>
      </c>
      <c r="D245" s="1163" t="s">
        <v>3157</v>
      </c>
      <c r="E245" s="1164"/>
      <c r="F245" s="1165">
        <v>30589</v>
      </c>
      <c r="G245" s="1166" t="s">
        <v>2695</v>
      </c>
      <c r="H245" s="1167">
        <v>16.25</v>
      </c>
      <c r="I245" s="1168">
        <f>IF(DAY($F245)&gt;15, VLOOKUP(EOMONTH($F245,-1),'WP 3.1 Rate Case Regress.'!$C$5:$D$556,2,FALSE), VLOOKUP(EOMONTH($F245, -2), 'WP 3.1 Rate Case Regress.'!$C$5:$D$556, 2, FALSE))</f>
        <v>13.567</v>
      </c>
      <c r="K245" s="108"/>
      <c r="L245" s="108"/>
      <c r="M245" s="108"/>
      <c r="N245" s="108"/>
      <c r="O245" s="108"/>
      <c r="P245" s="108"/>
      <c r="Q245" s="108"/>
      <c r="R245" s="108"/>
      <c r="S245" s="108"/>
      <c r="T245" s="108"/>
      <c r="V245" s="60"/>
      <c r="W245" s="60"/>
      <c r="X245" s="60"/>
      <c r="Y245" s="60"/>
      <c r="Z245" s="60"/>
      <c r="AA245" s="60"/>
      <c r="AB245" s="60"/>
      <c r="AC245" s="60"/>
    </row>
    <row r="246" spans="2:29" ht="15" customHeight="1" x14ac:dyDescent="0.5">
      <c r="B246" s="1162" t="s">
        <v>2717</v>
      </c>
      <c r="C246" s="1163" t="s">
        <v>2627</v>
      </c>
      <c r="D246" s="1163" t="s">
        <v>3158</v>
      </c>
      <c r="E246" s="1164"/>
      <c r="F246" s="1165">
        <v>30589</v>
      </c>
      <c r="G246" s="1166" t="s">
        <v>2695</v>
      </c>
      <c r="H246" s="1167">
        <v>16.149999999999999</v>
      </c>
      <c r="I246" s="1168">
        <f>IF(DAY($F246)&gt;15, VLOOKUP(EOMONTH($F246,-1),'WP 3.1 Rate Case Regress.'!$C$5:$D$556,2,FALSE), VLOOKUP(EOMONTH($F246, -2), 'WP 3.1 Rate Case Regress.'!$C$5:$D$556, 2, FALSE))</f>
        <v>13.567</v>
      </c>
      <c r="K246" s="108"/>
      <c r="L246" s="108"/>
      <c r="M246" s="108"/>
      <c r="N246" s="108"/>
      <c r="O246" s="108"/>
      <c r="P246" s="108"/>
      <c r="Q246" s="108"/>
      <c r="R246" s="108"/>
      <c r="S246" s="108"/>
      <c r="T246" s="108"/>
      <c r="V246" s="60"/>
      <c r="W246" s="60"/>
      <c r="X246" s="60"/>
      <c r="Y246" s="60"/>
      <c r="Z246" s="60"/>
      <c r="AA246" s="60"/>
      <c r="AB246" s="60"/>
      <c r="AC246" s="60"/>
    </row>
    <row r="247" spans="2:29" ht="15" customHeight="1" x14ac:dyDescent="0.5">
      <c r="B247" s="1162" t="s">
        <v>2736</v>
      </c>
      <c r="C247" s="1163" t="s">
        <v>2737</v>
      </c>
      <c r="D247" s="1163" t="s">
        <v>4760</v>
      </c>
      <c r="E247" s="1164"/>
      <c r="F247" s="1165">
        <v>30590</v>
      </c>
      <c r="G247" s="1166" t="s">
        <v>4585</v>
      </c>
      <c r="H247" s="1167">
        <v>16.25</v>
      </c>
      <c r="I247" s="1168">
        <f>IF(DAY($F247)&gt;15, VLOOKUP(EOMONTH($F247,-1),'WP 3.1 Rate Case Regress.'!$C$5:$D$556,2,FALSE), VLOOKUP(EOMONTH($F247, -2), 'WP 3.1 Rate Case Regress.'!$C$5:$D$556, 2, FALSE))</f>
        <v>13.567</v>
      </c>
      <c r="K247" s="108"/>
      <c r="L247" s="108"/>
      <c r="M247" s="108"/>
      <c r="N247" s="108"/>
      <c r="O247" s="108"/>
      <c r="P247" s="108"/>
      <c r="Q247" s="108"/>
      <c r="R247" s="108"/>
      <c r="S247" s="108"/>
      <c r="T247" s="108"/>
      <c r="V247" s="60"/>
      <c r="W247" s="60"/>
      <c r="X247" s="60"/>
      <c r="Y247" s="60"/>
      <c r="Z247" s="60"/>
      <c r="AA247" s="60"/>
      <c r="AB247" s="60"/>
      <c r="AC247" s="60"/>
    </row>
    <row r="248" spans="2:29" ht="15" customHeight="1" x14ac:dyDescent="0.5">
      <c r="B248" s="1162" t="s">
        <v>2693</v>
      </c>
      <c r="C248" s="1163" t="s">
        <v>2709</v>
      </c>
      <c r="D248" s="1163" t="s">
        <v>3159</v>
      </c>
      <c r="E248" s="1164"/>
      <c r="F248" s="1165">
        <v>30602</v>
      </c>
      <c r="G248" s="1166" t="s">
        <v>2695</v>
      </c>
      <c r="H248" s="1167">
        <v>15.52</v>
      </c>
      <c r="I248" s="1168">
        <f>IF(DAY($F248)&gt;15, VLOOKUP(EOMONTH($F248,-1),'WP 3.1 Rate Case Regress.'!$C$5:$D$556,2,FALSE), VLOOKUP(EOMONTH($F248, -2), 'WP 3.1 Rate Case Regress.'!$C$5:$D$556, 2, FALSE))</f>
        <v>13.567</v>
      </c>
      <c r="K248" s="108"/>
      <c r="L248" s="108"/>
      <c r="M248" s="108"/>
      <c r="N248" s="108"/>
      <c r="O248" s="108"/>
      <c r="P248" s="108"/>
      <c r="Q248" s="108"/>
      <c r="R248" s="108"/>
      <c r="S248" s="108"/>
      <c r="T248" s="108"/>
      <c r="V248" s="60"/>
      <c r="W248" s="60"/>
      <c r="X248" s="60"/>
      <c r="Y248" s="60"/>
      <c r="Z248" s="60"/>
      <c r="AA248" s="60"/>
      <c r="AB248" s="60"/>
      <c r="AC248" s="60"/>
    </row>
    <row r="249" spans="2:29" ht="15" customHeight="1" x14ac:dyDescent="0.5">
      <c r="B249" s="1162" t="s">
        <v>2704</v>
      </c>
      <c r="C249" s="1163" t="s">
        <v>2934</v>
      </c>
      <c r="D249" s="1163" t="s">
        <v>3160</v>
      </c>
      <c r="E249" s="1164"/>
      <c r="F249" s="1165">
        <v>30608</v>
      </c>
      <c r="G249" s="1166" t="s">
        <v>2695</v>
      </c>
      <c r="H249" s="1167">
        <v>15.2</v>
      </c>
      <c r="I249" s="1168">
        <f>IF(DAY($F249)&gt;15, VLOOKUP(EOMONTH($F249,-1),'WP 3.1 Rate Case Regress.'!$C$5:$D$556,2,FALSE), VLOOKUP(EOMONTH($F249, -2), 'WP 3.1 Rate Case Regress.'!$C$5:$D$556, 2, FALSE))</f>
        <v>13.4367</v>
      </c>
      <c r="K249" s="108"/>
      <c r="L249" s="108"/>
      <c r="M249" s="108"/>
      <c r="N249" s="108"/>
      <c r="O249" s="108"/>
      <c r="P249" s="108"/>
      <c r="Q249" s="108"/>
      <c r="R249" s="108"/>
      <c r="S249" s="108"/>
      <c r="T249" s="108"/>
      <c r="V249" s="60"/>
      <c r="W249" s="60"/>
      <c r="X249" s="60"/>
      <c r="Y249" s="60"/>
      <c r="Z249" s="60"/>
      <c r="AA249" s="60"/>
      <c r="AB249" s="60"/>
      <c r="AC249" s="60"/>
    </row>
    <row r="250" spans="2:29" ht="15" customHeight="1" x14ac:dyDescent="0.5">
      <c r="B250" s="1162" t="s">
        <v>2752</v>
      </c>
      <c r="C250" s="1163" t="s">
        <v>2753</v>
      </c>
      <c r="D250" s="1163" t="s">
        <v>3161</v>
      </c>
      <c r="E250" s="1164"/>
      <c r="F250" s="1165">
        <v>30615</v>
      </c>
      <c r="G250" s="1166" t="s">
        <v>2695</v>
      </c>
      <c r="H250" s="1167">
        <v>14.75</v>
      </c>
      <c r="I250" s="1168">
        <f>IF(DAY($F250)&gt;15, VLOOKUP(EOMONTH($F250,-1),'WP 3.1 Rate Case Regress.'!$C$5:$D$556,2,FALSE), VLOOKUP(EOMONTH($F250, -2), 'WP 3.1 Rate Case Regress.'!$C$5:$D$556, 2, FALSE))</f>
        <v>13.4367</v>
      </c>
      <c r="K250" s="108"/>
      <c r="L250" s="108"/>
      <c r="M250" s="108"/>
      <c r="N250" s="108"/>
      <c r="O250" s="108"/>
      <c r="P250" s="108"/>
      <c r="Q250" s="108"/>
      <c r="R250" s="108"/>
      <c r="S250" s="108"/>
      <c r="T250" s="108"/>
      <c r="V250" s="60"/>
      <c r="W250" s="60"/>
      <c r="X250" s="60"/>
      <c r="Y250" s="60"/>
      <c r="Z250" s="60"/>
      <c r="AA250" s="60"/>
      <c r="AB250" s="60"/>
      <c r="AC250" s="60"/>
    </row>
    <row r="251" spans="2:29" ht="15" customHeight="1" x14ac:dyDescent="0.5">
      <c r="B251" s="1162" t="s">
        <v>2706</v>
      </c>
      <c r="C251" s="1163" t="s">
        <v>2906</v>
      </c>
      <c r="D251" s="1163" t="s">
        <v>3162</v>
      </c>
      <c r="E251" s="1164"/>
      <c r="F251" s="1165">
        <v>30616</v>
      </c>
      <c r="G251" s="1166" t="s">
        <v>2695</v>
      </c>
      <c r="H251" s="1167">
        <v>15.33</v>
      </c>
      <c r="I251" s="1168">
        <f>IF(DAY($F251)&gt;15, VLOOKUP(EOMONTH($F251,-1),'WP 3.1 Rate Case Regress.'!$C$5:$D$556,2,FALSE), VLOOKUP(EOMONTH($F251, -2), 'WP 3.1 Rate Case Regress.'!$C$5:$D$556, 2, FALSE))</f>
        <v>13.4367</v>
      </c>
      <c r="K251" s="108"/>
      <c r="L251" s="108"/>
      <c r="M251" s="108"/>
      <c r="N251" s="108"/>
      <c r="O251" s="108"/>
      <c r="P251" s="108"/>
      <c r="Q251" s="108"/>
      <c r="R251" s="108"/>
      <c r="S251" s="108"/>
      <c r="T251" s="108"/>
      <c r="V251" s="60"/>
      <c r="W251" s="60"/>
      <c r="X251" s="60"/>
      <c r="Y251" s="60"/>
      <c r="Z251" s="60"/>
      <c r="AA251" s="60"/>
      <c r="AB251" s="60"/>
      <c r="AC251" s="60"/>
    </row>
    <row r="252" spans="2:29" ht="15" customHeight="1" x14ac:dyDescent="0.5">
      <c r="B252" s="1162" t="s">
        <v>2701</v>
      </c>
      <c r="C252" s="1163" t="s">
        <v>2900</v>
      </c>
      <c r="D252" s="1163" t="s">
        <v>3163</v>
      </c>
      <c r="E252" s="1164"/>
      <c r="F252" s="1165">
        <v>30616</v>
      </c>
      <c r="G252" s="1166" t="s">
        <v>2695</v>
      </c>
      <c r="H252" s="1167">
        <v>14.88</v>
      </c>
      <c r="I252" s="1168">
        <f>IF(DAY($F252)&gt;15, VLOOKUP(EOMONTH($F252,-1),'WP 3.1 Rate Case Regress.'!$C$5:$D$556,2,FALSE), VLOOKUP(EOMONTH($F252, -2), 'WP 3.1 Rate Case Regress.'!$C$5:$D$556, 2, FALSE))</f>
        <v>13.4367</v>
      </c>
      <c r="K252" s="108"/>
      <c r="L252" s="108"/>
      <c r="M252" s="108"/>
      <c r="N252" s="108"/>
      <c r="O252" s="108"/>
      <c r="P252" s="108"/>
      <c r="Q252" s="108"/>
      <c r="R252" s="108"/>
      <c r="S252" s="108"/>
      <c r="T252" s="108"/>
      <c r="V252" s="60"/>
      <c r="W252" s="60"/>
      <c r="X252" s="60"/>
      <c r="Y252" s="60"/>
      <c r="Z252" s="60"/>
      <c r="AA252" s="60"/>
      <c r="AB252" s="60"/>
      <c r="AC252" s="60"/>
    </row>
    <row r="253" spans="2:29" ht="15" customHeight="1" x14ac:dyDescent="0.5">
      <c r="B253" s="1162" t="s">
        <v>2710</v>
      </c>
      <c r="C253" s="1163" t="s">
        <v>3000</v>
      </c>
      <c r="D253" s="1163" t="s">
        <v>3164</v>
      </c>
      <c r="E253" s="1164"/>
      <c r="F253" s="1165">
        <v>30629</v>
      </c>
      <c r="G253" s="1166" t="s">
        <v>2695</v>
      </c>
      <c r="H253" s="1167">
        <v>16.510000000000002</v>
      </c>
      <c r="I253" s="1168">
        <f>IF(DAY($F253)&gt;15, VLOOKUP(EOMONTH($F253,-1),'WP 3.1 Rate Case Regress.'!$C$5:$D$556,2,FALSE), VLOOKUP(EOMONTH($F253, -2), 'WP 3.1 Rate Case Regress.'!$C$5:$D$556, 2, FALSE))</f>
        <v>13.4367</v>
      </c>
      <c r="K253" s="108"/>
      <c r="L253" s="108"/>
      <c r="M253" s="108"/>
      <c r="N253" s="108"/>
      <c r="O253" s="108"/>
      <c r="P253" s="108"/>
      <c r="Q253" s="108"/>
      <c r="R253" s="108"/>
      <c r="S253" s="108"/>
      <c r="T253" s="108"/>
      <c r="V253" s="60"/>
      <c r="W253" s="60"/>
      <c r="X253" s="60"/>
      <c r="Y253" s="60"/>
      <c r="Z253" s="60"/>
      <c r="AA253" s="60"/>
      <c r="AB253" s="60"/>
      <c r="AC253" s="60"/>
    </row>
    <row r="254" spans="2:29" ht="15" customHeight="1" x14ac:dyDescent="0.5">
      <c r="B254" s="1162" t="s">
        <v>2710</v>
      </c>
      <c r="C254" s="1163" t="s">
        <v>3000</v>
      </c>
      <c r="D254" s="1163" t="s">
        <v>3165</v>
      </c>
      <c r="E254" s="1164"/>
      <c r="F254" s="1165">
        <v>30629</v>
      </c>
      <c r="G254" s="1166" t="s">
        <v>2695</v>
      </c>
      <c r="H254" s="1167">
        <v>16.510000000000002</v>
      </c>
      <c r="I254" s="1168">
        <f>IF(DAY($F254)&gt;15, VLOOKUP(EOMONTH($F254,-1),'WP 3.1 Rate Case Regress.'!$C$5:$D$556,2,FALSE), VLOOKUP(EOMONTH($F254, -2), 'WP 3.1 Rate Case Regress.'!$C$5:$D$556, 2, FALSE))</f>
        <v>13.4367</v>
      </c>
      <c r="K254" s="108"/>
      <c r="L254" s="108"/>
      <c r="M254" s="108"/>
      <c r="N254" s="108"/>
      <c r="O254" s="108"/>
      <c r="P254" s="108"/>
      <c r="Q254" s="108"/>
      <c r="R254" s="108"/>
      <c r="S254" s="108"/>
      <c r="T254" s="108"/>
      <c r="V254" s="60"/>
      <c r="W254" s="60"/>
      <c r="X254" s="60"/>
      <c r="Y254" s="60"/>
      <c r="Z254" s="60"/>
      <c r="AA254" s="60"/>
      <c r="AB254" s="60"/>
      <c r="AC254" s="60"/>
    </row>
    <row r="255" spans="2:29" ht="15" customHeight="1" x14ac:dyDescent="0.5">
      <c r="B255" s="1162" t="s">
        <v>2744</v>
      </c>
      <c r="C255" s="1163" t="s">
        <v>2972</v>
      </c>
      <c r="D255" s="1163" t="s">
        <v>3166</v>
      </c>
      <c r="E255" s="1164"/>
      <c r="F255" s="1165">
        <v>30629</v>
      </c>
      <c r="G255" s="1166" t="s">
        <v>2695</v>
      </c>
      <c r="H255" s="1167">
        <v>14.82</v>
      </c>
      <c r="I255" s="1168">
        <f>IF(DAY($F255)&gt;15, VLOOKUP(EOMONTH($F255,-1),'WP 3.1 Rate Case Regress.'!$C$5:$D$556,2,FALSE), VLOOKUP(EOMONTH($F255, -2), 'WP 3.1 Rate Case Regress.'!$C$5:$D$556, 2, FALSE))</f>
        <v>13.4367</v>
      </c>
      <c r="K255" s="108"/>
      <c r="L255" s="108"/>
      <c r="M255" s="108"/>
      <c r="N255" s="108"/>
      <c r="O255" s="108"/>
      <c r="P255" s="108"/>
      <c r="Q255" s="108"/>
      <c r="R255" s="108"/>
      <c r="S255" s="108"/>
      <c r="T255" s="108"/>
      <c r="V255" s="60"/>
      <c r="W255" s="60"/>
      <c r="X255" s="60"/>
      <c r="Y255" s="60"/>
      <c r="Z255" s="60"/>
      <c r="AA255" s="60"/>
      <c r="AB255" s="60"/>
      <c r="AC255" s="60"/>
    </row>
    <row r="256" spans="2:29" ht="15" customHeight="1" x14ac:dyDescent="0.5">
      <c r="B256" s="1162" t="s">
        <v>2728</v>
      </c>
      <c r="C256" s="1163" t="s">
        <v>2944</v>
      </c>
      <c r="D256" s="1163" t="s">
        <v>3167</v>
      </c>
      <c r="E256" s="1164"/>
      <c r="F256" s="1165">
        <v>30651</v>
      </c>
      <c r="G256" s="1166" t="s">
        <v>2695</v>
      </c>
      <c r="H256" s="1167">
        <v>14.5</v>
      </c>
      <c r="I256" s="1168">
        <f>IF(DAY($F256)&gt;15, VLOOKUP(EOMONTH($F256,-1),'WP 3.1 Rate Case Regress.'!$C$5:$D$556,2,FALSE), VLOOKUP(EOMONTH($F256, -2), 'WP 3.1 Rate Case Regress.'!$C$5:$D$556, 2, FALSE))</f>
        <v>13.2524</v>
      </c>
      <c r="K256" s="108"/>
      <c r="L256" s="108"/>
      <c r="M256" s="108"/>
      <c r="N256" s="108"/>
      <c r="O256" s="108"/>
      <c r="P256" s="108"/>
      <c r="Q256" s="108"/>
      <c r="R256" s="108"/>
      <c r="S256" s="108"/>
      <c r="T256" s="108"/>
      <c r="V256" s="60"/>
      <c r="W256" s="60"/>
      <c r="X256" s="60"/>
      <c r="Y256" s="60"/>
      <c r="Z256" s="60"/>
      <c r="AA256" s="60"/>
      <c r="AB256" s="60"/>
      <c r="AC256" s="60"/>
    </row>
    <row r="257" spans="2:29" ht="15" customHeight="1" x14ac:dyDescent="0.5">
      <c r="B257" s="1162" t="s">
        <v>2723</v>
      </c>
      <c r="C257" s="1163" t="s">
        <v>2730</v>
      </c>
      <c r="D257" s="1163" t="s">
        <v>3168</v>
      </c>
      <c r="E257" s="1164"/>
      <c r="F257" s="1165">
        <v>30658</v>
      </c>
      <c r="G257" s="1166" t="s">
        <v>2695</v>
      </c>
      <c r="H257" s="1167">
        <v>15.9</v>
      </c>
      <c r="I257" s="1168">
        <f>IF(DAY($F257)&gt;15, VLOOKUP(EOMONTH($F257,-1),'WP 3.1 Rate Case Regress.'!$C$5:$D$556,2,FALSE), VLOOKUP(EOMONTH($F257, -2), 'WP 3.1 Rate Case Regress.'!$C$5:$D$556, 2, FALSE))</f>
        <v>13.2524</v>
      </c>
      <c r="K257" s="108"/>
      <c r="L257" s="108"/>
      <c r="M257" s="108"/>
      <c r="N257" s="108"/>
      <c r="O257" s="108"/>
      <c r="P257" s="108"/>
      <c r="Q257" s="108"/>
      <c r="R257" s="108"/>
      <c r="S257" s="108"/>
      <c r="T257" s="108"/>
      <c r="V257" s="60"/>
      <c r="W257" s="60"/>
      <c r="X257" s="60"/>
      <c r="Y257" s="60"/>
      <c r="Z257" s="60"/>
      <c r="AA257" s="60"/>
      <c r="AB257" s="60"/>
      <c r="AC257" s="60"/>
    </row>
    <row r="258" spans="2:29" ht="15" customHeight="1" x14ac:dyDescent="0.5">
      <c r="B258" s="1162" t="s">
        <v>2704</v>
      </c>
      <c r="C258" s="1163" t="s">
        <v>3121</v>
      </c>
      <c r="D258" s="1163" t="s">
        <v>4761</v>
      </c>
      <c r="E258" s="1164"/>
      <c r="F258" s="1165">
        <v>30659</v>
      </c>
      <c r="G258" s="1166" t="s">
        <v>4585</v>
      </c>
      <c r="H258" s="1167">
        <v>15.3</v>
      </c>
      <c r="I258" s="1168">
        <f>IF(DAY($F258)&gt;15, VLOOKUP(EOMONTH($F258,-1),'WP 3.1 Rate Case Regress.'!$C$5:$D$556,2,FALSE), VLOOKUP(EOMONTH($F258, -2), 'WP 3.1 Rate Case Regress.'!$C$5:$D$556, 2, FALSE))</f>
        <v>13.2524</v>
      </c>
      <c r="K258" s="108"/>
      <c r="L258" s="108"/>
      <c r="M258" s="108"/>
      <c r="N258" s="108"/>
      <c r="O258" s="108"/>
      <c r="P258" s="108"/>
      <c r="Q258" s="108"/>
      <c r="R258" s="108"/>
      <c r="S258" s="108"/>
      <c r="T258" s="108"/>
      <c r="V258" s="60"/>
      <c r="W258" s="60"/>
      <c r="X258" s="60"/>
      <c r="Y258" s="60"/>
      <c r="Z258" s="60"/>
      <c r="AA258" s="60"/>
      <c r="AB258" s="60"/>
      <c r="AC258" s="60"/>
    </row>
    <row r="259" spans="2:29" ht="15" customHeight="1" x14ac:dyDescent="0.5">
      <c r="B259" s="1162" t="s">
        <v>2743</v>
      </c>
      <c r="C259" s="1163" t="s">
        <v>3169</v>
      </c>
      <c r="D259" s="1163" t="s">
        <v>3170</v>
      </c>
      <c r="E259" s="1164"/>
      <c r="F259" s="1165">
        <v>30662</v>
      </c>
      <c r="G259" s="1166" t="s">
        <v>2695</v>
      </c>
      <c r="H259" s="1167">
        <v>15.5</v>
      </c>
      <c r="I259" s="1168">
        <f>IF(DAY($F259)&gt;15, VLOOKUP(EOMONTH($F259,-1),'WP 3.1 Rate Case Regress.'!$C$5:$D$556,2,FALSE), VLOOKUP(EOMONTH($F259, -2), 'WP 3.1 Rate Case Regress.'!$C$5:$D$556, 2, FALSE))</f>
        <v>13.2524</v>
      </c>
      <c r="K259" s="108"/>
      <c r="L259" s="108"/>
      <c r="M259" s="108"/>
      <c r="N259" s="108"/>
      <c r="O259" s="108"/>
      <c r="P259" s="108"/>
      <c r="Q259" s="108"/>
      <c r="R259" s="108"/>
      <c r="S259" s="108"/>
      <c r="T259" s="108"/>
      <c r="V259" s="60"/>
      <c r="W259" s="60"/>
      <c r="X259" s="60"/>
      <c r="Y259" s="60"/>
      <c r="Z259" s="60"/>
      <c r="AA259" s="60"/>
      <c r="AB259" s="60"/>
      <c r="AC259" s="60"/>
    </row>
    <row r="260" spans="2:29" ht="15" customHeight="1" x14ac:dyDescent="0.5">
      <c r="B260" s="1162" t="s">
        <v>2732</v>
      </c>
      <c r="C260" s="1163" t="s">
        <v>2735</v>
      </c>
      <c r="D260" s="1163" t="s">
        <v>3171</v>
      </c>
      <c r="E260" s="1164"/>
      <c r="F260" s="1165">
        <v>30662</v>
      </c>
      <c r="G260" s="1166" t="s">
        <v>2695</v>
      </c>
      <c r="H260" s="1167">
        <v>14.5</v>
      </c>
      <c r="I260" s="1168">
        <f>IF(DAY($F260)&gt;15, VLOOKUP(EOMONTH($F260,-1),'WP 3.1 Rate Case Regress.'!$C$5:$D$556,2,FALSE), VLOOKUP(EOMONTH($F260, -2), 'WP 3.1 Rate Case Regress.'!$C$5:$D$556, 2, FALSE))</f>
        <v>13.2524</v>
      </c>
      <c r="K260" s="108"/>
      <c r="L260" s="108"/>
      <c r="M260" s="108"/>
      <c r="N260" s="108"/>
      <c r="O260" s="108"/>
      <c r="P260" s="108"/>
      <c r="Q260" s="108"/>
      <c r="R260" s="108"/>
      <c r="S260" s="108"/>
      <c r="T260" s="108"/>
      <c r="V260" s="60"/>
      <c r="W260" s="60"/>
      <c r="X260" s="60"/>
      <c r="Y260" s="60"/>
      <c r="Z260" s="60"/>
      <c r="AA260" s="60"/>
      <c r="AB260" s="60"/>
      <c r="AC260" s="60"/>
    </row>
    <row r="261" spans="2:29" ht="15" customHeight="1" x14ac:dyDescent="0.5">
      <c r="B261" s="1162" t="s">
        <v>2738</v>
      </c>
      <c r="C261" s="1163" t="s">
        <v>2741</v>
      </c>
      <c r="D261" s="1163" t="s">
        <v>3172</v>
      </c>
      <c r="E261" s="1164"/>
      <c r="F261" s="1165">
        <v>30670</v>
      </c>
      <c r="G261" s="1166" t="s">
        <v>2695</v>
      </c>
      <c r="H261" s="1167">
        <v>16</v>
      </c>
      <c r="I261" s="1168">
        <f>IF(DAY($F261)&gt;15, VLOOKUP(EOMONTH($F261,-1),'WP 3.1 Rate Case Regress.'!$C$5:$D$556,2,FALSE), VLOOKUP(EOMONTH($F261, -2), 'WP 3.1 Rate Case Regress.'!$C$5:$D$556, 2, FALSE))</f>
        <v>13.3833</v>
      </c>
      <c r="K261" s="108"/>
      <c r="L261" s="108"/>
      <c r="M261" s="108"/>
      <c r="N261" s="108"/>
      <c r="O261" s="108"/>
      <c r="P261" s="108"/>
      <c r="Q261" s="108"/>
      <c r="R261" s="108"/>
      <c r="S261" s="108"/>
      <c r="T261" s="108"/>
      <c r="V261" s="60"/>
      <c r="W261" s="60"/>
      <c r="X261" s="60"/>
      <c r="Y261" s="60"/>
      <c r="Z261" s="60"/>
      <c r="AA261" s="60"/>
      <c r="AB261" s="60"/>
      <c r="AC261" s="60"/>
    </row>
    <row r="262" spans="2:29" ht="15" customHeight="1" x14ac:dyDescent="0.5">
      <c r="B262" s="1162" t="s">
        <v>2704</v>
      </c>
      <c r="C262" s="1163" t="s">
        <v>2910</v>
      </c>
      <c r="D262" s="1163" t="s">
        <v>3173</v>
      </c>
      <c r="E262" s="1164"/>
      <c r="F262" s="1165">
        <v>30670</v>
      </c>
      <c r="G262" s="1166" t="s">
        <v>2695</v>
      </c>
      <c r="H262" s="1167">
        <v>15.4</v>
      </c>
      <c r="I262" s="1168">
        <f>IF(DAY($F262)&gt;15, VLOOKUP(EOMONTH($F262,-1),'WP 3.1 Rate Case Regress.'!$C$5:$D$556,2,FALSE), VLOOKUP(EOMONTH($F262, -2), 'WP 3.1 Rate Case Regress.'!$C$5:$D$556, 2, FALSE))</f>
        <v>13.3833</v>
      </c>
      <c r="K262" s="108"/>
      <c r="L262" s="108"/>
      <c r="M262" s="108"/>
      <c r="N262" s="108"/>
      <c r="O262" s="108"/>
      <c r="P262" s="108"/>
      <c r="Q262" s="108"/>
      <c r="R262" s="108"/>
      <c r="S262" s="108"/>
      <c r="T262" s="108"/>
      <c r="V262" s="60"/>
      <c r="W262" s="60"/>
      <c r="X262" s="60"/>
      <c r="Y262" s="60"/>
      <c r="Z262" s="60"/>
      <c r="AA262" s="60"/>
      <c r="AB262" s="60"/>
      <c r="AC262" s="60"/>
    </row>
    <row r="263" spans="2:29" ht="15" customHeight="1" x14ac:dyDescent="0.5">
      <c r="B263" s="1162" t="s">
        <v>2738</v>
      </c>
      <c r="C263" s="1163" t="s">
        <v>2760</v>
      </c>
      <c r="D263" s="1163" t="s">
        <v>3174</v>
      </c>
      <c r="E263" s="1164"/>
      <c r="F263" s="1165">
        <v>30672</v>
      </c>
      <c r="G263" s="1166" t="s">
        <v>2695</v>
      </c>
      <c r="H263" s="1167">
        <v>15.75</v>
      </c>
      <c r="I263" s="1168">
        <f>IF(DAY($F263)&gt;15, VLOOKUP(EOMONTH($F263,-1),'WP 3.1 Rate Case Regress.'!$C$5:$D$556,2,FALSE), VLOOKUP(EOMONTH($F263, -2), 'WP 3.1 Rate Case Regress.'!$C$5:$D$556, 2, FALSE))</f>
        <v>13.3833</v>
      </c>
      <c r="K263" s="108"/>
      <c r="L263" s="108"/>
      <c r="M263" s="108"/>
      <c r="N263" s="108"/>
      <c r="O263" s="108"/>
      <c r="P263" s="108"/>
      <c r="Q263" s="108"/>
      <c r="R263" s="108"/>
      <c r="S263" s="108"/>
      <c r="T263" s="108"/>
      <c r="V263" s="60"/>
      <c r="W263" s="60"/>
      <c r="X263" s="60"/>
      <c r="Y263" s="60"/>
      <c r="Z263" s="60"/>
      <c r="AA263" s="60"/>
      <c r="AB263" s="60"/>
      <c r="AC263" s="60"/>
    </row>
    <row r="264" spans="2:29" ht="15" customHeight="1" x14ac:dyDescent="0.5">
      <c r="B264" s="1162" t="s">
        <v>2702</v>
      </c>
      <c r="C264" s="1163" t="s">
        <v>2903</v>
      </c>
      <c r="D264" s="1163" t="s">
        <v>3175</v>
      </c>
      <c r="E264" s="1164"/>
      <c r="F264" s="1165">
        <v>30679</v>
      </c>
      <c r="G264" s="1166" t="s">
        <v>2695</v>
      </c>
      <c r="H264" s="1167">
        <v>15</v>
      </c>
      <c r="I264" s="1168">
        <f>IF(DAY($F264)&gt;15, VLOOKUP(EOMONTH($F264,-1),'WP 3.1 Rate Case Regress.'!$C$5:$D$556,2,FALSE), VLOOKUP(EOMONTH($F264, -2), 'WP 3.1 Rate Case Regress.'!$C$5:$D$556, 2, FALSE))</f>
        <v>13.3833</v>
      </c>
      <c r="K264" s="108"/>
      <c r="L264" s="108"/>
      <c r="M264" s="108"/>
      <c r="N264" s="108"/>
      <c r="O264" s="108"/>
      <c r="P264" s="108"/>
      <c r="Q264" s="108"/>
      <c r="R264" s="108"/>
      <c r="S264" s="108"/>
      <c r="T264" s="108"/>
      <c r="V264" s="60"/>
      <c r="W264" s="60"/>
      <c r="X264" s="60"/>
      <c r="Y264" s="60"/>
      <c r="Z264" s="60"/>
      <c r="AA264" s="60"/>
      <c r="AB264" s="60"/>
      <c r="AC264" s="60"/>
    </row>
    <row r="265" spans="2:29" ht="15" customHeight="1" x14ac:dyDescent="0.5">
      <c r="B265" s="1162" t="s">
        <v>2714</v>
      </c>
      <c r="C265" s="1163" t="s">
        <v>4648</v>
      </c>
      <c r="D265" s="1163" t="s">
        <v>4762</v>
      </c>
      <c r="E265" s="1164"/>
      <c r="F265" s="1165">
        <v>30680</v>
      </c>
      <c r="G265" s="1166" t="s">
        <v>4585</v>
      </c>
      <c r="H265" s="1167">
        <v>15</v>
      </c>
      <c r="I265" s="1168">
        <f>IF(DAY($F265)&gt;15, VLOOKUP(EOMONTH($F265,-1),'WP 3.1 Rate Case Regress.'!$C$5:$D$556,2,FALSE), VLOOKUP(EOMONTH($F265, -2), 'WP 3.1 Rate Case Regress.'!$C$5:$D$556, 2, FALSE))</f>
        <v>13.3833</v>
      </c>
      <c r="K265" s="108"/>
      <c r="L265" s="108"/>
      <c r="M265" s="108"/>
      <c r="N265" s="108"/>
      <c r="O265" s="108"/>
      <c r="P265" s="108"/>
      <c r="Q265" s="108"/>
      <c r="R265" s="108"/>
      <c r="S265" s="108"/>
      <c r="T265" s="108"/>
      <c r="V265" s="60"/>
      <c r="W265" s="60"/>
      <c r="X265" s="60"/>
      <c r="Y265" s="60"/>
      <c r="Z265" s="60"/>
      <c r="AA265" s="60"/>
      <c r="AB265" s="60"/>
      <c r="AC265" s="60"/>
    </row>
    <row r="266" spans="2:29" ht="15" customHeight="1" x14ac:dyDescent="0.5">
      <c r="B266" s="1162" t="s">
        <v>2704</v>
      </c>
      <c r="C266" s="1163" t="s">
        <v>2750</v>
      </c>
      <c r="D266" s="1163" t="s">
        <v>3176</v>
      </c>
      <c r="E266" s="1164"/>
      <c r="F266" s="1165">
        <v>30691</v>
      </c>
      <c r="G266" s="1166" t="s">
        <v>2695</v>
      </c>
      <c r="H266" s="1167">
        <v>15.9</v>
      </c>
      <c r="I266" s="1168">
        <f>IF(DAY($F266)&gt;15, VLOOKUP(EOMONTH($F266,-1),'WP 3.1 Rate Case Regress.'!$C$5:$D$556,2,FALSE), VLOOKUP(EOMONTH($F266, -2), 'WP 3.1 Rate Case Regress.'!$C$5:$D$556, 2, FALSE))</f>
        <v>13.3833</v>
      </c>
      <c r="K266" s="108"/>
      <c r="L266" s="108"/>
      <c r="M266" s="108"/>
      <c r="N266" s="108"/>
      <c r="O266" s="108"/>
      <c r="P266" s="108"/>
      <c r="Q266" s="108"/>
      <c r="R266" s="108"/>
      <c r="S266" s="108"/>
      <c r="T266" s="108"/>
      <c r="V266" s="60"/>
      <c r="W266" s="60"/>
      <c r="X266" s="60"/>
      <c r="Y266" s="60"/>
      <c r="Z266" s="60"/>
      <c r="AA266" s="60"/>
      <c r="AB266" s="60"/>
      <c r="AC266" s="60"/>
    </row>
    <row r="267" spans="2:29" ht="15" customHeight="1" x14ac:dyDescent="0.5">
      <c r="B267" s="1162" t="s">
        <v>2696</v>
      </c>
      <c r="C267" s="1163" t="s">
        <v>3177</v>
      </c>
      <c r="D267" s="1163" t="s">
        <v>3178</v>
      </c>
      <c r="E267" s="1164"/>
      <c r="F267" s="1165">
        <v>30694</v>
      </c>
      <c r="G267" s="1166" t="s">
        <v>2695</v>
      </c>
      <c r="H267" s="1167">
        <v>15.5</v>
      </c>
      <c r="I267" s="1168">
        <f>IF(DAY($F267)&gt;15, VLOOKUP(EOMONTH($F267,-1),'WP 3.1 Rate Case Regress.'!$C$5:$D$556,2,FALSE), VLOOKUP(EOMONTH($F267, -2), 'WP 3.1 Rate Case Regress.'!$C$5:$D$556, 2, FALSE))</f>
        <v>13.3833</v>
      </c>
      <c r="K267" s="108"/>
      <c r="L267" s="108"/>
      <c r="M267" s="108"/>
      <c r="N267" s="108"/>
      <c r="O267" s="108"/>
      <c r="P267" s="108"/>
      <c r="Q267" s="108"/>
      <c r="R267" s="108"/>
      <c r="S267" s="108"/>
      <c r="T267" s="108"/>
      <c r="V267" s="60"/>
      <c r="W267" s="60"/>
      <c r="X267" s="60"/>
      <c r="Y267" s="60"/>
      <c r="Z267" s="60"/>
      <c r="AA267" s="60"/>
      <c r="AB267" s="60"/>
      <c r="AC267" s="60"/>
    </row>
    <row r="268" spans="2:29" ht="15" customHeight="1" x14ac:dyDescent="0.5">
      <c r="B268" s="1162" t="s">
        <v>2739</v>
      </c>
      <c r="C268" s="1163" t="s">
        <v>2956</v>
      </c>
      <c r="D268" s="1163" t="s">
        <v>3179</v>
      </c>
      <c r="E268" s="1164"/>
      <c r="F268" s="1165">
        <v>30699</v>
      </c>
      <c r="G268" s="1166" t="s">
        <v>2695</v>
      </c>
      <c r="H268" s="1167">
        <v>15.53</v>
      </c>
      <c r="I268" s="1168">
        <f>IF(DAY($F268)&gt;15, VLOOKUP(EOMONTH($F268,-1),'WP 3.1 Rate Case Regress.'!$C$5:$D$556,2,FALSE), VLOOKUP(EOMONTH($F268, -2), 'WP 3.1 Rate Case Regress.'!$C$5:$D$556, 2, FALSE))</f>
        <v>13.517099999999999</v>
      </c>
      <c r="K268" s="108"/>
      <c r="L268" s="108"/>
      <c r="M268" s="108"/>
      <c r="N268" s="108"/>
      <c r="O268" s="108"/>
      <c r="P268" s="108"/>
      <c r="Q268" s="108"/>
      <c r="R268" s="108"/>
      <c r="S268" s="108"/>
      <c r="T268" s="108"/>
      <c r="V268" s="60"/>
      <c r="W268" s="60"/>
      <c r="X268" s="60"/>
      <c r="Y268" s="60"/>
      <c r="Z268" s="60"/>
      <c r="AA268" s="60"/>
      <c r="AB268" s="60"/>
      <c r="AC268" s="60"/>
    </row>
    <row r="269" spans="2:29" ht="15" customHeight="1" x14ac:dyDescent="0.5">
      <c r="B269" s="1162" t="s">
        <v>2696</v>
      </c>
      <c r="C269" s="1163" t="s">
        <v>2769</v>
      </c>
      <c r="D269" s="1163" t="s">
        <v>3180</v>
      </c>
      <c r="E269" s="1164"/>
      <c r="F269" s="1165">
        <v>30707</v>
      </c>
      <c r="G269" s="1166" t="s">
        <v>2695</v>
      </c>
      <c r="H269" s="1167">
        <v>15.9</v>
      </c>
      <c r="I269" s="1168">
        <f>IF(DAY($F269)&gt;15, VLOOKUP(EOMONTH($F269,-1),'WP 3.1 Rate Case Regress.'!$C$5:$D$556,2,FALSE), VLOOKUP(EOMONTH($F269, -2), 'WP 3.1 Rate Case Regress.'!$C$5:$D$556, 2, FALSE))</f>
        <v>13.517099999999999</v>
      </c>
      <c r="K269" s="108"/>
      <c r="L269" s="108"/>
      <c r="M269" s="108"/>
      <c r="N269" s="108"/>
      <c r="O269" s="108"/>
      <c r="P269" s="108"/>
      <c r="Q269" s="108"/>
      <c r="R269" s="108"/>
      <c r="S269" s="108"/>
      <c r="T269" s="108"/>
      <c r="V269" s="60"/>
      <c r="W269" s="60"/>
      <c r="X269" s="60"/>
      <c r="Y269" s="60"/>
      <c r="Z269" s="60"/>
      <c r="AA269" s="60"/>
      <c r="AB269" s="60"/>
      <c r="AC269" s="60"/>
    </row>
    <row r="270" spans="2:29" ht="15" customHeight="1" x14ac:dyDescent="0.5">
      <c r="B270" s="1162" t="s">
        <v>2744</v>
      </c>
      <c r="C270" s="1163" t="s">
        <v>3244</v>
      </c>
      <c r="D270" s="1163" t="s">
        <v>4763</v>
      </c>
      <c r="E270" s="1164"/>
      <c r="F270" s="1165">
        <v>30726</v>
      </c>
      <c r="G270" s="1166" t="s">
        <v>4585</v>
      </c>
      <c r="H270" s="1167">
        <v>14.25</v>
      </c>
      <c r="I270" s="1168">
        <f>IF(DAY($F270)&gt;15, VLOOKUP(EOMONTH($F270,-1),'WP 3.1 Rate Case Regress.'!$C$5:$D$556,2,FALSE), VLOOKUP(EOMONTH($F270, -2), 'WP 3.1 Rate Case Regress.'!$C$5:$D$556, 2, FALSE))</f>
        <v>13.517099999999999</v>
      </c>
      <c r="K270" s="108"/>
      <c r="L270" s="108"/>
      <c r="M270" s="108"/>
      <c r="N270" s="108"/>
      <c r="O270" s="108"/>
      <c r="P270" s="108"/>
      <c r="Q270" s="108"/>
      <c r="R270" s="108"/>
      <c r="S270" s="108"/>
      <c r="T270" s="108"/>
      <c r="V270" s="60"/>
      <c r="W270" s="60"/>
      <c r="X270" s="60"/>
      <c r="Y270" s="60"/>
      <c r="Z270" s="60"/>
      <c r="AA270" s="60"/>
      <c r="AB270" s="60"/>
      <c r="AC270" s="60"/>
    </row>
    <row r="271" spans="2:29" ht="15" customHeight="1" x14ac:dyDescent="0.5">
      <c r="B271" s="1162" t="s">
        <v>2702</v>
      </c>
      <c r="C271" s="1163" t="s">
        <v>4701</v>
      </c>
      <c r="D271" s="1163" t="s">
        <v>3181</v>
      </c>
      <c r="E271" s="1164"/>
      <c r="F271" s="1165">
        <v>30740</v>
      </c>
      <c r="G271" s="1166" t="s">
        <v>2695</v>
      </c>
      <c r="H271" s="1167">
        <v>14.5</v>
      </c>
      <c r="I271" s="1168">
        <f>IF(DAY($F271)&gt;15, VLOOKUP(EOMONTH($F271,-1),'WP 3.1 Rate Case Regress.'!$C$5:$D$556,2,FALSE), VLOOKUP(EOMONTH($F271, -2), 'WP 3.1 Rate Case Regress.'!$C$5:$D$556, 2, FALSE))</f>
        <v>13.400499999999999</v>
      </c>
      <c r="K271" s="108"/>
      <c r="L271" s="108"/>
      <c r="M271" s="108"/>
      <c r="N271" s="108"/>
      <c r="O271" s="108"/>
      <c r="P271" s="108"/>
      <c r="Q271" s="108"/>
      <c r="R271" s="108"/>
      <c r="S271" s="108"/>
      <c r="T271" s="108"/>
      <c r="V271" s="60"/>
      <c r="W271" s="60"/>
      <c r="X271" s="60"/>
      <c r="Y271" s="60"/>
      <c r="Z271" s="60"/>
      <c r="AA271" s="60"/>
      <c r="AB271" s="60"/>
      <c r="AC271" s="60"/>
    </row>
    <row r="272" spans="2:29" ht="15" customHeight="1" x14ac:dyDescent="0.5">
      <c r="B272" s="1162" t="s">
        <v>2704</v>
      </c>
      <c r="C272" s="1163" t="s">
        <v>2705</v>
      </c>
      <c r="D272" s="1163" t="s">
        <v>3182</v>
      </c>
      <c r="E272" s="1164"/>
      <c r="F272" s="1165">
        <v>30761</v>
      </c>
      <c r="G272" s="1166" t="s">
        <v>2695</v>
      </c>
      <c r="H272" s="1167">
        <v>16</v>
      </c>
      <c r="I272" s="1168">
        <f>IF(DAY($F272)&gt;15, VLOOKUP(EOMONTH($F272,-1),'WP 3.1 Rate Case Regress.'!$C$5:$D$556,2,FALSE), VLOOKUP(EOMONTH($F272, -2), 'WP 3.1 Rate Case Regress.'!$C$5:$D$556, 2, FALSE))</f>
        <v>13.397</v>
      </c>
      <c r="K272" s="108"/>
      <c r="L272" s="108"/>
      <c r="M272" s="108"/>
      <c r="N272" s="108"/>
      <c r="O272" s="108"/>
      <c r="P272" s="108"/>
      <c r="Q272" s="108"/>
      <c r="R272" s="108"/>
      <c r="S272" s="108"/>
      <c r="T272" s="108"/>
      <c r="V272" s="60"/>
      <c r="W272" s="60"/>
      <c r="X272" s="60"/>
      <c r="Y272" s="60"/>
      <c r="Z272" s="60"/>
      <c r="AA272" s="60"/>
      <c r="AB272" s="60"/>
      <c r="AC272" s="60"/>
    </row>
    <row r="273" spans="2:29" ht="15" customHeight="1" x14ac:dyDescent="0.5">
      <c r="B273" s="1162" t="s">
        <v>2712</v>
      </c>
      <c r="C273" s="1163" t="s">
        <v>2713</v>
      </c>
      <c r="D273" s="1163" t="s">
        <v>3183</v>
      </c>
      <c r="E273" s="1164"/>
      <c r="F273" s="1165">
        <v>30764</v>
      </c>
      <c r="G273" s="1166" t="s">
        <v>2695</v>
      </c>
      <c r="H273" s="1167">
        <v>15.5</v>
      </c>
      <c r="I273" s="1168">
        <f>IF(DAY($F273)&gt;15, VLOOKUP(EOMONTH($F273,-1),'WP 3.1 Rate Case Regress.'!$C$5:$D$556,2,FALSE), VLOOKUP(EOMONTH($F273, -2), 'WP 3.1 Rate Case Regress.'!$C$5:$D$556, 2, FALSE))</f>
        <v>13.397</v>
      </c>
      <c r="K273" s="108"/>
      <c r="L273" s="108"/>
      <c r="M273" s="108"/>
      <c r="N273" s="108"/>
      <c r="O273" s="108"/>
      <c r="P273" s="108"/>
      <c r="Q273" s="108"/>
      <c r="R273" s="108"/>
      <c r="S273" s="108"/>
      <c r="T273" s="108"/>
      <c r="V273" s="60"/>
      <c r="W273" s="60"/>
      <c r="X273" s="60"/>
      <c r="Y273" s="60"/>
      <c r="Z273" s="60"/>
      <c r="AA273" s="60"/>
      <c r="AB273" s="60"/>
      <c r="AC273" s="60"/>
    </row>
    <row r="274" spans="2:29" ht="15" customHeight="1" x14ac:dyDescent="0.5">
      <c r="B274" s="1162" t="s">
        <v>2731</v>
      </c>
      <c r="C274" s="1163" t="s">
        <v>2939</v>
      </c>
      <c r="D274" s="1163" t="s">
        <v>3184</v>
      </c>
      <c r="E274" s="1164"/>
      <c r="F274" s="1165">
        <v>30781</v>
      </c>
      <c r="G274" s="1166" t="s">
        <v>2695</v>
      </c>
      <c r="H274" s="1167">
        <v>15.2</v>
      </c>
      <c r="I274" s="1168">
        <f>IF(DAY($F274)&gt;15, VLOOKUP(EOMONTH($F274,-1),'WP 3.1 Rate Case Regress.'!$C$5:$D$556,2,FALSE), VLOOKUP(EOMONTH($F274, -2), 'WP 3.1 Rate Case Regress.'!$C$5:$D$556, 2, FALSE))</f>
        <v>13.397</v>
      </c>
      <c r="K274" s="108"/>
      <c r="L274" s="108"/>
      <c r="M274" s="108"/>
      <c r="N274" s="108"/>
      <c r="O274" s="108"/>
      <c r="P274" s="108"/>
      <c r="Q274" s="108"/>
      <c r="R274" s="108"/>
      <c r="S274" s="108"/>
      <c r="T274" s="108"/>
      <c r="V274" s="60"/>
      <c r="W274" s="60"/>
      <c r="X274" s="60"/>
      <c r="Y274" s="60"/>
      <c r="Z274" s="60"/>
      <c r="AA274" s="60"/>
      <c r="AB274" s="60"/>
      <c r="AC274" s="60"/>
    </row>
    <row r="275" spans="2:29" ht="15" customHeight="1" x14ac:dyDescent="0.5">
      <c r="B275" s="1162" t="s">
        <v>2704</v>
      </c>
      <c r="C275" s="1163" t="s">
        <v>2725</v>
      </c>
      <c r="D275" s="1163" t="s">
        <v>3185</v>
      </c>
      <c r="E275" s="1164"/>
      <c r="F275" s="1165">
        <v>30790</v>
      </c>
      <c r="G275" s="1166" t="s">
        <v>2695</v>
      </c>
      <c r="H275" s="1167">
        <v>16.2</v>
      </c>
      <c r="I275" s="1168">
        <f>IF(DAY($F275)&gt;15, VLOOKUP(EOMONTH($F275,-1),'WP 3.1 Rate Case Regress.'!$C$5:$D$556,2,FALSE), VLOOKUP(EOMONTH($F275, -2), 'WP 3.1 Rate Case Regress.'!$C$5:$D$556, 2, FALSE))</f>
        <v>13.7723</v>
      </c>
      <c r="K275" s="108"/>
      <c r="L275" s="108"/>
      <c r="M275" s="108"/>
      <c r="N275" s="108"/>
      <c r="O275" s="108"/>
      <c r="P275" s="108"/>
      <c r="Q275" s="108"/>
      <c r="R275" s="108"/>
      <c r="S275" s="108"/>
      <c r="T275" s="108"/>
      <c r="V275" s="60"/>
      <c r="W275" s="60"/>
      <c r="X275" s="60"/>
      <c r="Y275" s="60"/>
      <c r="Z275" s="60"/>
      <c r="AA275" s="60"/>
      <c r="AB275" s="60"/>
      <c r="AC275" s="60"/>
    </row>
    <row r="276" spans="2:29" ht="15" customHeight="1" x14ac:dyDescent="0.5">
      <c r="B276" s="1162" t="s">
        <v>2696</v>
      </c>
      <c r="C276" s="1163" t="s">
        <v>2697</v>
      </c>
      <c r="D276" s="1163" t="s">
        <v>3186</v>
      </c>
      <c r="E276" s="1164"/>
      <c r="F276" s="1165">
        <v>30799</v>
      </c>
      <c r="G276" s="1166" t="s">
        <v>2695</v>
      </c>
      <c r="H276" s="1167">
        <v>15.85</v>
      </c>
      <c r="I276" s="1168">
        <f>IF(DAY($F276)&gt;15, VLOOKUP(EOMONTH($F276,-1),'WP 3.1 Rate Case Regress.'!$C$5:$D$556,2,FALSE), VLOOKUP(EOMONTH($F276, -2), 'WP 3.1 Rate Case Regress.'!$C$5:$D$556, 2, FALSE))</f>
        <v>13.7723</v>
      </c>
      <c r="K276" s="108"/>
      <c r="L276" s="108"/>
      <c r="M276" s="108"/>
      <c r="N276" s="108"/>
      <c r="O276" s="108"/>
      <c r="P276" s="108"/>
      <c r="Q276" s="108"/>
      <c r="R276" s="108"/>
      <c r="S276" s="108"/>
      <c r="T276" s="108"/>
      <c r="V276" s="60"/>
      <c r="W276" s="60"/>
      <c r="X276" s="60"/>
      <c r="Y276" s="60"/>
      <c r="Z276" s="60"/>
      <c r="AA276" s="60"/>
      <c r="AB276" s="60"/>
      <c r="AC276" s="60"/>
    </row>
    <row r="277" spans="2:29" ht="15" customHeight="1" x14ac:dyDescent="0.5">
      <c r="B277" s="1162" t="s">
        <v>2740</v>
      </c>
      <c r="C277" s="1163" t="s">
        <v>2746</v>
      </c>
      <c r="D277" s="1163" t="s">
        <v>3187</v>
      </c>
      <c r="E277" s="1164"/>
      <c r="F277" s="1165">
        <v>30817</v>
      </c>
      <c r="G277" s="1166" t="s">
        <v>2695</v>
      </c>
      <c r="H277" s="1167">
        <v>13.35</v>
      </c>
      <c r="I277" s="1168">
        <f>IF(DAY($F277)&gt;15, VLOOKUP(EOMONTH($F277,-1),'WP 3.1 Rate Case Regress.'!$C$5:$D$556,2,FALSE), VLOOKUP(EOMONTH($F277, -2), 'WP 3.1 Rate Case Regress.'!$C$5:$D$556, 2, FALSE))</f>
        <v>13.7723</v>
      </c>
      <c r="K277" s="108"/>
      <c r="L277" s="108"/>
      <c r="M277" s="108"/>
      <c r="N277" s="108"/>
      <c r="O277" s="108"/>
      <c r="P277" s="108"/>
      <c r="Q277" s="108"/>
      <c r="R277" s="108"/>
      <c r="S277" s="108"/>
      <c r="T277" s="108"/>
      <c r="V277" s="60"/>
      <c r="W277" s="60"/>
      <c r="X277" s="60"/>
      <c r="Y277" s="60"/>
      <c r="Z277" s="60"/>
      <c r="AA277" s="60"/>
      <c r="AB277" s="60"/>
      <c r="AC277" s="60"/>
    </row>
    <row r="278" spans="2:29" ht="15" customHeight="1" x14ac:dyDescent="0.5">
      <c r="B278" s="1162" t="s">
        <v>2728</v>
      </c>
      <c r="C278" s="1163" t="s">
        <v>2729</v>
      </c>
      <c r="D278" s="1163" t="s">
        <v>3188</v>
      </c>
      <c r="E278" s="1164"/>
      <c r="F278" s="1165">
        <v>30818</v>
      </c>
      <c r="G278" s="1166" t="s">
        <v>2695</v>
      </c>
      <c r="H278" s="1167">
        <v>15</v>
      </c>
      <c r="I278" s="1168">
        <f>IF(DAY($F278)&gt;15, VLOOKUP(EOMONTH($F278,-1),'WP 3.1 Rate Case Regress.'!$C$5:$D$556,2,FALSE), VLOOKUP(EOMONTH($F278, -2), 'WP 3.1 Rate Case Regress.'!$C$5:$D$556, 2, FALSE))</f>
        <v>14.129</v>
      </c>
      <c r="K278" s="108"/>
      <c r="L278" s="108"/>
      <c r="M278" s="108"/>
      <c r="N278" s="108"/>
      <c r="O278" s="108"/>
      <c r="P278" s="108"/>
      <c r="Q278" s="108"/>
      <c r="R278" s="108"/>
      <c r="S278" s="108"/>
      <c r="T278" s="108"/>
      <c r="V278" s="60"/>
      <c r="W278" s="60"/>
      <c r="X278" s="60"/>
      <c r="Y278" s="60"/>
      <c r="Z278" s="60"/>
      <c r="AA278" s="60"/>
      <c r="AB278" s="60"/>
      <c r="AC278" s="60"/>
    </row>
    <row r="279" spans="2:29" ht="15" customHeight="1" x14ac:dyDescent="0.5">
      <c r="B279" s="1162" t="s">
        <v>2715</v>
      </c>
      <c r="C279" s="1163" t="s">
        <v>2716</v>
      </c>
      <c r="D279" s="1163" t="s">
        <v>3189</v>
      </c>
      <c r="E279" s="1164"/>
      <c r="F279" s="1165">
        <v>30824</v>
      </c>
      <c r="G279" s="1166" t="s">
        <v>2695</v>
      </c>
      <c r="H279" s="1167">
        <v>14.4</v>
      </c>
      <c r="I279" s="1168">
        <f>IF(DAY($F279)&gt;15, VLOOKUP(EOMONTH($F279,-1),'WP 3.1 Rate Case Regress.'!$C$5:$D$556,2,FALSE), VLOOKUP(EOMONTH($F279, -2), 'WP 3.1 Rate Case Regress.'!$C$5:$D$556, 2, FALSE))</f>
        <v>14.129</v>
      </c>
      <c r="K279" s="108"/>
      <c r="L279" s="108"/>
      <c r="M279" s="108"/>
      <c r="N279" s="108"/>
      <c r="O279" s="108"/>
      <c r="P279" s="108"/>
      <c r="Q279" s="108"/>
      <c r="R279" s="108"/>
      <c r="S279" s="108"/>
      <c r="T279" s="108"/>
      <c r="V279" s="60"/>
      <c r="W279" s="60"/>
      <c r="X279" s="60"/>
      <c r="Y279" s="60"/>
      <c r="Z279" s="60"/>
      <c r="AA279" s="60"/>
      <c r="AB279" s="60"/>
      <c r="AC279" s="60"/>
    </row>
    <row r="280" spans="2:29" ht="15" customHeight="1" x14ac:dyDescent="0.5">
      <c r="B280" s="1162" t="s">
        <v>2717</v>
      </c>
      <c r="C280" s="1163" t="s">
        <v>2939</v>
      </c>
      <c r="D280" s="1163" t="s">
        <v>3190</v>
      </c>
      <c r="E280" s="1164"/>
      <c r="F280" s="1165">
        <v>30846</v>
      </c>
      <c r="G280" s="1166" t="s">
        <v>2695</v>
      </c>
      <c r="H280" s="1167">
        <v>15.5</v>
      </c>
      <c r="I280" s="1168">
        <f>IF(DAY($F280)&gt;15, VLOOKUP(EOMONTH($F280,-1),'WP 3.1 Rate Case Regress.'!$C$5:$D$556,2,FALSE), VLOOKUP(EOMONTH($F280, -2), 'WP 3.1 Rate Case Regress.'!$C$5:$D$556, 2, FALSE))</f>
        <v>14.129</v>
      </c>
      <c r="K280" s="108"/>
      <c r="L280" s="108"/>
      <c r="M280" s="108"/>
      <c r="N280" s="108"/>
      <c r="O280" s="108"/>
      <c r="P280" s="108"/>
      <c r="Q280" s="108"/>
      <c r="R280" s="108"/>
      <c r="S280" s="108"/>
      <c r="T280" s="108"/>
      <c r="V280" s="60"/>
      <c r="W280" s="60"/>
      <c r="X280" s="60"/>
      <c r="Y280" s="60"/>
      <c r="Z280" s="60"/>
      <c r="AA280" s="60"/>
      <c r="AB280" s="60"/>
      <c r="AC280" s="60"/>
    </row>
    <row r="281" spans="2:29" ht="15" customHeight="1" x14ac:dyDescent="0.5">
      <c r="B281" s="1162" t="s">
        <v>2704</v>
      </c>
      <c r="C281" s="1163" t="s">
        <v>2927</v>
      </c>
      <c r="D281" s="1163" t="s">
        <v>3191</v>
      </c>
      <c r="E281" s="1164"/>
      <c r="F281" s="1165">
        <v>30873</v>
      </c>
      <c r="G281" s="1166" t="s">
        <v>2695</v>
      </c>
      <c r="H281" s="1167">
        <v>16</v>
      </c>
      <c r="I281" s="1168">
        <f>IF(DAY($F281)&gt;15, VLOOKUP(EOMONTH($F281,-1),'WP 3.1 Rate Case Regress.'!$C$5:$D$556,2,FALSE), VLOOKUP(EOMONTH($F281, -2), 'WP 3.1 Rate Case Regress.'!$C$5:$D$556, 2, FALSE))</f>
        <v>14.8795</v>
      </c>
      <c r="K281" s="108"/>
      <c r="L281" s="108"/>
      <c r="M281" s="108"/>
      <c r="N281" s="108"/>
      <c r="O281" s="108"/>
      <c r="P281" s="108"/>
      <c r="Q281" s="108"/>
      <c r="R281" s="108"/>
      <c r="S281" s="108"/>
      <c r="T281" s="108"/>
      <c r="V281" s="60"/>
      <c r="W281" s="60"/>
      <c r="X281" s="60"/>
      <c r="Y281" s="60"/>
      <c r="Z281" s="60"/>
      <c r="AA281" s="60"/>
      <c r="AB281" s="60"/>
      <c r="AC281" s="60"/>
    </row>
    <row r="282" spans="2:29" ht="15" customHeight="1" x14ac:dyDescent="0.5">
      <c r="B282" s="1162" t="s">
        <v>2710</v>
      </c>
      <c r="C282" s="1163" t="s">
        <v>2711</v>
      </c>
      <c r="D282" s="1163" t="s">
        <v>4764</v>
      </c>
      <c r="E282" s="1164"/>
      <c r="F282" s="1165">
        <v>30901</v>
      </c>
      <c r="G282" s="1166" t="s">
        <v>4585</v>
      </c>
      <c r="H282" s="1167">
        <v>16.690000000000001</v>
      </c>
      <c r="I282" s="1168">
        <f>IF(DAY($F282)&gt;15, VLOOKUP(EOMONTH($F282,-1),'WP 3.1 Rate Case Regress.'!$C$5:$D$556,2,FALSE), VLOOKUP(EOMONTH($F282, -2), 'WP 3.1 Rate Case Regress.'!$C$5:$D$556, 2, FALSE))</f>
        <v>15.097099999999999</v>
      </c>
      <c r="K282" s="108"/>
      <c r="L282" s="108"/>
      <c r="M282" s="108"/>
      <c r="N282" s="108"/>
      <c r="O282" s="108"/>
      <c r="P282" s="108"/>
      <c r="Q282" s="108"/>
      <c r="R282" s="108"/>
      <c r="S282" s="108"/>
      <c r="T282" s="108"/>
      <c r="V282" s="60"/>
      <c r="W282" s="60"/>
      <c r="X282" s="60"/>
      <c r="Y282" s="60"/>
      <c r="Z282" s="60"/>
      <c r="AA282" s="60"/>
      <c r="AB282" s="60"/>
      <c r="AC282" s="60"/>
    </row>
    <row r="283" spans="2:29" ht="15" customHeight="1" x14ac:dyDescent="0.5">
      <c r="B283" s="1162" t="s">
        <v>2706</v>
      </c>
      <c r="C283" s="1163" t="s">
        <v>2906</v>
      </c>
      <c r="D283" s="1163" t="s">
        <v>3192</v>
      </c>
      <c r="E283" s="1164"/>
      <c r="F283" s="1165">
        <v>30903</v>
      </c>
      <c r="G283" s="1166" t="s">
        <v>2695</v>
      </c>
      <c r="H283" s="1167">
        <v>15.33</v>
      </c>
      <c r="I283" s="1168">
        <f>IF(DAY($F283)&gt;15, VLOOKUP(EOMONTH($F283,-1),'WP 3.1 Rate Case Regress.'!$C$5:$D$556,2,FALSE), VLOOKUP(EOMONTH($F283, -2), 'WP 3.1 Rate Case Regress.'!$C$5:$D$556, 2, FALSE))</f>
        <v>15.097099999999999</v>
      </c>
      <c r="K283" s="108"/>
      <c r="L283" s="108"/>
      <c r="M283" s="108"/>
      <c r="N283" s="108"/>
      <c r="O283" s="108"/>
      <c r="P283" s="108"/>
      <c r="Q283" s="108"/>
      <c r="R283" s="108"/>
      <c r="S283" s="108"/>
      <c r="T283" s="108"/>
      <c r="V283" s="60"/>
      <c r="W283" s="60"/>
      <c r="X283" s="60"/>
      <c r="Y283" s="60"/>
      <c r="Z283" s="60"/>
      <c r="AA283" s="60"/>
      <c r="AB283" s="60"/>
      <c r="AC283" s="60"/>
    </row>
    <row r="284" spans="2:29" ht="15" customHeight="1" x14ac:dyDescent="0.5">
      <c r="B284" s="1162" t="s">
        <v>2744</v>
      </c>
      <c r="C284" s="1163" t="s">
        <v>2770</v>
      </c>
      <c r="D284" s="1163" t="s">
        <v>3193</v>
      </c>
      <c r="E284" s="1164"/>
      <c r="F284" s="1165">
        <v>30911</v>
      </c>
      <c r="G284" s="1166" t="s">
        <v>2695</v>
      </c>
      <c r="H284" s="1167">
        <v>14.82</v>
      </c>
      <c r="I284" s="1168">
        <f>IF(DAY($F284)&gt;15, VLOOKUP(EOMONTH($F284,-1),'WP 3.1 Rate Case Regress.'!$C$5:$D$556,2,FALSE), VLOOKUP(EOMONTH($F284, -2), 'WP 3.1 Rate Case Regress.'!$C$5:$D$556, 2, FALSE))</f>
        <v>14.8605</v>
      </c>
      <c r="K284" s="108"/>
      <c r="L284" s="108"/>
      <c r="M284" s="108"/>
      <c r="N284" s="108"/>
      <c r="O284" s="108"/>
      <c r="P284" s="108"/>
      <c r="Q284" s="108"/>
      <c r="R284" s="108"/>
      <c r="S284" s="108"/>
      <c r="T284" s="108"/>
      <c r="V284" s="60"/>
      <c r="W284" s="60"/>
      <c r="X284" s="60"/>
      <c r="Y284" s="60"/>
      <c r="Z284" s="60"/>
      <c r="AA284" s="60"/>
      <c r="AB284" s="60"/>
      <c r="AC284" s="60"/>
    </row>
    <row r="285" spans="2:29" ht="15" customHeight="1" x14ac:dyDescent="0.5">
      <c r="B285" s="1162" t="s">
        <v>2708</v>
      </c>
      <c r="C285" s="1163" t="s">
        <v>2709</v>
      </c>
      <c r="D285" s="1163" t="s">
        <v>3194</v>
      </c>
      <c r="E285" s="1164"/>
      <c r="F285" s="1165">
        <v>30915</v>
      </c>
      <c r="G285" s="1166" t="s">
        <v>2695</v>
      </c>
      <c r="H285" s="1167">
        <v>14.64</v>
      </c>
      <c r="I285" s="1168">
        <f>IF(DAY($F285)&gt;15, VLOOKUP(EOMONTH($F285,-1),'WP 3.1 Rate Case Regress.'!$C$5:$D$556,2,FALSE), VLOOKUP(EOMONTH($F285, -2), 'WP 3.1 Rate Case Regress.'!$C$5:$D$556, 2, FALSE))</f>
        <v>14.8605</v>
      </c>
      <c r="K285" s="108"/>
      <c r="L285" s="108"/>
      <c r="M285" s="108"/>
      <c r="N285" s="108"/>
      <c r="O285" s="108"/>
      <c r="P285" s="108"/>
      <c r="Q285" s="108"/>
      <c r="R285" s="108"/>
      <c r="S285" s="108"/>
      <c r="T285" s="108"/>
      <c r="V285" s="60"/>
      <c r="W285" s="60"/>
      <c r="X285" s="60"/>
      <c r="Y285" s="60"/>
      <c r="Z285" s="60"/>
      <c r="AA285" s="60"/>
      <c r="AB285" s="60"/>
      <c r="AC285" s="60"/>
    </row>
    <row r="286" spans="2:29" ht="15" customHeight="1" x14ac:dyDescent="0.5">
      <c r="B286" s="1162" t="s">
        <v>2696</v>
      </c>
      <c r="C286" s="1163" t="s">
        <v>3195</v>
      </c>
      <c r="D286" s="1163" t="s">
        <v>3196</v>
      </c>
      <c r="E286" s="1164"/>
      <c r="F286" s="1165">
        <v>30921</v>
      </c>
      <c r="G286" s="1166" t="s">
        <v>2695</v>
      </c>
      <c r="H286" s="1167">
        <v>14.52</v>
      </c>
      <c r="I286" s="1168">
        <f>IF(DAY($F286)&gt;15, VLOOKUP(EOMONTH($F286,-1),'WP 3.1 Rate Case Regress.'!$C$5:$D$556,2,FALSE), VLOOKUP(EOMONTH($F286, -2), 'WP 3.1 Rate Case Regress.'!$C$5:$D$556, 2, FALSE))</f>
        <v>14.8605</v>
      </c>
      <c r="K286" s="108"/>
      <c r="L286" s="108"/>
      <c r="M286" s="108"/>
      <c r="N286" s="108"/>
      <c r="O286" s="108"/>
      <c r="P286" s="108"/>
      <c r="Q286" s="108"/>
      <c r="R286" s="108"/>
      <c r="S286" s="108"/>
      <c r="T286" s="108"/>
      <c r="V286" s="60"/>
      <c r="W286" s="60"/>
      <c r="X286" s="60"/>
      <c r="Y286" s="60"/>
      <c r="Z286" s="60"/>
      <c r="AA286" s="60"/>
      <c r="AB286" s="60"/>
      <c r="AC286" s="60"/>
    </row>
    <row r="287" spans="2:29" ht="15" customHeight="1" x14ac:dyDescent="0.5">
      <c r="B287" s="1162" t="s">
        <v>2702</v>
      </c>
      <c r="C287" s="1163" t="s">
        <v>3007</v>
      </c>
      <c r="D287" s="1163" t="s">
        <v>3197</v>
      </c>
      <c r="E287" s="1164"/>
      <c r="F287" s="1165">
        <v>30922</v>
      </c>
      <c r="G287" s="1166" t="s">
        <v>2695</v>
      </c>
      <c r="H287" s="1167">
        <v>14.75</v>
      </c>
      <c r="I287" s="1168">
        <f>IF(DAY($F287)&gt;15, VLOOKUP(EOMONTH($F287,-1),'WP 3.1 Rate Case Regress.'!$C$5:$D$556,2,FALSE), VLOOKUP(EOMONTH($F287, -2), 'WP 3.1 Rate Case Regress.'!$C$5:$D$556, 2, FALSE))</f>
        <v>14.8605</v>
      </c>
      <c r="K287" s="108"/>
      <c r="L287" s="108"/>
      <c r="M287" s="108"/>
      <c r="N287" s="108"/>
      <c r="O287" s="108"/>
      <c r="P287" s="108"/>
      <c r="Q287" s="108"/>
      <c r="R287" s="108"/>
      <c r="S287" s="108"/>
      <c r="T287" s="108"/>
      <c r="V287" s="60"/>
      <c r="W287" s="60"/>
      <c r="X287" s="60"/>
      <c r="Y287" s="60"/>
      <c r="Z287" s="60"/>
      <c r="AA287" s="60"/>
      <c r="AB287" s="60"/>
      <c r="AC287" s="60"/>
    </row>
    <row r="288" spans="2:29" ht="15" customHeight="1" x14ac:dyDescent="0.5">
      <c r="B288" s="1162" t="s">
        <v>2693</v>
      </c>
      <c r="C288" s="1163" t="s">
        <v>2961</v>
      </c>
      <c r="D288" s="1163" t="s">
        <v>3198</v>
      </c>
      <c r="E288" s="1164"/>
      <c r="F288" s="1165">
        <v>30924</v>
      </c>
      <c r="G288" s="1166" t="s">
        <v>2695</v>
      </c>
      <c r="H288" s="1167">
        <v>15.6</v>
      </c>
      <c r="I288" s="1168">
        <f>IF(DAY($F288)&gt;15, VLOOKUP(EOMONTH($F288,-1),'WP 3.1 Rate Case Regress.'!$C$5:$D$556,2,FALSE), VLOOKUP(EOMONTH($F288, -2), 'WP 3.1 Rate Case Regress.'!$C$5:$D$556, 2, FALSE))</f>
        <v>14.8605</v>
      </c>
      <c r="K288" s="108"/>
      <c r="L288" s="108"/>
      <c r="M288" s="108"/>
      <c r="N288" s="108"/>
      <c r="O288" s="108"/>
      <c r="P288" s="108"/>
      <c r="Q288" s="108"/>
      <c r="R288" s="108"/>
      <c r="S288" s="108"/>
      <c r="T288" s="108"/>
      <c r="V288" s="60"/>
      <c r="W288" s="60"/>
      <c r="X288" s="60"/>
      <c r="Y288" s="60"/>
      <c r="Z288" s="60"/>
      <c r="AA288" s="60"/>
      <c r="AB288" s="60"/>
      <c r="AC288" s="60"/>
    </row>
    <row r="289" spans="2:29" ht="15" customHeight="1" x14ac:dyDescent="0.5">
      <c r="B289" s="1162" t="s">
        <v>2723</v>
      </c>
      <c r="C289" s="1163" t="s">
        <v>2921</v>
      </c>
      <c r="D289" s="1163" t="s">
        <v>3199</v>
      </c>
      <c r="E289" s="1164"/>
      <c r="F289" s="1165">
        <v>30937</v>
      </c>
      <c r="G289" s="1166" t="s">
        <v>2695</v>
      </c>
      <c r="H289" s="1167">
        <v>15.9</v>
      </c>
      <c r="I289" s="1168">
        <f>IF(DAY($F289)&gt;15, VLOOKUP(EOMONTH($F289,-1),'WP 3.1 Rate Case Regress.'!$C$5:$D$556,2,FALSE), VLOOKUP(EOMONTH($F289, -2), 'WP 3.1 Rate Case Regress.'!$C$5:$D$556, 2, FALSE))</f>
        <v>14.8605</v>
      </c>
      <c r="K289" s="108"/>
      <c r="L289" s="108"/>
      <c r="M289" s="108"/>
      <c r="N289" s="108"/>
      <c r="O289" s="108"/>
      <c r="P289" s="108"/>
      <c r="Q289" s="108"/>
      <c r="R289" s="108"/>
      <c r="S289" s="108"/>
      <c r="T289" s="108"/>
      <c r="V289" s="60"/>
      <c r="W289" s="60"/>
      <c r="X289" s="60"/>
      <c r="Y289" s="60"/>
      <c r="Z289" s="60"/>
      <c r="AA289" s="60"/>
      <c r="AB289" s="60"/>
      <c r="AC289" s="60"/>
    </row>
    <row r="290" spans="2:29" ht="15" customHeight="1" x14ac:dyDescent="0.5">
      <c r="B290" s="1162" t="s">
        <v>2693</v>
      </c>
      <c r="C290" s="1163" t="s">
        <v>2959</v>
      </c>
      <c r="D290" s="1163" t="s">
        <v>3200</v>
      </c>
      <c r="E290" s="1164"/>
      <c r="F290" s="1165">
        <v>30937</v>
      </c>
      <c r="G290" s="1166" t="s">
        <v>2695</v>
      </c>
      <c r="H290" s="1167">
        <v>15.6</v>
      </c>
      <c r="I290" s="1168">
        <f>IF(DAY($F290)&gt;15, VLOOKUP(EOMONTH($F290,-1),'WP 3.1 Rate Case Regress.'!$C$5:$D$556,2,FALSE), VLOOKUP(EOMONTH($F290, -2), 'WP 3.1 Rate Case Regress.'!$C$5:$D$556, 2, FALSE))</f>
        <v>14.8605</v>
      </c>
      <c r="K290" s="108"/>
      <c r="L290" s="108"/>
      <c r="M290" s="108"/>
      <c r="N290" s="108"/>
      <c r="O290" s="108"/>
      <c r="P290" s="108"/>
      <c r="Q290" s="108"/>
      <c r="R290" s="108"/>
      <c r="S290" s="108"/>
      <c r="T290" s="108"/>
      <c r="V290" s="60"/>
      <c r="W290" s="60"/>
      <c r="X290" s="60"/>
      <c r="Y290" s="60"/>
      <c r="Z290" s="60"/>
      <c r="AA290" s="60"/>
      <c r="AB290" s="60"/>
      <c r="AC290" s="60"/>
    </row>
    <row r="291" spans="2:29" ht="15" customHeight="1" x14ac:dyDescent="0.5">
      <c r="B291" s="1162" t="s">
        <v>2699</v>
      </c>
      <c r="C291" s="1163" t="s">
        <v>2628</v>
      </c>
      <c r="D291" s="1163" t="s">
        <v>3201</v>
      </c>
      <c r="E291" s="1164"/>
      <c r="F291" s="1165">
        <v>30950</v>
      </c>
      <c r="G291" s="1166" t="s">
        <v>2695</v>
      </c>
      <c r="H291" s="1167">
        <v>16.25</v>
      </c>
      <c r="I291" s="1168">
        <f>IF(DAY($F291)&gt;15, VLOOKUP(EOMONTH($F291,-1),'WP 3.1 Rate Case Regress.'!$C$5:$D$556,2,FALSE), VLOOKUP(EOMONTH($F291, -2), 'WP 3.1 Rate Case Regress.'!$C$5:$D$556, 2, FALSE))</f>
        <v>14.4291</v>
      </c>
      <c r="K291" s="108"/>
      <c r="L291" s="108"/>
      <c r="M291" s="108"/>
      <c r="N291" s="108"/>
      <c r="O291" s="108"/>
      <c r="P291" s="108"/>
      <c r="Q291" s="108"/>
      <c r="R291" s="108"/>
      <c r="S291" s="108"/>
      <c r="T291" s="108"/>
      <c r="V291" s="60"/>
      <c r="W291" s="60"/>
      <c r="X291" s="60"/>
      <c r="Y291" s="60"/>
      <c r="Z291" s="60"/>
      <c r="AA291" s="60"/>
      <c r="AB291" s="60"/>
      <c r="AC291" s="60"/>
    </row>
    <row r="292" spans="2:29" ht="15" customHeight="1" x14ac:dyDescent="0.5">
      <c r="B292" s="1162" t="s">
        <v>2732</v>
      </c>
      <c r="C292" s="1163" t="s">
        <v>2944</v>
      </c>
      <c r="D292" s="1163" t="s">
        <v>3202</v>
      </c>
      <c r="E292" s="1164"/>
      <c r="F292" s="1165">
        <v>30957</v>
      </c>
      <c r="G292" s="1166" t="s">
        <v>2695</v>
      </c>
      <c r="H292" s="1167">
        <v>14.8</v>
      </c>
      <c r="I292" s="1168">
        <f>IF(DAY($F292)&gt;15, VLOOKUP(EOMONTH($F292,-1),'WP 3.1 Rate Case Regress.'!$C$5:$D$556,2,FALSE), VLOOKUP(EOMONTH($F292, -2), 'WP 3.1 Rate Case Regress.'!$C$5:$D$556, 2, FALSE))</f>
        <v>14.4291</v>
      </c>
      <c r="K292" s="108"/>
      <c r="L292" s="108"/>
      <c r="M292" s="108"/>
      <c r="N292" s="108"/>
      <c r="O292" s="108"/>
      <c r="P292" s="108"/>
      <c r="Q292" s="108"/>
      <c r="R292" s="108"/>
      <c r="S292" s="108"/>
      <c r="T292" s="108"/>
      <c r="V292" s="60"/>
      <c r="W292" s="60"/>
      <c r="X292" s="60"/>
      <c r="Y292" s="60"/>
      <c r="Z292" s="60"/>
      <c r="AA292" s="60"/>
      <c r="AB292" s="60"/>
      <c r="AC292" s="60"/>
    </row>
    <row r="293" spans="2:29" ht="15" customHeight="1" x14ac:dyDescent="0.5">
      <c r="B293" s="1162" t="s">
        <v>2702</v>
      </c>
      <c r="C293" s="1163" t="s">
        <v>2749</v>
      </c>
      <c r="D293" s="1163" t="s">
        <v>3203</v>
      </c>
      <c r="E293" s="1164"/>
      <c r="F293" s="1165">
        <v>30964</v>
      </c>
      <c r="G293" s="1166" t="s">
        <v>2695</v>
      </c>
      <c r="H293" s="1167">
        <v>14.75</v>
      </c>
      <c r="I293" s="1168">
        <f>IF(DAY($F293)&gt;15, VLOOKUP(EOMONTH($F293,-1),'WP 3.1 Rate Case Regress.'!$C$5:$D$556,2,FALSE), VLOOKUP(EOMONTH($F293, -2), 'WP 3.1 Rate Case Regress.'!$C$5:$D$556, 2, FALSE))</f>
        <v>14.4291</v>
      </c>
      <c r="K293" s="108"/>
      <c r="L293" s="108"/>
      <c r="M293" s="108"/>
      <c r="N293" s="108"/>
      <c r="O293" s="108"/>
      <c r="P293" s="108"/>
      <c r="Q293" s="108"/>
      <c r="R293" s="108"/>
      <c r="S293" s="108"/>
      <c r="T293" s="108"/>
      <c r="V293" s="60"/>
      <c r="W293" s="60"/>
      <c r="X293" s="60"/>
      <c r="Y293" s="60"/>
      <c r="Z293" s="60"/>
      <c r="AA293" s="60"/>
      <c r="AB293" s="60"/>
      <c r="AC293" s="60"/>
    </row>
    <row r="294" spans="2:29" ht="15" customHeight="1" x14ac:dyDescent="0.5">
      <c r="B294" s="1162" t="s">
        <v>2704</v>
      </c>
      <c r="C294" s="1163" t="s">
        <v>2934</v>
      </c>
      <c r="D294" s="1163" t="s">
        <v>3204</v>
      </c>
      <c r="E294" s="1164"/>
      <c r="F294" s="1165">
        <v>30965</v>
      </c>
      <c r="G294" s="1166" t="s">
        <v>2695</v>
      </c>
      <c r="H294" s="1167">
        <v>15.5</v>
      </c>
      <c r="I294" s="1168">
        <f>IF(DAY($F294)&gt;15, VLOOKUP(EOMONTH($F294,-1),'WP 3.1 Rate Case Regress.'!$C$5:$D$556,2,FALSE), VLOOKUP(EOMONTH($F294, -2), 'WP 3.1 Rate Case Regress.'!$C$5:$D$556, 2, FALSE))</f>
        <v>14.4291</v>
      </c>
      <c r="K294" s="108"/>
      <c r="L294" s="108"/>
      <c r="M294" s="108"/>
      <c r="N294" s="108"/>
      <c r="O294" s="108"/>
      <c r="P294" s="108"/>
      <c r="Q294" s="108"/>
      <c r="R294" s="108"/>
      <c r="S294" s="108"/>
      <c r="T294" s="108"/>
      <c r="V294" s="60"/>
      <c r="W294" s="60"/>
      <c r="X294" s="60"/>
      <c r="Y294" s="60"/>
      <c r="Z294" s="60"/>
      <c r="AA294" s="60"/>
      <c r="AB294" s="60"/>
      <c r="AC294" s="60"/>
    </row>
    <row r="295" spans="2:29" ht="15" customHeight="1" x14ac:dyDescent="0.5">
      <c r="B295" s="1162" t="s">
        <v>2728</v>
      </c>
      <c r="C295" s="1163" t="s">
        <v>3144</v>
      </c>
      <c r="D295" s="1163" t="s">
        <v>3205</v>
      </c>
      <c r="E295" s="1164"/>
      <c r="F295" s="1165">
        <v>30973</v>
      </c>
      <c r="G295" s="1166" t="s">
        <v>2695</v>
      </c>
      <c r="H295" s="1167">
        <v>15</v>
      </c>
      <c r="I295" s="1168">
        <f>IF(DAY($F295)&gt;15, VLOOKUP(EOMONTH($F295,-1),'WP 3.1 Rate Case Regress.'!$C$5:$D$556,2,FALSE), VLOOKUP(EOMONTH($F295, -2), 'WP 3.1 Rate Case Regress.'!$C$5:$D$556, 2, FALSE))</f>
        <v>14.1874</v>
      </c>
      <c r="K295" s="108"/>
      <c r="L295" s="108"/>
      <c r="M295" s="108"/>
      <c r="N295" s="108"/>
      <c r="O295" s="108"/>
      <c r="P295" s="108"/>
      <c r="Q295" s="108"/>
      <c r="R295" s="108"/>
      <c r="S295" s="108"/>
      <c r="T295" s="108"/>
      <c r="V295" s="60"/>
      <c r="W295" s="60"/>
      <c r="X295" s="60"/>
      <c r="Y295" s="60"/>
      <c r="Z295" s="60"/>
      <c r="AA295" s="60"/>
      <c r="AB295" s="60"/>
      <c r="AC295" s="60"/>
    </row>
    <row r="296" spans="2:29" ht="15" customHeight="1" x14ac:dyDescent="0.5">
      <c r="B296" s="1162" t="s">
        <v>2728</v>
      </c>
      <c r="C296" s="1163" t="s">
        <v>2771</v>
      </c>
      <c r="D296" s="1163" t="s">
        <v>3206</v>
      </c>
      <c r="E296" s="1164"/>
      <c r="F296" s="1165">
        <v>30979</v>
      </c>
      <c r="G296" s="1166" t="s">
        <v>2695</v>
      </c>
      <c r="H296" s="1167">
        <v>15.5</v>
      </c>
      <c r="I296" s="1168">
        <f>IF(DAY($F296)&gt;15, VLOOKUP(EOMONTH($F296,-1),'WP 3.1 Rate Case Regress.'!$C$5:$D$556,2,FALSE), VLOOKUP(EOMONTH($F296, -2), 'WP 3.1 Rate Case Regress.'!$C$5:$D$556, 2, FALSE))</f>
        <v>14.1874</v>
      </c>
      <c r="K296" s="108"/>
      <c r="L296" s="108"/>
      <c r="M296" s="108"/>
      <c r="N296" s="108"/>
      <c r="O296" s="108"/>
      <c r="P296" s="108"/>
      <c r="Q296" s="108"/>
      <c r="R296" s="108"/>
      <c r="S296" s="108"/>
      <c r="T296" s="108"/>
      <c r="V296" s="60"/>
      <c r="W296" s="60"/>
      <c r="X296" s="60"/>
      <c r="Y296" s="60"/>
      <c r="Z296" s="60"/>
      <c r="AA296" s="60"/>
      <c r="AB296" s="60"/>
      <c r="AC296" s="60"/>
    </row>
    <row r="297" spans="2:29" ht="15" customHeight="1" x14ac:dyDescent="0.5">
      <c r="B297" s="1162" t="s">
        <v>2752</v>
      </c>
      <c r="C297" s="1163" t="s">
        <v>2753</v>
      </c>
      <c r="D297" s="1163" t="s">
        <v>4765</v>
      </c>
      <c r="E297" s="1164"/>
      <c r="F297" s="1165">
        <v>30993</v>
      </c>
      <c r="G297" s="1166" t="s">
        <v>4585</v>
      </c>
      <c r="H297" s="1167">
        <v>15</v>
      </c>
      <c r="I297" s="1168">
        <f>IF(DAY($F297)&gt;15, VLOOKUP(EOMONTH($F297,-1),'WP 3.1 Rate Case Regress.'!$C$5:$D$556,2,FALSE), VLOOKUP(EOMONTH($F297, -2), 'WP 3.1 Rate Case Regress.'!$C$5:$D$556, 2, FALSE))</f>
        <v>14.1874</v>
      </c>
      <c r="K297" s="108"/>
      <c r="L297" s="108"/>
      <c r="M297" s="108"/>
      <c r="N297" s="108"/>
      <c r="O297" s="108"/>
      <c r="P297" s="108"/>
      <c r="Q297" s="108"/>
      <c r="R297" s="108"/>
      <c r="S297" s="108"/>
      <c r="T297" s="108"/>
      <c r="V297" s="60"/>
      <c r="W297" s="60"/>
      <c r="X297" s="60"/>
      <c r="Y297" s="60"/>
      <c r="Z297" s="60"/>
      <c r="AA297" s="60"/>
      <c r="AB297" s="60"/>
      <c r="AC297" s="60"/>
    </row>
    <row r="298" spans="2:29" ht="15" customHeight="1" x14ac:dyDescent="0.5">
      <c r="B298" s="1162" t="s">
        <v>2710</v>
      </c>
      <c r="C298" s="1163" t="s">
        <v>2761</v>
      </c>
      <c r="D298" s="1163" t="s">
        <v>3207</v>
      </c>
      <c r="E298" s="1164"/>
      <c r="F298" s="1165">
        <v>31006</v>
      </c>
      <c r="G298" s="1166" t="s">
        <v>2695</v>
      </c>
      <c r="H298" s="1167">
        <v>15.92</v>
      </c>
      <c r="I298" s="1168">
        <f>IF(DAY($F298)&gt;15, VLOOKUP(EOMONTH($F298,-1),'WP 3.1 Rate Case Regress.'!$C$5:$D$556,2,FALSE), VLOOKUP(EOMONTH($F298, -2), 'WP 3.1 Rate Case Regress.'!$C$5:$D$556, 2, FALSE))</f>
        <v>13.829599999999999</v>
      </c>
      <c r="K298" s="108"/>
      <c r="L298" s="108"/>
      <c r="M298" s="108"/>
      <c r="N298" s="108"/>
      <c r="O298" s="108"/>
      <c r="P298" s="108"/>
      <c r="Q298" s="108"/>
      <c r="R298" s="108"/>
      <c r="S298" s="108"/>
      <c r="T298" s="108"/>
      <c r="V298" s="60"/>
      <c r="W298" s="60"/>
      <c r="X298" s="60"/>
      <c r="Y298" s="60"/>
      <c r="Z298" s="60"/>
      <c r="AA298" s="60"/>
      <c r="AB298" s="60"/>
      <c r="AC298" s="60"/>
    </row>
    <row r="299" spans="2:29" ht="15" customHeight="1" x14ac:dyDescent="0.5">
      <c r="B299" s="1162" t="s">
        <v>2763</v>
      </c>
      <c r="C299" s="1163" t="s">
        <v>3059</v>
      </c>
      <c r="D299" s="1163" t="s">
        <v>3208</v>
      </c>
      <c r="E299" s="1164"/>
      <c r="F299" s="1165">
        <v>31016</v>
      </c>
      <c r="G299" s="1166" t="s">
        <v>2695</v>
      </c>
      <c r="H299" s="1167">
        <v>15.5</v>
      </c>
      <c r="I299" s="1168">
        <f>IF(DAY($F299)&gt;15, VLOOKUP(EOMONTH($F299,-1),'WP 3.1 Rate Case Regress.'!$C$5:$D$556,2,FALSE), VLOOKUP(EOMONTH($F299, -2), 'WP 3.1 Rate Case Regress.'!$C$5:$D$556, 2, FALSE))</f>
        <v>13.829599999999999</v>
      </c>
      <c r="K299" s="108"/>
      <c r="L299" s="108"/>
      <c r="M299" s="108"/>
      <c r="N299" s="108"/>
      <c r="O299" s="108"/>
      <c r="P299" s="108"/>
      <c r="Q299" s="108"/>
      <c r="R299" s="108"/>
      <c r="S299" s="108"/>
      <c r="T299" s="108"/>
      <c r="V299" s="60"/>
      <c r="W299" s="60"/>
      <c r="X299" s="60"/>
      <c r="Y299" s="60"/>
      <c r="Z299" s="60"/>
      <c r="AA299" s="60"/>
      <c r="AB299" s="60"/>
      <c r="AC299" s="60"/>
    </row>
    <row r="300" spans="2:29" ht="15" customHeight="1" x14ac:dyDescent="0.5">
      <c r="B300" s="1162" t="s">
        <v>2766</v>
      </c>
      <c r="C300" s="1163" t="s">
        <v>3110</v>
      </c>
      <c r="D300" s="1163" t="s">
        <v>3209</v>
      </c>
      <c r="E300" s="1164"/>
      <c r="F300" s="1165">
        <v>31034</v>
      </c>
      <c r="G300" s="1166" t="s">
        <v>2695</v>
      </c>
      <c r="H300" s="1167">
        <v>15</v>
      </c>
      <c r="I300" s="1168">
        <f>IF(DAY($F300)&gt;15, VLOOKUP(EOMONTH($F300,-1),'WP 3.1 Rate Case Regress.'!$C$5:$D$556,2,FALSE), VLOOKUP(EOMONTH($F300, -2), 'WP 3.1 Rate Case Regress.'!$C$5:$D$556, 2, FALSE))</f>
        <v>13.246700000000001</v>
      </c>
      <c r="K300" s="108"/>
      <c r="L300" s="108"/>
      <c r="M300" s="108"/>
      <c r="N300" s="108"/>
      <c r="O300" s="108"/>
      <c r="P300" s="108"/>
      <c r="Q300" s="108"/>
      <c r="R300" s="108"/>
      <c r="S300" s="108"/>
      <c r="T300" s="108"/>
      <c r="V300" s="60"/>
      <c r="W300" s="60"/>
      <c r="X300" s="60"/>
      <c r="Y300" s="60"/>
      <c r="Z300" s="60"/>
      <c r="AA300" s="60"/>
      <c r="AB300" s="60"/>
      <c r="AC300" s="60"/>
    </row>
    <row r="301" spans="2:29" ht="15" customHeight="1" x14ac:dyDescent="0.5">
      <c r="B301" s="1162" t="s">
        <v>2702</v>
      </c>
      <c r="C301" s="1163" t="s">
        <v>2903</v>
      </c>
      <c r="D301" s="1163" t="s">
        <v>3210</v>
      </c>
      <c r="E301" s="1164"/>
      <c r="F301" s="1165">
        <v>31036</v>
      </c>
      <c r="G301" s="1166" t="s">
        <v>2695</v>
      </c>
      <c r="H301" s="1167">
        <v>15</v>
      </c>
      <c r="I301" s="1168">
        <f>IF(DAY($F301)&gt;15, VLOOKUP(EOMONTH($F301,-1),'WP 3.1 Rate Case Regress.'!$C$5:$D$556,2,FALSE), VLOOKUP(EOMONTH($F301, -2), 'WP 3.1 Rate Case Regress.'!$C$5:$D$556, 2, FALSE))</f>
        <v>13.246700000000001</v>
      </c>
      <c r="K301" s="108"/>
      <c r="L301" s="108"/>
      <c r="M301" s="108"/>
      <c r="N301" s="108"/>
      <c r="O301" s="108"/>
      <c r="P301" s="108"/>
      <c r="Q301" s="108"/>
      <c r="R301" s="108"/>
      <c r="S301" s="108"/>
      <c r="T301" s="108"/>
      <c r="V301" s="60"/>
      <c r="W301" s="60"/>
      <c r="X301" s="60"/>
      <c r="Y301" s="60"/>
      <c r="Z301" s="60"/>
      <c r="AA301" s="60"/>
      <c r="AB301" s="60"/>
      <c r="AC301" s="60"/>
    </row>
    <row r="302" spans="2:29" ht="15" customHeight="1" x14ac:dyDescent="0.5">
      <c r="B302" s="1162" t="s">
        <v>2736</v>
      </c>
      <c r="C302" s="1163" t="s">
        <v>2737</v>
      </c>
      <c r="D302" s="1163" t="s">
        <v>4766</v>
      </c>
      <c r="E302" s="1164"/>
      <c r="F302" s="1165">
        <v>31044</v>
      </c>
      <c r="G302" s="1166" t="s">
        <v>4585</v>
      </c>
      <c r="H302" s="1167">
        <v>16.25</v>
      </c>
      <c r="I302" s="1168">
        <f>IF(DAY($F302)&gt;15, VLOOKUP(EOMONTH($F302,-1),'WP 3.1 Rate Case Regress.'!$C$5:$D$556,2,FALSE), VLOOKUP(EOMONTH($F302, -2), 'WP 3.1 Rate Case Regress.'!$C$5:$D$556, 2, FALSE))</f>
        <v>13.246700000000001</v>
      </c>
      <c r="K302" s="108"/>
      <c r="L302" s="108"/>
      <c r="M302" s="108"/>
      <c r="N302" s="108"/>
      <c r="O302" s="108"/>
      <c r="P302" s="108"/>
      <c r="Q302" s="108"/>
      <c r="R302" s="108"/>
      <c r="S302" s="108"/>
      <c r="T302" s="108"/>
      <c r="V302" s="60"/>
      <c r="W302" s="60"/>
      <c r="X302" s="60"/>
      <c r="Y302" s="60"/>
      <c r="Z302" s="60"/>
      <c r="AA302" s="60"/>
      <c r="AB302" s="60"/>
      <c r="AC302" s="60"/>
    </row>
    <row r="303" spans="2:29" ht="15" customHeight="1" x14ac:dyDescent="0.5">
      <c r="B303" s="1162" t="s">
        <v>2738</v>
      </c>
      <c r="C303" s="1163" t="s">
        <v>2954</v>
      </c>
      <c r="D303" s="1163" t="s">
        <v>3211</v>
      </c>
      <c r="E303" s="1164"/>
      <c r="F303" s="1165">
        <v>31044</v>
      </c>
      <c r="G303" s="1166" t="s">
        <v>2695</v>
      </c>
      <c r="H303" s="1167">
        <v>15.75</v>
      </c>
      <c r="I303" s="1168">
        <f>IF(DAY($F303)&gt;15, VLOOKUP(EOMONTH($F303,-1),'WP 3.1 Rate Case Regress.'!$C$5:$D$556,2,FALSE), VLOOKUP(EOMONTH($F303, -2), 'WP 3.1 Rate Case Regress.'!$C$5:$D$556, 2, FALSE))</f>
        <v>13.246700000000001</v>
      </c>
      <c r="K303" s="108"/>
      <c r="L303" s="108"/>
      <c r="M303" s="108"/>
      <c r="N303" s="108"/>
      <c r="O303" s="108"/>
      <c r="P303" s="108"/>
      <c r="Q303" s="108"/>
      <c r="R303" s="108"/>
      <c r="S303" s="108"/>
      <c r="T303" s="108"/>
      <c r="V303" s="60"/>
      <c r="W303" s="60"/>
      <c r="X303" s="60"/>
      <c r="Y303" s="60"/>
      <c r="Z303" s="60"/>
      <c r="AA303" s="60"/>
      <c r="AB303" s="60"/>
      <c r="AC303" s="60"/>
    </row>
    <row r="304" spans="2:29" ht="15" customHeight="1" x14ac:dyDescent="0.5">
      <c r="B304" s="1162" t="s">
        <v>2723</v>
      </c>
      <c r="C304" s="1163" t="s">
        <v>2949</v>
      </c>
      <c r="D304" s="1163" t="s">
        <v>3212</v>
      </c>
      <c r="E304" s="1164"/>
      <c r="F304" s="1165">
        <v>31049</v>
      </c>
      <c r="G304" s="1166" t="s">
        <v>2695</v>
      </c>
      <c r="H304" s="1167">
        <v>16</v>
      </c>
      <c r="I304" s="1168">
        <f>IF(DAY($F304)&gt;15, VLOOKUP(EOMONTH($F304,-1),'WP 3.1 Rate Case Regress.'!$C$5:$D$556,2,FALSE), VLOOKUP(EOMONTH($F304, -2), 'WP 3.1 Rate Case Regress.'!$C$5:$D$556, 2, FALSE))</f>
        <v>13.246700000000001</v>
      </c>
      <c r="K304" s="108"/>
      <c r="L304" s="108"/>
      <c r="M304" s="108"/>
      <c r="N304" s="108"/>
      <c r="O304" s="108"/>
      <c r="P304" s="108"/>
      <c r="Q304" s="108"/>
      <c r="R304" s="108"/>
      <c r="S304" s="108"/>
      <c r="T304" s="108"/>
      <c r="V304" s="60"/>
      <c r="W304" s="60"/>
      <c r="X304" s="60"/>
      <c r="Y304" s="60"/>
      <c r="Z304" s="60"/>
      <c r="AA304" s="60"/>
      <c r="AB304" s="60"/>
      <c r="AC304" s="60"/>
    </row>
    <row r="305" spans="2:29" ht="15" customHeight="1" x14ac:dyDescent="0.5">
      <c r="B305" s="1162" t="s">
        <v>2702</v>
      </c>
      <c r="C305" s="1163" t="s">
        <v>2748</v>
      </c>
      <c r="D305" s="1163" t="s">
        <v>3213</v>
      </c>
      <c r="E305" s="1164"/>
      <c r="F305" s="1165">
        <v>31078</v>
      </c>
      <c r="G305" s="1166" t="s">
        <v>2695</v>
      </c>
      <c r="H305" s="1167">
        <v>14.75</v>
      </c>
      <c r="I305" s="1168">
        <f>IF(DAY($F305)&gt;15, VLOOKUP(EOMONTH($F305,-1),'WP 3.1 Rate Case Regress.'!$C$5:$D$556,2,FALSE), VLOOKUP(EOMONTH($F305, -2), 'WP 3.1 Rate Case Regress.'!$C$5:$D$556, 2, FALSE))</f>
        <v>13.0695</v>
      </c>
      <c r="K305" s="108"/>
      <c r="L305" s="108"/>
      <c r="M305" s="108"/>
      <c r="N305" s="108"/>
      <c r="O305" s="108"/>
      <c r="P305" s="108"/>
      <c r="Q305" s="108"/>
      <c r="R305" s="108"/>
      <c r="S305" s="108"/>
      <c r="T305" s="108"/>
      <c r="V305" s="60"/>
      <c r="W305" s="60"/>
      <c r="X305" s="60"/>
      <c r="Y305" s="60"/>
      <c r="Z305" s="60"/>
      <c r="AA305" s="60"/>
      <c r="AB305" s="60"/>
      <c r="AC305" s="60"/>
    </row>
    <row r="306" spans="2:29" ht="15" customHeight="1" x14ac:dyDescent="0.5">
      <c r="B306" s="1162" t="s">
        <v>2714</v>
      </c>
      <c r="C306" s="1163" t="s">
        <v>4648</v>
      </c>
      <c r="D306" s="1163" t="s">
        <v>3214</v>
      </c>
      <c r="E306" s="1164"/>
      <c r="F306" s="1165">
        <v>31085</v>
      </c>
      <c r="G306" s="1166" t="s">
        <v>2695</v>
      </c>
      <c r="H306" s="1167">
        <v>14.85</v>
      </c>
      <c r="I306" s="1168">
        <f>IF(DAY($F306)&gt;15, VLOOKUP(EOMONTH($F306,-1),'WP 3.1 Rate Case Regress.'!$C$5:$D$556,2,FALSE), VLOOKUP(EOMONTH($F306, -2), 'WP 3.1 Rate Case Regress.'!$C$5:$D$556, 2, FALSE))</f>
        <v>13.0695</v>
      </c>
      <c r="K306" s="108"/>
      <c r="L306" s="108"/>
      <c r="M306" s="108"/>
      <c r="N306" s="108"/>
      <c r="O306" s="108"/>
      <c r="P306" s="108"/>
      <c r="Q306" s="108"/>
      <c r="R306" s="108"/>
      <c r="S306" s="108"/>
      <c r="T306" s="108"/>
      <c r="V306" s="60"/>
      <c r="W306" s="60"/>
      <c r="X306" s="60"/>
      <c r="Y306" s="60"/>
      <c r="Z306" s="60"/>
      <c r="AA306" s="60"/>
      <c r="AB306" s="60"/>
      <c r="AC306" s="60"/>
    </row>
    <row r="307" spans="2:29" ht="15" customHeight="1" x14ac:dyDescent="0.5">
      <c r="B307" s="1162" t="s">
        <v>2712</v>
      </c>
      <c r="C307" s="1163" t="s">
        <v>3085</v>
      </c>
      <c r="D307" s="1163" t="s">
        <v>3215</v>
      </c>
      <c r="E307" s="1164"/>
      <c r="F307" s="1165">
        <v>31093</v>
      </c>
      <c r="G307" s="1166" t="s">
        <v>2695</v>
      </c>
      <c r="H307" s="1167">
        <v>15</v>
      </c>
      <c r="I307" s="1168">
        <f>IF(DAY($F307)&gt;15, VLOOKUP(EOMONTH($F307,-1),'WP 3.1 Rate Case Regress.'!$C$5:$D$556,2,FALSE), VLOOKUP(EOMONTH($F307, -2), 'WP 3.1 Rate Case Regress.'!$C$5:$D$556, 2, FALSE))</f>
        <v>13.0695</v>
      </c>
      <c r="K307" s="108"/>
      <c r="L307" s="108"/>
      <c r="M307" s="108"/>
      <c r="N307" s="108"/>
      <c r="O307" s="108"/>
      <c r="P307" s="108"/>
      <c r="Q307" s="108"/>
      <c r="R307" s="108"/>
      <c r="S307" s="108"/>
      <c r="T307" s="108"/>
      <c r="V307" s="60"/>
      <c r="W307" s="60"/>
      <c r="X307" s="60"/>
      <c r="Y307" s="60"/>
      <c r="Z307" s="60"/>
      <c r="AA307" s="60"/>
      <c r="AB307" s="60"/>
      <c r="AC307" s="60"/>
    </row>
    <row r="308" spans="2:29" ht="15" customHeight="1" x14ac:dyDescent="0.5">
      <c r="B308" s="1162" t="s">
        <v>2766</v>
      </c>
      <c r="C308" s="1163" t="s">
        <v>2895</v>
      </c>
      <c r="D308" s="1163" t="s">
        <v>3216</v>
      </c>
      <c r="E308" s="1164"/>
      <c r="F308" s="1165">
        <v>31098</v>
      </c>
      <c r="G308" s="1166" t="s">
        <v>2695</v>
      </c>
      <c r="H308" s="1167">
        <v>14.5</v>
      </c>
      <c r="I308" s="1168">
        <f>IF(DAY($F308)&gt;15, VLOOKUP(EOMONTH($F308,-1),'WP 3.1 Rate Case Regress.'!$C$5:$D$556,2,FALSE), VLOOKUP(EOMONTH($F308, -2), 'WP 3.1 Rate Case Regress.'!$C$5:$D$556, 2, FALSE))</f>
        <v>12.985900000000001</v>
      </c>
      <c r="K308" s="108"/>
      <c r="L308" s="108"/>
      <c r="M308" s="108"/>
      <c r="N308" s="108"/>
      <c r="O308" s="108"/>
      <c r="P308" s="108"/>
      <c r="Q308" s="108"/>
      <c r="R308" s="108"/>
      <c r="S308" s="108"/>
      <c r="T308" s="108"/>
      <c r="V308" s="60"/>
      <c r="W308" s="60"/>
      <c r="X308" s="60"/>
      <c r="Y308" s="60"/>
      <c r="Z308" s="60"/>
      <c r="AA308" s="60"/>
      <c r="AB308" s="60"/>
      <c r="AC308" s="60"/>
    </row>
    <row r="309" spans="2:29" ht="15" customHeight="1" x14ac:dyDescent="0.5">
      <c r="B309" s="1162" t="s">
        <v>2758</v>
      </c>
      <c r="C309" s="1163" t="s">
        <v>2759</v>
      </c>
      <c r="D309" s="1163" t="s">
        <v>3217</v>
      </c>
      <c r="E309" s="1164"/>
      <c r="F309" s="1165">
        <v>31100</v>
      </c>
      <c r="G309" s="1166" t="s">
        <v>2695</v>
      </c>
      <c r="H309" s="1167">
        <v>14.86</v>
      </c>
      <c r="I309" s="1168">
        <f>IF(DAY($F309)&gt;15, VLOOKUP(EOMONTH($F309,-1),'WP 3.1 Rate Case Regress.'!$C$5:$D$556,2,FALSE), VLOOKUP(EOMONTH($F309, -2), 'WP 3.1 Rate Case Regress.'!$C$5:$D$556, 2, FALSE))</f>
        <v>12.985900000000001</v>
      </c>
      <c r="K309" s="108"/>
      <c r="L309" s="108"/>
      <c r="M309" s="108"/>
      <c r="N309" s="108"/>
      <c r="O309" s="108"/>
      <c r="P309" s="108"/>
      <c r="Q309" s="108"/>
      <c r="R309" s="108"/>
      <c r="S309" s="108"/>
      <c r="T309" s="108"/>
      <c r="V309" s="60"/>
      <c r="W309" s="60"/>
      <c r="X309" s="60"/>
      <c r="Y309" s="60"/>
      <c r="Z309" s="60"/>
      <c r="AA309" s="60"/>
      <c r="AB309" s="60"/>
      <c r="AC309" s="60"/>
    </row>
    <row r="310" spans="2:29" ht="15" customHeight="1" x14ac:dyDescent="0.5">
      <c r="B310" s="1162" t="s">
        <v>2704</v>
      </c>
      <c r="C310" s="1163" t="s">
        <v>2705</v>
      </c>
      <c r="D310" s="1163" t="s">
        <v>3218</v>
      </c>
      <c r="E310" s="1164"/>
      <c r="F310" s="1165">
        <v>31120</v>
      </c>
      <c r="G310" s="1166" t="s">
        <v>2695</v>
      </c>
      <c r="H310" s="1167">
        <v>15.5</v>
      </c>
      <c r="I310" s="1168">
        <f>IF(DAY($F310)&gt;15, VLOOKUP(EOMONTH($F310,-1),'WP 3.1 Rate Case Regress.'!$C$5:$D$556,2,FALSE), VLOOKUP(EOMONTH($F310, -2), 'WP 3.1 Rate Case Regress.'!$C$5:$D$556, 2, FALSE))</f>
        <v>12.985900000000001</v>
      </c>
      <c r="K310" s="108"/>
      <c r="L310" s="108"/>
      <c r="M310" s="108"/>
      <c r="N310" s="108"/>
      <c r="O310" s="108"/>
      <c r="P310" s="108"/>
      <c r="Q310" s="108"/>
      <c r="R310" s="108"/>
      <c r="S310" s="108"/>
      <c r="T310" s="108"/>
      <c r="V310" s="60"/>
      <c r="W310" s="60"/>
      <c r="X310" s="60"/>
      <c r="Y310" s="60"/>
      <c r="Z310" s="60"/>
      <c r="AA310" s="60"/>
      <c r="AB310" s="60"/>
      <c r="AC310" s="60"/>
    </row>
    <row r="311" spans="2:29" ht="15" customHeight="1" x14ac:dyDescent="0.5">
      <c r="B311" s="1162" t="s">
        <v>2989</v>
      </c>
      <c r="C311" s="1163" t="s">
        <v>3141</v>
      </c>
      <c r="D311" s="1163" t="s">
        <v>4767</v>
      </c>
      <c r="E311" s="1164"/>
      <c r="F311" s="1165">
        <v>31134</v>
      </c>
      <c r="G311" s="1166" t="s">
        <v>4585</v>
      </c>
      <c r="H311" s="1167">
        <v>14.8</v>
      </c>
      <c r="I311" s="1168">
        <f>IF(DAY($F311)&gt;15, VLOOKUP(EOMONTH($F311,-1),'WP 3.1 Rate Case Regress.'!$C$5:$D$556,2,FALSE), VLOOKUP(EOMONTH($F311, -2), 'WP 3.1 Rate Case Regress.'!$C$5:$D$556, 2, FALSE))</f>
        <v>13.0342</v>
      </c>
      <c r="K311" s="108"/>
      <c r="L311" s="108"/>
      <c r="M311" s="108"/>
      <c r="N311" s="108"/>
      <c r="O311" s="108"/>
      <c r="P311" s="108"/>
      <c r="Q311" s="108"/>
      <c r="R311" s="108"/>
      <c r="S311" s="108"/>
      <c r="T311" s="108"/>
      <c r="V311" s="60"/>
      <c r="W311" s="60"/>
      <c r="X311" s="60"/>
      <c r="Y311" s="60"/>
      <c r="Z311" s="60"/>
      <c r="AA311" s="60"/>
      <c r="AB311" s="60"/>
      <c r="AC311" s="60"/>
    </row>
    <row r="312" spans="2:29" ht="15" customHeight="1" x14ac:dyDescent="0.5">
      <c r="B312" s="1162" t="s">
        <v>2704</v>
      </c>
      <c r="C312" s="1163" t="s">
        <v>2725</v>
      </c>
      <c r="D312" s="1163" t="s">
        <v>3219</v>
      </c>
      <c r="E312" s="1164"/>
      <c r="F312" s="1165">
        <v>31146</v>
      </c>
      <c r="G312" s="1166" t="s">
        <v>2695</v>
      </c>
      <c r="H312" s="1167">
        <v>15.5</v>
      </c>
      <c r="I312" s="1168">
        <f>IF(DAY($F312)&gt;15, VLOOKUP(EOMONTH($F312,-1),'WP 3.1 Rate Case Regress.'!$C$5:$D$556,2,FALSE), VLOOKUP(EOMONTH($F312, -2), 'WP 3.1 Rate Case Regress.'!$C$5:$D$556, 2, FALSE))</f>
        <v>13.0342</v>
      </c>
      <c r="K312" s="108"/>
      <c r="L312" s="108"/>
      <c r="M312" s="108"/>
      <c r="N312" s="108"/>
      <c r="O312" s="108"/>
      <c r="P312" s="108"/>
      <c r="Q312" s="108"/>
      <c r="R312" s="108"/>
      <c r="S312" s="108"/>
      <c r="T312" s="108"/>
      <c r="V312" s="60"/>
      <c r="W312" s="60"/>
      <c r="X312" s="60"/>
      <c r="Y312" s="60"/>
      <c r="Z312" s="60"/>
      <c r="AA312" s="60"/>
      <c r="AB312" s="60"/>
      <c r="AC312" s="60"/>
    </row>
    <row r="313" spans="2:29" ht="15" customHeight="1" x14ac:dyDescent="0.5">
      <c r="B313" s="1162" t="s">
        <v>2704</v>
      </c>
      <c r="C313" s="1163" t="s">
        <v>2750</v>
      </c>
      <c r="D313" s="1163" t="s">
        <v>3220</v>
      </c>
      <c r="E313" s="1164"/>
      <c r="F313" s="1165">
        <v>31153</v>
      </c>
      <c r="G313" s="1166" t="s">
        <v>2695</v>
      </c>
      <c r="H313" s="1167">
        <v>15.7</v>
      </c>
      <c r="I313" s="1168">
        <f>IF(DAY($F313)&gt;15, VLOOKUP(EOMONTH($F313,-1),'WP 3.1 Rate Case Regress.'!$C$5:$D$556,2,FALSE), VLOOKUP(EOMONTH($F313, -2), 'WP 3.1 Rate Case Regress.'!$C$5:$D$556, 2, FALSE))</f>
        <v>13.801399999999999</v>
      </c>
      <c r="K313" s="108"/>
      <c r="L313" s="108"/>
      <c r="M313" s="108"/>
      <c r="N313" s="108"/>
      <c r="O313" s="108"/>
      <c r="P313" s="108"/>
      <c r="Q313" s="108"/>
      <c r="R313" s="108"/>
      <c r="S313" s="108"/>
      <c r="T313" s="108"/>
      <c r="V313" s="60"/>
      <c r="W313" s="60"/>
      <c r="X313" s="60"/>
      <c r="Y313" s="60"/>
      <c r="Z313" s="60"/>
      <c r="AA313" s="60"/>
      <c r="AB313" s="60"/>
      <c r="AC313" s="60"/>
    </row>
    <row r="314" spans="2:29" ht="15" customHeight="1" x14ac:dyDescent="0.5">
      <c r="B314" s="1162" t="s">
        <v>2768</v>
      </c>
      <c r="C314" s="1163" t="s">
        <v>2944</v>
      </c>
      <c r="D314" s="1163" t="s">
        <v>3221</v>
      </c>
      <c r="E314" s="1164"/>
      <c r="F314" s="1165">
        <v>31208</v>
      </c>
      <c r="G314" s="1166" t="s">
        <v>2695</v>
      </c>
      <c r="H314" s="1167">
        <v>15.75</v>
      </c>
      <c r="I314" s="1168">
        <f>IF(DAY($F314)&gt;15, VLOOKUP(EOMONTH($F314,-1),'WP 3.1 Rate Case Regress.'!$C$5:$D$556,2,FALSE), VLOOKUP(EOMONTH($F314, -2), 'WP 3.1 Rate Case Regress.'!$C$5:$D$556, 2, FALSE))</f>
        <v>13.5867</v>
      </c>
      <c r="K314" s="108"/>
      <c r="L314" s="108"/>
      <c r="M314" s="108"/>
      <c r="N314" s="108"/>
      <c r="O314" s="108"/>
      <c r="P314" s="108"/>
      <c r="Q314" s="108"/>
      <c r="R314" s="108"/>
      <c r="S314" s="108"/>
      <c r="T314" s="108"/>
      <c r="V314" s="60"/>
      <c r="W314" s="60"/>
      <c r="X314" s="60"/>
      <c r="Y314" s="60"/>
      <c r="Z314" s="60"/>
      <c r="AA314" s="60"/>
      <c r="AB314" s="60"/>
      <c r="AC314" s="60"/>
    </row>
    <row r="315" spans="2:29" ht="15" customHeight="1" x14ac:dyDescent="0.5">
      <c r="B315" s="1162" t="s">
        <v>2744</v>
      </c>
      <c r="C315" s="1163" t="s">
        <v>2972</v>
      </c>
      <c r="D315" s="1163" t="s">
        <v>3222</v>
      </c>
      <c r="E315" s="1164"/>
      <c r="F315" s="1165">
        <v>31224</v>
      </c>
      <c r="G315" s="1166" t="s">
        <v>2695</v>
      </c>
      <c r="H315" s="1167">
        <v>14.82</v>
      </c>
      <c r="I315" s="1168">
        <f>IF(DAY($F315)&gt;15, VLOOKUP(EOMONTH($F315,-1),'WP 3.1 Rate Case Regress.'!$C$5:$D$556,2,FALSE), VLOOKUP(EOMONTH($F315, -2), 'WP 3.1 Rate Case Regress.'!$C$5:$D$556, 2, FALSE))</f>
        <v>13.174099999999999</v>
      </c>
      <c r="K315" s="108"/>
      <c r="L315" s="108"/>
      <c r="M315" s="108"/>
      <c r="N315" s="108"/>
      <c r="O315" s="108"/>
      <c r="P315" s="108"/>
      <c r="Q315" s="108"/>
      <c r="R315" s="108"/>
      <c r="S315" s="108"/>
      <c r="T315" s="108"/>
      <c r="V315" s="60"/>
      <c r="W315" s="60"/>
      <c r="X315" s="60"/>
      <c r="Y315" s="60"/>
      <c r="Z315" s="60"/>
      <c r="AA315" s="60"/>
      <c r="AB315" s="60"/>
      <c r="AC315" s="60"/>
    </row>
    <row r="316" spans="2:29" ht="15" customHeight="1" x14ac:dyDescent="0.5">
      <c r="B316" s="1162" t="s">
        <v>2704</v>
      </c>
      <c r="C316" s="1163" t="s">
        <v>2927</v>
      </c>
      <c r="D316" s="1163" t="s">
        <v>3223</v>
      </c>
      <c r="E316" s="1164"/>
      <c r="F316" s="1165">
        <v>31237</v>
      </c>
      <c r="G316" s="1166" t="s">
        <v>2695</v>
      </c>
      <c r="H316" s="1167">
        <v>15</v>
      </c>
      <c r="I316" s="1168">
        <f>IF(DAY($F316)&gt;15, VLOOKUP(EOMONTH($F316,-1),'WP 3.1 Rate Case Regress.'!$C$5:$D$556,2,FALSE), VLOOKUP(EOMONTH($F316, -2), 'WP 3.1 Rate Case Regress.'!$C$5:$D$556, 2, FALSE))</f>
        <v>13.174099999999999</v>
      </c>
      <c r="K316" s="108"/>
      <c r="L316" s="108"/>
      <c r="M316" s="108"/>
      <c r="N316" s="108"/>
      <c r="O316" s="108"/>
      <c r="P316" s="108"/>
      <c r="Q316" s="108"/>
      <c r="R316" s="108"/>
      <c r="S316" s="108"/>
      <c r="T316" s="108"/>
      <c r="V316" s="60"/>
      <c r="W316" s="60"/>
      <c r="X316" s="60"/>
      <c r="Y316" s="60"/>
      <c r="Z316" s="60"/>
      <c r="AA316" s="60"/>
      <c r="AB316" s="60"/>
      <c r="AC316" s="60"/>
    </row>
    <row r="317" spans="2:29" ht="15" customHeight="1" x14ac:dyDescent="0.5">
      <c r="B317" s="1162" t="s">
        <v>2702</v>
      </c>
      <c r="C317" s="1163" t="s">
        <v>4701</v>
      </c>
      <c r="D317" s="1163" t="s">
        <v>3224</v>
      </c>
      <c r="E317" s="1164"/>
      <c r="F317" s="1165">
        <v>31254</v>
      </c>
      <c r="G317" s="1166" t="s">
        <v>2695</v>
      </c>
      <c r="H317" s="1167">
        <v>14.5</v>
      </c>
      <c r="I317" s="1168">
        <f>IF(DAY($F317)&gt;15, VLOOKUP(EOMONTH($F317,-1),'WP 3.1 Rate Case Regress.'!$C$5:$D$556,2,FALSE), VLOOKUP(EOMONTH($F317, -2), 'WP 3.1 Rate Case Regress.'!$C$5:$D$556, 2, FALSE))</f>
        <v>12.1435</v>
      </c>
      <c r="K317" s="108"/>
      <c r="L317" s="108"/>
      <c r="M317" s="108"/>
      <c r="N317" s="108"/>
      <c r="O317" s="108"/>
      <c r="P317" s="108"/>
      <c r="Q317" s="108"/>
      <c r="R317" s="108"/>
      <c r="S317" s="108"/>
      <c r="T317" s="108"/>
      <c r="V317" s="60"/>
      <c r="W317" s="60"/>
      <c r="X317" s="60"/>
      <c r="Y317" s="60"/>
      <c r="Z317" s="60"/>
      <c r="AA317" s="60"/>
      <c r="AB317" s="60"/>
      <c r="AC317" s="60"/>
    </row>
    <row r="318" spans="2:29" ht="15" customHeight="1" x14ac:dyDescent="0.5">
      <c r="B318" s="1162" t="s">
        <v>2702</v>
      </c>
      <c r="C318" s="1163" t="s">
        <v>2749</v>
      </c>
      <c r="D318" s="1163" t="s">
        <v>3225</v>
      </c>
      <c r="E318" s="1164"/>
      <c r="F318" s="1165">
        <v>31288</v>
      </c>
      <c r="G318" s="1166" t="s">
        <v>2695</v>
      </c>
      <c r="H318" s="1167">
        <v>14.5</v>
      </c>
      <c r="I318" s="1168">
        <f>IF(DAY($F318)&gt;15, VLOOKUP(EOMONTH($F318,-1),'WP 3.1 Rate Case Regress.'!$C$5:$D$556,2,FALSE), VLOOKUP(EOMONTH($F318, -2), 'WP 3.1 Rate Case Regress.'!$C$5:$D$556, 2, FALSE))</f>
        <v>12.064500000000001</v>
      </c>
      <c r="K318" s="108"/>
      <c r="L318" s="108"/>
      <c r="M318" s="108"/>
      <c r="N318" s="108"/>
      <c r="O318" s="108"/>
      <c r="P318" s="108"/>
      <c r="Q318" s="108"/>
      <c r="R318" s="108"/>
      <c r="S318" s="108"/>
      <c r="T318" s="108"/>
      <c r="V318" s="60"/>
      <c r="W318" s="60"/>
      <c r="X318" s="60"/>
      <c r="Y318" s="60"/>
      <c r="Z318" s="60"/>
      <c r="AA318" s="60"/>
      <c r="AB318" s="60"/>
      <c r="AC318" s="60"/>
    </row>
    <row r="319" spans="2:29" ht="15" customHeight="1" x14ac:dyDescent="0.5">
      <c r="B319" s="1162" t="s">
        <v>2724</v>
      </c>
      <c r="C319" s="1163" t="s">
        <v>2942</v>
      </c>
      <c r="D319" s="1163" t="s">
        <v>4768</v>
      </c>
      <c r="E319" s="1164"/>
      <c r="F319" s="1165">
        <v>31289</v>
      </c>
      <c r="G319" s="1166" t="s">
        <v>4585</v>
      </c>
      <c r="H319" s="1167">
        <v>14.38</v>
      </c>
      <c r="I319" s="1168">
        <f>IF(DAY($F319)&gt;15, VLOOKUP(EOMONTH($F319,-1),'WP 3.1 Rate Case Regress.'!$C$5:$D$556,2,FALSE), VLOOKUP(EOMONTH($F319, -2), 'WP 3.1 Rate Case Regress.'!$C$5:$D$556, 2, FALSE))</f>
        <v>12.064500000000001</v>
      </c>
      <c r="K319" s="108"/>
      <c r="L319" s="108"/>
      <c r="M319" s="108"/>
      <c r="N319" s="108"/>
      <c r="O319" s="108"/>
      <c r="P319" s="108"/>
      <c r="Q319" s="108"/>
      <c r="R319" s="108"/>
      <c r="S319" s="108"/>
      <c r="T319" s="108"/>
      <c r="V319" s="60"/>
      <c r="W319" s="60"/>
      <c r="X319" s="60"/>
      <c r="Y319" s="60"/>
      <c r="Z319" s="60"/>
      <c r="AA319" s="60"/>
      <c r="AB319" s="60"/>
      <c r="AC319" s="60"/>
    </row>
    <row r="320" spans="2:29" ht="15" customHeight="1" x14ac:dyDescent="0.5">
      <c r="B320" s="1162" t="s">
        <v>2774</v>
      </c>
      <c r="C320" s="1163" t="s">
        <v>3493</v>
      </c>
      <c r="D320" s="1163" t="s">
        <v>4769</v>
      </c>
      <c r="E320" s="1164"/>
      <c r="F320" s="1165">
        <v>31302</v>
      </c>
      <c r="G320" s="1166" t="s">
        <v>4585</v>
      </c>
      <c r="H320" s="1167">
        <v>15.25</v>
      </c>
      <c r="I320" s="1168">
        <f>IF(DAY($F320)&gt;15, VLOOKUP(EOMONTH($F320,-1),'WP 3.1 Rate Case Regress.'!$C$5:$D$556,2,FALSE), VLOOKUP(EOMONTH($F320, -2), 'WP 3.1 Rate Case Regress.'!$C$5:$D$556, 2, FALSE))</f>
        <v>12.064500000000001</v>
      </c>
      <c r="K320" s="108"/>
      <c r="L320" s="108"/>
      <c r="M320" s="108"/>
      <c r="N320" s="108"/>
      <c r="O320" s="108"/>
      <c r="P320" s="108"/>
      <c r="Q320" s="108"/>
      <c r="R320" s="108"/>
      <c r="S320" s="108"/>
      <c r="T320" s="108"/>
      <c r="V320" s="60"/>
      <c r="W320" s="60"/>
      <c r="X320" s="60"/>
      <c r="Y320" s="60"/>
      <c r="Z320" s="60"/>
      <c r="AA320" s="60"/>
      <c r="AB320" s="60"/>
      <c r="AC320" s="60"/>
    </row>
    <row r="321" spans="2:29" ht="15" customHeight="1" x14ac:dyDescent="0.5">
      <c r="B321" s="1162" t="s">
        <v>2699</v>
      </c>
      <c r="C321" s="1163" t="s">
        <v>2628</v>
      </c>
      <c r="D321" s="1163" t="s">
        <v>3226</v>
      </c>
      <c r="E321" s="1164"/>
      <c r="F321" s="1165">
        <v>31313</v>
      </c>
      <c r="G321" s="1166" t="s">
        <v>2695</v>
      </c>
      <c r="H321" s="1167">
        <v>15.3</v>
      </c>
      <c r="I321" s="1168">
        <f>IF(DAY($F321)&gt;15, VLOOKUP(EOMONTH($F321,-1),'WP 3.1 Rate Case Regress.'!$C$5:$D$556,2,FALSE), VLOOKUP(EOMONTH($F321, -2), 'WP 3.1 Rate Case Regress.'!$C$5:$D$556, 2, FALSE))</f>
        <v>12.1373</v>
      </c>
      <c r="K321" s="108"/>
      <c r="L321" s="108"/>
      <c r="M321" s="108"/>
      <c r="N321" s="108"/>
      <c r="O321" s="108"/>
      <c r="P321" s="108"/>
      <c r="Q321" s="108"/>
      <c r="R321" s="108"/>
      <c r="S321" s="108"/>
      <c r="T321" s="108"/>
      <c r="V321" s="60"/>
      <c r="W321" s="60"/>
      <c r="X321" s="60"/>
      <c r="Y321" s="60"/>
      <c r="Z321" s="60"/>
      <c r="AA321" s="60"/>
      <c r="AB321" s="60"/>
      <c r="AC321" s="60"/>
    </row>
    <row r="322" spans="2:29" ht="15" customHeight="1" x14ac:dyDescent="0.5">
      <c r="B322" s="1162" t="s">
        <v>2732</v>
      </c>
      <c r="C322" s="1163" t="s">
        <v>2944</v>
      </c>
      <c r="D322" s="1163" t="s">
        <v>3227</v>
      </c>
      <c r="E322" s="1164"/>
      <c r="F322" s="1165">
        <v>31315</v>
      </c>
      <c r="G322" s="1166" t="s">
        <v>2695</v>
      </c>
      <c r="H322" s="1167">
        <v>14.5</v>
      </c>
      <c r="I322" s="1168">
        <f>IF(DAY($F322)&gt;15, VLOOKUP(EOMONTH($F322,-1),'WP 3.1 Rate Case Regress.'!$C$5:$D$556,2,FALSE), VLOOKUP(EOMONTH($F322, -2), 'WP 3.1 Rate Case Regress.'!$C$5:$D$556, 2, FALSE))</f>
        <v>12.1373</v>
      </c>
      <c r="K322" s="108"/>
      <c r="L322" s="108"/>
      <c r="M322" s="108"/>
      <c r="N322" s="108"/>
      <c r="O322" s="108"/>
      <c r="P322" s="108"/>
      <c r="Q322" s="108"/>
      <c r="R322" s="108"/>
      <c r="S322" s="108"/>
      <c r="T322" s="108"/>
      <c r="V322" s="60"/>
      <c r="W322" s="60"/>
      <c r="X322" s="60"/>
      <c r="Y322" s="60"/>
      <c r="Z322" s="60"/>
      <c r="AA322" s="60"/>
      <c r="AB322" s="60"/>
      <c r="AC322" s="60"/>
    </row>
    <row r="323" spans="2:29" ht="15" customHeight="1" x14ac:dyDescent="0.5">
      <c r="B323" s="1162" t="s">
        <v>2696</v>
      </c>
      <c r="C323" s="1163" t="s">
        <v>3146</v>
      </c>
      <c r="D323" s="1163" t="s">
        <v>3228</v>
      </c>
      <c r="E323" s="1164"/>
      <c r="F323" s="1165">
        <v>31316</v>
      </c>
      <c r="G323" s="1166" t="s">
        <v>2695</v>
      </c>
      <c r="H323" s="1167">
        <v>14.5</v>
      </c>
      <c r="I323" s="1168">
        <f>IF(DAY($F323)&gt;15, VLOOKUP(EOMONTH($F323,-1),'WP 3.1 Rate Case Regress.'!$C$5:$D$556,2,FALSE), VLOOKUP(EOMONTH($F323, -2), 'WP 3.1 Rate Case Regress.'!$C$5:$D$556, 2, FALSE))</f>
        <v>12.1373</v>
      </c>
      <c r="K323" s="108"/>
      <c r="L323" s="108"/>
      <c r="M323" s="108"/>
      <c r="N323" s="108"/>
      <c r="O323" s="108"/>
      <c r="P323" s="108"/>
      <c r="Q323" s="108"/>
      <c r="R323" s="108"/>
      <c r="S323" s="108"/>
      <c r="T323" s="108"/>
      <c r="V323" s="60"/>
      <c r="W323" s="60"/>
      <c r="X323" s="60"/>
      <c r="Y323" s="60"/>
      <c r="Z323" s="60"/>
      <c r="AA323" s="60"/>
      <c r="AB323" s="60"/>
      <c r="AC323" s="60"/>
    </row>
    <row r="324" spans="2:29" ht="15" customHeight="1" x14ac:dyDescent="0.5">
      <c r="B324" s="1162" t="s">
        <v>2704</v>
      </c>
      <c r="C324" s="1163" t="s">
        <v>2934</v>
      </c>
      <c r="D324" s="1163" t="s">
        <v>3229</v>
      </c>
      <c r="E324" s="1164"/>
      <c r="F324" s="1165">
        <v>31316</v>
      </c>
      <c r="G324" s="1166" t="s">
        <v>2695</v>
      </c>
      <c r="H324" s="1167">
        <v>13.8</v>
      </c>
      <c r="I324" s="1168">
        <f>IF(DAY($F324)&gt;15, VLOOKUP(EOMONTH($F324,-1),'WP 3.1 Rate Case Regress.'!$C$5:$D$556,2,FALSE), VLOOKUP(EOMONTH($F324, -2), 'WP 3.1 Rate Case Regress.'!$C$5:$D$556, 2, FALSE))</f>
        <v>12.1373</v>
      </c>
      <c r="K324" s="108"/>
      <c r="L324" s="108"/>
      <c r="M324" s="108"/>
      <c r="N324" s="108"/>
      <c r="O324" s="108"/>
      <c r="P324" s="108"/>
      <c r="Q324" s="108"/>
      <c r="R324" s="108"/>
      <c r="S324" s="108"/>
      <c r="T324" s="108"/>
      <c r="V324" s="60"/>
      <c r="W324" s="60"/>
      <c r="X324" s="60"/>
      <c r="Y324" s="60"/>
      <c r="Z324" s="60"/>
      <c r="AA324" s="60"/>
      <c r="AB324" s="60"/>
      <c r="AC324" s="60"/>
    </row>
    <row r="325" spans="2:29" ht="15" customHeight="1" x14ac:dyDescent="0.5">
      <c r="B325" s="1162" t="s">
        <v>2768</v>
      </c>
      <c r="C325" s="1163" t="s">
        <v>3012</v>
      </c>
      <c r="D325" s="1163" t="s">
        <v>3230</v>
      </c>
      <c r="E325" s="1164"/>
      <c r="F325" s="1165">
        <v>31345</v>
      </c>
      <c r="G325" s="1166" t="s">
        <v>2695</v>
      </c>
      <c r="H325" s="1167">
        <v>15.25</v>
      </c>
      <c r="I325" s="1168">
        <f>IF(DAY($F325)&gt;15, VLOOKUP(EOMONTH($F325,-1),'WP 3.1 Rate Case Regress.'!$C$5:$D$556,2,FALSE), VLOOKUP(EOMONTH($F325, -2), 'WP 3.1 Rate Case Regress.'!$C$5:$D$556, 2, FALSE))</f>
        <v>12.132099999999999</v>
      </c>
      <c r="K325" s="108"/>
      <c r="L325" s="108"/>
      <c r="M325" s="108"/>
      <c r="N325" s="108"/>
      <c r="O325" s="108"/>
      <c r="P325" s="108"/>
      <c r="Q325" s="108"/>
      <c r="R325" s="108"/>
      <c r="S325" s="108"/>
      <c r="T325" s="108"/>
      <c r="V325" s="60"/>
      <c r="W325" s="60"/>
      <c r="X325" s="60"/>
      <c r="Y325" s="60"/>
      <c r="Z325" s="60"/>
      <c r="AA325" s="60"/>
      <c r="AB325" s="60"/>
      <c r="AC325" s="60"/>
    </row>
    <row r="326" spans="2:29" ht="15" customHeight="1" x14ac:dyDescent="0.5">
      <c r="B326" s="1162" t="s">
        <v>2767</v>
      </c>
      <c r="C326" s="1163" t="s">
        <v>2944</v>
      </c>
      <c r="D326" s="1163" t="s">
        <v>3231</v>
      </c>
      <c r="E326" s="1164"/>
      <c r="F326" s="1165">
        <v>31359</v>
      </c>
      <c r="G326" s="1166" t="s">
        <v>2695</v>
      </c>
      <c r="H326" s="1167">
        <v>12.94</v>
      </c>
      <c r="I326" s="1168">
        <f>IF(DAY($F326)&gt;15, VLOOKUP(EOMONTH($F326,-1),'WP 3.1 Rate Case Regress.'!$C$5:$D$556,2,FALSE), VLOOKUP(EOMONTH($F326, -2), 'WP 3.1 Rate Case Regress.'!$C$5:$D$556, 2, FALSE))</f>
        <v>12.132099999999999</v>
      </c>
      <c r="K326" s="108"/>
      <c r="L326" s="108"/>
      <c r="M326" s="108"/>
      <c r="N326" s="108"/>
      <c r="O326" s="108"/>
      <c r="P326" s="108"/>
      <c r="Q326" s="108"/>
      <c r="R326" s="108"/>
      <c r="S326" s="108"/>
      <c r="T326" s="108"/>
      <c r="V326" s="60"/>
      <c r="W326" s="60"/>
      <c r="X326" s="60"/>
      <c r="Y326" s="60"/>
      <c r="Z326" s="60"/>
      <c r="AA326" s="60"/>
      <c r="AB326" s="60"/>
      <c r="AC326" s="60"/>
    </row>
    <row r="327" spans="2:29" ht="15" customHeight="1" x14ac:dyDescent="0.5">
      <c r="B327" s="1162" t="s">
        <v>2743</v>
      </c>
      <c r="C327" s="1163" t="s">
        <v>2969</v>
      </c>
      <c r="D327" s="1163" t="s">
        <v>3232</v>
      </c>
      <c r="E327" s="1164"/>
      <c r="F327" s="1165">
        <v>31371</v>
      </c>
      <c r="G327" s="1166" t="s">
        <v>2695</v>
      </c>
      <c r="H327" s="1167">
        <v>14.9</v>
      </c>
      <c r="I327" s="1168">
        <f>IF(DAY($F327)&gt;15, VLOOKUP(EOMONTH($F327,-1),'WP 3.1 Rate Case Regress.'!$C$5:$D$556,2,FALSE), VLOOKUP(EOMONTH($F327, -2), 'WP 3.1 Rate Case Regress.'!$C$5:$D$556, 2, FALSE))</f>
        <v>12.0139</v>
      </c>
      <c r="K327" s="108"/>
      <c r="L327" s="108"/>
      <c r="M327" s="108"/>
      <c r="N327" s="108"/>
      <c r="O327" s="108"/>
      <c r="P327" s="108"/>
      <c r="Q327" s="108"/>
      <c r="R327" s="108"/>
      <c r="S327" s="108"/>
      <c r="T327" s="108"/>
      <c r="V327" s="60"/>
      <c r="W327" s="60"/>
      <c r="X327" s="60"/>
      <c r="Y327" s="60"/>
      <c r="Z327" s="60"/>
      <c r="AA327" s="60"/>
      <c r="AB327" s="60"/>
      <c r="AC327" s="60"/>
    </row>
    <row r="328" spans="2:29" ht="15" customHeight="1" x14ac:dyDescent="0.5">
      <c r="B328" s="1162" t="s">
        <v>2704</v>
      </c>
      <c r="C328" s="1163" t="s">
        <v>2908</v>
      </c>
      <c r="D328" s="1163" t="s">
        <v>3233</v>
      </c>
      <c r="E328" s="1164"/>
      <c r="F328" s="1165">
        <v>31376</v>
      </c>
      <c r="G328" s="1166" t="s">
        <v>2695</v>
      </c>
      <c r="H328" s="1167">
        <v>13.3</v>
      </c>
      <c r="I328" s="1168">
        <f>IF(DAY($F328)&gt;15, VLOOKUP(EOMONTH($F328,-1),'WP 3.1 Rate Case Regress.'!$C$5:$D$556,2,FALSE), VLOOKUP(EOMONTH($F328, -2), 'WP 3.1 Rate Case Regress.'!$C$5:$D$556, 2, FALSE))</f>
        <v>12.0139</v>
      </c>
      <c r="K328" s="108"/>
      <c r="L328" s="108"/>
      <c r="M328" s="108"/>
      <c r="N328" s="108"/>
      <c r="O328" s="108"/>
      <c r="P328" s="108"/>
      <c r="Q328" s="108"/>
      <c r="R328" s="108"/>
      <c r="S328" s="108"/>
      <c r="T328" s="108"/>
      <c r="V328" s="60"/>
      <c r="W328" s="60"/>
      <c r="X328" s="60"/>
      <c r="Y328" s="60"/>
      <c r="Z328" s="60"/>
      <c r="AA328" s="60"/>
      <c r="AB328" s="60"/>
      <c r="AC328" s="60"/>
    </row>
    <row r="329" spans="2:29" ht="15" customHeight="1" x14ac:dyDescent="0.5">
      <c r="B329" s="1162" t="s">
        <v>2751</v>
      </c>
      <c r="C329" s="1163" t="s">
        <v>2975</v>
      </c>
      <c r="D329" s="1163" t="s">
        <v>3234</v>
      </c>
      <c r="E329" s="1164"/>
      <c r="F329" s="1165">
        <v>31387</v>
      </c>
      <c r="G329" s="1166" t="s">
        <v>2695</v>
      </c>
      <c r="H329" s="1167">
        <v>12</v>
      </c>
      <c r="I329" s="1168">
        <f>IF(DAY($F329)&gt;15, VLOOKUP(EOMONTH($F329,-1),'WP 3.1 Rate Case Regress.'!$C$5:$D$556,2,FALSE), VLOOKUP(EOMONTH($F329, -2), 'WP 3.1 Rate Case Regress.'!$C$5:$D$556, 2, FALSE))</f>
        <v>12.0139</v>
      </c>
      <c r="K329" s="108"/>
      <c r="L329" s="108"/>
      <c r="M329" s="108"/>
      <c r="N329" s="108"/>
      <c r="O329" s="108"/>
      <c r="P329" s="108"/>
      <c r="Q329" s="108"/>
      <c r="R329" s="108"/>
      <c r="S329" s="108"/>
      <c r="T329" s="108"/>
      <c r="V329" s="60"/>
      <c r="W329" s="60"/>
      <c r="X329" s="60"/>
      <c r="Y329" s="60"/>
      <c r="Z329" s="60"/>
      <c r="AA329" s="60"/>
      <c r="AB329" s="60"/>
      <c r="AC329" s="60"/>
    </row>
    <row r="330" spans="2:29" ht="15" customHeight="1" x14ac:dyDescent="0.5">
      <c r="B330" s="1162" t="s">
        <v>2743</v>
      </c>
      <c r="C330" s="1163" t="s">
        <v>3012</v>
      </c>
      <c r="D330" s="1163" t="s">
        <v>3235</v>
      </c>
      <c r="E330" s="1164"/>
      <c r="F330" s="1165">
        <v>31392</v>
      </c>
      <c r="G330" s="1166" t="s">
        <v>2695</v>
      </c>
      <c r="H330" s="1167">
        <v>14.9</v>
      </c>
      <c r="I330" s="1168">
        <f>IF(DAY($F330)&gt;15, VLOOKUP(EOMONTH($F330,-1),'WP 3.1 Rate Case Regress.'!$C$5:$D$556,2,FALSE), VLOOKUP(EOMONTH($F330, -2), 'WP 3.1 Rate Case Regress.'!$C$5:$D$556, 2, FALSE))</f>
        <v>12.0139</v>
      </c>
      <c r="K330" s="108"/>
      <c r="L330" s="108"/>
      <c r="M330" s="108"/>
      <c r="N330" s="108"/>
      <c r="O330" s="108"/>
      <c r="P330" s="108"/>
      <c r="Q330" s="108"/>
      <c r="R330" s="108"/>
      <c r="S330" s="108"/>
      <c r="T330" s="108"/>
      <c r="V330" s="60"/>
      <c r="W330" s="60"/>
      <c r="X330" s="60"/>
      <c r="Y330" s="60"/>
      <c r="Z330" s="60"/>
      <c r="AA330" s="60"/>
      <c r="AB330" s="60"/>
      <c r="AC330" s="60"/>
    </row>
    <row r="331" spans="2:29" ht="15" customHeight="1" x14ac:dyDescent="0.5">
      <c r="B331" s="1162" t="s">
        <v>2738</v>
      </c>
      <c r="C331" s="1163" t="s">
        <v>2741</v>
      </c>
      <c r="D331" s="1163" t="s">
        <v>3236</v>
      </c>
      <c r="E331" s="1164"/>
      <c r="F331" s="1165">
        <v>31401</v>
      </c>
      <c r="G331" s="1166" t="s">
        <v>2695</v>
      </c>
      <c r="H331" s="1167">
        <v>15</v>
      </c>
      <c r="I331" s="1168">
        <f>IF(DAY($F331)&gt;15, VLOOKUP(EOMONTH($F331,-1),'WP 3.1 Rate Case Regress.'!$C$5:$D$556,2,FALSE), VLOOKUP(EOMONTH($F331, -2), 'WP 3.1 Rate Case Regress.'!$C$5:$D$556, 2, FALSE))</f>
        <v>11.513999999999999</v>
      </c>
      <c r="K331" s="108"/>
      <c r="L331" s="108"/>
      <c r="M331" s="108"/>
      <c r="N331" s="108"/>
      <c r="O331" s="108"/>
      <c r="P331" s="108"/>
      <c r="Q331" s="108"/>
      <c r="R331" s="108"/>
      <c r="S331" s="108"/>
      <c r="T331" s="108"/>
      <c r="V331" s="60"/>
      <c r="W331" s="60"/>
      <c r="X331" s="60"/>
      <c r="Y331" s="60"/>
      <c r="Z331" s="60"/>
      <c r="AA331" s="60"/>
      <c r="AB331" s="60"/>
      <c r="AC331" s="60"/>
    </row>
    <row r="332" spans="2:29" ht="15" customHeight="1" x14ac:dyDescent="0.5">
      <c r="B332" s="1162" t="s">
        <v>2702</v>
      </c>
      <c r="C332" s="1163" t="s">
        <v>2903</v>
      </c>
      <c r="D332" s="1163" t="s">
        <v>3237</v>
      </c>
      <c r="E332" s="1164"/>
      <c r="F332" s="1165">
        <v>31401</v>
      </c>
      <c r="G332" s="1166" t="s">
        <v>2695</v>
      </c>
      <c r="H332" s="1167">
        <v>15</v>
      </c>
      <c r="I332" s="1168">
        <f>IF(DAY($F332)&gt;15, VLOOKUP(EOMONTH($F332,-1),'WP 3.1 Rate Case Regress.'!$C$5:$D$556,2,FALSE), VLOOKUP(EOMONTH($F332, -2), 'WP 3.1 Rate Case Regress.'!$C$5:$D$556, 2, FALSE))</f>
        <v>11.513999999999999</v>
      </c>
      <c r="K332" s="108"/>
      <c r="L332" s="108"/>
      <c r="M332" s="108"/>
      <c r="N332" s="108"/>
      <c r="O332" s="108"/>
      <c r="P332" s="108"/>
      <c r="Q332" s="108"/>
      <c r="R332" s="108"/>
      <c r="S332" s="108"/>
      <c r="T332" s="108"/>
      <c r="V332" s="60"/>
      <c r="W332" s="60"/>
      <c r="X332" s="60"/>
      <c r="Y332" s="60"/>
      <c r="Z332" s="60"/>
      <c r="AA332" s="60"/>
      <c r="AB332" s="60"/>
      <c r="AC332" s="60"/>
    </row>
    <row r="333" spans="2:29" ht="15" customHeight="1" x14ac:dyDescent="0.5">
      <c r="B333" s="1162" t="s">
        <v>2701</v>
      </c>
      <c r="C333" s="1163" t="s">
        <v>2900</v>
      </c>
      <c r="D333" s="1163" t="s">
        <v>3238</v>
      </c>
      <c r="E333" s="1164"/>
      <c r="F333" s="1165">
        <v>31401</v>
      </c>
      <c r="G333" s="1166" t="s">
        <v>2695</v>
      </c>
      <c r="H333" s="1167">
        <v>14.88</v>
      </c>
      <c r="I333" s="1168">
        <f>IF(DAY($F333)&gt;15, VLOOKUP(EOMONTH($F333,-1),'WP 3.1 Rate Case Regress.'!$C$5:$D$556,2,FALSE), VLOOKUP(EOMONTH($F333, -2), 'WP 3.1 Rate Case Regress.'!$C$5:$D$556, 2, FALSE))</f>
        <v>11.513999999999999</v>
      </c>
      <c r="K333" s="108"/>
      <c r="L333" s="108"/>
      <c r="M333" s="108"/>
      <c r="N333" s="108"/>
      <c r="O333" s="108"/>
      <c r="P333" s="108"/>
      <c r="Q333" s="108"/>
      <c r="R333" s="108"/>
      <c r="S333" s="108"/>
      <c r="T333" s="108"/>
      <c r="V333" s="60"/>
      <c r="W333" s="60"/>
      <c r="X333" s="60"/>
      <c r="Y333" s="60"/>
      <c r="Z333" s="60"/>
      <c r="AA333" s="60"/>
      <c r="AB333" s="60"/>
      <c r="AC333" s="60"/>
    </row>
    <row r="334" spans="2:29" ht="15" customHeight="1" x14ac:dyDescent="0.5">
      <c r="B334" s="1162" t="s">
        <v>2774</v>
      </c>
      <c r="C334" s="1163" t="s">
        <v>3493</v>
      </c>
      <c r="D334" s="1163" t="s">
        <v>4770</v>
      </c>
      <c r="E334" s="1164"/>
      <c r="F334" s="1165">
        <v>31411</v>
      </c>
      <c r="G334" s="1166" t="s">
        <v>4585</v>
      </c>
      <c r="H334" s="1167">
        <v>15.75</v>
      </c>
      <c r="I334" s="1168">
        <f>IF(DAY($F334)&gt;15, VLOOKUP(EOMONTH($F334,-1),'WP 3.1 Rate Case Regress.'!$C$5:$D$556,2,FALSE), VLOOKUP(EOMONTH($F334, -2), 'WP 3.1 Rate Case Regress.'!$C$5:$D$556, 2, FALSE))</f>
        <v>11.513999999999999</v>
      </c>
      <c r="K334" s="108"/>
      <c r="L334" s="108"/>
      <c r="M334" s="108"/>
      <c r="N334" s="108"/>
      <c r="O334" s="108"/>
      <c r="P334" s="108"/>
      <c r="Q334" s="108"/>
      <c r="R334" s="108"/>
      <c r="S334" s="108"/>
      <c r="T334" s="108"/>
      <c r="V334" s="60"/>
      <c r="W334" s="60"/>
      <c r="X334" s="60"/>
      <c r="Y334" s="60"/>
      <c r="Z334" s="60"/>
      <c r="AA334" s="60"/>
      <c r="AB334" s="60"/>
      <c r="AC334" s="60"/>
    </row>
    <row r="335" spans="2:29" ht="15" customHeight="1" x14ac:dyDescent="0.5">
      <c r="B335" s="1162" t="s">
        <v>2766</v>
      </c>
      <c r="C335" s="1163" t="s">
        <v>2895</v>
      </c>
      <c r="D335" s="1163" t="s">
        <v>3239</v>
      </c>
      <c r="E335" s="1164"/>
      <c r="F335" s="1165">
        <v>31412</v>
      </c>
      <c r="G335" s="1166" t="s">
        <v>2695</v>
      </c>
      <c r="H335" s="1167">
        <v>14.5</v>
      </c>
      <c r="I335" s="1168">
        <f>IF(DAY($F335)&gt;15, VLOOKUP(EOMONTH($F335,-1),'WP 3.1 Rate Case Regress.'!$C$5:$D$556,2,FALSE), VLOOKUP(EOMONTH($F335, -2), 'WP 3.1 Rate Case Regress.'!$C$5:$D$556, 2, FALSE))</f>
        <v>11.513999999999999</v>
      </c>
      <c r="K335" s="108"/>
      <c r="L335" s="108"/>
      <c r="M335" s="108"/>
      <c r="N335" s="108"/>
      <c r="O335" s="108"/>
      <c r="P335" s="108"/>
      <c r="Q335" s="108"/>
      <c r="R335" s="108"/>
      <c r="S335" s="108"/>
      <c r="T335" s="108"/>
      <c r="V335" s="60"/>
      <c r="W335" s="60"/>
      <c r="X335" s="60"/>
      <c r="Y335" s="60"/>
      <c r="Z335" s="60"/>
      <c r="AA335" s="60"/>
      <c r="AB335" s="60"/>
      <c r="AC335" s="60"/>
    </row>
    <row r="336" spans="2:29" ht="15" customHeight="1" x14ac:dyDescent="0.5">
      <c r="B336" s="1162" t="s">
        <v>2754</v>
      </c>
      <c r="C336" s="1163" t="s">
        <v>2755</v>
      </c>
      <c r="D336" s="1163" t="s">
        <v>3240</v>
      </c>
      <c r="E336" s="1164"/>
      <c r="F336" s="1165">
        <v>31412</v>
      </c>
      <c r="G336" s="1166" t="s">
        <v>2695</v>
      </c>
      <c r="H336" s="1167">
        <v>14</v>
      </c>
      <c r="I336" s="1168">
        <f>IF(DAY($F336)&gt;15, VLOOKUP(EOMONTH($F336,-1),'WP 3.1 Rate Case Regress.'!$C$5:$D$556,2,FALSE), VLOOKUP(EOMONTH($F336, -2), 'WP 3.1 Rate Case Regress.'!$C$5:$D$556, 2, FALSE))</f>
        <v>11.513999999999999</v>
      </c>
      <c r="K336" s="108"/>
      <c r="L336" s="108"/>
      <c r="M336" s="108"/>
      <c r="N336" s="108"/>
      <c r="O336" s="108"/>
      <c r="P336" s="108"/>
      <c r="Q336" s="108"/>
      <c r="R336" s="108"/>
      <c r="S336" s="108"/>
      <c r="T336" s="108"/>
      <c r="V336" s="60"/>
      <c r="W336" s="60"/>
      <c r="X336" s="60"/>
      <c r="Y336" s="60"/>
      <c r="Z336" s="60"/>
      <c r="AA336" s="60"/>
      <c r="AB336" s="60"/>
      <c r="AC336" s="60"/>
    </row>
    <row r="337" spans="2:29" ht="15" customHeight="1" x14ac:dyDescent="0.5">
      <c r="B337" s="1162" t="s">
        <v>2701</v>
      </c>
      <c r="C337" s="1163" t="s">
        <v>2975</v>
      </c>
      <c r="D337" s="1163" t="s">
        <v>3241</v>
      </c>
      <c r="E337" s="1164"/>
      <c r="F337" s="1165">
        <v>31429</v>
      </c>
      <c r="G337" s="1166" t="s">
        <v>2695</v>
      </c>
      <c r="H337" s="1167">
        <v>14.5</v>
      </c>
      <c r="I337" s="1168">
        <f>IF(DAY($F337)&gt;15, VLOOKUP(EOMONTH($F337,-1),'WP 3.1 Rate Case Regress.'!$C$5:$D$556,2,FALSE), VLOOKUP(EOMONTH($F337, -2), 'WP 3.1 Rate Case Regress.'!$C$5:$D$556, 2, FALSE))</f>
        <v>11.007999999999999</v>
      </c>
      <c r="K337" s="108"/>
      <c r="L337" s="108"/>
      <c r="M337" s="108"/>
      <c r="N337" s="108"/>
      <c r="O337" s="108"/>
      <c r="P337" s="108"/>
      <c r="Q337" s="108"/>
      <c r="R337" s="108"/>
      <c r="S337" s="108"/>
      <c r="T337" s="108"/>
      <c r="V337" s="60"/>
      <c r="W337" s="60"/>
      <c r="X337" s="60"/>
      <c r="Y337" s="60"/>
      <c r="Z337" s="60"/>
      <c r="AA337" s="60"/>
      <c r="AB337" s="60"/>
      <c r="AC337" s="60"/>
    </row>
    <row r="338" spans="2:29" ht="15" customHeight="1" x14ac:dyDescent="0.5">
      <c r="B338" s="1162" t="s">
        <v>2704</v>
      </c>
      <c r="C338" s="1163" t="s">
        <v>2707</v>
      </c>
      <c r="D338" s="1163" t="s">
        <v>3242</v>
      </c>
      <c r="E338" s="1164"/>
      <c r="F338" s="1165">
        <v>31454</v>
      </c>
      <c r="G338" s="1166" t="s">
        <v>2695</v>
      </c>
      <c r="H338" s="1167">
        <v>12.5</v>
      </c>
      <c r="I338" s="1168">
        <f>IF(DAY($F338)&gt;15, VLOOKUP(EOMONTH($F338,-1),'WP 3.1 Rate Case Regress.'!$C$5:$D$556,2,FALSE), VLOOKUP(EOMONTH($F338, -2), 'WP 3.1 Rate Case Regress.'!$C$5:$D$556, 2, FALSE))</f>
        <v>11.007999999999999</v>
      </c>
      <c r="K338" s="108"/>
      <c r="L338" s="108"/>
      <c r="M338" s="108"/>
      <c r="N338" s="108"/>
      <c r="O338" s="108"/>
      <c r="P338" s="108"/>
      <c r="Q338" s="108"/>
      <c r="R338" s="108"/>
      <c r="S338" s="108"/>
      <c r="T338" s="108"/>
      <c r="V338" s="60"/>
      <c r="W338" s="60"/>
      <c r="X338" s="60"/>
      <c r="Y338" s="60"/>
      <c r="Z338" s="60"/>
      <c r="AA338" s="60"/>
      <c r="AB338" s="60"/>
      <c r="AC338" s="60"/>
    </row>
    <row r="339" spans="2:29" ht="15" customHeight="1" x14ac:dyDescent="0.5">
      <c r="B339" s="1162" t="s">
        <v>2768</v>
      </c>
      <c r="C339" s="1163" t="s">
        <v>3106</v>
      </c>
      <c r="D339" s="1163" t="s">
        <v>3243</v>
      </c>
      <c r="E339" s="1164"/>
      <c r="F339" s="1165">
        <v>31455</v>
      </c>
      <c r="G339" s="1166" t="s">
        <v>2695</v>
      </c>
      <c r="H339" s="1167">
        <v>15.2</v>
      </c>
      <c r="I339" s="1168">
        <f>IF(DAY($F339)&gt;15, VLOOKUP(EOMONTH($F339,-1),'WP 3.1 Rate Case Regress.'!$C$5:$D$556,2,FALSE), VLOOKUP(EOMONTH($F339, -2), 'WP 3.1 Rate Case Regress.'!$C$5:$D$556, 2, FALSE))</f>
        <v>11.007999999999999</v>
      </c>
      <c r="K339" s="108"/>
      <c r="L339" s="108"/>
      <c r="M339" s="108"/>
      <c r="N339" s="108"/>
      <c r="O339" s="108"/>
      <c r="P339" s="108"/>
      <c r="Q339" s="108"/>
      <c r="R339" s="108"/>
      <c r="S339" s="108"/>
      <c r="T339" s="108"/>
      <c r="V339" s="60"/>
      <c r="W339" s="60"/>
      <c r="X339" s="60"/>
      <c r="Y339" s="60"/>
      <c r="Z339" s="60"/>
      <c r="AA339" s="60"/>
      <c r="AB339" s="60"/>
      <c r="AC339" s="60"/>
    </row>
    <row r="340" spans="2:29" ht="15" customHeight="1" x14ac:dyDescent="0.5">
      <c r="B340" s="1162" t="s">
        <v>2744</v>
      </c>
      <c r="C340" s="1163" t="s">
        <v>3244</v>
      </c>
      <c r="D340" s="1163" t="s">
        <v>3245</v>
      </c>
      <c r="E340" s="1164"/>
      <c r="F340" s="1165">
        <v>31482</v>
      </c>
      <c r="G340" s="1166" t="s">
        <v>2695</v>
      </c>
      <c r="H340" s="1167">
        <v>14</v>
      </c>
      <c r="I340" s="1168">
        <f>IF(DAY($F340)&gt;15, VLOOKUP(EOMONTH($F340,-1),'WP 3.1 Rate Case Regress.'!$C$5:$D$556,2,FALSE), VLOOKUP(EOMONTH($F340, -2), 'WP 3.1 Rate Case Regress.'!$C$5:$D$556, 2, FALSE))</f>
        <v>10.7986</v>
      </c>
      <c r="K340" s="108"/>
      <c r="L340" s="108"/>
      <c r="M340" s="108"/>
      <c r="N340" s="108"/>
      <c r="O340" s="108"/>
      <c r="P340" s="108"/>
      <c r="Q340" s="108"/>
      <c r="R340" s="108"/>
      <c r="S340" s="108"/>
      <c r="T340" s="108"/>
      <c r="V340" s="60"/>
      <c r="W340" s="60"/>
      <c r="X340" s="60"/>
      <c r="Y340" s="60"/>
      <c r="Z340" s="60"/>
      <c r="AA340" s="60"/>
      <c r="AB340" s="60"/>
      <c r="AC340" s="60"/>
    </row>
    <row r="341" spans="2:29" ht="15" customHeight="1" x14ac:dyDescent="0.5">
      <c r="B341" s="1162" t="s">
        <v>2704</v>
      </c>
      <c r="C341" s="1163" t="s">
        <v>2910</v>
      </c>
      <c r="D341" s="1163" t="s">
        <v>3246</v>
      </c>
      <c r="E341" s="1164"/>
      <c r="F341" s="1165">
        <v>31504</v>
      </c>
      <c r="G341" s="1166" t="s">
        <v>2695</v>
      </c>
      <c r="H341" s="1167">
        <v>12.9</v>
      </c>
      <c r="I341" s="1168">
        <f>IF(DAY($F341)&gt;15, VLOOKUP(EOMONTH($F341,-1),'WP 3.1 Rate Case Regress.'!$C$5:$D$556,2,FALSE), VLOOKUP(EOMONTH($F341, -2), 'WP 3.1 Rate Case Regress.'!$C$5:$D$556, 2, FALSE))</f>
        <v>10.3163</v>
      </c>
      <c r="K341" s="108"/>
      <c r="L341" s="108"/>
      <c r="M341" s="108"/>
      <c r="N341" s="108"/>
      <c r="O341" s="108"/>
      <c r="P341" s="108"/>
      <c r="Q341" s="108"/>
      <c r="R341" s="108"/>
      <c r="S341" s="108"/>
      <c r="T341" s="108"/>
      <c r="V341" s="60"/>
      <c r="W341" s="60"/>
      <c r="X341" s="60"/>
      <c r="Y341" s="60"/>
      <c r="Z341" s="60"/>
      <c r="AA341" s="60"/>
      <c r="AB341" s="60"/>
      <c r="AC341" s="60"/>
    </row>
    <row r="342" spans="2:29" ht="15" customHeight="1" x14ac:dyDescent="0.5">
      <c r="B342" s="1162" t="s">
        <v>2708</v>
      </c>
      <c r="C342" s="1163" t="s">
        <v>2709</v>
      </c>
      <c r="D342" s="1163" t="s">
        <v>3247</v>
      </c>
      <c r="E342" s="1164"/>
      <c r="F342" s="1165">
        <v>31530</v>
      </c>
      <c r="G342" s="1166" t="s">
        <v>2695</v>
      </c>
      <c r="H342" s="1167">
        <v>13.01</v>
      </c>
      <c r="I342" s="1168">
        <f>IF(DAY($F342)&gt;15, VLOOKUP(EOMONTH($F342,-1),'WP 3.1 Rate Case Regress.'!$C$5:$D$556,2,FALSE), VLOOKUP(EOMONTH($F342, -2), 'WP 3.1 Rate Case Regress.'!$C$5:$D$556, 2, FALSE))</f>
        <v>9.5129999999999999</v>
      </c>
      <c r="K342" s="108"/>
      <c r="L342" s="108"/>
      <c r="M342" s="108"/>
      <c r="N342" s="108"/>
      <c r="O342" s="108"/>
      <c r="P342" s="108"/>
      <c r="Q342" s="108"/>
      <c r="R342" s="108"/>
      <c r="S342" s="108"/>
      <c r="T342" s="108"/>
      <c r="V342" s="60"/>
      <c r="W342" s="60"/>
      <c r="X342" s="60"/>
      <c r="Y342" s="60"/>
      <c r="Z342" s="60"/>
      <c r="AA342" s="60"/>
      <c r="AB342" s="60"/>
      <c r="AC342" s="60"/>
    </row>
    <row r="343" spans="2:29" ht="15" customHeight="1" x14ac:dyDescent="0.5">
      <c r="B343" s="1162" t="s">
        <v>2774</v>
      </c>
      <c r="C343" s="1163" t="s">
        <v>3493</v>
      </c>
      <c r="D343" s="1163" t="s">
        <v>4771</v>
      </c>
      <c r="E343" s="1164"/>
      <c r="F343" s="1165">
        <v>31553</v>
      </c>
      <c r="G343" s="1166" t="s">
        <v>4585</v>
      </c>
      <c r="H343" s="1167">
        <v>13.25</v>
      </c>
      <c r="I343" s="1168">
        <f>IF(DAY($F343)&gt;15, VLOOKUP(EOMONTH($F343,-1),'WP 3.1 Rate Case Regress.'!$C$5:$D$556,2,FALSE), VLOOKUP(EOMONTH($F343, -2), 'WP 3.1 Rate Case Regress.'!$C$5:$D$556, 2, FALSE))</f>
        <v>9.1309000000000005</v>
      </c>
      <c r="K343" s="108"/>
      <c r="L343" s="108"/>
      <c r="M343" s="108"/>
      <c r="N343" s="108"/>
      <c r="O343" s="108"/>
      <c r="P343" s="108"/>
      <c r="Q343" s="108"/>
      <c r="R343" s="108"/>
      <c r="S343" s="108"/>
      <c r="T343" s="108"/>
      <c r="V343" s="60"/>
      <c r="W343" s="60"/>
      <c r="X343" s="60"/>
      <c r="Y343" s="60"/>
      <c r="Z343" s="60"/>
      <c r="AA343" s="60"/>
      <c r="AB343" s="60"/>
      <c r="AC343" s="60"/>
    </row>
    <row r="344" spans="2:29" ht="15" customHeight="1" x14ac:dyDescent="0.5">
      <c r="B344" s="1162" t="s">
        <v>2732</v>
      </c>
      <c r="C344" s="1163" t="s">
        <v>2975</v>
      </c>
      <c r="D344" s="1163" t="s">
        <v>3248</v>
      </c>
      <c r="E344" s="1164"/>
      <c r="F344" s="1165">
        <v>31560</v>
      </c>
      <c r="G344" s="1166" t="s">
        <v>2695</v>
      </c>
      <c r="H344" s="1167">
        <v>14</v>
      </c>
      <c r="I344" s="1168">
        <f>IF(DAY($F344)&gt;15, VLOOKUP(EOMONTH($F344,-1),'WP 3.1 Rate Case Regress.'!$C$5:$D$556,2,FALSE), VLOOKUP(EOMONTH($F344, -2), 'WP 3.1 Rate Case Regress.'!$C$5:$D$556, 2, FALSE))</f>
        <v>9.1309000000000005</v>
      </c>
      <c r="K344" s="108"/>
      <c r="L344" s="108"/>
      <c r="M344" s="108"/>
      <c r="N344" s="108"/>
      <c r="O344" s="108"/>
      <c r="P344" s="108"/>
      <c r="Q344" s="108"/>
      <c r="R344" s="108"/>
      <c r="S344" s="108"/>
      <c r="T344" s="108"/>
      <c r="V344" s="60"/>
      <c r="W344" s="60"/>
      <c r="X344" s="60"/>
      <c r="Y344" s="60"/>
      <c r="Z344" s="60"/>
      <c r="AA344" s="60"/>
      <c r="AB344" s="60"/>
      <c r="AC344" s="60"/>
    </row>
    <row r="345" spans="2:29" ht="15" customHeight="1" x14ac:dyDescent="0.5">
      <c r="B345" s="1162" t="s">
        <v>2702</v>
      </c>
      <c r="C345" s="1163" t="s">
        <v>4701</v>
      </c>
      <c r="D345" s="1163" t="s">
        <v>3249</v>
      </c>
      <c r="E345" s="1164"/>
      <c r="F345" s="1165">
        <v>31561</v>
      </c>
      <c r="G345" s="1166" t="s">
        <v>2695</v>
      </c>
      <c r="H345" s="1167">
        <v>13.9</v>
      </c>
      <c r="I345" s="1168">
        <f>IF(DAY($F345)&gt;15, VLOOKUP(EOMONTH($F345,-1),'WP 3.1 Rate Case Regress.'!$C$5:$D$556,2,FALSE), VLOOKUP(EOMONTH($F345, -2), 'WP 3.1 Rate Case Regress.'!$C$5:$D$556, 2, FALSE))</f>
        <v>9.1309000000000005</v>
      </c>
      <c r="K345" s="108"/>
      <c r="L345" s="108"/>
      <c r="M345" s="108"/>
      <c r="N345" s="108"/>
      <c r="O345" s="108"/>
      <c r="P345" s="108"/>
      <c r="Q345" s="108"/>
      <c r="R345" s="108"/>
      <c r="S345" s="108"/>
      <c r="T345" s="108"/>
      <c r="V345" s="60"/>
      <c r="W345" s="60"/>
      <c r="X345" s="60"/>
      <c r="Y345" s="60"/>
      <c r="Z345" s="60"/>
      <c r="AA345" s="60"/>
      <c r="AB345" s="60"/>
      <c r="AC345" s="60"/>
    </row>
    <row r="346" spans="2:29" ht="15" customHeight="1" x14ac:dyDescent="0.5">
      <c r="B346" s="1162" t="s">
        <v>2740</v>
      </c>
      <c r="C346" s="1163" t="s">
        <v>2746</v>
      </c>
      <c r="D346" s="1163" t="s">
        <v>3250</v>
      </c>
      <c r="E346" s="1164"/>
      <c r="F346" s="1165">
        <v>31565</v>
      </c>
      <c r="G346" s="1166" t="s">
        <v>2695</v>
      </c>
      <c r="H346" s="1167">
        <v>13</v>
      </c>
      <c r="I346" s="1168">
        <f>IF(DAY($F346)&gt;15, VLOOKUP(EOMONTH($F346,-1),'WP 3.1 Rate Case Regress.'!$C$5:$D$556,2,FALSE), VLOOKUP(EOMONTH($F346, -2), 'WP 3.1 Rate Case Regress.'!$C$5:$D$556, 2, FALSE))</f>
        <v>9.1309000000000005</v>
      </c>
      <c r="K346" s="108"/>
      <c r="L346" s="108"/>
      <c r="M346" s="108"/>
      <c r="N346" s="108"/>
      <c r="O346" s="108"/>
      <c r="P346" s="108"/>
      <c r="Q346" s="108"/>
      <c r="R346" s="108"/>
      <c r="S346" s="108"/>
      <c r="T346" s="108"/>
      <c r="V346" s="60"/>
      <c r="W346" s="60"/>
      <c r="X346" s="60"/>
      <c r="Y346" s="60"/>
      <c r="Z346" s="60"/>
      <c r="AA346" s="60"/>
      <c r="AB346" s="60"/>
      <c r="AC346" s="60"/>
    </row>
    <row r="347" spans="2:29" x14ac:dyDescent="0.5">
      <c r="B347" s="1162" t="s">
        <v>2723</v>
      </c>
      <c r="C347" s="1163" t="s">
        <v>2730</v>
      </c>
      <c r="D347" s="1163" t="s">
        <v>3251</v>
      </c>
      <c r="E347" s="1164"/>
      <c r="F347" s="1165">
        <v>31574</v>
      </c>
      <c r="G347" s="1166" t="s">
        <v>2695</v>
      </c>
      <c r="H347" s="1167">
        <v>14</v>
      </c>
      <c r="I347" s="1168">
        <f>IF(DAY($F347)&gt;15, VLOOKUP(EOMONTH($F347,-1),'WP 3.1 Rate Case Regress.'!$C$5:$D$556,2,FALSE), VLOOKUP(EOMONTH($F347, -2), 'WP 3.1 Rate Case Regress.'!$C$5:$D$556, 2, FALSE))</f>
        <v>9.1309000000000005</v>
      </c>
      <c r="V347" s="60"/>
      <c r="W347" s="60"/>
      <c r="X347" s="60"/>
      <c r="Y347" s="60"/>
      <c r="Z347" s="60"/>
      <c r="AA347" s="60"/>
      <c r="AB347" s="60"/>
      <c r="AC347" s="60"/>
    </row>
    <row r="348" spans="2:29" x14ac:dyDescent="0.5">
      <c r="B348" s="1162" t="s">
        <v>2706</v>
      </c>
      <c r="C348" s="1163" t="s">
        <v>2906</v>
      </c>
      <c r="D348" s="1163" t="s">
        <v>3252</v>
      </c>
      <c r="E348" s="1164"/>
      <c r="F348" s="1165">
        <v>31576</v>
      </c>
      <c r="G348" s="1166" t="s">
        <v>2695</v>
      </c>
      <c r="H348" s="1167">
        <v>13.55</v>
      </c>
      <c r="I348" s="1168">
        <f>IF(DAY($F348)&gt;15, VLOOKUP(EOMONTH($F348,-1),'WP 3.1 Rate Case Regress.'!$C$5:$D$556,2,FALSE), VLOOKUP(EOMONTH($F348, -2), 'WP 3.1 Rate Case Regress.'!$C$5:$D$556, 2, FALSE))</f>
        <v>9.1309000000000005</v>
      </c>
      <c r="V348" s="60"/>
      <c r="W348" s="60"/>
      <c r="X348" s="60"/>
      <c r="Y348" s="60"/>
      <c r="Z348" s="60"/>
      <c r="AA348" s="60"/>
      <c r="AB348" s="60"/>
      <c r="AC348" s="60"/>
    </row>
    <row r="349" spans="2:29" x14ac:dyDescent="0.5">
      <c r="B349" s="1162" t="s">
        <v>2708</v>
      </c>
      <c r="C349" s="1163" t="s">
        <v>2709</v>
      </c>
      <c r="D349" s="1163" t="s">
        <v>3253</v>
      </c>
      <c r="E349" s="1164"/>
      <c r="F349" s="1165">
        <v>31590</v>
      </c>
      <c r="G349" s="1166" t="s">
        <v>2695</v>
      </c>
      <c r="H349" s="1167">
        <v>11.88</v>
      </c>
      <c r="I349" s="1168">
        <f>IF(DAY($F349)&gt;15, VLOOKUP(EOMONTH($F349,-1),'WP 3.1 Rate Case Regress.'!$C$5:$D$556,2,FALSE), VLOOKUP(EOMONTH($F349, -2), 'WP 3.1 Rate Case Regress.'!$C$5:$D$556, 2, FALSE))</f>
        <v>9.5667000000000009</v>
      </c>
    </row>
    <row r="350" spans="2:29" x14ac:dyDescent="0.5">
      <c r="B350" s="1162" t="s">
        <v>2704</v>
      </c>
      <c r="C350" s="1163" t="s">
        <v>2927</v>
      </c>
      <c r="D350" s="1163" t="s">
        <v>3254</v>
      </c>
      <c r="E350" s="1164"/>
      <c r="F350" s="1165">
        <v>31607</v>
      </c>
      <c r="G350" s="1166" t="s">
        <v>2695</v>
      </c>
      <c r="H350" s="1167">
        <v>12.6</v>
      </c>
      <c r="I350" s="1168">
        <f>IF(DAY($F350)&gt;15, VLOOKUP(EOMONTH($F350,-1),'WP 3.1 Rate Case Regress.'!$C$5:$D$556,2,FALSE), VLOOKUP(EOMONTH($F350, -2), 'WP 3.1 Rate Case Regress.'!$C$5:$D$556, 2, FALSE))</f>
        <v>9.5667000000000009</v>
      </c>
    </row>
    <row r="351" spans="2:29" x14ac:dyDescent="0.5">
      <c r="B351" s="1162" t="s">
        <v>2712</v>
      </c>
      <c r="C351" s="1163" t="s">
        <v>3255</v>
      </c>
      <c r="D351" s="1163" t="s">
        <v>3256</v>
      </c>
      <c r="E351" s="1164"/>
      <c r="F351" s="1165">
        <v>31623</v>
      </c>
      <c r="G351" s="1166" t="s">
        <v>2695</v>
      </c>
      <c r="H351" s="1167">
        <v>13.3</v>
      </c>
      <c r="I351" s="1168">
        <f>IF(DAY($F351)&gt;15, VLOOKUP(EOMONTH($F351,-1),'WP 3.1 Rate Case Regress.'!$C$5:$D$556,2,FALSE), VLOOKUP(EOMONTH($F351, -2), 'WP 3.1 Rate Case Regress.'!$C$5:$D$556, 2, FALSE))</f>
        <v>9.6547999999999998</v>
      </c>
    </row>
    <row r="352" spans="2:29" x14ac:dyDescent="0.5">
      <c r="B352" s="1162" t="s">
        <v>2702</v>
      </c>
      <c r="C352" s="1163" t="s">
        <v>2749</v>
      </c>
      <c r="D352" s="1163" t="s">
        <v>3257</v>
      </c>
      <c r="E352" s="1164"/>
      <c r="F352" s="1165">
        <v>31638</v>
      </c>
      <c r="G352" s="1166" t="s">
        <v>2695</v>
      </c>
      <c r="H352" s="1167">
        <v>13.5</v>
      </c>
      <c r="I352" s="1168">
        <f>IF(DAY($F352)&gt;15, VLOOKUP(EOMONTH($F352,-1),'WP 3.1 Rate Case Regress.'!$C$5:$D$556,2,FALSE), VLOOKUP(EOMONTH($F352, -2), 'WP 3.1 Rate Case Regress.'!$C$5:$D$556, 2, FALSE))</f>
        <v>9.6547999999999998</v>
      </c>
    </row>
    <row r="353" spans="2:9" x14ac:dyDescent="0.5">
      <c r="B353" s="1162" t="s">
        <v>2734</v>
      </c>
      <c r="C353" s="1163" t="s">
        <v>2895</v>
      </c>
      <c r="D353" s="1163" t="s">
        <v>3258</v>
      </c>
      <c r="E353" s="1164"/>
      <c r="F353" s="1165">
        <v>31660</v>
      </c>
      <c r="G353" s="1166" t="s">
        <v>2695</v>
      </c>
      <c r="H353" s="1167">
        <v>13.3</v>
      </c>
      <c r="I353" s="1168">
        <f>IF(DAY($F353)&gt;15, VLOOKUP(EOMONTH($F353,-1),'WP 3.1 Rate Case Regress.'!$C$5:$D$556,2,FALSE), VLOOKUP(EOMONTH($F353, -2), 'WP 3.1 Rate Case Regress.'!$C$5:$D$556, 2, FALSE))</f>
        <v>9.3544999999999998</v>
      </c>
    </row>
    <row r="354" spans="2:9" x14ac:dyDescent="0.5">
      <c r="B354" s="1162" t="s">
        <v>2699</v>
      </c>
      <c r="C354" s="1163" t="s">
        <v>2628</v>
      </c>
      <c r="D354" s="1163" t="s">
        <v>3259</v>
      </c>
      <c r="E354" s="1164"/>
      <c r="F354" s="1165">
        <v>31678</v>
      </c>
      <c r="G354" s="1166" t="s">
        <v>2695</v>
      </c>
      <c r="H354" s="1167">
        <v>12.75</v>
      </c>
      <c r="I354" s="1168">
        <f>IF(DAY($F354)&gt;15, VLOOKUP(EOMONTH($F354,-1),'WP 3.1 Rate Case Regress.'!$C$5:$D$556,2,FALSE), VLOOKUP(EOMONTH($F354, -2), 'WP 3.1 Rate Case Regress.'!$C$5:$D$556, 2, FALSE))</f>
        <v>9.3066999999999993</v>
      </c>
    </row>
    <row r="355" spans="2:9" x14ac:dyDescent="0.5">
      <c r="B355" s="1162" t="s">
        <v>2696</v>
      </c>
      <c r="C355" s="1163" t="s">
        <v>3177</v>
      </c>
      <c r="D355" s="1163" t="s">
        <v>3260</v>
      </c>
      <c r="E355" s="1164"/>
      <c r="F355" s="1165">
        <v>31715</v>
      </c>
      <c r="G355" s="1166" t="s">
        <v>2695</v>
      </c>
      <c r="H355" s="1167">
        <v>13</v>
      </c>
      <c r="I355" s="1168">
        <f>IF(DAY($F355)&gt;15, VLOOKUP(EOMONTH($F355,-1),'WP 3.1 Rate Case Regress.'!$C$5:$D$556,2,FALSE), VLOOKUP(EOMONTH($F355, -2), 'WP 3.1 Rate Case Regress.'!$C$5:$D$556, 2, FALSE))</f>
        <v>9.5032999999999994</v>
      </c>
    </row>
    <row r="356" spans="2:9" x14ac:dyDescent="0.5">
      <c r="B356" s="1162" t="s">
        <v>2728</v>
      </c>
      <c r="C356" s="1163" t="s">
        <v>2944</v>
      </c>
      <c r="D356" s="1163" t="s">
        <v>3261</v>
      </c>
      <c r="E356" s="1164"/>
      <c r="F356" s="1165">
        <v>31716</v>
      </c>
      <c r="G356" s="1166" t="s">
        <v>2695</v>
      </c>
      <c r="H356" s="1167">
        <v>13.75</v>
      </c>
      <c r="I356" s="1168">
        <f>IF(DAY($F356)&gt;15, VLOOKUP(EOMONTH($F356,-1),'WP 3.1 Rate Case Regress.'!$C$5:$D$556,2,FALSE), VLOOKUP(EOMONTH($F356, -2), 'WP 3.1 Rate Case Regress.'!$C$5:$D$556, 2, FALSE))</f>
        <v>9.5032999999999994</v>
      </c>
    </row>
    <row r="357" spans="2:9" x14ac:dyDescent="0.5">
      <c r="B357" s="1162" t="s">
        <v>2743</v>
      </c>
      <c r="C357" s="1163" t="s">
        <v>3169</v>
      </c>
      <c r="D357" s="1163" t="s">
        <v>3262</v>
      </c>
      <c r="E357" s="1164"/>
      <c r="F357" s="1165">
        <v>31726</v>
      </c>
      <c r="G357" s="1166" t="s">
        <v>2695</v>
      </c>
      <c r="H357" s="1167">
        <v>14</v>
      </c>
      <c r="I357" s="1168">
        <f>IF(DAY($F357)&gt;15, VLOOKUP(EOMONTH($F357,-1),'WP 3.1 Rate Case Regress.'!$C$5:$D$556,2,FALSE), VLOOKUP(EOMONTH($F357, -2), 'WP 3.1 Rate Case Regress.'!$C$5:$D$556, 2, FALSE))</f>
        <v>9.5032999999999994</v>
      </c>
    </row>
    <row r="358" spans="2:9" x14ac:dyDescent="0.5">
      <c r="B358" s="1162" t="s">
        <v>2743</v>
      </c>
      <c r="C358" s="1163" t="s">
        <v>2969</v>
      </c>
      <c r="D358" s="1163" t="s">
        <v>3263</v>
      </c>
      <c r="E358" s="1164"/>
      <c r="F358" s="1165">
        <v>31735</v>
      </c>
      <c r="G358" s="1166" t="s">
        <v>2695</v>
      </c>
      <c r="H358" s="1167">
        <v>13.75</v>
      </c>
      <c r="I358" s="1168">
        <f>IF(DAY($F358)&gt;15, VLOOKUP(EOMONTH($F358,-1),'WP 3.1 Rate Case Regress.'!$C$5:$D$556,2,FALSE), VLOOKUP(EOMONTH($F358, -2), 'WP 3.1 Rate Case Regress.'!$C$5:$D$556, 2, FALSE))</f>
        <v>9.5274000000000001</v>
      </c>
    </row>
    <row r="359" spans="2:9" x14ac:dyDescent="0.5">
      <c r="B359" s="1162" t="s">
        <v>2696</v>
      </c>
      <c r="C359" s="1163" t="s">
        <v>2910</v>
      </c>
      <c r="D359" s="1163" t="s">
        <v>3264</v>
      </c>
      <c r="E359" s="1164"/>
      <c r="F359" s="1165">
        <v>31741</v>
      </c>
      <c r="G359" s="1166" t="s">
        <v>2695</v>
      </c>
      <c r="H359" s="1167">
        <v>13.15</v>
      </c>
      <c r="I359" s="1168">
        <f>IF(DAY($F359)&gt;15, VLOOKUP(EOMONTH($F359,-1),'WP 3.1 Rate Case Regress.'!$C$5:$D$556,2,FALSE), VLOOKUP(EOMONTH($F359, -2), 'WP 3.1 Rate Case Regress.'!$C$5:$D$556, 2, FALSE))</f>
        <v>9.5274000000000001</v>
      </c>
    </row>
    <row r="360" spans="2:9" ht="30" x14ac:dyDescent="0.5">
      <c r="B360" s="1162" t="s">
        <v>2738</v>
      </c>
      <c r="C360" s="1163" t="s">
        <v>2760</v>
      </c>
      <c r="D360" s="1163" t="s">
        <v>3265</v>
      </c>
      <c r="E360" s="1164"/>
      <c r="F360" s="1165">
        <v>31768</v>
      </c>
      <c r="G360" s="1166" t="s">
        <v>2695</v>
      </c>
      <c r="H360" s="1167">
        <v>13.8</v>
      </c>
      <c r="I360" s="1168">
        <f>IF(DAY($F360)&gt;15, VLOOKUP(EOMONTH($F360,-1),'WP 3.1 Rate Case Regress.'!$C$5:$D$556,2,FALSE), VLOOKUP(EOMONTH($F360, -2), 'WP 3.1 Rate Case Regress.'!$C$5:$D$556, 2, FALSE))</f>
        <v>9.2936999999999994</v>
      </c>
    </row>
    <row r="361" spans="2:9" x14ac:dyDescent="0.5">
      <c r="B361" s="1162" t="s">
        <v>2702</v>
      </c>
      <c r="C361" s="1163" t="s">
        <v>2903</v>
      </c>
      <c r="D361" s="1163" t="s">
        <v>3266</v>
      </c>
      <c r="E361" s="1164"/>
      <c r="F361" s="1165">
        <v>31776</v>
      </c>
      <c r="G361" s="1166" t="s">
        <v>2695</v>
      </c>
      <c r="H361" s="1167">
        <v>13.9</v>
      </c>
      <c r="I361" s="1168">
        <f>IF(DAY($F361)&gt;15, VLOOKUP(EOMONTH($F361,-1),'WP 3.1 Rate Case Regress.'!$C$5:$D$556,2,FALSE), VLOOKUP(EOMONTH($F361, -2), 'WP 3.1 Rate Case Regress.'!$C$5:$D$556, 2, FALSE))</f>
        <v>9.2936999999999994</v>
      </c>
    </row>
    <row r="362" spans="2:9" x14ac:dyDescent="0.5">
      <c r="B362" s="1162" t="s">
        <v>2754</v>
      </c>
      <c r="C362" s="1163" t="s">
        <v>3123</v>
      </c>
      <c r="D362" s="1163" t="s">
        <v>3267</v>
      </c>
      <c r="E362" s="1164"/>
      <c r="F362" s="1165">
        <v>31797</v>
      </c>
      <c r="G362" s="1166" t="s">
        <v>2695</v>
      </c>
      <c r="H362" s="1167">
        <v>12.75</v>
      </c>
      <c r="I362" s="1168">
        <f>IF(DAY($F362)&gt;15, VLOOKUP(EOMONTH($F362,-1),'WP 3.1 Rate Case Regress.'!$C$5:$D$556,2,FALSE), VLOOKUP(EOMONTH($F362, -2), 'WP 3.1 Rate Case Regress.'!$C$5:$D$556, 2, FALSE))</f>
        <v>9.1195000000000004</v>
      </c>
    </row>
    <row r="363" spans="2:9" x14ac:dyDescent="0.5">
      <c r="B363" s="1162" t="s">
        <v>2736</v>
      </c>
      <c r="C363" s="1163" t="s">
        <v>2980</v>
      </c>
      <c r="D363" s="1163" t="s">
        <v>4772</v>
      </c>
      <c r="E363" s="1164"/>
      <c r="F363" s="1165">
        <v>31800</v>
      </c>
      <c r="G363" s="1166" t="s">
        <v>4585</v>
      </c>
      <c r="H363" s="1167">
        <v>13.55</v>
      </c>
      <c r="I363" s="1168">
        <f>IF(DAY($F363)&gt;15, VLOOKUP(EOMONTH($F363,-1),'WP 3.1 Rate Case Regress.'!$C$5:$D$556,2,FALSE), VLOOKUP(EOMONTH($F363, -2), 'WP 3.1 Rate Case Regress.'!$C$5:$D$556, 2, FALSE))</f>
        <v>9.1195000000000004</v>
      </c>
    </row>
    <row r="364" spans="2:9" x14ac:dyDescent="0.5">
      <c r="B364" s="1162" t="s">
        <v>2754</v>
      </c>
      <c r="C364" s="1163" t="s">
        <v>2755</v>
      </c>
      <c r="D364" s="1163" t="s">
        <v>3268</v>
      </c>
      <c r="E364" s="1164"/>
      <c r="F364" s="1165">
        <v>31804</v>
      </c>
      <c r="G364" s="1166" t="s">
        <v>2695</v>
      </c>
      <c r="H364" s="1167">
        <v>12.16</v>
      </c>
      <c r="I364" s="1168">
        <f>IF(DAY($F364)&gt;15, VLOOKUP(EOMONTH($F364,-1),'WP 3.1 Rate Case Regress.'!$C$5:$D$556,2,FALSE), VLOOKUP(EOMONTH($F364, -2), 'WP 3.1 Rate Case Regress.'!$C$5:$D$556, 2, FALSE))</f>
        <v>9.1195000000000004</v>
      </c>
    </row>
    <row r="365" spans="2:9" x14ac:dyDescent="0.5">
      <c r="B365" s="1162" t="s">
        <v>2768</v>
      </c>
      <c r="C365" s="1163" t="s">
        <v>2944</v>
      </c>
      <c r="D365" s="1163" t="s">
        <v>3269</v>
      </c>
      <c r="E365" s="1164"/>
      <c r="F365" s="1165">
        <v>31821</v>
      </c>
      <c r="G365" s="1166" t="s">
        <v>2695</v>
      </c>
      <c r="H365" s="1167">
        <v>12.6</v>
      </c>
      <c r="I365" s="1168">
        <f>IF(DAY($F365)&gt;15, VLOOKUP(EOMONTH($F365,-1),'WP 3.1 Rate Case Regress.'!$C$5:$D$556,2,FALSE), VLOOKUP(EOMONTH($F365, -2), 'WP 3.1 Rate Case Regress.'!$C$5:$D$556, 2, FALSE))</f>
        <v>9.1195000000000004</v>
      </c>
    </row>
    <row r="366" spans="2:9" x14ac:dyDescent="0.5">
      <c r="B366" s="1162" t="s">
        <v>2732</v>
      </c>
      <c r="C366" s="1163" t="s">
        <v>2944</v>
      </c>
      <c r="D366" s="1163" t="s">
        <v>3270</v>
      </c>
      <c r="E366" s="1164"/>
      <c r="F366" s="1165">
        <v>31832</v>
      </c>
      <c r="G366" s="1166" t="s">
        <v>2695</v>
      </c>
      <c r="H366" s="1167">
        <v>12</v>
      </c>
      <c r="I366" s="1168">
        <f>IF(DAY($F366)&gt;15, VLOOKUP(EOMONTH($F366,-1),'WP 3.1 Rate Case Regress.'!$C$5:$D$556,2,FALSE), VLOOKUP(EOMONTH($F366, -2), 'WP 3.1 Rate Case Regress.'!$C$5:$D$556, 2, FALSE))</f>
        <v>8.9444999999999997</v>
      </c>
    </row>
    <row r="367" spans="2:9" x14ac:dyDescent="0.5">
      <c r="B367" s="1162" t="s">
        <v>2708</v>
      </c>
      <c r="C367" s="1163" t="s">
        <v>3271</v>
      </c>
      <c r="D367" s="1163" t="s">
        <v>3272</v>
      </c>
      <c r="E367" s="1164"/>
      <c r="F367" s="1165">
        <v>31866</v>
      </c>
      <c r="G367" s="1166" t="s">
        <v>2695</v>
      </c>
      <c r="H367" s="1167">
        <v>12.2</v>
      </c>
      <c r="I367" s="1168">
        <f>IF(DAY($F367)&gt;15, VLOOKUP(EOMONTH($F367,-1),'WP 3.1 Rate Case Regress.'!$C$5:$D$556,2,FALSE), VLOOKUP(EOMONTH($F367, -2), 'WP 3.1 Rate Case Regress.'!$C$5:$D$556, 2, FALSE))</f>
        <v>9.0037000000000003</v>
      </c>
    </row>
    <row r="368" spans="2:9" x14ac:dyDescent="0.5">
      <c r="B368" s="1162" t="s">
        <v>2702</v>
      </c>
      <c r="C368" s="1163" t="s">
        <v>2749</v>
      </c>
      <c r="D368" s="1163" t="s">
        <v>4773</v>
      </c>
      <c r="E368" s="1164"/>
      <c r="F368" s="1165">
        <v>31867</v>
      </c>
      <c r="G368" s="1166" t="s">
        <v>4585</v>
      </c>
      <c r="H368" s="1167">
        <v>13</v>
      </c>
      <c r="I368" s="1168">
        <f>IF(DAY($F368)&gt;15, VLOOKUP(EOMONTH($F368,-1),'WP 3.1 Rate Case Regress.'!$C$5:$D$556,2,FALSE), VLOOKUP(EOMONTH($F368, -2), 'WP 3.1 Rate Case Regress.'!$C$5:$D$556, 2, FALSE))</f>
        <v>9.0037000000000003</v>
      </c>
    </row>
    <row r="369" spans="2:9" x14ac:dyDescent="0.5">
      <c r="B369" s="1162" t="s">
        <v>2698</v>
      </c>
      <c r="C369" s="1163" t="s">
        <v>2722</v>
      </c>
      <c r="D369" s="1163" t="s">
        <v>3273</v>
      </c>
      <c r="E369" s="1164"/>
      <c r="F369" s="1165">
        <v>31902</v>
      </c>
      <c r="G369" s="1166" t="s">
        <v>2695</v>
      </c>
      <c r="H369" s="1167">
        <v>12.85</v>
      </c>
      <c r="I369" s="1168">
        <f>IF(DAY($F369)&gt;15, VLOOKUP(EOMONTH($F369,-1),'WP 3.1 Rate Case Regress.'!$C$5:$D$556,2,FALSE), VLOOKUP(EOMONTH($F369, -2), 'WP 3.1 Rate Case Regress.'!$C$5:$D$556, 2, FALSE))</f>
        <v>8.9291</v>
      </c>
    </row>
    <row r="370" spans="2:9" x14ac:dyDescent="0.5">
      <c r="B370" s="1162" t="s">
        <v>2702</v>
      </c>
      <c r="C370" s="1163" t="s">
        <v>4701</v>
      </c>
      <c r="D370" s="1163" t="s">
        <v>3274</v>
      </c>
      <c r="E370" s="1164"/>
      <c r="F370" s="1165">
        <v>31925</v>
      </c>
      <c r="G370" s="1166" t="s">
        <v>2695</v>
      </c>
      <c r="H370" s="1167">
        <v>13.5</v>
      </c>
      <c r="I370" s="1168">
        <f>IF(DAY($F370)&gt;15, VLOOKUP(EOMONTH($F370,-1),'WP 3.1 Rate Case Regress.'!$C$5:$D$556,2,FALSE), VLOOKUP(EOMONTH($F370, -2), 'WP 3.1 Rate Case Regress.'!$C$5:$D$556, 2, FALSE))</f>
        <v>9.3529</v>
      </c>
    </row>
    <row r="371" spans="2:9" x14ac:dyDescent="0.5">
      <c r="B371" s="1162" t="s">
        <v>2704</v>
      </c>
      <c r="C371" s="1163" t="s">
        <v>2927</v>
      </c>
      <c r="D371" s="1163" t="s">
        <v>3275</v>
      </c>
      <c r="E371" s="1164"/>
      <c r="F371" s="1165">
        <v>31943</v>
      </c>
      <c r="G371" s="1166" t="s">
        <v>2695</v>
      </c>
      <c r="H371" s="1167">
        <v>13.2</v>
      </c>
      <c r="I371" s="1168">
        <f>IF(DAY($F371)&gt;15, VLOOKUP(EOMONTH($F371,-1),'WP 3.1 Rate Case Regress.'!$C$5:$D$556,2,FALSE), VLOOKUP(EOMONTH($F371, -2), 'WP 3.1 Rate Case Regress.'!$C$5:$D$556, 2, FALSE))</f>
        <v>9.3529</v>
      </c>
    </row>
    <row r="372" spans="2:9" x14ac:dyDescent="0.5">
      <c r="B372" s="1162" t="s">
        <v>2723</v>
      </c>
      <c r="C372" s="1163" t="s">
        <v>2921</v>
      </c>
      <c r="D372" s="1163" t="s">
        <v>3276</v>
      </c>
      <c r="E372" s="1164"/>
      <c r="F372" s="1165">
        <v>31958</v>
      </c>
      <c r="G372" s="1166" t="s">
        <v>2695</v>
      </c>
      <c r="H372" s="1167">
        <v>12.6</v>
      </c>
      <c r="I372" s="1168">
        <f>IF(DAY($F372)&gt;15, VLOOKUP(EOMONTH($F372,-1),'WP 3.1 Rate Case Regress.'!$C$5:$D$556,2,FALSE), VLOOKUP(EOMONTH($F372, -2), 'WP 3.1 Rate Case Regress.'!$C$5:$D$556, 2, FALSE))</f>
        <v>9.8650000000000002</v>
      </c>
    </row>
    <row r="373" spans="2:9" x14ac:dyDescent="0.5">
      <c r="B373" s="1162" t="s">
        <v>2702</v>
      </c>
      <c r="C373" s="1163" t="s">
        <v>2748</v>
      </c>
      <c r="D373" s="1163" t="s">
        <v>3277</v>
      </c>
      <c r="E373" s="1164"/>
      <c r="F373" s="1165">
        <v>31968</v>
      </c>
      <c r="G373" s="1166" t="s">
        <v>2695</v>
      </c>
      <c r="H373" s="1167">
        <v>12.9</v>
      </c>
      <c r="I373" s="1168">
        <f>IF(DAY($F373)&gt;15, VLOOKUP(EOMONTH($F373,-1),'WP 3.1 Rate Case Regress.'!$C$5:$D$556,2,FALSE), VLOOKUP(EOMONTH($F373, -2), 'WP 3.1 Rate Case Regress.'!$C$5:$D$556, 2, FALSE))</f>
        <v>9.8650000000000002</v>
      </c>
    </row>
    <row r="374" spans="2:9" x14ac:dyDescent="0.5">
      <c r="B374" s="1162" t="s">
        <v>2763</v>
      </c>
      <c r="C374" s="1163" t="s">
        <v>3059</v>
      </c>
      <c r="D374" s="1163" t="s">
        <v>4774</v>
      </c>
      <c r="E374" s="1164"/>
      <c r="F374" s="1165">
        <v>31985</v>
      </c>
      <c r="G374" s="1166" t="s">
        <v>4585</v>
      </c>
      <c r="H374" s="1167">
        <v>13.5</v>
      </c>
      <c r="I374" s="1168">
        <f>IF(DAY($F374)&gt;15, VLOOKUP(EOMONTH($F374,-1),'WP 3.1 Rate Case Regress.'!$C$5:$D$556,2,FALSE), VLOOKUP(EOMONTH($F374, -2), 'WP 3.1 Rate Case Regress.'!$C$5:$D$556, 2, FALSE))</f>
        <v>10.0182</v>
      </c>
    </row>
    <row r="375" spans="2:9" x14ac:dyDescent="0.5">
      <c r="B375" s="1162" t="s">
        <v>2724</v>
      </c>
      <c r="C375" s="1163" t="s">
        <v>2925</v>
      </c>
      <c r="D375" s="1163" t="s">
        <v>4775</v>
      </c>
      <c r="E375" s="1164"/>
      <c r="F375" s="1165">
        <v>32014</v>
      </c>
      <c r="G375" s="1166" t="s">
        <v>4585</v>
      </c>
      <c r="H375" s="1167">
        <v>11.4</v>
      </c>
      <c r="I375" s="1168">
        <f>IF(DAY($F375)&gt;15, VLOOKUP(EOMONTH($F375,-1),'WP 3.1 Rate Case Regress.'!$C$5:$D$556,2,FALSE), VLOOKUP(EOMONTH($F375, -2), 'WP 3.1 Rate Case Regress.'!$C$5:$D$556, 2, FALSE))</f>
        <v>10.135</v>
      </c>
    </row>
    <row r="376" spans="2:9" x14ac:dyDescent="0.5">
      <c r="B376" s="1162" t="s">
        <v>2739</v>
      </c>
      <c r="C376" s="1163" t="s">
        <v>2956</v>
      </c>
      <c r="D376" s="1163" t="s">
        <v>3278</v>
      </c>
      <c r="E376" s="1164"/>
      <c r="F376" s="1165">
        <v>32038</v>
      </c>
      <c r="G376" s="1166" t="s">
        <v>2695</v>
      </c>
      <c r="H376" s="1167">
        <v>13</v>
      </c>
      <c r="I376" s="1168">
        <f>IF(DAY($F376)&gt;15, VLOOKUP(EOMONTH($F376,-1),'WP 3.1 Rate Case Regress.'!$C$5:$D$556,2,FALSE), VLOOKUP(EOMONTH($F376, -2), 'WP 3.1 Rate Case Regress.'!$C$5:$D$556, 2, FALSE))</f>
        <v>10.443300000000001</v>
      </c>
    </row>
    <row r="377" spans="2:9" x14ac:dyDescent="0.5">
      <c r="B377" s="1162" t="s">
        <v>2706</v>
      </c>
      <c r="C377" s="1163" t="s">
        <v>2906</v>
      </c>
      <c r="D377" s="1163" t="s">
        <v>3279</v>
      </c>
      <c r="E377" s="1164"/>
      <c r="F377" s="1165">
        <v>32070</v>
      </c>
      <c r="G377" s="1166" t="s">
        <v>2695</v>
      </c>
      <c r="H377" s="1167">
        <v>12.98</v>
      </c>
      <c r="I377" s="1168">
        <f>IF(DAY($F377)&gt;15, VLOOKUP(EOMONTH($F377,-1),'WP 3.1 Rate Case Regress.'!$C$5:$D$556,2,FALSE), VLOOKUP(EOMONTH($F377, -2), 'WP 3.1 Rate Case Regress.'!$C$5:$D$556, 2, FALSE))</f>
        <v>11.1762</v>
      </c>
    </row>
    <row r="378" spans="2:9" x14ac:dyDescent="0.5">
      <c r="B378" s="1162" t="s">
        <v>2723</v>
      </c>
      <c r="C378" s="1163" t="s">
        <v>2949</v>
      </c>
      <c r="D378" s="1163" t="s">
        <v>3280</v>
      </c>
      <c r="E378" s="1164"/>
      <c r="F378" s="1165">
        <v>32070</v>
      </c>
      <c r="G378" s="1166" t="s">
        <v>2695</v>
      </c>
      <c r="H378" s="1167">
        <v>12.6</v>
      </c>
      <c r="I378" s="1168">
        <f>IF(DAY($F378)&gt;15, VLOOKUP(EOMONTH($F378,-1),'WP 3.1 Rate Case Regress.'!$C$5:$D$556,2,FALSE), VLOOKUP(EOMONTH($F378, -2), 'WP 3.1 Rate Case Regress.'!$C$5:$D$556, 2, FALSE))</f>
        <v>11.1762</v>
      </c>
    </row>
    <row r="379" spans="2:9" ht="30" x14ac:dyDescent="0.5">
      <c r="B379" s="1162" t="s">
        <v>2757</v>
      </c>
      <c r="C379" s="1163" t="s">
        <v>2765</v>
      </c>
      <c r="D379" s="1163" t="s">
        <v>3281</v>
      </c>
      <c r="E379" s="1164"/>
      <c r="F379" s="1165">
        <v>32093</v>
      </c>
      <c r="G379" s="1166" t="s">
        <v>2695</v>
      </c>
      <c r="H379" s="1167">
        <v>12.75</v>
      </c>
      <c r="I379" s="1168">
        <f>IF(DAY($F379)&gt;15, VLOOKUP(EOMONTH($F379,-1),'WP 3.1 Rate Case Regress.'!$C$5:$D$556,2,FALSE), VLOOKUP(EOMONTH($F379, -2), 'WP 3.1 Rate Case Regress.'!$C$5:$D$556, 2, FALSE))</f>
        <v>11.1762</v>
      </c>
    </row>
    <row r="380" spans="2:9" x14ac:dyDescent="0.5">
      <c r="B380" s="1162" t="s">
        <v>2768</v>
      </c>
      <c r="C380" s="1163" t="s">
        <v>3012</v>
      </c>
      <c r="D380" s="1163" t="s">
        <v>4776</v>
      </c>
      <c r="E380" s="1164"/>
      <c r="F380" s="1165">
        <v>32094</v>
      </c>
      <c r="G380" s="1166" t="s">
        <v>4585</v>
      </c>
      <c r="H380" s="1167">
        <v>12.75</v>
      </c>
      <c r="I380" s="1168">
        <f>IF(DAY($F380)&gt;15, VLOOKUP(EOMONTH($F380,-1),'WP 3.1 Rate Case Regress.'!$C$5:$D$556,2,FALSE), VLOOKUP(EOMONTH($F380, -2), 'WP 3.1 Rate Case Regress.'!$C$5:$D$556, 2, FALSE))</f>
        <v>11.1762</v>
      </c>
    </row>
    <row r="381" spans="2:9" x14ac:dyDescent="0.5">
      <c r="B381" s="1162" t="s">
        <v>2732</v>
      </c>
      <c r="C381" s="1163" t="s">
        <v>2975</v>
      </c>
      <c r="D381" s="1163" t="s">
        <v>3282</v>
      </c>
      <c r="E381" s="1164"/>
      <c r="F381" s="1165">
        <v>32105</v>
      </c>
      <c r="G381" s="1166" t="s">
        <v>2695</v>
      </c>
      <c r="H381" s="1167">
        <v>12.5</v>
      </c>
      <c r="I381" s="1168">
        <f>IF(DAY($F381)&gt;15, VLOOKUP(EOMONTH($F381,-1),'WP 3.1 Rate Case Regress.'!$C$5:$D$556,2,FALSE), VLOOKUP(EOMONTH($F381, -2), 'WP 3.1 Rate Case Regress.'!$C$5:$D$556, 2, FALSE))</f>
        <v>11.358599999999999</v>
      </c>
    </row>
    <row r="382" spans="2:9" x14ac:dyDescent="0.5">
      <c r="B382" s="1162" t="s">
        <v>2712</v>
      </c>
      <c r="C382" s="1163" t="s">
        <v>3333</v>
      </c>
      <c r="D382" s="1163" t="s">
        <v>4777</v>
      </c>
      <c r="E382" s="1164"/>
      <c r="F382" s="1165">
        <v>32119</v>
      </c>
      <c r="G382" s="1166" t="s">
        <v>4585</v>
      </c>
      <c r="H382" s="1167">
        <v>12.5</v>
      </c>
      <c r="I382" s="1168">
        <f>IF(DAY($F382)&gt;15, VLOOKUP(EOMONTH($F382,-1),'WP 3.1 Rate Case Regress.'!$C$5:$D$556,2,FALSE), VLOOKUP(EOMONTH($F382, -2), 'WP 3.1 Rate Case Regress.'!$C$5:$D$556, 2, FALSE))</f>
        <v>11.358599999999999</v>
      </c>
    </row>
    <row r="383" spans="2:9" x14ac:dyDescent="0.5">
      <c r="B383" s="1162" t="s">
        <v>2702</v>
      </c>
      <c r="C383" s="1163" t="s">
        <v>2755</v>
      </c>
      <c r="D383" s="1163" t="s">
        <v>3283</v>
      </c>
      <c r="E383" s="1164"/>
      <c r="F383" s="1165">
        <v>32133</v>
      </c>
      <c r="G383" s="1166" t="s">
        <v>2695</v>
      </c>
      <c r="H383" s="1167">
        <v>12</v>
      </c>
      <c r="I383" s="1168">
        <f>IF(DAY($F383)&gt;15, VLOOKUP(EOMONTH($F383,-1),'WP 3.1 Rate Case Regress.'!$C$5:$D$556,2,FALSE), VLOOKUP(EOMONTH($F383, -2), 'WP 3.1 Rate Case Regress.'!$C$5:$D$556, 2, FALSE))</f>
        <v>10.8245</v>
      </c>
    </row>
    <row r="384" spans="2:9" x14ac:dyDescent="0.5">
      <c r="B384" s="1162" t="s">
        <v>2700</v>
      </c>
      <c r="C384" s="1163" t="s">
        <v>2898</v>
      </c>
      <c r="D384" s="1163" t="s">
        <v>3284</v>
      </c>
      <c r="E384" s="1164"/>
      <c r="F384" s="1165">
        <v>32142</v>
      </c>
      <c r="G384" s="1166" t="s">
        <v>2695</v>
      </c>
      <c r="H384" s="1167">
        <v>13.25</v>
      </c>
      <c r="I384" s="1168">
        <f>IF(DAY($F384)&gt;15, VLOOKUP(EOMONTH($F384,-1),'WP 3.1 Rate Case Regress.'!$C$5:$D$556,2,FALSE), VLOOKUP(EOMONTH($F384, -2), 'WP 3.1 Rate Case Regress.'!$C$5:$D$556, 2, FALSE))</f>
        <v>10.8245</v>
      </c>
    </row>
    <row r="385" spans="2:9" x14ac:dyDescent="0.5">
      <c r="B385" s="1162" t="s">
        <v>2712</v>
      </c>
      <c r="C385" s="1163" t="s">
        <v>3255</v>
      </c>
      <c r="D385" s="1163" t="s">
        <v>4778</v>
      </c>
      <c r="E385" s="1164"/>
      <c r="F385" s="1165">
        <v>32142</v>
      </c>
      <c r="G385" s="1166" t="s">
        <v>4585</v>
      </c>
      <c r="H385" s="1167">
        <v>12.85</v>
      </c>
      <c r="I385" s="1168">
        <f>IF(DAY($F385)&gt;15, VLOOKUP(EOMONTH($F385,-1),'WP 3.1 Rate Case Regress.'!$C$5:$D$556,2,FALSE), VLOOKUP(EOMONTH($F385, -2), 'WP 3.1 Rate Case Regress.'!$C$5:$D$556, 2, FALSE))</f>
        <v>10.8245</v>
      </c>
    </row>
    <row r="386" spans="2:9" x14ac:dyDescent="0.5">
      <c r="B386" s="1162" t="s">
        <v>2696</v>
      </c>
      <c r="C386" s="1163" t="s">
        <v>2697</v>
      </c>
      <c r="D386" s="1163" t="s">
        <v>3285</v>
      </c>
      <c r="E386" s="1164"/>
      <c r="F386" s="1165">
        <v>32157</v>
      </c>
      <c r="G386" s="1166" t="s">
        <v>2695</v>
      </c>
      <c r="H386" s="1167">
        <v>13.15</v>
      </c>
      <c r="I386" s="1168">
        <f>IF(DAY($F386)&gt;15, VLOOKUP(EOMONTH($F386,-1),'WP 3.1 Rate Case Regress.'!$C$5:$D$556,2,FALSE), VLOOKUP(EOMONTH($F386, -2), 'WP 3.1 Rate Case Regress.'!$C$5:$D$556, 2, FALSE))</f>
        <v>10.8245</v>
      </c>
    </row>
    <row r="387" spans="2:9" x14ac:dyDescent="0.5">
      <c r="B387" s="1162" t="s">
        <v>2693</v>
      </c>
      <c r="C387" s="1163" t="s">
        <v>2629</v>
      </c>
      <c r="D387" s="1163" t="s">
        <v>3286</v>
      </c>
      <c r="E387" s="1164"/>
      <c r="F387" s="1165">
        <v>32162</v>
      </c>
      <c r="G387" s="1166" t="s">
        <v>2695</v>
      </c>
      <c r="H387" s="1167">
        <v>12.75</v>
      </c>
      <c r="I387" s="1168">
        <f>IF(DAY($F387)&gt;15, VLOOKUP(EOMONTH($F387,-1),'WP 3.1 Rate Case Regress.'!$C$5:$D$556,2,FALSE), VLOOKUP(EOMONTH($F387, -2), 'WP 3.1 Rate Case Regress.'!$C$5:$D$556, 2, FALSE))</f>
        <v>10.9368</v>
      </c>
    </row>
    <row r="388" spans="2:9" x14ac:dyDescent="0.5">
      <c r="B388" s="1162" t="s">
        <v>2702</v>
      </c>
      <c r="C388" s="1163" t="s">
        <v>2748</v>
      </c>
      <c r="D388" s="1163" t="s">
        <v>3287</v>
      </c>
      <c r="E388" s="1164"/>
      <c r="F388" s="1165">
        <v>32171</v>
      </c>
      <c r="G388" s="1166" t="s">
        <v>2695</v>
      </c>
      <c r="H388" s="1167">
        <v>13.2</v>
      </c>
      <c r="I388" s="1168">
        <f>IF(DAY($F388)&gt;15, VLOOKUP(EOMONTH($F388,-1),'WP 3.1 Rate Case Regress.'!$C$5:$D$556,2,FALSE), VLOOKUP(EOMONTH($F388, -2), 'WP 3.1 Rate Case Regress.'!$C$5:$D$556, 2, FALSE))</f>
        <v>10.9368</v>
      </c>
    </row>
    <row r="389" spans="2:9" x14ac:dyDescent="0.5">
      <c r="B389" s="1162" t="s">
        <v>2723</v>
      </c>
      <c r="C389" s="1163" t="s">
        <v>2730</v>
      </c>
      <c r="D389" s="1163" t="s">
        <v>3288</v>
      </c>
      <c r="E389" s="1164"/>
      <c r="F389" s="1165">
        <v>32177</v>
      </c>
      <c r="G389" s="1166" t="s">
        <v>2695</v>
      </c>
      <c r="H389" s="1167">
        <v>12.6</v>
      </c>
      <c r="I389" s="1168">
        <f>IF(DAY($F389)&gt;15, VLOOKUP(EOMONTH($F389,-1),'WP 3.1 Rate Case Regress.'!$C$5:$D$556,2,FALSE), VLOOKUP(EOMONTH($F389, -2), 'WP 3.1 Rate Case Regress.'!$C$5:$D$556, 2, FALSE))</f>
        <v>10.9368</v>
      </c>
    </row>
    <row r="390" spans="2:9" x14ac:dyDescent="0.5">
      <c r="B390" s="1162" t="s">
        <v>2712</v>
      </c>
      <c r="C390" s="1163" t="s">
        <v>3085</v>
      </c>
      <c r="D390" s="1163" t="s">
        <v>4779</v>
      </c>
      <c r="E390" s="1164"/>
      <c r="F390" s="1165">
        <v>32225</v>
      </c>
      <c r="G390" s="1166" t="s">
        <v>4585</v>
      </c>
      <c r="H390" s="1167">
        <v>13</v>
      </c>
      <c r="I390" s="1168">
        <f>IF(DAY($F390)&gt;15, VLOOKUP(EOMONTH($F390,-1),'WP 3.1 Rate Case Regress.'!$C$5:$D$556,2,FALSE), VLOOKUP(EOMONTH($F390, -2), 'WP 3.1 Rate Case Regress.'!$C$5:$D$556, 2, FALSE))</f>
        <v>10.115500000000001</v>
      </c>
    </row>
    <row r="391" spans="2:9" x14ac:dyDescent="0.5">
      <c r="B391" s="1162" t="s">
        <v>2696</v>
      </c>
      <c r="C391" s="1163" t="s">
        <v>2910</v>
      </c>
      <c r="D391" s="1163" t="s">
        <v>3289</v>
      </c>
      <c r="E391" s="1164"/>
      <c r="F391" s="1165">
        <v>32290</v>
      </c>
      <c r="G391" s="1166" t="s">
        <v>2695</v>
      </c>
      <c r="H391" s="1167">
        <v>13.18</v>
      </c>
      <c r="I391" s="1168">
        <f>IF(DAY($F391)&gt;15, VLOOKUP(EOMONTH($F391,-1),'WP 3.1 Rate Case Regress.'!$C$5:$D$556,2,FALSE), VLOOKUP(EOMONTH($F391, -2), 'WP 3.1 Rate Case Regress.'!$C$5:$D$556, 2, FALSE))</f>
        <v>10.522</v>
      </c>
    </row>
    <row r="392" spans="2:9" x14ac:dyDescent="0.5">
      <c r="B392" s="1162" t="s">
        <v>2702</v>
      </c>
      <c r="C392" s="1163" t="s">
        <v>4701</v>
      </c>
      <c r="D392" s="1163" t="s">
        <v>3290</v>
      </c>
      <c r="E392" s="1164"/>
      <c r="F392" s="1165">
        <v>32308</v>
      </c>
      <c r="G392" s="1166" t="s">
        <v>2695</v>
      </c>
      <c r="H392" s="1167">
        <v>13.5</v>
      </c>
      <c r="I392" s="1168">
        <f>IF(DAY($F392)&gt;15, VLOOKUP(EOMONTH($F392,-1),'WP 3.1 Rate Case Regress.'!$C$5:$D$556,2,FALSE), VLOOKUP(EOMONTH($F392, -2), 'WP 3.1 Rate Case Regress.'!$C$5:$D$556, 2, FALSE))</f>
        <v>10.522</v>
      </c>
    </row>
    <row r="393" spans="2:9" x14ac:dyDescent="0.5">
      <c r="B393" s="1162" t="s">
        <v>2708</v>
      </c>
      <c r="C393" s="1163" t="s">
        <v>2709</v>
      </c>
      <c r="D393" s="1163" t="s">
        <v>3291</v>
      </c>
      <c r="E393" s="1164"/>
      <c r="F393" s="1165">
        <v>32311</v>
      </c>
      <c r="G393" s="1166" t="s">
        <v>2695</v>
      </c>
      <c r="H393" s="1167">
        <v>11.72</v>
      </c>
      <c r="I393" s="1168">
        <f>IF(DAY($F393)&gt;15, VLOOKUP(EOMONTH($F393,-1),'WP 3.1 Rate Case Regress.'!$C$5:$D$556,2,FALSE), VLOOKUP(EOMONTH($F393, -2), 'WP 3.1 Rate Case Regress.'!$C$5:$D$556, 2, FALSE))</f>
        <v>10.7919</v>
      </c>
    </row>
    <row r="394" spans="2:9" x14ac:dyDescent="0.5">
      <c r="B394" s="1162" t="s">
        <v>2731</v>
      </c>
      <c r="C394" s="1163" t="s">
        <v>2733</v>
      </c>
      <c r="D394" s="1163" t="s">
        <v>3292</v>
      </c>
      <c r="E394" s="1164"/>
      <c r="F394" s="1165">
        <v>32318</v>
      </c>
      <c r="G394" s="1166" t="s">
        <v>2695</v>
      </c>
      <c r="H394" s="1167">
        <v>11.5</v>
      </c>
      <c r="I394" s="1168">
        <f>IF(DAY($F394)&gt;15, VLOOKUP(EOMONTH($F394,-1),'WP 3.1 Rate Case Regress.'!$C$5:$D$556,2,FALSE), VLOOKUP(EOMONTH($F394, -2), 'WP 3.1 Rate Case Regress.'!$C$5:$D$556, 2, FALSE))</f>
        <v>10.7919</v>
      </c>
    </row>
    <row r="395" spans="2:9" x14ac:dyDescent="0.5">
      <c r="B395" s="1162" t="s">
        <v>2728</v>
      </c>
      <c r="C395" s="1163" t="s">
        <v>2729</v>
      </c>
      <c r="D395" s="1163" t="s">
        <v>3293</v>
      </c>
      <c r="E395" s="1164"/>
      <c r="F395" s="1165">
        <v>32325</v>
      </c>
      <c r="G395" s="1166" t="s">
        <v>2695</v>
      </c>
      <c r="H395" s="1167">
        <v>12.75</v>
      </c>
      <c r="I395" s="1168">
        <f>IF(DAY($F395)&gt;15, VLOOKUP(EOMONTH($F395,-1),'WP 3.1 Rate Case Regress.'!$C$5:$D$556,2,FALSE), VLOOKUP(EOMONTH($F395, -2), 'WP 3.1 Rate Case Regress.'!$C$5:$D$556, 2, FALSE))</f>
        <v>10.7919</v>
      </c>
    </row>
    <row r="396" spans="2:9" x14ac:dyDescent="0.5">
      <c r="B396" s="1162" t="s">
        <v>2732</v>
      </c>
      <c r="C396" s="1163" t="s">
        <v>2975</v>
      </c>
      <c r="D396" s="1163" t="s">
        <v>3294</v>
      </c>
      <c r="E396" s="1164"/>
      <c r="F396" s="1165">
        <v>32332</v>
      </c>
      <c r="G396" s="1166" t="s">
        <v>2695</v>
      </c>
      <c r="H396" s="1167">
        <v>12</v>
      </c>
      <c r="I396" s="1168">
        <f>IF(DAY($F396)&gt;15, VLOOKUP(EOMONTH($F396,-1),'WP 3.1 Rate Case Regress.'!$C$5:$D$556,2,FALSE), VLOOKUP(EOMONTH($F396, -2), 'WP 3.1 Rate Case Regress.'!$C$5:$D$556, 2, FALSE))</f>
        <v>10.7919</v>
      </c>
    </row>
    <row r="397" spans="2:9" x14ac:dyDescent="0.5">
      <c r="B397" s="1162" t="s">
        <v>2704</v>
      </c>
      <c r="C397" s="1163" t="s">
        <v>2910</v>
      </c>
      <c r="D397" s="1163" t="s">
        <v>3295</v>
      </c>
      <c r="E397" s="1164"/>
      <c r="F397" s="1165">
        <v>32342</v>
      </c>
      <c r="G397" s="1166" t="s">
        <v>2695</v>
      </c>
      <c r="H397" s="1167">
        <v>12</v>
      </c>
      <c r="I397" s="1168">
        <f>IF(DAY($F397)&gt;15, VLOOKUP(EOMONTH($F397,-1),'WP 3.1 Rate Case Regress.'!$C$5:$D$556,2,FALSE), VLOOKUP(EOMONTH($F397, -2), 'WP 3.1 Rate Case Regress.'!$C$5:$D$556, 2, FALSE))</f>
        <v>10.8055</v>
      </c>
    </row>
    <row r="398" spans="2:9" x14ac:dyDescent="0.5">
      <c r="B398" s="1162" t="s">
        <v>2704</v>
      </c>
      <c r="C398" s="1163" t="s">
        <v>2927</v>
      </c>
      <c r="D398" s="1163" t="s">
        <v>3296</v>
      </c>
      <c r="E398" s="1164"/>
      <c r="F398" s="1165">
        <v>32344</v>
      </c>
      <c r="G398" s="1166" t="s">
        <v>2695</v>
      </c>
      <c r="H398" s="1167">
        <v>13.4</v>
      </c>
      <c r="I398" s="1168">
        <f>IF(DAY($F398)&gt;15, VLOOKUP(EOMONTH($F398,-1),'WP 3.1 Rate Case Regress.'!$C$5:$D$556,2,FALSE), VLOOKUP(EOMONTH($F398, -2), 'WP 3.1 Rate Case Regress.'!$C$5:$D$556, 2, FALSE))</f>
        <v>10.8055</v>
      </c>
    </row>
    <row r="399" spans="2:9" x14ac:dyDescent="0.5">
      <c r="B399" s="1162" t="s">
        <v>2752</v>
      </c>
      <c r="C399" s="1163" t="s">
        <v>2753</v>
      </c>
      <c r="D399" s="1163" t="s">
        <v>3297</v>
      </c>
      <c r="E399" s="1164"/>
      <c r="F399" s="1165">
        <v>32363</v>
      </c>
      <c r="G399" s="1166" t="s">
        <v>2695</v>
      </c>
      <c r="H399" s="1167">
        <v>12.74</v>
      </c>
      <c r="I399" s="1168">
        <f>IF(DAY($F399)&gt;15, VLOOKUP(EOMONTH($F399,-1),'WP 3.1 Rate Case Regress.'!$C$5:$D$556,2,FALSE), VLOOKUP(EOMONTH($F399, -2), 'WP 3.1 Rate Case Regress.'!$C$5:$D$556, 2, FALSE))</f>
        <v>10.8055</v>
      </c>
    </row>
    <row r="400" spans="2:9" x14ac:dyDescent="0.5">
      <c r="B400" s="1162" t="s">
        <v>2698</v>
      </c>
      <c r="C400" s="1163" t="s">
        <v>2895</v>
      </c>
      <c r="D400" s="1163" t="s">
        <v>3298</v>
      </c>
      <c r="E400" s="1164"/>
      <c r="F400" s="1165">
        <v>32406</v>
      </c>
      <c r="G400" s="1166" t="s">
        <v>2695</v>
      </c>
      <c r="H400" s="1167">
        <v>12.9</v>
      </c>
      <c r="I400" s="1168">
        <f>IF(DAY($F400)&gt;15, VLOOKUP(EOMONTH($F400,-1),'WP 3.1 Rate Case Regress.'!$C$5:$D$556,2,FALSE), VLOOKUP(EOMONTH($F400, -2), 'WP 3.1 Rate Case Regress.'!$C$5:$D$556, 2, FALSE))</f>
        <v>11.169600000000001</v>
      </c>
    </row>
    <row r="401" spans="2:9" x14ac:dyDescent="0.5">
      <c r="B401" s="1162" t="s">
        <v>2706</v>
      </c>
      <c r="C401" s="1163" t="s">
        <v>2906</v>
      </c>
      <c r="D401" s="1163" t="s">
        <v>3299</v>
      </c>
      <c r="E401" s="1164"/>
      <c r="F401" s="1165">
        <v>32412</v>
      </c>
      <c r="G401" s="1166" t="s">
        <v>2695</v>
      </c>
      <c r="H401" s="1167">
        <v>12.4</v>
      </c>
      <c r="I401" s="1168">
        <f>IF(DAY($F401)&gt;15, VLOOKUP(EOMONTH($F401,-1),'WP 3.1 Rate Case Regress.'!$C$5:$D$556,2,FALSE), VLOOKUP(EOMONTH($F401, -2), 'WP 3.1 Rate Case Regress.'!$C$5:$D$556, 2, FALSE))</f>
        <v>11.169600000000001</v>
      </c>
    </row>
    <row r="402" spans="2:9" x14ac:dyDescent="0.5">
      <c r="B402" s="1162" t="s">
        <v>2702</v>
      </c>
      <c r="C402" s="1163" t="s">
        <v>3007</v>
      </c>
      <c r="D402" s="1163" t="s">
        <v>3300</v>
      </c>
      <c r="E402" s="1164"/>
      <c r="F402" s="1165">
        <v>32413</v>
      </c>
      <c r="G402" s="1166" t="s">
        <v>2695</v>
      </c>
      <c r="H402" s="1167">
        <v>13.65</v>
      </c>
      <c r="I402" s="1168">
        <f>IF(DAY($F402)&gt;15, VLOOKUP(EOMONTH($F402,-1),'WP 3.1 Rate Case Regress.'!$C$5:$D$556,2,FALSE), VLOOKUP(EOMONTH($F402, -2), 'WP 3.1 Rate Case Regress.'!$C$5:$D$556, 2, FALSE))</f>
        <v>11.169600000000001</v>
      </c>
    </row>
    <row r="403" spans="2:9" x14ac:dyDescent="0.5">
      <c r="B403" s="1162" t="s">
        <v>2700</v>
      </c>
      <c r="C403" s="1163" t="s">
        <v>3082</v>
      </c>
      <c r="D403" s="1163" t="s">
        <v>3301</v>
      </c>
      <c r="E403" s="1164"/>
      <c r="F403" s="1165">
        <v>32416</v>
      </c>
      <c r="G403" s="1166" t="s">
        <v>2695</v>
      </c>
      <c r="H403" s="1167">
        <v>13.25</v>
      </c>
      <c r="I403" s="1168">
        <f>IF(DAY($F403)&gt;15, VLOOKUP(EOMONTH($F403,-1),'WP 3.1 Rate Case Regress.'!$C$5:$D$556,2,FALSE), VLOOKUP(EOMONTH($F403, -2), 'WP 3.1 Rate Case Regress.'!$C$5:$D$556, 2, FALSE))</f>
        <v>11.169600000000001</v>
      </c>
    </row>
    <row r="404" spans="2:9" x14ac:dyDescent="0.5">
      <c r="B404" s="1162" t="s">
        <v>2702</v>
      </c>
      <c r="C404" s="1163" t="s">
        <v>2749</v>
      </c>
      <c r="D404" s="1163" t="s">
        <v>3302</v>
      </c>
      <c r="E404" s="1164"/>
      <c r="F404" s="1165">
        <v>32429</v>
      </c>
      <c r="G404" s="1166" t="s">
        <v>2695</v>
      </c>
      <c r="H404" s="1167">
        <v>13.1</v>
      </c>
      <c r="I404" s="1168">
        <f>IF(DAY($F404)&gt;15, VLOOKUP(EOMONTH($F404,-1),'WP 3.1 Rate Case Regress.'!$C$5:$D$556,2,FALSE), VLOOKUP(EOMONTH($F404, -2), 'WP 3.1 Rate Case Regress.'!$C$5:$D$556, 2, FALSE))</f>
        <v>11.169600000000001</v>
      </c>
    </row>
    <row r="405" spans="2:9" x14ac:dyDescent="0.5">
      <c r="B405" s="1162" t="s">
        <v>2728</v>
      </c>
      <c r="C405" s="1163" t="s">
        <v>3144</v>
      </c>
      <c r="D405" s="1163" t="s">
        <v>3303</v>
      </c>
      <c r="E405" s="1164"/>
      <c r="F405" s="1165">
        <v>32437</v>
      </c>
      <c r="G405" s="1166" t="s">
        <v>2695</v>
      </c>
      <c r="H405" s="1167">
        <v>12.8</v>
      </c>
      <c r="I405" s="1168">
        <f>IF(DAY($F405)&gt;15, VLOOKUP(EOMONTH($F405,-1),'WP 3.1 Rate Case Regress.'!$C$5:$D$556,2,FALSE), VLOOKUP(EOMONTH($F405, -2), 'WP 3.1 Rate Case Regress.'!$C$5:$D$556, 2, FALSE))</f>
        <v>10.6662</v>
      </c>
    </row>
    <row r="406" spans="2:9" x14ac:dyDescent="0.5">
      <c r="B406" s="1162" t="s">
        <v>2744</v>
      </c>
      <c r="C406" s="1163" t="s">
        <v>3342</v>
      </c>
      <c r="D406" s="1163" t="s">
        <v>4780</v>
      </c>
      <c r="E406" s="1164"/>
      <c r="F406" s="1165">
        <v>32441</v>
      </c>
      <c r="G406" s="1166" t="s">
        <v>4585</v>
      </c>
      <c r="H406" s="1167">
        <v>13.25</v>
      </c>
      <c r="I406" s="1168">
        <f>IF(DAY($F406)&gt;15, VLOOKUP(EOMONTH($F406,-1),'WP 3.1 Rate Case Regress.'!$C$5:$D$556,2,FALSE), VLOOKUP(EOMONTH($F406, -2), 'WP 3.1 Rate Case Regress.'!$C$5:$D$556, 2, FALSE))</f>
        <v>10.6662</v>
      </c>
    </row>
    <row r="407" spans="2:9" x14ac:dyDescent="0.5">
      <c r="B407" s="1162" t="s">
        <v>2739</v>
      </c>
      <c r="C407" s="1163" t="s">
        <v>3070</v>
      </c>
      <c r="D407" s="1163" t="s">
        <v>3304</v>
      </c>
      <c r="E407" s="1164"/>
      <c r="F407" s="1165">
        <v>32442</v>
      </c>
      <c r="G407" s="1166" t="s">
        <v>2695</v>
      </c>
      <c r="H407" s="1167">
        <v>13.5</v>
      </c>
      <c r="I407" s="1168">
        <f>IF(DAY($F407)&gt;15, VLOOKUP(EOMONTH($F407,-1),'WP 3.1 Rate Case Regress.'!$C$5:$D$556,2,FALSE), VLOOKUP(EOMONTH($F407, -2), 'WP 3.1 Rate Case Regress.'!$C$5:$D$556, 2, FALSE))</f>
        <v>10.6662</v>
      </c>
    </row>
    <row r="408" spans="2:9" x14ac:dyDescent="0.5">
      <c r="B408" s="1162" t="s">
        <v>2734</v>
      </c>
      <c r="C408" s="1163" t="s">
        <v>2895</v>
      </c>
      <c r="D408" s="1163" t="s">
        <v>3305</v>
      </c>
      <c r="E408" s="1164"/>
      <c r="F408" s="1165">
        <v>32443</v>
      </c>
      <c r="G408" s="1166" t="s">
        <v>2695</v>
      </c>
      <c r="H408" s="1167">
        <v>12.95</v>
      </c>
      <c r="I408" s="1168">
        <f>IF(DAY($F408)&gt;15, VLOOKUP(EOMONTH($F408,-1),'WP 3.1 Rate Case Regress.'!$C$5:$D$556,2,FALSE), VLOOKUP(EOMONTH($F408, -2), 'WP 3.1 Rate Case Regress.'!$C$5:$D$556, 2, FALSE))</f>
        <v>10.6662</v>
      </c>
    </row>
    <row r="409" spans="2:9" x14ac:dyDescent="0.5">
      <c r="B409" s="1162" t="s">
        <v>2766</v>
      </c>
      <c r="C409" s="1163" t="s">
        <v>2895</v>
      </c>
      <c r="D409" s="1163" t="s">
        <v>3306</v>
      </c>
      <c r="E409" s="1164"/>
      <c r="F409" s="1165">
        <v>32444</v>
      </c>
      <c r="G409" s="1166" t="s">
        <v>2695</v>
      </c>
      <c r="H409" s="1167">
        <v>13</v>
      </c>
      <c r="I409" s="1168">
        <f>IF(DAY($F409)&gt;15, VLOOKUP(EOMONTH($F409,-1),'WP 3.1 Rate Case Regress.'!$C$5:$D$556,2,FALSE), VLOOKUP(EOMONTH($F409, -2), 'WP 3.1 Rate Case Regress.'!$C$5:$D$556, 2, FALSE))</f>
        <v>10.6662</v>
      </c>
    </row>
    <row r="410" spans="2:9" x14ac:dyDescent="0.5">
      <c r="B410" s="1162" t="s">
        <v>2732</v>
      </c>
      <c r="C410" s="1163" t="s">
        <v>2944</v>
      </c>
      <c r="D410" s="1163" t="s">
        <v>3307</v>
      </c>
      <c r="E410" s="1164"/>
      <c r="F410" s="1165">
        <v>32462</v>
      </c>
      <c r="G410" s="1166" t="s">
        <v>2695</v>
      </c>
      <c r="H410" s="1167">
        <v>12</v>
      </c>
      <c r="I410" s="1168">
        <f>IF(DAY($F410)&gt;15, VLOOKUP(EOMONTH($F410,-1),'WP 3.1 Rate Case Regress.'!$C$5:$D$556,2,FALSE), VLOOKUP(EOMONTH($F410, -2), 'WP 3.1 Rate Case Regress.'!$C$5:$D$556, 2, FALSE))</f>
        <v>10.6662</v>
      </c>
    </row>
    <row r="411" spans="2:9" x14ac:dyDescent="0.5">
      <c r="B411" s="1162" t="s">
        <v>2699</v>
      </c>
      <c r="C411" s="1163" t="s">
        <v>2628</v>
      </c>
      <c r="D411" s="1163" t="s">
        <v>3308</v>
      </c>
      <c r="E411" s="1164"/>
      <c r="F411" s="1165">
        <v>32476</v>
      </c>
      <c r="G411" s="1166" t="s">
        <v>2695</v>
      </c>
      <c r="H411" s="1167">
        <v>12.75</v>
      </c>
      <c r="I411" s="1168">
        <f>IF(DAY($F411)&gt;15, VLOOKUP(EOMONTH($F411,-1),'WP 3.1 Rate Case Regress.'!$C$5:$D$556,2,FALSE), VLOOKUP(EOMONTH($F411, -2), 'WP 3.1 Rate Case Regress.'!$C$5:$D$556, 2, FALSE))</f>
        <v>9.9814000000000007</v>
      </c>
    </row>
    <row r="412" spans="2:9" ht="30" x14ac:dyDescent="0.5">
      <c r="B412" s="1162" t="s">
        <v>2738</v>
      </c>
      <c r="C412" s="1163" t="s">
        <v>2741</v>
      </c>
      <c r="D412" s="1163" t="s">
        <v>3309</v>
      </c>
      <c r="E412" s="1164"/>
      <c r="F412" s="1165">
        <v>32496</v>
      </c>
      <c r="G412" s="1166" t="s">
        <v>2695</v>
      </c>
      <c r="H412" s="1167">
        <v>13</v>
      </c>
      <c r="I412" s="1168">
        <f>IF(DAY($F412)&gt;15, VLOOKUP(EOMONTH($F412,-1),'WP 3.1 Rate Case Regress.'!$C$5:$D$556,2,FALSE), VLOOKUP(EOMONTH($F412, -2), 'WP 3.1 Rate Case Regress.'!$C$5:$D$556, 2, FALSE))</f>
        <v>9.89</v>
      </c>
    </row>
    <row r="413" spans="2:9" x14ac:dyDescent="0.5">
      <c r="B413" s="1162" t="s">
        <v>2723</v>
      </c>
      <c r="C413" s="1163" t="s">
        <v>2730</v>
      </c>
      <c r="D413" s="1163" t="s">
        <v>3310</v>
      </c>
      <c r="E413" s="1164"/>
      <c r="F413" s="1165">
        <v>32498</v>
      </c>
      <c r="G413" s="1166" t="s">
        <v>2695</v>
      </c>
      <c r="H413" s="1167">
        <v>12.9</v>
      </c>
      <c r="I413" s="1168">
        <f>IF(DAY($F413)&gt;15, VLOOKUP(EOMONTH($F413,-1),'WP 3.1 Rate Case Regress.'!$C$5:$D$556,2,FALSE), VLOOKUP(EOMONTH($F413, -2), 'WP 3.1 Rate Case Regress.'!$C$5:$D$556, 2, FALSE))</f>
        <v>9.89</v>
      </c>
    </row>
    <row r="414" spans="2:9" x14ac:dyDescent="0.5">
      <c r="B414" s="1162" t="s">
        <v>2744</v>
      </c>
      <c r="C414" s="1163" t="s">
        <v>2972</v>
      </c>
      <c r="D414" s="1163" t="s">
        <v>3311</v>
      </c>
      <c r="E414" s="1164"/>
      <c r="F414" s="1165">
        <v>32499</v>
      </c>
      <c r="G414" s="1166" t="s">
        <v>2695</v>
      </c>
      <c r="H414" s="1167">
        <v>13.5</v>
      </c>
      <c r="I414" s="1168">
        <f>IF(DAY($F414)&gt;15, VLOOKUP(EOMONTH($F414,-1),'WP 3.1 Rate Case Regress.'!$C$5:$D$556,2,FALSE), VLOOKUP(EOMONTH($F414, -2), 'WP 3.1 Rate Case Regress.'!$C$5:$D$556, 2, FALSE))</f>
        <v>9.89</v>
      </c>
    </row>
    <row r="415" spans="2:9" x14ac:dyDescent="0.5">
      <c r="B415" s="1162" t="s">
        <v>2696</v>
      </c>
      <c r="C415" s="1163" t="s">
        <v>3177</v>
      </c>
      <c r="D415" s="1163" t="s">
        <v>3312</v>
      </c>
      <c r="E415" s="1164"/>
      <c r="F415" s="1165">
        <v>32534</v>
      </c>
      <c r="G415" s="1166" t="s">
        <v>2695</v>
      </c>
      <c r="H415" s="1167">
        <v>12.6</v>
      </c>
      <c r="I415" s="1168">
        <f>IF(DAY($F415)&gt;15, VLOOKUP(EOMONTH($F415,-1),'WP 3.1 Rate Case Regress.'!$C$5:$D$556,2,FALSE), VLOOKUP(EOMONTH($F415, -2), 'WP 3.1 Rate Case Regress.'!$C$5:$D$556, 2, FALSE))</f>
        <v>10.0519</v>
      </c>
    </row>
    <row r="416" spans="2:9" x14ac:dyDescent="0.5">
      <c r="B416" s="1162" t="s">
        <v>2702</v>
      </c>
      <c r="C416" s="1163" t="s">
        <v>2748</v>
      </c>
      <c r="D416" s="1163" t="s">
        <v>3313</v>
      </c>
      <c r="E416" s="1164"/>
      <c r="F416" s="1165">
        <v>32535</v>
      </c>
      <c r="G416" s="1166" t="s">
        <v>2695</v>
      </c>
      <c r="H416" s="1167">
        <v>13</v>
      </c>
      <c r="I416" s="1168">
        <f>IF(DAY($F416)&gt;15, VLOOKUP(EOMONTH($F416,-1),'WP 3.1 Rate Case Regress.'!$C$5:$D$556,2,FALSE), VLOOKUP(EOMONTH($F416, -2), 'WP 3.1 Rate Case Regress.'!$C$5:$D$556, 2, FALSE))</f>
        <v>10.0519</v>
      </c>
    </row>
    <row r="417" spans="2:9" x14ac:dyDescent="0.5">
      <c r="B417" s="1162" t="s">
        <v>2743</v>
      </c>
      <c r="C417" s="1163" t="s">
        <v>3012</v>
      </c>
      <c r="D417" s="1163" t="s">
        <v>3314</v>
      </c>
      <c r="E417" s="1164"/>
      <c r="F417" s="1165">
        <v>32547</v>
      </c>
      <c r="G417" s="1166" t="s">
        <v>2695</v>
      </c>
      <c r="H417" s="1167">
        <v>13.37</v>
      </c>
      <c r="I417" s="1168">
        <f>IF(DAY($F417)&gt;15, VLOOKUP(EOMONTH($F417,-1),'WP 3.1 Rate Case Regress.'!$C$5:$D$556,2,FALSE), VLOOKUP(EOMONTH($F417, -2), 'WP 3.1 Rate Case Regress.'!$C$5:$D$556, 2, FALSE))</f>
        <v>10.0519</v>
      </c>
    </row>
    <row r="418" spans="2:9" x14ac:dyDescent="0.5">
      <c r="B418" s="1162" t="s">
        <v>2704</v>
      </c>
      <c r="C418" s="1163" t="s">
        <v>2725</v>
      </c>
      <c r="D418" s="1163" t="s">
        <v>4781</v>
      </c>
      <c r="E418" s="1164"/>
      <c r="F418" s="1165">
        <v>32575</v>
      </c>
      <c r="G418" s="1166" t="s">
        <v>4585</v>
      </c>
      <c r="H418" s="1167">
        <v>13</v>
      </c>
      <c r="I418" s="1168">
        <f>IF(DAY($F418)&gt;15, VLOOKUP(EOMONTH($F418,-1),'WP 3.1 Rate Case Regress.'!$C$5:$D$556,2,FALSE), VLOOKUP(EOMONTH($F418, -2), 'WP 3.1 Rate Case Regress.'!$C$5:$D$556, 2, FALSE))</f>
        <v>10.0848</v>
      </c>
    </row>
    <row r="419" spans="2:9" x14ac:dyDescent="0.5">
      <c r="B419" s="1162" t="s">
        <v>2763</v>
      </c>
      <c r="C419" s="1163" t="s">
        <v>3059</v>
      </c>
      <c r="D419" s="1163" t="s">
        <v>3315</v>
      </c>
      <c r="E419" s="1164"/>
      <c r="F419" s="1165">
        <v>32632</v>
      </c>
      <c r="G419" s="1166" t="s">
        <v>2695</v>
      </c>
      <c r="H419" s="1167">
        <v>13</v>
      </c>
      <c r="I419" s="1168">
        <f>IF(DAY($F419)&gt;15, VLOOKUP(EOMONTH($F419,-1),'WP 3.1 Rate Case Regress.'!$C$5:$D$556,2,FALSE), VLOOKUP(EOMONTH($F419, -2), 'WP 3.1 Rate Case Regress.'!$C$5:$D$556, 2, FALSE))</f>
        <v>10.241400000000001</v>
      </c>
    </row>
    <row r="420" spans="2:9" x14ac:dyDescent="0.5">
      <c r="B420" s="1162" t="s">
        <v>2702</v>
      </c>
      <c r="C420" s="1163" t="s">
        <v>4701</v>
      </c>
      <c r="D420" s="1163" t="s">
        <v>3316</v>
      </c>
      <c r="E420" s="1164"/>
      <c r="F420" s="1165">
        <v>32667</v>
      </c>
      <c r="G420" s="1166" t="s">
        <v>2695</v>
      </c>
      <c r="H420" s="1167">
        <v>13.5</v>
      </c>
      <c r="I420" s="1168">
        <f>IF(DAY($F420)&gt;15, VLOOKUP(EOMONTH($F420,-1),'WP 3.1 Rate Case Regress.'!$C$5:$D$556,2,FALSE), VLOOKUP(EOMONTH($F420, -2), 'WP 3.1 Rate Case Regress.'!$C$5:$D$556, 2, FALSE))</f>
        <v>10.1905</v>
      </c>
    </row>
    <row r="421" spans="2:9" x14ac:dyDescent="0.5">
      <c r="B421" s="1162" t="s">
        <v>2704</v>
      </c>
      <c r="C421" s="1163" t="s">
        <v>2910</v>
      </c>
      <c r="D421" s="1163" t="s">
        <v>3317</v>
      </c>
      <c r="E421" s="1164"/>
      <c r="F421" s="1165">
        <v>32708</v>
      </c>
      <c r="G421" s="1166" t="s">
        <v>2695</v>
      </c>
      <c r="H421" s="1167">
        <v>11.8</v>
      </c>
      <c r="I421" s="1168">
        <f>IF(DAY($F421)&gt;15, VLOOKUP(EOMONTH($F421,-1),'WP 3.1 Rate Case Regress.'!$C$5:$D$556,2,FALSE), VLOOKUP(EOMONTH($F421, -2), 'WP 3.1 Rate Case Regress.'!$C$5:$D$556, 2, FALSE))</f>
        <v>9.6582000000000008</v>
      </c>
    </row>
    <row r="422" spans="2:9" x14ac:dyDescent="0.5">
      <c r="B422" s="1162" t="s">
        <v>2704</v>
      </c>
      <c r="C422" s="1163" t="s">
        <v>2725</v>
      </c>
      <c r="D422" s="1163" t="s">
        <v>4782</v>
      </c>
      <c r="E422" s="1164"/>
      <c r="F422" s="1165">
        <v>32714</v>
      </c>
      <c r="G422" s="1166" t="s">
        <v>4585</v>
      </c>
      <c r="H422" s="1167">
        <v>12.8</v>
      </c>
      <c r="I422" s="1168">
        <f>IF(DAY($F422)&gt;15, VLOOKUP(EOMONTH($F422,-1),'WP 3.1 Rate Case Regress.'!$C$5:$D$556,2,FALSE), VLOOKUP(EOMONTH($F422, -2), 'WP 3.1 Rate Case Regress.'!$C$5:$D$556, 2, FALSE))</f>
        <v>9.6582000000000008</v>
      </c>
    </row>
    <row r="423" spans="2:9" x14ac:dyDescent="0.5">
      <c r="B423" s="1162" t="s">
        <v>2699</v>
      </c>
      <c r="C423" s="1163" t="s">
        <v>2628</v>
      </c>
      <c r="D423" s="1163" t="s">
        <v>4783</v>
      </c>
      <c r="E423" s="1164"/>
      <c r="F423" s="1165">
        <v>32720</v>
      </c>
      <c r="G423" s="1166" t="s">
        <v>4585</v>
      </c>
      <c r="H423" s="1167">
        <v>13</v>
      </c>
      <c r="I423" s="1168">
        <f>IF(DAY($F423)&gt;15, VLOOKUP(EOMONTH($F423,-1),'WP 3.1 Rate Case Regress.'!$C$5:$D$556,2,FALSE), VLOOKUP(EOMONTH($F423, -2), 'WP 3.1 Rate Case Regress.'!$C$5:$D$556, 2, FALSE))</f>
        <v>9.6582000000000008</v>
      </c>
    </row>
    <row r="424" spans="2:9" x14ac:dyDescent="0.5">
      <c r="B424" s="1162" t="s">
        <v>2740</v>
      </c>
      <c r="C424" s="1163" t="s">
        <v>2964</v>
      </c>
      <c r="D424" s="1163" t="s">
        <v>3318</v>
      </c>
      <c r="E424" s="1164"/>
      <c r="F424" s="1165">
        <v>32734</v>
      </c>
      <c r="G424" s="1166" t="s">
        <v>2695</v>
      </c>
      <c r="H424" s="1167">
        <v>12.5</v>
      </c>
      <c r="I424" s="1168">
        <f>IF(DAY($F424)&gt;15, VLOOKUP(EOMONTH($F424,-1),'WP 3.1 Rate Case Regress.'!$C$5:$D$556,2,FALSE), VLOOKUP(EOMONTH($F424, -2), 'WP 3.1 Rate Case Regress.'!$C$5:$D$556, 2, FALSE))</f>
        <v>9.6582000000000008</v>
      </c>
    </row>
    <row r="425" spans="2:9" x14ac:dyDescent="0.5">
      <c r="B425" s="1162" t="s">
        <v>2698</v>
      </c>
      <c r="C425" s="1163" t="s">
        <v>2895</v>
      </c>
      <c r="D425" s="1163" t="s">
        <v>4784</v>
      </c>
      <c r="E425" s="1164"/>
      <c r="F425" s="1165">
        <v>32742</v>
      </c>
      <c r="G425" s="1166" t="s">
        <v>4585</v>
      </c>
      <c r="H425" s="1167">
        <v>12.8</v>
      </c>
      <c r="I425" s="1168">
        <f>IF(DAY($F425)&gt;15, VLOOKUP(EOMONTH($F425,-1),'WP 3.1 Rate Case Regress.'!$C$5:$D$556,2,FALSE), VLOOKUP(EOMONTH($F425, -2), 'WP 3.1 Rate Case Regress.'!$C$5:$D$556, 2, FALSE))</f>
        <v>9.5045000000000002</v>
      </c>
    </row>
    <row r="426" spans="2:9" x14ac:dyDescent="0.5">
      <c r="B426" s="1162" t="s">
        <v>2723</v>
      </c>
      <c r="C426" s="1163" t="s">
        <v>2921</v>
      </c>
      <c r="D426" s="1163" t="s">
        <v>3319</v>
      </c>
      <c r="E426" s="1164"/>
      <c r="F426" s="1165">
        <v>32743</v>
      </c>
      <c r="G426" s="1166" t="s">
        <v>2695</v>
      </c>
      <c r="H426" s="1167">
        <v>12.9</v>
      </c>
      <c r="I426" s="1168">
        <f>IF(DAY($F426)&gt;15, VLOOKUP(EOMONTH($F426,-1),'WP 3.1 Rate Case Regress.'!$C$5:$D$556,2,FALSE), VLOOKUP(EOMONTH($F426, -2), 'WP 3.1 Rate Case Regress.'!$C$5:$D$556, 2, FALSE))</f>
        <v>9.5045000000000002</v>
      </c>
    </row>
    <row r="427" spans="2:9" x14ac:dyDescent="0.5">
      <c r="B427" s="1162" t="s">
        <v>2704</v>
      </c>
      <c r="C427" s="1163" t="s">
        <v>2934</v>
      </c>
      <c r="D427" s="1163" t="s">
        <v>4785</v>
      </c>
      <c r="E427" s="1164"/>
      <c r="F427" s="1165">
        <v>32772</v>
      </c>
      <c r="G427" s="1166" t="s">
        <v>4585</v>
      </c>
      <c r="H427" s="1167">
        <v>12.1</v>
      </c>
      <c r="I427" s="1168">
        <f>IF(DAY($F427)&gt;15, VLOOKUP(EOMONTH($F427,-1),'WP 3.1 Rate Case Regress.'!$C$5:$D$556,2,FALSE), VLOOKUP(EOMONTH($F427, -2), 'WP 3.1 Rate Case Regress.'!$C$5:$D$556, 2, FALSE))</f>
        <v>9.5147999999999993</v>
      </c>
    </row>
    <row r="428" spans="2:9" x14ac:dyDescent="0.5">
      <c r="B428" s="1162" t="s">
        <v>2728</v>
      </c>
      <c r="C428" s="1163" t="s">
        <v>3144</v>
      </c>
      <c r="D428" s="1163" t="s">
        <v>3320</v>
      </c>
      <c r="E428" s="1164"/>
      <c r="F428" s="1165">
        <v>32787</v>
      </c>
      <c r="G428" s="1166" t="s">
        <v>2695</v>
      </c>
      <c r="H428" s="1167">
        <v>13</v>
      </c>
      <c r="I428" s="1168">
        <f>IF(DAY($F428)&gt;15, VLOOKUP(EOMONTH($F428,-1),'WP 3.1 Rate Case Regress.'!$C$5:$D$556,2,FALSE), VLOOKUP(EOMONTH($F428, -2), 'WP 3.1 Rate Case Regress.'!$C$5:$D$556, 2, FALSE))</f>
        <v>9.5147999999999993</v>
      </c>
    </row>
    <row r="429" spans="2:9" ht="30" x14ac:dyDescent="0.5">
      <c r="B429" s="1162" t="s">
        <v>2710</v>
      </c>
      <c r="C429" s="1163" t="s">
        <v>3000</v>
      </c>
      <c r="D429" s="1163" t="s">
        <v>3321</v>
      </c>
      <c r="E429" s="1164"/>
      <c r="F429" s="1165">
        <v>32798</v>
      </c>
      <c r="G429" s="1166" t="s">
        <v>2695</v>
      </c>
      <c r="H429" s="1167">
        <v>12.41</v>
      </c>
      <c r="I429" s="1168">
        <f>IF(DAY($F429)&gt;15, VLOOKUP(EOMONTH($F429,-1),'WP 3.1 Rate Case Regress.'!$C$5:$D$556,2,FALSE), VLOOKUP(EOMONTH($F429, -2), 'WP 3.1 Rate Case Regress.'!$C$5:$D$556, 2, FALSE))</f>
        <v>9.5839999999999996</v>
      </c>
    </row>
    <row r="430" spans="2:9" x14ac:dyDescent="0.5">
      <c r="B430" s="1162" t="s">
        <v>2774</v>
      </c>
      <c r="C430" s="1163" t="s">
        <v>3493</v>
      </c>
      <c r="D430" s="1163" t="s">
        <v>4786</v>
      </c>
      <c r="E430" s="1164"/>
      <c r="F430" s="1165">
        <v>32799</v>
      </c>
      <c r="G430" s="1166" t="s">
        <v>4585</v>
      </c>
      <c r="H430" s="1167">
        <v>13.25</v>
      </c>
      <c r="I430" s="1168">
        <f>IF(DAY($F430)&gt;15, VLOOKUP(EOMONTH($F430,-1),'WP 3.1 Rate Case Regress.'!$C$5:$D$556,2,FALSE), VLOOKUP(EOMONTH($F430, -2), 'WP 3.1 Rate Case Regress.'!$C$5:$D$556, 2, FALSE))</f>
        <v>9.5839999999999996</v>
      </c>
    </row>
    <row r="431" spans="2:9" x14ac:dyDescent="0.5">
      <c r="B431" s="1162" t="s">
        <v>2736</v>
      </c>
      <c r="C431" s="1163" t="s">
        <v>2727</v>
      </c>
      <c r="D431" s="1163" t="s">
        <v>4787</v>
      </c>
      <c r="E431" s="1164"/>
      <c r="F431" s="1165">
        <v>32801</v>
      </c>
      <c r="G431" s="1166" t="s">
        <v>4585</v>
      </c>
      <c r="H431" s="1167">
        <v>12.9</v>
      </c>
      <c r="I431" s="1168">
        <f>IF(DAY($F431)&gt;15, VLOOKUP(EOMONTH($F431,-1),'WP 3.1 Rate Case Regress.'!$C$5:$D$556,2,FALSE), VLOOKUP(EOMONTH($F431, -2), 'WP 3.1 Rate Case Regress.'!$C$5:$D$556, 2, FALSE))</f>
        <v>9.5839999999999996</v>
      </c>
    </row>
    <row r="432" spans="2:9" x14ac:dyDescent="0.5">
      <c r="B432" s="1162" t="s">
        <v>2702</v>
      </c>
      <c r="C432" s="1163" t="s">
        <v>2903</v>
      </c>
      <c r="D432" s="1163" t="s">
        <v>3322</v>
      </c>
      <c r="E432" s="1164"/>
      <c r="F432" s="1165">
        <v>32812</v>
      </c>
      <c r="G432" s="1166" t="s">
        <v>2695</v>
      </c>
      <c r="H432" s="1167">
        <v>13.6</v>
      </c>
      <c r="I432" s="1168">
        <f>IF(DAY($F432)&gt;15, VLOOKUP(EOMONTH($F432,-1),'WP 3.1 Rate Case Regress.'!$C$5:$D$556,2,FALSE), VLOOKUP(EOMONTH($F432, -2), 'WP 3.1 Rate Case Regress.'!$C$5:$D$556, 2, FALSE))</f>
        <v>9.5839999999999996</v>
      </c>
    </row>
    <row r="433" spans="2:9" x14ac:dyDescent="0.5">
      <c r="B433" s="1162" t="s">
        <v>2768</v>
      </c>
      <c r="C433" s="1163" t="s">
        <v>3012</v>
      </c>
      <c r="D433" s="1163" t="s">
        <v>4788</v>
      </c>
      <c r="E433" s="1164"/>
      <c r="F433" s="1165">
        <v>32815</v>
      </c>
      <c r="G433" s="1166" t="s">
        <v>4585</v>
      </c>
      <c r="H433" s="1167">
        <v>12.93</v>
      </c>
      <c r="I433" s="1168">
        <f>IF(DAY($F433)&gt;15, VLOOKUP(EOMONTH($F433,-1),'WP 3.1 Rate Case Regress.'!$C$5:$D$556,2,FALSE), VLOOKUP(EOMONTH($F433, -2), 'WP 3.1 Rate Case Regress.'!$C$5:$D$556, 2, FALSE))</f>
        <v>9.5839999999999996</v>
      </c>
    </row>
    <row r="434" spans="2:9" x14ac:dyDescent="0.5">
      <c r="B434" s="1162" t="s">
        <v>2743</v>
      </c>
      <c r="C434" s="1163" t="s">
        <v>2969</v>
      </c>
      <c r="D434" s="1163" t="s">
        <v>3323</v>
      </c>
      <c r="E434" s="1164"/>
      <c r="F434" s="1165">
        <v>32817</v>
      </c>
      <c r="G434" s="1166" t="s">
        <v>2695</v>
      </c>
      <c r="H434" s="1167">
        <v>13.2</v>
      </c>
      <c r="I434" s="1168">
        <f>IF(DAY($F434)&gt;15, VLOOKUP(EOMONTH($F434,-1),'WP 3.1 Rate Case Regress.'!$C$5:$D$556,2,FALSE), VLOOKUP(EOMONTH($F434, -2), 'WP 3.1 Rate Case Regress.'!$C$5:$D$556, 2, FALSE))</f>
        <v>9.5839999999999996</v>
      </c>
    </row>
    <row r="435" spans="2:9" x14ac:dyDescent="0.5">
      <c r="B435" s="1162" t="s">
        <v>2702</v>
      </c>
      <c r="C435" s="1163" t="s">
        <v>2749</v>
      </c>
      <c r="D435" s="1163" t="s">
        <v>3324</v>
      </c>
      <c r="E435" s="1164"/>
      <c r="F435" s="1165">
        <v>32821</v>
      </c>
      <c r="G435" s="1166" t="s">
        <v>2695</v>
      </c>
      <c r="H435" s="1167">
        <v>13</v>
      </c>
      <c r="I435" s="1168">
        <f>IF(DAY($F435)&gt;15, VLOOKUP(EOMONTH($F435,-1),'WP 3.1 Rate Case Regress.'!$C$5:$D$556,2,FALSE), VLOOKUP(EOMONTH($F435, -2), 'WP 3.1 Rate Case Regress.'!$C$5:$D$556, 2, FALSE))</f>
        <v>9.5839999999999996</v>
      </c>
    </row>
    <row r="436" spans="2:9" x14ac:dyDescent="0.5">
      <c r="B436" s="1162" t="s">
        <v>2768</v>
      </c>
      <c r="C436" s="1163" t="s">
        <v>2944</v>
      </c>
      <c r="D436" s="1163" t="s">
        <v>4789</v>
      </c>
      <c r="E436" s="1164"/>
      <c r="F436" s="1165">
        <v>32821</v>
      </c>
      <c r="G436" s="1166" t="s">
        <v>4585</v>
      </c>
      <c r="H436" s="1167">
        <v>12.6</v>
      </c>
      <c r="I436" s="1168">
        <f>IF(DAY($F436)&gt;15, VLOOKUP(EOMONTH($F436,-1),'WP 3.1 Rate Case Regress.'!$C$5:$D$556,2,FALSE), VLOOKUP(EOMONTH($F436, -2), 'WP 3.1 Rate Case Regress.'!$C$5:$D$556, 2, FALSE))</f>
        <v>9.5839999999999996</v>
      </c>
    </row>
    <row r="437" spans="2:9" ht="30" x14ac:dyDescent="0.5">
      <c r="B437" s="1162" t="s">
        <v>2757</v>
      </c>
      <c r="C437" s="1163" t="s">
        <v>2765</v>
      </c>
      <c r="D437" s="1163" t="s">
        <v>3325</v>
      </c>
      <c r="E437" s="1164"/>
      <c r="F437" s="1165">
        <v>32840</v>
      </c>
      <c r="G437" s="1166" t="s">
        <v>2695</v>
      </c>
      <c r="H437" s="1167">
        <v>12.75</v>
      </c>
      <c r="I437" s="1168">
        <f>IF(DAY($F437)&gt;15, VLOOKUP(EOMONTH($F437,-1),'WP 3.1 Rate Case Regress.'!$C$5:$D$556,2,FALSE), VLOOKUP(EOMONTH($F437, -2), 'WP 3.1 Rate Case Regress.'!$C$5:$D$556, 2, FALSE))</f>
        <v>9.5381999999999998</v>
      </c>
    </row>
    <row r="438" spans="2:9" x14ac:dyDescent="0.5">
      <c r="B438" s="1162" t="s">
        <v>2744</v>
      </c>
      <c r="C438" s="1163" t="s">
        <v>2770</v>
      </c>
      <c r="D438" s="1163" t="s">
        <v>3326</v>
      </c>
      <c r="E438" s="1164"/>
      <c r="F438" s="1165">
        <v>32849</v>
      </c>
      <c r="G438" s="1166" t="s">
        <v>2695</v>
      </c>
      <c r="H438" s="1167">
        <v>13.25</v>
      </c>
      <c r="I438" s="1168">
        <f>IF(DAY($F438)&gt;15, VLOOKUP(EOMONTH($F438,-1),'WP 3.1 Rate Case Regress.'!$C$5:$D$556,2,FALSE), VLOOKUP(EOMONTH($F438, -2), 'WP 3.1 Rate Case Regress.'!$C$5:$D$556, 2, FALSE))</f>
        <v>9.5381999999999998</v>
      </c>
    </row>
    <row r="439" spans="2:9" x14ac:dyDescent="0.5">
      <c r="B439" s="1162" t="s">
        <v>2698</v>
      </c>
      <c r="C439" s="1163" t="s">
        <v>2722</v>
      </c>
      <c r="D439" s="1163" t="s">
        <v>3327</v>
      </c>
      <c r="E439" s="1164"/>
      <c r="F439" s="1165">
        <v>32857</v>
      </c>
      <c r="G439" s="1166" t="s">
        <v>2695</v>
      </c>
      <c r="H439" s="1167">
        <v>13</v>
      </c>
      <c r="I439" s="1168">
        <f>IF(DAY($F439)&gt;15, VLOOKUP(EOMONTH($F439,-1),'WP 3.1 Rate Case Regress.'!$C$5:$D$556,2,FALSE), VLOOKUP(EOMONTH($F439, -2), 'WP 3.1 Rate Case Regress.'!$C$5:$D$556, 2, FALSE))</f>
        <v>9.5381999999999998</v>
      </c>
    </row>
    <row r="440" spans="2:9" ht="30" x14ac:dyDescent="0.5">
      <c r="B440" s="1162" t="s">
        <v>2738</v>
      </c>
      <c r="C440" s="1163" t="s">
        <v>2760</v>
      </c>
      <c r="D440" s="1163" t="s">
        <v>3328</v>
      </c>
      <c r="E440" s="1164"/>
      <c r="F440" s="1165">
        <v>32862</v>
      </c>
      <c r="G440" s="1166" t="s">
        <v>2695</v>
      </c>
      <c r="H440" s="1167">
        <v>12.9</v>
      </c>
      <c r="I440" s="1168">
        <f>IF(DAY($F440)&gt;15, VLOOKUP(EOMONTH($F440,-1),'WP 3.1 Rate Case Regress.'!$C$5:$D$556,2,FALSE), VLOOKUP(EOMONTH($F440, -2), 'WP 3.1 Rate Case Regress.'!$C$5:$D$556, 2, FALSE))</f>
        <v>9.5157000000000007</v>
      </c>
    </row>
    <row r="441" spans="2:9" x14ac:dyDescent="0.5">
      <c r="B441" s="1162" t="s">
        <v>2702</v>
      </c>
      <c r="C441" s="1163" t="s">
        <v>2748</v>
      </c>
      <c r="D441" s="1163" t="s">
        <v>3329</v>
      </c>
      <c r="E441" s="1164"/>
      <c r="F441" s="1165">
        <v>32863</v>
      </c>
      <c r="G441" s="1166" t="s">
        <v>2695</v>
      </c>
      <c r="H441" s="1167">
        <v>12.9</v>
      </c>
      <c r="I441" s="1168">
        <f>IF(DAY($F441)&gt;15, VLOOKUP(EOMONTH($F441,-1),'WP 3.1 Rate Case Regress.'!$C$5:$D$556,2,FALSE), VLOOKUP(EOMONTH($F441, -2), 'WP 3.1 Rate Case Regress.'!$C$5:$D$556, 2, FALSE))</f>
        <v>9.5157000000000007</v>
      </c>
    </row>
    <row r="442" spans="2:9" x14ac:dyDescent="0.5">
      <c r="B442" s="1162" t="s">
        <v>2696</v>
      </c>
      <c r="C442" s="1163" t="s">
        <v>2910</v>
      </c>
      <c r="D442" s="1163" t="s">
        <v>3330</v>
      </c>
      <c r="E442" s="1164"/>
      <c r="F442" s="1165">
        <v>32863</v>
      </c>
      <c r="G442" s="1166" t="s">
        <v>2695</v>
      </c>
      <c r="H442" s="1167">
        <v>12.8</v>
      </c>
      <c r="I442" s="1168">
        <f>IF(DAY($F442)&gt;15, VLOOKUP(EOMONTH($F442,-1),'WP 3.1 Rate Case Regress.'!$C$5:$D$556,2,FALSE), VLOOKUP(EOMONTH($F442, -2), 'WP 3.1 Rate Case Regress.'!$C$5:$D$556, 2, FALSE))</f>
        <v>9.5157000000000007</v>
      </c>
    </row>
    <row r="443" spans="2:9" x14ac:dyDescent="0.5">
      <c r="B443" s="1162" t="s">
        <v>2702</v>
      </c>
      <c r="C443" s="1163" t="s">
        <v>2755</v>
      </c>
      <c r="D443" s="1163" t="s">
        <v>3331</v>
      </c>
      <c r="E443" s="1164"/>
      <c r="F443" s="1165">
        <v>32869</v>
      </c>
      <c r="G443" s="1166" t="s">
        <v>2695</v>
      </c>
      <c r="H443" s="1167">
        <v>12.5</v>
      </c>
      <c r="I443" s="1168">
        <f>IF(DAY($F443)&gt;15, VLOOKUP(EOMONTH($F443,-1),'WP 3.1 Rate Case Regress.'!$C$5:$D$556,2,FALSE), VLOOKUP(EOMONTH($F443, -2), 'WP 3.1 Rate Case Regress.'!$C$5:$D$556, 2, FALSE))</f>
        <v>9.5157000000000007</v>
      </c>
    </row>
    <row r="444" spans="2:9" ht="30" x14ac:dyDescent="0.5">
      <c r="B444" s="1162" t="s">
        <v>2738</v>
      </c>
      <c r="C444" s="1163" t="s">
        <v>2954</v>
      </c>
      <c r="D444" s="1163" t="s">
        <v>3332</v>
      </c>
      <c r="E444" s="1164"/>
      <c r="F444" s="1165">
        <v>32882</v>
      </c>
      <c r="G444" s="1166" t="s">
        <v>2695</v>
      </c>
      <c r="H444" s="1167">
        <v>13</v>
      </c>
      <c r="I444" s="1168">
        <f>IF(DAY($F444)&gt;15, VLOOKUP(EOMONTH($F444,-1),'WP 3.1 Rate Case Regress.'!$C$5:$D$556,2,FALSE), VLOOKUP(EOMONTH($F444, -2), 'WP 3.1 Rate Case Regress.'!$C$5:$D$556, 2, FALSE))</f>
        <v>9.5157000000000007</v>
      </c>
    </row>
    <row r="445" spans="2:9" x14ac:dyDescent="0.5">
      <c r="B445" s="1162" t="s">
        <v>2712</v>
      </c>
      <c r="C445" s="1163" t="s">
        <v>3333</v>
      </c>
      <c r="D445" s="1163" t="s">
        <v>3334</v>
      </c>
      <c r="E445" s="1164"/>
      <c r="F445" s="1165">
        <v>32891</v>
      </c>
      <c r="G445" s="1166" t="s">
        <v>2695</v>
      </c>
      <c r="H445" s="1167">
        <v>12.5</v>
      </c>
      <c r="I445" s="1168">
        <f>IF(DAY($F445)&gt;15, VLOOKUP(EOMONTH($F445,-1),'WP 3.1 Rate Case Regress.'!$C$5:$D$556,2,FALSE), VLOOKUP(EOMONTH($F445, -2), 'WP 3.1 Rate Case Regress.'!$C$5:$D$556, 2, FALSE))</f>
        <v>9.4335000000000004</v>
      </c>
    </row>
    <row r="446" spans="2:9" x14ac:dyDescent="0.5">
      <c r="B446" s="1162" t="s">
        <v>2704</v>
      </c>
      <c r="C446" s="1163" t="s">
        <v>3121</v>
      </c>
      <c r="D446" s="1163" t="s">
        <v>3335</v>
      </c>
      <c r="E446" s="1164"/>
      <c r="F446" s="1165">
        <v>32899</v>
      </c>
      <c r="G446" s="1166" t="s">
        <v>2695</v>
      </c>
      <c r="H446" s="1167">
        <v>12.1</v>
      </c>
      <c r="I446" s="1168">
        <f>IF(DAY($F446)&gt;15, VLOOKUP(EOMONTH($F446,-1),'WP 3.1 Rate Case Regress.'!$C$5:$D$556,2,FALSE), VLOOKUP(EOMONTH($F446, -2), 'WP 3.1 Rate Case Regress.'!$C$5:$D$556, 2, FALSE))</f>
        <v>9.4335000000000004</v>
      </c>
    </row>
    <row r="447" spans="2:9" x14ac:dyDescent="0.5">
      <c r="B447" s="1162" t="s">
        <v>2712</v>
      </c>
      <c r="C447" s="1163" t="s">
        <v>3255</v>
      </c>
      <c r="D447" s="1163" t="s">
        <v>3336</v>
      </c>
      <c r="E447" s="1164"/>
      <c r="F447" s="1165">
        <v>32953</v>
      </c>
      <c r="G447" s="1166" t="s">
        <v>2695</v>
      </c>
      <c r="H447" s="1167">
        <v>12.8</v>
      </c>
      <c r="I447" s="1168">
        <f>IF(DAY($F447)&gt;15, VLOOKUP(EOMONTH($F447,-1),'WP 3.1 Rate Case Regress.'!$C$5:$D$556,2,FALSE), VLOOKUP(EOMONTH($F447, -2), 'WP 3.1 Rate Case Regress.'!$C$5:$D$556, 2, FALSE))</f>
        <v>9.7562999999999995</v>
      </c>
    </row>
    <row r="448" spans="2:9" x14ac:dyDescent="0.5">
      <c r="B448" s="1162" t="s">
        <v>2723</v>
      </c>
      <c r="C448" s="1163" t="s">
        <v>2949</v>
      </c>
      <c r="D448" s="1163" t="s">
        <v>3337</v>
      </c>
      <c r="E448" s="1164"/>
      <c r="F448" s="1165">
        <v>32960</v>
      </c>
      <c r="G448" s="1166" t="s">
        <v>2695</v>
      </c>
      <c r="H448" s="1167">
        <v>13</v>
      </c>
      <c r="I448" s="1168">
        <f>IF(DAY($F448)&gt;15, VLOOKUP(EOMONTH($F448,-1),'WP 3.1 Rate Case Regress.'!$C$5:$D$556,2,FALSE), VLOOKUP(EOMONTH($F448, -2), 'WP 3.1 Rate Case Regress.'!$C$5:$D$556, 2, FALSE))</f>
        <v>9.7562999999999995</v>
      </c>
    </row>
    <row r="449" spans="2:9" ht="30" x14ac:dyDescent="0.5">
      <c r="B449" s="1162" t="s">
        <v>2710</v>
      </c>
      <c r="C449" s="1163" t="s">
        <v>3000</v>
      </c>
      <c r="D449" s="1163" t="s">
        <v>3338</v>
      </c>
      <c r="E449" s="1164"/>
      <c r="F449" s="1165">
        <v>32968</v>
      </c>
      <c r="G449" s="1166" t="s">
        <v>2695</v>
      </c>
      <c r="H449" s="1167">
        <v>12.2</v>
      </c>
      <c r="I449" s="1168">
        <f>IF(DAY($F449)&gt;15, VLOOKUP(EOMONTH($F449,-1),'WP 3.1 Rate Case Regress.'!$C$5:$D$556,2,FALSE), VLOOKUP(EOMONTH($F449, -2), 'WP 3.1 Rate Case Regress.'!$C$5:$D$556, 2, FALSE))</f>
        <v>9.7562999999999995</v>
      </c>
    </row>
    <row r="450" spans="2:9" x14ac:dyDescent="0.5">
      <c r="B450" s="1162" t="s">
        <v>2744</v>
      </c>
      <c r="C450" s="1163" t="s">
        <v>2972</v>
      </c>
      <c r="D450" s="1163" t="s">
        <v>4790</v>
      </c>
      <c r="E450" s="1164"/>
      <c r="F450" s="1165">
        <v>32975</v>
      </c>
      <c r="G450" s="1166" t="s">
        <v>4585</v>
      </c>
      <c r="H450" s="1167">
        <v>13.25</v>
      </c>
      <c r="I450" s="1168">
        <f>IF(DAY($F450)&gt;15, VLOOKUP(EOMONTH($F450,-1),'WP 3.1 Rate Case Regress.'!$C$5:$D$556,2,FALSE), VLOOKUP(EOMONTH($F450, -2), 'WP 3.1 Rate Case Regress.'!$C$5:$D$556, 2, FALSE))</f>
        <v>9.7562999999999995</v>
      </c>
    </row>
    <row r="451" spans="2:9" x14ac:dyDescent="0.5">
      <c r="B451" s="1162" t="s">
        <v>2708</v>
      </c>
      <c r="C451" s="1163" t="s">
        <v>2747</v>
      </c>
      <c r="D451" s="1163" t="s">
        <v>3339</v>
      </c>
      <c r="E451" s="1164"/>
      <c r="F451" s="1165">
        <v>32993</v>
      </c>
      <c r="G451" s="1166" t="s">
        <v>2695</v>
      </c>
      <c r="H451" s="1167">
        <v>12.45</v>
      </c>
      <c r="I451" s="1168">
        <f>IF(DAY($F451)&gt;15, VLOOKUP(EOMONTH($F451,-1),'WP 3.1 Rate Case Regress.'!$C$5:$D$556,2,FALSE), VLOOKUP(EOMONTH($F451, -2), 'WP 3.1 Rate Case Regress.'!$C$5:$D$556, 2, FALSE))</f>
        <v>9.8463999999999992</v>
      </c>
    </row>
    <row r="452" spans="2:9" x14ac:dyDescent="0.5">
      <c r="B452" s="1162" t="s">
        <v>2734</v>
      </c>
      <c r="C452" s="1163" t="s">
        <v>2895</v>
      </c>
      <c r="D452" s="1163" t="s">
        <v>4791</v>
      </c>
      <c r="E452" s="1164"/>
      <c r="F452" s="1165">
        <v>33024</v>
      </c>
      <c r="G452" s="1166" t="s">
        <v>4585</v>
      </c>
      <c r="H452" s="1167">
        <v>12.4</v>
      </c>
      <c r="I452" s="1168">
        <f>IF(DAY($F452)&gt;15, VLOOKUP(EOMONTH($F452,-1),'WP 3.1 Rate Case Regress.'!$C$5:$D$556,2,FALSE), VLOOKUP(EOMONTH($F452, -2), 'WP 3.1 Rate Case Regress.'!$C$5:$D$556, 2, FALSE))</f>
        <v>9.9105000000000008</v>
      </c>
    </row>
    <row r="453" spans="2:9" ht="30" x14ac:dyDescent="0.5">
      <c r="B453" s="1162" t="s">
        <v>2702</v>
      </c>
      <c r="C453" s="1163" t="s">
        <v>4701</v>
      </c>
      <c r="D453" s="1163" t="s">
        <v>3340</v>
      </c>
      <c r="E453" s="1164"/>
      <c r="F453" s="1165">
        <v>33039</v>
      </c>
      <c r="G453" s="1166" t="s">
        <v>2695</v>
      </c>
      <c r="H453" s="1167">
        <v>13.2</v>
      </c>
      <c r="I453" s="1168">
        <f>IF(DAY($F453)&gt;15, VLOOKUP(EOMONTH($F453,-1),'WP 3.1 Rate Case Regress.'!$C$5:$D$556,2,FALSE), VLOOKUP(EOMONTH($F453, -2), 'WP 3.1 Rate Case Regress.'!$C$5:$D$556, 2, FALSE))</f>
        <v>9.9105000000000008</v>
      </c>
    </row>
    <row r="454" spans="2:9" ht="30" x14ac:dyDescent="0.5">
      <c r="B454" s="1162" t="s">
        <v>2702</v>
      </c>
      <c r="C454" s="1163" t="s">
        <v>2749</v>
      </c>
      <c r="D454" s="1163" t="s">
        <v>3341</v>
      </c>
      <c r="E454" s="1164"/>
      <c r="F454" s="1165">
        <v>33051</v>
      </c>
      <c r="G454" s="1166" t="s">
        <v>2695</v>
      </c>
      <c r="H454" s="1167">
        <v>12.9</v>
      </c>
      <c r="I454" s="1168">
        <f>IF(DAY($F454)&gt;15, VLOOKUP(EOMONTH($F454,-1),'WP 3.1 Rate Case Regress.'!$C$5:$D$556,2,FALSE), VLOOKUP(EOMONTH($F454, -2), 'WP 3.1 Rate Case Regress.'!$C$5:$D$556, 2, FALSE))</f>
        <v>10.0059</v>
      </c>
    </row>
    <row r="455" spans="2:9" x14ac:dyDescent="0.5">
      <c r="B455" s="1162" t="s">
        <v>2744</v>
      </c>
      <c r="C455" s="1163" t="s">
        <v>3342</v>
      </c>
      <c r="D455" s="1163" t="s">
        <v>3343</v>
      </c>
      <c r="E455" s="1164"/>
      <c r="F455" s="1165">
        <v>33053</v>
      </c>
      <c r="G455" s="1166" t="s">
        <v>2695</v>
      </c>
      <c r="H455" s="1167">
        <v>13.25</v>
      </c>
      <c r="I455" s="1168">
        <f>IF(DAY($F455)&gt;15, VLOOKUP(EOMONTH($F455,-1),'WP 3.1 Rate Case Regress.'!$C$5:$D$556,2,FALSE), VLOOKUP(EOMONTH($F455, -2), 'WP 3.1 Rate Case Regress.'!$C$5:$D$556, 2, FALSE))</f>
        <v>10.0059</v>
      </c>
    </row>
    <row r="456" spans="2:9" x14ac:dyDescent="0.5">
      <c r="B456" s="1162" t="s">
        <v>2704</v>
      </c>
      <c r="C456" s="1163" t="s">
        <v>2927</v>
      </c>
      <c r="D456" s="1163" t="s">
        <v>3344</v>
      </c>
      <c r="E456" s="1164"/>
      <c r="F456" s="1165">
        <v>33060</v>
      </c>
      <c r="G456" s="1166" t="s">
        <v>2695</v>
      </c>
      <c r="H456" s="1167">
        <v>12.1</v>
      </c>
      <c r="I456" s="1168">
        <f>IF(DAY($F456)&gt;15, VLOOKUP(EOMONTH($F456,-1),'WP 3.1 Rate Case Regress.'!$C$5:$D$556,2,FALSE), VLOOKUP(EOMONTH($F456, -2), 'WP 3.1 Rate Case Regress.'!$C$5:$D$556, 2, FALSE))</f>
        <v>10.0059</v>
      </c>
    </row>
    <row r="457" spans="2:9" x14ac:dyDescent="0.5">
      <c r="B457" s="1162" t="s">
        <v>2704</v>
      </c>
      <c r="C457" s="1163" t="s">
        <v>2910</v>
      </c>
      <c r="D457" s="1163" t="s">
        <v>3345</v>
      </c>
      <c r="E457" s="1164"/>
      <c r="F457" s="1165">
        <v>33073</v>
      </c>
      <c r="G457" s="1166" t="s">
        <v>2695</v>
      </c>
      <c r="H457" s="1167">
        <v>11.7</v>
      </c>
      <c r="I457" s="1168">
        <f>IF(DAY($F457)&gt;15, VLOOKUP(EOMONTH($F457,-1),'WP 3.1 Rate Case Regress.'!$C$5:$D$556,2,FALSE), VLOOKUP(EOMONTH($F457, -2), 'WP 3.1 Rate Case Regress.'!$C$5:$D$556, 2, FALSE))</f>
        <v>9.81</v>
      </c>
    </row>
    <row r="458" spans="2:9" x14ac:dyDescent="0.5">
      <c r="B458" s="1162" t="s">
        <v>2717</v>
      </c>
      <c r="C458" s="1163" t="s">
        <v>2939</v>
      </c>
      <c r="D458" s="1163" t="s">
        <v>3346</v>
      </c>
      <c r="E458" s="1164"/>
      <c r="F458" s="1165">
        <v>33116</v>
      </c>
      <c r="G458" s="1166" t="s">
        <v>2695</v>
      </c>
      <c r="H458" s="1167">
        <v>12.5</v>
      </c>
      <c r="I458" s="1168">
        <f>IF(DAY($F458)&gt;15, VLOOKUP(EOMONTH($F458,-1),'WP 3.1 Rate Case Regress.'!$C$5:$D$556,2,FALSE), VLOOKUP(EOMONTH($F458, -2), 'WP 3.1 Rate Case Regress.'!$C$5:$D$556, 2, FALSE))</f>
        <v>9.7581000000000007</v>
      </c>
    </row>
    <row r="459" spans="2:9" x14ac:dyDescent="0.5">
      <c r="B459" s="1162" t="s">
        <v>2717</v>
      </c>
      <c r="C459" s="1163" t="s">
        <v>2939</v>
      </c>
      <c r="D459" s="1163" t="s">
        <v>3347</v>
      </c>
      <c r="E459" s="1164"/>
      <c r="F459" s="1165">
        <v>33116</v>
      </c>
      <c r="G459" s="1166" t="s">
        <v>2695</v>
      </c>
      <c r="H459" s="1167">
        <v>12.5</v>
      </c>
      <c r="I459" s="1168">
        <f>IF(DAY($F459)&gt;15, VLOOKUP(EOMONTH($F459,-1),'WP 3.1 Rate Case Regress.'!$C$5:$D$556,2,FALSE), VLOOKUP(EOMONTH($F459, -2), 'WP 3.1 Rate Case Regress.'!$C$5:$D$556, 2, FALSE))</f>
        <v>9.7581000000000007</v>
      </c>
    </row>
    <row r="460" spans="2:9" x14ac:dyDescent="0.5">
      <c r="B460" s="1162" t="s">
        <v>2728</v>
      </c>
      <c r="C460" s="1163" t="s">
        <v>2944</v>
      </c>
      <c r="D460" s="1163" t="s">
        <v>3348</v>
      </c>
      <c r="E460" s="1164"/>
      <c r="F460" s="1165">
        <v>33129</v>
      </c>
      <c r="G460" s="1166" t="s">
        <v>2695</v>
      </c>
      <c r="H460" s="1167">
        <v>12.5</v>
      </c>
      <c r="I460" s="1168">
        <f>IF(DAY($F460)&gt;15, VLOOKUP(EOMONTH($F460,-1),'WP 3.1 Rate Case Regress.'!$C$5:$D$556,2,FALSE), VLOOKUP(EOMONTH($F460, -2), 'WP 3.1 Rate Case Regress.'!$C$5:$D$556, 2, FALSE))</f>
        <v>9.7581000000000007</v>
      </c>
    </row>
    <row r="461" spans="2:9" x14ac:dyDescent="0.5">
      <c r="B461" s="1162" t="s">
        <v>2699</v>
      </c>
      <c r="C461" s="1163" t="s">
        <v>2628</v>
      </c>
      <c r="D461" s="1163" t="s">
        <v>3349</v>
      </c>
      <c r="E461" s="1164"/>
      <c r="F461" s="1165">
        <v>33134</v>
      </c>
      <c r="G461" s="1166" t="s">
        <v>2695</v>
      </c>
      <c r="H461" s="1167">
        <v>12.75</v>
      </c>
      <c r="I461" s="1168">
        <f>IF(DAY($F461)&gt;15, VLOOKUP(EOMONTH($F461,-1),'WP 3.1 Rate Case Regress.'!$C$5:$D$556,2,FALSE), VLOOKUP(EOMONTH($F461, -2), 'WP 3.1 Rate Case Regress.'!$C$5:$D$556, 2, FALSE))</f>
        <v>9.8956999999999997</v>
      </c>
    </row>
    <row r="462" spans="2:9" x14ac:dyDescent="0.5">
      <c r="B462" s="1162" t="s">
        <v>2696</v>
      </c>
      <c r="C462" s="1163" t="s">
        <v>3195</v>
      </c>
      <c r="D462" s="1163" t="s">
        <v>3350</v>
      </c>
      <c r="E462" s="1164"/>
      <c r="F462" s="1165">
        <v>33136</v>
      </c>
      <c r="G462" s="1166" t="s">
        <v>2695</v>
      </c>
      <c r="H462" s="1167">
        <v>12.5</v>
      </c>
      <c r="I462" s="1168">
        <f>IF(DAY($F462)&gt;15, VLOOKUP(EOMONTH($F462,-1),'WP 3.1 Rate Case Regress.'!$C$5:$D$556,2,FALSE), VLOOKUP(EOMONTH($F462, -2), 'WP 3.1 Rate Case Regress.'!$C$5:$D$556, 2, FALSE))</f>
        <v>9.8956999999999997</v>
      </c>
    </row>
    <row r="463" spans="2:9" x14ac:dyDescent="0.5">
      <c r="B463" s="1162" t="s">
        <v>2728</v>
      </c>
      <c r="C463" s="1163" t="s">
        <v>2771</v>
      </c>
      <c r="D463" s="1163" t="s">
        <v>3351</v>
      </c>
      <c r="E463" s="1164"/>
      <c r="F463" s="1165">
        <v>33148</v>
      </c>
      <c r="G463" s="1166" t="s">
        <v>2695</v>
      </c>
      <c r="H463" s="1167">
        <v>13</v>
      </c>
      <c r="I463" s="1168">
        <f>IF(DAY($F463)&gt;15, VLOOKUP(EOMONTH($F463,-1),'WP 3.1 Rate Case Regress.'!$C$5:$D$556,2,FALSE), VLOOKUP(EOMONTH($F463, -2), 'WP 3.1 Rate Case Regress.'!$C$5:$D$556, 2, FALSE))</f>
        <v>9.8956999999999997</v>
      </c>
    </row>
    <row r="464" spans="2:9" x14ac:dyDescent="0.5">
      <c r="B464" s="1162" t="s">
        <v>2704</v>
      </c>
      <c r="C464" s="1163" t="s">
        <v>2934</v>
      </c>
      <c r="D464" s="1163" t="s">
        <v>4792</v>
      </c>
      <c r="E464" s="1164"/>
      <c r="F464" s="1165">
        <v>33163</v>
      </c>
      <c r="G464" s="1166" t="s">
        <v>4585</v>
      </c>
      <c r="H464" s="1167">
        <v>11.9</v>
      </c>
      <c r="I464" s="1168">
        <f>IF(DAY($F464)&gt;15, VLOOKUP(EOMONTH($F464,-1),'WP 3.1 Rate Case Regress.'!$C$5:$D$556,2,FALSE), VLOOKUP(EOMONTH($F464, -2), 'WP 3.1 Rate Case Regress.'!$C$5:$D$556, 2, FALSE))</f>
        <v>10.1168</v>
      </c>
    </row>
    <row r="465" spans="2:9" x14ac:dyDescent="0.5">
      <c r="B465" s="1162" t="s">
        <v>2739</v>
      </c>
      <c r="C465" s="1163" t="s">
        <v>2956</v>
      </c>
      <c r="D465" s="1163" t="s">
        <v>4793</v>
      </c>
      <c r="E465" s="1164"/>
      <c r="F465" s="1165">
        <v>33177</v>
      </c>
      <c r="G465" s="1166" t="s">
        <v>4585</v>
      </c>
      <c r="H465" s="1167">
        <v>12.95</v>
      </c>
      <c r="I465" s="1168">
        <f>IF(DAY($F465)&gt;15, VLOOKUP(EOMONTH($F465,-1),'WP 3.1 Rate Case Regress.'!$C$5:$D$556,2,FALSE), VLOOKUP(EOMONTH($F465, -2), 'WP 3.1 Rate Case Regress.'!$C$5:$D$556, 2, FALSE))</f>
        <v>10.1168</v>
      </c>
    </row>
    <row r="466" spans="2:9" x14ac:dyDescent="0.5">
      <c r="B466" s="1162" t="s">
        <v>2693</v>
      </c>
      <c r="C466" s="1163" t="s">
        <v>2961</v>
      </c>
      <c r="D466" s="1163" t="s">
        <v>3352</v>
      </c>
      <c r="E466" s="1164"/>
      <c r="F466" s="1165">
        <v>33186</v>
      </c>
      <c r="G466" s="1166" t="s">
        <v>2695</v>
      </c>
      <c r="H466" s="1167">
        <v>13.25</v>
      </c>
      <c r="I466" s="1168">
        <f>IF(DAY($F466)&gt;15, VLOOKUP(EOMONTH($F466,-1),'WP 3.1 Rate Case Regress.'!$C$5:$D$556,2,FALSE), VLOOKUP(EOMONTH($F466, -2), 'WP 3.1 Rate Case Regress.'!$C$5:$D$556, 2, FALSE))</f>
        <v>10.1168</v>
      </c>
    </row>
    <row r="467" spans="2:9" x14ac:dyDescent="0.5">
      <c r="B467" s="1162" t="s">
        <v>2723</v>
      </c>
      <c r="C467" s="1163" t="s">
        <v>3389</v>
      </c>
      <c r="D467" s="1163" t="s">
        <v>4794</v>
      </c>
      <c r="E467" s="1164"/>
      <c r="F467" s="1165">
        <v>33196</v>
      </c>
      <c r="G467" s="1166" t="s">
        <v>4585</v>
      </c>
      <c r="H467" s="1167">
        <v>13</v>
      </c>
      <c r="I467" s="1168">
        <f>IF(DAY($F467)&gt;15, VLOOKUP(EOMONTH($F467,-1),'WP 3.1 Rate Case Regress.'!$C$5:$D$556,2,FALSE), VLOOKUP(EOMONTH($F467, -2), 'WP 3.1 Rate Case Regress.'!$C$5:$D$556, 2, FALSE))</f>
        <v>10.0626</v>
      </c>
    </row>
    <row r="468" spans="2:9" x14ac:dyDescent="0.5">
      <c r="B468" s="1162" t="s">
        <v>2696</v>
      </c>
      <c r="C468" s="1163" t="s">
        <v>3146</v>
      </c>
      <c r="D468" s="1163" t="s">
        <v>3353</v>
      </c>
      <c r="E468" s="1164"/>
      <c r="F468" s="1165">
        <v>33198</v>
      </c>
      <c r="G468" s="1166" t="s">
        <v>2695</v>
      </c>
      <c r="H468" s="1167">
        <v>12.5</v>
      </c>
      <c r="I468" s="1168">
        <f>IF(DAY($F468)&gt;15, VLOOKUP(EOMONTH($F468,-1),'WP 3.1 Rate Case Regress.'!$C$5:$D$556,2,FALSE), VLOOKUP(EOMONTH($F468, -2), 'WP 3.1 Rate Case Regress.'!$C$5:$D$556, 2, FALSE))</f>
        <v>10.0626</v>
      </c>
    </row>
    <row r="469" spans="2:9" x14ac:dyDescent="0.5">
      <c r="B469" s="1162" t="s">
        <v>2714</v>
      </c>
      <c r="C469" s="1163" t="s">
        <v>4648</v>
      </c>
      <c r="D469" s="1163" t="s">
        <v>3354</v>
      </c>
      <c r="E469" s="1164"/>
      <c r="F469" s="1165">
        <v>33198</v>
      </c>
      <c r="G469" s="1166" t="s">
        <v>2695</v>
      </c>
      <c r="H469" s="1167">
        <v>12.1</v>
      </c>
      <c r="I469" s="1168">
        <f>IF(DAY($F469)&gt;15, VLOOKUP(EOMONTH($F469,-1),'WP 3.1 Rate Case Regress.'!$C$5:$D$556,2,FALSE), VLOOKUP(EOMONTH($F469, -2), 'WP 3.1 Rate Case Regress.'!$C$5:$D$556, 2, FALSE))</f>
        <v>10.0626</v>
      </c>
    </row>
    <row r="470" spans="2:9" x14ac:dyDescent="0.5">
      <c r="B470" s="1162" t="s">
        <v>2693</v>
      </c>
      <c r="C470" s="1163" t="s">
        <v>2742</v>
      </c>
      <c r="D470" s="1163" t="s">
        <v>3355</v>
      </c>
      <c r="E470" s="1164"/>
      <c r="F470" s="1165">
        <v>33205</v>
      </c>
      <c r="G470" s="1166" t="s">
        <v>2695</v>
      </c>
      <c r="H470" s="1167">
        <v>12.75</v>
      </c>
      <c r="I470" s="1168">
        <f>IF(DAY($F470)&gt;15, VLOOKUP(EOMONTH($F470,-1),'WP 3.1 Rate Case Regress.'!$C$5:$D$556,2,FALSE), VLOOKUP(EOMONTH($F470, -2), 'WP 3.1 Rate Case Regress.'!$C$5:$D$556, 2, FALSE))</f>
        <v>10.0626</v>
      </c>
    </row>
    <row r="471" spans="2:9" x14ac:dyDescent="0.5">
      <c r="B471" s="1162" t="s">
        <v>2766</v>
      </c>
      <c r="C471" s="1163" t="s">
        <v>3356</v>
      </c>
      <c r="D471" s="1163" t="s">
        <v>3357</v>
      </c>
      <c r="E471" s="1164"/>
      <c r="F471" s="1165">
        <v>33206</v>
      </c>
      <c r="G471" s="1166" t="s">
        <v>2695</v>
      </c>
      <c r="H471" s="1167">
        <v>12.75</v>
      </c>
      <c r="I471" s="1168">
        <f>IF(DAY($F471)&gt;15, VLOOKUP(EOMONTH($F471,-1),'WP 3.1 Rate Case Regress.'!$C$5:$D$556,2,FALSE), VLOOKUP(EOMONTH($F471, -2), 'WP 3.1 Rate Case Regress.'!$C$5:$D$556, 2, FALSE))</f>
        <v>10.0626</v>
      </c>
    </row>
    <row r="472" spans="2:9" ht="30" x14ac:dyDescent="0.5">
      <c r="B472" s="1162" t="s">
        <v>2702</v>
      </c>
      <c r="C472" s="1163" t="s">
        <v>2748</v>
      </c>
      <c r="D472" s="1163" t="s">
        <v>3358</v>
      </c>
      <c r="E472" s="1164"/>
      <c r="F472" s="1165">
        <v>33225</v>
      </c>
      <c r="G472" s="1166" t="s">
        <v>2695</v>
      </c>
      <c r="H472" s="1167">
        <v>13.1</v>
      </c>
      <c r="I472" s="1168">
        <f>IF(DAY($F472)&gt;15, VLOOKUP(EOMONTH($F472,-1),'WP 3.1 Rate Case Regress.'!$C$5:$D$556,2,FALSE), VLOOKUP(EOMONTH($F472, -2), 'WP 3.1 Rate Case Regress.'!$C$5:$D$556, 2, FALSE))</f>
        <v>9.9123999999999999</v>
      </c>
    </row>
    <row r="473" spans="2:9" x14ac:dyDescent="0.5">
      <c r="B473" s="1162" t="s">
        <v>2696</v>
      </c>
      <c r="C473" s="1163" t="s">
        <v>2910</v>
      </c>
      <c r="D473" s="1163" t="s">
        <v>3359</v>
      </c>
      <c r="E473" s="1164"/>
      <c r="F473" s="1165">
        <v>33227</v>
      </c>
      <c r="G473" s="1166" t="s">
        <v>2695</v>
      </c>
      <c r="H473" s="1167">
        <v>12.5</v>
      </c>
      <c r="I473" s="1168">
        <f>IF(DAY($F473)&gt;15, VLOOKUP(EOMONTH($F473,-1),'WP 3.1 Rate Case Regress.'!$C$5:$D$556,2,FALSE), VLOOKUP(EOMONTH($F473, -2), 'WP 3.1 Rate Case Regress.'!$C$5:$D$556, 2, FALSE))</f>
        <v>9.9123999999999999</v>
      </c>
    </row>
    <row r="474" spans="2:9" x14ac:dyDescent="0.5">
      <c r="B474" s="1162" t="s">
        <v>2989</v>
      </c>
      <c r="C474" s="1163" t="s">
        <v>3141</v>
      </c>
      <c r="D474" s="1163" t="s">
        <v>3360</v>
      </c>
      <c r="E474" s="1164"/>
      <c r="F474" s="1165">
        <v>33228</v>
      </c>
      <c r="G474" s="1166" t="s">
        <v>2695</v>
      </c>
      <c r="H474" s="1167">
        <v>13.6</v>
      </c>
      <c r="I474" s="1168">
        <f>IF(DAY($F474)&gt;15, VLOOKUP(EOMONTH($F474,-1),'WP 3.1 Rate Case Regress.'!$C$5:$D$556,2,FALSE), VLOOKUP(EOMONTH($F474, -2), 'WP 3.1 Rate Case Regress.'!$C$5:$D$556, 2, FALSE))</f>
        <v>9.9123999999999999</v>
      </c>
    </row>
    <row r="475" spans="2:9" x14ac:dyDescent="0.5">
      <c r="B475" s="1162" t="s">
        <v>2772</v>
      </c>
      <c r="C475" s="1163" t="s">
        <v>3361</v>
      </c>
      <c r="D475" s="1163" t="s">
        <v>3362</v>
      </c>
      <c r="E475" s="1164"/>
      <c r="F475" s="1165">
        <v>33228</v>
      </c>
      <c r="G475" s="1166" t="s">
        <v>2695</v>
      </c>
      <c r="H475" s="1167">
        <v>13</v>
      </c>
      <c r="I475" s="1168">
        <f>IF(DAY($F475)&gt;15, VLOOKUP(EOMONTH($F475,-1),'WP 3.1 Rate Case Regress.'!$C$5:$D$556,2,FALSE), VLOOKUP(EOMONTH($F475, -2), 'WP 3.1 Rate Case Regress.'!$C$5:$D$556, 2, FALSE))</f>
        <v>9.9123999999999999</v>
      </c>
    </row>
    <row r="476" spans="2:9" x14ac:dyDescent="0.5">
      <c r="B476" s="1162" t="s">
        <v>2728</v>
      </c>
      <c r="C476" s="1163" t="s">
        <v>2729</v>
      </c>
      <c r="D476" s="1163" t="s">
        <v>3363</v>
      </c>
      <c r="E476" s="1164"/>
      <c r="F476" s="1165">
        <v>33228</v>
      </c>
      <c r="G476" s="1166" t="s">
        <v>2695</v>
      </c>
      <c r="H476" s="1167">
        <v>12.5</v>
      </c>
      <c r="I476" s="1168">
        <f>IF(DAY($F476)&gt;15, VLOOKUP(EOMONTH($F476,-1),'WP 3.1 Rate Case Regress.'!$C$5:$D$556,2,FALSE), VLOOKUP(EOMONTH($F476, -2), 'WP 3.1 Rate Case Regress.'!$C$5:$D$556, 2, FALSE))</f>
        <v>9.9123999999999999</v>
      </c>
    </row>
    <row r="477" spans="2:9" x14ac:dyDescent="0.5">
      <c r="B477" s="1162" t="s">
        <v>2710</v>
      </c>
      <c r="C477" s="1163" t="s">
        <v>2761</v>
      </c>
      <c r="D477" s="1163" t="s">
        <v>4795</v>
      </c>
      <c r="E477" s="1164"/>
      <c r="F477" s="1165">
        <v>33241</v>
      </c>
      <c r="G477" s="1166" t="s">
        <v>4585</v>
      </c>
      <c r="H477" s="1167">
        <v>13.02</v>
      </c>
      <c r="I477" s="1168">
        <f>IF(DAY($F477)&gt;15, VLOOKUP(EOMONTH($F477,-1),'WP 3.1 Rate Case Regress.'!$C$5:$D$556,2,FALSE), VLOOKUP(EOMONTH($F477, -2), 'WP 3.1 Rate Case Regress.'!$C$5:$D$556, 2, FALSE))</f>
        <v>9.9123999999999999</v>
      </c>
    </row>
    <row r="478" spans="2:9" x14ac:dyDescent="0.5">
      <c r="B478" s="1162" t="s">
        <v>2693</v>
      </c>
      <c r="C478" s="1163" t="s">
        <v>2742</v>
      </c>
      <c r="D478" s="1163" t="s">
        <v>3364</v>
      </c>
      <c r="E478" s="1164"/>
      <c r="F478" s="1165">
        <v>33254</v>
      </c>
      <c r="G478" s="1166" t="s">
        <v>2695</v>
      </c>
      <c r="H478" s="1167">
        <v>13.25</v>
      </c>
      <c r="I478" s="1168">
        <f>IF(DAY($F478)&gt;15, VLOOKUP(EOMONTH($F478,-1),'WP 3.1 Rate Case Regress.'!$C$5:$D$556,2,FALSE), VLOOKUP(EOMONTH($F478, -2), 'WP 3.1 Rate Case Regress.'!$C$5:$D$556, 2, FALSE))</f>
        <v>9.7309999999999999</v>
      </c>
    </row>
    <row r="479" spans="2:9" x14ac:dyDescent="0.5">
      <c r="B479" s="1162" t="s">
        <v>2704</v>
      </c>
      <c r="C479" s="1163" t="s">
        <v>2725</v>
      </c>
      <c r="D479" s="1163" t="s">
        <v>3365</v>
      </c>
      <c r="E479" s="1164"/>
      <c r="F479" s="1165">
        <v>33263</v>
      </c>
      <c r="G479" s="1166" t="s">
        <v>2695</v>
      </c>
      <c r="H479" s="1167">
        <v>11.7</v>
      </c>
      <c r="I479" s="1168">
        <f>IF(DAY($F479)&gt;15, VLOOKUP(EOMONTH($F479,-1),'WP 3.1 Rate Case Regress.'!$C$5:$D$556,2,FALSE), VLOOKUP(EOMONTH($F479, -2), 'WP 3.1 Rate Case Regress.'!$C$5:$D$556, 2, FALSE))</f>
        <v>9.7309999999999999</v>
      </c>
    </row>
    <row r="480" spans="2:9" x14ac:dyDescent="0.5">
      <c r="B480" s="1162" t="s">
        <v>2763</v>
      </c>
      <c r="C480" s="1163" t="s">
        <v>3059</v>
      </c>
      <c r="D480" s="1163" t="s">
        <v>3366</v>
      </c>
      <c r="E480" s="1164"/>
      <c r="F480" s="1165">
        <v>33284</v>
      </c>
      <c r="G480" s="1166" t="s">
        <v>2695</v>
      </c>
      <c r="H480" s="1167">
        <v>12.8</v>
      </c>
      <c r="I480" s="1168">
        <f>IF(DAY($F480)&gt;15, VLOOKUP(EOMONTH($F480,-1),'WP 3.1 Rate Case Regress.'!$C$5:$D$556,2,FALSE), VLOOKUP(EOMONTH($F480, -2), 'WP 3.1 Rate Case Regress.'!$C$5:$D$556, 2, FALSE))</f>
        <v>9.7309999999999999</v>
      </c>
    </row>
    <row r="481" spans="2:9" x14ac:dyDescent="0.5">
      <c r="B481" s="1162" t="s">
        <v>2712</v>
      </c>
      <c r="C481" s="1163" t="s">
        <v>3255</v>
      </c>
      <c r="D481" s="1163" t="s">
        <v>4796</v>
      </c>
      <c r="E481" s="1164"/>
      <c r="F481" s="1165">
        <v>33284</v>
      </c>
      <c r="G481" s="1166" t="s">
        <v>4585</v>
      </c>
      <c r="H481" s="1167">
        <v>12.7</v>
      </c>
      <c r="I481" s="1168">
        <f>IF(DAY($F481)&gt;15, VLOOKUP(EOMONTH($F481,-1),'WP 3.1 Rate Case Regress.'!$C$5:$D$556,2,FALSE), VLOOKUP(EOMONTH($F481, -2), 'WP 3.1 Rate Case Regress.'!$C$5:$D$556, 2, FALSE))</f>
        <v>9.7309999999999999</v>
      </c>
    </row>
    <row r="482" spans="2:9" x14ac:dyDescent="0.5">
      <c r="B482" s="1162" t="s">
        <v>2766</v>
      </c>
      <c r="C482" s="1163" t="s">
        <v>2895</v>
      </c>
      <c r="D482" s="1163" t="s">
        <v>4797</v>
      </c>
      <c r="E482" s="1164"/>
      <c r="F482" s="1165">
        <v>33331</v>
      </c>
      <c r="G482" s="1166" t="s">
        <v>4585</v>
      </c>
      <c r="H482" s="1167">
        <v>13</v>
      </c>
      <c r="I482" s="1168">
        <f>IF(DAY($F482)&gt;15, VLOOKUP(EOMONTH($F482,-1),'WP 3.1 Rate Case Regress.'!$C$5:$D$556,2,FALSE), VLOOKUP(EOMONTH($F482, -2), 'WP 3.1 Rate Case Regress.'!$C$5:$D$556, 2, FALSE))</f>
        <v>9.4773999999999994</v>
      </c>
    </row>
    <row r="483" spans="2:9" x14ac:dyDescent="0.5">
      <c r="B483" s="1162" t="s">
        <v>2744</v>
      </c>
      <c r="C483" s="1163" t="s">
        <v>3244</v>
      </c>
      <c r="D483" s="1163" t="s">
        <v>4798</v>
      </c>
      <c r="E483" s="1164"/>
      <c r="F483" s="1165">
        <v>33358</v>
      </c>
      <c r="G483" s="1166" t="s">
        <v>4585</v>
      </c>
      <c r="H483" s="1167">
        <v>13</v>
      </c>
      <c r="I483" s="1168">
        <f>IF(DAY($F483)&gt;15, VLOOKUP(EOMONTH($F483,-1),'WP 3.1 Rate Case Regress.'!$C$5:$D$556,2,FALSE), VLOOKUP(EOMONTH($F483, -2), 'WP 3.1 Rate Case Regress.'!$C$5:$D$556, 2, FALSE))</f>
        <v>9.5530000000000008</v>
      </c>
    </row>
    <row r="484" spans="2:9" x14ac:dyDescent="0.5">
      <c r="B484" s="1162" t="s">
        <v>2708</v>
      </c>
      <c r="C484" s="1163" t="s">
        <v>2747</v>
      </c>
      <c r="D484" s="1163" t="s">
        <v>4799</v>
      </c>
      <c r="E484" s="1164"/>
      <c r="F484" s="1165">
        <v>33358</v>
      </c>
      <c r="G484" s="1166" t="s">
        <v>4585</v>
      </c>
      <c r="H484" s="1167">
        <v>12.45</v>
      </c>
      <c r="I484" s="1168">
        <f>IF(DAY($F484)&gt;15, VLOOKUP(EOMONTH($F484,-1),'WP 3.1 Rate Case Regress.'!$C$5:$D$556,2,FALSE), VLOOKUP(EOMONTH($F484, -2), 'WP 3.1 Rate Case Regress.'!$C$5:$D$556, 2, FALSE))</f>
        <v>9.5530000000000008</v>
      </c>
    </row>
    <row r="485" spans="2:9" x14ac:dyDescent="0.5">
      <c r="B485" s="1162" t="s">
        <v>2704</v>
      </c>
      <c r="C485" s="1163" t="s">
        <v>2927</v>
      </c>
      <c r="D485" s="1163" t="s">
        <v>3367</v>
      </c>
      <c r="E485" s="1164"/>
      <c r="F485" s="1165">
        <v>33414</v>
      </c>
      <c r="G485" s="1166" t="s">
        <v>2695</v>
      </c>
      <c r="H485" s="1167">
        <v>11.7</v>
      </c>
      <c r="I485" s="1168">
        <f>IF(DAY($F485)&gt;15, VLOOKUP(EOMONTH($F485,-1),'WP 3.1 Rate Case Regress.'!$C$5:$D$556,2,FALSE), VLOOKUP(EOMONTH($F485, -2), 'WP 3.1 Rate Case Regress.'!$C$5:$D$556, 2, FALSE))</f>
        <v>9.4322999999999997</v>
      </c>
    </row>
    <row r="486" spans="2:9" x14ac:dyDescent="0.5">
      <c r="B486" s="1162" t="s">
        <v>2704</v>
      </c>
      <c r="C486" s="1163" t="s">
        <v>2705</v>
      </c>
      <c r="D486" s="1163" t="s">
        <v>4800</v>
      </c>
      <c r="E486" s="1164"/>
      <c r="F486" s="1165">
        <v>33417</v>
      </c>
      <c r="G486" s="1166" t="s">
        <v>4585</v>
      </c>
      <c r="H486" s="1167">
        <v>12.5</v>
      </c>
      <c r="I486" s="1168">
        <f>IF(DAY($F486)&gt;15, VLOOKUP(EOMONTH($F486,-1),'WP 3.1 Rate Case Regress.'!$C$5:$D$556,2,FALSE), VLOOKUP(EOMONTH($F486, -2), 'WP 3.1 Rate Case Regress.'!$C$5:$D$556, 2, FALSE))</f>
        <v>9.4322999999999997</v>
      </c>
    </row>
    <row r="487" spans="2:9" x14ac:dyDescent="0.5">
      <c r="B487" s="1162" t="s">
        <v>2704</v>
      </c>
      <c r="C487" s="1163" t="s">
        <v>2750</v>
      </c>
      <c r="D487" s="1163" t="s">
        <v>3368</v>
      </c>
      <c r="E487" s="1164"/>
      <c r="F487" s="1165">
        <v>33420</v>
      </c>
      <c r="G487" s="1166" t="s">
        <v>2695</v>
      </c>
      <c r="H487" s="1167">
        <v>11.7</v>
      </c>
      <c r="I487" s="1168">
        <f>IF(DAY($F487)&gt;15, VLOOKUP(EOMONTH($F487,-1),'WP 3.1 Rate Case Regress.'!$C$5:$D$556,2,FALSE), VLOOKUP(EOMONTH($F487, -2), 'WP 3.1 Rate Case Regress.'!$C$5:$D$556, 2, FALSE))</f>
        <v>9.4322999999999997</v>
      </c>
    </row>
    <row r="488" spans="2:9" x14ac:dyDescent="0.5">
      <c r="B488" s="1162" t="s">
        <v>2704</v>
      </c>
      <c r="C488" s="1163" t="s">
        <v>2910</v>
      </c>
      <c r="D488" s="1163" t="s">
        <v>3369</v>
      </c>
      <c r="E488" s="1164"/>
      <c r="F488" s="1165">
        <v>33438</v>
      </c>
      <c r="G488" s="1166" t="s">
        <v>2695</v>
      </c>
      <c r="H488" s="1167">
        <v>12.3</v>
      </c>
      <c r="I488" s="1168">
        <f>IF(DAY($F488)&gt;15, VLOOKUP(EOMONTH($F488,-1),'WP 3.1 Rate Case Regress.'!$C$5:$D$556,2,FALSE), VLOOKUP(EOMONTH($F488, -2), 'WP 3.1 Rate Case Regress.'!$C$5:$D$556, 2, FALSE))</f>
        <v>9.5835000000000008</v>
      </c>
    </row>
    <row r="489" spans="2:9" x14ac:dyDescent="0.5">
      <c r="B489" s="1162" t="s">
        <v>2740</v>
      </c>
      <c r="C489" s="1163" t="s">
        <v>2964</v>
      </c>
      <c r="D489" s="1163" t="s">
        <v>3370</v>
      </c>
      <c r="E489" s="1164"/>
      <c r="F489" s="1165">
        <v>33438</v>
      </c>
      <c r="G489" s="1166" t="s">
        <v>2695</v>
      </c>
      <c r="H489" s="1167">
        <v>12.1</v>
      </c>
      <c r="I489" s="1168">
        <f>IF(DAY($F489)&gt;15, VLOOKUP(EOMONTH($F489,-1),'WP 3.1 Rate Case Regress.'!$C$5:$D$556,2,FALSE), VLOOKUP(EOMONTH($F489, -2), 'WP 3.1 Rate Case Regress.'!$C$5:$D$556, 2, FALSE))</f>
        <v>9.5835000000000008</v>
      </c>
    </row>
    <row r="490" spans="2:9" x14ac:dyDescent="0.5">
      <c r="B490" s="1162" t="s">
        <v>2743</v>
      </c>
      <c r="C490" s="1163" t="s">
        <v>3012</v>
      </c>
      <c r="D490" s="1163" t="s">
        <v>4801</v>
      </c>
      <c r="E490" s="1164"/>
      <c r="F490" s="1165">
        <v>33441</v>
      </c>
      <c r="G490" s="1166" t="s">
        <v>4585</v>
      </c>
      <c r="H490" s="1167">
        <v>12.9</v>
      </c>
      <c r="I490" s="1168">
        <f>IF(DAY($F490)&gt;15, VLOOKUP(EOMONTH($F490,-1),'WP 3.1 Rate Case Regress.'!$C$5:$D$556,2,FALSE), VLOOKUP(EOMONTH($F490, -2), 'WP 3.1 Rate Case Regress.'!$C$5:$D$556, 2, FALSE))</f>
        <v>9.5835000000000008</v>
      </c>
    </row>
    <row r="491" spans="2:9" x14ac:dyDescent="0.5">
      <c r="B491" s="1162" t="s">
        <v>2766</v>
      </c>
      <c r="C491" s="1163" t="s">
        <v>3110</v>
      </c>
      <c r="D491" s="1163" t="s">
        <v>3371</v>
      </c>
      <c r="E491" s="1164"/>
      <c r="F491" s="1165">
        <v>33465</v>
      </c>
      <c r="G491" s="1166" t="s">
        <v>2695</v>
      </c>
      <c r="H491" s="1167">
        <v>12.25</v>
      </c>
      <c r="I491" s="1168">
        <f>IF(DAY($F491)&gt;15, VLOOKUP(EOMONTH($F491,-1),'WP 3.1 Rate Case Regress.'!$C$5:$D$556,2,FALSE), VLOOKUP(EOMONTH($F491, -2), 'WP 3.1 Rate Case Regress.'!$C$5:$D$556, 2, FALSE))</f>
        <v>9.5835000000000008</v>
      </c>
    </row>
    <row r="492" spans="2:9" x14ac:dyDescent="0.5">
      <c r="B492" s="1162" t="s">
        <v>2702</v>
      </c>
      <c r="C492" s="1163" t="s">
        <v>3007</v>
      </c>
      <c r="D492" s="1163" t="s">
        <v>3372</v>
      </c>
      <c r="E492" s="1164"/>
      <c r="F492" s="1165">
        <v>33479</v>
      </c>
      <c r="G492" s="1166" t="s">
        <v>2695</v>
      </c>
      <c r="H492" s="1167">
        <v>13.3</v>
      </c>
      <c r="I492" s="1168">
        <f>IF(DAY($F492)&gt;15, VLOOKUP(EOMONTH($F492,-1),'WP 3.1 Rate Case Regress.'!$C$5:$D$556,2,FALSE), VLOOKUP(EOMONTH($F492, -2), 'WP 3.1 Rate Case Regress.'!$C$5:$D$556, 2, FALSE))</f>
        <v>9.5477000000000007</v>
      </c>
    </row>
    <row r="493" spans="2:9" x14ac:dyDescent="0.5">
      <c r="B493" s="1162" t="s">
        <v>2768</v>
      </c>
      <c r="C493" s="1163" t="s">
        <v>3012</v>
      </c>
      <c r="D493" s="1163" t="s">
        <v>4802</v>
      </c>
      <c r="E493" s="1164"/>
      <c r="F493" s="1165">
        <v>33508</v>
      </c>
      <c r="G493" s="1166" t="s">
        <v>4585</v>
      </c>
      <c r="H493" s="1167">
        <v>12.5</v>
      </c>
      <c r="I493" s="1168">
        <f>IF(DAY($F493)&gt;15, VLOOKUP(EOMONTH($F493,-1),'WP 3.1 Rate Case Regress.'!$C$5:$D$556,2,FALSE), VLOOKUP(EOMONTH($F493, -2), 'WP 3.1 Rate Case Regress.'!$C$5:$D$556, 2, FALSE))</f>
        <v>9.3049999999999997</v>
      </c>
    </row>
    <row r="494" spans="2:9" x14ac:dyDescent="0.5">
      <c r="B494" s="1162" t="s">
        <v>2712</v>
      </c>
      <c r="C494" s="1163" t="s">
        <v>3333</v>
      </c>
      <c r="D494" s="1163" t="s">
        <v>4803</v>
      </c>
      <c r="E494" s="1164"/>
      <c r="F494" s="1165">
        <v>33511</v>
      </c>
      <c r="G494" s="1166" t="s">
        <v>4585</v>
      </c>
      <c r="H494" s="1167">
        <v>12.4</v>
      </c>
      <c r="I494" s="1168">
        <f>IF(DAY($F494)&gt;15, VLOOKUP(EOMONTH($F494,-1),'WP 3.1 Rate Case Regress.'!$C$5:$D$556,2,FALSE), VLOOKUP(EOMONTH($F494, -2), 'WP 3.1 Rate Case Regress.'!$C$5:$D$556, 2, FALSE))</f>
        <v>9.3049999999999997</v>
      </c>
    </row>
    <row r="495" spans="2:9" x14ac:dyDescent="0.5">
      <c r="B495" s="1162" t="s">
        <v>2704</v>
      </c>
      <c r="C495" s="1163" t="s">
        <v>2908</v>
      </c>
      <c r="D495" s="1163" t="s">
        <v>3373</v>
      </c>
      <c r="E495" s="1164"/>
      <c r="F495" s="1165">
        <v>33514</v>
      </c>
      <c r="G495" s="1166" t="s">
        <v>2695</v>
      </c>
      <c r="H495" s="1167">
        <v>11.3</v>
      </c>
      <c r="I495" s="1168">
        <f>IF(DAY($F495)&gt;15, VLOOKUP(EOMONTH($F495,-1),'WP 3.1 Rate Case Regress.'!$C$5:$D$556,2,FALSE), VLOOKUP(EOMONTH($F495, -2), 'WP 3.1 Rate Case Regress.'!$C$5:$D$556, 2, FALSE))</f>
        <v>9.3049999999999997</v>
      </c>
    </row>
    <row r="496" spans="2:9" x14ac:dyDescent="0.5">
      <c r="B496" s="1162" t="s">
        <v>2704</v>
      </c>
      <c r="C496" s="1163" t="s">
        <v>2934</v>
      </c>
      <c r="D496" s="1163" t="s">
        <v>4804</v>
      </c>
      <c r="E496" s="1164"/>
      <c r="F496" s="1165">
        <v>33520</v>
      </c>
      <c r="G496" s="1166" t="s">
        <v>4585</v>
      </c>
      <c r="H496" s="1167">
        <v>11.7</v>
      </c>
      <c r="I496" s="1168">
        <f>IF(DAY($F496)&gt;15, VLOOKUP(EOMONTH($F496,-1),'WP 3.1 Rate Case Regress.'!$C$5:$D$556,2,FALSE), VLOOKUP(EOMONTH($F496, -2), 'WP 3.1 Rate Case Regress.'!$C$5:$D$556, 2, FALSE))</f>
        <v>9.3049999999999997</v>
      </c>
    </row>
    <row r="497" spans="2:9" x14ac:dyDescent="0.5">
      <c r="B497" s="1162" t="s">
        <v>2702</v>
      </c>
      <c r="C497" s="1163" t="s">
        <v>2903</v>
      </c>
      <c r="D497" s="1163" t="s">
        <v>3374</v>
      </c>
      <c r="E497" s="1164"/>
      <c r="F497" s="1165">
        <v>33526</v>
      </c>
      <c r="G497" s="1166" t="s">
        <v>2695</v>
      </c>
      <c r="H497" s="1167">
        <v>13.4</v>
      </c>
      <c r="I497" s="1168">
        <f>IF(DAY($F497)&gt;15, VLOOKUP(EOMONTH($F497,-1),'WP 3.1 Rate Case Regress.'!$C$5:$D$556,2,FALSE), VLOOKUP(EOMONTH($F497, -2), 'WP 3.1 Rate Case Regress.'!$C$5:$D$556, 2, FALSE))</f>
        <v>9.3049999999999997</v>
      </c>
    </row>
    <row r="498" spans="2:9" x14ac:dyDescent="0.5">
      <c r="B498" s="1162" t="s">
        <v>2743</v>
      </c>
      <c r="C498" s="1163" t="s">
        <v>2969</v>
      </c>
      <c r="D498" s="1163" t="s">
        <v>4805</v>
      </c>
      <c r="E498" s="1164"/>
      <c r="F498" s="1165">
        <v>33543</v>
      </c>
      <c r="G498" s="1166" t="s">
        <v>4585</v>
      </c>
      <c r="H498" s="1167">
        <v>12.9</v>
      </c>
      <c r="I498" s="1168">
        <f>IF(DAY($F498)&gt;15, VLOOKUP(EOMONTH($F498,-1),'WP 3.1 Rate Case Regress.'!$C$5:$D$556,2,FALSE), VLOOKUP(EOMONTH($F498, -2), 'WP 3.1 Rate Case Regress.'!$C$5:$D$556, 2, FALSE))</f>
        <v>9.1660000000000004</v>
      </c>
    </row>
    <row r="499" spans="2:9" x14ac:dyDescent="0.5">
      <c r="B499" s="1162" t="s">
        <v>2693</v>
      </c>
      <c r="C499" s="1163" t="s">
        <v>2959</v>
      </c>
      <c r="D499" s="1163" t="s">
        <v>3375</v>
      </c>
      <c r="E499" s="1164"/>
      <c r="F499" s="1165">
        <v>33550</v>
      </c>
      <c r="G499" s="1166" t="s">
        <v>2695</v>
      </c>
      <c r="H499" s="1167">
        <v>12.75</v>
      </c>
      <c r="I499" s="1168">
        <f>IF(DAY($F499)&gt;15, VLOOKUP(EOMONTH($F499,-1),'WP 3.1 Rate Case Regress.'!$C$5:$D$556,2,FALSE), VLOOKUP(EOMONTH($F499, -2), 'WP 3.1 Rate Case Regress.'!$C$5:$D$556, 2, FALSE))</f>
        <v>9.1660000000000004</v>
      </c>
    </row>
    <row r="500" spans="2:9" x14ac:dyDescent="0.5">
      <c r="B500" s="1162" t="s">
        <v>2699</v>
      </c>
      <c r="C500" s="1163" t="s">
        <v>2628</v>
      </c>
      <c r="D500" s="1163" t="s">
        <v>3376</v>
      </c>
      <c r="E500" s="1164"/>
      <c r="F500" s="1165">
        <v>33568</v>
      </c>
      <c r="G500" s="1166" t="s">
        <v>2695</v>
      </c>
      <c r="H500" s="1167">
        <v>12</v>
      </c>
      <c r="I500" s="1168">
        <f>IF(DAY($F500)&gt;15, VLOOKUP(EOMONTH($F500,-1),'WP 3.1 Rate Case Regress.'!$C$5:$D$556,2,FALSE), VLOOKUP(EOMONTH($F500, -2), 'WP 3.1 Rate Case Regress.'!$C$5:$D$556, 2, FALSE))</f>
        <v>9.1209000000000007</v>
      </c>
    </row>
    <row r="501" spans="2:9" x14ac:dyDescent="0.5">
      <c r="B501" s="1162" t="s">
        <v>2704</v>
      </c>
      <c r="C501" s="1163" t="s">
        <v>3121</v>
      </c>
      <c r="D501" s="1163" t="s">
        <v>3377</v>
      </c>
      <c r="E501" s="1164"/>
      <c r="F501" s="1165">
        <v>33568</v>
      </c>
      <c r="G501" s="1166" t="s">
        <v>2695</v>
      </c>
      <c r="H501" s="1167">
        <v>11.6</v>
      </c>
      <c r="I501" s="1168">
        <f>IF(DAY($F501)&gt;15, VLOOKUP(EOMONTH($F501,-1),'WP 3.1 Rate Case Regress.'!$C$5:$D$556,2,FALSE), VLOOKUP(EOMONTH($F501, -2), 'WP 3.1 Rate Case Regress.'!$C$5:$D$556, 2, FALSE))</f>
        <v>9.1209000000000007</v>
      </c>
    </row>
    <row r="502" spans="2:9" x14ac:dyDescent="0.5">
      <c r="B502" s="1162" t="s">
        <v>2710</v>
      </c>
      <c r="C502" s="1163" t="s">
        <v>3000</v>
      </c>
      <c r="D502" s="1163" t="s">
        <v>4806</v>
      </c>
      <c r="E502" s="1164"/>
      <c r="F502" s="1165">
        <v>33569</v>
      </c>
      <c r="G502" s="1166" t="s">
        <v>4585</v>
      </c>
      <c r="H502" s="1167">
        <v>12.7</v>
      </c>
      <c r="I502" s="1168">
        <f>IF(DAY($F502)&gt;15, VLOOKUP(EOMONTH($F502,-1),'WP 3.1 Rate Case Regress.'!$C$5:$D$556,2,FALSE), VLOOKUP(EOMONTH($F502, -2), 'WP 3.1 Rate Case Regress.'!$C$5:$D$556, 2, FALSE))</f>
        <v>9.1209000000000007</v>
      </c>
    </row>
    <row r="503" spans="2:9" x14ac:dyDescent="0.5">
      <c r="B503" s="1162" t="s">
        <v>2743</v>
      </c>
      <c r="C503" s="1163" t="s">
        <v>3169</v>
      </c>
      <c r="D503" s="1163" t="s">
        <v>3378</v>
      </c>
      <c r="E503" s="1164"/>
      <c r="F503" s="1165">
        <v>33578</v>
      </c>
      <c r="G503" s="1166" t="s">
        <v>2695</v>
      </c>
      <c r="H503" s="1167">
        <v>12.7</v>
      </c>
      <c r="I503" s="1168">
        <f>IF(DAY($F503)&gt;15, VLOOKUP(EOMONTH($F503,-1),'WP 3.1 Rate Case Regress.'!$C$5:$D$556,2,FALSE), VLOOKUP(EOMONTH($F503, -2), 'WP 3.1 Rate Case Regress.'!$C$5:$D$556, 2, FALSE))</f>
        <v>9.1209000000000007</v>
      </c>
    </row>
    <row r="504" spans="2:9" x14ac:dyDescent="0.5">
      <c r="B504" s="1162" t="s">
        <v>2732</v>
      </c>
      <c r="C504" s="1163" t="s">
        <v>2975</v>
      </c>
      <c r="D504" s="1163" t="s">
        <v>4807</v>
      </c>
      <c r="E504" s="1164"/>
      <c r="F504" s="1165">
        <v>33582</v>
      </c>
      <c r="G504" s="1166" t="s">
        <v>4585</v>
      </c>
      <c r="H504" s="1167">
        <v>11.75</v>
      </c>
      <c r="I504" s="1168">
        <f>IF(DAY($F504)&gt;15, VLOOKUP(EOMONTH($F504,-1),'WP 3.1 Rate Case Regress.'!$C$5:$D$556,2,FALSE), VLOOKUP(EOMONTH($F504, -2), 'WP 3.1 Rate Case Regress.'!$C$5:$D$556, 2, FALSE))</f>
        <v>9.1209000000000007</v>
      </c>
    </row>
    <row r="505" spans="2:9" ht="30" x14ac:dyDescent="0.5">
      <c r="B505" s="1162" t="s">
        <v>2702</v>
      </c>
      <c r="C505" s="1163" t="s">
        <v>2748</v>
      </c>
      <c r="D505" s="1163" t="s">
        <v>3379</v>
      </c>
      <c r="E505" s="1164"/>
      <c r="F505" s="1165">
        <v>33591</v>
      </c>
      <c r="G505" s="1166" t="s">
        <v>2695</v>
      </c>
      <c r="H505" s="1167">
        <v>12.8</v>
      </c>
      <c r="I505" s="1168">
        <f>IF(DAY($F505)&gt;15, VLOOKUP(EOMONTH($F505,-1),'WP 3.1 Rate Case Regress.'!$C$5:$D$556,2,FALSE), VLOOKUP(EOMONTH($F505, -2), 'WP 3.1 Rate Case Regress.'!$C$5:$D$556, 2, FALSE))</f>
        <v>9.0534999999999997</v>
      </c>
    </row>
    <row r="506" spans="2:9" ht="30" x14ac:dyDescent="0.5">
      <c r="B506" s="1162" t="s">
        <v>2702</v>
      </c>
      <c r="C506" s="1163" t="s">
        <v>2755</v>
      </c>
      <c r="D506" s="1163" t="s">
        <v>3380</v>
      </c>
      <c r="E506" s="1164"/>
      <c r="F506" s="1165">
        <v>33591</v>
      </c>
      <c r="G506" s="1166" t="s">
        <v>2695</v>
      </c>
      <c r="H506" s="1167">
        <v>12.6</v>
      </c>
      <c r="I506" s="1168">
        <f>IF(DAY($F506)&gt;15, VLOOKUP(EOMONTH($F506,-1),'WP 3.1 Rate Case Regress.'!$C$5:$D$556,2,FALSE), VLOOKUP(EOMONTH($F506, -2), 'WP 3.1 Rate Case Regress.'!$C$5:$D$556, 2, FALSE))</f>
        <v>9.0534999999999997</v>
      </c>
    </row>
    <row r="507" spans="2:9" x14ac:dyDescent="0.5">
      <c r="B507" s="1162" t="s">
        <v>2706</v>
      </c>
      <c r="C507" s="1163" t="s">
        <v>2906</v>
      </c>
      <c r="D507" s="1163" t="s">
        <v>3381</v>
      </c>
      <c r="E507" s="1164"/>
      <c r="F507" s="1165">
        <v>33602</v>
      </c>
      <c r="G507" s="1166" t="s">
        <v>2695</v>
      </c>
      <c r="H507" s="1167">
        <v>12.1</v>
      </c>
      <c r="I507" s="1168">
        <f>IF(DAY($F507)&gt;15, VLOOKUP(EOMONTH($F507,-1),'WP 3.1 Rate Case Regress.'!$C$5:$D$556,2,FALSE), VLOOKUP(EOMONTH($F507, -2), 'WP 3.1 Rate Case Regress.'!$C$5:$D$556, 2, FALSE))</f>
        <v>9.0534999999999997</v>
      </c>
    </row>
    <row r="508" spans="2:9" x14ac:dyDescent="0.5">
      <c r="B508" s="1162" t="s">
        <v>2756</v>
      </c>
      <c r="C508" s="1163" t="s">
        <v>3010</v>
      </c>
      <c r="D508" s="1163" t="s">
        <v>3382</v>
      </c>
      <c r="E508" s="1164"/>
      <c r="F508" s="1165">
        <v>33625</v>
      </c>
      <c r="G508" s="1166" t="s">
        <v>2695</v>
      </c>
      <c r="H508" s="1167">
        <v>12.84</v>
      </c>
      <c r="I508" s="1168">
        <f>IF(DAY($F508)&gt;15, VLOOKUP(EOMONTH($F508,-1),'WP 3.1 Rate Case Regress.'!$C$5:$D$556,2,FALSE), VLOOKUP(EOMONTH($F508, -2), 'WP 3.1 Rate Case Regress.'!$C$5:$D$556, 2, FALSE))</f>
        <v>8.8994999999999997</v>
      </c>
    </row>
    <row r="509" spans="2:9" x14ac:dyDescent="0.5">
      <c r="B509" s="1162" t="s">
        <v>2731</v>
      </c>
      <c r="C509" s="1163" t="s">
        <v>2733</v>
      </c>
      <c r="D509" s="1163" t="s">
        <v>3383</v>
      </c>
      <c r="E509" s="1164"/>
      <c r="F509" s="1165">
        <v>33634</v>
      </c>
      <c r="G509" s="1166" t="s">
        <v>2695</v>
      </c>
      <c r="H509" s="1167">
        <v>12</v>
      </c>
      <c r="I509" s="1168">
        <f>IF(DAY($F509)&gt;15, VLOOKUP(EOMONTH($F509,-1),'WP 3.1 Rate Case Regress.'!$C$5:$D$556,2,FALSE), VLOOKUP(EOMONTH($F509, -2), 'WP 3.1 Rate Case Regress.'!$C$5:$D$556, 2, FALSE))</f>
        <v>8.8994999999999997</v>
      </c>
    </row>
    <row r="510" spans="2:9" x14ac:dyDescent="0.5">
      <c r="B510" s="1162" t="s">
        <v>2710</v>
      </c>
      <c r="C510" s="1163" t="s">
        <v>2711</v>
      </c>
      <c r="D510" s="1163" t="s">
        <v>4808</v>
      </c>
      <c r="E510" s="1164"/>
      <c r="F510" s="1165">
        <v>33654</v>
      </c>
      <c r="G510" s="1166" t="s">
        <v>4585</v>
      </c>
      <c r="H510" s="1167">
        <v>13</v>
      </c>
      <c r="I510" s="1168">
        <f>IF(DAY($F510)&gt;15, VLOOKUP(EOMONTH($F510,-1),'WP 3.1 Rate Case Regress.'!$C$5:$D$556,2,FALSE), VLOOKUP(EOMONTH($F510, -2), 'WP 3.1 Rate Case Regress.'!$C$5:$D$556, 2, FALSE))</f>
        <v>8.8323</v>
      </c>
    </row>
    <row r="511" spans="2:9" x14ac:dyDescent="0.5">
      <c r="B511" s="1162" t="s">
        <v>2717</v>
      </c>
      <c r="C511" s="1163" t="s">
        <v>2939</v>
      </c>
      <c r="D511" s="1163" t="s">
        <v>3384</v>
      </c>
      <c r="E511" s="1164"/>
      <c r="F511" s="1165">
        <v>33661</v>
      </c>
      <c r="G511" s="1166" t="s">
        <v>2695</v>
      </c>
      <c r="H511" s="1167">
        <v>11.75</v>
      </c>
      <c r="I511" s="1168">
        <f>IF(DAY($F511)&gt;15, VLOOKUP(EOMONTH($F511,-1),'WP 3.1 Rate Case Regress.'!$C$5:$D$556,2,FALSE), VLOOKUP(EOMONTH($F511, -2), 'WP 3.1 Rate Case Regress.'!$C$5:$D$556, 2, FALSE))</f>
        <v>8.8323</v>
      </c>
    </row>
    <row r="512" spans="2:9" ht="30" x14ac:dyDescent="0.5">
      <c r="B512" s="1162" t="s">
        <v>2693</v>
      </c>
      <c r="C512" s="1163" t="s">
        <v>2742</v>
      </c>
      <c r="D512" s="1163" t="s">
        <v>3385</v>
      </c>
      <c r="E512" s="1164"/>
      <c r="F512" s="1165">
        <v>33681</v>
      </c>
      <c r="G512" s="1166" t="s">
        <v>2695</v>
      </c>
      <c r="H512" s="1167">
        <v>12.5</v>
      </c>
      <c r="I512" s="1168">
        <f>IF(DAY($F512)&gt;15, VLOOKUP(EOMONTH($F512,-1),'WP 3.1 Rate Case Regress.'!$C$5:$D$556,2,FALSE), VLOOKUP(EOMONTH($F512, -2), 'WP 3.1 Rate Case Regress.'!$C$5:$D$556, 2, FALSE))</f>
        <v>8.9305000000000003</v>
      </c>
    </row>
    <row r="513" spans="2:9" x14ac:dyDescent="0.5">
      <c r="B513" s="1162" t="s">
        <v>2708</v>
      </c>
      <c r="C513" s="1163" t="s">
        <v>2709</v>
      </c>
      <c r="D513" s="1163" t="s">
        <v>3386</v>
      </c>
      <c r="E513" s="1164"/>
      <c r="F513" s="1165">
        <v>33739</v>
      </c>
      <c r="G513" s="1166" t="s">
        <v>2695</v>
      </c>
      <c r="H513" s="1167">
        <v>12.75</v>
      </c>
      <c r="I513" s="1168">
        <f>IF(DAY($F513)&gt;15, VLOOKUP(EOMONTH($F513,-1),'WP 3.1 Rate Case Regress.'!$C$5:$D$556,2,FALSE), VLOOKUP(EOMONTH($F513, -2), 'WP 3.1 Rate Case Regress.'!$C$5:$D$556, 2, FALSE))</f>
        <v>8.9672999999999998</v>
      </c>
    </row>
    <row r="514" spans="2:9" x14ac:dyDescent="0.5">
      <c r="B514" s="1162" t="s">
        <v>2712</v>
      </c>
      <c r="C514" s="1163" t="s">
        <v>3255</v>
      </c>
      <c r="D514" s="1163" t="s">
        <v>4809</v>
      </c>
      <c r="E514" s="1164"/>
      <c r="F514" s="1165">
        <v>33779</v>
      </c>
      <c r="G514" s="1166" t="s">
        <v>4585</v>
      </c>
      <c r="H514" s="1167">
        <v>12.2</v>
      </c>
      <c r="I514" s="1168">
        <f>IF(DAY($F514)&gt;15, VLOOKUP(EOMONTH($F514,-1),'WP 3.1 Rate Case Regress.'!$C$5:$D$556,2,FALSE), VLOOKUP(EOMONTH($F514, -2), 'WP 3.1 Rate Case Regress.'!$C$5:$D$556, 2, FALSE))</f>
        <v>8.8795000000000002</v>
      </c>
    </row>
    <row r="515" spans="2:9" x14ac:dyDescent="0.5">
      <c r="B515" s="1162" t="s">
        <v>2704</v>
      </c>
      <c r="C515" s="1163" t="s">
        <v>2927</v>
      </c>
      <c r="D515" s="1163" t="s">
        <v>3387</v>
      </c>
      <c r="E515" s="1164"/>
      <c r="F515" s="1165">
        <v>33784</v>
      </c>
      <c r="G515" s="1166" t="s">
        <v>2695</v>
      </c>
      <c r="H515" s="1167">
        <v>11</v>
      </c>
      <c r="I515" s="1168">
        <f>IF(DAY($F515)&gt;15, VLOOKUP(EOMONTH($F515,-1),'WP 3.1 Rate Case Regress.'!$C$5:$D$556,2,FALSE), VLOOKUP(EOMONTH($F515, -2), 'WP 3.1 Rate Case Regress.'!$C$5:$D$556, 2, FALSE))</f>
        <v>8.8795000000000002</v>
      </c>
    </row>
    <row r="516" spans="2:9" x14ac:dyDescent="0.5">
      <c r="B516" s="1162" t="s">
        <v>2704</v>
      </c>
      <c r="C516" s="1163" t="s">
        <v>2910</v>
      </c>
      <c r="D516" s="1163" t="s">
        <v>4810</v>
      </c>
      <c r="E516" s="1164"/>
      <c r="F516" s="1165">
        <v>33799</v>
      </c>
      <c r="G516" s="1166" t="s">
        <v>4585</v>
      </c>
      <c r="H516" s="1167">
        <v>12</v>
      </c>
      <c r="I516" s="1168">
        <f>IF(DAY($F516)&gt;15, VLOOKUP(EOMONTH($F516,-1),'WP 3.1 Rate Case Regress.'!$C$5:$D$556,2,FALSE), VLOOKUP(EOMONTH($F516, -2), 'WP 3.1 Rate Case Regress.'!$C$5:$D$556, 2, FALSE))</f>
        <v>8.8795000000000002</v>
      </c>
    </row>
    <row r="517" spans="2:9" x14ac:dyDescent="0.5">
      <c r="B517" s="1162" t="s">
        <v>2704</v>
      </c>
      <c r="C517" s="1163" t="s">
        <v>2725</v>
      </c>
      <c r="D517" s="1163" t="s">
        <v>3388</v>
      </c>
      <c r="E517" s="1164"/>
      <c r="F517" s="1165">
        <v>33807</v>
      </c>
      <c r="G517" s="1166" t="s">
        <v>2695</v>
      </c>
      <c r="H517" s="1167">
        <v>11.2</v>
      </c>
      <c r="I517" s="1168">
        <f>IF(DAY($F517)&gt;15, VLOOKUP(EOMONTH($F517,-1),'WP 3.1 Rate Case Regress.'!$C$5:$D$556,2,FALSE), VLOOKUP(EOMONTH($F517, -2), 'WP 3.1 Rate Case Regress.'!$C$5:$D$556, 2, FALSE))</f>
        <v>8.7876999999999992</v>
      </c>
    </row>
    <row r="518" spans="2:9" x14ac:dyDescent="0.5">
      <c r="B518" s="1162" t="s">
        <v>2712</v>
      </c>
      <c r="C518" s="1163" t="s">
        <v>3085</v>
      </c>
      <c r="D518" s="1163" t="s">
        <v>4811</v>
      </c>
      <c r="E518" s="1164"/>
      <c r="F518" s="1165">
        <v>33826</v>
      </c>
      <c r="G518" s="1166" t="s">
        <v>4585</v>
      </c>
      <c r="H518" s="1167">
        <v>12.1</v>
      </c>
      <c r="I518" s="1168">
        <f>IF(DAY($F518)&gt;15, VLOOKUP(EOMONTH($F518,-1),'WP 3.1 Rate Case Regress.'!$C$5:$D$556,2,FALSE), VLOOKUP(EOMONTH($F518, -2), 'WP 3.1 Rate Case Regress.'!$C$5:$D$556, 2, FALSE))</f>
        <v>8.7876999999999992</v>
      </c>
    </row>
    <row r="519" spans="2:9" x14ac:dyDescent="0.5">
      <c r="B519" s="1162" t="s">
        <v>2723</v>
      </c>
      <c r="C519" s="1163" t="s">
        <v>3389</v>
      </c>
      <c r="D519" s="1163" t="s">
        <v>3390</v>
      </c>
      <c r="E519" s="1164"/>
      <c r="F519" s="1165">
        <v>33842</v>
      </c>
      <c r="G519" s="1166" t="s">
        <v>2695</v>
      </c>
      <c r="H519" s="1167">
        <v>12.43</v>
      </c>
      <c r="I519" s="1168">
        <f>IF(DAY($F519)&gt;15, VLOOKUP(EOMONTH($F519,-1),'WP 3.1 Rate Case Regress.'!$C$5:$D$556,2,FALSE), VLOOKUP(EOMONTH($F519, -2), 'WP 3.1 Rate Case Regress.'!$C$5:$D$556, 2, FALSE))</f>
        <v>8.5791000000000004</v>
      </c>
    </row>
    <row r="520" spans="2:9" x14ac:dyDescent="0.5">
      <c r="B520" s="1162" t="s">
        <v>2699</v>
      </c>
      <c r="C520" s="1163" t="s">
        <v>2628</v>
      </c>
      <c r="D520" s="1163" t="s">
        <v>3391</v>
      </c>
      <c r="E520" s="1164"/>
      <c r="F520" s="1165">
        <v>33877</v>
      </c>
      <c r="G520" s="1166" t="s">
        <v>2695</v>
      </c>
      <c r="H520" s="1167">
        <v>11.6</v>
      </c>
      <c r="I520" s="1168">
        <f>IF(DAY($F520)&gt;15, VLOOKUP(EOMONTH($F520,-1),'WP 3.1 Rate Case Regress.'!$C$5:$D$556,2,FALSE), VLOOKUP(EOMONTH($F520, -2), 'WP 3.1 Rate Case Regress.'!$C$5:$D$556, 2, FALSE))</f>
        <v>8.4375999999999998</v>
      </c>
    </row>
    <row r="521" spans="2:9" x14ac:dyDescent="0.5">
      <c r="B521" s="1162" t="s">
        <v>2693</v>
      </c>
      <c r="C521" s="1163" t="s">
        <v>2961</v>
      </c>
      <c r="D521" s="1163" t="s">
        <v>3392</v>
      </c>
      <c r="E521" s="1164"/>
      <c r="F521" s="1165">
        <v>33883</v>
      </c>
      <c r="G521" s="1166" t="s">
        <v>2695</v>
      </c>
      <c r="H521" s="1167">
        <v>12.25</v>
      </c>
      <c r="I521" s="1168">
        <f>IF(DAY($F521)&gt;15, VLOOKUP(EOMONTH($F521,-1),'WP 3.1 Rate Case Regress.'!$C$5:$D$556,2,FALSE), VLOOKUP(EOMONTH($F521, -2), 'WP 3.1 Rate Case Regress.'!$C$5:$D$556, 2, FALSE))</f>
        <v>8.4375999999999998</v>
      </c>
    </row>
    <row r="522" spans="2:9" x14ac:dyDescent="0.5">
      <c r="B522" s="1162" t="s">
        <v>2702</v>
      </c>
      <c r="C522" s="1163" t="s">
        <v>3007</v>
      </c>
      <c r="D522" s="1163" t="s">
        <v>3393</v>
      </c>
      <c r="E522" s="1164"/>
      <c r="F522" s="1165">
        <v>33890</v>
      </c>
      <c r="G522" s="1166" t="s">
        <v>2695</v>
      </c>
      <c r="H522" s="1167">
        <v>12.75</v>
      </c>
      <c r="I522" s="1168">
        <f>IF(DAY($F522)&gt;15, VLOOKUP(EOMONTH($F522,-1),'WP 3.1 Rate Case Regress.'!$C$5:$D$556,2,FALSE), VLOOKUP(EOMONTH($F522, -2), 'WP 3.1 Rate Case Regress.'!$C$5:$D$556, 2, FALSE))</f>
        <v>8.4375999999999998</v>
      </c>
    </row>
    <row r="523" spans="2:9" x14ac:dyDescent="0.5">
      <c r="B523" s="1162" t="s">
        <v>2704</v>
      </c>
      <c r="C523" s="1163" t="s">
        <v>2707</v>
      </c>
      <c r="D523" s="1163" t="s">
        <v>4812</v>
      </c>
      <c r="E523" s="1164"/>
      <c r="F523" s="1165">
        <v>33900</v>
      </c>
      <c r="G523" s="1166" t="s">
        <v>4585</v>
      </c>
      <c r="H523" s="1167">
        <v>11.65</v>
      </c>
      <c r="I523" s="1168">
        <f>IF(DAY($F523)&gt;15, VLOOKUP(EOMONTH($F523,-1),'WP 3.1 Rate Case Regress.'!$C$5:$D$556,2,FALSE), VLOOKUP(EOMONTH($F523, -2), 'WP 3.1 Rate Case Regress.'!$C$5:$D$556, 2, FALSE))</f>
        <v>8.4070999999999998</v>
      </c>
    </row>
    <row r="524" spans="2:9" x14ac:dyDescent="0.5">
      <c r="B524" s="1162" t="s">
        <v>2739</v>
      </c>
      <c r="C524" s="1163" t="s">
        <v>2956</v>
      </c>
      <c r="D524" s="1163" t="s">
        <v>4813</v>
      </c>
      <c r="E524" s="1164"/>
      <c r="F524" s="1165">
        <v>33905</v>
      </c>
      <c r="G524" s="1166" t="s">
        <v>4585</v>
      </c>
      <c r="H524" s="1167">
        <v>12.25</v>
      </c>
      <c r="I524" s="1168">
        <f>IF(DAY($F524)&gt;15, VLOOKUP(EOMONTH($F524,-1),'WP 3.1 Rate Case Regress.'!$C$5:$D$556,2,FALSE), VLOOKUP(EOMONTH($F524, -2), 'WP 3.1 Rate Case Regress.'!$C$5:$D$556, 2, FALSE))</f>
        <v>8.4070999999999998</v>
      </c>
    </row>
    <row r="525" spans="2:9" x14ac:dyDescent="0.5">
      <c r="B525" s="1162" t="s">
        <v>2702</v>
      </c>
      <c r="C525" s="1163" t="s">
        <v>2903</v>
      </c>
      <c r="D525" s="1163" t="s">
        <v>3394</v>
      </c>
      <c r="E525" s="1164"/>
      <c r="F525" s="1165">
        <v>33906</v>
      </c>
      <c r="G525" s="1166" t="s">
        <v>2695</v>
      </c>
      <c r="H525" s="1167">
        <v>12.75</v>
      </c>
      <c r="I525" s="1168">
        <f>IF(DAY($F525)&gt;15, VLOOKUP(EOMONTH($F525,-1),'WP 3.1 Rate Case Regress.'!$C$5:$D$556,2,FALSE), VLOOKUP(EOMONTH($F525, -2), 'WP 3.1 Rate Case Regress.'!$C$5:$D$556, 2, FALSE))</f>
        <v>8.4070999999999998</v>
      </c>
    </row>
    <row r="526" spans="2:9" x14ac:dyDescent="0.5">
      <c r="B526" s="1162" t="s">
        <v>2700</v>
      </c>
      <c r="C526" s="1163" t="s">
        <v>3035</v>
      </c>
      <c r="D526" s="1163" t="s">
        <v>3395</v>
      </c>
      <c r="E526" s="1164"/>
      <c r="F526" s="1165">
        <v>33907</v>
      </c>
      <c r="G526" s="1166" t="s">
        <v>2695</v>
      </c>
      <c r="H526" s="1167">
        <v>11.4</v>
      </c>
      <c r="I526" s="1168">
        <f>IF(DAY($F526)&gt;15, VLOOKUP(EOMONTH($F526,-1),'WP 3.1 Rate Case Regress.'!$C$5:$D$556,2,FALSE), VLOOKUP(EOMONTH($F526, -2), 'WP 3.1 Rate Case Regress.'!$C$5:$D$556, 2, FALSE))</f>
        <v>8.4070999999999998</v>
      </c>
    </row>
    <row r="527" spans="2:9" x14ac:dyDescent="0.5">
      <c r="B527" s="1162" t="s">
        <v>2724</v>
      </c>
      <c r="C527" s="1163" t="s">
        <v>2925</v>
      </c>
      <c r="D527" s="1163" t="s">
        <v>4814</v>
      </c>
      <c r="E527" s="1164"/>
      <c r="F527" s="1165">
        <v>33917</v>
      </c>
      <c r="G527" s="1166" t="s">
        <v>4585</v>
      </c>
      <c r="H527" s="1167">
        <v>10.6</v>
      </c>
      <c r="I527" s="1168">
        <f>IF(DAY($F527)&gt;15, VLOOKUP(EOMONTH($F527,-1),'WP 3.1 Rate Case Regress.'!$C$5:$D$556,2,FALSE), VLOOKUP(EOMONTH($F527, -2), 'WP 3.1 Rate Case Regress.'!$C$5:$D$556, 2, FALSE))</f>
        <v>8.4070999999999998</v>
      </c>
    </row>
    <row r="528" spans="2:9" x14ac:dyDescent="0.5">
      <c r="B528" s="1162" t="s">
        <v>2708</v>
      </c>
      <c r="C528" s="1163" t="s">
        <v>3271</v>
      </c>
      <c r="D528" s="1163" t="s">
        <v>3396</v>
      </c>
      <c r="E528" s="1164"/>
      <c r="F528" s="1165">
        <v>33933</v>
      </c>
      <c r="G528" s="1166" t="s">
        <v>2695</v>
      </c>
      <c r="H528" s="1167">
        <v>12</v>
      </c>
      <c r="I528" s="1168">
        <f>IF(DAY($F528)&gt;15, VLOOKUP(EOMONTH($F528,-1),'WP 3.1 Rate Case Regress.'!$C$5:$D$556,2,FALSE), VLOOKUP(EOMONTH($F528, -2), 'WP 3.1 Rate Case Regress.'!$C$5:$D$556, 2, FALSE))</f>
        <v>8.5267999999999997</v>
      </c>
    </row>
    <row r="529" spans="2:9" x14ac:dyDescent="0.5">
      <c r="B529" s="1162" t="s">
        <v>2704</v>
      </c>
      <c r="C529" s="1163" t="s">
        <v>3121</v>
      </c>
      <c r="D529" s="1163" t="s">
        <v>3397</v>
      </c>
      <c r="E529" s="1164"/>
      <c r="F529" s="1165">
        <v>33933</v>
      </c>
      <c r="G529" s="1166" t="s">
        <v>2695</v>
      </c>
      <c r="H529" s="1167">
        <v>11</v>
      </c>
      <c r="I529" s="1168">
        <f>IF(DAY($F529)&gt;15, VLOOKUP(EOMONTH($F529,-1),'WP 3.1 Rate Case Regress.'!$C$5:$D$556,2,FALSE), VLOOKUP(EOMONTH($F529, -2), 'WP 3.1 Rate Case Regress.'!$C$5:$D$556, 2, FALSE))</f>
        <v>8.5267999999999997</v>
      </c>
    </row>
    <row r="530" spans="2:9" ht="30" x14ac:dyDescent="0.5">
      <c r="B530" s="1162" t="s">
        <v>2738</v>
      </c>
      <c r="C530" s="1163" t="s">
        <v>2741</v>
      </c>
      <c r="D530" s="1163" t="s">
        <v>3398</v>
      </c>
      <c r="E530" s="1164"/>
      <c r="F530" s="1165">
        <v>33941</v>
      </c>
      <c r="G530" s="1166" t="s">
        <v>2695</v>
      </c>
      <c r="H530" s="1167">
        <v>11.85</v>
      </c>
      <c r="I530" s="1168">
        <f>IF(DAY($F530)&gt;15, VLOOKUP(EOMONTH($F530,-1),'WP 3.1 Rate Case Regress.'!$C$5:$D$556,2,FALSE), VLOOKUP(EOMONTH($F530, -2), 'WP 3.1 Rate Case Regress.'!$C$5:$D$556, 2, FALSE))</f>
        <v>8.5267999999999997</v>
      </c>
    </row>
    <row r="531" spans="2:9" ht="30" x14ac:dyDescent="0.5">
      <c r="B531" s="1162" t="s">
        <v>2738</v>
      </c>
      <c r="C531" s="1163" t="s">
        <v>2760</v>
      </c>
      <c r="D531" s="1163" t="s">
        <v>3399</v>
      </c>
      <c r="E531" s="1164"/>
      <c r="F531" s="1165">
        <v>33954</v>
      </c>
      <c r="G531" s="1166" t="s">
        <v>2695</v>
      </c>
      <c r="H531" s="1167">
        <v>11.9</v>
      </c>
      <c r="I531" s="1168">
        <f>IF(DAY($F531)&gt;15, VLOOKUP(EOMONTH($F531,-1),'WP 3.1 Rate Case Regress.'!$C$5:$D$556,2,FALSE), VLOOKUP(EOMONTH($F531, -2), 'WP 3.1 Rate Case Regress.'!$C$5:$D$556, 2, FALSE))</f>
        <v>8.6311</v>
      </c>
    </row>
    <row r="532" spans="2:9" ht="30" x14ac:dyDescent="0.5">
      <c r="B532" s="1162" t="s">
        <v>2702</v>
      </c>
      <c r="C532" s="1163" t="s">
        <v>2749</v>
      </c>
      <c r="D532" s="1163" t="s">
        <v>3400</v>
      </c>
      <c r="E532" s="1164"/>
      <c r="F532" s="1165">
        <v>33960</v>
      </c>
      <c r="G532" s="1166" t="s">
        <v>2695</v>
      </c>
      <c r="H532" s="1167">
        <v>12.4</v>
      </c>
      <c r="I532" s="1168">
        <f>IF(DAY($F532)&gt;15, VLOOKUP(EOMONTH($F532,-1),'WP 3.1 Rate Case Regress.'!$C$5:$D$556,2,FALSE), VLOOKUP(EOMONTH($F532, -2), 'WP 3.1 Rate Case Regress.'!$C$5:$D$556, 2, FALSE))</f>
        <v>8.6311</v>
      </c>
    </row>
    <row r="533" spans="2:9" ht="30" x14ac:dyDescent="0.5">
      <c r="B533" s="1162" t="s">
        <v>2702</v>
      </c>
      <c r="C533" s="1163" t="s">
        <v>2748</v>
      </c>
      <c r="D533" s="1163" t="s">
        <v>3401</v>
      </c>
      <c r="E533" s="1164"/>
      <c r="F533" s="1165">
        <v>33960</v>
      </c>
      <c r="G533" s="1166" t="s">
        <v>2695</v>
      </c>
      <c r="H533" s="1167">
        <v>12.3</v>
      </c>
      <c r="I533" s="1168">
        <f>IF(DAY($F533)&gt;15, VLOOKUP(EOMONTH($F533,-1),'WP 3.1 Rate Case Regress.'!$C$5:$D$556,2,FALSE), VLOOKUP(EOMONTH($F533, -2), 'WP 3.1 Rate Case Regress.'!$C$5:$D$556, 2, FALSE))</f>
        <v>8.6311</v>
      </c>
    </row>
    <row r="534" spans="2:9" x14ac:dyDescent="0.5">
      <c r="B534" s="1162" t="s">
        <v>2712</v>
      </c>
      <c r="C534" s="1163" t="s">
        <v>2713</v>
      </c>
      <c r="D534" s="1163" t="s">
        <v>4815</v>
      </c>
      <c r="E534" s="1164"/>
      <c r="F534" s="1165">
        <v>33968</v>
      </c>
      <c r="G534" s="1166" t="s">
        <v>4585</v>
      </c>
      <c r="H534" s="1167">
        <v>12</v>
      </c>
      <c r="I534" s="1168">
        <f>IF(DAY($F534)&gt;15, VLOOKUP(EOMONTH($F534,-1),'WP 3.1 Rate Case Regress.'!$C$5:$D$556,2,FALSE), VLOOKUP(EOMONTH($F534, -2), 'WP 3.1 Rate Case Regress.'!$C$5:$D$556, 2, FALSE))</f>
        <v>8.6311</v>
      </c>
    </row>
    <row r="535" spans="2:9" x14ac:dyDescent="0.5">
      <c r="B535" s="1162" t="s">
        <v>2708</v>
      </c>
      <c r="C535" s="1163" t="s">
        <v>2709</v>
      </c>
      <c r="D535" s="1163" t="s">
        <v>4816</v>
      </c>
      <c r="E535" s="1164"/>
      <c r="F535" s="1165">
        <v>33969</v>
      </c>
      <c r="G535" s="1166" t="s">
        <v>4585</v>
      </c>
      <c r="H535" s="1167">
        <v>12</v>
      </c>
      <c r="I535" s="1168">
        <f>IF(DAY($F535)&gt;15, VLOOKUP(EOMONTH($F535,-1),'WP 3.1 Rate Case Regress.'!$C$5:$D$556,2,FALSE), VLOOKUP(EOMONTH($F535, -2), 'WP 3.1 Rate Case Regress.'!$C$5:$D$556, 2, FALSE))</f>
        <v>8.6311</v>
      </c>
    </row>
    <row r="536" spans="2:9" x14ac:dyDescent="0.5">
      <c r="B536" s="1162" t="s">
        <v>2706</v>
      </c>
      <c r="C536" s="1163" t="s">
        <v>2944</v>
      </c>
      <c r="D536" s="1163" t="s">
        <v>3402</v>
      </c>
      <c r="E536" s="1164"/>
      <c r="F536" s="1165">
        <v>33981</v>
      </c>
      <c r="G536" s="1166" t="s">
        <v>2695</v>
      </c>
      <c r="H536" s="1167">
        <v>12</v>
      </c>
      <c r="I536" s="1168">
        <f>IF(DAY($F536)&gt;15, VLOOKUP(EOMONTH($F536,-1),'WP 3.1 Rate Case Regress.'!$C$5:$D$556,2,FALSE), VLOOKUP(EOMONTH($F536, -2), 'WP 3.1 Rate Case Regress.'!$C$5:$D$556, 2, FALSE))</f>
        <v>8.6311</v>
      </c>
    </row>
    <row r="537" spans="2:9" ht="30" x14ac:dyDescent="0.5">
      <c r="B537" s="1162" t="s">
        <v>2702</v>
      </c>
      <c r="C537" s="1163" t="s">
        <v>2755</v>
      </c>
      <c r="D537" s="1163" t="s">
        <v>3403</v>
      </c>
      <c r="E537" s="1164"/>
      <c r="F537" s="1165">
        <v>33981</v>
      </c>
      <c r="G537" s="1166" t="s">
        <v>2695</v>
      </c>
      <c r="H537" s="1167">
        <v>12</v>
      </c>
      <c r="I537" s="1168">
        <f>IF(DAY($F537)&gt;15, VLOOKUP(EOMONTH($F537,-1),'WP 3.1 Rate Case Regress.'!$C$5:$D$556,2,FALSE), VLOOKUP(EOMONTH($F537, -2), 'WP 3.1 Rate Case Regress.'!$C$5:$D$556, 2, FALSE))</f>
        <v>8.6311</v>
      </c>
    </row>
    <row r="538" spans="2:9" x14ac:dyDescent="0.5">
      <c r="B538" s="1162" t="s">
        <v>2704</v>
      </c>
      <c r="C538" s="1163" t="s">
        <v>2705</v>
      </c>
      <c r="D538" s="1163" t="s">
        <v>4817</v>
      </c>
      <c r="E538" s="1164"/>
      <c r="F538" s="1165">
        <v>34002</v>
      </c>
      <c r="G538" s="1166" t="s">
        <v>4585</v>
      </c>
      <c r="H538" s="1167">
        <v>11.4</v>
      </c>
      <c r="I538" s="1168">
        <f>IF(DAY($F538)&gt;15, VLOOKUP(EOMONTH($F538,-1),'WP 3.1 Rate Case Regress.'!$C$5:$D$556,2,FALSE), VLOOKUP(EOMONTH($F538, -2), 'WP 3.1 Rate Case Regress.'!$C$5:$D$556, 2, FALSE))</f>
        <v>8.4504999999999999</v>
      </c>
    </row>
    <row r="539" spans="2:9" x14ac:dyDescent="0.5">
      <c r="B539" s="1162" t="s">
        <v>2754</v>
      </c>
      <c r="C539" s="1163" t="s">
        <v>3123</v>
      </c>
      <c r="D539" s="1163" t="s">
        <v>4818</v>
      </c>
      <c r="E539" s="1164"/>
      <c r="F539" s="1165">
        <v>34022</v>
      </c>
      <c r="G539" s="1166" t="s">
        <v>4585</v>
      </c>
      <c r="H539" s="1167">
        <v>11.6</v>
      </c>
      <c r="I539" s="1168">
        <f>IF(DAY($F539)&gt;15, VLOOKUP(EOMONTH($F539,-1),'WP 3.1 Rate Case Regress.'!$C$5:$D$556,2,FALSE), VLOOKUP(EOMONTH($F539, -2), 'WP 3.1 Rate Case Regress.'!$C$5:$D$556, 2, FALSE))</f>
        <v>8.2811000000000003</v>
      </c>
    </row>
    <row r="540" spans="2:9" x14ac:dyDescent="0.5">
      <c r="B540" s="1162" t="s">
        <v>2698</v>
      </c>
      <c r="C540" s="1163" t="s">
        <v>2722</v>
      </c>
      <c r="D540" s="1163" t="s">
        <v>3404</v>
      </c>
      <c r="E540" s="1164"/>
      <c r="F540" s="1165">
        <v>34082</v>
      </c>
      <c r="G540" s="1166" t="s">
        <v>2695</v>
      </c>
      <c r="H540" s="1167">
        <v>11.75</v>
      </c>
      <c r="I540" s="1168">
        <f>IF(DAY($F540)&gt;15, VLOOKUP(EOMONTH($F540,-1),'WP 3.1 Rate Case Regress.'!$C$5:$D$556,2,FALSE), VLOOKUP(EOMONTH($F540, -2), 'WP 3.1 Rate Case Regress.'!$C$5:$D$556, 2, FALSE))</f>
        <v>7.9025999999999996</v>
      </c>
    </row>
    <row r="541" spans="2:9" x14ac:dyDescent="0.5">
      <c r="B541" s="1162" t="s">
        <v>2708</v>
      </c>
      <c r="C541" s="1163" t="s">
        <v>2747</v>
      </c>
      <c r="D541" s="1163" t="s">
        <v>4819</v>
      </c>
      <c r="E541" s="1164"/>
      <c r="F541" s="1165">
        <v>34092</v>
      </c>
      <c r="G541" s="1166" t="s">
        <v>4585</v>
      </c>
      <c r="H541" s="1167">
        <v>11.75</v>
      </c>
      <c r="I541" s="1168">
        <f>IF(DAY($F541)&gt;15, VLOOKUP(EOMONTH($F541,-1),'WP 3.1 Rate Case Regress.'!$C$5:$D$556,2,FALSE), VLOOKUP(EOMONTH($F541, -2), 'WP 3.1 Rate Case Regress.'!$C$5:$D$556, 2, FALSE))</f>
        <v>7.9025999999999996</v>
      </c>
    </row>
    <row r="542" spans="2:9" x14ac:dyDescent="0.5">
      <c r="B542" s="1162" t="s">
        <v>2754</v>
      </c>
      <c r="C542" s="1163" t="s">
        <v>2975</v>
      </c>
      <c r="D542" s="1163" t="s">
        <v>4820</v>
      </c>
      <c r="E542" s="1164"/>
      <c r="F542" s="1165">
        <v>34092</v>
      </c>
      <c r="G542" s="1166" t="s">
        <v>4585</v>
      </c>
      <c r="H542" s="1167">
        <v>11.5</v>
      </c>
      <c r="I542" s="1168">
        <f>IF(DAY($F542)&gt;15, VLOOKUP(EOMONTH($F542,-1),'WP 3.1 Rate Case Regress.'!$C$5:$D$556,2,FALSE), VLOOKUP(EOMONTH($F542, -2), 'WP 3.1 Rate Case Regress.'!$C$5:$D$556, 2, FALSE))</f>
        <v>7.9025999999999996</v>
      </c>
    </row>
    <row r="543" spans="2:9" ht="30" x14ac:dyDescent="0.5">
      <c r="B543" s="1162" t="s">
        <v>2702</v>
      </c>
      <c r="C543" s="1163" t="s">
        <v>4701</v>
      </c>
      <c r="D543" s="1163" t="s">
        <v>3405</v>
      </c>
      <c r="E543" s="1164"/>
      <c r="F543" s="1165">
        <v>34123</v>
      </c>
      <c r="G543" s="1166" t="s">
        <v>2695</v>
      </c>
      <c r="H543" s="1167">
        <v>12</v>
      </c>
      <c r="I543" s="1168">
        <f>IF(DAY($F543)&gt;15, VLOOKUP(EOMONTH($F543,-1),'WP 3.1 Rate Case Regress.'!$C$5:$D$556,2,FALSE), VLOOKUP(EOMONTH($F543, -2), 'WP 3.1 Rate Case Regress.'!$C$5:$D$556, 2, FALSE))</f>
        <v>7.8175999999999997</v>
      </c>
    </row>
    <row r="544" spans="2:9" x14ac:dyDescent="0.5">
      <c r="B544" s="1162" t="s">
        <v>2731</v>
      </c>
      <c r="C544" s="1163" t="s">
        <v>2733</v>
      </c>
      <c r="D544" s="1163" t="s">
        <v>3406</v>
      </c>
      <c r="E544" s="1164"/>
      <c r="F544" s="1165">
        <v>34127</v>
      </c>
      <c r="G544" s="1166" t="s">
        <v>2695</v>
      </c>
      <c r="H544" s="1167">
        <v>11.5</v>
      </c>
      <c r="I544" s="1168">
        <f>IF(DAY($F544)&gt;15, VLOOKUP(EOMONTH($F544,-1),'WP 3.1 Rate Case Regress.'!$C$5:$D$556,2,FALSE), VLOOKUP(EOMONTH($F544, -2), 'WP 3.1 Rate Case Regress.'!$C$5:$D$556, 2, FALSE))</f>
        <v>7.8175999999999997</v>
      </c>
    </row>
    <row r="545" spans="2:9" x14ac:dyDescent="0.5">
      <c r="B545" s="1162" t="s">
        <v>2766</v>
      </c>
      <c r="C545" s="1163" t="s">
        <v>3110</v>
      </c>
      <c r="D545" s="1163" t="s">
        <v>3407</v>
      </c>
      <c r="E545" s="1164"/>
      <c r="F545" s="1165">
        <v>34142</v>
      </c>
      <c r="G545" s="1166" t="s">
        <v>2695</v>
      </c>
      <c r="H545" s="1167">
        <v>11.75</v>
      </c>
      <c r="I545" s="1168">
        <f>IF(DAY($F545)&gt;15, VLOOKUP(EOMONTH($F545,-1),'WP 3.1 Rate Case Regress.'!$C$5:$D$556,2,FALSE), VLOOKUP(EOMONTH($F545, -2), 'WP 3.1 Rate Case Regress.'!$C$5:$D$556, 2, FALSE))</f>
        <v>7.859</v>
      </c>
    </row>
    <row r="546" spans="2:9" x14ac:dyDescent="0.5">
      <c r="B546" s="1162" t="s">
        <v>2739</v>
      </c>
      <c r="C546" s="1163" t="s">
        <v>4589</v>
      </c>
      <c r="D546" s="1163" t="s">
        <v>4821</v>
      </c>
      <c r="E546" s="1164"/>
      <c r="F546" s="1165">
        <v>34171</v>
      </c>
      <c r="G546" s="1166" t="s">
        <v>4585</v>
      </c>
      <c r="H546" s="1167">
        <v>11.9</v>
      </c>
      <c r="I546" s="1168">
        <f>IF(DAY($F546)&gt;15, VLOOKUP(EOMONTH($F546,-1),'WP 3.1 Rate Case Regress.'!$C$5:$D$556,2,FALSE), VLOOKUP(EOMONTH($F546, -2), 'WP 3.1 Rate Case Regress.'!$C$5:$D$556, 2, FALSE))</f>
        <v>7.7632000000000003</v>
      </c>
    </row>
    <row r="547" spans="2:9" x14ac:dyDescent="0.5">
      <c r="B547" s="1162" t="s">
        <v>2693</v>
      </c>
      <c r="C547" s="1163" t="s">
        <v>2709</v>
      </c>
      <c r="D547" s="1163" t="s">
        <v>3408</v>
      </c>
      <c r="E547" s="1164"/>
      <c r="F547" s="1165">
        <v>34171</v>
      </c>
      <c r="G547" s="1166" t="s">
        <v>2695</v>
      </c>
      <c r="H547" s="1167">
        <v>11.78</v>
      </c>
      <c r="I547" s="1168">
        <f>IF(DAY($F547)&gt;15, VLOOKUP(EOMONTH($F547,-1),'WP 3.1 Rate Case Regress.'!$C$5:$D$556,2,FALSE), VLOOKUP(EOMONTH($F547, -2), 'WP 3.1 Rate Case Regress.'!$C$5:$D$556, 2, FALSE))</f>
        <v>7.7632000000000003</v>
      </c>
    </row>
    <row r="548" spans="2:9" x14ac:dyDescent="0.5">
      <c r="B548" s="1162" t="s">
        <v>2728</v>
      </c>
      <c r="C548" s="1163" t="s">
        <v>2771</v>
      </c>
      <c r="D548" s="1163" t="s">
        <v>3409</v>
      </c>
      <c r="E548" s="1164"/>
      <c r="F548" s="1165">
        <v>34173</v>
      </c>
      <c r="G548" s="1166" t="s">
        <v>2695</v>
      </c>
      <c r="H548" s="1167">
        <v>11.5</v>
      </c>
      <c r="I548" s="1168">
        <f>IF(DAY($F548)&gt;15, VLOOKUP(EOMONTH($F548,-1),'WP 3.1 Rate Case Regress.'!$C$5:$D$556,2,FALSE), VLOOKUP(EOMONTH($F548, -2), 'WP 3.1 Rate Case Regress.'!$C$5:$D$556, 2, FALSE))</f>
        <v>7.7632000000000003</v>
      </c>
    </row>
    <row r="549" spans="2:9" x14ac:dyDescent="0.5">
      <c r="B549" s="1162" t="s">
        <v>2698</v>
      </c>
      <c r="C549" s="1163" t="s">
        <v>2895</v>
      </c>
      <c r="D549" s="1163" t="s">
        <v>4822</v>
      </c>
      <c r="E549" s="1164"/>
      <c r="F549" s="1165">
        <v>34179</v>
      </c>
      <c r="G549" s="1166" t="s">
        <v>4585</v>
      </c>
      <c r="H549" s="1167">
        <v>11.5</v>
      </c>
      <c r="I549" s="1168">
        <f>IF(DAY($F549)&gt;15, VLOOKUP(EOMONTH($F549,-1),'WP 3.1 Rate Case Regress.'!$C$5:$D$556,2,FALSE), VLOOKUP(EOMONTH($F549, -2), 'WP 3.1 Rate Case Regress.'!$C$5:$D$556, 2, FALSE))</f>
        <v>7.7632000000000003</v>
      </c>
    </row>
    <row r="550" spans="2:9" x14ac:dyDescent="0.5">
      <c r="B550" s="1162" t="s">
        <v>2717</v>
      </c>
      <c r="C550" s="1163" t="s">
        <v>2939</v>
      </c>
      <c r="D550" s="1163" t="s">
        <v>3410</v>
      </c>
      <c r="E550" s="1164"/>
      <c r="F550" s="1165">
        <v>34193</v>
      </c>
      <c r="G550" s="1166" t="s">
        <v>2695</v>
      </c>
      <c r="H550" s="1167">
        <v>10.75</v>
      </c>
      <c r="I550" s="1168">
        <f>IF(DAY($F550)&gt;15, VLOOKUP(EOMONTH($F550,-1),'WP 3.1 Rate Case Regress.'!$C$5:$D$556,2,FALSE), VLOOKUP(EOMONTH($F550, -2), 'WP 3.1 Rate Case Regress.'!$C$5:$D$556, 2, FALSE))</f>
        <v>7.7632000000000003</v>
      </c>
    </row>
    <row r="551" spans="2:9" x14ac:dyDescent="0.5">
      <c r="B551" s="1162" t="s">
        <v>2704</v>
      </c>
      <c r="C551" s="1163" t="s">
        <v>2927</v>
      </c>
      <c r="D551" s="1163" t="s">
        <v>4823</v>
      </c>
      <c r="E551" s="1164"/>
      <c r="F551" s="1165">
        <v>34205</v>
      </c>
      <c r="G551" s="1166" t="s">
        <v>4585</v>
      </c>
      <c r="H551" s="1167">
        <v>11.5</v>
      </c>
      <c r="I551" s="1168">
        <f>IF(DAY($F551)&gt;15, VLOOKUP(EOMONTH($F551,-1),'WP 3.1 Rate Case Regress.'!$C$5:$D$556,2,FALSE), VLOOKUP(EOMONTH($F551, -2), 'WP 3.1 Rate Case Regress.'!$C$5:$D$556, 2, FALSE))</f>
        <v>7.5414000000000003</v>
      </c>
    </row>
    <row r="552" spans="2:9" x14ac:dyDescent="0.5">
      <c r="B552" s="1162" t="s">
        <v>2702</v>
      </c>
      <c r="C552" s="1163" t="s">
        <v>3007</v>
      </c>
      <c r="D552" s="1163" t="s">
        <v>3411</v>
      </c>
      <c r="E552" s="1164"/>
      <c r="F552" s="1165">
        <v>34212</v>
      </c>
      <c r="G552" s="1166" t="s">
        <v>2695</v>
      </c>
      <c r="H552" s="1167">
        <v>11.9</v>
      </c>
      <c r="I552" s="1168">
        <f>IF(DAY($F552)&gt;15, VLOOKUP(EOMONTH($F552,-1),'WP 3.1 Rate Case Regress.'!$C$5:$D$556,2,FALSE), VLOOKUP(EOMONTH($F552, -2), 'WP 3.1 Rate Case Regress.'!$C$5:$D$556, 2, FALSE))</f>
        <v>7.5414000000000003</v>
      </c>
    </row>
    <row r="553" spans="2:9" ht="30" x14ac:dyDescent="0.5">
      <c r="B553" s="1162" t="s">
        <v>2754</v>
      </c>
      <c r="C553" s="1163" t="s">
        <v>2755</v>
      </c>
      <c r="D553" s="1163" t="s">
        <v>3412</v>
      </c>
      <c r="E553" s="1164"/>
      <c r="F553" s="1165">
        <v>34213</v>
      </c>
      <c r="G553" s="1166" t="s">
        <v>2695</v>
      </c>
      <c r="H553" s="1167">
        <v>11.47</v>
      </c>
      <c r="I553" s="1168">
        <f>IF(DAY($F553)&gt;15, VLOOKUP(EOMONTH($F553,-1),'WP 3.1 Rate Case Regress.'!$C$5:$D$556,2,FALSE), VLOOKUP(EOMONTH($F553, -2), 'WP 3.1 Rate Case Regress.'!$C$5:$D$556, 2, FALSE))</f>
        <v>7.5414000000000003</v>
      </c>
    </row>
    <row r="554" spans="2:9" x14ac:dyDescent="0.5">
      <c r="B554" s="1162" t="s">
        <v>2708</v>
      </c>
      <c r="C554" s="1163" t="s">
        <v>2747</v>
      </c>
      <c r="D554" s="1163" t="s">
        <v>3413</v>
      </c>
      <c r="E554" s="1164"/>
      <c r="F554" s="1165">
        <v>34213</v>
      </c>
      <c r="G554" s="1166" t="s">
        <v>2695</v>
      </c>
      <c r="H554" s="1167">
        <v>11.25</v>
      </c>
      <c r="I554" s="1168">
        <f>IF(DAY($F554)&gt;15, VLOOKUP(EOMONTH($F554,-1),'WP 3.1 Rate Case Regress.'!$C$5:$D$556,2,FALSE), VLOOKUP(EOMONTH($F554, -2), 'WP 3.1 Rate Case Regress.'!$C$5:$D$556, 2, FALSE))</f>
        <v>7.5414000000000003</v>
      </c>
    </row>
    <row r="555" spans="2:9" x14ac:dyDescent="0.5">
      <c r="B555" s="1162" t="s">
        <v>2736</v>
      </c>
      <c r="C555" s="1163" t="s">
        <v>2737</v>
      </c>
      <c r="D555" s="1163" t="s">
        <v>3414</v>
      </c>
      <c r="E555" s="1164"/>
      <c r="F555" s="1165">
        <v>34239</v>
      </c>
      <c r="G555" s="1166" t="s">
        <v>2695</v>
      </c>
      <c r="H555" s="1167">
        <v>10.5</v>
      </c>
      <c r="I555" s="1168">
        <f>IF(DAY($F555)&gt;15, VLOOKUP(EOMONTH($F555,-1),'WP 3.1 Rate Case Regress.'!$C$5:$D$556,2,FALSE), VLOOKUP(EOMONTH($F555, -2), 'WP 3.1 Rate Case Regress.'!$C$5:$D$556, 2, FALSE))</f>
        <v>7.2705000000000002</v>
      </c>
    </row>
    <row r="556" spans="2:9" x14ac:dyDescent="0.5">
      <c r="B556" s="1162" t="s">
        <v>2699</v>
      </c>
      <c r="C556" s="1163" t="s">
        <v>2628</v>
      </c>
      <c r="D556" s="1163" t="s">
        <v>3415</v>
      </c>
      <c r="E556" s="1164"/>
      <c r="F556" s="1165">
        <v>34241</v>
      </c>
      <c r="G556" s="1166" t="s">
        <v>2695</v>
      </c>
      <c r="H556" s="1167">
        <v>11</v>
      </c>
      <c r="I556" s="1168">
        <f>IF(DAY($F556)&gt;15, VLOOKUP(EOMONTH($F556,-1),'WP 3.1 Rate Case Regress.'!$C$5:$D$556,2,FALSE), VLOOKUP(EOMONTH($F556, -2), 'WP 3.1 Rate Case Regress.'!$C$5:$D$556, 2, FALSE))</f>
        <v>7.2705000000000002</v>
      </c>
    </row>
    <row r="557" spans="2:9" ht="30" x14ac:dyDescent="0.5">
      <c r="B557" s="1162" t="s">
        <v>2702</v>
      </c>
      <c r="C557" s="1163" t="s">
        <v>2749</v>
      </c>
      <c r="D557" s="1163" t="s">
        <v>3416</v>
      </c>
      <c r="E557" s="1164"/>
      <c r="F557" s="1165">
        <v>34242</v>
      </c>
      <c r="G557" s="1166" t="s">
        <v>2695</v>
      </c>
      <c r="H557" s="1167">
        <v>11.6</v>
      </c>
      <c r="I557" s="1168">
        <f>IF(DAY($F557)&gt;15, VLOOKUP(EOMONTH($F557,-1),'WP 3.1 Rate Case Regress.'!$C$5:$D$556,2,FALSE), VLOOKUP(EOMONTH($F557, -2), 'WP 3.1 Rate Case Regress.'!$C$5:$D$556, 2, FALSE))</f>
        <v>7.2705000000000002</v>
      </c>
    </row>
    <row r="558" spans="2:9" x14ac:dyDescent="0.5">
      <c r="B558" s="1162" t="s">
        <v>2734</v>
      </c>
      <c r="C558" s="1163" t="s">
        <v>2895</v>
      </c>
      <c r="D558" s="1163" t="s">
        <v>3417</v>
      </c>
      <c r="E558" s="1164"/>
      <c r="F558" s="1165">
        <v>34250</v>
      </c>
      <c r="G558" s="1166" t="s">
        <v>2695</v>
      </c>
      <c r="H558" s="1167">
        <v>11.5</v>
      </c>
      <c r="I558" s="1168">
        <f>IF(DAY($F558)&gt;15, VLOOKUP(EOMONTH($F558,-1),'WP 3.1 Rate Case Regress.'!$C$5:$D$556,2,FALSE), VLOOKUP(EOMONTH($F558, -2), 'WP 3.1 Rate Case Regress.'!$C$5:$D$556, 2, FALSE))</f>
        <v>7.2705000000000002</v>
      </c>
    </row>
    <row r="559" spans="2:9" x14ac:dyDescent="0.5">
      <c r="B559" s="1162" t="s">
        <v>2763</v>
      </c>
      <c r="C559" s="1163" t="s">
        <v>3059</v>
      </c>
      <c r="D559" s="1163" t="s">
        <v>3418</v>
      </c>
      <c r="E559" s="1164"/>
      <c r="F559" s="1165">
        <v>34256</v>
      </c>
      <c r="G559" s="1166" t="s">
        <v>2695</v>
      </c>
      <c r="H559" s="1167">
        <v>11.2</v>
      </c>
      <c r="I559" s="1168">
        <f>IF(DAY($F559)&gt;15, VLOOKUP(EOMONTH($F559,-1),'WP 3.1 Rate Case Regress.'!$C$5:$D$556,2,FALSE), VLOOKUP(EOMONTH($F559, -2), 'WP 3.1 Rate Case Regress.'!$C$5:$D$556, 2, FALSE))</f>
        <v>7.2705000000000002</v>
      </c>
    </row>
    <row r="560" spans="2:9" x14ac:dyDescent="0.5">
      <c r="B560" s="1162" t="s">
        <v>2766</v>
      </c>
      <c r="C560" s="1163" t="s">
        <v>3356</v>
      </c>
      <c r="D560" s="1163" t="s">
        <v>3419</v>
      </c>
      <c r="E560" s="1164"/>
      <c r="F560" s="1165">
        <v>34257</v>
      </c>
      <c r="G560" s="1166" t="s">
        <v>2695</v>
      </c>
      <c r="H560" s="1167">
        <v>11.75</v>
      </c>
      <c r="I560" s="1168">
        <f>IF(DAY($F560)&gt;15, VLOOKUP(EOMONTH($F560,-1),'WP 3.1 Rate Case Regress.'!$C$5:$D$556,2,FALSE), VLOOKUP(EOMONTH($F560, -2), 'WP 3.1 Rate Case Regress.'!$C$5:$D$556, 2, FALSE))</f>
        <v>7.2705000000000002</v>
      </c>
    </row>
    <row r="561" spans="2:9" ht="30" x14ac:dyDescent="0.5">
      <c r="B561" s="1162" t="s">
        <v>2731</v>
      </c>
      <c r="C561" s="1163" t="s">
        <v>2939</v>
      </c>
      <c r="D561" s="1163" t="s">
        <v>3420</v>
      </c>
      <c r="E561" s="1164"/>
      <c r="F561" s="1165">
        <v>34267</v>
      </c>
      <c r="G561" s="1166" t="s">
        <v>2695</v>
      </c>
      <c r="H561" s="1167">
        <v>11.55</v>
      </c>
      <c r="I561" s="1168">
        <f>IF(DAY($F561)&gt;15, VLOOKUP(EOMONTH($F561,-1),'WP 3.1 Rate Case Regress.'!$C$5:$D$556,2,FALSE), VLOOKUP(EOMONTH($F561, -2), 'WP 3.1 Rate Case Regress.'!$C$5:$D$556, 2, FALSE))</f>
        <v>7.0362</v>
      </c>
    </row>
    <row r="562" spans="2:9" x14ac:dyDescent="0.5">
      <c r="B562" s="1162" t="s">
        <v>2744</v>
      </c>
      <c r="C562" s="1163" t="s">
        <v>2972</v>
      </c>
      <c r="D562" s="1163" t="s">
        <v>3421</v>
      </c>
      <c r="E562" s="1164"/>
      <c r="F562" s="1165">
        <v>34270</v>
      </c>
      <c r="G562" s="1166" t="s">
        <v>2695</v>
      </c>
      <c r="H562" s="1167">
        <v>11.5</v>
      </c>
      <c r="I562" s="1168">
        <f>IF(DAY($F562)&gt;15, VLOOKUP(EOMONTH($F562,-1),'WP 3.1 Rate Case Regress.'!$C$5:$D$556,2,FALSE), VLOOKUP(EOMONTH($F562, -2), 'WP 3.1 Rate Case Regress.'!$C$5:$D$556, 2, FALSE))</f>
        <v>7.0362</v>
      </c>
    </row>
    <row r="563" spans="2:9" x14ac:dyDescent="0.5">
      <c r="B563" s="1162" t="s">
        <v>2700</v>
      </c>
      <c r="C563" s="1163" t="s">
        <v>3082</v>
      </c>
      <c r="D563" s="1163" t="s">
        <v>3422</v>
      </c>
      <c r="E563" s="1164"/>
      <c r="F563" s="1165">
        <v>34271</v>
      </c>
      <c r="G563" s="1166" t="s">
        <v>2695</v>
      </c>
      <c r="H563" s="1167">
        <v>11.25</v>
      </c>
      <c r="I563" s="1168">
        <f>IF(DAY($F563)&gt;15, VLOOKUP(EOMONTH($F563,-1),'WP 3.1 Rate Case Regress.'!$C$5:$D$556,2,FALSE), VLOOKUP(EOMONTH($F563, -2), 'WP 3.1 Rate Case Regress.'!$C$5:$D$556, 2, FALSE))</f>
        <v>7.0362</v>
      </c>
    </row>
    <row r="564" spans="2:9" x14ac:dyDescent="0.5">
      <c r="B564" s="1162" t="s">
        <v>2724</v>
      </c>
      <c r="C564" s="1163" t="s">
        <v>2942</v>
      </c>
      <c r="D564" s="1163" t="s">
        <v>3423</v>
      </c>
      <c r="E564" s="1164"/>
      <c r="F564" s="1165">
        <v>34271</v>
      </c>
      <c r="G564" s="1166" t="s">
        <v>2695</v>
      </c>
      <c r="H564" s="1167">
        <v>10.199999999999999</v>
      </c>
      <c r="I564" s="1168">
        <f>IF(DAY($F564)&gt;15, VLOOKUP(EOMONTH($F564,-1),'WP 3.1 Rate Case Regress.'!$C$5:$D$556,2,FALSE), VLOOKUP(EOMONTH($F564, -2), 'WP 3.1 Rate Case Regress.'!$C$5:$D$556, 2, FALSE))</f>
        <v>7.0362</v>
      </c>
    </row>
    <row r="565" spans="2:9" x14ac:dyDescent="0.5">
      <c r="B565" s="1162" t="s">
        <v>2724</v>
      </c>
      <c r="C565" s="1163" t="s">
        <v>2925</v>
      </c>
      <c r="D565" s="1163" t="s">
        <v>3424</v>
      </c>
      <c r="E565" s="1164"/>
      <c r="F565" s="1165">
        <v>34271</v>
      </c>
      <c r="G565" s="1166" t="s">
        <v>2695</v>
      </c>
      <c r="H565" s="1167">
        <v>10.1</v>
      </c>
      <c r="I565" s="1168">
        <f>IF(DAY($F565)&gt;15, VLOOKUP(EOMONTH($F565,-1),'WP 3.1 Rate Case Regress.'!$C$5:$D$556,2,FALSE), VLOOKUP(EOMONTH($F565, -2), 'WP 3.1 Rate Case Regress.'!$C$5:$D$556, 2, FALSE))</f>
        <v>7.0362</v>
      </c>
    </row>
    <row r="566" spans="2:9" x14ac:dyDescent="0.5">
      <c r="B566" s="1162" t="s">
        <v>2704</v>
      </c>
      <c r="C566" s="1163" t="s">
        <v>2725</v>
      </c>
      <c r="D566" s="1163" t="s">
        <v>4824</v>
      </c>
      <c r="E566" s="1164"/>
      <c r="F566" s="1165">
        <v>34275</v>
      </c>
      <c r="G566" s="1166" t="s">
        <v>4585</v>
      </c>
      <c r="H566" s="1167">
        <v>10.8</v>
      </c>
      <c r="I566" s="1168">
        <f>IF(DAY($F566)&gt;15, VLOOKUP(EOMONTH($F566,-1),'WP 3.1 Rate Case Regress.'!$C$5:$D$556,2,FALSE), VLOOKUP(EOMONTH($F566, -2), 'WP 3.1 Rate Case Regress.'!$C$5:$D$556, 2, FALSE))</f>
        <v>7.0362</v>
      </c>
    </row>
    <row r="567" spans="2:9" x14ac:dyDescent="0.5">
      <c r="B567" s="1162" t="s">
        <v>2702</v>
      </c>
      <c r="C567" s="1163" t="s">
        <v>2903</v>
      </c>
      <c r="D567" s="1163" t="s">
        <v>3425</v>
      </c>
      <c r="E567" s="1164"/>
      <c r="F567" s="1165">
        <v>34285</v>
      </c>
      <c r="G567" s="1166" t="s">
        <v>2695</v>
      </c>
      <c r="H567" s="1167">
        <v>11.8</v>
      </c>
      <c r="I567" s="1168">
        <f>IF(DAY($F567)&gt;15, VLOOKUP(EOMONTH($F567,-1),'WP 3.1 Rate Case Regress.'!$C$5:$D$556,2,FALSE), VLOOKUP(EOMONTH($F567, -2), 'WP 3.1 Rate Case Regress.'!$C$5:$D$556, 2, FALSE))</f>
        <v>7.0362</v>
      </c>
    </row>
    <row r="568" spans="2:9" x14ac:dyDescent="0.5">
      <c r="B568" s="1162" t="s">
        <v>2758</v>
      </c>
      <c r="C568" s="1163" t="s">
        <v>2759</v>
      </c>
      <c r="D568" s="1163" t="s">
        <v>3426</v>
      </c>
      <c r="E568" s="1164"/>
      <c r="F568" s="1165">
        <v>34296</v>
      </c>
      <c r="G568" s="1166" t="s">
        <v>2695</v>
      </c>
      <c r="H568" s="1167">
        <v>12.5</v>
      </c>
      <c r="I568" s="1168">
        <f>IF(DAY($F568)&gt;15, VLOOKUP(EOMONTH($F568,-1),'WP 3.1 Rate Case Regress.'!$C$5:$D$556,2,FALSE), VLOOKUP(EOMONTH($F568, -2), 'WP 3.1 Rate Case Regress.'!$C$5:$D$556, 2, FALSE))</f>
        <v>7.0281000000000002</v>
      </c>
    </row>
    <row r="569" spans="2:9" x14ac:dyDescent="0.5">
      <c r="B569" s="1162" t="s">
        <v>2715</v>
      </c>
      <c r="C569" s="1163" t="s">
        <v>2716</v>
      </c>
      <c r="D569" s="1163" t="s">
        <v>3427</v>
      </c>
      <c r="E569" s="1164"/>
      <c r="F569" s="1165">
        <v>34299</v>
      </c>
      <c r="G569" s="1166" t="s">
        <v>2695</v>
      </c>
      <c r="H569" s="1167">
        <v>11</v>
      </c>
      <c r="I569" s="1168">
        <f>IF(DAY($F569)&gt;15, VLOOKUP(EOMONTH($F569,-1),'WP 3.1 Rate Case Regress.'!$C$5:$D$556,2,FALSE), VLOOKUP(EOMONTH($F569, -2), 'WP 3.1 Rate Case Regress.'!$C$5:$D$556, 2, FALSE))</f>
        <v>7.0281000000000002</v>
      </c>
    </row>
    <row r="570" spans="2:9" x14ac:dyDescent="0.5">
      <c r="B570" s="1162" t="s">
        <v>2723</v>
      </c>
      <c r="C570" s="1163" t="s">
        <v>2949</v>
      </c>
      <c r="D570" s="1163" t="s">
        <v>4825</v>
      </c>
      <c r="E570" s="1164"/>
      <c r="F570" s="1165">
        <v>34304</v>
      </c>
      <c r="G570" s="1166" t="s">
        <v>4585</v>
      </c>
      <c r="H570" s="1167">
        <v>11.45</v>
      </c>
      <c r="I570" s="1168">
        <f>IF(DAY($F570)&gt;15, VLOOKUP(EOMONTH($F570,-1),'WP 3.1 Rate Case Regress.'!$C$5:$D$556,2,FALSE), VLOOKUP(EOMONTH($F570, -2), 'WP 3.1 Rate Case Regress.'!$C$5:$D$556, 2, FALSE))</f>
        <v>7.0281000000000002</v>
      </c>
    </row>
    <row r="571" spans="2:9" x14ac:dyDescent="0.5">
      <c r="B571" s="1162" t="s">
        <v>2723</v>
      </c>
      <c r="C571" s="1163" t="s">
        <v>2921</v>
      </c>
      <c r="D571" s="1163" t="s">
        <v>3428</v>
      </c>
      <c r="E571" s="1164"/>
      <c r="F571" s="1165">
        <v>34319</v>
      </c>
      <c r="G571" s="1166" t="s">
        <v>2695</v>
      </c>
      <c r="H571" s="1167">
        <v>11.2</v>
      </c>
      <c r="I571" s="1168">
        <f>IF(DAY($F571)&gt;15, VLOOKUP(EOMONTH($F571,-1),'WP 3.1 Rate Case Regress.'!$C$5:$D$556,2,FALSE), VLOOKUP(EOMONTH($F571, -2), 'WP 3.1 Rate Case Regress.'!$C$5:$D$556, 2, FALSE))</f>
        <v>7.2805</v>
      </c>
    </row>
    <row r="572" spans="2:9" x14ac:dyDescent="0.5">
      <c r="B572" s="1162" t="s">
        <v>2704</v>
      </c>
      <c r="C572" s="1163" t="s">
        <v>2750</v>
      </c>
      <c r="D572" s="1163" t="s">
        <v>3429</v>
      </c>
      <c r="E572" s="1164"/>
      <c r="F572" s="1165">
        <v>34319</v>
      </c>
      <c r="G572" s="1166" t="s">
        <v>2695</v>
      </c>
      <c r="H572" s="1167">
        <v>10.6</v>
      </c>
      <c r="I572" s="1168">
        <f>IF(DAY($F572)&gt;15, VLOOKUP(EOMONTH($F572,-1),'WP 3.1 Rate Case Regress.'!$C$5:$D$556,2,FALSE), VLOOKUP(EOMONTH($F572, -2), 'WP 3.1 Rate Case Regress.'!$C$5:$D$556, 2, FALSE))</f>
        <v>7.2805</v>
      </c>
    </row>
    <row r="573" spans="2:9" ht="30" x14ac:dyDescent="0.5">
      <c r="B573" s="1162" t="s">
        <v>2702</v>
      </c>
      <c r="C573" s="1163" t="s">
        <v>2748</v>
      </c>
      <c r="D573" s="1163" t="s">
        <v>3430</v>
      </c>
      <c r="E573" s="1164"/>
      <c r="F573" s="1165">
        <v>34324</v>
      </c>
      <c r="G573" s="1166" t="s">
        <v>2695</v>
      </c>
      <c r="H573" s="1167">
        <v>11.3</v>
      </c>
      <c r="I573" s="1168">
        <f>IF(DAY($F573)&gt;15, VLOOKUP(EOMONTH($F573,-1),'WP 3.1 Rate Case Regress.'!$C$5:$D$556,2,FALSE), VLOOKUP(EOMONTH($F573, -2), 'WP 3.1 Rate Case Regress.'!$C$5:$D$556, 2, FALSE))</f>
        <v>7.2805</v>
      </c>
    </row>
    <row r="574" spans="2:9" ht="30" x14ac:dyDescent="0.5">
      <c r="B574" s="1162" t="s">
        <v>2738</v>
      </c>
      <c r="C574" s="1163" t="s">
        <v>2954</v>
      </c>
      <c r="D574" s="1163" t="s">
        <v>3431</v>
      </c>
      <c r="E574" s="1164"/>
      <c r="F574" s="1165">
        <v>34325</v>
      </c>
      <c r="G574" s="1166" t="s">
        <v>2695</v>
      </c>
      <c r="H574" s="1167">
        <v>11</v>
      </c>
      <c r="I574" s="1168">
        <f>IF(DAY($F574)&gt;15, VLOOKUP(EOMONTH($F574,-1),'WP 3.1 Rate Case Regress.'!$C$5:$D$556,2,FALSE), VLOOKUP(EOMONTH($F574, -2), 'WP 3.1 Rate Case Regress.'!$C$5:$D$556, 2, FALSE))</f>
        <v>7.2805</v>
      </c>
    </row>
    <row r="575" spans="2:9" x14ac:dyDescent="0.5">
      <c r="B575" s="1162" t="s">
        <v>2704</v>
      </c>
      <c r="C575" s="1163" t="s">
        <v>3121</v>
      </c>
      <c r="D575" s="1163" t="s">
        <v>4826</v>
      </c>
      <c r="E575" s="1164"/>
      <c r="F575" s="1165">
        <v>34326</v>
      </c>
      <c r="G575" s="1166" t="s">
        <v>4585</v>
      </c>
      <c r="H575" s="1167">
        <v>10.1</v>
      </c>
      <c r="I575" s="1168">
        <f>IF(DAY($F575)&gt;15, VLOOKUP(EOMONTH($F575,-1),'WP 3.1 Rate Case Regress.'!$C$5:$D$556,2,FALSE), VLOOKUP(EOMONTH($F575, -2), 'WP 3.1 Rate Case Regress.'!$C$5:$D$556, 2, FALSE))</f>
        <v>7.2805</v>
      </c>
    </row>
    <row r="576" spans="2:9" x14ac:dyDescent="0.5">
      <c r="B576" s="1162" t="s">
        <v>2712</v>
      </c>
      <c r="C576" s="1163" t="s">
        <v>3255</v>
      </c>
      <c r="D576" s="1163" t="s">
        <v>4827</v>
      </c>
      <c r="E576" s="1164"/>
      <c r="F576" s="1165">
        <v>34339</v>
      </c>
      <c r="G576" s="1166" t="s">
        <v>4585</v>
      </c>
      <c r="H576" s="1167">
        <v>11.5</v>
      </c>
      <c r="I576" s="1168">
        <f>IF(DAY($F576)&gt;15, VLOOKUP(EOMONTH($F576,-1),'WP 3.1 Rate Case Regress.'!$C$5:$D$556,2,FALSE), VLOOKUP(EOMONTH($F576, -2), 'WP 3.1 Rate Case Regress.'!$C$5:$D$556, 2, FALSE))</f>
        <v>7.2805</v>
      </c>
    </row>
    <row r="577" spans="2:9" x14ac:dyDescent="0.5">
      <c r="B577" s="1162" t="s">
        <v>2714</v>
      </c>
      <c r="C577" s="1163" t="s">
        <v>4648</v>
      </c>
      <c r="D577" s="1163" t="s">
        <v>3432</v>
      </c>
      <c r="E577" s="1164"/>
      <c r="F577" s="1165">
        <v>34344</v>
      </c>
      <c r="G577" s="1166" t="s">
        <v>2695</v>
      </c>
      <c r="H577" s="1167">
        <v>11</v>
      </c>
      <c r="I577" s="1168">
        <f>IF(DAY($F577)&gt;15, VLOOKUP(EOMONTH($F577,-1),'WP 3.1 Rate Case Regress.'!$C$5:$D$556,2,FALSE), VLOOKUP(EOMONTH($F577, -2), 'WP 3.1 Rate Case Regress.'!$C$5:$D$556, 2, FALSE))</f>
        <v>7.2805</v>
      </c>
    </row>
    <row r="578" spans="2:9" x14ac:dyDescent="0.5">
      <c r="B578" s="1162" t="s">
        <v>2768</v>
      </c>
      <c r="C578" s="1163" t="s">
        <v>3106</v>
      </c>
      <c r="D578" s="1163" t="s">
        <v>4828</v>
      </c>
      <c r="E578" s="1164"/>
      <c r="F578" s="1165">
        <v>34359</v>
      </c>
      <c r="G578" s="1166" t="s">
        <v>4585</v>
      </c>
      <c r="H578" s="1167">
        <v>12</v>
      </c>
      <c r="I578" s="1168">
        <f>IF(DAY($F578)&gt;15, VLOOKUP(EOMONTH($F578,-1),'WP 3.1 Rate Case Regress.'!$C$5:$D$556,2,FALSE), VLOOKUP(EOMONTH($F578, -2), 'WP 3.1 Rate Case Regress.'!$C$5:$D$556, 2, FALSE))</f>
        <v>7.3357999999999999</v>
      </c>
    </row>
    <row r="579" spans="2:9" x14ac:dyDescent="0.5">
      <c r="B579" s="1162" t="s">
        <v>2704</v>
      </c>
      <c r="C579" s="1163" t="s">
        <v>2705</v>
      </c>
      <c r="D579" s="1163" t="s">
        <v>3433</v>
      </c>
      <c r="E579" s="1164"/>
      <c r="F579" s="1165">
        <v>34367</v>
      </c>
      <c r="G579" s="1166" t="s">
        <v>2695</v>
      </c>
      <c r="H579" s="1167">
        <v>10.4</v>
      </c>
      <c r="I579" s="1168">
        <f>IF(DAY($F579)&gt;15, VLOOKUP(EOMONTH($F579,-1),'WP 3.1 Rate Case Regress.'!$C$5:$D$556,2,FALSE), VLOOKUP(EOMONTH($F579, -2), 'WP 3.1 Rate Case Regress.'!$C$5:$D$556, 2, FALSE))</f>
        <v>7.3357999999999999</v>
      </c>
    </row>
    <row r="580" spans="2:9" x14ac:dyDescent="0.5">
      <c r="B580" s="1162" t="s">
        <v>2751</v>
      </c>
      <c r="C580" s="1163" t="s">
        <v>2975</v>
      </c>
      <c r="D580" s="1163" t="s">
        <v>3434</v>
      </c>
      <c r="E580" s="1164"/>
      <c r="F580" s="1165">
        <v>34374</v>
      </c>
      <c r="G580" s="1166" t="s">
        <v>2695</v>
      </c>
      <c r="H580" s="1167">
        <v>10.7</v>
      </c>
      <c r="I580" s="1168">
        <f>IF(DAY($F580)&gt;15, VLOOKUP(EOMONTH($F580,-1),'WP 3.1 Rate Case Regress.'!$C$5:$D$556,2,FALSE), VLOOKUP(EOMONTH($F580, -2), 'WP 3.1 Rate Case Regress.'!$C$5:$D$556, 2, FALSE))</f>
        <v>7.3357999999999999</v>
      </c>
    </row>
    <row r="581" spans="2:9" x14ac:dyDescent="0.5">
      <c r="B581" s="1162" t="s">
        <v>2693</v>
      </c>
      <c r="C581" s="1163" t="s">
        <v>2742</v>
      </c>
      <c r="D581" s="1163" t="s">
        <v>3435</v>
      </c>
      <c r="E581" s="1164"/>
      <c r="F581" s="1165">
        <v>34430</v>
      </c>
      <c r="G581" s="1166" t="s">
        <v>2695</v>
      </c>
      <c r="H581" s="1167">
        <v>11.24</v>
      </c>
      <c r="I581" s="1168">
        <f>IF(DAY($F581)&gt;15, VLOOKUP(EOMONTH($F581,-1),'WP 3.1 Rate Case Regress.'!$C$5:$D$556,2,FALSE), VLOOKUP(EOMONTH($F581, -2), 'WP 3.1 Rate Case Regress.'!$C$5:$D$556, 2, FALSE))</f>
        <v>7.4462999999999999</v>
      </c>
    </row>
    <row r="582" spans="2:9" x14ac:dyDescent="0.5">
      <c r="B582" s="1162" t="s">
        <v>2740</v>
      </c>
      <c r="C582" s="1163" t="s">
        <v>2964</v>
      </c>
      <c r="D582" s="1163" t="s">
        <v>3436</v>
      </c>
      <c r="E582" s="1164"/>
      <c r="F582" s="1165">
        <v>34449</v>
      </c>
      <c r="G582" s="1166" t="s">
        <v>2695</v>
      </c>
      <c r="H582" s="1167">
        <v>11</v>
      </c>
      <c r="I582" s="1168">
        <f>IF(DAY($F582)&gt;15, VLOOKUP(EOMONTH($F582,-1),'WP 3.1 Rate Case Regress.'!$C$5:$D$556,2,FALSE), VLOOKUP(EOMONTH($F582, -2), 'WP 3.1 Rate Case Regress.'!$C$5:$D$556, 2, FALSE))</f>
        <v>7.8331999999999997</v>
      </c>
    </row>
    <row r="583" spans="2:9" x14ac:dyDescent="0.5">
      <c r="B583" s="1162" t="s">
        <v>2717</v>
      </c>
      <c r="C583" s="1163" t="s">
        <v>3437</v>
      </c>
      <c r="D583" s="1163" t="s">
        <v>3438</v>
      </c>
      <c r="E583" s="1164"/>
      <c r="F583" s="1165">
        <v>34501</v>
      </c>
      <c r="G583" s="1166" t="s">
        <v>2695</v>
      </c>
      <c r="H583" s="1167">
        <v>10.5</v>
      </c>
      <c r="I583" s="1168">
        <f>IF(DAY($F583)&gt;15, VLOOKUP(EOMONTH($F583,-1),'WP 3.1 Rate Case Regress.'!$C$5:$D$556,2,FALSE), VLOOKUP(EOMONTH($F583, -2), 'WP 3.1 Rate Case Regress.'!$C$5:$D$556, 2, FALSE))</f>
        <v>8.3262</v>
      </c>
    </row>
    <row r="584" spans="2:9" x14ac:dyDescent="0.5">
      <c r="B584" s="1162" t="s">
        <v>2766</v>
      </c>
      <c r="C584" s="1163" t="s">
        <v>3356</v>
      </c>
      <c r="D584" s="1163" t="s">
        <v>4829</v>
      </c>
      <c r="E584" s="1164"/>
      <c r="F584" s="1165">
        <v>34508</v>
      </c>
      <c r="G584" s="1166" t="s">
        <v>4585</v>
      </c>
      <c r="H584" s="1167">
        <v>10.6</v>
      </c>
      <c r="I584" s="1168">
        <f>IF(DAY($F584)&gt;15, VLOOKUP(EOMONTH($F584,-1),'WP 3.1 Rate Case Regress.'!$C$5:$D$556,2,FALSE), VLOOKUP(EOMONTH($F584, -2), 'WP 3.1 Rate Case Regress.'!$C$5:$D$556, 2, FALSE))</f>
        <v>8.3262</v>
      </c>
    </row>
    <row r="585" spans="2:9" x14ac:dyDescent="0.5">
      <c r="B585" s="1162" t="s">
        <v>2704</v>
      </c>
      <c r="C585" s="1163" t="s">
        <v>2910</v>
      </c>
      <c r="D585" s="1163" t="s">
        <v>3439</v>
      </c>
      <c r="E585" s="1164"/>
      <c r="F585" s="1165">
        <v>34534</v>
      </c>
      <c r="G585" s="1166" t="s">
        <v>2695</v>
      </c>
      <c r="H585" s="1167">
        <v>10.7</v>
      </c>
      <c r="I585" s="1168">
        <f>IF(DAY($F585)&gt;15, VLOOKUP(EOMONTH($F585,-1),'WP 3.1 Rate Case Regress.'!$C$5:$D$556,2,FALSE), VLOOKUP(EOMONTH($F585, -2), 'WP 3.1 Rate Case Regress.'!$C$5:$D$556, 2, FALSE))</f>
        <v>8.3080999999999996</v>
      </c>
    </row>
    <row r="586" spans="2:9" x14ac:dyDescent="0.5">
      <c r="B586" s="1162" t="s">
        <v>2704</v>
      </c>
      <c r="C586" s="1163" t="s">
        <v>2934</v>
      </c>
      <c r="D586" s="1163" t="s">
        <v>4830</v>
      </c>
      <c r="E586" s="1164"/>
      <c r="F586" s="1165">
        <v>34606</v>
      </c>
      <c r="G586" s="1166" t="s">
        <v>4585</v>
      </c>
      <c r="H586" s="1167">
        <v>11</v>
      </c>
      <c r="I586" s="1168">
        <f>IF(DAY($F586)&gt;15, VLOOKUP(EOMONTH($F586,-1),'WP 3.1 Rate Case Regress.'!$C$5:$D$556,2,FALSE), VLOOKUP(EOMONTH($F586, -2), 'WP 3.1 Rate Case Regress.'!$C$5:$D$556, 2, FALSE))</f>
        <v>8.407</v>
      </c>
    </row>
    <row r="587" spans="2:9" x14ac:dyDescent="0.5">
      <c r="B587" s="1162" t="s">
        <v>2704</v>
      </c>
      <c r="C587" s="1163" t="s">
        <v>2908</v>
      </c>
      <c r="D587" s="1163" t="s">
        <v>4831</v>
      </c>
      <c r="E587" s="1164"/>
      <c r="F587" s="1165">
        <v>34606</v>
      </c>
      <c r="G587" s="1166" t="s">
        <v>4585</v>
      </c>
      <c r="H587" s="1167">
        <v>10.9</v>
      </c>
      <c r="I587" s="1168">
        <f>IF(DAY($F587)&gt;15, VLOOKUP(EOMONTH($F587,-1),'WP 3.1 Rate Case Regress.'!$C$5:$D$556,2,FALSE), VLOOKUP(EOMONTH($F587, -2), 'WP 3.1 Rate Case Regress.'!$C$5:$D$556, 2, FALSE))</f>
        <v>8.407</v>
      </c>
    </row>
    <row r="588" spans="2:9" x14ac:dyDescent="0.5">
      <c r="B588" s="1162" t="s">
        <v>2743</v>
      </c>
      <c r="C588" s="1163" t="s">
        <v>2969</v>
      </c>
      <c r="D588" s="1163" t="s">
        <v>3440</v>
      </c>
      <c r="E588" s="1164"/>
      <c r="F588" s="1165">
        <v>34614</v>
      </c>
      <c r="G588" s="1166" t="s">
        <v>2695</v>
      </c>
      <c r="H588" s="1167">
        <v>11.87</v>
      </c>
      <c r="I588" s="1168">
        <f>IF(DAY($F588)&gt;15, VLOOKUP(EOMONTH($F588,-1),'WP 3.1 Rate Case Regress.'!$C$5:$D$556,2,FALSE), VLOOKUP(EOMONTH($F588, -2), 'WP 3.1 Rate Case Regress.'!$C$5:$D$556, 2, FALSE))</f>
        <v>8.407</v>
      </c>
    </row>
    <row r="589" spans="2:9" x14ac:dyDescent="0.5">
      <c r="B589" s="1162" t="s">
        <v>2758</v>
      </c>
      <c r="C589" s="1163" t="s">
        <v>2759</v>
      </c>
      <c r="D589" s="1163" t="s">
        <v>4832</v>
      </c>
      <c r="E589" s="1164"/>
      <c r="F589" s="1165">
        <v>34625</v>
      </c>
      <c r="G589" s="1166" t="s">
        <v>4585</v>
      </c>
      <c r="H589" s="1167">
        <v>11.5</v>
      </c>
      <c r="I589" s="1168">
        <f>IF(DAY($F589)&gt;15, VLOOKUP(EOMONTH($F589,-1),'WP 3.1 Rate Case Regress.'!$C$5:$D$556,2,FALSE), VLOOKUP(EOMONTH($F589, -2), 'WP 3.1 Rate Case Regress.'!$C$5:$D$556, 2, FALSE))</f>
        <v>8.6242999999999999</v>
      </c>
    </row>
    <row r="590" spans="2:9" x14ac:dyDescent="0.5">
      <c r="B590" s="1162" t="s">
        <v>2698</v>
      </c>
      <c r="C590" s="1163" t="s">
        <v>2895</v>
      </c>
      <c r="D590" s="1163" t="s">
        <v>4833</v>
      </c>
      <c r="E590" s="1164"/>
      <c r="F590" s="1165">
        <v>34625</v>
      </c>
      <c r="G590" s="1166" t="s">
        <v>4585</v>
      </c>
      <c r="H590" s="1167">
        <v>11.5</v>
      </c>
      <c r="I590" s="1168">
        <f>IF(DAY($F590)&gt;15, VLOOKUP(EOMONTH($F590,-1),'WP 3.1 Rate Case Regress.'!$C$5:$D$556,2,FALSE), VLOOKUP(EOMONTH($F590, -2), 'WP 3.1 Rate Case Regress.'!$C$5:$D$556, 2, FALSE))</f>
        <v>8.6242999999999999</v>
      </c>
    </row>
    <row r="591" spans="2:9" ht="30" x14ac:dyDescent="0.5">
      <c r="B591" s="1162" t="s">
        <v>2754</v>
      </c>
      <c r="C591" s="1163" t="s">
        <v>2975</v>
      </c>
      <c r="D591" s="1163" t="s">
        <v>4834</v>
      </c>
      <c r="E591" s="1164"/>
      <c r="F591" s="1165">
        <v>34631</v>
      </c>
      <c r="G591" s="1166" t="s">
        <v>4585</v>
      </c>
      <c r="H591" s="1167">
        <v>11</v>
      </c>
      <c r="I591" s="1168">
        <f>IF(DAY($F591)&gt;15, VLOOKUP(EOMONTH($F591,-1),'WP 3.1 Rate Case Regress.'!$C$5:$D$556,2,FALSE), VLOOKUP(EOMONTH($F591, -2), 'WP 3.1 Rate Case Regress.'!$C$5:$D$556, 2, FALSE))</f>
        <v>8.6242999999999999</v>
      </c>
    </row>
    <row r="592" spans="2:9" x14ac:dyDescent="0.5">
      <c r="B592" s="1162" t="s">
        <v>2701</v>
      </c>
      <c r="C592" s="1163" t="s">
        <v>2900</v>
      </c>
      <c r="D592" s="1163" t="s">
        <v>3441</v>
      </c>
      <c r="E592" s="1164"/>
      <c r="F592" s="1165">
        <v>34660</v>
      </c>
      <c r="G592" s="1166" t="s">
        <v>2695</v>
      </c>
      <c r="H592" s="1167">
        <v>12.12</v>
      </c>
      <c r="I592" s="1168">
        <f>IF(DAY($F592)&gt;15, VLOOKUP(EOMONTH($F592,-1),'WP 3.1 Rate Case Regress.'!$C$5:$D$556,2,FALSE), VLOOKUP(EOMONTH($F592, -2), 'WP 3.1 Rate Case Regress.'!$C$5:$D$556, 2, FALSE))</f>
        <v>8.8523999999999994</v>
      </c>
    </row>
    <row r="593" spans="2:9" x14ac:dyDescent="0.5">
      <c r="B593" s="1162" t="s">
        <v>2772</v>
      </c>
      <c r="C593" s="1163" t="s">
        <v>3361</v>
      </c>
      <c r="D593" s="1163" t="s">
        <v>4835</v>
      </c>
      <c r="E593" s="1164"/>
      <c r="F593" s="1165">
        <v>34667</v>
      </c>
      <c r="G593" s="1166" t="s">
        <v>4585</v>
      </c>
      <c r="H593" s="1167">
        <v>11.3</v>
      </c>
      <c r="I593" s="1168">
        <f>IF(DAY($F593)&gt;15, VLOOKUP(EOMONTH($F593,-1),'WP 3.1 Rate Case Regress.'!$C$5:$D$556,2,FALSE), VLOOKUP(EOMONTH($F593, -2), 'WP 3.1 Rate Case Regress.'!$C$5:$D$556, 2, FALSE))</f>
        <v>8.8523999999999994</v>
      </c>
    </row>
    <row r="594" spans="2:9" x14ac:dyDescent="0.5">
      <c r="B594" s="1162" t="s">
        <v>2696</v>
      </c>
      <c r="C594" s="1163" t="s">
        <v>2910</v>
      </c>
      <c r="D594" s="1163" t="s">
        <v>3442</v>
      </c>
      <c r="E594" s="1164"/>
      <c r="F594" s="1165">
        <v>34669</v>
      </c>
      <c r="G594" s="1166" t="s">
        <v>2695</v>
      </c>
      <c r="H594" s="1167">
        <v>11</v>
      </c>
      <c r="I594" s="1168">
        <f>IF(DAY($F594)&gt;15, VLOOKUP(EOMONTH($F594,-1),'WP 3.1 Rate Case Regress.'!$C$5:$D$556,2,FALSE), VLOOKUP(EOMONTH($F594, -2), 'WP 3.1 Rate Case Regress.'!$C$5:$D$556, 2, FALSE))</f>
        <v>8.8523999999999994</v>
      </c>
    </row>
    <row r="595" spans="2:9" ht="30" x14ac:dyDescent="0.5">
      <c r="B595" s="1162" t="s">
        <v>2702</v>
      </c>
      <c r="C595" s="1163" t="s">
        <v>4701</v>
      </c>
      <c r="D595" s="1163" t="s">
        <v>3443</v>
      </c>
      <c r="E595" s="1164"/>
      <c r="F595" s="1165">
        <v>34676</v>
      </c>
      <c r="G595" s="1166" t="s">
        <v>2695</v>
      </c>
      <c r="H595" s="1167">
        <v>11.7</v>
      </c>
      <c r="I595" s="1168">
        <f>IF(DAY($F595)&gt;15, VLOOKUP(EOMONTH($F595,-1),'WP 3.1 Rate Case Regress.'!$C$5:$D$556,2,FALSE), VLOOKUP(EOMONTH($F595, -2), 'WP 3.1 Rate Case Regress.'!$C$5:$D$556, 2, FALSE))</f>
        <v>8.8523999999999994</v>
      </c>
    </row>
    <row r="596" spans="2:9" ht="30" x14ac:dyDescent="0.5">
      <c r="B596" s="1162" t="s">
        <v>2702</v>
      </c>
      <c r="C596" s="1163" t="s">
        <v>2749</v>
      </c>
      <c r="D596" s="1163" t="s">
        <v>3444</v>
      </c>
      <c r="E596" s="1164"/>
      <c r="F596" s="1165">
        <v>34676</v>
      </c>
      <c r="G596" s="1166" t="s">
        <v>2695</v>
      </c>
      <c r="H596" s="1167">
        <v>11.5</v>
      </c>
      <c r="I596" s="1168">
        <f>IF(DAY($F596)&gt;15, VLOOKUP(EOMONTH($F596,-1),'WP 3.1 Rate Case Regress.'!$C$5:$D$556,2,FALSE), VLOOKUP(EOMONTH($F596, -2), 'WP 3.1 Rate Case Regress.'!$C$5:$D$556, 2, FALSE))</f>
        <v>8.8523999999999994</v>
      </c>
    </row>
    <row r="597" spans="2:9" x14ac:dyDescent="0.5">
      <c r="B597" s="1162" t="s">
        <v>2693</v>
      </c>
      <c r="C597" s="1163" t="s">
        <v>2742</v>
      </c>
      <c r="D597" s="1163" t="s">
        <v>3445</v>
      </c>
      <c r="E597" s="1164"/>
      <c r="F597" s="1165">
        <v>34680</v>
      </c>
      <c r="G597" s="1166" t="s">
        <v>2695</v>
      </c>
      <c r="H597" s="1167">
        <v>11.82</v>
      </c>
      <c r="I597" s="1168">
        <f>IF(DAY($F597)&gt;15, VLOOKUP(EOMONTH($F597,-1),'WP 3.1 Rate Case Regress.'!$C$5:$D$556,2,FALSE), VLOOKUP(EOMONTH($F597, -2), 'WP 3.1 Rate Case Regress.'!$C$5:$D$556, 2, FALSE))</f>
        <v>8.8523999999999994</v>
      </c>
    </row>
    <row r="598" spans="2:9" x14ac:dyDescent="0.5">
      <c r="B598" s="1162" t="s">
        <v>2712</v>
      </c>
      <c r="C598" s="1163" t="s">
        <v>3085</v>
      </c>
      <c r="D598" s="1163" t="s">
        <v>4836</v>
      </c>
      <c r="E598" s="1164"/>
      <c r="F598" s="1165">
        <v>34682</v>
      </c>
      <c r="G598" s="1166" t="s">
        <v>4585</v>
      </c>
      <c r="H598" s="1167">
        <v>11.5</v>
      </c>
      <c r="I598" s="1168">
        <f>IF(DAY($F598)&gt;15, VLOOKUP(EOMONTH($F598,-1),'WP 3.1 Rate Case Regress.'!$C$5:$D$556,2,FALSE), VLOOKUP(EOMONTH($F598, -2), 'WP 3.1 Rate Case Regress.'!$C$5:$D$556, 2, FALSE))</f>
        <v>8.8523999999999994</v>
      </c>
    </row>
    <row r="599" spans="2:9" ht="30" x14ac:dyDescent="0.5">
      <c r="B599" s="1162" t="s">
        <v>2702</v>
      </c>
      <c r="C599" s="1163" t="s">
        <v>2748</v>
      </c>
      <c r="D599" s="1163" t="s">
        <v>3446</v>
      </c>
      <c r="E599" s="1164"/>
      <c r="F599" s="1165">
        <v>34687</v>
      </c>
      <c r="G599" s="1166" t="s">
        <v>2695</v>
      </c>
      <c r="H599" s="1167">
        <v>11.5</v>
      </c>
      <c r="I599" s="1168">
        <f>IF(DAY($F599)&gt;15, VLOOKUP(EOMONTH($F599,-1),'WP 3.1 Rate Case Regress.'!$C$5:$D$556,2,FALSE), VLOOKUP(EOMONTH($F599, -2), 'WP 3.1 Rate Case Regress.'!$C$5:$D$556, 2, FALSE))</f>
        <v>8.9834999999999994</v>
      </c>
    </row>
    <row r="600" spans="2:9" x14ac:dyDescent="0.5">
      <c r="B600" s="1162" t="s">
        <v>2704</v>
      </c>
      <c r="C600" s="1163" t="s">
        <v>2705</v>
      </c>
      <c r="D600" s="1163" t="s">
        <v>3447</v>
      </c>
      <c r="E600" s="1164"/>
      <c r="F600" s="1165">
        <v>34808</v>
      </c>
      <c r="G600" s="1166" t="s">
        <v>2695</v>
      </c>
      <c r="H600" s="1167">
        <v>11</v>
      </c>
      <c r="I600" s="1168">
        <f>IF(DAY($F600)&gt;15, VLOOKUP(EOMONTH($F600,-1),'WP 3.1 Rate Case Regress.'!$C$5:$D$556,2,FALSE), VLOOKUP(EOMONTH($F600, -2), 'WP 3.1 Rate Case Regress.'!$C$5:$D$556, 2, FALSE))</f>
        <v>8.3742999999999999</v>
      </c>
    </row>
    <row r="601" spans="2:9" x14ac:dyDescent="0.5">
      <c r="B601" s="1162" t="s">
        <v>2702</v>
      </c>
      <c r="C601" s="1163" t="s">
        <v>3007</v>
      </c>
      <c r="D601" s="1163" t="s">
        <v>3448</v>
      </c>
      <c r="E601" s="1164"/>
      <c r="F601" s="1165">
        <v>34953</v>
      </c>
      <c r="G601" s="1166" t="s">
        <v>2695</v>
      </c>
      <c r="H601" s="1167">
        <v>11.3</v>
      </c>
      <c r="I601" s="1168">
        <f>IF(DAY($F601)&gt;15, VLOOKUP(EOMONTH($F601,-1),'WP 3.1 Rate Case Regress.'!$C$5:$D$556,2,FALSE), VLOOKUP(EOMONTH($F601, -2), 'WP 3.1 Rate Case Regress.'!$C$5:$D$556, 2, FALSE))</f>
        <v>7.6894999999999998</v>
      </c>
    </row>
    <row r="602" spans="2:9" x14ac:dyDescent="0.5">
      <c r="B602" s="1162" t="s">
        <v>2704</v>
      </c>
      <c r="C602" s="1163" t="s">
        <v>2910</v>
      </c>
      <c r="D602" s="1163" t="s">
        <v>3449</v>
      </c>
      <c r="E602" s="1164"/>
      <c r="F602" s="1165">
        <v>34957</v>
      </c>
      <c r="G602" s="1166" t="s">
        <v>2695</v>
      </c>
      <c r="H602" s="1167">
        <v>10.4</v>
      </c>
      <c r="I602" s="1168">
        <f>IF(DAY($F602)&gt;15, VLOOKUP(EOMONTH($F602,-1),'WP 3.1 Rate Case Regress.'!$C$5:$D$556,2,FALSE), VLOOKUP(EOMONTH($F602, -2), 'WP 3.1 Rate Case Regress.'!$C$5:$D$556, 2, FALSE))</f>
        <v>7.6894999999999998</v>
      </c>
    </row>
    <row r="603" spans="2:9" x14ac:dyDescent="0.5">
      <c r="B603" s="1162" t="s">
        <v>2766</v>
      </c>
      <c r="C603" s="1163" t="s">
        <v>2895</v>
      </c>
      <c r="D603" s="1163" t="s">
        <v>3450</v>
      </c>
      <c r="E603" s="1164"/>
      <c r="F603" s="1165">
        <v>34971</v>
      </c>
      <c r="G603" s="1166" t="s">
        <v>2695</v>
      </c>
      <c r="H603" s="1167">
        <v>11.5</v>
      </c>
      <c r="I603" s="1168">
        <f>IF(DAY($F603)&gt;15, VLOOKUP(EOMONTH($F603,-1),'WP 3.1 Rate Case Regress.'!$C$5:$D$556,2,FALSE), VLOOKUP(EOMONTH($F603, -2), 'WP 3.1 Rate Case Regress.'!$C$5:$D$556, 2, FALSE))</f>
        <v>7.8387000000000002</v>
      </c>
    </row>
    <row r="604" spans="2:9" x14ac:dyDescent="0.5">
      <c r="B604" s="1162" t="s">
        <v>2723</v>
      </c>
      <c r="C604" s="1163" t="s">
        <v>2921</v>
      </c>
      <c r="D604" s="1163" t="s">
        <v>3451</v>
      </c>
      <c r="E604" s="1164"/>
      <c r="F604" s="1165">
        <v>34985</v>
      </c>
      <c r="G604" s="1166" t="s">
        <v>2695</v>
      </c>
      <c r="H604" s="1167">
        <v>10.76</v>
      </c>
      <c r="I604" s="1168">
        <f>IF(DAY($F604)&gt;15, VLOOKUP(EOMONTH($F604,-1),'WP 3.1 Rate Case Regress.'!$C$5:$D$556,2,FALSE), VLOOKUP(EOMONTH($F604, -2), 'WP 3.1 Rate Case Regress.'!$C$5:$D$556, 2, FALSE))</f>
        <v>7.8387000000000002</v>
      </c>
    </row>
    <row r="605" spans="2:9" x14ac:dyDescent="0.5">
      <c r="B605" s="1162" t="s">
        <v>2757</v>
      </c>
      <c r="C605" s="1163" t="s">
        <v>3012</v>
      </c>
      <c r="D605" s="1163" t="s">
        <v>3452</v>
      </c>
      <c r="E605" s="1164"/>
      <c r="F605" s="1165">
        <v>35010</v>
      </c>
      <c r="G605" s="1166" t="s">
        <v>2695</v>
      </c>
      <c r="H605" s="1167">
        <v>12.5</v>
      </c>
      <c r="I605" s="1168">
        <f>IF(DAY($F605)&gt;15, VLOOKUP(EOMONTH($F605,-1),'WP 3.1 Rate Case Regress.'!$C$5:$D$556,2,FALSE), VLOOKUP(EOMONTH($F605, -2), 'WP 3.1 Rate Case Regress.'!$C$5:$D$556, 2, FALSE))</f>
        <v>7.62</v>
      </c>
    </row>
    <row r="606" spans="2:9" x14ac:dyDescent="0.5">
      <c r="B606" s="1162" t="s">
        <v>2693</v>
      </c>
      <c r="C606" s="1163" t="s">
        <v>2959</v>
      </c>
      <c r="D606" s="1163" t="s">
        <v>3453</v>
      </c>
      <c r="E606" s="1164"/>
      <c r="F606" s="1165">
        <v>35011</v>
      </c>
      <c r="G606" s="1166" t="s">
        <v>2695</v>
      </c>
      <c r="H606" s="1167">
        <v>11.3</v>
      </c>
      <c r="I606" s="1168">
        <f>IF(DAY($F606)&gt;15, VLOOKUP(EOMONTH($F606,-1),'WP 3.1 Rate Case Regress.'!$C$5:$D$556,2,FALSE), VLOOKUP(EOMONTH($F606, -2), 'WP 3.1 Rate Case Regress.'!$C$5:$D$556, 2, FALSE))</f>
        <v>7.62</v>
      </c>
    </row>
    <row r="607" spans="2:9" x14ac:dyDescent="0.5">
      <c r="B607" s="1162" t="s">
        <v>2693</v>
      </c>
      <c r="C607" s="1163" t="s">
        <v>2961</v>
      </c>
      <c r="D607" s="1163" t="s">
        <v>3454</v>
      </c>
      <c r="E607" s="1164"/>
      <c r="F607" s="1165">
        <v>35011</v>
      </c>
      <c r="G607" s="1166" t="s">
        <v>2695</v>
      </c>
      <c r="H607" s="1167">
        <v>11.1</v>
      </c>
      <c r="I607" s="1168">
        <f>IF(DAY($F607)&gt;15, VLOOKUP(EOMONTH($F607,-1),'WP 3.1 Rate Case Regress.'!$C$5:$D$556,2,FALSE), VLOOKUP(EOMONTH($F607, -2), 'WP 3.1 Rate Case Regress.'!$C$5:$D$556, 2, FALSE))</f>
        <v>7.62</v>
      </c>
    </row>
    <row r="608" spans="2:9" x14ac:dyDescent="0.5">
      <c r="B608" s="1162" t="s">
        <v>2763</v>
      </c>
      <c r="C608" s="1163" t="s">
        <v>3059</v>
      </c>
      <c r="D608" s="1163" t="s">
        <v>3455</v>
      </c>
      <c r="E608" s="1164"/>
      <c r="F608" s="1165">
        <v>35020</v>
      </c>
      <c r="G608" s="1166" t="s">
        <v>2695</v>
      </c>
      <c r="H608" s="1167">
        <v>10.9</v>
      </c>
      <c r="I608" s="1168">
        <f>IF(DAY($F608)&gt;15, VLOOKUP(EOMONTH($F608,-1),'WP 3.1 Rate Case Regress.'!$C$5:$D$556,2,FALSE), VLOOKUP(EOMONTH($F608, -2), 'WP 3.1 Rate Case Regress.'!$C$5:$D$556, 2, FALSE))</f>
        <v>7.4686000000000003</v>
      </c>
    </row>
    <row r="609" spans="2:9" x14ac:dyDescent="0.5">
      <c r="B609" s="1162" t="s">
        <v>2698</v>
      </c>
      <c r="C609" s="1163" t="s">
        <v>2722</v>
      </c>
      <c r="D609" s="1163" t="s">
        <v>3456</v>
      </c>
      <c r="E609" s="1164"/>
      <c r="F609" s="1165">
        <v>35023</v>
      </c>
      <c r="G609" s="1166" t="s">
        <v>2695</v>
      </c>
      <c r="H609" s="1167">
        <v>11.4</v>
      </c>
      <c r="I609" s="1168">
        <f>IF(DAY($F609)&gt;15, VLOOKUP(EOMONTH($F609,-1),'WP 3.1 Rate Case Regress.'!$C$5:$D$556,2,FALSE), VLOOKUP(EOMONTH($F609, -2), 'WP 3.1 Rate Case Regress.'!$C$5:$D$556, 2, FALSE))</f>
        <v>7.4686000000000003</v>
      </c>
    </row>
    <row r="610" spans="2:9" x14ac:dyDescent="0.5">
      <c r="B610" s="1162" t="s">
        <v>2989</v>
      </c>
      <c r="C610" s="1163" t="s">
        <v>3141</v>
      </c>
      <c r="D610" s="1163" t="s">
        <v>3457</v>
      </c>
      <c r="E610" s="1164"/>
      <c r="F610" s="1165">
        <v>35030</v>
      </c>
      <c r="G610" s="1166" t="s">
        <v>2695</v>
      </c>
      <c r="H610" s="1167">
        <v>13.6</v>
      </c>
      <c r="I610" s="1168">
        <f>IF(DAY($F610)&gt;15, VLOOKUP(EOMONTH($F610,-1),'WP 3.1 Rate Case Regress.'!$C$5:$D$556,2,FALSE), VLOOKUP(EOMONTH($F610, -2), 'WP 3.1 Rate Case Regress.'!$C$5:$D$556, 2, FALSE))</f>
        <v>7.4686000000000003</v>
      </c>
    </row>
    <row r="611" spans="2:9" ht="30" x14ac:dyDescent="0.5">
      <c r="B611" s="1162" t="s">
        <v>2702</v>
      </c>
      <c r="C611" s="1163" t="s">
        <v>2755</v>
      </c>
      <c r="D611" s="1163" t="s">
        <v>3458</v>
      </c>
      <c r="E611" s="1164"/>
      <c r="F611" s="1165">
        <v>35047</v>
      </c>
      <c r="G611" s="1166" t="s">
        <v>2695</v>
      </c>
      <c r="H611" s="1167">
        <v>11.3</v>
      </c>
      <c r="I611" s="1168">
        <f>IF(DAY($F611)&gt;15, VLOOKUP(EOMONTH($F611,-1),'WP 3.1 Rate Case Regress.'!$C$5:$D$556,2,FALSE), VLOOKUP(EOMONTH($F611, -2), 'WP 3.1 Rate Case Regress.'!$C$5:$D$556, 2, FALSE))</f>
        <v>7.4686000000000003</v>
      </c>
    </row>
    <row r="612" spans="2:9" ht="30" x14ac:dyDescent="0.5">
      <c r="B612" s="1162" t="s">
        <v>2738</v>
      </c>
      <c r="C612" s="1163" t="s">
        <v>2760</v>
      </c>
      <c r="D612" s="1163" t="s">
        <v>3459</v>
      </c>
      <c r="E612" s="1164"/>
      <c r="F612" s="1165">
        <v>35053</v>
      </c>
      <c r="G612" s="1166" t="s">
        <v>2695</v>
      </c>
      <c r="H612" s="1167">
        <v>11.6</v>
      </c>
      <c r="I612" s="1168">
        <f>IF(DAY($F612)&gt;15, VLOOKUP(EOMONTH($F612,-1),'WP 3.1 Rate Case Regress.'!$C$5:$D$556,2,FALSE), VLOOKUP(EOMONTH($F612, -2), 'WP 3.1 Rate Case Regress.'!$C$5:$D$556, 2, FALSE))</f>
        <v>7.44</v>
      </c>
    </row>
    <row r="613" spans="2:9" x14ac:dyDescent="0.5">
      <c r="B613" s="1162" t="s">
        <v>2766</v>
      </c>
      <c r="C613" s="1163" t="s">
        <v>3110</v>
      </c>
      <c r="D613" s="1163" t="s">
        <v>3460</v>
      </c>
      <c r="E613" s="1164"/>
      <c r="F613" s="1165">
        <v>35095</v>
      </c>
      <c r="G613" s="1166" t="s">
        <v>2695</v>
      </c>
      <c r="H613" s="1167">
        <v>11.3</v>
      </c>
      <c r="I613" s="1168">
        <f>IF(DAY($F613)&gt;15, VLOOKUP(EOMONTH($F613,-1),'WP 3.1 Rate Case Regress.'!$C$5:$D$556,2,FALSE), VLOOKUP(EOMONTH($F613, -2), 'WP 3.1 Rate Case Regress.'!$C$5:$D$556, 2, FALSE))</f>
        <v>7.2537000000000003</v>
      </c>
    </row>
    <row r="614" spans="2:9" x14ac:dyDescent="0.5">
      <c r="B614" s="1162" t="s">
        <v>2744</v>
      </c>
      <c r="C614" s="1163" t="s">
        <v>2770</v>
      </c>
      <c r="D614" s="1163" t="s">
        <v>3461</v>
      </c>
      <c r="E614" s="1164"/>
      <c r="F614" s="1165">
        <v>35135</v>
      </c>
      <c r="G614" s="1166" t="s">
        <v>2695</v>
      </c>
      <c r="H614" s="1167">
        <v>11.6</v>
      </c>
      <c r="I614" s="1168">
        <f>IF(DAY($F614)&gt;15, VLOOKUP(EOMONTH($F614,-1),'WP 3.1 Rate Case Regress.'!$C$5:$D$556,2,FALSE), VLOOKUP(EOMONTH($F614, -2), 'WP 3.1 Rate Case Regress.'!$C$5:$D$556, 2, FALSE))</f>
        <v>7.2068000000000003</v>
      </c>
    </row>
    <row r="615" spans="2:9" x14ac:dyDescent="0.5">
      <c r="B615" s="1162" t="s">
        <v>2693</v>
      </c>
      <c r="C615" s="1163" t="s">
        <v>2629</v>
      </c>
      <c r="D615" s="1163" t="s">
        <v>3462</v>
      </c>
      <c r="E615" s="1164"/>
      <c r="F615" s="1165">
        <v>35158</v>
      </c>
      <c r="G615" s="1166" t="s">
        <v>2695</v>
      </c>
      <c r="H615" s="1167">
        <v>11.13</v>
      </c>
      <c r="I615" s="1168">
        <f>IF(DAY($F615)&gt;15, VLOOKUP(EOMONTH($F615,-1),'WP 3.1 Rate Case Regress.'!$C$5:$D$556,2,FALSE), VLOOKUP(EOMONTH($F615, -2), 'WP 3.1 Rate Case Regress.'!$C$5:$D$556, 2, FALSE))</f>
        <v>7.3500000000000005</v>
      </c>
    </row>
    <row r="616" spans="2:9" x14ac:dyDescent="0.5">
      <c r="B616" s="1162" t="s">
        <v>2706</v>
      </c>
      <c r="C616" s="1163" t="s">
        <v>2906</v>
      </c>
      <c r="D616" s="1163" t="s">
        <v>3463</v>
      </c>
      <c r="E616" s="1164"/>
      <c r="F616" s="1165">
        <v>35170</v>
      </c>
      <c r="G616" s="1166" t="s">
        <v>2695</v>
      </c>
      <c r="H616" s="1167">
        <v>10.5</v>
      </c>
      <c r="I616" s="1168">
        <f>IF(DAY($F616)&gt;15, VLOOKUP(EOMONTH($F616,-1),'WP 3.1 Rate Case Regress.'!$C$5:$D$556,2,FALSE), VLOOKUP(EOMONTH($F616, -2), 'WP 3.1 Rate Case Regress.'!$C$5:$D$556, 2, FALSE))</f>
        <v>7.3500000000000005</v>
      </c>
    </row>
    <row r="617" spans="2:9" x14ac:dyDescent="0.5">
      <c r="B617" s="1162" t="s">
        <v>2732</v>
      </c>
      <c r="C617" s="1163" t="s">
        <v>2944</v>
      </c>
      <c r="D617" s="1163" t="s">
        <v>4837</v>
      </c>
      <c r="E617" s="1164"/>
      <c r="F617" s="1165">
        <v>35172</v>
      </c>
      <c r="G617" s="1166" t="s">
        <v>4585</v>
      </c>
      <c r="H617" s="1167">
        <v>10.77</v>
      </c>
      <c r="I617" s="1168">
        <f>IF(DAY($F617)&gt;15, VLOOKUP(EOMONTH($F617,-1),'WP 3.1 Rate Case Regress.'!$C$5:$D$556,2,FALSE), VLOOKUP(EOMONTH($F617, -2), 'WP 3.1 Rate Case Regress.'!$C$5:$D$556, 2, FALSE))</f>
        <v>7.7224000000000004</v>
      </c>
    </row>
    <row r="618" spans="2:9" x14ac:dyDescent="0.5">
      <c r="B618" s="1162" t="s">
        <v>2766</v>
      </c>
      <c r="C618" s="1163" t="s">
        <v>3356</v>
      </c>
      <c r="D618" s="1163" t="s">
        <v>4838</v>
      </c>
      <c r="E618" s="1164"/>
      <c r="F618" s="1165">
        <v>35181</v>
      </c>
      <c r="G618" s="1166" t="s">
        <v>4585</v>
      </c>
      <c r="H618" s="1167">
        <v>10.6</v>
      </c>
      <c r="I618" s="1168">
        <f>IF(DAY($F618)&gt;15, VLOOKUP(EOMONTH($F618,-1),'WP 3.1 Rate Case Regress.'!$C$5:$D$556,2,FALSE), VLOOKUP(EOMONTH($F618, -2), 'WP 3.1 Rate Case Regress.'!$C$5:$D$556, 2, FALSE))</f>
        <v>7.7224000000000004</v>
      </c>
    </row>
    <row r="619" spans="2:9" x14ac:dyDescent="0.5">
      <c r="B619" s="1162" t="s">
        <v>2754</v>
      </c>
      <c r="C619" s="1163" t="s">
        <v>2975</v>
      </c>
      <c r="D619" s="1163" t="s">
        <v>3464</v>
      </c>
      <c r="E619" s="1164"/>
      <c r="F619" s="1165">
        <v>35195</v>
      </c>
      <c r="G619" s="1166" t="s">
        <v>2695</v>
      </c>
      <c r="H619" s="1167">
        <v>11</v>
      </c>
      <c r="I619" s="1168">
        <f>IF(DAY($F619)&gt;15, VLOOKUP(EOMONTH($F619,-1),'WP 3.1 Rate Case Regress.'!$C$5:$D$556,2,FALSE), VLOOKUP(EOMONTH($F619, -2), 'WP 3.1 Rate Case Regress.'!$C$5:$D$556, 2, FALSE))</f>
        <v>7.7224000000000004</v>
      </c>
    </row>
    <row r="620" spans="2:9" x14ac:dyDescent="0.5">
      <c r="B620" s="1162" t="s">
        <v>2740</v>
      </c>
      <c r="C620" s="1163" t="s">
        <v>2964</v>
      </c>
      <c r="D620" s="1163" t="s">
        <v>4839</v>
      </c>
      <c r="E620" s="1164"/>
      <c r="F620" s="1165">
        <v>35198</v>
      </c>
      <c r="G620" s="1166" t="s">
        <v>4585</v>
      </c>
      <c r="H620" s="1167">
        <v>11.25</v>
      </c>
      <c r="I620" s="1168">
        <f>IF(DAY($F620)&gt;15, VLOOKUP(EOMONTH($F620,-1),'WP 3.1 Rate Case Regress.'!$C$5:$D$556,2,FALSE), VLOOKUP(EOMONTH($F620, -2), 'WP 3.1 Rate Case Regress.'!$C$5:$D$556, 2, FALSE))</f>
        <v>7.7224000000000004</v>
      </c>
    </row>
    <row r="621" spans="2:9" x14ac:dyDescent="0.5">
      <c r="B621" s="1162" t="s">
        <v>2739</v>
      </c>
      <c r="C621" s="1163" t="s">
        <v>4589</v>
      </c>
      <c r="D621" s="1163" t="s">
        <v>4840</v>
      </c>
      <c r="E621" s="1164"/>
      <c r="F621" s="1165">
        <v>35249</v>
      </c>
      <c r="G621" s="1166" t="s">
        <v>4585</v>
      </c>
      <c r="H621" s="1167">
        <v>11.25</v>
      </c>
      <c r="I621" s="1168">
        <f>IF(DAY($F621)&gt;15, VLOOKUP(EOMONTH($F621,-1),'WP 3.1 Rate Case Regress.'!$C$5:$D$556,2,FALSE), VLOOKUP(EOMONTH($F621, -2), 'WP 3.1 Rate Case Regress.'!$C$5:$D$556, 2, FALSE))</f>
        <v>7.9805000000000001</v>
      </c>
    </row>
    <row r="622" spans="2:9" x14ac:dyDescent="0.5">
      <c r="B622" s="1162" t="s">
        <v>2736</v>
      </c>
      <c r="C622" s="1163" t="s">
        <v>2980</v>
      </c>
      <c r="D622" s="1163" t="s">
        <v>4841</v>
      </c>
      <c r="E622" s="1164"/>
      <c r="F622" s="1165">
        <v>35268</v>
      </c>
      <c r="G622" s="1166" t="s">
        <v>4585</v>
      </c>
      <c r="H622" s="1167">
        <v>11.25</v>
      </c>
      <c r="I622" s="1168">
        <f>IF(DAY($F622)&gt;15, VLOOKUP(EOMONTH($F622,-1),'WP 3.1 Rate Case Regress.'!$C$5:$D$556,2,FALSE), VLOOKUP(EOMONTH($F622, -2), 'WP 3.1 Rate Case Regress.'!$C$5:$D$556, 2, FALSE))</f>
        <v>8.0640000000000001</v>
      </c>
    </row>
    <row r="623" spans="2:9" x14ac:dyDescent="0.5">
      <c r="B623" s="1162" t="s">
        <v>2704</v>
      </c>
      <c r="C623" s="1163" t="s">
        <v>2750</v>
      </c>
      <c r="D623" s="1163" t="s">
        <v>3465</v>
      </c>
      <c r="E623" s="1164"/>
      <c r="F623" s="1165">
        <v>35341</v>
      </c>
      <c r="G623" s="1166" t="s">
        <v>2695</v>
      </c>
      <c r="H623" s="1167">
        <v>10</v>
      </c>
      <c r="I623" s="1168">
        <f>IF(DAY($F623)&gt;15, VLOOKUP(EOMONTH($F623,-1),'WP 3.1 Rate Case Regress.'!$C$5:$D$556,2,FALSE), VLOOKUP(EOMONTH($F623, -2), 'WP 3.1 Rate Case Regress.'!$C$5:$D$556, 2, FALSE))</f>
        <v>7.8381999999999996</v>
      </c>
    </row>
    <row r="624" spans="2:9" x14ac:dyDescent="0.5">
      <c r="B624" s="1162" t="s">
        <v>2772</v>
      </c>
      <c r="C624" s="1163" t="s">
        <v>3361</v>
      </c>
      <c r="D624" s="1163" t="s">
        <v>3466</v>
      </c>
      <c r="E624" s="1164"/>
      <c r="F624" s="1165">
        <v>35367</v>
      </c>
      <c r="G624" s="1166" t="s">
        <v>2695</v>
      </c>
      <c r="H624" s="1167">
        <v>11.3</v>
      </c>
      <c r="I624" s="1168">
        <f>IF(DAY($F624)&gt;15, VLOOKUP(EOMONTH($F624,-1),'WP 3.1 Rate Case Regress.'!$C$5:$D$556,2,FALSE), VLOOKUP(EOMONTH($F624, -2), 'WP 3.1 Rate Case Regress.'!$C$5:$D$556, 2, FALSE))</f>
        <v>8.0175000000000001</v>
      </c>
    </row>
    <row r="625" spans="2:9" ht="30" x14ac:dyDescent="0.5">
      <c r="B625" s="1162" t="s">
        <v>2702</v>
      </c>
      <c r="C625" s="1163" t="s">
        <v>2755</v>
      </c>
      <c r="D625" s="1163" t="s">
        <v>3467</v>
      </c>
      <c r="E625" s="1164"/>
      <c r="F625" s="1165">
        <v>35395</v>
      </c>
      <c r="G625" s="1166" t="s">
        <v>2695</v>
      </c>
      <c r="H625" s="1167">
        <v>11.3</v>
      </c>
      <c r="I625" s="1168">
        <f>IF(DAY($F625)&gt;15, VLOOKUP(EOMONTH($F625,-1),'WP 3.1 Rate Case Regress.'!$C$5:$D$556,2,FALSE), VLOOKUP(EOMONTH($F625, -2), 'WP 3.1 Rate Case Regress.'!$C$5:$D$556, 2, FALSE))</f>
        <v>7.7785000000000002</v>
      </c>
    </row>
    <row r="626" spans="2:9" x14ac:dyDescent="0.5">
      <c r="B626" s="1162" t="s">
        <v>2751</v>
      </c>
      <c r="C626" s="1163" t="s">
        <v>2993</v>
      </c>
      <c r="D626" s="1163" t="s">
        <v>3468</v>
      </c>
      <c r="E626" s="1164"/>
      <c r="F626" s="1165">
        <v>35396</v>
      </c>
      <c r="G626" s="1166" t="s">
        <v>2695</v>
      </c>
      <c r="H626" s="1167">
        <v>11.3</v>
      </c>
      <c r="I626" s="1168">
        <f>IF(DAY($F626)&gt;15, VLOOKUP(EOMONTH($F626,-1),'WP 3.1 Rate Case Regress.'!$C$5:$D$556,2,FALSE), VLOOKUP(EOMONTH($F626, -2), 'WP 3.1 Rate Case Regress.'!$C$5:$D$556, 2, FALSE))</f>
        <v>7.7785000000000002</v>
      </c>
    </row>
    <row r="627" spans="2:9" x14ac:dyDescent="0.5">
      <c r="B627" s="1162" t="s">
        <v>2700</v>
      </c>
      <c r="C627" s="1163" t="s">
        <v>3082</v>
      </c>
      <c r="D627" s="1163" t="s">
        <v>3469</v>
      </c>
      <c r="E627" s="1164"/>
      <c r="F627" s="1165">
        <v>35398</v>
      </c>
      <c r="G627" s="1166" t="s">
        <v>2695</v>
      </c>
      <c r="H627" s="1167">
        <v>11</v>
      </c>
      <c r="I627" s="1168">
        <f>IF(DAY($F627)&gt;15, VLOOKUP(EOMONTH($F627,-1),'WP 3.1 Rate Case Regress.'!$C$5:$D$556,2,FALSE), VLOOKUP(EOMONTH($F627, -2), 'WP 3.1 Rate Case Regress.'!$C$5:$D$556, 2, FALSE))</f>
        <v>7.7785000000000002</v>
      </c>
    </row>
    <row r="628" spans="2:9" x14ac:dyDescent="0.5">
      <c r="B628" s="1162" t="s">
        <v>2710</v>
      </c>
      <c r="C628" s="1163" t="s">
        <v>2761</v>
      </c>
      <c r="D628" s="1163" t="s">
        <v>3470</v>
      </c>
      <c r="E628" s="1164"/>
      <c r="F628" s="1165">
        <v>35411</v>
      </c>
      <c r="G628" s="1166" t="s">
        <v>2695</v>
      </c>
      <c r="H628" s="1167">
        <v>11.96</v>
      </c>
      <c r="I628" s="1168">
        <f>IF(DAY($F628)&gt;15, VLOOKUP(EOMONTH($F628,-1),'WP 3.1 Rate Case Regress.'!$C$5:$D$556,2,FALSE), VLOOKUP(EOMONTH($F628, -2), 'WP 3.1 Rate Case Regress.'!$C$5:$D$556, 2, FALSE))</f>
        <v>7.7785000000000002</v>
      </c>
    </row>
    <row r="629" spans="2:9" x14ac:dyDescent="0.5">
      <c r="B629" s="1162" t="s">
        <v>2768</v>
      </c>
      <c r="C629" s="1163" t="s">
        <v>3012</v>
      </c>
      <c r="D629" s="1163" t="s">
        <v>3471</v>
      </c>
      <c r="E629" s="1164"/>
      <c r="F629" s="1165">
        <v>35416</v>
      </c>
      <c r="G629" s="1166" t="s">
        <v>2695</v>
      </c>
      <c r="H629" s="1167">
        <v>11.5</v>
      </c>
      <c r="I629" s="1168">
        <f>IF(DAY($F629)&gt;15, VLOOKUP(EOMONTH($F629,-1),'WP 3.1 Rate Case Regress.'!$C$5:$D$556,2,FALSE), VLOOKUP(EOMONTH($F629, -2), 'WP 3.1 Rate Case Regress.'!$C$5:$D$556, 2, FALSE))</f>
        <v>7.5033000000000003</v>
      </c>
    </row>
    <row r="630" spans="2:9" x14ac:dyDescent="0.5">
      <c r="B630" s="1162" t="s">
        <v>2756</v>
      </c>
      <c r="C630" s="1163" t="s">
        <v>3010</v>
      </c>
      <c r="D630" s="1163" t="s">
        <v>3472</v>
      </c>
      <c r="E630" s="1164"/>
      <c r="F630" s="1165">
        <v>35452</v>
      </c>
      <c r="G630" s="1166" t="s">
        <v>2695</v>
      </c>
      <c r="H630" s="1167">
        <v>11.3</v>
      </c>
      <c r="I630" s="1168">
        <f>IF(DAY($F630)&gt;15, VLOOKUP(EOMONTH($F630,-1),'WP 3.1 Rate Case Regress.'!$C$5:$D$556,2,FALSE), VLOOKUP(EOMONTH($F630, -2), 'WP 3.1 Rate Case Regress.'!$C$5:$D$556, 2, FALSE))</f>
        <v>7.5709999999999997</v>
      </c>
    </row>
    <row r="631" spans="2:9" x14ac:dyDescent="0.5">
      <c r="B631" s="1162" t="s">
        <v>2712</v>
      </c>
      <c r="C631" s="1163" t="s">
        <v>3085</v>
      </c>
      <c r="D631" s="1163" t="s">
        <v>4842</v>
      </c>
      <c r="E631" s="1164"/>
      <c r="F631" s="1165">
        <v>35457</v>
      </c>
      <c r="G631" s="1166" t="s">
        <v>4585</v>
      </c>
      <c r="H631" s="1167">
        <v>11.25</v>
      </c>
      <c r="I631" s="1168">
        <f>IF(DAY($F631)&gt;15, VLOOKUP(EOMONTH($F631,-1),'WP 3.1 Rate Case Regress.'!$C$5:$D$556,2,FALSE), VLOOKUP(EOMONTH($F631, -2), 'WP 3.1 Rate Case Regress.'!$C$5:$D$556, 2, FALSE))</f>
        <v>7.5709999999999997</v>
      </c>
    </row>
    <row r="632" spans="2:9" x14ac:dyDescent="0.5">
      <c r="B632" s="1162" t="s">
        <v>2715</v>
      </c>
      <c r="C632" s="1163" t="s">
        <v>2716</v>
      </c>
      <c r="D632" s="1163" t="s">
        <v>3473</v>
      </c>
      <c r="E632" s="1164"/>
      <c r="F632" s="1165">
        <v>35461</v>
      </c>
      <c r="G632" s="1166" t="s">
        <v>2695</v>
      </c>
      <c r="H632" s="1167">
        <v>11.25</v>
      </c>
      <c r="I632" s="1168">
        <f>IF(DAY($F632)&gt;15, VLOOKUP(EOMONTH($F632,-1),'WP 3.1 Rate Case Regress.'!$C$5:$D$556,2,FALSE), VLOOKUP(EOMONTH($F632, -2), 'WP 3.1 Rate Case Regress.'!$C$5:$D$556, 2, FALSE))</f>
        <v>7.5709999999999997</v>
      </c>
    </row>
    <row r="633" spans="2:9" ht="30" x14ac:dyDescent="0.5">
      <c r="B633" s="1162" t="s">
        <v>2702</v>
      </c>
      <c r="C633" s="1163" t="s">
        <v>3007</v>
      </c>
      <c r="D633" s="1163" t="s">
        <v>3474</v>
      </c>
      <c r="E633" s="1164"/>
      <c r="F633" s="1165">
        <v>35474</v>
      </c>
      <c r="G633" s="1166" t="s">
        <v>2695</v>
      </c>
      <c r="H633" s="1167">
        <v>11.8</v>
      </c>
      <c r="I633" s="1168">
        <f>IF(DAY($F633)&gt;15, VLOOKUP(EOMONTH($F633,-1),'WP 3.1 Rate Case Regress.'!$C$5:$D$556,2,FALSE), VLOOKUP(EOMONTH($F633, -2), 'WP 3.1 Rate Case Regress.'!$C$5:$D$556, 2, FALSE))</f>
        <v>7.5709999999999997</v>
      </c>
    </row>
    <row r="634" spans="2:9" x14ac:dyDescent="0.5">
      <c r="B634" s="1162" t="s">
        <v>2752</v>
      </c>
      <c r="C634" s="1163" t="s">
        <v>2753</v>
      </c>
      <c r="D634" s="1163" t="s">
        <v>3475</v>
      </c>
      <c r="E634" s="1164"/>
      <c r="F634" s="1165">
        <v>35474</v>
      </c>
      <c r="G634" s="1166" t="s">
        <v>2695</v>
      </c>
      <c r="H634" s="1167">
        <v>11</v>
      </c>
      <c r="I634" s="1168">
        <f>IF(DAY($F634)&gt;15, VLOOKUP(EOMONTH($F634,-1),'WP 3.1 Rate Case Regress.'!$C$5:$D$556,2,FALSE), VLOOKUP(EOMONTH($F634, -2), 'WP 3.1 Rate Case Regress.'!$C$5:$D$556, 2, FALSE))</f>
        <v>7.5709999999999997</v>
      </c>
    </row>
    <row r="635" spans="2:9" ht="30" x14ac:dyDescent="0.5">
      <c r="B635" s="1162" t="s">
        <v>2702</v>
      </c>
      <c r="C635" s="1163" t="s">
        <v>2748</v>
      </c>
      <c r="D635" s="1163" t="s">
        <v>3476</v>
      </c>
      <c r="E635" s="1164"/>
      <c r="F635" s="1165">
        <v>35481</v>
      </c>
      <c r="G635" s="1166" t="s">
        <v>2695</v>
      </c>
      <c r="H635" s="1167">
        <v>11.8</v>
      </c>
      <c r="I635" s="1168">
        <f>IF(DAY($F635)&gt;15, VLOOKUP(EOMONTH($F635,-1),'WP 3.1 Rate Case Regress.'!$C$5:$D$556,2,FALSE), VLOOKUP(EOMONTH($F635, -2), 'WP 3.1 Rate Case Regress.'!$C$5:$D$556, 2, FALSE))</f>
        <v>7.7667000000000002</v>
      </c>
    </row>
    <row r="636" spans="2:9" x14ac:dyDescent="0.5">
      <c r="B636" s="1162" t="s">
        <v>2744</v>
      </c>
      <c r="C636" s="1163" t="s">
        <v>3244</v>
      </c>
      <c r="D636" s="1163" t="s">
        <v>3477</v>
      </c>
      <c r="E636" s="1164"/>
      <c r="F636" s="1165">
        <v>35516</v>
      </c>
      <c r="G636" s="1166" t="s">
        <v>2695</v>
      </c>
      <c r="H636" s="1167">
        <v>10.75</v>
      </c>
      <c r="I636" s="1168">
        <f>IF(DAY($F636)&gt;15, VLOOKUP(EOMONTH($F636,-1),'WP 3.1 Rate Case Regress.'!$C$5:$D$556,2,FALSE), VLOOKUP(EOMONTH($F636, -2), 'WP 3.1 Rate Case Regress.'!$C$5:$D$556, 2, FALSE))</f>
        <v>7.6425999999999998</v>
      </c>
    </row>
    <row r="637" spans="2:9" ht="30" x14ac:dyDescent="0.5">
      <c r="B637" s="1162" t="s">
        <v>2702</v>
      </c>
      <c r="C637" s="1163" t="s">
        <v>2749</v>
      </c>
      <c r="D637" s="1163" t="s">
        <v>3478</v>
      </c>
      <c r="E637" s="1164"/>
      <c r="F637" s="1165">
        <v>35549</v>
      </c>
      <c r="G637" s="1166" t="s">
        <v>2695</v>
      </c>
      <c r="H637" s="1167">
        <v>11.7</v>
      </c>
      <c r="I637" s="1168">
        <f>IF(DAY($F637)&gt;15, VLOOKUP(EOMONTH($F637,-1),'WP 3.1 Rate Case Regress.'!$C$5:$D$556,2,FALSE), VLOOKUP(EOMONTH($F637, -2), 'WP 3.1 Rate Case Regress.'!$C$5:$D$556, 2, FALSE))</f>
        <v>7.8654999999999999</v>
      </c>
    </row>
    <row r="638" spans="2:9" ht="30" x14ac:dyDescent="0.5">
      <c r="B638" s="1162" t="s">
        <v>2702</v>
      </c>
      <c r="C638" s="1163" t="s">
        <v>4701</v>
      </c>
      <c r="D638" s="1163" t="s">
        <v>3479</v>
      </c>
      <c r="E638" s="1164"/>
      <c r="F638" s="1165">
        <v>35628</v>
      </c>
      <c r="G638" s="1166" t="s">
        <v>2695</v>
      </c>
      <c r="H638" s="1167">
        <v>12</v>
      </c>
      <c r="I638" s="1168">
        <f>IF(DAY($F638)&gt;15, VLOOKUP(EOMONTH($F638,-1),'WP 3.1 Rate Case Regress.'!$C$5:$D$556,2,FALSE), VLOOKUP(EOMONTH($F638, -2), 'WP 3.1 Rate Case Regress.'!$C$5:$D$556, 2, FALSE))</f>
        <v>7.7248000000000001</v>
      </c>
    </row>
    <row r="639" spans="2:9" x14ac:dyDescent="0.5">
      <c r="B639" s="1162" t="s">
        <v>2744</v>
      </c>
      <c r="C639" s="1163" t="s">
        <v>3342</v>
      </c>
      <c r="D639" s="1163" t="s">
        <v>4843</v>
      </c>
      <c r="E639" s="1164"/>
      <c r="F639" s="1165">
        <v>35732</v>
      </c>
      <c r="G639" s="1166" t="s">
        <v>4585</v>
      </c>
      <c r="H639" s="1167">
        <v>10.75</v>
      </c>
      <c r="I639" s="1168">
        <f>IF(DAY($F639)&gt;15, VLOOKUP(EOMONTH($F639,-1),'WP 3.1 Rate Case Regress.'!$C$5:$D$556,2,FALSE), VLOOKUP(EOMONTH($F639, -2), 'WP 3.1 Rate Case Regress.'!$C$5:$D$556, 2, FALSE))</f>
        <v>7.4743000000000004</v>
      </c>
    </row>
    <row r="640" spans="2:9" x14ac:dyDescent="0.5">
      <c r="B640" s="1162" t="s">
        <v>2740</v>
      </c>
      <c r="C640" s="1163" t="s">
        <v>2964</v>
      </c>
      <c r="D640" s="1163" t="s">
        <v>4844</v>
      </c>
      <c r="E640" s="1164"/>
      <c r="F640" s="1165">
        <v>35734</v>
      </c>
      <c r="G640" s="1166" t="s">
        <v>4585</v>
      </c>
      <c r="H640" s="1167">
        <v>11.25</v>
      </c>
      <c r="I640" s="1168">
        <f>IF(DAY($F640)&gt;15, VLOOKUP(EOMONTH($F640,-1),'WP 3.1 Rate Case Regress.'!$C$5:$D$556,2,FALSE), VLOOKUP(EOMONTH($F640, -2), 'WP 3.1 Rate Case Regress.'!$C$5:$D$556, 2, FALSE))</f>
        <v>7.4743000000000004</v>
      </c>
    </row>
    <row r="641" spans="2:9" x14ac:dyDescent="0.5">
      <c r="B641" s="1162" t="s">
        <v>2736</v>
      </c>
      <c r="C641" s="1163" t="s">
        <v>2727</v>
      </c>
      <c r="D641" s="1163" t="s">
        <v>4845</v>
      </c>
      <c r="E641" s="1164"/>
      <c r="F641" s="1165">
        <v>35788</v>
      </c>
      <c r="G641" s="1166" t="s">
        <v>4585</v>
      </c>
      <c r="H641" s="1167">
        <v>10.75</v>
      </c>
      <c r="I641" s="1168">
        <f>IF(DAY($F641)&gt;15, VLOOKUP(EOMONTH($F641,-1),'WP 3.1 Rate Case Regress.'!$C$5:$D$556,2,FALSE), VLOOKUP(EOMONTH($F641, -2), 'WP 3.1 Rate Case Regress.'!$C$5:$D$556, 2, FALSE))</f>
        <v>7.2468000000000004</v>
      </c>
    </row>
    <row r="642" spans="2:9" x14ac:dyDescent="0.5">
      <c r="B642" s="1162" t="s">
        <v>2766</v>
      </c>
      <c r="C642" s="1163" t="s">
        <v>3110</v>
      </c>
      <c r="D642" s="1163" t="s">
        <v>3480</v>
      </c>
      <c r="E642" s="1164"/>
      <c r="F642" s="1165">
        <v>35913</v>
      </c>
      <c r="G642" s="1166" t="s">
        <v>2695</v>
      </c>
      <c r="H642" s="1167">
        <v>10.9</v>
      </c>
      <c r="I642" s="1168">
        <f>IF(DAY($F642)&gt;15, VLOOKUP(EOMONTH($F642,-1),'WP 3.1 Rate Case Regress.'!$C$5:$D$556,2,FALSE), VLOOKUP(EOMONTH($F642, -2), 'WP 3.1 Rate Case Regress.'!$C$5:$D$556, 2, FALSE))</f>
        <v>7.1618000000000004</v>
      </c>
    </row>
    <row r="643" spans="2:9" ht="30" x14ac:dyDescent="0.5">
      <c r="B643" s="1162" t="s">
        <v>2702</v>
      </c>
      <c r="C643" s="1163" t="s">
        <v>2773</v>
      </c>
      <c r="D643" s="1163" t="s">
        <v>3481</v>
      </c>
      <c r="E643" s="1164"/>
      <c r="F643" s="1165">
        <v>35915</v>
      </c>
      <c r="G643" s="1166" t="s">
        <v>2695</v>
      </c>
      <c r="H643" s="1167">
        <v>12.2</v>
      </c>
      <c r="I643" s="1168">
        <f>IF(DAY($F643)&gt;15, VLOOKUP(EOMONTH($F643,-1),'WP 3.1 Rate Case Regress.'!$C$5:$D$556,2,FALSE), VLOOKUP(EOMONTH($F643, -2), 'WP 3.1 Rate Case Regress.'!$C$5:$D$556, 2, FALSE))</f>
        <v>7.1618000000000004</v>
      </c>
    </row>
    <row r="644" spans="2:9" x14ac:dyDescent="0.5">
      <c r="B644" s="1162" t="s">
        <v>2699</v>
      </c>
      <c r="C644" s="1163" t="s">
        <v>2628</v>
      </c>
      <c r="D644" s="1163" t="s">
        <v>3482</v>
      </c>
      <c r="E644" s="1164"/>
      <c r="F644" s="1165">
        <v>35976</v>
      </c>
      <c r="G644" s="1166" t="s">
        <v>2695</v>
      </c>
      <c r="H644" s="1167">
        <v>11</v>
      </c>
      <c r="I644" s="1168">
        <f>IF(DAY($F644)&gt;15, VLOOKUP(EOMONTH($F644,-1),'WP 3.1 Rate Case Regress.'!$C$5:$D$556,2,FALSE), VLOOKUP(EOMONTH($F644, -2), 'WP 3.1 Rate Case Regress.'!$C$5:$D$556, 2, FALSE))</f>
        <v>7.1630000000000003</v>
      </c>
    </row>
    <row r="645" spans="2:9" x14ac:dyDescent="0.5">
      <c r="B645" s="1162" t="s">
        <v>2756</v>
      </c>
      <c r="C645" s="1163" t="s">
        <v>3010</v>
      </c>
      <c r="D645" s="1163" t="s">
        <v>3483</v>
      </c>
      <c r="E645" s="1164"/>
      <c r="F645" s="1165">
        <v>36033</v>
      </c>
      <c r="G645" s="1166" t="s">
        <v>2695</v>
      </c>
      <c r="H645" s="1167">
        <v>10.93</v>
      </c>
      <c r="I645" s="1168">
        <f>IF(DAY($F645)&gt;15, VLOOKUP(EOMONTH($F645,-1),'WP 3.1 Rate Case Regress.'!$C$5:$D$556,2,FALSE), VLOOKUP(EOMONTH($F645, -2), 'WP 3.1 Rate Case Regress.'!$C$5:$D$556, 2, FALSE))</f>
        <v>7.0240999999999998</v>
      </c>
    </row>
    <row r="646" spans="2:9" ht="30" x14ac:dyDescent="0.5">
      <c r="B646" s="1162" t="s">
        <v>2754</v>
      </c>
      <c r="C646" s="1163" t="s">
        <v>2755</v>
      </c>
      <c r="D646" s="1163" t="s">
        <v>4846</v>
      </c>
      <c r="E646" s="1164"/>
      <c r="F646" s="1165">
        <v>36041</v>
      </c>
      <c r="G646" s="1166" t="s">
        <v>4585</v>
      </c>
      <c r="H646" s="1167">
        <v>11.4</v>
      </c>
      <c r="I646" s="1168">
        <f>IF(DAY($F646)&gt;15, VLOOKUP(EOMONTH($F646,-1),'WP 3.1 Rate Case Regress.'!$C$5:$D$556,2,FALSE), VLOOKUP(EOMONTH($F646, -2), 'WP 3.1 Rate Case Regress.'!$C$5:$D$556, 2, FALSE))</f>
        <v>7.0240999999999998</v>
      </c>
    </row>
    <row r="647" spans="2:9" ht="30" x14ac:dyDescent="0.5">
      <c r="B647" s="1162" t="s">
        <v>2702</v>
      </c>
      <c r="C647" s="1163" t="s">
        <v>2755</v>
      </c>
      <c r="D647" s="1163" t="s">
        <v>3484</v>
      </c>
      <c r="E647" s="1164"/>
      <c r="F647" s="1165">
        <v>36053</v>
      </c>
      <c r="G647" s="1166" t="s">
        <v>2695</v>
      </c>
      <c r="H647" s="1167">
        <v>11.9</v>
      </c>
      <c r="I647" s="1168">
        <f>IF(DAY($F647)&gt;15, VLOOKUP(EOMONTH($F647,-1),'WP 3.1 Rate Case Regress.'!$C$5:$D$556,2,FALSE), VLOOKUP(EOMONTH($F647, -2), 'WP 3.1 Rate Case Regress.'!$C$5:$D$556, 2, FALSE))</f>
        <v>7.0240999999999998</v>
      </c>
    </row>
    <row r="648" spans="2:9" x14ac:dyDescent="0.5">
      <c r="B648" s="1162" t="s">
        <v>2768</v>
      </c>
      <c r="C648" s="1163" t="s">
        <v>3106</v>
      </c>
      <c r="D648" s="1163" t="s">
        <v>3485</v>
      </c>
      <c r="E648" s="1164"/>
      <c r="F648" s="1165">
        <v>36075</v>
      </c>
      <c r="G648" s="1166" t="s">
        <v>2695</v>
      </c>
      <c r="H648" s="1167">
        <v>11.06</v>
      </c>
      <c r="I648" s="1168">
        <f>IF(DAY($F648)&gt;15, VLOOKUP(EOMONTH($F648,-1),'WP 3.1 Rate Case Regress.'!$C$5:$D$556,2,FALSE), VLOOKUP(EOMONTH($F648, -2), 'WP 3.1 Rate Case Regress.'!$C$5:$D$556, 2, FALSE))</f>
        <v>7.0019</v>
      </c>
    </row>
    <row r="649" spans="2:9" x14ac:dyDescent="0.5">
      <c r="B649" s="1162" t="s">
        <v>2743</v>
      </c>
      <c r="C649" s="1163" t="s">
        <v>2969</v>
      </c>
      <c r="D649" s="1163" t="s">
        <v>3486</v>
      </c>
      <c r="E649" s="1164"/>
      <c r="F649" s="1165">
        <v>36098</v>
      </c>
      <c r="G649" s="1166" t="s">
        <v>2695</v>
      </c>
      <c r="H649" s="1167">
        <v>11.4</v>
      </c>
      <c r="I649" s="1168">
        <f>IF(DAY($F649)&gt;15, VLOOKUP(EOMONTH($F649,-1),'WP 3.1 Rate Case Regress.'!$C$5:$D$556,2,FALSE), VLOOKUP(EOMONTH($F649, -2), 'WP 3.1 Rate Case Regress.'!$C$5:$D$556, 2, FALSE))</f>
        <v>6.9362000000000004</v>
      </c>
    </row>
    <row r="650" spans="2:9" ht="30" x14ac:dyDescent="0.5">
      <c r="B650" s="1162" t="s">
        <v>2702</v>
      </c>
      <c r="C650" s="1163" t="s">
        <v>4701</v>
      </c>
      <c r="D650" s="1163" t="s">
        <v>3487</v>
      </c>
      <c r="E650" s="1164"/>
      <c r="F650" s="1165">
        <v>36139</v>
      </c>
      <c r="G650" s="1166" t="s">
        <v>2695</v>
      </c>
      <c r="H650" s="1167">
        <v>12.2</v>
      </c>
      <c r="I650" s="1168">
        <f>IF(DAY($F650)&gt;15, VLOOKUP(EOMONTH($F650,-1),'WP 3.1 Rate Case Regress.'!$C$5:$D$556,2,FALSE), VLOOKUP(EOMONTH($F650, -2), 'WP 3.1 Rate Case Regress.'!$C$5:$D$556, 2, FALSE))</f>
        <v>6.9554999999999998</v>
      </c>
    </row>
    <row r="651" spans="2:9" ht="30" x14ac:dyDescent="0.5">
      <c r="B651" s="1162" t="s">
        <v>2702</v>
      </c>
      <c r="C651" s="1163" t="s">
        <v>2748</v>
      </c>
      <c r="D651" s="1163" t="s">
        <v>3488</v>
      </c>
      <c r="E651" s="1164"/>
      <c r="F651" s="1165">
        <v>36146</v>
      </c>
      <c r="G651" s="1166" t="s">
        <v>2695</v>
      </c>
      <c r="H651" s="1167">
        <v>12.1</v>
      </c>
      <c r="I651" s="1168">
        <f>IF(DAY($F651)&gt;15, VLOOKUP(EOMONTH($F651,-1),'WP 3.1 Rate Case Regress.'!$C$5:$D$556,2,FALSE), VLOOKUP(EOMONTH($F651, -2), 'WP 3.1 Rate Case Regress.'!$C$5:$D$556, 2, FALSE))</f>
        <v>7.0362999999999998</v>
      </c>
    </row>
    <row r="652" spans="2:9" x14ac:dyDescent="0.5">
      <c r="B652" s="1162" t="s">
        <v>2766</v>
      </c>
      <c r="C652" s="1163" t="s">
        <v>3356</v>
      </c>
      <c r="D652" s="1163" t="s">
        <v>3489</v>
      </c>
      <c r="E652" s="1164"/>
      <c r="F652" s="1165">
        <v>36210</v>
      </c>
      <c r="G652" s="1166" t="s">
        <v>2695</v>
      </c>
      <c r="H652" s="1167">
        <v>11.15</v>
      </c>
      <c r="I652" s="1168">
        <f>IF(DAY($F652)&gt;15, VLOOKUP(EOMONTH($F652,-1),'WP 3.1 Rate Case Regress.'!$C$5:$D$556,2,FALSE), VLOOKUP(EOMONTH($F652, -2), 'WP 3.1 Rate Case Regress.'!$C$5:$D$556, 2, FALSE))</f>
        <v>6.97</v>
      </c>
    </row>
    <row r="653" spans="2:9" x14ac:dyDescent="0.5">
      <c r="B653" s="1162" t="s">
        <v>2693</v>
      </c>
      <c r="C653" s="1163" t="s">
        <v>2742</v>
      </c>
      <c r="D653" s="1163" t="s">
        <v>3490</v>
      </c>
      <c r="E653" s="1164"/>
      <c r="F653" s="1165">
        <v>36220</v>
      </c>
      <c r="G653" s="1166" t="s">
        <v>2695</v>
      </c>
      <c r="H653" s="1167">
        <v>10.65</v>
      </c>
      <c r="I653" s="1168">
        <f>IF(DAY($F653)&gt;15, VLOOKUP(EOMONTH($F653,-1),'WP 3.1 Rate Case Regress.'!$C$5:$D$556,2,FALSE), VLOOKUP(EOMONTH($F653, -2), 'WP 3.1 Rate Case Regress.'!$C$5:$D$556, 2, FALSE))</f>
        <v>6.97</v>
      </c>
    </row>
    <row r="654" spans="2:9" x14ac:dyDescent="0.5">
      <c r="B654" s="1162" t="s">
        <v>2693</v>
      </c>
      <c r="C654" s="1163" t="s">
        <v>2742</v>
      </c>
      <c r="D654" s="1163" t="s">
        <v>3491</v>
      </c>
      <c r="E654" s="1164"/>
      <c r="F654" s="1165">
        <v>36220</v>
      </c>
      <c r="G654" s="1166" t="s">
        <v>2695</v>
      </c>
      <c r="H654" s="1167">
        <v>10.65</v>
      </c>
      <c r="I654" s="1168">
        <f>IF(DAY($F654)&gt;15, VLOOKUP(EOMONTH($F654,-1),'WP 3.1 Rate Case Regress.'!$C$5:$D$556,2,FALSE), VLOOKUP(EOMONTH($F654, -2), 'WP 3.1 Rate Case Regress.'!$C$5:$D$556, 2, FALSE))</f>
        <v>6.97</v>
      </c>
    </row>
    <row r="655" spans="2:9" x14ac:dyDescent="0.5">
      <c r="B655" s="1162" t="s">
        <v>2715</v>
      </c>
      <c r="C655" s="1163" t="s">
        <v>2716</v>
      </c>
      <c r="D655" s="1163" t="s">
        <v>3492</v>
      </c>
      <c r="E655" s="1164"/>
      <c r="F655" s="1165">
        <v>36319</v>
      </c>
      <c r="G655" s="1166" t="s">
        <v>2695</v>
      </c>
      <c r="H655" s="1167">
        <v>11.25</v>
      </c>
      <c r="I655" s="1168">
        <f>IF(DAY($F655)&gt;15, VLOOKUP(EOMONTH($F655,-1),'WP 3.1 Rate Case Regress.'!$C$5:$D$556,2,FALSE), VLOOKUP(EOMONTH($F655, -2), 'WP 3.1 Rate Case Regress.'!$C$5:$D$556, 2, FALSE))</f>
        <v>7.2142999999999997</v>
      </c>
    </row>
    <row r="656" spans="2:9" x14ac:dyDescent="0.5">
      <c r="B656" s="1162" t="s">
        <v>2774</v>
      </c>
      <c r="C656" s="1163" t="s">
        <v>3493</v>
      </c>
      <c r="D656" s="1163" t="s">
        <v>3494</v>
      </c>
      <c r="E656" s="1164"/>
      <c r="F656" s="1165">
        <v>36476</v>
      </c>
      <c r="G656" s="1166" t="s">
        <v>2695</v>
      </c>
      <c r="H656" s="1167">
        <v>10.25</v>
      </c>
      <c r="I656" s="1168">
        <f>IF(DAY($F656)&gt;15, VLOOKUP(EOMONTH($F656,-1),'WP 3.1 Rate Case Regress.'!$C$5:$D$556,2,FALSE), VLOOKUP(EOMONTH($F656, -2), 'WP 3.1 Rate Case Regress.'!$C$5:$D$556, 2, FALSE))</f>
        <v>7.9318999999999997</v>
      </c>
    </row>
    <row r="657" spans="2:9" x14ac:dyDescent="0.5">
      <c r="B657" s="1162" t="s">
        <v>2756</v>
      </c>
      <c r="C657" s="1163" t="s">
        <v>2875</v>
      </c>
      <c r="D657" s="1163" t="s">
        <v>3495</v>
      </c>
      <c r="E657" s="1164"/>
      <c r="F657" s="1165">
        <v>36508</v>
      </c>
      <c r="G657" s="1166" t="s">
        <v>2695</v>
      </c>
      <c r="H657" s="1167">
        <v>10.5</v>
      </c>
      <c r="I657" s="1168">
        <f>IF(DAY($F657)&gt;15, VLOOKUP(EOMONTH($F657,-1),'WP 3.1 Rate Case Regress.'!$C$5:$D$556,2,FALSE), VLOOKUP(EOMONTH($F657, -2), 'WP 3.1 Rate Case Regress.'!$C$5:$D$556, 2, FALSE))</f>
        <v>8.0647000000000002</v>
      </c>
    </row>
    <row r="658" spans="2:9" x14ac:dyDescent="0.5">
      <c r="B658" s="1162" t="s">
        <v>2723</v>
      </c>
      <c r="C658" s="1163" t="s">
        <v>2949</v>
      </c>
      <c r="D658" s="1163" t="s">
        <v>3496</v>
      </c>
      <c r="E658" s="1164"/>
      <c r="F658" s="1165">
        <v>36553</v>
      </c>
      <c r="G658" s="1166" t="s">
        <v>2695</v>
      </c>
      <c r="H658" s="1167">
        <v>10.71</v>
      </c>
      <c r="I658" s="1168">
        <f>IF(DAY($F658)&gt;15, VLOOKUP(EOMONTH($F658,-1),'WP 3.1 Rate Case Regress.'!$C$5:$D$556,2,FALSE), VLOOKUP(EOMONTH($F658, -2), 'WP 3.1 Rate Case Regress.'!$C$5:$D$556, 2, FALSE))</f>
        <v>8.1189999999999998</v>
      </c>
    </row>
    <row r="659" spans="2:9" ht="30" x14ac:dyDescent="0.5">
      <c r="B659" s="1162" t="s">
        <v>2738</v>
      </c>
      <c r="C659" s="1163" t="s">
        <v>2760</v>
      </c>
      <c r="D659" s="1163" t="s">
        <v>3497</v>
      </c>
      <c r="E659" s="1164"/>
      <c r="F659" s="1165">
        <v>36573</v>
      </c>
      <c r="G659" s="1166" t="s">
        <v>2695</v>
      </c>
      <c r="H659" s="1167">
        <v>10.6</v>
      </c>
      <c r="I659" s="1168">
        <f>IF(DAY($F659)&gt;15, VLOOKUP(EOMONTH($F659,-1),'WP 3.1 Rate Case Regress.'!$C$5:$D$556,2,FALSE), VLOOKUP(EOMONTH($F659, -2), 'WP 3.1 Rate Case Regress.'!$C$5:$D$556, 2, FALSE))</f>
        <v>8.3475000000000001</v>
      </c>
    </row>
    <row r="660" spans="2:9" x14ac:dyDescent="0.5">
      <c r="B660" s="1162" t="s">
        <v>2723</v>
      </c>
      <c r="C660" s="1163" t="s">
        <v>2921</v>
      </c>
      <c r="D660" s="1163" t="s">
        <v>3498</v>
      </c>
      <c r="E660" s="1164"/>
      <c r="F660" s="1165">
        <v>36671</v>
      </c>
      <c r="G660" s="1166" t="s">
        <v>2695</v>
      </c>
      <c r="H660" s="1167">
        <v>10.8</v>
      </c>
      <c r="I660" s="1168">
        <f>IF(DAY($F660)&gt;15, VLOOKUP(EOMONTH($F660,-1),'WP 3.1 Rate Case Regress.'!$C$5:$D$556,2,FALSE), VLOOKUP(EOMONTH($F660, -2), 'WP 3.1 Rate Case Regress.'!$C$5:$D$556, 2, FALSE))</f>
        <v>8.2779000000000007</v>
      </c>
    </row>
    <row r="661" spans="2:9" x14ac:dyDescent="0.5">
      <c r="B661" s="1162" t="s">
        <v>2698</v>
      </c>
      <c r="C661" s="1163" t="s">
        <v>2722</v>
      </c>
      <c r="D661" s="1163" t="s">
        <v>3499</v>
      </c>
      <c r="E661" s="1164"/>
      <c r="F661" s="1165">
        <v>36696</v>
      </c>
      <c r="G661" s="1166" t="s">
        <v>2695</v>
      </c>
      <c r="H661" s="1167">
        <v>11.05</v>
      </c>
      <c r="I661" s="1168">
        <f>IF(DAY($F661)&gt;15, VLOOKUP(EOMONTH($F661,-1),'WP 3.1 Rate Case Regress.'!$C$5:$D$556,2,FALSE), VLOOKUP(EOMONTH($F661, -2), 'WP 3.1 Rate Case Regress.'!$C$5:$D$556, 2, FALSE))</f>
        <v>8.6922999999999995</v>
      </c>
    </row>
    <row r="662" spans="2:9" ht="30" x14ac:dyDescent="0.5">
      <c r="B662" s="1162" t="s">
        <v>2706</v>
      </c>
      <c r="C662" s="1163" t="s">
        <v>4847</v>
      </c>
      <c r="D662" s="1163" t="s">
        <v>4848</v>
      </c>
      <c r="E662" s="1164"/>
      <c r="F662" s="1165">
        <v>36699</v>
      </c>
      <c r="G662" s="1166" t="s">
        <v>4585</v>
      </c>
      <c r="H662" s="1167">
        <v>11.25</v>
      </c>
      <c r="I662" s="1168">
        <f>IF(DAY($F662)&gt;15, VLOOKUP(EOMONTH($F662,-1),'WP 3.1 Rate Case Regress.'!$C$5:$D$556,2,FALSE), VLOOKUP(EOMONTH($F662, -2), 'WP 3.1 Rate Case Regress.'!$C$5:$D$556, 2, FALSE))</f>
        <v>8.6922999999999995</v>
      </c>
    </row>
    <row r="663" spans="2:9" x14ac:dyDescent="0.5">
      <c r="B663" s="1162" t="s">
        <v>2693</v>
      </c>
      <c r="C663" s="1163" t="s">
        <v>2709</v>
      </c>
      <c r="D663" s="1163" t="s">
        <v>3500</v>
      </c>
      <c r="E663" s="1164"/>
      <c r="F663" s="1165">
        <v>36724</v>
      </c>
      <c r="G663" s="1166" t="s">
        <v>2695</v>
      </c>
      <c r="H663" s="1167">
        <v>11.06</v>
      </c>
      <c r="I663" s="1168">
        <f>IF(DAY($F663)&gt;15, VLOOKUP(EOMONTH($F663,-1),'WP 3.1 Rate Case Regress.'!$C$5:$D$556,2,FALSE), VLOOKUP(EOMONTH($F663, -2), 'WP 3.1 Rate Case Regress.'!$C$5:$D$556, 2, FALSE))</f>
        <v>8.3755000000000006</v>
      </c>
    </row>
    <row r="664" spans="2:9" ht="30" x14ac:dyDescent="0.5">
      <c r="B664" s="1162" t="s">
        <v>2702</v>
      </c>
      <c r="C664" s="1163" t="s">
        <v>2773</v>
      </c>
      <c r="D664" s="1163" t="s">
        <v>3501</v>
      </c>
      <c r="E664" s="1164"/>
      <c r="F664" s="1165">
        <v>36727</v>
      </c>
      <c r="G664" s="1166" t="s">
        <v>2695</v>
      </c>
      <c r="H664" s="1167">
        <v>12.2</v>
      </c>
      <c r="I664" s="1168">
        <f>IF(DAY($F664)&gt;15, VLOOKUP(EOMONTH($F664,-1),'WP 3.1 Rate Case Regress.'!$C$5:$D$556,2,FALSE), VLOOKUP(EOMONTH($F664, -2), 'WP 3.1 Rate Case Regress.'!$C$5:$D$556, 2, FALSE))</f>
        <v>8.3755000000000006</v>
      </c>
    </row>
    <row r="665" spans="2:9" x14ac:dyDescent="0.5">
      <c r="B665" s="1162" t="s">
        <v>2714</v>
      </c>
      <c r="C665" s="1163" t="s">
        <v>4648</v>
      </c>
      <c r="D665" s="1163" t="s">
        <v>3502</v>
      </c>
      <c r="E665" s="1164"/>
      <c r="F665" s="1165">
        <v>36749</v>
      </c>
      <c r="G665" s="1166" t="s">
        <v>2695</v>
      </c>
      <c r="H665" s="1167">
        <v>11</v>
      </c>
      <c r="I665" s="1168">
        <f>IF(DAY($F665)&gt;15, VLOOKUP(EOMONTH($F665,-1),'WP 3.1 Rate Case Regress.'!$C$5:$D$556,2,FALSE), VLOOKUP(EOMONTH($F665, -2), 'WP 3.1 Rate Case Regress.'!$C$5:$D$556, 2, FALSE))</f>
        <v>8.3755000000000006</v>
      </c>
    </row>
    <row r="666" spans="2:9" x14ac:dyDescent="0.5">
      <c r="B666" s="1162" t="s">
        <v>2728</v>
      </c>
      <c r="C666" s="1163" t="s">
        <v>2729</v>
      </c>
      <c r="D666" s="1163" t="s">
        <v>3503</v>
      </c>
      <c r="E666" s="1164"/>
      <c r="F666" s="1165">
        <v>36796</v>
      </c>
      <c r="G666" s="1166" t="s">
        <v>2695</v>
      </c>
      <c r="H666" s="1167">
        <v>11.25</v>
      </c>
      <c r="I666" s="1168">
        <f>IF(DAY($F666)&gt;15, VLOOKUP(EOMONTH($F666,-1),'WP 3.1 Rate Case Regress.'!$C$5:$D$556,2,FALSE), VLOOKUP(EOMONTH($F666, -2), 'WP 3.1 Rate Case Regress.'!$C$5:$D$556, 2, FALSE))</f>
        <v>8.1287000000000003</v>
      </c>
    </row>
    <row r="667" spans="2:9" x14ac:dyDescent="0.5">
      <c r="B667" s="1162" t="s">
        <v>2736</v>
      </c>
      <c r="C667" s="1163" t="s">
        <v>2727</v>
      </c>
      <c r="D667" s="1163" t="s">
        <v>3504</v>
      </c>
      <c r="E667" s="1164"/>
      <c r="F667" s="1165">
        <v>36798</v>
      </c>
      <c r="G667" s="1166" t="s">
        <v>2695</v>
      </c>
      <c r="H667" s="1167">
        <v>11.16</v>
      </c>
      <c r="I667" s="1168">
        <f>IF(DAY($F667)&gt;15, VLOOKUP(EOMONTH($F667,-1),'WP 3.1 Rate Case Regress.'!$C$5:$D$556,2,FALSE), VLOOKUP(EOMONTH($F667, -2), 'WP 3.1 Rate Case Regress.'!$C$5:$D$556, 2, FALSE))</f>
        <v>8.1287000000000003</v>
      </c>
    </row>
    <row r="668" spans="2:9" x14ac:dyDescent="0.5">
      <c r="B668" s="1162" t="s">
        <v>2743</v>
      </c>
      <c r="C668" s="1163" t="s">
        <v>3012</v>
      </c>
      <c r="D668" s="1163" t="s">
        <v>4849</v>
      </c>
      <c r="E668" s="1164"/>
      <c r="F668" s="1165">
        <v>36804</v>
      </c>
      <c r="G668" s="1166" t="s">
        <v>4585</v>
      </c>
      <c r="H668" s="1167">
        <v>11.3</v>
      </c>
      <c r="I668" s="1168">
        <f>IF(DAY($F668)&gt;15, VLOOKUP(EOMONTH($F668,-1),'WP 3.1 Rate Case Regress.'!$C$5:$D$556,2,FALSE), VLOOKUP(EOMONTH($F668, -2), 'WP 3.1 Rate Case Regress.'!$C$5:$D$556, 2, FALSE))</f>
        <v>8.1287000000000003</v>
      </c>
    </row>
    <row r="669" spans="2:9" ht="30" x14ac:dyDescent="0.5">
      <c r="B669" s="1162" t="s">
        <v>2702</v>
      </c>
      <c r="C669" s="1163" t="s">
        <v>4701</v>
      </c>
      <c r="D669" s="1163" t="s">
        <v>3505</v>
      </c>
      <c r="E669" s="1164"/>
      <c r="F669" s="1165">
        <v>36858</v>
      </c>
      <c r="G669" s="1166" t="s">
        <v>2695</v>
      </c>
      <c r="H669" s="1167">
        <v>12.9</v>
      </c>
      <c r="I669" s="1168">
        <f>IF(DAY($F669)&gt;15, VLOOKUP(EOMONTH($F669,-1),'WP 3.1 Rate Case Regress.'!$C$5:$D$556,2,FALSE), VLOOKUP(EOMONTH($F669, -2), 'WP 3.1 Rate Case Regress.'!$C$5:$D$556, 2, FALSE))</f>
        <v>8.1441999999999997</v>
      </c>
    </row>
    <row r="670" spans="2:9" ht="30" x14ac:dyDescent="0.5">
      <c r="B670" s="1162" t="s">
        <v>2702</v>
      </c>
      <c r="C670" s="1163" t="s">
        <v>2748</v>
      </c>
      <c r="D670" s="1163" t="s">
        <v>3506</v>
      </c>
      <c r="E670" s="1164"/>
      <c r="F670" s="1165">
        <v>36860</v>
      </c>
      <c r="G670" s="1166" t="s">
        <v>2695</v>
      </c>
      <c r="H670" s="1167">
        <v>12.1</v>
      </c>
      <c r="I670" s="1168">
        <f>IF(DAY($F670)&gt;15, VLOOKUP(EOMONTH($F670,-1),'WP 3.1 Rate Case Regress.'!$C$5:$D$556,2,FALSE), VLOOKUP(EOMONTH($F670, -2), 'WP 3.1 Rate Case Regress.'!$C$5:$D$556, 2, FALSE))</f>
        <v>8.1441999999999997</v>
      </c>
    </row>
    <row r="671" spans="2:9" x14ac:dyDescent="0.5">
      <c r="B671" s="1162" t="s">
        <v>2772</v>
      </c>
      <c r="C671" s="1163" t="s">
        <v>3361</v>
      </c>
      <c r="D671" s="1163" t="s">
        <v>3507</v>
      </c>
      <c r="E671" s="1164"/>
      <c r="F671" s="1165">
        <v>36927</v>
      </c>
      <c r="G671" s="1166" t="s">
        <v>2695</v>
      </c>
      <c r="H671" s="1167">
        <v>11.5</v>
      </c>
      <c r="I671" s="1168">
        <f>IF(DAY($F671)&gt;15, VLOOKUP(EOMONTH($F671,-1),'WP 3.1 Rate Case Regress.'!$C$5:$D$556,2,FALSE), VLOOKUP(EOMONTH($F671, -2), 'WP 3.1 Rate Case Regress.'!$C$5:$D$556, 2, FALSE))</f>
        <v>7.8558000000000003</v>
      </c>
    </row>
    <row r="672" spans="2:9" x14ac:dyDescent="0.5">
      <c r="B672" s="1162" t="s">
        <v>2715</v>
      </c>
      <c r="C672" s="1163" t="s">
        <v>2716</v>
      </c>
      <c r="D672" s="1163" t="s">
        <v>3508</v>
      </c>
      <c r="E672" s="1164"/>
      <c r="F672" s="1165">
        <v>36965</v>
      </c>
      <c r="G672" s="1166" t="s">
        <v>2695</v>
      </c>
      <c r="H672" s="1167">
        <v>11.25</v>
      </c>
      <c r="I672" s="1168">
        <f>IF(DAY($F672)&gt;15, VLOOKUP(EOMONTH($F672,-1),'WP 3.1 Rate Case Regress.'!$C$5:$D$556,2,FALSE), VLOOKUP(EOMONTH($F672, -2), 'WP 3.1 Rate Case Regress.'!$C$5:$D$556, 2, FALSE))</f>
        <v>7.7986000000000004</v>
      </c>
    </row>
    <row r="673" spans="2:9" ht="30" x14ac:dyDescent="0.5">
      <c r="B673" s="1162" t="s">
        <v>2740</v>
      </c>
      <c r="C673" s="1163" t="s">
        <v>2964</v>
      </c>
      <c r="D673" s="1163" t="s">
        <v>3509</v>
      </c>
      <c r="E673" s="1164"/>
      <c r="F673" s="1165">
        <v>37019</v>
      </c>
      <c r="G673" s="1166" t="s">
        <v>2695</v>
      </c>
      <c r="H673" s="1167">
        <v>10.75</v>
      </c>
      <c r="I673" s="1168">
        <f>IF(DAY($F673)&gt;15, VLOOKUP(EOMONTH($F673,-1),'WP 3.1 Rate Case Regress.'!$C$5:$D$556,2,FALSE), VLOOKUP(EOMONTH($F673, -2), 'WP 3.1 Rate Case Regress.'!$C$5:$D$556, 2, FALSE))</f>
        <v>7.6722999999999999</v>
      </c>
    </row>
    <row r="674" spans="2:9" ht="30" x14ac:dyDescent="0.5">
      <c r="B674" s="1162" t="s">
        <v>2717</v>
      </c>
      <c r="C674" s="1163" t="s">
        <v>2939</v>
      </c>
      <c r="D674" s="1163" t="s">
        <v>3510</v>
      </c>
      <c r="E674" s="1164"/>
      <c r="F674" s="1165">
        <v>37188</v>
      </c>
      <c r="G674" s="1166" t="s">
        <v>2695</v>
      </c>
      <c r="H674" s="1167">
        <v>11</v>
      </c>
      <c r="I674" s="1168">
        <f>IF(DAY($F674)&gt;15, VLOOKUP(EOMONTH($F674,-1),'WP 3.1 Rate Case Regress.'!$C$5:$D$556,2,FALSE), VLOOKUP(EOMONTH($F674, -2), 'WP 3.1 Rate Case Regress.'!$C$5:$D$556, 2, FALSE))</f>
        <v>7.7073</v>
      </c>
    </row>
    <row r="675" spans="2:9" x14ac:dyDescent="0.5">
      <c r="B675" s="1162" t="s">
        <v>2704</v>
      </c>
      <c r="C675" s="1163" t="s">
        <v>2750</v>
      </c>
      <c r="D675" s="1163" t="s">
        <v>4850</v>
      </c>
      <c r="E675" s="1164"/>
      <c r="F675" s="1165">
        <v>37188</v>
      </c>
      <c r="G675" s="1166" t="s">
        <v>4585</v>
      </c>
      <c r="H675" s="1167">
        <v>10.3</v>
      </c>
      <c r="I675" s="1168">
        <f>IF(DAY($F675)&gt;15, VLOOKUP(EOMONTH($F675,-1),'WP 3.1 Rate Case Regress.'!$C$5:$D$556,2,FALSE), VLOOKUP(EOMONTH($F675, -2), 'WP 3.1 Rate Case Regress.'!$C$5:$D$556, 2, FALSE))</f>
        <v>7.7073</v>
      </c>
    </row>
    <row r="676" spans="2:9" x14ac:dyDescent="0.5">
      <c r="B676" s="1162" t="s">
        <v>2712</v>
      </c>
      <c r="C676" s="1163" t="s">
        <v>2713</v>
      </c>
      <c r="D676" s="1163" t="s">
        <v>4851</v>
      </c>
      <c r="E676" s="1164"/>
      <c r="F676" s="1165">
        <v>37265</v>
      </c>
      <c r="G676" s="1166" t="s">
        <v>4585</v>
      </c>
      <c r="H676" s="1167">
        <v>10</v>
      </c>
      <c r="I676" s="1168">
        <f>IF(DAY($F676)&gt;15, VLOOKUP(EOMONTH($F676,-1),'WP 3.1 Rate Case Regress.'!$C$5:$D$556,2,FALSE), VLOOKUP(EOMONTH($F676, -2), 'WP 3.1 Rate Case Regress.'!$C$5:$D$556, 2, FALSE))</f>
        <v>7.5446999999999997</v>
      </c>
    </row>
    <row r="677" spans="2:9" x14ac:dyDescent="0.5">
      <c r="B677" s="1162" t="s">
        <v>2723</v>
      </c>
      <c r="C677" s="1163" t="s">
        <v>3389</v>
      </c>
      <c r="D677" s="1163" t="s">
        <v>3511</v>
      </c>
      <c r="E677" s="1164"/>
      <c r="F677" s="1165">
        <v>37286</v>
      </c>
      <c r="G677" s="1166" t="s">
        <v>2695</v>
      </c>
      <c r="H677" s="1167">
        <v>11</v>
      </c>
      <c r="I677" s="1168">
        <f>IF(DAY($F677)&gt;15, VLOOKUP(EOMONTH($F677,-1),'WP 3.1 Rate Case Regress.'!$C$5:$D$556,2,FALSE), VLOOKUP(EOMONTH($F677, -2), 'WP 3.1 Rate Case Regress.'!$C$5:$D$556, 2, FALSE))</f>
        <v>7.8311000000000002</v>
      </c>
    </row>
    <row r="678" spans="2:9" x14ac:dyDescent="0.5">
      <c r="B678" s="1162" t="s">
        <v>2728</v>
      </c>
      <c r="C678" s="1163" t="s">
        <v>2771</v>
      </c>
      <c r="D678" s="1163" t="s">
        <v>3512</v>
      </c>
      <c r="E678" s="1164"/>
      <c r="F678" s="1165">
        <v>37287</v>
      </c>
      <c r="G678" s="1166" t="s">
        <v>2695</v>
      </c>
      <c r="H678" s="1167">
        <v>11</v>
      </c>
      <c r="I678" s="1168">
        <f>IF(DAY($F678)&gt;15, VLOOKUP(EOMONTH($F678,-1),'WP 3.1 Rate Case Regress.'!$C$5:$D$556,2,FALSE), VLOOKUP(EOMONTH($F678, -2), 'WP 3.1 Rate Case Regress.'!$C$5:$D$556, 2, FALSE))</f>
        <v>7.8311000000000002</v>
      </c>
    </row>
    <row r="679" spans="2:9" x14ac:dyDescent="0.5">
      <c r="B679" s="1162" t="s">
        <v>2704</v>
      </c>
      <c r="C679" s="1163" t="s">
        <v>2908</v>
      </c>
      <c r="D679" s="1163" t="s">
        <v>4852</v>
      </c>
      <c r="E679" s="1164"/>
      <c r="F679" s="1165">
        <v>37363</v>
      </c>
      <c r="G679" s="1166" t="s">
        <v>4585</v>
      </c>
      <c r="H679" s="1167">
        <v>11.5</v>
      </c>
      <c r="I679" s="1168">
        <f>IF(DAY($F679)&gt;15, VLOOKUP(EOMONTH($F679,-1),'WP 3.1 Rate Case Regress.'!$C$5:$D$556,2,FALSE), VLOOKUP(EOMONTH($F679, -2), 'WP 3.1 Rate Case Regress.'!$C$5:$D$556, 2, FALSE))</f>
        <v>7.7435</v>
      </c>
    </row>
    <row r="680" spans="2:9" x14ac:dyDescent="0.5">
      <c r="B680" s="1162" t="s">
        <v>2699</v>
      </c>
      <c r="C680" s="1163" t="s">
        <v>2628</v>
      </c>
      <c r="D680" s="1163" t="s">
        <v>3513</v>
      </c>
      <c r="E680" s="1164"/>
      <c r="F680" s="1165">
        <v>37375</v>
      </c>
      <c r="G680" s="1166" t="s">
        <v>2695</v>
      </c>
      <c r="H680" s="1167">
        <v>11</v>
      </c>
      <c r="I680" s="1168">
        <f>IF(DAY($F680)&gt;15, VLOOKUP(EOMONTH($F680,-1),'WP 3.1 Rate Case Regress.'!$C$5:$D$556,2,FALSE), VLOOKUP(EOMONTH($F680, -2), 'WP 3.1 Rate Case Regress.'!$C$5:$D$556, 2, FALSE))</f>
        <v>7.7435</v>
      </c>
    </row>
    <row r="681" spans="2:9" x14ac:dyDescent="0.5">
      <c r="B681" s="1162" t="s">
        <v>2710</v>
      </c>
      <c r="C681" s="1163" t="s">
        <v>2761</v>
      </c>
      <c r="D681" s="1163" t="s">
        <v>4853</v>
      </c>
      <c r="E681" s="1164"/>
      <c r="F681" s="1165">
        <v>37418</v>
      </c>
      <c r="G681" s="1166" t="s">
        <v>4585</v>
      </c>
      <c r="H681" s="1167">
        <v>11.77</v>
      </c>
      <c r="I681" s="1168">
        <f>IF(DAY($F681)&gt;15, VLOOKUP(EOMONTH($F681,-1),'WP 3.1 Rate Case Regress.'!$C$5:$D$556,2,FALSE), VLOOKUP(EOMONTH($F681, -2), 'WP 3.1 Rate Case Regress.'!$C$5:$D$556, 2, FALSE))</f>
        <v>7.5791000000000004</v>
      </c>
    </row>
    <row r="682" spans="2:9" ht="30" x14ac:dyDescent="0.5">
      <c r="B682" s="1162" t="s">
        <v>2702</v>
      </c>
      <c r="C682" s="1163" t="s">
        <v>2748</v>
      </c>
      <c r="D682" s="1163" t="s">
        <v>3514</v>
      </c>
      <c r="E682" s="1164"/>
      <c r="F682" s="1165">
        <v>37427</v>
      </c>
      <c r="G682" s="1166" t="s">
        <v>2695</v>
      </c>
      <c r="H682" s="1167">
        <v>12.3</v>
      </c>
      <c r="I682" s="1168">
        <f>IF(DAY($F682)&gt;15, VLOOKUP(EOMONTH($F682,-1),'WP 3.1 Rate Case Regress.'!$C$5:$D$556,2,FALSE), VLOOKUP(EOMONTH($F682, -2), 'WP 3.1 Rate Case Regress.'!$C$5:$D$556, 2, FALSE))</f>
        <v>7.5267999999999997</v>
      </c>
    </row>
    <row r="683" spans="2:9" x14ac:dyDescent="0.5">
      <c r="B683" s="1162" t="s">
        <v>2736</v>
      </c>
      <c r="C683" s="1163" t="s">
        <v>2737</v>
      </c>
      <c r="D683" s="1163" t="s">
        <v>4854</v>
      </c>
      <c r="E683" s="1164"/>
      <c r="F683" s="1165">
        <v>37496</v>
      </c>
      <c r="G683" s="1166" t="s">
        <v>4585</v>
      </c>
      <c r="H683" s="1167">
        <v>11</v>
      </c>
      <c r="I683" s="1168">
        <f>IF(DAY($F683)&gt;15, VLOOKUP(EOMONTH($F683,-1),'WP 3.1 Rate Case Regress.'!$C$5:$D$556,2,FALSE), VLOOKUP(EOMONTH($F683, -2), 'WP 3.1 Rate Case Regress.'!$C$5:$D$556, 2, FALSE))</f>
        <v>7.3209999999999997</v>
      </c>
    </row>
    <row r="684" spans="2:9" x14ac:dyDescent="0.5">
      <c r="B684" s="1162" t="s">
        <v>2693</v>
      </c>
      <c r="C684" s="1163" t="s">
        <v>2709</v>
      </c>
      <c r="D684" s="1163" t="s">
        <v>3515</v>
      </c>
      <c r="E684" s="1164"/>
      <c r="F684" s="1165">
        <v>37510</v>
      </c>
      <c r="G684" s="1166" t="s">
        <v>2695</v>
      </c>
      <c r="H684" s="1167">
        <v>11.2</v>
      </c>
      <c r="I684" s="1168">
        <f>IF(DAY($F684)&gt;15, VLOOKUP(EOMONTH($F684,-1),'WP 3.1 Rate Case Regress.'!$C$5:$D$556,2,FALSE), VLOOKUP(EOMONTH($F684, -2), 'WP 3.1 Rate Case Regress.'!$C$5:$D$556, 2, FALSE))</f>
        <v>7.3209999999999997</v>
      </c>
    </row>
    <row r="685" spans="2:9" ht="30" x14ac:dyDescent="0.5">
      <c r="B685" s="1162" t="s">
        <v>2702</v>
      </c>
      <c r="C685" s="1163" t="s">
        <v>2749</v>
      </c>
      <c r="D685" s="1163" t="s">
        <v>3516</v>
      </c>
      <c r="E685" s="1164"/>
      <c r="F685" s="1165">
        <v>37511</v>
      </c>
      <c r="G685" s="1166" t="s">
        <v>2695</v>
      </c>
      <c r="H685" s="1167">
        <v>12.3</v>
      </c>
      <c r="I685" s="1168">
        <f>IF(DAY($F685)&gt;15, VLOOKUP(EOMONTH($F685,-1),'WP 3.1 Rate Case Regress.'!$C$5:$D$556,2,FALSE), VLOOKUP(EOMONTH($F685, -2), 'WP 3.1 Rate Case Regress.'!$C$5:$D$556, 2, FALSE))</f>
        <v>7.3209999999999997</v>
      </c>
    </row>
    <row r="686" spans="2:9" x14ac:dyDescent="0.5">
      <c r="B686" s="1162" t="s">
        <v>2743</v>
      </c>
      <c r="C686" s="1163" t="s">
        <v>3012</v>
      </c>
      <c r="D686" s="1163" t="s">
        <v>4855</v>
      </c>
      <c r="E686" s="1164"/>
      <c r="F686" s="1165">
        <v>37557</v>
      </c>
      <c r="G686" s="1166" t="s">
        <v>4585</v>
      </c>
      <c r="H686" s="1167">
        <v>11.3</v>
      </c>
      <c r="I686" s="1168">
        <f>IF(DAY($F686)&gt;15, VLOOKUP(EOMONTH($F686,-1),'WP 3.1 Rate Case Regress.'!$C$5:$D$556,2,FALSE), VLOOKUP(EOMONTH($F686, -2), 'WP 3.1 Rate Case Regress.'!$C$5:$D$556, 2, FALSE))</f>
        <v>7.0875000000000004</v>
      </c>
    </row>
    <row r="687" spans="2:9" x14ac:dyDescent="0.5">
      <c r="B687" s="1162" t="s">
        <v>2734</v>
      </c>
      <c r="C687" s="1163" t="s">
        <v>2895</v>
      </c>
      <c r="D687" s="1163" t="s">
        <v>3517</v>
      </c>
      <c r="E687" s="1164"/>
      <c r="F687" s="1165">
        <v>37559</v>
      </c>
      <c r="G687" s="1166" t="s">
        <v>2695</v>
      </c>
      <c r="H687" s="1167">
        <v>10.6</v>
      </c>
      <c r="I687" s="1168">
        <f>IF(DAY($F687)&gt;15, VLOOKUP(EOMONTH($F687,-1),'WP 3.1 Rate Case Regress.'!$C$5:$D$556,2,FALSE), VLOOKUP(EOMONTH($F687, -2), 'WP 3.1 Rate Case Regress.'!$C$5:$D$556, 2, FALSE))</f>
        <v>7.0875000000000004</v>
      </c>
    </row>
    <row r="688" spans="2:9" x14ac:dyDescent="0.5">
      <c r="B688" s="1162" t="s">
        <v>2757</v>
      </c>
      <c r="C688" s="1163" t="s">
        <v>3012</v>
      </c>
      <c r="D688" s="1163" t="s">
        <v>3518</v>
      </c>
      <c r="E688" s="1164"/>
      <c r="F688" s="1165">
        <v>37561</v>
      </c>
      <c r="G688" s="1166" t="s">
        <v>2695</v>
      </c>
      <c r="H688" s="1167">
        <v>12.6</v>
      </c>
      <c r="I688" s="1168">
        <f>IF(DAY($F688)&gt;15, VLOOKUP(EOMONTH($F688,-1),'WP 3.1 Rate Case Regress.'!$C$5:$D$556,2,FALSE), VLOOKUP(EOMONTH($F688, -2), 'WP 3.1 Rate Case Regress.'!$C$5:$D$556, 2, FALSE))</f>
        <v>7.0875000000000004</v>
      </c>
    </row>
    <row r="689" spans="2:9" x14ac:dyDescent="0.5">
      <c r="B689" s="1162" t="s">
        <v>2744</v>
      </c>
      <c r="C689" s="1163" t="s">
        <v>2770</v>
      </c>
      <c r="D689" s="1163" t="s">
        <v>3519</v>
      </c>
      <c r="E689" s="1164"/>
      <c r="F689" s="1165">
        <v>37567</v>
      </c>
      <c r="G689" s="1166" t="s">
        <v>2695</v>
      </c>
      <c r="H689" s="1167">
        <v>11.4</v>
      </c>
      <c r="I689" s="1168">
        <f>IF(DAY($F689)&gt;15, VLOOKUP(EOMONTH($F689,-1),'WP 3.1 Rate Case Regress.'!$C$5:$D$556,2,FALSE), VLOOKUP(EOMONTH($F689, -2), 'WP 3.1 Rate Case Regress.'!$C$5:$D$556, 2, FALSE))</f>
        <v>7.0875000000000004</v>
      </c>
    </row>
    <row r="690" spans="2:9" x14ac:dyDescent="0.5">
      <c r="B690" s="1162" t="s">
        <v>2708</v>
      </c>
      <c r="C690" s="1163" t="s">
        <v>2709</v>
      </c>
      <c r="D690" s="1163" t="s">
        <v>4856</v>
      </c>
      <c r="E690" s="1164"/>
      <c r="F690" s="1165">
        <v>37568</v>
      </c>
      <c r="G690" s="1166" t="s">
        <v>4585</v>
      </c>
      <c r="H690" s="1167">
        <v>10.75</v>
      </c>
      <c r="I690" s="1168">
        <f>IF(DAY($F690)&gt;15, VLOOKUP(EOMONTH($F690,-1),'WP 3.1 Rate Case Regress.'!$C$5:$D$556,2,FALSE), VLOOKUP(EOMONTH($F690, -2), 'WP 3.1 Rate Case Regress.'!$C$5:$D$556, 2, FALSE))</f>
        <v>7.0875000000000004</v>
      </c>
    </row>
    <row r="691" spans="2:9" x14ac:dyDescent="0.5">
      <c r="B691" s="1162" t="s">
        <v>2704</v>
      </c>
      <c r="C691" s="1163" t="s">
        <v>2725</v>
      </c>
      <c r="D691" s="1163" t="s">
        <v>4857</v>
      </c>
      <c r="E691" s="1164"/>
      <c r="F691" s="1165">
        <v>37580</v>
      </c>
      <c r="G691" s="1166" t="s">
        <v>4585</v>
      </c>
      <c r="H691" s="1167">
        <v>10.5</v>
      </c>
      <c r="I691" s="1168">
        <f>IF(DAY($F691)&gt;15, VLOOKUP(EOMONTH($F691,-1),'WP 3.1 Rate Case Regress.'!$C$5:$D$556,2,FALSE), VLOOKUP(EOMONTH($F691, -2), 'WP 3.1 Rate Case Regress.'!$C$5:$D$556, 2, FALSE))</f>
        <v>7.2195</v>
      </c>
    </row>
    <row r="692" spans="2:9" x14ac:dyDescent="0.5">
      <c r="B692" s="1162" t="s">
        <v>2712</v>
      </c>
      <c r="C692" s="1163" t="s">
        <v>3333</v>
      </c>
      <c r="D692" s="1163" t="s">
        <v>4858</v>
      </c>
      <c r="E692" s="1164"/>
      <c r="F692" s="1165">
        <v>37580</v>
      </c>
      <c r="G692" s="1166" t="s">
        <v>4585</v>
      </c>
      <c r="H692" s="1167">
        <v>10</v>
      </c>
      <c r="I692" s="1168">
        <f>IF(DAY($F692)&gt;15, VLOOKUP(EOMONTH($F692,-1),'WP 3.1 Rate Case Regress.'!$C$5:$D$556,2,FALSE), VLOOKUP(EOMONTH($F692, -2), 'WP 3.1 Rate Case Regress.'!$C$5:$D$556, 2, FALSE))</f>
        <v>7.2195</v>
      </c>
    </row>
    <row r="693" spans="2:9" x14ac:dyDescent="0.5">
      <c r="B693" s="1162" t="s">
        <v>2701</v>
      </c>
      <c r="C693" s="1163" t="s">
        <v>2975</v>
      </c>
      <c r="D693" s="1163" t="s">
        <v>4859</v>
      </c>
      <c r="E693" s="1164"/>
      <c r="F693" s="1165">
        <v>37594</v>
      </c>
      <c r="G693" s="1166" t="s">
        <v>4585</v>
      </c>
      <c r="H693" s="1167">
        <v>10.75</v>
      </c>
      <c r="I693" s="1168">
        <f>IF(DAY($F693)&gt;15, VLOOKUP(EOMONTH($F693,-1),'WP 3.1 Rate Case Regress.'!$C$5:$D$556,2,FALSE), VLOOKUP(EOMONTH($F693, -2), 'WP 3.1 Rate Case Regress.'!$C$5:$D$556, 2, FALSE))</f>
        <v>7.2195</v>
      </c>
    </row>
    <row r="694" spans="2:9" x14ac:dyDescent="0.5">
      <c r="B694" s="1162" t="s">
        <v>2714</v>
      </c>
      <c r="C694" s="1163" t="s">
        <v>4648</v>
      </c>
      <c r="D694" s="1163" t="s">
        <v>3520</v>
      </c>
      <c r="E694" s="1164"/>
      <c r="F694" s="1165">
        <v>37620</v>
      </c>
      <c r="G694" s="1166" t="s">
        <v>2695</v>
      </c>
      <c r="H694" s="1167">
        <v>11.2</v>
      </c>
      <c r="I694" s="1168">
        <f>IF(DAY($F694)&gt;15, VLOOKUP(EOMONTH($F694,-1),'WP 3.1 Rate Case Regress.'!$C$5:$D$556,2,FALSE), VLOOKUP(EOMONTH($F694, -2), 'WP 3.1 Rate Case Regress.'!$C$5:$D$556, 2, FALSE))</f>
        <v>7.1428000000000003</v>
      </c>
    </row>
    <row r="695" spans="2:9" x14ac:dyDescent="0.5">
      <c r="B695" s="1162" t="s">
        <v>2772</v>
      </c>
      <c r="C695" s="1163" t="s">
        <v>3600</v>
      </c>
      <c r="D695" s="1163" t="s">
        <v>4860</v>
      </c>
      <c r="E695" s="1164"/>
      <c r="F695" s="1165">
        <v>37627</v>
      </c>
      <c r="G695" s="1166" t="s">
        <v>4585</v>
      </c>
      <c r="H695" s="1167">
        <v>11.25</v>
      </c>
      <c r="I695" s="1168">
        <f>IF(DAY($F695)&gt;15, VLOOKUP(EOMONTH($F695,-1),'WP 3.1 Rate Case Regress.'!$C$5:$D$556,2,FALSE), VLOOKUP(EOMONTH($F695, -2), 'WP 3.1 Rate Case Regress.'!$C$5:$D$556, 2, FALSE))</f>
        <v>7.1428000000000003</v>
      </c>
    </row>
    <row r="696" spans="2:9" ht="30" x14ac:dyDescent="0.5">
      <c r="B696" s="1162" t="s">
        <v>2702</v>
      </c>
      <c r="C696" s="1163" t="s">
        <v>4701</v>
      </c>
      <c r="D696" s="1163" t="s">
        <v>3521</v>
      </c>
      <c r="E696" s="1164"/>
      <c r="F696" s="1165">
        <v>37680</v>
      </c>
      <c r="G696" s="1166" t="s">
        <v>2695</v>
      </c>
      <c r="H696" s="1167">
        <v>12.3</v>
      </c>
      <c r="I696" s="1168">
        <f>IF(DAY($F696)&gt;15, VLOOKUP(EOMONTH($F696,-1),'WP 3.1 Rate Case Regress.'!$C$5:$D$556,2,FALSE), VLOOKUP(EOMONTH($F696, -2), 'WP 3.1 Rate Case Regress.'!$C$5:$D$556, 2, FALSE))</f>
        <v>7.0643000000000002</v>
      </c>
    </row>
    <row r="697" spans="2:9" x14ac:dyDescent="0.5">
      <c r="B697" s="1162" t="s">
        <v>2704</v>
      </c>
      <c r="C697" s="1163" t="s">
        <v>2927</v>
      </c>
      <c r="D697" s="1163" t="s">
        <v>3522</v>
      </c>
      <c r="E697" s="1164"/>
      <c r="F697" s="1165">
        <v>37687</v>
      </c>
      <c r="G697" s="1166" t="s">
        <v>2695</v>
      </c>
      <c r="H697" s="1167">
        <v>9.9600000000000009</v>
      </c>
      <c r="I697" s="1168">
        <f>IF(DAY($F697)&gt;15, VLOOKUP(EOMONTH($F697,-1),'WP 3.1 Rate Case Regress.'!$C$5:$D$556,2,FALSE), VLOOKUP(EOMONTH($F697, -2), 'WP 3.1 Rate Case Regress.'!$C$5:$D$556, 2, FALSE))</f>
        <v>7.0643000000000002</v>
      </c>
    </row>
    <row r="698" spans="2:9" x14ac:dyDescent="0.5">
      <c r="B698" s="1162" t="s">
        <v>2744</v>
      </c>
      <c r="C698" s="1163" t="s">
        <v>3244</v>
      </c>
      <c r="D698" s="1163" t="s">
        <v>4861</v>
      </c>
      <c r="E698" s="1164"/>
      <c r="F698" s="1165">
        <v>37692</v>
      </c>
      <c r="G698" s="1166" t="s">
        <v>4585</v>
      </c>
      <c r="H698" s="1167">
        <v>11.4</v>
      </c>
      <c r="I698" s="1168">
        <f>IF(DAY($F698)&gt;15, VLOOKUP(EOMONTH($F698,-1),'WP 3.1 Rate Case Regress.'!$C$5:$D$556,2,FALSE), VLOOKUP(EOMONTH($F698, -2), 'WP 3.1 Rate Case Regress.'!$C$5:$D$556, 2, FALSE))</f>
        <v>7.0643000000000002</v>
      </c>
    </row>
    <row r="699" spans="2:9" ht="30" x14ac:dyDescent="0.5">
      <c r="B699" s="1162" t="s">
        <v>2702</v>
      </c>
      <c r="C699" s="1163" t="s">
        <v>2748</v>
      </c>
      <c r="D699" s="1163" t="s">
        <v>3523</v>
      </c>
      <c r="E699" s="1164"/>
      <c r="F699" s="1165">
        <v>37700</v>
      </c>
      <c r="G699" s="1166" t="s">
        <v>2695</v>
      </c>
      <c r="H699" s="1167">
        <v>12</v>
      </c>
      <c r="I699" s="1168">
        <f>IF(DAY($F699)&gt;15, VLOOKUP(EOMONTH($F699,-1),'WP 3.1 Rate Case Regress.'!$C$5:$D$556,2,FALSE), VLOOKUP(EOMONTH($F699, -2), 'WP 3.1 Rate Case Regress.'!$C$5:$D$556, 2, FALSE))</f>
        <v>6.9330999999999996</v>
      </c>
    </row>
    <row r="700" spans="2:9" ht="30" x14ac:dyDescent="0.5">
      <c r="B700" s="1162" t="s">
        <v>2702</v>
      </c>
      <c r="C700" s="1163" t="s">
        <v>2749</v>
      </c>
      <c r="D700" s="1163" t="s">
        <v>3524</v>
      </c>
      <c r="E700" s="1164"/>
      <c r="F700" s="1165">
        <v>37714</v>
      </c>
      <c r="G700" s="1166" t="s">
        <v>2695</v>
      </c>
      <c r="H700" s="1167">
        <v>12</v>
      </c>
      <c r="I700" s="1168">
        <f>IF(DAY($F700)&gt;15, VLOOKUP(EOMONTH($F700,-1),'WP 3.1 Rate Case Regress.'!$C$5:$D$556,2,FALSE), VLOOKUP(EOMONTH($F700, -2), 'WP 3.1 Rate Case Regress.'!$C$5:$D$556, 2, FALSE))</f>
        <v>6.9330999999999996</v>
      </c>
    </row>
    <row r="701" spans="2:9" x14ac:dyDescent="0.5">
      <c r="B701" s="1162" t="s">
        <v>2744</v>
      </c>
      <c r="C701" s="1163" t="s">
        <v>3342</v>
      </c>
      <c r="D701" s="1163" t="s">
        <v>4862</v>
      </c>
      <c r="E701" s="1164"/>
      <c r="F701" s="1165">
        <v>37743</v>
      </c>
      <c r="G701" s="1166" t="s">
        <v>4585</v>
      </c>
      <c r="H701" s="1167">
        <v>11.4</v>
      </c>
      <c r="I701" s="1168">
        <f>IF(DAY($F701)&gt;15, VLOOKUP(EOMONTH($F701,-1),'WP 3.1 Rate Case Regress.'!$C$5:$D$556,2,FALSE), VLOOKUP(EOMONTH($F701, -2), 'WP 3.1 Rate Case Regress.'!$C$5:$D$556, 2, FALSE))</f>
        <v>6.7952000000000004</v>
      </c>
    </row>
    <row r="702" spans="2:9" x14ac:dyDescent="0.5">
      <c r="B702" s="1162" t="s">
        <v>2708</v>
      </c>
      <c r="C702" s="1163" t="s">
        <v>2747</v>
      </c>
      <c r="D702" s="1163" t="s">
        <v>3525</v>
      </c>
      <c r="E702" s="1164"/>
      <c r="F702" s="1165">
        <v>37756</v>
      </c>
      <c r="G702" s="1166" t="s">
        <v>2695</v>
      </c>
      <c r="H702" s="1167">
        <v>11.05</v>
      </c>
      <c r="I702" s="1168">
        <f>IF(DAY($F702)&gt;15, VLOOKUP(EOMONTH($F702,-1),'WP 3.1 Rate Case Regress.'!$C$5:$D$556,2,FALSE), VLOOKUP(EOMONTH($F702, -2), 'WP 3.1 Rate Case Regress.'!$C$5:$D$556, 2, FALSE))</f>
        <v>6.7952000000000004</v>
      </c>
    </row>
    <row r="703" spans="2:9" x14ac:dyDescent="0.5">
      <c r="B703" s="1162" t="s">
        <v>2715</v>
      </c>
      <c r="C703" s="1163" t="s">
        <v>2716</v>
      </c>
      <c r="D703" s="1163" t="s">
        <v>4863</v>
      </c>
      <c r="E703" s="1164"/>
      <c r="F703" s="1165">
        <v>37798</v>
      </c>
      <c r="G703" s="1166" t="s">
        <v>4585</v>
      </c>
      <c r="H703" s="1167">
        <v>11</v>
      </c>
      <c r="I703" s="1168">
        <f>IF(DAY($F703)&gt;15, VLOOKUP(EOMONTH($F703,-1),'WP 3.1 Rate Case Regress.'!$C$5:$D$556,2,FALSE), VLOOKUP(EOMONTH($F703, -2), 'WP 3.1 Rate Case Regress.'!$C$5:$D$556, 2, FALSE))</f>
        <v>6.3723999999999998</v>
      </c>
    </row>
    <row r="704" spans="2:9" ht="30" x14ac:dyDescent="0.5">
      <c r="B704" s="1162" t="s">
        <v>2717</v>
      </c>
      <c r="C704" s="1163" t="s">
        <v>3437</v>
      </c>
      <c r="D704" s="1163" t="s">
        <v>4864</v>
      </c>
      <c r="E704" s="1164"/>
      <c r="F704" s="1165">
        <v>37803</v>
      </c>
      <c r="G704" s="1166" t="s">
        <v>4585</v>
      </c>
      <c r="H704" s="1167">
        <v>11</v>
      </c>
      <c r="I704" s="1168">
        <f>IF(DAY($F704)&gt;15, VLOOKUP(EOMONTH($F704,-1),'WP 3.1 Rate Case Regress.'!$C$5:$D$556,2,FALSE), VLOOKUP(EOMONTH($F704, -2), 'WP 3.1 Rate Case Regress.'!$C$5:$D$556, 2, FALSE))</f>
        <v>6.3723999999999998</v>
      </c>
    </row>
    <row r="705" spans="2:9" ht="30" x14ac:dyDescent="0.5">
      <c r="B705" s="1162" t="s">
        <v>2754</v>
      </c>
      <c r="C705" s="1163" t="s">
        <v>3123</v>
      </c>
      <c r="D705" s="1163" t="s">
        <v>4865</v>
      </c>
      <c r="E705" s="1164"/>
      <c r="F705" s="1165">
        <v>37831</v>
      </c>
      <c r="G705" s="1166" t="s">
        <v>4585</v>
      </c>
      <c r="H705" s="1167">
        <v>11.71</v>
      </c>
      <c r="I705" s="1168">
        <f>IF(DAY($F705)&gt;15, VLOOKUP(EOMONTH($F705,-1),'WP 3.1 Rate Case Regress.'!$C$5:$D$556,2,FALSE), VLOOKUP(EOMONTH($F705, -2), 'WP 3.1 Rate Case Regress.'!$C$5:$D$556, 2, FALSE))</f>
        <v>6.2076000000000002</v>
      </c>
    </row>
    <row r="706" spans="2:9" x14ac:dyDescent="0.5">
      <c r="B706" s="1162" t="s">
        <v>2774</v>
      </c>
      <c r="C706" s="1163" t="s">
        <v>3493</v>
      </c>
      <c r="D706" s="1163" t="s">
        <v>4866</v>
      </c>
      <c r="E706" s="1164"/>
      <c r="F706" s="1165">
        <v>37855</v>
      </c>
      <c r="G706" s="1166" t="s">
        <v>4585</v>
      </c>
      <c r="H706" s="1167">
        <v>10.199999999999999</v>
      </c>
      <c r="I706" s="1168">
        <f>IF(DAY($F706)&gt;15, VLOOKUP(EOMONTH($F706,-1),'WP 3.1 Rate Case Regress.'!$C$5:$D$556,2,FALSE), VLOOKUP(EOMONTH($F706, -2), 'WP 3.1 Rate Case Regress.'!$C$5:$D$556, 2, FALSE))</f>
        <v>6.5481999999999996</v>
      </c>
    </row>
    <row r="707" spans="2:9" x14ac:dyDescent="0.5">
      <c r="B707" s="1162" t="s">
        <v>2751</v>
      </c>
      <c r="C707" s="1163" t="s">
        <v>2993</v>
      </c>
      <c r="D707" s="1163" t="s">
        <v>4867</v>
      </c>
      <c r="E707" s="1164"/>
      <c r="F707" s="1165">
        <v>37881</v>
      </c>
      <c r="G707" s="1166" t="s">
        <v>4585</v>
      </c>
      <c r="H707" s="1167">
        <v>9.9</v>
      </c>
      <c r="I707" s="1168">
        <f>IF(DAY($F707)&gt;15, VLOOKUP(EOMONTH($F707,-1),'WP 3.1 Rate Case Regress.'!$C$5:$D$556,2,FALSE), VLOOKUP(EOMONTH($F707, -2), 'WP 3.1 Rate Case Regress.'!$C$5:$D$556, 2, FALSE))</f>
        <v>6.7910000000000004</v>
      </c>
    </row>
    <row r="708" spans="2:9" x14ac:dyDescent="0.5">
      <c r="B708" s="1162" t="s">
        <v>2774</v>
      </c>
      <c r="C708" s="1163" t="s">
        <v>2727</v>
      </c>
      <c r="D708" s="1163" t="s">
        <v>4868</v>
      </c>
      <c r="E708" s="1164"/>
      <c r="F708" s="1165">
        <v>37889</v>
      </c>
      <c r="G708" s="1166" t="s">
        <v>4585</v>
      </c>
      <c r="H708" s="1167">
        <v>10.25</v>
      </c>
      <c r="I708" s="1168">
        <f>IF(DAY($F708)&gt;15, VLOOKUP(EOMONTH($F708,-1),'WP 3.1 Rate Case Regress.'!$C$5:$D$556,2,FALSE), VLOOKUP(EOMONTH($F708, -2), 'WP 3.1 Rate Case Regress.'!$C$5:$D$556, 2, FALSE))</f>
        <v>6.7910000000000004</v>
      </c>
    </row>
    <row r="709" spans="2:9" x14ac:dyDescent="0.5">
      <c r="B709" s="1162" t="s">
        <v>2693</v>
      </c>
      <c r="C709" s="1163" t="s">
        <v>2742</v>
      </c>
      <c r="D709" s="1163" t="s">
        <v>3526</v>
      </c>
      <c r="E709" s="1164"/>
      <c r="F709" s="1165">
        <v>37911</v>
      </c>
      <c r="G709" s="1166" t="s">
        <v>2695</v>
      </c>
      <c r="H709" s="1167">
        <v>10.54</v>
      </c>
      <c r="I709" s="1168">
        <f>IF(DAY($F709)&gt;15, VLOOKUP(EOMONTH($F709,-1),'WP 3.1 Rate Case Regress.'!$C$5:$D$556,2,FALSE), VLOOKUP(EOMONTH($F709, -2), 'WP 3.1 Rate Case Regress.'!$C$5:$D$556, 2, FALSE))</f>
        <v>6.5842999999999998</v>
      </c>
    </row>
    <row r="710" spans="2:9" x14ac:dyDescent="0.5">
      <c r="B710" s="1162" t="s">
        <v>2693</v>
      </c>
      <c r="C710" s="1163" t="s">
        <v>2742</v>
      </c>
      <c r="D710" s="1163" t="s">
        <v>3527</v>
      </c>
      <c r="E710" s="1164"/>
      <c r="F710" s="1165">
        <v>37916</v>
      </c>
      <c r="G710" s="1166" t="s">
        <v>2695</v>
      </c>
      <c r="H710" s="1167">
        <v>10.71</v>
      </c>
      <c r="I710" s="1168">
        <f>IF(DAY($F710)&gt;15, VLOOKUP(EOMONTH($F710,-1),'WP 3.1 Rate Case Regress.'!$C$5:$D$556,2,FALSE), VLOOKUP(EOMONTH($F710, -2), 'WP 3.1 Rate Case Regress.'!$C$5:$D$556, 2, FALSE))</f>
        <v>6.5842999999999998</v>
      </c>
    </row>
    <row r="711" spans="2:9" x14ac:dyDescent="0.5">
      <c r="B711" s="1162" t="s">
        <v>2693</v>
      </c>
      <c r="C711" s="1163" t="s">
        <v>2742</v>
      </c>
      <c r="D711" s="1163" t="s">
        <v>3528</v>
      </c>
      <c r="E711" s="1164"/>
      <c r="F711" s="1165">
        <v>37916</v>
      </c>
      <c r="G711" s="1166" t="s">
        <v>2695</v>
      </c>
      <c r="H711" s="1167">
        <v>10.46</v>
      </c>
      <c r="I711" s="1168">
        <f>IF(DAY($F711)&gt;15, VLOOKUP(EOMONTH($F711,-1),'WP 3.1 Rate Case Regress.'!$C$5:$D$556,2,FALSE), VLOOKUP(EOMONTH($F711, -2), 'WP 3.1 Rate Case Regress.'!$C$5:$D$556, 2, FALSE))</f>
        <v>6.5842999999999998</v>
      </c>
    </row>
    <row r="712" spans="2:9" x14ac:dyDescent="0.5">
      <c r="B712" s="1162" t="s">
        <v>2743</v>
      </c>
      <c r="C712" s="1163" t="s">
        <v>3169</v>
      </c>
      <c r="D712" s="1163" t="s">
        <v>4869</v>
      </c>
      <c r="E712" s="1164"/>
      <c r="F712" s="1165">
        <v>37924</v>
      </c>
      <c r="G712" s="1166" t="s">
        <v>4585</v>
      </c>
      <c r="H712" s="1167">
        <v>11</v>
      </c>
      <c r="I712" s="1168">
        <f>IF(DAY($F712)&gt;15, VLOOKUP(EOMONTH($F712,-1),'WP 3.1 Rate Case Regress.'!$C$5:$D$556,2,FALSE), VLOOKUP(EOMONTH($F712, -2), 'WP 3.1 Rate Case Regress.'!$C$5:$D$556, 2, FALSE))</f>
        <v>6.5842999999999998</v>
      </c>
    </row>
    <row r="713" spans="2:9" x14ac:dyDescent="0.5">
      <c r="B713" s="1162" t="s">
        <v>2698</v>
      </c>
      <c r="C713" s="1163" t="s">
        <v>2895</v>
      </c>
      <c r="D713" s="1163" t="s">
        <v>3529</v>
      </c>
      <c r="E713" s="1164"/>
      <c r="F713" s="1165">
        <v>37925</v>
      </c>
      <c r="G713" s="1166" t="s">
        <v>2695</v>
      </c>
      <c r="H713" s="1167">
        <v>10.75</v>
      </c>
      <c r="I713" s="1168">
        <f>IF(DAY($F713)&gt;15, VLOOKUP(EOMONTH($F713,-1),'WP 3.1 Rate Case Regress.'!$C$5:$D$556,2,FALSE), VLOOKUP(EOMONTH($F713, -2), 'WP 3.1 Rate Case Regress.'!$C$5:$D$556, 2, FALSE))</f>
        <v>6.5842999999999998</v>
      </c>
    </row>
    <row r="714" spans="2:9" x14ac:dyDescent="0.5">
      <c r="B714" s="1162" t="s">
        <v>2700</v>
      </c>
      <c r="C714" s="1163" t="s">
        <v>3082</v>
      </c>
      <c r="D714" s="1163" t="s">
        <v>3530</v>
      </c>
      <c r="E714" s="1164"/>
      <c r="F714" s="1165">
        <v>37925</v>
      </c>
      <c r="G714" s="1166" t="s">
        <v>2695</v>
      </c>
      <c r="H714" s="1167">
        <v>10.199999999999999</v>
      </c>
      <c r="I714" s="1168">
        <f>IF(DAY($F714)&gt;15, VLOOKUP(EOMONTH($F714,-1),'WP 3.1 Rate Case Regress.'!$C$5:$D$556,2,FALSE), VLOOKUP(EOMONTH($F714, -2), 'WP 3.1 Rate Case Regress.'!$C$5:$D$556, 2, FALSE))</f>
        <v>6.5842999999999998</v>
      </c>
    </row>
    <row r="715" spans="2:9" x14ac:dyDescent="0.5">
      <c r="B715" s="1162" t="s">
        <v>2734</v>
      </c>
      <c r="C715" s="1163" t="s">
        <v>2895</v>
      </c>
      <c r="D715" s="1163" t="s">
        <v>3531</v>
      </c>
      <c r="E715" s="1164"/>
      <c r="F715" s="1165">
        <v>37935</v>
      </c>
      <c r="G715" s="1166" t="s">
        <v>2695</v>
      </c>
      <c r="H715" s="1167">
        <v>10.6</v>
      </c>
      <c r="I715" s="1168">
        <f>IF(DAY($F715)&gt;15, VLOOKUP(EOMONTH($F715,-1),'WP 3.1 Rate Case Regress.'!$C$5:$D$556,2,FALSE), VLOOKUP(EOMONTH($F715, -2), 'WP 3.1 Rate Case Regress.'!$C$5:$D$556, 2, FALSE))</f>
        <v>6.5842999999999998</v>
      </c>
    </row>
    <row r="716" spans="2:9" x14ac:dyDescent="0.5">
      <c r="B716" s="1162" t="s">
        <v>2758</v>
      </c>
      <c r="C716" s="1163" t="s">
        <v>2759</v>
      </c>
      <c r="D716" s="1163" t="s">
        <v>4870</v>
      </c>
      <c r="E716" s="1164"/>
      <c r="F716" s="1165">
        <v>37964</v>
      </c>
      <c r="G716" s="1166" t="s">
        <v>4585</v>
      </c>
      <c r="H716" s="1167">
        <v>10.5</v>
      </c>
      <c r="I716" s="1168">
        <f>IF(DAY($F716)&gt;15, VLOOKUP(EOMONTH($F716,-1),'WP 3.1 Rate Case Regress.'!$C$5:$D$556,2,FALSE), VLOOKUP(EOMONTH($F716, -2), 'WP 3.1 Rate Case Regress.'!$C$5:$D$556, 2, FALSE))</f>
        <v>6.42</v>
      </c>
    </row>
    <row r="717" spans="2:9" x14ac:dyDescent="0.5">
      <c r="B717" s="1162" t="s">
        <v>2766</v>
      </c>
      <c r="C717" s="1163" t="s">
        <v>2895</v>
      </c>
      <c r="D717" s="1163" t="s">
        <v>3532</v>
      </c>
      <c r="E717" s="1164"/>
      <c r="F717" s="1165">
        <v>37973</v>
      </c>
      <c r="G717" s="1166" t="s">
        <v>2695</v>
      </c>
      <c r="H717" s="1167">
        <v>10.5</v>
      </c>
      <c r="I717" s="1168">
        <f>IF(DAY($F717)&gt;15, VLOOKUP(EOMONTH($F717,-1),'WP 3.1 Rate Case Regress.'!$C$5:$D$556,2,FALSE), VLOOKUP(EOMONTH($F717, -2), 'WP 3.1 Rate Case Regress.'!$C$5:$D$556, 2, FALSE))</f>
        <v>6.3712</v>
      </c>
    </row>
    <row r="718" spans="2:9" ht="30" x14ac:dyDescent="0.5">
      <c r="B718" s="1162" t="s">
        <v>2702</v>
      </c>
      <c r="C718" s="1163" t="s">
        <v>2749</v>
      </c>
      <c r="D718" s="1163" t="s">
        <v>3533</v>
      </c>
      <c r="E718" s="1164"/>
      <c r="F718" s="1165">
        <v>37974</v>
      </c>
      <c r="G718" s="1166" t="s">
        <v>2695</v>
      </c>
      <c r="H718" s="1167">
        <v>12</v>
      </c>
      <c r="I718" s="1168">
        <f>IF(DAY($F718)&gt;15, VLOOKUP(EOMONTH($F718,-1),'WP 3.1 Rate Case Regress.'!$C$5:$D$556,2,FALSE), VLOOKUP(EOMONTH($F718, -2), 'WP 3.1 Rate Case Regress.'!$C$5:$D$556, 2, FALSE))</f>
        <v>6.3712</v>
      </c>
    </row>
    <row r="719" spans="2:9" ht="30" x14ac:dyDescent="0.5">
      <c r="B719" s="1162" t="s">
        <v>2702</v>
      </c>
      <c r="C719" s="1163" t="s">
        <v>2748</v>
      </c>
      <c r="D719" s="1163" t="s">
        <v>3534</v>
      </c>
      <c r="E719" s="1164"/>
      <c r="F719" s="1165">
        <v>37974</v>
      </c>
      <c r="G719" s="1166" t="s">
        <v>2695</v>
      </c>
      <c r="H719" s="1167">
        <v>12</v>
      </c>
      <c r="I719" s="1168">
        <f>IF(DAY($F719)&gt;15, VLOOKUP(EOMONTH($F719,-1),'WP 3.1 Rate Case Regress.'!$C$5:$D$556,2,FALSE), VLOOKUP(EOMONTH($F719, -2), 'WP 3.1 Rate Case Regress.'!$C$5:$D$556, 2, FALSE))</f>
        <v>6.3712</v>
      </c>
    </row>
    <row r="720" spans="2:9" ht="30" x14ac:dyDescent="0.5">
      <c r="B720" s="1162" t="s">
        <v>2702</v>
      </c>
      <c r="C720" s="1163" t="s">
        <v>4701</v>
      </c>
      <c r="D720" s="1163" t="s">
        <v>3535</v>
      </c>
      <c r="E720" s="1164"/>
      <c r="F720" s="1165">
        <v>37999</v>
      </c>
      <c r="G720" s="1166" t="s">
        <v>2695</v>
      </c>
      <c r="H720" s="1167">
        <v>12</v>
      </c>
      <c r="I720" s="1168">
        <f>IF(DAY($F720)&gt;15, VLOOKUP(EOMONTH($F720,-1),'WP 3.1 Rate Case Regress.'!$C$5:$D$556,2,FALSE), VLOOKUP(EOMONTH($F720, -2), 'WP 3.1 Rate Case Regress.'!$C$5:$D$556, 2, FALSE))</f>
        <v>6.3712</v>
      </c>
    </row>
    <row r="721" spans="2:9" x14ac:dyDescent="0.5">
      <c r="B721" s="1162" t="s">
        <v>2752</v>
      </c>
      <c r="C721" s="1163" t="s">
        <v>2753</v>
      </c>
      <c r="D721" s="1163" t="s">
        <v>4871</v>
      </c>
      <c r="E721" s="1164"/>
      <c r="F721" s="1165">
        <v>37999</v>
      </c>
      <c r="G721" s="1166" t="s">
        <v>4585</v>
      </c>
      <c r="H721" s="1167">
        <v>10.25</v>
      </c>
      <c r="I721" s="1168">
        <f>IF(DAY($F721)&gt;15, VLOOKUP(EOMONTH($F721,-1),'WP 3.1 Rate Case Regress.'!$C$5:$D$556,2,FALSE), VLOOKUP(EOMONTH($F721, -2), 'WP 3.1 Rate Case Regress.'!$C$5:$D$556, 2, FALSE))</f>
        <v>6.3712</v>
      </c>
    </row>
    <row r="722" spans="2:9" x14ac:dyDescent="0.5">
      <c r="B722" s="1162" t="s">
        <v>2772</v>
      </c>
      <c r="C722" s="1163" t="s">
        <v>3361</v>
      </c>
      <c r="D722" s="1163" t="s">
        <v>3536</v>
      </c>
      <c r="E722" s="1164"/>
      <c r="F722" s="1165">
        <v>38026</v>
      </c>
      <c r="G722" s="1166" t="s">
        <v>2695</v>
      </c>
      <c r="H722" s="1167">
        <v>11.25</v>
      </c>
      <c r="I722" s="1168">
        <f>IF(DAY($F722)&gt;15, VLOOKUP(EOMONTH($F722,-1),'WP 3.1 Rate Case Regress.'!$C$5:$D$556,2,FALSE), VLOOKUP(EOMONTH($F722, -2), 'WP 3.1 Rate Case Regress.'!$C$5:$D$556, 2, FALSE))</f>
        <v>6.2789999999999999</v>
      </c>
    </row>
    <row r="723" spans="2:9" ht="30" x14ac:dyDescent="0.5">
      <c r="B723" s="1162" t="s">
        <v>2738</v>
      </c>
      <c r="C723" s="1163" t="s">
        <v>2939</v>
      </c>
      <c r="D723" s="1163" t="s">
        <v>3537</v>
      </c>
      <c r="E723" s="1164"/>
      <c r="F723" s="1165">
        <v>38062</v>
      </c>
      <c r="G723" s="1166" t="s">
        <v>2695</v>
      </c>
      <c r="H723" s="1167">
        <v>10.9</v>
      </c>
      <c r="I723" s="1168">
        <f>IF(DAY($F723)&gt;15, VLOOKUP(EOMONTH($F723,-1),'WP 3.1 Rate Case Regress.'!$C$5:$D$556,2,FALSE), VLOOKUP(EOMONTH($F723, -2), 'WP 3.1 Rate Case Regress.'!$C$5:$D$556, 2, FALSE))</f>
        <v>6.15</v>
      </c>
    </row>
    <row r="724" spans="2:9" ht="30" x14ac:dyDescent="0.5">
      <c r="B724" s="1162" t="s">
        <v>2738</v>
      </c>
      <c r="C724" s="1163" t="s">
        <v>2939</v>
      </c>
      <c r="D724" s="1163" t="s">
        <v>3538</v>
      </c>
      <c r="E724" s="1164"/>
      <c r="F724" s="1165">
        <v>38062</v>
      </c>
      <c r="G724" s="1166" t="s">
        <v>2695</v>
      </c>
      <c r="H724" s="1167">
        <v>10.9</v>
      </c>
      <c r="I724" s="1168">
        <f>IF(DAY($F724)&gt;15, VLOOKUP(EOMONTH($F724,-1),'WP 3.1 Rate Case Regress.'!$C$5:$D$556,2,FALSE), VLOOKUP(EOMONTH($F724, -2), 'WP 3.1 Rate Case Regress.'!$C$5:$D$556, 2, FALSE))</f>
        <v>6.15</v>
      </c>
    </row>
    <row r="725" spans="2:9" ht="30" x14ac:dyDescent="0.5">
      <c r="B725" s="1162" t="s">
        <v>2775</v>
      </c>
      <c r="C725" s="1163" t="s">
        <v>2944</v>
      </c>
      <c r="D725" s="1163" t="s">
        <v>3539</v>
      </c>
      <c r="E725" s="1164"/>
      <c r="F725" s="1165">
        <v>38132</v>
      </c>
      <c r="G725" s="1166" t="s">
        <v>2695</v>
      </c>
      <c r="H725" s="1167">
        <v>10</v>
      </c>
      <c r="I725" s="1168">
        <f>IF(DAY($F725)&gt;15, VLOOKUP(EOMONTH($F725,-1),'WP 3.1 Rate Case Regress.'!$C$5:$D$556,2,FALSE), VLOOKUP(EOMONTH($F725, -2), 'WP 3.1 Rate Case Regress.'!$C$5:$D$556, 2, FALSE))</f>
        <v>6.3251999999999997</v>
      </c>
    </row>
    <row r="726" spans="2:9" ht="30" x14ac:dyDescent="0.5">
      <c r="B726" s="1162" t="s">
        <v>2738</v>
      </c>
      <c r="C726" s="1163" t="s">
        <v>2760</v>
      </c>
      <c r="D726" s="1163" t="s">
        <v>4872</v>
      </c>
      <c r="E726" s="1164"/>
      <c r="F726" s="1165">
        <v>38140</v>
      </c>
      <c r="G726" s="1166" t="s">
        <v>4585</v>
      </c>
      <c r="H726" s="1167">
        <v>11.22</v>
      </c>
      <c r="I726" s="1168">
        <f>IF(DAY($F726)&gt;15, VLOOKUP(EOMONTH($F726,-1),'WP 3.1 Rate Case Regress.'!$C$5:$D$556,2,FALSE), VLOOKUP(EOMONTH($F726, -2), 'WP 3.1 Rate Case Regress.'!$C$5:$D$556, 2, FALSE))</f>
        <v>6.3251999999999997</v>
      </c>
    </row>
    <row r="727" spans="2:9" x14ac:dyDescent="0.5">
      <c r="B727" s="1162" t="s">
        <v>2739</v>
      </c>
      <c r="C727" s="1163" t="s">
        <v>4589</v>
      </c>
      <c r="D727" s="1163" t="s">
        <v>4873</v>
      </c>
      <c r="E727" s="1164"/>
      <c r="F727" s="1165">
        <v>38168</v>
      </c>
      <c r="G727" s="1166" t="s">
        <v>4585</v>
      </c>
      <c r="H727" s="1167">
        <v>10.5</v>
      </c>
      <c r="I727" s="1168">
        <f>IF(DAY($F727)&gt;15, VLOOKUP(EOMONTH($F727,-1),'WP 3.1 Rate Case Regress.'!$C$5:$D$556,2,FALSE), VLOOKUP(EOMONTH($F727, -2), 'WP 3.1 Rate Case Regress.'!$C$5:$D$556, 2, FALSE))</f>
        <v>6.6204999999999998</v>
      </c>
    </row>
    <row r="728" spans="2:9" x14ac:dyDescent="0.5">
      <c r="B728" s="1162" t="s">
        <v>2712</v>
      </c>
      <c r="C728" s="1163" t="s">
        <v>3085</v>
      </c>
      <c r="D728" s="1163" t="s">
        <v>4874</v>
      </c>
      <c r="E728" s="1164"/>
      <c r="F728" s="1165">
        <v>38176</v>
      </c>
      <c r="G728" s="1166" t="s">
        <v>4585</v>
      </c>
      <c r="H728" s="1167">
        <v>10</v>
      </c>
      <c r="I728" s="1168">
        <f>IF(DAY($F728)&gt;15, VLOOKUP(EOMONTH($F728,-1),'WP 3.1 Rate Case Regress.'!$C$5:$D$556,2,FALSE), VLOOKUP(EOMONTH($F728, -2), 'WP 3.1 Rate Case Regress.'!$C$5:$D$556, 2, FALSE))</f>
        <v>6.6204999999999998</v>
      </c>
    </row>
    <row r="729" spans="2:9" x14ac:dyDescent="0.5">
      <c r="B729" s="1162" t="s">
        <v>2732</v>
      </c>
      <c r="C729" s="1163" t="s">
        <v>2975</v>
      </c>
      <c r="D729" s="1163" t="s">
        <v>4875</v>
      </c>
      <c r="E729" s="1164"/>
      <c r="F729" s="1165">
        <v>38190</v>
      </c>
      <c r="G729" s="1166" t="s">
        <v>4585</v>
      </c>
      <c r="H729" s="1167">
        <v>10.25</v>
      </c>
      <c r="I729" s="1168">
        <f>IF(DAY($F729)&gt;15, VLOOKUP(EOMONTH($F729,-1),'WP 3.1 Rate Case Regress.'!$C$5:$D$556,2,FALSE), VLOOKUP(EOMONTH($F729, -2), 'WP 3.1 Rate Case Regress.'!$C$5:$D$556, 2, FALSE))</f>
        <v>6.4652000000000003</v>
      </c>
    </row>
    <row r="730" spans="2:9" ht="30" x14ac:dyDescent="0.5">
      <c r="B730" s="1162" t="s">
        <v>2731</v>
      </c>
      <c r="C730" s="1163" t="s">
        <v>2939</v>
      </c>
      <c r="D730" s="1163" t="s">
        <v>3540</v>
      </c>
      <c r="E730" s="1164"/>
      <c r="F730" s="1165">
        <v>38225</v>
      </c>
      <c r="G730" s="1166" t="s">
        <v>2695</v>
      </c>
      <c r="H730" s="1167">
        <v>10.5</v>
      </c>
      <c r="I730" s="1168">
        <f>IF(DAY($F730)&gt;15, VLOOKUP(EOMONTH($F730,-1),'WP 3.1 Rate Case Regress.'!$C$5:$D$556,2,FALSE), VLOOKUP(EOMONTH($F730, -2), 'WP 3.1 Rate Case Regress.'!$C$5:$D$556, 2, FALSE))</f>
        <v>6.2724000000000002</v>
      </c>
    </row>
    <row r="731" spans="2:9" ht="30" x14ac:dyDescent="0.5">
      <c r="B731" s="1162" t="s">
        <v>2731</v>
      </c>
      <c r="C731" s="1163" t="s">
        <v>2939</v>
      </c>
      <c r="D731" s="1163" t="s">
        <v>3541</v>
      </c>
      <c r="E731" s="1164"/>
      <c r="F731" s="1165">
        <v>38225</v>
      </c>
      <c r="G731" s="1166" t="s">
        <v>2695</v>
      </c>
      <c r="H731" s="1167">
        <v>10.5</v>
      </c>
      <c r="I731" s="1168">
        <f>IF(DAY($F731)&gt;15, VLOOKUP(EOMONTH($F731,-1),'WP 3.1 Rate Case Regress.'!$C$5:$D$556,2,FALSE), VLOOKUP(EOMONTH($F731, -2), 'WP 3.1 Rate Case Regress.'!$C$5:$D$556, 2, FALSE))</f>
        <v>6.2724000000000002</v>
      </c>
    </row>
    <row r="732" spans="2:9" x14ac:dyDescent="0.5">
      <c r="B732" s="1162" t="s">
        <v>2726</v>
      </c>
      <c r="C732" s="1163" t="s">
        <v>2727</v>
      </c>
      <c r="D732" s="1163" t="s">
        <v>3542</v>
      </c>
      <c r="E732" s="1164"/>
      <c r="F732" s="1165">
        <v>38239</v>
      </c>
      <c r="G732" s="1166" t="s">
        <v>2695</v>
      </c>
      <c r="H732" s="1167">
        <v>10.4</v>
      </c>
      <c r="I732" s="1168">
        <f>IF(DAY($F732)&gt;15, VLOOKUP(EOMONTH($F732,-1),'WP 3.1 Rate Case Regress.'!$C$5:$D$556,2,FALSE), VLOOKUP(EOMONTH($F732, -2), 'WP 3.1 Rate Case Regress.'!$C$5:$D$556, 2, FALSE))</f>
        <v>6.2724000000000002</v>
      </c>
    </row>
    <row r="733" spans="2:9" x14ac:dyDescent="0.5">
      <c r="B733" s="1162" t="s">
        <v>2756</v>
      </c>
      <c r="C733" s="1163" t="s">
        <v>3010</v>
      </c>
      <c r="D733" s="1163" t="s">
        <v>3543</v>
      </c>
      <c r="E733" s="1164"/>
      <c r="F733" s="1165">
        <v>38251</v>
      </c>
      <c r="G733" s="1166" t="s">
        <v>2695</v>
      </c>
      <c r="H733" s="1167">
        <v>10.5</v>
      </c>
      <c r="I733" s="1168">
        <f>IF(DAY($F733)&gt;15, VLOOKUP(EOMONTH($F733,-1),'WP 3.1 Rate Case Regress.'!$C$5:$D$556,2,FALSE), VLOOKUP(EOMONTH($F733, -2), 'WP 3.1 Rate Case Regress.'!$C$5:$D$556, 2, FALSE))</f>
        <v>6.1482000000000001</v>
      </c>
    </row>
    <row r="734" spans="2:9" x14ac:dyDescent="0.5">
      <c r="B734" s="1162" t="s">
        <v>2766</v>
      </c>
      <c r="C734" s="1163" t="s">
        <v>2895</v>
      </c>
      <c r="D734" s="1163" t="s">
        <v>4876</v>
      </c>
      <c r="E734" s="1164"/>
      <c r="F734" s="1165">
        <v>38257</v>
      </c>
      <c r="G734" s="1166" t="s">
        <v>4585</v>
      </c>
      <c r="H734" s="1167">
        <v>10.5</v>
      </c>
      <c r="I734" s="1168">
        <f>IF(DAY($F734)&gt;15, VLOOKUP(EOMONTH($F734,-1),'WP 3.1 Rate Case Regress.'!$C$5:$D$556,2,FALSE), VLOOKUP(EOMONTH($F734, -2), 'WP 3.1 Rate Case Regress.'!$C$5:$D$556, 2, FALSE))</f>
        <v>6.1482000000000001</v>
      </c>
    </row>
    <row r="735" spans="2:9" x14ac:dyDescent="0.5">
      <c r="B735" s="1162" t="s">
        <v>2704</v>
      </c>
      <c r="C735" s="1163" t="s">
        <v>2908</v>
      </c>
      <c r="D735" s="1163" t="s">
        <v>4877</v>
      </c>
      <c r="E735" s="1164"/>
      <c r="F735" s="1165">
        <v>38257</v>
      </c>
      <c r="G735" s="1166" t="s">
        <v>4585</v>
      </c>
      <c r="H735" s="1167">
        <v>10.3</v>
      </c>
      <c r="I735" s="1168">
        <f>IF(DAY($F735)&gt;15, VLOOKUP(EOMONTH($F735,-1),'WP 3.1 Rate Case Regress.'!$C$5:$D$556,2,FALSE), VLOOKUP(EOMONTH($F735, -2), 'WP 3.1 Rate Case Regress.'!$C$5:$D$556, 2, FALSE))</f>
        <v>6.1482000000000001</v>
      </c>
    </row>
    <row r="736" spans="2:9" x14ac:dyDescent="0.5">
      <c r="B736" s="1162" t="s">
        <v>2768</v>
      </c>
      <c r="C736" s="1163" t="s">
        <v>3106</v>
      </c>
      <c r="D736" s="1163" t="s">
        <v>3544</v>
      </c>
      <c r="E736" s="1164"/>
      <c r="F736" s="1165">
        <v>38280</v>
      </c>
      <c r="G736" s="1166" t="s">
        <v>2695</v>
      </c>
      <c r="H736" s="1167">
        <v>10.199999999999999</v>
      </c>
      <c r="I736" s="1168">
        <f>IF(DAY($F736)&gt;15, VLOOKUP(EOMONTH($F736,-1),'WP 3.1 Rate Case Regress.'!$C$5:$D$556,2,FALSE), VLOOKUP(EOMONTH($F736, -2), 'WP 3.1 Rate Case Regress.'!$C$5:$D$556, 2, FALSE))</f>
        <v>5.9824000000000002</v>
      </c>
    </row>
    <row r="737" spans="2:9" x14ac:dyDescent="0.5">
      <c r="B737" s="1162" t="s">
        <v>2739</v>
      </c>
      <c r="C737" s="1163" t="s">
        <v>2956</v>
      </c>
      <c r="D737" s="1163" t="s">
        <v>4878</v>
      </c>
      <c r="E737" s="1164"/>
      <c r="F737" s="1165">
        <v>38321</v>
      </c>
      <c r="G737" s="1166" t="s">
        <v>4585</v>
      </c>
      <c r="H737" s="1167">
        <v>10.6</v>
      </c>
      <c r="I737" s="1168">
        <f>IF(DAY($F737)&gt;15, VLOOKUP(EOMONTH($F737,-1),'WP 3.1 Rate Case Regress.'!$C$5:$D$556,2,FALSE), VLOOKUP(EOMONTH($F737, -2), 'WP 3.1 Rate Case Regress.'!$C$5:$D$556, 2, FALSE))</f>
        <v>5.9904999999999999</v>
      </c>
    </row>
    <row r="738" spans="2:9" x14ac:dyDescent="0.5">
      <c r="B738" s="1162" t="s">
        <v>2723</v>
      </c>
      <c r="C738" s="1163" t="s">
        <v>3389</v>
      </c>
      <c r="D738" s="1163" t="s">
        <v>4879</v>
      </c>
      <c r="E738" s="1164"/>
      <c r="F738" s="1165">
        <v>38329</v>
      </c>
      <c r="G738" s="1166" t="s">
        <v>4585</v>
      </c>
      <c r="H738" s="1167">
        <v>9.9</v>
      </c>
      <c r="I738" s="1168">
        <f>IF(DAY($F738)&gt;15, VLOOKUP(EOMONTH($F738,-1),'WP 3.1 Rate Case Regress.'!$C$5:$D$556,2,FALSE), VLOOKUP(EOMONTH($F738, -2), 'WP 3.1 Rate Case Regress.'!$C$5:$D$556, 2, FALSE))</f>
        <v>5.9904999999999999</v>
      </c>
    </row>
    <row r="739" spans="2:9" ht="30" x14ac:dyDescent="0.5">
      <c r="B739" s="1162" t="s">
        <v>2702</v>
      </c>
      <c r="C739" s="1163" t="s">
        <v>2748</v>
      </c>
      <c r="D739" s="1163" t="s">
        <v>3545</v>
      </c>
      <c r="E739" s="1164"/>
      <c r="F739" s="1165">
        <v>38342</v>
      </c>
      <c r="G739" s="1166" t="s">
        <v>2695</v>
      </c>
      <c r="H739" s="1167">
        <v>11.5</v>
      </c>
      <c r="I739" s="1168">
        <f>IF(DAY($F739)&gt;15, VLOOKUP(EOMONTH($F739,-1),'WP 3.1 Rate Case Regress.'!$C$5:$D$556,2,FALSE), VLOOKUP(EOMONTH($F739, -2), 'WP 3.1 Rate Case Regress.'!$C$5:$D$556, 2, FALSE))</f>
        <v>5.9553000000000003</v>
      </c>
    </row>
    <row r="740" spans="2:9" ht="30" x14ac:dyDescent="0.5">
      <c r="B740" s="1162" t="s">
        <v>2702</v>
      </c>
      <c r="C740" s="1163" t="s">
        <v>4701</v>
      </c>
      <c r="D740" s="1163" t="s">
        <v>3546</v>
      </c>
      <c r="E740" s="1164"/>
      <c r="F740" s="1165">
        <v>38343</v>
      </c>
      <c r="G740" s="1166" t="s">
        <v>2695</v>
      </c>
      <c r="H740" s="1167">
        <v>11.5</v>
      </c>
      <c r="I740" s="1168">
        <f>IF(DAY($F740)&gt;15, VLOOKUP(EOMONTH($F740,-1),'WP 3.1 Rate Case Regress.'!$C$5:$D$556,2,FALSE), VLOOKUP(EOMONTH($F740, -2), 'WP 3.1 Rate Case Regress.'!$C$5:$D$556, 2, FALSE))</f>
        <v>5.9553000000000003</v>
      </c>
    </row>
    <row r="741" spans="2:9" x14ac:dyDescent="0.5">
      <c r="B741" s="1162" t="s">
        <v>2701</v>
      </c>
      <c r="C741" s="1163" t="s">
        <v>2975</v>
      </c>
      <c r="D741" s="1163" t="s">
        <v>4880</v>
      </c>
      <c r="E741" s="1164"/>
      <c r="F741" s="1165">
        <v>38349</v>
      </c>
      <c r="G741" s="1166" t="s">
        <v>4585</v>
      </c>
      <c r="H741" s="1167">
        <v>10.25</v>
      </c>
      <c r="I741" s="1168">
        <f>IF(DAY($F741)&gt;15, VLOOKUP(EOMONTH($F741,-1),'WP 3.1 Rate Case Regress.'!$C$5:$D$556,2,FALSE), VLOOKUP(EOMONTH($F741, -2), 'WP 3.1 Rate Case Regress.'!$C$5:$D$556, 2, FALSE))</f>
        <v>5.9553000000000003</v>
      </c>
    </row>
    <row r="742" spans="2:9" x14ac:dyDescent="0.5">
      <c r="B742" s="1162" t="s">
        <v>2736</v>
      </c>
      <c r="C742" s="1163" t="s">
        <v>2737</v>
      </c>
      <c r="D742" s="1163" t="s">
        <v>3547</v>
      </c>
      <c r="E742" s="1164"/>
      <c r="F742" s="1165">
        <v>38401</v>
      </c>
      <c r="G742" s="1166" t="s">
        <v>2695</v>
      </c>
      <c r="H742" s="1167">
        <v>10.3</v>
      </c>
      <c r="I742" s="1168">
        <f>IF(DAY($F742)&gt;15, VLOOKUP(EOMONTH($F742,-1),'WP 3.1 Rate Case Regress.'!$C$5:$D$556,2,FALSE), VLOOKUP(EOMONTH($F742, -2), 'WP 3.1 Rate Case Regress.'!$C$5:$D$556, 2, FALSE))</f>
        <v>5.7934999999999999</v>
      </c>
    </row>
    <row r="743" spans="2:9" x14ac:dyDescent="0.5">
      <c r="B743" s="1162" t="s">
        <v>2744</v>
      </c>
      <c r="C743" s="1163" t="s">
        <v>3342</v>
      </c>
      <c r="D743" s="1163" t="s">
        <v>4881</v>
      </c>
      <c r="E743" s="1164"/>
      <c r="F743" s="1165">
        <v>38440</v>
      </c>
      <c r="G743" s="1166" t="s">
        <v>4585</v>
      </c>
      <c r="H743" s="1167">
        <v>11</v>
      </c>
      <c r="I743" s="1168">
        <f>IF(DAY($F743)&gt;15, VLOOKUP(EOMONTH($F743,-1),'WP 3.1 Rate Case Regress.'!$C$5:$D$556,2,FALSE), VLOOKUP(EOMONTH($F743, -2), 'WP 3.1 Rate Case Regress.'!$C$5:$D$556, 2, FALSE))</f>
        <v>5.6142000000000003</v>
      </c>
    </row>
    <row r="744" spans="2:9" x14ac:dyDescent="0.5">
      <c r="B744" s="1162" t="s">
        <v>2710</v>
      </c>
      <c r="C744" s="1163" t="s">
        <v>4882</v>
      </c>
      <c r="D744" s="1163" t="s">
        <v>4883</v>
      </c>
      <c r="E744" s="1164"/>
      <c r="F744" s="1165">
        <v>38455</v>
      </c>
      <c r="G744" s="1166" t="s">
        <v>4585</v>
      </c>
      <c r="H744" s="1167">
        <v>10.6</v>
      </c>
      <c r="I744" s="1168">
        <f>IF(DAY($F744)&gt;15, VLOOKUP(EOMONTH($F744,-1),'WP 3.1 Rate Case Regress.'!$C$5:$D$556,2,FALSE), VLOOKUP(EOMONTH($F744, -2), 'WP 3.1 Rate Case Regress.'!$C$5:$D$556, 2, FALSE))</f>
        <v>5.6142000000000003</v>
      </c>
    </row>
    <row r="745" spans="2:9" x14ac:dyDescent="0.5">
      <c r="B745" s="1162" t="s">
        <v>2744</v>
      </c>
      <c r="C745" s="1163" t="s">
        <v>2972</v>
      </c>
      <c r="D745" s="1163" t="s">
        <v>3548</v>
      </c>
      <c r="E745" s="1164"/>
      <c r="F745" s="1165">
        <v>38470</v>
      </c>
      <c r="G745" s="1166" t="s">
        <v>2695</v>
      </c>
      <c r="H745" s="1167">
        <v>11</v>
      </c>
      <c r="I745" s="1168">
        <f>IF(DAY($F745)&gt;15, VLOOKUP(EOMONTH($F745,-1),'WP 3.1 Rate Case Regress.'!$C$5:$D$556,2,FALSE), VLOOKUP(EOMONTH($F745, -2), 'WP 3.1 Rate Case Regress.'!$C$5:$D$556, 2, FALSE))</f>
        <v>5.8263999999999996</v>
      </c>
    </row>
    <row r="746" spans="2:9" x14ac:dyDescent="0.5">
      <c r="B746" s="1162" t="s">
        <v>2693</v>
      </c>
      <c r="C746" s="1163" t="s">
        <v>2742</v>
      </c>
      <c r="D746" s="1163" t="s">
        <v>4884</v>
      </c>
      <c r="E746" s="1164"/>
      <c r="F746" s="1165">
        <v>38489</v>
      </c>
      <c r="G746" s="1166" t="s">
        <v>4585</v>
      </c>
      <c r="H746" s="1167">
        <v>10</v>
      </c>
      <c r="I746" s="1168">
        <f>IF(DAY($F746)&gt;15, VLOOKUP(EOMONTH($F746,-1),'WP 3.1 Rate Case Regress.'!$C$5:$D$556,2,FALSE), VLOOKUP(EOMONTH($F746, -2), 'WP 3.1 Rate Case Regress.'!$C$5:$D$556, 2, FALSE))</f>
        <v>5.6494999999999997</v>
      </c>
    </row>
    <row r="747" spans="2:9" x14ac:dyDescent="0.5">
      <c r="B747" s="1162" t="s">
        <v>2754</v>
      </c>
      <c r="C747" s="1163" t="s">
        <v>2975</v>
      </c>
      <c r="D747" s="1163" t="s">
        <v>4885</v>
      </c>
      <c r="E747" s="1164"/>
      <c r="F747" s="1165">
        <v>38511</v>
      </c>
      <c r="G747" s="1166" t="s">
        <v>4585</v>
      </c>
      <c r="H747" s="1167">
        <v>10.18</v>
      </c>
      <c r="I747" s="1168">
        <f>IF(DAY($F747)&gt;15, VLOOKUP(EOMONTH($F747,-1),'WP 3.1 Rate Case Regress.'!$C$5:$D$556,2,FALSE), VLOOKUP(EOMONTH($F747, -2), 'WP 3.1 Rate Case Regress.'!$C$5:$D$556, 2, FALSE))</f>
        <v>5.6494999999999997</v>
      </c>
    </row>
    <row r="748" spans="2:9" x14ac:dyDescent="0.5">
      <c r="B748" s="1162" t="s">
        <v>2699</v>
      </c>
      <c r="C748" s="1163" t="s">
        <v>2628</v>
      </c>
      <c r="D748" s="1163" t="s">
        <v>4886</v>
      </c>
      <c r="E748" s="1164"/>
      <c r="F748" s="1165">
        <v>38513</v>
      </c>
      <c r="G748" s="1166" t="s">
        <v>4585</v>
      </c>
      <c r="H748" s="1167">
        <v>10.9</v>
      </c>
      <c r="I748" s="1168">
        <f>IF(DAY($F748)&gt;15, VLOOKUP(EOMONTH($F748,-1),'WP 3.1 Rate Case Regress.'!$C$5:$D$556,2,FALSE), VLOOKUP(EOMONTH($F748, -2), 'WP 3.1 Rate Case Regress.'!$C$5:$D$556, 2, FALSE))</f>
        <v>5.6494999999999997</v>
      </c>
    </row>
    <row r="749" spans="2:9" x14ac:dyDescent="0.5">
      <c r="B749" s="1162" t="s">
        <v>2732</v>
      </c>
      <c r="C749" s="1163" t="s">
        <v>2735</v>
      </c>
      <c r="D749" s="1163" t="s">
        <v>4887</v>
      </c>
      <c r="E749" s="1164"/>
      <c r="F749" s="1165">
        <v>38539</v>
      </c>
      <c r="G749" s="1166" t="s">
        <v>4585</v>
      </c>
      <c r="H749" s="1167">
        <v>10.5</v>
      </c>
      <c r="I749" s="1168">
        <f>IF(DAY($F749)&gt;15, VLOOKUP(EOMONTH($F749,-1),'WP 3.1 Rate Case Regress.'!$C$5:$D$556,2,FALSE), VLOOKUP(EOMONTH($F749, -2), 'WP 3.1 Rate Case Regress.'!$C$5:$D$556, 2, FALSE))</f>
        <v>5.5395000000000003</v>
      </c>
    </row>
    <row r="750" spans="2:9" ht="30" x14ac:dyDescent="0.5">
      <c r="B750" s="1162" t="s">
        <v>2702</v>
      </c>
      <c r="C750" s="1163" t="s">
        <v>2749</v>
      </c>
      <c r="D750" s="1163" t="s">
        <v>3549</v>
      </c>
      <c r="E750" s="1164"/>
      <c r="F750" s="1165">
        <v>38552</v>
      </c>
      <c r="G750" s="1166" t="s">
        <v>2695</v>
      </c>
      <c r="H750" s="1167">
        <v>11.5</v>
      </c>
      <c r="I750" s="1168">
        <f>IF(DAY($F750)&gt;15, VLOOKUP(EOMONTH($F750,-1),'WP 3.1 Rate Case Regress.'!$C$5:$D$556,2,FALSE), VLOOKUP(EOMONTH($F750, -2), 'WP 3.1 Rate Case Regress.'!$C$5:$D$556, 2, FALSE))</f>
        <v>5.4023000000000003</v>
      </c>
    </row>
    <row r="751" spans="2:9" ht="30" x14ac:dyDescent="0.5">
      <c r="B751" s="1162" t="s">
        <v>2754</v>
      </c>
      <c r="C751" s="1163" t="s">
        <v>2755</v>
      </c>
      <c r="D751" s="1163" t="s">
        <v>4888</v>
      </c>
      <c r="E751" s="1164"/>
      <c r="F751" s="1165">
        <v>38575</v>
      </c>
      <c r="G751" s="1166" t="s">
        <v>4585</v>
      </c>
      <c r="H751" s="1167">
        <v>10.4</v>
      </c>
      <c r="I751" s="1168">
        <f>IF(DAY($F751)&gt;15, VLOOKUP(EOMONTH($F751,-1),'WP 3.1 Rate Case Regress.'!$C$5:$D$556,2,FALSE), VLOOKUP(EOMONTH($F751, -2), 'WP 3.1 Rate Case Regress.'!$C$5:$D$556, 2, FALSE))</f>
        <v>5.4023000000000003</v>
      </c>
    </row>
    <row r="752" spans="2:9" x14ac:dyDescent="0.5">
      <c r="B752" s="1162" t="s">
        <v>2751</v>
      </c>
      <c r="C752" s="1163" t="s">
        <v>2975</v>
      </c>
      <c r="D752" s="1163" t="s">
        <v>3550</v>
      </c>
      <c r="E752" s="1164"/>
      <c r="F752" s="1165">
        <v>38614</v>
      </c>
      <c r="G752" s="1166" t="s">
        <v>2695</v>
      </c>
      <c r="H752" s="1167">
        <v>9.4499999999999993</v>
      </c>
      <c r="I752" s="1168">
        <f>IF(DAY($F752)&gt;15, VLOOKUP(EOMONTH($F752,-1),'WP 3.1 Rate Case Regress.'!$C$5:$D$556,2,FALSE), VLOOKUP(EOMONTH($F752, -2), 'WP 3.1 Rate Case Regress.'!$C$5:$D$556, 2, FALSE))</f>
        <v>5.5091000000000001</v>
      </c>
    </row>
    <row r="753" spans="2:9" x14ac:dyDescent="0.5">
      <c r="B753" s="1162" t="s">
        <v>2693</v>
      </c>
      <c r="C753" s="1163" t="s">
        <v>2629</v>
      </c>
      <c r="D753" s="1163" t="s">
        <v>3551</v>
      </c>
      <c r="E753" s="1164"/>
      <c r="F753" s="1165">
        <v>38625</v>
      </c>
      <c r="G753" s="1166" t="s">
        <v>2695</v>
      </c>
      <c r="H753" s="1167">
        <v>10.51</v>
      </c>
      <c r="I753" s="1168">
        <f>IF(DAY($F753)&gt;15, VLOOKUP(EOMONTH($F753,-1),'WP 3.1 Rate Case Regress.'!$C$5:$D$556,2,FALSE), VLOOKUP(EOMONTH($F753, -2), 'WP 3.1 Rate Case Regress.'!$C$5:$D$556, 2, FALSE))</f>
        <v>5.5091000000000001</v>
      </c>
    </row>
    <row r="754" spans="2:9" ht="30" x14ac:dyDescent="0.5">
      <c r="B754" s="1162" t="s">
        <v>2777</v>
      </c>
      <c r="C754" s="1163" t="s">
        <v>4889</v>
      </c>
      <c r="D754" s="1163" t="s">
        <v>4890</v>
      </c>
      <c r="E754" s="1164"/>
      <c r="F754" s="1165">
        <v>38629</v>
      </c>
      <c r="G754" s="1166" t="s">
        <v>4585</v>
      </c>
      <c r="H754" s="1167">
        <v>10.75</v>
      </c>
      <c r="I754" s="1168">
        <f>IF(DAY($F754)&gt;15, VLOOKUP(EOMONTH($F754,-1),'WP 3.1 Rate Case Regress.'!$C$5:$D$556,2,FALSE), VLOOKUP(EOMONTH($F754, -2), 'WP 3.1 Rate Case Regress.'!$C$5:$D$556, 2, FALSE))</f>
        <v>5.5091000000000001</v>
      </c>
    </row>
    <row r="755" spans="2:9" x14ac:dyDescent="0.5">
      <c r="B755" s="1162" t="s">
        <v>2701</v>
      </c>
      <c r="C755" s="1163" t="s">
        <v>2900</v>
      </c>
      <c r="D755" s="1163" t="s">
        <v>4891</v>
      </c>
      <c r="E755" s="1164"/>
      <c r="F755" s="1165">
        <v>38629</v>
      </c>
      <c r="G755" s="1166" t="s">
        <v>4585</v>
      </c>
      <c r="H755" s="1167">
        <v>9.9</v>
      </c>
      <c r="I755" s="1168">
        <f>IF(DAY($F755)&gt;15, VLOOKUP(EOMONTH($F755,-1),'WP 3.1 Rate Case Regress.'!$C$5:$D$556,2,FALSE), VLOOKUP(EOMONTH($F755, -2), 'WP 3.1 Rate Case Regress.'!$C$5:$D$556, 2, FALSE))</f>
        <v>5.5091000000000001</v>
      </c>
    </row>
    <row r="756" spans="2:9" x14ac:dyDescent="0.5">
      <c r="B756" s="1162" t="s">
        <v>2708</v>
      </c>
      <c r="C756" s="1163" t="s">
        <v>2747</v>
      </c>
      <c r="D756" s="1163" t="s">
        <v>4892</v>
      </c>
      <c r="E756" s="1164"/>
      <c r="F756" s="1165">
        <v>38639</v>
      </c>
      <c r="G756" s="1166" t="s">
        <v>4585</v>
      </c>
      <c r="H756" s="1167">
        <v>10.4</v>
      </c>
      <c r="I756" s="1168">
        <f>IF(DAY($F756)&gt;15, VLOOKUP(EOMONTH($F756,-1),'WP 3.1 Rate Case Regress.'!$C$5:$D$556,2,FALSE), VLOOKUP(EOMONTH($F756, -2), 'WP 3.1 Rate Case Regress.'!$C$5:$D$556, 2, FALSE))</f>
        <v>5.5091000000000001</v>
      </c>
    </row>
    <row r="757" spans="2:9" x14ac:dyDescent="0.5">
      <c r="B757" s="1162" t="s">
        <v>2757</v>
      </c>
      <c r="C757" s="1163" t="s">
        <v>2765</v>
      </c>
      <c r="D757" s="1163" t="s">
        <v>4893</v>
      </c>
      <c r="E757" s="1164"/>
      <c r="F757" s="1165">
        <v>38656</v>
      </c>
      <c r="G757" s="1166" t="s">
        <v>4585</v>
      </c>
      <c r="H757" s="1167">
        <v>10.25</v>
      </c>
      <c r="I757" s="1168">
        <f>IF(DAY($F757)&gt;15, VLOOKUP(EOMONTH($F757,-1),'WP 3.1 Rate Case Regress.'!$C$5:$D$556,2,FALSE), VLOOKUP(EOMONTH($F757, -2), 'WP 3.1 Rate Case Regress.'!$C$5:$D$556, 2, FALSE))</f>
        <v>5.5023999999999997</v>
      </c>
    </row>
    <row r="758" spans="2:9" x14ac:dyDescent="0.5">
      <c r="B758" s="1162" t="s">
        <v>2751</v>
      </c>
      <c r="C758" s="1163" t="s">
        <v>2993</v>
      </c>
      <c r="D758" s="1163" t="s">
        <v>3552</v>
      </c>
      <c r="E758" s="1164"/>
      <c r="F758" s="1165">
        <v>38658</v>
      </c>
      <c r="G758" s="1166" t="s">
        <v>2695</v>
      </c>
      <c r="H758" s="1167">
        <v>9.6999999999999993</v>
      </c>
      <c r="I758" s="1168">
        <f>IF(DAY($F758)&gt;15, VLOOKUP(EOMONTH($F758,-1),'WP 3.1 Rate Case Regress.'!$C$5:$D$556,2,FALSE), VLOOKUP(EOMONTH($F758, -2), 'WP 3.1 Rate Case Regress.'!$C$5:$D$556, 2, FALSE))</f>
        <v>5.5023999999999997</v>
      </c>
    </row>
    <row r="759" spans="2:9" x14ac:dyDescent="0.5">
      <c r="B759" s="1162" t="s">
        <v>2700</v>
      </c>
      <c r="C759" s="1163" t="s">
        <v>3035</v>
      </c>
      <c r="D759" s="1163" t="s">
        <v>3553</v>
      </c>
      <c r="E759" s="1164"/>
      <c r="F759" s="1165">
        <v>38686</v>
      </c>
      <c r="G759" s="1166" t="s">
        <v>2695</v>
      </c>
      <c r="H759" s="1167">
        <v>10</v>
      </c>
      <c r="I759" s="1168">
        <f>IF(DAY($F759)&gt;15, VLOOKUP(EOMONTH($F759,-1),'WP 3.1 Rate Case Regress.'!$C$5:$D$556,2,FALSE), VLOOKUP(EOMONTH($F759, -2), 'WP 3.1 Rate Case Regress.'!$C$5:$D$556, 2, FALSE))</f>
        <v>5.7747999999999999</v>
      </c>
    </row>
    <row r="760" spans="2:9" x14ac:dyDescent="0.5">
      <c r="B760" s="1162" t="s">
        <v>2751</v>
      </c>
      <c r="C760" s="1163" t="s">
        <v>3554</v>
      </c>
      <c r="D760" s="1163" t="s">
        <v>3555</v>
      </c>
      <c r="E760" s="1164"/>
      <c r="F760" s="1165">
        <v>38695</v>
      </c>
      <c r="G760" s="1166" t="s">
        <v>2695</v>
      </c>
      <c r="H760" s="1167">
        <v>9.6999999999999993</v>
      </c>
      <c r="I760" s="1168">
        <f>IF(DAY($F760)&gt;15, VLOOKUP(EOMONTH($F760,-1),'WP 3.1 Rate Case Regress.'!$C$5:$D$556,2,FALSE), VLOOKUP(EOMONTH($F760, -2), 'WP 3.1 Rate Case Regress.'!$C$5:$D$556, 2, FALSE))</f>
        <v>5.7747999999999999</v>
      </c>
    </row>
    <row r="761" spans="2:9" ht="30" x14ac:dyDescent="0.5">
      <c r="B761" s="1162" t="s">
        <v>2702</v>
      </c>
      <c r="C761" s="1163" t="s">
        <v>4701</v>
      </c>
      <c r="D761" s="1163" t="s">
        <v>3556</v>
      </c>
      <c r="E761" s="1164"/>
      <c r="F761" s="1165">
        <v>38698</v>
      </c>
      <c r="G761" s="1166" t="s">
        <v>2695</v>
      </c>
      <c r="H761" s="1167">
        <v>11</v>
      </c>
      <c r="I761" s="1168">
        <f>IF(DAY($F761)&gt;15, VLOOKUP(EOMONTH($F761,-1),'WP 3.1 Rate Case Regress.'!$C$5:$D$556,2,FALSE), VLOOKUP(EOMONTH($F761, -2), 'WP 3.1 Rate Case Regress.'!$C$5:$D$556, 2, FALSE))</f>
        <v>5.7747999999999999</v>
      </c>
    </row>
    <row r="762" spans="2:9" x14ac:dyDescent="0.5">
      <c r="B762" s="1162" t="s">
        <v>2699</v>
      </c>
      <c r="C762" s="1163" t="s">
        <v>2944</v>
      </c>
      <c r="D762" s="1163" t="s">
        <v>3557</v>
      </c>
      <c r="E762" s="1164"/>
      <c r="F762" s="1165">
        <v>38706</v>
      </c>
      <c r="G762" s="1166" t="s">
        <v>2695</v>
      </c>
      <c r="H762" s="1167">
        <v>10.130000000000001</v>
      </c>
      <c r="I762" s="1168">
        <f>IF(DAY($F762)&gt;15, VLOOKUP(EOMONTH($F762,-1),'WP 3.1 Rate Case Regress.'!$C$5:$D$556,2,FALSE), VLOOKUP(EOMONTH($F762, -2), 'WP 3.1 Rate Case Regress.'!$C$5:$D$556, 2, FALSE))</f>
        <v>5.8784000000000001</v>
      </c>
    </row>
    <row r="763" spans="2:9" x14ac:dyDescent="0.5">
      <c r="B763" s="1162" t="s">
        <v>2698</v>
      </c>
      <c r="C763" s="1163" t="s">
        <v>2722</v>
      </c>
      <c r="D763" s="1163" t="s">
        <v>3558</v>
      </c>
      <c r="E763" s="1164"/>
      <c r="F763" s="1165">
        <v>38707</v>
      </c>
      <c r="G763" s="1166" t="s">
        <v>2695</v>
      </c>
      <c r="H763" s="1167">
        <v>11</v>
      </c>
      <c r="I763" s="1168">
        <f>IF(DAY($F763)&gt;15, VLOOKUP(EOMONTH($F763,-1),'WP 3.1 Rate Case Regress.'!$C$5:$D$556,2,FALSE), VLOOKUP(EOMONTH($F763, -2), 'WP 3.1 Rate Case Regress.'!$C$5:$D$556, 2, FALSE))</f>
        <v>5.8784000000000001</v>
      </c>
    </row>
    <row r="764" spans="2:9" x14ac:dyDescent="0.5">
      <c r="B764" s="1162" t="s">
        <v>2736</v>
      </c>
      <c r="C764" s="1163" t="s">
        <v>2727</v>
      </c>
      <c r="D764" s="1163" t="s">
        <v>4894</v>
      </c>
      <c r="E764" s="1164"/>
      <c r="F764" s="1165">
        <v>38707</v>
      </c>
      <c r="G764" s="1166" t="s">
        <v>4585</v>
      </c>
      <c r="H764" s="1167">
        <v>10.4</v>
      </c>
      <c r="I764" s="1168">
        <f>IF(DAY($F764)&gt;15, VLOOKUP(EOMONTH($F764,-1),'WP 3.1 Rate Case Regress.'!$C$5:$D$556,2,FALSE), VLOOKUP(EOMONTH($F764, -2), 'WP 3.1 Rate Case Regress.'!$C$5:$D$556, 2, FALSE))</f>
        <v>5.8784000000000001</v>
      </c>
    </row>
    <row r="765" spans="2:9" ht="30" x14ac:dyDescent="0.5">
      <c r="B765" s="1162" t="s">
        <v>2702</v>
      </c>
      <c r="C765" s="1163" t="s">
        <v>2748</v>
      </c>
      <c r="D765" s="1163" t="s">
        <v>3559</v>
      </c>
      <c r="E765" s="1164"/>
      <c r="F765" s="1165">
        <v>38708</v>
      </c>
      <c r="G765" s="1166" t="s">
        <v>2695</v>
      </c>
      <c r="H765" s="1167">
        <v>11</v>
      </c>
      <c r="I765" s="1168">
        <f>IF(DAY($F765)&gt;15, VLOOKUP(EOMONTH($F765,-1),'WP 3.1 Rate Case Regress.'!$C$5:$D$556,2,FALSE), VLOOKUP(EOMONTH($F765, -2), 'WP 3.1 Rate Case Regress.'!$C$5:$D$556, 2, FALSE))</f>
        <v>5.8784000000000001</v>
      </c>
    </row>
    <row r="766" spans="2:9" x14ac:dyDescent="0.5">
      <c r="B766" s="1162" t="s">
        <v>2728</v>
      </c>
      <c r="C766" s="1163" t="s">
        <v>2771</v>
      </c>
      <c r="D766" s="1163" t="s">
        <v>3560</v>
      </c>
      <c r="E766" s="1164"/>
      <c r="F766" s="1165">
        <v>38708</v>
      </c>
      <c r="G766" s="1166" t="s">
        <v>2695</v>
      </c>
      <c r="H766" s="1167">
        <v>10.199999999999999</v>
      </c>
      <c r="I766" s="1168">
        <f>IF(DAY($F766)&gt;15, VLOOKUP(EOMONTH($F766,-1),'WP 3.1 Rate Case Regress.'!$C$5:$D$556,2,FALSE), VLOOKUP(EOMONTH($F766, -2), 'WP 3.1 Rate Case Regress.'!$C$5:$D$556, 2, FALSE))</f>
        <v>5.8784000000000001</v>
      </c>
    </row>
    <row r="767" spans="2:9" x14ac:dyDescent="0.5">
      <c r="B767" s="1162" t="s">
        <v>2723</v>
      </c>
      <c r="C767" s="1163" t="s">
        <v>2949</v>
      </c>
      <c r="D767" s="1163" t="s">
        <v>4895</v>
      </c>
      <c r="E767" s="1164"/>
      <c r="F767" s="1165">
        <v>38714</v>
      </c>
      <c r="G767" s="1166" t="s">
        <v>4585</v>
      </c>
      <c r="H767" s="1167">
        <v>10</v>
      </c>
      <c r="I767" s="1168">
        <f>IF(DAY($F767)&gt;15, VLOOKUP(EOMONTH($F767,-1),'WP 3.1 Rate Case Regress.'!$C$5:$D$556,2,FALSE), VLOOKUP(EOMONTH($F767, -2), 'WP 3.1 Rate Case Regress.'!$C$5:$D$556, 2, FALSE))</f>
        <v>5.8784000000000001</v>
      </c>
    </row>
    <row r="768" spans="2:9" ht="30" x14ac:dyDescent="0.5">
      <c r="B768" s="1162" t="s">
        <v>2702</v>
      </c>
      <c r="C768" s="1163" t="s">
        <v>2755</v>
      </c>
      <c r="D768" s="1163" t="s">
        <v>3561</v>
      </c>
      <c r="E768" s="1164"/>
      <c r="F768" s="1165">
        <v>38722</v>
      </c>
      <c r="G768" s="1166" t="s">
        <v>2695</v>
      </c>
      <c r="H768" s="1167">
        <v>11</v>
      </c>
      <c r="I768" s="1168">
        <f>IF(DAY($F768)&gt;15, VLOOKUP(EOMONTH($F768,-1),'WP 3.1 Rate Case Regress.'!$C$5:$D$556,2,FALSE), VLOOKUP(EOMONTH($F768, -2), 'WP 3.1 Rate Case Regress.'!$C$5:$D$556, 2, FALSE))</f>
        <v>5.8784000000000001</v>
      </c>
    </row>
    <row r="769" spans="2:9" ht="30" x14ac:dyDescent="0.5">
      <c r="B769" s="1162" t="s">
        <v>2702</v>
      </c>
      <c r="C769" s="1163" t="s">
        <v>2773</v>
      </c>
      <c r="D769" s="1163" t="s">
        <v>3562</v>
      </c>
      <c r="E769" s="1164"/>
      <c r="F769" s="1165">
        <v>38742</v>
      </c>
      <c r="G769" s="1166" t="s">
        <v>2695</v>
      </c>
      <c r="H769" s="1167">
        <v>11.2</v>
      </c>
      <c r="I769" s="1168">
        <f>IF(DAY($F769)&gt;15, VLOOKUP(EOMONTH($F769,-1),'WP 3.1 Rate Case Regress.'!$C$5:$D$556,2,FALSE), VLOOKUP(EOMONTH($F769, -2), 'WP 3.1 Rate Case Regress.'!$C$5:$D$556, 2, FALSE))</f>
        <v>5.8178000000000001</v>
      </c>
    </row>
    <row r="770" spans="2:9" x14ac:dyDescent="0.5">
      <c r="B770" s="1162" t="s">
        <v>2702</v>
      </c>
      <c r="C770" s="1163" t="s">
        <v>2903</v>
      </c>
      <c r="D770" s="1163" t="s">
        <v>3563</v>
      </c>
      <c r="E770" s="1164"/>
      <c r="F770" s="1165">
        <v>38742</v>
      </c>
      <c r="G770" s="1166" t="s">
        <v>2695</v>
      </c>
      <c r="H770" s="1167">
        <v>11.2</v>
      </c>
      <c r="I770" s="1168">
        <f>IF(DAY($F770)&gt;15, VLOOKUP(EOMONTH($F770,-1),'WP 3.1 Rate Case Regress.'!$C$5:$D$556,2,FALSE), VLOOKUP(EOMONTH($F770, -2), 'WP 3.1 Rate Case Regress.'!$C$5:$D$556, 2, FALSE))</f>
        <v>5.8178000000000001</v>
      </c>
    </row>
    <row r="771" spans="2:9" x14ac:dyDescent="0.5">
      <c r="B771" s="1162" t="s">
        <v>2715</v>
      </c>
      <c r="C771" s="1163" t="s">
        <v>2716</v>
      </c>
      <c r="D771" s="1163" t="s">
        <v>4896</v>
      </c>
      <c r="E771" s="1164"/>
      <c r="F771" s="1165">
        <v>38751</v>
      </c>
      <c r="G771" s="1166" t="s">
        <v>4585</v>
      </c>
      <c r="H771" s="1167">
        <v>10.5</v>
      </c>
      <c r="I771" s="1168">
        <f>IF(DAY($F771)&gt;15, VLOOKUP(EOMONTH($F771,-1),'WP 3.1 Rate Case Regress.'!$C$5:$D$556,2,FALSE), VLOOKUP(EOMONTH($F771, -2), 'WP 3.1 Rate Case Regress.'!$C$5:$D$556, 2, FALSE))</f>
        <v>5.8178000000000001</v>
      </c>
    </row>
    <row r="772" spans="2:9" ht="30" x14ac:dyDescent="0.5">
      <c r="B772" s="1162" t="s">
        <v>2717</v>
      </c>
      <c r="C772" s="1163" t="s">
        <v>2939</v>
      </c>
      <c r="D772" s="1163" t="s">
        <v>3564</v>
      </c>
      <c r="E772" s="1164"/>
      <c r="F772" s="1165">
        <v>38763</v>
      </c>
      <c r="G772" s="1166" t="s">
        <v>2695</v>
      </c>
      <c r="H772" s="1167">
        <v>9.5</v>
      </c>
      <c r="I772" s="1168">
        <f>IF(DAY($F772)&gt;15, VLOOKUP(EOMONTH($F772,-1),'WP 3.1 Rate Case Regress.'!$C$5:$D$556,2,FALSE), VLOOKUP(EOMONTH($F772, -2), 'WP 3.1 Rate Case Regress.'!$C$5:$D$556, 2, FALSE))</f>
        <v>5.8178000000000001</v>
      </c>
    </row>
    <row r="773" spans="2:9" x14ac:dyDescent="0.5">
      <c r="B773" s="1162" t="s">
        <v>2731</v>
      </c>
      <c r="C773" s="1163" t="s">
        <v>2733</v>
      </c>
      <c r="D773" s="1163" t="s">
        <v>3565</v>
      </c>
      <c r="E773" s="1164"/>
      <c r="F773" s="1165">
        <v>38833</v>
      </c>
      <c r="G773" s="1166" t="s">
        <v>2695</v>
      </c>
      <c r="H773" s="1167">
        <v>10.6</v>
      </c>
      <c r="I773" s="1168">
        <f>IF(DAY($F773)&gt;15, VLOOKUP(EOMONTH($F773,-1),'WP 3.1 Rate Case Regress.'!$C$5:$D$556,2,FALSE), VLOOKUP(EOMONTH($F773, -2), 'WP 3.1 Rate Case Regress.'!$C$5:$D$556, 2, FALSE))</f>
        <v>5.98</v>
      </c>
    </row>
    <row r="774" spans="2:9" x14ac:dyDescent="0.5">
      <c r="B774" s="1162" t="s">
        <v>2766</v>
      </c>
      <c r="C774" s="1163" t="s">
        <v>3110</v>
      </c>
      <c r="D774" s="1163" t="s">
        <v>3566</v>
      </c>
      <c r="E774" s="1164"/>
      <c r="F774" s="1165">
        <v>38922</v>
      </c>
      <c r="G774" s="1166" t="s">
        <v>2695</v>
      </c>
      <c r="H774" s="1167">
        <v>10</v>
      </c>
      <c r="I774" s="1168">
        <f>IF(DAY($F774)&gt;15, VLOOKUP(EOMONTH($F774,-1),'WP 3.1 Rate Case Regress.'!$C$5:$D$556,2,FALSE), VLOOKUP(EOMONTH($F774, -2), 'WP 3.1 Rate Case Regress.'!$C$5:$D$556, 2, FALSE))</f>
        <v>6.4</v>
      </c>
    </row>
    <row r="775" spans="2:9" x14ac:dyDescent="0.5">
      <c r="B775" s="1162" t="s">
        <v>2704</v>
      </c>
      <c r="C775" s="1163" t="s">
        <v>2750</v>
      </c>
      <c r="D775" s="1163" t="s">
        <v>4897</v>
      </c>
      <c r="E775" s="1164"/>
      <c r="F775" s="1165">
        <v>38922</v>
      </c>
      <c r="G775" s="1166" t="s">
        <v>4585</v>
      </c>
      <c r="H775" s="1167">
        <v>9.6</v>
      </c>
      <c r="I775" s="1168">
        <f>IF(DAY($F775)&gt;15, VLOOKUP(EOMONTH($F775,-1),'WP 3.1 Rate Case Regress.'!$C$5:$D$556,2,FALSE), VLOOKUP(EOMONTH($F775, -2), 'WP 3.1 Rate Case Regress.'!$C$5:$D$556, 2, FALSE))</f>
        <v>6.4</v>
      </c>
    </row>
    <row r="776" spans="2:9" x14ac:dyDescent="0.5">
      <c r="B776" s="1162" t="s">
        <v>2777</v>
      </c>
      <c r="C776" s="1163" t="s">
        <v>3623</v>
      </c>
      <c r="D776" s="1163" t="s">
        <v>4898</v>
      </c>
      <c r="E776" s="1164"/>
      <c r="F776" s="1165">
        <v>38980</v>
      </c>
      <c r="G776" s="1166" t="s">
        <v>4585</v>
      </c>
      <c r="H776" s="1167">
        <v>11</v>
      </c>
      <c r="I776" s="1168">
        <f>IF(DAY($F776)&gt;15, VLOOKUP(EOMONTH($F776,-1),'WP 3.1 Rate Case Regress.'!$C$5:$D$556,2,FALSE), VLOOKUP(EOMONTH($F776, -2), 'WP 3.1 Rate Case Regress.'!$C$5:$D$556, 2, FALSE))</f>
        <v>6.2</v>
      </c>
    </row>
    <row r="777" spans="2:9" x14ac:dyDescent="0.5">
      <c r="B777" s="1162" t="s">
        <v>2698</v>
      </c>
      <c r="C777" s="1163" t="s">
        <v>4899</v>
      </c>
      <c r="D777" s="1163" t="s">
        <v>4900</v>
      </c>
      <c r="E777" s="1164"/>
      <c r="F777" s="1165">
        <v>38986</v>
      </c>
      <c r="G777" s="1166" t="s">
        <v>4585</v>
      </c>
      <c r="H777" s="1167">
        <v>10.75</v>
      </c>
      <c r="I777" s="1168">
        <f>IF(DAY($F777)&gt;15, VLOOKUP(EOMONTH($F777,-1),'WP 3.1 Rate Case Regress.'!$C$5:$D$556,2,FALSE), VLOOKUP(EOMONTH($F777, -2), 'WP 3.1 Rate Case Regress.'!$C$5:$D$556, 2, FALSE))</f>
        <v>6.2</v>
      </c>
    </row>
    <row r="778" spans="2:9" x14ac:dyDescent="0.5">
      <c r="B778" s="1162" t="s">
        <v>2704</v>
      </c>
      <c r="C778" s="1163" t="s">
        <v>2707</v>
      </c>
      <c r="D778" s="1163" t="s">
        <v>4901</v>
      </c>
      <c r="E778" s="1164"/>
      <c r="F778" s="1165">
        <v>39010</v>
      </c>
      <c r="G778" s="1166" t="s">
        <v>4585</v>
      </c>
      <c r="H778" s="1167">
        <v>9.8000000000000007</v>
      </c>
      <c r="I778" s="1168">
        <f>IF(DAY($F778)&gt;15, VLOOKUP(EOMONTH($F778,-1),'WP 3.1 Rate Case Regress.'!$C$5:$D$556,2,FALSE), VLOOKUP(EOMONTH($F778, -2), 'WP 3.1 Rate Case Regress.'!$C$5:$D$556, 2, FALSE))</f>
        <v>6</v>
      </c>
    </row>
    <row r="779" spans="2:9" ht="30" x14ac:dyDescent="0.5">
      <c r="B779" s="1162" t="s">
        <v>2754</v>
      </c>
      <c r="C779" s="1163" t="s">
        <v>2975</v>
      </c>
      <c r="D779" s="1163" t="s">
        <v>3567</v>
      </c>
      <c r="E779" s="1164"/>
      <c r="F779" s="1165">
        <v>39023</v>
      </c>
      <c r="G779" s="1166" t="s">
        <v>2695</v>
      </c>
      <c r="H779" s="1167">
        <v>9.7100000000000009</v>
      </c>
      <c r="I779" s="1168">
        <f>IF(DAY($F779)&gt;15, VLOOKUP(EOMONTH($F779,-1),'WP 3.1 Rate Case Regress.'!$C$5:$D$556,2,FALSE), VLOOKUP(EOMONTH($F779, -2), 'WP 3.1 Rate Case Regress.'!$C$5:$D$556, 2, FALSE))</f>
        <v>6</v>
      </c>
    </row>
    <row r="780" spans="2:9" x14ac:dyDescent="0.5">
      <c r="B780" s="1162" t="s">
        <v>2712</v>
      </c>
      <c r="C780" s="1163" t="s">
        <v>2713</v>
      </c>
      <c r="D780" s="1163" t="s">
        <v>4902</v>
      </c>
      <c r="E780" s="1164"/>
      <c r="F780" s="1165">
        <v>39030</v>
      </c>
      <c r="G780" s="1166" t="s">
        <v>4585</v>
      </c>
      <c r="H780" s="1167">
        <v>10</v>
      </c>
      <c r="I780" s="1168">
        <f>IF(DAY($F780)&gt;15, VLOOKUP(EOMONTH($F780,-1),'WP 3.1 Rate Case Regress.'!$C$5:$D$556,2,FALSE), VLOOKUP(EOMONTH($F780, -2), 'WP 3.1 Rate Case Regress.'!$C$5:$D$556, 2, FALSE))</f>
        <v>6</v>
      </c>
    </row>
    <row r="781" spans="2:9" x14ac:dyDescent="0.5">
      <c r="B781" s="1162" t="s">
        <v>2744</v>
      </c>
      <c r="C781" s="1163" t="s">
        <v>2770</v>
      </c>
      <c r="D781" s="1163" t="s">
        <v>3568</v>
      </c>
      <c r="E781" s="1164"/>
      <c r="F781" s="1165">
        <v>39042</v>
      </c>
      <c r="G781" s="1166" t="s">
        <v>2695</v>
      </c>
      <c r="H781" s="1167">
        <v>11</v>
      </c>
      <c r="I781" s="1168">
        <f>IF(DAY($F781)&gt;15, VLOOKUP(EOMONTH($F781,-1),'WP 3.1 Rate Case Regress.'!$C$5:$D$556,2,FALSE), VLOOKUP(EOMONTH($F781, -2), 'WP 3.1 Rate Case Regress.'!$C$5:$D$556, 2, FALSE))</f>
        <v>5.98</v>
      </c>
    </row>
    <row r="782" spans="2:9" x14ac:dyDescent="0.5">
      <c r="B782" s="1162" t="s">
        <v>2768</v>
      </c>
      <c r="C782" s="1163" t="s">
        <v>3106</v>
      </c>
      <c r="D782" s="1163" t="s">
        <v>4903</v>
      </c>
      <c r="E782" s="1164"/>
      <c r="F782" s="1165">
        <v>39056</v>
      </c>
      <c r="G782" s="1166" t="s">
        <v>4585</v>
      </c>
      <c r="H782" s="1167">
        <v>10.199999999999999</v>
      </c>
      <c r="I782" s="1168">
        <f>IF(DAY($F782)&gt;15, VLOOKUP(EOMONTH($F782,-1),'WP 3.1 Rate Case Regress.'!$C$5:$D$556,2,FALSE), VLOOKUP(EOMONTH($F782, -2), 'WP 3.1 Rate Case Regress.'!$C$5:$D$556, 2, FALSE))</f>
        <v>5.98</v>
      </c>
    </row>
    <row r="783" spans="2:9" x14ac:dyDescent="0.5">
      <c r="B783" s="1162" t="s">
        <v>2736</v>
      </c>
      <c r="C783" s="1163" t="s">
        <v>2737</v>
      </c>
      <c r="D783" s="1163" t="s">
        <v>3569</v>
      </c>
      <c r="E783" s="1164"/>
      <c r="F783" s="1165">
        <v>39087</v>
      </c>
      <c r="G783" s="1166" t="s">
        <v>2695</v>
      </c>
      <c r="H783" s="1167">
        <v>10.4</v>
      </c>
      <c r="I783" s="1168">
        <f>IF(DAY($F783)&gt;15, VLOOKUP(EOMONTH($F783,-1),'WP 3.1 Rate Case Regress.'!$C$5:$D$556,2,FALSE), VLOOKUP(EOMONTH($F783, -2), 'WP 3.1 Rate Case Regress.'!$C$5:$D$556, 2, FALSE))</f>
        <v>5.8</v>
      </c>
    </row>
    <row r="784" spans="2:9" x14ac:dyDescent="0.5">
      <c r="B784" s="1162" t="s">
        <v>2744</v>
      </c>
      <c r="C784" s="1163" t="s">
        <v>3342</v>
      </c>
      <c r="D784" s="1163" t="s">
        <v>4904</v>
      </c>
      <c r="E784" s="1164"/>
      <c r="F784" s="1165">
        <v>39091</v>
      </c>
      <c r="G784" s="1166" t="s">
        <v>4585</v>
      </c>
      <c r="H784" s="1167">
        <v>11</v>
      </c>
      <c r="I784" s="1168">
        <f>IF(DAY($F784)&gt;15, VLOOKUP(EOMONTH($F784,-1),'WP 3.1 Rate Case Regress.'!$C$5:$D$556,2,FALSE), VLOOKUP(EOMONTH($F784, -2), 'WP 3.1 Rate Case Regress.'!$C$5:$D$556, 2, FALSE))</f>
        <v>5.8</v>
      </c>
    </row>
    <row r="785" spans="2:9" ht="30" x14ac:dyDescent="0.5">
      <c r="B785" s="1162" t="s">
        <v>2702</v>
      </c>
      <c r="C785" s="1163" t="s">
        <v>2748</v>
      </c>
      <c r="D785" s="1163" t="s">
        <v>3570</v>
      </c>
      <c r="E785" s="1164"/>
      <c r="F785" s="1165">
        <v>39093</v>
      </c>
      <c r="G785" s="1166" t="s">
        <v>2695</v>
      </c>
      <c r="H785" s="1167">
        <v>10.9</v>
      </c>
      <c r="I785" s="1168">
        <f>IF(DAY($F785)&gt;15, VLOOKUP(EOMONTH($F785,-1),'WP 3.1 Rate Case Regress.'!$C$5:$D$556,2,FALSE), VLOOKUP(EOMONTH($F785, -2), 'WP 3.1 Rate Case Regress.'!$C$5:$D$556, 2, FALSE))</f>
        <v>5.8</v>
      </c>
    </row>
    <row r="786" spans="2:9" ht="30" x14ac:dyDescent="0.5">
      <c r="B786" s="1162" t="s">
        <v>2702</v>
      </c>
      <c r="C786" s="1163" t="s">
        <v>2749</v>
      </c>
      <c r="D786" s="1163" t="s">
        <v>3571</v>
      </c>
      <c r="E786" s="1164"/>
      <c r="F786" s="1165">
        <v>39101</v>
      </c>
      <c r="G786" s="1166" t="s">
        <v>2695</v>
      </c>
      <c r="H786" s="1167">
        <v>10.8</v>
      </c>
      <c r="I786" s="1168">
        <f>IF(DAY($F786)&gt;15, VLOOKUP(EOMONTH($F786,-1),'WP 3.1 Rate Case Regress.'!$C$5:$D$556,2,FALSE), VLOOKUP(EOMONTH($F786, -2), 'WP 3.1 Rate Case Regress.'!$C$5:$D$556, 2, FALSE))</f>
        <v>5.8100000000000005</v>
      </c>
    </row>
    <row r="787" spans="2:9" x14ac:dyDescent="0.5">
      <c r="B787" s="1162" t="s">
        <v>2700</v>
      </c>
      <c r="C787" s="1163" t="s">
        <v>2778</v>
      </c>
      <c r="D787" s="1163" t="s">
        <v>4905</v>
      </c>
      <c r="E787" s="1164"/>
      <c r="F787" s="1165">
        <v>39108</v>
      </c>
      <c r="G787" s="1166" t="s">
        <v>4585</v>
      </c>
      <c r="H787" s="1167">
        <v>10</v>
      </c>
      <c r="I787" s="1168">
        <f>IF(DAY($F787)&gt;15, VLOOKUP(EOMONTH($F787,-1),'WP 3.1 Rate Case Regress.'!$C$5:$D$556,2,FALSE), VLOOKUP(EOMONTH($F787, -2), 'WP 3.1 Rate Case Regress.'!$C$5:$D$556, 2, FALSE))</f>
        <v>5.8100000000000005</v>
      </c>
    </row>
    <row r="788" spans="2:9" x14ac:dyDescent="0.5">
      <c r="B788" s="1162" t="s">
        <v>2696</v>
      </c>
      <c r="C788" s="1163" t="s">
        <v>3572</v>
      </c>
      <c r="D788" s="1163" t="s">
        <v>3573</v>
      </c>
      <c r="E788" s="1164"/>
      <c r="F788" s="1165">
        <v>39121</v>
      </c>
      <c r="G788" s="1166" t="s">
        <v>2695</v>
      </c>
      <c r="H788" s="1167">
        <v>10.4</v>
      </c>
      <c r="I788" s="1168">
        <f>IF(DAY($F788)&gt;15, VLOOKUP(EOMONTH($F788,-1),'WP 3.1 Rate Case Regress.'!$C$5:$D$556,2,FALSE), VLOOKUP(EOMONTH($F788, -2), 'WP 3.1 Rate Case Regress.'!$C$5:$D$556, 2, FALSE))</f>
        <v>5.8100000000000005</v>
      </c>
    </row>
    <row r="789" spans="2:9" x14ac:dyDescent="0.5">
      <c r="B789" s="1162" t="s">
        <v>2723</v>
      </c>
      <c r="C789" s="1163" t="s">
        <v>2921</v>
      </c>
      <c r="D789" s="1163" t="s">
        <v>4906</v>
      </c>
      <c r="E789" s="1164"/>
      <c r="F789" s="1165">
        <v>39155</v>
      </c>
      <c r="G789" s="1166" t="s">
        <v>4585</v>
      </c>
      <c r="H789" s="1167">
        <v>10.1</v>
      </c>
      <c r="I789" s="1168">
        <f>IF(DAY($F789)&gt;15, VLOOKUP(EOMONTH($F789,-1),'WP 3.1 Rate Case Regress.'!$C$5:$D$556,2,FALSE), VLOOKUP(EOMONTH($F789, -2), 'WP 3.1 Rate Case Regress.'!$C$5:$D$556, 2, FALSE))</f>
        <v>5.96</v>
      </c>
    </row>
    <row r="790" spans="2:9" x14ac:dyDescent="0.5">
      <c r="B790" s="1162" t="s">
        <v>2758</v>
      </c>
      <c r="C790" s="1163" t="s">
        <v>2759</v>
      </c>
      <c r="D790" s="1163" t="s">
        <v>4907</v>
      </c>
      <c r="E790" s="1164"/>
      <c r="F790" s="1165">
        <v>39161</v>
      </c>
      <c r="G790" s="1166" t="s">
        <v>4585</v>
      </c>
      <c r="H790" s="1167">
        <v>10.25</v>
      </c>
      <c r="I790" s="1168">
        <f>IF(DAY($F790)&gt;15, VLOOKUP(EOMONTH($F790,-1),'WP 3.1 Rate Case Regress.'!$C$5:$D$556,2,FALSE), VLOOKUP(EOMONTH($F790, -2), 'WP 3.1 Rate Case Regress.'!$C$5:$D$556, 2, FALSE))</f>
        <v>5.9</v>
      </c>
    </row>
    <row r="791" spans="2:9" ht="30" x14ac:dyDescent="0.5">
      <c r="B791" s="1162" t="s">
        <v>2738</v>
      </c>
      <c r="C791" s="1163" t="s">
        <v>2760</v>
      </c>
      <c r="D791" s="1163" t="s">
        <v>4908</v>
      </c>
      <c r="E791" s="1164"/>
      <c r="F791" s="1165">
        <v>39162</v>
      </c>
      <c r="G791" s="1166" t="s">
        <v>4585</v>
      </c>
      <c r="H791" s="1167">
        <v>11.35</v>
      </c>
      <c r="I791" s="1168">
        <f>IF(DAY($F791)&gt;15, VLOOKUP(EOMONTH($F791,-1),'WP 3.1 Rate Case Regress.'!$C$5:$D$556,2,FALSE), VLOOKUP(EOMONTH($F791, -2), 'WP 3.1 Rate Case Regress.'!$C$5:$D$556, 2, FALSE))</f>
        <v>5.9</v>
      </c>
    </row>
    <row r="792" spans="2:9" x14ac:dyDescent="0.5">
      <c r="B792" s="1162" t="s">
        <v>2756</v>
      </c>
      <c r="C792" s="1163" t="s">
        <v>3010</v>
      </c>
      <c r="D792" s="1163" t="s">
        <v>3574</v>
      </c>
      <c r="E792" s="1164"/>
      <c r="F792" s="1165">
        <v>39163</v>
      </c>
      <c r="G792" s="1166" t="s">
        <v>2695</v>
      </c>
      <c r="H792" s="1167">
        <v>10.5</v>
      </c>
      <c r="I792" s="1168">
        <f>IF(DAY($F792)&gt;15, VLOOKUP(EOMONTH($F792,-1),'WP 3.1 Rate Case Regress.'!$C$5:$D$556,2,FALSE), VLOOKUP(EOMONTH($F792, -2), 'WP 3.1 Rate Case Regress.'!$C$5:$D$556, 2, FALSE))</f>
        <v>5.9</v>
      </c>
    </row>
    <row r="793" spans="2:9" ht="30" x14ac:dyDescent="0.5">
      <c r="B793" s="1162" t="s">
        <v>2775</v>
      </c>
      <c r="C793" s="1163" t="s">
        <v>2944</v>
      </c>
      <c r="D793" s="1163" t="s">
        <v>3575</v>
      </c>
      <c r="E793" s="1164"/>
      <c r="F793" s="1165">
        <v>39170</v>
      </c>
      <c r="G793" s="1166" t="s">
        <v>2695</v>
      </c>
      <c r="H793" s="1167">
        <v>10</v>
      </c>
      <c r="I793" s="1168">
        <f>IF(DAY($F793)&gt;15, VLOOKUP(EOMONTH($F793,-1),'WP 3.1 Rate Case Regress.'!$C$5:$D$556,2,FALSE), VLOOKUP(EOMONTH($F793, -2), 'WP 3.1 Rate Case Regress.'!$C$5:$D$556, 2, FALSE))</f>
        <v>5.9</v>
      </c>
    </row>
    <row r="794" spans="2:9" x14ac:dyDescent="0.5">
      <c r="B794" s="1162" t="s">
        <v>2762</v>
      </c>
      <c r="C794" s="1163" t="s">
        <v>2755</v>
      </c>
      <c r="D794" s="1163" t="s">
        <v>4909</v>
      </c>
      <c r="E794" s="1164"/>
      <c r="F794" s="1165">
        <v>39246</v>
      </c>
      <c r="G794" s="1166" t="s">
        <v>4585</v>
      </c>
      <c r="H794" s="1167">
        <v>10.75</v>
      </c>
      <c r="I794" s="1168">
        <f>IF(DAY($F794)&gt;15, VLOOKUP(EOMONTH($F794,-1),'WP 3.1 Rate Case Regress.'!$C$5:$D$556,2,FALSE), VLOOKUP(EOMONTH($F794, -2), 'WP 3.1 Rate Case Regress.'!$C$5:$D$556, 2, FALSE))</f>
        <v>5.97</v>
      </c>
    </row>
    <row r="795" spans="2:9" x14ac:dyDescent="0.5">
      <c r="B795" s="1162" t="s">
        <v>2723</v>
      </c>
      <c r="C795" s="1163" t="s">
        <v>3389</v>
      </c>
      <c r="D795" s="1163" t="s">
        <v>4910</v>
      </c>
      <c r="E795" s="1164"/>
      <c r="F795" s="1165">
        <v>39262</v>
      </c>
      <c r="G795" s="1166" t="s">
        <v>4585</v>
      </c>
      <c r="H795" s="1167">
        <v>10.1</v>
      </c>
      <c r="I795" s="1168">
        <f>IF(DAY($F795)&gt;15, VLOOKUP(EOMONTH($F795,-1),'WP 3.1 Rate Case Regress.'!$C$5:$D$556,2,FALSE), VLOOKUP(EOMONTH($F795, -2), 'WP 3.1 Rate Case Regress.'!$C$5:$D$556, 2, FALSE))</f>
        <v>5.99</v>
      </c>
    </row>
    <row r="796" spans="2:9" x14ac:dyDescent="0.5">
      <c r="B796" s="1162" t="s">
        <v>2752</v>
      </c>
      <c r="C796" s="1163" t="s">
        <v>2753</v>
      </c>
      <c r="D796" s="1163" t="s">
        <v>3576</v>
      </c>
      <c r="E796" s="1164"/>
      <c r="F796" s="1165">
        <v>39262</v>
      </c>
      <c r="G796" s="1166" t="s">
        <v>2695</v>
      </c>
      <c r="H796" s="1167">
        <v>9.5299999999999994</v>
      </c>
      <c r="I796" s="1168">
        <f>IF(DAY($F796)&gt;15, VLOOKUP(EOMONTH($F796,-1),'WP 3.1 Rate Case Regress.'!$C$5:$D$556,2,FALSE), VLOOKUP(EOMONTH($F796, -2), 'WP 3.1 Rate Case Regress.'!$C$5:$D$556, 2, FALSE))</f>
        <v>5.99</v>
      </c>
    </row>
    <row r="797" spans="2:9" x14ac:dyDescent="0.5">
      <c r="B797" s="1162" t="s">
        <v>2715</v>
      </c>
      <c r="C797" s="1163" t="s">
        <v>2716</v>
      </c>
      <c r="D797" s="1163" t="s">
        <v>4911</v>
      </c>
      <c r="E797" s="1164"/>
      <c r="F797" s="1165">
        <v>39266</v>
      </c>
      <c r="G797" s="1166" t="s">
        <v>4585</v>
      </c>
      <c r="H797" s="1167">
        <v>10.25</v>
      </c>
      <c r="I797" s="1168">
        <f>IF(DAY($F797)&gt;15, VLOOKUP(EOMONTH($F797,-1),'WP 3.1 Rate Case Regress.'!$C$5:$D$556,2,FALSE), VLOOKUP(EOMONTH($F797, -2), 'WP 3.1 Rate Case Regress.'!$C$5:$D$556, 2, FALSE))</f>
        <v>5.99</v>
      </c>
    </row>
    <row r="798" spans="2:9" x14ac:dyDescent="0.5">
      <c r="B798" s="1162" t="s">
        <v>2751</v>
      </c>
      <c r="C798" s="1163" t="s">
        <v>2993</v>
      </c>
      <c r="D798" s="1163" t="s">
        <v>4912</v>
      </c>
      <c r="E798" s="1164"/>
      <c r="F798" s="1165">
        <v>39276</v>
      </c>
      <c r="G798" s="1166" t="s">
        <v>4585</v>
      </c>
      <c r="H798" s="1167">
        <v>9.5</v>
      </c>
      <c r="I798" s="1168">
        <f>IF(DAY($F798)&gt;15, VLOOKUP(EOMONTH($F798,-1),'WP 3.1 Rate Case Regress.'!$C$5:$D$556,2,FALSE), VLOOKUP(EOMONTH($F798, -2), 'WP 3.1 Rate Case Regress.'!$C$5:$D$556, 2, FALSE))</f>
        <v>5.99</v>
      </c>
    </row>
    <row r="799" spans="2:9" x14ac:dyDescent="0.5">
      <c r="B799" s="1162" t="s">
        <v>3577</v>
      </c>
      <c r="C799" s="1163" t="s">
        <v>3578</v>
      </c>
      <c r="D799" s="1163" t="s">
        <v>3579</v>
      </c>
      <c r="E799" s="1164"/>
      <c r="F799" s="1165">
        <v>39287</v>
      </c>
      <c r="G799" s="1166" t="s">
        <v>2695</v>
      </c>
      <c r="H799" s="1167">
        <v>10.4</v>
      </c>
      <c r="I799" s="1168">
        <f>IF(DAY($F799)&gt;15, VLOOKUP(EOMONTH($F799,-1),'WP 3.1 Rate Case Regress.'!$C$5:$D$556,2,FALSE), VLOOKUP(EOMONTH($F799, -2), 'WP 3.1 Rate Case Regress.'!$C$5:$D$556, 2, FALSE))</f>
        <v>6.3</v>
      </c>
    </row>
    <row r="800" spans="2:9" x14ac:dyDescent="0.5">
      <c r="B800" s="1162" t="s">
        <v>2739</v>
      </c>
      <c r="C800" s="1163" t="s">
        <v>4589</v>
      </c>
      <c r="D800" s="1163" t="s">
        <v>4913</v>
      </c>
      <c r="E800" s="1164"/>
      <c r="F800" s="1165">
        <v>39295</v>
      </c>
      <c r="G800" s="1166" t="s">
        <v>4585</v>
      </c>
      <c r="H800" s="1167">
        <v>10.15</v>
      </c>
      <c r="I800" s="1168">
        <f>IF(DAY($F800)&gt;15, VLOOKUP(EOMONTH($F800,-1),'WP 3.1 Rate Case Regress.'!$C$5:$D$556,2,FALSE), VLOOKUP(EOMONTH($F800, -2), 'WP 3.1 Rate Case Regress.'!$C$5:$D$556, 2, FALSE))</f>
        <v>6.3</v>
      </c>
    </row>
    <row r="801" spans="2:9" x14ac:dyDescent="0.5">
      <c r="B801" s="1162" t="s">
        <v>2728</v>
      </c>
      <c r="C801" s="1163" t="s">
        <v>3144</v>
      </c>
      <c r="D801" s="1163" t="s">
        <v>4914</v>
      </c>
      <c r="E801" s="1164"/>
      <c r="F801" s="1165">
        <v>39323</v>
      </c>
      <c r="G801" s="1166" t="s">
        <v>4585</v>
      </c>
      <c r="H801" s="1167">
        <v>10.5</v>
      </c>
      <c r="I801" s="1168">
        <f>IF(DAY($F801)&gt;15, VLOOKUP(EOMONTH($F801,-1),'WP 3.1 Rate Case Regress.'!$C$5:$D$556,2,FALSE), VLOOKUP(EOMONTH($F801, -2), 'WP 3.1 Rate Case Regress.'!$C$5:$D$556, 2, FALSE))</f>
        <v>6.25</v>
      </c>
    </row>
    <row r="802" spans="2:9" ht="30" x14ac:dyDescent="0.5">
      <c r="B802" s="1162" t="s">
        <v>2754</v>
      </c>
      <c r="C802" s="1163" t="s">
        <v>2755</v>
      </c>
      <c r="D802" s="1163" t="s">
        <v>3580</v>
      </c>
      <c r="E802" s="1164"/>
      <c r="F802" s="1165">
        <v>39335</v>
      </c>
      <c r="G802" s="1166" t="s">
        <v>2695</v>
      </c>
      <c r="H802" s="1167">
        <v>9.7100000000000009</v>
      </c>
      <c r="I802" s="1168">
        <f>IF(DAY($F802)&gt;15, VLOOKUP(EOMONTH($F802,-1),'WP 3.1 Rate Case Regress.'!$C$5:$D$556,2,FALSE), VLOOKUP(EOMONTH($F802, -2), 'WP 3.1 Rate Case Regress.'!$C$5:$D$556, 2, FALSE))</f>
        <v>6.25</v>
      </c>
    </row>
    <row r="803" spans="2:9" x14ac:dyDescent="0.5">
      <c r="B803" s="1162" t="s">
        <v>2766</v>
      </c>
      <c r="C803" s="1163" t="s">
        <v>2895</v>
      </c>
      <c r="D803" s="1163" t="s">
        <v>4915</v>
      </c>
      <c r="E803" s="1164"/>
      <c r="F803" s="1165">
        <v>39344</v>
      </c>
      <c r="G803" s="1166" t="s">
        <v>4585</v>
      </c>
      <c r="H803" s="1167">
        <v>10</v>
      </c>
      <c r="I803" s="1168">
        <f>IF(DAY($F803)&gt;15, VLOOKUP(EOMONTH($F803,-1),'WP 3.1 Rate Case Regress.'!$C$5:$D$556,2,FALSE), VLOOKUP(EOMONTH($F803, -2), 'WP 3.1 Rate Case Regress.'!$C$5:$D$556, 2, FALSE))</f>
        <v>6.24</v>
      </c>
    </row>
    <row r="804" spans="2:9" x14ac:dyDescent="0.5">
      <c r="B804" s="1162" t="s">
        <v>2704</v>
      </c>
      <c r="C804" s="1163" t="s">
        <v>2908</v>
      </c>
      <c r="D804" s="1163" t="s">
        <v>4916</v>
      </c>
      <c r="E804" s="1164"/>
      <c r="F804" s="1165">
        <v>39350</v>
      </c>
      <c r="G804" s="1166" t="s">
        <v>4585</v>
      </c>
      <c r="H804" s="1167">
        <v>9.6999999999999993</v>
      </c>
      <c r="I804" s="1168">
        <f>IF(DAY($F804)&gt;15, VLOOKUP(EOMONTH($F804,-1),'WP 3.1 Rate Case Regress.'!$C$5:$D$556,2,FALSE), VLOOKUP(EOMONTH($F804, -2), 'WP 3.1 Rate Case Regress.'!$C$5:$D$556, 2, FALSE))</f>
        <v>6.24</v>
      </c>
    </row>
    <row r="805" spans="2:9" x14ac:dyDescent="0.5">
      <c r="B805" s="1162" t="s">
        <v>2768</v>
      </c>
      <c r="C805" s="1163" t="s">
        <v>2944</v>
      </c>
      <c r="D805" s="1163" t="s">
        <v>4917</v>
      </c>
      <c r="E805" s="1164"/>
      <c r="F805" s="1165">
        <v>39363</v>
      </c>
      <c r="G805" s="1166" t="s">
        <v>4585</v>
      </c>
      <c r="H805" s="1167">
        <v>10.48</v>
      </c>
      <c r="I805" s="1168">
        <f>IF(DAY($F805)&gt;15, VLOOKUP(EOMONTH($F805,-1),'WP 3.1 Rate Case Regress.'!$C$5:$D$556,2,FALSE), VLOOKUP(EOMONTH($F805, -2), 'WP 3.1 Rate Case Regress.'!$C$5:$D$556, 2, FALSE))</f>
        <v>6.24</v>
      </c>
    </row>
    <row r="806" spans="2:9" x14ac:dyDescent="0.5">
      <c r="B806" s="1162" t="s">
        <v>2728</v>
      </c>
      <c r="C806" s="1163" t="s">
        <v>3636</v>
      </c>
      <c r="D806" s="1163" t="s">
        <v>4918</v>
      </c>
      <c r="E806" s="1164"/>
      <c r="F806" s="1165">
        <v>39374</v>
      </c>
      <c r="G806" s="1166" t="s">
        <v>4585</v>
      </c>
      <c r="H806" s="1167">
        <v>10.5</v>
      </c>
      <c r="I806" s="1168">
        <f>IF(DAY($F806)&gt;15, VLOOKUP(EOMONTH($F806,-1),'WP 3.1 Rate Case Regress.'!$C$5:$D$556,2,FALSE), VLOOKUP(EOMONTH($F806, -2), 'WP 3.1 Rate Case Regress.'!$C$5:$D$556, 2, FALSE))</f>
        <v>6.18</v>
      </c>
    </row>
    <row r="807" spans="2:9" x14ac:dyDescent="0.5">
      <c r="B807" s="1162" t="s">
        <v>2751</v>
      </c>
      <c r="C807" s="1163" t="s">
        <v>2975</v>
      </c>
      <c r="D807" s="1163" t="s">
        <v>4919</v>
      </c>
      <c r="E807" s="1164"/>
      <c r="F807" s="1165">
        <v>39380</v>
      </c>
      <c r="G807" s="1166" t="s">
        <v>4585</v>
      </c>
      <c r="H807" s="1167">
        <v>9.65</v>
      </c>
      <c r="I807" s="1168">
        <f>IF(DAY($F807)&gt;15, VLOOKUP(EOMONTH($F807,-1),'WP 3.1 Rate Case Regress.'!$C$5:$D$556,2,FALSE), VLOOKUP(EOMONTH($F807, -2), 'WP 3.1 Rate Case Regress.'!$C$5:$D$556, 2, FALSE))</f>
        <v>6.18</v>
      </c>
    </row>
    <row r="808" spans="2:9" x14ac:dyDescent="0.5">
      <c r="B808" s="1162" t="s">
        <v>2698</v>
      </c>
      <c r="C808" s="1163" t="s">
        <v>2895</v>
      </c>
      <c r="D808" s="1163" t="s">
        <v>3581</v>
      </c>
      <c r="E808" s="1164"/>
      <c r="F808" s="1165">
        <v>39401</v>
      </c>
      <c r="G808" s="1166" t="s">
        <v>2695</v>
      </c>
      <c r="H808" s="1167">
        <v>10</v>
      </c>
      <c r="I808" s="1168">
        <f>IF(DAY($F808)&gt;15, VLOOKUP(EOMONTH($F808,-1),'WP 3.1 Rate Case Regress.'!$C$5:$D$556,2,FALSE), VLOOKUP(EOMONTH($F808, -2), 'WP 3.1 Rate Case Regress.'!$C$5:$D$556, 2, FALSE))</f>
        <v>6.18</v>
      </c>
    </row>
    <row r="809" spans="2:9" x14ac:dyDescent="0.5">
      <c r="B809" s="1162" t="s">
        <v>2751</v>
      </c>
      <c r="C809" s="1163" t="s">
        <v>3554</v>
      </c>
      <c r="D809" s="1163" t="s">
        <v>4920</v>
      </c>
      <c r="E809" s="1164"/>
      <c r="F809" s="1165">
        <v>39406</v>
      </c>
      <c r="G809" s="1166" t="s">
        <v>4585</v>
      </c>
      <c r="H809" s="1167">
        <v>9.9</v>
      </c>
      <c r="I809" s="1168">
        <f>IF(DAY($F809)&gt;15, VLOOKUP(EOMONTH($F809,-1),'WP 3.1 Rate Case Regress.'!$C$5:$D$556,2,FALSE), VLOOKUP(EOMONTH($F809, -2), 'WP 3.1 Rate Case Regress.'!$C$5:$D$556, 2, FALSE))</f>
        <v>6.11</v>
      </c>
    </row>
    <row r="810" spans="2:9" ht="30" x14ac:dyDescent="0.5">
      <c r="B810" s="1162" t="s">
        <v>2717</v>
      </c>
      <c r="C810" s="1163" t="s">
        <v>3437</v>
      </c>
      <c r="D810" s="1163" t="s">
        <v>3582</v>
      </c>
      <c r="E810" s="1164"/>
      <c r="F810" s="1165">
        <v>39413</v>
      </c>
      <c r="G810" s="1166" t="s">
        <v>2695</v>
      </c>
      <c r="H810" s="1167">
        <v>10</v>
      </c>
      <c r="I810" s="1168">
        <f>IF(DAY($F810)&gt;15, VLOOKUP(EOMONTH($F810,-1),'WP 3.1 Rate Case Regress.'!$C$5:$D$556,2,FALSE), VLOOKUP(EOMONTH($F810, -2), 'WP 3.1 Rate Case Regress.'!$C$5:$D$556, 2, FALSE))</f>
        <v>6.11</v>
      </c>
    </row>
    <row r="811" spans="2:9" ht="30" x14ac:dyDescent="0.5">
      <c r="B811" s="1162" t="s">
        <v>2777</v>
      </c>
      <c r="C811" s="1163" t="s">
        <v>4889</v>
      </c>
      <c r="D811" s="1163" t="s">
        <v>4921</v>
      </c>
      <c r="E811" s="1164"/>
      <c r="F811" s="1165">
        <v>39415</v>
      </c>
      <c r="G811" s="1166" t="s">
        <v>4585</v>
      </c>
      <c r="H811" s="1167">
        <v>10.9</v>
      </c>
      <c r="I811" s="1168">
        <f>IF(DAY($F811)&gt;15, VLOOKUP(EOMONTH($F811,-1),'WP 3.1 Rate Case Regress.'!$C$5:$D$556,2,FALSE), VLOOKUP(EOMONTH($F811, -2), 'WP 3.1 Rate Case Regress.'!$C$5:$D$556, 2, FALSE))</f>
        <v>6.11</v>
      </c>
    </row>
    <row r="812" spans="2:9" ht="30" x14ac:dyDescent="0.5">
      <c r="B812" s="1162" t="s">
        <v>2702</v>
      </c>
      <c r="C812" s="1163" t="s">
        <v>4701</v>
      </c>
      <c r="D812" s="1163" t="s">
        <v>3583</v>
      </c>
      <c r="E812" s="1164"/>
      <c r="F812" s="1165">
        <v>39430</v>
      </c>
      <c r="G812" s="1166" t="s">
        <v>2695</v>
      </c>
      <c r="H812" s="1167">
        <v>10.8</v>
      </c>
      <c r="I812" s="1168">
        <f>IF(DAY($F812)&gt;15, VLOOKUP(EOMONTH($F812,-1),'WP 3.1 Rate Case Regress.'!$C$5:$D$556,2,FALSE), VLOOKUP(EOMONTH($F812, -2), 'WP 3.1 Rate Case Regress.'!$C$5:$D$556, 2, FALSE))</f>
        <v>6.11</v>
      </c>
    </row>
    <row r="813" spans="2:9" x14ac:dyDescent="0.5">
      <c r="B813" s="1162" t="s">
        <v>3577</v>
      </c>
      <c r="C813" s="1163" t="s">
        <v>2964</v>
      </c>
      <c r="D813" s="1163" t="s">
        <v>4922</v>
      </c>
      <c r="E813" s="1164"/>
      <c r="F813" s="1165">
        <v>39434</v>
      </c>
      <c r="G813" s="1166" t="s">
        <v>4585</v>
      </c>
      <c r="H813" s="1167">
        <v>10.4</v>
      </c>
      <c r="I813" s="1168">
        <f>IF(DAY($F813)&gt;15, VLOOKUP(EOMONTH($F813,-1),'WP 3.1 Rate Case Regress.'!$C$5:$D$556,2,FALSE), VLOOKUP(EOMONTH($F813, -2), 'WP 3.1 Rate Case Regress.'!$C$5:$D$556, 2, FALSE))</f>
        <v>5.97</v>
      </c>
    </row>
    <row r="814" spans="2:9" x14ac:dyDescent="0.5">
      <c r="B814" s="1162" t="s">
        <v>2736</v>
      </c>
      <c r="C814" s="1163" t="s">
        <v>2727</v>
      </c>
      <c r="D814" s="1163" t="s">
        <v>4923</v>
      </c>
      <c r="E814" s="1164"/>
      <c r="F814" s="1165">
        <v>39435</v>
      </c>
      <c r="G814" s="1166" t="s">
        <v>4585</v>
      </c>
      <c r="H814" s="1167">
        <v>10.199999999999999</v>
      </c>
      <c r="I814" s="1168">
        <f>IF(DAY($F814)&gt;15, VLOOKUP(EOMONTH($F814,-1),'WP 3.1 Rate Case Regress.'!$C$5:$D$556,2,FALSE), VLOOKUP(EOMONTH($F814, -2), 'WP 3.1 Rate Case Regress.'!$C$5:$D$556, 2, FALSE))</f>
        <v>5.97</v>
      </c>
    </row>
    <row r="815" spans="2:9" x14ac:dyDescent="0.5">
      <c r="B815" s="1162" t="s">
        <v>2704</v>
      </c>
      <c r="C815" s="1163" t="s">
        <v>4596</v>
      </c>
      <c r="D815" s="1163" t="s">
        <v>4924</v>
      </c>
      <c r="E815" s="1164"/>
      <c r="F815" s="1165">
        <v>39435</v>
      </c>
      <c r="G815" s="1166" t="s">
        <v>4585</v>
      </c>
      <c r="H815" s="1167">
        <v>9.8000000000000007</v>
      </c>
      <c r="I815" s="1168">
        <f>IF(DAY($F815)&gt;15, VLOOKUP(EOMONTH($F815,-1),'WP 3.1 Rate Case Regress.'!$C$5:$D$556,2,FALSE), VLOOKUP(EOMONTH($F815, -2), 'WP 3.1 Rate Case Regress.'!$C$5:$D$556, 2, FALSE))</f>
        <v>5.97</v>
      </c>
    </row>
    <row r="816" spans="2:9" x14ac:dyDescent="0.5">
      <c r="B816" s="1162" t="s">
        <v>2704</v>
      </c>
      <c r="C816" s="1163" t="s">
        <v>2934</v>
      </c>
      <c r="D816" s="1163" t="s">
        <v>4925</v>
      </c>
      <c r="E816" s="1164"/>
      <c r="F816" s="1165">
        <v>39435</v>
      </c>
      <c r="G816" s="1166" t="s">
        <v>4585</v>
      </c>
      <c r="H816" s="1167">
        <v>9.8000000000000007</v>
      </c>
      <c r="I816" s="1168">
        <f>IF(DAY($F816)&gt;15, VLOOKUP(EOMONTH($F816,-1),'WP 3.1 Rate Case Regress.'!$C$5:$D$556,2,FALSE), VLOOKUP(EOMONTH($F816, -2), 'WP 3.1 Rate Case Regress.'!$C$5:$D$556, 2, FALSE))</f>
        <v>5.97</v>
      </c>
    </row>
    <row r="817" spans="2:9" x14ac:dyDescent="0.5">
      <c r="B817" s="1162" t="s">
        <v>2704</v>
      </c>
      <c r="C817" s="1163" t="s">
        <v>2910</v>
      </c>
      <c r="D817" s="1163" t="s">
        <v>3584</v>
      </c>
      <c r="E817" s="1164"/>
      <c r="F817" s="1165">
        <v>39437</v>
      </c>
      <c r="G817" s="1166" t="s">
        <v>2695</v>
      </c>
      <c r="H817" s="1167">
        <v>9.1</v>
      </c>
      <c r="I817" s="1168">
        <f>IF(DAY($F817)&gt;15, VLOOKUP(EOMONTH($F817,-1),'WP 3.1 Rate Case Regress.'!$C$5:$D$556,2,FALSE), VLOOKUP(EOMONTH($F817, -2), 'WP 3.1 Rate Case Regress.'!$C$5:$D$556, 2, FALSE))</f>
        <v>5.97</v>
      </c>
    </row>
    <row r="818" spans="2:9" ht="30" x14ac:dyDescent="0.5">
      <c r="B818" s="1162" t="s">
        <v>2702</v>
      </c>
      <c r="C818" s="1163" t="s">
        <v>2755</v>
      </c>
      <c r="D818" s="1163" t="s">
        <v>3585</v>
      </c>
      <c r="E818" s="1164"/>
      <c r="F818" s="1165">
        <v>39455</v>
      </c>
      <c r="G818" s="1166" t="s">
        <v>2695</v>
      </c>
      <c r="H818" s="1167">
        <v>10.75</v>
      </c>
      <c r="I818" s="1168">
        <f>IF(DAY($F818)&gt;15, VLOOKUP(EOMONTH($F818,-1),'WP 3.1 Rate Case Regress.'!$C$5:$D$556,2,FALSE), VLOOKUP(EOMONTH($F818, -2), 'WP 3.1 Rate Case Regress.'!$C$5:$D$556, 2, FALSE))</f>
        <v>5.97</v>
      </c>
    </row>
    <row r="819" spans="2:9" ht="30" x14ac:dyDescent="0.5">
      <c r="B819" s="1162" t="s">
        <v>2702</v>
      </c>
      <c r="C819" s="1163" t="s">
        <v>2773</v>
      </c>
      <c r="D819" s="1163" t="s">
        <v>3586</v>
      </c>
      <c r="E819" s="1164"/>
      <c r="F819" s="1165">
        <v>39464</v>
      </c>
      <c r="G819" s="1166" t="s">
        <v>2695</v>
      </c>
      <c r="H819" s="1167">
        <v>10.75</v>
      </c>
      <c r="I819" s="1168">
        <f>IF(DAY($F819)&gt;15, VLOOKUP(EOMONTH($F819,-1),'WP 3.1 Rate Case Regress.'!$C$5:$D$556,2,FALSE), VLOOKUP(EOMONTH($F819, -2), 'WP 3.1 Rate Case Regress.'!$C$5:$D$556, 2, FALSE))</f>
        <v>6.16</v>
      </c>
    </row>
    <row r="820" spans="2:9" x14ac:dyDescent="0.5">
      <c r="B820" s="1162" t="s">
        <v>2702</v>
      </c>
      <c r="C820" s="1163" t="s">
        <v>2903</v>
      </c>
      <c r="D820" s="1163" t="s">
        <v>3587</v>
      </c>
      <c r="E820" s="1164"/>
      <c r="F820" s="1165">
        <v>39464</v>
      </c>
      <c r="G820" s="1166" t="s">
        <v>2695</v>
      </c>
      <c r="H820" s="1167">
        <v>10.75</v>
      </c>
      <c r="I820" s="1168">
        <f>IF(DAY($F820)&gt;15, VLOOKUP(EOMONTH($F820,-1),'WP 3.1 Rate Case Regress.'!$C$5:$D$556,2,FALSE), VLOOKUP(EOMONTH($F820, -2), 'WP 3.1 Rate Case Regress.'!$C$5:$D$556, 2, FALSE))</f>
        <v>6.16</v>
      </c>
    </row>
    <row r="821" spans="2:9" x14ac:dyDescent="0.5">
      <c r="B821" s="1162" t="s">
        <v>2693</v>
      </c>
      <c r="C821" s="1163" t="s">
        <v>2961</v>
      </c>
      <c r="D821" s="1163" t="s">
        <v>3588</v>
      </c>
      <c r="E821" s="1164"/>
      <c r="F821" s="1165">
        <v>39483</v>
      </c>
      <c r="G821" s="1166" t="s">
        <v>2695</v>
      </c>
      <c r="H821" s="1167">
        <v>10.19</v>
      </c>
      <c r="I821" s="1168">
        <f>IF(DAY($F821)&gt;15, VLOOKUP(EOMONTH($F821,-1),'WP 3.1 Rate Case Regress.'!$C$5:$D$556,2,FALSE), VLOOKUP(EOMONTH($F821, -2), 'WP 3.1 Rate Case Regress.'!$C$5:$D$556, 2, FALSE))</f>
        <v>6.16</v>
      </c>
    </row>
    <row r="822" spans="2:9" x14ac:dyDescent="0.5">
      <c r="B822" s="1162" t="s">
        <v>2693</v>
      </c>
      <c r="C822" s="1163" t="s">
        <v>2959</v>
      </c>
      <c r="D822" s="1163" t="s">
        <v>3589</v>
      </c>
      <c r="E822" s="1164"/>
      <c r="F822" s="1165">
        <v>39483</v>
      </c>
      <c r="G822" s="1166" t="s">
        <v>2695</v>
      </c>
      <c r="H822" s="1167">
        <v>9.99</v>
      </c>
      <c r="I822" s="1168">
        <f>IF(DAY($F822)&gt;15, VLOOKUP(EOMONTH($F822,-1),'WP 3.1 Rate Case Regress.'!$C$5:$D$556,2,FALSE), VLOOKUP(EOMONTH($F822, -2), 'WP 3.1 Rate Case Regress.'!$C$5:$D$556, 2, FALSE))</f>
        <v>6.16</v>
      </c>
    </row>
    <row r="823" spans="2:9" x14ac:dyDescent="0.5">
      <c r="B823" s="1162" t="s">
        <v>2739</v>
      </c>
      <c r="C823" s="1163" t="s">
        <v>2956</v>
      </c>
      <c r="D823" s="1163" t="s">
        <v>4926</v>
      </c>
      <c r="E823" s="1164"/>
      <c r="F823" s="1165">
        <v>39491</v>
      </c>
      <c r="G823" s="1166" t="s">
        <v>4585</v>
      </c>
      <c r="H823" s="1167">
        <v>10.199999999999999</v>
      </c>
      <c r="I823" s="1168">
        <f>IF(DAY($F823)&gt;15, VLOOKUP(EOMONTH($F823,-1),'WP 3.1 Rate Case Regress.'!$C$5:$D$556,2,FALSE), VLOOKUP(EOMONTH($F823, -2), 'WP 3.1 Rate Case Regress.'!$C$5:$D$556, 2, FALSE))</f>
        <v>6.16</v>
      </c>
    </row>
    <row r="824" spans="2:9" x14ac:dyDescent="0.5">
      <c r="B824" s="1162" t="s">
        <v>2774</v>
      </c>
      <c r="C824" s="1163" t="s">
        <v>2727</v>
      </c>
      <c r="D824" s="1163" t="s">
        <v>4927</v>
      </c>
      <c r="E824" s="1164"/>
      <c r="F824" s="1165">
        <v>39538</v>
      </c>
      <c r="G824" s="1166" t="s">
        <v>4585</v>
      </c>
      <c r="H824" s="1167">
        <v>10</v>
      </c>
      <c r="I824" s="1168">
        <f>IF(DAY($F824)&gt;15, VLOOKUP(EOMONTH($F824,-1),'WP 3.1 Rate Case Regress.'!$C$5:$D$556,2,FALSE), VLOOKUP(EOMONTH($F824, -2), 'WP 3.1 Rate Case Regress.'!$C$5:$D$556, 2, FALSE))</f>
        <v>6.21</v>
      </c>
    </row>
    <row r="825" spans="2:9" x14ac:dyDescent="0.5">
      <c r="B825" s="1162" t="s">
        <v>2710</v>
      </c>
      <c r="C825" s="1163" t="s">
        <v>2761</v>
      </c>
      <c r="D825" s="1163" t="s">
        <v>4928</v>
      </c>
      <c r="E825" s="1164"/>
      <c r="F825" s="1165">
        <v>39596</v>
      </c>
      <c r="G825" s="1166" t="s">
        <v>4585</v>
      </c>
      <c r="H825" s="1167">
        <v>10.5</v>
      </c>
      <c r="I825" s="1168">
        <f>IF(DAY($F825)&gt;15, VLOOKUP(EOMONTH($F825,-1),'WP 3.1 Rate Case Regress.'!$C$5:$D$556,2,FALSE), VLOOKUP(EOMONTH($F825, -2), 'WP 3.1 Rate Case Regress.'!$C$5:$D$556, 2, FALSE))</f>
        <v>6.29</v>
      </c>
    </row>
    <row r="826" spans="2:9" ht="30" x14ac:dyDescent="0.5">
      <c r="B826" s="1162" t="s">
        <v>2775</v>
      </c>
      <c r="C826" s="1163" t="s">
        <v>2944</v>
      </c>
      <c r="D826" s="1163" t="s">
        <v>4929</v>
      </c>
      <c r="E826" s="1164"/>
      <c r="F826" s="1165">
        <v>39623</v>
      </c>
      <c r="G826" s="1166" t="s">
        <v>4585</v>
      </c>
      <c r="H826" s="1167">
        <v>10</v>
      </c>
      <c r="I826" s="1168">
        <f>IF(DAY($F826)&gt;15, VLOOKUP(EOMONTH($F826,-1),'WP 3.1 Rate Case Regress.'!$C$5:$D$556,2,FALSE), VLOOKUP(EOMONTH($F826, -2), 'WP 3.1 Rate Case Regress.'!$C$5:$D$556, 2, FALSE))</f>
        <v>6.27</v>
      </c>
    </row>
    <row r="827" spans="2:9" x14ac:dyDescent="0.5">
      <c r="B827" s="1162" t="s">
        <v>2714</v>
      </c>
      <c r="C827" s="1163" t="s">
        <v>4648</v>
      </c>
      <c r="D827" s="1163" t="s">
        <v>3590</v>
      </c>
      <c r="E827" s="1164"/>
      <c r="F827" s="1165">
        <v>39626</v>
      </c>
      <c r="G827" s="1166" t="s">
        <v>2695</v>
      </c>
      <c r="H827" s="1167">
        <v>10</v>
      </c>
      <c r="I827" s="1168">
        <f>IF(DAY($F827)&gt;15, VLOOKUP(EOMONTH($F827,-1),'WP 3.1 Rate Case Regress.'!$C$5:$D$556,2,FALSE), VLOOKUP(EOMONTH($F827, -2), 'WP 3.1 Rate Case Regress.'!$C$5:$D$556, 2, FALSE))</f>
        <v>6.27</v>
      </c>
    </row>
    <row r="828" spans="2:9" x14ac:dyDescent="0.5">
      <c r="B828" s="1162" t="s">
        <v>2738</v>
      </c>
      <c r="C828" s="1163" t="s">
        <v>2954</v>
      </c>
      <c r="D828" s="1163" t="s">
        <v>4930</v>
      </c>
      <c r="E828" s="1164"/>
      <c r="F828" s="1165">
        <v>39660</v>
      </c>
      <c r="G828" s="1166" t="s">
        <v>4585</v>
      </c>
      <c r="H828" s="1167">
        <v>10.82</v>
      </c>
      <c r="I828" s="1168">
        <f>IF(DAY($F828)&gt;15, VLOOKUP(EOMONTH($F828,-1),'WP 3.1 Rate Case Regress.'!$C$5:$D$556,2,FALSE), VLOOKUP(EOMONTH($F828, -2), 'WP 3.1 Rate Case Regress.'!$C$5:$D$556, 2, FALSE))</f>
        <v>6.38</v>
      </c>
    </row>
    <row r="829" spans="2:9" x14ac:dyDescent="0.5">
      <c r="B829" s="1162" t="s">
        <v>2738</v>
      </c>
      <c r="C829" s="1163" t="s">
        <v>2741</v>
      </c>
      <c r="D829" s="1163" t="s">
        <v>4931</v>
      </c>
      <c r="E829" s="1164"/>
      <c r="F829" s="1165">
        <v>39660</v>
      </c>
      <c r="G829" s="1166" t="s">
        <v>4585</v>
      </c>
      <c r="H829" s="1167">
        <v>10.7</v>
      </c>
      <c r="I829" s="1168">
        <f>IF(DAY($F829)&gt;15, VLOOKUP(EOMONTH($F829,-1),'WP 3.1 Rate Case Regress.'!$C$5:$D$556,2,FALSE), VLOOKUP(EOMONTH($F829, -2), 'WP 3.1 Rate Case Regress.'!$C$5:$D$556, 2, FALSE))</f>
        <v>6.38</v>
      </c>
    </row>
    <row r="830" spans="2:9" x14ac:dyDescent="0.5">
      <c r="B830" s="1162" t="s">
        <v>2715</v>
      </c>
      <c r="C830" s="1163" t="s">
        <v>3623</v>
      </c>
      <c r="D830" s="1163" t="s">
        <v>4932</v>
      </c>
      <c r="E830" s="1164"/>
      <c r="F830" s="1165">
        <v>39687</v>
      </c>
      <c r="G830" s="1166" t="s">
        <v>4585</v>
      </c>
      <c r="H830" s="1167">
        <v>10.25</v>
      </c>
      <c r="I830" s="1168">
        <f>IF(DAY($F830)&gt;15, VLOOKUP(EOMONTH($F830,-1),'WP 3.1 Rate Case Regress.'!$C$5:$D$556,2,FALSE), VLOOKUP(EOMONTH($F830, -2), 'WP 3.1 Rate Case Regress.'!$C$5:$D$556, 2, FALSE))</f>
        <v>6.4</v>
      </c>
    </row>
    <row r="831" spans="2:9" x14ac:dyDescent="0.5">
      <c r="B831" s="1162" t="s">
        <v>2758</v>
      </c>
      <c r="C831" s="1163" t="s">
        <v>4899</v>
      </c>
      <c r="D831" s="1163" t="s">
        <v>4933</v>
      </c>
      <c r="E831" s="1164"/>
      <c r="F831" s="1165">
        <v>39693</v>
      </c>
      <c r="G831" s="1166" t="s">
        <v>4585</v>
      </c>
      <c r="H831" s="1167">
        <v>10.25</v>
      </c>
      <c r="I831" s="1168">
        <f>IF(DAY($F831)&gt;15, VLOOKUP(EOMONTH($F831,-1),'WP 3.1 Rate Case Regress.'!$C$5:$D$556,2,FALSE), VLOOKUP(EOMONTH($F831, -2), 'WP 3.1 Rate Case Regress.'!$C$5:$D$556, 2, FALSE))</f>
        <v>6.4</v>
      </c>
    </row>
    <row r="832" spans="2:9" x14ac:dyDescent="0.5">
      <c r="B832" s="1162" t="s">
        <v>2699</v>
      </c>
      <c r="C832" s="1163" t="s">
        <v>2944</v>
      </c>
      <c r="D832" s="1163" t="s">
        <v>3591</v>
      </c>
      <c r="E832" s="1164"/>
      <c r="F832" s="1165">
        <v>39710</v>
      </c>
      <c r="G832" s="1166" t="s">
        <v>2695</v>
      </c>
      <c r="H832" s="1167">
        <v>10.7</v>
      </c>
      <c r="I832" s="1168">
        <f>IF(DAY($F832)&gt;15, VLOOKUP(EOMONTH($F832,-1),'WP 3.1 Rate Case Regress.'!$C$5:$D$556,2,FALSE), VLOOKUP(EOMONTH($F832, -2), 'WP 3.1 Rate Case Regress.'!$C$5:$D$556, 2, FALSE))</f>
        <v>6.370000000000001</v>
      </c>
    </row>
    <row r="833" spans="2:9" x14ac:dyDescent="0.5">
      <c r="B833" s="1162" t="s">
        <v>2693</v>
      </c>
      <c r="C833" s="1163" t="s">
        <v>2742</v>
      </c>
      <c r="D833" s="1163" t="s">
        <v>3592</v>
      </c>
      <c r="E833" s="1164"/>
      <c r="F833" s="1165">
        <v>39715</v>
      </c>
      <c r="G833" s="1166" t="s">
        <v>2695</v>
      </c>
      <c r="H833" s="1167">
        <v>10.68</v>
      </c>
      <c r="I833" s="1168">
        <f>IF(DAY($F833)&gt;15, VLOOKUP(EOMONTH($F833,-1),'WP 3.1 Rate Case Regress.'!$C$5:$D$556,2,FALSE), VLOOKUP(EOMONTH($F833, -2), 'WP 3.1 Rate Case Regress.'!$C$5:$D$556, 2, FALSE))</f>
        <v>6.370000000000001</v>
      </c>
    </row>
    <row r="834" spans="2:9" x14ac:dyDescent="0.5">
      <c r="B834" s="1162" t="s">
        <v>2693</v>
      </c>
      <c r="C834" s="1163" t="s">
        <v>2742</v>
      </c>
      <c r="D834" s="1163" t="s">
        <v>3593</v>
      </c>
      <c r="E834" s="1164"/>
      <c r="F834" s="1165">
        <v>39715</v>
      </c>
      <c r="G834" s="1166" t="s">
        <v>2695</v>
      </c>
      <c r="H834" s="1167">
        <v>10.68</v>
      </c>
      <c r="I834" s="1168">
        <f>IF(DAY($F834)&gt;15, VLOOKUP(EOMONTH($F834,-1),'WP 3.1 Rate Case Regress.'!$C$5:$D$556,2,FALSE), VLOOKUP(EOMONTH($F834, -2), 'WP 3.1 Rate Case Regress.'!$C$5:$D$556, 2, FALSE))</f>
        <v>6.370000000000001</v>
      </c>
    </row>
    <row r="835" spans="2:9" x14ac:dyDescent="0.5">
      <c r="B835" s="1162" t="s">
        <v>2693</v>
      </c>
      <c r="C835" s="1163" t="s">
        <v>2742</v>
      </c>
      <c r="D835" s="1163" t="s">
        <v>3594</v>
      </c>
      <c r="E835" s="1164"/>
      <c r="F835" s="1165">
        <v>39715</v>
      </c>
      <c r="G835" s="1166" t="s">
        <v>2695</v>
      </c>
      <c r="H835" s="1167">
        <v>10.68</v>
      </c>
      <c r="I835" s="1168">
        <f>IF(DAY($F835)&gt;15, VLOOKUP(EOMONTH($F835,-1),'WP 3.1 Rate Case Regress.'!$C$5:$D$556,2,FALSE), VLOOKUP(EOMONTH($F835, -2), 'WP 3.1 Rate Case Regress.'!$C$5:$D$556, 2, FALSE))</f>
        <v>6.370000000000001</v>
      </c>
    </row>
    <row r="836" spans="2:9" x14ac:dyDescent="0.5">
      <c r="B836" s="1162" t="s">
        <v>2726</v>
      </c>
      <c r="C836" s="1163" t="s">
        <v>2727</v>
      </c>
      <c r="D836" s="1163" t="s">
        <v>4934</v>
      </c>
      <c r="E836" s="1164"/>
      <c r="F836" s="1165">
        <v>39721</v>
      </c>
      <c r="G836" s="1166" t="s">
        <v>4585</v>
      </c>
      <c r="H836" s="1167">
        <v>10.199999999999999</v>
      </c>
      <c r="I836" s="1168">
        <f>IF(DAY($F836)&gt;15, VLOOKUP(EOMONTH($F836,-1),'WP 3.1 Rate Case Regress.'!$C$5:$D$556,2,FALSE), VLOOKUP(EOMONTH($F836, -2), 'WP 3.1 Rate Case Regress.'!$C$5:$D$556, 2, FALSE))</f>
        <v>6.370000000000001</v>
      </c>
    </row>
    <row r="837" spans="2:9" x14ac:dyDescent="0.5">
      <c r="B837" s="1162" t="s">
        <v>2712</v>
      </c>
      <c r="C837" s="1163" t="s">
        <v>3255</v>
      </c>
      <c r="D837" s="1163" t="s">
        <v>4935</v>
      </c>
      <c r="E837" s="1164"/>
      <c r="F837" s="1165">
        <v>39724</v>
      </c>
      <c r="G837" s="1166" t="s">
        <v>4585</v>
      </c>
      <c r="H837" s="1167">
        <v>10.3</v>
      </c>
      <c r="I837" s="1168">
        <f>IF(DAY($F837)&gt;15, VLOOKUP(EOMONTH($F837,-1),'WP 3.1 Rate Case Regress.'!$C$5:$D$556,2,FALSE), VLOOKUP(EOMONTH($F837, -2), 'WP 3.1 Rate Case Regress.'!$C$5:$D$556, 2, FALSE))</f>
        <v>6.370000000000001</v>
      </c>
    </row>
    <row r="838" spans="2:9" x14ac:dyDescent="0.5">
      <c r="B838" s="1162" t="s">
        <v>2736</v>
      </c>
      <c r="C838" s="1163" t="s">
        <v>2737</v>
      </c>
      <c r="D838" s="1163" t="s">
        <v>4936</v>
      </c>
      <c r="E838" s="1164"/>
      <c r="F838" s="1165">
        <v>39729</v>
      </c>
      <c r="G838" s="1166" t="s">
        <v>4585</v>
      </c>
      <c r="H838" s="1167">
        <v>10.15</v>
      </c>
      <c r="I838" s="1168">
        <f>IF(DAY($F838)&gt;15, VLOOKUP(EOMONTH($F838,-1),'WP 3.1 Rate Case Regress.'!$C$5:$D$556,2,FALSE), VLOOKUP(EOMONTH($F838, -2), 'WP 3.1 Rate Case Regress.'!$C$5:$D$556, 2, FALSE))</f>
        <v>6.370000000000001</v>
      </c>
    </row>
    <row r="839" spans="2:9" x14ac:dyDescent="0.5">
      <c r="B839" s="1162" t="s">
        <v>2775</v>
      </c>
      <c r="C839" s="1163" t="s">
        <v>2975</v>
      </c>
      <c r="D839" s="1163" t="s">
        <v>4937</v>
      </c>
      <c r="E839" s="1164"/>
      <c r="F839" s="1165">
        <v>39741</v>
      </c>
      <c r="G839" s="1166" t="s">
        <v>4585</v>
      </c>
      <c r="H839" s="1167">
        <v>10.06</v>
      </c>
      <c r="I839" s="1168">
        <f>IF(DAY($F839)&gt;15, VLOOKUP(EOMONTH($F839,-1),'WP 3.1 Rate Case Regress.'!$C$5:$D$556,2,FALSE), VLOOKUP(EOMONTH($F839, -2), 'WP 3.1 Rate Case Regress.'!$C$5:$D$556, 2, FALSE))</f>
        <v>6.49</v>
      </c>
    </row>
    <row r="840" spans="2:9" x14ac:dyDescent="0.5">
      <c r="B840" s="1162" t="s">
        <v>2743</v>
      </c>
      <c r="C840" s="1163" t="s">
        <v>3012</v>
      </c>
      <c r="D840" s="1163" t="s">
        <v>4938</v>
      </c>
      <c r="E840" s="1164"/>
      <c r="F840" s="1165">
        <v>39745</v>
      </c>
      <c r="G840" s="1166" t="s">
        <v>4585</v>
      </c>
      <c r="H840" s="1167">
        <v>10.6</v>
      </c>
      <c r="I840" s="1168">
        <f>IF(DAY($F840)&gt;15, VLOOKUP(EOMONTH($F840,-1),'WP 3.1 Rate Case Regress.'!$C$5:$D$556,2,FALSE), VLOOKUP(EOMONTH($F840, -2), 'WP 3.1 Rate Case Regress.'!$C$5:$D$556, 2, FALSE))</f>
        <v>6.49</v>
      </c>
    </row>
    <row r="841" spans="2:9" x14ac:dyDescent="0.5">
      <c r="B841" s="1162" t="s">
        <v>2743</v>
      </c>
      <c r="C841" s="1163" t="s">
        <v>2969</v>
      </c>
      <c r="D841" s="1163" t="s">
        <v>4939</v>
      </c>
      <c r="E841" s="1164"/>
      <c r="F841" s="1165">
        <v>39745</v>
      </c>
      <c r="G841" s="1166" t="s">
        <v>4585</v>
      </c>
      <c r="H841" s="1167">
        <v>10.6</v>
      </c>
      <c r="I841" s="1168">
        <f>IF(DAY($F841)&gt;15, VLOOKUP(EOMONTH($F841,-1),'WP 3.1 Rate Case Regress.'!$C$5:$D$556,2,FALSE), VLOOKUP(EOMONTH($F841, -2), 'WP 3.1 Rate Case Regress.'!$C$5:$D$556, 2, FALSE))</f>
        <v>6.49</v>
      </c>
    </row>
    <row r="842" spans="2:9" ht="30" x14ac:dyDescent="0.5">
      <c r="B842" s="1162" t="s">
        <v>2738</v>
      </c>
      <c r="C842" s="1163" t="s">
        <v>2939</v>
      </c>
      <c r="D842" s="1163" t="s">
        <v>4940</v>
      </c>
      <c r="E842" s="1164"/>
      <c r="F842" s="1165">
        <v>39773</v>
      </c>
      <c r="G842" s="1166" t="s">
        <v>4585</v>
      </c>
      <c r="H842" s="1167">
        <v>10.5</v>
      </c>
      <c r="I842" s="1168">
        <f>IF(DAY($F842)&gt;15, VLOOKUP(EOMONTH($F842,-1),'WP 3.1 Rate Case Regress.'!$C$5:$D$556,2,FALSE), VLOOKUP(EOMONTH($F842, -2), 'WP 3.1 Rate Case Regress.'!$C$5:$D$556, 2, FALSE))</f>
        <v>7.5600000000000005</v>
      </c>
    </row>
    <row r="843" spans="2:9" ht="30" x14ac:dyDescent="0.5">
      <c r="B843" s="1162" t="s">
        <v>2738</v>
      </c>
      <c r="C843" s="1163" t="s">
        <v>2939</v>
      </c>
      <c r="D843" s="1163" t="s">
        <v>4941</v>
      </c>
      <c r="E843" s="1164"/>
      <c r="F843" s="1165">
        <v>39773</v>
      </c>
      <c r="G843" s="1166" t="s">
        <v>4585</v>
      </c>
      <c r="H843" s="1167">
        <v>10.5</v>
      </c>
      <c r="I843" s="1168">
        <f>IF(DAY($F843)&gt;15, VLOOKUP(EOMONTH($F843,-1),'WP 3.1 Rate Case Regress.'!$C$5:$D$556,2,FALSE), VLOOKUP(EOMONTH($F843, -2), 'WP 3.1 Rate Case Regress.'!$C$5:$D$556, 2, FALSE))</f>
        <v>7.5600000000000005</v>
      </c>
    </row>
    <row r="844" spans="2:9" ht="30" x14ac:dyDescent="0.5">
      <c r="B844" s="1162" t="s">
        <v>2738</v>
      </c>
      <c r="C844" s="1163" t="s">
        <v>2939</v>
      </c>
      <c r="D844" s="1163" t="s">
        <v>4942</v>
      </c>
      <c r="E844" s="1164"/>
      <c r="F844" s="1165">
        <v>39773</v>
      </c>
      <c r="G844" s="1166" t="s">
        <v>4585</v>
      </c>
      <c r="H844" s="1167">
        <v>10.5</v>
      </c>
      <c r="I844" s="1168">
        <f>IF(DAY($F844)&gt;15, VLOOKUP(EOMONTH($F844,-1),'WP 3.1 Rate Case Regress.'!$C$5:$D$556,2,FALSE), VLOOKUP(EOMONTH($F844, -2), 'WP 3.1 Rate Case Regress.'!$C$5:$D$556, 2, FALSE))</f>
        <v>7.5600000000000005</v>
      </c>
    </row>
    <row r="845" spans="2:9" x14ac:dyDescent="0.5">
      <c r="B845" s="1162" t="s">
        <v>2763</v>
      </c>
      <c r="C845" s="1163" t="s">
        <v>3059</v>
      </c>
      <c r="D845" s="1163" t="s">
        <v>3595</v>
      </c>
      <c r="E845" s="1164"/>
      <c r="F845" s="1165">
        <v>39776</v>
      </c>
      <c r="G845" s="1166" t="s">
        <v>2695</v>
      </c>
      <c r="H845" s="1167">
        <v>10.5</v>
      </c>
      <c r="I845" s="1168">
        <f>IF(DAY($F845)&gt;15, VLOOKUP(EOMONTH($F845,-1),'WP 3.1 Rate Case Regress.'!$C$5:$D$556,2,FALSE), VLOOKUP(EOMONTH($F845, -2), 'WP 3.1 Rate Case Regress.'!$C$5:$D$556, 2, FALSE))</f>
        <v>7.5600000000000005</v>
      </c>
    </row>
    <row r="846" spans="2:9" x14ac:dyDescent="0.5">
      <c r="B846" s="1162" t="s">
        <v>2710</v>
      </c>
      <c r="C846" s="1163" t="s">
        <v>3000</v>
      </c>
      <c r="D846" s="1163" t="s">
        <v>4943</v>
      </c>
      <c r="E846" s="1164"/>
      <c r="F846" s="1165">
        <v>39785</v>
      </c>
      <c r="G846" s="1166" t="s">
        <v>4585</v>
      </c>
      <c r="H846" s="1167">
        <v>10.39</v>
      </c>
      <c r="I846" s="1168">
        <f>IF(DAY($F846)&gt;15, VLOOKUP(EOMONTH($F846,-1),'WP 3.1 Rate Case Regress.'!$C$5:$D$556,2,FALSE), VLOOKUP(EOMONTH($F846, -2), 'WP 3.1 Rate Case Regress.'!$C$5:$D$556, 2, FALSE))</f>
        <v>7.5600000000000005</v>
      </c>
    </row>
    <row r="847" spans="2:9" ht="30" x14ac:dyDescent="0.5">
      <c r="B847" s="1162" t="s">
        <v>2717</v>
      </c>
      <c r="C847" s="1163" t="s">
        <v>2939</v>
      </c>
      <c r="D847" s="1163" t="s">
        <v>3596</v>
      </c>
      <c r="E847" s="1164"/>
      <c r="F847" s="1165">
        <v>39806</v>
      </c>
      <c r="G847" s="1166" t="s">
        <v>2695</v>
      </c>
      <c r="H847" s="1167">
        <v>10</v>
      </c>
      <c r="I847" s="1168">
        <f>IF(DAY($F847)&gt;15, VLOOKUP(EOMONTH($F847,-1),'WP 3.1 Rate Case Regress.'!$C$5:$D$556,2,FALSE), VLOOKUP(EOMONTH($F847, -2), 'WP 3.1 Rate Case Regress.'!$C$5:$D$556, 2, FALSE))</f>
        <v>7.6</v>
      </c>
    </row>
    <row r="848" spans="2:9" x14ac:dyDescent="0.5">
      <c r="B848" s="1162" t="s">
        <v>2736</v>
      </c>
      <c r="C848" s="1163" t="s">
        <v>3493</v>
      </c>
      <c r="D848" s="1163" t="s">
        <v>4944</v>
      </c>
      <c r="E848" s="1164"/>
      <c r="F848" s="1165">
        <v>39808</v>
      </c>
      <c r="G848" s="1166" t="s">
        <v>4585</v>
      </c>
      <c r="H848" s="1167">
        <v>10.1</v>
      </c>
      <c r="I848" s="1168">
        <f>IF(DAY($F848)&gt;15, VLOOKUP(EOMONTH($F848,-1),'WP 3.1 Rate Case Regress.'!$C$5:$D$556,2,FALSE), VLOOKUP(EOMONTH($F848, -2), 'WP 3.1 Rate Case Regress.'!$C$5:$D$556, 2, FALSE))</f>
        <v>7.6</v>
      </c>
    </row>
    <row r="849" spans="2:9" x14ac:dyDescent="0.5">
      <c r="B849" s="1162" t="s">
        <v>2736</v>
      </c>
      <c r="C849" s="1163" t="s">
        <v>2727</v>
      </c>
      <c r="D849" s="1163" t="s">
        <v>4945</v>
      </c>
      <c r="E849" s="1164"/>
      <c r="F849" s="1165">
        <v>39811</v>
      </c>
      <c r="G849" s="1166" t="s">
        <v>4585</v>
      </c>
      <c r="H849" s="1167">
        <v>10.199999999999999</v>
      </c>
      <c r="I849" s="1168">
        <f>IF(DAY($F849)&gt;15, VLOOKUP(EOMONTH($F849,-1),'WP 3.1 Rate Case Regress.'!$C$5:$D$556,2,FALSE), VLOOKUP(EOMONTH($F849, -2), 'WP 3.1 Rate Case Regress.'!$C$5:$D$556, 2, FALSE))</f>
        <v>7.6</v>
      </c>
    </row>
    <row r="850" spans="2:9" x14ac:dyDescent="0.5">
      <c r="B850" s="1162" t="s">
        <v>2744</v>
      </c>
      <c r="C850" s="1163" t="s">
        <v>3244</v>
      </c>
      <c r="D850" s="1163" t="s">
        <v>4946</v>
      </c>
      <c r="E850" s="1164"/>
      <c r="F850" s="1165">
        <v>39826</v>
      </c>
      <c r="G850" s="1166" t="s">
        <v>4585</v>
      </c>
      <c r="H850" s="1167">
        <v>10.45</v>
      </c>
      <c r="I850" s="1168">
        <f>IF(DAY($F850)&gt;15, VLOOKUP(EOMONTH($F850,-1),'WP 3.1 Rate Case Regress.'!$C$5:$D$556,2,FALSE), VLOOKUP(EOMONTH($F850, -2), 'WP 3.1 Rate Case Regress.'!$C$5:$D$556, 2, FALSE))</f>
        <v>7.6</v>
      </c>
    </row>
    <row r="851" spans="2:9" x14ac:dyDescent="0.5">
      <c r="B851" s="1162" t="s">
        <v>2700</v>
      </c>
      <c r="C851" s="1163" t="s">
        <v>3597</v>
      </c>
      <c r="D851" s="1163" t="s">
        <v>3598</v>
      </c>
      <c r="E851" s="1164"/>
      <c r="F851" s="1165">
        <v>39846</v>
      </c>
      <c r="G851" s="1166" t="s">
        <v>2695</v>
      </c>
      <c r="H851" s="1167">
        <v>10.050000000000001</v>
      </c>
      <c r="I851" s="1168">
        <f>IF(DAY($F851)&gt;15, VLOOKUP(EOMONTH($F851,-1),'WP 3.1 Rate Case Regress.'!$C$5:$D$556,2,FALSE), VLOOKUP(EOMONTH($F851, -2), 'WP 3.1 Rate Case Regress.'!$C$5:$D$556, 2, FALSE))</f>
        <v>6.54</v>
      </c>
    </row>
    <row r="852" spans="2:9" x14ac:dyDescent="0.5">
      <c r="B852" s="1162" t="s">
        <v>2768</v>
      </c>
      <c r="C852" s="1163" t="s">
        <v>2944</v>
      </c>
      <c r="D852" s="1163" t="s">
        <v>4947</v>
      </c>
      <c r="E852" s="1164"/>
      <c r="F852" s="1165">
        <v>39881</v>
      </c>
      <c r="G852" s="1166" t="s">
        <v>4585</v>
      </c>
      <c r="H852" s="1167">
        <v>10.3</v>
      </c>
      <c r="I852" s="1168">
        <f>IF(DAY($F852)&gt;15, VLOOKUP(EOMONTH($F852,-1),'WP 3.1 Rate Case Regress.'!$C$5:$D$556,2,FALSE), VLOOKUP(EOMONTH($F852, -2), 'WP 3.1 Rate Case Regress.'!$C$5:$D$556, 2, FALSE))</f>
        <v>6.39</v>
      </c>
    </row>
    <row r="853" spans="2:9" x14ac:dyDescent="0.5">
      <c r="B853" s="1162" t="s">
        <v>2693</v>
      </c>
      <c r="C853" s="1163" t="s">
        <v>2629</v>
      </c>
      <c r="D853" s="1163" t="s">
        <v>3599</v>
      </c>
      <c r="E853" s="1164"/>
      <c r="F853" s="1165">
        <v>39897</v>
      </c>
      <c r="G853" s="1166" t="s">
        <v>2695</v>
      </c>
      <c r="H853" s="1167">
        <v>10.17</v>
      </c>
      <c r="I853" s="1168">
        <f>IF(DAY($F853)&gt;15, VLOOKUP(EOMONTH($F853,-1),'WP 3.1 Rate Case Regress.'!$C$5:$D$556,2,FALSE), VLOOKUP(EOMONTH($F853, -2), 'WP 3.1 Rate Case Regress.'!$C$5:$D$556, 2, FALSE))</f>
        <v>6.3</v>
      </c>
    </row>
    <row r="854" spans="2:9" x14ac:dyDescent="0.5">
      <c r="B854" s="1162" t="s">
        <v>2732</v>
      </c>
      <c r="C854" s="1163" t="s">
        <v>2745</v>
      </c>
      <c r="D854" s="1163" t="s">
        <v>4948</v>
      </c>
      <c r="E854" s="1164"/>
      <c r="F854" s="1165">
        <v>39905</v>
      </c>
      <c r="G854" s="1166" t="s">
        <v>4585</v>
      </c>
      <c r="H854" s="1167">
        <v>10.75</v>
      </c>
      <c r="I854" s="1168">
        <f>IF(DAY($F854)&gt;15, VLOOKUP(EOMONTH($F854,-1),'WP 3.1 Rate Case Regress.'!$C$5:$D$556,2,FALSE), VLOOKUP(EOMONTH($F854, -2), 'WP 3.1 Rate Case Regress.'!$C$5:$D$556, 2, FALSE))</f>
        <v>6.3</v>
      </c>
    </row>
    <row r="855" spans="2:9" x14ac:dyDescent="0.5">
      <c r="B855" s="1162" t="s">
        <v>2772</v>
      </c>
      <c r="C855" s="1163" t="s">
        <v>3600</v>
      </c>
      <c r="D855" s="1163" t="s">
        <v>3601</v>
      </c>
      <c r="E855" s="1164"/>
      <c r="F855" s="1165">
        <v>39938</v>
      </c>
      <c r="G855" s="1166" t="s">
        <v>2695</v>
      </c>
      <c r="H855" s="1167">
        <v>10.75</v>
      </c>
      <c r="I855" s="1168">
        <f>IF(DAY($F855)&gt;15, VLOOKUP(EOMONTH($F855,-1),'WP 3.1 Rate Case Regress.'!$C$5:$D$556,2,FALSE), VLOOKUP(EOMONTH($F855, -2), 'WP 3.1 Rate Case Regress.'!$C$5:$D$556, 2, FALSE))</f>
        <v>6.42</v>
      </c>
    </row>
    <row r="856" spans="2:9" x14ac:dyDescent="0.5">
      <c r="B856" s="1162" t="s">
        <v>2704</v>
      </c>
      <c r="C856" s="1163" t="s">
        <v>2705</v>
      </c>
      <c r="D856" s="1163" t="s">
        <v>4949</v>
      </c>
      <c r="E856" s="1164"/>
      <c r="F856" s="1165">
        <v>39948</v>
      </c>
      <c r="G856" s="1166" t="s">
        <v>4585</v>
      </c>
      <c r="H856" s="1167">
        <v>10.199999999999999</v>
      </c>
      <c r="I856" s="1168">
        <f>IF(DAY($F856)&gt;15, VLOOKUP(EOMONTH($F856,-1),'WP 3.1 Rate Case Regress.'!$C$5:$D$556,2,FALSE), VLOOKUP(EOMONTH($F856, -2), 'WP 3.1 Rate Case Regress.'!$C$5:$D$556, 2, FALSE))</f>
        <v>6.42</v>
      </c>
    </row>
    <row r="857" spans="2:9" x14ac:dyDescent="0.5">
      <c r="B857" s="1162" t="s">
        <v>2776</v>
      </c>
      <c r="C857" s="1163" t="s">
        <v>3602</v>
      </c>
      <c r="D857" s="1163" t="s">
        <v>3603</v>
      </c>
      <c r="E857" s="1164"/>
      <c r="F857" s="1165">
        <v>39962</v>
      </c>
      <c r="G857" s="1166" t="s">
        <v>2695</v>
      </c>
      <c r="H857" s="1167">
        <v>9.5399999999999991</v>
      </c>
      <c r="I857" s="1168">
        <f>IF(DAY($F857)&gt;15, VLOOKUP(EOMONTH($F857,-1),'WP 3.1 Rate Case Regress.'!$C$5:$D$556,2,FALSE), VLOOKUP(EOMONTH($F857, -2), 'WP 3.1 Rate Case Regress.'!$C$5:$D$556, 2, FALSE))</f>
        <v>6.48</v>
      </c>
    </row>
    <row r="858" spans="2:9" x14ac:dyDescent="0.5">
      <c r="B858" s="1162" t="s">
        <v>2708</v>
      </c>
      <c r="C858" s="1163" t="s">
        <v>3271</v>
      </c>
      <c r="D858" s="1163" t="s">
        <v>4950</v>
      </c>
      <c r="E858" s="1164"/>
      <c r="F858" s="1165">
        <v>39967</v>
      </c>
      <c r="G858" s="1166" t="s">
        <v>4585</v>
      </c>
      <c r="H858" s="1167">
        <v>10.1</v>
      </c>
      <c r="I858" s="1168">
        <f>IF(DAY($F858)&gt;15, VLOOKUP(EOMONTH($F858,-1),'WP 3.1 Rate Case Regress.'!$C$5:$D$556,2,FALSE), VLOOKUP(EOMONTH($F858, -2), 'WP 3.1 Rate Case Regress.'!$C$5:$D$556, 2, FALSE))</f>
        <v>6.48</v>
      </c>
    </row>
    <row r="859" spans="2:9" x14ac:dyDescent="0.5">
      <c r="B859" s="1162" t="s">
        <v>2704</v>
      </c>
      <c r="C859" s="1163" t="s">
        <v>2750</v>
      </c>
      <c r="D859" s="1163" t="s">
        <v>3604</v>
      </c>
      <c r="E859" s="1164"/>
      <c r="F859" s="1165">
        <v>39986</v>
      </c>
      <c r="G859" s="1166" t="s">
        <v>2695</v>
      </c>
      <c r="H859" s="1167">
        <v>10</v>
      </c>
      <c r="I859" s="1168">
        <f>IF(DAY($F859)&gt;15, VLOOKUP(EOMONTH($F859,-1),'WP 3.1 Rate Case Regress.'!$C$5:$D$556,2,FALSE), VLOOKUP(EOMONTH($F859, -2), 'WP 3.1 Rate Case Regress.'!$C$5:$D$556, 2, FALSE))</f>
        <v>6.49</v>
      </c>
    </row>
    <row r="860" spans="2:9" ht="30" x14ac:dyDescent="0.5">
      <c r="B860" s="1162" t="s">
        <v>2754</v>
      </c>
      <c r="C860" s="1163" t="s">
        <v>3123</v>
      </c>
      <c r="D860" s="1163" t="s">
        <v>3605</v>
      </c>
      <c r="E860" s="1164"/>
      <c r="F860" s="1165">
        <v>39993</v>
      </c>
      <c r="G860" s="1166" t="s">
        <v>2695</v>
      </c>
      <c r="H860" s="1167">
        <v>10.210000000000001</v>
      </c>
      <c r="I860" s="1168">
        <f>IF(DAY($F860)&gt;15, VLOOKUP(EOMONTH($F860,-1),'WP 3.1 Rate Case Regress.'!$C$5:$D$556,2,FALSE), VLOOKUP(EOMONTH($F860, -2), 'WP 3.1 Rate Case Regress.'!$C$5:$D$556, 2, FALSE))</f>
        <v>6.49</v>
      </c>
    </row>
    <row r="861" spans="2:9" x14ac:dyDescent="0.5">
      <c r="B861" s="1162" t="s">
        <v>2723</v>
      </c>
      <c r="C861" s="1163" t="s">
        <v>2921</v>
      </c>
      <c r="D861" s="1163" t="s">
        <v>3606</v>
      </c>
      <c r="E861" s="1164"/>
      <c r="F861" s="1165">
        <v>39994</v>
      </c>
      <c r="G861" s="1166" t="s">
        <v>2695</v>
      </c>
      <c r="H861" s="1167">
        <v>9.31</v>
      </c>
      <c r="I861" s="1168">
        <f>IF(DAY($F861)&gt;15, VLOOKUP(EOMONTH($F861,-1),'WP 3.1 Rate Case Regress.'!$C$5:$D$556,2,FALSE), VLOOKUP(EOMONTH($F861, -2), 'WP 3.1 Rate Case Regress.'!$C$5:$D$556, 2, FALSE))</f>
        <v>6.49</v>
      </c>
    </row>
    <row r="862" spans="2:9" x14ac:dyDescent="0.5">
      <c r="B862" s="1162" t="s">
        <v>2726</v>
      </c>
      <c r="C862" s="1163" t="s">
        <v>2727</v>
      </c>
      <c r="D862" s="1163" t="s">
        <v>4951</v>
      </c>
      <c r="E862" s="1164"/>
      <c r="F862" s="1165">
        <v>40011</v>
      </c>
      <c r="G862" s="1166" t="s">
        <v>4585</v>
      </c>
      <c r="H862" s="1167">
        <v>10.5</v>
      </c>
      <c r="I862" s="1168">
        <f>IF(DAY($F862)&gt;15, VLOOKUP(EOMONTH($F862,-1),'WP 3.1 Rate Case Regress.'!$C$5:$D$556,2,FALSE), VLOOKUP(EOMONTH($F862, -2), 'WP 3.1 Rate Case Regress.'!$C$5:$D$556, 2, FALSE))</f>
        <v>6.2</v>
      </c>
    </row>
    <row r="863" spans="2:9" x14ac:dyDescent="0.5">
      <c r="B863" s="1162" t="s">
        <v>2723</v>
      </c>
      <c r="C863" s="1163" t="s">
        <v>2949</v>
      </c>
      <c r="D863" s="1163" t="s">
        <v>3607</v>
      </c>
      <c r="E863" s="1164"/>
      <c r="F863" s="1165">
        <v>40011</v>
      </c>
      <c r="G863" s="1166" t="s">
        <v>2695</v>
      </c>
      <c r="H863" s="1167">
        <v>9.26</v>
      </c>
      <c r="I863" s="1168">
        <f>IF(DAY($F863)&gt;15, VLOOKUP(EOMONTH($F863,-1),'WP 3.1 Rate Case Regress.'!$C$5:$D$556,2,FALSE), VLOOKUP(EOMONTH($F863, -2), 'WP 3.1 Rate Case Regress.'!$C$5:$D$556, 2, FALSE))</f>
        <v>6.2</v>
      </c>
    </row>
    <row r="864" spans="2:9" x14ac:dyDescent="0.5">
      <c r="B864" s="1162" t="s">
        <v>2704</v>
      </c>
      <c r="C864" s="1163" t="s">
        <v>2707</v>
      </c>
      <c r="D864" s="1163" t="s">
        <v>4952</v>
      </c>
      <c r="E864" s="1164"/>
      <c r="F864" s="1165">
        <v>40102</v>
      </c>
      <c r="G864" s="1166" t="s">
        <v>4585</v>
      </c>
      <c r="H864" s="1167">
        <v>10.4</v>
      </c>
      <c r="I864" s="1168">
        <f>IF(DAY($F864)&gt;15, VLOOKUP(EOMONTH($F864,-1),'WP 3.1 Rate Case Regress.'!$C$5:$D$556,2,FALSE), VLOOKUP(EOMONTH($F864, -2), 'WP 3.1 Rate Case Regress.'!$C$5:$D$556, 2, FALSE))</f>
        <v>5.53</v>
      </c>
    </row>
    <row r="865" spans="2:9" x14ac:dyDescent="0.5">
      <c r="B865" s="1162" t="s">
        <v>2774</v>
      </c>
      <c r="C865" s="1163" t="s">
        <v>2727</v>
      </c>
      <c r="D865" s="1163" t="s">
        <v>4953</v>
      </c>
      <c r="E865" s="1164"/>
      <c r="F865" s="1165">
        <v>40112</v>
      </c>
      <c r="G865" s="1166" t="s">
        <v>4585</v>
      </c>
      <c r="H865" s="1167">
        <v>10.1</v>
      </c>
      <c r="I865" s="1168">
        <f>IF(DAY($F865)&gt;15, VLOOKUP(EOMONTH($F865,-1),'WP 3.1 Rate Case Regress.'!$C$5:$D$556,2,FALSE), VLOOKUP(EOMONTH($F865, -2), 'WP 3.1 Rate Case Regress.'!$C$5:$D$556, 2, FALSE))</f>
        <v>5.53</v>
      </c>
    </row>
    <row r="866" spans="2:9" ht="30" x14ac:dyDescent="0.5">
      <c r="B866" s="1162" t="s">
        <v>2731</v>
      </c>
      <c r="C866" s="1163" t="s">
        <v>2939</v>
      </c>
      <c r="D866" s="1163" t="s">
        <v>3608</v>
      </c>
      <c r="E866" s="1164"/>
      <c r="F866" s="1165">
        <v>40114</v>
      </c>
      <c r="G866" s="1166" t="s">
        <v>2695</v>
      </c>
      <c r="H866" s="1167">
        <v>10.15</v>
      </c>
      <c r="I866" s="1168">
        <f>IF(DAY($F866)&gt;15, VLOOKUP(EOMONTH($F866,-1),'WP 3.1 Rate Case Regress.'!$C$5:$D$556,2,FALSE), VLOOKUP(EOMONTH($F866, -2), 'WP 3.1 Rate Case Regress.'!$C$5:$D$556, 2, FALSE))</f>
        <v>5.53</v>
      </c>
    </row>
    <row r="867" spans="2:9" ht="30" x14ac:dyDescent="0.5">
      <c r="B867" s="1162" t="s">
        <v>2731</v>
      </c>
      <c r="C867" s="1163" t="s">
        <v>2939</v>
      </c>
      <c r="D867" s="1163" t="s">
        <v>3609</v>
      </c>
      <c r="E867" s="1164"/>
      <c r="F867" s="1165">
        <v>40114</v>
      </c>
      <c r="G867" s="1166" t="s">
        <v>2695</v>
      </c>
      <c r="H867" s="1167">
        <v>10.15</v>
      </c>
      <c r="I867" s="1168">
        <f>IF(DAY($F867)&gt;15, VLOOKUP(EOMONTH($F867,-1),'WP 3.1 Rate Case Regress.'!$C$5:$D$556,2,FALSE), VLOOKUP(EOMONTH($F867, -2), 'WP 3.1 Rate Case Regress.'!$C$5:$D$556, 2, FALSE))</f>
        <v>5.53</v>
      </c>
    </row>
    <row r="868" spans="2:9" x14ac:dyDescent="0.5">
      <c r="B868" s="1162" t="s">
        <v>2700</v>
      </c>
      <c r="C868" s="1163" t="s">
        <v>3035</v>
      </c>
      <c r="D868" s="1163" t="s">
        <v>3610</v>
      </c>
      <c r="E868" s="1164"/>
      <c r="F868" s="1165">
        <v>40116</v>
      </c>
      <c r="G868" s="1166" t="s">
        <v>2695</v>
      </c>
      <c r="H868" s="1167">
        <v>9.9499999999999993</v>
      </c>
      <c r="I868" s="1168">
        <f>IF(DAY($F868)&gt;15, VLOOKUP(EOMONTH($F868,-1),'WP 3.1 Rate Case Regress.'!$C$5:$D$556,2,FALSE), VLOOKUP(EOMONTH($F868, -2), 'WP 3.1 Rate Case Regress.'!$C$5:$D$556, 2, FALSE))</f>
        <v>5.53</v>
      </c>
    </row>
    <row r="869" spans="2:9" x14ac:dyDescent="0.5">
      <c r="B869" s="1162" t="s">
        <v>2724</v>
      </c>
      <c r="C869" s="1163" t="s">
        <v>2942</v>
      </c>
      <c r="D869" s="1163" t="s">
        <v>3611</v>
      </c>
      <c r="E869" s="1164"/>
      <c r="F869" s="1165">
        <v>40137</v>
      </c>
      <c r="G869" s="1166" t="s">
        <v>2695</v>
      </c>
      <c r="H869" s="1167">
        <v>9.4499999999999993</v>
      </c>
      <c r="I869" s="1168">
        <f>IF(DAY($F869)&gt;15, VLOOKUP(EOMONTH($F869,-1),'WP 3.1 Rate Case Regress.'!$C$5:$D$556,2,FALSE), VLOOKUP(EOMONTH($F869, -2), 'WP 3.1 Rate Case Regress.'!$C$5:$D$556, 2, FALSE))</f>
        <v>5.55</v>
      </c>
    </row>
    <row r="870" spans="2:9" x14ac:dyDescent="0.5">
      <c r="B870" s="1162" t="s">
        <v>2701</v>
      </c>
      <c r="C870" s="1163" t="s">
        <v>2900</v>
      </c>
      <c r="D870" s="1163" t="s">
        <v>4954</v>
      </c>
      <c r="E870" s="1164"/>
      <c r="F870" s="1165">
        <v>40161</v>
      </c>
      <c r="G870" s="1166" t="s">
        <v>4585</v>
      </c>
      <c r="H870" s="1167">
        <v>10.5</v>
      </c>
      <c r="I870" s="1168">
        <f>IF(DAY($F870)&gt;15, VLOOKUP(EOMONTH($F870,-1),'WP 3.1 Rate Case Regress.'!$C$5:$D$556,2,FALSE), VLOOKUP(EOMONTH($F870, -2), 'WP 3.1 Rate Case Regress.'!$C$5:$D$556, 2, FALSE))</f>
        <v>5.55</v>
      </c>
    </row>
    <row r="871" spans="2:9" x14ac:dyDescent="0.5">
      <c r="B871" s="1162" t="s">
        <v>2744</v>
      </c>
      <c r="C871" s="1163" t="s">
        <v>3244</v>
      </c>
      <c r="D871" s="1163" t="s">
        <v>4955</v>
      </c>
      <c r="E871" s="1164"/>
      <c r="F871" s="1165">
        <v>40163</v>
      </c>
      <c r="G871" s="1166" t="s">
        <v>4585</v>
      </c>
      <c r="H871" s="1167">
        <v>10.75</v>
      </c>
      <c r="I871" s="1168">
        <f>IF(DAY($F871)&gt;15, VLOOKUP(EOMONTH($F871,-1),'WP 3.1 Rate Case Regress.'!$C$5:$D$556,2,FALSE), VLOOKUP(EOMONTH($F871, -2), 'WP 3.1 Rate Case Regress.'!$C$5:$D$556, 2, FALSE))</f>
        <v>5.64</v>
      </c>
    </row>
    <row r="872" spans="2:9" x14ac:dyDescent="0.5">
      <c r="B872" s="1162" t="s">
        <v>2712</v>
      </c>
      <c r="C872" s="1163" t="s">
        <v>3333</v>
      </c>
      <c r="D872" s="1163" t="s">
        <v>4956</v>
      </c>
      <c r="E872" s="1164"/>
      <c r="F872" s="1165">
        <v>40164</v>
      </c>
      <c r="G872" s="1166" t="s">
        <v>4585</v>
      </c>
      <c r="H872" s="1167">
        <v>10.3</v>
      </c>
      <c r="I872" s="1168">
        <f>IF(DAY($F872)&gt;15, VLOOKUP(EOMONTH($F872,-1),'WP 3.1 Rate Case Regress.'!$C$5:$D$556,2,FALSE), VLOOKUP(EOMONTH($F872, -2), 'WP 3.1 Rate Case Regress.'!$C$5:$D$556, 2, FALSE))</f>
        <v>5.64</v>
      </c>
    </row>
    <row r="873" spans="2:9" x14ac:dyDescent="0.5">
      <c r="B873" s="1162" t="s">
        <v>2702</v>
      </c>
      <c r="C873" s="1163" t="s">
        <v>2903</v>
      </c>
      <c r="D873" s="1163" t="s">
        <v>3612</v>
      </c>
      <c r="E873" s="1164"/>
      <c r="F873" s="1165">
        <v>40165</v>
      </c>
      <c r="G873" s="1166" t="s">
        <v>2695</v>
      </c>
      <c r="H873" s="1167">
        <v>10.5</v>
      </c>
      <c r="I873" s="1168">
        <f>IF(DAY($F873)&gt;15, VLOOKUP(EOMONTH($F873,-1),'WP 3.1 Rate Case Regress.'!$C$5:$D$556,2,FALSE), VLOOKUP(EOMONTH($F873, -2), 'WP 3.1 Rate Case Regress.'!$C$5:$D$556, 2, FALSE))</f>
        <v>5.64</v>
      </c>
    </row>
    <row r="874" spans="2:9" ht="30" x14ac:dyDescent="0.5">
      <c r="B874" s="1162" t="s">
        <v>2702</v>
      </c>
      <c r="C874" s="1163" t="s">
        <v>2773</v>
      </c>
      <c r="D874" s="1163" t="s">
        <v>3613</v>
      </c>
      <c r="E874" s="1164"/>
      <c r="F874" s="1165">
        <v>40165</v>
      </c>
      <c r="G874" s="1166" t="s">
        <v>2695</v>
      </c>
      <c r="H874" s="1167">
        <v>10.4</v>
      </c>
      <c r="I874" s="1168">
        <f>IF(DAY($F874)&gt;15, VLOOKUP(EOMONTH($F874,-1),'WP 3.1 Rate Case Regress.'!$C$5:$D$556,2,FALSE), VLOOKUP(EOMONTH($F874, -2), 'WP 3.1 Rate Case Regress.'!$C$5:$D$556, 2, FALSE))</f>
        <v>5.64</v>
      </c>
    </row>
    <row r="875" spans="2:9" ht="30" x14ac:dyDescent="0.5">
      <c r="B875" s="1162" t="s">
        <v>2702</v>
      </c>
      <c r="C875" s="1163" t="s">
        <v>2749</v>
      </c>
      <c r="D875" s="1163" t="s">
        <v>3614</v>
      </c>
      <c r="E875" s="1164"/>
      <c r="F875" s="1165">
        <v>40165</v>
      </c>
      <c r="G875" s="1166" t="s">
        <v>2695</v>
      </c>
      <c r="H875" s="1167">
        <v>10.4</v>
      </c>
      <c r="I875" s="1168">
        <f>IF(DAY($F875)&gt;15, VLOOKUP(EOMONTH($F875,-1),'WP 3.1 Rate Case Regress.'!$C$5:$D$556,2,FALSE), VLOOKUP(EOMONTH($F875, -2), 'WP 3.1 Rate Case Regress.'!$C$5:$D$556, 2, FALSE))</f>
        <v>5.64</v>
      </c>
    </row>
    <row r="876" spans="2:9" ht="30" x14ac:dyDescent="0.5">
      <c r="B876" s="1162" t="s">
        <v>2702</v>
      </c>
      <c r="C876" s="1163" t="s">
        <v>4701</v>
      </c>
      <c r="D876" s="1163" t="s">
        <v>3615</v>
      </c>
      <c r="E876" s="1164"/>
      <c r="F876" s="1165">
        <v>40169</v>
      </c>
      <c r="G876" s="1166" t="s">
        <v>2695</v>
      </c>
      <c r="H876" s="1167">
        <v>10.4</v>
      </c>
      <c r="I876" s="1168">
        <f>IF(DAY($F876)&gt;15, VLOOKUP(EOMONTH($F876,-1),'WP 3.1 Rate Case Regress.'!$C$5:$D$556,2,FALSE), VLOOKUP(EOMONTH($F876, -2), 'WP 3.1 Rate Case Regress.'!$C$5:$D$556, 2, FALSE))</f>
        <v>5.64</v>
      </c>
    </row>
    <row r="877" spans="2:9" x14ac:dyDescent="0.5">
      <c r="B877" s="1162" t="s">
        <v>2736</v>
      </c>
      <c r="C877" s="1163" t="s">
        <v>2727</v>
      </c>
      <c r="D877" s="1163" t="s">
        <v>3616</v>
      </c>
      <c r="E877" s="1164"/>
      <c r="F877" s="1165">
        <v>40169</v>
      </c>
      <c r="G877" s="1166" t="s">
        <v>2695</v>
      </c>
      <c r="H877" s="1167">
        <v>10.199999999999999</v>
      </c>
      <c r="I877" s="1168">
        <f>IF(DAY($F877)&gt;15, VLOOKUP(EOMONTH($F877,-1),'WP 3.1 Rate Case Regress.'!$C$5:$D$556,2,FALSE), VLOOKUP(EOMONTH($F877, -2), 'WP 3.1 Rate Case Regress.'!$C$5:$D$556, 2, FALSE))</f>
        <v>5.64</v>
      </c>
    </row>
    <row r="878" spans="2:9" x14ac:dyDescent="0.5">
      <c r="B878" s="1162" t="s">
        <v>2772</v>
      </c>
      <c r="C878" s="1163" t="s">
        <v>2781</v>
      </c>
      <c r="D878" s="1163" t="s">
        <v>4957</v>
      </c>
      <c r="E878" s="1164"/>
      <c r="F878" s="1165">
        <v>40175</v>
      </c>
      <c r="G878" s="1166" t="s">
        <v>4585</v>
      </c>
      <c r="H878" s="1167">
        <v>10.85</v>
      </c>
      <c r="I878" s="1168">
        <f>IF(DAY($F878)&gt;15, VLOOKUP(EOMONTH($F878,-1),'WP 3.1 Rate Case Regress.'!$C$5:$D$556,2,FALSE), VLOOKUP(EOMONTH($F878, -2), 'WP 3.1 Rate Case Regress.'!$C$5:$D$556, 2, FALSE))</f>
        <v>5.64</v>
      </c>
    </row>
    <row r="879" spans="2:9" x14ac:dyDescent="0.5">
      <c r="B879" s="1162" t="s">
        <v>2728</v>
      </c>
      <c r="C879" s="1163" t="s">
        <v>2771</v>
      </c>
      <c r="D879" s="1163" t="s">
        <v>4958</v>
      </c>
      <c r="E879" s="1164"/>
      <c r="F879" s="1165">
        <v>40176</v>
      </c>
      <c r="G879" s="1166" t="s">
        <v>4585</v>
      </c>
      <c r="H879" s="1167">
        <v>10.38</v>
      </c>
      <c r="I879" s="1168">
        <f>IF(DAY($F879)&gt;15, VLOOKUP(EOMONTH($F879,-1),'WP 3.1 Rate Case Regress.'!$C$5:$D$556,2,FALSE), VLOOKUP(EOMONTH($F879, -2), 'WP 3.1 Rate Case Regress.'!$C$5:$D$556, 2, FALSE))</f>
        <v>5.64</v>
      </c>
    </row>
    <row r="880" spans="2:9" ht="30" x14ac:dyDescent="0.5">
      <c r="B880" s="1162" t="s">
        <v>2754</v>
      </c>
      <c r="C880" s="1163" t="s">
        <v>2975</v>
      </c>
      <c r="D880" s="1163" t="s">
        <v>3617</v>
      </c>
      <c r="E880" s="1164"/>
      <c r="F880" s="1165">
        <v>40189</v>
      </c>
      <c r="G880" s="1166" t="s">
        <v>2695</v>
      </c>
      <c r="H880" s="1167">
        <v>10.24</v>
      </c>
      <c r="I880" s="1168">
        <f>IF(DAY($F880)&gt;15, VLOOKUP(EOMONTH($F880,-1),'WP 3.1 Rate Case Regress.'!$C$5:$D$556,2,FALSE), VLOOKUP(EOMONTH($F880, -2), 'WP 3.1 Rate Case Regress.'!$C$5:$D$556, 2, FALSE))</f>
        <v>5.64</v>
      </c>
    </row>
    <row r="881" spans="2:9" x14ac:dyDescent="0.5">
      <c r="B881" s="1162" t="s">
        <v>2693</v>
      </c>
      <c r="C881" s="1163" t="s">
        <v>2959</v>
      </c>
      <c r="D881" s="1163" t="s">
        <v>3618</v>
      </c>
      <c r="E881" s="1164"/>
      <c r="F881" s="1165">
        <v>40199</v>
      </c>
      <c r="G881" s="1166" t="s">
        <v>2695</v>
      </c>
      <c r="H881" s="1167">
        <v>10.33</v>
      </c>
      <c r="I881" s="1168">
        <f>IF(DAY($F881)&gt;15, VLOOKUP(EOMONTH($F881,-1),'WP 3.1 Rate Case Regress.'!$C$5:$D$556,2,FALSE), VLOOKUP(EOMONTH($F881, -2), 'WP 3.1 Rate Case Regress.'!$C$5:$D$556, 2, FALSE))</f>
        <v>5.79</v>
      </c>
    </row>
    <row r="882" spans="2:9" x14ac:dyDescent="0.5">
      <c r="B882" s="1162" t="s">
        <v>2693</v>
      </c>
      <c r="C882" s="1163" t="s">
        <v>2961</v>
      </c>
      <c r="D882" s="1163" t="s">
        <v>3619</v>
      </c>
      <c r="E882" s="1164"/>
      <c r="F882" s="1165">
        <v>40199</v>
      </c>
      <c r="G882" s="1166" t="s">
        <v>2695</v>
      </c>
      <c r="H882" s="1167">
        <v>10.23</v>
      </c>
      <c r="I882" s="1168">
        <f>IF(DAY($F882)&gt;15, VLOOKUP(EOMONTH($F882,-1),'WP 3.1 Rate Case Regress.'!$C$5:$D$556,2,FALSE), VLOOKUP(EOMONTH($F882, -2), 'WP 3.1 Rate Case Regress.'!$C$5:$D$556, 2, FALSE))</f>
        <v>5.79</v>
      </c>
    </row>
    <row r="883" spans="2:9" ht="30" x14ac:dyDescent="0.5">
      <c r="B883" s="1162" t="s">
        <v>2775</v>
      </c>
      <c r="C883" s="1163" t="s">
        <v>2944</v>
      </c>
      <c r="D883" s="1163" t="s">
        <v>3620</v>
      </c>
      <c r="E883" s="1164"/>
      <c r="F883" s="1165">
        <v>40204</v>
      </c>
      <c r="G883" s="1166" t="s">
        <v>2695</v>
      </c>
      <c r="H883" s="1167">
        <v>10.4</v>
      </c>
      <c r="I883" s="1168">
        <f>IF(DAY($F883)&gt;15, VLOOKUP(EOMONTH($F883,-1),'WP 3.1 Rate Case Regress.'!$C$5:$D$556,2,FALSE), VLOOKUP(EOMONTH($F883, -2), 'WP 3.1 Rate Case Regress.'!$C$5:$D$556, 2, FALSE))</f>
        <v>5.79</v>
      </c>
    </row>
    <row r="884" spans="2:9" x14ac:dyDescent="0.5">
      <c r="B884" s="1162" t="s">
        <v>2756</v>
      </c>
      <c r="C884" s="1163" t="s">
        <v>3010</v>
      </c>
      <c r="D884" s="1163" t="s">
        <v>3621</v>
      </c>
      <c r="E884" s="1164"/>
      <c r="F884" s="1165">
        <v>40219</v>
      </c>
      <c r="G884" s="1166" t="s">
        <v>2695</v>
      </c>
      <c r="H884" s="1167">
        <v>10</v>
      </c>
      <c r="I884" s="1168">
        <f>IF(DAY($F884)&gt;15, VLOOKUP(EOMONTH($F884,-1),'WP 3.1 Rate Case Regress.'!$C$5:$D$556,2,FALSE), VLOOKUP(EOMONTH($F884, -2), 'WP 3.1 Rate Case Regress.'!$C$5:$D$556, 2, FALSE))</f>
        <v>5.79</v>
      </c>
    </row>
    <row r="885" spans="2:9" x14ac:dyDescent="0.5">
      <c r="B885" s="1162" t="s">
        <v>2775</v>
      </c>
      <c r="C885" s="1163" t="s">
        <v>2975</v>
      </c>
      <c r="D885" s="1163" t="s">
        <v>3622</v>
      </c>
      <c r="E885" s="1164"/>
      <c r="F885" s="1165">
        <v>40232</v>
      </c>
      <c r="G885" s="1166" t="s">
        <v>2695</v>
      </c>
      <c r="H885" s="1167">
        <v>10.5</v>
      </c>
      <c r="I885" s="1168">
        <f>IF(DAY($F885)&gt;15, VLOOKUP(EOMONTH($F885,-1),'WP 3.1 Rate Case Regress.'!$C$5:$D$556,2,FALSE), VLOOKUP(EOMONTH($F885, -2), 'WP 3.1 Rate Case Regress.'!$C$5:$D$556, 2, FALSE))</f>
        <v>5.77</v>
      </c>
    </row>
    <row r="886" spans="2:9" x14ac:dyDescent="0.5">
      <c r="B886" s="1162" t="s">
        <v>3577</v>
      </c>
      <c r="C886" s="1163" t="s">
        <v>3623</v>
      </c>
      <c r="D886" s="1163" t="s">
        <v>3624</v>
      </c>
      <c r="E886" s="1164"/>
      <c r="F886" s="1165">
        <v>40246</v>
      </c>
      <c r="G886" s="1166" t="s">
        <v>2695</v>
      </c>
      <c r="H886" s="1167">
        <v>9.6</v>
      </c>
      <c r="I886" s="1168">
        <f>IF(DAY($F886)&gt;15, VLOOKUP(EOMONTH($F886,-1),'WP 3.1 Rate Case Regress.'!$C$5:$D$556,2,FALSE), VLOOKUP(EOMONTH($F886, -2), 'WP 3.1 Rate Case Regress.'!$C$5:$D$556, 2, FALSE))</f>
        <v>5.77</v>
      </c>
    </row>
    <row r="887" spans="2:9" x14ac:dyDescent="0.5">
      <c r="B887" s="1162" t="s">
        <v>2693</v>
      </c>
      <c r="C887" s="1163" t="s">
        <v>2709</v>
      </c>
      <c r="D887" s="1163" t="s">
        <v>3625</v>
      </c>
      <c r="E887" s="1164"/>
      <c r="F887" s="1165">
        <v>40261</v>
      </c>
      <c r="G887" s="1166" t="s">
        <v>2695</v>
      </c>
      <c r="H887" s="1167">
        <v>10.130000000000001</v>
      </c>
      <c r="I887" s="1168">
        <f>IF(DAY($F887)&gt;15, VLOOKUP(EOMONTH($F887,-1),'WP 3.1 Rate Case Regress.'!$C$5:$D$556,2,FALSE), VLOOKUP(EOMONTH($F887, -2), 'WP 3.1 Rate Case Regress.'!$C$5:$D$556, 2, FALSE))</f>
        <v>5.87</v>
      </c>
    </row>
    <row r="888" spans="2:9" x14ac:dyDescent="0.5">
      <c r="B888" s="1162" t="s">
        <v>2699</v>
      </c>
      <c r="C888" s="1163" t="s">
        <v>2944</v>
      </c>
      <c r="D888" s="1163" t="s">
        <v>3626</v>
      </c>
      <c r="E888" s="1164"/>
      <c r="F888" s="1165">
        <v>40268</v>
      </c>
      <c r="G888" s="1166" t="s">
        <v>2695</v>
      </c>
      <c r="H888" s="1167">
        <v>10.7</v>
      </c>
      <c r="I888" s="1168">
        <f>IF(DAY($F888)&gt;15, VLOOKUP(EOMONTH($F888,-1),'WP 3.1 Rate Case Regress.'!$C$5:$D$556,2,FALSE), VLOOKUP(EOMONTH($F888, -2), 'WP 3.1 Rate Case Regress.'!$C$5:$D$556, 2, FALSE))</f>
        <v>5.87</v>
      </c>
    </row>
    <row r="889" spans="2:9" ht="30" x14ac:dyDescent="0.5">
      <c r="B889" s="1162" t="s">
        <v>2717</v>
      </c>
      <c r="C889" s="1163" t="s">
        <v>3437</v>
      </c>
      <c r="D889" s="1163" t="s">
        <v>3627</v>
      </c>
      <c r="E889" s="1164"/>
      <c r="F889" s="1165">
        <v>40269</v>
      </c>
      <c r="G889" s="1166" t="s">
        <v>2695</v>
      </c>
      <c r="H889" s="1167">
        <v>9.5</v>
      </c>
      <c r="I889" s="1168">
        <f>IF(DAY($F889)&gt;15, VLOOKUP(EOMONTH($F889,-1),'WP 3.1 Rate Case Regress.'!$C$5:$D$556,2,FALSE), VLOOKUP(EOMONTH($F889, -2), 'WP 3.1 Rate Case Regress.'!$C$5:$D$556, 2, FALSE))</f>
        <v>5.87</v>
      </c>
    </row>
    <row r="890" spans="2:9" x14ac:dyDescent="0.5">
      <c r="B890" s="1162" t="s">
        <v>2736</v>
      </c>
      <c r="C890" s="1163" t="s">
        <v>2737</v>
      </c>
      <c r="D890" s="1163" t="s">
        <v>3628</v>
      </c>
      <c r="E890" s="1164"/>
      <c r="F890" s="1165">
        <v>40270</v>
      </c>
      <c r="G890" s="1166" t="s">
        <v>2695</v>
      </c>
      <c r="H890" s="1167">
        <v>10.1</v>
      </c>
      <c r="I890" s="1168">
        <f>IF(DAY($F890)&gt;15, VLOOKUP(EOMONTH($F890,-1),'WP 3.1 Rate Case Regress.'!$C$5:$D$556,2,FALSE), VLOOKUP(EOMONTH($F890, -2), 'WP 3.1 Rate Case Regress.'!$C$5:$D$556, 2, FALSE))</f>
        <v>5.87</v>
      </c>
    </row>
    <row r="891" spans="2:9" x14ac:dyDescent="0.5">
      <c r="B891" s="1162" t="s">
        <v>2714</v>
      </c>
      <c r="C891" s="1163" t="s">
        <v>4648</v>
      </c>
      <c r="D891" s="1163" t="s">
        <v>4959</v>
      </c>
      <c r="E891" s="1164"/>
      <c r="F891" s="1165">
        <v>40276</v>
      </c>
      <c r="G891" s="1166" t="s">
        <v>4585</v>
      </c>
      <c r="H891" s="1167">
        <v>10.35</v>
      </c>
      <c r="I891" s="1168">
        <f>IF(DAY($F891)&gt;15, VLOOKUP(EOMONTH($F891,-1),'WP 3.1 Rate Case Regress.'!$C$5:$D$556,2,FALSE), VLOOKUP(EOMONTH($F891, -2), 'WP 3.1 Rate Case Regress.'!$C$5:$D$556, 2, FALSE))</f>
        <v>5.87</v>
      </c>
    </row>
    <row r="892" spans="2:9" x14ac:dyDescent="0.5">
      <c r="B892" s="1162" t="s">
        <v>2693</v>
      </c>
      <c r="C892" s="1163" t="s">
        <v>2742</v>
      </c>
      <c r="D892" s="1163" t="s">
        <v>3629</v>
      </c>
      <c r="E892" s="1164"/>
      <c r="F892" s="1165">
        <v>40297</v>
      </c>
      <c r="G892" s="1166" t="s">
        <v>2695</v>
      </c>
      <c r="H892" s="1167">
        <v>9.4</v>
      </c>
      <c r="I892" s="1168">
        <f>IF(DAY($F892)&gt;15, VLOOKUP(EOMONTH($F892,-1),'WP 3.1 Rate Case Regress.'!$C$5:$D$556,2,FALSE), VLOOKUP(EOMONTH($F892, -2), 'WP 3.1 Rate Case Regress.'!$C$5:$D$556, 2, FALSE))</f>
        <v>5.84</v>
      </c>
    </row>
    <row r="893" spans="2:9" x14ac:dyDescent="0.5">
      <c r="B893" s="1162" t="s">
        <v>2693</v>
      </c>
      <c r="C893" s="1163" t="s">
        <v>2742</v>
      </c>
      <c r="D893" s="1163" t="s">
        <v>3630</v>
      </c>
      <c r="E893" s="1164"/>
      <c r="F893" s="1165">
        <v>40297</v>
      </c>
      <c r="G893" s="1166" t="s">
        <v>2695</v>
      </c>
      <c r="H893" s="1167">
        <v>9.4</v>
      </c>
      <c r="I893" s="1168">
        <f>IF(DAY($F893)&gt;15, VLOOKUP(EOMONTH($F893,-1),'WP 3.1 Rate Case Regress.'!$C$5:$D$556,2,FALSE), VLOOKUP(EOMONTH($F893, -2), 'WP 3.1 Rate Case Regress.'!$C$5:$D$556, 2, FALSE))</f>
        <v>5.84</v>
      </c>
    </row>
    <row r="894" spans="2:9" x14ac:dyDescent="0.5">
      <c r="B894" s="1162" t="s">
        <v>2693</v>
      </c>
      <c r="C894" s="1163" t="s">
        <v>2742</v>
      </c>
      <c r="D894" s="1163" t="s">
        <v>3631</v>
      </c>
      <c r="E894" s="1164"/>
      <c r="F894" s="1165">
        <v>40297</v>
      </c>
      <c r="G894" s="1166" t="s">
        <v>2695</v>
      </c>
      <c r="H894" s="1167">
        <v>9.19</v>
      </c>
      <c r="I894" s="1168">
        <f>IF(DAY($F894)&gt;15, VLOOKUP(EOMONTH($F894,-1),'WP 3.1 Rate Case Regress.'!$C$5:$D$556,2,FALSE), VLOOKUP(EOMONTH($F894, -2), 'WP 3.1 Rate Case Regress.'!$C$5:$D$556, 2, FALSE))</f>
        <v>5.84</v>
      </c>
    </row>
    <row r="895" spans="2:9" x14ac:dyDescent="0.5">
      <c r="B895" s="1162" t="s">
        <v>2744</v>
      </c>
      <c r="C895" s="1163" t="s">
        <v>2770</v>
      </c>
      <c r="D895" s="1163" t="s">
        <v>3632</v>
      </c>
      <c r="E895" s="1164"/>
      <c r="F895" s="1165">
        <v>40315</v>
      </c>
      <c r="G895" s="1166" t="s">
        <v>2695</v>
      </c>
      <c r="H895" s="1167">
        <v>10.55</v>
      </c>
      <c r="I895" s="1168">
        <f>IF(DAY($F895)&gt;15, VLOOKUP(EOMONTH($F895,-1),'WP 3.1 Rate Case Regress.'!$C$5:$D$556,2,FALSE), VLOOKUP(EOMONTH($F895, -2), 'WP 3.1 Rate Case Regress.'!$C$5:$D$556, 2, FALSE))</f>
        <v>5.81</v>
      </c>
    </row>
    <row r="896" spans="2:9" x14ac:dyDescent="0.5">
      <c r="B896" s="1162" t="s">
        <v>2768</v>
      </c>
      <c r="C896" s="1163" t="s">
        <v>3106</v>
      </c>
      <c r="D896" s="1163" t="s">
        <v>3633</v>
      </c>
      <c r="E896" s="1164"/>
      <c r="F896" s="1165">
        <v>40322</v>
      </c>
      <c r="G896" s="1166" t="s">
        <v>2695</v>
      </c>
      <c r="H896" s="1167">
        <v>10.050000000000001</v>
      </c>
      <c r="I896" s="1168">
        <f>IF(DAY($F896)&gt;15, VLOOKUP(EOMONTH($F896,-1),'WP 3.1 Rate Case Regress.'!$C$5:$D$556,2,FALSE), VLOOKUP(EOMONTH($F896, -2), 'WP 3.1 Rate Case Regress.'!$C$5:$D$556, 2, FALSE))</f>
        <v>5.81</v>
      </c>
    </row>
    <row r="897" spans="2:9" x14ac:dyDescent="0.5">
      <c r="B897" s="1162" t="s">
        <v>2744</v>
      </c>
      <c r="C897" s="1163" t="s">
        <v>2972</v>
      </c>
      <c r="D897" s="1163" t="s">
        <v>3634</v>
      </c>
      <c r="E897" s="1164"/>
      <c r="F897" s="1165">
        <v>40332</v>
      </c>
      <c r="G897" s="1166" t="s">
        <v>2695</v>
      </c>
      <c r="H897" s="1167">
        <v>11</v>
      </c>
      <c r="I897" s="1168">
        <f>IF(DAY($F897)&gt;15, VLOOKUP(EOMONTH($F897,-1),'WP 3.1 Rate Case Regress.'!$C$5:$D$556,2,FALSE), VLOOKUP(EOMONTH($F897, -2), 'WP 3.1 Rate Case Regress.'!$C$5:$D$556, 2, FALSE))</f>
        <v>5.81</v>
      </c>
    </row>
    <row r="898" spans="2:9" x14ac:dyDescent="0.5">
      <c r="B898" s="1162" t="s">
        <v>2704</v>
      </c>
      <c r="C898" s="1163" t="s">
        <v>2750</v>
      </c>
      <c r="D898" s="1163" t="s">
        <v>4960</v>
      </c>
      <c r="E898" s="1164"/>
      <c r="F898" s="1165">
        <v>40345</v>
      </c>
      <c r="G898" s="1166" t="s">
        <v>4585</v>
      </c>
      <c r="H898" s="1167">
        <v>10</v>
      </c>
      <c r="I898" s="1168">
        <f>IF(DAY($F898)&gt;15, VLOOKUP(EOMONTH($F898,-1),'WP 3.1 Rate Case Regress.'!$C$5:$D$556,2,FALSE), VLOOKUP(EOMONTH($F898, -2), 'WP 3.1 Rate Case Regress.'!$C$5:$D$556, 2, FALSE))</f>
        <v>5.5</v>
      </c>
    </row>
    <row r="899" spans="2:9" x14ac:dyDescent="0.5">
      <c r="B899" s="1162" t="s">
        <v>2712</v>
      </c>
      <c r="C899" s="1163" t="s">
        <v>2713</v>
      </c>
      <c r="D899" s="1163" t="s">
        <v>4961</v>
      </c>
      <c r="E899" s="1164"/>
      <c r="F899" s="1165">
        <v>40347</v>
      </c>
      <c r="G899" s="1166" t="s">
        <v>4585</v>
      </c>
      <c r="H899" s="1167">
        <v>10.3</v>
      </c>
      <c r="I899" s="1168">
        <f>IF(DAY($F899)&gt;15, VLOOKUP(EOMONTH($F899,-1),'WP 3.1 Rate Case Regress.'!$C$5:$D$556,2,FALSE), VLOOKUP(EOMONTH($F899, -2), 'WP 3.1 Rate Case Regress.'!$C$5:$D$556, 2, FALSE))</f>
        <v>5.5</v>
      </c>
    </row>
    <row r="900" spans="2:9" x14ac:dyDescent="0.5">
      <c r="B900" s="1162" t="s">
        <v>2779</v>
      </c>
      <c r="C900" s="1163" t="s">
        <v>3721</v>
      </c>
      <c r="D900" s="1163" t="s">
        <v>4962</v>
      </c>
      <c r="E900" s="1164"/>
      <c r="F900" s="1165">
        <v>40399</v>
      </c>
      <c r="G900" s="1166" t="s">
        <v>4585</v>
      </c>
      <c r="H900" s="1167">
        <v>12.55</v>
      </c>
      <c r="I900" s="1168">
        <f>IF(DAY($F900)&gt;15, VLOOKUP(EOMONTH($F900,-1),'WP 3.1 Rate Case Regress.'!$C$5:$D$556,2,FALSE), VLOOKUP(EOMONTH($F900, -2), 'WP 3.1 Rate Case Regress.'!$C$5:$D$556, 2, FALSE))</f>
        <v>5.46</v>
      </c>
    </row>
    <row r="901" spans="2:9" x14ac:dyDescent="0.5">
      <c r="B901" s="1162" t="s">
        <v>3577</v>
      </c>
      <c r="C901" s="1163" t="s">
        <v>3578</v>
      </c>
      <c r="D901" s="1163" t="s">
        <v>3635</v>
      </c>
      <c r="E901" s="1164"/>
      <c r="F901" s="1165">
        <v>40407</v>
      </c>
      <c r="G901" s="1166" t="s">
        <v>2695</v>
      </c>
      <c r="H901" s="1167">
        <v>10.1</v>
      </c>
      <c r="I901" s="1168">
        <f>IF(DAY($F901)&gt;15, VLOOKUP(EOMONTH($F901,-1),'WP 3.1 Rate Case Regress.'!$C$5:$D$556,2,FALSE), VLOOKUP(EOMONTH($F901, -2), 'WP 3.1 Rate Case Regress.'!$C$5:$D$556, 2, FALSE))</f>
        <v>5.26</v>
      </c>
    </row>
    <row r="902" spans="2:9" x14ac:dyDescent="0.5">
      <c r="B902" s="1162" t="s">
        <v>2712</v>
      </c>
      <c r="C902" s="1163" t="s">
        <v>3085</v>
      </c>
      <c r="D902" s="1163" t="s">
        <v>4963</v>
      </c>
      <c r="E902" s="1164"/>
      <c r="F902" s="1165">
        <v>40437</v>
      </c>
      <c r="G902" s="1166" t="s">
        <v>4585</v>
      </c>
      <c r="H902" s="1167">
        <v>10.3</v>
      </c>
      <c r="I902" s="1168">
        <f>IF(DAY($F902)&gt;15, VLOOKUP(EOMONTH($F902,-1),'WP 3.1 Rate Case Regress.'!$C$5:$D$556,2,FALSE), VLOOKUP(EOMONTH($F902, -2), 'WP 3.1 Rate Case Regress.'!$C$5:$D$556, 2, FALSE))</f>
        <v>5.01</v>
      </c>
    </row>
    <row r="903" spans="2:9" x14ac:dyDescent="0.5">
      <c r="B903" s="1162" t="s">
        <v>2704</v>
      </c>
      <c r="C903" s="1163" t="s">
        <v>2725</v>
      </c>
      <c r="D903" s="1163" t="s">
        <v>4964</v>
      </c>
      <c r="E903" s="1164"/>
      <c r="F903" s="1165">
        <v>40437</v>
      </c>
      <c r="G903" s="1166" t="s">
        <v>4585</v>
      </c>
      <c r="H903" s="1167">
        <v>10</v>
      </c>
      <c r="I903" s="1168">
        <f>IF(DAY($F903)&gt;15, VLOOKUP(EOMONTH($F903,-1),'WP 3.1 Rate Case Regress.'!$C$5:$D$556,2,FALSE), VLOOKUP(EOMONTH($F903, -2), 'WP 3.1 Rate Case Regress.'!$C$5:$D$556, 2, FALSE))</f>
        <v>5.01</v>
      </c>
    </row>
    <row r="904" spans="2:9" x14ac:dyDescent="0.5">
      <c r="B904" s="1162" t="s">
        <v>2704</v>
      </c>
      <c r="C904" s="1163" t="s">
        <v>2927</v>
      </c>
      <c r="D904" s="1163" t="s">
        <v>4965</v>
      </c>
      <c r="E904" s="1164"/>
      <c r="F904" s="1165">
        <v>40437</v>
      </c>
      <c r="G904" s="1166" t="s">
        <v>4585</v>
      </c>
      <c r="H904" s="1167">
        <v>10</v>
      </c>
      <c r="I904" s="1168">
        <f>IF(DAY($F904)&gt;15, VLOOKUP(EOMONTH($F904,-1),'WP 3.1 Rate Case Regress.'!$C$5:$D$556,2,FALSE), VLOOKUP(EOMONTH($F904, -2), 'WP 3.1 Rate Case Regress.'!$C$5:$D$556, 2, FALSE))</f>
        <v>5.01</v>
      </c>
    </row>
    <row r="905" spans="2:9" x14ac:dyDescent="0.5">
      <c r="B905" s="1162" t="s">
        <v>2704</v>
      </c>
      <c r="C905" s="1163" t="s">
        <v>2908</v>
      </c>
      <c r="D905" s="1163" t="s">
        <v>4966</v>
      </c>
      <c r="E905" s="1164"/>
      <c r="F905" s="1165">
        <v>40437</v>
      </c>
      <c r="G905" s="1166" t="s">
        <v>4585</v>
      </c>
      <c r="H905" s="1167">
        <v>9.6</v>
      </c>
      <c r="I905" s="1168">
        <f>IF(DAY($F905)&gt;15, VLOOKUP(EOMONTH($F905,-1),'WP 3.1 Rate Case Regress.'!$C$5:$D$556,2,FALSE), VLOOKUP(EOMONTH($F905, -2), 'WP 3.1 Rate Case Regress.'!$C$5:$D$556, 2, FALSE))</f>
        <v>5.01</v>
      </c>
    </row>
    <row r="906" spans="2:9" x14ac:dyDescent="0.5">
      <c r="B906" s="1162" t="s">
        <v>2728</v>
      </c>
      <c r="C906" s="1163" t="s">
        <v>3636</v>
      </c>
      <c r="D906" s="1163" t="s">
        <v>3637</v>
      </c>
      <c r="E906" s="1164"/>
      <c r="F906" s="1165">
        <v>40472</v>
      </c>
      <c r="G906" s="1166" t="s">
        <v>2695</v>
      </c>
      <c r="H906" s="1167">
        <v>10.4</v>
      </c>
      <c r="I906" s="1168">
        <f>IF(DAY($F906)&gt;15, VLOOKUP(EOMONTH($F906,-1),'WP 3.1 Rate Case Regress.'!$C$5:$D$556,2,FALSE), VLOOKUP(EOMONTH($F906, -2), 'WP 3.1 Rate Case Regress.'!$C$5:$D$556, 2, FALSE))</f>
        <v>5.01</v>
      </c>
    </row>
    <row r="907" spans="2:9" x14ac:dyDescent="0.5">
      <c r="B907" s="1162" t="s">
        <v>2700</v>
      </c>
      <c r="C907" s="1163" t="s">
        <v>3082</v>
      </c>
      <c r="D907" s="1163" t="s">
        <v>3638</v>
      </c>
      <c r="E907" s="1164"/>
      <c r="F907" s="1165">
        <v>40484</v>
      </c>
      <c r="G907" s="1166" t="s">
        <v>2695</v>
      </c>
      <c r="H907" s="1167">
        <v>9.75</v>
      </c>
      <c r="I907" s="1168">
        <f>IF(DAY($F907)&gt;15, VLOOKUP(EOMONTH($F907,-1),'WP 3.1 Rate Case Regress.'!$C$5:$D$556,2,FALSE), VLOOKUP(EOMONTH($F907, -2), 'WP 3.1 Rate Case Regress.'!$C$5:$D$556, 2, FALSE))</f>
        <v>5.01</v>
      </c>
    </row>
    <row r="908" spans="2:9" x14ac:dyDescent="0.5">
      <c r="B908" s="1162" t="s">
        <v>2700</v>
      </c>
      <c r="C908" s="1163" t="s">
        <v>3097</v>
      </c>
      <c r="D908" s="1163" t="s">
        <v>3639</v>
      </c>
      <c r="E908" s="1164"/>
      <c r="F908" s="1165">
        <v>40484</v>
      </c>
      <c r="G908" s="1166" t="s">
        <v>2695</v>
      </c>
      <c r="H908" s="1167">
        <v>9.75</v>
      </c>
      <c r="I908" s="1168">
        <f>IF(DAY($F908)&gt;15, VLOOKUP(EOMONTH($F908,-1),'WP 3.1 Rate Case Regress.'!$C$5:$D$556,2,FALSE), VLOOKUP(EOMONTH($F908, -2), 'WP 3.1 Rate Case Regress.'!$C$5:$D$556, 2, FALSE))</f>
        <v>5.01</v>
      </c>
    </row>
    <row r="909" spans="2:9" x14ac:dyDescent="0.5">
      <c r="B909" s="1162" t="s">
        <v>2699</v>
      </c>
      <c r="C909" s="1163" t="s">
        <v>2628</v>
      </c>
      <c r="D909" s="1163" t="s">
        <v>3640</v>
      </c>
      <c r="E909" s="1164"/>
      <c r="F909" s="1165">
        <v>40485</v>
      </c>
      <c r="G909" s="1166" t="s">
        <v>2695</v>
      </c>
      <c r="H909" s="1167">
        <v>10.75</v>
      </c>
      <c r="I909" s="1168">
        <f>IF(DAY($F909)&gt;15, VLOOKUP(EOMONTH($F909,-1),'WP 3.1 Rate Case Regress.'!$C$5:$D$556,2,FALSE), VLOOKUP(EOMONTH($F909, -2), 'WP 3.1 Rate Case Regress.'!$C$5:$D$556, 2, FALSE))</f>
        <v>5.01</v>
      </c>
    </row>
    <row r="910" spans="2:9" x14ac:dyDescent="0.5">
      <c r="B910" s="1162" t="s">
        <v>2736</v>
      </c>
      <c r="C910" s="1163" t="s">
        <v>2727</v>
      </c>
      <c r="D910" s="1163" t="s">
        <v>4967</v>
      </c>
      <c r="E910" s="1164"/>
      <c r="F910" s="1165">
        <v>40501</v>
      </c>
      <c r="G910" s="1166" t="s">
        <v>4585</v>
      </c>
      <c r="H910" s="1167">
        <v>10.199999999999999</v>
      </c>
      <c r="I910" s="1168">
        <f>IF(DAY($F910)&gt;15, VLOOKUP(EOMONTH($F910,-1),'WP 3.1 Rate Case Regress.'!$C$5:$D$556,2,FALSE), VLOOKUP(EOMONTH($F910, -2), 'WP 3.1 Rate Case Regress.'!$C$5:$D$556, 2, FALSE))</f>
        <v>5.0999999999999996</v>
      </c>
    </row>
    <row r="911" spans="2:9" x14ac:dyDescent="0.5">
      <c r="B911" s="1162" t="s">
        <v>2715</v>
      </c>
      <c r="C911" s="1163" t="s">
        <v>3623</v>
      </c>
      <c r="D911" s="1163" t="s">
        <v>4968</v>
      </c>
      <c r="E911" s="1164"/>
      <c r="F911" s="1165">
        <v>40513</v>
      </c>
      <c r="G911" s="1166" t="s">
        <v>4585</v>
      </c>
      <c r="H911" s="1167">
        <v>10</v>
      </c>
      <c r="I911" s="1168">
        <f>IF(DAY($F911)&gt;15, VLOOKUP(EOMONTH($F911,-1),'WP 3.1 Rate Case Regress.'!$C$5:$D$556,2,FALSE), VLOOKUP(EOMONTH($F911, -2), 'WP 3.1 Rate Case Regress.'!$C$5:$D$556, 2, FALSE))</f>
        <v>5.0999999999999996</v>
      </c>
    </row>
    <row r="912" spans="2:9" ht="30" x14ac:dyDescent="0.5">
      <c r="B912" s="1162" t="s">
        <v>2754</v>
      </c>
      <c r="C912" s="1163" t="s">
        <v>2755</v>
      </c>
      <c r="D912" s="1163" t="s">
        <v>3641</v>
      </c>
      <c r="E912" s="1164"/>
      <c r="F912" s="1165">
        <v>40518</v>
      </c>
      <c r="G912" s="1166" t="s">
        <v>2695</v>
      </c>
      <c r="H912" s="1167">
        <v>10.09</v>
      </c>
      <c r="I912" s="1168">
        <f>IF(DAY($F912)&gt;15, VLOOKUP(EOMONTH($F912,-1),'WP 3.1 Rate Case Regress.'!$C$5:$D$556,2,FALSE), VLOOKUP(EOMONTH($F912, -2), 'WP 3.1 Rate Case Regress.'!$C$5:$D$556, 2, FALSE))</f>
        <v>5.0999999999999996</v>
      </c>
    </row>
    <row r="913" spans="2:9" x14ac:dyDescent="0.5">
      <c r="B913" s="1162" t="s">
        <v>2698</v>
      </c>
      <c r="C913" s="1163" t="s">
        <v>2722</v>
      </c>
      <c r="D913" s="1163" t="s">
        <v>3642</v>
      </c>
      <c r="E913" s="1164"/>
      <c r="F913" s="1165">
        <v>40518</v>
      </c>
      <c r="G913" s="1166" t="s">
        <v>2695</v>
      </c>
      <c r="H913" s="1167">
        <v>9.56</v>
      </c>
      <c r="I913" s="1168">
        <f>IF(DAY($F913)&gt;15, VLOOKUP(EOMONTH($F913,-1),'WP 3.1 Rate Case Regress.'!$C$5:$D$556,2,FALSE), VLOOKUP(EOMONTH($F913, -2), 'WP 3.1 Rate Case Regress.'!$C$5:$D$556, 2, FALSE))</f>
        <v>5.0999999999999996</v>
      </c>
    </row>
    <row r="914" spans="2:9" ht="30" x14ac:dyDescent="0.5">
      <c r="B914" s="1162" t="s">
        <v>2740</v>
      </c>
      <c r="C914" s="1163" t="s">
        <v>2964</v>
      </c>
      <c r="D914" s="1163" t="s">
        <v>4969</v>
      </c>
      <c r="E914" s="1164"/>
      <c r="F914" s="1165">
        <v>40521</v>
      </c>
      <c r="G914" s="1166" t="s">
        <v>4585</v>
      </c>
      <c r="H914" s="1167">
        <v>10.25</v>
      </c>
      <c r="I914" s="1168">
        <f>IF(DAY($F914)&gt;15, VLOOKUP(EOMONTH($F914,-1),'WP 3.1 Rate Case Regress.'!$C$5:$D$556,2,FALSE), VLOOKUP(EOMONTH($F914, -2), 'WP 3.1 Rate Case Regress.'!$C$5:$D$556, 2, FALSE))</f>
        <v>5.0999999999999996</v>
      </c>
    </row>
    <row r="915" spans="2:9" ht="30" x14ac:dyDescent="0.5">
      <c r="B915" s="1162" t="s">
        <v>2775</v>
      </c>
      <c r="C915" s="1163" t="s">
        <v>3643</v>
      </c>
      <c r="D915" s="1163" t="s">
        <v>4970</v>
      </c>
      <c r="E915" s="1164"/>
      <c r="F915" s="1165">
        <v>40526</v>
      </c>
      <c r="G915" s="1166" t="s">
        <v>2695</v>
      </c>
      <c r="H915" s="1167">
        <v>10.33</v>
      </c>
      <c r="I915" s="1168">
        <f>IF(DAY($F915)&gt;15, VLOOKUP(EOMONTH($F915,-1),'WP 3.1 Rate Case Regress.'!$C$5:$D$556,2,FALSE), VLOOKUP(EOMONTH($F915, -2), 'WP 3.1 Rate Case Regress.'!$C$5:$D$556, 2, FALSE))</f>
        <v>5.0999999999999996</v>
      </c>
    </row>
    <row r="916" spans="2:9" x14ac:dyDescent="0.5">
      <c r="B916" s="1162" t="s">
        <v>2766</v>
      </c>
      <c r="C916" s="1163" t="s">
        <v>3356</v>
      </c>
      <c r="D916" s="1163" t="s">
        <v>4971</v>
      </c>
      <c r="E916" s="1164"/>
      <c r="F916" s="1165">
        <v>40529</v>
      </c>
      <c r="G916" s="1166" t="s">
        <v>4585</v>
      </c>
      <c r="H916" s="1167">
        <v>10.1</v>
      </c>
      <c r="I916" s="1168">
        <f>IF(DAY($F916)&gt;15, VLOOKUP(EOMONTH($F916,-1),'WP 3.1 Rate Case Regress.'!$C$5:$D$556,2,FALSE), VLOOKUP(EOMONTH($F916, -2), 'WP 3.1 Rate Case Regress.'!$C$5:$D$556, 2, FALSE))</f>
        <v>5.37</v>
      </c>
    </row>
    <row r="917" spans="2:9" x14ac:dyDescent="0.5">
      <c r="B917" s="1162" t="s">
        <v>2731</v>
      </c>
      <c r="C917" s="1163" t="s">
        <v>2733</v>
      </c>
      <c r="D917" s="1163" t="s">
        <v>3645</v>
      </c>
      <c r="E917" s="1164"/>
      <c r="F917" s="1165">
        <v>40532</v>
      </c>
      <c r="G917" s="1166" t="s">
        <v>2695</v>
      </c>
      <c r="H917" s="1167">
        <v>10.1</v>
      </c>
      <c r="I917" s="1168">
        <f>IF(DAY($F917)&gt;15, VLOOKUP(EOMONTH($F917,-1),'WP 3.1 Rate Case Regress.'!$C$5:$D$556,2,FALSE), VLOOKUP(EOMONTH($F917, -2), 'WP 3.1 Rate Case Regress.'!$C$5:$D$556, 2, FALSE))</f>
        <v>5.37</v>
      </c>
    </row>
    <row r="918" spans="2:9" x14ac:dyDescent="0.5">
      <c r="B918" s="1162" t="s">
        <v>2777</v>
      </c>
      <c r="C918" s="1163" t="s">
        <v>3623</v>
      </c>
      <c r="D918" s="1163" t="s">
        <v>3646</v>
      </c>
      <c r="E918" s="1164"/>
      <c r="F918" s="1165">
        <v>40535</v>
      </c>
      <c r="G918" s="1166" t="s">
        <v>2695</v>
      </c>
      <c r="H918" s="1167">
        <v>9.92</v>
      </c>
      <c r="I918" s="1168">
        <f>IF(DAY($F918)&gt;15, VLOOKUP(EOMONTH($F918,-1),'WP 3.1 Rate Case Regress.'!$C$5:$D$556,2,FALSE), VLOOKUP(EOMONTH($F918, -2), 'WP 3.1 Rate Case Regress.'!$C$5:$D$556, 2, FALSE))</f>
        <v>5.37</v>
      </c>
    </row>
    <row r="919" spans="2:9" x14ac:dyDescent="0.5">
      <c r="B919" s="1162" t="s">
        <v>2744</v>
      </c>
      <c r="C919" s="1163" t="s">
        <v>3342</v>
      </c>
      <c r="D919" s="1163" t="s">
        <v>4972</v>
      </c>
      <c r="E919" s="1164"/>
      <c r="F919" s="1165">
        <v>40549</v>
      </c>
      <c r="G919" s="1166" t="s">
        <v>4585</v>
      </c>
      <c r="H919" s="1167">
        <v>10.35</v>
      </c>
      <c r="I919" s="1168">
        <f>IF(DAY($F919)&gt;15, VLOOKUP(EOMONTH($F919,-1),'WP 3.1 Rate Case Regress.'!$C$5:$D$556,2,FALSE), VLOOKUP(EOMONTH($F919, -2), 'WP 3.1 Rate Case Regress.'!$C$5:$D$556, 2, FALSE))</f>
        <v>5.37</v>
      </c>
    </row>
    <row r="920" spans="2:9" ht="30" x14ac:dyDescent="0.5">
      <c r="B920" s="1162" t="s">
        <v>2702</v>
      </c>
      <c r="C920" s="1163" t="s">
        <v>4701</v>
      </c>
      <c r="D920" s="1163" t="s">
        <v>3647</v>
      </c>
      <c r="E920" s="1164"/>
      <c r="F920" s="1165">
        <v>40555</v>
      </c>
      <c r="G920" s="1166" t="s">
        <v>2695</v>
      </c>
      <c r="H920" s="1167">
        <v>10.3</v>
      </c>
      <c r="I920" s="1168">
        <f>IF(DAY($F920)&gt;15, VLOOKUP(EOMONTH($F920,-1),'WP 3.1 Rate Case Regress.'!$C$5:$D$556,2,FALSE), VLOOKUP(EOMONTH($F920, -2), 'WP 3.1 Rate Case Regress.'!$C$5:$D$556, 2, FALSE))</f>
        <v>5.37</v>
      </c>
    </row>
    <row r="921" spans="2:9" ht="30" x14ac:dyDescent="0.5">
      <c r="B921" s="1162" t="s">
        <v>2702</v>
      </c>
      <c r="C921" s="1163" t="s">
        <v>2748</v>
      </c>
      <c r="D921" s="1163" t="s">
        <v>3648</v>
      </c>
      <c r="E921" s="1164"/>
      <c r="F921" s="1165">
        <v>40556</v>
      </c>
      <c r="G921" s="1166" t="s">
        <v>2695</v>
      </c>
      <c r="H921" s="1167">
        <v>10.3</v>
      </c>
      <c r="I921" s="1168">
        <f>IF(DAY($F921)&gt;15, VLOOKUP(EOMONTH($F921,-1),'WP 3.1 Rate Case Regress.'!$C$5:$D$556,2,FALSE), VLOOKUP(EOMONTH($F921, -2), 'WP 3.1 Rate Case Regress.'!$C$5:$D$556, 2, FALSE))</f>
        <v>5.37</v>
      </c>
    </row>
    <row r="922" spans="2:9" x14ac:dyDescent="0.5">
      <c r="B922" s="1162" t="s">
        <v>2774</v>
      </c>
      <c r="C922" s="1163" t="s">
        <v>2727</v>
      </c>
      <c r="D922" s="1163" t="s">
        <v>4973</v>
      </c>
      <c r="E922" s="1164"/>
      <c r="F922" s="1165">
        <v>40612</v>
      </c>
      <c r="G922" s="1166" t="s">
        <v>4585</v>
      </c>
      <c r="H922" s="1167">
        <v>10.1</v>
      </c>
      <c r="I922" s="1168">
        <f>IF(DAY($F922)&gt;15, VLOOKUP(EOMONTH($F922,-1),'WP 3.1 Rate Case Regress.'!$C$5:$D$556,2,FALSE), VLOOKUP(EOMONTH($F922, -2), 'WP 3.1 Rate Case Regress.'!$C$5:$D$556, 2, FALSE))</f>
        <v>5.57</v>
      </c>
    </row>
    <row r="923" spans="2:9" x14ac:dyDescent="0.5">
      <c r="B923" s="1162" t="s">
        <v>2700</v>
      </c>
      <c r="C923" s="1163" t="s">
        <v>3597</v>
      </c>
      <c r="D923" s="1163" t="s">
        <v>3649</v>
      </c>
      <c r="E923" s="1164"/>
      <c r="F923" s="1165">
        <v>40633</v>
      </c>
      <c r="G923" s="1166" t="s">
        <v>2695</v>
      </c>
      <c r="H923" s="1167">
        <v>9.4499999999999993</v>
      </c>
      <c r="I923" s="1168">
        <f>IF(DAY($F923)&gt;15, VLOOKUP(EOMONTH($F923,-1),'WP 3.1 Rate Case Regress.'!$C$5:$D$556,2,FALSE), VLOOKUP(EOMONTH($F923, -2), 'WP 3.1 Rate Case Regress.'!$C$5:$D$556, 2, FALSE))</f>
        <v>5.68</v>
      </c>
    </row>
    <row r="924" spans="2:9" x14ac:dyDescent="0.5">
      <c r="B924" s="1162" t="s">
        <v>2775</v>
      </c>
      <c r="C924" s="1163" t="s">
        <v>2975</v>
      </c>
      <c r="D924" s="1163" t="s">
        <v>4974</v>
      </c>
      <c r="E924" s="1164"/>
      <c r="F924" s="1165">
        <v>40651</v>
      </c>
      <c r="G924" s="1166" t="s">
        <v>4585</v>
      </c>
      <c r="H924" s="1167">
        <v>10.050000000000001</v>
      </c>
      <c r="I924" s="1168">
        <f>IF(DAY($F924)&gt;15, VLOOKUP(EOMONTH($F924,-1),'WP 3.1 Rate Case Regress.'!$C$5:$D$556,2,FALSE), VLOOKUP(EOMONTH($F924, -2), 'WP 3.1 Rate Case Regress.'!$C$5:$D$556, 2, FALSE))</f>
        <v>5.56</v>
      </c>
    </row>
    <row r="925" spans="2:9" x14ac:dyDescent="0.5">
      <c r="B925" s="1162" t="s">
        <v>2744</v>
      </c>
      <c r="C925" s="1163" t="s">
        <v>2770</v>
      </c>
      <c r="D925" s="1163" t="s">
        <v>4975</v>
      </c>
      <c r="E925" s="1164"/>
      <c r="F925" s="1165">
        <v>40689</v>
      </c>
      <c r="G925" s="1166" t="s">
        <v>4585</v>
      </c>
      <c r="H925" s="1167">
        <v>10.5</v>
      </c>
      <c r="I925" s="1168">
        <f>IF(DAY($F925)&gt;15, VLOOKUP(EOMONTH($F925,-1),'WP 3.1 Rate Case Regress.'!$C$5:$D$556,2,FALSE), VLOOKUP(EOMONTH($F925, -2), 'WP 3.1 Rate Case Regress.'!$C$5:$D$556, 2, FALSE))</f>
        <v>5.55</v>
      </c>
    </row>
    <row r="926" spans="2:9" x14ac:dyDescent="0.5">
      <c r="B926" s="1162" t="s">
        <v>2758</v>
      </c>
      <c r="C926" s="1163" t="s">
        <v>2759</v>
      </c>
      <c r="D926" s="1163" t="s">
        <v>4976</v>
      </c>
      <c r="E926" s="1164"/>
      <c r="F926" s="1165">
        <v>40715</v>
      </c>
      <c r="G926" s="1166" t="s">
        <v>4585</v>
      </c>
      <c r="H926" s="1167">
        <v>10</v>
      </c>
      <c r="I926" s="1168">
        <f>IF(DAY($F926)&gt;15, VLOOKUP(EOMONTH($F926,-1),'WP 3.1 Rate Case Regress.'!$C$5:$D$556,2,FALSE), VLOOKUP(EOMONTH($F926, -2), 'WP 3.1 Rate Case Regress.'!$C$5:$D$556, 2, FALSE))</f>
        <v>5.32</v>
      </c>
    </row>
    <row r="927" spans="2:9" x14ac:dyDescent="0.5">
      <c r="B927" s="1162" t="s">
        <v>2723</v>
      </c>
      <c r="C927" s="1163" t="s">
        <v>3389</v>
      </c>
      <c r="D927" s="1163" t="s">
        <v>3650</v>
      </c>
      <c r="E927" s="1164"/>
      <c r="F927" s="1165">
        <v>40723</v>
      </c>
      <c r="G927" s="1166" t="s">
        <v>2695</v>
      </c>
      <c r="H927" s="1167">
        <v>8.83</v>
      </c>
      <c r="I927" s="1168">
        <f>IF(DAY($F927)&gt;15, VLOOKUP(EOMONTH($F927,-1),'WP 3.1 Rate Case Regress.'!$C$5:$D$556,2,FALSE), VLOOKUP(EOMONTH($F927, -2), 'WP 3.1 Rate Case Regress.'!$C$5:$D$556, 2, FALSE))</f>
        <v>5.32</v>
      </c>
    </row>
    <row r="928" spans="2:9" x14ac:dyDescent="0.5">
      <c r="B928" s="1162" t="s">
        <v>2700</v>
      </c>
      <c r="C928" s="1163" t="s">
        <v>2778</v>
      </c>
      <c r="D928" s="1163" t="s">
        <v>3651</v>
      </c>
      <c r="E928" s="1164"/>
      <c r="F928" s="1165">
        <v>40756</v>
      </c>
      <c r="G928" s="1166" t="s">
        <v>2695</v>
      </c>
      <c r="H928" s="1167">
        <v>9.1999999999999993</v>
      </c>
      <c r="I928" s="1168">
        <f>IF(DAY($F928)&gt;15, VLOOKUP(EOMONTH($F928,-1),'WP 3.1 Rate Case Regress.'!$C$5:$D$556,2,FALSE), VLOOKUP(EOMONTH($F928, -2), 'WP 3.1 Rate Case Regress.'!$C$5:$D$556, 2, FALSE))</f>
        <v>5.26</v>
      </c>
    </row>
    <row r="929" spans="2:9" x14ac:dyDescent="0.5">
      <c r="B929" s="1162" t="s">
        <v>2715</v>
      </c>
      <c r="C929" s="1163" t="s">
        <v>2716</v>
      </c>
      <c r="D929" s="1163" t="s">
        <v>4977</v>
      </c>
      <c r="E929" s="1164"/>
      <c r="F929" s="1165">
        <v>40787</v>
      </c>
      <c r="G929" s="1166" t="s">
        <v>4585</v>
      </c>
      <c r="H929" s="1167">
        <v>10.1</v>
      </c>
      <c r="I929" s="1168">
        <f>IF(DAY($F929)&gt;15, VLOOKUP(EOMONTH($F929,-1),'WP 3.1 Rate Case Regress.'!$C$5:$D$556,2,FALSE), VLOOKUP(EOMONTH($F929, -2), 'WP 3.1 Rate Case Regress.'!$C$5:$D$556, 2, FALSE))</f>
        <v>5.27</v>
      </c>
    </row>
    <row r="930" spans="2:9" x14ac:dyDescent="0.5">
      <c r="B930" s="1162" t="s">
        <v>2698</v>
      </c>
      <c r="C930" s="1163" t="s">
        <v>2895</v>
      </c>
      <c r="D930" s="1163" t="s">
        <v>3652</v>
      </c>
      <c r="E930" s="1164"/>
      <c r="F930" s="1165">
        <v>40861</v>
      </c>
      <c r="G930" s="1166" t="s">
        <v>2695</v>
      </c>
      <c r="H930" s="1167">
        <v>9.6</v>
      </c>
      <c r="I930" s="1168">
        <f>IF(DAY($F930)&gt;15, VLOOKUP(EOMONTH($F930,-1),'WP 3.1 Rate Case Regress.'!$C$5:$D$556,2,FALSE), VLOOKUP(EOMONTH($F930, -2), 'WP 3.1 Rate Case Regress.'!$C$5:$D$556, 2, FALSE))</f>
        <v>4.4800000000000004</v>
      </c>
    </row>
    <row r="931" spans="2:9" ht="30" x14ac:dyDescent="0.5">
      <c r="B931" s="1162" t="s">
        <v>2717</v>
      </c>
      <c r="C931" s="1163" t="s">
        <v>2939</v>
      </c>
      <c r="D931" s="1163" t="s">
        <v>4978</v>
      </c>
      <c r="E931" s="1164"/>
      <c r="F931" s="1165">
        <v>40890</v>
      </c>
      <c r="G931" s="1166" t="s">
        <v>4585</v>
      </c>
      <c r="H931" s="1167">
        <v>9.5</v>
      </c>
      <c r="I931" s="1168">
        <f>IF(DAY($F931)&gt;15, VLOOKUP(EOMONTH($F931,-1),'WP 3.1 Rate Case Regress.'!$C$5:$D$556,2,FALSE), VLOOKUP(EOMONTH($F931, -2), 'WP 3.1 Rate Case Regress.'!$C$5:$D$556, 2, FALSE))</f>
        <v>4.5199999999999996</v>
      </c>
    </row>
    <row r="932" spans="2:9" x14ac:dyDescent="0.5">
      <c r="B932" s="1162" t="s">
        <v>2766</v>
      </c>
      <c r="C932" s="1163" t="s">
        <v>3110</v>
      </c>
      <c r="D932" s="1163" t="s">
        <v>4979</v>
      </c>
      <c r="E932" s="1164"/>
      <c r="F932" s="1165">
        <v>40897</v>
      </c>
      <c r="G932" s="1166" t="s">
        <v>4585</v>
      </c>
      <c r="H932" s="1167">
        <v>10</v>
      </c>
      <c r="I932" s="1168">
        <f>IF(DAY($F932)&gt;15, VLOOKUP(EOMONTH($F932,-1),'WP 3.1 Rate Case Regress.'!$C$5:$D$556,2,FALSE), VLOOKUP(EOMONTH($F932, -2), 'WP 3.1 Rate Case Regress.'!$C$5:$D$556, 2, FALSE))</f>
        <v>4.25</v>
      </c>
    </row>
    <row r="933" spans="2:9" ht="30" x14ac:dyDescent="0.5">
      <c r="B933" s="1162" t="s">
        <v>2702</v>
      </c>
      <c r="C933" s="1163" t="s">
        <v>2755</v>
      </c>
      <c r="D933" s="1163" t="s">
        <v>3653</v>
      </c>
      <c r="E933" s="1164"/>
      <c r="F933" s="1165">
        <v>40899</v>
      </c>
      <c r="G933" s="1166" t="s">
        <v>2695</v>
      </c>
      <c r="H933" s="1167">
        <v>10.4</v>
      </c>
      <c r="I933" s="1168">
        <f>IF(DAY($F933)&gt;15, VLOOKUP(EOMONTH($F933,-1),'WP 3.1 Rate Case Regress.'!$C$5:$D$556,2,FALSE), VLOOKUP(EOMONTH($F933, -2), 'WP 3.1 Rate Case Regress.'!$C$5:$D$556, 2, FALSE))</f>
        <v>4.25</v>
      </c>
    </row>
    <row r="934" spans="2:9" x14ac:dyDescent="0.5">
      <c r="B934" s="1162" t="s">
        <v>2693</v>
      </c>
      <c r="C934" s="1163" t="s">
        <v>2959</v>
      </c>
      <c r="D934" s="1163" t="s">
        <v>3654</v>
      </c>
      <c r="E934" s="1164"/>
      <c r="F934" s="1165">
        <v>40918</v>
      </c>
      <c r="G934" s="1166" t="s">
        <v>2695</v>
      </c>
      <c r="H934" s="1167">
        <v>9.4499999999999993</v>
      </c>
      <c r="I934" s="1168">
        <f>IF(DAY($F934)&gt;15, VLOOKUP(EOMONTH($F934,-1),'WP 3.1 Rate Case Regress.'!$C$5:$D$556,2,FALSE), VLOOKUP(EOMONTH($F934, -2), 'WP 3.1 Rate Case Regress.'!$C$5:$D$556, 2, FALSE))</f>
        <v>4.25</v>
      </c>
    </row>
    <row r="935" spans="2:9" x14ac:dyDescent="0.5">
      <c r="B935" s="1162" t="s">
        <v>2693</v>
      </c>
      <c r="C935" s="1163" t="s">
        <v>2961</v>
      </c>
      <c r="D935" s="1163" t="s">
        <v>3655</v>
      </c>
      <c r="E935" s="1164"/>
      <c r="F935" s="1165">
        <v>40918</v>
      </c>
      <c r="G935" s="1166" t="s">
        <v>2695</v>
      </c>
      <c r="H935" s="1167">
        <v>9.4499999999999993</v>
      </c>
      <c r="I935" s="1168">
        <f>IF(DAY($F935)&gt;15, VLOOKUP(EOMONTH($F935,-1),'WP 3.1 Rate Case Regress.'!$C$5:$D$556,2,FALSE), VLOOKUP(EOMONTH($F935, -2), 'WP 3.1 Rate Case Regress.'!$C$5:$D$556, 2, FALSE))</f>
        <v>4.25</v>
      </c>
    </row>
    <row r="936" spans="2:9" x14ac:dyDescent="0.5">
      <c r="B936" s="1162" t="s">
        <v>2693</v>
      </c>
      <c r="C936" s="1163" t="s">
        <v>2742</v>
      </c>
      <c r="D936" s="1163" t="s">
        <v>3656</v>
      </c>
      <c r="E936" s="1164"/>
      <c r="F936" s="1165">
        <v>40918</v>
      </c>
      <c r="G936" s="1166" t="s">
        <v>2695</v>
      </c>
      <c r="H936" s="1167">
        <v>9.06</v>
      </c>
      <c r="I936" s="1168">
        <f>IF(DAY($F936)&gt;15, VLOOKUP(EOMONTH($F936,-1),'WP 3.1 Rate Case Regress.'!$C$5:$D$556,2,FALSE), VLOOKUP(EOMONTH($F936, -2), 'WP 3.1 Rate Case Regress.'!$C$5:$D$556, 2, FALSE))</f>
        <v>4.25</v>
      </c>
    </row>
    <row r="937" spans="2:9" x14ac:dyDescent="0.5">
      <c r="B937" s="1162" t="s">
        <v>2768</v>
      </c>
      <c r="C937" s="1163" t="s">
        <v>3012</v>
      </c>
      <c r="D937" s="1163" t="s">
        <v>4980</v>
      </c>
      <c r="E937" s="1164"/>
      <c r="F937" s="1165">
        <v>40931</v>
      </c>
      <c r="G937" s="1166" t="s">
        <v>4585</v>
      </c>
      <c r="H937" s="1167">
        <v>10.199999999999999</v>
      </c>
      <c r="I937" s="1168">
        <f>IF(DAY($F937)&gt;15, VLOOKUP(EOMONTH($F937,-1),'WP 3.1 Rate Case Regress.'!$C$5:$D$556,2,FALSE), VLOOKUP(EOMONTH($F937, -2), 'WP 3.1 Rate Case Regress.'!$C$5:$D$556, 2, FALSE))</f>
        <v>4.33</v>
      </c>
    </row>
    <row r="938" spans="2:9" x14ac:dyDescent="0.5">
      <c r="B938" s="1162" t="s">
        <v>2752</v>
      </c>
      <c r="C938" s="1163" t="s">
        <v>4661</v>
      </c>
      <c r="D938" s="1163" t="s">
        <v>4981</v>
      </c>
      <c r="E938" s="1164"/>
      <c r="F938" s="1165">
        <v>40939</v>
      </c>
      <c r="G938" s="1166" t="s">
        <v>4585</v>
      </c>
      <c r="H938" s="1167">
        <v>10</v>
      </c>
      <c r="I938" s="1168">
        <f>IF(DAY($F938)&gt;15, VLOOKUP(EOMONTH($F938,-1),'WP 3.1 Rate Case Regress.'!$C$5:$D$556,2,FALSE), VLOOKUP(EOMONTH($F938, -2), 'WP 3.1 Rate Case Regress.'!$C$5:$D$556, 2, FALSE))</f>
        <v>4.33</v>
      </c>
    </row>
    <row r="939" spans="2:9" ht="30" x14ac:dyDescent="0.5">
      <c r="B939" s="1162" t="s">
        <v>2717</v>
      </c>
      <c r="C939" s="1163" t="s">
        <v>3437</v>
      </c>
      <c r="D939" s="1163" t="s">
        <v>3657</v>
      </c>
      <c r="E939" s="1164"/>
      <c r="F939" s="1165">
        <v>41023</v>
      </c>
      <c r="G939" s="1166" t="s">
        <v>2695</v>
      </c>
      <c r="H939" s="1167">
        <v>9.75</v>
      </c>
      <c r="I939" s="1168">
        <f>IF(DAY($F939)&gt;15, VLOOKUP(EOMONTH($F939,-1),'WP 3.1 Rate Case Regress.'!$C$5:$D$556,2,FALSE), VLOOKUP(EOMONTH($F939, -2), 'WP 3.1 Rate Case Regress.'!$C$5:$D$556, 2, FALSE))</f>
        <v>4.4800000000000004</v>
      </c>
    </row>
    <row r="940" spans="2:9" x14ac:dyDescent="0.5">
      <c r="B940" s="1162" t="s">
        <v>2776</v>
      </c>
      <c r="C940" s="1163" t="s">
        <v>3727</v>
      </c>
      <c r="D940" s="1163" t="s">
        <v>4982</v>
      </c>
      <c r="E940" s="1164"/>
      <c r="F940" s="1165">
        <v>41023</v>
      </c>
      <c r="G940" s="1166" t="s">
        <v>4585</v>
      </c>
      <c r="H940" s="1167">
        <v>9.5</v>
      </c>
      <c r="I940" s="1168">
        <f>IF(DAY($F940)&gt;15, VLOOKUP(EOMONTH($F940,-1),'WP 3.1 Rate Case Regress.'!$C$5:$D$556,2,FALSE), VLOOKUP(EOMONTH($F940, -2), 'WP 3.1 Rate Case Regress.'!$C$5:$D$556, 2, FALSE))</f>
        <v>4.4800000000000004</v>
      </c>
    </row>
    <row r="941" spans="2:9" x14ac:dyDescent="0.5">
      <c r="B941" s="1162" t="s">
        <v>2736</v>
      </c>
      <c r="C941" s="1163" t="s">
        <v>2737</v>
      </c>
      <c r="D941" s="1163" t="s">
        <v>3658</v>
      </c>
      <c r="E941" s="1164"/>
      <c r="F941" s="1165">
        <v>41036</v>
      </c>
      <c r="G941" s="1166" t="s">
        <v>2695</v>
      </c>
      <c r="H941" s="1167">
        <v>9.8000000000000007</v>
      </c>
      <c r="I941" s="1168">
        <f>IF(DAY($F941)&gt;15, VLOOKUP(EOMONTH($F941,-1),'WP 3.1 Rate Case Regress.'!$C$5:$D$556,2,FALSE), VLOOKUP(EOMONTH($F941, -2), 'WP 3.1 Rate Case Regress.'!$C$5:$D$556, 2, FALSE))</f>
        <v>4.4800000000000004</v>
      </c>
    </row>
    <row r="942" spans="2:9" x14ac:dyDescent="0.5">
      <c r="B942" s="1162" t="s">
        <v>3577</v>
      </c>
      <c r="C942" s="1163" t="s">
        <v>3623</v>
      </c>
      <c r="D942" s="1163" t="s">
        <v>3659</v>
      </c>
      <c r="E942" s="1164"/>
      <c r="F942" s="1165">
        <v>41051</v>
      </c>
      <c r="G942" s="1166" t="s">
        <v>2695</v>
      </c>
      <c r="H942" s="1167">
        <v>9.6</v>
      </c>
      <c r="I942" s="1168">
        <f>IF(DAY($F942)&gt;15, VLOOKUP(EOMONTH($F942,-1),'WP 3.1 Rate Case Regress.'!$C$5:$D$556,2,FALSE), VLOOKUP(EOMONTH($F942, -2), 'WP 3.1 Rate Case Regress.'!$C$5:$D$556, 2, FALSE))</f>
        <v>4.4000000000000004</v>
      </c>
    </row>
    <row r="943" spans="2:9" ht="30" x14ac:dyDescent="0.5">
      <c r="B943" s="1162" t="s">
        <v>2754</v>
      </c>
      <c r="C943" s="1163" t="s">
        <v>3123</v>
      </c>
      <c r="D943" s="1163" t="s">
        <v>3660</v>
      </c>
      <c r="E943" s="1164"/>
      <c r="F943" s="1165">
        <v>41053</v>
      </c>
      <c r="G943" s="1166" t="s">
        <v>2695</v>
      </c>
      <c r="H943" s="1167">
        <v>9.6999999999999993</v>
      </c>
      <c r="I943" s="1168">
        <f>IF(DAY($F943)&gt;15, VLOOKUP(EOMONTH($F943,-1),'WP 3.1 Rate Case Regress.'!$C$5:$D$556,2,FALSE), VLOOKUP(EOMONTH($F943, -2), 'WP 3.1 Rate Case Regress.'!$C$5:$D$556, 2, FALSE))</f>
        <v>4.4000000000000004</v>
      </c>
    </row>
    <row r="944" spans="2:9" x14ac:dyDescent="0.5">
      <c r="B944" s="1162" t="s">
        <v>2744</v>
      </c>
      <c r="C944" s="1163" t="s">
        <v>2770</v>
      </c>
      <c r="D944" s="1163" t="s">
        <v>4983</v>
      </c>
      <c r="E944" s="1164"/>
      <c r="F944" s="1165">
        <v>41067</v>
      </c>
      <c r="G944" s="1166" t="s">
        <v>4585</v>
      </c>
      <c r="H944" s="1167">
        <v>10.3</v>
      </c>
      <c r="I944" s="1168">
        <f>IF(DAY($F944)&gt;15, VLOOKUP(EOMONTH($F944,-1),'WP 3.1 Rate Case Regress.'!$C$5:$D$556,2,FALSE), VLOOKUP(EOMONTH($F944, -2), 'WP 3.1 Rate Case Regress.'!$C$5:$D$556, 2, FALSE))</f>
        <v>4.4000000000000004</v>
      </c>
    </row>
    <row r="945" spans="2:9" ht="30" x14ac:dyDescent="0.5">
      <c r="B945" s="1162" t="s">
        <v>2702</v>
      </c>
      <c r="C945" s="1163" t="s">
        <v>2749</v>
      </c>
      <c r="D945" s="1163" t="s">
        <v>3661</v>
      </c>
      <c r="E945" s="1164"/>
      <c r="F945" s="1165">
        <v>41075</v>
      </c>
      <c r="G945" s="1166" t="s">
        <v>2695</v>
      </c>
      <c r="H945" s="1167">
        <v>10.4</v>
      </c>
      <c r="I945" s="1168">
        <f>IF(DAY($F945)&gt;15, VLOOKUP(EOMONTH($F945,-1),'WP 3.1 Rate Case Regress.'!$C$5:$D$556,2,FALSE), VLOOKUP(EOMONTH($F945, -2), 'WP 3.1 Rate Case Regress.'!$C$5:$D$556, 2, FALSE))</f>
        <v>4.4000000000000004</v>
      </c>
    </row>
    <row r="946" spans="2:9" ht="30" x14ac:dyDescent="0.5">
      <c r="B946" s="1162" t="s">
        <v>2777</v>
      </c>
      <c r="C946" s="1163" t="s">
        <v>4889</v>
      </c>
      <c r="D946" s="1163" t="s">
        <v>4984</v>
      </c>
      <c r="E946" s="1164"/>
      <c r="F946" s="1165">
        <v>41078</v>
      </c>
      <c r="G946" s="1166" t="s">
        <v>4585</v>
      </c>
      <c r="H946" s="1167">
        <v>9.6</v>
      </c>
      <c r="I946" s="1168">
        <f>IF(DAY($F946)&gt;15, VLOOKUP(EOMONTH($F946,-1),'WP 3.1 Rate Case Regress.'!$C$5:$D$556,2,FALSE), VLOOKUP(EOMONTH($F946, -2), 'WP 3.1 Rate Case Regress.'!$C$5:$D$556, 2, FALSE))</f>
        <v>4.2</v>
      </c>
    </row>
    <row r="947" spans="2:9" x14ac:dyDescent="0.5">
      <c r="B947" s="1162" t="s">
        <v>2766</v>
      </c>
      <c r="C947" s="1163" t="s">
        <v>2895</v>
      </c>
      <c r="D947" s="1163" t="s">
        <v>4985</v>
      </c>
      <c r="E947" s="1164"/>
      <c r="F947" s="1165">
        <v>41092</v>
      </c>
      <c r="G947" s="1166" t="s">
        <v>4585</v>
      </c>
      <c r="H947" s="1167">
        <v>9.75</v>
      </c>
      <c r="I947" s="1168">
        <f>IF(DAY($F947)&gt;15, VLOOKUP(EOMONTH($F947,-1),'WP 3.1 Rate Case Regress.'!$C$5:$D$556,2,FALSE), VLOOKUP(EOMONTH($F947, -2), 'WP 3.1 Rate Case Regress.'!$C$5:$D$556, 2, FALSE))</f>
        <v>4.2</v>
      </c>
    </row>
    <row r="948" spans="2:9" ht="30" x14ac:dyDescent="0.5">
      <c r="B948" s="1162" t="s">
        <v>2702</v>
      </c>
      <c r="C948" s="1163" t="s">
        <v>2748</v>
      </c>
      <c r="D948" s="1163" t="s">
        <v>4986</v>
      </c>
      <c r="E948" s="1164"/>
      <c r="F948" s="1165">
        <v>41206</v>
      </c>
      <c r="G948" s="1166" t="s">
        <v>4585</v>
      </c>
      <c r="H948" s="1167">
        <v>10.3</v>
      </c>
      <c r="I948" s="1168">
        <f>IF(DAY($F948)&gt;15, VLOOKUP(EOMONTH($F948,-1),'WP 3.1 Rate Case Regress.'!$C$5:$D$556,2,FALSE), VLOOKUP(EOMONTH($F948, -2), 'WP 3.1 Rate Case Regress.'!$C$5:$D$556, 2, FALSE))</f>
        <v>4.0199999999999996</v>
      </c>
    </row>
    <row r="949" spans="2:9" x14ac:dyDescent="0.5">
      <c r="B949" s="1162" t="s">
        <v>2774</v>
      </c>
      <c r="C949" s="1163" t="s">
        <v>3493</v>
      </c>
      <c r="D949" s="1163" t="s">
        <v>3662</v>
      </c>
      <c r="E949" s="1164"/>
      <c r="F949" s="1165">
        <v>41208</v>
      </c>
      <c r="G949" s="1166" t="s">
        <v>2695</v>
      </c>
      <c r="H949" s="1167">
        <v>9.5</v>
      </c>
      <c r="I949" s="1168">
        <f>IF(DAY($F949)&gt;15, VLOOKUP(EOMONTH($F949,-1),'WP 3.1 Rate Case Regress.'!$C$5:$D$556,2,FALSE), VLOOKUP(EOMONTH($F949, -2), 'WP 3.1 Rate Case Regress.'!$C$5:$D$556, 2, FALSE))</f>
        <v>4.0199999999999996</v>
      </c>
    </row>
    <row r="950" spans="2:9" ht="30" x14ac:dyDescent="0.5">
      <c r="B950" s="1162" t="s">
        <v>2731</v>
      </c>
      <c r="C950" s="1163" t="s">
        <v>2939</v>
      </c>
      <c r="D950" s="1163" t="s">
        <v>3663</v>
      </c>
      <c r="E950" s="1164"/>
      <c r="F950" s="1165">
        <v>41213</v>
      </c>
      <c r="G950" s="1166" t="s">
        <v>2695</v>
      </c>
      <c r="H950" s="1167">
        <v>10</v>
      </c>
      <c r="I950" s="1168">
        <f>IF(DAY($F950)&gt;15, VLOOKUP(EOMONTH($F950,-1),'WP 3.1 Rate Case Regress.'!$C$5:$D$556,2,FALSE), VLOOKUP(EOMONTH($F950, -2), 'WP 3.1 Rate Case Regress.'!$C$5:$D$556, 2, FALSE))</f>
        <v>4.0199999999999996</v>
      </c>
    </row>
    <row r="951" spans="2:9" x14ac:dyDescent="0.5">
      <c r="B951" s="1162" t="s">
        <v>2724</v>
      </c>
      <c r="C951" s="1163" t="s">
        <v>2925</v>
      </c>
      <c r="D951" s="1163" t="s">
        <v>3664</v>
      </c>
      <c r="E951" s="1164"/>
      <c r="F951" s="1165">
        <v>41213</v>
      </c>
      <c r="G951" s="1166" t="s">
        <v>2695</v>
      </c>
      <c r="H951" s="1167">
        <v>9.9</v>
      </c>
      <c r="I951" s="1168">
        <f>IF(DAY($F951)&gt;15, VLOOKUP(EOMONTH($F951,-1),'WP 3.1 Rate Case Regress.'!$C$5:$D$556,2,FALSE), VLOOKUP(EOMONTH($F951, -2), 'WP 3.1 Rate Case Regress.'!$C$5:$D$556, 2, FALSE))</f>
        <v>4.0199999999999996</v>
      </c>
    </row>
    <row r="952" spans="2:9" ht="30" x14ac:dyDescent="0.5">
      <c r="B952" s="1162" t="s">
        <v>2731</v>
      </c>
      <c r="C952" s="1163" t="s">
        <v>2939</v>
      </c>
      <c r="D952" s="1163" t="s">
        <v>3665</v>
      </c>
      <c r="E952" s="1164"/>
      <c r="F952" s="1165">
        <v>41213</v>
      </c>
      <c r="G952" s="1166" t="s">
        <v>2695</v>
      </c>
      <c r="H952" s="1167">
        <v>9.3000000000000007</v>
      </c>
      <c r="I952" s="1168">
        <f>IF(DAY($F952)&gt;15, VLOOKUP(EOMONTH($F952,-1),'WP 3.1 Rate Case Regress.'!$C$5:$D$556,2,FALSE), VLOOKUP(EOMONTH($F952, -2), 'WP 3.1 Rate Case Regress.'!$C$5:$D$556, 2, FALSE))</f>
        <v>4.0199999999999996</v>
      </c>
    </row>
    <row r="953" spans="2:9" x14ac:dyDescent="0.5">
      <c r="B953" s="1162" t="s">
        <v>2700</v>
      </c>
      <c r="C953" s="1163" t="s">
        <v>3035</v>
      </c>
      <c r="D953" s="1163" t="s">
        <v>3666</v>
      </c>
      <c r="E953" s="1164"/>
      <c r="F953" s="1165">
        <v>41214</v>
      </c>
      <c r="G953" s="1166" t="s">
        <v>2695</v>
      </c>
      <c r="H953" s="1167">
        <v>9.4499999999999993</v>
      </c>
      <c r="I953" s="1168">
        <f>IF(DAY($F953)&gt;15, VLOOKUP(EOMONTH($F953,-1),'WP 3.1 Rate Case Regress.'!$C$5:$D$556,2,FALSE), VLOOKUP(EOMONTH($F953, -2), 'WP 3.1 Rate Case Regress.'!$C$5:$D$556, 2, FALSE))</f>
        <v>4.0199999999999996</v>
      </c>
    </row>
    <row r="954" spans="2:9" x14ac:dyDescent="0.5">
      <c r="B954" s="1162" t="s">
        <v>2768</v>
      </c>
      <c r="C954" s="1163" t="s">
        <v>2944</v>
      </c>
      <c r="D954" s="1163" t="s">
        <v>4987</v>
      </c>
      <c r="E954" s="1164"/>
      <c r="F954" s="1165">
        <v>41221</v>
      </c>
      <c r="G954" s="1166" t="s">
        <v>4585</v>
      </c>
      <c r="H954" s="1167">
        <v>10.1</v>
      </c>
      <c r="I954" s="1168">
        <f>IF(DAY($F954)&gt;15, VLOOKUP(EOMONTH($F954,-1),'WP 3.1 Rate Case Regress.'!$C$5:$D$556,2,FALSE), VLOOKUP(EOMONTH($F954, -2), 'WP 3.1 Rate Case Regress.'!$C$5:$D$556, 2, FALSE))</f>
        <v>4.0199999999999996</v>
      </c>
    </row>
    <row r="955" spans="2:9" ht="30" x14ac:dyDescent="0.5">
      <c r="B955" s="1162" t="s">
        <v>2702</v>
      </c>
      <c r="C955" s="1163" t="s">
        <v>4701</v>
      </c>
      <c r="D955" s="1163" t="s">
        <v>3667</v>
      </c>
      <c r="E955" s="1164"/>
      <c r="F955" s="1165">
        <v>41222</v>
      </c>
      <c r="G955" s="1166" t="s">
        <v>2695</v>
      </c>
      <c r="H955" s="1167">
        <v>10.3</v>
      </c>
      <c r="I955" s="1168">
        <f>IF(DAY($F955)&gt;15, VLOOKUP(EOMONTH($F955,-1),'WP 3.1 Rate Case Regress.'!$C$5:$D$556,2,FALSE), VLOOKUP(EOMONTH($F955, -2), 'WP 3.1 Rate Case Regress.'!$C$5:$D$556, 2, FALSE))</f>
        <v>4.0199999999999996</v>
      </c>
    </row>
    <row r="956" spans="2:9" x14ac:dyDescent="0.5">
      <c r="B956" s="1162" t="s">
        <v>2708</v>
      </c>
      <c r="C956" s="1163" t="s">
        <v>2747</v>
      </c>
      <c r="D956" s="1163" t="s">
        <v>4988</v>
      </c>
      <c r="E956" s="1164"/>
      <c r="F956" s="1165">
        <v>41239</v>
      </c>
      <c r="G956" s="1166" t="s">
        <v>4585</v>
      </c>
      <c r="H956" s="1167">
        <v>10</v>
      </c>
      <c r="I956" s="1168">
        <f>IF(DAY($F956)&gt;15, VLOOKUP(EOMONTH($F956,-1),'WP 3.1 Rate Case Regress.'!$C$5:$D$556,2,FALSE), VLOOKUP(EOMONTH($F956, -2), 'WP 3.1 Rate Case Regress.'!$C$5:$D$556, 2, FALSE))</f>
        <v>3.91</v>
      </c>
    </row>
    <row r="957" spans="2:9" x14ac:dyDescent="0.5">
      <c r="B957" s="1162" t="s">
        <v>2702</v>
      </c>
      <c r="C957" s="1163" t="s">
        <v>2903</v>
      </c>
      <c r="D957" s="1163" t="s">
        <v>3668</v>
      </c>
      <c r="E957" s="1164"/>
      <c r="F957" s="1165">
        <v>41241</v>
      </c>
      <c r="G957" s="1166" t="s">
        <v>2695</v>
      </c>
      <c r="H957" s="1167">
        <v>10.5</v>
      </c>
      <c r="I957" s="1168">
        <f>IF(DAY($F957)&gt;15, VLOOKUP(EOMONTH($F957,-1),'WP 3.1 Rate Case Regress.'!$C$5:$D$556,2,FALSE), VLOOKUP(EOMONTH($F957, -2), 'WP 3.1 Rate Case Regress.'!$C$5:$D$556, 2, FALSE))</f>
        <v>3.91</v>
      </c>
    </row>
    <row r="958" spans="2:9" ht="30" x14ac:dyDescent="0.5">
      <c r="B958" s="1162" t="s">
        <v>2702</v>
      </c>
      <c r="C958" s="1163" t="s">
        <v>2773</v>
      </c>
      <c r="D958" s="1163" t="s">
        <v>3669</v>
      </c>
      <c r="E958" s="1164"/>
      <c r="F958" s="1165">
        <v>41241</v>
      </c>
      <c r="G958" s="1166" t="s">
        <v>2695</v>
      </c>
      <c r="H958" s="1167">
        <v>10.4</v>
      </c>
      <c r="I958" s="1168">
        <f>IF(DAY($F958)&gt;15, VLOOKUP(EOMONTH($F958,-1),'WP 3.1 Rate Case Regress.'!$C$5:$D$556,2,FALSE), VLOOKUP(EOMONTH($F958, -2), 'WP 3.1 Rate Case Regress.'!$C$5:$D$556, 2, FALSE))</f>
        <v>3.91</v>
      </c>
    </row>
    <row r="959" spans="2:9" ht="30" x14ac:dyDescent="0.5">
      <c r="B959" s="1162" t="s">
        <v>2775</v>
      </c>
      <c r="C959" s="1163" t="s">
        <v>2944</v>
      </c>
      <c r="D959" s="1163" t="s">
        <v>3670</v>
      </c>
      <c r="E959" s="1164"/>
      <c r="F959" s="1165">
        <v>41247</v>
      </c>
      <c r="G959" s="1166" t="s">
        <v>2695</v>
      </c>
      <c r="H959" s="1167">
        <v>10.5</v>
      </c>
      <c r="I959" s="1168">
        <f>IF(DAY($F959)&gt;15, VLOOKUP(EOMONTH($F959,-1),'WP 3.1 Rate Case Regress.'!$C$5:$D$556,2,FALSE), VLOOKUP(EOMONTH($F959, -2), 'WP 3.1 Rate Case Regress.'!$C$5:$D$556, 2, FALSE))</f>
        <v>3.91</v>
      </c>
    </row>
    <row r="960" spans="2:9" x14ac:dyDescent="0.5">
      <c r="B960" s="1162" t="s">
        <v>2775</v>
      </c>
      <c r="C960" s="1163" t="s">
        <v>2975</v>
      </c>
      <c r="D960" s="1163" t="s">
        <v>4989</v>
      </c>
      <c r="E960" s="1164"/>
      <c r="F960" s="1165">
        <v>41247</v>
      </c>
      <c r="G960" s="1166" t="s">
        <v>4585</v>
      </c>
      <c r="H960" s="1167">
        <v>10</v>
      </c>
      <c r="I960" s="1168">
        <f>IF(DAY($F960)&gt;15, VLOOKUP(EOMONTH($F960,-1),'WP 3.1 Rate Case Regress.'!$C$5:$D$556,2,FALSE), VLOOKUP(EOMONTH($F960, -2), 'WP 3.1 Rate Case Regress.'!$C$5:$D$556, 2, FALSE))</f>
        <v>3.91</v>
      </c>
    </row>
    <row r="961" spans="2:9" x14ac:dyDescent="0.5">
      <c r="B961" s="1162" t="s">
        <v>2744</v>
      </c>
      <c r="C961" s="1163" t="s">
        <v>2972</v>
      </c>
      <c r="D961" s="1163" t="s">
        <v>4990</v>
      </c>
      <c r="E961" s="1164"/>
      <c r="F961" s="1165">
        <v>41263</v>
      </c>
      <c r="G961" s="1166" t="s">
        <v>4585</v>
      </c>
      <c r="H961" s="1167">
        <v>10.5</v>
      </c>
      <c r="I961" s="1168">
        <f>IF(DAY($F961)&gt;15, VLOOKUP(EOMONTH($F961,-1),'WP 3.1 Rate Case Regress.'!$C$5:$D$556,2,FALSE), VLOOKUP(EOMONTH($F961, -2), 'WP 3.1 Rate Case Regress.'!$C$5:$D$556, 2, FALSE))</f>
        <v>3.84</v>
      </c>
    </row>
    <row r="962" spans="2:9" x14ac:dyDescent="0.5">
      <c r="B962" s="1162" t="s">
        <v>2738</v>
      </c>
      <c r="C962" s="1163" t="s">
        <v>2760</v>
      </c>
      <c r="D962" s="1163" t="s">
        <v>3671</v>
      </c>
      <c r="E962" s="1164"/>
      <c r="F962" s="1165">
        <v>41263</v>
      </c>
      <c r="G962" s="1166" t="s">
        <v>2695</v>
      </c>
      <c r="H962" s="1167">
        <v>10.4</v>
      </c>
      <c r="I962" s="1168">
        <f>IF(DAY($F962)&gt;15, VLOOKUP(EOMONTH($F962,-1),'WP 3.1 Rate Case Regress.'!$C$5:$D$556,2,FALSE), VLOOKUP(EOMONTH($F962, -2), 'WP 3.1 Rate Case Regress.'!$C$5:$D$556, 2, FALSE))</f>
        <v>3.84</v>
      </c>
    </row>
    <row r="963" spans="2:9" x14ac:dyDescent="0.5">
      <c r="B963" s="1162" t="s">
        <v>2738</v>
      </c>
      <c r="C963" s="1163" t="s">
        <v>2741</v>
      </c>
      <c r="D963" s="1163" t="s">
        <v>3672</v>
      </c>
      <c r="E963" s="1164"/>
      <c r="F963" s="1165">
        <v>41263</v>
      </c>
      <c r="G963" s="1166" t="s">
        <v>2695</v>
      </c>
      <c r="H963" s="1167">
        <v>10.3</v>
      </c>
      <c r="I963" s="1168">
        <f>IF(DAY($F963)&gt;15, VLOOKUP(EOMONTH($F963,-1),'WP 3.1 Rate Case Regress.'!$C$5:$D$556,2,FALSE), VLOOKUP(EOMONTH($F963, -2), 'WP 3.1 Rate Case Regress.'!$C$5:$D$556, 2, FALSE))</f>
        <v>3.84</v>
      </c>
    </row>
    <row r="964" spans="2:9" x14ac:dyDescent="0.5">
      <c r="B964" s="1162" t="s">
        <v>2728</v>
      </c>
      <c r="C964" s="1163" t="s">
        <v>2729</v>
      </c>
      <c r="D964" s="1163" t="s">
        <v>4991</v>
      </c>
      <c r="E964" s="1164"/>
      <c r="F964" s="1165">
        <v>41263</v>
      </c>
      <c r="G964" s="1166" t="s">
        <v>4585</v>
      </c>
      <c r="H964" s="1167">
        <v>10.25</v>
      </c>
      <c r="I964" s="1168">
        <f>IF(DAY($F964)&gt;15, VLOOKUP(EOMONTH($F964,-1),'WP 3.1 Rate Case Regress.'!$C$5:$D$556,2,FALSE), VLOOKUP(EOMONTH($F964, -2), 'WP 3.1 Rate Case Regress.'!$C$5:$D$556, 2, FALSE))</f>
        <v>3.84</v>
      </c>
    </row>
    <row r="965" spans="2:9" x14ac:dyDescent="0.5">
      <c r="B965" s="1162" t="s">
        <v>2738</v>
      </c>
      <c r="C965" s="1163" t="s">
        <v>2954</v>
      </c>
      <c r="D965" s="1163" t="s">
        <v>3673</v>
      </c>
      <c r="E965" s="1164"/>
      <c r="F965" s="1165">
        <v>41263</v>
      </c>
      <c r="G965" s="1166" t="s">
        <v>2695</v>
      </c>
      <c r="H965" s="1167">
        <v>10.1</v>
      </c>
      <c r="I965" s="1168">
        <f>IF(DAY($F965)&gt;15, VLOOKUP(EOMONTH($F965,-1),'WP 3.1 Rate Case Regress.'!$C$5:$D$556,2,FALSE), VLOOKUP(EOMONTH($F965, -2), 'WP 3.1 Rate Case Regress.'!$C$5:$D$556, 2, FALSE))</f>
        <v>3.84</v>
      </c>
    </row>
    <row r="966" spans="2:9" x14ac:dyDescent="0.5">
      <c r="B966" s="1162" t="s">
        <v>2763</v>
      </c>
      <c r="C966" s="1163" t="s">
        <v>3059</v>
      </c>
      <c r="D966" s="1163" t="s">
        <v>4992</v>
      </c>
      <c r="E966" s="1164"/>
      <c r="F966" s="1165">
        <v>41263</v>
      </c>
      <c r="G966" s="1166" t="s">
        <v>4585</v>
      </c>
      <c r="H966" s="1167">
        <v>9.5</v>
      </c>
      <c r="I966" s="1168">
        <f>IF(DAY($F966)&gt;15, VLOOKUP(EOMONTH($F966,-1),'WP 3.1 Rate Case Regress.'!$C$5:$D$556,2,FALSE), VLOOKUP(EOMONTH($F966, -2), 'WP 3.1 Rate Case Regress.'!$C$5:$D$556, 2, FALSE))</f>
        <v>3.84</v>
      </c>
    </row>
    <row r="967" spans="2:9" x14ac:dyDescent="0.5">
      <c r="B967" s="1162" t="s">
        <v>2736</v>
      </c>
      <c r="C967" s="1163" t="s">
        <v>2727</v>
      </c>
      <c r="D967" s="1163" t="s">
        <v>4993</v>
      </c>
      <c r="E967" s="1164"/>
      <c r="F967" s="1165">
        <v>41269</v>
      </c>
      <c r="G967" s="1166" t="s">
        <v>4585</v>
      </c>
      <c r="H967" s="1167">
        <v>9.8000000000000007</v>
      </c>
      <c r="I967" s="1168">
        <f>IF(DAY($F967)&gt;15, VLOOKUP(EOMONTH($F967,-1),'WP 3.1 Rate Case Regress.'!$C$5:$D$556,2,FALSE), VLOOKUP(EOMONTH($F967, -2), 'WP 3.1 Rate Case Regress.'!$C$5:$D$556, 2, FALSE))</f>
        <v>3.84</v>
      </c>
    </row>
    <row r="968" spans="2:9" x14ac:dyDescent="0.5">
      <c r="B968" s="1162" t="s">
        <v>2698</v>
      </c>
      <c r="C968" s="1163" t="s">
        <v>2722</v>
      </c>
      <c r="D968" s="1163" t="s">
        <v>3674</v>
      </c>
      <c r="E968" s="1164"/>
      <c r="F968" s="1165">
        <v>41327</v>
      </c>
      <c r="G968" s="1166" t="s">
        <v>2695</v>
      </c>
      <c r="H968" s="1167">
        <v>9.6</v>
      </c>
      <c r="I968" s="1168">
        <f>IF(DAY($F968)&gt;15, VLOOKUP(EOMONTH($F968,-1),'WP 3.1 Rate Case Regress.'!$C$5:$D$556,2,FALSE), VLOOKUP(EOMONTH($F968, -2), 'WP 3.1 Rate Case Regress.'!$C$5:$D$556, 2, FALSE))</f>
        <v>4.1500000000000004</v>
      </c>
    </row>
    <row r="969" spans="2:9" x14ac:dyDescent="0.5">
      <c r="B969" s="1162" t="s">
        <v>2704</v>
      </c>
      <c r="C969" s="1163" t="s">
        <v>2705</v>
      </c>
      <c r="D969" s="1163" t="s">
        <v>4994</v>
      </c>
      <c r="E969" s="1164"/>
      <c r="F969" s="1165">
        <v>41347</v>
      </c>
      <c r="G969" s="1166" t="s">
        <v>4585</v>
      </c>
      <c r="H969" s="1167">
        <v>9.3000000000000007</v>
      </c>
      <c r="I969" s="1168">
        <f>IF(DAY($F969)&gt;15, VLOOKUP(EOMONTH($F969,-1),'WP 3.1 Rate Case Regress.'!$C$5:$D$556,2,FALSE), VLOOKUP(EOMONTH($F969, -2), 'WP 3.1 Rate Case Regress.'!$C$5:$D$556, 2, FALSE))</f>
        <v>4.1500000000000004</v>
      </c>
    </row>
    <row r="970" spans="2:9" x14ac:dyDescent="0.5">
      <c r="B970" s="1162" t="s">
        <v>2726</v>
      </c>
      <c r="C970" s="1163" t="s">
        <v>2727</v>
      </c>
      <c r="D970" s="1163" t="s">
        <v>4995</v>
      </c>
      <c r="E970" s="1164"/>
      <c r="F970" s="1165">
        <v>41360</v>
      </c>
      <c r="G970" s="1166" t="s">
        <v>4585</v>
      </c>
      <c r="H970" s="1167">
        <v>9.8000000000000007</v>
      </c>
      <c r="I970" s="1168">
        <f>IF(DAY($F970)&gt;15, VLOOKUP(EOMONTH($F970,-1),'WP 3.1 Rate Case Regress.'!$C$5:$D$556,2,FALSE), VLOOKUP(EOMONTH($F970, -2), 'WP 3.1 Rate Case Regress.'!$C$5:$D$556, 2, FALSE))</f>
        <v>4.18</v>
      </c>
    </row>
    <row r="971" spans="2:9" x14ac:dyDescent="0.5">
      <c r="B971" s="1162" t="s">
        <v>2740</v>
      </c>
      <c r="C971" s="1163" t="s">
        <v>2964</v>
      </c>
      <c r="D971" s="1163" t="s">
        <v>4996</v>
      </c>
      <c r="E971" s="1164"/>
      <c r="F971" s="1165">
        <v>41387</v>
      </c>
      <c r="G971" s="1166" t="s">
        <v>4585</v>
      </c>
      <c r="H971" s="1167">
        <v>9.8000000000000007</v>
      </c>
      <c r="I971" s="1168">
        <f>IF(DAY($F971)&gt;15, VLOOKUP(EOMONTH($F971,-1),'WP 3.1 Rate Case Regress.'!$C$5:$D$556,2,FALSE), VLOOKUP(EOMONTH($F971, -2), 'WP 3.1 Rate Case Regress.'!$C$5:$D$556, 2, FALSE))</f>
        <v>4.2</v>
      </c>
    </row>
    <row r="972" spans="2:9" x14ac:dyDescent="0.5">
      <c r="B972" s="1162" t="s">
        <v>2734</v>
      </c>
      <c r="C972" s="1163" t="s">
        <v>2895</v>
      </c>
      <c r="D972" s="1163" t="s">
        <v>3675</v>
      </c>
      <c r="E972" s="1164"/>
      <c r="F972" s="1165">
        <v>41404</v>
      </c>
      <c r="G972" s="1166" t="s">
        <v>2695</v>
      </c>
      <c r="H972" s="1167">
        <v>9.25</v>
      </c>
      <c r="I972" s="1168">
        <f>IF(DAY($F972)&gt;15, VLOOKUP(EOMONTH($F972,-1),'WP 3.1 Rate Case Regress.'!$C$5:$D$556,2,FALSE), VLOOKUP(EOMONTH($F972, -2), 'WP 3.1 Rate Case Regress.'!$C$5:$D$556, 2, FALSE))</f>
        <v>4.2</v>
      </c>
    </row>
    <row r="973" spans="2:9" x14ac:dyDescent="0.5">
      <c r="B973" s="1162" t="s">
        <v>2704</v>
      </c>
      <c r="C973" s="1163" t="s">
        <v>2934</v>
      </c>
      <c r="D973" s="1163" t="s">
        <v>4997</v>
      </c>
      <c r="E973" s="1164"/>
      <c r="F973" s="1165">
        <v>41438</v>
      </c>
      <c r="G973" s="1166" t="s">
        <v>4585</v>
      </c>
      <c r="H973" s="1167">
        <v>9.4</v>
      </c>
      <c r="I973" s="1168">
        <f>IF(DAY($F973)&gt;15, VLOOKUP(EOMONTH($F973,-1),'WP 3.1 Rate Case Regress.'!$C$5:$D$556,2,FALSE), VLOOKUP(EOMONTH($F973, -2), 'WP 3.1 Rate Case Regress.'!$C$5:$D$556, 2, FALSE))</f>
        <v>4</v>
      </c>
    </row>
    <row r="974" spans="2:9" x14ac:dyDescent="0.5">
      <c r="B974" s="1162" t="s">
        <v>2693</v>
      </c>
      <c r="C974" s="1163" t="s">
        <v>2959</v>
      </c>
      <c r="D974" s="1163" t="s">
        <v>3676</v>
      </c>
      <c r="E974" s="1164"/>
      <c r="F974" s="1165">
        <v>41443</v>
      </c>
      <c r="G974" s="1166" t="s">
        <v>2695</v>
      </c>
      <c r="H974" s="1167">
        <v>9.2799999999999994</v>
      </c>
      <c r="I974" s="1168">
        <f>IF(DAY($F974)&gt;15, VLOOKUP(EOMONTH($F974,-1),'WP 3.1 Rate Case Regress.'!$C$5:$D$556,2,FALSE), VLOOKUP(EOMONTH($F974, -2), 'WP 3.1 Rate Case Regress.'!$C$5:$D$556, 2, FALSE))</f>
        <v>4.17</v>
      </c>
    </row>
    <row r="975" spans="2:9" x14ac:dyDescent="0.5">
      <c r="B975" s="1162" t="s">
        <v>2693</v>
      </c>
      <c r="C975" s="1163" t="s">
        <v>2961</v>
      </c>
      <c r="D975" s="1163" t="s">
        <v>3677</v>
      </c>
      <c r="E975" s="1164"/>
      <c r="F975" s="1165">
        <v>41443</v>
      </c>
      <c r="G975" s="1166" t="s">
        <v>2695</v>
      </c>
      <c r="H975" s="1167">
        <v>9.2799999999999994</v>
      </c>
      <c r="I975" s="1168">
        <f>IF(DAY($F975)&gt;15, VLOOKUP(EOMONTH($F975,-1),'WP 3.1 Rate Case Regress.'!$C$5:$D$556,2,FALSE), VLOOKUP(EOMONTH($F975, -2), 'WP 3.1 Rate Case Regress.'!$C$5:$D$556, 2, FALSE))</f>
        <v>4.17</v>
      </c>
    </row>
    <row r="976" spans="2:9" x14ac:dyDescent="0.5">
      <c r="B976" s="1162" t="s">
        <v>2736</v>
      </c>
      <c r="C976" s="1163" t="s">
        <v>2737</v>
      </c>
      <c r="D976" s="1163" t="s">
        <v>4998</v>
      </c>
      <c r="E976" s="1164"/>
      <c r="F976" s="1165">
        <v>41450</v>
      </c>
      <c r="G976" s="1166" t="s">
        <v>4585</v>
      </c>
      <c r="H976" s="1167">
        <v>9.8000000000000007</v>
      </c>
      <c r="I976" s="1168">
        <f>IF(DAY($F976)&gt;15, VLOOKUP(EOMONTH($F976,-1),'WP 3.1 Rate Case Regress.'!$C$5:$D$556,2,FALSE), VLOOKUP(EOMONTH($F976, -2), 'WP 3.1 Rate Case Regress.'!$C$5:$D$556, 2, FALSE))</f>
        <v>4.17</v>
      </c>
    </row>
    <row r="977" spans="2:9" x14ac:dyDescent="0.5">
      <c r="B977" s="1162" t="s">
        <v>2698</v>
      </c>
      <c r="C977" s="1163" t="s">
        <v>3678</v>
      </c>
      <c r="D977" s="1163" t="s">
        <v>3679</v>
      </c>
      <c r="E977" s="1164"/>
      <c r="F977" s="1165">
        <v>41540</v>
      </c>
      <c r="G977" s="1166" t="s">
        <v>2695</v>
      </c>
      <c r="H977" s="1167">
        <v>9.6</v>
      </c>
      <c r="I977" s="1168">
        <f>IF(DAY($F977)&gt;15, VLOOKUP(EOMONTH($F977,-1),'WP 3.1 Rate Case Regress.'!$C$5:$D$556,2,FALSE), VLOOKUP(EOMONTH($F977, -2), 'WP 3.1 Rate Case Regress.'!$C$5:$D$556, 2, FALSE))</f>
        <v>4.7300000000000004</v>
      </c>
    </row>
    <row r="978" spans="2:9" ht="30" x14ac:dyDescent="0.5">
      <c r="B978" s="1162" t="s">
        <v>2702</v>
      </c>
      <c r="C978" s="1163" t="s">
        <v>2748</v>
      </c>
      <c r="D978" s="1163" t="s">
        <v>3680</v>
      </c>
      <c r="E978" s="1164"/>
      <c r="F978" s="1165">
        <v>41584</v>
      </c>
      <c r="G978" s="1166" t="s">
        <v>2695</v>
      </c>
      <c r="H978" s="1167">
        <v>10.199999999999999</v>
      </c>
      <c r="I978" s="1168">
        <f>IF(DAY($F978)&gt;15, VLOOKUP(EOMONTH($F978,-1),'WP 3.1 Rate Case Regress.'!$C$5:$D$556,2,FALSE), VLOOKUP(EOMONTH($F978, -2), 'WP 3.1 Rate Case Regress.'!$C$5:$D$556, 2, FALSE))</f>
        <v>4.8</v>
      </c>
    </row>
    <row r="979" spans="2:9" x14ac:dyDescent="0.5">
      <c r="B979" s="1162" t="s">
        <v>2710</v>
      </c>
      <c r="C979" s="1163" t="s">
        <v>2761</v>
      </c>
      <c r="D979" s="1163" t="s">
        <v>4999</v>
      </c>
      <c r="E979" s="1164"/>
      <c r="F979" s="1165">
        <v>41591</v>
      </c>
      <c r="G979" s="1166" t="s">
        <v>4585</v>
      </c>
      <c r="H979" s="1167">
        <v>9.84</v>
      </c>
      <c r="I979" s="1168">
        <f>IF(DAY($F979)&gt;15, VLOOKUP(EOMONTH($F979,-1),'WP 3.1 Rate Case Regress.'!$C$5:$D$556,2,FALSE), VLOOKUP(EOMONTH($F979, -2), 'WP 3.1 Rate Case Regress.'!$C$5:$D$556, 2, FALSE))</f>
        <v>4.8</v>
      </c>
    </row>
    <row r="980" spans="2:9" x14ac:dyDescent="0.5">
      <c r="B980" s="1162" t="s">
        <v>2744</v>
      </c>
      <c r="C980" s="1163" t="s">
        <v>3244</v>
      </c>
      <c r="D980" s="1163" t="s">
        <v>5000</v>
      </c>
      <c r="E980" s="1164"/>
      <c r="F980" s="1165">
        <v>41592</v>
      </c>
      <c r="G980" s="1166" t="s">
        <v>4585</v>
      </c>
      <c r="H980" s="1167">
        <v>10.25</v>
      </c>
      <c r="I980" s="1168">
        <f>IF(DAY($F980)&gt;15, VLOOKUP(EOMONTH($F980,-1),'WP 3.1 Rate Case Regress.'!$C$5:$D$556,2,FALSE), VLOOKUP(EOMONTH($F980, -2), 'WP 3.1 Rate Case Regress.'!$C$5:$D$556, 2, FALSE))</f>
        <v>4.8</v>
      </c>
    </row>
    <row r="981" spans="2:9" x14ac:dyDescent="0.5">
      <c r="B981" s="1162" t="s">
        <v>2698</v>
      </c>
      <c r="C981" s="1163" t="s">
        <v>2895</v>
      </c>
      <c r="D981" s="1163" t="s">
        <v>3681</v>
      </c>
      <c r="E981" s="1164"/>
      <c r="F981" s="1165">
        <v>41600</v>
      </c>
      <c r="G981" s="1166" t="s">
        <v>2695</v>
      </c>
      <c r="H981" s="1167">
        <v>9.5</v>
      </c>
      <c r="I981" s="1168">
        <f>IF(DAY($F981)&gt;15, VLOOKUP(EOMONTH($F981,-1),'WP 3.1 Rate Case Regress.'!$C$5:$D$556,2,FALSE), VLOOKUP(EOMONTH($F981, -2), 'WP 3.1 Rate Case Regress.'!$C$5:$D$556, 2, FALSE))</f>
        <v>4.7</v>
      </c>
    </row>
    <row r="982" spans="2:9" ht="30" x14ac:dyDescent="0.5">
      <c r="B982" s="1162" t="s">
        <v>2702</v>
      </c>
      <c r="C982" s="1163" t="s">
        <v>2755</v>
      </c>
      <c r="D982" s="1163" t="s">
        <v>3682</v>
      </c>
      <c r="E982" s="1164"/>
      <c r="F982" s="1165">
        <v>41613</v>
      </c>
      <c r="G982" s="1166" t="s">
        <v>2695</v>
      </c>
      <c r="H982" s="1167">
        <v>10.199999999999999</v>
      </c>
      <c r="I982" s="1168">
        <f>IF(DAY($F982)&gt;15, VLOOKUP(EOMONTH($F982,-1),'WP 3.1 Rate Case Regress.'!$C$5:$D$556,2,FALSE), VLOOKUP(EOMONTH($F982, -2), 'WP 3.1 Rate Case Regress.'!$C$5:$D$556, 2, FALSE))</f>
        <v>4.7</v>
      </c>
    </row>
    <row r="983" spans="2:9" x14ac:dyDescent="0.5">
      <c r="B983" s="1162" t="s">
        <v>2698</v>
      </c>
      <c r="C983" s="1163" t="s">
        <v>2722</v>
      </c>
      <c r="D983" s="1163" t="s">
        <v>3683</v>
      </c>
      <c r="E983" s="1164"/>
      <c r="F983" s="1165">
        <v>41621</v>
      </c>
      <c r="G983" s="1166" t="s">
        <v>2695</v>
      </c>
      <c r="H983" s="1167">
        <v>9.6</v>
      </c>
      <c r="I983" s="1168">
        <f>IF(DAY($F983)&gt;15, VLOOKUP(EOMONTH($F983,-1),'WP 3.1 Rate Case Regress.'!$C$5:$D$556,2,FALSE), VLOOKUP(EOMONTH($F983, -2), 'WP 3.1 Rate Case Regress.'!$C$5:$D$556, 2, FALSE))</f>
        <v>4.7</v>
      </c>
    </row>
    <row r="984" spans="2:9" x14ac:dyDescent="0.5">
      <c r="B984" s="1162" t="s">
        <v>2731</v>
      </c>
      <c r="C984" s="1163" t="s">
        <v>2733</v>
      </c>
      <c r="D984" s="1163" t="s">
        <v>3684</v>
      </c>
      <c r="E984" s="1164"/>
      <c r="F984" s="1165">
        <v>41624</v>
      </c>
      <c r="G984" s="1166" t="s">
        <v>2695</v>
      </c>
      <c r="H984" s="1167">
        <v>9.73</v>
      </c>
      <c r="I984" s="1168">
        <f>IF(DAY($F984)&gt;15, VLOOKUP(EOMONTH($F984,-1),'WP 3.1 Rate Case Regress.'!$C$5:$D$556,2,FALSE), VLOOKUP(EOMONTH($F984, -2), 'WP 3.1 Rate Case Regress.'!$C$5:$D$556, 2, FALSE))</f>
        <v>4.7699999999999996</v>
      </c>
    </row>
    <row r="985" spans="2:9" x14ac:dyDescent="0.5">
      <c r="B985" s="1162" t="s">
        <v>2743</v>
      </c>
      <c r="C985" s="1163" t="s">
        <v>3012</v>
      </c>
      <c r="D985" s="1163" t="s">
        <v>5001</v>
      </c>
      <c r="E985" s="1164"/>
      <c r="F985" s="1165">
        <v>41625</v>
      </c>
      <c r="G985" s="1166" t="s">
        <v>4585</v>
      </c>
      <c r="H985" s="1167">
        <v>10</v>
      </c>
      <c r="I985" s="1168">
        <f>IF(DAY($F985)&gt;15, VLOOKUP(EOMONTH($F985,-1),'WP 3.1 Rate Case Regress.'!$C$5:$D$556,2,FALSE), VLOOKUP(EOMONTH($F985, -2), 'WP 3.1 Rate Case Regress.'!$C$5:$D$556, 2, FALSE))</f>
        <v>4.7699999999999996</v>
      </c>
    </row>
    <row r="986" spans="2:9" x14ac:dyDescent="0.5">
      <c r="B986" s="1162" t="s">
        <v>2693</v>
      </c>
      <c r="C986" s="1163" t="s">
        <v>2742</v>
      </c>
      <c r="D986" s="1163" t="s">
        <v>3685</v>
      </c>
      <c r="E986" s="1164"/>
      <c r="F986" s="1165">
        <v>41626</v>
      </c>
      <c r="G986" s="1166" t="s">
        <v>2695</v>
      </c>
      <c r="H986" s="1167">
        <v>9.08</v>
      </c>
      <c r="I986" s="1168">
        <f>IF(DAY($F986)&gt;15, VLOOKUP(EOMONTH($F986,-1),'WP 3.1 Rate Case Regress.'!$C$5:$D$556,2,FALSE), VLOOKUP(EOMONTH($F986, -2), 'WP 3.1 Rate Case Regress.'!$C$5:$D$556, 2, FALSE))</f>
        <v>4.7699999999999996</v>
      </c>
    </row>
    <row r="987" spans="2:9" x14ac:dyDescent="0.5">
      <c r="B987" s="1162" t="s">
        <v>2715</v>
      </c>
      <c r="C987" s="1163" t="s">
        <v>2716</v>
      </c>
      <c r="D987" s="1163" t="s">
        <v>3686</v>
      </c>
      <c r="E987" s="1164"/>
      <c r="F987" s="1165">
        <v>41631</v>
      </c>
      <c r="G987" s="1166" t="s">
        <v>2695</v>
      </c>
      <c r="H987" s="1167">
        <v>9.7200000000000006</v>
      </c>
      <c r="I987" s="1168">
        <f>IF(DAY($F987)&gt;15, VLOOKUP(EOMONTH($F987,-1),'WP 3.1 Rate Case Regress.'!$C$5:$D$556,2,FALSE), VLOOKUP(EOMONTH($F987, -2), 'WP 3.1 Rate Case Regress.'!$C$5:$D$556, 2, FALSE))</f>
        <v>4.7699999999999996</v>
      </c>
    </row>
    <row r="988" spans="2:9" x14ac:dyDescent="0.5">
      <c r="B988" s="1162" t="s">
        <v>2762</v>
      </c>
      <c r="C988" s="1163" t="s">
        <v>2746</v>
      </c>
      <c r="D988" s="1163" t="s">
        <v>5002</v>
      </c>
      <c r="E988" s="1164"/>
      <c r="F988" s="1165">
        <v>41638</v>
      </c>
      <c r="G988" s="1166" t="s">
        <v>4585</v>
      </c>
      <c r="H988" s="1167">
        <v>10</v>
      </c>
      <c r="I988" s="1168">
        <f>IF(DAY($F988)&gt;15, VLOOKUP(EOMONTH($F988,-1),'WP 3.1 Rate Case Regress.'!$C$5:$D$556,2,FALSE), VLOOKUP(EOMONTH($F988, -2), 'WP 3.1 Rate Case Regress.'!$C$5:$D$556, 2, FALSE))</f>
        <v>4.7699999999999996</v>
      </c>
    </row>
    <row r="989" spans="2:9" x14ac:dyDescent="0.5">
      <c r="B989" s="1162" t="s">
        <v>2774</v>
      </c>
      <c r="C989" s="1163" t="s">
        <v>2727</v>
      </c>
      <c r="D989" s="1163" t="s">
        <v>5003</v>
      </c>
      <c r="E989" s="1164"/>
      <c r="F989" s="1165">
        <v>41660</v>
      </c>
      <c r="G989" s="1166" t="s">
        <v>4585</v>
      </c>
      <c r="H989" s="1167">
        <v>9.65</v>
      </c>
      <c r="I989" s="1168">
        <f>IF(DAY($F989)&gt;15, VLOOKUP(EOMONTH($F989,-1),'WP 3.1 Rate Case Regress.'!$C$5:$D$556,2,FALSE), VLOOKUP(EOMONTH($F989, -2), 'WP 3.1 Rate Case Regress.'!$C$5:$D$556, 2, FALSE))</f>
        <v>4.8099999999999996</v>
      </c>
    </row>
    <row r="990" spans="2:9" x14ac:dyDescent="0.5">
      <c r="B990" s="1162" t="s">
        <v>2723</v>
      </c>
      <c r="C990" s="1163" t="s">
        <v>2921</v>
      </c>
      <c r="D990" s="1163" t="s">
        <v>3687</v>
      </c>
      <c r="E990" s="1164"/>
      <c r="F990" s="1165">
        <v>41661</v>
      </c>
      <c r="G990" s="1166" t="s">
        <v>2695</v>
      </c>
      <c r="H990" s="1167">
        <v>9.18</v>
      </c>
      <c r="I990" s="1168">
        <f>IF(DAY($F990)&gt;15, VLOOKUP(EOMONTH($F990,-1),'WP 3.1 Rate Case Regress.'!$C$5:$D$556,2,FALSE), VLOOKUP(EOMONTH($F990, -2), 'WP 3.1 Rate Case Regress.'!$C$5:$D$556, 2, FALSE))</f>
        <v>4.8099999999999996</v>
      </c>
    </row>
    <row r="991" spans="2:9" x14ac:dyDescent="0.5">
      <c r="B991" s="1162" t="s">
        <v>2704</v>
      </c>
      <c r="C991" s="1163" t="s">
        <v>2908</v>
      </c>
      <c r="D991" s="1163" t="s">
        <v>5004</v>
      </c>
      <c r="E991" s="1164"/>
      <c r="F991" s="1165">
        <v>41690</v>
      </c>
      <c r="G991" s="1166" t="s">
        <v>4585</v>
      </c>
      <c r="H991" s="1167">
        <v>9.3000000000000007</v>
      </c>
      <c r="I991" s="1168">
        <f>IF(DAY($F991)&gt;15, VLOOKUP(EOMONTH($F991,-1),'WP 3.1 Rate Case Regress.'!$C$5:$D$556,2,FALSE), VLOOKUP(EOMONTH($F991, -2), 'WP 3.1 Rate Case Regress.'!$C$5:$D$556, 2, FALSE))</f>
        <v>4.63</v>
      </c>
    </row>
    <row r="992" spans="2:9" x14ac:dyDescent="0.5">
      <c r="B992" s="1162" t="s">
        <v>2714</v>
      </c>
      <c r="C992" s="1163" t="s">
        <v>4648</v>
      </c>
      <c r="D992" s="1163" t="s">
        <v>3688</v>
      </c>
      <c r="E992" s="1164"/>
      <c r="F992" s="1165">
        <v>41691</v>
      </c>
      <c r="G992" s="1166" t="s">
        <v>2695</v>
      </c>
      <c r="H992" s="1167">
        <v>9.85</v>
      </c>
      <c r="I992" s="1168">
        <f>IF(DAY($F992)&gt;15, VLOOKUP(EOMONTH($F992,-1),'WP 3.1 Rate Case Regress.'!$C$5:$D$556,2,FALSE), VLOOKUP(EOMONTH($F992, -2), 'WP 3.1 Rate Case Regress.'!$C$5:$D$556, 2, FALSE))</f>
        <v>4.63</v>
      </c>
    </row>
    <row r="993" spans="2:9" x14ac:dyDescent="0.5">
      <c r="B993" s="1162" t="s">
        <v>2700</v>
      </c>
      <c r="C993" s="1163" t="s">
        <v>3035</v>
      </c>
      <c r="D993" s="1163" t="s">
        <v>3689</v>
      </c>
      <c r="E993" s="1164"/>
      <c r="F993" s="1165">
        <v>41698</v>
      </c>
      <c r="G993" s="1166" t="s">
        <v>2695</v>
      </c>
      <c r="H993" s="1167">
        <v>9.5500000000000007</v>
      </c>
      <c r="I993" s="1168">
        <f>IF(DAY($F993)&gt;15, VLOOKUP(EOMONTH($F993,-1),'WP 3.1 Rate Case Regress.'!$C$5:$D$556,2,FALSE), VLOOKUP(EOMONTH($F993, -2), 'WP 3.1 Rate Case Regress.'!$C$5:$D$556, 2, FALSE))</f>
        <v>4.63</v>
      </c>
    </row>
    <row r="994" spans="2:9" x14ac:dyDescent="0.5">
      <c r="B994" s="1162" t="s">
        <v>2715</v>
      </c>
      <c r="C994" s="1163" t="s">
        <v>2944</v>
      </c>
      <c r="D994" s="1163" t="s">
        <v>5005</v>
      </c>
      <c r="E994" s="1164"/>
      <c r="F994" s="1165">
        <v>41714</v>
      </c>
      <c r="G994" s="1166" t="s">
        <v>4585</v>
      </c>
      <c r="H994" s="1167">
        <v>9.7200000000000006</v>
      </c>
      <c r="I994" s="1168">
        <f>IF(DAY($F994)&gt;15, VLOOKUP(EOMONTH($F994,-1),'WP 3.1 Rate Case Regress.'!$C$5:$D$556,2,FALSE), VLOOKUP(EOMONTH($F994, -2), 'WP 3.1 Rate Case Regress.'!$C$5:$D$556, 2, FALSE))</f>
        <v>4.53</v>
      </c>
    </row>
    <row r="995" spans="2:9" x14ac:dyDescent="0.5">
      <c r="B995" s="1162" t="s">
        <v>2776</v>
      </c>
      <c r="C995" s="1163" t="s">
        <v>3727</v>
      </c>
      <c r="D995" s="1163" t="s">
        <v>5006</v>
      </c>
      <c r="E995" s="1164"/>
      <c r="F995" s="1165">
        <v>41750</v>
      </c>
      <c r="G995" s="1166" t="s">
        <v>4585</v>
      </c>
      <c r="H995" s="1167">
        <v>9.5</v>
      </c>
      <c r="I995" s="1168">
        <f>IF(DAY($F995)&gt;15, VLOOKUP(EOMONTH($F995,-1),'WP 3.1 Rate Case Regress.'!$C$5:$D$556,2,FALSE), VLOOKUP(EOMONTH($F995, -2), 'WP 3.1 Rate Case Regress.'!$C$5:$D$556, 2, FALSE))</f>
        <v>4.51</v>
      </c>
    </row>
    <row r="996" spans="2:9" x14ac:dyDescent="0.5">
      <c r="B996" s="1162" t="s">
        <v>2728</v>
      </c>
      <c r="C996" s="1163" t="s">
        <v>2944</v>
      </c>
      <c r="D996" s="1163" t="s">
        <v>3690</v>
      </c>
      <c r="E996" s="1164"/>
      <c r="F996" s="1165">
        <v>41751</v>
      </c>
      <c r="G996" s="1166" t="s">
        <v>2695</v>
      </c>
      <c r="H996" s="1167">
        <v>9.8000000000000007</v>
      </c>
      <c r="I996" s="1168">
        <f>IF(DAY($F996)&gt;15, VLOOKUP(EOMONTH($F996,-1),'WP 3.1 Rate Case Regress.'!$C$5:$D$556,2,FALSE), VLOOKUP(EOMONTH($F996, -2), 'WP 3.1 Rate Case Regress.'!$C$5:$D$556, 2, FALSE))</f>
        <v>4.51</v>
      </c>
    </row>
    <row r="997" spans="2:9" x14ac:dyDescent="0.5">
      <c r="B997" s="1162" t="s">
        <v>2754</v>
      </c>
      <c r="C997" s="1163" t="s">
        <v>2975</v>
      </c>
      <c r="D997" s="1163" t="s">
        <v>3691</v>
      </c>
      <c r="E997" s="1164"/>
      <c r="F997" s="1165">
        <v>41767</v>
      </c>
      <c r="G997" s="1166" t="s">
        <v>2695</v>
      </c>
      <c r="H997" s="1167">
        <v>9.59</v>
      </c>
      <c r="I997" s="1168">
        <f>IF(DAY($F997)&gt;15, VLOOKUP(EOMONTH($F997,-1),'WP 3.1 Rate Case Regress.'!$C$5:$D$556,2,FALSE), VLOOKUP(EOMONTH($F997, -2), 'WP 3.1 Rate Case Regress.'!$C$5:$D$556, 2, FALSE))</f>
        <v>4.51</v>
      </c>
    </row>
    <row r="998" spans="2:9" x14ac:dyDescent="0.5">
      <c r="B998" s="1162" t="s">
        <v>2704</v>
      </c>
      <c r="C998" s="1163" t="s">
        <v>2910</v>
      </c>
      <c r="D998" s="1163" t="s">
        <v>5007</v>
      </c>
      <c r="E998" s="1164"/>
      <c r="F998" s="1165">
        <v>41767</v>
      </c>
      <c r="G998" s="1166" t="s">
        <v>4585</v>
      </c>
      <c r="H998" s="1167">
        <v>9.1</v>
      </c>
      <c r="I998" s="1168">
        <f>IF(DAY($F998)&gt;15, VLOOKUP(EOMONTH($F998,-1),'WP 3.1 Rate Case Regress.'!$C$5:$D$556,2,FALSE), VLOOKUP(EOMONTH($F998, -2), 'WP 3.1 Rate Case Regress.'!$C$5:$D$556, 2, FALSE))</f>
        <v>4.51</v>
      </c>
    </row>
    <row r="999" spans="2:9" ht="30" x14ac:dyDescent="0.5">
      <c r="B999" s="1162" t="s">
        <v>2702</v>
      </c>
      <c r="C999" s="1163" t="s">
        <v>2749</v>
      </c>
      <c r="D999" s="1163" t="s">
        <v>3692</v>
      </c>
      <c r="E999" s="1164"/>
      <c r="F999" s="1165">
        <v>41796</v>
      </c>
      <c r="G999" s="1166" t="s">
        <v>2695</v>
      </c>
      <c r="H999" s="1167">
        <v>10.4</v>
      </c>
      <c r="I999" s="1168">
        <f>IF(DAY($F999)&gt;15, VLOOKUP(EOMONTH($F999,-1),'WP 3.1 Rate Case Regress.'!$C$5:$D$556,2,FALSE), VLOOKUP(EOMONTH($F999, -2), 'WP 3.1 Rate Case Regress.'!$C$5:$D$556, 2, FALSE))</f>
        <v>4.41</v>
      </c>
    </row>
    <row r="1000" spans="2:9" ht="30" x14ac:dyDescent="0.5">
      <c r="B1000" s="1162" t="s">
        <v>2738</v>
      </c>
      <c r="C1000" s="1163" t="s">
        <v>2939</v>
      </c>
      <c r="D1000" s="1163" t="s">
        <v>3693</v>
      </c>
      <c r="E1000" s="1164"/>
      <c r="F1000" s="1165">
        <v>41802</v>
      </c>
      <c r="G1000" s="1166" t="s">
        <v>2695</v>
      </c>
      <c r="H1000" s="1167">
        <v>10.1</v>
      </c>
      <c r="I1000" s="1168">
        <f>IF(DAY($F1000)&gt;15, VLOOKUP(EOMONTH($F1000,-1),'WP 3.1 Rate Case Regress.'!$C$5:$D$556,2,FALSE), VLOOKUP(EOMONTH($F1000, -2), 'WP 3.1 Rate Case Regress.'!$C$5:$D$556, 2, FALSE))</f>
        <v>4.41</v>
      </c>
    </row>
    <row r="1001" spans="2:9" ht="30" x14ac:dyDescent="0.5">
      <c r="B1001" s="1162" t="s">
        <v>2738</v>
      </c>
      <c r="C1001" s="1163" t="s">
        <v>2939</v>
      </c>
      <c r="D1001" s="1163" t="s">
        <v>3694</v>
      </c>
      <c r="E1001" s="1164"/>
      <c r="F1001" s="1165">
        <v>41802</v>
      </c>
      <c r="G1001" s="1166" t="s">
        <v>2695</v>
      </c>
      <c r="H1001" s="1167">
        <v>10.1</v>
      </c>
      <c r="I1001" s="1168">
        <f>IF(DAY($F1001)&gt;15, VLOOKUP(EOMONTH($F1001,-1),'WP 3.1 Rate Case Regress.'!$C$5:$D$556,2,FALSE), VLOOKUP(EOMONTH($F1001, -2), 'WP 3.1 Rate Case Regress.'!$C$5:$D$556, 2, FALSE))</f>
        <v>4.41</v>
      </c>
    </row>
    <row r="1002" spans="2:9" ht="30" x14ac:dyDescent="0.5">
      <c r="B1002" s="1162" t="s">
        <v>2738</v>
      </c>
      <c r="C1002" s="1163" t="s">
        <v>2939</v>
      </c>
      <c r="D1002" s="1163" t="s">
        <v>3695</v>
      </c>
      <c r="E1002" s="1164"/>
      <c r="F1002" s="1165">
        <v>41802</v>
      </c>
      <c r="G1002" s="1166" t="s">
        <v>2695</v>
      </c>
      <c r="H1002" s="1167">
        <v>10.1</v>
      </c>
      <c r="I1002" s="1168">
        <f>IF(DAY($F1002)&gt;15, VLOOKUP(EOMONTH($F1002,-1),'WP 3.1 Rate Case Regress.'!$C$5:$D$556,2,FALSE), VLOOKUP(EOMONTH($F1002, -2), 'WP 3.1 Rate Case Regress.'!$C$5:$D$556, 2, FALSE))</f>
        <v>4.41</v>
      </c>
    </row>
    <row r="1003" spans="2:9" x14ac:dyDescent="0.5">
      <c r="B1003" s="1162" t="s">
        <v>2751</v>
      </c>
      <c r="C1003" s="1163" t="s">
        <v>2993</v>
      </c>
      <c r="D1003" s="1163" t="s">
        <v>5008</v>
      </c>
      <c r="E1003" s="1164"/>
      <c r="F1003" s="1165">
        <v>41827</v>
      </c>
      <c r="G1003" s="1166" t="s">
        <v>4585</v>
      </c>
      <c r="H1003" s="1167">
        <v>9.3000000000000007</v>
      </c>
      <c r="I1003" s="1168">
        <f>IF(DAY($F1003)&gt;15, VLOOKUP(EOMONTH($F1003,-1),'WP 3.1 Rate Case Regress.'!$C$5:$D$556,2,FALSE), VLOOKUP(EOMONTH($F1003, -2), 'WP 3.1 Rate Case Regress.'!$C$5:$D$556, 2, FALSE))</f>
        <v>4.26</v>
      </c>
    </row>
    <row r="1004" spans="2:9" x14ac:dyDescent="0.5">
      <c r="B1004" s="1162" t="s">
        <v>2751</v>
      </c>
      <c r="C1004" s="1163" t="s">
        <v>3554</v>
      </c>
      <c r="D1004" s="1163" t="s">
        <v>5009</v>
      </c>
      <c r="E1004" s="1164"/>
      <c r="F1004" s="1165">
        <v>41845</v>
      </c>
      <c r="G1004" s="1166" t="s">
        <v>4585</v>
      </c>
      <c r="H1004" s="1167">
        <v>9.3000000000000007</v>
      </c>
      <c r="I1004" s="1168">
        <f>IF(DAY($F1004)&gt;15, VLOOKUP(EOMONTH($F1004,-1),'WP 3.1 Rate Case Regress.'!$C$5:$D$556,2,FALSE), VLOOKUP(EOMONTH($F1004, -2), 'WP 3.1 Rate Case Regress.'!$C$5:$D$556, 2, FALSE))</f>
        <v>4.29</v>
      </c>
    </row>
    <row r="1005" spans="2:9" x14ac:dyDescent="0.5">
      <c r="B1005" s="1162" t="s">
        <v>2777</v>
      </c>
      <c r="C1005" s="1163" t="s">
        <v>4889</v>
      </c>
      <c r="D1005" s="1163" t="s">
        <v>5010</v>
      </c>
      <c r="E1005" s="1164"/>
      <c r="F1005" s="1165">
        <v>41851</v>
      </c>
      <c r="G1005" s="1166" t="s">
        <v>4585</v>
      </c>
      <c r="H1005" s="1167">
        <v>9.9</v>
      </c>
      <c r="I1005" s="1168">
        <f>IF(DAY($F1005)&gt;15, VLOOKUP(EOMONTH($F1005,-1),'WP 3.1 Rate Case Regress.'!$C$5:$D$556,2,FALSE), VLOOKUP(EOMONTH($F1005, -2), 'WP 3.1 Rate Case Regress.'!$C$5:$D$556, 2, FALSE))</f>
        <v>4.29</v>
      </c>
    </row>
    <row r="1006" spans="2:9" ht="30" x14ac:dyDescent="0.5">
      <c r="B1006" s="1162" t="s">
        <v>2706</v>
      </c>
      <c r="C1006" s="1163" t="s">
        <v>2944</v>
      </c>
      <c r="D1006" s="1163" t="s">
        <v>5011</v>
      </c>
      <c r="E1006" s="1164"/>
      <c r="F1006" s="1165">
        <v>41886</v>
      </c>
      <c r="G1006" s="1166" t="s">
        <v>4585</v>
      </c>
      <c r="H1006" s="1167">
        <v>9.1</v>
      </c>
      <c r="I1006" s="1168">
        <f>IF(DAY($F1006)&gt;15, VLOOKUP(EOMONTH($F1006,-1),'WP 3.1 Rate Case Regress.'!$C$5:$D$556,2,FALSE), VLOOKUP(EOMONTH($F1006, -2), 'WP 3.1 Rate Case Regress.'!$C$5:$D$556, 2, FALSE))</f>
        <v>4.2300000000000004</v>
      </c>
    </row>
    <row r="1007" spans="2:9" x14ac:dyDescent="0.5">
      <c r="B1007" s="1162" t="s">
        <v>2754</v>
      </c>
      <c r="C1007" s="1163" t="s">
        <v>3123</v>
      </c>
      <c r="D1007" s="1163" t="s">
        <v>3696</v>
      </c>
      <c r="E1007" s="1164"/>
      <c r="F1007" s="1165">
        <v>41906</v>
      </c>
      <c r="G1007" s="1166" t="s">
        <v>2695</v>
      </c>
      <c r="H1007" s="1167">
        <v>9.35</v>
      </c>
      <c r="I1007" s="1168">
        <f>IF(DAY($F1007)&gt;15, VLOOKUP(EOMONTH($F1007,-1),'WP 3.1 Rate Case Regress.'!$C$5:$D$556,2,FALSE), VLOOKUP(EOMONTH($F1007, -2), 'WP 3.1 Rate Case Regress.'!$C$5:$D$556, 2, FALSE))</f>
        <v>4.13</v>
      </c>
    </row>
    <row r="1008" spans="2:9" x14ac:dyDescent="0.5">
      <c r="B1008" s="1162" t="s">
        <v>2712</v>
      </c>
      <c r="C1008" s="1163" t="s">
        <v>3085</v>
      </c>
      <c r="D1008" s="1163" t="s">
        <v>5012</v>
      </c>
      <c r="E1008" s="1164"/>
      <c r="F1008" s="1165">
        <v>41912</v>
      </c>
      <c r="G1008" s="1166" t="s">
        <v>4585</v>
      </c>
      <c r="H1008" s="1167">
        <v>9.75</v>
      </c>
      <c r="I1008" s="1168">
        <f>IF(DAY($F1008)&gt;15, VLOOKUP(EOMONTH($F1008,-1),'WP 3.1 Rate Case Regress.'!$C$5:$D$556,2,FALSE), VLOOKUP(EOMONTH($F1008, -2), 'WP 3.1 Rate Case Regress.'!$C$5:$D$556, 2, FALSE))</f>
        <v>4.13</v>
      </c>
    </row>
    <row r="1009" spans="2:9" x14ac:dyDescent="0.5">
      <c r="B1009" s="1162" t="s">
        <v>2756</v>
      </c>
      <c r="C1009" s="1163" t="s">
        <v>3697</v>
      </c>
      <c r="D1009" s="1163" t="s">
        <v>3698</v>
      </c>
      <c r="E1009" s="1164"/>
      <c r="F1009" s="1165">
        <v>41941</v>
      </c>
      <c r="G1009" s="1166" t="s">
        <v>2695</v>
      </c>
      <c r="H1009" s="1167">
        <v>10.8</v>
      </c>
      <c r="I1009" s="1168">
        <f>IF(DAY($F1009)&gt;15, VLOOKUP(EOMONTH($F1009,-1),'WP 3.1 Rate Case Regress.'!$C$5:$D$556,2,FALSE), VLOOKUP(EOMONTH($F1009, -2), 'WP 3.1 Rate Case Regress.'!$C$5:$D$556, 2, FALSE))</f>
        <v>4.24</v>
      </c>
    </row>
    <row r="1010" spans="2:9" ht="30" x14ac:dyDescent="0.5">
      <c r="B1010" s="1162" t="s">
        <v>2702</v>
      </c>
      <c r="C1010" s="1163" t="s">
        <v>2748</v>
      </c>
      <c r="D1010" s="1163" t="s">
        <v>3699</v>
      </c>
      <c r="E1010" s="1164"/>
      <c r="F1010" s="1165">
        <v>41949</v>
      </c>
      <c r="G1010" s="1166" t="s">
        <v>2695</v>
      </c>
      <c r="H1010" s="1167">
        <v>10.199999999999999</v>
      </c>
      <c r="I1010" s="1168">
        <f>IF(DAY($F1010)&gt;15, VLOOKUP(EOMONTH($F1010,-1),'WP 3.1 Rate Case Regress.'!$C$5:$D$556,2,FALSE), VLOOKUP(EOMONTH($F1010, -2), 'WP 3.1 Rate Case Regress.'!$C$5:$D$556, 2, FALSE))</f>
        <v>4.24</v>
      </c>
    </row>
    <row r="1011" spans="2:9" x14ac:dyDescent="0.5">
      <c r="B1011" s="1162" t="s">
        <v>2702</v>
      </c>
      <c r="C1011" s="1163" t="s">
        <v>2903</v>
      </c>
      <c r="D1011" s="1163" t="s">
        <v>3700</v>
      </c>
      <c r="E1011" s="1164"/>
      <c r="F1011" s="1165">
        <v>41957</v>
      </c>
      <c r="G1011" s="1166" t="s">
        <v>2695</v>
      </c>
      <c r="H1011" s="1167">
        <v>10.3</v>
      </c>
      <c r="I1011" s="1168">
        <f>IF(DAY($F1011)&gt;15, VLOOKUP(EOMONTH($F1011,-1),'WP 3.1 Rate Case Regress.'!$C$5:$D$556,2,FALSE), VLOOKUP(EOMONTH($F1011, -2), 'WP 3.1 Rate Case Regress.'!$C$5:$D$556, 2, FALSE))</f>
        <v>4.24</v>
      </c>
    </row>
    <row r="1012" spans="2:9" ht="30" x14ac:dyDescent="0.5">
      <c r="B1012" s="1162" t="s">
        <v>2702</v>
      </c>
      <c r="C1012" s="1163" t="s">
        <v>2773</v>
      </c>
      <c r="D1012" s="1163" t="s">
        <v>3701</v>
      </c>
      <c r="E1012" s="1164"/>
      <c r="F1012" s="1165">
        <v>41957</v>
      </c>
      <c r="G1012" s="1166" t="s">
        <v>2695</v>
      </c>
      <c r="H1012" s="1167">
        <v>10.199999999999999</v>
      </c>
      <c r="I1012" s="1168">
        <f>IF(DAY($F1012)&gt;15, VLOOKUP(EOMONTH($F1012,-1),'WP 3.1 Rate Case Regress.'!$C$5:$D$556,2,FALSE), VLOOKUP(EOMONTH($F1012, -2), 'WP 3.1 Rate Case Regress.'!$C$5:$D$556, 2, FALSE))</f>
        <v>4.24</v>
      </c>
    </row>
    <row r="1013" spans="2:9" ht="30" x14ac:dyDescent="0.5">
      <c r="B1013" s="1162" t="s">
        <v>2702</v>
      </c>
      <c r="C1013" s="1163" t="s">
        <v>4701</v>
      </c>
      <c r="D1013" s="1163" t="s">
        <v>3702</v>
      </c>
      <c r="E1013" s="1164"/>
      <c r="F1013" s="1165">
        <v>41969</v>
      </c>
      <c r="G1013" s="1166" t="s">
        <v>2695</v>
      </c>
      <c r="H1013" s="1167">
        <v>10.199999999999999</v>
      </c>
      <c r="I1013" s="1168">
        <f>IF(DAY($F1013)&gt;15, VLOOKUP(EOMONTH($F1013,-1),'WP 3.1 Rate Case Regress.'!$C$5:$D$556,2,FALSE), VLOOKUP(EOMONTH($F1013, -2), 'WP 3.1 Rate Case Regress.'!$C$5:$D$556, 2, FALSE))</f>
        <v>4.0599999999999996</v>
      </c>
    </row>
    <row r="1014" spans="2:9" x14ac:dyDescent="0.5">
      <c r="B1014" s="1162" t="s">
        <v>2756</v>
      </c>
      <c r="C1014" s="1163" t="s">
        <v>3863</v>
      </c>
      <c r="D1014" s="1163" t="s">
        <v>5013</v>
      </c>
      <c r="E1014" s="1164"/>
      <c r="F1014" s="1165">
        <v>41976</v>
      </c>
      <c r="G1014" s="1166" t="s">
        <v>4585</v>
      </c>
      <c r="H1014" s="1167">
        <v>10</v>
      </c>
      <c r="I1014" s="1168">
        <f>IF(DAY($F1014)&gt;15, VLOOKUP(EOMONTH($F1014,-1),'WP 3.1 Rate Case Regress.'!$C$5:$D$556,2,FALSE), VLOOKUP(EOMONTH($F1014, -2), 'WP 3.1 Rate Case Regress.'!$C$5:$D$556, 2, FALSE))</f>
        <v>4.0599999999999996</v>
      </c>
    </row>
    <row r="1015" spans="2:9" x14ac:dyDescent="0.5">
      <c r="B1015" s="1162" t="s">
        <v>2744</v>
      </c>
      <c r="C1015" s="1163" t="s">
        <v>2770</v>
      </c>
      <c r="D1015" s="1163" t="s">
        <v>5014</v>
      </c>
      <c r="E1015" s="1164"/>
      <c r="F1015" s="1165">
        <v>42017</v>
      </c>
      <c r="G1015" s="1166" t="s">
        <v>4585</v>
      </c>
      <c r="H1015" s="1167">
        <v>10.3</v>
      </c>
      <c r="I1015" s="1168">
        <f>IF(DAY($F1015)&gt;15, VLOOKUP(EOMONTH($F1015,-1),'WP 3.1 Rate Case Regress.'!$C$5:$D$556,2,FALSE), VLOOKUP(EOMONTH($F1015, -2), 'WP 3.1 Rate Case Regress.'!$C$5:$D$556, 2, FALSE))</f>
        <v>4.09</v>
      </c>
    </row>
    <row r="1016" spans="2:9" x14ac:dyDescent="0.5">
      <c r="B1016" s="1162" t="s">
        <v>2693</v>
      </c>
      <c r="C1016" s="1163" t="s">
        <v>2959</v>
      </c>
      <c r="D1016" s="1163" t="s">
        <v>3703</v>
      </c>
      <c r="E1016" s="1164"/>
      <c r="F1016" s="1165">
        <v>42025</v>
      </c>
      <c r="G1016" s="1166" t="s">
        <v>2695</v>
      </c>
      <c r="H1016" s="1167">
        <v>9.0500000000000007</v>
      </c>
      <c r="I1016" s="1168">
        <f>IF(DAY($F1016)&gt;15, VLOOKUP(EOMONTH($F1016,-1),'WP 3.1 Rate Case Regress.'!$C$5:$D$556,2,FALSE), VLOOKUP(EOMONTH($F1016, -2), 'WP 3.1 Rate Case Regress.'!$C$5:$D$556, 2, FALSE))</f>
        <v>3.95</v>
      </c>
    </row>
    <row r="1017" spans="2:9" x14ac:dyDescent="0.5">
      <c r="B1017" s="1162" t="s">
        <v>2693</v>
      </c>
      <c r="C1017" s="1163" t="s">
        <v>2961</v>
      </c>
      <c r="D1017" s="1163" t="s">
        <v>3704</v>
      </c>
      <c r="E1017" s="1164"/>
      <c r="F1017" s="1165">
        <v>42025</v>
      </c>
      <c r="G1017" s="1166" t="s">
        <v>2695</v>
      </c>
      <c r="H1017" s="1167">
        <v>9.0500000000000007</v>
      </c>
      <c r="I1017" s="1168">
        <f>IF(DAY($F1017)&gt;15, VLOOKUP(EOMONTH($F1017,-1),'WP 3.1 Rate Case Regress.'!$C$5:$D$556,2,FALSE), VLOOKUP(EOMONTH($F1017, -2), 'WP 3.1 Rate Case Regress.'!$C$5:$D$556, 2, FALSE))</f>
        <v>3.95</v>
      </c>
    </row>
    <row r="1018" spans="2:9" x14ac:dyDescent="0.5">
      <c r="B1018" s="1162" t="s">
        <v>2774</v>
      </c>
      <c r="C1018" s="1163" t="s">
        <v>2727</v>
      </c>
      <c r="D1018" s="1163" t="s">
        <v>5015</v>
      </c>
      <c r="E1018" s="1164"/>
      <c r="F1018" s="1165">
        <v>42103</v>
      </c>
      <c r="G1018" s="1166" t="s">
        <v>4585</v>
      </c>
      <c r="H1018" s="1167">
        <v>9.5</v>
      </c>
      <c r="I1018" s="1168">
        <f>IF(DAY($F1018)&gt;15, VLOOKUP(EOMONTH($F1018,-1),'WP 3.1 Rate Case Regress.'!$C$5:$D$556,2,FALSE), VLOOKUP(EOMONTH($F1018, -2), 'WP 3.1 Rate Case Regress.'!$C$5:$D$556, 2, FALSE))</f>
        <v>3.6700000000000004</v>
      </c>
    </row>
    <row r="1019" spans="2:9" x14ac:dyDescent="0.5">
      <c r="B1019" s="1162" t="s">
        <v>2768</v>
      </c>
      <c r="C1019" s="1163" t="s">
        <v>2944</v>
      </c>
      <c r="D1019" s="1163" t="s">
        <v>5016</v>
      </c>
      <c r="E1019" s="1164"/>
      <c r="F1019" s="1165">
        <v>42135</v>
      </c>
      <c r="G1019" s="1166" t="s">
        <v>4585</v>
      </c>
      <c r="H1019" s="1167">
        <v>9.8000000000000007</v>
      </c>
      <c r="I1019" s="1168">
        <f>IF(DAY($F1019)&gt;15, VLOOKUP(EOMONTH($F1019,-1),'WP 3.1 Rate Case Regress.'!$C$5:$D$556,2,FALSE), VLOOKUP(EOMONTH($F1019, -2), 'WP 3.1 Rate Case Regress.'!$C$5:$D$556, 2, FALSE))</f>
        <v>3.74</v>
      </c>
    </row>
    <row r="1020" spans="2:9" x14ac:dyDescent="0.5">
      <c r="B1020" s="1162" t="s">
        <v>2704</v>
      </c>
      <c r="C1020" s="1163" t="s">
        <v>2750</v>
      </c>
      <c r="D1020" s="1163" t="s">
        <v>5017</v>
      </c>
      <c r="E1020" s="1164"/>
      <c r="F1020" s="1165">
        <v>42172</v>
      </c>
      <c r="G1020" s="1166" t="s">
        <v>4585</v>
      </c>
      <c r="H1020" s="1167">
        <v>9</v>
      </c>
      <c r="I1020" s="1168">
        <f>IF(DAY($F1020)&gt;15, VLOOKUP(EOMONTH($F1020,-1),'WP 3.1 Rate Case Regress.'!$C$5:$D$556,2,FALSE), VLOOKUP(EOMONTH($F1020, -2), 'WP 3.1 Rate Case Regress.'!$C$5:$D$556, 2, FALSE))</f>
        <v>4.17</v>
      </c>
    </row>
    <row r="1021" spans="2:9" x14ac:dyDescent="0.5">
      <c r="B1021" s="1162" t="s">
        <v>2766</v>
      </c>
      <c r="C1021" s="1163" t="s">
        <v>3356</v>
      </c>
      <c r="D1021" s="1163" t="s">
        <v>5018</v>
      </c>
      <c r="E1021" s="1164"/>
      <c r="F1021" s="1165">
        <v>42237</v>
      </c>
      <c r="G1021" s="1166" t="s">
        <v>4585</v>
      </c>
      <c r="H1021" s="1167">
        <v>9.75</v>
      </c>
      <c r="I1021" s="1168">
        <f>IF(DAY($F1021)&gt;15, VLOOKUP(EOMONTH($F1021,-1),'WP 3.1 Rate Case Regress.'!$C$5:$D$556,2,FALSE), VLOOKUP(EOMONTH($F1021, -2), 'WP 3.1 Rate Case Regress.'!$C$5:$D$556, 2, FALSE))</f>
        <v>4.4000000000000004</v>
      </c>
    </row>
    <row r="1022" spans="2:9" x14ac:dyDescent="0.5">
      <c r="B1022" s="1162" t="s">
        <v>2700</v>
      </c>
      <c r="C1022" s="1163" t="s">
        <v>3035</v>
      </c>
      <c r="D1022" s="1163" t="s">
        <v>5019</v>
      </c>
      <c r="E1022" s="1164"/>
      <c r="F1022" s="1165">
        <v>42284</v>
      </c>
      <c r="G1022" s="1166" t="s">
        <v>4585</v>
      </c>
      <c r="H1022" s="1167">
        <v>9.5500000000000007</v>
      </c>
      <c r="I1022" s="1168">
        <f>IF(DAY($F1022)&gt;15, VLOOKUP(EOMONTH($F1022,-1),'WP 3.1 Rate Case Regress.'!$C$5:$D$556,2,FALSE), VLOOKUP(EOMONTH($F1022, -2), 'WP 3.1 Rate Case Regress.'!$C$5:$D$556, 2, FALSE))</f>
        <v>4.25</v>
      </c>
    </row>
    <row r="1023" spans="2:9" x14ac:dyDescent="0.5">
      <c r="B1023" s="1162" t="s">
        <v>2724</v>
      </c>
      <c r="C1023" s="1163" t="s">
        <v>2925</v>
      </c>
      <c r="D1023" s="1163" t="s">
        <v>5020</v>
      </c>
      <c r="E1023" s="1164"/>
      <c r="F1023" s="1165">
        <v>42290</v>
      </c>
      <c r="G1023" s="1166" t="s">
        <v>4585</v>
      </c>
      <c r="H1023" s="1167">
        <v>9.75</v>
      </c>
      <c r="I1023" s="1168">
        <f>IF(DAY($F1023)&gt;15, VLOOKUP(EOMONTH($F1023,-1),'WP 3.1 Rate Case Regress.'!$C$5:$D$556,2,FALSE), VLOOKUP(EOMONTH($F1023, -2), 'WP 3.1 Rate Case Regress.'!$C$5:$D$556, 2, FALSE))</f>
        <v>4.25</v>
      </c>
    </row>
    <row r="1024" spans="2:9" x14ac:dyDescent="0.5">
      <c r="B1024" s="1162" t="s">
        <v>2704</v>
      </c>
      <c r="C1024" s="1163" t="s">
        <v>2707</v>
      </c>
      <c r="D1024" s="1163" t="s">
        <v>5021</v>
      </c>
      <c r="E1024" s="1164"/>
      <c r="F1024" s="1165">
        <v>42292</v>
      </c>
      <c r="G1024" s="1166" t="s">
        <v>4585</v>
      </c>
      <c r="H1024" s="1167">
        <v>9</v>
      </c>
      <c r="I1024" s="1168">
        <f>IF(DAY($F1024)&gt;15, VLOOKUP(EOMONTH($F1024,-1),'WP 3.1 Rate Case Regress.'!$C$5:$D$556,2,FALSE), VLOOKUP(EOMONTH($F1024, -2), 'WP 3.1 Rate Case Regress.'!$C$5:$D$556, 2, FALSE))</f>
        <v>4.25</v>
      </c>
    </row>
    <row r="1025" spans="2:9" x14ac:dyDescent="0.5">
      <c r="B1025" s="1162" t="s">
        <v>2700</v>
      </c>
      <c r="C1025" s="1163" t="s">
        <v>2898</v>
      </c>
      <c r="D1025" s="1163" t="s">
        <v>3705</v>
      </c>
      <c r="E1025" s="1164"/>
      <c r="F1025" s="1165">
        <v>42307</v>
      </c>
      <c r="G1025" s="1166" t="s">
        <v>2695</v>
      </c>
      <c r="H1025" s="1167">
        <v>9.8000000000000007</v>
      </c>
      <c r="I1025" s="1168">
        <f>IF(DAY($F1025)&gt;15, VLOOKUP(EOMONTH($F1025,-1),'WP 3.1 Rate Case Regress.'!$C$5:$D$556,2,FALSE), VLOOKUP(EOMONTH($F1025, -2), 'WP 3.1 Rate Case Regress.'!$C$5:$D$556, 2, FALSE))</f>
        <v>4.3899999999999997</v>
      </c>
    </row>
    <row r="1026" spans="2:9" ht="30" x14ac:dyDescent="0.5">
      <c r="B1026" s="1162" t="s">
        <v>2702</v>
      </c>
      <c r="C1026" s="1163" t="s">
        <v>2748</v>
      </c>
      <c r="D1026" s="1163" t="s">
        <v>3706</v>
      </c>
      <c r="E1026" s="1164"/>
      <c r="F1026" s="1165">
        <v>42327</v>
      </c>
      <c r="G1026" s="1166" t="s">
        <v>2695</v>
      </c>
      <c r="H1026" s="1167">
        <v>10</v>
      </c>
      <c r="I1026" s="1168">
        <f>IF(DAY($F1026)&gt;15, VLOOKUP(EOMONTH($F1026,-1),'WP 3.1 Rate Case Regress.'!$C$5:$D$556,2,FALSE), VLOOKUP(EOMONTH($F1026, -2), 'WP 3.1 Rate Case Regress.'!$C$5:$D$556, 2, FALSE))</f>
        <v>4.29</v>
      </c>
    </row>
    <row r="1027" spans="2:9" ht="30" x14ac:dyDescent="0.5">
      <c r="B1027" s="1162" t="s">
        <v>2702</v>
      </c>
      <c r="C1027" s="1163" t="s">
        <v>2755</v>
      </c>
      <c r="D1027" s="1163" t="s">
        <v>3707</v>
      </c>
      <c r="E1027" s="1164"/>
      <c r="F1027" s="1165">
        <v>42341</v>
      </c>
      <c r="G1027" s="1166" t="s">
        <v>2695</v>
      </c>
      <c r="H1027" s="1167">
        <v>10</v>
      </c>
      <c r="I1027" s="1168">
        <f>IF(DAY($F1027)&gt;15, VLOOKUP(EOMONTH($F1027,-1),'WP 3.1 Rate Case Regress.'!$C$5:$D$556,2,FALSE), VLOOKUP(EOMONTH($F1027, -2), 'WP 3.1 Rate Case Regress.'!$C$5:$D$556, 2, FALSE))</f>
        <v>4.29</v>
      </c>
    </row>
    <row r="1028" spans="2:9" x14ac:dyDescent="0.5">
      <c r="B1028" s="1162" t="s">
        <v>2693</v>
      </c>
      <c r="C1028" s="1163" t="s">
        <v>2742</v>
      </c>
      <c r="D1028" s="1163" t="s">
        <v>5022</v>
      </c>
      <c r="E1028" s="1164"/>
      <c r="F1028" s="1165">
        <v>42347</v>
      </c>
      <c r="G1028" s="1166" t="s">
        <v>4585</v>
      </c>
      <c r="H1028" s="1167">
        <v>9.6</v>
      </c>
      <c r="I1028" s="1168">
        <f>IF(DAY($F1028)&gt;15, VLOOKUP(EOMONTH($F1028,-1),'WP 3.1 Rate Case Regress.'!$C$5:$D$556,2,FALSE), VLOOKUP(EOMONTH($F1028, -2), 'WP 3.1 Rate Case Regress.'!$C$5:$D$556, 2, FALSE))</f>
        <v>4.29</v>
      </c>
    </row>
    <row r="1029" spans="2:9" x14ac:dyDescent="0.5">
      <c r="B1029" s="1162" t="s">
        <v>2744</v>
      </c>
      <c r="C1029" s="1163" t="s">
        <v>3244</v>
      </c>
      <c r="D1029" s="1163" t="s">
        <v>5023</v>
      </c>
      <c r="E1029" s="1164"/>
      <c r="F1029" s="1165">
        <v>42349</v>
      </c>
      <c r="G1029" s="1166" t="s">
        <v>4585</v>
      </c>
      <c r="H1029" s="1167">
        <v>9.9</v>
      </c>
      <c r="I1029" s="1168">
        <f>IF(DAY($F1029)&gt;15, VLOOKUP(EOMONTH($F1029,-1),'WP 3.1 Rate Case Regress.'!$C$5:$D$556,2,FALSE), VLOOKUP(EOMONTH($F1029, -2), 'WP 3.1 Rate Case Regress.'!$C$5:$D$556, 2, FALSE))</f>
        <v>4.29</v>
      </c>
    </row>
    <row r="1030" spans="2:9" x14ac:dyDescent="0.5">
      <c r="B1030" s="1162" t="s">
        <v>2726</v>
      </c>
      <c r="C1030" s="1163" t="s">
        <v>2727</v>
      </c>
      <c r="D1030" s="1163" t="s">
        <v>5024</v>
      </c>
      <c r="E1030" s="1164"/>
      <c r="F1030" s="1165">
        <v>42356</v>
      </c>
      <c r="G1030" s="1166" t="s">
        <v>4585</v>
      </c>
      <c r="H1030" s="1167">
        <v>9.5</v>
      </c>
      <c r="I1030" s="1168">
        <f>IF(DAY($F1030)&gt;15, VLOOKUP(EOMONTH($F1030,-1),'WP 3.1 Rate Case Regress.'!$C$5:$D$556,2,FALSE), VLOOKUP(EOMONTH($F1030, -2), 'WP 3.1 Rate Case Regress.'!$C$5:$D$556, 2, FALSE))</f>
        <v>4.4000000000000004</v>
      </c>
    </row>
    <row r="1031" spans="2:9" x14ac:dyDescent="0.5">
      <c r="B1031" s="1162" t="s">
        <v>2701</v>
      </c>
      <c r="C1031" s="1163" t="s">
        <v>2900</v>
      </c>
      <c r="D1031" s="1163" t="s">
        <v>5025</v>
      </c>
      <c r="E1031" s="1164"/>
      <c r="F1031" s="1165">
        <v>42375</v>
      </c>
      <c r="G1031" s="1166" t="s">
        <v>4585</v>
      </c>
      <c r="H1031" s="1167">
        <v>9.5</v>
      </c>
      <c r="I1031" s="1168">
        <f>IF(DAY($F1031)&gt;15, VLOOKUP(EOMONTH($F1031,-1),'WP 3.1 Rate Case Regress.'!$C$5:$D$556,2,FALSE), VLOOKUP(EOMONTH($F1031, -2), 'WP 3.1 Rate Case Regress.'!$C$5:$D$556, 2, FALSE))</f>
        <v>4.4000000000000004</v>
      </c>
    </row>
    <row r="1032" spans="2:9" x14ac:dyDescent="0.5">
      <c r="B1032" s="1162" t="s">
        <v>2736</v>
      </c>
      <c r="C1032" s="1163" t="s">
        <v>2727</v>
      </c>
      <c r="D1032" s="1163" t="s">
        <v>5026</v>
      </c>
      <c r="E1032" s="1164"/>
      <c r="F1032" s="1165">
        <v>42375</v>
      </c>
      <c r="G1032" s="1166" t="s">
        <v>4585</v>
      </c>
      <c r="H1032" s="1167">
        <v>9.5</v>
      </c>
      <c r="I1032" s="1168">
        <f>IF(DAY($F1032)&gt;15, VLOOKUP(EOMONTH($F1032,-1),'WP 3.1 Rate Case Regress.'!$C$5:$D$556,2,FALSE), VLOOKUP(EOMONTH($F1032, -2), 'WP 3.1 Rate Case Regress.'!$C$5:$D$556, 2, FALSE))</f>
        <v>4.4000000000000004</v>
      </c>
    </row>
    <row r="1033" spans="2:9" x14ac:dyDescent="0.5">
      <c r="B1033" s="1162" t="s">
        <v>2751</v>
      </c>
      <c r="C1033" s="1163" t="s">
        <v>2993</v>
      </c>
      <c r="D1033" s="1163" t="s">
        <v>5027</v>
      </c>
      <c r="E1033" s="1164"/>
      <c r="F1033" s="1165">
        <v>42397</v>
      </c>
      <c r="G1033" s="1166" t="s">
        <v>4585</v>
      </c>
      <c r="H1033" s="1167">
        <v>9.4</v>
      </c>
      <c r="I1033" s="1168">
        <f>IF(DAY($F1033)&gt;15, VLOOKUP(EOMONTH($F1033,-1),'WP 3.1 Rate Case Regress.'!$C$5:$D$556,2,FALSE), VLOOKUP(EOMONTH($F1033, -2), 'WP 3.1 Rate Case Regress.'!$C$5:$D$556, 2, FALSE))</f>
        <v>4.3499999999999996</v>
      </c>
    </row>
    <row r="1034" spans="2:9" x14ac:dyDescent="0.5">
      <c r="B1034" s="1162" t="s">
        <v>2700</v>
      </c>
      <c r="C1034" s="1163" t="s">
        <v>3597</v>
      </c>
      <c r="D1034" s="1163" t="s">
        <v>5028</v>
      </c>
      <c r="E1034" s="1164"/>
      <c r="F1034" s="1165">
        <v>42410</v>
      </c>
      <c r="G1034" s="1166" t="s">
        <v>4585</v>
      </c>
      <c r="H1034" s="1167">
        <v>9.6</v>
      </c>
      <c r="I1034" s="1168">
        <f>IF(DAY($F1034)&gt;15, VLOOKUP(EOMONTH($F1034,-1),'WP 3.1 Rate Case Regress.'!$C$5:$D$556,2,FALSE), VLOOKUP(EOMONTH($F1034, -2), 'WP 3.1 Rate Case Regress.'!$C$5:$D$556, 2, FALSE))</f>
        <v>4.3499999999999996</v>
      </c>
    </row>
    <row r="1035" spans="2:9" x14ac:dyDescent="0.5">
      <c r="B1035" s="1162" t="s">
        <v>2715</v>
      </c>
      <c r="C1035" s="1163" t="s">
        <v>2716</v>
      </c>
      <c r="D1035" s="1163" t="s">
        <v>3708</v>
      </c>
      <c r="E1035" s="1164"/>
      <c r="F1035" s="1165">
        <v>42416</v>
      </c>
      <c r="G1035" s="1166" t="s">
        <v>2695</v>
      </c>
      <c r="H1035" s="1167">
        <v>9.5</v>
      </c>
      <c r="I1035" s="1168">
        <f>IF(DAY($F1035)&gt;15, VLOOKUP(EOMONTH($F1035,-1),'WP 3.1 Rate Case Regress.'!$C$5:$D$556,2,FALSE), VLOOKUP(EOMONTH($F1035, -2), 'WP 3.1 Rate Case Regress.'!$C$5:$D$556, 2, FALSE))</f>
        <v>4.2699999999999996</v>
      </c>
    </row>
    <row r="1036" spans="2:9" x14ac:dyDescent="0.5">
      <c r="B1036" s="1162" t="s">
        <v>2774</v>
      </c>
      <c r="C1036" s="1163" t="s">
        <v>2727</v>
      </c>
      <c r="D1036" s="1163" t="s">
        <v>3709</v>
      </c>
      <c r="E1036" s="1164"/>
      <c r="F1036" s="1165">
        <v>42429</v>
      </c>
      <c r="G1036" s="1166" t="s">
        <v>2695</v>
      </c>
      <c r="H1036" s="1167">
        <v>9.4</v>
      </c>
      <c r="I1036" s="1168">
        <f>IF(DAY($F1036)&gt;15, VLOOKUP(EOMONTH($F1036,-1),'WP 3.1 Rate Case Regress.'!$C$5:$D$556,2,FALSE), VLOOKUP(EOMONTH($F1036, -2), 'WP 3.1 Rate Case Regress.'!$C$5:$D$556, 2, FALSE))</f>
        <v>4.2699999999999996</v>
      </c>
    </row>
    <row r="1037" spans="2:9" x14ac:dyDescent="0.5">
      <c r="B1037" s="1162" t="s">
        <v>2700</v>
      </c>
      <c r="C1037" s="1163" t="s">
        <v>2778</v>
      </c>
      <c r="D1037" s="1163" t="s">
        <v>3710</v>
      </c>
      <c r="E1037" s="1164"/>
      <c r="F1037" s="1165">
        <v>42489</v>
      </c>
      <c r="G1037" s="1166" t="s">
        <v>2695</v>
      </c>
      <c r="H1037" s="1167">
        <v>9.8000000000000007</v>
      </c>
      <c r="I1037" s="1168">
        <f>IF(DAY($F1037)&gt;15, VLOOKUP(EOMONTH($F1037,-1),'WP 3.1 Rate Case Regress.'!$C$5:$D$556,2,FALSE), VLOOKUP(EOMONTH($F1037, -2), 'WP 3.1 Rate Case Regress.'!$C$5:$D$556, 2, FALSE))</f>
        <v>4.16</v>
      </c>
    </row>
    <row r="1038" spans="2:9" x14ac:dyDescent="0.5">
      <c r="B1038" s="1162" t="s">
        <v>2754</v>
      </c>
      <c r="C1038" s="1163" t="s">
        <v>2975</v>
      </c>
      <c r="D1038" s="1163" t="s">
        <v>3711</v>
      </c>
      <c r="E1038" s="1164"/>
      <c r="F1038" s="1165">
        <v>42495</v>
      </c>
      <c r="G1038" s="1166" t="s">
        <v>2695</v>
      </c>
      <c r="H1038" s="1167">
        <v>9.49</v>
      </c>
      <c r="I1038" s="1168">
        <f>IF(DAY($F1038)&gt;15, VLOOKUP(EOMONTH($F1038,-1),'WP 3.1 Rate Case Regress.'!$C$5:$D$556,2,FALSE), VLOOKUP(EOMONTH($F1038, -2), 'WP 3.1 Rate Case Regress.'!$C$5:$D$556, 2, FALSE))</f>
        <v>4.16</v>
      </c>
    </row>
    <row r="1039" spans="2:9" x14ac:dyDescent="0.5">
      <c r="B1039" s="1162" t="s">
        <v>2780</v>
      </c>
      <c r="C1039" s="1163" t="s">
        <v>5029</v>
      </c>
      <c r="D1039" s="1163" t="s">
        <v>5030</v>
      </c>
      <c r="E1039" s="1164"/>
      <c r="F1039" s="1165">
        <v>42522</v>
      </c>
      <c r="G1039" s="1166" t="s">
        <v>4585</v>
      </c>
      <c r="H1039" s="1167">
        <v>9.5500000000000007</v>
      </c>
      <c r="I1039" s="1168">
        <f>IF(DAY($F1039)&gt;15, VLOOKUP(EOMONTH($F1039,-1),'WP 3.1 Rate Case Regress.'!$C$5:$D$556,2,FALSE), VLOOKUP(EOMONTH($F1039, -2), 'WP 3.1 Rate Case Regress.'!$C$5:$D$556, 2, FALSE))</f>
        <v>4.16</v>
      </c>
    </row>
    <row r="1040" spans="2:9" x14ac:dyDescent="0.5">
      <c r="B1040" s="1162" t="s">
        <v>2698</v>
      </c>
      <c r="C1040" s="1163" t="s">
        <v>2722</v>
      </c>
      <c r="D1040" s="1163" t="s">
        <v>3712</v>
      </c>
      <c r="E1040" s="1164"/>
      <c r="F1040" s="1165">
        <v>42524</v>
      </c>
      <c r="G1040" s="1166" t="s">
        <v>2695</v>
      </c>
      <c r="H1040" s="1167">
        <v>9.65</v>
      </c>
      <c r="I1040" s="1168">
        <f>IF(DAY($F1040)&gt;15, VLOOKUP(EOMONTH($F1040,-1),'WP 3.1 Rate Case Regress.'!$C$5:$D$556,2,FALSE), VLOOKUP(EOMONTH($F1040, -2), 'WP 3.1 Rate Case Regress.'!$C$5:$D$556, 2, FALSE))</f>
        <v>4.16</v>
      </c>
    </row>
    <row r="1041" spans="2:9" x14ac:dyDescent="0.5">
      <c r="B1041" s="1162" t="s">
        <v>2704</v>
      </c>
      <c r="C1041" s="1163" t="s">
        <v>2725</v>
      </c>
      <c r="D1041" s="1163" t="s">
        <v>5031</v>
      </c>
      <c r="E1041" s="1164"/>
      <c r="F1041" s="1165">
        <v>42536</v>
      </c>
      <c r="G1041" s="1166" t="s">
        <v>4585</v>
      </c>
      <c r="H1041" s="1167">
        <v>9</v>
      </c>
      <c r="I1041" s="1168">
        <f>IF(DAY($F1041)&gt;15, VLOOKUP(EOMONTH($F1041,-1),'WP 3.1 Rate Case Regress.'!$C$5:$D$556,2,FALSE), VLOOKUP(EOMONTH($F1041, -2), 'WP 3.1 Rate Case Regress.'!$C$5:$D$556, 2, FALSE))</f>
        <v>4.16</v>
      </c>
    </row>
    <row r="1042" spans="2:9" x14ac:dyDescent="0.5">
      <c r="B1042" s="1162" t="s">
        <v>2704</v>
      </c>
      <c r="C1042" s="1163" t="s">
        <v>2927</v>
      </c>
      <c r="D1042" s="1163" t="s">
        <v>5032</v>
      </c>
      <c r="E1042" s="1164"/>
      <c r="F1042" s="1165">
        <v>42536</v>
      </c>
      <c r="G1042" s="1166" t="s">
        <v>4585</v>
      </c>
      <c r="H1042" s="1167">
        <v>9</v>
      </c>
      <c r="I1042" s="1168">
        <f>IF(DAY($F1042)&gt;15, VLOOKUP(EOMONTH($F1042,-1),'WP 3.1 Rate Case Regress.'!$C$5:$D$556,2,FALSE), VLOOKUP(EOMONTH($F1042, -2), 'WP 3.1 Rate Case Regress.'!$C$5:$D$556, 2, FALSE))</f>
        <v>4.16</v>
      </c>
    </row>
    <row r="1043" spans="2:9" x14ac:dyDescent="0.5">
      <c r="B1043" s="1162" t="s">
        <v>2751</v>
      </c>
      <c r="C1043" s="1163" t="s">
        <v>2975</v>
      </c>
      <c r="D1043" s="1163" t="s">
        <v>5033</v>
      </c>
      <c r="E1043" s="1164"/>
      <c r="F1043" s="1165">
        <v>42615</v>
      </c>
      <c r="G1043" s="1166" t="s">
        <v>4585</v>
      </c>
      <c r="H1043" s="1167">
        <v>9.5</v>
      </c>
      <c r="I1043" s="1168">
        <f>IF(DAY($F1043)&gt;15, VLOOKUP(EOMONTH($F1043,-1),'WP 3.1 Rate Case Regress.'!$C$5:$D$556,2,FALSE), VLOOKUP(EOMONTH($F1043, -2), 'WP 3.1 Rate Case Regress.'!$C$5:$D$556, 2, FALSE))</f>
        <v>3.57</v>
      </c>
    </row>
    <row r="1044" spans="2:9" x14ac:dyDescent="0.5">
      <c r="B1044" s="1162" t="s">
        <v>2712</v>
      </c>
      <c r="C1044" s="1163" t="s">
        <v>3255</v>
      </c>
      <c r="D1044" s="1163" t="s">
        <v>5034</v>
      </c>
      <c r="E1044" s="1164"/>
      <c r="F1044" s="1165">
        <v>42636</v>
      </c>
      <c r="G1044" s="1166" t="s">
        <v>4585</v>
      </c>
      <c r="H1044" s="1167">
        <v>9.75</v>
      </c>
      <c r="I1044" s="1168">
        <f>IF(DAY($F1044)&gt;15, VLOOKUP(EOMONTH($F1044,-1),'WP 3.1 Rate Case Regress.'!$C$5:$D$556,2,FALSE), VLOOKUP(EOMONTH($F1044, -2), 'WP 3.1 Rate Case Regress.'!$C$5:$D$556, 2, FALSE))</f>
        <v>3.5899999999999994</v>
      </c>
    </row>
    <row r="1045" spans="2:9" ht="30" x14ac:dyDescent="0.5">
      <c r="B1045" s="1162" t="s">
        <v>2775</v>
      </c>
      <c r="C1045" s="1163" t="s">
        <v>3643</v>
      </c>
      <c r="D1045" s="1163" t="s">
        <v>5035</v>
      </c>
      <c r="E1045" s="1164"/>
      <c r="F1045" s="1165">
        <v>42640</v>
      </c>
      <c r="G1045" s="1166" t="s">
        <v>2695</v>
      </c>
      <c r="H1045" s="1167">
        <v>9.5</v>
      </c>
      <c r="I1045" s="1168">
        <f>IF(DAY($F1045)&gt;15, VLOOKUP(EOMONTH($F1045,-1),'WP 3.1 Rate Case Regress.'!$C$5:$D$556,2,FALSE), VLOOKUP(EOMONTH($F1045, -2), 'WP 3.1 Rate Case Regress.'!$C$5:$D$556, 2, FALSE))</f>
        <v>3.5899999999999994</v>
      </c>
    </row>
    <row r="1046" spans="2:9" x14ac:dyDescent="0.5">
      <c r="B1046" s="1162" t="s">
        <v>2754</v>
      </c>
      <c r="C1046" s="1163" t="s">
        <v>3123</v>
      </c>
      <c r="D1046" s="1163" t="s">
        <v>3714</v>
      </c>
      <c r="E1046" s="1164"/>
      <c r="F1046" s="1165">
        <v>42642</v>
      </c>
      <c r="G1046" s="1166" t="s">
        <v>2695</v>
      </c>
      <c r="H1046" s="1167">
        <v>9.11</v>
      </c>
      <c r="I1046" s="1168">
        <f>IF(DAY($F1046)&gt;15, VLOOKUP(EOMONTH($F1046,-1),'WP 3.1 Rate Case Regress.'!$C$5:$D$556,2,FALSE), VLOOKUP(EOMONTH($F1046, -2), 'WP 3.1 Rate Case Regress.'!$C$5:$D$556, 2, FALSE))</f>
        <v>3.5899999999999994</v>
      </c>
    </row>
    <row r="1047" spans="2:9" x14ac:dyDescent="0.5">
      <c r="B1047" s="1162" t="s">
        <v>2757</v>
      </c>
      <c r="C1047" s="1163" t="s">
        <v>3012</v>
      </c>
      <c r="D1047" s="1163" t="s">
        <v>5036</v>
      </c>
      <c r="E1047" s="1164"/>
      <c r="F1047" s="1165">
        <v>42656</v>
      </c>
      <c r="G1047" s="1166" t="s">
        <v>4585</v>
      </c>
      <c r="H1047" s="1167">
        <v>10.199999999999999</v>
      </c>
      <c r="I1047" s="1168">
        <f>IF(DAY($F1047)&gt;15, VLOOKUP(EOMONTH($F1047,-1),'WP 3.1 Rate Case Regress.'!$C$5:$D$556,2,FALSE), VLOOKUP(EOMONTH($F1047, -2), 'WP 3.1 Rate Case Regress.'!$C$5:$D$556, 2, FALSE))</f>
        <v>3.5899999999999994</v>
      </c>
    </row>
    <row r="1048" spans="2:9" x14ac:dyDescent="0.5">
      <c r="B1048" s="1162" t="s">
        <v>2743</v>
      </c>
      <c r="C1048" s="1163" t="s">
        <v>2969</v>
      </c>
      <c r="D1048" s="1163" t="s">
        <v>5037</v>
      </c>
      <c r="E1048" s="1164"/>
      <c r="F1048" s="1165">
        <v>42671</v>
      </c>
      <c r="G1048" s="1166" t="s">
        <v>4585</v>
      </c>
      <c r="H1048" s="1167">
        <v>9.6999999999999993</v>
      </c>
      <c r="I1048" s="1168">
        <f>IF(DAY($F1048)&gt;15, VLOOKUP(EOMONTH($F1048,-1),'WP 3.1 Rate Case Regress.'!$C$5:$D$556,2,FALSE), VLOOKUP(EOMONTH($F1048, -2), 'WP 3.1 Rate Case Regress.'!$C$5:$D$556, 2, FALSE))</f>
        <v>3.6599999999999997</v>
      </c>
    </row>
    <row r="1049" spans="2:9" ht="30" x14ac:dyDescent="0.5">
      <c r="B1049" s="1162" t="s">
        <v>2702</v>
      </c>
      <c r="C1049" s="1163" t="s">
        <v>4701</v>
      </c>
      <c r="D1049" s="1163" t="s">
        <v>3715</v>
      </c>
      <c r="E1049" s="1164"/>
      <c r="F1049" s="1165">
        <v>42683</v>
      </c>
      <c r="G1049" s="1166" t="s">
        <v>2695</v>
      </c>
      <c r="H1049" s="1167">
        <v>9.8000000000000007</v>
      </c>
      <c r="I1049" s="1168">
        <f>IF(DAY($F1049)&gt;15, VLOOKUP(EOMONTH($F1049,-1),'WP 3.1 Rate Case Regress.'!$C$5:$D$556,2,FALSE), VLOOKUP(EOMONTH($F1049, -2), 'WP 3.1 Rate Case Regress.'!$C$5:$D$556, 2, FALSE))</f>
        <v>3.6599999999999997</v>
      </c>
    </row>
    <row r="1050" spans="2:9" ht="30" x14ac:dyDescent="0.5">
      <c r="B1050" s="1162" t="s">
        <v>2702</v>
      </c>
      <c r="C1050" s="1163" t="s">
        <v>2749</v>
      </c>
      <c r="D1050" s="1163" t="s">
        <v>5038</v>
      </c>
      <c r="E1050" s="1164"/>
      <c r="F1050" s="1165">
        <v>42692</v>
      </c>
      <c r="G1050" s="1166" t="s">
        <v>4585</v>
      </c>
      <c r="H1050" s="1167">
        <v>10</v>
      </c>
      <c r="I1050" s="1168">
        <f>IF(DAY($F1050)&gt;15, VLOOKUP(EOMONTH($F1050,-1),'WP 3.1 Rate Case Regress.'!$C$5:$D$556,2,FALSE), VLOOKUP(EOMONTH($F1050, -2), 'WP 3.1 Rate Case Regress.'!$C$5:$D$556, 2, FALSE))</f>
        <v>3.6599999999999997</v>
      </c>
    </row>
    <row r="1051" spans="2:9" x14ac:dyDescent="0.5">
      <c r="B1051" s="1162" t="s">
        <v>2744</v>
      </c>
      <c r="C1051" s="1163" t="s">
        <v>2972</v>
      </c>
      <c r="D1051" s="1163" t="s">
        <v>3716</v>
      </c>
      <c r="E1051" s="1164"/>
      <c r="F1051" s="1165">
        <v>42713</v>
      </c>
      <c r="G1051" s="1166" t="s">
        <v>2695</v>
      </c>
      <c r="H1051" s="1167">
        <v>10.1</v>
      </c>
      <c r="I1051" s="1168">
        <f>IF(DAY($F1051)&gt;15, VLOOKUP(EOMONTH($F1051,-1),'WP 3.1 Rate Case Regress.'!$C$5:$D$556,2,FALSE), VLOOKUP(EOMONTH($F1051, -2), 'WP 3.1 Rate Case Regress.'!$C$5:$D$556, 2, FALSE))</f>
        <v>3.6599999999999997</v>
      </c>
    </row>
    <row r="1052" spans="2:9" x14ac:dyDescent="0.5">
      <c r="B1052" s="1162" t="s">
        <v>2704</v>
      </c>
      <c r="C1052" s="1163" t="s">
        <v>4596</v>
      </c>
      <c r="D1052" s="1163" t="s">
        <v>5039</v>
      </c>
      <c r="E1052" s="1164"/>
      <c r="F1052" s="1165">
        <v>42719</v>
      </c>
      <c r="G1052" s="1166" t="s">
        <v>4585</v>
      </c>
      <c r="H1052" s="1167">
        <v>9</v>
      </c>
      <c r="I1052" s="1168">
        <f>IF(DAY($F1052)&gt;15, VLOOKUP(EOMONTH($F1052,-1),'WP 3.1 Rate Case Regress.'!$C$5:$D$556,2,FALSE), VLOOKUP(EOMONTH($F1052, -2), 'WP 3.1 Rate Case Regress.'!$C$5:$D$556, 2, FALSE))</f>
        <v>3.6599999999999997</v>
      </c>
    </row>
    <row r="1053" spans="2:9" x14ac:dyDescent="0.5">
      <c r="B1053" s="1162" t="s">
        <v>2704</v>
      </c>
      <c r="C1053" s="1163" t="s">
        <v>2934</v>
      </c>
      <c r="D1053" s="1163" t="s">
        <v>5040</v>
      </c>
      <c r="E1053" s="1164"/>
      <c r="F1053" s="1165">
        <v>42719</v>
      </c>
      <c r="G1053" s="1166" t="s">
        <v>4585</v>
      </c>
      <c r="H1053" s="1167">
        <v>9</v>
      </c>
      <c r="I1053" s="1168">
        <f>IF(DAY($F1053)&gt;15, VLOOKUP(EOMONTH($F1053,-1),'WP 3.1 Rate Case Regress.'!$C$5:$D$556,2,FALSE), VLOOKUP(EOMONTH($F1053, -2), 'WP 3.1 Rate Case Regress.'!$C$5:$D$556, 2, FALSE))</f>
        <v>3.6599999999999997</v>
      </c>
    </row>
    <row r="1054" spans="2:9" x14ac:dyDescent="0.5">
      <c r="B1054" s="1162" t="s">
        <v>2758</v>
      </c>
      <c r="C1054" s="1163" t="s">
        <v>4899</v>
      </c>
      <c r="D1054" s="1163" t="s">
        <v>5041</v>
      </c>
      <c r="E1054" s="1164"/>
      <c r="F1054" s="1165">
        <v>42724</v>
      </c>
      <c r="G1054" s="1166" t="s">
        <v>4585</v>
      </c>
      <c r="H1054" s="1167">
        <v>9.75</v>
      </c>
      <c r="I1054" s="1168">
        <f>IF(DAY($F1054)&gt;15, VLOOKUP(EOMONTH($F1054,-1),'WP 3.1 Rate Case Regress.'!$C$5:$D$556,2,FALSE), VLOOKUP(EOMONTH($F1054, -2), 'WP 3.1 Rate Case Regress.'!$C$5:$D$556, 2, FALSE))</f>
        <v>4.08</v>
      </c>
    </row>
    <row r="1055" spans="2:9" x14ac:dyDescent="0.5">
      <c r="B1055" s="1162" t="s">
        <v>2731</v>
      </c>
      <c r="C1055" s="1163" t="s">
        <v>2733</v>
      </c>
      <c r="D1055" s="1163" t="s">
        <v>5042</v>
      </c>
      <c r="E1055" s="1164"/>
      <c r="F1055" s="1165">
        <v>42726</v>
      </c>
      <c r="G1055" s="1166" t="s">
        <v>4585</v>
      </c>
      <c r="H1055" s="1167">
        <v>9.5</v>
      </c>
      <c r="I1055" s="1168">
        <f>IF(DAY($F1055)&gt;15, VLOOKUP(EOMONTH($F1055,-1),'WP 3.1 Rate Case Regress.'!$C$5:$D$556,2,FALSE), VLOOKUP(EOMONTH($F1055, -2), 'WP 3.1 Rate Case Regress.'!$C$5:$D$556, 2, FALSE))</f>
        <v>4.08</v>
      </c>
    </row>
    <row r="1056" spans="2:9" x14ac:dyDescent="0.5">
      <c r="B1056" s="1162" t="s">
        <v>2704</v>
      </c>
      <c r="C1056" s="1163" t="s">
        <v>2908</v>
      </c>
      <c r="D1056" s="1163" t="s">
        <v>5043</v>
      </c>
      <c r="E1056" s="1164"/>
      <c r="F1056" s="1165">
        <v>42759</v>
      </c>
      <c r="G1056" s="1166" t="s">
        <v>4585</v>
      </c>
      <c r="H1056" s="1167">
        <v>9</v>
      </c>
      <c r="I1056" s="1168">
        <f>IF(DAY($F1056)&gt;15, VLOOKUP(EOMONTH($F1056,-1),'WP 3.1 Rate Case Regress.'!$C$5:$D$556,2,FALSE), VLOOKUP(EOMONTH($F1056, -2), 'WP 3.1 Rate Case Regress.'!$C$5:$D$556, 2, FALSE))</f>
        <v>4.2699999999999996</v>
      </c>
    </row>
    <row r="1057" spans="2:9" x14ac:dyDescent="0.5">
      <c r="B1057" s="1162" t="s">
        <v>2699</v>
      </c>
      <c r="C1057" s="1163" t="s">
        <v>2628</v>
      </c>
      <c r="D1057" s="1163" t="s">
        <v>5044</v>
      </c>
      <c r="E1057" s="1164"/>
      <c r="F1057" s="1165">
        <v>42787</v>
      </c>
      <c r="G1057" s="1166" t="s">
        <v>4585</v>
      </c>
      <c r="H1057" s="1167">
        <v>10.55</v>
      </c>
      <c r="I1057" s="1168">
        <f>IF(DAY($F1057)&gt;15, VLOOKUP(EOMONTH($F1057,-1),'WP 3.1 Rate Case Regress.'!$C$5:$D$556,2,FALSE), VLOOKUP(EOMONTH($F1057, -2), 'WP 3.1 Rate Case Regress.'!$C$5:$D$556, 2, FALSE))</f>
        <v>4.1399999999999997</v>
      </c>
    </row>
    <row r="1058" spans="2:9" x14ac:dyDescent="0.5">
      <c r="B1058" s="1162" t="s">
        <v>2734</v>
      </c>
      <c r="C1058" s="1163" t="s">
        <v>2895</v>
      </c>
      <c r="D1058" s="1163" t="s">
        <v>3717</v>
      </c>
      <c r="E1058" s="1164"/>
      <c r="F1058" s="1165">
        <v>42795</v>
      </c>
      <c r="G1058" s="1166" t="s">
        <v>2695</v>
      </c>
      <c r="H1058" s="1167">
        <v>9.25</v>
      </c>
      <c r="I1058" s="1168">
        <f>IF(DAY($F1058)&gt;15, VLOOKUP(EOMONTH($F1058,-1),'WP 3.1 Rate Case Regress.'!$C$5:$D$556,2,FALSE), VLOOKUP(EOMONTH($F1058, -2), 'WP 3.1 Rate Case Regress.'!$C$5:$D$556, 2, FALSE))</f>
        <v>4.1399999999999997</v>
      </c>
    </row>
    <row r="1059" spans="2:9" ht="30" x14ac:dyDescent="0.5">
      <c r="B1059" s="1162" t="s">
        <v>2717</v>
      </c>
      <c r="C1059" s="1163" t="s">
        <v>2939</v>
      </c>
      <c r="D1059" s="1163" t="s">
        <v>5045</v>
      </c>
      <c r="E1059" s="1164"/>
      <c r="F1059" s="1165">
        <v>42836</v>
      </c>
      <c r="G1059" s="1166" t="s">
        <v>4585</v>
      </c>
      <c r="H1059" s="1167">
        <v>9.5</v>
      </c>
      <c r="I1059" s="1168">
        <f>IF(DAY($F1059)&gt;15, VLOOKUP(EOMONTH($F1059,-1),'WP 3.1 Rate Case Regress.'!$C$5:$D$556,2,FALSE), VLOOKUP(EOMONTH($F1059, -2), 'WP 3.1 Rate Case Regress.'!$C$5:$D$556, 2, FALSE))</f>
        <v>4.1100000000000003</v>
      </c>
    </row>
    <row r="1060" spans="2:9" x14ac:dyDescent="0.5">
      <c r="B1060" s="1162" t="s">
        <v>2704</v>
      </c>
      <c r="C1060" s="1163" t="s">
        <v>2910</v>
      </c>
      <c r="D1060" s="1163" t="s">
        <v>3718</v>
      </c>
      <c r="E1060" s="1164"/>
      <c r="F1060" s="1165">
        <v>42845</v>
      </c>
      <c r="G1060" s="1166" t="s">
        <v>2695</v>
      </c>
      <c r="H1060" s="1167">
        <v>8.6999999999999993</v>
      </c>
      <c r="I1060" s="1168">
        <f>IF(DAY($F1060)&gt;15, VLOOKUP(EOMONTH($F1060,-1),'WP 3.1 Rate Case Regress.'!$C$5:$D$556,2,FALSE), VLOOKUP(EOMONTH($F1060, -2), 'WP 3.1 Rate Case Regress.'!$C$5:$D$556, 2, FALSE))</f>
        <v>4.18</v>
      </c>
    </row>
    <row r="1061" spans="2:9" x14ac:dyDescent="0.5">
      <c r="B1061" s="1162" t="s">
        <v>2726</v>
      </c>
      <c r="C1061" s="1163" t="s">
        <v>2946</v>
      </c>
      <c r="D1061" s="1163" t="s">
        <v>3719</v>
      </c>
      <c r="E1061" s="1164"/>
      <c r="F1061" s="1165">
        <v>42853</v>
      </c>
      <c r="G1061" s="1166" t="s">
        <v>2695</v>
      </c>
      <c r="H1061" s="1167">
        <v>9.5</v>
      </c>
      <c r="I1061" s="1168">
        <f>IF(DAY($F1061)&gt;15, VLOOKUP(EOMONTH($F1061,-1),'WP 3.1 Rate Case Regress.'!$C$5:$D$556,2,FALSE), VLOOKUP(EOMONTH($F1061, -2), 'WP 3.1 Rate Case Regress.'!$C$5:$D$556, 2, FALSE))</f>
        <v>4.18</v>
      </c>
    </row>
    <row r="1062" spans="2:9" x14ac:dyDescent="0.5">
      <c r="B1062" s="1162" t="s">
        <v>2775</v>
      </c>
      <c r="C1062" s="1163" t="s">
        <v>2975</v>
      </c>
      <c r="D1062" s="1163" t="s">
        <v>5046</v>
      </c>
      <c r="E1062" s="1164"/>
      <c r="F1062" s="1165">
        <v>42878</v>
      </c>
      <c r="G1062" s="1166" t="s">
        <v>4585</v>
      </c>
      <c r="H1062" s="1167">
        <v>9.6</v>
      </c>
      <c r="I1062" s="1168">
        <f>IF(DAY($F1062)&gt;15, VLOOKUP(EOMONTH($F1062,-1),'WP 3.1 Rate Case Regress.'!$C$5:$D$556,2,FALSE), VLOOKUP(EOMONTH($F1062, -2), 'WP 3.1 Rate Case Regress.'!$C$5:$D$556, 2, FALSE))</f>
        <v>4.12</v>
      </c>
    </row>
    <row r="1063" spans="2:9" x14ac:dyDescent="0.5">
      <c r="B1063" s="1162" t="s">
        <v>2758</v>
      </c>
      <c r="C1063" s="1163" t="s">
        <v>2759</v>
      </c>
      <c r="D1063" s="1163" t="s">
        <v>5047</v>
      </c>
      <c r="E1063" s="1164"/>
      <c r="F1063" s="1165">
        <v>42892</v>
      </c>
      <c r="G1063" s="1166" t="s">
        <v>4585</v>
      </c>
      <c r="H1063" s="1167">
        <v>9.6999999999999993</v>
      </c>
      <c r="I1063" s="1168">
        <f>IF(DAY($F1063)&gt;15, VLOOKUP(EOMONTH($F1063,-1),'WP 3.1 Rate Case Regress.'!$C$5:$D$556,2,FALSE), VLOOKUP(EOMONTH($F1063, -2), 'WP 3.1 Rate Case Regress.'!$C$5:$D$556, 2, FALSE))</f>
        <v>4.12</v>
      </c>
    </row>
    <row r="1064" spans="2:9" x14ac:dyDescent="0.5">
      <c r="B1064" s="1162" t="s">
        <v>2728</v>
      </c>
      <c r="C1064" s="1163" t="s">
        <v>2729</v>
      </c>
      <c r="D1064" s="1163" t="s">
        <v>5048</v>
      </c>
      <c r="E1064" s="1164"/>
      <c r="F1064" s="1165">
        <v>42908</v>
      </c>
      <c r="G1064" s="1166" t="s">
        <v>4585</v>
      </c>
      <c r="H1064" s="1167">
        <v>9.6999999999999993</v>
      </c>
      <c r="I1064" s="1168">
        <f>IF(DAY($F1064)&gt;15, VLOOKUP(EOMONTH($F1064,-1),'WP 3.1 Rate Case Regress.'!$C$5:$D$556,2,FALSE), VLOOKUP(EOMONTH($F1064, -2), 'WP 3.1 Rate Case Regress.'!$C$5:$D$556, 2, FALSE))</f>
        <v>4.13</v>
      </c>
    </row>
    <row r="1065" spans="2:9" x14ac:dyDescent="0.5">
      <c r="B1065" s="1162" t="s">
        <v>2712</v>
      </c>
      <c r="C1065" s="1163" t="s">
        <v>3333</v>
      </c>
      <c r="D1065" s="1163" t="s">
        <v>5049</v>
      </c>
      <c r="E1065" s="1164"/>
      <c r="F1065" s="1165">
        <v>42916</v>
      </c>
      <c r="G1065" s="1166" t="s">
        <v>4585</v>
      </c>
      <c r="H1065" s="1167">
        <v>9.6</v>
      </c>
      <c r="I1065" s="1168">
        <f>IF(DAY($F1065)&gt;15, VLOOKUP(EOMONTH($F1065,-1),'WP 3.1 Rate Case Regress.'!$C$5:$D$556,2,FALSE), VLOOKUP(EOMONTH($F1065, -2), 'WP 3.1 Rate Case Regress.'!$C$5:$D$556, 2, FALSE))</f>
        <v>4.13</v>
      </c>
    </row>
    <row r="1066" spans="2:9" x14ac:dyDescent="0.5">
      <c r="B1066" s="1162" t="s">
        <v>2740</v>
      </c>
      <c r="C1066" s="1163" t="s">
        <v>2964</v>
      </c>
      <c r="D1066" s="1163" t="s">
        <v>5050</v>
      </c>
      <c r="E1066" s="1164"/>
      <c r="F1066" s="1165">
        <v>42936</v>
      </c>
      <c r="G1066" s="1166" t="s">
        <v>4585</v>
      </c>
      <c r="H1066" s="1167">
        <v>9.5500000000000007</v>
      </c>
      <c r="I1066" s="1168">
        <f>IF(DAY($F1066)&gt;15, VLOOKUP(EOMONTH($F1066,-1),'WP 3.1 Rate Case Regress.'!$C$5:$D$556,2,FALSE), VLOOKUP(EOMONTH($F1066, -2), 'WP 3.1 Rate Case Regress.'!$C$5:$D$556, 2, FALSE))</f>
        <v>3.9399999999999995</v>
      </c>
    </row>
    <row r="1067" spans="2:9" x14ac:dyDescent="0.5">
      <c r="B1067" s="1162" t="s">
        <v>2744</v>
      </c>
      <c r="C1067" s="1163" t="s">
        <v>2770</v>
      </c>
      <c r="D1067" s="1163" t="s">
        <v>3720</v>
      </c>
      <c r="E1067" s="1164"/>
      <c r="F1067" s="1165">
        <v>42947</v>
      </c>
      <c r="G1067" s="1166" t="s">
        <v>2695</v>
      </c>
      <c r="H1067" s="1167">
        <v>10.1</v>
      </c>
      <c r="I1067" s="1168">
        <f>IF(DAY($F1067)&gt;15, VLOOKUP(EOMONTH($F1067,-1),'WP 3.1 Rate Case Regress.'!$C$5:$D$556,2,FALSE), VLOOKUP(EOMONTH($F1067, -2), 'WP 3.1 Rate Case Regress.'!$C$5:$D$556, 2, FALSE))</f>
        <v>3.9399999999999995</v>
      </c>
    </row>
    <row r="1068" spans="2:9" x14ac:dyDescent="0.5">
      <c r="B1068" s="1162" t="s">
        <v>2774</v>
      </c>
      <c r="C1068" s="1163" t="s">
        <v>2727</v>
      </c>
      <c r="D1068" s="1163" t="s">
        <v>5051</v>
      </c>
      <c r="E1068" s="1164"/>
      <c r="F1068" s="1165">
        <v>42991</v>
      </c>
      <c r="G1068" s="1166" t="s">
        <v>4585</v>
      </c>
      <c r="H1068" s="1167">
        <v>9.4</v>
      </c>
      <c r="I1068" s="1168">
        <f>IF(DAY($F1068)&gt;15, VLOOKUP(EOMONTH($F1068,-1),'WP 3.1 Rate Case Regress.'!$C$5:$D$556,2,FALSE), VLOOKUP(EOMONTH($F1068, -2), 'WP 3.1 Rate Case Regress.'!$C$5:$D$556, 2, FALSE))</f>
        <v>4.05</v>
      </c>
    </row>
    <row r="1069" spans="2:9" x14ac:dyDescent="0.5">
      <c r="B1069" s="1162" t="s">
        <v>2698</v>
      </c>
      <c r="C1069" s="1163" t="s">
        <v>3678</v>
      </c>
      <c r="D1069" s="1163" t="s">
        <v>5052</v>
      </c>
      <c r="E1069" s="1164"/>
      <c r="F1069" s="1165">
        <v>42997</v>
      </c>
      <c r="G1069" s="1166" t="s">
        <v>4585</v>
      </c>
      <c r="H1069" s="1167">
        <v>9.6999999999999993</v>
      </c>
      <c r="I1069" s="1168">
        <f>IF(DAY($F1069)&gt;15, VLOOKUP(EOMONTH($F1069,-1),'WP 3.1 Rate Case Regress.'!$C$5:$D$556,2,FALSE), VLOOKUP(EOMONTH($F1069, -2), 'WP 3.1 Rate Case Regress.'!$C$5:$D$556, 2, FALSE))</f>
        <v>3.99</v>
      </c>
    </row>
    <row r="1070" spans="2:9" x14ac:dyDescent="0.5">
      <c r="B1070" s="1162" t="s">
        <v>2779</v>
      </c>
      <c r="C1070" s="1163" t="s">
        <v>3721</v>
      </c>
      <c r="D1070" s="1163" t="s">
        <v>3722</v>
      </c>
      <c r="E1070" s="1164"/>
      <c r="F1070" s="1165">
        <v>43000</v>
      </c>
      <c r="G1070" s="1166" t="s">
        <v>2695</v>
      </c>
      <c r="H1070" s="1167">
        <v>11.88</v>
      </c>
      <c r="I1070" s="1168">
        <f>IF(DAY($F1070)&gt;15, VLOOKUP(EOMONTH($F1070,-1),'WP 3.1 Rate Case Regress.'!$C$5:$D$556,2,FALSE), VLOOKUP(EOMONTH($F1070, -2), 'WP 3.1 Rate Case Regress.'!$C$5:$D$556, 2, FALSE))</f>
        <v>3.99</v>
      </c>
    </row>
    <row r="1071" spans="2:9" x14ac:dyDescent="0.5">
      <c r="B1071" s="1162" t="s">
        <v>2757</v>
      </c>
      <c r="C1071" s="1163" t="s">
        <v>3012</v>
      </c>
      <c r="D1071" s="1163" t="s">
        <v>5053</v>
      </c>
      <c r="E1071" s="1164"/>
      <c r="F1071" s="1165">
        <v>43005</v>
      </c>
      <c r="G1071" s="1166" t="s">
        <v>4585</v>
      </c>
      <c r="H1071" s="1167">
        <v>10.199999999999999</v>
      </c>
      <c r="I1071" s="1168">
        <f>IF(DAY($F1071)&gt;15, VLOOKUP(EOMONTH($F1071,-1),'WP 3.1 Rate Case Regress.'!$C$5:$D$556,2,FALSE), VLOOKUP(EOMONTH($F1071, -2), 'WP 3.1 Rate Case Regress.'!$C$5:$D$556, 2, FALSE))</f>
        <v>3.99</v>
      </c>
    </row>
    <row r="1072" spans="2:9" x14ac:dyDescent="0.5">
      <c r="B1072" s="1162" t="s">
        <v>2712</v>
      </c>
      <c r="C1072" s="1163" t="s">
        <v>3085</v>
      </c>
      <c r="D1072" s="1163" t="s">
        <v>5054</v>
      </c>
      <c r="E1072" s="1164"/>
      <c r="F1072" s="1165">
        <v>43028</v>
      </c>
      <c r="G1072" s="1166" t="s">
        <v>4585</v>
      </c>
      <c r="H1072" s="1167">
        <v>9.6</v>
      </c>
      <c r="I1072" s="1168">
        <f>IF(DAY($F1072)&gt;15, VLOOKUP(EOMONTH($F1072,-1),'WP 3.1 Rate Case Regress.'!$C$5:$D$556,2,FALSE), VLOOKUP(EOMONTH($F1072, -2), 'WP 3.1 Rate Case Regress.'!$C$5:$D$556, 2, FALSE))</f>
        <v>3.86</v>
      </c>
    </row>
    <row r="1073" spans="2:9" x14ac:dyDescent="0.5">
      <c r="B1073" s="1162" t="s">
        <v>2738</v>
      </c>
      <c r="C1073" s="1163" t="s">
        <v>2741</v>
      </c>
      <c r="D1073" s="1163" t="s">
        <v>5055</v>
      </c>
      <c r="E1073" s="1164"/>
      <c r="F1073" s="1165">
        <v>43034</v>
      </c>
      <c r="G1073" s="1166" t="s">
        <v>4585</v>
      </c>
      <c r="H1073" s="1167">
        <v>10.199999999999999</v>
      </c>
      <c r="I1073" s="1168">
        <f>IF(DAY($F1073)&gt;15, VLOOKUP(EOMONTH($F1073,-1),'WP 3.1 Rate Case Regress.'!$C$5:$D$556,2,FALSE), VLOOKUP(EOMONTH($F1073, -2), 'WP 3.1 Rate Case Regress.'!$C$5:$D$556, 2, FALSE))</f>
        <v>3.86</v>
      </c>
    </row>
    <row r="1074" spans="2:9" x14ac:dyDescent="0.5">
      <c r="B1074" s="1162" t="s">
        <v>2738</v>
      </c>
      <c r="C1074" s="1163" t="s">
        <v>2954</v>
      </c>
      <c r="D1074" s="1163" t="s">
        <v>5056</v>
      </c>
      <c r="E1074" s="1164"/>
      <c r="F1074" s="1165">
        <v>43038</v>
      </c>
      <c r="G1074" s="1166" t="s">
        <v>4585</v>
      </c>
      <c r="H1074" s="1167">
        <v>10.050000000000001</v>
      </c>
      <c r="I1074" s="1168">
        <f>IF(DAY($F1074)&gt;15, VLOOKUP(EOMONTH($F1074,-1),'WP 3.1 Rate Case Regress.'!$C$5:$D$556,2,FALSE), VLOOKUP(EOMONTH($F1074, -2), 'WP 3.1 Rate Case Regress.'!$C$5:$D$556, 2, FALSE))</f>
        <v>3.86</v>
      </c>
    </row>
    <row r="1075" spans="2:9" x14ac:dyDescent="0.5">
      <c r="B1075" s="1162" t="s">
        <v>2736</v>
      </c>
      <c r="C1075" s="1163" t="s">
        <v>2737</v>
      </c>
      <c r="D1075" s="1163" t="s">
        <v>5057</v>
      </c>
      <c r="E1075" s="1164"/>
      <c r="F1075" s="1165">
        <v>43074</v>
      </c>
      <c r="G1075" s="1166" t="s">
        <v>4585</v>
      </c>
      <c r="H1075" s="1167">
        <v>9.5</v>
      </c>
      <c r="I1075" s="1168">
        <f>IF(DAY($F1075)&gt;15, VLOOKUP(EOMONTH($F1075,-1),'WP 3.1 Rate Case Regress.'!$C$5:$D$556,2,FALSE), VLOOKUP(EOMONTH($F1075, -2), 'WP 3.1 Rate Case Regress.'!$C$5:$D$556, 2, FALSE))</f>
        <v>3.91</v>
      </c>
    </row>
    <row r="1076" spans="2:9" ht="30" x14ac:dyDescent="0.5">
      <c r="B1076" s="1162" t="s">
        <v>2702</v>
      </c>
      <c r="C1076" s="1163" t="s">
        <v>2755</v>
      </c>
      <c r="D1076" s="1163" t="s">
        <v>3723</v>
      </c>
      <c r="E1076" s="1164"/>
      <c r="F1076" s="1165">
        <v>43076</v>
      </c>
      <c r="G1076" s="1166" t="s">
        <v>2695</v>
      </c>
      <c r="H1076" s="1167">
        <v>9.8000000000000007</v>
      </c>
      <c r="I1076" s="1168">
        <f>IF(DAY($F1076)&gt;15, VLOOKUP(EOMONTH($F1076,-1),'WP 3.1 Rate Case Regress.'!$C$5:$D$556,2,FALSE), VLOOKUP(EOMONTH($F1076, -2), 'WP 3.1 Rate Case Regress.'!$C$5:$D$556, 2, FALSE))</f>
        <v>3.91</v>
      </c>
    </row>
    <row r="1077" spans="2:9" x14ac:dyDescent="0.5">
      <c r="B1077" s="1162" t="s">
        <v>2723</v>
      </c>
      <c r="C1077" s="1163" t="s">
        <v>2949</v>
      </c>
      <c r="D1077" s="1163" t="s">
        <v>5058</v>
      </c>
      <c r="E1077" s="1164"/>
      <c r="F1077" s="1165">
        <v>43082</v>
      </c>
      <c r="G1077" s="1166" t="s">
        <v>4585</v>
      </c>
      <c r="H1077" s="1167">
        <v>9.25</v>
      </c>
      <c r="I1077" s="1168">
        <f>IF(DAY($F1077)&gt;15, VLOOKUP(EOMONTH($F1077,-1),'WP 3.1 Rate Case Regress.'!$C$5:$D$556,2,FALSE), VLOOKUP(EOMONTH($F1077, -2), 'WP 3.1 Rate Case Regress.'!$C$5:$D$556, 2, FALSE))</f>
        <v>3.91</v>
      </c>
    </row>
    <row r="1078" spans="2:9" x14ac:dyDescent="0.5">
      <c r="B1078" s="1162" t="s">
        <v>2726</v>
      </c>
      <c r="C1078" s="1163" t="s">
        <v>2727</v>
      </c>
      <c r="D1078" s="1163" t="s">
        <v>5059</v>
      </c>
      <c r="E1078" s="1164"/>
      <c r="F1078" s="1165">
        <v>43097</v>
      </c>
      <c r="G1078" s="1166" t="s">
        <v>4585</v>
      </c>
      <c r="H1078" s="1167">
        <v>9.5</v>
      </c>
      <c r="I1078" s="1168">
        <f>IF(DAY($F1078)&gt;15, VLOOKUP(EOMONTH($F1078,-1),'WP 3.1 Rate Case Regress.'!$C$5:$D$556,2,FALSE), VLOOKUP(EOMONTH($F1078, -2), 'WP 3.1 Rate Case Regress.'!$C$5:$D$556, 2, FALSE))</f>
        <v>3.91</v>
      </c>
    </row>
    <row r="1079" spans="2:9" x14ac:dyDescent="0.5">
      <c r="B1079" s="1162" t="s">
        <v>2693</v>
      </c>
      <c r="C1079" s="1163" t="s">
        <v>2629</v>
      </c>
      <c r="D1079" s="1163" t="s">
        <v>3724</v>
      </c>
      <c r="E1079" s="1164"/>
      <c r="F1079" s="1165">
        <v>43131</v>
      </c>
      <c r="G1079" s="1166" t="s">
        <v>2695</v>
      </c>
      <c r="H1079" s="1167">
        <v>9.8000000000000007</v>
      </c>
      <c r="I1079" s="1168">
        <f>IF(DAY($F1079)&gt;15, VLOOKUP(EOMONTH($F1079,-1),'WP 3.1 Rate Case Regress.'!$C$5:$D$556,2,FALSE), VLOOKUP(EOMONTH($F1079, -2), 'WP 3.1 Rate Case Regress.'!$C$5:$D$556, 2, FALSE))</f>
        <v>3.7900000000000005</v>
      </c>
    </row>
    <row r="1080" spans="2:9" x14ac:dyDescent="0.5">
      <c r="B1080" s="1162" t="s">
        <v>2756</v>
      </c>
      <c r="C1080" s="1163" t="s">
        <v>3010</v>
      </c>
      <c r="D1080" s="1163" t="s">
        <v>3725</v>
      </c>
      <c r="E1080" s="1164"/>
      <c r="F1080" s="1165">
        <v>43152</v>
      </c>
      <c r="G1080" s="1166" t="s">
        <v>2695</v>
      </c>
      <c r="H1080" s="1167">
        <v>9.8000000000000007</v>
      </c>
      <c r="I1080" s="1168">
        <f>IF(DAY($F1080)&gt;15, VLOOKUP(EOMONTH($F1080,-1),'WP 3.1 Rate Case Regress.'!$C$5:$D$556,2,FALSE), VLOOKUP(EOMONTH($F1080, -2), 'WP 3.1 Rate Case Regress.'!$C$5:$D$556, 2, FALSE))</f>
        <v>3.7900000000000005</v>
      </c>
    </row>
    <row r="1081" spans="2:9" x14ac:dyDescent="0.5">
      <c r="B1081" s="1162" t="s">
        <v>2756</v>
      </c>
      <c r="C1081" s="1163" t="s">
        <v>2875</v>
      </c>
      <c r="D1081" s="1163" t="s">
        <v>3726</v>
      </c>
      <c r="E1081" s="1164"/>
      <c r="F1081" s="1165">
        <v>43152</v>
      </c>
      <c r="G1081" s="1166" t="s">
        <v>2695</v>
      </c>
      <c r="H1081" s="1167">
        <v>9.8000000000000007</v>
      </c>
      <c r="I1081" s="1168">
        <f>IF(DAY($F1081)&gt;15, VLOOKUP(EOMONTH($F1081,-1),'WP 3.1 Rate Case Regress.'!$C$5:$D$556,2,FALSE), VLOOKUP(EOMONTH($F1081, -2), 'WP 3.1 Rate Case Regress.'!$C$5:$D$556, 2, FALSE))</f>
        <v>3.7900000000000005</v>
      </c>
    </row>
    <row r="1082" spans="2:9" x14ac:dyDescent="0.5">
      <c r="B1082" s="1162" t="s">
        <v>2780</v>
      </c>
      <c r="C1082" s="1163" t="s">
        <v>3727</v>
      </c>
      <c r="D1082" s="1163" t="s">
        <v>3728</v>
      </c>
      <c r="E1082" s="1164"/>
      <c r="F1082" s="1165">
        <v>43159</v>
      </c>
      <c r="G1082" s="1166" t="s">
        <v>2695</v>
      </c>
      <c r="H1082" s="1167">
        <v>9.5</v>
      </c>
      <c r="I1082" s="1168">
        <f>IF(DAY($F1082)&gt;15, VLOOKUP(EOMONTH($F1082,-1),'WP 3.1 Rate Case Regress.'!$C$5:$D$556,2,FALSE), VLOOKUP(EOMONTH($F1082, -2), 'WP 3.1 Rate Case Regress.'!$C$5:$D$556, 2, FALSE))</f>
        <v>3.7900000000000005</v>
      </c>
    </row>
    <row r="1083" spans="2:9" x14ac:dyDescent="0.5">
      <c r="B1083" s="1162" t="s">
        <v>2704</v>
      </c>
      <c r="C1083" s="1163" t="s">
        <v>2705</v>
      </c>
      <c r="D1083" s="1163" t="s">
        <v>5060</v>
      </c>
      <c r="E1083" s="1164"/>
      <c r="F1083" s="1165">
        <v>43174</v>
      </c>
      <c r="G1083" s="1166" t="s">
        <v>4585</v>
      </c>
      <c r="H1083" s="1167">
        <v>9</v>
      </c>
      <c r="I1083" s="1168">
        <f>IF(DAY($F1083)&gt;15, VLOOKUP(EOMONTH($F1083,-1),'WP 3.1 Rate Case Regress.'!$C$5:$D$556,2,FALSE), VLOOKUP(EOMONTH($F1083, -2), 'WP 3.1 Rate Case Regress.'!$C$5:$D$556, 2, FALSE))</f>
        <v>3.7900000000000005</v>
      </c>
    </row>
    <row r="1084" spans="2:9" x14ac:dyDescent="0.5">
      <c r="B1084" s="1162" t="s">
        <v>2772</v>
      </c>
      <c r="C1084" s="1163" t="s">
        <v>3361</v>
      </c>
      <c r="D1084" s="1163" t="s">
        <v>5061</v>
      </c>
      <c r="E1084" s="1164"/>
      <c r="F1084" s="1165">
        <v>43185</v>
      </c>
      <c r="G1084" s="1166" t="s">
        <v>4585</v>
      </c>
      <c r="H1084" s="1167">
        <v>10.19</v>
      </c>
      <c r="I1084" s="1168">
        <f>IF(DAY($F1084)&gt;15, VLOOKUP(EOMONTH($F1084,-1),'WP 3.1 Rate Case Regress.'!$C$5:$D$556,2,FALSE), VLOOKUP(EOMONTH($F1084, -2), 'WP 3.1 Rate Case Regress.'!$C$5:$D$556, 2, FALSE))</f>
        <v>3.86</v>
      </c>
    </row>
    <row r="1085" spans="2:9" x14ac:dyDescent="0.5">
      <c r="B1085" s="1162" t="s">
        <v>2736</v>
      </c>
      <c r="C1085" s="1163" t="s">
        <v>2727</v>
      </c>
      <c r="D1085" s="1163" t="s">
        <v>3729</v>
      </c>
      <c r="E1085" s="1164"/>
      <c r="F1085" s="1165">
        <v>43216</v>
      </c>
      <c r="G1085" s="1166" t="s">
        <v>2695</v>
      </c>
      <c r="H1085" s="1167">
        <v>9.5</v>
      </c>
      <c r="I1085" s="1168">
        <f>IF(DAY($F1085)&gt;15, VLOOKUP(EOMONTH($F1085,-1),'WP 3.1 Rate Case Regress.'!$C$5:$D$556,2,FALSE), VLOOKUP(EOMONTH($F1085, -2), 'WP 3.1 Rate Case Regress.'!$C$5:$D$556, 2, FALSE))</f>
        <v>4.13</v>
      </c>
    </row>
    <row r="1086" spans="2:9" x14ac:dyDescent="0.5">
      <c r="B1086" s="1162" t="s">
        <v>2776</v>
      </c>
      <c r="C1086" s="1163" t="s">
        <v>3602</v>
      </c>
      <c r="D1086" s="1163" t="s">
        <v>3730</v>
      </c>
      <c r="E1086" s="1164"/>
      <c r="F1086" s="1165">
        <v>43217</v>
      </c>
      <c r="G1086" s="1166" t="s">
        <v>2695</v>
      </c>
      <c r="H1086" s="1167">
        <v>9.3000000000000007</v>
      </c>
      <c r="I1086" s="1168">
        <f>IF(DAY($F1086)&gt;15, VLOOKUP(EOMONTH($F1086,-1),'WP 3.1 Rate Case Regress.'!$C$5:$D$556,2,FALSE), VLOOKUP(EOMONTH($F1086, -2), 'WP 3.1 Rate Case Regress.'!$C$5:$D$556, 2, FALSE))</f>
        <v>4.13</v>
      </c>
    </row>
    <row r="1087" spans="2:9" x14ac:dyDescent="0.5">
      <c r="B1087" s="1162" t="s">
        <v>2776</v>
      </c>
      <c r="C1087" s="1163" t="s">
        <v>3727</v>
      </c>
      <c r="D1087" s="1163" t="s">
        <v>5062</v>
      </c>
      <c r="E1087" s="1164"/>
      <c r="F1087" s="1165">
        <v>43222</v>
      </c>
      <c r="G1087" s="1166" t="s">
        <v>4585</v>
      </c>
      <c r="H1087" s="1167">
        <v>9.5</v>
      </c>
      <c r="I1087" s="1168">
        <f>IF(DAY($F1087)&gt;15, VLOOKUP(EOMONTH($F1087,-1),'WP 3.1 Rate Case Regress.'!$C$5:$D$556,2,FALSE), VLOOKUP(EOMONTH($F1087, -2), 'WP 3.1 Rate Case Regress.'!$C$5:$D$556, 2, FALSE))</f>
        <v>4.13</v>
      </c>
    </row>
    <row r="1088" spans="2:9" x14ac:dyDescent="0.5">
      <c r="B1088" s="1162" t="s">
        <v>2728</v>
      </c>
      <c r="C1088" s="1163" t="s">
        <v>2944</v>
      </c>
      <c r="D1088" s="1163" t="s">
        <v>3731</v>
      </c>
      <c r="E1088" s="1164"/>
      <c r="F1088" s="1165">
        <v>43223</v>
      </c>
      <c r="G1088" s="1166" t="s">
        <v>2695</v>
      </c>
      <c r="H1088" s="1167">
        <v>9.6999999999999993</v>
      </c>
      <c r="I1088" s="1168">
        <f>IF(DAY($F1088)&gt;15, VLOOKUP(EOMONTH($F1088,-1),'WP 3.1 Rate Case Regress.'!$C$5:$D$556,2,FALSE), VLOOKUP(EOMONTH($F1088, -2), 'WP 3.1 Rate Case Regress.'!$C$5:$D$556, 2, FALSE))</f>
        <v>4.13</v>
      </c>
    </row>
    <row r="1089" spans="2:9" x14ac:dyDescent="0.5">
      <c r="B1089" s="1162" t="s">
        <v>2740</v>
      </c>
      <c r="C1089" s="1163" t="s">
        <v>2746</v>
      </c>
      <c r="D1089" s="1163" t="s">
        <v>5063</v>
      </c>
      <c r="E1089" s="1164"/>
      <c r="F1089" s="1165">
        <v>43249</v>
      </c>
      <c r="G1089" s="1166" t="s">
        <v>4585</v>
      </c>
      <c r="H1089" s="1167">
        <v>9.4</v>
      </c>
      <c r="I1089" s="1168">
        <f>IF(DAY($F1089)&gt;15, VLOOKUP(EOMONTH($F1089,-1),'WP 3.1 Rate Case Regress.'!$C$5:$D$556,2,FALSE), VLOOKUP(EOMONTH($F1089, -2), 'WP 3.1 Rate Case Regress.'!$C$5:$D$556, 2, FALSE))</f>
        <v>4.17</v>
      </c>
    </row>
    <row r="1090" spans="2:9" x14ac:dyDescent="0.5">
      <c r="B1090" s="1162" t="s">
        <v>2756</v>
      </c>
      <c r="C1090" s="1163" t="s">
        <v>3863</v>
      </c>
      <c r="D1090" s="1163" t="s">
        <v>5064</v>
      </c>
      <c r="E1090" s="1164"/>
      <c r="F1090" s="1165">
        <v>43257</v>
      </c>
      <c r="G1090" s="1166" t="s">
        <v>4585</v>
      </c>
      <c r="H1090" s="1167">
        <v>9.8000000000000007</v>
      </c>
      <c r="I1090" s="1168">
        <f>IF(DAY($F1090)&gt;15, VLOOKUP(EOMONTH($F1090,-1),'WP 3.1 Rate Case Regress.'!$C$5:$D$556,2,FALSE), VLOOKUP(EOMONTH($F1090, -2), 'WP 3.1 Rate Case Regress.'!$C$5:$D$556, 2, FALSE))</f>
        <v>4.17</v>
      </c>
    </row>
    <row r="1091" spans="2:9" x14ac:dyDescent="0.5">
      <c r="B1091" s="1162" t="s">
        <v>2704</v>
      </c>
      <c r="C1091" s="1163" t="s">
        <v>2750</v>
      </c>
      <c r="D1091" s="1163" t="s">
        <v>5065</v>
      </c>
      <c r="E1091" s="1164"/>
      <c r="F1091" s="1165">
        <v>43265</v>
      </c>
      <c r="G1091" s="1166" t="s">
        <v>4585</v>
      </c>
      <c r="H1091" s="1167">
        <v>8.8000000000000007</v>
      </c>
      <c r="I1091" s="1168">
        <f>IF(DAY($F1091)&gt;15, VLOOKUP(EOMONTH($F1091,-1),'WP 3.1 Rate Case Regress.'!$C$5:$D$556,2,FALSE), VLOOKUP(EOMONTH($F1091, -2), 'WP 3.1 Rate Case Regress.'!$C$5:$D$556, 2, FALSE))</f>
        <v>4.17</v>
      </c>
    </row>
    <row r="1092" spans="2:9" x14ac:dyDescent="0.5">
      <c r="B1092" s="1162" t="s">
        <v>2777</v>
      </c>
      <c r="C1092" s="1163" t="s">
        <v>5066</v>
      </c>
      <c r="D1092" s="1163" t="s">
        <v>5067</v>
      </c>
      <c r="E1092" s="1164"/>
      <c r="F1092" s="1165">
        <v>43297</v>
      </c>
      <c r="G1092" s="1166" t="s">
        <v>4585</v>
      </c>
      <c r="H1092" s="1167">
        <v>9.6</v>
      </c>
      <c r="I1092" s="1168">
        <f>IF(DAY($F1092)&gt;15, VLOOKUP(EOMONTH($F1092,-1),'WP 3.1 Rate Case Regress.'!$C$5:$D$556,2,FALSE), VLOOKUP(EOMONTH($F1092, -2), 'WP 3.1 Rate Case Regress.'!$C$5:$D$556, 2, FALSE))</f>
        <v>4.2699999999999996</v>
      </c>
    </row>
    <row r="1093" spans="2:9" x14ac:dyDescent="0.5">
      <c r="B1093" s="1162" t="s">
        <v>2736</v>
      </c>
      <c r="C1093" s="1163" t="s">
        <v>2980</v>
      </c>
      <c r="D1093" s="1163" t="s">
        <v>5068</v>
      </c>
      <c r="E1093" s="1164"/>
      <c r="F1093" s="1165">
        <v>43301</v>
      </c>
      <c r="G1093" s="1166" t="s">
        <v>4585</v>
      </c>
      <c r="H1093" s="1167">
        <v>9.4</v>
      </c>
      <c r="I1093" s="1168">
        <f>IF(DAY($F1093)&gt;15, VLOOKUP(EOMONTH($F1093,-1),'WP 3.1 Rate Case Regress.'!$C$5:$D$556,2,FALSE), VLOOKUP(EOMONTH($F1093, -2), 'WP 3.1 Rate Case Regress.'!$C$5:$D$556, 2, FALSE))</f>
        <v>4.2699999999999996</v>
      </c>
    </row>
    <row r="1094" spans="2:9" x14ac:dyDescent="0.5">
      <c r="B1094" s="1162" t="s">
        <v>2763</v>
      </c>
      <c r="C1094" s="1163" t="s">
        <v>3059</v>
      </c>
      <c r="D1094" s="1163" t="s">
        <v>5069</v>
      </c>
      <c r="E1094" s="1164"/>
      <c r="F1094" s="1165">
        <v>43336</v>
      </c>
      <c r="G1094" s="1166" t="s">
        <v>4585</v>
      </c>
      <c r="H1094" s="1167">
        <v>9.2799999999999994</v>
      </c>
      <c r="I1094" s="1168">
        <f>IF(DAY($F1094)&gt;15, VLOOKUP(EOMONTH($F1094,-1),'WP 3.1 Rate Case Regress.'!$C$5:$D$556,2,FALSE), VLOOKUP(EOMONTH($F1094, -2), 'WP 3.1 Rate Case Regress.'!$C$5:$D$556, 2, FALSE))</f>
        <v>4.2699999999999996</v>
      </c>
    </row>
    <row r="1095" spans="2:9" x14ac:dyDescent="0.5">
      <c r="B1095" s="1162" t="s">
        <v>2744</v>
      </c>
      <c r="C1095" s="1163" t="s">
        <v>2770</v>
      </c>
      <c r="D1095" s="1163" t="s">
        <v>5070</v>
      </c>
      <c r="E1095" s="1164"/>
      <c r="F1095" s="1165">
        <v>43340</v>
      </c>
      <c r="G1095" s="1166" t="s">
        <v>4585</v>
      </c>
      <c r="H1095" s="1167">
        <v>10</v>
      </c>
      <c r="I1095" s="1168">
        <f>IF(DAY($F1095)&gt;15, VLOOKUP(EOMONTH($F1095,-1),'WP 3.1 Rate Case Regress.'!$C$5:$D$556,2,FALSE), VLOOKUP(EOMONTH($F1095, -2), 'WP 3.1 Rate Case Regress.'!$C$5:$D$556, 2, FALSE))</f>
        <v>4.2699999999999996</v>
      </c>
    </row>
    <row r="1096" spans="2:9" x14ac:dyDescent="0.5">
      <c r="B1096" s="1162" t="s">
        <v>2744</v>
      </c>
      <c r="C1096" s="1163" t="s">
        <v>2972</v>
      </c>
      <c r="D1096" s="1163" t="s">
        <v>3732</v>
      </c>
      <c r="E1096" s="1164"/>
      <c r="F1096" s="1165">
        <v>43356</v>
      </c>
      <c r="G1096" s="1166" t="s">
        <v>2695</v>
      </c>
      <c r="H1096" s="1167">
        <v>10</v>
      </c>
      <c r="I1096" s="1168">
        <f>IF(DAY($F1096)&gt;15, VLOOKUP(EOMONTH($F1096,-1),'WP 3.1 Rate Case Regress.'!$C$5:$D$556,2,FALSE), VLOOKUP(EOMONTH($F1096, -2), 'WP 3.1 Rate Case Regress.'!$C$5:$D$556, 2, FALSE))</f>
        <v>4.2699999999999996</v>
      </c>
    </row>
    <row r="1097" spans="2:9" ht="30" x14ac:dyDescent="0.5">
      <c r="B1097" s="1162" t="s">
        <v>2702</v>
      </c>
      <c r="C1097" s="1163" t="s">
        <v>2749</v>
      </c>
      <c r="D1097" s="1163" t="s">
        <v>5071</v>
      </c>
      <c r="E1097" s="1164"/>
      <c r="F1097" s="1165">
        <v>43357</v>
      </c>
      <c r="G1097" s="1166" t="s">
        <v>4585</v>
      </c>
      <c r="H1097" s="1167">
        <v>10</v>
      </c>
      <c r="I1097" s="1168">
        <f>IF(DAY($F1097)&gt;15, VLOOKUP(EOMONTH($F1097,-1),'WP 3.1 Rate Case Regress.'!$C$5:$D$556,2,FALSE), VLOOKUP(EOMONTH($F1097, -2), 'WP 3.1 Rate Case Regress.'!$C$5:$D$556, 2, FALSE))</f>
        <v>4.2699999999999996</v>
      </c>
    </row>
    <row r="1098" spans="2:9" x14ac:dyDescent="0.5">
      <c r="B1098" s="1162" t="s">
        <v>2739</v>
      </c>
      <c r="C1098" s="1163" t="s">
        <v>3070</v>
      </c>
      <c r="D1098" s="1163" t="s">
        <v>5072</v>
      </c>
      <c r="E1098" s="1164"/>
      <c r="F1098" s="1165">
        <v>43362</v>
      </c>
      <c r="G1098" s="1166" t="s">
        <v>4585</v>
      </c>
      <c r="H1098" s="1167">
        <v>9.85</v>
      </c>
      <c r="I1098" s="1168">
        <f>IF(DAY($F1098)&gt;15, VLOOKUP(EOMONTH($F1098,-1),'WP 3.1 Rate Case Regress.'!$C$5:$D$556,2,FALSE), VLOOKUP(EOMONTH($F1098, -2), 'WP 3.1 Rate Case Regress.'!$C$5:$D$556, 2, FALSE))</f>
        <v>4.26</v>
      </c>
    </row>
    <row r="1099" spans="2:9" ht="30" x14ac:dyDescent="0.5">
      <c r="B1099" s="1162" t="s">
        <v>2702</v>
      </c>
      <c r="C1099" s="1163" t="s">
        <v>4701</v>
      </c>
      <c r="D1099" s="1163" t="s">
        <v>5073</v>
      </c>
      <c r="E1099" s="1164"/>
      <c r="F1099" s="1165">
        <v>43363</v>
      </c>
      <c r="G1099" s="1166" t="s">
        <v>4585</v>
      </c>
      <c r="H1099" s="1167">
        <v>9.8000000000000007</v>
      </c>
      <c r="I1099" s="1168">
        <f>IF(DAY($F1099)&gt;15, VLOOKUP(EOMONTH($F1099,-1),'WP 3.1 Rate Case Regress.'!$C$5:$D$556,2,FALSE), VLOOKUP(EOMONTH($F1099, -2), 'WP 3.1 Rate Case Regress.'!$C$5:$D$556, 2, FALSE))</f>
        <v>4.26</v>
      </c>
    </row>
    <row r="1100" spans="2:9" x14ac:dyDescent="0.5">
      <c r="B1100" s="1162" t="s">
        <v>2757</v>
      </c>
      <c r="C1100" s="1163" t="s">
        <v>3012</v>
      </c>
      <c r="D1100" s="1163" t="s">
        <v>5074</v>
      </c>
      <c r="E1100" s="1164"/>
      <c r="F1100" s="1165">
        <v>43369</v>
      </c>
      <c r="G1100" s="1166" t="s">
        <v>4585</v>
      </c>
      <c r="H1100" s="1167">
        <v>10.199999999999999</v>
      </c>
      <c r="I1100" s="1168">
        <f>IF(DAY($F1100)&gt;15, VLOOKUP(EOMONTH($F1100,-1),'WP 3.1 Rate Case Regress.'!$C$5:$D$556,2,FALSE), VLOOKUP(EOMONTH($F1100, -2), 'WP 3.1 Rate Case Regress.'!$C$5:$D$556, 2, FALSE))</f>
        <v>4.26</v>
      </c>
    </row>
    <row r="1101" spans="2:9" x14ac:dyDescent="0.5">
      <c r="B1101" s="1162" t="s">
        <v>2762</v>
      </c>
      <c r="C1101" s="1163" t="s">
        <v>2746</v>
      </c>
      <c r="D1101" s="1163" t="s">
        <v>5075</v>
      </c>
      <c r="E1101" s="1164"/>
      <c r="F1101" s="1165">
        <v>43369</v>
      </c>
      <c r="G1101" s="1166" t="s">
        <v>4585</v>
      </c>
      <c r="H1101" s="1167">
        <v>9.4</v>
      </c>
      <c r="I1101" s="1168">
        <f>IF(DAY($F1101)&gt;15, VLOOKUP(EOMONTH($F1101,-1),'WP 3.1 Rate Case Regress.'!$C$5:$D$556,2,FALSE), VLOOKUP(EOMONTH($F1101, -2), 'WP 3.1 Rate Case Regress.'!$C$5:$D$556, 2, FALSE))</f>
        <v>4.26</v>
      </c>
    </row>
    <row r="1102" spans="2:9" ht="30" x14ac:dyDescent="0.5">
      <c r="B1102" s="1162" t="s">
        <v>2700</v>
      </c>
      <c r="C1102" s="1163" t="s">
        <v>3082</v>
      </c>
      <c r="D1102" s="1163" t="s">
        <v>3733</v>
      </c>
      <c r="E1102" s="1164"/>
      <c r="F1102" s="1165">
        <v>43371</v>
      </c>
      <c r="G1102" s="1166" t="s">
        <v>2695</v>
      </c>
      <c r="H1102" s="1167">
        <v>9.5</v>
      </c>
      <c r="I1102" s="1168">
        <f>IF(DAY($F1102)&gt;15, VLOOKUP(EOMONTH($F1102,-1),'WP 3.1 Rate Case Regress.'!$C$5:$D$556,2,FALSE), VLOOKUP(EOMONTH($F1102, -2), 'WP 3.1 Rate Case Regress.'!$C$5:$D$556, 2, FALSE))</f>
        <v>4.26</v>
      </c>
    </row>
    <row r="1103" spans="2:9" ht="30" x14ac:dyDescent="0.5">
      <c r="B1103" s="1162" t="s">
        <v>2700</v>
      </c>
      <c r="C1103" s="1163" t="s">
        <v>3097</v>
      </c>
      <c r="D1103" s="1163" t="s">
        <v>3734</v>
      </c>
      <c r="E1103" s="1164"/>
      <c r="F1103" s="1165">
        <v>43371</v>
      </c>
      <c r="G1103" s="1166" t="s">
        <v>2695</v>
      </c>
      <c r="H1103" s="1167">
        <v>9.5</v>
      </c>
      <c r="I1103" s="1168">
        <f>IF(DAY($F1103)&gt;15, VLOOKUP(EOMONTH($F1103,-1),'WP 3.1 Rate Case Regress.'!$C$5:$D$556,2,FALSE), VLOOKUP(EOMONTH($F1103, -2), 'WP 3.1 Rate Case Regress.'!$C$5:$D$556, 2, FALSE))</f>
        <v>4.26</v>
      </c>
    </row>
    <row r="1104" spans="2:9" x14ac:dyDescent="0.5">
      <c r="B1104" s="1162" t="s">
        <v>2751</v>
      </c>
      <c r="C1104" s="1163" t="s">
        <v>2993</v>
      </c>
      <c r="D1104" s="1163" t="s">
        <v>5076</v>
      </c>
      <c r="E1104" s="1164"/>
      <c r="F1104" s="1165">
        <v>43378</v>
      </c>
      <c r="G1104" s="1166" t="s">
        <v>4585</v>
      </c>
      <c r="H1104" s="1167">
        <v>9.61</v>
      </c>
      <c r="I1104" s="1168">
        <f>IF(DAY($F1104)&gt;15, VLOOKUP(EOMONTH($F1104,-1),'WP 3.1 Rate Case Regress.'!$C$5:$D$556,2,FALSE), VLOOKUP(EOMONTH($F1104, -2), 'WP 3.1 Rate Case Regress.'!$C$5:$D$556, 2, FALSE))</f>
        <v>4.26</v>
      </c>
    </row>
    <row r="1105" spans="2:9" x14ac:dyDescent="0.5">
      <c r="B1105" s="1162" t="s">
        <v>2768</v>
      </c>
      <c r="C1105" s="1163" t="s">
        <v>3106</v>
      </c>
      <c r="D1105" s="1163" t="s">
        <v>3735</v>
      </c>
      <c r="E1105" s="1164"/>
      <c r="F1105" s="1165">
        <v>43388</v>
      </c>
      <c r="G1105" s="1166" t="s">
        <v>2695</v>
      </c>
      <c r="H1105" s="1167">
        <v>9.8000000000000007</v>
      </c>
      <c r="I1105" s="1168">
        <f>IF(DAY($F1105)&gt;15, VLOOKUP(EOMONTH($F1105,-1),'WP 3.1 Rate Case Regress.'!$C$5:$D$556,2,FALSE), VLOOKUP(EOMONTH($F1105, -2), 'WP 3.1 Rate Case Regress.'!$C$5:$D$556, 2, FALSE))</f>
        <v>4.26</v>
      </c>
    </row>
    <row r="1106" spans="2:9" x14ac:dyDescent="0.5">
      <c r="B1106" s="1162" t="s">
        <v>2774</v>
      </c>
      <c r="C1106" s="1163" t="s">
        <v>3493</v>
      </c>
      <c r="D1106" s="1163" t="s">
        <v>5077</v>
      </c>
      <c r="E1106" s="1164"/>
      <c r="F1106" s="1165">
        <v>43399</v>
      </c>
      <c r="G1106" s="1166" t="s">
        <v>4585</v>
      </c>
      <c r="H1106" s="1167">
        <v>9.4</v>
      </c>
      <c r="I1106" s="1168">
        <f>IF(DAY($F1106)&gt;15, VLOOKUP(EOMONTH($F1106,-1),'WP 3.1 Rate Case Regress.'!$C$5:$D$556,2,FALSE), VLOOKUP(EOMONTH($F1106, -2), 'WP 3.1 Rate Case Regress.'!$C$5:$D$556, 2, FALSE))</f>
        <v>4.26</v>
      </c>
    </row>
    <row r="1107" spans="2:9" x14ac:dyDescent="0.5">
      <c r="B1107" s="1162" t="s">
        <v>2712</v>
      </c>
      <c r="C1107" s="1163" t="s">
        <v>2713</v>
      </c>
      <c r="D1107" s="1163" t="s">
        <v>5078</v>
      </c>
      <c r="E1107" s="1164"/>
      <c r="F1107" s="1165">
        <v>43402</v>
      </c>
      <c r="G1107" s="1166" t="s">
        <v>4585</v>
      </c>
      <c r="H1107" s="1167">
        <v>9.6</v>
      </c>
      <c r="I1107" s="1168">
        <f>IF(DAY($F1107)&gt;15, VLOOKUP(EOMONTH($F1107,-1),'WP 3.1 Rate Case Regress.'!$C$5:$D$556,2,FALSE), VLOOKUP(EOMONTH($F1107, -2), 'WP 3.1 Rate Case Regress.'!$C$5:$D$556, 2, FALSE))</f>
        <v>4.26</v>
      </c>
    </row>
    <row r="1108" spans="2:9" x14ac:dyDescent="0.5">
      <c r="B1108" s="1162" t="s">
        <v>2693</v>
      </c>
      <c r="C1108" s="1163" t="s">
        <v>2742</v>
      </c>
      <c r="D1108" s="1163" t="s">
        <v>5079</v>
      </c>
      <c r="E1108" s="1164"/>
      <c r="F1108" s="1165">
        <v>43405</v>
      </c>
      <c r="G1108" s="1166" t="s">
        <v>4585</v>
      </c>
      <c r="H1108" s="1167">
        <v>9.8699999999999992</v>
      </c>
      <c r="I1108" s="1168">
        <f>IF(DAY($F1108)&gt;15, VLOOKUP(EOMONTH($F1108,-1),'WP 3.1 Rate Case Regress.'!$C$5:$D$556,2,FALSE), VLOOKUP(EOMONTH($F1108, -2), 'WP 3.1 Rate Case Regress.'!$C$5:$D$556, 2, FALSE))</f>
        <v>4.26</v>
      </c>
    </row>
    <row r="1109" spans="2:9" x14ac:dyDescent="0.5">
      <c r="B1109" s="1162" t="s">
        <v>2758</v>
      </c>
      <c r="C1109" s="1163" t="s">
        <v>2759</v>
      </c>
      <c r="D1109" s="1163" t="s">
        <v>5080</v>
      </c>
      <c r="E1109" s="1164"/>
      <c r="F1109" s="1165">
        <v>43412</v>
      </c>
      <c r="G1109" s="1166" t="s">
        <v>4585</v>
      </c>
      <c r="H1109" s="1167">
        <v>9.6999999999999993</v>
      </c>
      <c r="I1109" s="1168">
        <f>IF(DAY($F1109)&gt;15, VLOOKUP(EOMONTH($F1109,-1),'WP 3.1 Rate Case Regress.'!$C$5:$D$556,2,FALSE), VLOOKUP(EOMONTH($F1109, -2), 'WP 3.1 Rate Case Regress.'!$C$5:$D$556, 2, FALSE))</f>
        <v>4.26</v>
      </c>
    </row>
    <row r="1110" spans="2:9" x14ac:dyDescent="0.5">
      <c r="B1110" s="1162" t="s">
        <v>2754</v>
      </c>
      <c r="C1110" s="1163" t="s">
        <v>3123</v>
      </c>
      <c r="D1110" s="1163" t="s">
        <v>3736</v>
      </c>
      <c r="E1110" s="1164"/>
      <c r="F1110" s="1165">
        <v>43412</v>
      </c>
      <c r="G1110" s="1166" t="s">
        <v>2695</v>
      </c>
      <c r="H1110" s="1167">
        <v>9.6999999999999993</v>
      </c>
      <c r="I1110" s="1168">
        <f>IF(DAY($F1110)&gt;15, VLOOKUP(EOMONTH($F1110,-1),'WP 3.1 Rate Case Regress.'!$C$5:$D$556,2,FALSE), VLOOKUP(EOMONTH($F1110, -2), 'WP 3.1 Rate Case Regress.'!$C$5:$D$556, 2, FALSE))</f>
        <v>4.26</v>
      </c>
    </row>
    <row r="1111" spans="2:9" x14ac:dyDescent="0.5">
      <c r="B1111" s="1162" t="s">
        <v>2698</v>
      </c>
      <c r="C1111" s="1163" t="s">
        <v>2895</v>
      </c>
      <c r="D1111" s="1163" t="s">
        <v>3737</v>
      </c>
      <c r="E1111" s="1164"/>
      <c r="F1111" s="1165">
        <v>43445</v>
      </c>
      <c r="G1111" s="1166" t="s">
        <v>2695</v>
      </c>
      <c r="H1111" s="1167">
        <v>9.6999999999999993</v>
      </c>
      <c r="I1111" s="1168">
        <f>IF(DAY($F1111)&gt;15, VLOOKUP(EOMONTH($F1111,-1),'WP 3.1 Rate Case Regress.'!$C$5:$D$556,2,FALSE), VLOOKUP(EOMONTH($F1111, -2), 'WP 3.1 Rate Case Regress.'!$C$5:$D$556, 2, FALSE))</f>
        <v>4.45</v>
      </c>
    </row>
    <row r="1112" spans="2:9" x14ac:dyDescent="0.5">
      <c r="B1112" s="1162" t="s">
        <v>2723</v>
      </c>
      <c r="C1112" s="1163" t="s">
        <v>3389</v>
      </c>
      <c r="D1112" s="1163" t="s">
        <v>5081</v>
      </c>
      <c r="E1112" s="1164"/>
      <c r="F1112" s="1165">
        <v>43446</v>
      </c>
      <c r="G1112" s="1166" t="s">
        <v>4585</v>
      </c>
      <c r="H1112" s="1167">
        <v>9.3000000000000007</v>
      </c>
      <c r="I1112" s="1168">
        <f>IF(DAY($F1112)&gt;15, VLOOKUP(EOMONTH($F1112,-1),'WP 3.1 Rate Case Regress.'!$C$5:$D$556,2,FALSE), VLOOKUP(EOMONTH($F1112, -2), 'WP 3.1 Rate Case Regress.'!$C$5:$D$556, 2, FALSE))</f>
        <v>4.45</v>
      </c>
    </row>
    <row r="1113" spans="2:9" x14ac:dyDescent="0.5">
      <c r="B1113" s="1162" t="s">
        <v>2708</v>
      </c>
      <c r="C1113" s="1163" t="s">
        <v>2747</v>
      </c>
      <c r="D1113" s="1163" t="s">
        <v>5082</v>
      </c>
      <c r="E1113" s="1164"/>
      <c r="F1113" s="1165">
        <v>43447</v>
      </c>
      <c r="G1113" s="1166" t="s">
        <v>4585</v>
      </c>
      <c r="H1113" s="1167">
        <v>9.6</v>
      </c>
      <c r="I1113" s="1168">
        <f>IF(DAY($F1113)&gt;15, VLOOKUP(EOMONTH($F1113,-1),'WP 3.1 Rate Case Regress.'!$C$5:$D$556,2,FALSE), VLOOKUP(EOMONTH($F1113, -2), 'WP 3.1 Rate Case Regress.'!$C$5:$D$556, 2, FALSE))</f>
        <v>4.45</v>
      </c>
    </row>
    <row r="1114" spans="2:9" x14ac:dyDescent="0.5">
      <c r="B1114" s="1162" t="s">
        <v>2723</v>
      </c>
      <c r="C1114" s="1163" t="s">
        <v>2921</v>
      </c>
      <c r="D1114" s="1163" t="s">
        <v>5083</v>
      </c>
      <c r="E1114" s="1164"/>
      <c r="F1114" s="1165">
        <v>43453</v>
      </c>
      <c r="G1114" s="1166" t="s">
        <v>4585</v>
      </c>
      <c r="H1114" s="1167">
        <v>9.3000000000000007</v>
      </c>
      <c r="I1114" s="1168">
        <f>IF(DAY($F1114)&gt;15, VLOOKUP(EOMONTH($F1114,-1),'WP 3.1 Rate Case Regress.'!$C$5:$D$556,2,FALSE), VLOOKUP(EOMONTH($F1114, -2), 'WP 3.1 Rate Case Regress.'!$C$5:$D$556, 2, FALSE))</f>
        <v>4.5199999999999996</v>
      </c>
    </row>
    <row r="1115" spans="2:9" x14ac:dyDescent="0.5">
      <c r="B1115" s="1162" t="s">
        <v>2715</v>
      </c>
      <c r="C1115" s="1163" t="s">
        <v>2716</v>
      </c>
      <c r="D1115" s="1163" t="s">
        <v>3738</v>
      </c>
      <c r="E1115" s="1164"/>
      <c r="F1115" s="1165">
        <v>43455</v>
      </c>
      <c r="G1115" s="1166" t="s">
        <v>2695</v>
      </c>
      <c r="H1115" s="1167">
        <v>9.35</v>
      </c>
      <c r="I1115" s="1168">
        <f>IF(DAY($F1115)&gt;15, VLOOKUP(EOMONTH($F1115,-1),'WP 3.1 Rate Case Regress.'!$C$5:$D$556,2,FALSE), VLOOKUP(EOMONTH($F1115, -2), 'WP 3.1 Rate Case Regress.'!$C$5:$D$556, 2, FALSE))</f>
        <v>4.5199999999999996</v>
      </c>
    </row>
    <row r="1116" spans="2:9" ht="30" x14ac:dyDescent="0.5">
      <c r="B1116" s="1162" t="s">
        <v>2731</v>
      </c>
      <c r="C1116" s="1163" t="s">
        <v>2939</v>
      </c>
      <c r="D1116" s="1163" t="s">
        <v>3739</v>
      </c>
      <c r="E1116" s="1164"/>
      <c r="F1116" s="1165">
        <v>43458</v>
      </c>
      <c r="G1116" s="1166" t="s">
        <v>2695</v>
      </c>
      <c r="H1116" s="1167">
        <v>9.25</v>
      </c>
      <c r="I1116" s="1168">
        <f>IF(DAY($F1116)&gt;15, VLOOKUP(EOMONTH($F1116,-1),'WP 3.1 Rate Case Regress.'!$C$5:$D$556,2,FALSE), VLOOKUP(EOMONTH($F1116, -2), 'WP 3.1 Rate Case Regress.'!$C$5:$D$556, 2, FALSE))</f>
        <v>4.5199999999999996</v>
      </c>
    </row>
    <row r="1117" spans="2:9" ht="30" x14ac:dyDescent="0.5">
      <c r="B1117" s="1162" t="s">
        <v>2731</v>
      </c>
      <c r="C1117" s="1163" t="s">
        <v>2939</v>
      </c>
      <c r="D1117" s="1163" t="s">
        <v>3740</v>
      </c>
      <c r="E1117" s="1164"/>
      <c r="F1117" s="1165">
        <v>43458</v>
      </c>
      <c r="G1117" s="1166" t="s">
        <v>2695</v>
      </c>
      <c r="H1117" s="1167">
        <v>9.25</v>
      </c>
      <c r="I1117" s="1168">
        <f>IF(DAY($F1117)&gt;15, VLOOKUP(EOMONTH($F1117,-1),'WP 3.1 Rate Case Regress.'!$C$5:$D$556,2,FALSE), VLOOKUP(EOMONTH($F1117, -2), 'WP 3.1 Rate Case Regress.'!$C$5:$D$556, 2, FALSE))</f>
        <v>4.5199999999999996</v>
      </c>
    </row>
    <row r="1118" spans="2:9" x14ac:dyDescent="0.5">
      <c r="B1118" s="1162" t="s">
        <v>2698</v>
      </c>
      <c r="C1118" s="1163" t="s">
        <v>2722</v>
      </c>
      <c r="D1118" s="1163" t="s">
        <v>3741</v>
      </c>
      <c r="E1118" s="1164"/>
      <c r="F1118" s="1165">
        <v>43469</v>
      </c>
      <c r="G1118" s="1166" t="s">
        <v>2695</v>
      </c>
      <c r="H1118" s="1167">
        <v>9.8000000000000007</v>
      </c>
      <c r="I1118" s="1168">
        <f>IF(DAY($F1118)&gt;15, VLOOKUP(EOMONTH($F1118,-1),'WP 3.1 Rate Case Regress.'!$C$5:$D$556,2,FALSE), VLOOKUP(EOMONTH($F1118, -2), 'WP 3.1 Rate Case Regress.'!$C$5:$D$556, 2, FALSE))</f>
        <v>4.5199999999999996</v>
      </c>
    </row>
    <row r="1119" spans="2:9" x14ac:dyDescent="0.5">
      <c r="B1119" s="1162" t="s">
        <v>2700</v>
      </c>
      <c r="C1119" s="1163" t="s">
        <v>4694</v>
      </c>
      <c r="D1119" s="1163" t="s">
        <v>5084</v>
      </c>
      <c r="E1119" s="1164"/>
      <c r="F1119" s="1165">
        <v>43483</v>
      </c>
      <c r="G1119" s="1166" t="s">
        <v>4585</v>
      </c>
      <c r="H1119" s="1167">
        <v>9.6999999999999993</v>
      </c>
      <c r="I1119" s="1168">
        <f>IF(DAY($F1119)&gt;15, VLOOKUP(EOMONTH($F1119,-1),'WP 3.1 Rate Case Regress.'!$C$5:$D$556,2,FALSE), VLOOKUP(EOMONTH($F1119, -2), 'WP 3.1 Rate Case Regress.'!$C$5:$D$556, 2, FALSE))</f>
        <v>4.37</v>
      </c>
    </row>
    <row r="1120" spans="2:9" x14ac:dyDescent="0.5">
      <c r="B1120" s="1162" t="s">
        <v>2704</v>
      </c>
      <c r="C1120" s="1163" t="s">
        <v>2707</v>
      </c>
      <c r="D1120" s="1163" t="s">
        <v>5085</v>
      </c>
      <c r="E1120" s="1164"/>
      <c r="F1120" s="1165">
        <v>43538</v>
      </c>
      <c r="G1120" s="1166" t="s">
        <v>4585</v>
      </c>
      <c r="H1120" s="1167">
        <v>9</v>
      </c>
      <c r="I1120" s="1168">
        <f>IF(DAY($F1120)&gt;15, VLOOKUP(EOMONTH($F1120,-1),'WP 3.1 Rate Case Regress.'!$C$5:$D$556,2,FALSE), VLOOKUP(EOMONTH($F1120, -2), 'WP 3.1 Rate Case Regress.'!$C$5:$D$556, 2, FALSE))</f>
        <v>4.3499999999999996</v>
      </c>
    </row>
    <row r="1121" spans="2:9" x14ac:dyDescent="0.5">
      <c r="B1121" s="1162" t="s">
        <v>2728</v>
      </c>
      <c r="C1121" s="1163" t="s">
        <v>2771</v>
      </c>
      <c r="D1121" s="1163" t="s">
        <v>5086</v>
      </c>
      <c r="E1121" s="1164"/>
      <c r="F1121" s="1165">
        <v>43551</v>
      </c>
      <c r="G1121" s="1166" t="s">
        <v>4585</v>
      </c>
      <c r="H1121" s="1167">
        <v>9.6999999999999993</v>
      </c>
      <c r="I1121" s="1168">
        <f>IF(DAY($F1121)&gt;15, VLOOKUP(EOMONTH($F1121,-1),'WP 3.1 Rate Case Regress.'!$C$5:$D$556,2,FALSE), VLOOKUP(EOMONTH($F1121, -2), 'WP 3.1 Rate Case Regress.'!$C$5:$D$556, 2, FALSE))</f>
        <v>4.25</v>
      </c>
    </row>
    <row r="1122" spans="2:9" x14ac:dyDescent="0.5">
      <c r="B1122" s="1162" t="s">
        <v>2728</v>
      </c>
      <c r="C1122" s="1163" t="s">
        <v>2729</v>
      </c>
      <c r="D1122" s="1163" t="s">
        <v>5087</v>
      </c>
      <c r="E1122" s="1164"/>
      <c r="F1122" s="1165">
        <v>43585</v>
      </c>
      <c r="G1122" s="1166" t="s">
        <v>4585</v>
      </c>
      <c r="H1122" s="1167">
        <v>9.73</v>
      </c>
      <c r="I1122" s="1168">
        <f>IF(DAY($F1122)&gt;15, VLOOKUP(EOMONTH($F1122,-1),'WP 3.1 Rate Case Regress.'!$C$5:$D$556,2,FALSE), VLOOKUP(EOMONTH($F1122, -2), 'WP 3.1 Rate Case Regress.'!$C$5:$D$556, 2, FALSE))</f>
        <v>4.16</v>
      </c>
    </row>
    <row r="1123" spans="2:9" x14ac:dyDescent="0.5">
      <c r="B1123" s="1162" t="s">
        <v>2728</v>
      </c>
      <c r="C1123" s="1163" t="s">
        <v>2944</v>
      </c>
      <c r="D1123" s="1163" t="s">
        <v>3742</v>
      </c>
      <c r="E1123" s="1164"/>
      <c r="F1123" s="1165">
        <v>43592</v>
      </c>
      <c r="G1123" s="1166" t="s">
        <v>2695</v>
      </c>
      <c r="H1123" s="1167">
        <v>9.65</v>
      </c>
      <c r="I1123" s="1168">
        <f>IF(DAY($F1123)&gt;15, VLOOKUP(EOMONTH($F1123,-1),'WP 3.1 Rate Case Regress.'!$C$5:$D$556,2,FALSE), VLOOKUP(EOMONTH($F1123, -2), 'WP 3.1 Rate Case Regress.'!$C$5:$D$556, 2, FALSE))</f>
        <v>4.16</v>
      </c>
    </row>
    <row r="1124" spans="2:9" ht="30" x14ac:dyDescent="0.5">
      <c r="B1124" s="1162" t="s">
        <v>2775</v>
      </c>
      <c r="C1124" s="1163" t="s">
        <v>2944</v>
      </c>
      <c r="D1124" s="1163" t="s">
        <v>5088</v>
      </c>
      <c r="E1124" s="1164"/>
      <c r="F1124" s="1165">
        <v>43606</v>
      </c>
      <c r="G1124" s="1166" t="s">
        <v>4585</v>
      </c>
      <c r="H1124" s="1167">
        <v>9.8000000000000007</v>
      </c>
      <c r="I1124" s="1168">
        <f>IF(DAY($F1124)&gt;15, VLOOKUP(EOMONTH($F1124,-1),'WP 3.1 Rate Case Regress.'!$C$5:$D$556,2,FALSE), VLOOKUP(EOMONTH($F1124, -2), 'WP 3.1 Rate Case Regress.'!$C$5:$D$556, 2, FALSE))</f>
        <v>4.08</v>
      </c>
    </row>
    <row r="1125" spans="2:9" ht="30" x14ac:dyDescent="0.5">
      <c r="B1125" s="1162" t="s">
        <v>2702</v>
      </c>
      <c r="C1125" s="1163" t="s">
        <v>2755</v>
      </c>
      <c r="D1125" s="1163" t="s">
        <v>5089</v>
      </c>
      <c r="E1125" s="1164"/>
      <c r="F1125" s="1165">
        <v>43712</v>
      </c>
      <c r="G1125" s="1166" t="s">
        <v>4585</v>
      </c>
      <c r="H1125" s="1167">
        <v>10</v>
      </c>
      <c r="I1125" s="1168">
        <f>IF(DAY($F1125)&gt;15, VLOOKUP(EOMONTH($F1125,-1),'WP 3.1 Rate Case Regress.'!$C$5:$D$556,2,FALSE), VLOOKUP(EOMONTH($F1125, -2), 'WP 3.1 Rate Case Regress.'!$C$5:$D$556, 2, FALSE))</f>
        <v>3.69</v>
      </c>
    </row>
    <row r="1126" spans="2:9" x14ac:dyDescent="0.5">
      <c r="B1126" s="1162" t="s">
        <v>2744</v>
      </c>
      <c r="C1126" s="1163" t="s">
        <v>2770</v>
      </c>
      <c r="D1126" s="1163" t="s">
        <v>3743</v>
      </c>
      <c r="E1126" s="1164"/>
      <c r="F1126" s="1165">
        <v>43734</v>
      </c>
      <c r="G1126" s="1166" t="s">
        <v>2695</v>
      </c>
      <c r="H1126" s="1167">
        <v>9.9</v>
      </c>
      <c r="I1126" s="1168">
        <f>IF(DAY($F1126)&gt;15, VLOOKUP(EOMONTH($F1126,-1),'WP 3.1 Rate Case Regress.'!$C$5:$D$556,2,FALSE), VLOOKUP(EOMONTH($F1126, -2), 'WP 3.1 Rate Case Regress.'!$C$5:$D$556, 2, FALSE))</f>
        <v>3.29</v>
      </c>
    </row>
    <row r="1127" spans="2:9" x14ac:dyDescent="0.5">
      <c r="B1127" s="1162" t="s">
        <v>2757</v>
      </c>
      <c r="C1127" s="1163" t="s">
        <v>3012</v>
      </c>
      <c r="D1127" s="1163" t="s">
        <v>5090</v>
      </c>
      <c r="E1127" s="1164"/>
      <c r="F1127" s="1165">
        <v>43740</v>
      </c>
      <c r="G1127" s="1166" t="s">
        <v>4585</v>
      </c>
      <c r="H1127" s="1167">
        <v>9.9</v>
      </c>
      <c r="I1127" s="1168">
        <f>IF(DAY($F1127)&gt;15, VLOOKUP(EOMONTH($F1127,-1),'WP 3.1 Rate Case Regress.'!$C$5:$D$556,2,FALSE), VLOOKUP(EOMONTH($F1127, -2), 'WP 3.1 Rate Case Regress.'!$C$5:$D$556, 2, FALSE))</f>
        <v>3.29</v>
      </c>
    </row>
    <row r="1128" spans="2:9" x14ac:dyDescent="0.5">
      <c r="B1128" s="1162" t="s">
        <v>2693</v>
      </c>
      <c r="C1128" s="1163" t="s">
        <v>2629</v>
      </c>
      <c r="D1128" s="1163" t="s">
        <v>3744</v>
      </c>
      <c r="E1128" s="1164"/>
      <c r="F1128" s="1165">
        <v>43740</v>
      </c>
      <c r="G1128" s="1166" t="s">
        <v>2695</v>
      </c>
      <c r="H1128" s="1167">
        <v>9.73</v>
      </c>
      <c r="I1128" s="1168">
        <f>IF(DAY($F1128)&gt;15, VLOOKUP(EOMONTH($F1128,-1),'WP 3.1 Rate Case Regress.'!$C$5:$D$556,2,FALSE), VLOOKUP(EOMONTH($F1128, -2), 'WP 3.1 Rate Case Regress.'!$C$5:$D$556, 2, FALSE))</f>
        <v>3.29</v>
      </c>
    </row>
    <row r="1129" spans="2:9" x14ac:dyDescent="0.5">
      <c r="B1129" s="1162" t="s">
        <v>2774</v>
      </c>
      <c r="C1129" s="1163" t="s">
        <v>2727</v>
      </c>
      <c r="D1129" s="1163" t="s">
        <v>5091</v>
      </c>
      <c r="E1129" s="1164"/>
      <c r="F1129" s="1165">
        <v>43746</v>
      </c>
      <c r="G1129" s="1166" t="s">
        <v>4585</v>
      </c>
      <c r="H1129" s="1167">
        <v>9.4</v>
      </c>
      <c r="I1129" s="1168">
        <f>IF(DAY($F1129)&gt;15, VLOOKUP(EOMONTH($F1129,-1),'WP 3.1 Rate Case Regress.'!$C$5:$D$556,2,FALSE), VLOOKUP(EOMONTH($F1129, -2), 'WP 3.1 Rate Case Regress.'!$C$5:$D$556, 2, FALSE))</f>
        <v>3.29</v>
      </c>
    </row>
    <row r="1130" spans="2:9" x14ac:dyDescent="0.5">
      <c r="B1130" s="1162" t="s">
        <v>2698</v>
      </c>
      <c r="C1130" s="1163" t="s">
        <v>2895</v>
      </c>
      <c r="D1130" s="1163" t="s">
        <v>5092</v>
      </c>
      <c r="E1130" s="1164"/>
      <c r="F1130" s="1165">
        <v>43753</v>
      </c>
      <c r="G1130" s="1166" t="s">
        <v>4585</v>
      </c>
      <c r="H1130" s="1167">
        <v>9.6999999999999993</v>
      </c>
      <c r="I1130" s="1168">
        <f>IF(DAY($F1130)&gt;15, VLOOKUP(EOMONTH($F1130,-1),'WP 3.1 Rate Case Regress.'!$C$5:$D$556,2,FALSE), VLOOKUP(EOMONTH($F1130, -2), 'WP 3.1 Rate Case Regress.'!$C$5:$D$556, 2, FALSE))</f>
        <v>3.29</v>
      </c>
    </row>
    <row r="1131" spans="2:9" x14ac:dyDescent="0.5">
      <c r="B1131" s="1162" t="s">
        <v>2736</v>
      </c>
      <c r="C1131" s="1163" t="s">
        <v>3493</v>
      </c>
      <c r="D1131" s="1163" t="s">
        <v>5093</v>
      </c>
      <c r="E1131" s="1164"/>
      <c r="F1131" s="1165">
        <v>43759</v>
      </c>
      <c r="G1131" s="1166" t="s">
        <v>4585</v>
      </c>
      <c r="H1131" s="1167">
        <v>9.4</v>
      </c>
      <c r="I1131" s="1168">
        <f>IF(DAY($F1131)&gt;15, VLOOKUP(EOMONTH($F1131,-1),'WP 3.1 Rate Case Regress.'!$C$5:$D$556,2,FALSE), VLOOKUP(EOMONTH($F1131, -2), 'WP 3.1 Rate Case Regress.'!$C$5:$D$556, 2, FALSE))</f>
        <v>3.37</v>
      </c>
    </row>
    <row r="1132" spans="2:9" x14ac:dyDescent="0.5">
      <c r="B1132" s="1162" t="s">
        <v>2702</v>
      </c>
      <c r="C1132" s="1163" t="s">
        <v>2903</v>
      </c>
      <c r="D1132" s="1163" t="s">
        <v>5094</v>
      </c>
      <c r="E1132" s="1164"/>
      <c r="F1132" s="1165">
        <v>43769</v>
      </c>
      <c r="G1132" s="1166" t="s">
        <v>4585</v>
      </c>
      <c r="H1132" s="1167">
        <v>10.199999999999999</v>
      </c>
      <c r="I1132" s="1168">
        <f>IF(DAY($F1132)&gt;15, VLOOKUP(EOMONTH($F1132,-1),'WP 3.1 Rate Case Regress.'!$C$5:$D$556,2,FALSE), VLOOKUP(EOMONTH($F1132, -2), 'WP 3.1 Rate Case Regress.'!$C$5:$D$556, 2, FALSE))</f>
        <v>3.37</v>
      </c>
    </row>
    <row r="1133" spans="2:9" ht="30" x14ac:dyDescent="0.5">
      <c r="B1133" s="1162" t="s">
        <v>2702</v>
      </c>
      <c r="C1133" s="1163" t="s">
        <v>2773</v>
      </c>
      <c r="D1133" s="1163" t="s">
        <v>5095</v>
      </c>
      <c r="E1133" s="1164"/>
      <c r="F1133" s="1165">
        <v>43769</v>
      </c>
      <c r="G1133" s="1166" t="s">
        <v>4585</v>
      </c>
      <c r="H1133" s="1167">
        <v>10</v>
      </c>
      <c r="I1133" s="1168">
        <f>IF(DAY($F1133)&gt;15, VLOOKUP(EOMONTH($F1133,-1),'WP 3.1 Rate Case Regress.'!$C$5:$D$556,2,FALSE), VLOOKUP(EOMONTH($F1133, -2), 'WP 3.1 Rate Case Regress.'!$C$5:$D$556, 2, FALSE))</f>
        <v>3.37</v>
      </c>
    </row>
    <row r="1134" spans="2:9" ht="30" x14ac:dyDescent="0.5">
      <c r="B1134" s="1162" t="s">
        <v>2702</v>
      </c>
      <c r="C1134" s="1163" t="s">
        <v>2748</v>
      </c>
      <c r="D1134" s="1163" t="s">
        <v>5096</v>
      </c>
      <c r="E1134" s="1164"/>
      <c r="F1134" s="1165">
        <v>43769</v>
      </c>
      <c r="G1134" s="1166" t="s">
        <v>4585</v>
      </c>
      <c r="H1134" s="1167">
        <v>10</v>
      </c>
      <c r="I1134" s="1168">
        <f>IF(DAY($F1134)&gt;15, VLOOKUP(EOMONTH($F1134,-1),'WP 3.1 Rate Case Regress.'!$C$5:$D$556,2,FALSE), VLOOKUP(EOMONTH($F1134, -2), 'WP 3.1 Rate Case Regress.'!$C$5:$D$556, 2, FALSE))</f>
        <v>3.37</v>
      </c>
    </row>
    <row r="1135" spans="2:9" x14ac:dyDescent="0.5">
      <c r="B1135" s="1162" t="s">
        <v>2743</v>
      </c>
      <c r="C1135" s="1163" t="s">
        <v>3012</v>
      </c>
      <c r="D1135" s="1163" t="s">
        <v>5097</v>
      </c>
      <c r="E1135" s="1164"/>
      <c r="F1135" s="1165">
        <v>43769</v>
      </c>
      <c r="G1135" s="1166" t="s">
        <v>4585</v>
      </c>
      <c r="H1135" s="1167">
        <v>9.6999999999999993</v>
      </c>
      <c r="I1135" s="1168">
        <f>IF(DAY($F1135)&gt;15, VLOOKUP(EOMONTH($F1135,-1),'WP 3.1 Rate Case Regress.'!$C$5:$D$556,2,FALSE), VLOOKUP(EOMONTH($F1135, -2), 'WP 3.1 Rate Case Regress.'!$C$5:$D$556, 2, FALSE))</f>
        <v>3.37</v>
      </c>
    </row>
    <row r="1136" spans="2:9" x14ac:dyDescent="0.5">
      <c r="B1136" s="1162" t="s">
        <v>2732</v>
      </c>
      <c r="C1136" s="1163" t="s">
        <v>2745</v>
      </c>
      <c r="D1136" s="1163" t="s">
        <v>3745</v>
      </c>
      <c r="E1136" s="1164"/>
      <c r="F1136" s="1165">
        <v>43776</v>
      </c>
      <c r="G1136" s="1166" t="s">
        <v>2695</v>
      </c>
      <c r="H1136" s="1167">
        <v>9.35</v>
      </c>
      <c r="I1136" s="1168">
        <f>IF(DAY($F1136)&gt;15, VLOOKUP(EOMONTH($F1136,-1),'WP 3.1 Rate Case Regress.'!$C$5:$D$556,2,FALSE), VLOOKUP(EOMONTH($F1136, -2), 'WP 3.1 Rate Case Regress.'!$C$5:$D$556, 2, FALSE))</f>
        <v>3.37</v>
      </c>
    </row>
    <row r="1137" spans="2:9" x14ac:dyDescent="0.5">
      <c r="B1137" s="1162" t="s">
        <v>2712</v>
      </c>
      <c r="C1137" s="1163" t="s">
        <v>3333</v>
      </c>
      <c r="D1137" s="1163" t="s">
        <v>5098</v>
      </c>
      <c r="E1137" s="1164"/>
      <c r="F1137" s="1165">
        <v>43782</v>
      </c>
      <c r="G1137" s="1166" t="s">
        <v>4585</v>
      </c>
      <c r="H1137" s="1167">
        <v>9.6</v>
      </c>
      <c r="I1137" s="1168">
        <f>IF(DAY($F1137)&gt;15, VLOOKUP(EOMONTH($F1137,-1),'WP 3.1 Rate Case Regress.'!$C$5:$D$556,2,FALSE), VLOOKUP(EOMONTH($F1137, -2), 'WP 3.1 Rate Case Regress.'!$C$5:$D$556, 2, FALSE))</f>
        <v>3.37</v>
      </c>
    </row>
    <row r="1138" spans="2:9" x14ac:dyDescent="0.5">
      <c r="B1138" s="1162" t="s">
        <v>2712</v>
      </c>
      <c r="C1138" s="1163" t="s">
        <v>3255</v>
      </c>
      <c r="D1138" s="1163" t="s">
        <v>5099</v>
      </c>
      <c r="E1138" s="1164"/>
      <c r="F1138" s="1165">
        <v>43782</v>
      </c>
      <c r="G1138" s="1166" t="s">
        <v>4585</v>
      </c>
      <c r="H1138" s="1167">
        <v>9.6</v>
      </c>
      <c r="I1138" s="1168">
        <f>IF(DAY($F1138)&gt;15, VLOOKUP(EOMONTH($F1138,-1),'WP 3.1 Rate Case Regress.'!$C$5:$D$556,2,FALSE), VLOOKUP(EOMONTH($F1138, -2), 'WP 3.1 Rate Case Regress.'!$C$5:$D$556, 2, FALSE))</f>
        <v>3.37</v>
      </c>
    </row>
    <row r="1139" spans="2:9" x14ac:dyDescent="0.5">
      <c r="B1139" s="1162" t="s">
        <v>2744</v>
      </c>
      <c r="C1139" s="1163" t="s">
        <v>3342</v>
      </c>
      <c r="D1139" s="1163" t="s">
        <v>5100</v>
      </c>
      <c r="E1139" s="1164"/>
      <c r="F1139" s="1165">
        <v>43805</v>
      </c>
      <c r="G1139" s="1166" t="s">
        <v>4585</v>
      </c>
      <c r="H1139" s="1167">
        <v>9.8699999999999992</v>
      </c>
      <c r="I1139" s="1168">
        <f>IF(DAY($F1139)&gt;15, VLOOKUP(EOMONTH($F1139,-1),'WP 3.1 Rate Case Regress.'!$C$5:$D$556,2,FALSE), VLOOKUP(EOMONTH($F1139, -2), 'WP 3.1 Rate Case Regress.'!$C$5:$D$556, 2, FALSE))</f>
        <v>3.39</v>
      </c>
    </row>
    <row r="1140" spans="2:9" x14ac:dyDescent="0.5">
      <c r="B1140" s="1162" t="s">
        <v>2777</v>
      </c>
      <c r="C1140" s="1163" t="s">
        <v>4649</v>
      </c>
      <c r="D1140" s="1163" t="s">
        <v>5101</v>
      </c>
      <c r="E1140" s="1164"/>
      <c r="F1140" s="1165">
        <v>43810</v>
      </c>
      <c r="G1140" s="1166" t="s">
        <v>4585</v>
      </c>
      <c r="H1140" s="1167">
        <v>9.4</v>
      </c>
      <c r="I1140" s="1168">
        <f>IF(DAY($F1140)&gt;15, VLOOKUP(EOMONTH($F1140,-1),'WP 3.1 Rate Case Regress.'!$C$5:$D$556,2,FALSE), VLOOKUP(EOMONTH($F1140, -2), 'WP 3.1 Rate Case Regress.'!$C$5:$D$556, 2, FALSE))</f>
        <v>3.39</v>
      </c>
    </row>
    <row r="1141" spans="2:9" x14ac:dyDescent="0.5">
      <c r="B1141" s="1162" t="s">
        <v>2698</v>
      </c>
      <c r="C1141" s="1163" t="s">
        <v>2722</v>
      </c>
      <c r="D1141" s="1163" t="s">
        <v>5102</v>
      </c>
      <c r="E1141" s="1164"/>
      <c r="F1141" s="1165">
        <v>43816</v>
      </c>
      <c r="G1141" s="1166" t="s">
        <v>4585</v>
      </c>
      <c r="H1141" s="1167">
        <v>9.75</v>
      </c>
      <c r="I1141" s="1168">
        <f>IF(DAY($F1141)&gt;15, VLOOKUP(EOMONTH($F1141,-1),'WP 3.1 Rate Case Regress.'!$C$5:$D$556,2,FALSE), VLOOKUP(EOMONTH($F1141, -2), 'WP 3.1 Rate Case Regress.'!$C$5:$D$556, 2, FALSE))</f>
        <v>3.42</v>
      </c>
    </row>
    <row r="1142" spans="2:9" x14ac:dyDescent="0.5">
      <c r="B1142" s="1162" t="s">
        <v>2708</v>
      </c>
      <c r="C1142" s="1163" t="s">
        <v>2747</v>
      </c>
      <c r="D1142" s="1163" t="s">
        <v>5103</v>
      </c>
      <c r="E1142" s="1164"/>
      <c r="F1142" s="1165">
        <v>43817</v>
      </c>
      <c r="G1142" s="1166" t="s">
        <v>4585</v>
      </c>
      <c r="H1142" s="1167">
        <v>9.6</v>
      </c>
      <c r="I1142" s="1168">
        <f>IF(DAY($F1142)&gt;15, VLOOKUP(EOMONTH($F1142,-1),'WP 3.1 Rate Case Regress.'!$C$5:$D$556,2,FALSE), VLOOKUP(EOMONTH($F1142, -2), 'WP 3.1 Rate Case Regress.'!$C$5:$D$556, 2, FALSE))</f>
        <v>3.42</v>
      </c>
    </row>
    <row r="1143" spans="2:9" x14ac:dyDescent="0.5">
      <c r="B1143" s="1162" t="s">
        <v>2698</v>
      </c>
      <c r="C1143" s="1163" t="s">
        <v>3678</v>
      </c>
      <c r="D1143" s="1163" t="s">
        <v>3746</v>
      </c>
      <c r="E1143" s="1164"/>
      <c r="F1143" s="1165">
        <v>43817</v>
      </c>
      <c r="G1143" s="1166" t="s">
        <v>2695</v>
      </c>
      <c r="H1143" s="1167">
        <v>9.6</v>
      </c>
      <c r="I1143" s="1168">
        <f>IF(DAY($F1143)&gt;15, VLOOKUP(EOMONTH($F1143,-1),'WP 3.1 Rate Case Regress.'!$C$5:$D$556,2,FALSE), VLOOKUP(EOMONTH($F1143, -2), 'WP 3.1 Rate Case Regress.'!$C$5:$D$556, 2, FALSE))</f>
        <v>3.42</v>
      </c>
    </row>
    <row r="1144" spans="2:9" x14ac:dyDescent="0.5">
      <c r="B1144" s="1162" t="s">
        <v>2699</v>
      </c>
      <c r="C1144" s="1163" t="s">
        <v>2628</v>
      </c>
      <c r="D1144" s="1163" t="s">
        <v>3747</v>
      </c>
      <c r="E1144" s="1164"/>
      <c r="F1144" s="1165">
        <v>43818</v>
      </c>
      <c r="G1144" s="1166" t="s">
        <v>2695</v>
      </c>
      <c r="H1144" s="1167">
        <v>10.25</v>
      </c>
      <c r="I1144" s="1168">
        <f>IF(DAY($F1144)&gt;15, VLOOKUP(EOMONTH($F1144,-1),'WP 3.1 Rate Case Regress.'!$C$5:$D$556,2,FALSE), VLOOKUP(EOMONTH($F1144, -2), 'WP 3.1 Rate Case Regress.'!$C$5:$D$556, 2, FALSE))</f>
        <v>3.42</v>
      </c>
    </row>
    <row r="1145" spans="2:9" x14ac:dyDescent="0.5">
      <c r="B1145" s="1162" t="s">
        <v>2738</v>
      </c>
      <c r="C1145" s="1163" t="s">
        <v>2741</v>
      </c>
      <c r="D1145" s="1163" t="s">
        <v>3748</v>
      </c>
      <c r="E1145" s="1164"/>
      <c r="F1145" s="1165">
        <v>43818</v>
      </c>
      <c r="G1145" s="1166" t="s">
        <v>2695</v>
      </c>
      <c r="H1145" s="1167">
        <v>10.199999999999999</v>
      </c>
      <c r="I1145" s="1168">
        <f>IF(DAY($F1145)&gt;15, VLOOKUP(EOMONTH($F1145,-1),'WP 3.1 Rate Case Regress.'!$C$5:$D$556,2,FALSE), VLOOKUP(EOMONTH($F1145, -2), 'WP 3.1 Rate Case Regress.'!$C$5:$D$556, 2, FALSE))</f>
        <v>3.42</v>
      </c>
    </row>
    <row r="1146" spans="2:9" x14ac:dyDescent="0.5">
      <c r="B1146" s="1162" t="s">
        <v>2738</v>
      </c>
      <c r="C1146" s="1163" t="s">
        <v>2954</v>
      </c>
      <c r="D1146" s="1163" t="s">
        <v>3749</v>
      </c>
      <c r="E1146" s="1164"/>
      <c r="F1146" s="1165">
        <v>43818</v>
      </c>
      <c r="G1146" s="1166" t="s">
        <v>2695</v>
      </c>
      <c r="H1146" s="1167">
        <v>10.050000000000001</v>
      </c>
      <c r="I1146" s="1168">
        <f>IF(DAY($F1146)&gt;15, VLOOKUP(EOMONTH($F1146,-1),'WP 3.1 Rate Case Regress.'!$C$5:$D$556,2,FALSE), VLOOKUP(EOMONTH($F1146, -2), 'WP 3.1 Rate Case Regress.'!$C$5:$D$556, 2, FALSE))</f>
        <v>3.42</v>
      </c>
    </row>
    <row r="1147" spans="2:9" x14ac:dyDescent="0.5">
      <c r="B1147" s="1162" t="s">
        <v>2766</v>
      </c>
      <c r="C1147" s="1163" t="s">
        <v>2895</v>
      </c>
      <c r="D1147" s="1163" t="s">
        <v>3750</v>
      </c>
      <c r="E1147" s="1164"/>
      <c r="F1147" s="1165">
        <v>43819</v>
      </c>
      <c r="G1147" s="1166" t="s">
        <v>2695</v>
      </c>
      <c r="H1147" s="1167">
        <v>9.1999999999999993</v>
      </c>
      <c r="I1147" s="1168">
        <f>IF(DAY($F1147)&gt;15, VLOOKUP(EOMONTH($F1147,-1),'WP 3.1 Rate Case Regress.'!$C$5:$D$556,2,FALSE), VLOOKUP(EOMONTH($F1147, -2), 'WP 3.1 Rate Case Regress.'!$C$5:$D$556, 2, FALSE))</f>
        <v>3.42</v>
      </c>
    </row>
    <row r="1148" spans="2:9" x14ac:dyDescent="0.5">
      <c r="B1148" s="1162" t="s">
        <v>2724</v>
      </c>
      <c r="C1148" s="1163" t="s">
        <v>2925</v>
      </c>
      <c r="D1148" s="1163" t="s">
        <v>5104</v>
      </c>
      <c r="E1148" s="1164"/>
      <c r="F1148" s="1165">
        <v>43825</v>
      </c>
      <c r="G1148" s="1166" t="s">
        <v>4585</v>
      </c>
      <c r="H1148" s="1167">
        <v>9.75</v>
      </c>
      <c r="I1148" s="1168">
        <f>IF(DAY($F1148)&gt;15, VLOOKUP(EOMONTH($F1148,-1),'WP 3.1 Rate Case Regress.'!$C$5:$D$556,2,FALSE), VLOOKUP(EOMONTH($F1148, -2), 'WP 3.1 Rate Case Regress.'!$C$5:$D$556, 2, FALSE))</f>
        <v>3.42</v>
      </c>
    </row>
    <row r="1149" spans="2:9" x14ac:dyDescent="0.5">
      <c r="B1149" s="1162" t="s">
        <v>2777</v>
      </c>
      <c r="C1149" s="1163" t="s">
        <v>2746</v>
      </c>
      <c r="D1149" s="1163" t="s">
        <v>4652</v>
      </c>
      <c r="E1149" s="1164"/>
      <c r="F1149" s="1165">
        <v>43845</v>
      </c>
      <c r="G1149" s="1166" t="s">
        <v>4585</v>
      </c>
      <c r="H1149" s="1167">
        <v>9.35</v>
      </c>
      <c r="I1149" s="1168">
        <f>IF(DAY($F1149)&gt;15, VLOOKUP(EOMONTH($F1149,-1),'WP 3.1 Rate Case Regress.'!$C$5:$D$556,2,FALSE), VLOOKUP(EOMONTH($F1149, -2), 'WP 3.1 Rate Case Regress.'!$C$5:$D$556, 2, FALSE))</f>
        <v>3.42</v>
      </c>
    </row>
    <row r="1150" spans="2:9" x14ac:dyDescent="0.5">
      <c r="B1150" s="1162" t="s">
        <v>2704</v>
      </c>
      <c r="C1150" s="1163" t="s">
        <v>2908</v>
      </c>
      <c r="D1150" s="1163" t="s">
        <v>4593</v>
      </c>
      <c r="E1150" s="1164"/>
      <c r="F1150" s="1165">
        <v>43846</v>
      </c>
      <c r="G1150" s="1166" t="s">
        <v>4585</v>
      </c>
      <c r="H1150" s="1167">
        <v>8.8000000000000007</v>
      </c>
      <c r="I1150" s="1168">
        <f>IF(DAY($F1150)&gt;15, VLOOKUP(EOMONTH($F1150,-1),'WP 3.1 Rate Case Regress.'!$C$5:$D$556,2,FALSE), VLOOKUP(EOMONTH($F1150, -2), 'WP 3.1 Rate Case Regress.'!$C$5:$D$556, 2, FALSE))</f>
        <v>3.4</v>
      </c>
    </row>
    <row r="1151" spans="2:9" x14ac:dyDescent="0.5">
      <c r="B1151" s="1162" t="s">
        <v>2766</v>
      </c>
      <c r="C1151" s="1163" t="s">
        <v>3751</v>
      </c>
      <c r="D1151" s="1163" t="s">
        <v>3752</v>
      </c>
      <c r="E1151" s="1164"/>
      <c r="F1151" s="1165">
        <v>43854</v>
      </c>
      <c r="G1151" s="1166" t="s">
        <v>2695</v>
      </c>
      <c r="H1151" s="1167">
        <v>9.44</v>
      </c>
      <c r="I1151" s="1168">
        <f>IF(DAY($F1151)&gt;15, VLOOKUP(EOMONTH($F1151,-1),'WP 3.1 Rate Case Regress.'!$C$5:$D$556,2,FALSE), VLOOKUP(EOMONTH($F1151, -2), 'WP 3.1 Rate Case Regress.'!$C$5:$D$556, 2, FALSE))</f>
        <v>3.4</v>
      </c>
    </row>
    <row r="1152" spans="2:9" x14ac:dyDescent="0.5">
      <c r="B1152" s="1162" t="s">
        <v>2736</v>
      </c>
      <c r="C1152" s="1163" t="s">
        <v>2980</v>
      </c>
      <c r="D1152" s="1163" t="s">
        <v>4614</v>
      </c>
      <c r="E1152" s="1164"/>
      <c r="F1152" s="1165">
        <v>43864</v>
      </c>
      <c r="G1152" s="1166" t="s">
        <v>4585</v>
      </c>
      <c r="H1152" s="1167">
        <v>9.4</v>
      </c>
      <c r="I1152" s="1168">
        <f>IF(DAY($F1152)&gt;15, VLOOKUP(EOMONTH($F1152,-1),'WP 3.1 Rate Case Regress.'!$C$5:$D$556,2,FALSE), VLOOKUP(EOMONTH($F1152, -2), 'WP 3.1 Rate Case Regress.'!$C$5:$D$556, 2, FALSE))</f>
        <v>3.4</v>
      </c>
    </row>
    <row r="1153" spans="2:9" ht="30" x14ac:dyDescent="0.5">
      <c r="B1153" s="1162" t="s">
        <v>2706</v>
      </c>
      <c r="C1153" s="1163" t="s">
        <v>2944</v>
      </c>
      <c r="D1153" s="1163" t="s">
        <v>3753</v>
      </c>
      <c r="E1153" s="1164"/>
      <c r="F1153" s="1165">
        <v>43885</v>
      </c>
      <c r="G1153" s="1166" t="s">
        <v>2695</v>
      </c>
      <c r="H1153" s="1167">
        <v>9.1</v>
      </c>
      <c r="I1153" s="1168">
        <f>IF(DAY($F1153)&gt;15, VLOOKUP(EOMONTH($F1153,-1),'WP 3.1 Rate Case Regress.'!$C$5:$D$556,2,FALSE), VLOOKUP(EOMONTH($F1153, -2), 'WP 3.1 Rate Case Regress.'!$C$5:$D$556, 2, FALSE))</f>
        <v>3.2800000000000002</v>
      </c>
    </row>
    <row r="1154" spans="2:9" x14ac:dyDescent="0.5">
      <c r="B1154" s="1162" t="s">
        <v>2714</v>
      </c>
      <c r="C1154" s="1163" t="s">
        <v>4648</v>
      </c>
      <c r="D1154" s="1163" t="s">
        <v>3754</v>
      </c>
      <c r="E1154" s="1164"/>
      <c r="F1154" s="1165">
        <v>43886</v>
      </c>
      <c r="G1154" s="1166" t="s">
        <v>2695</v>
      </c>
      <c r="H1154" s="1167">
        <v>9.5</v>
      </c>
      <c r="I1154" s="1168">
        <f>IF(DAY($F1154)&gt;15, VLOOKUP(EOMONTH($F1154,-1),'WP 3.1 Rate Case Regress.'!$C$5:$D$556,2,FALSE), VLOOKUP(EOMONTH($F1154, -2), 'WP 3.1 Rate Case Regress.'!$C$5:$D$556, 2, FALSE))</f>
        <v>3.2800000000000002</v>
      </c>
    </row>
    <row r="1155" spans="2:9" x14ac:dyDescent="0.5">
      <c r="B1155" s="1162" t="s">
        <v>2700</v>
      </c>
      <c r="C1155" s="1163" t="s">
        <v>2778</v>
      </c>
      <c r="D1155" s="1163" t="s">
        <v>4679</v>
      </c>
      <c r="E1155" s="1164"/>
      <c r="F1155" s="1165">
        <v>43889</v>
      </c>
      <c r="G1155" s="1166" t="s">
        <v>4585</v>
      </c>
      <c r="H1155" s="1167">
        <v>9.6999999999999993</v>
      </c>
      <c r="I1155" s="1168">
        <f>IF(DAY($F1155)&gt;15, VLOOKUP(EOMONTH($F1155,-1),'WP 3.1 Rate Case Regress.'!$C$5:$D$556,2,FALSE), VLOOKUP(EOMONTH($F1155, -2), 'WP 3.1 Rate Case Regress.'!$C$5:$D$556, 2, FALSE))</f>
        <v>3.2800000000000002</v>
      </c>
    </row>
    <row r="1156" spans="2:9" x14ac:dyDescent="0.5">
      <c r="B1156" s="1162" t="s">
        <v>2736</v>
      </c>
      <c r="C1156" s="1163" t="s">
        <v>2727</v>
      </c>
      <c r="D1156" s="1163" t="s">
        <v>4611</v>
      </c>
      <c r="E1156" s="1164"/>
      <c r="F1156" s="1165">
        <v>43915</v>
      </c>
      <c r="G1156" s="1166" t="s">
        <v>4585</v>
      </c>
      <c r="H1156" s="1167">
        <v>9.4</v>
      </c>
      <c r="I1156" s="1168">
        <f>IF(DAY($F1156)&gt;15, VLOOKUP(EOMONTH($F1156,-1),'WP 3.1 Rate Case Regress.'!$C$5:$D$556,2,FALSE), VLOOKUP(EOMONTH($F1156, -2), 'WP 3.1 Rate Case Regress.'!$C$5:$D$556, 2, FALSE))</f>
        <v>3.11</v>
      </c>
    </row>
    <row r="1157" spans="2:9" x14ac:dyDescent="0.5">
      <c r="B1157" s="1162" t="s">
        <v>2780</v>
      </c>
      <c r="C1157" s="1163" t="s">
        <v>3727</v>
      </c>
      <c r="D1157" s="1163" t="s">
        <v>3755</v>
      </c>
      <c r="E1157" s="1164"/>
      <c r="F1157" s="1165">
        <v>43916</v>
      </c>
      <c r="G1157" s="1166" t="s">
        <v>2695</v>
      </c>
      <c r="H1157" s="1167">
        <v>9.48</v>
      </c>
      <c r="I1157" s="1168">
        <f>IF(DAY($F1157)&gt;15, VLOOKUP(EOMONTH($F1157,-1),'WP 3.1 Rate Case Regress.'!$C$5:$D$556,2,FALSE), VLOOKUP(EOMONTH($F1157, -2), 'WP 3.1 Rate Case Regress.'!$C$5:$D$556, 2, FALSE))</f>
        <v>3.11</v>
      </c>
    </row>
    <row r="1158" spans="2:9" x14ac:dyDescent="0.5">
      <c r="B1158" s="1162" t="s">
        <v>2775</v>
      </c>
      <c r="C1158" s="1163" t="s">
        <v>2944</v>
      </c>
      <c r="D1158" s="1163" t="s">
        <v>4719</v>
      </c>
      <c r="E1158" s="1164"/>
      <c r="F1158" s="1165">
        <v>43942</v>
      </c>
      <c r="G1158" s="1166" t="s">
        <v>4585</v>
      </c>
      <c r="H1158" s="1167">
        <v>9.8000000000000007</v>
      </c>
      <c r="I1158" s="1168">
        <f>IF(DAY($F1158)&gt;15, VLOOKUP(EOMONTH($F1158,-1),'WP 3.1 Rate Case Regress.'!$C$5:$D$556,2,FALSE), VLOOKUP(EOMONTH($F1158, -2), 'WP 3.1 Rate Case Regress.'!$C$5:$D$556, 2, FALSE))</f>
        <v>3.5</v>
      </c>
    </row>
    <row r="1159" spans="2:9" x14ac:dyDescent="0.5">
      <c r="B1159" s="1162" t="s">
        <v>2715</v>
      </c>
      <c r="C1159" s="1163" t="s">
        <v>3756</v>
      </c>
      <c r="D1159" s="1163" t="s">
        <v>3757</v>
      </c>
      <c r="E1159" s="1164"/>
      <c r="F1159" s="1165">
        <v>43970</v>
      </c>
      <c r="G1159" s="1166" t="s">
        <v>2695</v>
      </c>
      <c r="H1159" s="1167">
        <v>9.1999999999999993</v>
      </c>
      <c r="I1159" s="1168">
        <f>IF(DAY($F1159)&gt;15, VLOOKUP(EOMONTH($F1159,-1),'WP 3.1 Rate Case Regress.'!$C$5:$D$556,2,FALSE), VLOOKUP(EOMONTH($F1159, -2), 'WP 3.1 Rate Case Regress.'!$C$5:$D$556, 2, FALSE))</f>
        <v>3.19</v>
      </c>
    </row>
    <row r="1160" spans="2:9" x14ac:dyDescent="0.5">
      <c r="B1160" s="1162" t="s">
        <v>2775</v>
      </c>
      <c r="C1160" s="1163" t="s">
        <v>2975</v>
      </c>
      <c r="D1160" s="1163" t="s">
        <v>4710</v>
      </c>
      <c r="E1160" s="1164"/>
      <c r="F1160" s="1165">
        <v>43998</v>
      </c>
      <c r="G1160" s="1166" t="s">
        <v>4585</v>
      </c>
      <c r="H1160" s="1167">
        <v>9.65</v>
      </c>
      <c r="I1160" s="1168">
        <f>IF(DAY($F1160)&gt;15, VLOOKUP(EOMONTH($F1160,-1),'WP 3.1 Rate Case Regress.'!$C$5:$D$556,2,FALSE), VLOOKUP(EOMONTH($F1160, -2), 'WP 3.1 Rate Case Regress.'!$C$5:$D$556, 2, FALSE))</f>
        <v>3.14</v>
      </c>
    </row>
    <row r="1161" spans="2:9" x14ac:dyDescent="0.5">
      <c r="B1161" s="1162" t="s">
        <v>2736</v>
      </c>
      <c r="C1161" s="1163" t="s">
        <v>2737</v>
      </c>
      <c r="D1161" s="1163" t="s">
        <v>3758</v>
      </c>
      <c r="E1161" s="1164"/>
      <c r="F1161" s="1165">
        <v>44020</v>
      </c>
      <c r="G1161" s="1166" t="s">
        <v>2695</v>
      </c>
      <c r="H1161" s="1167">
        <v>9.4</v>
      </c>
      <c r="I1161" s="1168">
        <f>IF(DAY($F1161)&gt;15, VLOOKUP(EOMONTH($F1161,-1),'WP 3.1 Rate Case Regress.'!$C$5:$D$556,2,FALSE), VLOOKUP(EOMONTH($F1161, -2), 'WP 3.1 Rate Case Regress.'!$C$5:$D$556, 2, FALSE))</f>
        <v>3.14</v>
      </c>
    </row>
    <row r="1162" spans="2:9" ht="30" x14ac:dyDescent="0.5">
      <c r="B1162" s="1162" t="s">
        <v>2775</v>
      </c>
      <c r="C1162" s="1163" t="s">
        <v>3643</v>
      </c>
      <c r="D1162" s="1163" t="s">
        <v>4713</v>
      </c>
      <c r="E1162" s="1164"/>
      <c r="F1162" s="1165">
        <v>44047</v>
      </c>
      <c r="G1162" s="1166" t="s">
        <v>4585</v>
      </c>
      <c r="H1162" s="1167">
        <v>9.5</v>
      </c>
      <c r="I1162" s="1168">
        <f>IF(DAY($F1162)&gt;15, VLOOKUP(EOMONTH($F1162,-1),'WP 3.1 Rate Case Regress.'!$C$5:$D$556,2,FALSE), VLOOKUP(EOMONTH($F1162, -2), 'WP 3.1 Rate Case Regress.'!$C$5:$D$556, 2, FALSE))</f>
        <v>3.07</v>
      </c>
    </row>
    <row r="1163" spans="2:9" x14ac:dyDescent="0.5">
      <c r="B1163" s="1162" t="s">
        <v>2744</v>
      </c>
      <c r="C1163" s="1163" t="s">
        <v>2972</v>
      </c>
      <c r="D1163" s="1163" t="s">
        <v>5105</v>
      </c>
      <c r="E1163" s="1164"/>
      <c r="F1163" s="1165">
        <v>44063</v>
      </c>
      <c r="G1163" s="1166" t="s">
        <v>4585</v>
      </c>
      <c r="H1163" s="1167">
        <v>9.9</v>
      </c>
      <c r="I1163" s="1168">
        <f>IF(DAY($F1163)&gt;15, VLOOKUP(EOMONTH($F1163,-1),'WP 3.1 Rate Case Regress.'!$C$5:$D$556,2,FALSE), VLOOKUP(EOMONTH($F1163, -2), 'WP 3.1 Rate Case Regress.'!$C$5:$D$556, 2, FALSE))</f>
        <v>2.74</v>
      </c>
    </row>
    <row r="1164" spans="2:9" x14ac:dyDescent="0.5">
      <c r="B1164" s="1162" t="s">
        <v>2777</v>
      </c>
      <c r="C1164" s="1163" t="s">
        <v>4648</v>
      </c>
      <c r="D1164" s="1163" t="s">
        <v>4700</v>
      </c>
      <c r="E1164" s="1164"/>
      <c r="F1164" s="1165">
        <v>44064</v>
      </c>
      <c r="G1164" s="1166" t="s">
        <v>4585</v>
      </c>
      <c r="H1164" s="1167">
        <v>9.35</v>
      </c>
      <c r="I1164" s="1168">
        <f>IF(DAY($F1164)&gt;15, VLOOKUP(EOMONTH($F1164,-1),'WP 3.1 Rate Case Regress.'!$C$5:$D$556,2,FALSE), VLOOKUP(EOMONTH($F1164, -2), 'WP 3.1 Rate Case Regress.'!$C$5:$D$556, 2, FALSE))</f>
        <v>2.74</v>
      </c>
    </row>
    <row r="1165" spans="2:9" x14ac:dyDescent="0.5">
      <c r="B1165" s="1162" t="s">
        <v>2744</v>
      </c>
      <c r="C1165" s="1163" t="s">
        <v>2770</v>
      </c>
      <c r="D1165" s="1163" t="s">
        <v>5106</v>
      </c>
      <c r="E1165" s="1164"/>
      <c r="F1165" s="1165">
        <v>44084</v>
      </c>
      <c r="G1165" s="1166" t="s">
        <v>4585</v>
      </c>
      <c r="H1165" s="1167">
        <v>9.9</v>
      </c>
      <c r="I1165" s="1168">
        <f>IF(DAY($F1165)&gt;15, VLOOKUP(EOMONTH($F1165,-1),'WP 3.1 Rate Case Regress.'!$C$5:$D$556,2,FALSE), VLOOKUP(EOMONTH($F1165, -2), 'WP 3.1 Rate Case Regress.'!$C$5:$D$556, 2, FALSE))</f>
        <v>2.74</v>
      </c>
    </row>
    <row r="1166" spans="2:9" x14ac:dyDescent="0.5">
      <c r="B1166" s="1162" t="s">
        <v>2712</v>
      </c>
      <c r="C1166" s="1163" t="s">
        <v>3085</v>
      </c>
      <c r="D1166" s="1163" t="s">
        <v>4692</v>
      </c>
      <c r="E1166" s="1164"/>
      <c r="F1166" s="1165">
        <v>44097</v>
      </c>
      <c r="G1166" s="1166" t="s">
        <v>4585</v>
      </c>
      <c r="H1166" s="1167">
        <v>9.6</v>
      </c>
      <c r="I1166" s="1168">
        <f>IF(DAY($F1166)&gt;15, VLOOKUP(EOMONTH($F1166,-1),'WP 3.1 Rate Case Regress.'!$C$5:$D$556,2,FALSE), VLOOKUP(EOMONTH($F1166, -2), 'WP 3.1 Rate Case Regress.'!$C$5:$D$556, 2, FALSE))</f>
        <v>2.73</v>
      </c>
    </row>
    <row r="1167" spans="2:9" ht="30" x14ac:dyDescent="0.5">
      <c r="B1167" s="1162" t="s">
        <v>2731</v>
      </c>
      <c r="C1167" s="1163" t="s">
        <v>2939</v>
      </c>
      <c r="D1167" s="1163" t="s">
        <v>3759</v>
      </c>
      <c r="E1167" s="1164"/>
      <c r="F1167" s="1165">
        <v>44099</v>
      </c>
      <c r="G1167" s="1166" t="s">
        <v>2695</v>
      </c>
      <c r="H1167" s="1167">
        <v>9.25</v>
      </c>
      <c r="I1167" s="1168">
        <f>IF(DAY($F1167)&gt;15, VLOOKUP(EOMONTH($F1167,-1),'WP 3.1 Rate Case Regress.'!$C$5:$D$556,2,FALSE), VLOOKUP(EOMONTH($F1167, -2), 'WP 3.1 Rate Case Regress.'!$C$5:$D$556, 2, FALSE))</f>
        <v>2.73</v>
      </c>
    </row>
    <row r="1168" spans="2:9" ht="30" x14ac:dyDescent="0.5">
      <c r="B1168" s="1162" t="s">
        <v>2731</v>
      </c>
      <c r="C1168" s="1163" t="s">
        <v>2939</v>
      </c>
      <c r="D1168" s="1163" t="s">
        <v>3760</v>
      </c>
      <c r="E1168" s="1164"/>
      <c r="F1168" s="1165">
        <v>44099</v>
      </c>
      <c r="G1168" s="1166" t="s">
        <v>2695</v>
      </c>
      <c r="H1168" s="1167">
        <v>9.25</v>
      </c>
      <c r="I1168" s="1168">
        <f>IF(DAY($F1168)&gt;15, VLOOKUP(EOMONTH($F1168,-1),'WP 3.1 Rate Case Regress.'!$C$5:$D$556,2,FALSE), VLOOKUP(EOMONTH($F1168, -2), 'WP 3.1 Rate Case Regress.'!$C$5:$D$556, 2, FALSE))</f>
        <v>2.73</v>
      </c>
    </row>
    <row r="1169" spans="2:9" x14ac:dyDescent="0.5">
      <c r="B1169" s="1162" t="s">
        <v>2757</v>
      </c>
      <c r="C1169" s="1163" t="s">
        <v>3012</v>
      </c>
      <c r="D1169" s="1163" t="s">
        <v>4676</v>
      </c>
      <c r="E1169" s="1164"/>
      <c r="F1169" s="1165">
        <v>44108</v>
      </c>
      <c r="G1169" s="1166" t="s">
        <v>4585</v>
      </c>
      <c r="H1169" s="1167">
        <v>9.8000000000000007</v>
      </c>
      <c r="I1169" s="1168">
        <f>IF(DAY($F1169)&gt;15, VLOOKUP(EOMONTH($F1169,-1),'WP 3.1 Rate Case Regress.'!$C$5:$D$556,2,FALSE), VLOOKUP(EOMONTH($F1169, -2), 'WP 3.1 Rate Case Regress.'!$C$5:$D$556, 2, FALSE))</f>
        <v>2.73</v>
      </c>
    </row>
    <row r="1170" spans="2:9" x14ac:dyDescent="0.5">
      <c r="B1170" s="1162" t="s">
        <v>2700</v>
      </c>
      <c r="C1170" s="1163" t="s">
        <v>3035</v>
      </c>
      <c r="D1170" s="1163" t="s">
        <v>4691</v>
      </c>
      <c r="E1170" s="1164"/>
      <c r="F1170" s="1165">
        <v>44111</v>
      </c>
      <c r="G1170" s="1166" t="s">
        <v>4585</v>
      </c>
      <c r="H1170" s="1167">
        <v>9.6999999999999993</v>
      </c>
      <c r="I1170" s="1168">
        <f>IF(DAY($F1170)&gt;15, VLOOKUP(EOMONTH($F1170,-1),'WP 3.1 Rate Case Regress.'!$C$5:$D$556,2,FALSE), VLOOKUP(EOMONTH($F1170, -2), 'WP 3.1 Rate Case Regress.'!$C$5:$D$556, 2, FALSE))</f>
        <v>2.73</v>
      </c>
    </row>
    <row r="1171" spans="2:9" x14ac:dyDescent="0.5">
      <c r="B1171" s="1162" t="s">
        <v>2715</v>
      </c>
      <c r="C1171" s="1163" t="s">
        <v>2716</v>
      </c>
      <c r="D1171" s="1163" t="s">
        <v>4707</v>
      </c>
      <c r="E1171" s="1164"/>
      <c r="F1171" s="1165">
        <v>44116</v>
      </c>
      <c r="G1171" s="1166" t="s">
        <v>4585</v>
      </c>
      <c r="H1171" s="1167">
        <v>9.1999999999999993</v>
      </c>
      <c r="I1171" s="1168">
        <f>IF(DAY($F1171)&gt;15, VLOOKUP(EOMONTH($F1171,-1),'WP 3.1 Rate Case Regress.'!$C$5:$D$556,2,FALSE), VLOOKUP(EOMONTH($F1171, -2), 'WP 3.1 Rate Case Regress.'!$C$5:$D$556, 2, FALSE))</f>
        <v>2.73</v>
      </c>
    </row>
    <row r="1172" spans="2:9" x14ac:dyDescent="0.5">
      <c r="B1172" s="1162" t="s">
        <v>2774</v>
      </c>
      <c r="C1172" s="1163" t="s">
        <v>3493</v>
      </c>
      <c r="D1172" s="1163" t="s">
        <v>4621</v>
      </c>
      <c r="E1172" s="1164"/>
      <c r="F1172" s="1165">
        <v>44120</v>
      </c>
      <c r="G1172" s="1166" t="s">
        <v>4585</v>
      </c>
      <c r="H1172" s="1167">
        <v>9.4</v>
      </c>
      <c r="I1172" s="1168">
        <f>IF(DAY($F1172)&gt;15, VLOOKUP(EOMONTH($F1172,-1),'WP 3.1 Rate Case Regress.'!$C$5:$D$556,2,FALSE), VLOOKUP(EOMONTH($F1172, -2), 'WP 3.1 Rate Case Regress.'!$C$5:$D$556, 2, FALSE))</f>
        <v>2.84</v>
      </c>
    </row>
    <row r="1173" spans="2:9" x14ac:dyDescent="0.5">
      <c r="B1173" s="1162" t="s">
        <v>2700</v>
      </c>
      <c r="C1173" s="1163" t="s">
        <v>2898</v>
      </c>
      <c r="D1173" s="1163" t="s">
        <v>3761</v>
      </c>
      <c r="E1173" s="1164"/>
      <c r="F1173" s="1165">
        <v>44134</v>
      </c>
      <c r="G1173" s="1166" t="s">
        <v>2695</v>
      </c>
      <c r="H1173" s="1167">
        <v>9.9</v>
      </c>
      <c r="I1173" s="1168">
        <f>IF(DAY($F1173)&gt;15, VLOOKUP(EOMONTH($F1173,-1),'WP 3.1 Rate Case Regress.'!$C$5:$D$556,2,FALSE), VLOOKUP(EOMONTH($F1173, -2), 'WP 3.1 Rate Case Regress.'!$C$5:$D$556, 2, FALSE))</f>
        <v>2.84</v>
      </c>
    </row>
    <row r="1174" spans="2:9" x14ac:dyDescent="0.5">
      <c r="B1174" s="1162" t="s">
        <v>2698</v>
      </c>
      <c r="C1174" s="1163" t="s">
        <v>3678</v>
      </c>
      <c r="D1174" s="1163" t="s">
        <v>4685</v>
      </c>
      <c r="E1174" s="1164"/>
      <c r="F1174" s="1165">
        <v>44142</v>
      </c>
      <c r="G1174" s="1166" t="s">
        <v>4585</v>
      </c>
      <c r="H1174" s="1167">
        <v>9.6</v>
      </c>
      <c r="I1174" s="1168">
        <f>IF(DAY($F1174)&gt;15, VLOOKUP(EOMONTH($F1174,-1),'WP 3.1 Rate Case Regress.'!$C$5:$D$556,2,FALSE), VLOOKUP(EOMONTH($F1174, -2), 'WP 3.1 Rate Case Regress.'!$C$5:$D$556, 2, FALSE))</f>
        <v>2.84</v>
      </c>
    </row>
    <row r="1175" spans="2:9" x14ac:dyDescent="0.5">
      <c r="B1175" s="1162" t="s">
        <v>2772</v>
      </c>
      <c r="C1175" s="1163" t="s">
        <v>3600</v>
      </c>
      <c r="D1175" s="1163" t="s">
        <v>4698</v>
      </c>
      <c r="E1175" s="1164"/>
      <c r="F1175" s="1165">
        <v>44154</v>
      </c>
      <c r="G1175" s="1166" t="s">
        <v>4585</v>
      </c>
      <c r="H1175" s="1167">
        <v>9.9</v>
      </c>
      <c r="I1175" s="1168">
        <f>IF(DAY($F1175)&gt;15, VLOOKUP(EOMONTH($F1175,-1),'WP 3.1 Rate Case Regress.'!$C$5:$D$556,2,FALSE), VLOOKUP(EOMONTH($F1175, -2), 'WP 3.1 Rate Case Regress.'!$C$5:$D$556, 2, FALSE))</f>
        <v>2.95</v>
      </c>
    </row>
    <row r="1176" spans="2:9" x14ac:dyDescent="0.5">
      <c r="B1176" s="1162" t="s">
        <v>2704</v>
      </c>
      <c r="C1176" s="1163" t="s">
        <v>2725</v>
      </c>
      <c r="D1176" s="1163" t="s">
        <v>4594</v>
      </c>
      <c r="E1176" s="1164"/>
      <c r="F1176" s="1165">
        <v>44154</v>
      </c>
      <c r="G1176" s="1166" t="s">
        <v>4585</v>
      </c>
      <c r="H1176" s="1167">
        <v>8.8000000000000007</v>
      </c>
      <c r="I1176" s="1168">
        <f>IF(DAY($F1176)&gt;15, VLOOKUP(EOMONTH($F1176,-1),'WP 3.1 Rate Case Regress.'!$C$5:$D$556,2,FALSE), VLOOKUP(EOMONTH($F1176, -2), 'WP 3.1 Rate Case Regress.'!$C$5:$D$556, 2, FALSE))</f>
        <v>2.95</v>
      </c>
    </row>
    <row r="1177" spans="2:9" x14ac:dyDescent="0.5">
      <c r="B1177" s="1162" t="s">
        <v>2704</v>
      </c>
      <c r="C1177" s="1163" t="s">
        <v>2927</v>
      </c>
      <c r="D1177" s="1163" t="s">
        <v>4595</v>
      </c>
      <c r="E1177" s="1164"/>
      <c r="F1177" s="1165">
        <v>44154</v>
      </c>
      <c r="G1177" s="1166" t="s">
        <v>4585</v>
      </c>
      <c r="H1177" s="1167">
        <v>8.8000000000000007</v>
      </c>
      <c r="I1177" s="1168">
        <f>IF(DAY($F1177)&gt;15, VLOOKUP(EOMONTH($F1177,-1),'WP 3.1 Rate Case Regress.'!$C$5:$D$556,2,FALSE), VLOOKUP(EOMONTH($F1177, -2), 'WP 3.1 Rate Case Regress.'!$C$5:$D$556, 2, FALSE))</f>
        <v>2.95</v>
      </c>
    </row>
    <row r="1178" spans="2:9" ht="30" x14ac:dyDescent="0.5">
      <c r="B1178" s="1162" t="s">
        <v>2702</v>
      </c>
      <c r="C1178" s="1163" t="s">
        <v>4701</v>
      </c>
      <c r="D1178" s="1163" t="s">
        <v>4703</v>
      </c>
      <c r="E1178" s="1164"/>
      <c r="F1178" s="1165">
        <v>44159</v>
      </c>
      <c r="G1178" s="1166" t="s">
        <v>4585</v>
      </c>
      <c r="H1178" s="1167">
        <v>9.8000000000000007</v>
      </c>
      <c r="I1178" s="1168">
        <f>IF(DAY($F1178)&gt;15, VLOOKUP(EOMONTH($F1178,-1),'WP 3.1 Rate Case Regress.'!$C$5:$D$556,2,FALSE), VLOOKUP(EOMONTH($F1178, -2), 'WP 3.1 Rate Case Regress.'!$C$5:$D$556, 2, FALSE))</f>
        <v>2.95</v>
      </c>
    </row>
    <row r="1179" spans="2:9" ht="30" x14ac:dyDescent="0.5">
      <c r="B1179" s="1162" t="s">
        <v>2717</v>
      </c>
      <c r="C1179" s="1163" t="s">
        <v>2939</v>
      </c>
      <c r="D1179" s="1163" t="s">
        <v>3762</v>
      </c>
      <c r="E1179" s="1164"/>
      <c r="F1179" s="1165">
        <v>44174</v>
      </c>
      <c r="G1179" s="1166" t="s">
        <v>2695</v>
      </c>
      <c r="H1179" s="1167">
        <v>9.1</v>
      </c>
      <c r="I1179" s="1168">
        <f>IF(DAY($F1179)&gt;15, VLOOKUP(EOMONTH($F1179,-1),'WP 3.1 Rate Case Regress.'!$C$5:$D$556,2,FALSE), VLOOKUP(EOMONTH($F1179, -2), 'WP 3.1 Rate Case Regress.'!$C$5:$D$556, 2, FALSE))</f>
        <v>2.95</v>
      </c>
    </row>
    <row r="1180" spans="2:9" x14ac:dyDescent="0.5">
      <c r="B1180" s="1162" t="s">
        <v>2774</v>
      </c>
      <c r="C1180" s="1163" t="s">
        <v>2727</v>
      </c>
      <c r="D1180" s="1163" t="s">
        <v>4622</v>
      </c>
      <c r="E1180" s="1164"/>
      <c r="F1180" s="1165">
        <v>44175</v>
      </c>
      <c r="G1180" s="1166" t="s">
        <v>4585</v>
      </c>
      <c r="H1180" s="1167">
        <v>9.4</v>
      </c>
      <c r="I1180" s="1168">
        <f>IF(DAY($F1180)&gt;15, VLOOKUP(EOMONTH($F1180,-1),'WP 3.1 Rate Case Regress.'!$C$5:$D$556,2,FALSE), VLOOKUP(EOMONTH($F1180, -2), 'WP 3.1 Rate Case Regress.'!$C$5:$D$556, 2, FALSE))</f>
        <v>2.95</v>
      </c>
    </row>
    <row r="1181" spans="2:9" x14ac:dyDescent="0.5">
      <c r="B1181" s="1162" t="s">
        <v>2698</v>
      </c>
      <c r="C1181" s="1163" t="s">
        <v>2722</v>
      </c>
      <c r="D1181" s="1163" t="s">
        <v>3763</v>
      </c>
      <c r="E1181" s="1164"/>
      <c r="F1181" s="1165">
        <v>44181</v>
      </c>
      <c r="G1181" s="1166" t="s">
        <v>2695</v>
      </c>
      <c r="H1181" s="1167">
        <v>9.65</v>
      </c>
      <c r="I1181" s="1168">
        <f>IF(DAY($F1181)&gt;15, VLOOKUP(EOMONTH($F1181,-1),'WP 3.1 Rate Case Regress.'!$C$5:$D$556,2,FALSE), VLOOKUP(EOMONTH($F1181, -2), 'WP 3.1 Rate Case Regress.'!$C$5:$D$556, 2, FALSE))</f>
        <v>2.85</v>
      </c>
    </row>
    <row r="1182" spans="2:9" x14ac:dyDescent="0.5">
      <c r="B1182" s="1162" t="s">
        <v>2752</v>
      </c>
      <c r="C1182" s="1163" t="s">
        <v>4661</v>
      </c>
      <c r="D1182" s="1163" t="s">
        <v>4662</v>
      </c>
      <c r="E1182" s="1164"/>
      <c r="F1182" s="1165">
        <v>44181</v>
      </c>
      <c r="G1182" s="1166" t="s">
        <v>4585</v>
      </c>
      <c r="H1182" s="1167">
        <v>9.3800000000000008</v>
      </c>
      <c r="I1182" s="1168">
        <f>IF(DAY($F1182)&gt;15, VLOOKUP(EOMONTH($F1182,-1),'WP 3.1 Rate Case Regress.'!$C$5:$D$556,2,FALSE), VLOOKUP(EOMONTH($F1182, -2), 'WP 3.1 Rate Case Regress.'!$C$5:$D$556, 2, FALSE))</f>
        <v>2.85</v>
      </c>
    </row>
    <row r="1183" spans="2:9" ht="30" x14ac:dyDescent="0.5">
      <c r="B1183" s="1162" t="s">
        <v>2702</v>
      </c>
      <c r="C1183" s="1163" t="s">
        <v>2749</v>
      </c>
      <c r="D1183" s="1163" t="s">
        <v>3764</v>
      </c>
      <c r="E1183" s="1164"/>
      <c r="F1183" s="1165">
        <v>44188</v>
      </c>
      <c r="G1183" s="1166" t="s">
        <v>2695</v>
      </c>
      <c r="H1183" s="1167">
        <v>10</v>
      </c>
      <c r="I1183" s="1168">
        <f>IF(DAY($F1183)&gt;15, VLOOKUP(EOMONTH($F1183,-1),'WP 3.1 Rate Case Regress.'!$C$5:$D$556,2,FALSE), VLOOKUP(EOMONTH($F1183, -2), 'WP 3.1 Rate Case Regress.'!$C$5:$D$556, 2, FALSE))</f>
        <v>2.85</v>
      </c>
    </row>
    <row r="1184" spans="2:9" x14ac:dyDescent="0.5">
      <c r="B1184" s="1162" t="s">
        <v>2758</v>
      </c>
      <c r="C1184" s="1163" t="s">
        <v>2759</v>
      </c>
      <c r="D1184" s="1163" t="s">
        <v>4643</v>
      </c>
      <c r="E1184" s="1164"/>
      <c r="F1184" s="1165">
        <v>44202</v>
      </c>
      <c r="G1184" s="1166" t="s">
        <v>4585</v>
      </c>
      <c r="H1184" s="1167">
        <v>9.6</v>
      </c>
      <c r="I1184" s="1168">
        <f>IF(DAY($F1184)&gt;15, VLOOKUP(EOMONTH($F1184,-1),'WP 3.1 Rate Case Regress.'!$C$5:$D$556,2,FALSE), VLOOKUP(EOMONTH($F1184, -2), 'WP 3.1 Rate Case Regress.'!$C$5:$D$556, 2, FALSE))</f>
        <v>2.85</v>
      </c>
    </row>
    <row r="1185" spans="2:9" x14ac:dyDescent="0.5">
      <c r="B1185" s="1162" t="s">
        <v>2774</v>
      </c>
      <c r="C1185" s="1163" t="s">
        <v>2980</v>
      </c>
      <c r="D1185" s="1163" t="s">
        <v>4623</v>
      </c>
      <c r="E1185" s="1164"/>
      <c r="F1185" s="1165">
        <v>44202</v>
      </c>
      <c r="G1185" s="1166" t="s">
        <v>4585</v>
      </c>
      <c r="H1185" s="1167">
        <v>9.4</v>
      </c>
      <c r="I1185" s="1168">
        <f>IF(DAY($F1185)&gt;15, VLOOKUP(EOMONTH($F1185,-1),'WP 3.1 Rate Case Regress.'!$C$5:$D$556,2,FALSE), VLOOKUP(EOMONTH($F1185, -2), 'WP 3.1 Rate Case Regress.'!$C$5:$D$556, 2, FALSE))</f>
        <v>2.85</v>
      </c>
    </row>
    <row r="1186" spans="2:9" x14ac:dyDescent="0.5">
      <c r="B1186" s="1162" t="s">
        <v>2693</v>
      </c>
      <c r="C1186" s="1163" t="s">
        <v>2742</v>
      </c>
      <c r="D1186" s="1163" t="s">
        <v>3765</v>
      </c>
      <c r="E1186" s="1164"/>
      <c r="F1186" s="1165">
        <v>44209</v>
      </c>
      <c r="G1186" s="1166" t="s">
        <v>2695</v>
      </c>
      <c r="H1186" s="1167">
        <v>9.67</v>
      </c>
      <c r="I1186" s="1168">
        <f>IF(DAY($F1186)&gt;15, VLOOKUP(EOMONTH($F1186,-1),'WP 3.1 Rate Case Regress.'!$C$5:$D$556,2,FALSE), VLOOKUP(EOMONTH($F1186, -2), 'WP 3.1 Rate Case Regress.'!$C$5:$D$556, 2, FALSE))</f>
        <v>2.85</v>
      </c>
    </row>
    <row r="1187" spans="2:9" x14ac:dyDescent="0.5">
      <c r="B1187" s="1162" t="s">
        <v>3577</v>
      </c>
      <c r="C1187" s="1163" t="s">
        <v>3578</v>
      </c>
      <c r="D1187" s="1163" t="s">
        <v>4624</v>
      </c>
      <c r="E1187" s="1164"/>
      <c r="F1187" s="1165">
        <v>44222</v>
      </c>
      <c r="G1187" s="1166" t="s">
        <v>4585</v>
      </c>
      <c r="H1187" s="1167">
        <v>9.5</v>
      </c>
      <c r="I1187" s="1168">
        <f>IF(DAY($F1187)&gt;15, VLOOKUP(EOMONTH($F1187,-1),'WP 3.1 Rate Case Regress.'!$C$5:$D$556,2,FALSE), VLOOKUP(EOMONTH($F1187, -2), 'WP 3.1 Rate Case Regress.'!$C$5:$D$556, 2, FALSE))</f>
        <v>2.77</v>
      </c>
    </row>
    <row r="1188" spans="2:9" x14ac:dyDescent="0.5">
      <c r="B1188" s="1162" t="s">
        <v>2768</v>
      </c>
      <c r="C1188" s="1163" t="s">
        <v>3012</v>
      </c>
      <c r="D1188" s="1163" t="s">
        <v>4644</v>
      </c>
      <c r="E1188" s="1164"/>
      <c r="F1188" s="1165">
        <v>44243</v>
      </c>
      <c r="G1188" s="1166" t="s">
        <v>4585</v>
      </c>
      <c r="H1188" s="1167">
        <v>9.8000000000000007</v>
      </c>
      <c r="I1188" s="1168">
        <f>IF(DAY($F1188)&gt;15, VLOOKUP(EOMONTH($F1188,-1),'WP 3.1 Rate Case Regress.'!$C$5:$D$556,2,FALSE), VLOOKUP(EOMONTH($F1188, -2), 'WP 3.1 Rate Case Regress.'!$C$5:$D$556, 2, FALSE))</f>
        <v>2.91</v>
      </c>
    </row>
    <row r="1189" spans="2:9" x14ac:dyDescent="0.5">
      <c r="B1189" s="1162" t="s">
        <v>2696</v>
      </c>
      <c r="C1189" s="1163" t="s">
        <v>3195</v>
      </c>
      <c r="D1189" s="1163" t="s">
        <v>3766</v>
      </c>
      <c r="E1189" s="1164"/>
      <c r="F1189" s="1165">
        <v>44246</v>
      </c>
      <c r="G1189" s="1166" t="s">
        <v>2695</v>
      </c>
      <c r="H1189" s="1167">
        <v>9.86</v>
      </c>
      <c r="I1189" s="1168">
        <f>IF(DAY($F1189)&gt;15, VLOOKUP(EOMONTH($F1189,-1),'WP 3.1 Rate Case Regress.'!$C$5:$D$556,2,FALSE), VLOOKUP(EOMONTH($F1189, -2), 'WP 3.1 Rate Case Regress.'!$C$5:$D$556, 2, FALSE))</f>
        <v>2.91</v>
      </c>
    </row>
    <row r="1190" spans="2:9" x14ac:dyDescent="0.5">
      <c r="B1190" s="1162" t="s">
        <v>2734</v>
      </c>
      <c r="C1190" s="1163" t="s">
        <v>2895</v>
      </c>
      <c r="D1190" s="1163" t="s">
        <v>4672</v>
      </c>
      <c r="E1190" s="1164"/>
      <c r="F1190" s="1165">
        <v>44251</v>
      </c>
      <c r="G1190" s="1166" t="s">
        <v>4585</v>
      </c>
      <c r="H1190" s="1167">
        <v>9.25</v>
      </c>
      <c r="I1190" s="1168">
        <f>IF(DAY($F1190)&gt;15, VLOOKUP(EOMONTH($F1190,-1),'WP 3.1 Rate Case Regress.'!$C$5:$D$556,2,FALSE), VLOOKUP(EOMONTH($F1190, -2), 'WP 3.1 Rate Case Regress.'!$C$5:$D$556, 2, FALSE))</f>
        <v>2.91</v>
      </c>
    </row>
    <row r="1191" spans="2:9" ht="30" x14ac:dyDescent="0.5">
      <c r="B1191" s="1162" t="s">
        <v>2738</v>
      </c>
      <c r="C1191" s="1163" t="s">
        <v>2939</v>
      </c>
      <c r="D1191" s="1163" t="s">
        <v>4663</v>
      </c>
      <c r="E1191" s="1164"/>
      <c r="F1191" s="1165">
        <v>44280</v>
      </c>
      <c r="G1191" s="1166" t="s">
        <v>4585</v>
      </c>
      <c r="H1191" s="1167">
        <v>10</v>
      </c>
      <c r="I1191" s="1168">
        <f>IF(DAY($F1191)&gt;15, VLOOKUP(EOMONTH($F1191,-1),'WP 3.1 Rate Case Regress.'!$C$5:$D$556,2,FALSE), VLOOKUP(EOMONTH($F1191, -2), 'WP 3.1 Rate Case Regress.'!$C$5:$D$556, 2, FALSE))</f>
        <v>3.09</v>
      </c>
    </row>
    <row r="1192" spans="2:9" ht="30" x14ac:dyDescent="0.5">
      <c r="B1192" s="1162" t="s">
        <v>2738</v>
      </c>
      <c r="C1192" s="1163" t="s">
        <v>2939</v>
      </c>
      <c r="D1192" s="1163" t="s">
        <v>4664</v>
      </c>
      <c r="E1192" s="1164"/>
      <c r="F1192" s="1165">
        <v>44280</v>
      </c>
      <c r="G1192" s="1166" t="s">
        <v>4585</v>
      </c>
      <c r="H1192" s="1167">
        <v>10</v>
      </c>
      <c r="I1192" s="1168">
        <f>IF(DAY($F1192)&gt;15, VLOOKUP(EOMONTH($F1192,-1),'WP 3.1 Rate Case Regress.'!$C$5:$D$556,2,FALSE), VLOOKUP(EOMONTH($F1192, -2), 'WP 3.1 Rate Case Regress.'!$C$5:$D$556, 2, FALSE))</f>
        <v>3.09</v>
      </c>
    </row>
    <row r="1193" spans="2:9" ht="30" x14ac:dyDescent="0.5">
      <c r="B1193" s="1162" t="s">
        <v>2738</v>
      </c>
      <c r="C1193" s="1163" t="s">
        <v>2939</v>
      </c>
      <c r="D1193" s="1163" t="s">
        <v>4665</v>
      </c>
      <c r="E1193" s="1164"/>
      <c r="F1193" s="1165">
        <v>44280</v>
      </c>
      <c r="G1193" s="1166" t="s">
        <v>4585</v>
      </c>
      <c r="H1193" s="1167">
        <v>10</v>
      </c>
      <c r="I1193" s="1168">
        <f>IF(DAY($F1193)&gt;15, VLOOKUP(EOMONTH($F1193,-1),'WP 3.1 Rate Case Regress.'!$C$5:$D$556,2,FALSE), VLOOKUP(EOMONTH($F1193, -2), 'WP 3.1 Rate Case Regress.'!$C$5:$D$556, 2, FALSE))</f>
        <v>3.09</v>
      </c>
    </row>
    <row r="1194" spans="2:9" x14ac:dyDescent="0.5">
      <c r="B1194" s="1162" t="s">
        <v>2698</v>
      </c>
      <c r="C1194" s="1163" t="s">
        <v>2895</v>
      </c>
      <c r="D1194" s="1163" t="s">
        <v>3767</v>
      </c>
      <c r="E1194" s="1164"/>
      <c r="F1194" s="1165">
        <v>44295</v>
      </c>
      <c r="G1194" s="1166" t="s">
        <v>2695</v>
      </c>
      <c r="H1194" s="1167">
        <v>9.6999999999999993</v>
      </c>
      <c r="I1194" s="1168">
        <f>IF(DAY($F1194)&gt;15, VLOOKUP(EOMONTH($F1194,-1),'WP 3.1 Rate Case Regress.'!$C$5:$D$556,2,FALSE), VLOOKUP(EOMONTH($F1194, -2), 'WP 3.1 Rate Case Regress.'!$C$5:$D$556, 2, FALSE))</f>
        <v>3.09</v>
      </c>
    </row>
    <row r="1195" spans="2:9" x14ac:dyDescent="0.5">
      <c r="B1195" s="1162" t="s">
        <v>2762</v>
      </c>
      <c r="C1195" s="1163" t="s">
        <v>2746</v>
      </c>
      <c r="D1195" s="1163" t="s">
        <v>4642</v>
      </c>
      <c r="E1195" s="1164"/>
      <c r="F1195" s="1165">
        <v>44321</v>
      </c>
      <c r="G1195" s="1166" t="s">
        <v>4585</v>
      </c>
      <c r="H1195" s="1167">
        <v>9.3000000000000007</v>
      </c>
      <c r="I1195" s="1168">
        <f>IF(DAY($F1195)&gt;15, VLOOKUP(EOMONTH($F1195,-1),'WP 3.1 Rate Case Regress.'!$C$5:$D$556,2,FALSE), VLOOKUP(EOMONTH($F1195, -2), 'WP 3.1 Rate Case Regress.'!$C$5:$D$556, 2, FALSE))</f>
        <v>3.44</v>
      </c>
    </row>
    <row r="1196" spans="2:9" x14ac:dyDescent="0.5">
      <c r="B1196" s="1162" t="s">
        <v>2736</v>
      </c>
      <c r="C1196" s="1163" t="s">
        <v>2980</v>
      </c>
      <c r="D1196" s="1163" t="s">
        <v>3768</v>
      </c>
      <c r="E1196" s="1164"/>
      <c r="F1196" s="1165">
        <v>44334</v>
      </c>
      <c r="G1196" s="1166" t="s">
        <v>2695</v>
      </c>
      <c r="H1196" s="1167">
        <v>9.4</v>
      </c>
      <c r="I1196" s="1168">
        <f>IF(DAY($F1196)&gt;15, VLOOKUP(EOMONTH($F1196,-1),'WP 3.1 Rate Case Regress.'!$C$5:$D$556,2,FALSE), VLOOKUP(EOMONTH($F1196, -2), 'WP 3.1 Rate Case Regress.'!$C$5:$D$556, 2, FALSE))</f>
        <v>3.3</v>
      </c>
    </row>
    <row r="1197" spans="2:9" x14ac:dyDescent="0.5">
      <c r="B1197" s="1162" t="s">
        <v>2704</v>
      </c>
      <c r="C1197" s="1163" t="s">
        <v>3769</v>
      </c>
      <c r="D1197" s="1163" t="s">
        <v>3770</v>
      </c>
      <c r="E1197" s="1164"/>
      <c r="F1197" s="1165">
        <v>44335</v>
      </c>
      <c r="G1197" s="1166" t="s">
        <v>2695</v>
      </c>
      <c r="H1197" s="1167">
        <v>8.8000000000000007</v>
      </c>
      <c r="I1197" s="1168">
        <f>IF(DAY($F1197)&gt;15, VLOOKUP(EOMONTH($F1197,-1),'WP 3.1 Rate Case Regress.'!$C$5:$D$556,2,FALSE), VLOOKUP(EOMONTH($F1197, -2), 'WP 3.1 Rate Case Regress.'!$C$5:$D$556, 2, FALSE))</f>
        <v>3.3</v>
      </c>
    </row>
    <row r="1198" spans="2:9" x14ac:dyDescent="0.5">
      <c r="B1198" s="1162" t="s">
        <v>2696</v>
      </c>
      <c r="C1198" s="1163" t="s">
        <v>2697</v>
      </c>
      <c r="D1198" s="1163" t="s">
        <v>3771</v>
      </c>
      <c r="E1198" s="1164"/>
      <c r="F1198" s="1165">
        <v>44364</v>
      </c>
      <c r="G1198" s="1166" t="s">
        <v>2695</v>
      </c>
      <c r="H1198" s="1167">
        <v>10.24</v>
      </c>
      <c r="I1198" s="1168">
        <f>IF(DAY($F1198)&gt;15, VLOOKUP(EOMONTH($F1198,-1),'WP 3.1 Rate Case Regress.'!$C$5:$D$556,2,FALSE), VLOOKUP(EOMONTH($F1198, -2), 'WP 3.1 Rate Case Regress.'!$C$5:$D$556, 2, FALSE))</f>
        <v>3.33</v>
      </c>
    </row>
    <row r="1199" spans="2:9" x14ac:dyDescent="0.5">
      <c r="B1199" s="1162" t="s">
        <v>2728</v>
      </c>
      <c r="C1199" s="1163" t="s">
        <v>2729</v>
      </c>
      <c r="D1199" s="1163" t="s">
        <v>5107</v>
      </c>
      <c r="E1199" s="1164"/>
      <c r="F1199" s="1165">
        <v>44377</v>
      </c>
      <c r="G1199" s="1166" t="s">
        <v>4585</v>
      </c>
      <c r="H1199" s="1167">
        <v>9.43</v>
      </c>
      <c r="I1199" s="1168">
        <f>IF(DAY($F1199)&gt;15, VLOOKUP(EOMONTH($F1199,-1),'WP 3.1 Rate Case Regress.'!$C$5:$D$556,2,FALSE), VLOOKUP(EOMONTH($F1199, -2), 'WP 3.1 Rate Case Regress.'!$C$5:$D$556, 2, FALSE))</f>
        <v>3.33</v>
      </c>
    </row>
    <row r="1200" spans="2:9" x14ac:dyDescent="0.5">
      <c r="B1200" s="1162" t="s">
        <v>2724</v>
      </c>
      <c r="C1200" s="1163" t="s">
        <v>2942</v>
      </c>
      <c r="D1200" s="1163" t="s">
        <v>3772</v>
      </c>
      <c r="E1200" s="1164"/>
      <c r="F1200" s="1165">
        <v>44404</v>
      </c>
      <c r="G1200" s="1166" t="s">
        <v>2695</v>
      </c>
      <c r="H1200" s="1167">
        <v>9.5399999999999991</v>
      </c>
      <c r="I1200" s="1168">
        <f>IF(DAY($F1200)&gt;15, VLOOKUP(EOMONTH($F1200,-1),'WP 3.1 Rate Case Regress.'!$C$5:$D$556,2,FALSE), VLOOKUP(EOMONTH($F1200, -2), 'WP 3.1 Rate Case Regress.'!$C$5:$D$556, 2, FALSE))</f>
        <v>3.16</v>
      </c>
    </row>
    <row r="1201" spans="2:9" x14ac:dyDescent="0.5">
      <c r="B1201" s="1162" t="s">
        <v>2776</v>
      </c>
      <c r="C1201" s="1163" t="s">
        <v>3602</v>
      </c>
      <c r="D1201" s="1163" t="s">
        <v>4666</v>
      </c>
      <c r="E1201" s="1164"/>
      <c r="F1201" s="1165">
        <v>44407</v>
      </c>
      <c r="G1201" s="1166" t="s">
        <v>4585</v>
      </c>
      <c r="H1201" s="1167">
        <v>9.3000000000000007</v>
      </c>
      <c r="I1201" s="1168">
        <f>IF(DAY($F1201)&gt;15, VLOOKUP(EOMONTH($F1201,-1),'WP 3.1 Rate Case Regress.'!$C$5:$D$556,2,FALSE), VLOOKUP(EOMONTH($F1201, -2), 'WP 3.1 Rate Case Regress.'!$C$5:$D$556, 2, FALSE))</f>
        <v>3.16</v>
      </c>
    </row>
    <row r="1202" spans="2:9" x14ac:dyDescent="0.5">
      <c r="B1202" s="1162" t="s">
        <v>2704</v>
      </c>
      <c r="C1202" s="1163" t="s">
        <v>4596</v>
      </c>
      <c r="D1202" s="1163" t="s">
        <v>4597</v>
      </c>
      <c r="E1202" s="1164"/>
      <c r="F1202" s="1165">
        <v>44420</v>
      </c>
      <c r="G1202" s="1166" t="s">
        <v>4585</v>
      </c>
      <c r="H1202" s="1167">
        <v>8.8000000000000007</v>
      </c>
      <c r="I1202" s="1168">
        <f>IF(DAY($F1202)&gt;15, VLOOKUP(EOMONTH($F1202,-1),'WP 3.1 Rate Case Regress.'!$C$5:$D$556,2,FALSE), VLOOKUP(EOMONTH($F1202, -2), 'WP 3.1 Rate Case Regress.'!$C$5:$D$556, 2, FALSE))</f>
        <v>3.16</v>
      </c>
    </row>
    <row r="1203" spans="2:9" x14ac:dyDescent="0.5">
      <c r="B1203" s="1162" t="s">
        <v>2704</v>
      </c>
      <c r="C1203" s="1163" t="s">
        <v>2934</v>
      </c>
      <c r="D1203" s="1163" t="s">
        <v>4598</v>
      </c>
      <c r="E1203" s="1164"/>
      <c r="F1203" s="1165">
        <v>44420</v>
      </c>
      <c r="G1203" s="1166" t="s">
        <v>4585</v>
      </c>
      <c r="H1203" s="1167">
        <v>8.8000000000000007</v>
      </c>
      <c r="I1203" s="1168">
        <f>IF(DAY($F1203)&gt;15, VLOOKUP(EOMONTH($F1203,-1),'WP 3.1 Rate Case Regress.'!$C$5:$D$556,2,FALSE), VLOOKUP(EOMONTH($F1203, -2), 'WP 3.1 Rate Case Regress.'!$C$5:$D$556, 2, FALSE))</f>
        <v>3.16</v>
      </c>
    </row>
    <row r="1204" spans="2:9" x14ac:dyDescent="0.5">
      <c r="B1204" s="1162" t="s">
        <v>2726</v>
      </c>
      <c r="C1204" s="1163" t="s">
        <v>2727</v>
      </c>
      <c r="D1204" s="1163" t="s">
        <v>4625</v>
      </c>
      <c r="E1204" s="1164"/>
      <c r="F1204" s="1165">
        <v>44440</v>
      </c>
      <c r="G1204" s="1166" t="s">
        <v>4585</v>
      </c>
      <c r="H1204" s="1167">
        <v>9.4</v>
      </c>
      <c r="I1204" s="1168">
        <f>IF(DAY($F1204)&gt;15, VLOOKUP(EOMONTH($F1204,-1),'WP 3.1 Rate Case Regress.'!$C$5:$D$556,2,FALSE), VLOOKUP(EOMONTH($F1204, -2), 'WP 3.1 Rate Case Regress.'!$C$5:$D$556, 2, FALSE))</f>
        <v>2.95</v>
      </c>
    </row>
    <row r="1205" spans="2:9" x14ac:dyDescent="0.5">
      <c r="B1205" s="1162" t="s">
        <v>2693</v>
      </c>
      <c r="C1205" s="1163" t="s">
        <v>2959</v>
      </c>
      <c r="D1205" s="1163" t="s">
        <v>3773</v>
      </c>
      <c r="E1205" s="1164"/>
      <c r="F1205" s="1165">
        <v>44447</v>
      </c>
      <c r="G1205" s="1166" t="s">
        <v>2695</v>
      </c>
      <c r="H1205" s="1167">
        <v>9.67</v>
      </c>
      <c r="I1205" s="1168">
        <f>IF(DAY($F1205)&gt;15, VLOOKUP(EOMONTH($F1205,-1),'WP 3.1 Rate Case Regress.'!$C$5:$D$556,2,FALSE), VLOOKUP(EOMONTH($F1205, -2), 'WP 3.1 Rate Case Regress.'!$C$5:$D$556, 2, FALSE))</f>
        <v>2.95</v>
      </c>
    </row>
    <row r="1206" spans="2:9" x14ac:dyDescent="0.5">
      <c r="B1206" s="1162" t="s">
        <v>2744</v>
      </c>
      <c r="C1206" s="1163" t="s">
        <v>3244</v>
      </c>
      <c r="D1206" s="1163" t="s">
        <v>5108</v>
      </c>
      <c r="E1206" s="1164"/>
      <c r="F1206" s="1165">
        <v>44448</v>
      </c>
      <c r="G1206" s="1166" t="s">
        <v>4585</v>
      </c>
      <c r="H1206" s="1167">
        <v>9.85</v>
      </c>
      <c r="I1206" s="1168">
        <f>IF(DAY($F1206)&gt;15, VLOOKUP(EOMONTH($F1206,-1),'WP 3.1 Rate Case Regress.'!$C$5:$D$556,2,FALSE), VLOOKUP(EOMONTH($F1206, -2), 'WP 3.1 Rate Case Regress.'!$C$5:$D$556, 2, FALSE))</f>
        <v>2.95</v>
      </c>
    </row>
    <row r="1207" spans="2:9" x14ac:dyDescent="0.5">
      <c r="B1207" s="1162" t="s">
        <v>2766</v>
      </c>
      <c r="C1207" s="1163" t="s">
        <v>3110</v>
      </c>
      <c r="D1207" s="1163" t="s">
        <v>4660</v>
      </c>
      <c r="E1207" s="1164"/>
      <c r="F1207" s="1165">
        <v>44453</v>
      </c>
      <c r="G1207" s="1166" t="s">
        <v>4585</v>
      </c>
      <c r="H1207" s="1167">
        <v>9.5</v>
      </c>
      <c r="I1207" s="1168">
        <f>IF(DAY($F1207)&gt;15, VLOOKUP(EOMONTH($F1207,-1),'WP 3.1 Rate Case Regress.'!$C$5:$D$556,2,FALSE), VLOOKUP(EOMONTH($F1207, -2), 'WP 3.1 Rate Case Regress.'!$C$5:$D$556, 2, FALSE))</f>
        <v>2.95</v>
      </c>
    </row>
    <row r="1208" spans="2:9" x14ac:dyDescent="0.5">
      <c r="B1208" s="1162" t="s">
        <v>2736</v>
      </c>
      <c r="C1208" s="1163" t="s">
        <v>2727</v>
      </c>
      <c r="D1208" s="1163" t="s">
        <v>4612</v>
      </c>
      <c r="E1208" s="1164"/>
      <c r="F1208" s="1165">
        <v>44466</v>
      </c>
      <c r="G1208" s="1166" t="s">
        <v>4585</v>
      </c>
      <c r="H1208" s="1167">
        <v>9.4</v>
      </c>
      <c r="I1208" s="1168">
        <f>IF(DAY($F1208)&gt;15, VLOOKUP(EOMONTH($F1208,-1),'WP 3.1 Rate Case Regress.'!$C$5:$D$556,2,FALSE), VLOOKUP(EOMONTH($F1208, -2), 'WP 3.1 Rate Case Regress.'!$C$5:$D$556, 2, FALSE))</f>
        <v>2.95</v>
      </c>
    </row>
    <row r="1209" spans="2:9" x14ac:dyDescent="0.5">
      <c r="B1209" s="1162" t="s">
        <v>2757</v>
      </c>
      <c r="C1209" s="1163" t="s">
        <v>3012</v>
      </c>
      <c r="D1209" s="1163" t="s">
        <v>4673</v>
      </c>
      <c r="E1209" s="1164"/>
      <c r="F1209" s="1165">
        <v>44468</v>
      </c>
      <c r="G1209" s="1166" t="s">
        <v>4585</v>
      </c>
      <c r="H1209" s="1167">
        <v>9.8000000000000007</v>
      </c>
      <c r="I1209" s="1168">
        <f>IF(DAY($F1209)&gt;15, VLOOKUP(EOMONTH($F1209,-1),'WP 3.1 Rate Case Regress.'!$C$5:$D$556,2,FALSE), VLOOKUP(EOMONTH($F1209, -2), 'WP 3.1 Rate Case Regress.'!$C$5:$D$556, 2, FALSE))</f>
        <v>2.95</v>
      </c>
    </row>
    <row r="1210" spans="2:9" x14ac:dyDescent="0.5">
      <c r="B1210" s="1162" t="s">
        <v>2700</v>
      </c>
      <c r="C1210" s="1163" t="s">
        <v>3082</v>
      </c>
      <c r="D1210" s="1163" t="s">
        <v>3774</v>
      </c>
      <c r="E1210" s="1164"/>
      <c r="F1210" s="1165">
        <v>44469</v>
      </c>
      <c r="G1210" s="1166" t="s">
        <v>2695</v>
      </c>
      <c r="H1210" s="1167">
        <v>9.6999999999999993</v>
      </c>
      <c r="I1210" s="1168">
        <f>IF(DAY($F1210)&gt;15, VLOOKUP(EOMONTH($F1210,-1),'WP 3.1 Rate Case Regress.'!$C$5:$D$556,2,FALSE), VLOOKUP(EOMONTH($F1210, -2), 'WP 3.1 Rate Case Regress.'!$C$5:$D$556, 2, FALSE))</f>
        <v>2.95</v>
      </c>
    </row>
    <row r="1211" spans="2:9" x14ac:dyDescent="0.5">
      <c r="B1211" s="1162" t="s">
        <v>2739</v>
      </c>
      <c r="C1211" s="1163" t="s">
        <v>4589</v>
      </c>
      <c r="D1211" s="1163" t="s">
        <v>4590</v>
      </c>
      <c r="E1211" s="1164"/>
      <c r="F1211" s="1165">
        <v>44475</v>
      </c>
      <c r="G1211" s="1166" t="s">
        <v>4585</v>
      </c>
      <c r="H1211" s="1167">
        <v>9.6999999999999993</v>
      </c>
      <c r="I1211" s="1168">
        <f>IF(DAY($F1211)&gt;15, VLOOKUP(EOMONTH($F1211,-1),'WP 3.1 Rate Case Regress.'!$C$5:$D$556,2,FALSE), VLOOKUP(EOMONTH($F1211, -2), 'WP 3.1 Rate Case Regress.'!$C$5:$D$556, 2, FALSE))</f>
        <v>2.95</v>
      </c>
    </row>
    <row r="1212" spans="2:9" x14ac:dyDescent="0.5">
      <c r="B1212" s="1162" t="s">
        <v>2756</v>
      </c>
      <c r="C1212" s="1163" t="s">
        <v>2875</v>
      </c>
      <c r="D1212" s="1163" t="s">
        <v>3775</v>
      </c>
      <c r="E1212" s="1164"/>
      <c r="F1212" s="1165">
        <v>44496</v>
      </c>
      <c r="G1212" s="1166" t="s">
        <v>2695</v>
      </c>
      <c r="H1212" s="1167">
        <v>9.3699999999999992</v>
      </c>
      <c r="I1212" s="1168">
        <f>IF(DAY($F1212)&gt;15, VLOOKUP(EOMONTH($F1212,-1),'WP 3.1 Rate Case Regress.'!$C$5:$D$556,2,FALSE), VLOOKUP(EOMONTH($F1212, -2), 'WP 3.1 Rate Case Regress.'!$C$5:$D$556, 2, FALSE))</f>
        <v>2.96</v>
      </c>
    </row>
    <row r="1213" spans="2:9" x14ac:dyDescent="0.5">
      <c r="B1213" s="1162" t="s">
        <v>2739</v>
      </c>
      <c r="C1213" s="1163" t="s">
        <v>2956</v>
      </c>
      <c r="D1213" s="1163" t="s">
        <v>4591</v>
      </c>
      <c r="E1213" s="1164"/>
      <c r="F1213" s="1165">
        <v>44517</v>
      </c>
      <c r="G1213" s="1166" t="s">
        <v>4585</v>
      </c>
      <c r="H1213" s="1167">
        <v>9.8000000000000007</v>
      </c>
      <c r="I1213" s="1168">
        <f>IF(DAY($F1213)&gt;15, VLOOKUP(EOMONTH($F1213,-1),'WP 3.1 Rate Case Regress.'!$C$5:$D$556,2,FALSE), VLOOKUP(EOMONTH($F1213, -2), 'WP 3.1 Rate Case Regress.'!$C$5:$D$556, 2, FALSE))</f>
        <v>3.09</v>
      </c>
    </row>
    <row r="1214" spans="2:9" x14ac:dyDescent="0.5">
      <c r="B1214" s="1162" t="s">
        <v>2712</v>
      </c>
      <c r="C1214" s="1163" t="s">
        <v>3255</v>
      </c>
      <c r="D1214" s="1163" t="s">
        <v>4693</v>
      </c>
      <c r="E1214" s="1164"/>
      <c r="F1214" s="1165">
        <v>44517</v>
      </c>
      <c r="G1214" s="1166" t="s">
        <v>4585</v>
      </c>
      <c r="H1214" s="1167">
        <v>9.6</v>
      </c>
      <c r="I1214" s="1168">
        <f>IF(DAY($F1214)&gt;15, VLOOKUP(EOMONTH($F1214,-1),'WP 3.1 Rate Case Regress.'!$C$5:$D$556,2,FALSE), VLOOKUP(EOMONTH($F1214, -2), 'WP 3.1 Rate Case Regress.'!$C$5:$D$556, 2, FALSE))</f>
        <v>3.09</v>
      </c>
    </row>
    <row r="1215" spans="2:9" ht="30" x14ac:dyDescent="0.5">
      <c r="B1215" s="1162" t="s">
        <v>2702</v>
      </c>
      <c r="C1215" s="1163" t="s">
        <v>2755</v>
      </c>
      <c r="D1215" s="1163" t="s">
        <v>4680</v>
      </c>
      <c r="E1215" s="1164"/>
      <c r="F1215" s="1165">
        <v>44518</v>
      </c>
      <c r="G1215" s="1166" t="s">
        <v>4585</v>
      </c>
      <c r="H1215" s="1167">
        <v>10</v>
      </c>
      <c r="I1215" s="1168">
        <f>IF(DAY($F1215)&gt;15, VLOOKUP(EOMONTH($F1215,-1),'WP 3.1 Rate Case Regress.'!$C$5:$D$556,2,FALSE), VLOOKUP(EOMONTH($F1215, -2), 'WP 3.1 Rate Case Regress.'!$C$5:$D$556, 2, FALSE))</f>
        <v>3.09</v>
      </c>
    </row>
    <row r="1216" spans="2:9" ht="30" x14ac:dyDescent="0.5">
      <c r="B1216" s="1162" t="s">
        <v>2702</v>
      </c>
      <c r="C1216" s="1163" t="s">
        <v>2749</v>
      </c>
      <c r="D1216" s="1163" t="s">
        <v>4681</v>
      </c>
      <c r="E1216" s="1164"/>
      <c r="F1216" s="1165">
        <v>44518</v>
      </c>
      <c r="G1216" s="1166" t="s">
        <v>4585</v>
      </c>
      <c r="H1216" s="1167">
        <v>10</v>
      </c>
      <c r="I1216" s="1168">
        <f>IF(DAY($F1216)&gt;15, VLOOKUP(EOMONTH($F1216,-1),'WP 3.1 Rate Case Regress.'!$C$5:$D$556,2,FALSE), VLOOKUP(EOMONTH($F1216, -2), 'WP 3.1 Rate Case Regress.'!$C$5:$D$556, 2, FALSE))</f>
        <v>3.09</v>
      </c>
    </row>
    <row r="1217" spans="2:9" x14ac:dyDescent="0.5">
      <c r="B1217" s="1162" t="s">
        <v>2693</v>
      </c>
      <c r="C1217" s="1163" t="s">
        <v>2629</v>
      </c>
      <c r="D1217" s="1163" t="s">
        <v>3776</v>
      </c>
      <c r="E1217" s="1164"/>
      <c r="F1217" s="1165">
        <v>44518</v>
      </c>
      <c r="G1217" s="1166" t="s">
        <v>2695</v>
      </c>
      <c r="H1217" s="1167">
        <v>9.75</v>
      </c>
      <c r="I1217" s="1168">
        <f>IF(DAY($F1217)&gt;15, VLOOKUP(EOMONTH($F1217,-1),'WP 3.1 Rate Case Regress.'!$C$5:$D$556,2,FALSE), VLOOKUP(EOMONTH($F1217, -2), 'WP 3.1 Rate Case Regress.'!$C$5:$D$556, 2, FALSE))</f>
        <v>3.09</v>
      </c>
    </row>
    <row r="1218" spans="2:9" x14ac:dyDescent="0.5">
      <c r="B1218" s="1162" t="s">
        <v>2704</v>
      </c>
      <c r="C1218" s="1163" t="s">
        <v>2750</v>
      </c>
      <c r="D1218" s="1163" t="s">
        <v>4626</v>
      </c>
      <c r="E1218" s="1164"/>
      <c r="F1218" s="1165">
        <v>44518</v>
      </c>
      <c r="G1218" s="1166" t="s">
        <v>4585</v>
      </c>
      <c r="H1218" s="1167">
        <v>9</v>
      </c>
      <c r="I1218" s="1168">
        <f>IF(DAY($F1218)&gt;15, VLOOKUP(EOMONTH($F1218,-1),'WP 3.1 Rate Case Regress.'!$C$5:$D$556,2,FALSE), VLOOKUP(EOMONTH($F1218, -2), 'WP 3.1 Rate Case Regress.'!$C$5:$D$556, 2, FALSE))</f>
        <v>3.09</v>
      </c>
    </row>
    <row r="1219" spans="2:9" ht="30" x14ac:dyDescent="0.5">
      <c r="B1219" s="1162" t="s">
        <v>2702</v>
      </c>
      <c r="C1219" s="1163" t="s">
        <v>4701</v>
      </c>
      <c r="D1219" s="1163" t="s">
        <v>4704</v>
      </c>
      <c r="E1219" s="1164"/>
      <c r="F1219" s="1165">
        <v>44523</v>
      </c>
      <c r="G1219" s="1166" t="s">
        <v>4585</v>
      </c>
      <c r="H1219" s="1167">
        <v>9.8000000000000007</v>
      </c>
      <c r="I1219" s="1168">
        <f>IF(DAY($F1219)&gt;15, VLOOKUP(EOMONTH($F1219,-1),'WP 3.1 Rate Case Regress.'!$C$5:$D$556,2,FALSE), VLOOKUP(EOMONTH($F1219, -2), 'WP 3.1 Rate Case Regress.'!$C$5:$D$556, 2, FALSE))</f>
        <v>3.09</v>
      </c>
    </row>
    <row r="1220" spans="2:9" x14ac:dyDescent="0.5">
      <c r="B1220" s="1162" t="s">
        <v>2701</v>
      </c>
      <c r="C1220" s="1163" t="s">
        <v>2900</v>
      </c>
      <c r="D1220" s="1163" t="s">
        <v>4712</v>
      </c>
      <c r="E1220" s="1164"/>
      <c r="F1220" s="1165">
        <v>44530</v>
      </c>
      <c r="G1220" s="1166" t="s">
        <v>4585</v>
      </c>
      <c r="H1220" s="1167">
        <v>9.4</v>
      </c>
      <c r="I1220" s="1168">
        <f>IF(DAY($F1220)&gt;15, VLOOKUP(EOMONTH($F1220,-1),'WP 3.1 Rate Case Regress.'!$C$5:$D$556,2,FALSE), VLOOKUP(EOMONTH($F1220, -2), 'WP 3.1 Rate Case Regress.'!$C$5:$D$556, 2, FALSE))</f>
        <v>3.09</v>
      </c>
    </row>
    <row r="1221" spans="2:9" x14ac:dyDescent="0.5">
      <c r="B1221" s="1162" t="s">
        <v>2698</v>
      </c>
      <c r="C1221" s="1163" t="s">
        <v>3678</v>
      </c>
      <c r="D1221" s="1163" t="s">
        <v>3777</v>
      </c>
      <c r="E1221" s="1164"/>
      <c r="F1221" s="1165">
        <v>44533</v>
      </c>
      <c r="G1221" s="1166" t="s">
        <v>2695</v>
      </c>
      <c r="H1221" s="1167">
        <v>9.65</v>
      </c>
      <c r="I1221" s="1168">
        <f>IF(DAY($F1221)&gt;15, VLOOKUP(EOMONTH($F1221,-1),'WP 3.1 Rate Case Regress.'!$C$5:$D$556,2,FALSE), VLOOKUP(EOMONTH($F1221, -2), 'WP 3.1 Rate Case Regress.'!$C$5:$D$556, 2, FALSE))</f>
        <v>3.09</v>
      </c>
    </row>
    <row r="1222" spans="2:9" x14ac:dyDescent="0.5">
      <c r="B1222" s="1162" t="s">
        <v>2744</v>
      </c>
      <c r="C1222" s="1163" t="s">
        <v>2972</v>
      </c>
      <c r="D1222" s="1163" t="s">
        <v>3778</v>
      </c>
      <c r="E1222" s="1164"/>
      <c r="F1222" s="1165">
        <v>44539</v>
      </c>
      <c r="G1222" s="1166" t="s">
        <v>2695</v>
      </c>
      <c r="H1222" s="1167">
        <v>9.9</v>
      </c>
      <c r="I1222" s="1168">
        <f>IF(DAY($F1222)&gt;15, VLOOKUP(EOMONTH($F1222,-1),'WP 3.1 Rate Case Regress.'!$C$5:$D$556,2,FALSE), VLOOKUP(EOMONTH($F1222, -2), 'WP 3.1 Rate Case Regress.'!$C$5:$D$556, 2, FALSE))</f>
        <v>3.09</v>
      </c>
    </row>
    <row r="1223" spans="2:9" x14ac:dyDescent="0.5">
      <c r="B1223" s="1162" t="s">
        <v>2715</v>
      </c>
      <c r="C1223" s="1163" t="s">
        <v>3756</v>
      </c>
      <c r="D1223" s="1163" t="s">
        <v>4641</v>
      </c>
      <c r="E1223" s="1164"/>
      <c r="F1223" s="1165">
        <v>44543</v>
      </c>
      <c r="G1223" s="1166" t="s">
        <v>4585</v>
      </c>
      <c r="H1223" s="1167">
        <v>9.1999999999999993</v>
      </c>
      <c r="I1223" s="1168">
        <f>IF(DAY($F1223)&gt;15, VLOOKUP(EOMONTH($F1223,-1),'WP 3.1 Rate Case Regress.'!$C$5:$D$556,2,FALSE), VLOOKUP(EOMONTH($F1223, -2), 'WP 3.1 Rate Case Regress.'!$C$5:$D$556, 2, FALSE))</f>
        <v>3.09</v>
      </c>
    </row>
    <row r="1224" spans="2:9" x14ac:dyDescent="0.5">
      <c r="B1224" s="1162" t="s">
        <v>2708</v>
      </c>
      <c r="C1224" s="1163" t="s">
        <v>3271</v>
      </c>
      <c r="D1224" s="1163" t="s">
        <v>4638</v>
      </c>
      <c r="E1224" s="1164"/>
      <c r="F1224" s="1165">
        <v>44558</v>
      </c>
      <c r="G1224" s="1166" t="s">
        <v>4585</v>
      </c>
      <c r="H1224" s="1167">
        <v>9.6</v>
      </c>
      <c r="I1224" s="1168">
        <f>IF(DAY($F1224)&gt;15, VLOOKUP(EOMONTH($F1224,-1),'WP 3.1 Rate Case Regress.'!$C$5:$D$556,2,FALSE), VLOOKUP(EOMONTH($F1224, -2), 'WP 3.1 Rate Case Regress.'!$C$5:$D$556, 2, FALSE))</f>
        <v>3.02</v>
      </c>
    </row>
    <row r="1225" spans="2:9" x14ac:dyDescent="0.5">
      <c r="B1225" s="1162" t="s">
        <v>2728</v>
      </c>
      <c r="C1225" s="1163" t="s">
        <v>2771</v>
      </c>
      <c r="D1225" s="1163" t="s">
        <v>4653</v>
      </c>
      <c r="E1225" s="1164"/>
      <c r="F1225" s="1165">
        <v>44558</v>
      </c>
      <c r="G1225" s="1166" t="s">
        <v>4585</v>
      </c>
      <c r="H1225" s="1167">
        <v>9.3800000000000008</v>
      </c>
      <c r="I1225" s="1168">
        <f>IF(DAY($F1225)&gt;15, VLOOKUP(EOMONTH($F1225,-1),'WP 3.1 Rate Case Regress.'!$C$5:$D$556,2,FALSE), VLOOKUP(EOMONTH($F1225, -2), 'WP 3.1 Rate Case Regress.'!$C$5:$D$556, 2, FALSE))</f>
        <v>3.02</v>
      </c>
    </row>
    <row r="1226" spans="2:9" x14ac:dyDescent="0.5">
      <c r="B1226" s="1162" t="s">
        <v>2728</v>
      </c>
      <c r="C1226" s="1163" t="s">
        <v>3144</v>
      </c>
      <c r="D1226" s="1163" t="s">
        <v>4686</v>
      </c>
      <c r="E1226" s="1164"/>
      <c r="F1226" s="1165">
        <v>44558</v>
      </c>
      <c r="G1226" s="1166" t="s">
        <v>4585</v>
      </c>
      <c r="H1226" s="1167">
        <v>9.35</v>
      </c>
      <c r="I1226" s="1168">
        <f>IF(DAY($F1226)&gt;15, VLOOKUP(EOMONTH($F1226,-1),'WP 3.1 Rate Case Regress.'!$C$5:$D$556,2,FALSE), VLOOKUP(EOMONTH($F1226, -2), 'WP 3.1 Rate Case Regress.'!$C$5:$D$556, 2, FALSE))</f>
        <v>3.02</v>
      </c>
    </row>
    <row r="1227" spans="2:9" x14ac:dyDescent="0.5">
      <c r="B1227" s="1162" t="s">
        <v>2728</v>
      </c>
      <c r="C1227" s="1163" t="s">
        <v>3636</v>
      </c>
      <c r="D1227" s="1163" t="s">
        <v>5109</v>
      </c>
      <c r="E1227" s="1164"/>
      <c r="F1227" s="1165">
        <v>44564</v>
      </c>
      <c r="G1227" s="1166" t="s">
        <v>4585</v>
      </c>
      <c r="H1227" s="1167">
        <v>9.25</v>
      </c>
      <c r="I1227" s="1168">
        <f>IF(DAY($F1227)&gt;15, VLOOKUP(EOMONTH($F1227,-1),'WP 3.1 Rate Case Regress.'!$C$5:$D$556,2,FALSE), VLOOKUP(EOMONTH($F1227, -2), 'WP 3.1 Rate Case Regress.'!$C$5:$D$556, 2, FALSE))</f>
        <v>3.02</v>
      </c>
    </row>
    <row r="1228" spans="2:9" x14ac:dyDescent="0.5">
      <c r="B1228" s="1162" t="s">
        <v>2743</v>
      </c>
      <c r="C1228" s="1163" t="s">
        <v>3012</v>
      </c>
      <c r="D1228" s="1163" t="s">
        <v>4658</v>
      </c>
      <c r="E1228" s="1164"/>
      <c r="F1228" s="1165">
        <v>44567</v>
      </c>
      <c r="G1228" s="1166" t="s">
        <v>4585</v>
      </c>
      <c r="H1228" s="1167">
        <v>9.6</v>
      </c>
      <c r="I1228" s="1168">
        <f>IF(DAY($F1228)&gt;15, VLOOKUP(EOMONTH($F1228,-1),'WP 3.1 Rate Case Regress.'!$C$5:$D$556,2,FALSE), VLOOKUP(EOMONTH($F1228, -2), 'WP 3.1 Rate Case Regress.'!$C$5:$D$556, 2, FALSE))</f>
        <v>3.02</v>
      </c>
    </row>
    <row r="1229" spans="2:9" x14ac:dyDescent="0.5">
      <c r="B1229" s="1162" t="s">
        <v>2704</v>
      </c>
      <c r="C1229" s="1163" t="s">
        <v>2705</v>
      </c>
      <c r="D1229" s="1163" t="s">
        <v>4599</v>
      </c>
      <c r="E1229" s="1164"/>
      <c r="F1229" s="1165">
        <v>44581</v>
      </c>
      <c r="G1229" s="1166" t="s">
        <v>4585</v>
      </c>
      <c r="H1229" s="1167">
        <v>9</v>
      </c>
      <c r="I1229" s="1168">
        <f>IF(DAY($F1229)&gt;15, VLOOKUP(EOMONTH($F1229,-1),'WP 3.1 Rate Case Regress.'!$C$5:$D$556,2,FALSE), VLOOKUP(EOMONTH($F1229, -2), 'WP 3.1 Rate Case Regress.'!$C$5:$D$556, 2, FALSE))</f>
        <v>3.04</v>
      </c>
    </row>
    <row r="1230" spans="2:9" x14ac:dyDescent="0.5">
      <c r="B1230" s="1162" t="s">
        <v>2743</v>
      </c>
      <c r="C1230" s="1163" t="s">
        <v>2969</v>
      </c>
      <c r="D1230" s="1163" t="s">
        <v>4659</v>
      </c>
      <c r="E1230" s="1164"/>
      <c r="F1230" s="1165">
        <v>44582</v>
      </c>
      <c r="G1230" s="1166" t="s">
        <v>4585</v>
      </c>
      <c r="H1230" s="1167">
        <v>9.6</v>
      </c>
      <c r="I1230" s="1168">
        <f>IF(DAY($F1230)&gt;15, VLOOKUP(EOMONTH($F1230,-1),'WP 3.1 Rate Case Regress.'!$C$5:$D$556,2,FALSE), VLOOKUP(EOMONTH($F1230, -2), 'WP 3.1 Rate Case Regress.'!$C$5:$D$556, 2, FALSE))</f>
        <v>3.04</v>
      </c>
    </row>
    <row r="1231" spans="2:9" ht="30" x14ac:dyDescent="0.5">
      <c r="B1231" s="1162" t="s">
        <v>2731</v>
      </c>
      <c r="C1231" s="1163" t="s">
        <v>2939</v>
      </c>
      <c r="D1231" s="1163" t="s">
        <v>4627</v>
      </c>
      <c r="E1231" s="1164"/>
      <c r="F1231" s="1165">
        <v>44642</v>
      </c>
      <c r="G1231" s="1166" t="s">
        <v>4585</v>
      </c>
      <c r="H1231" s="1167">
        <v>9.4</v>
      </c>
      <c r="I1231" s="1168">
        <f>IF(DAY($F1231)&gt;15, VLOOKUP(EOMONTH($F1231,-1),'WP 3.1 Rate Case Regress.'!$C$5:$D$556,2,FALSE), VLOOKUP(EOMONTH($F1231, -2), 'WP 3.1 Rate Case Regress.'!$C$5:$D$556, 2, FALSE))</f>
        <v>3.68</v>
      </c>
    </row>
    <row r="1232" spans="2:9" ht="30" x14ac:dyDescent="0.5">
      <c r="B1232" s="1162" t="s">
        <v>2731</v>
      </c>
      <c r="C1232" s="1163" t="s">
        <v>2939</v>
      </c>
      <c r="D1232" s="1163" t="s">
        <v>4628</v>
      </c>
      <c r="E1232" s="1164"/>
      <c r="F1232" s="1165">
        <v>44642</v>
      </c>
      <c r="G1232" s="1166" t="s">
        <v>4585</v>
      </c>
      <c r="H1232" s="1167">
        <v>9.4</v>
      </c>
      <c r="I1232" s="1168">
        <f>IF(DAY($F1232)&gt;15, VLOOKUP(EOMONTH($F1232,-1),'WP 3.1 Rate Case Regress.'!$C$5:$D$556,2,FALSE), VLOOKUP(EOMONTH($F1232, -2), 'WP 3.1 Rate Case Regress.'!$C$5:$D$556, 2, FALSE))</f>
        <v>3.68</v>
      </c>
    </row>
    <row r="1233" spans="2:9" x14ac:dyDescent="0.5">
      <c r="B1233" s="1162" t="s">
        <v>2704</v>
      </c>
      <c r="C1233" s="1163" t="s">
        <v>2707</v>
      </c>
      <c r="D1233" s="1163" t="s">
        <v>4600</v>
      </c>
      <c r="E1233" s="1164"/>
      <c r="F1233" s="1165">
        <v>44665</v>
      </c>
      <c r="G1233" s="1166" t="s">
        <v>4585</v>
      </c>
      <c r="H1233" s="1167">
        <v>9.1999999999999993</v>
      </c>
      <c r="I1233" s="1168">
        <f>IF(DAY($F1233)&gt;15, VLOOKUP(EOMONTH($F1233,-1),'WP 3.1 Rate Case Regress.'!$C$5:$D$556,2,FALSE), VLOOKUP(EOMONTH($F1233, -2), 'WP 3.1 Rate Case Regress.'!$C$5:$D$556, 2, FALSE))</f>
        <v>3.68</v>
      </c>
    </row>
    <row r="1234" spans="2:9" x14ac:dyDescent="0.5">
      <c r="B1234" s="1162" t="s">
        <v>2728</v>
      </c>
      <c r="C1234" s="1163" t="s">
        <v>2944</v>
      </c>
      <c r="D1234" s="1163" t="s">
        <v>3779</v>
      </c>
      <c r="E1234" s="1164"/>
      <c r="F1234" s="1165">
        <v>44700</v>
      </c>
      <c r="G1234" s="1166" t="s">
        <v>2695</v>
      </c>
      <c r="H1234" s="1167">
        <v>9.23</v>
      </c>
      <c r="I1234" s="1168">
        <f>IF(DAY($F1234)&gt;15, VLOOKUP(EOMONTH($F1234,-1),'WP 3.1 Rate Case Regress.'!$C$5:$D$556,2,FALSE), VLOOKUP(EOMONTH($F1234, -2), 'WP 3.1 Rate Case Regress.'!$C$5:$D$556, 2, FALSE))</f>
        <v>4.32</v>
      </c>
    </row>
    <row r="1235" spans="2:9" x14ac:dyDescent="0.5">
      <c r="B1235" s="1162" t="s">
        <v>2704</v>
      </c>
      <c r="C1235" s="1163" t="s">
        <v>3769</v>
      </c>
      <c r="D1235" s="1163" t="s">
        <v>4601</v>
      </c>
      <c r="E1235" s="1164"/>
      <c r="F1235" s="1165">
        <v>44728</v>
      </c>
      <c r="G1235" s="1166" t="s">
        <v>4585</v>
      </c>
      <c r="H1235" s="1167">
        <v>9.25</v>
      </c>
      <c r="I1235" s="1168">
        <f>IF(DAY($F1235)&gt;15, VLOOKUP(EOMONTH($F1235,-1),'WP 3.1 Rate Case Regress.'!$C$5:$D$556,2,FALSE), VLOOKUP(EOMONTH($F1235, -2), 'WP 3.1 Rate Case Regress.'!$C$5:$D$556, 2, FALSE))</f>
        <v>4.75</v>
      </c>
    </row>
    <row r="1236" spans="2:9" x14ac:dyDescent="0.5">
      <c r="B1236" s="1162" t="s">
        <v>2744</v>
      </c>
      <c r="C1236" s="1163" t="s">
        <v>2770</v>
      </c>
      <c r="D1236" s="1163" t="s">
        <v>5110</v>
      </c>
      <c r="E1236" s="1164"/>
      <c r="F1236" s="1165">
        <v>44749</v>
      </c>
      <c r="G1236" s="1166" t="s">
        <v>4585</v>
      </c>
      <c r="H1236" s="1167">
        <v>9.9</v>
      </c>
      <c r="I1236" s="1168">
        <f>IF(DAY($F1236)&gt;15, VLOOKUP(EOMONTH($F1236,-1),'WP 3.1 Rate Case Regress.'!$C$5:$D$556,2,FALSE), VLOOKUP(EOMONTH($F1236, -2), 'WP 3.1 Rate Case Regress.'!$C$5:$D$556, 2, FALSE))</f>
        <v>4.75</v>
      </c>
    </row>
    <row r="1237" spans="2:9" x14ac:dyDescent="0.5">
      <c r="B1237" s="1162" t="s">
        <v>2776</v>
      </c>
      <c r="C1237" s="1163" t="s">
        <v>3727</v>
      </c>
      <c r="D1237" s="1163" t="s">
        <v>4667</v>
      </c>
      <c r="E1237" s="1164"/>
      <c r="F1237" s="1165">
        <v>44762</v>
      </c>
      <c r="G1237" s="1166" t="s">
        <v>4585</v>
      </c>
      <c r="H1237" s="1167">
        <v>9.3000000000000007</v>
      </c>
      <c r="I1237" s="1168">
        <f>IF(DAY($F1237)&gt;15, VLOOKUP(EOMONTH($F1237,-1),'WP 3.1 Rate Case Regress.'!$C$5:$D$556,2,FALSE), VLOOKUP(EOMONTH($F1237, -2), 'WP 3.1 Rate Case Regress.'!$C$5:$D$556, 2, FALSE))</f>
        <v>4.8600000000000003</v>
      </c>
    </row>
    <row r="1238" spans="2:9" x14ac:dyDescent="0.5">
      <c r="B1238" s="1162" t="s">
        <v>2739</v>
      </c>
      <c r="C1238" s="1163" t="s">
        <v>3070</v>
      </c>
      <c r="D1238" s="1163" t="s">
        <v>4618</v>
      </c>
      <c r="E1238" s="1164"/>
      <c r="F1238" s="1165">
        <v>44769</v>
      </c>
      <c r="G1238" s="1166" t="s">
        <v>4585</v>
      </c>
      <c r="H1238" s="1167">
        <v>9.85</v>
      </c>
      <c r="I1238" s="1168">
        <f>IF(DAY($F1238)&gt;15, VLOOKUP(EOMONTH($F1238,-1),'WP 3.1 Rate Case Regress.'!$C$5:$D$556,2,FALSE), VLOOKUP(EOMONTH($F1238, -2), 'WP 3.1 Rate Case Regress.'!$C$5:$D$556, 2, FALSE))</f>
        <v>4.8600000000000003</v>
      </c>
    </row>
    <row r="1239" spans="2:9" x14ac:dyDescent="0.5">
      <c r="B1239" s="1162" t="s">
        <v>2774</v>
      </c>
      <c r="C1239" s="1163" t="s">
        <v>2727</v>
      </c>
      <c r="D1239" s="1163" t="s">
        <v>4629</v>
      </c>
      <c r="E1239" s="1164"/>
      <c r="F1239" s="1165">
        <v>44775</v>
      </c>
      <c r="G1239" s="1166" t="s">
        <v>4585</v>
      </c>
      <c r="H1239" s="1167">
        <v>9.4</v>
      </c>
      <c r="I1239" s="1168">
        <f>IF(DAY($F1239)&gt;15, VLOOKUP(EOMONTH($F1239,-1),'WP 3.1 Rate Case Regress.'!$C$5:$D$556,2,FALSE), VLOOKUP(EOMONTH($F1239, -2), 'WP 3.1 Rate Case Regress.'!$C$5:$D$556, 2, FALSE))</f>
        <v>4.8600000000000003</v>
      </c>
    </row>
    <row r="1240" spans="2:9" x14ac:dyDescent="0.5">
      <c r="B1240" s="1162" t="s">
        <v>2712</v>
      </c>
      <c r="C1240" s="1163" t="s">
        <v>3333</v>
      </c>
      <c r="D1240" s="1163" t="s">
        <v>4668</v>
      </c>
      <c r="E1240" s="1164"/>
      <c r="F1240" s="1165">
        <v>44790</v>
      </c>
      <c r="G1240" s="1166" t="s">
        <v>4585</v>
      </c>
      <c r="H1240" s="1167">
        <v>9.6</v>
      </c>
      <c r="I1240" s="1168">
        <f>IF(DAY($F1240)&gt;15, VLOOKUP(EOMONTH($F1240,-1),'WP 3.1 Rate Case Regress.'!$C$5:$D$556,2,FALSE), VLOOKUP(EOMONTH($F1240, -2), 'WP 3.1 Rate Case Regress.'!$C$5:$D$556, 2, FALSE))</f>
        <v>4.78</v>
      </c>
    </row>
    <row r="1241" spans="2:9" x14ac:dyDescent="0.5">
      <c r="B1241" s="1162" t="s">
        <v>2754</v>
      </c>
      <c r="C1241" s="1163" t="s">
        <v>2975</v>
      </c>
      <c r="D1241" s="1163" t="s">
        <v>4647</v>
      </c>
      <c r="E1241" s="1164"/>
      <c r="F1241" s="1165">
        <v>44791</v>
      </c>
      <c r="G1241" s="1166" t="s">
        <v>4585</v>
      </c>
      <c r="H1241" s="1167">
        <v>9.39</v>
      </c>
      <c r="I1241" s="1168">
        <f>IF(DAY($F1241)&gt;15, VLOOKUP(EOMONTH($F1241,-1),'WP 3.1 Rate Case Regress.'!$C$5:$D$556,2,FALSE), VLOOKUP(EOMONTH($F1241, -2), 'WP 3.1 Rate Case Regress.'!$C$5:$D$556, 2, FALSE))</f>
        <v>4.78</v>
      </c>
    </row>
    <row r="1242" spans="2:9" x14ac:dyDescent="0.5">
      <c r="B1242" s="1162" t="s">
        <v>2736</v>
      </c>
      <c r="C1242" s="1163" t="s">
        <v>2980</v>
      </c>
      <c r="D1242" s="1163" t="s">
        <v>4592</v>
      </c>
      <c r="E1242" s="1164"/>
      <c r="F1242" s="1165">
        <v>44796</v>
      </c>
      <c r="G1242" s="1166" t="s">
        <v>4585</v>
      </c>
      <c r="H1242" s="1167">
        <v>9.4</v>
      </c>
      <c r="I1242" s="1168">
        <f>IF(DAY($F1242)&gt;15, VLOOKUP(EOMONTH($F1242,-1),'WP 3.1 Rate Case Regress.'!$C$5:$D$556,2,FALSE), VLOOKUP(EOMONTH($F1242, -2), 'WP 3.1 Rate Case Regress.'!$C$5:$D$556, 2, FALSE))</f>
        <v>4.78</v>
      </c>
    </row>
    <row r="1243" spans="2:9" x14ac:dyDescent="0.5">
      <c r="B1243" s="1162" t="s">
        <v>2757</v>
      </c>
      <c r="C1243" s="1163" t="s">
        <v>3012</v>
      </c>
      <c r="D1243" s="1163" t="s">
        <v>4674</v>
      </c>
      <c r="E1243" s="1164"/>
      <c r="F1243" s="1165">
        <v>44819</v>
      </c>
      <c r="G1243" s="1166" t="s">
        <v>4585</v>
      </c>
      <c r="H1243" s="1167">
        <v>9.3000000000000007</v>
      </c>
      <c r="I1243" s="1168">
        <f>IF(DAY($F1243)&gt;15, VLOOKUP(EOMONTH($F1243,-1),'WP 3.1 Rate Case Regress.'!$C$5:$D$556,2,FALSE), VLOOKUP(EOMONTH($F1243, -2), 'WP 3.1 Rate Case Regress.'!$C$5:$D$556, 2, FALSE))</f>
        <v>4.78</v>
      </c>
    </row>
    <row r="1244" spans="2:9" x14ac:dyDescent="0.5">
      <c r="B1244" s="1162" t="s">
        <v>2751</v>
      </c>
      <c r="C1244" s="1163" t="s">
        <v>2993</v>
      </c>
      <c r="D1244" s="1163" t="s">
        <v>3780</v>
      </c>
      <c r="E1244" s="1164"/>
      <c r="F1244" s="1165">
        <v>44844</v>
      </c>
      <c r="G1244" s="1166" t="s">
        <v>2695</v>
      </c>
      <c r="H1244" s="1167">
        <v>9.6</v>
      </c>
      <c r="I1244" s="1168">
        <f>IF(DAY($F1244)&gt;15, VLOOKUP(EOMONTH($F1244,-1),'WP 3.1 Rate Case Regress.'!$C$5:$D$556,2,FALSE), VLOOKUP(EOMONTH($F1244, -2), 'WP 3.1 Rate Case Regress.'!$C$5:$D$556, 2, FALSE))</f>
        <v>4.76</v>
      </c>
    </row>
    <row r="1245" spans="2:9" x14ac:dyDescent="0.5">
      <c r="B1245" s="1162" t="s">
        <v>2758</v>
      </c>
      <c r="C1245" s="1163" t="s">
        <v>2759</v>
      </c>
      <c r="D1245" s="1163" t="s">
        <v>4619</v>
      </c>
      <c r="E1245" s="1164"/>
      <c r="F1245" s="1165">
        <v>44846</v>
      </c>
      <c r="G1245" s="1166" t="s">
        <v>4585</v>
      </c>
      <c r="H1245" s="1167">
        <v>9.6</v>
      </c>
      <c r="I1245" s="1168">
        <f>IF(DAY($F1245)&gt;15, VLOOKUP(EOMONTH($F1245,-1),'WP 3.1 Rate Case Regress.'!$C$5:$D$556,2,FALSE), VLOOKUP(EOMONTH($F1245, -2), 'WP 3.1 Rate Case Regress.'!$C$5:$D$556, 2, FALSE))</f>
        <v>4.76</v>
      </c>
    </row>
    <row r="1246" spans="2:9" x14ac:dyDescent="0.5">
      <c r="B1246" s="1162" t="s">
        <v>2774</v>
      </c>
      <c r="C1246" s="1163" t="s">
        <v>3493</v>
      </c>
      <c r="D1246" s="1163" t="s">
        <v>4630</v>
      </c>
      <c r="E1246" s="1164"/>
      <c r="F1246" s="1165">
        <v>44858</v>
      </c>
      <c r="G1246" s="1166" t="s">
        <v>4585</v>
      </c>
      <c r="H1246" s="1167">
        <v>9.4</v>
      </c>
      <c r="I1246" s="1168">
        <f>IF(DAY($F1246)&gt;15, VLOOKUP(EOMONTH($F1246,-1),'WP 3.1 Rate Case Regress.'!$C$5:$D$556,2,FALSE), VLOOKUP(EOMONTH($F1246, -2), 'WP 3.1 Rate Case Regress.'!$C$5:$D$556, 2, FALSE))</f>
        <v>5.28</v>
      </c>
    </row>
    <row r="1247" spans="2:9" x14ac:dyDescent="0.5">
      <c r="B1247" s="1162" t="s">
        <v>2715</v>
      </c>
      <c r="C1247" s="1163" t="s">
        <v>2716</v>
      </c>
      <c r="D1247" s="1163" t="s">
        <v>3781</v>
      </c>
      <c r="E1247" s="1164"/>
      <c r="F1247" s="1165">
        <v>44859</v>
      </c>
      <c r="G1247" s="1166" t="s">
        <v>2695</v>
      </c>
      <c r="H1247" s="1167">
        <v>9.1999999999999993</v>
      </c>
      <c r="I1247" s="1168">
        <f>IF(DAY($F1247)&gt;15, VLOOKUP(EOMONTH($F1247,-1),'WP 3.1 Rate Case Regress.'!$C$5:$D$556,2,FALSE), VLOOKUP(EOMONTH($F1247, -2), 'WP 3.1 Rate Case Regress.'!$C$5:$D$556, 2, FALSE))</f>
        <v>5.28</v>
      </c>
    </row>
    <row r="1248" spans="2:9" x14ac:dyDescent="0.5">
      <c r="B1248" s="1162" t="s">
        <v>2762</v>
      </c>
      <c r="C1248" s="1163" t="s">
        <v>2755</v>
      </c>
      <c r="D1248" s="1163" t="s">
        <v>4684</v>
      </c>
      <c r="E1248" s="1164"/>
      <c r="F1248" s="1165">
        <v>44861</v>
      </c>
      <c r="G1248" s="1166" t="s">
        <v>4585</v>
      </c>
      <c r="H1248" s="1167">
        <v>9.8000000000000007</v>
      </c>
      <c r="I1248" s="1168">
        <f>IF(DAY($F1248)&gt;15, VLOOKUP(EOMONTH($F1248,-1),'WP 3.1 Rate Case Regress.'!$C$5:$D$556,2,FALSE), VLOOKUP(EOMONTH($F1248, -2), 'WP 3.1 Rate Case Regress.'!$C$5:$D$556, 2, FALSE))</f>
        <v>5.28</v>
      </c>
    </row>
    <row r="1249" spans="2:9" x14ac:dyDescent="0.5">
      <c r="B1249" s="1162" t="s">
        <v>2700</v>
      </c>
      <c r="C1249" s="1163" t="s">
        <v>4694</v>
      </c>
      <c r="D1249" s="1163" t="s">
        <v>4695</v>
      </c>
      <c r="E1249" s="1164"/>
      <c r="F1249" s="1165">
        <v>44861</v>
      </c>
      <c r="G1249" s="1166" t="s">
        <v>4585</v>
      </c>
      <c r="H1249" s="1167">
        <v>9.6999999999999993</v>
      </c>
      <c r="I1249" s="1168">
        <f>IF(DAY($F1249)&gt;15, VLOOKUP(EOMONTH($F1249,-1),'WP 3.1 Rate Case Regress.'!$C$5:$D$556,2,FALSE), VLOOKUP(EOMONTH($F1249, -2), 'WP 3.1 Rate Case Regress.'!$C$5:$D$556, 2, FALSE))</f>
        <v>5.28</v>
      </c>
    </row>
    <row r="1250" spans="2:9" x14ac:dyDescent="0.5">
      <c r="B1250" s="1162" t="s">
        <v>2738</v>
      </c>
      <c r="C1250" s="1163" t="s">
        <v>2741</v>
      </c>
      <c r="D1250" s="1163" t="s">
        <v>3782</v>
      </c>
      <c r="E1250" s="1164"/>
      <c r="F1250" s="1165">
        <v>44868</v>
      </c>
      <c r="G1250" s="1166" t="s">
        <v>2695</v>
      </c>
      <c r="H1250" s="1167">
        <v>10.199999999999999</v>
      </c>
      <c r="I1250" s="1168">
        <f>IF(DAY($F1250)&gt;15, VLOOKUP(EOMONTH($F1250,-1),'WP 3.1 Rate Case Regress.'!$C$5:$D$556,2,FALSE), VLOOKUP(EOMONTH($F1250, -2), 'WP 3.1 Rate Case Regress.'!$C$5:$D$556, 2, FALSE))</f>
        <v>5.28</v>
      </c>
    </row>
    <row r="1251" spans="2:9" x14ac:dyDescent="0.5">
      <c r="B1251" s="1162" t="s">
        <v>2698</v>
      </c>
      <c r="C1251" s="1163" t="s">
        <v>3678</v>
      </c>
      <c r="D1251" s="1163" t="s">
        <v>4688</v>
      </c>
      <c r="E1251" s="1164"/>
      <c r="F1251" s="1165">
        <v>44882</v>
      </c>
      <c r="G1251" s="1166" t="s">
        <v>4585</v>
      </c>
      <c r="H1251" s="1167">
        <v>9.65</v>
      </c>
      <c r="I1251" s="1168">
        <f>IF(DAY($F1251)&gt;15, VLOOKUP(EOMONTH($F1251,-1),'WP 3.1 Rate Case Regress.'!$C$5:$D$556,2,FALSE), VLOOKUP(EOMONTH($F1251, -2), 'WP 3.1 Rate Case Regress.'!$C$5:$D$556, 2, FALSE))</f>
        <v>5.88</v>
      </c>
    </row>
    <row r="1252" spans="2:9" x14ac:dyDescent="0.5">
      <c r="B1252" s="1162" t="s">
        <v>2752</v>
      </c>
      <c r="C1252" s="1163" t="s">
        <v>4661</v>
      </c>
      <c r="D1252" s="1163" t="s">
        <v>4669</v>
      </c>
      <c r="E1252" s="1164"/>
      <c r="F1252" s="1165">
        <v>44895</v>
      </c>
      <c r="G1252" s="1166" t="s">
        <v>4585</v>
      </c>
      <c r="H1252" s="1167">
        <v>9.3800000000000008</v>
      </c>
      <c r="I1252" s="1168">
        <f>IF(DAY($F1252)&gt;15, VLOOKUP(EOMONTH($F1252,-1),'WP 3.1 Rate Case Regress.'!$C$5:$D$556,2,FALSE), VLOOKUP(EOMONTH($F1252, -2), 'WP 3.1 Rate Case Regress.'!$C$5:$D$556, 2, FALSE))</f>
        <v>5.88</v>
      </c>
    </row>
    <row r="1253" spans="2:9" x14ac:dyDescent="0.5">
      <c r="B1253" s="1162" t="s">
        <v>2738</v>
      </c>
      <c r="C1253" s="1163" t="s">
        <v>2954</v>
      </c>
      <c r="D1253" s="1163" t="s">
        <v>3783</v>
      </c>
      <c r="E1253" s="1164"/>
      <c r="F1253" s="1165">
        <v>44910</v>
      </c>
      <c r="G1253" s="1166" t="s">
        <v>2695</v>
      </c>
      <c r="H1253" s="1167">
        <v>9.8000000000000007</v>
      </c>
      <c r="I1253" s="1168">
        <f>IF(DAY($F1253)&gt;15, VLOOKUP(EOMONTH($F1253,-1),'WP 3.1 Rate Case Regress.'!$C$5:$D$556,2,FALSE), VLOOKUP(EOMONTH($F1253, -2), 'WP 3.1 Rate Case Regress.'!$C$5:$D$556, 2, FALSE))</f>
        <v>5.88</v>
      </c>
    </row>
    <row r="1254" spans="2:9" x14ac:dyDescent="0.5">
      <c r="B1254" s="1162" t="s">
        <v>2712</v>
      </c>
      <c r="C1254" s="1163" t="s">
        <v>3085</v>
      </c>
      <c r="D1254" s="1163" t="s">
        <v>4696</v>
      </c>
      <c r="E1254" s="1164"/>
      <c r="F1254" s="1165">
        <v>44916</v>
      </c>
      <c r="G1254" s="1166" t="s">
        <v>4585</v>
      </c>
      <c r="H1254" s="1167">
        <v>9.6</v>
      </c>
      <c r="I1254" s="1168">
        <f>IF(DAY($F1254)&gt;15, VLOOKUP(EOMONTH($F1254,-1),'WP 3.1 Rate Case Regress.'!$C$5:$D$556,2,FALSE), VLOOKUP(EOMONTH($F1254, -2), 'WP 3.1 Rate Case Regress.'!$C$5:$D$556, 2, FALSE))</f>
        <v>5.75</v>
      </c>
    </row>
    <row r="1255" spans="2:9" ht="30" x14ac:dyDescent="0.5">
      <c r="B1255" s="1162" t="s">
        <v>2702</v>
      </c>
      <c r="C1255" s="1163" t="s">
        <v>2748</v>
      </c>
      <c r="D1255" s="1163" t="s">
        <v>3784</v>
      </c>
      <c r="E1255" s="1164"/>
      <c r="F1255" s="1165">
        <v>44917</v>
      </c>
      <c r="G1255" s="1166" t="s">
        <v>2695</v>
      </c>
      <c r="H1255" s="1167">
        <v>9.8000000000000007</v>
      </c>
      <c r="I1255" s="1168">
        <f>IF(DAY($F1255)&gt;15, VLOOKUP(EOMONTH($F1255,-1),'WP 3.1 Rate Case Regress.'!$C$5:$D$556,2,FALSE), VLOOKUP(EOMONTH($F1255, -2), 'WP 3.1 Rate Case Regress.'!$C$5:$D$556, 2, FALSE))</f>
        <v>5.75</v>
      </c>
    </row>
    <row r="1256" spans="2:9" x14ac:dyDescent="0.5">
      <c r="B1256" s="1162" t="s">
        <v>2736</v>
      </c>
      <c r="C1256" s="1163" t="s">
        <v>2737</v>
      </c>
      <c r="D1256" s="1163" t="s">
        <v>4613</v>
      </c>
      <c r="E1256" s="1164"/>
      <c r="F1256" s="1165">
        <v>44917</v>
      </c>
      <c r="G1256" s="1166" t="s">
        <v>4585</v>
      </c>
      <c r="H1256" s="1167">
        <v>9.4</v>
      </c>
      <c r="I1256" s="1168">
        <f>IF(DAY($F1256)&gt;15, VLOOKUP(EOMONTH($F1256,-1),'WP 3.1 Rate Case Regress.'!$C$5:$D$556,2,FALSE), VLOOKUP(EOMONTH($F1256, -2), 'WP 3.1 Rate Case Regress.'!$C$5:$D$556, 2, FALSE))</f>
        <v>5.75</v>
      </c>
    </row>
    <row r="1257" spans="2:9" x14ac:dyDescent="0.5">
      <c r="B1257" s="1162" t="s">
        <v>2714</v>
      </c>
      <c r="C1257" s="1163" t="s">
        <v>4648</v>
      </c>
      <c r="D1257" s="1163" t="s">
        <v>3785</v>
      </c>
      <c r="E1257" s="1164"/>
      <c r="F1257" s="1165">
        <v>44918</v>
      </c>
      <c r="G1257" s="1166" t="s">
        <v>2695</v>
      </c>
      <c r="H1257" s="1167">
        <v>9.6</v>
      </c>
      <c r="I1257" s="1168">
        <f>IF(DAY($F1257)&gt;15, VLOOKUP(EOMONTH($F1257,-1),'WP 3.1 Rate Case Regress.'!$C$5:$D$556,2,FALSE), VLOOKUP(EOMONTH($F1257, -2), 'WP 3.1 Rate Case Regress.'!$C$5:$D$556, 2, FALSE))</f>
        <v>5.75</v>
      </c>
    </row>
    <row r="1258" spans="2:9" ht="30" x14ac:dyDescent="0.5">
      <c r="B1258" s="1162" t="s">
        <v>2702</v>
      </c>
      <c r="C1258" s="1163" t="s">
        <v>2773</v>
      </c>
      <c r="D1258" s="1163" t="s">
        <v>3786</v>
      </c>
      <c r="E1258" s="1164"/>
      <c r="F1258" s="1165">
        <v>44924</v>
      </c>
      <c r="G1258" s="1166" t="s">
        <v>2695</v>
      </c>
      <c r="H1258" s="1167">
        <v>9.8000000000000007</v>
      </c>
      <c r="I1258" s="1168">
        <f>IF(DAY($F1258)&gt;15, VLOOKUP(EOMONTH($F1258,-1),'WP 3.1 Rate Case Regress.'!$C$5:$D$556,2,FALSE), VLOOKUP(EOMONTH($F1258, -2), 'WP 3.1 Rate Case Regress.'!$C$5:$D$556, 2, FALSE))</f>
        <v>5.75</v>
      </c>
    </row>
    <row r="1259" spans="2:9" x14ac:dyDescent="0.5">
      <c r="B1259" s="1162" t="s">
        <v>2702</v>
      </c>
      <c r="C1259" s="1163" t="s">
        <v>2903</v>
      </c>
      <c r="D1259" s="1163" t="s">
        <v>3787</v>
      </c>
      <c r="E1259" s="1164"/>
      <c r="F1259" s="1165">
        <v>44924</v>
      </c>
      <c r="G1259" s="1166" t="s">
        <v>2695</v>
      </c>
      <c r="H1259" s="1167">
        <v>9.8000000000000007</v>
      </c>
      <c r="I1259" s="1168">
        <f>IF(DAY($F1259)&gt;15, VLOOKUP(EOMONTH($F1259,-1),'WP 3.1 Rate Case Regress.'!$C$5:$D$556,2,FALSE), VLOOKUP(EOMONTH($F1259, -2), 'WP 3.1 Rate Case Regress.'!$C$5:$D$556, 2, FALSE))</f>
        <v>5.75</v>
      </c>
    </row>
    <row r="1260" spans="2:9" ht="45" x14ac:dyDescent="0.5">
      <c r="B1260" s="1162" t="s">
        <v>2775</v>
      </c>
      <c r="C1260" s="1163" t="s">
        <v>3643</v>
      </c>
      <c r="D1260" s="1163" t="s">
        <v>4717</v>
      </c>
      <c r="E1260" s="1164"/>
      <c r="F1260" s="1165">
        <v>44945</v>
      </c>
      <c r="G1260" s="1166" t="s">
        <v>2695</v>
      </c>
      <c r="H1260" s="1167">
        <v>9.6</v>
      </c>
      <c r="I1260" s="1168">
        <f>IF(DAY($F1260)&gt;15, VLOOKUP(EOMONTH($F1260,-1),'WP 3.1 Rate Case Regress.'!$C$5:$D$556,2,FALSE), VLOOKUP(EOMONTH($F1260, -2), 'WP 3.1 Rate Case Regress.'!$C$5:$D$556, 2, FALSE))</f>
        <v>5.29</v>
      </c>
    </row>
    <row r="1261" spans="2:9" ht="30" x14ac:dyDescent="0.5">
      <c r="B1261" s="1162" t="s">
        <v>2717</v>
      </c>
      <c r="C1261" s="1163" t="s">
        <v>2939</v>
      </c>
      <c r="D1261" s="1163" t="s">
        <v>4631</v>
      </c>
      <c r="E1261" s="1164"/>
      <c r="F1261" s="1165">
        <v>44949</v>
      </c>
      <c r="G1261" s="1166" t="s">
        <v>4585</v>
      </c>
      <c r="H1261" s="1167">
        <v>9.3000000000000007</v>
      </c>
      <c r="I1261" s="1168">
        <f>IF(DAY($F1261)&gt;15, VLOOKUP(EOMONTH($F1261,-1),'WP 3.1 Rate Case Regress.'!$C$5:$D$556,2,FALSE), VLOOKUP(EOMONTH($F1261, -2), 'WP 3.1 Rate Case Regress.'!$C$5:$D$556, 2, FALSE))</f>
        <v>5.29</v>
      </c>
    </row>
    <row r="1262" spans="2:9" x14ac:dyDescent="0.5">
      <c r="B1262" s="1162" t="s">
        <v>2772</v>
      </c>
      <c r="C1262" s="1163" t="s">
        <v>2781</v>
      </c>
      <c r="D1262" s="1163" t="s">
        <v>3789</v>
      </c>
      <c r="E1262" s="1164"/>
      <c r="F1262" s="1165">
        <v>44950</v>
      </c>
      <c r="G1262" s="1166" t="s">
        <v>2695</v>
      </c>
      <c r="H1262" s="1167">
        <v>10.25</v>
      </c>
      <c r="I1262" s="1168">
        <f>IF(DAY($F1262)&gt;15, VLOOKUP(EOMONTH($F1262,-1),'WP 3.1 Rate Case Regress.'!$C$5:$D$556,2,FALSE), VLOOKUP(EOMONTH($F1262, -2), 'WP 3.1 Rate Case Regress.'!$C$5:$D$556, 2, FALSE))</f>
        <v>5.29</v>
      </c>
    </row>
    <row r="1263" spans="2:9" x14ac:dyDescent="0.5">
      <c r="B1263" s="1162" t="s">
        <v>2710</v>
      </c>
      <c r="C1263" s="1163" t="s">
        <v>3000</v>
      </c>
      <c r="D1263" s="1163" t="s">
        <v>4645</v>
      </c>
      <c r="E1263" s="1164"/>
      <c r="F1263" s="1165">
        <v>44952</v>
      </c>
      <c r="G1263" s="1166" t="s">
        <v>4585</v>
      </c>
      <c r="H1263" s="1167">
        <v>9.6</v>
      </c>
      <c r="I1263" s="1168">
        <f>IF(DAY($F1263)&gt;15, VLOOKUP(EOMONTH($F1263,-1),'WP 3.1 Rate Case Regress.'!$C$5:$D$556,2,FALSE), VLOOKUP(EOMONTH($F1263, -2), 'WP 3.1 Rate Case Regress.'!$C$5:$D$556, 2, FALSE))</f>
        <v>5.29</v>
      </c>
    </row>
    <row r="1264" spans="2:9" x14ac:dyDescent="0.5">
      <c r="B1264" s="1162" t="s">
        <v>2754</v>
      </c>
      <c r="C1264" s="1163" t="s">
        <v>2755</v>
      </c>
      <c r="D1264" s="1163" t="s">
        <v>4682</v>
      </c>
      <c r="E1264" s="1164"/>
      <c r="F1264" s="1165">
        <v>45008</v>
      </c>
      <c r="G1264" s="1166" t="s">
        <v>4585</v>
      </c>
      <c r="H1264" s="1167">
        <v>9.57</v>
      </c>
      <c r="I1264" s="1168">
        <f>IF(DAY($F1264)&gt;15, VLOOKUP(EOMONTH($F1264,-1),'WP 3.1 Rate Case Regress.'!$C$5:$D$556,2,FALSE), VLOOKUP(EOMONTH($F1264, -2), 'WP 3.1 Rate Case Regress.'!$C$5:$D$556, 2, FALSE))</f>
        <v>5.29</v>
      </c>
    </row>
    <row r="1265" spans="2:9" x14ac:dyDescent="0.5">
      <c r="B1265" s="1162" t="s">
        <v>2772</v>
      </c>
      <c r="C1265" s="1163" t="s">
        <v>3361</v>
      </c>
      <c r="D1265" s="1163" t="s">
        <v>3790</v>
      </c>
      <c r="E1265" s="1164"/>
      <c r="F1265" s="1165">
        <v>45013</v>
      </c>
      <c r="G1265" s="1166" t="s">
        <v>2695</v>
      </c>
      <c r="H1265" s="1167">
        <v>9.5</v>
      </c>
      <c r="I1265" s="1168">
        <f>IF(DAY($F1265)&gt;15, VLOOKUP(EOMONTH($F1265,-1),'WP 3.1 Rate Case Regress.'!$C$5:$D$556,2,FALSE), VLOOKUP(EOMONTH($F1265, -2), 'WP 3.1 Rate Case Regress.'!$C$5:$D$556, 2, FALSE))</f>
        <v>5.29</v>
      </c>
    </row>
    <row r="1266" spans="2:9" x14ac:dyDescent="0.5">
      <c r="B1266" s="1162" t="s">
        <v>2715</v>
      </c>
      <c r="C1266" s="1163" t="s">
        <v>2944</v>
      </c>
      <c r="D1266" s="1163" t="s">
        <v>4711</v>
      </c>
      <c r="E1266" s="1164"/>
      <c r="F1266" s="1165">
        <v>45050</v>
      </c>
      <c r="G1266" s="1166" t="s">
        <v>4585</v>
      </c>
      <c r="H1266" s="1167">
        <v>9.3000000000000007</v>
      </c>
      <c r="I1266" s="1168">
        <f>IF(DAY($F1266)&gt;15, VLOOKUP(EOMONTH($F1266,-1),'WP 3.1 Rate Case Regress.'!$C$5:$D$556,2,FALSE), VLOOKUP(EOMONTH($F1266, -2), 'WP 3.1 Rate Case Regress.'!$C$5:$D$556, 2, FALSE))</f>
        <v>5.39</v>
      </c>
    </row>
    <row r="1267" spans="2:9" x14ac:dyDescent="0.5">
      <c r="B1267" s="1162" t="s">
        <v>2726</v>
      </c>
      <c r="C1267" s="1163" t="s">
        <v>2946</v>
      </c>
      <c r="D1267" s="1163" t="s">
        <v>4632</v>
      </c>
      <c r="E1267" s="1164"/>
      <c r="F1267" s="1165">
        <v>45107</v>
      </c>
      <c r="G1267" s="1166" t="s">
        <v>4585</v>
      </c>
      <c r="H1267" s="1167">
        <v>9.5</v>
      </c>
      <c r="I1267" s="1168">
        <f>IF(DAY($F1267)&gt;15, VLOOKUP(EOMONTH($F1267,-1),'WP 3.1 Rate Case Regress.'!$C$5:$D$556,2,FALSE), VLOOKUP(EOMONTH($F1267, -2), 'WP 3.1 Rate Case Regress.'!$C$5:$D$556, 2, FALSE))</f>
        <v>5.36</v>
      </c>
    </row>
    <row r="1268" spans="2:9" x14ac:dyDescent="0.5">
      <c r="B1268" s="1162" t="s">
        <v>2704</v>
      </c>
      <c r="C1268" s="1163" t="s">
        <v>2908</v>
      </c>
      <c r="D1268" s="1163" t="s">
        <v>4602</v>
      </c>
      <c r="E1268" s="1164"/>
      <c r="F1268" s="1165">
        <v>45127</v>
      </c>
      <c r="G1268" s="1166" t="s">
        <v>4585</v>
      </c>
      <c r="H1268" s="1167">
        <v>9.25</v>
      </c>
      <c r="I1268" s="1168">
        <f>IF(DAY($F1268)&gt;15, VLOOKUP(EOMONTH($F1268,-1),'WP 3.1 Rate Case Regress.'!$C$5:$D$556,2,FALSE), VLOOKUP(EOMONTH($F1268, -2), 'WP 3.1 Rate Case Regress.'!$C$5:$D$556, 2, FALSE))</f>
        <v>5.38</v>
      </c>
    </row>
    <row r="1269" spans="2:9" x14ac:dyDescent="0.5">
      <c r="B1269" s="1162" t="s">
        <v>2744</v>
      </c>
      <c r="C1269" s="1163" t="s">
        <v>2770</v>
      </c>
      <c r="D1269" s="1163" t="s">
        <v>5111</v>
      </c>
      <c r="E1269" s="1164"/>
      <c r="F1269" s="1165">
        <v>45168</v>
      </c>
      <c r="G1269" s="1166" t="s">
        <v>4585</v>
      </c>
      <c r="H1269" s="1167">
        <v>9.9</v>
      </c>
      <c r="I1269" s="1168">
        <f>IF(DAY($F1269)&gt;15, VLOOKUP(EOMONTH($F1269,-1),'WP 3.1 Rate Case Regress.'!$C$5:$D$556,2,FALSE), VLOOKUP(EOMONTH($F1269, -2), 'WP 3.1 Rate Case Regress.'!$C$5:$D$556, 2, FALSE))</f>
        <v>5.41</v>
      </c>
    </row>
    <row r="1270" spans="2:9" x14ac:dyDescent="0.5">
      <c r="B1270" s="1162" t="s">
        <v>2744</v>
      </c>
      <c r="C1270" s="1163" t="s">
        <v>3244</v>
      </c>
      <c r="D1270" s="1163" t="s">
        <v>5112</v>
      </c>
      <c r="E1270" s="1164"/>
      <c r="F1270" s="1165">
        <v>45168</v>
      </c>
      <c r="G1270" s="1166" t="s">
        <v>4585</v>
      </c>
      <c r="H1270" s="1167">
        <v>9.8000000000000007</v>
      </c>
      <c r="I1270" s="1168">
        <f>IF(DAY($F1270)&gt;15, VLOOKUP(EOMONTH($F1270,-1),'WP 3.1 Rate Case Regress.'!$C$5:$D$556,2,FALSE), VLOOKUP(EOMONTH($F1270, -2), 'WP 3.1 Rate Case Regress.'!$C$5:$D$556, 2, FALSE))</f>
        <v>5.41</v>
      </c>
    </row>
    <row r="1271" spans="2:9" x14ac:dyDescent="0.5">
      <c r="B1271" s="1162" t="s">
        <v>2726</v>
      </c>
      <c r="C1271" s="1163" t="s">
        <v>2727</v>
      </c>
      <c r="D1271" s="1163" t="s">
        <v>4633</v>
      </c>
      <c r="E1271" s="1164"/>
      <c r="F1271" s="1165">
        <v>45169</v>
      </c>
      <c r="G1271" s="1166" t="s">
        <v>4585</v>
      </c>
      <c r="H1271" s="1167">
        <v>9.4</v>
      </c>
      <c r="I1271" s="1168">
        <f>IF(DAY($F1271)&gt;15, VLOOKUP(EOMONTH($F1271,-1),'WP 3.1 Rate Case Regress.'!$C$5:$D$556,2,FALSE), VLOOKUP(EOMONTH($F1271, -2), 'WP 3.1 Rate Case Regress.'!$C$5:$D$556, 2, FALSE))</f>
        <v>5.41</v>
      </c>
    </row>
    <row r="1272" spans="2:9" x14ac:dyDescent="0.5">
      <c r="B1272" s="1162" t="s">
        <v>2757</v>
      </c>
      <c r="C1272" s="1163" t="s">
        <v>2765</v>
      </c>
      <c r="D1272" s="1163" t="s">
        <v>4699</v>
      </c>
      <c r="E1272" s="1164"/>
      <c r="F1272" s="1165">
        <v>45189</v>
      </c>
      <c r="G1272" s="1166" t="s">
        <v>4585</v>
      </c>
      <c r="H1272" s="1167">
        <v>9.49</v>
      </c>
      <c r="I1272" s="1168">
        <f>IF(DAY($F1272)&gt;15, VLOOKUP(EOMONTH($F1272,-1),'WP 3.1 Rate Case Regress.'!$C$5:$D$556,2,FALSE), VLOOKUP(EOMONTH($F1272, -2), 'WP 3.1 Rate Case Regress.'!$C$5:$D$556, 2, FALSE))</f>
        <v>5.71</v>
      </c>
    </row>
    <row r="1273" spans="2:9" x14ac:dyDescent="0.5">
      <c r="B1273" s="1162" t="s">
        <v>2780</v>
      </c>
      <c r="C1273" s="1163" t="s">
        <v>3727</v>
      </c>
      <c r="D1273" s="1163" t="s">
        <v>4671</v>
      </c>
      <c r="E1273" s="1164"/>
      <c r="F1273" s="1165">
        <v>45189</v>
      </c>
      <c r="G1273" s="1166" t="s">
        <v>4585</v>
      </c>
      <c r="H1273" s="1167">
        <v>9.35</v>
      </c>
      <c r="I1273" s="1168">
        <f>IF(DAY($F1273)&gt;15, VLOOKUP(EOMONTH($F1273,-1),'WP 3.1 Rate Case Regress.'!$C$5:$D$556,2,FALSE), VLOOKUP(EOMONTH($F1273, -2), 'WP 3.1 Rate Case Regress.'!$C$5:$D$556, 2, FALSE))</f>
        <v>5.71</v>
      </c>
    </row>
    <row r="1274" spans="2:9" x14ac:dyDescent="0.5">
      <c r="B1274" s="1162" t="s">
        <v>2757</v>
      </c>
      <c r="C1274" s="1163" t="s">
        <v>3012</v>
      </c>
      <c r="D1274" s="1163" t="s">
        <v>4690</v>
      </c>
      <c r="E1274" s="1164"/>
      <c r="F1274" s="1165">
        <v>45204</v>
      </c>
      <c r="G1274" s="1166" t="s">
        <v>4585</v>
      </c>
      <c r="H1274" s="1167">
        <v>9.3000000000000007</v>
      </c>
      <c r="I1274" s="1168">
        <f>IF(DAY($F1274)&gt;15, VLOOKUP(EOMONTH($F1274,-1),'WP 3.1 Rate Case Regress.'!$C$5:$D$556,2,FALSE), VLOOKUP(EOMONTH($F1274, -2), 'WP 3.1 Rate Case Regress.'!$C$5:$D$556, 2, FALSE))</f>
        <v>5.71</v>
      </c>
    </row>
    <row r="1275" spans="2:9" x14ac:dyDescent="0.5">
      <c r="B1275" s="1162" t="s">
        <v>2768</v>
      </c>
      <c r="C1275" s="1163" t="s">
        <v>3106</v>
      </c>
      <c r="D1275" s="1163" t="s">
        <v>4616</v>
      </c>
      <c r="E1275" s="1164"/>
      <c r="F1275" s="1165">
        <v>45205</v>
      </c>
      <c r="G1275" s="1166" t="s">
        <v>4585</v>
      </c>
      <c r="H1275" s="1167">
        <v>9.8000000000000007</v>
      </c>
      <c r="I1275" s="1168">
        <f>IF(DAY($F1275)&gt;15, VLOOKUP(EOMONTH($F1275,-1),'WP 3.1 Rate Case Regress.'!$C$5:$D$556,2,FALSE), VLOOKUP(EOMONTH($F1275, -2), 'WP 3.1 Rate Case Regress.'!$C$5:$D$556, 2, FALSE))</f>
        <v>5.71</v>
      </c>
    </row>
    <row r="1276" spans="2:9" x14ac:dyDescent="0.5">
      <c r="B1276" s="1162" t="s">
        <v>2704</v>
      </c>
      <c r="C1276" s="1163" t="s">
        <v>2725</v>
      </c>
      <c r="D1276" s="1163" t="s">
        <v>4603</v>
      </c>
      <c r="E1276" s="1164"/>
      <c r="F1276" s="1165">
        <v>45211</v>
      </c>
      <c r="G1276" s="1166" t="s">
        <v>4585</v>
      </c>
      <c r="H1276" s="1167">
        <v>9.1999999999999993</v>
      </c>
      <c r="I1276" s="1168">
        <f>IF(DAY($F1276)&gt;15, VLOOKUP(EOMONTH($F1276,-1),'WP 3.1 Rate Case Regress.'!$C$5:$D$556,2,FALSE), VLOOKUP(EOMONTH($F1276, -2), 'WP 3.1 Rate Case Regress.'!$C$5:$D$556, 2, FALSE))</f>
        <v>5.71</v>
      </c>
    </row>
    <row r="1277" spans="2:9" x14ac:dyDescent="0.5">
      <c r="B1277" s="1162" t="s">
        <v>2704</v>
      </c>
      <c r="C1277" s="1163" t="s">
        <v>2927</v>
      </c>
      <c r="D1277" s="1163" t="s">
        <v>4604</v>
      </c>
      <c r="E1277" s="1164"/>
      <c r="F1277" s="1165">
        <v>45211</v>
      </c>
      <c r="G1277" s="1166" t="s">
        <v>4585</v>
      </c>
      <c r="H1277" s="1167">
        <v>9.1999999999999993</v>
      </c>
      <c r="I1277" s="1168">
        <f>IF(DAY($F1277)&gt;15, VLOOKUP(EOMONTH($F1277,-1),'WP 3.1 Rate Case Regress.'!$C$5:$D$556,2,FALSE), VLOOKUP(EOMONTH($F1277, -2), 'WP 3.1 Rate Case Regress.'!$C$5:$D$556, 2, FALSE))</f>
        <v>5.71</v>
      </c>
    </row>
    <row r="1278" spans="2:9" x14ac:dyDescent="0.5">
      <c r="B1278" s="1162" t="s">
        <v>2740</v>
      </c>
      <c r="C1278" s="1163" t="s">
        <v>2964</v>
      </c>
      <c r="D1278" s="1163" t="s">
        <v>4609</v>
      </c>
      <c r="E1278" s="1164"/>
      <c r="F1278" s="1165">
        <v>45224</v>
      </c>
      <c r="G1278" s="1166" t="s">
        <v>4585</v>
      </c>
      <c r="H1278" s="1167">
        <v>9.5500000000000007</v>
      </c>
      <c r="I1278" s="1168">
        <f>IF(DAY($F1278)&gt;15, VLOOKUP(EOMONTH($F1278,-1),'WP 3.1 Rate Case Regress.'!$C$5:$D$556,2,FALSE), VLOOKUP(EOMONTH($F1278, -2), 'WP 3.1 Rate Case Regress.'!$C$5:$D$556, 2, FALSE))</f>
        <v>5.86</v>
      </c>
    </row>
    <row r="1279" spans="2:9" x14ac:dyDescent="0.5">
      <c r="B1279" s="1162" t="s">
        <v>2754</v>
      </c>
      <c r="C1279" s="1163" t="s">
        <v>3123</v>
      </c>
      <c r="D1279" s="1163" t="s">
        <v>4689</v>
      </c>
      <c r="E1279" s="1164"/>
      <c r="F1279" s="1165">
        <v>45225</v>
      </c>
      <c r="G1279" s="1166" t="s">
        <v>4585</v>
      </c>
      <c r="H1279" s="1167">
        <v>9.65</v>
      </c>
      <c r="I1279" s="1168">
        <f>IF(DAY($F1279)&gt;15, VLOOKUP(EOMONTH($F1279,-1),'WP 3.1 Rate Case Regress.'!$C$5:$D$556,2,FALSE), VLOOKUP(EOMONTH($F1279, -2), 'WP 3.1 Rate Case Regress.'!$C$5:$D$556, 2, FALSE))</f>
        <v>5.86</v>
      </c>
    </row>
    <row r="1280" spans="2:9" x14ac:dyDescent="0.5">
      <c r="B1280" s="1162" t="s">
        <v>2774</v>
      </c>
      <c r="C1280" s="1163" t="s">
        <v>2727</v>
      </c>
      <c r="D1280" s="1163" t="s">
        <v>4634</v>
      </c>
      <c r="E1280" s="1164"/>
      <c r="F1280" s="1165">
        <v>45225</v>
      </c>
      <c r="G1280" s="1166" t="s">
        <v>4585</v>
      </c>
      <c r="H1280" s="1167">
        <v>9.5</v>
      </c>
      <c r="I1280" s="1168">
        <f>IF(DAY($F1280)&gt;15, VLOOKUP(EOMONTH($F1280,-1),'WP 3.1 Rate Case Regress.'!$C$5:$D$556,2,FALSE), VLOOKUP(EOMONTH($F1280, -2), 'WP 3.1 Rate Case Regress.'!$C$5:$D$556, 2, FALSE))</f>
        <v>5.86</v>
      </c>
    </row>
    <row r="1281" spans="2:9" x14ac:dyDescent="0.5">
      <c r="B1281" s="1162" t="s">
        <v>2710</v>
      </c>
      <c r="C1281" s="1163" t="s">
        <v>2761</v>
      </c>
      <c r="D1281" s="1163" t="s">
        <v>4677</v>
      </c>
      <c r="E1281" s="1164"/>
      <c r="F1281" s="1165">
        <v>45231</v>
      </c>
      <c r="G1281" s="1166" t="s">
        <v>4585</v>
      </c>
      <c r="H1281" s="1167">
        <v>9.6</v>
      </c>
      <c r="I1281" s="1168">
        <f>IF(DAY($F1281)&gt;15, VLOOKUP(EOMONTH($F1281,-1),'WP 3.1 Rate Case Regress.'!$C$5:$D$556,2,FALSE), VLOOKUP(EOMONTH($F1281, -2), 'WP 3.1 Rate Case Regress.'!$C$5:$D$556, 2, FALSE))</f>
        <v>5.86</v>
      </c>
    </row>
    <row r="1282" spans="2:9" ht="30" x14ac:dyDescent="0.5">
      <c r="B1282" s="1162" t="s">
        <v>2702</v>
      </c>
      <c r="C1282" s="1163" t="s">
        <v>4701</v>
      </c>
      <c r="D1282" s="1163" t="s">
        <v>3791</v>
      </c>
      <c r="E1282" s="1164"/>
      <c r="F1282" s="1165">
        <v>45233</v>
      </c>
      <c r="G1282" s="1166" t="s">
        <v>2695</v>
      </c>
      <c r="H1282" s="1167">
        <v>9.6999999999999993</v>
      </c>
      <c r="I1282" s="1168">
        <f>IF(DAY($F1282)&gt;15, VLOOKUP(EOMONTH($F1282,-1),'WP 3.1 Rate Case Regress.'!$C$5:$D$556,2,FALSE), VLOOKUP(EOMONTH($F1282, -2), 'WP 3.1 Rate Case Regress.'!$C$5:$D$556, 2, FALSE))</f>
        <v>5.86</v>
      </c>
    </row>
    <row r="1283" spans="2:9" x14ac:dyDescent="0.5">
      <c r="B1283" s="1162" t="s">
        <v>2777</v>
      </c>
      <c r="C1283" s="1163" t="s">
        <v>4648</v>
      </c>
      <c r="D1283" s="1163" t="s">
        <v>4657</v>
      </c>
      <c r="E1283" s="1164"/>
      <c r="F1283" s="1165">
        <v>45237</v>
      </c>
      <c r="G1283" s="1166" t="s">
        <v>4585</v>
      </c>
      <c r="H1283" s="1167">
        <v>9.65</v>
      </c>
      <c r="I1283" s="1168">
        <f>IF(DAY($F1283)&gt;15, VLOOKUP(EOMONTH($F1283,-1),'WP 3.1 Rate Case Regress.'!$C$5:$D$556,2,FALSE), VLOOKUP(EOMONTH($F1283, -2), 'WP 3.1 Rate Case Regress.'!$C$5:$D$556, 2, FALSE))</f>
        <v>5.86</v>
      </c>
    </row>
    <row r="1284" spans="2:9" x14ac:dyDescent="0.5">
      <c r="B1284" s="1162" t="s">
        <v>2772</v>
      </c>
      <c r="C1284" s="1163" t="s">
        <v>3600</v>
      </c>
      <c r="D1284" s="1163" t="s">
        <v>3792</v>
      </c>
      <c r="E1284" s="1164"/>
      <c r="F1284" s="1165">
        <v>45239</v>
      </c>
      <c r="G1284" s="1166" t="s">
        <v>2695</v>
      </c>
      <c r="H1284" s="1167">
        <v>10.15</v>
      </c>
      <c r="I1284" s="1168">
        <f>IF(DAY($F1284)&gt;15, VLOOKUP(EOMONTH($F1284,-1),'WP 3.1 Rate Case Regress.'!$C$5:$D$556,2,FALSE), VLOOKUP(EOMONTH($F1284, -2), 'WP 3.1 Rate Case Regress.'!$C$5:$D$556, 2, FALSE))</f>
        <v>5.86</v>
      </c>
    </row>
    <row r="1285" spans="2:9" ht="30" x14ac:dyDescent="0.5">
      <c r="B1285" s="1162" t="s">
        <v>2702</v>
      </c>
      <c r="C1285" s="1163" t="s">
        <v>2755</v>
      </c>
      <c r="D1285" s="1163" t="s">
        <v>3793</v>
      </c>
      <c r="E1285" s="1164"/>
      <c r="F1285" s="1165">
        <v>45239</v>
      </c>
      <c r="G1285" s="1166" t="s">
        <v>2695</v>
      </c>
      <c r="H1285" s="1167">
        <v>9.8000000000000007</v>
      </c>
      <c r="I1285" s="1168">
        <f>IF(DAY($F1285)&gt;15, VLOOKUP(EOMONTH($F1285,-1),'WP 3.1 Rate Case Regress.'!$C$5:$D$556,2,FALSE), VLOOKUP(EOMONTH($F1285, -2), 'WP 3.1 Rate Case Regress.'!$C$5:$D$556, 2, FALSE))</f>
        <v>5.86</v>
      </c>
    </row>
    <row r="1286" spans="2:9" ht="30" x14ac:dyDescent="0.5">
      <c r="B1286" s="1162" t="s">
        <v>2702</v>
      </c>
      <c r="C1286" s="1163" t="s">
        <v>2749</v>
      </c>
      <c r="D1286" s="1163" t="s">
        <v>3794</v>
      </c>
      <c r="E1286" s="1164"/>
      <c r="F1286" s="1165">
        <v>45239</v>
      </c>
      <c r="G1286" s="1166" t="s">
        <v>2695</v>
      </c>
      <c r="H1286" s="1167">
        <v>9.8000000000000007</v>
      </c>
      <c r="I1286" s="1168">
        <f>IF(DAY($F1286)&gt;15, VLOOKUP(EOMONTH($F1286,-1),'WP 3.1 Rate Case Regress.'!$C$5:$D$556,2,FALSE), VLOOKUP(EOMONTH($F1286, -2), 'WP 3.1 Rate Case Regress.'!$C$5:$D$556, 2, FALSE))</f>
        <v>5.86</v>
      </c>
    </row>
    <row r="1287" spans="2:9" x14ac:dyDescent="0.5">
      <c r="B1287" s="1162" t="s">
        <v>2693</v>
      </c>
      <c r="C1287" s="1163" t="s">
        <v>2629</v>
      </c>
      <c r="D1287" s="1163" t="s">
        <v>3795</v>
      </c>
      <c r="E1287" s="1164"/>
      <c r="F1287" s="1165">
        <v>45246</v>
      </c>
      <c r="G1287" s="1166" t="s">
        <v>2695</v>
      </c>
      <c r="H1287" s="1167">
        <v>9.51</v>
      </c>
      <c r="I1287" s="1168">
        <f>IF(DAY($F1287)&gt;15, VLOOKUP(EOMONTH($F1287,-1),'WP 3.1 Rate Case Regress.'!$C$5:$D$556,2,FALSE), VLOOKUP(EOMONTH($F1287, -2), 'WP 3.1 Rate Case Regress.'!$C$5:$D$556, 2, FALSE))</f>
        <v>6.34</v>
      </c>
    </row>
    <row r="1288" spans="2:9" x14ac:dyDescent="0.5">
      <c r="B1288" s="1162" t="s">
        <v>2693</v>
      </c>
      <c r="C1288" s="1163" t="s">
        <v>2742</v>
      </c>
      <c r="D1288" s="1163" t="s">
        <v>3796</v>
      </c>
      <c r="E1288" s="1164"/>
      <c r="F1288" s="1165">
        <v>45246</v>
      </c>
      <c r="G1288" s="1166" t="s">
        <v>2695</v>
      </c>
      <c r="H1288" s="1167">
        <v>9.44</v>
      </c>
      <c r="I1288" s="1168">
        <f>IF(DAY($F1288)&gt;15, VLOOKUP(EOMONTH($F1288,-1),'WP 3.1 Rate Case Regress.'!$C$5:$D$556,2,FALSE), VLOOKUP(EOMONTH($F1288, -2), 'WP 3.1 Rate Case Regress.'!$C$5:$D$556, 2, FALSE))</f>
        <v>6.34</v>
      </c>
    </row>
    <row r="1289" spans="2:9" x14ac:dyDescent="0.5">
      <c r="B1289" s="1162" t="s">
        <v>2693</v>
      </c>
      <c r="C1289" s="1163" t="s">
        <v>2959</v>
      </c>
      <c r="D1289" s="1163" t="s">
        <v>3797</v>
      </c>
      <c r="E1289" s="1164"/>
      <c r="F1289" s="1165">
        <v>45246</v>
      </c>
      <c r="G1289" s="1166" t="s">
        <v>2695</v>
      </c>
      <c r="H1289" s="1167">
        <v>9.3800000000000008</v>
      </c>
      <c r="I1289" s="1168">
        <f>IF(DAY($F1289)&gt;15, VLOOKUP(EOMONTH($F1289,-1),'WP 3.1 Rate Case Regress.'!$C$5:$D$556,2,FALSE), VLOOKUP(EOMONTH($F1289, -2), 'WP 3.1 Rate Case Regress.'!$C$5:$D$556, 2, FALSE))</f>
        <v>6.34</v>
      </c>
    </row>
    <row r="1290" spans="2:9" x14ac:dyDescent="0.5">
      <c r="B1290" s="1162" t="s">
        <v>2693</v>
      </c>
      <c r="C1290" s="1163" t="s">
        <v>2961</v>
      </c>
      <c r="D1290" s="1163" t="s">
        <v>3798</v>
      </c>
      <c r="E1290" s="1164"/>
      <c r="F1290" s="1165">
        <v>45246</v>
      </c>
      <c r="G1290" s="1166" t="s">
        <v>2695</v>
      </c>
      <c r="H1290" s="1167">
        <v>9.3800000000000008</v>
      </c>
      <c r="I1290" s="1168">
        <f>IF(DAY($F1290)&gt;15, VLOOKUP(EOMONTH($F1290,-1),'WP 3.1 Rate Case Regress.'!$C$5:$D$556,2,FALSE), VLOOKUP(EOMONTH($F1290, -2), 'WP 3.1 Rate Case Regress.'!$C$5:$D$556, 2, FALSE))</f>
        <v>6.34</v>
      </c>
    </row>
    <row r="1291" spans="2:9" x14ac:dyDescent="0.5">
      <c r="B1291" s="1162" t="s">
        <v>2768</v>
      </c>
      <c r="C1291" s="1163" t="s">
        <v>3012</v>
      </c>
      <c r="D1291" s="1163" t="s">
        <v>4639</v>
      </c>
      <c r="E1291" s="1164"/>
      <c r="F1291" s="1165">
        <v>45264</v>
      </c>
      <c r="G1291" s="1166" t="s">
        <v>4585</v>
      </c>
      <c r="H1291" s="1167">
        <v>9.8000000000000007</v>
      </c>
      <c r="I1291" s="1168">
        <f>IF(DAY($F1291)&gt;15, VLOOKUP(EOMONTH($F1291,-1),'WP 3.1 Rate Case Regress.'!$C$5:$D$556,2,FALSE), VLOOKUP(EOMONTH($F1291, -2), 'WP 3.1 Rate Case Regress.'!$C$5:$D$556, 2, FALSE))</f>
        <v>6.34</v>
      </c>
    </row>
    <row r="1292" spans="2:9" x14ac:dyDescent="0.5">
      <c r="B1292" s="1162" t="s">
        <v>2698</v>
      </c>
      <c r="C1292" s="1163" t="s">
        <v>2895</v>
      </c>
      <c r="D1292" s="1163" t="s">
        <v>3800</v>
      </c>
      <c r="E1292" s="1164"/>
      <c r="F1292" s="1165">
        <v>45274</v>
      </c>
      <c r="G1292" s="1166" t="s">
        <v>2695</v>
      </c>
      <c r="H1292" s="1167">
        <v>9.5</v>
      </c>
      <c r="I1292" s="1168">
        <f>IF(DAY($F1292)&gt;15, VLOOKUP(EOMONTH($F1292,-1),'WP 3.1 Rate Case Regress.'!$C$5:$D$556,2,FALSE), VLOOKUP(EOMONTH($F1292, -2), 'WP 3.1 Rate Case Regress.'!$C$5:$D$556, 2, FALSE))</f>
        <v>6.34</v>
      </c>
    </row>
    <row r="1293" spans="2:9" x14ac:dyDescent="0.5">
      <c r="B1293" s="1162" t="s">
        <v>2698</v>
      </c>
      <c r="C1293" s="1163" t="s">
        <v>2722</v>
      </c>
      <c r="D1293" s="1163" t="s">
        <v>3799</v>
      </c>
      <c r="E1293" s="1164"/>
      <c r="F1293" s="1165">
        <v>45274</v>
      </c>
      <c r="G1293" s="1166" t="s">
        <v>2695</v>
      </c>
      <c r="H1293" s="1167">
        <v>9.4499999999999993</v>
      </c>
      <c r="I1293" s="1168">
        <f>IF(DAY($F1293)&gt;15, VLOOKUP(EOMONTH($F1293,-1),'WP 3.1 Rate Case Regress.'!$C$5:$D$556,2,FALSE), VLOOKUP(EOMONTH($F1293, -2), 'WP 3.1 Rate Case Regress.'!$C$5:$D$556, 2, FALSE))</f>
        <v>6.34</v>
      </c>
    </row>
    <row r="1294" spans="2:9" x14ac:dyDescent="0.5">
      <c r="B1294" s="1162" t="s">
        <v>2734</v>
      </c>
      <c r="C1294" s="1163" t="s">
        <v>2895</v>
      </c>
      <c r="D1294" s="1163" t="s">
        <v>3801</v>
      </c>
      <c r="E1294" s="1164"/>
      <c r="F1294" s="1165">
        <v>45275</v>
      </c>
      <c r="G1294" s="1166" t="s">
        <v>2695</v>
      </c>
      <c r="H1294" s="1167">
        <v>9.65</v>
      </c>
      <c r="I1294" s="1168">
        <f>IF(DAY($F1294)&gt;15, VLOOKUP(EOMONTH($F1294,-1),'WP 3.1 Rate Case Regress.'!$C$5:$D$556,2,FALSE), VLOOKUP(EOMONTH($F1294, -2), 'WP 3.1 Rate Case Regress.'!$C$5:$D$556, 2, FALSE))</f>
        <v>6.34</v>
      </c>
    </row>
    <row r="1295" spans="2:9" x14ac:dyDescent="0.5">
      <c r="B1295" s="1162" t="s">
        <v>2724</v>
      </c>
      <c r="C1295" s="1163" t="s">
        <v>2925</v>
      </c>
      <c r="D1295" s="1163" t="s">
        <v>5113</v>
      </c>
      <c r="E1295" s="1164"/>
      <c r="F1295" s="1165">
        <v>45281</v>
      </c>
      <c r="G1295" s="1166" t="s">
        <v>4585</v>
      </c>
      <c r="H1295" s="1167">
        <v>9.75</v>
      </c>
      <c r="I1295" s="1168">
        <f>IF(DAY($F1295)&gt;15, VLOOKUP(EOMONTH($F1295,-1),'WP 3.1 Rate Case Regress.'!$C$5:$D$556,2,FALSE), VLOOKUP(EOMONTH($F1295, -2), 'WP 3.1 Rate Case Regress.'!$C$5:$D$556, 2, FALSE))</f>
        <v>6.05</v>
      </c>
    </row>
    <row r="1296" spans="2:9" ht="30" x14ac:dyDescent="0.5">
      <c r="B1296" s="1162" t="s">
        <v>2738</v>
      </c>
      <c r="C1296" s="1163" t="s">
        <v>2954</v>
      </c>
      <c r="D1296" s="1163" t="s">
        <v>3802</v>
      </c>
      <c r="E1296" s="1164"/>
      <c r="F1296" s="1165">
        <v>45282</v>
      </c>
      <c r="G1296" s="1166" t="s">
        <v>2695</v>
      </c>
      <c r="H1296" s="1167">
        <v>10.5</v>
      </c>
      <c r="I1296" s="1168">
        <f>IF(DAY($F1296)&gt;15, VLOOKUP(EOMONTH($F1296,-1),'WP 3.1 Rate Case Regress.'!$C$5:$D$556,2,FALSE), VLOOKUP(EOMONTH($F1296, -2), 'WP 3.1 Rate Case Regress.'!$C$5:$D$556, 2, FALSE))</f>
        <v>6.05</v>
      </c>
    </row>
    <row r="1297" spans="2:9" x14ac:dyDescent="0.5">
      <c r="B1297" s="1162" t="s">
        <v>2777</v>
      </c>
      <c r="C1297" s="1163" t="s">
        <v>4649</v>
      </c>
      <c r="D1297" s="1163" t="s">
        <v>4650</v>
      </c>
      <c r="E1297" s="1164"/>
      <c r="F1297" s="1165">
        <v>45308</v>
      </c>
      <c r="G1297" s="1166" t="s">
        <v>4585</v>
      </c>
      <c r="H1297" s="1167">
        <v>9.85</v>
      </c>
      <c r="I1297" s="1168">
        <f>IF(DAY($F1297)&gt;15, VLOOKUP(EOMONTH($F1297,-1),'WP 3.1 Rate Case Regress.'!$C$5:$D$556,2,FALSE), VLOOKUP(EOMONTH($F1297, -2), 'WP 3.1 Rate Case Regress.'!$C$5:$D$556, 2, FALSE))</f>
        <v>5.42</v>
      </c>
    </row>
    <row r="1298" spans="2:9" ht="45" x14ac:dyDescent="0.5">
      <c r="B1298" s="1162" t="s">
        <v>2775</v>
      </c>
      <c r="C1298" s="1163" t="s">
        <v>3643</v>
      </c>
      <c r="D1298" s="1163" t="s">
        <v>4714</v>
      </c>
      <c r="E1298" s="1164"/>
      <c r="F1298" s="1165">
        <v>45322</v>
      </c>
      <c r="G1298" s="1166" t="s">
        <v>4585</v>
      </c>
      <c r="H1298" s="1167">
        <v>9.6999999999999993</v>
      </c>
      <c r="I1298" s="1168">
        <f>IF(DAY($F1298)&gt;15, VLOOKUP(EOMONTH($F1298,-1),'WP 3.1 Rate Case Regress.'!$C$5:$D$556,2,FALSE), VLOOKUP(EOMONTH($F1298, -2), 'WP 3.1 Rate Case Regress.'!$C$5:$D$556, 2, FALSE))</f>
        <v>5.42</v>
      </c>
    </row>
    <row r="1299" spans="2:9" x14ac:dyDescent="0.5">
      <c r="B1299" s="1162" t="s">
        <v>2715</v>
      </c>
      <c r="C1299" s="1163" t="s">
        <v>3756</v>
      </c>
      <c r="D1299" s="1163" t="s">
        <v>4646</v>
      </c>
      <c r="E1299" s="1164"/>
      <c r="F1299" s="1165">
        <v>45375</v>
      </c>
      <c r="G1299" s="1166" t="s">
        <v>4585</v>
      </c>
      <c r="H1299" s="1167">
        <v>9.3000000000000007</v>
      </c>
      <c r="I1299" s="1168">
        <f>IF(DAY($F1299)&gt;15, VLOOKUP(EOMONTH($F1299,-1),'WP 3.1 Rate Case Regress.'!$C$5:$D$556,2,FALSE), VLOOKUP(EOMONTH($F1299, -2), 'WP 3.1 Rate Case Regress.'!$C$5:$D$556, 2, FALSE))</f>
        <v>5.56</v>
      </c>
    </row>
    <row r="1300" spans="2:9" x14ac:dyDescent="0.5">
      <c r="B1300" s="1162" t="s">
        <v>2779</v>
      </c>
      <c r="C1300" s="1163" t="s">
        <v>3721</v>
      </c>
      <c r="D1300" s="1163" t="s">
        <v>3803</v>
      </c>
      <c r="E1300" s="1164"/>
      <c r="F1300" s="1165">
        <v>45390</v>
      </c>
      <c r="G1300" s="1166" t="s">
        <v>2695</v>
      </c>
      <c r="H1300" s="1167">
        <v>11.88</v>
      </c>
      <c r="I1300" s="1168">
        <f>IF(DAY($F1300)&gt;15, VLOOKUP(EOMONTH($F1300,-1),'WP 3.1 Rate Case Regress.'!$C$5:$D$556,2,FALSE), VLOOKUP(EOMONTH($F1300, -2), 'WP 3.1 Rate Case Regress.'!$C$5:$D$556, 2, FALSE))</f>
        <v>5.56</v>
      </c>
    </row>
    <row r="1301" spans="2:9" ht="30" x14ac:dyDescent="0.5">
      <c r="B1301" s="1162" t="s">
        <v>2731</v>
      </c>
      <c r="C1301" s="1163" t="s">
        <v>2939</v>
      </c>
      <c r="D1301" s="1163" t="s">
        <v>4635</v>
      </c>
      <c r="E1301" s="1164"/>
      <c r="F1301" s="1165">
        <v>45390</v>
      </c>
      <c r="G1301" s="1166" t="s">
        <v>4585</v>
      </c>
      <c r="H1301" s="1167">
        <v>9.5</v>
      </c>
      <c r="I1301" s="1168">
        <f>IF(DAY($F1301)&gt;15, VLOOKUP(EOMONTH($F1301,-1),'WP 3.1 Rate Case Regress.'!$C$5:$D$556,2,FALSE), VLOOKUP(EOMONTH($F1301, -2), 'WP 3.1 Rate Case Regress.'!$C$5:$D$556, 2, FALSE))</f>
        <v>5.56</v>
      </c>
    </row>
    <row r="1302" spans="2:9" ht="30" x14ac:dyDescent="0.5">
      <c r="B1302" s="1162" t="s">
        <v>2731</v>
      </c>
      <c r="C1302" s="1163" t="s">
        <v>2939</v>
      </c>
      <c r="D1302" s="1163" t="s">
        <v>4636</v>
      </c>
      <c r="E1302" s="1164"/>
      <c r="F1302" s="1165">
        <v>45390</v>
      </c>
      <c r="G1302" s="1166" t="s">
        <v>4585</v>
      </c>
      <c r="H1302" s="1167">
        <v>9.5</v>
      </c>
      <c r="I1302" s="1168">
        <f>IF(DAY($F1302)&gt;15, VLOOKUP(EOMONTH($F1302,-1),'WP 3.1 Rate Case Regress.'!$C$5:$D$556,2,FALSE), VLOOKUP(EOMONTH($F1302, -2), 'WP 3.1 Rate Case Regress.'!$C$5:$D$556, 2, FALSE))</f>
        <v>5.56</v>
      </c>
    </row>
    <row r="1303" spans="2:9" x14ac:dyDescent="0.5">
      <c r="B1303" s="1162" t="s">
        <v>2710</v>
      </c>
      <c r="C1303" s="1163" t="s">
        <v>4654</v>
      </c>
      <c r="D1303" s="1163" t="s">
        <v>4655</v>
      </c>
      <c r="E1303" s="1164"/>
      <c r="F1303" s="1165">
        <v>45399</v>
      </c>
      <c r="G1303" s="1166" t="s">
        <v>4585</v>
      </c>
      <c r="H1303" s="1167">
        <v>9.75</v>
      </c>
      <c r="I1303" s="1168">
        <f>IF(DAY($F1303)&gt;15, VLOOKUP(EOMONTH($F1303,-1),'WP 3.1 Rate Case Regress.'!$C$5:$D$556,2,FALSE), VLOOKUP(EOMONTH($F1303, -2), 'WP 3.1 Rate Case Regress.'!$C$5:$D$556, 2, FALSE))</f>
        <v>5.55</v>
      </c>
    </row>
    <row r="1304" spans="2:9" ht="45" x14ac:dyDescent="0.5">
      <c r="B1304" s="1162" t="s">
        <v>2775</v>
      </c>
      <c r="C1304" s="1163" t="s">
        <v>2975</v>
      </c>
      <c r="D1304" s="1163" t="s">
        <v>4721</v>
      </c>
      <c r="E1304" s="1164"/>
      <c r="F1304" s="1165">
        <v>45469</v>
      </c>
      <c r="G1304" s="1166" t="s">
        <v>4585</v>
      </c>
      <c r="H1304" s="1167">
        <v>9.8000000000000007</v>
      </c>
      <c r="I1304" s="1168">
        <f>IF(DAY($F1304)&gt;15, VLOOKUP(EOMONTH($F1304,-1),'WP 3.1 Rate Case Regress.'!$C$5:$D$556,2,FALSE), VLOOKUP(EOMONTH($F1304, -2), 'WP 3.1 Rate Case Regress.'!$C$5:$D$556, 2, FALSE))</f>
        <v>5.74</v>
      </c>
    </row>
    <row r="1305" spans="2:9" x14ac:dyDescent="0.5">
      <c r="B1305" s="1162" t="s">
        <v>2700</v>
      </c>
      <c r="C1305" s="1163" t="s">
        <v>2778</v>
      </c>
      <c r="D1305" s="1163" t="s">
        <v>3804</v>
      </c>
      <c r="E1305" s="1164"/>
      <c r="F1305" s="1165">
        <v>45471</v>
      </c>
      <c r="G1305" s="1166" t="s">
        <v>2695</v>
      </c>
      <c r="H1305" s="1167">
        <v>9.4</v>
      </c>
      <c r="I1305" s="1168">
        <f>IF(DAY($F1305)&gt;15, VLOOKUP(EOMONTH($F1305,-1),'WP 3.1 Rate Case Regress.'!$C$5:$D$556,2,FALSE), VLOOKUP(EOMONTH($F1305, -2), 'WP 3.1 Rate Case Regress.'!$C$5:$D$556, 2, FALSE))</f>
        <v>5.74</v>
      </c>
    </row>
    <row r="1306" spans="2:9" x14ac:dyDescent="0.5">
      <c r="B1306" s="1162" t="s">
        <v>2704</v>
      </c>
      <c r="C1306" s="1163" t="s">
        <v>2750</v>
      </c>
      <c r="D1306" s="1163" t="s">
        <v>3805</v>
      </c>
      <c r="E1306" s="1164"/>
      <c r="F1306" s="1165">
        <v>45491</v>
      </c>
      <c r="G1306" s="1166" t="s">
        <v>2695</v>
      </c>
      <c r="H1306" s="1167">
        <v>9.5</v>
      </c>
      <c r="I1306" s="1168">
        <f>IF(DAY($F1306)&gt;15, VLOOKUP(EOMONTH($F1306,-1),'WP 3.1 Rate Case Regress.'!$C$5:$D$556,2,FALSE), VLOOKUP(EOMONTH($F1306, -2), 'WP 3.1 Rate Case Regress.'!$C$5:$D$556, 2, FALSE))</f>
        <v>5.61</v>
      </c>
    </row>
    <row r="1307" spans="2:9" x14ac:dyDescent="0.5">
      <c r="B1307" s="1162" t="s">
        <v>2744</v>
      </c>
      <c r="C1307" s="1163" t="s">
        <v>2770</v>
      </c>
      <c r="D1307" s="1163" t="s">
        <v>5114</v>
      </c>
      <c r="E1307" s="1164"/>
      <c r="F1307" s="1165">
        <v>45496</v>
      </c>
      <c r="G1307" s="1166" t="s">
        <v>4585</v>
      </c>
      <c r="H1307" s="1167">
        <v>9.9</v>
      </c>
      <c r="I1307" s="1168">
        <f>IF(DAY($F1307)&gt;15, VLOOKUP(EOMONTH($F1307,-1),'WP 3.1 Rate Case Regress.'!$C$5:$D$556,2,FALSE), VLOOKUP(EOMONTH($F1307, -2), 'WP 3.1 Rate Case Regress.'!$C$5:$D$556, 2, FALSE))</f>
        <v>5.61</v>
      </c>
    </row>
    <row r="1308" spans="2:9" x14ac:dyDescent="0.5">
      <c r="B1308" s="1162" t="s">
        <v>2752</v>
      </c>
      <c r="C1308" s="1163" t="s">
        <v>4661</v>
      </c>
      <c r="D1308" s="1163" t="s">
        <v>4670</v>
      </c>
      <c r="E1308" s="1164"/>
      <c r="F1308" s="1165">
        <v>45498</v>
      </c>
      <c r="G1308" s="1166" t="s">
        <v>4585</v>
      </c>
      <c r="H1308" s="1167">
        <v>9.3800000000000008</v>
      </c>
      <c r="I1308" s="1168">
        <f>IF(DAY($F1308)&gt;15, VLOOKUP(EOMONTH($F1308,-1),'WP 3.1 Rate Case Regress.'!$C$5:$D$556,2,FALSE), VLOOKUP(EOMONTH($F1308, -2), 'WP 3.1 Rate Case Regress.'!$C$5:$D$556, 2, FALSE))</f>
        <v>5.61</v>
      </c>
    </row>
    <row r="1309" spans="2:9" x14ac:dyDescent="0.5">
      <c r="B1309" s="1162" t="s">
        <v>2739</v>
      </c>
      <c r="C1309" s="1163" t="s">
        <v>3070</v>
      </c>
      <c r="D1309" s="1163" t="s">
        <v>4678</v>
      </c>
      <c r="E1309" s="1164"/>
      <c r="F1309" s="1165">
        <v>45504</v>
      </c>
      <c r="G1309" s="1166" t="s">
        <v>4585</v>
      </c>
      <c r="H1309" s="1167">
        <v>9.75</v>
      </c>
      <c r="I1309" s="1168">
        <f>IF(DAY($F1309)&gt;15, VLOOKUP(EOMONTH($F1309,-1),'WP 3.1 Rate Case Regress.'!$C$5:$D$556,2,FALSE), VLOOKUP(EOMONTH($F1309, -2), 'WP 3.1 Rate Case Regress.'!$C$5:$D$556, 2, FALSE))</f>
        <v>5.61</v>
      </c>
    </row>
    <row r="1310" spans="2:9" x14ac:dyDescent="0.5">
      <c r="B1310" s="1162" t="s">
        <v>2704</v>
      </c>
      <c r="C1310" s="1163" t="s">
        <v>4596</v>
      </c>
      <c r="D1310" s="1163" t="s">
        <v>4605</v>
      </c>
      <c r="E1310" s="1164"/>
      <c r="F1310" s="1165">
        <v>45519</v>
      </c>
      <c r="G1310" s="1166" t="s">
        <v>4585</v>
      </c>
      <c r="H1310" s="1167">
        <v>9.35</v>
      </c>
      <c r="I1310" s="1168">
        <f>IF(DAY($F1310)&gt;15, VLOOKUP(EOMONTH($F1310,-1),'WP 3.1 Rate Case Regress.'!$C$5:$D$556,2,FALSE), VLOOKUP(EOMONTH($F1310, -2), 'WP 3.1 Rate Case Regress.'!$C$5:$D$556, 2, FALSE))</f>
        <v>5.61</v>
      </c>
    </row>
    <row r="1311" spans="2:9" x14ac:dyDescent="0.5">
      <c r="B1311" s="1162" t="s">
        <v>2704</v>
      </c>
      <c r="C1311" s="1163" t="s">
        <v>2934</v>
      </c>
      <c r="D1311" s="1163" t="s">
        <v>4606</v>
      </c>
      <c r="E1311" s="1164"/>
      <c r="F1311" s="1165">
        <v>45519</v>
      </c>
      <c r="G1311" s="1166" t="s">
        <v>4585</v>
      </c>
      <c r="H1311" s="1167">
        <v>9.35</v>
      </c>
      <c r="I1311" s="1168">
        <f>IF(DAY($F1311)&gt;15, VLOOKUP(EOMONTH($F1311,-1),'WP 3.1 Rate Case Regress.'!$C$5:$D$556,2,FALSE), VLOOKUP(EOMONTH($F1311, -2), 'WP 3.1 Rate Case Regress.'!$C$5:$D$556, 2, FALSE))</f>
        <v>5.61</v>
      </c>
    </row>
    <row r="1312" spans="2:9" ht="30" x14ac:dyDescent="0.5">
      <c r="B1312" s="1162" t="s">
        <v>2708</v>
      </c>
      <c r="C1312" s="1163" t="s">
        <v>2747</v>
      </c>
      <c r="D1312" s="1163" t="s">
        <v>4651</v>
      </c>
      <c r="E1312" s="1164"/>
      <c r="F1312" s="1165">
        <v>45552</v>
      </c>
      <c r="G1312" s="1166" t="s">
        <v>4585</v>
      </c>
      <c r="H1312" s="1167">
        <v>9.65</v>
      </c>
      <c r="I1312" s="1168">
        <f>IF(DAY($F1312)&gt;15, VLOOKUP(EOMONTH($F1312,-1),'WP 3.1 Rate Case Regress.'!$C$5:$D$556,2,FALSE), VLOOKUP(EOMONTH($F1312, -2), 'WP 3.1 Rate Case Regress.'!$C$5:$D$556, 2, FALSE))</f>
        <v>5.38</v>
      </c>
    </row>
    <row r="1313" spans="2:9" x14ac:dyDescent="0.5">
      <c r="B1313" s="1162" t="s">
        <v>2731</v>
      </c>
      <c r="C1313" s="1163" t="s">
        <v>2733</v>
      </c>
      <c r="D1313" s="1163" t="s">
        <v>3860</v>
      </c>
      <c r="E1313" s="1164"/>
      <c r="F1313" s="1165">
        <v>45553</v>
      </c>
      <c r="G1313" s="1166" t="s">
        <v>2695</v>
      </c>
      <c r="H1313" s="1167">
        <v>9.4499999999999993</v>
      </c>
      <c r="I1313" s="1168">
        <f>IF(DAY($F1313)&gt;15, VLOOKUP(EOMONTH($F1313,-1),'WP 3.1 Rate Case Regress.'!$C$5:$D$556,2,FALSE), VLOOKUP(EOMONTH($F1313, -2), 'WP 3.1 Rate Case Regress.'!$C$5:$D$556, 2, FALSE))</f>
        <v>5.38</v>
      </c>
    </row>
    <row r="1314" spans="2:9" x14ac:dyDescent="0.5">
      <c r="B1314" s="1162" t="s">
        <v>2744</v>
      </c>
      <c r="C1314" s="1163" t="s">
        <v>3244</v>
      </c>
      <c r="D1314" s="1163" t="s">
        <v>5115</v>
      </c>
      <c r="E1314" s="1164"/>
      <c r="F1314" s="1165">
        <v>45561</v>
      </c>
      <c r="G1314" s="1166" t="s">
        <v>4585</v>
      </c>
      <c r="H1314" s="1167">
        <v>9.86</v>
      </c>
      <c r="I1314" s="1168">
        <f>IF(DAY($F1314)&gt;15, VLOOKUP(EOMONTH($F1314,-1),'WP 3.1 Rate Case Regress.'!$C$5:$D$556,2,FALSE), VLOOKUP(EOMONTH($F1314, -2), 'WP 3.1 Rate Case Regress.'!$C$5:$D$556, 2, FALSE))</f>
        <v>5.38</v>
      </c>
    </row>
    <row r="1315" spans="2:9" x14ac:dyDescent="0.5">
      <c r="B1315" s="1162" t="s">
        <v>2751</v>
      </c>
      <c r="C1315" s="1163" t="s">
        <v>2993</v>
      </c>
      <c r="D1315" s="1163" t="s">
        <v>4584</v>
      </c>
      <c r="E1315" s="1164"/>
      <c r="F1315" s="1165">
        <v>45566</v>
      </c>
      <c r="G1315" s="1166" t="s">
        <v>4585</v>
      </c>
      <c r="H1315" s="1167">
        <v>9.85</v>
      </c>
      <c r="I1315" s="1168">
        <f>IF(DAY($F1315)&gt;15, VLOOKUP(EOMONTH($F1315,-1),'WP 3.1 Rate Case Regress.'!$C$5:$D$556,2,FALSE), VLOOKUP(EOMONTH($F1315, -2), 'WP 3.1 Rate Case Regress.'!$C$5:$D$556, 2, FALSE))</f>
        <v>5.38</v>
      </c>
    </row>
    <row r="1316" spans="2:9" x14ac:dyDescent="0.5">
      <c r="B1316" s="1162" t="s">
        <v>2712</v>
      </c>
      <c r="C1316" s="1163" t="s">
        <v>2713</v>
      </c>
      <c r="D1316" s="1163" t="s">
        <v>4705</v>
      </c>
      <c r="E1316" s="1164"/>
      <c r="F1316" s="1165">
        <v>45574</v>
      </c>
      <c r="G1316" s="1166" t="s">
        <v>4585</v>
      </c>
      <c r="H1316" s="1167">
        <v>9.6</v>
      </c>
      <c r="I1316" s="1168">
        <f>IF(DAY($F1316)&gt;15, VLOOKUP(EOMONTH($F1316,-1),'WP 3.1 Rate Case Regress.'!$C$5:$D$556,2,FALSE), VLOOKUP(EOMONTH($F1316, -2), 'WP 3.1 Rate Case Regress.'!$C$5:$D$556, 2, FALSE))</f>
        <v>5.38</v>
      </c>
    </row>
    <row r="1317" spans="2:9" ht="30" x14ac:dyDescent="0.5">
      <c r="B1317" s="1162" t="s">
        <v>2738</v>
      </c>
      <c r="C1317" s="1163" t="s">
        <v>2954</v>
      </c>
      <c r="D1317" s="1163" t="s">
        <v>3861</v>
      </c>
      <c r="E1317" s="1164"/>
      <c r="F1317" s="1165">
        <v>45582</v>
      </c>
      <c r="G1317" s="1166" t="s">
        <v>2695</v>
      </c>
      <c r="H1317" s="1167">
        <v>10.08</v>
      </c>
      <c r="I1317" s="1168">
        <f>IF(DAY($F1317)&gt;15, VLOOKUP(EOMONTH($F1317,-1),'WP 3.1 Rate Case Regress.'!$C$5:$D$556,2,FALSE), VLOOKUP(EOMONTH($F1317, -2), 'WP 3.1 Rate Case Regress.'!$C$5:$D$556, 2, FALSE))</f>
        <v>5.2</v>
      </c>
    </row>
    <row r="1318" spans="2:9" x14ac:dyDescent="0.5">
      <c r="B1318" s="1162" t="s">
        <v>2774</v>
      </c>
      <c r="C1318" s="1163" t="s">
        <v>3493</v>
      </c>
      <c r="D1318" s="1163" t="s">
        <v>4637</v>
      </c>
      <c r="E1318" s="1164"/>
      <c r="F1318" s="1165">
        <v>45590</v>
      </c>
      <c r="G1318" s="1166" t="s">
        <v>4585</v>
      </c>
      <c r="H1318" s="1167">
        <v>9.4</v>
      </c>
      <c r="I1318" s="1168">
        <f>IF(DAY($F1318)&gt;15, VLOOKUP(EOMONTH($F1318,-1),'WP 3.1 Rate Case Regress.'!$C$5:$D$556,2,FALSE), VLOOKUP(EOMONTH($F1318, -2), 'WP 3.1 Rate Case Regress.'!$C$5:$D$556, 2, FALSE))</f>
        <v>5.2</v>
      </c>
    </row>
    <row r="1319" spans="2:9" x14ac:dyDescent="0.5">
      <c r="B1319" s="1162" t="s">
        <v>2715</v>
      </c>
      <c r="C1319" s="1163" t="s">
        <v>2716</v>
      </c>
      <c r="D1319" s="1163" t="s">
        <v>3862</v>
      </c>
      <c r="E1319" s="1164"/>
      <c r="F1319" s="1165">
        <v>45590</v>
      </c>
      <c r="G1319" s="1166" t="s">
        <v>2695</v>
      </c>
      <c r="H1319" s="1167">
        <v>9.35</v>
      </c>
      <c r="I1319" s="1168">
        <f>IF(DAY($F1319)&gt;15, VLOOKUP(EOMONTH($F1319,-1),'WP 3.1 Rate Case Regress.'!$C$5:$D$556,2,FALSE), VLOOKUP(EOMONTH($F1319, -2), 'WP 3.1 Rate Case Regress.'!$C$5:$D$556, 2, FALSE))</f>
        <v>5.2</v>
      </c>
    </row>
    <row r="1320" spans="2:9" x14ac:dyDescent="0.5">
      <c r="B1320" s="1162" t="s">
        <v>2693</v>
      </c>
      <c r="C1320" s="1163" t="s">
        <v>3863</v>
      </c>
      <c r="D1320" s="1163" t="s">
        <v>3864</v>
      </c>
      <c r="E1320" s="1164"/>
      <c r="F1320" s="1165">
        <v>45596</v>
      </c>
      <c r="G1320" s="1166" t="s">
        <v>2695</v>
      </c>
      <c r="H1320" s="1167">
        <v>9.9</v>
      </c>
      <c r="I1320" s="1168">
        <f>IF(DAY($F1320)&gt;15, VLOOKUP(EOMONTH($F1320,-1),'WP 3.1 Rate Case Regress.'!$C$5:$D$556,2,FALSE), VLOOKUP(EOMONTH($F1320, -2), 'WP 3.1 Rate Case Regress.'!$C$5:$D$556, 2, FALSE))</f>
        <v>5.2</v>
      </c>
    </row>
    <row r="1321" spans="2:9" x14ac:dyDescent="0.5">
      <c r="B1321" s="1162" t="s">
        <v>2739</v>
      </c>
      <c r="C1321" s="1163" t="s">
        <v>4724</v>
      </c>
      <c r="D1321" s="1163" t="s">
        <v>4725</v>
      </c>
      <c r="E1321" s="1164"/>
      <c r="F1321" s="1165">
        <v>45602</v>
      </c>
      <c r="G1321" s="1166" t="s">
        <v>4585</v>
      </c>
      <c r="H1321" s="1167">
        <v>10</v>
      </c>
      <c r="I1321" s="1168">
        <f>IF(DAY($F1321)&gt;15, VLOOKUP(EOMONTH($F1321,-1),'WP 3.1 Rate Case Regress.'!$C$5:$D$556,2,FALSE), VLOOKUP(EOMONTH($F1321, -2), 'WP 3.1 Rate Case Regress.'!$C$5:$D$556, 2, FALSE))</f>
        <v>5.2</v>
      </c>
    </row>
    <row r="1322" spans="2:9" x14ac:dyDescent="0.5">
      <c r="B1322" s="1162" t="s">
        <v>2762</v>
      </c>
      <c r="C1322" s="1163" t="s">
        <v>2746</v>
      </c>
      <c r="D1322" s="1163" t="s">
        <v>4640</v>
      </c>
      <c r="E1322" s="1164"/>
      <c r="F1322" s="1165">
        <v>45603</v>
      </c>
      <c r="G1322" s="1166" t="s">
        <v>4585</v>
      </c>
      <c r="H1322" s="1167">
        <v>9.9</v>
      </c>
      <c r="I1322" s="1168">
        <f>IF(DAY($F1322)&gt;15, VLOOKUP(EOMONTH($F1322,-1),'WP 3.1 Rate Case Regress.'!$C$5:$D$556,2,FALSE), VLOOKUP(EOMONTH($F1322, -2), 'WP 3.1 Rate Case Regress.'!$C$5:$D$556, 2, FALSE))</f>
        <v>5.2</v>
      </c>
    </row>
    <row r="1323" spans="2:9" x14ac:dyDescent="0.5">
      <c r="B1323" s="1162" t="s">
        <v>2762</v>
      </c>
      <c r="C1323" s="1163" t="s">
        <v>2755</v>
      </c>
      <c r="D1323" s="1163" t="s">
        <v>4683</v>
      </c>
      <c r="E1323" s="1164"/>
      <c r="F1323" s="1165">
        <v>45603</v>
      </c>
      <c r="G1323" s="1166" t="s">
        <v>4585</v>
      </c>
      <c r="H1323" s="1167">
        <v>9.9</v>
      </c>
      <c r="I1323" s="1168">
        <f>IF(DAY($F1323)&gt;15, VLOOKUP(EOMONTH($F1323,-1),'WP 3.1 Rate Case Regress.'!$C$5:$D$556,2,FALSE), VLOOKUP(EOMONTH($F1323, -2), 'WP 3.1 Rate Case Regress.'!$C$5:$D$556, 2, FALSE))</f>
        <v>5.2</v>
      </c>
    </row>
    <row r="1324" spans="2:9" x14ac:dyDescent="0.5">
      <c r="B1324" s="1162" t="s">
        <v>2744</v>
      </c>
      <c r="C1324" s="1163" t="s">
        <v>2972</v>
      </c>
      <c r="D1324" s="1163" t="s">
        <v>3865</v>
      </c>
      <c r="E1324" s="1164"/>
      <c r="F1324" s="1165">
        <v>45603</v>
      </c>
      <c r="G1324" s="1166" t="s">
        <v>2695</v>
      </c>
      <c r="H1324" s="1167">
        <v>9.8000000000000007</v>
      </c>
      <c r="I1324" s="1168">
        <f>IF(DAY($F1324)&gt;15, VLOOKUP(EOMONTH($F1324,-1),'WP 3.1 Rate Case Regress.'!$C$5:$D$556,2,FALSE), VLOOKUP(EOMONTH($F1324, -2), 'WP 3.1 Rate Case Regress.'!$C$5:$D$556, 2, FALSE))</f>
        <v>5.2</v>
      </c>
    </row>
    <row r="1325" spans="2:9" x14ac:dyDescent="0.5">
      <c r="B1325" s="1162" t="s">
        <v>2723</v>
      </c>
      <c r="C1325" s="1163" t="s">
        <v>2921</v>
      </c>
      <c r="D1325" s="1163" t="s">
        <v>4422</v>
      </c>
      <c r="E1325" s="1164"/>
      <c r="F1325" s="1165">
        <v>45614</v>
      </c>
      <c r="G1325" s="1166" t="s">
        <v>2695</v>
      </c>
      <c r="H1325" s="1167">
        <v>9.15</v>
      </c>
      <c r="I1325" s="1168">
        <f>IF(DAY($F1325)&gt;15, VLOOKUP(EOMONTH($F1325,-1),'WP 3.1 Rate Case Regress.'!$C$5:$D$556,2,FALSE), VLOOKUP(EOMONTH($F1325, -2), 'WP 3.1 Rate Case Regress.'!$C$5:$D$556, 2, FALSE))</f>
        <v>5.41</v>
      </c>
    </row>
    <row r="1326" spans="2:9" x14ac:dyDescent="0.5">
      <c r="B1326" s="1162" t="s">
        <v>2723</v>
      </c>
      <c r="C1326" s="1163" t="s">
        <v>2949</v>
      </c>
      <c r="D1326" s="1163" t="s">
        <v>4423</v>
      </c>
      <c r="E1326" s="1164"/>
      <c r="F1326" s="1165">
        <v>45614</v>
      </c>
      <c r="G1326" s="1166" t="s">
        <v>2695</v>
      </c>
      <c r="H1326" s="1167">
        <v>9.15</v>
      </c>
      <c r="I1326" s="1168">
        <f>IF(DAY($F1326)&gt;15, VLOOKUP(EOMONTH($F1326,-1),'WP 3.1 Rate Case Regress.'!$C$5:$D$556,2,FALSE), VLOOKUP(EOMONTH($F1326, -2), 'WP 3.1 Rate Case Regress.'!$C$5:$D$556, 2, FALSE))</f>
        <v>5.41</v>
      </c>
    </row>
    <row r="1327" spans="2:9" ht="45" x14ac:dyDescent="0.5">
      <c r="B1327" s="1162" t="s">
        <v>2775</v>
      </c>
      <c r="C1327" s="1163" t="s">
        <v>3643</v>
      </c>
      <c r="D1327" s="1163" t="s">
        <v>4715</v>
      </c>
      <c r="E1327" s="1164"/>
      <c r="F1327" s="1165">
        <v>45616</v>
      </c>
      <c r="G1327" s="1166" t="s">
        <v>4585</v>
      </c>
      <c r="H1327" s="1167">
        <v>9.6999999999999993</v>
      </c>
      <c r="I1327" s="1168">
        <f>IF(DAY($F1327)&gt;15, VLOOKUP(EOMONTH($F1327,-1),'WP 3.1 Rate Case Regress.'!$C$5:$D$556,2,FALSE), VLOOKUP(EOMONTH($F1327, -2), 'WP 3.1 Rate Case Regress.'!$C$5:$D$556, 2, FALSE))</f>
        <v>5.41</v>
      </c>
    </row>
    <row r="1328" spans="2:9" x14ac:dyDescent="0.5">
      <c r="B1328" s="1162" t="s">
        <v>2751</v>
      </c>
      <c r="C1328" s="1163" t="s">
        <v>4586</v>
      </c>
      <c r="D1328" s="1163" t="s">
        <v>4587</v>
      </c>
      <c r="E1328" s="1164"/>
      <c r="F1328" s="1165">
        <v>45617</v>
      </c>
      <c r="G1328" s="1166" t="s">
        <v>4585</v>
      </c>
      <c r="H1328" s="1167">
        <v>9.85</v>
      </c>
      <c r="I1328" s="1168">
        <f>IF(DAY($F1328)&gt;15, VLOOKUP(EOMONTH($F1328,-1),'WP 3.1 Rate Case Regress.'!$C$5:$D$556,2,FALSE), VLOOKUP(EOMONTH($F1328, -2), 'WP 3.1 Rate Case Regress.'!$C$5:$D$556, 2, FALSE))</f>
        <v>5.41</v>
      </c>
    </row>
    <row r="1329" spans="2:9" x14ac:dyDescent="0.5">
      <c r="B1329" s="1162" t="s">
        <v>2712</v>
      </c>
      <c r="C1329" s="1163" t="s">
        <v>3333</v>
      </c>
      <c r="D1329" s="1163" t="s">
        <v>4706</v>
      </c>
      <c r="E1329" s="1164"/>
      <c r="F1329" s="1165">
        <v>45617</v>
      </c>
      <c r="G1329" s="1166" t="s">
        <v>4585</v>
      </c>
      <c r="H1329" s="1167">
        <v>9.6</v>
      </c>
      <c r="I1329" s="1168">
        <f>IF(DAY($F1329)&gt;15, VLOOKUP(EOMONTH($F1329,-1),'WP 3.1 Rate Case Regress.'!$C$5:$D$556,2,FALSE), VLOOKUP(EOMONTH($F1329, -2), 'WP 3.1 Rate Case Regress.'!$C$5:$D$556, 2, FALSE))</f>
        <v>5.41</v>
      </c>
    </row>
    <row r="1330" spans="2:9" x14ac:dyDescent="0.5">
      <c r="B1330" s="1162" t="s">
        <v>2712</v>
      </c>
      <c r="C1330" s="1163" t="s">
        <v>3255</v>
      </c>
      <c r="D1330" s="1163" t="s">
        <v>4697</v>
      </c>
      <c r="E1330" s="1164"/>
      <c r="F1330" s="1165">
        <v>45617</v>
      </c>
      <c r="G1330" s="1166" t="s">
        <v>4585</v>
      </c>
      <c r="H1330" s="1167">
        <v>9.6</v>
      </c>
      <c r="I1330" s="1168">
        <f>IF(DAY($F1330)&gt;15, VLOOKUP(EOMONTH($F1330,-1),'WP 3.1 Rate Case Regress.'!$C$5:$D$556,2,FALSE), VLOOKUP(EOMONTH($F1330, -2), 'WP 3.1 Rate Case Regress.'!$C$5:$D$556, 2, FALSE))</f>
        <v>5.41</v>
      </c>
    </row>
    <row r="1331" spans="2:9" x14ac:dyDescent="0.5">
      <c r="B1331" s="1162" t="s">
        <v>2702</v>
      </c>
      <c r="C1331" s="1163" t="s">
        <v>2773</v>
      </c>
      <c r="D1331" s="1163" t="s">
        <v>3866</v>
      </c>
      <c r="E1331" s="1164"/>
      <c r="F1331" s="1165">
        <v>45645</v>
      </c>
      <c r="G1331" s="1166" t="s">
        <v>2695</v>
      </c>
      <c r="H1331" s="1167">
        <v>9.8000000000000007</v>
      </c>
      <c r="I1331" s="1168">
        <f>IF(DAY($F1331)&gt;15, VLOOKUP(EOMONTH($F1331,-1),'WP 3.1 Rate Case Regress.'!$C$5:$D$556,2,FALSE), VLOOKUP(EOMONTH($F1331, -2), 'WP 3.1 Rate Case Regress.'!$C$5:$D$556, 2, FALSE))</f>
        <v>5.56</v>
      </c>
    </row>
    <row r="1332" spans="2:9" x14ac:dyDescent="0.5">
      <c r="B1332" s="1162" t="s">
        <v>2702</v>
      </c>
      <c r="C1332" s="1163" t="s">
        <v>2903</v>
      </c>
      <c r="D1332" s="1163" t="s">
        <v>3867</v>
      </c>
      <c r="E1332" s="1164"/>
      <c r="F1332" s="1165">
        <v>45645</v>
      </c>
      <c r="G1332" s="1166" t="s">
        <v>2695</v>
      </c>
      <c r="H1332" s="1167">
        <v>9.8000000000000007</v>
      </c>
      <c r="I1332" s="1168">
        <f>IF(DAY($F1332)&gt;15, VLOOKUP(EOMONTH($F1332,-1),'WP 3.1 Rate Case Regress.'!$C$5:$D$556,2,FALSE), VLOOKUP(EOMONTH($F1332, -2), 'WP 3.1 Rate Case Regress.'!$C$5:$D$556, 2, FALSE))</f>
        <v>5.56</v>
      </c>
    </row>
    <row r="1333" spans="2:9" ht="30" x14ac:dyDescent="0.5">
      <c r="B1333" s="1162" t="s">
        <v>2702</v>
      </c>
      <c r="C1333" s="1163" t="s">
        <v>2748</v>
      </c>
      <c r="D1333" s="1163" t="s">
        <v>3868</v>
      </c>
      <c r="E1333" s="1164"/>
      <c r="F1333" s="1165">
        <v>45645</v>
      </c>
      <c r="G1333" s="1166" t="s">
        <v>2695</v>
      </c>
      <c r="H1333" s="1167">
        <v>9.8000000000000007</v>
      </c>
      <c r="I1333" s="1168">
        <f>IF(DAY($F1333)&gt;15, VLOOKUP(EOMONTH($F1333,-1),'WP 3.1 Rate Case Regress.'!$C$5:$D$556,2,FALSE), VLOOKUP(EOMONTH($F1333, -2), 'WP 3.1 Rate Case Regress.'!$C$5:$D$556, 2, FALSE))</f>
        <v>5.56</v>
      </c>
    </row>
    <row r="1334" spans="2:9" x14ac:dyDescent="0.5">
      <c r="B1334" s="1162" t="s">
        <v>2704</v>
      </c>
      <c r="C1334" s="1163" t="s">
        <v>2910</v>
      </c>
      <c r="D1334" s="1163" t="s">
        <v>4607</v>
      </c>
      <c r="E1334" s="1164"/>
      <c r="F1334" s="1165">
        <v>45645</v>
      </c>
      <c r="G1334" s="1166" t="s">
        <v>4585</v>
      </c>
      <c r="H1334" s="1167">
        <v>9.6999999999999993</v>
      </c>
      <c r="I1334" s="1168">
        <f>IF(DAY($F1334)&gt;15, VLOOKUP(EOMONTH($F1334,-1),'WP 3.1 Rate Case Regress.'!$C$5:$D$556,2,FALSE), VLOOKUP(EOMONTH($F1334, -2), 'WP 3.1 Rate Case Regress.'!$C$5:$D$556, 2, FALSE))</f>
        <v>5.56</v>
      </c>
    </row>
    <row r="1335" spans="2:9" x14ac:dyDescent="0.5">
      <c r="B1335" s="1162" t="s">
        <v>2736</v>
      </c>
      <c r="C1335" s="1163" t="s">
        <v>2727</v>
      </c>
      <c r="D1335" s="1163" t="s">
        <v>4424</v>
      </c>
      <c r="E1335" s="1164"/>
      <c r="F1335" s="1165">
        <v>45646</v>
      </c>
      <c r="G1335" s="1166" t="s">
        <v>2695</v>
      </c>
      <c r="H1335" s="1167">
        <v>9.8000000000000007</v>
      </c>
      <c r="I1335" s="1168">
        <f>IF(DAY($F1335)&gt;15, VLOOKUP(EOMONTH($F1335,-1),'WP 3.1 Rate Case Regress.'!$C$5:$D$556,2,FALSE), VLOOKUP(EOMONTH($F1335, -2), 'WP 3.1 Rate Case Regress.'!$C$5:$D$556, 2, FALSE))</f>
        <v>5.56</v>
      </c>
    </row>
    <row r="1336" spans="2:9" x14ac:dyDescent="0.5">
      <c r="B1336" s="1162" t="s">
        <v>2728</v>
      </c>
      <c r="C1336" s="1163" t="s">
        <v>3144</v>
      </c>
      <c r="D1336" s="1163" t="s">
        <v>4687</v>
      </c>
      <c r="E1336" s="1164"/>
      <c r="F1336" s="1165">
        <v>45656</v>
      </c>
      <c r="G1336" s="1166" t="s">
        <v>4585</v>
      </c>
      <c r="H1336" s="1167">
        <v>9.75</v>
      </c>
      <c r="I1336" s="1168">
        <f>IF(DAY($F1336)&gt;15, VLOOKUP(EOMONTH($F1336,-1),'WP 3.1 Rate Case Regress.'!$C$5:$D$556,2,FALSE), VLOOKUP(EOMONTH($F1336, -2), 'WP 3.1 Rate Case Regress.'!$C$5:$D$556, 2, FALSE))</f>
        <v>5.56</v>
      </c>
    </row>
    <row r="1337" spans="2:9" x14ac:dyDescent="0.5">
      <c r="B1337" s="1162" t="s">
        <v>2743</v>
      </c>
      <c r="C1337" s="1163" t="s">
        <v>3012</v>
      </c>
      <c r="D1337" s="1163" t="s">
        <v>4675</v>
      </c>
      <c r="E1337" s="1164"/>
      <c r="F1337" s="1165">
        <v>45664</v>
      </c>
      <c r="G1337" s="1166" t="s">
        <v>4585</v>
      </c>
      <c r="H1337" s="1167">
        <v>9.8000000000000007</v>
      </c>
      <c r="I1337" s="1168">
        <f>IF(DAY($F1337)&gt;15, VLOOKUP(EOMONTH($F1337,-1),'WP 3.1 Rate Case Regress.'!$C$5:$D$556,2,FALSE), VLOOKUP(EOMONTH($F1337, -2), 'WP 3.1 Rate Case Regress.'!$C$5:$D$556, 2, FALSE))</f>
        <v>5.56</v>
      </c>
    </row>
    <row r="1338" spans="2:9" x14ac:dyDescent="0.5">
      <c r="B1338" s="1162" t="s">
        <v>2736</v>
      </c>
      <c r="C1338" s="1163" t="s">
        <v>2737</v>
      </c>
      <c r="D1338" s="1163" t="s">
        <v>4425</v>
      </c>
      <c r="E1338" s="1164"/>
      <c r="F1338" s="1165">
        <v>45672</v>
      </c>
      <c r="G1338" s="1166" t="s">
        <v>2695</v>
      </c>
      <c r="H1338" s="1167">
        <v>9.9</v>
      </c>
      <c r="I1338" s="1168">
        <f>IF(DAY($F1338)&gt;15, VLOOKUP(EOMONTH($F1338,-1),'WP 3.1 Rate Case Regress.'!$C$5:$D$556,2,FALSE), VLOOKUP(EOMONTH($F1338, -2), 'WP 3.1 Rate Case Regress.'!$C$5:$D$556, 2, FALSE))</f>
        <v>5.56</v>
      </c>
    </row>
  </sheetData>
  <mergeCells count="1">
    <mergeCell ref="F2:H2"/>
  </mergeCells>
  <conditionalFormatting sqref="H4:H1338">
    <cfRule type="containsText" dxfId="6" priority="1" operator="containsText" text="NA">
      <formula>NOT(ISERROR(SEARCH("NA",H4)))</formula>
    </cfRule>
  </conditionalFormatting>
  <printOptions horizontalCentered="1"/>
  <pageMargins left="1.5" right="1" top="1" bottom="1" header="0.3" footer="0.3"/>
  <pageSetup scale="80" orientation="portrait" horizontalDpi="1200" verticalDpi="1200" r:id="rId1"/>
  <rowBreaks count="1" manualBreakCount="1">
    <brk id="161" max="16383" man="1"/>
  </rowBreaks>
  <colBreaks count="1" manualBreakCount="1">
    <brk id="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2B7E8-A576-44E4-A385-9B670E9E6B3A}">
  <sheetPr codeName="Sheet29"/>
  <dimension ref="A1:AI1278"/>
  <sheetViews>
    <sheetView view="pageBreakPreview" topLeftCell="M1" zoomScale="73" zoomScaleNormal="100" zoomScaleSheetLayoutView="73" workbookViewId="0">
      <selection activeCell="AD1" sqref="AD1:AI1"/>
    </sheetView>
  </sheetViews>
  <sheetFormatPr defaultColWidth="8.734375" defaultRowHeight="13.8" x14ac:dyDescent="0.45"/>
  <cols>
    <col min="1" max="1" width="17.734375" style="828" customWidth="1"/>
    <col min="2" max="2" width="10.26171875" style="828" customWidth="1"/>
    <col min="3" max="3" width="9" style="828" customWidth="1"/>
    <col min="4" max="4" width="10" style="828" customWidth="1"/>
    <col min="5" max="5" width="10" style="828" bestFit="1" customWidth="1"/>
    <col min="6" max="6" width="9.15625" style="828" bestFit="1" customWidth="1"/>
    <col min="7" max="7" width="9.7890625" style="828" bestFit="1" customWidth="1"/>
    <col min="8" max="8" width="10" style="828" customWidth="1"/>
    <col min="9" max="9" width="9.7890625" style="828" bestFit="1" customWidth="1"/>
    <col min="10" max="10" width="10.26171875" style="828" customWidth="1"/>
    <col min="11" max="11" width="8.5234375" style="828" customWidth="1"/>
    <col min="12" max="12" width="8.734375" style="828"/>
    <col min="13" max="13" width="9.7890625" style="828" bestFit="1" customWidth="1"/>
    <col min="14" max="14" width="9.26171875" style="828" customWidth="1"/>
    <col min="15" max="15" width="9.7890625" style="828" bestFit="1" customWidth="1"/>
    <col min="16" max="16" width="11.7890625" style="828" customWidth="1"/>
    <col min="17" max="17" width="10.7890625" style="828" customWidth="1"/>
    <col min="18" max="18" width="12" style="828" bestFit="1" customWidth="1"/>
    <col min="19" max="21" width="9" style="828" bestFit="1" customWidth="1"/>
    <col min="22" max="22" width="10.7890625" style="828" bestFit="1" customWidth="1"/>
    <col min="23" max="23" width="9" style="828" customWidth="1"/>
    <col min="24" max="24" width="12.26171875" style="828" customWidth="1"/>
    <col min="25" max="25" width="9" style="828" bestFit="1" customWidth="1"/>
    <col min="26" max="26" width="11.5234375" style="828" customWidth="1"/>
    <col min="27" max="27" width="11.7890625" style="828" customWidth="1"/>
    <col min="28" max="28" width="3.5234375" style="828" customWidth="1"/>
    <col min="29" max="29" width="21.47265625" style="828" customWidth="1"/>
    <col min="30" max="30" width="7.5234375" style="828" customWidth="1"/>
    <col min="31" max="31" width="37.26171875" style="828" customWidth="1"/>
    <col min="32" max="32" width="5.5234375" style="828" customWidth="1"/>
    <col min="33" max="33" width="15.5234375" style="828" customWidth="1"/>
    <col min="34" max="34" width="5.5234375" style="828" customWidth="1"/>
    <col min="35" max="35" width="18.5234375" style="828" customWidth="1"/>
    <col min="36" max="16384" width="8.734375" style="828"/>
  </cols>
  <sheetData>
    <row r="1" spans="1:35" ht="14.5" customHeight="1" x14ac:dyDescent="0.45">
      <c r="A1" s="1443"/>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4" t="s">
        <v>5145</v>
      </c>
      <c r="AE1" s="1444"/>
      <c r="AF1" s="1444"/>
      <c r="AG1" s="1444"/>
      <c r="AH1" s="1444"/>
      <c r="AI1" s="1444"/>
    </row>
    <row r="2" spans="1:35" ht="14.5" customHeight="1" x14ac:dyDescent="0.45">
      <c r="A2" s="1445"/>
      <c r="B2" s="1445"/>
      <c r="C2" s="1445"/>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6" t="s">
        <v>5146</v>
      </c>
      <c r="AE2" s="1446"/>
      <c r="AF2" s="1446"/>
      <c r="AG2" s="1446"/>
      <c r="AH2" s="1446"/>
      <c r="AI2" s="1446"/>
    </row>
    <row r="3" spans="1:35" x14ac:dyDescent="0.45">
      <c r="A3" s="1447"/>
      <c r="B3" s="1447"/>
      <c r="C3" s="1447"/>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8" t="s">
        <v>5147</v>
      </c>
      <c r="AE3" s="1448"/>
      <c r="AF3" s="1448"/>
      <c r="AG3" s="1448"/>
      <c r="AH3" s="1448"/>
      <c r="AI3" s="1448"/>
    </row>
    <row r="4" spans="1:35" x14ac:dyDescent="0.45">
      <c r="A4" s="830"/>
      <c r="B4" s="831"/>
      <c r="C4" s="831"/>
      <c r="D4" s="831"/>
      <c r="E4" s="831"/>
      <c r="F4" s="831"/>
      <c r="G4" s="831"/>
      <c r="H4" s="831"/>
      <c r="I4" s="831"/>
      <c r="J4" s="831"/>
      <c r="K4" s="831"/>
      <c r="L4" s="831"/>
      <c r="M4" s="831"/>
      <c r="N4" s="831"/>
      <c r="O4" s="831"/>
      <c r="P4" s="831"/>
      <c r="Q4" s="831"/>
      <c r="R4" s="1442" t="s">
        <v>5148</v>
      </c>
      <c r="S4" s="1442"/>
      <c r="T4" s="1442" t="s">
        <v>5149</v>
      </c>
      <c r="U4" s="1442"/>
      <c r="V4" s="1442" t="s">
        <v>7103</v>
      </c>
      <c r="W4" s="1442"/>
      <c r="X4" s="1442" t="s">
        <v>5150</v>
      </c>
      <c r="Y4" s="1442"/>
      <c r="Z4" s="1442" t="s">
        <v>124</v>
      </c>
      <c r="AA4" s="1442"/>
      <c r="AB4" s="829"/>
    </row>
    <row r="5" spans="1:35" ht="27" customHeight="1" x14ac:dyDescent="0.45">
      <c r="A5" s="832"/>
      <c r="B5" s="833" t="s">
        <v>29</v>
      </c>
      <c r="C5" s="834"/>
      <c r="D5" s="833" t="s">
        <v>2861</v>
      </c>
      <c r="E5" s="834"/>
      <c r="F5" s="833" t="s">
        <v>50</v>
      </c>
      <c r="G5" s="834"/>
      <c r="H5" s="833" t="s">
        <v>2862</v>
      </c>
      <c r="I5" s="834"/>
      <c r="J5" s="833" t="s">
        <v>2863</v>
      </c>
      <c r="K5" s="834"/>
      <c r="L5" s="833" t="s">
        <v>3809</v>
      </c>
      <c r="M5" s="834"/>
      <c r="N5" s="833" t="s">
        <v>2864</v>
      </c>
      <c r="O5" s="834"/>
      <c r="P5" s="833" t="s">
        <v>5151</v>
      </c>
      <c r="Q5" s="832"/>
      <c r="R5" s="832" t="s">
        <v>5152</v>
      </c>
      <c r="S5" s="832"/>
      <c r="T5" s="832" t="s">
        <v>5149</v>
      </c>
      <c r="U5" s="832"/>
      <c r="V5" s="832" t="s">
        <v>7103</v>
      </c>
      <c r="W5" s="832"/>
      <c r="X5" s="832" t="s">
        <v>5153</v>
      </c>
      <c r="Y5" s="832"/>
      <c r="Z5" s="832" t="s">
        <v>5154</v>
      </c>
      <c r="AA5" s="832"/>
      <c r="AB5" s="832"/>
      <c r="AG5" s="835" t="s">
        <v>5155</v>
      </c>
      <c r="AH5" s="836"/>
      <c r="AI5" s="835" t="s">
        <v>5156</v>
      </c>
    </row>
    <row r="6" spans="1:35" x14ac:dyDescent="0.45">
      <c r="A6" s="832"/>
      <c r="B6" s="1441"/>
      <c r="C6" s="1441"/>
      <c r="D6" s="1441"/>
      <c r="E6" s="1441"/>
      <c r="F6" s="1441"/>
      <c r="G6" s="1441"/>
      <c r="H6" s="1441"/>
      <c r="I6" s="1441"/>
      <c r="J6" s="837"/>
      <c r="K6" s="837"/>
      <c r="L6" s="1441"/>
      <c r="M6" s="1441"/>
      <c r="N6" s="1441"/>
      <c r="O6" s="1441"/>
      <c r="P6" s="1442"/>
      <c r="Q6" s="1442"/>
      <c r="R6" s="1441"/>
      <c r="S6" s="1441"/>
      <c r="T6" s="1441"/>
      <c r="U6" s="1441"/>
      <c r="V6" s="837"/>
      <c r="W6" s="837"/>
      <c r="X6" s="1441"/>
      <c r="Y6" s="1441"/>
      <c r="Z6" s="1441"/>
      <c r="AA6" s="1441"/>
      <c r="AB6" s="830"/>
    </row>
    <row r="7" spans="1:35" ht="15" customHeight="1" x14ac:dyDescent="0.45">
      <c r="A7" s="832"/>
      <c r="B7" s="830" t="s">
        <v>5157</v>
      </c>
      <c r="C7" s="830" t="s">
        <v>5158</v>
      </c>
      <c r="D7" s="830" t="s">
        <v>5157</v>
      </c>
      <c r="E7" s="830" t="s">
        <v>5158</v>
      </c>
      <c r="F7" s="830" t="s">
        <v>5157</v>
      </c>
      <c r="G7" s="830" t="s">
        <v>5158</v>
      </c>
      <c r="H7" s="830" t="s">
        <v>5157</v>
      </c>
      <c r="I7" s="830" t="s">
        <v>5158</v>
      </c>
      <c r="J7" s="830" t="s">
        <v>5157</v>
      </c>
      <c r="K7" s="830" t="s">
        <v>5158</v>
      </c>
      <c r="L7" s="830" t="s">
        <v>5157</v>
      </c>
      <c r="M7" s="830" t="s">
        <v>5158</v>
      </c>
      <c r="N7" s="830" t="s">
        <v>5157</v>
      </c>
      <c r="O7" s="830" t="s">
        <v>5158</v>
      </c>
      <c r="P7" s="830"/>
      <c r="Q7" s="830"/>
      <c r="R7" s="838" t="s">
        <v>5157</v>
      </c>
      <c r="S7" s="830" t="s">
        <v>5158</v>
      </c>
      <c r="T7" s="830" t="s">
        <v>5157</v>
      </c>
      <c r="U7" s="830" t="s">
        <v>5158</v>
      </c>
      <c r="V7" s="838" t="s">
        <v>5157</v>
      </c>
      <c r="W7" s="830" t="s">
        <v>5158</v>
      </c>
      <c r="X7" s="830" t="s">
        <v>5157</v>
      </c>
      <c r="Y7" s="830" t="s">
        <v>5158</v>
      </c>
      <c r="Z7" s="830" t="s">
        <v>5157</v>
      </c>
      <c r="AA7" s="830" t="s">
        <v>5158</v>
      </c>
      <c r="AB7" s="830"/>
      <c r="AC7" s="832" t="s">
        <v>29</v>
      </c>
      <c r="AD7" s="832"/>
      <c r="AE7" s="828" t="s">
        <v>2675</v>
      </c>
      <c r="AG7" s="839">
        <f t="shared" ref="AG7:AG13" si="0">HLOOKUP($AC7,$B$1269:$O$1273,4,FALSE)</f>
        <v>0.21772195163633248</v>
      </c>
      <c r="AI7" s="840">
        <f t="shared" ref="AI7:AI13" si="1">HLOOKUP($AC7,$C$1274:$AA$1277,3,FALSE)</f>
        <v>0.2559951712454428</v>
      </c>
    </row>
    <row r="8" spans="1:35" ht="14.4" x14ac:dyDescent="0.55000000000000004">
      <c r="A8" s="841" t="s">
        <v>5159</v>
      </c>
      <c r="B8" s="842">
        <v>142.51</v>
      </c>
      <c r="C8" s="843">
        <f t="shared" ref="C8:I71" si="2">IFERROR(((B8/B9)-1), "NA")</f>
        <v>-1.4014434867914982E-3</v>
      </c>
      <c r="D8" s="842">
        <v>47.95</v>
      </c>
      <c r="E8" s="843">
        <f t="shared" si="2"/>
        <v>1.2528711630821476E-3</v>
      </c>
      <c r="F8" s="842">
        <v>37.299999999999997</v>
      </c>
      <c r="G8" s="843">
        <f t="shared" si="2"/>
        <v>-1.1134676564157009E-2</v>
      </c>
      <c r="H8" s="842">
        <v>39.92</v>
      </c>
      <c r="I8" s="843">
        <f t="shared" si="2"/>
        <v>-1.4077550012348783E-2</v>
      </c>
      <c r="J8" s="842">
        <v>70.64</v>
      </c>
      <c r="K8" s="843">
        <f t="shared" ref="K8:K71" si="3">IFERROR(((J8/J9)-1), "NA")</f>
        <v>1.9858156028369489E-3</v>
      </c>
      <c r="L8" s="842">
        <v>74.680000000000007</v>
      </c>
      <c r="M8" s="843">
        <f t="shared" ref="M8:M71" si="4">IFERROR(((L8/L9)-1), "NA")</f>
        <v>-3.8682139522474568E-3</v>
      </c>
      <c r="N8" s="842">
        <v>70.959999999999994</v>
      </c>
      <c r="O8" s="843">
        <f t="shared" ref="O8:O71" si="5">IFERROR(((N8/N9)-1), "NA")</f>
        <v>-9.4919039642659131E-3</v>
      </c>
      <c r="P8" s="844">
        <f>IFERROR(AVERAGE(C8,E8,G8,I8,M8,K8,O8),"NA")</f>
        <v>-5.2478716019845094E-3</v>
      </c>
      <c r="Q8" s="830"/>
      <c r="R8" s="845">
        <v>999.54</v>
      </c>
      <c r="S8" s="846">
        <f t="shared" ref="S8:S71" si="6">IFERROR(((R8/R9)-1), "NA")</f>
        <v>-6.6288349350533959E-3</v>
      </c>
      <c r="T8" s="845">
        <v>77.88</v>
      </c>
      <c r="U8" s="846">
        <f t="shared" ref="U8:W71" si="7">IFERROR(((T8/T9)-1), "NA")</f>
        <v>-5.8718406944090473E-3</v>
      </c>
      <c r="V8" s="845">
        <v>148.50980000000001</v>
      </c>
      <c r="W8" s="846">
        <f t="shared" si="7"/>
        <v>-1.4013079771002523E-3</v>
      </c>
      <c r="X8" s="845">
        <v>44544.66</v>
      </c>
      <c r="Y8" s="846">
        <f t="shared" ref="Y8:Y71" si="8">IFERROR(((X8/X9)-1), "NA")</f>
        <v>-7.5190281744648146E-3</v>
      </c>
      <c r="Z8" s="845">
        <v>6040.5258999999996</v>
      </c>
      <c r="AA8" s="846">
        <f t="shared" ref="AA8:AA71" si="9">IFERROR(((Z8/Z9)-1), "NA")</f>
        <v>-5.048215958872615E-3</v>
      </c>
      <c r="AB8" s="830"/>
      <c r="AC8" s="832" t="s">
        <v>2861</v>
      </c>
      <c r="AD8" s="832"/>
      <c r="AE8" s="828" t="s">
        <v>2866</v>
      </c>
      <c r="AG8" s="839">
        <f t="shared" si="0"/>
        <v>0.16045498547918691</v>
      </c>
      <c r="AI8" s="840">
        <f t="shared" si="1"/>
        <v>0.3504717438943154</v>
      </c>
    </row>
    <row r="9" spans="1:35" ht="14.4" x14ac:dyDescent="0.55000000000000004">
      <c r="A9" s="841" t="s">
        <v>5160</v>
      </c>
      <c r="B9" s="842">
        <v>142.71</v>
      </c>
      <c r="C9" s="843">
        <f t="shared" si="2"/>
        <v>1.1912359072537848E-2</v>
      </c>
      <c r="D9" s="842">
        <v>47.89</v>
      </c>
      <c r="E9" s="843">
        <f t="shared" si="2"/>
        <v>1.8286200297682242E-2</v>
      </c>
      <c r="F9" s="842">
        <v>37.72</v>
      </c>
      <c r="G9" s="843">
        <f t="shared" si="2"/>
        <v>2.9475982532751077E-2</v>
      </c>
      <c r="H9" s="842">
        <v>40.49</v>
      </c>
      <c r="I9" s="843">
        <f t="shared" si="2"/>
        <v>1.8872672370407573E-2</v>
      </c>
      <c r="J9" s="842">
        <v>70.5</v>
      </c>
      <c r="K9" s="843">
        <f t="shared" si="3"/>
        <v>2.0703633994498372E-2</v>
      </c>
      <c r="L9" s="842">
        <v>74.97</v>
      </c>
      <c r="M9" s="843">
        <f t="shared" si="4"/>
        <v>2.6986301369863019E-2</v>
      </c>
      <c r="N9" s="842">
        <v>71.64</v>
      </c>
      <c r="O9" s="843">
        <f t="shared" si="5"/>
        <v>3.1533477321814329E-2</v>
      </c>
      <c r="P9" s="844">
        <f t="shared" ref="P9:P72" si="10">IFERROR(AVERAGE(C9,E9,G9,I9,M9,K9,O9),"NA")</f>
        <v>2.2538660994222064E-2</v>
      </c>
      <c r="Q9" s="830"/>
      <c r="R9" s="845">
        <v>1006.21</v>
      </c>
      <c r="S9" s="846">
        <f t="shared" si="6"/>
        <v>2.4163587692245025E-2</v>
      </c>
      <c r="T9" s="845">
        <v>78.34</v>
      </c>
      <c r="U9" s="846">
        <f t="shared" si="7"/>
        <v>2.0849622100599596E-2</v>
      </c>
      <c r="V9" s="845">
        <v>148.7182</v>
      </c>
      <c r="W9" s="846">
        <f t="shared" si="7"/>
        <v>1.1912157449776251E-2</v>
      </c>
      <c r="X9" s="845">
        <v>44882.13</v>
      </c>
      <c r="Y9" s="846">
        <f t="shared" si="8"/>
        <v>3.7708952460016043E-3</v>
      </c>
      <c r="Z9" s="845">
        <v>6071.1745000000001</v>
      </c>
      <c r="AA9" s="846">
        <f t="shared" si="9"/>
        <v>5.275932529726246E-3</v>
      </c>
      <c r="AB9" s="830"/>
      <c r="AC9" s="828" t="s">
        <v>50</v>
      </c>
      <c r="AD9" s="832"/>
      <c r="AE9" s="828" t="s">
        <v>2630</v>
      </c>
      <c r="AG9" s="839">
        <f t="shared" si="0"/>
        <v>0.27260320709655406</v>
      </c>
      <c r="AI9" s="840">
        <f t="shared" si="1"/>
        <v>0.27221989472906571</v>
      </c>
    </row>
    <row r="10" spans="1:35" ht="14.4" x14ac:dyDescent="0.55000000000000004">
      <c r="A10" s="841" t="s">
        <v>5161</v>
      </c>
      <c r="B10" s="842">
        <v>141.03</v>
      </c>
      <c r="C10" s="843">
        <f t="shared" si="2"/>
        <v>-3.0397285451718714E-3</v>
      </c>
      <c r="D10" s="842">
        <v>47.03</v>
      </c>
      <c r="E10" s="843">
        <f t="shared" si="2"/>
        <v>-8.0151866694788687E-3</v>
      </c>
      <c r="F10" s="842">
        <v>36.64</v>
      </c>
      <c r="G10" s="843">
        <f t="shared" si="2"/>
        <v>6.0406370126304676E-3</v>
      </c>
      <c r="H10" s="842">
        <v>39.74</v>
      </c>
      <c r="I10" s="843">
        <f t="shared" si="2"/>
        <v>-1.5361744301288338E-2</v>
      </c>
      <c r="J10" s="842">
        <v>69.069999999999993</v>
      </c>
      <c r="K10" s="843">
        <f t="shared" si="3"/>
        <v>-1.18741058655224E-2</v>
      </c>
      <c r="L10" s="842">
        <v>73</v>
      </c>
      <c r="M10" s="843">
        <f t="shared" si="4"/>
        <v>-1.1777446866116259E-2</v>
      </c>
      <c r="N10" s="842">
        <v>69.45</v>
      </c>
      <c r="O10" s="843">
        <f t="shared" si="5"/>
        <v>-1.6149596260093491E-2</v>
      </c>
      <c r="P10" s="844">
        <f t="shared" si="10"/>
        <v>-8.5967387850058221E-3</v>
      </c>
      <c r="Q10" s="830"/>
      <c r="R10" s="845">
        <v>982.47</v>
      </c>
      <c r="S10" s="846">
        <f t="shared" si="6"/>
        <v>-1.7070568510897388E-3</v>
      </c>
      <c r="T10" s="845">
        <v>76.739999999999995</v>
      </c>
      <c r="U10" s="846">
        <f t="shared" si="7"/>
        <v>2.0893183598851284E-3</v>
      </c>
      <c r="V10" s="845">
        <v>146.9675</v>
      </c>
      <c r="W10" s="846">
        <f t="shared" si="7"/>
        <v>-3.0397054314469374E-3</v>
      </c>
      <c r="X10" s="845">
        <v>44713.52</v>
      </c>
      <c r="Y10" s="846">
        <f t="shared" si="8"/>
        <v>-3.050812312501483E-3</v>
      </c>
      <c r="Z10" s="845">
        <v>6039.3114999999998</v>
      </c>
      <c r="AA10" s="846">
        <f t="shared" si="9"/>
        <v>-4.6785441500521996E-3</v>
      </c>
      <c r="AB10" s="830"/>
      <c r="AC10" s="832" t="s">
        <v>2862</v>
      </c>
      <c r="AD10" s="832"/>
      <c r="AE10" s="828" t="s">
        <v>2867</v>
      </c>
      <c r="AG10" s="839">
        <f t="shared" si="0"/>
        <v>-0.45598255655491954</v>
      </c>
      <c r="AI10" s="840">
        <f t="shared" si="1"/>
        <v>0.35074202104876845</v>
      </c>
    </row>
    <row r="11" spans="1:35" ht="14.4" x14ac:dyDescent="0.55000000000000004">
      <c r="A11" s="841" t="s">
        <v>5162</v>
      </c>
      <c r="B11" s="842">
        <v>141.46</v>
      </c>
      <c r="C11" s="843">
        <f t="shared" si="2"/>
        <v>-9.6611593391207062E-3</v>
      </c>
      <c r="D11" s="842">
        <v>47.41</v>
      </c>
      <c r="E11" s="843">
        <f t="shared" si="2"/>
        <v>-9.6093586797576513E-3</v>
      </c>
      <c r="F11" s="842">
        <v>36.42</v>
      </c>
      <c r="G11" s="843">
        <f t="shared" si="2"/>
        <v>1.0995052226496771E-3</v>
      </c>
      <c r="H11" s="842">
        <v>40.36</v>
      </c>
      <c r="I11" s="843">
        <f t="shared" si="2"/>
        <v>-9.8135426889106592E-3</v>
      </c>
      <c r="J11" s="842">
        <v>69.900000000000006</v>
      </c>
      <c r="K11" s="843">
        <f t="shared" si="3"/>
        <v>-1.0475651189127855E-2</v>
      </c>
      <c r="L11" s="842">
        <v>73.87</v>
      </c>
      <c r="M11" s="843">
        <f t="shared" si="4"/>
        <v>-9.2542918454935341E-3</v>
      </c>
      <c r="N11" s="842">
        <v>70.59</v>
      </c>
      <c r="O11" s="843">
        <f t="shared" si="5"/>
        <v>-7.0333380222253883E-3</v>
      </c>
      <c r="P11" s="844">
        <f t="shared" si="10"/>
        <v>-7.8211195059980174E-3</v>
      </c>
      <c r="Q11" s="830"/>
      <c r="R11" s="845">
        <v>984.15</v>
      </c>
      <c r="S11" s="846">
        <f t="shared" si="6"/>
        <v>-7.7032436302039153E-3</v>
      </c>
      <c r="T11" s="845">
        <v>76.58</v>
      </c>
      <c r="U11" s="846">
        <f t="shared" si="7"/>
        <v>-1.3779781068898989E-2</v>
      </c>
      <c r="V11" s="845">
        <v>147.41560000000001</v>
      </c>
      <c r="W11" s="846">
        <f t="shared" si="7"/>
        <v>-9.6611639482255818E-3</v>
      </c>
      <c r="X11" s="845">
        <v>44850.35</v>
      </c>
      <c r="Y11" s="846">
        <f t="shared" si="8"/>
        <v>3.0588022699142847E-3</v>
      </c>
      <c r="Z11" s="845">
        <v>6067.6994999999997</v>
      </c>
      <c r="AA11" s="846">
        <f t="shared" si="9"/>
        <v>9.2182381021073123E-3</v>
      </c>
      <c r="AB11" s="830"/>
      <c r="AC11" s="832" t="s">
        <v>2863</v>
      </c>
      <c r="AD11" s="847"/>
      <c r="AE11" s="828" t="s">
        <v>2868</v>
      </c>
      <c r="AG11" s="839">
        <f t="shared" si="0"/>
        <v>-0.25248677248677248</v>
      </c>
      <c r="AI11" s="840">
        <f t="shared" si="1"/>
        <v>0.3200279315424861</v>
      </c>
    </row>
    <row r="12" spans="1:35" ht="14.4" x14ac:dyDescent="0.55000000000000004">
      <c r="A12" s="841" t="s">
        <v>5163</v>
      </c>
      <c r="B12" s="842">
        <v>142.84</v>
      </c>
      <c r="C12" s="843">
        <f t="shared" si="2"/>
        <v>2.3869256684108775E-2</v>
      </c>
      <c r="D12" s="842">
        <v>47.87</v>
      </c>
      <c r="E12" s="843">
        <f t="shared" si="2"/>
        <v>2.1335609131640787E-2</v>
      </c>
      <c r="F12" s="842">
        <v>36.380000000000003</v>
      </c>
      <c r="G12" s="843">
        <f t="shared" si="2"/>
        <v>-3.6546610169491456E-2</v>
      </c>
      <c r="H12" s="842">
        <v>40.76</v>
      </c>
      <c r="I12" s="843">
        <f t="shared" si="2"/>
        <v>2.206619859578729E-2</v>
      </c>
      <c r="J12" s="842">
        <v>70.64</v>
      </c>
      <c r="K12" s="843">
        <f t="shared" si="3"/>
        <v>2.5998547567175123E-2</v>
      </c>
      <c r="L12" s="842">
        <v>74.56</v>
      </c>
      <c r="M12" s="843">
        <f t="shared" si="4"/>
        <v>1.2080901316682491E-2</v>
      </c>
      <c r="N12" s="842">
        <v>71.09</v>
      </c>
      <c r="O12" s="843">
        <f t="shared" si="5"/>
        <v>2.0674802584350394E-2</v>
      </c>
      <c r="P12" s="844">
        <f t="shared" si="10"/>
        <v>1.2782672244321915E-2</v>
      </c>
      <c r="Q12" s="830"/>
      <c r="R12" s="845">
        <v>991.79</v>
      </c>
      <c r="S12" s="846">
        <f t="shared" si="6"/>
        <v>-2.0879815191423123E-2</v>
      </c>
      <c r="T12" s="845">
        <v>77.650000000000006</v>
      </c>
      <c r="U12" s="846">
        <f t="shared" si="7"/>
        <v>-2.3147565731538422E-2</v>
      </c>
      <c r="V12" s="845">
        <v>148.8537</v>
      </c>
      <c r="W12" s="846">
        <f t="shared" si="7"/>
        <v>2.3869283653234374E-2</v>
      </c>
      <c r="X12" s="845">
        <v>44713.58</v>
      </c>
      <c r="Y12" s="846">
        <f t="shared" si="8"/>
        <v>6.5128842918000807E-3</v>
      </c>
      <c r="Z12" s="845">
        <v>6012.2768999999998</v>
      </c>
      <c r="AA12" s="846">
        <f t="shared" si="9"/>
        <v>-1.4581619099282239E-2</v>
      </c>
      <c r="AB12" s="830"/>
      <c r="AC12" s="832" t="s">
        <v>3809</v>
      </c>
      <c r="AD12" s="832"/>
      <c r="AE12" s="828" t="s">
        <v>3811</v>
      </c>
      <c r="AG12" s="839">
        <f t="shared" si="0"/>
        <v>-1.0991921599788084E-2</v>
      </c>
      <c r="AI12" s="840">
        <f t="shared" si="1"/>
        <v>0.32986875169659957</v>
      </c>
    </row>
    <row r="13" spans="1:35" ht="14.4" x14ac:dyDescent="0.55000000000000004">
      <c r="A13" s="841" t="s">
        <v>5164</v>
      </c>
      <c r="B13" s="842">
        <v>139.51</v>
      </c>
      <c r="C13" s="843">
        <f t="shared" si="2"/>
        <v>-3.5826884494127853E-4</v>
      </c>
      <c r="D13" s="842">
        <v>46.87</v>
      </c>
      <c r="E13" s="843">
        <f t="shared" si="2"/>
        <v>3.8552152495181513E-3</v>
      </c>
      <c r="F13" s="842">
        <v>37.76</v>
      </c>
      <c r="G13" s="843">
        <f t="shared" si="2"/>
        <v>4.2553191489360653E-3</v>
      </c>
      <c r="H13" s="842">
        <v>39.880000000000003</v>
      </c>
      <c r="I13" s="843">
        <f t="shared" si="2"/>
        <v>3.2704402515724151E-3</v>
      </c>
      <c r="J13" s="842">
        <v>68.849999999999994</v>
      </c>
      <c r="K13" s="843">
        <f t="shared" si="3"/>
        <v>-7.0666282088261978E-3</v>
      </c>
      <c r="L13" s="842">
        <v>73.67</v>
      </c>
      <c r="M13" s="843">
        <f t="shared" si="4"/>
        <v>3.6146272855133832E-2</v>
      </c>
      <c r="N13" s="842">
        <v>69.650000000000006</v>
      </c>
      <c r="O13" s="843">
        <f t="shared" si="5"/>
        <v>3.7469375990777376E-3</v>
      </c>
      <c r="P13" s="844">
        <f t="shared" si="10"/>
        <v>6.2641840072101039E-3</v>
      </c>
      <c r="Q13" s="830"/>
      <c r="R13" s="845">
        <v>1012.94</v>
      </c>
      <c r="S13" s="846">
        <f t="shared" si="6"/>
        <v>5.5691779258038032E-3</v>
      </c>
      <c r="T13" s="845">
        <v>79.489999999999995</v>
      </c>
      <c r="U13" s="846">
        <f t="shared" si="7"/>
        <v>1.016647604524068E-2</v>
      </c>
      <c r="V13" s="845">
        <v>145.3835</v>
      </c>
      <c r="W13" s="846">
        <f t="shared" si="7"/>
        <v>-3.5823415999935992E-4</v>
      </c>
      <c r="X13" s="845">
        <v>44424.25</v>
      </c>
      <c r="Y13" s="846">
        <f t="shared" si="8"/>
        <v>-3.1598738653388914E-3</v>
      </c>
      <c r="Z13" s="845">
        <v>6101.2429000000002</v>
      </c>
      <c r="AA13" s="846">
        <f t="shared" si="9"/>
        <v>-2.8541000570658781E-3</v>
      </c>
      <c r="AB13" s="830"/>
      <c r="AC13" s="828" t="s">
        <v>2864</v>
      </c>
      <c r="AE13" s="828" t="s">
        <v>2869</v>
      </c>
      <c r="AG13" s="839">
        <f t="shared" si="0"/>
        <v>-0.15844402277039848</v>
      </c>
      <c r="AI13" s="840">
        <f t="shared" si="1"/>
        <v>0.29900846640444817</v>
      </c>
    </row>
    <row r="14" spans="1:35" ht="14.4" x14ac:dyDescent="0.55000000000000004">
      <c r="A14" s="841" t="s">
        <v>5165</v>
      </c>
      <c r="B14" s="842">
        <v>139.56</v>
      </c>
      <c r="C14" s="843">
        <f t="shared" si="2"/>
        <v>-1.5032818124073644E-2</v>
      </c>
      <c r="D14" s="842">
        <v>46.69</v>
      </c>
      <c r="E14" s="843">
        <f t="shared" si="2"/>
        <v>1.5015015015014122E-3</v>
      </c>
      <c r="F14" s="842">
        <v>37.6</v>
      </c>
      <c r="G14" s="843">
        <f t="shared" si="2"/>
        <v>-4.7644256220221726E-3</v>
      </c>
      <c r="H14" s="842">
        <v>39.75</v>
      </c>
      <c r="I14" s="843">
        <f t="shared" si="2"/>
        <v>-2.7596588058204086E-3</v>
      </c>
      <c r="J14" s="842">
        <v>69.34</v>
      </c>
      <c r="K14" s="843">
        <f t="shared" si="3"/>
        <v>-1.1828416702294398E-2</v>
      </c>
      <c r="L14" s="842">
        <v>71.099999999999994</v>
      </c>
      <c r="M14" s="843">
        <f t="shared" si="4"/>
        <v>-1.509904418894592E-2</v>
      </c>
      <c r="N14" s="842">
        <v>69.39</v>
      </c>
      <c r="O14" s="843">
        <f t="shared" si="5"/>
        <v>-1.5827338129495994E-3</v>
      </c>
      <c r="P14" s="844">
        <f t="shared" si="10"/>
        <v>-7.0807993935149615E-3</v>
      </c>
      <c r="Q14" s="830"/>
      <c r="R14" s="845">
        <v>1007.33</v>
      </c>
      <c r="S14" s="846">
        <f t="shared" si="6"/>
        <v>1.4614359851272685E-3</v>
      </c>
      <c r="T14" s="845">
        <v>78.69</v>
      </c>
      <c r="U14" s="846">
        <f t="shared" si="7"/>
        <v>4.7242083758938236E-3</v>
      </c>
      <c r="V14" s="845">
        <v>145.43559999999999</v>
      </c>
      <c r="W14" s="846">
        <f t="shared" si="7"/>
        <v>-1.503298560905042E-2</v>
      </c>
      <c r="X14" s="845">
        <v>44565.07</v>
      </c>
      <c r="Y14" s="846">
        <f t="shared" si="8"/>
        <v>9.2475144785404417E-3</v>
      </c>
      <c r="Z14" s="845">
        <v>6118.7062999999998</v>
      </c>
      <c r="AA14" s="846">
        <f t="shared" si="9"/>
        <v>5.3129701489045278E-3</v>
      </c>
      <c r="AB14" s="830"/>
      <c r="AG14" s="848"/>
      <c r="AI14" s="848"/>
    </row>
    <row r="15" spans="1:35" ht="14.7" thickBot="1" x14ac:dyDescent="0.6">
      <c r="A15" s="841" t="s">
        <v>5166</v>
      </c>
      <c r="B15" s="842">
        <v>141.69</v>
      </c>
      <c r="C15" s="843">
        <f t="shared" si="2"/>
        <v>-2.5917778083321963E-2</v>
      </c>
      <c r="D15" s="842">
        <v>46.62</v>
      </c>
      <c r="E15" s="843">
        <f t="shared" si="2"/>
        <v>-2.4482109227871973E-2</v>
      </c>
      <c r="F15" s="842">
        <v>37.78</v>
      </c>
      <c r="G15" s="843">
        <f t="shared" si="2"/>
        <v>-2.0228215767634894E-2</v>
      </c>
      <c r="H15" s="842">
        <v>39.86</v>
      </c>
      <c r="I15" s="843">
        <f t="shared" si="2"/>
        <v>-3.2993692382338624E-2</v>
      </c>
      <c r="J15" s="842">
        <v>70.17</v>
      </c>
      <c r="K15" s="843">
        <f t="shared" si="3"/>
        <v>-2.7577605321507659E-2</v>
      </c>
      <c r="L15" s="842">
        <v>72.19</v>
      </c>
      <c r="M15" s="843">
        <f t="shared" si="4"/>
        <v>-1.9956557154493626E-2</v>
      </c>
      <c r="N15" s="842">
        <v>69.5</v>
      </c>
      <c r="O15" s="843">
        <f t="shared" si="5"/>
        <v>-3.899336283185828E-2</v>
      </c>
      <c r="P15" s="844">
        <f t="shared" si="10"/>
        <v>-2.7164188681289576E-2</v>
      </c>
      <c r="Q15" s="830"/>
      <c r="R15" s="845">
        <v>1005.86</v>
      </c>
      <c r="S15" s="846">
        <f t="shared" si="6"/>
        <v>-2.339896695017285E-2</v>
      </c>
      <c r="T15" s="845">
        <v>78.319999999999993</v>
      </c>
      <c r="U15" s="846">
        <f t="shared" si="7"/>
        <v>-2.1611492816989486E-2</v>
      </c>
      <c r="V15" s="845">
        <v>147.65530000000001</v>
      </c>
      <c r="W15" s="846">
        <f t="shared" si="7"/>
        <v>-2.5917643023010251E-2</v>
      </c>
      <c r="X15" s="845">
        <v>44156.73</v>
      </c>
      <c r="Y15" s="846">
        <f t="shared" si="8"/>
        <v>2.9737101940885413E-3</v>
      </c>
      <c r="Z15" s="845">
        <v>6086.3696</v>
      </c>
      <c r="AA15" s="846">
        <f t="shared" si="9"/>
        <v>6.1375457265959721E-3</v>
      </c>
      <c r="AB15" s="830"/>
      <c r="AC15" s="832"/>
      <c r="AD15" s="832"/>
      <c r="AE15" s="828" t="s">
        <v>5167</v>
      </c>
      <c r="AG15" s="849">
        <f>AVERAGE(AG7:AG13)</f>
        <v>-3.2446447028543594E-2</v>
      </c>
      <c r="AI15" s="849">
        <f>AVERAGE(AI7:AI13)</f>
        <v>0.31119056865158939</v>
      </c>
    </row>
    <row r="16" spans="1:35" ht="14.7" thickTop="1" x14ac:dyDescent="0.55000000000000004">
      <c r="A16" s="841" t="s">
        <v>5168</v>
      </c>
      <c r="B16" s="842">
        <v>145.46</v>
      </c>
      <c r="C16" s="843">
        <f t="shared" si="2"/>
        <v>6.1910985760471604E-4</v>
      </c>
      <c r="D16" s="842">
        <v>47.79</v>
      </c>
      <c r="E16" s="843">
        <f t="shared" si="2"/>
        <v>9.7189942953730402E-3</v>
      </c>
      <c r="F16" s="842">
        <v>38.56</v>
      </c>
      <c r="G16" s="843">
        <f t="shared" si="2"/>
        <v>1.1807924429283689E-2</v>
      </c>
      <c r="H16" s="842">
        <v>41.22</v>
      </c>
      <c r="I16" s="843">
        <f t="shared" si="2"/>
        <v>2.0044543429844186E-2</v>
      </c>
      <c r="J16" s="842">
        <v>72.16</v>
      </c>
      <c r="K16" s="843">
        <f t="shared" si="3"/>
        <v>-8.1099656357388472E-3</v>
      </c>
      <c r="L16" s="842">
        <v>73.66</v>
      </c>
      <c r="M16" s="843">
        <f t="shared" si="4"/>
        <v>1.9233430192334255E-2</v>
      </c>
      <c r="N16" s="842">
        <v>72.319999999999993</v>
      </c>
      <c r="O16" s="843">
        <f t="shared" si="5"/>
        <v>3.9080459770114873E-2</v>
      </c>
      <c r="P16" s="844">
        <f t="shared" si="10"/>
        <v>1.3199213762687987E-2</v>
      </c>
      <c r="Q16" s="830"/>
      <c r="R16" s="845">
        <v>1029.96</v>
      </c>
      <c r="S16" s="846">
        <f t="shared" si="6"/>
        <v>1.7204258597191213E-2</v>
      </c>
      <c r="T16" s="845">
        <v>80.05</v>
      </c>
      <c r="U16" s="846">
        <f t="shared" si="7"/>
        <v>1.5347539320141879E-2</v>
      </c>
      <c r="V16" s="845">
        <v>151.584</v>
      </c>
      <c r="W16" s="846">
        <f t="shared" si="7"/>
        <v>6.1918196688637295E-4</v>
      </c>
      <c r="X16" s="845">
        <v>44025.81</v>
      </c>
      <c r="Y16" s="846">
        <f t="shared" si="8"/>
        <v>1.2370817306818882E-2</v>
      </c>
      <c r="Z16" s="845">
        <v>6049.2421000000004</v>
      </c>
      <c r="AA16" s="846">
        <f t="shared" si="9"/>
        <v>8.7677738593587851E-3</v>
      </c>
      <c r="AB16" s="830"/>
      <c r="AC16" s="832"/>
      <c r="AD16" s="832"/>
      <c r="AG16" s="850"/>
      <c r="AI16" s="850"/>
    </row>
    <row r="17" spans="1:35" ht="14.4" x14ac:dyDescent="0.55000000000000004">
      <c r="A17" s="841" t="s">
        <v>5169</v>
      </c>
      <c r="B17" s="842">
        <v>145.37</v>
      </c>
      <c r="C17" s="843">
        <f t="shared" si="2"/>
        <v>2.9667448599421942E-3</v>
      </c>
      <c r="D17" s="842">
        <v>47.33</v>
      </c>
      <c r="E17" s="843">
        <f t="shared" si="2"/>
        <v>-1.6874077198902881E-3</v>
      </c>
      <c r="F17" s="842">
        <v>38.11</v>
      </c>
      <c r="G17" s="843">
        <f t="shared" si="2"/>
        <v>2.1036024191427583E-3</v>
      </c>
      <c r="H17" s="842">
        <v>40.409999999999997</v>
      </c>
      <c r="I17" s="843">
        <f t="shared" si="2"/>
        <v>6.4757160647570533E-3</v>
      </c>
      <c r="J17" s="842">
        <v>72.75</v>
      </c>
      <c r="K17" s="843">
        <f t="shared" si="3"/>
        <v>2.204160352665685E-3</v>
      </c>
      <c r="L17" s="842">
        <v>72.27</v>
      </c>
      <c r="M17" s="843">
        <f t="shared" si="4"/>
        <v>1.0910616869492351E-2</v>
      </c>
      <c r="N17" s="842">
        <v>69.599999999999994</v>
      </c>
      <c r="O17" s="843">
        <f t="shared" si="5"/>
        <v>1.2952990831029076E-2</v>
      </c>
      <c r="P17" s="844">
        <f t="shared" si="10"/>
        <v>5.1323462395912612E-3</v>
      </c>
      <c r="Q17" s="830"/>
      <c r="R17" s="845">
        <v>1012.54</v>
      </c>
      <c r="S17" s="846">
        <f t="shared" si="6"/>
        <v>1.5133381470013862E-3</v>
      </c>
      <c r="T17" s="845">
        <v>78.84</v>
      </c>
      <c r="U17" s="846">
        <f t="shared" si="7"/>
        <v>1.3971802362504615E-3</v>
      </c>
      <c r="V17" s="845">
        <v>151.49019999999999</v>
      </c>
      <c r="W17" s="846">
        <f t="shared" si="7"/>
        <v>2.966722523058074E-3</v>
      </c>
      <c r="X17" s="845">
        <v>43487.83</v>
      </c>
      <c r="Y17" s="846">
        <f t="shared" si="8"/>
        <v>7.7561001948178721E-3</v>
      </c>
      <c r="Z17" s="845">
        <v>5996.6647000000003</v>
      </c>
      <c r="AA17" s="846">
        <f t="shared" si="9"/>
        <v>9.9917126194799533E-3</v>
      </c>
      <c r="AB17" s="830"/>
      <c r="AC17" s="832"/>
      <c r="AD17" s="832"/>
      <c r="AG17" s="850"/>
      <c r="AI17" s="850"/>
    </row>
    <row r="18" spans="1:35" ht="14.7" thickBot="1" x14ac:dyDescent="0.6">
      <c r="A18" s="841" t="s">
        <v>5170</v>
      </c>
      <c r="B18" s="842">
        <v>144.94</v>
      </c>
      <c r="C18" s="843">
        <f t="shared" si="2"/>
        <v>2.7360362914658154E-2</v>
      </c>
      <c r="D18" s="842">
        <v>47.41</v>
      </c>
      <c r="E18" s="843">
        <f t="shared" si="2"/>
        <v>2.0228104153217075E-2</v>
      </c>
      <c r="F18" s="842">
        <v>38.03</v>
      </c>
      <c r="G18" s="843">
        <f t="shared" si="2"/>
        <v>3.0344080195069179E-2</v>
      </c>
      <c r="H18" s="842">
        <v>40.15</v>
      </c>
      <c r="I18" s="843">
        <f t="shared" si="2"/>
        <v>2.0071138211382067E-2</v>
      </c>
      <c r="J18" s="842">
        <v>72.59</v>
      </c>
      <c r="K18" s="843">
        <f t="shared" si="3"/>
        <v>2.3980815347721895E-2</v>
      </c>
      <c r="L18" s="842">
        <v>71.489999999999995</v>
      </c>
      <c r="M18" s="843">
        <f t="shared" si="4"/>
        <v>2.3772017757410779E-2</v>
      </c>
      <c r="N18" s="842">
        <v>68.709999999999994</v>
      </c>
      <c r="O18" s="843">
        <f t="shared" si="5"/>
        <v>1.6570498594466576E-2</v>
      </c>
      <c r="P18" s="844">
        <f t="shared" si="10"/>
        <v>2.3189573881989389E-2</v>
      </c>
      <c r="Q18" s="830"/>
      <c r="R18" s="845">
        <v>1011.01</v>
      </c>
      <c r="S18" s="846">
        <f t="shared" si="6"/>
        <v>2.2968501785876949E-2</v>
      </c>
      <c r="T18" s="845">
        <v>78.73</v>
      </c>
      <c r="U18" s="846">
        <f t="shared" si="7"/>
        <v>2.5263706211746229E-2</v>
      </c>
      <c r="V18" s="845">
        <v>151.0421</v>
      </c>
      <c r="W18" s="846">
        <f t="shared" si="7"/>
        <v>2.7360297538559619E-2</v>
      </c>
      <c r="X18" s="845">
        <v>43153.13</v>
      </c>
      <c r="Y18" s="846">
        <f t="shared" si="8"/>
        <v>-1.5830066251674157E-3</v>
      </c>
      <c r="Z18" s="845">
        <v>5937.3405000000002</v>
      </c>
      <c r="AA18" s="846">
        <f t="shared" si="9"/>
        <v>-2.1127374491359818E-3</v>
      </c>
      <c r="AB18" s="830"/>
      <c r="AC18" s="832" t="s">
        <v>5152</v>
      </c>
      <c r="AD18" s="832"/>
      <c r="AE18" s="832" t="s">
        <v>5171</v>
      </c>
      <c r="AG18" s="849">
        <f>HLOOKUP($AC18,$R$1269:$AA$1272,4,FALSE)</f>
        <v>6.496052505407153E-2</v>
      </c>
      <c r="AI18" s="849">
        <f>HLOOKUP(AC18,$C$1274:$AA$1276,3,FALSE)</f>
        <v>0.23379025710099585</v>
      </c>
    </row>
    <row r="19" spans="1:35" ht="14.7" thickTop="1" x14ac:dyDescent="0.55000000000000004">
      <c r="A19" s="841" t="s">
        <v>5172</v>
      </c>
      <c r="B19" s="842">
        <v>141.08000000000001</v>
      </c>
      <c r="C19" s="843">
        <f t="shared" si="2"/>
        <v>2.5582717453098702E-3</v>
      </c>
      <c r="D19" s="842">
        <v>46.47</v>
      </c>
      <c r="E19" s="843">
        <f t="shared" si="2"/>
        <v>1.0217391304347734E-2</v>
      </c>
      <c r="F19" s="842">
        <v>36.909999999999997</v>
      </c>
      <c r="G19" s="843">
        <f t="shared" si="2"/>
        <v>4.9006261911244131E-3</v>
      </c>
      <c r="H19" s="842">
        <v>39.36</v>
      </c>
      <c r="I19" s="843">
        <f t="shared" si="2"/>
        <v>-2.0283975659228792E-3</v>
      </c>
      <c r="J19" s="842">
        <v>70.89</v>
      </c>
      <c r="K19" s="843">
        <f t="shared" si="3"/>
        <v>1.4163090128755274E-2</v>
      </c>
      <c r="L19" s="842">
        <v>69.83</v>
      </c>
      <c r="M19" s="843">
        <f t="shared" si="4"/>
        <v>-1.4318442153504751E-4</v>
      </c>
      <c r="N19" s="842">
        <v>67.59</v>
      </c>
      <c r="O19" s="843">
        <f t="shared" si="5"/>
        <v>2.2241992882563455E-3</v>
      </c>
      <c r="P19" s="844">
        <f t="shared" si="10"/>
        <v>4.5559995243336726E-3</v>
      </c>
      <c r="Q19" s="830"/>
      <c r="R19" s="845">
        <v>988.31</v>
      </c>
      <c r="S19" s="846">
        <f t="shared" si="6"/>
        <v>9.3550528519634746E-3</v>
      </c>
      <c r="T19" s="845">
        <v>76.790000000000006</v>
      </c>
      <c r="U19" s="846">
        <f t="shared" si="7"/>
        <v>1.466701902748424E-2</v>
      </c>
      <c r="V19" s="845">
        <v>147.0196</v>
      </c>
      <c r="W19" s="846">
        <f t="shared" si="7"/>
        <v>2.5585702556660816E-3</v>
      </c>
      <c r="X19" s="845">
        <v>43221.55</v>
      </c>
      <c r="Y19" s="846">
        <f t="shared" si="8"/>
        <v>1.654041508734605E-2</v>
      </c>
      <c r="Z19" s="845">
        <v>5949.9111000000003</v>
      </c>
      <c r="AA19" s="846">
        <f t="shared" si="9"/>
        <v>1.8312859034453455E-2</v>
      </c>
      <c r="AB19" s="830"/>
      <c r="AC19" s="832"/>
      <c r="AD19" s="832"/>
      <c r="AE19" s="832"/>
      <c r="AG19" s="840"/>
      <c r="AI19" s="840"/>
    </row>
    <row r="20" spans="1:35" ht="14.7" thickBot="1" x14ac:dyDescent="0.6">
      <c r="A20" s="841" t="s">
        <v>5173</v>
      </c>
      <c r="B20" s="842">
        <v>140.72</v>
      </c>
      <c r="C20" s="843">
        <f t="shared" si="2"/>
        <v>1.7792564733111638E-2</v>
      </c>
      <c r="D20" s="842">
        <v>46</v>
      </c>
      <c r="E20" s="843">
        <f t="shared" si="2"/>
        <v>7.6670317634173202E-3</v>
      </c>
      <c r="F20" s="842">
        <v>36.729999999999997</v>
      </c>
      <c r="G20" s="843">
        <f t="shared" si="2"/>
        <v>1.0731975784259662E-2</v>
      </c>
      <c r="H20" s="842">
        <v>39.44</v>
      </c>
      <c r="I20" s="843">
        <f t="shared" si="2"/>
        <v>1.8595041322313932E-2</v>
      </c>
      <c r="J20" s="842">
        <v>69.900000000000006</v>
      </c>
      <c r="K20" s="843">
        <f t="shared" si="3"/>
        <v>9.2405428818942426E-3</v>
      </c>
      <c r="L20" s="842">
        <v>69.84</v>
      </c>
      <c r="M20" s="843">
        <f t="shared" si="4"/>
        <v>6.9204152249136008E-3</v>
      </c>
      <c r="N20" s="842">
        <v>67.44</v>
      </c>
      <c r="O20" s="843">
        <f t="shared" si="5"/>
        <v>1.734801629204985E-2</v>
      </c>
      <c r="P20" s="844">
        <f t="shared" si="10"/>
        <v>1.2613655428851464E-2</v>
      </c>
      <c r="Q20" s="830"/>
      <c r="R20" s="845">
        <v>979.15</v>
      </c>
      <c r="S20" s="846">
        <f t="shared" si="6"/>
        <v>1.530501145801999E-2</v>
      </c>
      <c r="T20" s="845">
        <v>75.680000000000007</v>
      </c>
      <c r="U20" s="846">
        <f t="shared" si="7"/>
        <v>1.3119143239625153E-2</v>
      </c>
      <c r="V20" s="845">
        <v>146.64439999999999</v>
      </c>
      <c r="W20" s="846">
        <f t="shared" si="7"/>
        <v>1.7792087639652232E-2</v>
      </c>
      <c r="X20" s="845">
        <v>42518.28</v>
      </c>
      <c r="Y20" s="846">
        <f t="shared" si="8"/>
        <v>5.2287247926099401E-3</v>
      </c>
      <c r="Z20" s="845">
        <v>5842.9107000000004</v>
      </c>
      <c r="AA20" s="846">
        <f t="shared" si="9"/>
        <v>1.146770068334968E-3</v>
      </c>
      <c r="AB20" s="830"/>
      <c r="AC20" s="832" t="s">
        <v>5149</v>
      </c>
      <c r="AD20" s="832"/>
      <c r="AE20" s="832" t="s">
        <v>5174</v>
      </c>
      <c r="AG20" s="849">
        <f>HLOOKUP($AC20,$R$1269:$AA$1272,4,FALSE)</f>
        <v>0.12902290518991</v>
      </c>
      <c r="AI20" s="849">
        <f>HLOOKUP(AC20,$C$1274:$AA$1276,3,FALSE)</f>
        <v>0.23493639473049946</v>
      </c>
    </row>
    <row r="21" spans="1:35" ht="14.7" thickTop="1" x14ac:dyDescent="0.55000000000000004">
      <c r="A21" s="841" t="s">
        <v>5175</v>
      </c>
      <c r="B21" s="842">
        <v>138.26</v>
      </c>
      <c r="C21" s="843">
        <f t="shared" si="2"/>
        <v>8.9025102159954184E-3</v>
      </c>
      <c r="D21" s="842">
        <v>45.65</v>
      </c>
      <c r="E21" s="843">
        <f t="shared" si="2"/>
        <v>8.8397790055247949E-3</v>
      </c>
      <c r="F21" s="842">
        <v>36.340000000000003</v>
      </c>
      <c r="G21" s="843">
        <f t="shared" si="2"/>
        <v>8.6039411601444016E-3</v>
      </c>
      <c r="H21" s="842">
        <v>38.72</v>
      </c>
      <c r="I21" s="843">
        <f t="shared" si="2"/>
        <v>1.0702166536152413E-2</v>
      </c>
      <c r="J21" s="842">
        <v>69.260000000000005</v>
      </c>
      <c r="K21" s="843">
        <f t="shared" si="3"/>
        <v>1.9578978360076604E-2</v>
      </c>
      <c r="L21" s="842">
        <v>69.36</v>
      </c>
      <c r="M21" s="843">
        <f t="shared" si="4"/>
        <v>1.3738672902660065E-2</v>
      </c>
      <c r="N21" s="842">
        <v>66.290000000000006</v>
      </c>
      <c r="O21" s="843">
        <f t="shared" si="5"/>
        <v>1.0210301737275218E-2</v>
      </c>
      <c r="P21" s="844">
        <f t="shared" si="10"/>
        <v>1.1510907131118417E-2</v>
      </c>
      <c r="Q21" s="830"/>
      <c r="R21" s="845">
        <v>964.39</v>
      </c>
      <c r="S21" s="846">
        <f t="shared" si="6"/>
        <v>-8.0843404474157943E-3</v>
      </c>
      <c r="T21" s="845">
        <v>74.7</v>
      </c>
      <c r="U21" s="846">
        <f t="shared" si="7"/>
        <v>-1.1643291876157646E-2</v>
      </c>
      <c r="V21" s="845">
        <v>144.08090000000001</v>
      </c>
      <c r="W21" s="846">
        <f t="shared" si="7"/>
        <v>8.9027690734859721E-3</v>
      </c>
      <c r="X21" s="845">
        <v>42297.120000000003</v>
      </c>
      <c r="Y21" s="846">
        <f t="shared" si="8"/>
        <v>8.5522950895897676E-3</v>
      </c>
      <c r="Z21" s="845">
        <v>5836.2178999999996</v>
      </c>
      <c r="AA21" s="846">
        <f t="shared" si="9"/>
        <v>1.5742972543679734E-3</v>
      </c>
      <c r="AB21" s="830"/>
      <c r="AC21" s="832"/>
      <c r="AD21" s="832"/>
      <c r="AE21" s="832"/>
      <c r="AG21" s="840"/>
      <c r="AI21" s="840"/>
    </row>
    <row r="22" spans="1:35" ht="14.7" thickBot="1" x14ac:dyDescent="0.6">
      <c r="A22" s="841" t="s">
        <v>5176</v>
      </c>
      <c r="B22" s="842">
        <v>137.04</v>
      </c>
      <c r="C22" s="843">
        <f t="shared" si="2"/>
        <v>-1.7775229357798294E-2</v>
      </c>
      <c r="D22" s="842">
        <v>45.25</v>
      </c>
      <c r="E22" s="843">
        <f t="shared" si="2"/>
        <v>-2.5204653166738478E-2</v>
      </c>
      <c r="F22" s="842">
        <v>36.03</v>
      </c>
      <c r="G22" s="843">
        <f t="shared" si="2"/>
        <v>-1.1522633744855959E-2</v>
      </c>
      <c r="H22" s="842">
        <v>38.31</v>
      </c>
      <c r="I22" s="843">
        <f t="shared" si="2"/>
        <v>-2.195557824865968E-2</v>
      </c>
      <c r="J22" s="842">
        <v>67.930000000000007</v>
      </c>
      <c r="K22" s="843">
        <f t="shared" si="3"/>
        <v>-6.1448427212873469E-3</v>
      </c>
      <c r="L22" s="842">
        <v>68.42</v>
      </c>
      <c r="M22" s="843">
        <f t="shared" si="4"/>
        <v>-2.7295990901336387E-2</v>
      </c>
      <c r="N22" s="842">
        <v>65.62</v>
      </c>
      <c r="O22" s="843">
        <f t="shared" si="5"/>
        <v>-2.6265024484344757E-2</v>
      </c>
      <c r="P22" s="844">
        <f t="shared" si="10"/>
        <v>-1.9451993232145842E-2</v>
      </c>
      <c r="Q22" s="830"/>
      <c r="R22" s="845">
        <v>972.25</v>
      </c>
      <c r="S22" s="846">
        <f t="shared" si="6"/>
        <v>-1.5971174964322876E-2</v>
      </c>
      <c r="T22" s="845">
        <v>75.58</v>
      </c>
      <c r="U22" s="846">
        <f t="shared" si="7"/>
        <v>-5.6571503749507368E-3</v>
      </c>
      <c r="V22" s="845">
        <v>142.80950000000001</v>
      </c>
      <c r="W22" s="846">
        <f t="shared" si="7"/>
        <v>-1.777516113124411E-2</v>
      </c>
      <c r="X22" s="845">
        <v>41938.449999999997</v>
      </c>
      <c r="Y22" s="846">
        <f t="shared" si="8"/>
        <v>-1.6342130446204028E-2</v>
      </c>
      <c r="Z22" s="845">
        <v>5827.0443999999998</v>
      </c>
      <c r="AA22" s="846">
        <f t="shared" si="9"/>
        <v>-1.5410540937471406E-2</v>
      </c>
      <c r="AB22" s="830"/>
      <c r="AC22" s="828" t="s">
        <v>7103</v>
      </c>
      <c r="AE22" s="828" t="s">
        <v>7104</v>
      </c>
      <c r="AG22" s="849">
        <f>HLOOKUP($AC22,$R$1269:$AA$1272,4,FALSE)</f>
        <v>0.21772164146244882</v>
      </c>
      <c r="AI22" s="849">
        <f>HLOOKUP(AC22,$C$1274:$AA$1276,3,FALSE)</f>
        <v>0.25594485310400727</v>
      </c>
    </row>
    <row r="23" spans="1:35" ht="14.7" thickTop="1" x14ac:dyDescent="0.55000000000000004">
      <c r="A23" s="841" t="s">
        <v>5178</v>
      </c>
      <c r="B23" s="842">
        <v>139.52000000000001</v>
      </c>
      <c r="C23" s="843">
        <f t="shared" si="2"/>
        <v>2.1152016394642592E-2</v>
      </c>
      <c r="D23" s="842">
        <v>46.42</v>
      </c>
      <c r="E23" s="843">
        <f t="shared" si="2"/>
        <v>1.6644765659220351E-2</v>
      </c>
      <c r="F23" s="842">
        <v>36.450000000000003</v>
      </c>
      <c r="G23" s="843">
        <f t="shared" si="2"/>
        <v>1.901034386357292E-2</v>
      </c>
      <c r="H23" s="842">
        <v>39.17</v>
      </c>
      <c r="I23" s="843">
        <f t="shared" si="2"/>
        <v>1.5292897874546574E-2</v>
      </c>
      <c r="J23" s="842">
        <v>68.349999999999994</v>
      </c>
      <c r="K23" s="843">
        <f t="shared" si="3"/>
        <v>4.4085231447463791E-3</v>
      </c>
      <c r="L23" s="842">
        <v>70.34</v>
      </c>
      <c r="M23" s="843">
        <f t="shared" si="4"/>
        <v>-5.9355568117580582E-3</v>
      </c>
      <c r="N23" s="842">
        <v>67.39</v>
      </c>
      <c r="O23" s="843">
        <f t="shared" si="5"/>
        <v>1.3383458646616608E-2</v>
      </c>
      <c r="P23" s="844">
        <f t="shared" si="10"/>
        <v>1.1993778395941053E-2</v>
      </c>
      <c r="Q23" s="830"/>
      <c r="R23" s="845">
        <v>988.03</v>
      </c>
      <c r="S23" s="846">
        <f t="shared" si="6"/>
        <v>5.4684098066815068E-4</v>
      </c>
      <c r="T23" s="845">
        <v>76.010000000000005</v>
      </c>
      <c r="U23" s="846">
        <f t="shared" si="7"/>
        <v>-2.630540576087359E-4</v>
      </c>
      <c r="V23" s="845">
        <v>145.3939</v>
      </c>
      <c r="W23" s="846">
        <f t="shared" si="7"/>
        <v>2.1152222679520216E-2</v>
      </c>
      <c r="X23" s="845">
        <v>42635.199999999997</v>
      </c>
      <c r="Y23" s="846">
        <f t="shared" si="8"/>
        <v>2.5122059726732093E-3</v>
      </c>
      <c r="Z23" s="845">
        <v>5918.2478000000001</v>
      </c>
      <c r="AA23" s="846">
        <f t="shared" si="9"/>
        <v>1.5598158669267725E-3</v>
      </c>
      <c r="AB23" s="830"/>
    </row>
    <row r="24" spans="1:35" ht="14.7" thickBot="1" x14ac:dyDescent="0.6">
      <c r="A24" s="841" t="s">
        <v>5179</v>
      </c>
      <c r="B24" s="842">
        <v>136.63</v>
      </c>
      <c r="C24" s="843">
        <f t="shared" si="2"/>
        <v>8.790564793788036E-4</v>
      </c>
      <c r="D24" s="842">
        <v>45.66</v>
      </c>
      <c r="E24" s="843">
        <f t="shared" si="2"/>
        <v>-4.378283712784814E-4</v>
      </c>
      <c r="F24" s="842">
        <v>35.770000000000003</v>
      </c>
      <c r="G24" s="843">
        <f t="shared" si="2"/>
        <v>5.6227157717179121E-3</v>
      </c>
      <c r="H24" s="842">
        <v>38.58</v>
      </c>
      <c r="I24" s="843">
        <f t="shared" si="2"/>
        <v>-2.8431119152235729E-3</v>
      </c>
      <c r="J24" s="842">
        <v>68.05</v>
      </c>
      <c r="K24" s="843">
        <f t="shared" si="3"/>
        <v>4.1316216615021606E-3</v>
      </c>
      <c r="L24" s="842">
        <v>70.760000000000005</v>
      </c>
      <c r="M24" s="843">
        <f t="shared" si="4"/>
        <v>7.9772079772080229E-3</v>
      </c>
      <c r="N24" s="842">
        <v>66.5</v>
      </c>
      <c r="O24" s="843">
        <f t="shared" si="5"/>
        <v>3.9251207729469328E-3</v>
      </c>
      <c r="P24" s="844">
        <f t="shared" si="10"/>
        <v>2.7506831966073969E-3</v>
      </c>
      <c r="Q24" s="830"/>
      <c r="R24" s="845">
        <v>987.49</v>
      </c>
      <c r="S24" s="846">
        <f t="shared" si="6"/>
        <v>-1.7286696320258921E-3</v>
      </c>
      <c r="T24" s="845">
        <v>76.03</v>
      </c>
      <c r="U24" s="846">
        <f t="shared" si="7"/>
        <v>-2.4927840461820283E-3</v>
      </c>
      <c r="V24" s="845">
        <v>142.38220000000001</v>
      </c>
      <c r="W24" s="846">
        <f t="shared" si="7"/>
        <v>8.7869014714203608E-4</v>
      </c>
      <c r="X24" s="845">
        <v>42528.36</v>
      </c>
      <c r="Y24" s="846">
        <f t="shared" si="8"/>
        <v>-4.172661061907057E-3</v>
      </c>
      <c r="Z24" s="845">
        <v>5909.0308000000005</v>
      </c>
      <c r="AA24" s="846">
        <f t="shared" si="9"/>
        <v>-1.1103017709932939E-2</v>
      </c>
      <c r="AB24" s="830"/>
      <c r="AC24" s="832" t="s">
        <v>5153</v>
      </c>
      <c r="AD24" s="832"/>
      <c r="AE24" s="832" t="s">
        <v>5177</v>
      </c>
      <c r="AG24" s="849">
        <f>HLOOKUP($AC24,$R$1269:$AA$1272,4,FALSE)</f>
        <v>0.57646562521345024</v>
      </c>
      <c r="AI24" s="849">
        <f>HLOOKUP(AC24,$C$1274:$AA$1276,3,FALSE)</f>
        <v>0.2076306227594652</v>
      </c>
    </row>
    <row r="25" spans="1:35" ht="14.7" thickTop="1" x14ac:dyDescent="0.55000000000000004">
      <c r="A25" s="841" t="s">
        <v>5180</v>
      </c>
      <c r="B25" s="842">
        <v>136.51</v>
      </c>
      <c r="C25" s="843">
        <f t="shared" si="2"/>
        <v>-1.6427696519922153E-2</v>
      </c>
      <c r="D25" s="842">
        <v>45.68</v>
      </c>
      <c r="E25" s="843">
        <f t="shared" si="2"/>
        <v>-2.267864783911E-2</v>
      </c>
      <c r="F25" s="842">
        <v>35.57</v>
      </c>
      <c r="G25" s="843">
        <f t="shared" si="2"/>
        <v>-2.253366309425664E-2</v>
      </c>
      <c r="H25" s="842">
        <v>38.69</v>
      </c>
      <c r="I25" s="843">
        <f t="shared" si="2"/>
        <v>-2.5195263290501368E-2</v>
      </c>
      <c r="J25" s="842">
        <v>67.77</v>
      </c>
      <c r="K25" s="843">
        <f t="shared" si="3"/>
        <v>-1.8110692552883223E-2</v>
      </c>
      <c r="L25" s="842">
        <v>70.2</v>
      </c>
      <c r="M25" s="843">
        <f t="shared" si="4"/>
        <v>-1.5979814970563555E-2</v>
      </c>
      <c r="N25" s="842">
        <v>66.239999999999995</v>
      </c>
      <c r="O25" s="843">
        <f t="shared" si="5"/>
        <v>-3.3838973162193753E-2</v>
      </c>
      <c r="P25" s="844">
        <f t="shared" si="10"/>
        <v>-2.2109250204204383E-2</v>
      </c>
      <c r="Q25" s="830"/>
      <c r="R25" s="845">
        <v>989.2</v>
      </c>
      <c r="S25" s="846">
        <f t="shared" si="6"/>
        <v>-1.3020703417310986E-2</v>
      </c>
      <c r="T25" s="845">
        <v>76.22</v>
      </c>
      <c r="U25" s="846">
        <f t="shared" si="7"/>
        <v>-1.1157239231966765E-2</v>
      </c>
      <c r="V25" s="845">
        <v>142.25720000000001</v>
      </c>
      <c r="W25" s="846">
        <f t="shared" si="7"/>
        <v>-1.6427763473393253E-2</v>
      </c>
      <c r="X25" s="845">
        <v>42706.559999999998</v>
      </c>
      <c r="Y25" s="846">
        <f t="shared" si="8"/>
        <v>-5.9837878430113456E-4</v>
      </c>
      <c r="Z25" s="845">
        <v>5975.3755000000001</v>
      </c>
      <c r="AA25" s="846">
        <f t="shared" si="9"/>
        <v>5.53692086921731E-3</v>
      </c>
      <c r="AB25" s="830"/>
      <c r="AC25" s="832"/>
      <c r="AD25" s="832"/>
      <c r="AE25" s="832"/>
      <c r="AG25" s="840"/>
      <c r="AI25" s="840"/>
    </row>
    <row r="26" spans="1:35" ht="14.25" customHeight="1" thickBot="1" x14ac:dyDescent="0.6">
      <c r="A26" s="841" t="s">
        <v>5181</v>
      </c>
      <c r="B26" s="842">
        <v>138.79</v>
      </c>
      <c r="C26" s="843">
        <f t="shared" si="2"/>
        <v>3.6155904259165261E-3</v>
      </c>
      <c r="D26" s="842">
        <v>46.74</v>
      </c>
      <c r="E26" s="843">
        <f t="shared" si="2"/>
        <v>6.6767176394573191E-3</v>
      </c>
      <c r="F26" s="842">
        <v>36.39</v>
      </c>
      <c r="G26" s="843">
        <f t="shared" si="2"/>
        <v>8.250825082507518E-4</v>
      </c>
      <c r="H26" s="842">
        <v>39.69</v>
      </c>
      <c r="I26" s="843">
        <f t="shared" si="2"/>
        <v>4.3016194331981783E-3</v>
      </c>
      <c r="J26" s="842">
        <v>69.02</v>
      </c>
      <c r="K26" s="843">
        <f t="shared" si="3"/>
        <v>9.5070937545704837E-3</v>
      </c>
      <c r="L26" s="842">
        <v>71.34</v>
      </c>
      <c r="M26" s="843">
        <f t="shared" si="4"/>
        <v>1.4649409756791298E-2</v>
      </c>
      <c r="N26" s="842">
        <v>68.56</v>
      </c>
      <c r="O26" s="843">
        <f t="shared" si="5"/>
        <v>2.3391812865496409E-3</v>
      </c>
      <c r="P26" s="844">
        <f t="shared" si="10"/>
        <v>5.9878135435334568E-3</v>
      </c>
      <c r="Q26" s="830"/>
      <c r="R26" s="845">
        <v>1002.25</v>
      </c>
      <c r="S26" s="846">
        <f t="shared" si="6"/>
        <v>1.2302160453301125E-2</v>
      </c>
      <c r="T26" s="845">
        <v>77.08</v>
      </c>
      <c r="U26" s="846">
        <f t="shared" si="7"/>
        <v>1.062016520256992E-2</v>
      </c>
      <c r="V26" s="845">
        <v>144.63319999999999</v>
      </c>
      <c r="W26" s="846">
        <f t="shared" si="7"/>
        <v>3.6159350949711566E-3</v>
      </c>
      <c r="X26" s="845">
        <v>42732.13</v>
      </c>
      <c r="Y26" s="846">
        <f t="shared" si="8"/>
        <v>8.0170276326321233E-3</v>
      </c>
      <c r="Z26" s="845">
        <v>5942.4724999999999</v>
      </c>
      <c r="AA26" s="846">
        <f t="shared" si="9"/>
        <v>1.259615810123349E-2</v>
      </c>
      <c r="AB26" s="830"/>
      <c r="AC26" s="832" t="s">
        <v>5154</v>
      </c>
      <c r="AD26" s="832"/>
      <c r="AE26" s="832" t="s">
        <v>124</v>
      </c>
      <c r="AG26" s="849">
        <f>HLOOKUP($AC26,$R$1269:$AA$1272,4,FALSE)</f>
        <v>0.87273147557803388</v>
      </c>
      <c r="AI26" s="849">
        <f>HLOOKUP(AC26,$C$1274:$AA$1276,3,FALSE)</f>
        <v>0.21367455728884929</v>
      </c>
    </row>
    <row r="27" spans="1:35" ht="14.7" thickTop="1" x14ac:dyDescent="0.55000000000000004">
      <c r="A27" s="841" t="s">
        <v>5182</v>
      </c>
      <c r="B27" s="842">
        <v>138.29</v>
      </c>
      <c r="C27" s="843">
        <f t="shared" si="2"/>
        <v>-7.0366913190207381E-3</v>
      </c>
      <c r="D27" s="842">
        <v>46.43</v>
      </c>
      <c r="E27" s="843">
        <f t="shared" si="2"/>
        <v>-4.7159699892818097E-3</v>
      </c>
      <c r="F27" s="842">
        <v>36.36</v>
      </c>
      <c r="G27" s="843">
        <f t="shared" si="2"/>
        <v>-1.0881392818280711E-2</v>
      </c>
      <c r="H27" s="842">
        <v>39.520000000000003</v>
      </c>
      <c r="I27" s="843">
        <f t="shared" si="2"/>
        <v>-1.0111223458038054E-3</v>
      </c>
      <c r="J27" s="842">
        <v>68.37</v>
      </c>
      <c r="K27" s="843">
        <f t="shared" si="3"/>
        <v>-1.2707581227436759E-2</v>
      </c>
      <c r="L27" s="842">
        <v>70.31</v>
      </c>
      <c r="M27" s="843">
        <f t="shared" si="4"/>
        <v>-5.6569084995049534E-3</v>
      </c>
      <c r="N27" s="842">
        <v>68.400000000000006</v>
      </c>
      <c r="O27" s="843">
        <f t="shared" si="5"/>
        <v>8.4033613445380073E-3</v>
      </c>
      <c r="P27" s="844">
        <f t="shared" si="10"/>
        <v>-4.8009006935415387E-3</v>
      </c>
      <c r="Q27" s="830"/>
      <c r="R27" s="845">
        <v>990.07</v>
      </c>
      <c r="S27" s="846">
        <f t="shared" si="6"/>
        <v>7.4587378146815375E-3</v>
      </c>
      <c r="T27" s="845">
        <v>76.27</v>
      </c>
      <c r="U27" s="846">
        <f t="shared" si="7"/>
        <v>7.6628352490422103E-3</v>
      </c>
      <c r="V27" s="845">
        <v>144.1121</v>
      </c>
      <c r="W27" s="846">
        <f t="shared" si="7"/>
        <v>-7.0369742595433049E-3</v>
      </c>
      <c r="X27" s="845">
        <v>42392.27</v>
      </c>
      <c r="Y27" s="846">
        <f t="shared" si="8"/>
        <v>-3.5715779957889993E-3</v>
      </c>
      <c r="Z27" s="845">
        <v>5868.5513000000001</v>
      </c>
      <c r="AA27" s="846">
        <f t="shared" si="9"/>
        <v>-2.2232451439121448E-3</v>
      </c>
      <c r="AB27" s="830"/>
      <c r="AD27" s="832"/>
    </row>
    <row r="28" spans="1:35" ht="14.5" customHeight="1" x14ac:dyDescent="0.55000000000000004">
      <c r="A28" s="841" t="s">
        <v>5184</v>
      </c>
      <c r="B28" s="842">
        <v>139.27000000000001</v>
      </c>
      <c r="C28" s="843">
        <f t="shared" si="2"/>
        <v>2.4472756064204404E-3</v>
      </c>
      <c r="D28" s="842">
        <v>46.65</v>
      </c>
      <c r="E28" s="843">
        <f t="shared" si="2"/>
        <v>2.5789813023855412E-3</v>
      </c>
      <c r="F28" s="842">
        <v>36.76</v>
      </c>
      <c r="G28" s="843">
        <f t="shared" si="2"/>
        <v>1.6348773841960984E-3</v>
      </c>
      <c r="H28" s="842">
        <v>39.56</v>
      </c>
      <c r="I28" s="843">
        <f t="shared" si="2"/>
        <v>4.8260096520194029E-3</v>
      </c>
      <c r="J28" s="842">
        <v>69.25</v>
      </c>
      <c r="K28" s="843">
        <f t="shared" si="3"/>
        <v>-1.5859284890427094E-3</v>
      </c>
      <c r="L28" s="842">
        <v>70.709999999999994</v>
      </c>
      <c r="M28" s="843">
        <f t="shared" si="4"/>
        <v>6.8346860316101932E-3</v>
      </c>
      <c r="N28" s="842">
        <v>67.83</v>
      </c>
      <c r="O28" s="843">
        <f t="shared" si="5"/>
        <v>5.484731692855016E-3</v>
      </c>
      <c r="P28" s="844">
        <f t="shared" si="10"/>
        <v>3.1743761686348548E-3</v>
      </c>
      <c r="Q28" s="830"/>
      <c r="R28" s="845">
        <v>982.74</v>
      </c>
      <c r="S28" s="846">
        <f t="shared" si="6"/>
        <v>-6.7114093959730337E-4</v>
      </c>
      <c r="T28" s="845">
        <v>75.69</v>
      </c>
      <c r="U28" s="846">
        <f t="shared" si="7"/>
        <v>-9.239704329462306E-4</v>
      </c>
      <c r="V28" s="845">
        <v>145.13339999999999</v>
      </c>
      <c r="W28" s="846">
        <f t="shared" si="7"/>
        <v>2.4471764225637571E-3</v>
      </c>
      <c r="X28" s="845">
        <v>42544.22</v>
      </c>
      <c r="Y28" s="846">
        <f t="shared" si="8"/>
        <v>-6.931504474708694E-4</v>
      </c>
      <c r="Z28" s="845">
        <v>5881.6275999999998</v>
      </c>
      <c r="AA28" s="846">
        <f t="shared" si="9"/>
        <v>-4.2844550395978453E-3</v>
      </c>
      <c r="AB28" s="830"/>
      <c r="AD28" s="851" t="s">
        <v>17</v>
      </c>
    </row>
    <row r="29" spans="1:35" ht="14.4" x14ac:dyDescent="0.55000000000000004">
      <c r="A29" s="841" t="s">
        <v>5186</v>
      </c>
      <c r="B29" s="842">
        <v>138.93</v>
      </c>
      <c r="C29" s="843">
        <f t="shared" si="2"/>
        <v>-3.0855338691160306E-3</v>
      </c>
      <c r="D29" s="842">
        <v>46.53</v>
      </c>
      <c r="E29" s="843">
        <f t="shared" si="2"/>
        <v>2.1496130696463389E-4</v>
      </c>
      <c r="F29" s="842">
        <v>36.700000000000003</v>
      </c>
      <c r="G29" s="843">
        <f t="shared" si="2"/>
        <v>-1.6322089227419623E-3</v>
      </c>
      <c r="H29" s="842">
        <v>39.369999999999997</v>
      </c>
      <c r="I29" s="843">
        <f t="shared" si="2"/>
        <v>-2.786220871327294E-3</v>
      </c>
      <c r="J29" s="842">
        <v>69.36</v>
      </c>
      <c r="K29" s="843">
        <f t="shared" si="3"/>
        <v>-2.8752156411731011E-3</v>
      </c>
      <c r="L29" s="842">
        <v>70.23</v>
      </c>
      <c r="M29" s="843">
        <f t="shared" si="4"/>
        <v>-1.7057569296373698E-3</v>
      </c>
      <c r="N29" s="842">
        <v>67.459999999999994</v>
      </c>
      <c r="O29" s="843">
        <f t="shared" si="5"/>
        <v>5.0655542312274537E-3</v>
      </c>
      <c r="P29" s="844">
        <f t="shared" si="10"/>
        <v>-9.7206009940052434E-4</v>
      </c>
      <c r="Q29" s="830"/>
      <c r="R29" s="845">
        <v>983.4</v>
      </c>
      <c r="S29" s="846">
        <f t="shared" si="6"/>
        <v>-3.909810992038576E-3</v>
      </c>
      <c r="T29" s="845">
        <v>75.760000000000005</v>
      </c>
      <c r="U29" s="846">
        <f t="shared" si="7"/>
        <v>-4.2060988433226809E-3</v>
      </c>
      <c r="V29" s="845">
        <v>144.7791</v>
      </c>
      <c r="W29" s="846">
        <f t="shared" si="7"/>
        <v>-3.0855101523682427E-3</v>
      </c>
      <c r="X29" s="845">
        <v>42573.73</v>
      </c>
      <c r="Y29" s="846">
        <f t="shared" si="8"/>
        <v>-9.7338564358518953E-3</v>
      </c>
      <c r="Z29" s="845">
        <v>5906.9355999999998</v>
      </c>
      <c r="AA29" s="846">
        <f t="shared" si="9"/>
        <v>-1.0702351040329794E-2</v>
      </c>
      <c r="AB29" s="830"/>
      <c r="AC29" s="832"/>
      <c r="AD29" s="847" t="s">
        <v>1146</v>
      </c>
      <c r="AE29" s="852" t="s">
        <v>5183</v>
      </c>
      <c r="AG29" s="853"/>
      <c r="AH29" s="832"/>
      <c r="AI29" s="832"/>
    </row>
    <row r="30" spans="1:35" ht="14.4" x14ac:dyDescent="0.55000000000000004">
      <c r="A30" s="841" t="s">
        <v>5188</v>
      </c>
      <c r="B30" s="842">
        <v>139.36000000000001</v>
      </c>
      <c r="C30" s="843">
        <f t="shared" si="2"/>
        <v>-4.5714285714284486E-3</v>
      </c>
      <c r="D30" s="842">
        <v>46.52</v>
      </c>
      <c r="E30" s="843">
        <f t="shared" si="2"/>
        <v>-4.0676514664953478E-3</v>
      </c>
      <c r="F30" s="842">
        <v>36.76</v>
      </c>
      <c r="G30" s="843">
        <f t="shared" si="2"/>
        <v>-2.4423337856174232E-3</v>
      </c>
      <c r="H30" s="842">
        <v>39.479999999999997</v>
      </c>
      <c r="I30" s="843">
        <f t="shared" si="2"/>
        <v>-7.0422535211267512E-3</v>
      </c>
      <c r="J30" s="842">
        <v>69.56</v>
      </c>
      <c r="K30" s="843">
        <f t="shared" si="3"/>
        <v>-5.4332284815555854E-3</v>
      </c>
      <c r="L30" s="842">
        <v>70.349999999999994</v>
      </c>
      <c r="M30" s="843">
        <f t="shared" si="4"/>
        <v>-8.52151682999569E-4</v>
      </c>
      <c r="N30" s="842">
        <v>67.12</v>
      </c>
      <c r="O30" s="843">
        <f t="shared" si="5"/>
        <v>-6.0713756848806977E-3</v>
      </c>
      <c r="P30" s="844">
        <f t="shared" si="10"/>
        <v>-4.3543461705862607E-3</v>
      </c>
      <c r="Q30" s="830"/>
      <c r="R30" s="845">
        <v>987.26</v>
      </c>
      <c r="S30" s="846">
        <f t="shared" si="6"/>
        <v>-4.547425310303832E-3</v>
      </c>
      <c r="T30" s="845">
        <v>76.08</v>
      </c>
      <c r="U30" s="846">
        <f t="shared" si="7"/>
        <v>-2.8833551769331667E-3</v>
      </c>
      <c r="V30" s="845">
        <v>145.22720000000001</v>
      </c>
      <c r="W30" s="846">
        <f t="shared" si="7"/>
        <v>-4.571123849422265E-3</v>
      </c>
      <c r="X30" s="845">
        <v>42992.21</v>
      </c>
      <c r="Y30" s="846">
        <f t="shared" si="8"/>
        <v>-7.6995693097415829E-3</v>
      </c>
      <c r="Z30" s="845">
        <v>5970.8375999999998</v>
      </c>
      <c r="AA30" s="846">
        <f t="shared" si="9"/>
        <v>-1.1056280742704927E-2</v>
      </c>
      <c r="AB30" s="830"/>
      <c r="AC30" s="832"/>
      <c r="AD30" s="854" t="s">
        <v>1147</v>
      </c>
      <c r="AE30" s="1440" t="s">
        <v>5185</v>
      </c>
      <c r="AF30" s="1440"/>
      <c r="AG30" s="1440"/>
      <c r="AH30" s="1440"/>
      <c r="AI30" s="1440"/>
    </row>
    <row r="31" spans="1:35" ht="14.4" x14ac:dyDescent="0.55000000000000004">
      <c r="A31" s="841" t="s">
        <v>5189</v>
      </c>
      <c r="B31" s="842">
        <v>140</v>
      </c>
      <c r="C31" s="843">
        <f t="shared" si="2"/>
        <v>-4.2838783378551515E-4</v>
      </c>
      <c r="D31" s="842">
        <v>46.71</v>
      </c>
      <c r="E31" s="843">
        <f t="shared" si="2"/>
        <v>-2.5624599615630128E-3</v>
      </c>
      <c r="F31" s="842">
        <v>36.85</v>
      </c>
      <c r="G31" s="843">
        <f t="shared" si="2"/>
        <v>-2.7129679869775103E-4</v>
      </c>
      <c r="H31" s="842">
        <v>39.76</v>
      </c>
      <c r="I31" s="843">
        <f t="shared" si="2"/>
        <v>2.0161290322580072E-3</v>
      </c>
      <c r="J31" s="842">
        <v>69.94</v>
      </c>
      <c r="K31" s="843">
        <f t="shared" si="3"/>
        <v>-5.715918833953948E-4</v>
      </c>
      <c r="L31" s="842">
        <v>70.41</v>
      </c>
      <c r="M31" s="843">
        <f t="shared" si="4"/>
        <v>-1.5598411798071199E-3</v>
      </c>
      <c r="N31" s="842">
        <v>67.53</v>
      </c>
      <c r="O31" s="843">
        <f t="shared" si="5"/>
        <v>6.2583817612875681E-3</v>
      </c>
      <c r="P31" s="844">
        <f t="shared" si="10"/>
        <v>4.1156187661382592E-4</v>
      </c>
      <c r="Q31" s="830"/>
      <c r="R31" s="845">
        <v>991.77</v>
      </c>
      <c r="S31" s="846">
        <f t="shared" si="6"/>
        <v>-1.4800048326688575E-3</v>
      </c>
      <c r="T31" s="845">
        <v>76.3</v>
      </c>
      <c r="U31" s="846">
        <f t="shared" si="7"/>
        <v>-2.3535564853557345E-3</v>
      </c>
      <c r="V31" s="845">
        <v>145.89410000000001</v>
      </c>
      <c r="W31" s="846">
        <f t="shared" si="7"/>
        <v>-4.2820948144861593E-4</v>
      </c>
      <c r="X31" s="845">
        <v>43325.8</v>
      </c>
      <c r="Y31" s="846">
        <f t="shared" si="8"/>
        <v>6.6447975761851907E-4</v>
      </c>
      <c r="Z31" s="845">
        <v>6037.5909000000001</v>
      </c>
      <c r="AA31" s="846">
        <f t="shared" si="9"/>
        <v>-4.0474927002087657E-4</v>
      </c>
      <c r="AB31" s="830"/>
      <c r="AC31" s="832"/>
      <c r="AD31" s="832"/>
      <c r="AE31" s="828" t="s">
        <v>5187</v>
      </c>
    </row>
    <row r="32" spans="1:35" ht="14.4" x14ac:dyDescent="0.55000000000000004">
      <c r="A32" s="841" t="s">
        <v>5191</v>
      </c>
      <c r="B32" s="842">
        <v>140.06</v>
      </c>
      <c r="C32" s="843">
        <f t="shared" si="2"/>
        <v>6.1781609195403764E-3</v>
      </c>
      <c r="D32" s="842">
        <v>46.83</v>
      </c>
      <c r="E32" s="843">
        <f t="shared" si="2"/>
        <v>9.2672413793102315E-3</v>
      </c>
      <c r="F32" s="842">
        <v>36.86</v>
      </c>
      <c r="G32" s="843">
        <f t="shared" si="2"/>
        <v>1.1525795828759566E-2</v>
      </c>
      <c r="H32" s="842">
        <v>39.68</v>
      </c>
      <c r="I32" s="843">
        <f t="shared" si="2"/>
        <v>4.5569620253165244E-3</v>
      </c>
      <c r="J32" s="842">
        <v>69.98</v>
      </c>
      <c r="K32" s="843">
        <f t="shared" si="3"/>
        <v>9.9581469187473015E-3</v>
      </c>
      <c r="L32" s="842">
        <v>70.52</v>
      </c>
      <c r="M32" s="843">
        <f t="shared" si="4"/>
        <v>1.3946800862688624E-2</v>
      </c>
      <c r="N32" s="842">
        <v>67.11</v>
      </c>
      <c r="O32" s="843">
        <f t="shared" si="5"/>
        <v>6.901725431357697E-3</v>
      </c>
      <c r="P32" s="844">
        <f t="shared" si="10"/>
        <v>8.9049761951029028E-3</v>
      </c>
      <c r="Q32" s="830"/>
      <c r="R32" s="845">
        <v>993.24</v>
      </c>
      <c r="S32" s="846">
        <f t="shared" si="6"/>
        <v>4.9843475843049934E-3</v>
      </c>
      <c r="T32" s="845">
        <v>76.48</v>
      </c>
      <c r="U32" s="846">
        <f t="shared" si="7"/>
        <v>5.5219563502497682E-3</v>
      </c>
      <c r="V32" s="845">
        <v>145.95660000000001</v>
      </c>
      <c r="W32" s="846">
        <f t="shared" si="7"/>
        <v>6.178116150238333E-3</v>
      </c>
      <c r="X32" s="845">
        <v>43297.03</v>
      </c>
      <c r="Y32" s="846">
        <f t="shared" si="8"/>
        <v>9.091284596926652E-3</v>
      </c>
      <c r="Z32" s="845">
        <v>6040.0356000000002</v>
      </c>
      <c r="AA32" s="846">
        <f t="shared" si="9"/>
        <v>1.104146181271215E-2</v>
      </c>
      <c r="AB32" s="830"/>
      <c r="AC32" s="832"/>
      <c r="AD32" s="854"/>
    </row>
    <row r="33" spans="1:35" ht="14.4" x14ac:dyDescent="0.55000000000000004">
      <c r="A33" s="841" t="s">
        <v>5192</v>
      </c>
      <c r="B33" s="842">
        <v>139.19999999999999</v>
      </c>
      <c r="C33" s="843">
        <f t="shared" si="2"/>
        <v>-3.5077671987974179E-3</v>
      </c>
      <c r="D33" s="842">
        <v>46.4</v>
      </c>
      <c r="E33" s="843">
        <f t="shared" si="2"/>
        <v>-2.365082777897265E-3</v>
      </c>
      <c r="F33" s="842">
        <v>36.44</v>
      </c>
      <c r="G33" s="843">
        <f t="shared" si="2"/>
        <v>7.4647497926456641E-3</v>
      </c>
      <c r="H33" s="842">
        <v>39.5</v>
      </c>
      <c r="I33" s="843">
        <f t="shared" si="2"/>
        <v>-1.7690169320192517E-3</v>
      </c>
      <c r="J33" s="842">
        <v>69.290000000000006</v>
      </c>
      <c r="K33" s="843">
        <f t="shared" si="3"/>
        <v>8.2945285215367814E-3</v>
      </c>
      <c r="L33" s="842">
        <v>69.55</v>
      </c>
      <c r="M33" s="843">
        <f t="shared" si="4"/>
        <v>-1.4357501794688421E-3</v>
      </c>
      <c r="N33" s="842">
        <v>66.650000000000006</v>
      </c>
      <c r="O33" s="843">
        <f t="shared" si="5"/>
        <v>-5.9979007347421565E-4</v>
      </c>
      <c r="P33" s="844">
        <f t="shared" si="10"/>
        <v>8.6883873607506476E-4</v>
      </c>
      <c r="Q33" s="830"/>
      <c r="R33" s="845">
        <v>988.31389999999999</v>
      </c>
      <c r="S33" s="846">
        <f t="shared" si="6"/>
        <v>2.02155487063016E-3</v>
      </c>
      <c r="T33" s="845">
        <v>76.06</v>
      </c>
      <c r="U33" s="846">
        <f t="shared" si="7"/>
        <v>-4.8410310087662056E-3</v>
      </c>
      <c r="V33" s="845">
        <v>145.06039999999999</v>
      </c>
      <c r="W33" s="846">
        <f t="shared" si="7"/>
        <v>-3.5082512943848121E-3</v>
      </c>
      <c r="X33" s="845">
        <v>42906.950700000001</v>
      </c>
      <c r="Y33" s="846">
        <f t="shared" si="8"/>
        <v>1.5567295810061665E-3</v>
      </c>
      <c r="Z33" s="845">
        <v>5974.0730999999996</v>
      </c>
      <c r="AA33" s="846">
        <f t="shared" si="9"/>
        <v>7.2878253996000453E-3</v>
      </c>
      <c r="AB33" s="830"/>
      <c r="AC33" s="832"/>
      <c r="AE33" s="832" t="s">
        <v>5190</v>
      </c>
    </row>
    <row r="34" spans="1:35" ht="14.4" x14ac:dyDescent="0.55000000000000004">
      <c r="A34" s="841" t="s">
        <v>5193</v>
      </c>
      <c r="B34" s="842">
        <v>139.69</v>
      </c>
      <c r="C34" s="843">
        <f t="shared" si="2"/>
        <v>1.2466478219902877E-2</v>
      </c>
      <c r="D34" s="842">
        <v>46.51</v>
      </c>
      <c r="E34" s="843">
        <f t="shared" si="2"/>
        <v>1.0427981751031767E-2</v>
      </c>
      <c r="F34" s="842">
        <v>36.17</v>
      </c>
      <c r="G34" s="843">
        <f t="shared" si="2"/>
        <v>8.3635349874549014E-3</v>
      </c>
      <c r="H34" s="842">
        <v>39.57</v>
      </c>
      <c r="I34" s="843">
        <f t="shared" si="2"/>
        <v>-1.0098459984851926E-3</v>
      </c>
      <c r="J34" s="842">
        <v>68.72</v>
      </c>
      <c r="K34" s="843">
        <f t="shared" si="3"/>
        <v>9.6973258889214708E-3</v>
      </c>
      <c r="L34" s="842">
        <v>69.650000000000006</v>
      </c>
      <c r="M34" s="843">
        <f t="shared" si="4"/>
        <v>1.1499209429353119E-3</v>
      </c>
      <c r="N34" s="842">
        <v>66.69</v>
      </c>
      <c r="O34" s="843">
        <f t="shared" si="5"/>
        <v>1.7391304347825987E-2</v>
      </c>
      <c r="P34" s="844">
        <f t="shared" si="10"/>
        <v>8.3552428770838749E-3</v>
      </c>
      <c r="Q34" s="830"/>
      <c r="R34" s="845">
        <v>986.32</v>
      </c>
      <c r="S34" s="846">
        <f t="shared" si="6"/>
        <v>1.5192062250401595E-2</v>
      </c>
      <c r="T34" s="845">
        <v>76.430000000000007</v>
      </c>
      <c r="U34" s="846">
        <f t="shared" si="7"/>
        <v>1.5951083344410533E-2</v>
      </c>
      <c r="V34" s="845">
        <v>145.5711</v>
      </c>
      <c r="W34" s="846">
        <f t="shared" si="7"/>
        <v>1.246638062522476E-2</v>
      </c>
      <c r="X34" s="845">
        <v>42840.26</v>
      </c>
      <c r="Y34" s="846">
        <f t="shared" si="8"/>
        <v>1.176177736463635E-2</v>
      </c>
      <c r="Z34" s="845">
        <v>5930.8500999999997</v>
      </c>
      <c r="AA34" s="846">
        <f t="shared" si="9"/>
        <v>1.0869654514505056E-2</v>
      </c>
      <c r="AB34" s="830"/>
      <c r="AG34" s="840"/>
      <c r="AI34" s="840"/>
    </row>
    <row r="35" spans="1:35" ht="14.4" x14ac:dyDescent="0.55000000000000004">
      <c r="A35" s="841" t="s">
        <v>5194</v>
      </c>
      <c r="B35" s="842">
        <v>137.97</v>
      </c>
      <c r="C35" s="843">
        <f t="shared" si="2"/>
        <v>1.143611172201453E-2</v>
      </c>
      <c r="D35" s="842">
        <v>46.03</v>
      </c>
      <c r="E35" s="843">
        <f t="shared" si="2"/>
        <v>1.3876651982378974E-2</v>
      </c>
      <c r="F35" s="842">
        <v>35.869999999999997</v>
      </c>
      <c r="G35" s="843">
        <f t="shared" si="2"/>
        <v>1.2418854078464436E-2</v>
      </c>
      <c r="H35" s="842">
        <v>39.61</v>
      </c>
      <c r="I35" s="843">
        <f t="shared" si="2"/>
        <v>1.0201479214485998E-2</v>
      </c>
      <c r="J35" s="842">
        <v>68.06</v>
      </c>
      <c r="K35" s="843">
        <f t="shared" si="3"/>
        <v>1.6427718040621375E-2</v>
      </c>
      <c r="L35" s="842">
        <v>69.569999999999993</v>
      </c>
      <c r="M35" s="843">
        <f t="shared" si="4"/>
        <v>2.504788566376881E-2</v>
      </c>
      <c r="N35" s="842">
        <v>65.55</v>
      </c>
      <c r="O35" s="843">
        <f t="shared" si="5"/>
        <v>1.6909711448960696E-2</v>
      </c>
      <c r="P35" s="844">
        <f t="shared" si="10"/>
        <v>1.5188344592956402E-2</v>
      </c>
      <c r="Q35" s="830"/>
      <c r="R35" s="845">
        <v>971.56</v>
      </c>
      <c r="S35" s="846">
        <f t="shared" si="6"/>
        <v>6.7561966343363533E-3</v>
      </c>
      <c r="T35" s="845">
        <v>75.23</v>
      </c>
      <c r="U35" s="846">
        <f t="shared" si="7"/>
        <v>4.5399919882493922E-3</v>
      </c>
      <c r="V35" s="845">
        <v>143.77869999999999</v>
      </c>
      <c r="W35" s="846">
        <f t="shared" si="7"/>
        <v>1.1436269371733143E-2</v>
      </c>
      <c r="X35" s="845">
        <v>42342.239999999998</v>
      </c>
      <c r="Y35" s="846">
        <f t="shared" si="8"/>
        <v>3.6312630723678296E-4</v>
      </c>
      <c r="Z35" s="845">
        <v>5867.0770000000002</v>
      </c>
      <c r="AA35" s="846">
        <f t="shared" si="9"/>
        <v>-8.6557589934799228E-4</v>
      </c>
      <c r="AB35" s="830"/>
      <c r="AG35" s="840"/>
      <c r="AI35" s="840"/>
    </row>
    <row r="36" spans="1:35" ht="14.4" x14ac:dyDescent="0.55000000000000004">
      <c r="A36" s="841" t="s">
        <v>5195</v>
      </c>
      <c r="B36" s="842">
        <v>136.41</v>
      </c>
      <c r="C36" s="843">
        <f t="shared" si="2"/>
        <v>-3.5153487056160726E-2</v>
      </c>
      <c r="D36" s="842">
        <v>45.4</v>
      </c>
      <c r="E36" s="843">
        <f t="shared" si="2"/>
        <v>-4.461279461279466E-2</v>
      </c>
      <c r="F36" s="842">
        <v>35.43</v>
      </c>
      <c r="G36" s="843">
        <f t="shared" si="2"/>
        <v>-2.1541010770505409E-2</v>
      </c>
      <c r="H36" s="842">
        <v>39.21</v>
      </c>
      <c r="I36" s="843">
        <f t="shared" si="2"/>
        <v>-4.4357786985132819E-2</v>
      </c>
      <c r="J36" s="842">
        <v>66.959999999999994</v>
      </c>
      <c r="K36" s="843">
        <f t="shared" si="3"/>
        <v>-5.0212765957446948E-2</v>
      </c>
      <c r="L36" s="842">
        <v>67.87</v>
      </c>
      <c r="M36" s="843">
        <f t="shared" si="4"/>
        <v>-4.1790201891853673E-2</v>
      </c>
      <c r="N36" s="842">
        <v>64.459999999999994</v>
      </c>
      <c r="O36" s="843">
        <f t="shared" si="5"/>
        <v>-5.6222547584187432E-2</v>
      </c>
      <c r="P36" s="844">
        <f t="shared" si="10"/>
        <v>-4.1984370694011668E-2</v>
      </c>
      <c r="Q36" s="830"/>
      <c r="R36" s="845">
        <v>965.04</v>
      </c>
      <c r="S36" s="846">
        <f t="shared" si="6"/>
        <v>-2.6853691248096667E-2</v>
      </c>
      <c r="T36" s="845">
        <v>74.89</v>
      </c>
      <c r="U36" s="846">
        <f t="shared" si="7"/>
        <v>-2.3598435462842238E-2</v>
      </c>
      <c r="V36" s="845">
        <v>142.15299999999999</v>
      </c>
      <c r="W36" s="846">
        <f t="shared" si="7"/>
        <v>-3.5153211585790545E-2</v>
      </c>
      <c r="X36" s="845">
        <v>42326.87</v>
      </c>
      <c r="Y36" s="846">
        <f t="shared" si="8"/>
        <v>-2.5846549704372168E-2</v>
      </c>
      <c r="Z36" s="845">
        <v>5872.1598000000004</v>
      </c>
      <c r="AA36" s="846">
        <f t="shared" si="9"/>
        <v>-2.9493007358513568E-2</v>
      </c>
      <c r="AB36" s="830"/>
      <c r="AE36" s="855"/>
    </row>
    <row r="37" spans="1:35" ht="14.4" x14ac:dyDescent="0.55000000000000004">
      <c r="A37" s="841" t="s">
        <v>5196</v>
      </c>
      <c r="B37" s="842">
        <v>141.38</v>
      </c>
      <c r="C37" s="843">
        <f t="shared" si="2"/>
        <v>6.6215735137060694E-3</v>
      </c>
      <c r="D37" s="842">
        <v>47.52</v>
      </c>
      <c r="E37" s="843">
        <f t="shared" si="2"/>
        <v>-3.1466331025802319E-3</v>
      </c>
      <c r="F37" s="842">
        <v>36.21</v>
      </c>
      <c r="G37" s="843">
        <f t="shared" si="2"/>
        <v>-3.5773252614199613E-3</v>
      </c>
      <c r="H37" s="842">
        <v>41.03</v>
      </c>
      <c r="I37" s="843">
        <f t="shared" si="2"/>
        <v>-6.296924194720277E-3</v>
      </c>
      <c r="J37" s="842">
        <v>70.5</v>
      </c>
      <c r="K37" s="843">
        <f t="shared" si="3"/>
        <v>0</v>
      </c>
      <c r="L37" s="842">
        <v>70.83</v>
      </c>
      <c r="M37" s="843">
        <f t="shared" si="4"/>
        <v>-1.8975069252077592E-2</v>
      </c>
      <c r="N37" s="842">
        <v>68.3</v>
      </c>
      <c r="O37" s="843">
        <f t="shared" si="5"/>
        <v>6.0391810281337222E-3</v>
      </c>
      <c r="P37" s="844">
        <f t="shared" si="10"/>
        <v>-2.76217103842261E-3</v>
      </c>
      <c r="Q37" s="830"/>
      <c r="R37" s="845">
        <v>991.67</v>
      </c>
      <c r="S37" s="846">
        <f t="shared" si="6"/>
        <v>-4.2074187134738539E-3</v>
      </c>
      <c r="T37" s="845">
        <v>76.7</v>
      </c>
      <c r="U37" s="846">
        <f t="shared" si="7"/>
        <v>-4.1547649961047872E-3</v>
      </c>
      <c r="V37" s="845">
        <v>147.3322</v>
      </c>
      <c r="W37" s="846">
        <f t="shared" si="7"/>
        <v>6.6212043882645233E-3</v>
      </c>
      <c r="X37" s="845">
        <v>43449.9</v>
      </c>
      <c r="Y37" s="846">
        <f t="shared" si="8"/>
        <v>-6.1206638626014609E-3</v>
      </c>
      <c r="Z37" s="845">
        <v>6050.6104999999998</v>
      </c>
      <c r="AA37" s="846">
        <f t="shared" si="9"/>
        <v>-3.8644513201044894E-3</v>
      </c>
      <c r="AB37" s="830"/>
      <c r="AC37" s="832"/>
    </row>
    <row r="38" spans="1:35" ht="14.4" x14ac:dyDescent="0.55000000000000004">
      <c r="A38" s="841" t="s">
        <v>5197</v>
      </c>
      <c r="B38" s="842">
        <v>140.44999999999999</v>
      </c>
      <c r="C38" s="843">
        <f t="shared" si="2"/>
        <v>-9.247403613602545E-4</v>
      </c>
      <c r="D38" s="842">
        <v>47.67</v>
      </c>
      <c r="E38" s="843">
        <f t="shared" si="2"/>
        <v>2.5236593059938528E-3</v>
      </c>
      <c r="F38" s="842">
        <v>36.340000000000003</v>
      </c>
      <c r="G38" s="843">
        <f t="shared" si="2"/>
        <v>-5.745554035567535E-3</v>
      </c>
      <c r="H38" s="842">
        <v>41.29</v>
      </c>
      <c r="I38" s="843">
        <f t="shared" si="2"/>
        <v>-1.2437215977039062E-2</v>
      </c>
      <c r="J38" s="842">
        <v>70.5</v>
      </c>
      <c r="K38" s="843">
        <f t="shared" si="3"/>
        <v>1.7050298380221207E-3</v>
      </c>
      <c r="L38" s="842">
        <v>72.2</v>
      </c>
      <c r="M38" s="843">
        <f t="shared" si="4"/>
        <v>-8.922443376801481E-3</v>
      </c>
      <c r="N38" s="842">
        <v>67.89</v>
      </c>
      <c r="O38" s="843">
        <f t="shared" si="5"/>
        <v>2.8064992614476036E-3</v>
      </c>
      <c r="P38" s="844">
        <f t="shared" si="10"/>
        <v>-2.9992521921863935E-3</v>
      </c>
      <c r="Q38" s="830"/>
      <c r="R38" s="845">
        <v>995.86</v>
      </c>
      <c r="S38" s="846">
        <f t="shared" si="6"/>
        <v>-7.7616699048472793E-3</v>
      </c>
      <c r="T38" s="845">
        <v>77.02</v>
      </c>
      <c r="U38" s="846">
        <f t="shared" si="7"/>
        <v>-7.9855744461618805E-3</v>
      </c>
      <c r="V38" s="845">
        <v>146.3631</v>
      </c>
      <c r="W38" s="846">
        <f t="shared" si="7"/>
        <v>-9.2424154513526258E-4</v>
      </c>
      <c r="X38" s="845">
        <v>43717.48</v>
      </c>
      <c r="Y38" s="846">
        <f t="shared" si="8"/>
        <v>-2.5230411749914694E-3</v>
      </c>
      <c r="Z38" s="845">
        <v>6074.0834999999997</v>
      </c>
      <c r="AA38" s="846">
        <f t="shared" si="9"/>
        <v>3.7995621286208703E-3</v>
      </c>
      <c r="AB38" s="830"/>
      <c r="AC38" s="832"/>
    </row>
    <row r="39" spans="1:35" ht="14.4" x14ac:dyDescent="0.55000000000000004">
      <c r="A39" s="841" t="s">
        <v>5198</v>
      </c>
      <c r="B39" s="842">
        <v>140.58000000000001</v>
      </c>
      <c r="C39" s="843">
        <f t="shared" si="2"/>
        <v>2.5673940949937357E-3</v>
      </c>
      <c r="D39" s="842">
        <v>47.55</v>
      </c>
      <c r="E39" s="843">
        <f t="shared" si="2"/>
        <v>-5.854066485469378E-3</v>
      </c>
      <c r="F39" s="842">
        <v>36.549999999999997</v>
      </c>
      <c r="G39" s="843">
        <f t="shared" si="2"/>
        <v>5.4749520941688168E-4</v>
      </c>
      <c r="H39" s="842">
        <v>41.81</v>
      </c>
      <c r="I39" s="843">
        <f t="shared" si="2"/>
        <v>5.7733942747173472E-3</v>
      </c>
      <c r="J39" s="842">
        <v>70.38</v>
      </c>
      <c r="K39" s="843">
        <f t="shared" si="3"/>
        <v>2.421307506053294E-3</v>
      </c>
      <c r="L39" s="842">
        <v>72.849999999999994</v>
      </c>
      <c r="M39" s="843">
        <f t="shared" si="4"/>
        <v>-1.7929361013750533E-2</v>
      </c>
      <c r="N39" s="842">
        <v>67.7</v>
      </c>
      <c r="O39" s="843">
        <f t="shared" si="5"/>
        <v>-6.01967405667303E-3</v>
      </c>
      <c r="P39" s="844">
        <f t="shared" si="10"/>
        <v>-2.6419300672445262E-3</v>
      </c>
      <c r="Q39" s="830"/>
      <c r="R39" s="845">
        <v>1003.65</v>
      </c>
      <c r="S39" s="846">
        <f t="shared" si="6"/>
        <v>9.2747726184772006E-4</v>
      </c>
      <c r="T39" s="845">
        <v>77.64</v>
      </c>
      <c r="U39" s="846">
        <f t="shared" si="7"/>
        <v>6.4441293981176706E-4</v>
      </c>
      <c r="V39" s="845">
        <v>146.49850000000001</v>
      </c>
      <c r="W39" s="846">
        <f t="shared" si="7"/>
        <v>2.5670084325988274E-3</v>
      </c>
      <c r="X39" s="845">
        <v>43828.06</v>
      </c>
      <c r="Y39" s="846">
        <f t="shared" si="8"/>
        <v>-1.9597341356266673E-3</v>
      </c>
      <c r="Z39" s="845">
        <v>6051.0919999999996</v>
      </c>
      <c r="AA39" s="846">
        <f t="shared" si="9"/>
        <v>-2.5664130434810417E-5</v>
      </c>
      <c r="AB39" s="830"/>
      <c r="AC39" s="832"/>
    </row>
    <row r="40" spans="1:35" ht="14.4" x14ac:dyDescent="0.55000000000000004">
      <c r="A40" s="841" t="s">
        <v>5199</v>
      </c>
      <c r="B40" s="842">
        <v>140.22</v>
      </c>
      <c r="C40" s="843">
        <f t="shared" si="2"/>
        <v>1.3568521031206426E-3</v>
      </c>
      <c r="D40" s="842">
        <v>47.83</v>
      </c>
      <c r="E40" s="843">
        <f t="shared" si="2"/>
        <v>-8.3559640693542381E-4</v>
      </c>
      <c r="F40" s="842">
        <v>36.53</v>
      </c>
      <c r="G40" s="843">
        <f t="shared" si="2"/>
        <v>-6.256800870511392E-3</v>
      </c>
      <c r="H40" s="842">
        <v>41.57</v>
      </c>
      <c r="I40" s="843">
        <f t="shared" si="2"/>
        <v>-6.4531548757170709E-3</v>
      </c>
      <c r="J40" s="842">
        <v>70.209999999999994</v>
      </c>
      <c r="K40" s="843">
        <f t="shared" si="3"/>
        <v>-1.3211524947294606E-2</v>
      </c>
      <c r="L40" s="842">
        <v>74.180000000000007</v>
      </c>
      <c r="M40" s="843">
        <f t="shared" si="4"/>
        <v>-1.2776151184455631E-2</v>
      </c>
      <c r="N40" s="842">
        <v>68.11</v>
      </c>
      <c r="O40" s="843">
        <f t="shared" si="5"/>
        <v>-8.732353369232948E-3</v>
      </c>
      <c r="P40" s="844">
        <f t="shared" si="10"/>
        <v>-6.7012470787180612E-3</v>
      </c>
      <c r="Q40" s="830"/>
      <c r="R40" s="845">
        <v>1002.72</v>
      </c>
      <c r="S40" s="846">
        <f t="shared" si="6"/>
        <v>-1.2052633151713454E-3</v>
      </c>
      <c r="T40" s="845">
        <v>77.59</v>
      </c>
      <c r="U40" s="846">
        <f t="shared" si="7"/>
        <v>-5.1526471724838707E-4</v>
      </c>
      <c r="V40" s="845">
        <v>146.1234</v>
      </c>
      <c r="W40" s="846">
        <f t="shared" si="7"/>
        <v>1.3568576820759404E-3</v>
      </c>
      <c r="X40" s="845">
        <v>43914.12</v>
      </c>
      <c r="Y40" s="846">
        <f t="shared" si="8"/>
        <v>-5.3102524748257496E-3</v>
      </c>
      <c r="Z40" s="845">
        <v>6051.2473</v>
      </c>
      <c r="AA40" s="846">
        <f t="shared" si="9"/>
        <v>-5.4143941440352172E-3</v>
      </c>
      <c r="AB40" s="830"/>
    </row>
    <row r="41" spans="1:35" ht="14.4" x14ac:dyDescent="0.55000000000000004">
      <c r="A41" s="841" t="s">
        <v>5200</v>
      </c>
      <c r="B41" s="842">
        <v>140.03</v>
      </c>
      <c r="C41" s="843">
        <f t="shared" si="2"/>
        <v>-7.6536035716817663E-3</v>
      </c>
      <c r="D41" s="842">
        <v>47.87</v>
      </c>
      <c r="E41" s="843">
        <f t="shared" si="2"/>
        <v>-1.7648265955263698E-2</v>
      </c>
      <c r="F41" s="842">
        <v>36.76</v>
      </c>
      <c r="G41" s="843">
        <f t="shared" si="2"/>
        <v>4.0972411909314665E-3</v>
      </c>
      <c r="H41" s="842">
        <v>41.84</v>
      </c>
      <c r="I41" s="843">
        <f t="shared" si="2"/>
        <v>-3.0974505599236091E-3</v>
      </c>
      <c r="J41" s="842">
        <v>71.150000000000006</v>
      </c>
      <c r="K41" s="843">
        <f t="shared" si="3"/>
        <v>-7.5324313014366595E-3</v>
      </c>
      <c r="L41" s="842">
        <v>75.14</v>
      </c>
      <c r="M41" s="843">
        <f t="shared" si="4"/>
        <v>4.8141214228403229E-3</v>
      </c>
      <c r="N41" s="842">
        <v>68.709999999999994</v>
      </c>
      <c r="O41" s="843">
        <f t="shared" si="5"/>
        <v>-2.0248110651647E-2</v>
      </c>
      <c r="P41" s="844">
        <f t="shared" si="10"/>
        <v>-6.7526427751687058E-3</v>
      </c>
      <c r="Q41" s="830"/>
      <c r="R41" s="845">
        <v>1003.93</v>
      </c>
      <c r="S41" s="846">
        <f t="shared" si="6"/>
        <v>-6.8260736226666285E-3</v>
      </c>
      <c r="T41" s="845">
        <v>77.63</v>
      </c>
      <c r="U41" s="846">
        <f t="shared" si="7"/>
        <v>-6.2724014336918987E-3</v>
      </c>
      <c r="V41" s="845">
        <v>145.9254</v>
      </c>
      <c r="W41" s="846">
        <f t="shared" si="7"/>
        <v>-7.6538123874115849E-3</v>
      </c>
      <c r="X41" s="845">
        <v>44148.56</v>
      </c>
      <c r="Y41" s="846">
        <f t="shared" si="8"/>
        <v>-2.2434998507272486E-3</v>
      </c>
      <c r="Z41" s="845">
        <v>6084.1895000000004</v>
      </c>
      <c r="AA41" s="846">
        <f t="shared" si="9"/>
        <v>8.1653547807150062E-3</v>
      </c>
      <c r="AB41" s="830"/>
    </row>
    <row r="42" spans="1:35" ht="14.4" x14ac:dyDescent="0.55000000000000004">
      <c r="A42" s="841" t="s">
        <v>5201</v>
      </c>
      <c r="B42" s="842">
        <v>141.11000000000001</v>
      </c>
      <c r="C42" s="843">
        <f t="shared" si="2"/>
        <v>4.2538107054235219E-4</v>
      </c>
      <c r="D42" s="842">
        <v>48.73</v>
      </c>
      <c r="E42" s="843">
        <f t="shared" si="2"/>
        <v>4.1211621677312849E-3</v>
      </c>
      <c r="F42" s="842">
        <v>36.61</v>
      </c>
      <c r="G42" s="843">
        <f t="shared" si="2"/>
        <v>0</v>
      </c>
      <c r="H42" s="842">
        <v>41.97</v>
      </c>
      <c r="I42" s="843">
        <f t="shared" si="2"/>
        <v>5.0287356321838672E-3</v>
      </c>
      <c r="J42" s="842">
        <v>71.69</v>
      </c>
      <c r="K42" s="843">
        <f t="shared" si="3"/>
        <v>-9.1223220456115861E-3</v>
      </c>
      <c r="L42" s="842">
        <v>74.78</v>
      </c>
      <c r="M42" s="843">
        <f t="shared" si="4"/>
        <v>-4.6585917742578697E-3</v>
      </c>
      <c r="N42" s="842">
        <v>70.13</v>
      </c>
      <c r="O42" s="843">
        <f t="shared" si="5"/>
        <v>3.7211965078001175E-3</v>
      </c>
      <c r="P42" s="844">
        <f t="shared" si="10"/>
        <v>-6.920549165883345E-5</v>
      </c>
      <c r="Q42" s="830"/>
      <c r="R42" s="845">
        <v>1010.83</v>
      </c>
      <c r="S42" s="846">
        <f t="shared" si="6"/>
        <v>-8.3582675234217252E-3</v>
      </c>
      <c r="T42" s="845">
        <v>78.12</v>
      </c>
      <c r="U42" s="846">
        <f t="shared" si="7"/>
        <v>-7.2436141822339595E-3</v>
      </c>
      <c r="V42" s="845">
        <v>147.05090000000001</v>
      </c>
      <c r="W42" s="846">
        <f t="shared" si="7"/>
        <v>4.2588423704481571E-4</v>
      </c>
      <c r="X42" s="845">
        <v>44247.83</v>
      </c>
      <c r="Y42" s="846">
        <f t="shared" si="8"/>
        <v>-3.4705698603640922E-3</v>
      </c>
      <c r="Z42" s="845">
        <v>6034.9123</v>
      </c>
      <c r="AA42" s="846">
        <f t="shared" si="9"/>
        <v>-2.9632824452275885E-3</v>
      </c>
      <c r="AB42" s="830"/>
    </row>
    <row r="43" spans="1:35" ht="14.4" x14ac:dyDescent="0.55000000000000004">
      <c r="A43" s="841" t="s">
        <v>5202</v>
      </c>
      <c r="B43" s="842">
        <v>141.05000000000001</v>
      </c>
      <c r="C43" s="843">
        <f t="shared" si="2"/>
        <v>-6.4102564102563875E-3</v>
      </c>
      <c r="D43" s="842">
        <v>48.53</v>
      </c>
      <c r="E43" s="843">
        <f t="shared" si="2"/>
        <v>-1.3216754778365147E-2</v>
      </c>
      <c r="F43" s="842">
        <v>36.61</v>
      </c>
      <c r="G43" s="843">
        <f t="shared" si="2"/>
        <v>-1.2142471667566213E-2</v>
      </c>
      <c r="H43" s="842">
        <v>41.76</v>
      </c>
      <c r="I43" s="843">
        <f t="shared" si="2"/>
        <v>-3.3412887828162541E-3</v>
      </c>
      <c r="J43" s="842">
        <v>72.349999999999994</v>
      </c>
      <c r="K43" s="843">
        <f t="shared" si="3"/>
        <v>-3.7179840264391917E-3</v>
      </c>
      <c r="L43" s="842">
        <v>75.13</v>
      </c>
      <c r="M43" s="843">
        <f t="shared" si="4"/>
        <v>-6.6111331482215929E-3</v>
      </c>
      <c r="N43" s="842">
        <v>69.87</v>
      </c>
      <c r="O43" s="843">
        <f t="shared" si="5"/>
        <v>-7.8102811701220576E-3</v>
      </c>
      <c r="P43" s="844">
        <f t="shared" si="10"/>
        <v>-7.6071671405409779E-3</v>
      </c>
      <c r="Q43" s="830"/>
      <c r="R43" s="845">
        <v>1019.35</v>
      </c>
      <c r="S43" s="846">
        <f t="shared" si="6"/>
        <v>-1.5624849111083194E-2</v>
      </c>
      <c r="T43" s="845">
        <v>78.69</v>
      </c>
      <c r="U43" s="846">
        <f t="shared" si="7"/>
        <v>-1.2548625925461132E-2</v>
      </c>
      <c r="V43" s="845">
        <v>146.98830000000001</v>
      </c>
      <c r="W43" s="846">
        <f t="shared" si="7"/>
        <v>-6.4101784142666096E-3</v>
      </c>
      <c r="X43" s="845">
        <v>44401.93</v>
      </c>
      <c r="Y43" s="846">
        <f t="shared" si="8"/>
        <v>-5.3892566996665003E-3</v>
      </c>
      <c r="Z43" s="845">
        <v>6052.8486000000003</v>
      </c>
      <c r="AA43" s="846">
        <f t="shared" si="9"/>
        <v>-6.1445382434162088E-3</v>
      </c>
      <c r="AB43" s="830"/>
    </row>
    <row r="44" spans="1:35" ht="14.4" x14ac:dyDescent="0.55000000000000004">
      <c r="A44" s="841" t="s">
        <v>5203</v>
      </c>
      <c r="B44" s="842">
        <v>141.96</v>
      </c>
      <c r="C44" s="843">
        <f t="shared" si="2"/>
        <v>-7.5503355704696906E-3</v>
      </c>
      <c r="D44" s="842">
        <v>49.18</v>
      </c>
      <c r="E44" s="843">
        <f t="shared" si="2"/>
        <v>-1.2449799196787126E-2</v>
      </c>
      <c r="F44" s="842">
        <v>37.06</v>
      </c>
      <c r="G44" s="843">
        <f t="shared" si="2"/>
        <v>-5.9012875536480491E-3</v>
      </c>
      <c r="H44" s="842">
        <v>41.9</v>
      </c>
      <c r="I44" s="843">
        <f t="shared" si="2"/>
        <v>-9.4562647754137252E-3</v>
      </c>
      <c r="J44" s="842">
        <v>72.62</v>
      </c>
      <c r="K44" s="843">
        <f t="shared" si="3"/>
        <v>-1.9178822258238859E-2</v>
      </c>
      <c r="L44" s="842">
        <v>75.63</v>
      </c>
      <c r="M44" s="843">
        <f t="shared" si="4"/>
        <v>-1.1114016736401777E-2</v>
      </c>
      <c r="N44" s="842">
        <v>70.42</v>
      </c>
      <c r="O44" s="843">
        <f t="shared" si="5"/>
        <v>-4.8049745618994333E-3</v>
      </c>
      <c r="P44" s="844">
        <f t="shared" si="10"/>
        <v>-1.0065071521836952E-2</v>
      </c>
      <c r="Q44" s="830"/>
      <c r="R44" s="845">
        <v>1035.53</v>
      </c>
      <c r="S44" s="846">
        <f t="shared" si="6"/>
        <v>-1.1257304357789377E-2</v>
      </c>
      <c r="T44" s="845">
        <v>79.69</v>
      </c>
      <c r="U44" s="846">
        <f t="shared" si="7"/>
        <v>-1.2393109431156235E-2</v>
      </c>
      <c r="V44" s="845">
        <v>147.9366</v>
      </c>
      <c r="W44" s="846">
        <f t="shared" si="7"/>
        <v>-7.5505443704334541E-3</v>
      </c>
      <c r="X44" s="845">
        <v>44642.52</v>
      </c>
      <c r="Y44" s="846">
        <f t="shared" si="8"/>
        <v>-2.7518830819392992E-3</v>
      </c>
      <c r="Z44" s="845">
        <v>6090.2704999999996</v>
      </c>
      <c r="AA44" s="846">
        <f t="shared" si="9"/>
        <v>2.4959889184503758E-3</v>
      </c>
      <c r="AB44" s="830"/>
    </row>
    <row r="45" spans="1:35" ht="14.4" x14ac:dyDescent="0.55000000000000004">
      <c r="A45" s="841" t="s">
        <v>5204</v>
      </c>
      <c r="B45" s="842">
        <v>143.04</v>
      </c>
      <c r="C45" s="843">
        <f t="shared" si="2"/>
        <v>-6.6666666666667096E-3</v>
      </c>
      <c r="D45" s="842">
        <v>49.8</v>
      </c>
      <c r="E45" s="843">
        <f t="shared" si="2"/>
        <v>-5.9880239520958556E-3</v>
      </c>
      <c r="F45" s="842">
        <v>37.28</v>
      </c>
      <c r="G45" s="843">
        <f t="shared" si="2"/>
        <v>8.0536912751671963E-4</v>
      </c>
      <c r="H45" s="842">
        <v>42.3</v>
      </c>
      <c r="I45" s="843">
        <f t="shared" si="2"/>
        <v>-1.4675052410901501E-2</v>
      </c>
      <c r="J45" s="842">
        <v>74.040000000000006</v>
      </c>
      <c r="K45" s="843">
        <f t="shared" si="3"/>
        <v>-1.1745862253069839E-2</v>
      </c>
      <c r="L45" s="842">
        <v>76.48</v>
      </c>
      <c r="M45" s="843">
        <f t="shared" si="4"/>
        <v>-7.2689511941849139E-3</v>
      </c>
      <c r="N45" s="842">
        <v>70.760000000000005</v>
      </c>
      <c r="O45" s="843">
        <f t="shared" si="5"/>
        <v>-1.4484679665738076E-2</v>
      </c>
      <c r="P45" s="844">
        <f t="shared" si="10"/>
        <v>-8.5748381450200251E-3</v>
      </c>
      <c r="Q45" s="830"/>
      <c r="R45" s="845">
        <v>1047.32</v>
      </c>
      <c r="S45" s="846">
        <f t="shared" si="6"/>
        <v>2.1241986412783298E-3</v>
      </c>
      <c r="T45" s="845">
        <v>80.69</v>
      </c>
      <c r="U45" s="846">
        <f t="shared" si="7"/>
        <v>3.1079065141721429E-3</v>
      </c>
      <c r="V45" s="845">
        <v>149.06209999999999</v>
      </c>
      <c r="W45" s="846">
        <f t="shared" si="7"/>
        <v>-6.6665556018327132E-3</v>
      </c>
      <c r="X45" s="845">
        <v>44765.71</v>
      </c>
      <c r="Y45" s="846">
        <f t="shared" si="8"/>
        <v>-5.5167232267977484E-3</v>
      </c>
      <c r="Z45" s="845">
        <v>6075.1071000000002</v>
      </c>
      <c r="AA45" s="846">
        <f t="shared" si="9"/>
        <v>-1.8697484179420742E-3</v>
      </c>
      <c r="AB45" s="830"/>
    </row>
    <row r="46" spans="1:35" ht="14.4" x14ac:dyDescent="0.55000000000000004">
      <c r="A46" s="841" t="s">
        <v>5205</v>
      </c>
      <c r="B46" s="842">
        <v>144</v>
      </c>
      <c r="C46" s="843">
        <f t="shared" si="2"/>
        <v>-1.3901253167157401E-2</v>
      </c>
      <c r="D46" s="842">
        <v>50.1</v>
      </c>
      <c r="E46" s="843">
        <f t="shared" si="2"/>
        <v>-1.3952561291608045E-3</v>
      </c>
      <c r="F46" s="842">
        <v>37.25</v>
      </c>
      <c r="G46" s="843">
        <f t="shared" si="2"/>
        <v>5.1268213707500454E-3</v>
      </c>
      <c r="H46" s="842">
        <v>42.93</v>
      </c>
      <c r="I46" s="843">
        <f t="shared" si="2"/>
        <v>-2.3288309268743035E-4</v>
      </c>
      <c r="J46" s="842">
        <v>74.92</v>
      </c>
      <c r="K46" s="843">
        <f t="shared" si="3"/>
        <v>-1.3301725273278109E-2</v>
      </c>
      <c r="L46" s="842">
        <v>77.040000000000006</v>
      </c>
      <c r="M46" s="843">
        <f t="shared" si="4"/>
        <v>-1.2307692307692242E-2</v>
      </c>
      <c r="N46" s="842">
        <v>71.8</v>
      </c>
      <c r="O46" s="843">
        <f t="shared" si="5"/>
        <v>1.115448968209698E-3</v>
      </c>
      <c r="P46" s="844">
        <f t="shared" si="10"/>
        <v>-4.9852199472880344E-3</v>
      </c>
      <c r="Q46" s="830"/>
      <c r="R46" s="845">
        <v>1045.0999999999999</v>
      </c>
      <c r="S46" s="846">
        <f t="shared" si="6"/>
        <v>-1.6239969430645873E-3</v>
      </c>
      <c r="T46" s="845">
        <v>80.44</v>
      </c>
      <c r="U46" s="846">
        <f t="shared" si="7"/>
        <v>-1.2430080795533538E-4</v>
      </c>
      <c r="V46" s="845">
        <v>150.0625</v>
      </c>
      <c r="W46" s="846">
        <f t="shared" si="7"/>
        <v>-1.3901483788721136E-2</v>
      </c>
      <c r="X46" s="845">
        <v>45014.04</v>
      </c>
      <c r="Y46" s="846">
        <f t="shared" si="8"/>
        <v>6.9009359692191463E-3</v>
      </c>
      <c r="Z46" s="845">
        <v>6086.4872999999998</v>
      </c>
      <c r="AA46" s="846">
        <f t="shared" si="9"/>
        <v>6.0506140797660368E-3</v>
      </c>
      <c r="AB46" s="830"/>
    </row>
    <row r="47" spans="1:35" ht="14.4" x14ac:dyDescent="0.55000000000000004">
      <c r="A47" s="841" t="s">
        <v>5206</v>
      </c>
      <c r="B47" s="842">
        <v>146.03</v>
      </c>
      <c r="C47" s="843">
        <f t="shared" si="2"/>
        <v>-1.7030156165858901E-2</v>
      </c>
      <c r="D47" s="842">
        <v>50.17</v>
      </c>
      <c r="E47" s="843">
        <f t="shared" si="2"/>
        <v>-1.6274509803921533E-2</v>
      </c>
      <c r="F47" s="842">
        <v>37.06</v>
      </c>
      <c r="G47" s="843">
        <f t="shared" si="2"/>
        <v>-7.7643908969210473E-3</v>
      </c>
      <c r="H47" s="842">
        <v>42.94</v>
      </c>
      <c r="I47" s="843">
        <f t="shared" si="2"/>
        <v>-7.3971336107258034E-3</v>
      </c>
      <c r="J47" s="842">
        <v>75.930000000000007</v>
      </c>
      <c r="K47" s="843">
        <f t="shared" si="3"/>
        <v>-1.1070591299817578E-2</v>
      </c>
      <c r="L47" s="842">
        <v>78</v>
      </c>
      <c r="M47" s="843">
        <f t="shared" si="4"/>
        <v>-2.0470829068577334E-3</v>
      </c>
      <c r="N47" s="842">
        <v>71.72</v>
      </c>
      <c r="O47" s="843">
        <f t="shared" si="5"/>
        <v>-9.8025679966865509E-3</v>
      </c>
      <c r="P47" s="844">
        <f t="shared" si="10"/>
        <v>-1.0198061811541306E-2</v>
      </c>
      <c r="Q47" s="830"/>
      <c r="R47" s="845">
        <v>1046.8</v>
      </c>
      <c r="S47" s="846">
        <f t="shared" si="6"/>
        <v>-9.6967976916891852E-3</v>
      </c>
      <c r="T47" s="845">
        <v>80.45</v>
      </c>
      <c r="U47" s="846">
        <f t="shared" si="7"/>
        <v>-8.6260012322859625E-3</v>
      </c>
      <c r="V47" s="845">
        <v>152.178</v>
      </c>
      <c r="W47" s="846">
        <f t="shared" si="7"/>
        <v>-1.7030058553946903E-2</v>
      </c>
      <c r="X47" s="845">
        <v>44705.53</v>
      </c>
      <c r="Y47" s="846">
        <f t="shared" si="8"/>
        <v>-1.7076057344469486E-3</v>
      </c>
      <c r="Z47" s="845">
        <v>6049.8818000000001</v>
      </c>
      <c r="AA47" s="846">
        <f t="shared" si="9"/>
        <v>4.524448542317927E-4</v>
      </c>
      <c r="AB47" s="830"/>
      <c r="AC47" s="832"/>
    </row>
    <row r="48" spans="1:35" ht="14.4" x14ac:dyDescent="0.55000000000000004">
      <c r="A48" s="841" t="s">
        <v>5207</v>
      </c>
      <c r="B48" s="842">
        <v>148.56</v>
      </c>
      <c r="C48" s="843">
        <f t="shared" si="2"/>
        <v>-1.8239492466296525E-2</v>
      </c>
      <c r="D48" s="842">
        <v>51</v>
      </c>
      <c r="E48" s="843">
        <f t="shared" si="2"/>
        <v>-1.1244668476153463E-2</v>
      </c>
      <c r="F48" s="842">
        <v>37.35</v>
      </c>
      <c r="G48" s="843">
        <f t="shared" si="2"/>
        <v>-1.9427671304804495E-2</v>
      </c>
      <c r="H48" s="842">
        <v>43.26</v>
      </c>
      <c r="I48" s="843">
        <f t="shared" si="2"/>
        <v>-1.2779552715655007E-2</v>
      </c>
      <c r="J48" s="842">
        <v>76.78</v>
      </c>
      <c r="K48" s="843">
        <f t="shared" si="3"/>
        <v>-1.5262280364242597E-2</v>
      </c>
      <c r="L48" s="842">
        <v>78.16</v>
      </c>
      <c r="M48" s="843">
        <f t="shared" si="4"/>
        <v>0</v>
      </c>
      <c r="N48" s="842">
        <v>72.430000000000007</v>
      </c>
      <c r="O48" s="843">
        <f t="shared" si="5"/>
        <v>-1.0383932231178949E-2</v>
      </c>
      <c r="P48" s="844">
        <f t="shared" si="10"/>
        <v>-1.2476799651190149E-2</v>
      </c>
      <c r="Q48" s="830"/>
      <c r="R48" s="845">
        <v>1057.05</v>
      </c>
      <c r="S48" s="846">
        <f t="shared" si="6"/>
        <v>-2.0297511469484331E-2</v>
      </c>
      <c r="T48" s="845">
        <v>81.150000000000006</v>
      </c>
      <c r="U48" s="846">
        <f t="shared" si="7"/>
        <v>-2.1463885204389244E-2</v>
      </c>
      <c r="V48" s="845">
        <v>154.81450000000001</v>
      </c>
      <c r="W48" s="846">
        <f t="shared" si="7"/>
        <v>-1.823950302712829E-2</v>
      </c>
      <c r="X48" s="845">
        <v>44782</v>
      </c>
      <c r="Y48" s="846">
        <f t="shared" si="8"/>
        <v>-2.8645766650003956E-3</v>
      </c>
      <c r="Z48" s="845">
        <v>6047.1458000000002</v>
      </c>
      <c r="AA48" s="846">
        <f t="shared" si="9"/>
        <v>2.4470257565152309E-3</v>
      </c>
      <c r="AB48" s="830"/>
      <c r="AC48" s="832"/>
    </row>
    <row r="49" spans="1:29" ht="14.4" x14ac:dyDescent="0.55000000000000004">
      <c r="A49" s="841" t="s">
        <v>5208</v>
      </c>
      <c r="B49" s="842">
        <v>151.32</v>
      </c>
      <c r="C49" s="843">
        <f t="shared" si="2"/>
        <v>-7.2640824143177518E-4</v>
      </c>
      <c r="D49" s="842">
        <v>51.58</v>
      </c>
      <c r="E49" s="843">
        <f t="shared" si="2"/>
        <v>-5.8128269715174152E-4</v>
      </c>
      <c r="F49" s="842">
        <v>38.090000000000003</v>
      </c>
      <c r="G49" s="843">
        <f t="shared" si="2"/>
        <v>-4.1830065359476087E-3</v>
      </c>
      <c r="H49" s="842">
        <v>43.82</v>
      </c>
      <c r="I49" s="843">
        <f t="shared" si="2"/>
        <v>1.107521919704646E-2</v>
      </c>
      <c r="J49" s="842">
        <v>77.97</v>
      </c>
      <c r="K49" s="843">
        <f t="shared" si="3"/>
        <v>4.8975383425697849E-3</v>
      </c>
      <c r="L49" s="842">
        <v>78.16</v>
      </c>
      <c r="M49" s="843">
        <f t="shared" si="4"/>
        <v>-1.787994891443212E-3</v>
      </c>
      <c r="N49" s="842">
        <v>73.19</v>
      </c>
      <c r="O49" s="843">
        <f t="shared" si="5"/>
        <v>1.0942415538228722E-3</v>
      </c>
      <c r="P49" s="844">
        <f t="shared" si="10"/>
        <v>1.3983295324949685E-3</v>
      </c>
      <c r="Q49" s="830"/>
      <c r="R49" s="845">
        <v>1078.95</v>
      </c>
      <c r="S49" s="846">
        <f t="shared" si="6"/>
        <v>-3.2428425831554364E-4</v>
      </c>
      <c r="T49" s="845">
        <v>82.93</v>
      </c>
      <c r="U49" s="846">
        <f t="shared" si="7"/>
        <v>3.6188178528351322E-4</v>
      </c>
      <c r="V49" s="845">
        <v>157.69069999999999</v>
      </c>
      <c r="W49" s="846">
        <f t="shared" si="7"/>
        <v>-7.2621135031580852E-4</v>
      </c>
      <c r="X49" s="845">
        <v>44910.65</v>
      </c>
      <c r="Y49" s="846">
        <f t="shared" si="8"/>
        <v>4.2169345508682454E-3</v>
      </c>
      <c r="Z49" s="845">
        <v>6032.3843999999999</v>
      </c>
      <c r="AA49" s="846">
        <f t="shared" si="9"/>
        <v>5.6088963110425549E-3</v>
      </c>
      <c r="AB49" s="830"/>
      <c r="AC49" s="832"/>
    </row>
    <row r="50" spans="1:29" ht="14.4" x14ac:dyDescent="0.55000000000000004">
      <c r="A50" s="841" t="s">
        <v>5209</v>
      </c>
      <c r="B50" s="842">
        <v>151.43</v>
      </c>
      <c r="C50" s="843">
        <f t="shared" si="2"/>
        <v>7.3172354154193986E-3</v>
      </c>
      <c r="D50" s="842">
        <v>51.61</v>
      </c>
      <c r="E50" s="843">
        <f t="shared" si="2"/>
        <v>1.7747978702425504E-2</v>
      </c>
      <c r="F50" s="842">
        <v>38.25</v>
      </c>
      <c r="G50" s="843">
        <f t="shared" si="2"/>
        <v>0</v>
      </c>
      <c r="H50" s="842">
        <v>43.34</v>
      </c>
      <c r="I50" s="843">
        <f t="shared" si="2"/>
        <v>1.1550011550012229E-3</v>
      </c>
      <c r="J50" s="842">
        <v>77.59</v>
      </c>
      <c r="K50" s="843">
        <f t="shared" si="3"/>
        <v>7.7932198986883083E-3</v>
      </c>
      <c r="L50" s="842">
        <v>78.3</v>
      </c>
      <c r="M50" s="843">
        <f t="shared" si="4"/>
        <v>2.9460740361215709E-3</v>
      </c>
      <c r="N50" s="842">
        <v>73.11</v>
      </c>
      <c r="O50" s="843">
        <f t="shared" si="5"/>
        <v>7.024793388429762E-3</v>
      </c>
      <c r="P50" s="844">
        <f t="shared" si="10"/>
        <v>6.283471799440824E-3</v>
      </c>
      <c r="Q50" s="830"/>
      <c r="R50" s="845">
        <v>1079.3</v>
      </c>
      <c r="S50" s="846">
        <f t="shared" si="6"/>
        <v>-5.3709671444990281E-4</v>
      </c>
      <c r="T50" s="845">
        <v>82.9</v>
      </c>
      <c r="U50" s="846">
        <f t="shared" si="7"/>
        <v>0</v>
      </c>
      <c r="V50" s="845">
        <v>157.80529999999999</v>
      </c>
      <c r="W50" s="846">
        <f t="shared" si="7"/>
        <v>7.3171665847477918E-3</v>
      </c>
      <c r="X50" s="845">
        <v>44722.06</v>
      </c>
      <c r="Y50" s="846">
        <f t="shared" si="8"/>
        <v>-3.0817887794355459E-3</v>
      </c>
      <c r="Z50" s="845">
        <v>5998.7380999999996</v>
      </c>
      <c r="AA50" s="846">
        <f t="shared" si="9"/>
        <v>-3.8020419910707037E-3</v>
      </c>
      <c r="AB50" s="830"/>
      <c r="AC50" s="832"/>
    </row>
    <row r="51" spans="1:29" ht="14.4" x14ac:dyDescent="0.55000000000000004">
      <c r="A51" s="841" t="s">
        <v>5210</v>
      </c>
      <c r="B51" s="842">
        <v>150.33000000000001</v>
      </c>
      <c r="C51" s="843">
        <f t="shared" si="2"/>
        <v>9.9880143827402179E-4</v>
      </c>
      <c r="D51" s="856">
        <v>50.71</v>
      </c>
      <c r="E51" s="843">
        <f t="shared" si="2"/>
        <v>-1.5339805825242747E-2</v>
      </c>
      <c r="F51" s="842">
        <v>38.25</v>
      </c>
      <c r="G51" s="843">
        <f t="shared" si="2"/>
        <v>7.905138339920903E-3</v>
      </c>
      <c r="H51" s="842">
        <v>43.29</v>
      </c>
      <c r="I51" s="843">
        <f t="shared" si="2"/>
        <v>-1.2770809578107278E-2</v>
      </c>
      <c r="J51" s="842">
        <v>76.989999999999995</v>
      </c>
      <c r="K51" s="843">
        <f t="shared" si="3"/>
        <v>-2.160376159613675E-2</v>
      </c>
      <c r="L51" s="842">
        <v>78.069999999999993</v>
      </c>
      <c r="M51" s="843">
        <f t="shared" si="4"/>
        <v>-1.3769580596260766E-2</v>
      </c>
      <c r="N51" s="842">
        <v>72.599999999999994</v>
      </c>
      <c r="O51" s="843">
        <f t="shared" si="5"/>
        <v>-1.0629599345870822E-2</v>
      </c>
      <c r="P51" s="844">
        <f t="shared" si="10"/>
        <v>-9.3156595947747767E-3</v>
      </c>
      <c r="Q51" s="830"/>
      <c r="R51" s="845">
        <v>1079.8800000000001</v>
      </c>
      <c r="S51" s="846">
        <f t="shared" si="6"/>
        <v>1.3068155166752637E-2</v>
      </c>
      <c r="T51" s="845">
        <v>82.9</v>
      </c>
      <c r="U51" s="846">
        <f t="shared" si="7"/>
        <v>1.5931372549019773E-2</v>
      </c>
      <c r="V51" s="845">
        <v>156.65899999999999</v>
      </c>
      <c r="W51" s="846">
        <f t="shared" si="7"/>
        <v>9.9870481467734251E-4</v>
      </c>
      <c r="X51" s="845">
        <v>44860.31</v>
      </c>
      <c r="Y51" s="846">
        <f t="shared" si="8"/>
        <v>2.765969764780829E-3</v>
      </c>
      <c r="Z51" s="845">
        <v>6021.6325999999999</v>
      </c>
      <c r="AA51" s="846">
        <f t="shared" si="9"/>
        <v>5.7230838587061239E-3</v>
      </c>
      <c r="AB51" s="843"/>
      <c r="AC51" s="832"/>
    </row>
    <row r="52" spans="1:29" ht="14.4" x14ac:dyDescent="0.55000000000000004">
      <c r="A52" s="841" t="s">
        <v>5211</v>
      </c>
      <c r="B52" s="842">
        <v>150.18</v>
      </c>
      <c r="C52" s="843">
        <f t="shared" si="2"/>
        <v>8.6637787404186817E-4</v>
      </c>
      <c r="D52" s="842">
        <v>51.5</v>
      </c>
      <c r="E52" s="843">
        <f t="shared" si="2"/>
        <v>9.0125391849529279E-3</v>
      </c>
      <c r="F52" s="842">
        <v>37.950000000000003</v>
      </c>
      <c r="G52" s="843">
        <f t="shared" si="2"/>
        <v>6.364359586316759E-3</v>
      </c>
      <c r="H52" s="842">
        <v>43.85</v>
      </c>
      <c r="I52" s="843">
        <f t="shared" si="2"/>
        <v>1.5989036089538722E-3</v>
      </c>
      <c r="J52" s="842">
        <v>78.69</v>
      </c>
      <c r="K52" s="843">
        <f t="shared" si="3"/>
        <v>1.0530371131372673E-2</v>
      </c>
      <c r="L52" s="842">
        <v>79.16</v>
      </c>
      <c r="M52" s="843">
        <f t="shared" si="4"/>
        <v>2.1287575796671288E-2</v>
      </c>
      <c r="N52" s="842">
        <v>73.38</v>
      </c>
      <c r="O52" s="843">
        <f t="shared" si="5"/>
        <v>1.1440385940730602E-2</v>
      </c>
      <c r="P52" s="844">
        <f t="shared" si="10"/>
        <v>8.7286447318628557E-3</v>
      </c>
      <c r="Q52" s="830"/>
      <c r="R52" s="845">
        <v>1065.95</v>
      </c>
      <c r="S52" s="846">
        <f t="shared" si="6"/>
        <v>-8.9979473432622026E-4</v>
      </c>
      <c r="T52" s="845">
        <v>81.599999999999994</v>
      </c>
      <c r="U52" s="846">
        <f t="shared" si="7"/>
        <v>1.8416206261508972E-3</v>
      </c>
      <c r="V52" s="845">
        <v>156.5027</v>
      </c>
      <c r="W52" s="846">
        <f t="shared" si="7"/>
        <v>8.6655001816238197E-4</v>
      </c>
      <c r="X52" s="845">
        <v>44736.57</v>
      </c>
      <c r="Y52" s="846">
        <f t="shared" si="8"/>
        <v>9.9344169551958128E-3</v>
      </c>
      <c r="Z52" s="845">
        <v>5987.3663999999999</v>
      </c>
      <c r="AA52" s="846">
        <f t="shared" si="9"/>
        <v>3.0193104497544532E-3</v>
      </c>
      <c r="AB52" s="843"/>
      <c r="AC52" s="832"/>
    </row>
    <row r="53" spans="1:29" ht="14.4" x14ac:dyDescent="0.55000000000000004">
      <c r="A53" s="841" t="s">
        <v>5212</v>
      </c>
      <c r="B53" s="842">
        <v>150.05000000000001</v>
      </c>
      <c r="C53" s="843">
        <f t="shared" si="2"/>
        <v>-1.3975775322772055E-3</v>
      </c>
      <c r="D53" s="842">
        <v>51.04</v>
      </c>
      <c r="E53" s="843">
        <f t="shared" si="2"/>
        <v>2.3871614844533484E-2</v>
      </c>
      <c r="F53" s="842">
        <v>37.71</v>
      </c>
      <c r="G53" s="843">
        <f t="shared" si="2"/>
        <v>-3.6988110964333298E-3</v>
      </c>
      <c r="H53" s="842">
        <v>43.78</v>
      </c>
      <c r="I53" s="843">
        <f t="shared" si="2"/>
        <v>1.3191390881740261E-2</v>
      </c>
      <c r="J53" s="842">
        <v>77.87</v>
      </c>
      <c r="K53" s="843">
        <f t="shared" si="3"/>
        <v>1.2877211238293551E-2</v>
      </c>
      <c r="L53" s="842">
        <v>77.510000000000005</v>
      </c>
      <c r="M53" s="843">
        <f t="shared" si="4"/>
        <v>5.163289015104322E-4</v>
      </c>
      <c r="N53" s="842">
        <v>72.55</v>
      </c>
      <c r="O53" s="843">
        <f t="shared" si="5"/>
        <v>2.6747806396829832E-2</v>
      </c>
      <c r="P53" s="844">
        <f t="shared" si="10"/>
        <v>1.0301137662028146E-2</v>
      </c>
      <c r="Q53" s="830"/>
      <c r="R53" s="845">
        <v>1066.9100000000001</v>
      </c>
      <c r="S53" s="846">
        <f t="shared" si="6"/>
        <v>-8.1253195742109208E-3</v>
      </c>
      <c r="T53" s="845">
        <v>81.45</v>
      </c>
      <c r="U53" s="846">
        <f t="shared" si="7"/>
        <v>-5.3730614238612917E-3</v>
      </c>
      <c r="V53" s="845">
        <v>156.3672</v>
      </c>
      <c r="W53" s="846">
        <f t="shared" si="7"/>
        <v>-1.3979529472921692E-3</v>
      </c>
      <c r="X53" s="845">
        <v>44296.51</v>
      </c>
      <c r="Y53" s="846">
        <f t="shared" si="8"/>
        <v>9.7140779592594928E-3</v>
      </c>
      <c r="Z53" s="845">
        <v>5969.3431</v>
      </c>
      <c r="AA53" s="846">
        <f t="shared" si="9"/>
        <v>3.4689722163498971E-3</v>
      </c>
      <c r="AB53" s="843"/>
      <c r="AC53" s="832"/>
    </row>
    <row r="54" spans="1:29" ht="14.4" x14ac:dyDescent="0.55000000000000004">
      <c r="A54" s="841" t="s">
        <v>5213</v>
      </c>
      <c r="B54" s="842">
        <v>150.26</v>
      </c>
      <c r="C54" s="843">
        <f t="shared" si="2"/>
        <v>2.0649368292351422E-2</v>
      </c>
      <c r="D54" s="842">
        <v>49.85</v>
      </c>
      <c r="E54" s="843">
        <f t="shared" si="2"/>
        <v>2.1725763476122095E-2</v>
      </c>
      <c r="F54" s="842">
        <v>37.85</v>
      </c>
      <c r="G54" s="843">
        <f t="shared" si="2"/>
        <v>1.4745308310992078E-2</v>
      </c>
      <c r="H54" s="842">
        <v>43.21</v>
      </c>
      <c r="I54" s="843">
        <f t="shared" si="2"/>
        <v>2.5878442545109293E-2</v>
      </c>
      <c r="J54" s="842">
        <v>76.88</v>
      </c>
      <c r="K54" s="843">
        <f t="shared" si="3"/>
        <v>1.1046817464492209E-2</v>
      </c>
      <c r="L54" s="842">
        <v>77.47</v>
      </c>
      <c r="M54" s="843">
        <f t="shared" si="4"/>
        <v>1.5866771570941518E-2</v>
      </c>
      <c r="N54" s="842">
        <v>70.66</v>
      </c>
      <c r="O54" s="843">
        <f t="shared" si="5"/>
        <v>3.3191987132621614E-2</v>
      </c>
      <c r="P54" s="844">
        <f t="shared" si="10"/>
        <v>2.0443494113232891E-2</v>
      </c>
      <c r="Q54" s="830"/>
      <c r="R54" s="845">
        <v>1075.6500000000001</v>
      </c>
      <c r="S54" s="846">
        <f t="shared" si="6"/>
        <v>1.9505814780062192E-2</v>
      </c>
      <c r="T54" s="845">
        <v>81.89</v>
      </c>
      <c r="U54" s="846">
        <f t="shared" si="7"/>
        <v>1.7393465026711574E-2</v>
      </c>
      <c r="V54" s="845">
        <v>156.58609999999999</v>
      </c>
      <c r="W54" s="846">
        <f t="shared" si="7"/>
        <v>2.0649454008359935E-2</v>
      </c>
      <c r="X54" s="845">
        <v>43870.35</v>
      </c>
      <c r="Y54" s="846">
        <f t="shared" si="8"/>
        <v>1.0640319734835035E-2</v>
      </c>
      <c r="Z54" s="845">
        <v>5948.7071999999998</v>
      </c>
      <c r="AA54" s="846">
        <f t="shared" si="9"/>
        <v>5.3397848149243643E-3</v>
      </c>
      <c r="AB54" s="843"/>
    </row>
    <row r="55" spans="1:29" ht="14.4" x14ac:dyDescent="0.55000000000000004">
      <c r="A55" s="841" t="s">
        <v>5214</v>
      </c>
      <c r="B55" s="842">
        <v>147.22</v>
      </c>
      <c r="C55" s="843">
        <f t="shared" si="2"/>
        <v>2.9976836081209157E-3</v>
      </c>
      <c r="D55" s="842">
        <v>48.79</v>
      </c>
      <c r="E55" s="843">
        <f t="shared" si="2"/>
        <v>1.0258514567089705E-3</v>
      </c>
      <c r="F55" s="842">
        <v>37.299999999999997</v>
      </c>
      <c r="G55" s="843">
        <f t="shared" si="2"/>
        <v>5.1199137698731967E-3</v>
      </c>
      <c r="H55" s="842">
        <v>42.12</v>
      </c>
      <c r="I55" s="843">
        <f t="shared" si="2"/>
        <v>6.6921606118546251E-3</v>
      </c>
      <c r="J55" s="842">
        <v>76.040000000000006</v>
      </c>
      <c r="K55" s="843">
        <f t="shared" si="3"/>
        <v>-5.6231201778473849E-3</v>
      </c>
      <c r="L55" s="842">
        <v>76.260000000000005</v>
      </c>
      <c r="M55" s="843">
        <f t="shared" si="4"/>
        <v>-3.6025786879029131E-2</v>
      </c>
      <c r="N55" s="842">
        <v>68.39</v>
      </c>
      <c r="O55" s="843">
        <f t="shared" si="5"/>
        <v>6.7716767260415089E-3</v>
      </c>
      <c r="P55" s="844">
        <f t="shared" si="10"/>
        <v>-2.7202315548967571E-3</v>
      </c>
      <c r="Q55" s="830"/>
      <c r="R55" s="845">
        <v>1055.07</v>
      </c>
      <c r="S55" s="846">
        <f t="shared" si="6"/>
        <v>1.1861608244292388E-3</v>
      </c>
      <c r="T55" s="845">
        <v>80.489999999999995</v>
      </c>
      <c r="U55" s="846">
        <f t="shared" si="7"/>
        <v>4.9720323182089743E-4</v>
      </c>
      <c r="V55" s="845">
        <v>153.41810000000001</v>
      </c>
      <c r="W55" s="846">
        <f t="shared" si="7"/>
        <v>2.9975235290888858E-3</v>
      </c>
      <c r="X55" s="845">
        <v>43408.47</v>
      </c>
      <c r="Y55" s="846">
        <f t="shared" si="8"/>
        <v>3.2247150034181438E-3</v>
      </c>
      <c r="Z55" s="845">
        <v>5917.1111000000001</v>
      </c>
      <c r="AA55" s="846">
        <f t="shared" si="9"/>
        <v>2.2595996395091689E-5</v>
      </c>
      <c r="AB55" s="843"/>
    </row>
    <row r="56" spans="1:29" ht="14.4" x14ac:dyDescent="0.55000000000000004">
      <c r="A56" s="841" t="s">
        <v>5215</v>
      </c>
      <c r="B56" s="842">
        <v>146.78</v>
      </c>
      <c r="C56" s="843">
        <f t="shared" si="2"/>
        <v>-1.292780839627139E-3</v>
      </c>
      <c r="D56" s="842">
        <v>48.74</v>
      </c>
      <c r="E56" s="843">
        <f t="shared" si="2"/>
        <v>5.9855521155831592E-3</v>
      </c>
      <c r="F56" s="842">
        <v>37.11</v>
      </c>
      <c r="G56" s="843">
        <f t="shared" si="2"/>
        <v>8.1499592502036755E-3</v>
      </c>
      <c r="H56" s="842">
        <v>41.84</v>
      </c>
      <c r="I56" s="843">
        <f t="shared" si="2"/>
        <v>5.5275174236963931E-3</v>
      </c>
      <c r="J56" s="842">
        <v>76.47</v>
      </c>
      <c r="K56" s="843">
        <f t="shared" si="3"/>
        <v>-1.4364063724210396E-3</v>
      </c>
      <c r="L56" s="842">
        <v>79.11</v>
      </c>
      <c r="M56" s="843">
        <f t="shared" si="4"/>
        <v>2.1697016660209067E-2</v>
      </c>
      <c r="N56" s="842">
        <v>67.930000000000007</v>
      </c>
      <c r="O56" s="843">
        <f t="shared" si="5"/>
        <v>-3.8128757882386344E-3</v>
      </c>
      <c r="P56" s="844">
        <f t="shared" si="10"/>
        <v>4.9739974927722119E-3</v>
      </c>
      <c r="Q56" s="830"/>
      <c r="R56" s="845">
        <v>1053.82</v>
      </c>
      <c r="S56" s="846">
        <f t="shared" si="6"/>
        <v>9.609212581074722E-3</v>
      </c>
      <c r="T56" s="845">
        <v>80.45</v>
      </c>
      <c r="U56" s="846">
        <f t="shared" si="7"/>
        <v>6.3797848386291101E-3</v>
      </c>
      <c r="V56" s="845">
        <v>152.95959999999999</v>
      </c>
      <c r="W56" s="846">
        <f t="shared" si="7"/>
        <v>-1.2927859929903196E-3</v>
      </c>
      <c r="X56" s="845">
        <v>43268.94</v>
      </c>
      <c r="Y56" s="846">
        <f t="shared" si="8"/>
        <v>-2.7808507107692781E-3</v>
      </c>
      <c r="Z56" s="845">
        <v>5916.9773999999998</v>
      </c>
      <c r="AA56" s="846">
        <f t="shared" si="9"/>
        <v>3.962570734286075E-3</v>
      </c>
      <c r="AB56" s="843"/>
    </row>
    <row r="57" spans="1:29" ht="14.4" x14ac:dyDescent="0.55000000000000004">
      <c r="A57" s="841" t="s">
        <v>5216</v>
      </c>
      <c r="B57" s="842">
        <v>146.97</v>
      </c>
      <c r="C57" s="843">
        <f t="shared" si="2"/>
        <v>1.435571813099612E-2</v>
      </c>
      <c r="D57" s="842">
        <v>48.45</v>
      </c>
      <c r="E57" s="843">
        <f t="shared" si="2"/>
        <v>9.164757342220442E-3</v>
      </c>
      <c r="F57" s="842">
        <v>36.81</v>
      </c>
      <c r="G57" s="843">
        <f t="shared" si="2"/>
        <v>6.5627563576702297E-3</v>
      </c>
      <c r="H57" s="842">
        <v>41.61</v>
      </c>
      <c r="I57" s="843">
        <f t="shared" si="2"/>
        <v>1.1178614823815325E-2</v>
      </c>
      <c r="J57" s="842">
        <v>76.58</v>
      </c>
      <c r="K57" s="843">
        <f t="shared" si="3"/>
        <v>1.5649867374005311E-2</v>
      </c>
      <c r="L57" s="842">
        <v>77.430000000000007</v>
      </c>
      <c r="M57" s="843">
        <f t="shared" si="4"/>
        <v>1.228918812916735E-2</v>
      </c>
      <c r="N57" s="842">
        <v>68.19</v>
      </c>
      <c r="O57" s="843">
        <f t="shared" si="5"/>
        <v>1.7609312042978553E-2</v>
      </c>
      <c r="P57" s="844">
        <f t="shared" si="10"/>
        <v>1.2401459171550475E-2</v>
      </c>
      <c r="Q57" s="830"/>
      <c r="R57" s="845">
        <v>1043.79</v>
      </c>
      <c r="S57" s="846">
        <f t="shared" si="6"/>
        <v>9.6438451567970596E-3</v>
      </c>
      <c r="T57" s="845">
        <v>79.94</v>
      </c>
      <c r="U57" s="846">
        <f t="shared" si="7"/>
        <v>8.7066246056781704E-3</v>
      </c>
      <c r="V57" s="845">
        <v>153.1576</v>
      </c>
      <c r="W57" s="846">
        <f t="shared" si="7"/>
        <v>1.4355917610437752E-2</v>
      </c>
      <c r="X57" s="845">
        <v>43389.599999999999</v>
      </c>
      <c r="Y57" s="846">
        <f t="shared" si="8"/>
        <v>-1.2749456266418768E-3</v>
      </c>
      <c r="Z57" s="845">
        <v>5893.6234999999997</v>
      </c>
      <c r="AA57" s="846">
        <f t="shared" si="9"/>
        <v>3.9190262882786708E-3</v>
      </c>
      <c r="AB57" s="843"/>
    </row>
    <row r="58" spans="1:29" ht="14.4" x14ac:dyDescent="0.55000000000000004">
      <c r="A58" s="841" t="s">
        <v>5217</v>
      </c>
      <c r="B58" s="842">
        <v>144.88999999999999</v>
      </c>
      <c r="C58" s="843">
        <f t="shared" si="2"/>
        <v>3.810447554385421E-3</v>
      </c>
      <c r="D58" s="842">
        <v>48.01</v>
      </c>
      <c r="E58" s="843">
        <f t="shared" si="2"/>
        <v>1.5654749312460137E-2</v>
      </c>
      <c r="F58" s="842">
        <v>36.57</v>
      </c>
      <c r="G58" s="843">
        <f t="shared" si="2"/>
        <v>1.5269294836202096E-2</v>
      </c>
      <c r="H58" s="842">
        <v>41.15</v>
      </c>
      <c r="I58" s="843">
        <f t="shared" si="2"/>
        <v>1.2798424809254083E-2</v>
      </c>
      <c r="J58" s="842">
        <v>75.400000000000006</v>
      </c>
      <c r="K58" s="843">
        <f t="shared" si="3"/>
        <v>1.6309475670575724E-2</v>
      </c>
      <c r="L58" s="842">
        <v>76.489999999999995</v>
      </c>
      <c r="M58" s="843">
        <f t="shared" si="4"/>
        <v>2.7530152071315594E-3</v>
      </c>
      <c r="N58" s="842">
        <v>67.010000000000005</v>
      </c>
      <c r="O58" s="843">
        <f t="shared" si="5"/>
        <v>1.6535194174757351E-2</v>
      </c>
      <c r="P58" s="844">
        <f t="shared" si="10"/>
        <v>1.1875800223538053E-2</v>
      </c>
      <c r="Q58" s="830"/>
      <c r="R58" s="845">
        <v>1033.82</v>
      </c>
      <c r="S58" s="846">
        <f t="shared" si="6"/>
        <v>1.7058869825279377E-2</v>
      </c>
      <c r="T58" s="845">
        <v>79.25</v>
      </c>
      <c r="U58" s="846">
        <f t="shared" si="7"/>
        <v>1.4984631147541005E-2</v>
      </c>
      <c r="V58" s="845">
        <v>150.99</v>
      </c>
      <c r="W58" s="846">
        <f t="shared" si="7"/>
        <v>3.8107445444923727E-3</v>
      </c>
      <c r="X58" s="845">
        <v>43444.99</v>
      </c>
      <c r="Y58" s="846">
        <f t="shared" si="8"/>
        <v>-6.9911768591520707E-3</v>
      </c>
      <c r="Z58" s="845">
        <v>5870.6163999999999</v>
      </c>
      <c r="AA58" s="846">
        <f t="shared" si="9"/>
        <v>-1.3204276918654334E-2</v>
      </c>
      <c r="AB58" s="843"/>
    </row>
    <row r="59" spans="1:29" ht="14.4" x14ac:dyDescent="0.55000000000000004">
      <c r="A59" s="841" t="s">
        <v>5218</v>
      </c>
      <c r="B59" s="842">
        <v>144.34</v>
      </c>
      <c r="C59" s="843">
        <f t="shared" si="2"/>
        <v>-1.4811275680840841E-2</v>
      </c>
      <c r="D59" s="842">
        <v>47.27</v>
      </c>
      <c r="E59" s="843">
        <f t="shared" si="2"/>
        <v>-9.6375445212653066E-3</v>
      </c>
      <c r="F59" s="842">
        <v>36.020000000000003</v>
      </c>
      <c r="G59" s="843">
        <f t="shared" si="2"/>
        <v>-6.3448275862068026E-3</v>
      </c>
      <c r="H59" s="842">
        <v>40.630000000000003</v>
      </c>
      <c r="I59" s="843">
        <f t="shared" si="2"/>
        <v>-1.5984499878905267E-2</v>
      </c>
      <c r="J59" s="842">
        <v>74.19</v>
      </c>
      <c r="K59" s="843">
        <f t="shared" si="3"/>
        <v>-1.1985617259288928E-2</v>
      </c>
      <c r="L59" s="842">
        <v>76.28</v>
      </c>
      <c r="M59" s="843">
        <f t="shared" si="4"/>
        <v>-4.6972860125260585E-3</v>
      </c>
      <c r="N59" s="842">
        <v>65.92</v>
      </c>
      <c r="O59" s="843">
        <f t="shared" si="5"/>
        <v>3.5012939564622592E-3</v>
      </c>
      <c r="P59" s="844">
        <f t="shared" si="10"/>
        <v>-8.5656795689387066E-3</v>
      </c>
      <c r="Q59" s="830"/>
      <c r="R59" s="845">
        <v>1016.48</v>
      </c>
      <c r="S59" s="846">
        <f t="shared" si="6"/>
        <v>-6.4316853361483517E-3</v>
      </c>
      <c r="T59" s="845">
        <v>78.08</v>
      </c>
      <c r="U59" s="846">
        <f t="shared" si="7"/>
        <v>-3.4460753031269054E-3</v>
      </c>
      <c r="V59" s="845">
        <v>150.41679999999999</v>
      </c>
      <c r="W59" s="846">
        <f t="shared" si="7"/>
        <v>-1.4811544804693821E-2</v>
      </c>
      <c r="X59" s="845">
        <v>43750.86</v>
      </c>
      <c r="Y59" s="846">
        <f t="shared" si="8"/>
        <v>-4.7165272273494985E-3</v>
      </c>
      <c r="Z59" s="845">
        <v>5949.1709000000001</v>
      </c>
      <c r="AA59" s="846">
        <f t="shared" si="9"/>
        <v>-6.0492587101432793E-3</v>
      </c>
      <c r="AB59" s="843"/>
    </row>
    <row r="60" spans="1:29" ht="14.4" x14ac:dyDescent="0.55000000000000004">
      <c r="A60" s="841" t="s">
        <v>5219</v>
      </c>
      <c r="B60" s="842">
        <v>146.51</v>
      </c>
      <c r="C60" s="843">
        <f t="shared" si="2"/>
        <v>-2.1114289606321002E-3</v>
      </c>
      <c r="D60" s="842">
        <v>47.73</v>
      </c>
      <c r="E60" s="843">
        <f t="shared" si="2"/>
        <v>-4.1884816753934295E-4</v>
      </c>
      <c r="F60" s="842">
        <v>36.25</v>
      </c>
      <c r="G60" s="843">
        <f t="shared" si="2"/>
        <v>8.3449235048678183E-3</v>
      </c>
      <c r="H60" s="842">
        <v>41.29</v>
      </c>
      <c r="I60" s="843">
        <f t="shared" si="2"/>
        <v>-8.1671871246697947E-3</v>
      </c>
      <c r="J60" s="842">
        <v>75.09</v>
      </c>
      <c r="K60" s="843">
        <f t="shared" si="3"/>
        <v>-2.7888446215138529E-3</v>
      </c>
      <c r="L60" s="842">
        <v>76.64</v>
      </c>
      <c r="M60" s="843">
        <f t="shared" si="4"/>
        <v>-1.262561195568157E-2</v>
      </c>
      <c r="N60" s="842">
        <v>65.69</v>
      </c>
      <c r="O60" s="843">
        <f t="shared" si="5"/>
        <v>-6.9538926681784741E-3</v>
      </c>
      <c r="P60" s="844">
        <f t="shared" si="10"/>
        <v>-3.5315557133353309E-3</v>
      </c>
      <c r="Q60" s="830"/>
      <c r="R60" s="845">
        <v>1023.06</v>
      </c>
      <c r="S60" s="846">
        <f t="shared" si="6"/>
        <v>-2.5057769371021887E-3</v>
      </c>
      <c r="T60" s="845">
        <v>78.349999999999994</v>
      </c>
      <c r="U60" s="846">
        <f t="shared" si="7"/>
        <v>-1.783666709134879E-3</v>
      </c>
      <c r="V60" s="845">
        <v>152.6782</v>
      </c>
      <c r="W60" s="846">
        <f t="shared" si="7"/>
        <v>-2.1117467629359066E-3</v>
      </c>
      <c r="X60" s="845">
        <v>43958.19</v>
      </c>
      <c r="Y60" s="846">
        <f t="shared" si="8"/>
        <v>1.0751297283730921E-3</v>
      </c>
      <c r="Z60" s="845">
        <v>5985.3779999999997</v>
      </c>
      <c r="AA60" s="846">
        <f t="shared" si="9"/>
        <v>2.3196897441279951E-4</v>
      </c>
      <c r="AB60" s="843"/>
    </row>
    <row r="61" spans="1:29" ht="14.4" x14ac:dyDescent="0.55000000000000004">
      <c r="A61" s="841" t="s">
        <v>5220</v>
      </c>
      <c r="B61" s="842">
        <v>146.82</v>
      </c>
      <c r="C61" s="843">
        <f t="shared" si="2"/>
        <v>4.8593525426048334E-3</v>
      </c>
      <c r="D61" s="856">
        <v>47.75</v>
      </c>
      <c r="E61" s="843">
        <f t="shared" si="2"/>
        <v>3.9949537426409165E-3</v>
      </c>
      <c r="F61" s="842">
        <v>35.950000000000003</v>
      </c>
      <c r="G61" s="843">
        <f t="shared" si="2"/>
        <v>-7.4544450579788757E-3</v>
      </c>
      <c r="H61" s="842">
        <v>41.63</v>
      </c>
      <c r="I61" s="843">
        <f t="shared" si="2"/>
        <v>4.5849420849422007E-3</v>
      </c>
      <c r="J61" s="842">
        <v>75.3</v>
      </c>
      <c r="K61" s="843">
        <f t="shared" si="3"/>
        <v>3.732338043188399E-3</v>
      </c>
      <c r="L61" s="842">
        <v>77.62</v>
      </c>
      <c r="M61" s="843">
        <f t="shared" si="4"/>
        <v>6.7444876783400165E-3</v>
      </c>
      <c r="N61" s="842">
        <v>66.150000000000006</v>
      </c>
      <c r="O61" s="843">
        <f t="shared" si="5"/>
        <v>1.0593220338983578E-3</v>
      </c>
      <c r="P61" s="844">
        <f t="shared" si="10"/>
        <v>2.5029930096622638E-3</v>
      </c>
      <c r="Q61" s="830"/>
      <c r="R61" s="845">
        <v>1025.6300000000001</v>
      </c>
      <c r="S61" s="846">
        <f t="shared" si="6"/>
        <v>-1.0744909671383085E-2</v>
      </c>
      <c r="T61" s="845">
        <v>78.489999999999995</v>
      </c>
      <c r="U61" s="846">
        <f t="shared" si="7"/>
        <v>-1.1460957178841435E-2</v>
      </c>
      <c r="V61" s="845">
        <v>153.00129999999999</v>
      </c>
      <c r="W61" s="846">
        <f t="shared" si="7"/>
        <v>4.8594062579221386E-3</v>
      </c>
      <c r="X61" s="845">
        <v>43910.98</v>
      </c>
      <c r="Y61" s="846">
        <f t="shared" si="8"/>
        <v>-8.627748817931713E-3</v>
      </c>
      <c r="Z61" s="845">
        <v>5983.9898999999996</v>
      </c>
      <c r="AA61" s="846">
        <f t="shared" si="9"/>
        <v>-2.8922007009426487E-3</v>
      </c>
      <c r="AB61" s="843"/>
    </row>
    <row r="62" spans="1:29" ht="14.4" x14ac:dyDescent="0.55000000000000004">
      <c r="A62" s="841" t="s">
        <v>5221</v>
      </c>
      <c r="B62" s="842">
        <v>146.11000000000001</v>
      </c>
      <c r="C62" s="843">
        <f t="shared" si="2"/>
        <v>1.3315763922602253E-2</v>
      </c>
      <c r="D62" s="842">
        <v>47.56</v>
      </c>
      <c r="E62" s="843">
        <f t="shared" si="2"/>
        <v>1.5805211448099099E-2</v>
      </c>
      <c r="F62" s="842">
        <v>36.22</v>
      </c>
      <c r="G62" s="843">
        <f t="shared" si="2"/>
        <v>6.9502363080344853E-3</v>
      </c>
      <c r="H62" s="842">
        <v>41.44</v>
      </c>
      <c r="I62" s="843">
        <f t="shared" si="2"/>
        <v>1.3698630136986134E-2</v>
      </c>
      <c r="J62" s="842">
        <v>75.02</v>
      </c>
      <c r="K62" s="843">
        <f t="shared" si="3"/>
        <v>2.29070084537768E-2</v>
      </c>
      <c r="L62" s="842">
        <v>77.099999999999994</v>
      </c>
      <c r="M62" s="843">
        <f t="shared" si="4"/>
        <v>2.7862951606452357E-2</v>
      </c>
      <c r="N62" s="842">
        <v>66.08</v>
      </c>
      <c r="O62" s="843">
        <f t="shared" si="5"/>
        <v>2.5768394908413539E-2</v>
      </c>
      <c r="P62" s="844">
        <f t="shared" si="10"/>
        <v>1.8044028112052097E-2</v>
      </c>
      <c r="Q62" s="830"/>
      <c r="R62" s="845">
        <v>1036.77</v>
      </c>
      <c r="S62" s="846">
        <f t="shared" si="6"/>
        <v>4.699976742382983E-3</v>
      </c>
      <c r="T62" s="845">
        <v>79.400000000000006</v>
      </c>
      <c r="U62" s="846">
        <f t="shared" si="7"/>
        <v>2.77847941399334E-3</v>
      </c>
      <c r="V62" s="845">
        <v>152.26140000000001</v>
      </c>
      <c r="W62" s="846">
        <f t="shared" si="7"/>
        <v>1.3316207519607604E-2</v>
      </c>
      <c r="X62" s="845">
        <v>44293.13</v>
      </c>
      <c r="Y62" s="846">
        <f t="shared" si="8"/>
        <v>6.9140027993368491E-3</v>
      </c>
      <c r="Z62" s="845">
        <v>6001.3469999999998</v>
      </c>
      <c r="AA62" s="846">
        <f t="shared" si="9"/>
        <v>9.6900406240485459E-4</v>
      </c>
      <c r="AB62" s="843"/>
    </row>
    <row r="63" spans="1:29" ht="14.4" x14ac:dyDescent="0.55000000000000004">
      <c r="A63" s="841" t="s">
        <v>5222</v>
      </c>
      <c r="B63" s="842">
        <v>144.19</v>
      </c>
      <c r="C63" s="843">
        <f t="shared" si="2"/>
        <v>1.9442873303167518E-2</v>
      </c>
      <c r="D63" s="856">
        <v>46.82</v>
      </c>
      <c r="E63" s="843">
        <f t="shared" si="2"/>
        <v>9.4868477792151573E-3</v>
      </c>
      <c r="F63" s="842">
        <v>35.97</v>
      </c>
      <c r="G63" s="843">
        <f t="shared" si="2"/>
        <v>2.771428571428558E-2</v>
      </c>
      <c r="H63" s="842">
        <v>40.880000000000003</v>
      </c>
      <c r="I63" s="843">
        <f t="shared" si="2"/>
        <v>1.2884043607532369E-2</v>
      </c>
      <c r="J63" s="842">
        <v>73.34</v>
      </c>
      <c r="K63" s="843">
        <f t="shared" si="3"/>
        <v>7.2792198873781189E-3</v>
      </c>
      <c r="L63" s="842">
        <v>75.010000000000005</v>
      </c>
      <c r="M63" s="843">
        <f t="shared" si="4"/>
        <v>2.2213137094576396E-2</v>
      </c>
      <c r="N63" s="842">
        <v>64.42</v>
      </c>
      <c r="O63" s="843">
        <f t="shared" si="5"/>
        <v>7.5070378479824562E-3</v>
      </c>
      <c r="P63" s="844">
        <f t="shared" si="10"/>
        <v>1.5218206462019657E-2</v>
      </c>
      <c r="Q63" s="830"/>
      <c r="R63" s="845">
        <v>1031.92</v>
      </c>
      <c r="S63" s="846">
        <f t="shared" si="6"/>
        <v>1.9784563692064605E-2</v>
      </c>
      <c r="T63" s="845">
        <v>79.180000000000007</v>
      </c>
      <c r="U63" s="846">
        <f t="shared" si="7"/>
        <v>1.917878748873747E-2</v>
      </c>
      <c r="V63" s="845">
        <v>150.26050000000001</v>
      </c>
      <c r="W63" s="846">
        <f t="shared" si="7"/>
        <v>1.9443032890599232E-2</v>
      </c>
      <c r="X63" s="845">
        <v>43988.99</v>
      </c>
      <c r="Y63" s="846">
        <f t="shared" si="8"/>
        <v>5.9376610760648596E-3</v>
      </c>
      <c r="Z63" s="845">
        <v>5995.5373</v>
      </c>
      <c r="AA63" s="846">
        <f t="shared" si="9"/>
        <v>3.7558534063166782E-3</v>
      </c>
      <c r="AB63" s="843"/>
    </row>
    <row r="64" spans="1:29" ht="14.4" x14ac:dyDescent="0.55000000000000004">
      <c r="A64" s="841" t="s">
        <v>5223</v>
      </c>
      <c r="B64" s="842">
        <v>141.44</v>
      </c>
      <c r="C64" s="843">
        <f t="shared" si="2"/>
        <v>1.8433179723502224E-2</v>
      </c>
      <c r="D64" s="842">
        <v>46.38</v>
      </c>
      <c r="E64" s="843">
        <f t="shared" si="2"/>
        <v>-1.1930123561993966E-2</v>
      </c>
      <c r="F64" s="842">
        <v>35</v>
      </c>
      <c r="G64" s="843">
        <f t="shared" si="2"/>
        <v>-4.55062571103515E-3</v>
      </c>
      <c r="H64" s="842">
        <v>40.36</v>
      </c>
      <c r="I64" s="843">
        <f t="shared" si="2"/>
        <v>-1.3444145685651332E-2</v>
      </c>
      <c r="J64" s="842">
        <v>72.81</v>
      </c>
      <c r="K64" s="843">
        <f t="shared" si="3"/>
        <v>-2.0581113801452777E-2</v>
      </c>
      <c r="L64" s="842">
        <v>73.38</v>
      </c>
      <c r="M64" s="843">
        <f t="shared" si="4"/>
        <v>-3.6659877800409024E-3</v>
      </c>
      <c r="N64" s="842">
        <v>63.94</v>
      </c>
      <c r="O64" s="843">
        <f t="shared" si="5"/>
        <v>-1.7667844522968323E-2</v>
      </c>
      <c r="P64" s="844">
        <f t="shared" si="10"/>
        <v>-7.6295230485200326E-3</v>
      </c>
      <c r="Q64" s="830"/>
      <c r="R64" s="845">
        <v>1011.9</v>
      </c>
      <c r="S64" s="846">
        <f t="shared" si="6"/>
        <v>-1.7165857700959242E-3</v>
      </c>
      <c r="T64" s="845">
        <v>77.69</v>
      </c>
      <c r="U64" s="846">
        <f t="shared" si="7"/>
        <v>1.8052869116698123E-3</v>
      </c>
      <c r="V64" s="845">
        <v>147.3947</v>
      </c>
      <c r="W64" s="846">
        <f t="shared" si="7"/>
        <v>1.8432635237378037E-2</v>
      </c>
      <c r="X64" s="845">
        <v>43729.34</v>
      </c>
      <c r="Y64" s="846">
        <f t="shared" si="8"/>
        <v>-1.3491903600226784E-5</v>
      </c>
      <c r="Z64" s="845">
        <v>5973.1031999999996</v>
      </c>
      <c r="AA64" s="846">
        <f t="shared" si="9"/>
        <v>7.4310459685895669E-3</v>
      </c>
      <c r="AB64" s="843"/>
    </row>
    <row r="65" spans="1:29" ht="14.4" x14ac:dyDescent="0.55000000000000004">
      <c r="A65" s="841" t="s">
        <v>5224</v>
      </c>
      <c r="B65" s="842">
        <v>138.88</v>
      </c>
      <c r="C65" s="843">
        <f t="shared" si="2"/>
        <v>6.5226844470214207E-3</v>
      </c>
      <c r="D65" s="856">
        <v>46.94</v>
      </c>
      <c r="E65" s="843">
        <f t="shared" si="2"/>
        <v>2.7358284088421891E-2</v>
      </c>
      <c r="F65" s="842">
        <v>35.159999999999997</v>
      </c>
      <c r="G65" s="843">
        <f t="shared" si="2"/>
        <v>-1.9869429463525989E-3</v>
      </c>
      <c r="H65" s="842">
        <v>40.909999999999997</v>
      </c>
      <c r="I65" s="843">
        <f t="shared" si="2"/>
        <v>4.6291560102301732E-2</v>
      </c>
      <c r="J65" s="842">
        <v>74.34</v>
      </c>
      <c r="K65" s="843">
        <f t="shared" si="3"/>
        <v>5.4019566142067266E-2</v>
      </c>
      <c r="L65" s="842">
        <v>73.650000000000006</v>
      </c>
      <c r="M65" s="843">
        <f t="shared" si="4"/>
        <v>2.7162841233208113E-4</v>
      </c>
      <c r="N65" s="842">
        <v>65.09</v>
      </c>
      <c r="O65" s="843">
        <f t="shared" si="5"/>
        <v>3.6464968152866373E-2</v>
      </c>
      <c r="P65" s="844">
        <f t="shared" si="10"/>
        <v>2.4134535485522596E-2</v>
      </c>
      <c r="Q65" s="830"/>
      <c r="R65" s="845">
        <v>1013.64</v>
      </c>
      <c r="S65" s="846">
        <f t="shared" si="6"/>
        <v>-9.3045076038937857E-3</v>
      </c>
      <c r="T65" s="845">
        <v>77.55</v>
      </c>
      <c r="U65" s="846">
        <f t="shared" si="7"/>
        <v>-1.0336906584992422E-2</v>
      </c>
      <c r="V65" s="845">
        <v>144.727</v>
      </c>
      <c r="W65" s="846">
        <f t="shared" si="7"/>
        <v>6.5227475517963818E-3</v>
      </c>
      <c r="X65" s="845">
        <v>43729.93</v>
      </c>
      <c r="Y65" s="846">
        <f t="shared" si="8"/>
        <v>3.5717263182027947E-2</v>
      </c>
      <c r="Z65" s="845">
        <v>5929.0442000000003</v>
      </c>
      <c r="AA65" s="846">
        <f t="shared" si="9"/>
        <v>2.5297350443191924E-2</v>
      </c>
      <c r="AB65" s="843"/>
    </row>
    <row r="66" spans="1:29" ht="14.4" x14ac:dyDescent="0.55000000000000004">
      <c r="A66" s="841" t="s">
        <v>5225</v>
      </c>
      <c r="B66" s="842">
        <v>137.97999999999999</v>
      </c>
      <c r="C66" s="843">
        <f t="shared" si="2"/>
        <v>2.2517614585604306E-3</v>
      </c>
      <c r="D66" s="842">
        <v>45.69</v>
      </c>
      <c r="E66" s="843">
        <f t="shared" si="2"/>
        <v>1.1512065530218996E-2</v>
      </c>
      <c r="F66" s="842">
        <v>35.229999999999997</v>
      </c>
      <c r="G66" s="843">
        <f t="shared" si="2"/>
        <v>1.4104778353482894E-2</v>
      </c>
      <c r="H66" s="842">
        <v>39.1</v>
      </c>
      <c r="I66" s="843">
        <f t="shared" si="2"/>
        <v>1.7699115044247815E-2</v>
      </c>
      <c r="J66" s="842">
        <v>70.53</v>
      </c>
      <c r="K66" s="843">
        <f t="shared" si="3"/>
        <v>8.0034300414464354E-3</v>
      </c>
      <c r="L66" s="842">
        <v>73.63</v>
      </c>
      <c r="M66" s="843">
        <f t="shared" si="4"/>
        <v>2.4916481069042096E-2</v>
      </c>
      <c r="N66" s="842">
        <v>62.8</v>
      </c>
      <c r="O66" s="843">
        <f t="shared" si="5"/>
        <v>8.9974293059125188E-3</v>
      </c>
      <c r="P66" s="844">
        <f t="shared" si="10"/>
        <v>1.2497865828987311E-2</v>
      </c>
      <c r="Q66" s="830"/>
      <c r="R66" s="845">
        <v>1023.16</v>
      </c>
      <c r="S66" s="846">
        <f t="shared" si="6"/>
        <v>1.1677460819696339E-2</v>
      </c>
      <c r="T66" s="845">
        <v>78.36</v>
      </c>
      <c r="U66" s="846">
        <f t="shared" si="7"/>
        <v>1.5025906735751215E-2</v>
      </c>
      <c r="V66" s="845">
        <v>143.78909999999999</v>
      </c>
      <c r="W66" s="846">
        <f t="shared" si="7"/>
        <v>2.2521015432226399E-3</v>
      </c>
      <c r="X66" s="845">
        <v>42221.88</v>
      </c>
      <c r="Y66" s="846">
        <f t="shared" si="8"/>
        <v>1.0223330286687649E-2</v>
      </c>
      <c r="Z66" s="845">
        <v>5782.7557999999999</v>
      </c>
      <c r="AA66" s="846">
        <f t="shared" si="9"/>
        <v>1.2265241217519263E-2</v>
      </c>
      <c r="AB66" s="843"/>
    </row>
    <row r="67" spans="1:29" ht="14.4" x14ac:dyDescent="0.55000000000000004">
      <c r="A67" s="841" t="s">
        <v>5226</v>
      </c>
      <c r="B67" s="842">
        <v>137.66999999999999</v>
      </c>
      <c r="C67" s="843">
        <f t="shared" si="2"/>
        <v>-5.2745664739886067E-3</v>
      </c>
      <c r="D67" s="856">
        <v>45.17</v>
      </c>
      <c r="E67" s="843">
        <f t="shared" si="2"/>
        <v>-1.3265531726729396E-3</v>
      </c>
      <c r="F67" s="842">
        <v>34.74</v>
      </c>
      <c r="G67" s="843">
        <f t="shared" si="2"/>
        <v>7.2484778196577615E-3</v>
      </c>
      <c r="H67" s="842">
        <v>38.42</v>
      </c>
      <c r="I67" s="843">
        <f t="shared" si="2"/>
        <v>-2.337055310308922E-3</v>
      </c>
      <c r="J67" s="842">
        <v>69.97</v>
      </c>
      <c r="K67" s="843">
        <f t="shared" si="3"/>
        <v>-9.9942889777282495E-4</v>
      </c>
      <c r="L67" s="842">
        <v>71.84</v>
      </c>
      <c r="M67" s="843">
        <f t="shared" si="4"/>
        <v>-2.9146426092989675E-3</v>
      </c>
      <c r="N67" s="842">
        <v>62.24</v>
      </c>
      <c r="O67" s="843">
        <f t="shared" si="5"/>
        <v>-4.3193089105741933E-3</v>
      </c>
      <c r="P67" s="844">
        <f t="shared" si="10"/>
        <v>-1.4175825078512419E-3</v>
      </c>
      <c r="Q67" s="830"/>
      <c r="R67" s="845">
        <v>1011.35</v>
      </c>
      <c r="S67" s="846">
        <f t="shared" si="6"/>
        <v>-7.5268395124726828E-3</v>
      </c>
      <c r="T67" s="845">
        <v>77.2</v>
      </c>
      <c r="U67" s="846">
        <f t="shared" si="7"/>
        <v>-1.1903238192755516E-2</v>
      </c>
      <c r="V67" s="845">
        <v>143.46600000000001</v>
      </c>
      <c r="W67" s="846">
        <f t="shared" si="7"/>
        <v>-5.2750251686926042E-3</v>
      </c>
      <c r="X67" s="845">
        <v>41794.6</v>
      </c>
      <c r="Y67" s="846">
        <f t="shared" si="8"/>
        <v>-6.125483595503689E-3</v>
      </c>
      <c r="Z67" s="845">
        <v>5712.6882999999998</v>
      </c>
      <c r="AA67" s="846">
        <f t="shared" si="9"/>
        <v>-2.8126476857794902E-3</v>
      </c>
      <c r="AB67" s="843"/>
    </row>
    <row r="68" spans="1:29" ht="14.4" x14ac:dyDescent="0.55000000000000004">
      <c r="A68" s="841" t="s">
        <v>5227</v>
      </c>
      <c r="B68" s="842">
        <v>138.4</v>
      </c>
      <c r="C68" s="843">
        <f t="shared" si="2"/>
        <v>-2.7381467070182186E-3</v>
      </c>
      <c r="D68" s="842">
        <v>45.23</v>
      </c>
      <c r="E68" s="843">
        <f t="shared" si="2"/>
        <v>-1.4382218348224063E-2</v>
      </c>
      <c r="F68" s="842">
        <v>34.49</v>
      </c>
      <c r="G68" s="843">
        <f t="shared" si="2"/>
        <v>-1.9055745164960003E-2</v>
      </c>
      <c r="H68" s="842">
        <v>38.51</v>
      </c>
      <c r="I68" s="843">
        <f t="shared" si="2"/>
        <v>-9.7711493957316486E-3</v>
      </c>
      <c r="J68" s="842">
        <v>70.040000000000006</v>
      </c>
      <c r="K68" s="843">
        <f t="shared" si="3"/>
        <v>-1.7258313455871921E-2</v>
      </c>
      <c r="L68" s="842">
        <v>72.05</v>
      </c>
      <c r="M68" s="843">
        <f t="shared" si="4"/>
        <v>-1.6382252559727029E-2</v>
      </c>
      <c r="N68" s="842">
        <v>62.51</v>
      </c>
      <c r="O68" s="843">
        <f t="shared" si="5"/>
        <v>-2.1139993736298157E-2</v>
      </c>
      <c r="P68" s="844">
        <f t="shared" si="10"/>
        <v>-1.4389688481118721E-2</v>
      </c>
      <c r="Q68" s="830"/>
      <c r="R68" s="845">
        <v>1019.02</v>
      </c>
      <c r="S68" s="846">
        <f t="shared" si="6"/>
        <v>-1.7253184943727184E-2</v>
      </c>
      <c r="T68" s="845">
        <v>78.13</v>
      </c>
      <c r="U68" s="846">
        <f t="shared" si="7"/>
        <v>-2.2275059441872136E-2</v>
      </c>
      <c r="V68" s="845">
        <v>144.2268</v>
      </c>
      <c r="W68" s="846">
        <f t="shared" si="7"/>
        <v>-2.7381574689469002E-3</v>
      </c>
      <c r="X68" s="845">
        <v>42052.19</v>
      </c>
      <c r="Y68" s="846">
        <f t="shared" si="8"/>
        <v>6.9134597564475264E-3</v>
      </c>
      <c r="Z68" s="845">
        <v>5728.8014000000003</v>
      </c>
      <c r="AA68" s="846">
        <f t="shared" si="9"/>
        <v>4.093193104085735E-3</v>
      </c>
      <c r="AB68" s="843"/>
      <c r="AC68" s="832"/>
    </row>
    <row r="69" spans="1:29" ht="14.25" customHeight="1" x14ac:dyDescent="0.55000000000000004">
      <c r="A69" s="841" t="s">
        <v>5228</v>
      </c>
      <c r="B69" s="842">
        <v>138.78</v>
      </c>
      <c r="C69" s="843">
        <f t="shared" si="2"/>
        <v>-6.0163300386764096E-3</v>
      </c>
      <c r="D69" s="842">
        <v>45.89</v>
      </c>
      <c r="E69" s="843">
        <f t="shared" si="2"/>
        <v>-8.2126647936028307E-3</v>
      </c>
      <c r="F69" s="842">
        <v>35.159999999999997</v>
      </c>
      <c r="G69" s="843">
        <f t="shared" si="2"/>
        <v>8.5397096498707192E-4</v>
      </c>
      <c r="H69" s="842">
        <v>38.89</v>
      </c>
      <c r="I69" s="843">
        <f t="shared" si="2"/>
        <v>-2.7749999999999941E-2</v>
      </c>
      <c r="J69" s="842">
        <v>71.27</v>
      </c>
      <c r="K69" s="843">
        <f t="shared" si="3"/>
        <v>-1.2880886426592908E-2</v>
      </c>
      <c r="L69" s="842">
        <v>73.25</v>
      </c>
      <c r="M69" s="843">
        <f t="shared" si="4"/>
        <v>-4.6201929610001358E-3</v>
      </c>
      <c r="N69" s="842">
        <v>63.86</v>
      </c>
      <c r="O69" s="843">
        <f t="shared" si="5"/>
        <v>-9.6153846153846922E-3</v>
      </c>
      <c r="P69" s="844">
        <f t="shared" si="10"/>
        <v>-9.7487839814671216E-3</v>
      </c>
      <c r="Q69" s="830"/>
      <c r="R69" s="845">
        <v>1036.9100000000001</v>
      </c>
      <c r="S69" s="846">
        <f t="shared" si="6"/>
        <v>7.4618889849693559E-3</v>
      </c>
      <c r="T69" s="845">
        <v>79.91</v>
      </c>
      <c r="U69" s="846">
        <f t="shared" si="7"/>
        <v>1.0367935263623673E-2</v>
      </c>
      <c r="V69" s="845">
        <v>144.62280000000001</v>
      </c>
      <c r="W69" s="846">
        <f t="shared" si="7"/>
        <v>-6.0158861181003331E-3</v>
      </c>
      <c r="X69" s="845">
        <v>41763.46</v>
      </c>
      <c r="Y69" s="846">
        <f t="shared" si="8"/>
        <v>-8.9716702332188758E-3</v>
      </c>
      <c r="Z69" s="845">
        <v>5705.4479000000001</v>
      </c>
      <c r="AA69" s="846">
        <f t="shared" si="9"/>
        <v>-1.861505823077636E-2</v>
      </c>
      <c r="AB69" s="843"/>
      <c r="AC69" s="832"/>
    </row>
    <row r="70" spans="1:29" ht="14.4" x14ac:dyDescent="0.55000000000000004">
      <c r="A70" s="841" t="s">
        <v>5229</v>
      </c>
      <c r="B70" s="842">
        <v>139.62</v>
      </c>
      <c r="C70" s="843">
        <f t="shared" si="2"/>
        <v>-5.9095763616944241E-3</v>
      </c>
      <c r="D70" s="842">
        <v>46.27</v>
      </c>
      <c r="E70" s="843">
        <f t="shared" si="2"/>
        <v>3.0349013657056112E-3</v>
      </c>
      <c r="F70" s="842">
        <v>35.130000000000003</v>
      </c>
      <c r="G70" s="843">
        <f t="shared" si="2"/>
        <v>2.0627542126670617E-2</v>
      </c>
      <c r="H70" s="842">
        <v>40</v>
      </c>
      <c r="I70" s="843">
        <f t="shared" si="2"/>
        <v>0</v>
      </c>
      <c r="J70" s="842">
        <v>72.2</v>
      </c>
      <c r="K70" s="843">
        <f t="shared" si="3"/>
        <v>-9.3304061470910193E-3</v>
      </c>
      <c r="L70" s="842">
        <v>73.59</v>
      </c>
      <c r="M70" s="843">
        <f t="shared" si="4"/>
        <v>6.7031463748290498E-3</v>
      </c>
      <c r="N70" s="842">
        <v>64.48</v>
      </c>
      <c r="O70" s="843">
        <f t="shared" si="5"/>
        <v>-4.6504417919701613E-4</v>
      </c>
      <c r="P70" s="844">
        <f t="shared" si="10"/>
        <v>2.0943661684604026E-3</v>
      </c>
      <c r="Q70" s="830"/>
      <c r="R70" s="845">
        <v>1029.23</v>
      </c>
      <c r="S70" s="846">
        <f t="shared" si="6"/>
        <v>-2.6164565425950137E-3</v>
      </c>
      <c r="T70" s="845">
        <v>79.09</v>
      </c>
      <c r="U70" s="846">
        <f t="shared" si="7"/>
        <v>-2.3965691220988461E-3</v>
      </c>
      <c r="V70" s="845">
        <v>145.49809999999999</v>
      </c>
      <c r="W70" s="846">
        <f t="shared" si="7"/>
        <v>-5.9099595458145249E-3</v>
      </c>
      <c r="X70" s="845">
        <v>42141.54</v>
      </c>
      <c r="Y70" s="846">
        <f t="shared" si="8"/>
        <v>-2.1667864385831459E-3</v>
      </c>
      <c r="Z70" s="845">
        <v>5813.6697000000004</v>
      </c>
      <c r="AA70" s="846">
        <f t="shared" si="9"/>
        <v>-3.2997726523452675E-3</v>
      </c>
      <c r="AB70" s="843"/>
      <c r="AC70" s="832"/>
    </row>
    <row r="71" spans="1:29" ht="14.4" x14ac:dyDescent="0.55000000000000004">
      <c r="A71" s="841" t="s">
        <v>5230</v>
      </c>
      <c r="B71" s="842">
        <v>140.44999999999999</v>
      </c>
      <c r="C71" s="843">
        <f t="shared" si="2"/>
        <v>-7.3503427804086918E-3</v>
      </c>
      <c r="D71" s="856">
        <v>46.13</v>
      </c>
      <c r="E71" s="843">
        <f t="shared" si="2"/>
        <v>-5.6046561758998914E-3</v>
      </c>
      <c r="F71" s="842">
        <v>34.42</v>
      </c>
      <c r="G71" s="843">
        <f t="shared" si="2"/>
        <v>-2.0489470688673794E-2</v>
      </c>
      <c r="H71" s="842">
        <v>40</v>
      </c>
      <c r="I71" s="843">
        <f t="shared" ref="I71" si="11">IFERROR(((H71/H72)-1), "NA")</f>
        <v>-1.0146003464488906E-2</v>
      </c>
      <c r="J71" s="842">
        <v>72.88</v>
      </c>
      <c r="K71" s="843">
        <f t="shared" si="3"/>
        <v>-1.0991993486226148E-2</v>
      </c>
      <c r="L71" s="842">
        <v>73.099999999999994</v>
      </c>
      <c r="M71" s="843">
        <f t="shared" si="4"/>
        <v>-2.1419009370816755E-2</v>
      </c>
      <c r="N71" s="842">
        <v>64.510000000000005</v>
      </c>
      <c r="O71" s="843">
        <f t="shared" si="5"/>
        <v>-1.1643940554619148E-2</v>
      </c>
      <c r="P71" s="844">
        <f t="shared" si="10"/>
        <v>-1.2520773788733333E-2</v>
      </c>
      <c r="Q71" s="830"/>
      <c r="R71" s="845">
        <v>1031.93</v>
      </c>
      <c r="S71" s="846">
        <f t="shared" si="6"/>
        <v>-2.021420026205345E-2</v>
      </c>
      <c r="T71" s="845">
        <v>79.28</v>
      </c>
      <c r="U71" s="846">
        <f t="shared" si="7"/>
        <v>-2.1355388223676108E-2</v>
      </c>
      <c r="V71" s="845">
        <v>146.3631</v>
      </c>
      <c r="W71" s="846">
        <f t="shared" si="7"/>
        <v>-7.3504427695665342E-3</v>
      </c>
      <c r="X71" s="845">
        <v>42233.05</v>
      </c>
      <c r="Y71" s="846">
        <f t="shared" si="8"/>
        <v>-3.6454083119177305E-3</v>
      </c>
      <c r="Z71" s="845">
        <v>5832.9170000000004</v>
      </c>
      <c r="AA71" s="846">
        <f t="shared" si="9"/>
        <v>1.6140244581037688E-3</v>
      </c>
      <c r="AB71" s="843"/>
      <c r="AC71" s="832"/>
    </row>
    <row r="72" spans="1:29" ht="14.4" x14ac:dyDescent="0.55000000000000004">
      <c r="A72" s="841" t="s">
        <v>5231</v>
      </c>
      <c r="B72" s="842">
        <v>141.49</v>
      </c>
      <c r="C72" s="843">
        <f t="shared" ref="C72:C135" si="12">IFERROR(((B72/B73)-1), "NA")</f>
        <v>5.4718590108016052E-3</v>
      </c>
      <c r="D72" s="842">
        <v>46.39</v>
      </c>
      <c r="E72" s="843">
        <f t="shared" ref="E72:I135" si="13">IFERROR(((D72/D73)-1), "NA")</f>
        <v>8.4782608695652684E-3</v>
      </c>
      <c r="F72" s="842">
        <v>35.14</v>
      </c>
      <c r="G72" s="843">
        <f t="shared" si="13"/>
        <v>9.1901206203330865E-3</v>
      </c>
      <c r="H72" s="842">
        <v>40.409999999999997</v>
      </c>
      <c r="I72" s="843">
        <f t="shared" si="13"/>
        <v>1.1261261261261257E-2</v>
      </c>
      <c r="J72" s="842">
        <v>73.69</v>
      </c>
      <c r="K72" s="843">
        <f t="shared" ref="K72:K135" si="14">IFERROR(((J72/J73)-1), "NA")</f>
        <v>8.623049548316386E-3</v>
      </c>
      <c r="L72" s="842">
        <v>74.7</v>
      </c>
      <c r="M72" s="843">
        <f t="shared" ref="M72:M135" si="15">IFERROR(((L72/L73)-1), "NA")</f>
        <v>1.5497553017944643E-2</v>
      </c>
      <c r="N72" s="842">
        <v>65.27</v>
      </c>
      <c r="O72" s="843">
        <f t="shared" ref="O72:O135" si="16">IFERROR(((N72/N73)-1), "NA")</f>
        <v>6.7869813358012454E-3</v>
      </c>
      <c r="P72" s="844">
        <f t="shared" si="10"/>
        <v>9.3298693805747845E-3</v>
      </c>
      <c r="Q72" s="830"/>
      <c r="R72" s="845">
        <v>1053.22</v>
      </c>
      <c r="S72" s="846">
        <f t="shared" ref="S72:S135" si="17">IFERROR(((R72/R73)-1), "NA")</f>
        <v>5.9503911212142047E-3</v>
      </c>
      <c r="T72" s="845">
        <v>81.010000000000005</v>
      </c>
      <c r="U72" s="846">
        <f t="shared" ref="U72:U135" si="18">IFERROR(((T72/T73)-1), "NA")</f>
        <v>7.8377705896990335E-3</v>
      </c>
      <c r="V72" s="845">
        <v>147.4469</v>
      </c>
      <c r="W72" s="846">
        <f t="shared" ref="W72:W135" si="19">IFERROR(((V72/V73)-1), "NA")</f>
        <v>5.472421722207077E-3</v>
      </c>
      <c r="X72" s="845">
        <v>42387.57</v>
      </c>
      <c r="Y72" s="846">
        <f t="shared" ref="Y72:Y135" si="20">IFERROR(((X72/X73)-1), "NA")</f>
        <v>6.4863799555496815E-3</v>
      </c>
      <c r="Z72" s="845">
        <v>5823.5177000000003</v>
      </c>
      <c r="AA72" s="846">
        <f t="shared" ref="AA72:AA135" si="21">IFERROR(((Z72/Z73)-1), "NA")</f>
        <v>2.651582259792562E-3</v>
      </c>
      <c r="AB72" s="843"/>
      <c r="AC72" s="832"/>
    </row>
    <row r="73" spans="1:29" ht="14.4" x14ac:dyDescent="0.55000000000000004">
      <c r="A73" s="841" t="s">
        <v>5232</v>
      </c>
      <c r="B73" s="842">
        <v>140.72</v>
      </c>
      <c r="C73" s="843">
        <f t="shared" si="12"/>
        <v>-1.3667904955491639E-2</v>
      </c>
      <c r="D73" s="856">
        <v>46</v>
      </c>
      <c r="E73" s="843">
        <f t="shared" si="13"/>
        <v>-9.0478242137009834E-3</v>
      </c>
      <c r="F73" s="842">
        <v>34.82</v>
      </c>
      <c r="G73" s="843">
        <f t="shared" si="13"/>
        <v>-1.247872943845707E-2</v>
      </c>
      <c r="H73" s="842">
        <v>39.96</v>
      </c>
      <c r="I73" s="843">
        <f t="shared" si="13"/>
        <v>-9.1743119266054496E-3</v>
      </c>
      <c r="J73" s="842">
        <v>73.06</v>
      </c>
      <c r="K73" s="843">
        <f t="shared" si="14"/>
        <v>-7.3369565217390464E-3</v>
      </c>
      <c r="L73" s="842">
        <v>73.56</v>
      </c>
      <c r="M73" s="843">
        <f t="shared" si="15"/>
        <v>-1.0891488503428803E-2</v>
      </c>
      <c r="N73" s="842">
        <v>64.83</v>
      </c>
      <c r="O73" s="843">
        <f t="shared" si="16"/>
        <v>-1.2039012496190327E-2</v>
      </c>
      <c r="P73" s="844">
        <f t="shared" ref="P73:P136" si="22">IFERROR(AVERAGE(C73,E73,G73,I73,M73,K73,O73),"NA")</f>
        <v>-1.0662318293659045E-2</v>
      </c>
      <c r="Q73" s="830"/>
      <c r="R73" s="845">
        <v>1046.99</v>
      </c>
      <c r="S73" s="846">
        <f t="shared" si="17"/>
        <v>-1.5505698273592383E-2</v>
      </c>
      <c r="T73" s="845">
        <v>80.38</v>
      </c>
      <c r="U73" s="846">
        <f t="shared" si="18"/>
        <v>-1.4830248805000723E-2</v>
      </c>
      <c r="V73" s="845">
        <v>146.64439999999999</v>
      </c>
      <c r="W73" s="846">
        <f t="shared" si="19"/>
        <v>-1.366793003601785E-2</v>
      </c>
      <c r="X73" s="845">
        <v>42114.400000000001</v>
      </c>
      <c r="Y73" s="846">
        <f t="shared" si="20"/>
        <v>-6.1348419185563996E-3</v>
      </c>
      <c r="Z73" s="845">
        <v>5808.1170000000002</v>
      </c>
      <c r="AA73" s="846">
        <f t="shared" si="21"/>
        <v>-2.998695734313106E-4</v>
      </c>
      <c r="AB73" s="843"/>
      <c r="AC73" s="832"/>
    </row>
    <row r="74" spans="1:29" ht="14.4" x14ac:dyDescent="0.55000000000000004">
      <c r="A74" s="841" t="s">
        <v>5233</v>
      </c>
      <c r="B74" s="842">
        <v>142.66999999999999</v>
      </c>
      <c r="C74" s="843">
        <f t="shared" si="12"/>
        <v>-3.0745580322830701E-3</v>
      </c>
      <c r="D74" s="842">
        <v>46.42</v>
      </c>
      <c r="E74" s="843">
        <f t="shared" si="13"/>
        <v>-7.2711719418305787E-3</v>
      </c>
      <c r="F74" s="842">
        <v>35.26</v>
      </c>
      <c r="G74" s="843">
        <f t="shared" si="13"/>
        <v>-1.4160294534127926E-3</v>
      </c>
      <c r="H74" s="842">
        <v>40.33</v>
      </c>
      <c r="I74" s="843">
        <f t="shared" si="13"/>
        <v>-5.6706114398422658E-3</v>
      </c>
      <c r="J74" s="842">
        <v>73.599999999999994</v>
      </c>
      <c r="K74" s="843">
        <f t="shared" si="14"/>
        <v>-2.1691973969633072E-3</v>
      </c>
      <c r="L74" s="842">
        <v>74.37</v>
      </c>
      <c r="M74" s="843">
        <f t="shared" si="15"/>
        <v>9.4212651413205784E-4</v>
      </c>
      <c r="N74" s="842">
        <v>65.62</v>
      </c>
      <c r="O74" s="843">
        <f t="shared" si="16"/>
        <v>-3.1900349384778037E-3</v>
      </c>
      <c r="P74" s="844">
        <f t="shared" si="22"/>
        <v>-3.1213538126682516E-3</v>
      </c>
      <c r="Q74" s="830"/>
      <c r="R74" s="845">
        <v>1063.48</v>
      </c>
      <c r="S74" s="846">
        <f t="shared" si="17"/>
        <v>-7.271742884613519E-3</v>
      </c>
      <c r="T74" s="845">
        <v>81.59</v>
      </c>
      <c r="U74" s="846">
        <f t="shared" si="18"/>
        <v>-6.4539698002922252E-3</v>
      </c>
      <c r="V74" s="845">
        <v>148.6765</v>
      </c>
      <c r="W74" s="846">
        <f t="shared" si="19"/>
        <v>-3.0750641532408807E-3</v>
      </c>
      <c r="X74" s="845">
        <v>42374.36</v>
      </c>
      <c r="Y74" s="846">
        <f t="shared" si="20"/>
        <v>-3.3068367715355373E-3</v>
      </c>
      <c r="Z74" s="845">
        <v>5809.8591999999999</v>
      </c>
      <c r="AA74" s="846">
        <f t="shared" si="21"/>
        <v>2.1451946594337468E-3</v>
      </c>
      <c r="AB74" s="843"/>
      <c r="AC74" s="832"/>
    </row>
    <row r="75" spans="1:29" ht="14.4" x14ac:dyDescent="0.55000000000000004">
      <c r="A75" s="841" t="s">
        <v>5234</v>
      </c>
      <c r="B75" s="842">
        <v>143.11000000000001</v>
      </c>
      <c r="C75" s="843">
        <f t="shared" si="12"/>
        <v>8.3850056369787485E-3</v>
      </c>
      <c r="D75" s="842">
        <v>46.76</v>
      </c>
      <c r="E75" s="843">
        <f t="shared" si="13"/>
        <v>-8.5470085470085166E-4</v>
      </c>
      <c r="F75" s="842">
        <v>35.31</v>
      </c>
      <c r="G75" s="843">
        <f t="shared" si="13"/>
        <v>1.5530629853321765E-2</v>
      </c>
      <c r="H75" s="842">
        <v>40.56</v>
      </c>
      <c r="I75" s="843">
        <f t="shared" si="13"/>
        <v>2.466091245376667E-4</v>
      </c>
      <c r="J75" s="842">
        <v>73.760000000000005</v>
      </c>
      <c r="K75" s="843">
        <f t="shared" si="14"/>
        <v>8.141112618724744E-4</v>
      </c>
      <c r="L75" s="842">
        <v>74.3</v>
      </c>
      <c r="M75" s="843">
        <f t="shared" si="15"/>
        <v>3.3760972316003723E-3</v>
      </c>
      <c r="N75" s="842">
        <v>65.83</v>
      </c>
      <c r="O75" s="843">
        <f t="shared" si="16"/>
        <v>-8.4350052718783486E-3</v>
      </c>
      <c r="P75" s="844">
        <f t="shared" si="22"/>
        <v>2.7232495688188324E-3</v>
      </c>
      <c r="Q75" s="830"/>
      <c r="R75" s="845">
        <v>1071.27</v>
      </c>
      <c r="S75" s="846">
        <f t="shared" si="17"/>
        <v>9.9079904973793376E-3</v>
      </c>
      <c r="T75" s="845">
        <v>82.12</v>
      </c>
      <c r="U75" s="846">
        <f t="shared" si="18"/>
        <v>9.589377919842601E-3</v>
      </c>
      <c r="V75" s="845">
        <v>149.13509999999999</v>
      </c>
      <c r="W75" s="846">
        <f t="shared" si="19"/>
        <v>8.3850028736602855E-3</v>
      </c>
      <c r="X75" s="845">
        <v>42514.95</v>
      </c>
      <c r="Y75" s="846">
        <f t="shared" si="20"/>
        <v>-9.5501700761493336E-3</v>
      </c>
      <c r="Z75" s="845">
        <v>5797.4225999999999</v>
      </c>
      <c r="AA75" s="846">
        <f t="shared" si="21"/>
        <v>-9.1912390519938159E-3</v>
      </c>
      <c r="AB75" s="843"/>
      <c r="AC75" s="832"/>
    </row>
    <row r="76" spans="1:29" ht="14.4" x14ac:dyDescent="0.55000000000000004">
      <c r="A76" s="841" t="s">
        <v>5235</v>
      </c>
      <c r="B76" s="842">
        <v>141.91999999999999</v>
      </c>
      <c r="C76" s="843">
        <f t="shared" si="12"/>
        <v>-2.0392377469939937E-3</v>
      </c>
      <c r="D76" s="842">
        <v>46.8</v>
      </c>
      <c r="E76" s="843">
        <f t="shared" si="13"/>
        <v>4.0763784595578834E-3</v>
      </c>
      <c r="F76" s="842">
        <v>34.770000000000003</v>
      </c>
      <c r="G76" s="843">
        <f t="shared" si="13"/>
        <v>-4.5805897509303417E-3</v>
      </c>
      <c r="H76" s="842">
        <v>40.549999999999997</v>
      </c>
      <c r="I76" s="843">
        <f t="shared" si="13"/>
        <v>1.4818473697209011E-3</v>
      </c>
      <c r="J76" s="842">
        <v>73.7</v>
      </c>
      <c r="K76" s="843">
        <f t="shared" si="14"/>
        <v>-2.3013401922296062E-3</v>
      </c>
      <c r="L76" s="842">
        <v>74.05</v>
      </c>
      <c r="M76" s="843">
        <f t="shared" si="15"/>
        <v>5.4310930074676911E-3</v>
      </c>
      <c r="N76" s="842">
        <v>66.39</v>
      </c>
      <c r="O76" s="843">
        <f t="shared" si="16"/>
        <v>2.1132075471699263E-3</v>
      </c>
      <c r="P76" s="844">
        <f t="shared" si="22"/>
        <v>5.9733695625178009E-4</v>
      </c>
      <c r="Q76" s="830"/>
      <c r="R76" s="845">
        <v>1060.76</v>
      </c>
      <c r="S76" s="846">
        <f t="shared" si="17"/>
        <v>-2.5446971339171398E-4</v>
      </c>
      <c r="T76" s="845">
        <v>81.34</v>
      </c>
      <c r="U76" s="846">
        <f t="shared" si="18"/>
        <v>-3.5526154600024062E-3</v>
      </c>
      <c r="V76" s="845">
        <v>147.89500000000001</v>
      </c>
      <c r="W76" s="846">
        <f t="shared" si="19"/>
        <v>-2.0391748292140077E-3</v>
      </c>
      <c r="X76" s="845">
        <v>42924.89</v>
      </c>
      <c r="Y76" s="846">
        <f t="shared" si="20"/>
        <v>-1.5629512992754169E-4</v>
      </c>
      <c r="Z76" s="845">
        <v>5851.2024000000001</v>
      </c>
      <c r="AA76" s="846">
        <f t="shared" si="21"/>
        <v>-4.7485624401122362E-4</v>
      </c>
      <c r="AB76" s="843"/>
      <c r="AC76" s="832"/>
    </row>
    <row r="77" spans="1:29" ht="14.4" x14ac:dyDescent="0.55000000000000004">
      <c r="A77" s="841" t="s">
        <v>5236</v>
      </c>
      <c r="B77" s="842">
        <v>142.21</v>
      </c>
      <c r="C77" s="843">
        <f t="shared" si="12"/>
        <v>-7.3293312857739545E-3</v>
      </c>
      <c r="D77" s="856">
        <v>46.61</v>
      </c>
      <c r="E77" s="843">
        <f t="shared" si="13"/>
        <v>-8.7196937473416058E-3</v>
      </c>
      <c r="F77" s="842">
        <v>34.93</v>
      </c>
      <c r="G77" s="843">
        <f t="shared" si="13"/>
        <v>-5.9760956175298752E-3</v>
      </c>
      <c r="H77" s="842">
        <v>40.49</v>
      </c>
      <c r="I77" s="843">
        <f t="shared" si="13"/>
        <v>-4.4258667322351064E-3</v>
      </c>
      <c r="J77" s="842">
        <v>73.87</v>
      </c>
      <c r="K77" s="843">
        <f t="shared" si="14"/>
        <v>-1.1904761904761862E-2</v>
      </c>
      <c r="L77" s="842">
        <v>73.650000000000006</v>
      </c>
      <c r="M77" s="843">
        <f t="shared" si="15"/>
        <v>-1.1674718196457157E-2</v>
      </c>
      <c r="N77" s="842">
        <v>66.25</v>
      </c>
      <c r="O77" s="843">
        <f t="shared" si="16"/>
        <v>1.5325670498084198E-2</v>
      </c>
      <c r="P77" s="844">
        <f t="shared" si="22"/>
        <v>-4.9578281408593373E-3</v>
      </c>
      <c r="Q77" s="830"/>
      <c r="R77" s="845">
        <v>1061.03</v>
      </c>
      <c r="S77" s="846">
        <f t="shared" si="17"/>
        <v>-5.7628516276543307E-3</v>
      </c>
      <c r="T77" s="845">
        <v>81.63</v>
      </c>
      <c r="U77" s="846">
        <f t="shared" si="18"/>
        <v>-3.9048200122026033E-3</v>
      </c>
      <c r="V77" s="845">
        <v>148.19720000000001</v>
      </c>
      <c r="W77" s="846">
        <f t="shared" si="19"/>
        <v>-7.3292902337308563E-3</v>
      </c>
      <c r="X77" s="845">
        <v>42931.6</v>
      </c>
      <c r="Y77" s="846">
        <f t="shared" si="20"/>
        <v>-7.9561585186771477E-3</v>
      </c>
      <c r="Z77" s="845">
        <v>5853.9822000000004</v>
      </c>
      <c r="AA77" s="846">
        <f t="shared" si="21"/>
        <v>-1.8220469056738908E-3</v>
      </c>
      <c r="AB77" s="843"/>
      <c r="AC77" s="832"/>
    </row>
    <row r="78" spans="1:29" ht="14.4" x14ac:dyDescent="0.55000000000000004">
      <c r="A78" s="841" t="s">
        <v>5237</v>
      </c>
      <c r="B78" s="842">
        <v>143.26</v>
      </c>
      <c r="C78" s="843">
        <f t="shared" si="12"/>
        <v>-3.4780189204228762E-3</v>
      </c>
      <c r="D78" s="842">
        <v>47.02</v>
      </c>
      <c r="E78" s="843">
        <f t="shared" si="13"/>
        <v>2.1272069772404478E-4</v>
      </c>
      <c r="F78" s="842">
        <v>35.14</v>
      </c>
      <c r="G78" s="843">
        <f t="shared" si="13"/>
        <v>5.1487414187643132E-3</v>
      </c>
      <c r="H78" s="842">
        <v>40.67</v>
      </c>
      <c r="I78" s="843">
        <f t="shared" si="13"/>
        <v>2.9593094944513343E-3</v>
      </c>
      <c r="J78" s="842">
        <v>74.760000000000005</v>
      </c>
      <c r="K78" s="843">
        <f t="shared" si="14"/>
        <v>3.759398496240518E-3</v>
      </c>
      <c r="L78" s="842">
        <v>74.52</v>
      </c>
      <c r="M78" s="843">
        <f t="shared" si="15"/>
        <v>-5.8697972251867681E-3</v>
      </c>
      <c r="N78" s="842">
        <v>65.25</v>
      </c>
      <c r="O78" s="843">
        <f t="shared" si="16"/>
        <v>2.304797742238951E-2</v>
      </c>
      <c r="P78" s="844">
        <f t="shared" si="22"/>
        <v>3.682904483422868E-3</v>
      </c>
      <c r="Q78" s="830"/>
      <c r="R78" s="845">
        <v>1067.18</v>
      </c>
      <c r="S78" s="846">
        <f t="shared" si="17"/>
        <v>4.5276127902709185E-3</v>
      </c>
      <c r="T78" s="845">
        <v>81.95</v>
      </c>
      <c r="U78" s="846">
        <f t="shared" si="18"/>
        <v>5.7682866961217272E-3</v>
      </c>
      <c r="V78" s="845">
        <v>149.29140000000001</v>
      </c>
      <c r="W78" s="846">
        <f t="shared" si="19"/>
        <v>-3.4776827552324141E-3</v>
      </c>
      <c r="X78" s="845">
        <v>43275.91</v>
      </c>
      <c r="Y78" s="846">
        <f t="shared" si="20"/>
        <v>8.5247016296619016E-4</v>
      </c>
      <c r="Z78" s="845">
        <v>5864.6679000000004</v>
      </c>
      <c r="AA78" s="846">
        <f t="shared" si="21"/>
        <v>3.9708310528010493E-3</v>
      </c>
      <c r="AB78" s="843"/>
      <c r="AC78" s="832"/>
    </row>
    <row r="79" spans="1:29" ht="14.4" x14ac:dyDescent="0.55000000000000004">
      <c r="A79" s="841" t="s">
        <v>5238</v>
      </c>
      <c r="B79" s="842">
        <v>143.76</v>
      </c>
      <c r="C79" s="843">
        <f t="shared" si="12"/>
        <v>-1.2505210504377695E-3</v>
      </c>
      <c r="D79" s="856">
        <v>47.01</v>
      </c>
      <c r="E79" s="843">
        <f t="shared" si="13"/>
        <v>-1.3224181360201537E-2</v>
      </c>
      <c r="F79" s="842">
        <v>34.96</v>
      </c>
      <c r="G79" s="843">
        <f t="shared" si="13"/>
        <v>-3.9886039886040114E-3</v>
      </c>
      <c r="H79" s="842">
        <v>40.549999999999997</v>
      </c>
      <c r="I79" s="843">
        <f t="shared" si="13"/>
        <v>-1.6254245511887477E-2</v>
      </c>
      <c r="J79" s="842">
        <v>74.48</v>
      </c>
      <c r="K79" s="843">
        <f t="shared" si="14"/>
        <v>3.0976430976430436E-3</v>
      </c>
      <c r="L79" s="842">
        <v>74.959999999999994</v>
      </c>
      <c r="M79" s="843">
        <f t="shared" si="15"/>
        <v>-2.1282151716934483E-2</v>
      </c>
      <c r="N79" s="842">
        <v>63.78</v>
      </c>
      <c r="O79" s="843">
        <f t="shared" si="16"/>
        <v>-4.5209580838323271E-2</v>
      </c>
      <c r="P79" s="844">
        <f t="shared" si="22"/>
        <v>-1.4015948766963644E-2</v>
      </c>
      <c r="Q79" s="830"/>
      <c r="R79" s="845">
        <v>1062.3699999999999</v>
      </c>
      <c r="S79" s="846">
        <f t="shared" si="17"/>
        <v>-5.5322574605909391E-3</v>
      </c>
      <c r="T79" s="845">
        <v>81.48</v>
      </c>
      <c r="U79" s="846">
        <f t="shared" si="18"/>
        <v>-8.879698333535968E-3</v>
      </c>
      <c r="V79" s="845">
        <v>149.8124</v>
      </c>
      <c r="W79" s="846">
        <f t="shared" si="19"/>
        <v>-1.2506666666667332E-3</v>
      </c>
      <c r="X79" s="845">
        <v>43239.05</v>
      </c>
      <c r="Y79" s="846">
        <f t="shared" si="20"/>
        <v>3.7455574461962016E-3</v>
      </c>
      <c r="Z79" s="845">
        <v>5841.4723999999997</v>
      </c>
      <c r="AA79" s="846">
        <f t="shared" si="21"/>
        <v>-1.715197901164256E-4</v>
      </c>
      <c r="AB79" s="843"/>
      <c r="AC79" s="832"/>
    </row>
    <row r="80" spans="1:29" ht="14.4" x14ac:dyDescent="0.55000000000000004">
      <c r="A80" s="841" t="s">
        <v>5239</v>
      </c>
      <c r="B80" s="842">
        <v>143.94</v>
      </c>
      <c r="C80" s="843">
        <f t="shared" si="12"/>
        <v>1.3661971830985831E-2</v>
      </c>
      <c r="D80" s="842">
        <v>47.64</v>
      </c>
      <c r="E80" s="843">
        <f t="shared" si="13"/>
        <v>2.2098262175498817E-2</v>
      </c>
      <c r="F80" s="842">
        <v>35.1</v>
      </c>
      <c r="G80" s="843">
        <f t="shared" si="13"/>
        <v>1.7686285879965125E-2</v>
      </c>
      <c r="H80" s="842">
        <v>41.22</v>
      </c>
      <c r="I80" s="843">
        <f t="shared" si="13"/>
        <v>1.6522811344019672E-2</v>
      </c>
      <c r="J80" s="842">
        <v>74.25</v>
      </c>
      <c r="K80" s="843">
        <f t="shared" si="14"/>
        <v>1.9217570350034352E-2</v>
      </c>
      <c r="L80" s="842">
        <v>76.59</v>
      </c>
      <c r="M80" s="843">
        <f t="shared" si="15"/>
        <v>1.9840213049267863E-2</v>
      </c>
      <c r="N80" s="842">
        <v>66.8</v>
      </c>
      <c r="O80" s="843">
        <f t="shared" si="16"/>
        <v>1.8913971934106044E-2</v>
      </c>
      <c r="P80" s="844">
        <f t="shared" si="22"/>
        <v>1.8277298080553957E-2</v>
      </c>
      <c r="Q80" s="830"/>
      <c r="R80" s="845">
        <v>1068.28</v>
      </c>
      <c r="S80" s="846">
        <f t="shared" si="17"/>
        <v>1.6586572774420771E-2</v>
      </c>
      <c r="T80" s="845">
        <v>82.21</v>
      </c>
      <c r="U80" s="846">
        <f t="shared" si="18"/>
        <v>1.9848654013149725E-2</v>
      </c>
      <c r="V80" s="845">
        <v>150</v>
      </c>
      <c r="W80" s="846">
        <f t="shared" si="19"/>
        <v>1.3662138300007509E-2</v>
      </c>
      <c r="X80" s="845">
        <v>43077.7</v>
      </c>
      <c r="Y80" s="846">
        <f t="shared" si="20"/>
        <v>7.8913590460738536E-3</v>
      </c>
      <c r="Z80" s="845">
        <v>5842.4745000000003</v>
      </c>
      <c r="AA80" s="846">
        <f t="shared" si="21"/>
        <v>4.6798596224393307E-3</v>
      </c>
      <c r="AB80" s="843"/>
      <c r="AC80" s="832"/>
    </row>
    <row r="81" spans="1:29" ht="14.4" x14ac:dyDescent="0.55000000000000004">
      <c r="A81" s="841" t="s">
        <v>5240</v>
      </c>
      <c r="B81" s="842">
        <v>142</v>
      </c>
      <c r="C81" s="843">
        <f t="shared" si="12"/>
        <v>1.226119190191044E-2</v>
      </c>
      <c r="D81" s="842">
        <v>46.61</v>
      </c>
      <c r="E81" s="843">
        <f t="shared" si="13"/>
        <v>1.2380538662033036E-2</v>
      </c>
      <c r="F81" s="842">
        <v>34.49</v>
      </c>
      <c r="G81" s="843">
        <f t="shared" si="13"/>
        <v>7.8901227352425884E-3</v>
      </c>
      <c r="H81" s="842">
        <v>40.549999999999997</v>
      </c>
      <c r="I81" s="843">
        <f t="shared" si="13"/>
        <v>7.4534161490682482E-3</v>
      </c>
      <c r="J81" s="842">
        <v>72.849999999999994</v>
      </c>
      <c r="K81" s="843">
        <f t="shared" si="14"/>
        <v>6.9108500345542723E-3</v>
      </c>
      <c r="L81" s="842">
        <v>75.099999999999994</v>
      </c>
      <c r="M81" s="843">
        <f t="shared" si="15"/>
        <v>9.1373286750873195E-3</v>
      </c>
      <c r="N81" s="842">
        <v>65.56</v>
      </c>
      <c r="O81" s="843">
        <f t="shared" si="16"/>
        <v>4.5969966288690323E-3</v>
      </c>
      <c r="P81" s="844">
        <f t="shared" si="22"/>
        <v>8.6614921123949907E-3</v>
      </c>
      <c r="Q81" s="830"/>
      <c r="R81" s="845">
        <v>1050.8499999999999</v>
      </c>
      <c r="S81" s="846">
        <f t="shared" si="17"/>
        <v>8.8418263507543671E-3</v>
      </c>
      <c r="T81" s="845">
        <v>80.61</v>
      </c>
      <c r="U81" s="846">
        <f t="shared" si="18"/>
        <v>4.4859813084112687E-3</v>
      </c>
      <c r="V81" s="845">
        <v>147.97829999999999</v>
      </c>
      <c r="W81" s="846">
        <f t="shared" si="19"/>
        <v>1.2261100420765558E-2</v>
      </c>
      <c r="X81" s="845">
        <v>42740.42</v>
      </c>
      <c r="Y81" s="846">
        <f t="shared" si="20"/>
        <v>-7.542049013101626E-3</v>
      </c>
      <c r="Z81" s="845">
        <v>5815.2599</v>
      </c>
      <c r="AA81" s="846">
        <f t="shared" si="21"/>
        <v>-7.6094437978881935E-3</v>
      </c>
      <c r="AB81" s="843"/>
      <c r="AC81" s="832"/>
    </row>
    <row r="82" spans="1:29" ht="14.4" x14ac:dyDescent="0.55000000000000004">
      <c r="A82" s="841" t="s">
        <v>5241</v>
      </c>
      <c r="B82" s="842">
        <v>140.28</v>
      </c>
      <c r="C82" s="843">
        <f t="shared" si="12"/>
        <v>6.6016073478758486E-3</v>
      </c>
      <c r="D82" s="842">
        <v>46.04</v>
      </c>
      <c r="E82" s="843">
        <f t="shared" si="13"/>
        <v>7.8809106830122211E-3</v>
      </c>
      <c r="F82" s="842">
        <v>34.22</v>
      </c>
      <c r="G82" s="843">
        <f t="shared" si="13"/>
        <v>8.5470085470085166E-3</v>
      </c>
      <c r="H82" s="842">
        <v>40.25</v>
      </c>
      <c r="I82" s="843">
        <f t="shared" si="13"/>
        <v>1.0291164658634555E-2</v>
      </c>
      <c r="J82" s="842">
        <v>72.349999999999994</v>
      </c>
      <c r="K82" s="843">
        <f t="shared" si="14"/>
        <v>8.9248361455864789E-3</v>
      </c>
      <c r="L82" s="842">
        <v>74.42</v>
      </c>
      <c r="M82" s="843">
        <f t="shared" si="15"/>
        <v>1.2108166285484945E-3</v>
      </c>
      <c r="N82" s="842">
        <v>65.260000000000005</v>
      </c>
      <c r="O82" s="843">
        <f t="shared" si="16"/>
        <v>6.0120240480963094E-3</v>
      </c>
      <c r="P82" s="844">
        <f t="shared" si="22"/>
        <v>7.0669097226803467E-3</v>
      </c>
      <c r="Q82" s="830"/>
      <c r="R82" s="845">
        <v>1041.6400000000001</v>
      </c>
      <c r="S82" s="846">
        <f t="shared" si="17"/>
        <v>9.8401341748346471E-3</v>
      </c>
      <c r="T82" s="845">
        <v>80.25</v>
      </c>
      <c r="U82" s="846">
        <f t="shared" si="18"/>
        <v>1.2618296529968376E-2</v>
      </c>
      <c r="V82" s="845">
        <v>146.1859</v>
      </c>
      <c r="W82" s="846">
        <f t="shared" si="19"/>
        <v>6.6013804576552371E-3</v>
      </c>
      <c r="X82" s="845">
        <v>43065.22</v>
      </c>
      <c r="Y82" s="846">
        <f t="shared" si="20"/>
        <v>4.6976637195064175E-3</v>
      </c>
      <c r="Z82" s="845">
        <v>5859.8500999999997</v>
      </c>
      <c r="AA82" s="846">
        <f t="shared" si="21"/>
        <v>7.7070408572372795E-3</v>
      </c>
      <c r="AB82" s="843"/>
      <c r="AC82" s="832"/>
    </row>
    <row r="83" spans="1:29" ht="14.4" x14ac:dyDescent="0.55000000000000004">
      <c r="A83" s="841" t="s">
        <v>5242</v>
      </c>
      <c r="B83" s="842">
        <v>139.36000000000001</v>
      </c>
      <c r="C83" s="843">
        <f t="shared" si="12"/>
        <v>8.3936324167874776E-3</v>
      </c>
      <c r="D83" s="842">
        <v>45.68</v>
      </c>
      <c r="E83" s="843">
        <f t="shared" si="13"/>
        <v>1.0172490048651062E-2</v>
      </c>
      <c r="F83" s="842">
        <v>33.93</v>
      </c>
      <c r="G83" s="843">
        <f t="shared" si="13"/>
        <v>5.6312981624184744E-3</v>
      </c>
      <c r="H83" s="842">
        <v>39.840000000000003</v>
      </c>
      <c r="I83" s="843">
        <f t="shared" si="13"/>
        <v>2.1538461538461728E-2</v>
      </c>
      <c r="J83" s="842">
        <v>71.709999999999994</v>
      </c>
      <c r="K83" s="843">
        <f t="shared" si="14"/>
        <v>1.2853107344632742E-2</v>
      </c>
      <c r="L83" s="842">
        <v>74.33</v>
      </c>
      <c r="M83" s="843">
        <f t="shared" si="15"/>
        <v>2.0595908279555042E-2</v>
      </c>
      <c r="N83" s="842">
        <v>64.87</v>
      </c>
      <c r="O83" s="843">
        <f t="shared" si="16"/>
        <v>1.5179968701095614E-2</v>
      </c>
      <c r="P83" s="844">
        <f t="shared" si="22"/>
        <v>1.348069521308602E-2</v>
      </c>
      <c r="Q83" s="830"/>
      <c r="R83" s="845">
        <v>1031.49</v>
      </c>
      <c r="S83" s="846">
        <f t="shared" si="17"/>
        <v>8.4568456454576779E-3</v>
      </c>
      <c r="T83" s="845">
        <v>79.25</v>
      </c>
      <c r="U83" s="846">
        <f t="shared" si="18"/>
        <v>8.7830957230141671E-3</v>
      </c>
      <c r="V83" s="845">
        <v>145.22720000000001</v>
      </c>
      <c r="W83" s="846">
        <f t="shared" si="19"/>
        <v>8.3940721422208764E-3</v>
      </c>
      <c r="X83" s="845">
        <v>42863.86</v>
      </c>
      <c r="Y83" s="846">
        <f t="shared" si="20"/>
        <v>9.6513601035659313E-3</v>
      </c>
      <c r="Z83" s="845">
        <v>5815.0334000000003</v>
      </c>
      <c r="AA83" s="846">
        <f t="shared" si="21"/>
        <v>6.0522127199804654E-3</v>
      </c>
      <c r="AB83" s="843"/>
      <c r="AC83" s="832"/>
    </row>
    <row r="84" spans="1:29" ht="14.4" x14ac:dyDescent="0.55000000000000004">
      <c r="A84" s="841" t="s">
        <v>5243</v>
      </c>
      <c r="B84" s="842">
        <v>138.19999999999999</v>
      </c>
      <c r="C84" s="843">
        <f t="shared" si="12"/>
        <v>1.1590843233844073E-3</v>
      </c>
      <c r="D84" s="842">
        <v>45.22</v>
      </c>
      <c r="E84" s="843">
        <f t="shared" si="13"/>
        <v>-5.2793664760228953E-3</v>
      </c>
      <c r="F84" s="842">
        <v>33.74</v>
      </c>
      <c r="G84" s="843">
        <f t="shared" si="13"/>
        <v>-7.3551044424831069E-3</v>
      </c>
      <c r="H84" s="842">
        <v>39</v>
      </c>
      <c r="I84" s="843">
        <f t="shared" si="13"/>
        <v>-6.3694267515923553E-3</v>
      </c>
      <c r="J84" s="842">
        <v>70.8</v>
      </c>
      <c r="K84" s="843">
        <f t="shared" si="14"/>
        <v>-7.8475336322870737E-3</v>
      </c>
      <c r="L84" s="842">
        <v>72.83</v>
      </c>
      <c r="M84" s="843">
        <f t="shared" si="15"/>
        <v>8.2451559708673905E-4</v>
      </c>
      <c r="N84" s="842">
        <v>63.9</v>
      </c>
      <c r="O84" s="843">
        <f t="shared" si="16"/>
        <v>-6.9930069930069783E-3</v>
      </c>
      <c r="P84" s="844">
        <f t="shared" si="22"/>
        <v>-4.551548339274466E-3</v>
      </c>
      <c r="Q84" s="830"/>
      <c r="R84" s="845">
        <v>1022.84</v>
      </c>
      <c r="S84" s="846">
        <f t="shared" si="17"/>
        <v>-3.8954462233647957E-3</v>
      </c>
      <c r="T84" s="845">
        <v>78.56</v>
      </c>
      <c r="U84" s="846">
        <f t="shared" si="18"/>
        <v>-3.0456852791878042E-3</v>
      </c>
      <c r="V84" s="845">
        <v>144.01830000000001</v>
      </c>
      <c r="W84" s="846">
        <f t="shared" si="19"/>
        <v>1.1588331308098887E-3</v>
      </c>
      <c r="X84" s="845">
        <v>42454.12</v>
      </c>
      <c r="Y84" s="846">
        <f t="shared" si="20"/>
        <v>-1.3614979299961805E-3</v>
      </c>
      <c r="Z84" s="845">
        <v>5780.0513000000001</v>
      </c>
      <c r="AA84" s="846">
        <f t="shared" si="21"/>
        <v>-2.0701163829713876E-3</v>
      </c>
      <c r="AB84" s="843"/>
      <c r="AC84" s="832"/>
    </row>
    <row r="85" spans="1:29" ht="14.4" x14ac:dyDescent="0.55000000000000004">
      <c r="A85" s="841" t="s">
        <v>5244</v>
      </c>
      <c r="B85" s="842">
        <v>138.04</v>
      </c>
      <c r="C85" s="843">
        <f t="shared" si="12"/>
        <v>-1.374520726325712E-3</v>
      </c>
      <c r="D85" s="856">
        <v>45.46</v>
      </c>
      <c r="E85" s="843">
        <f t="shared" si="13"/>
        <v>5.9747731799071335E-3</v>
      </c>
      <c r="F85" s="842">
        <v>33.99</v>
      </c>
      <c r="G85" s="843">
        <f t="shared" si="13"/>
        <v>-3.8100820633057975E-3</v>
      </c>
      <c r="H85" s="842">
        <v>39.25</v>
      </c>
      <c r="I85" s="843">
        <f t="shared" si="13"/>
        <v>1.0556127703398532E-2</v>
      </c>
      <c r="J85" s="842">
        <v>71.36</v>
      </c>
      <c r="K85" s="843">
        <f t="shared" si="14"/>
        <v>-3.3519553072625108E-3</v>
      </c>
      <c r="L85" s="842">
        <v>72.77</v>
      </c>
      <c r="M85" s="843">
        <f t="shared" si="15"/>
        <v>-1.4624238320920746E-2</v>
      </c>
      <c r="N85" s="842">
        <v>64.349999999999994</v>
      </c>
      <c r="O85" s="843">
        <f t="shared" si="16"/>
        <v>-2.170879206078502E-3</v>
      </c>
      <c r="P85" s="844">
        <f t="shared" si="22"/>
        <v>-1.2572535343696575E-3</v>
      </c>
      <c r="Q85" s="830"/>
      <c r="R85" s="845">
        <v>1026.8399999999999</v>
      </c>
      <c r="S85" s="846">
        <f t="shared" si="17"/>
        <v>-3.3687889742795019E-3</v>
      </c>
      <c r="T85" s="845">
        <v>78.8</v>
      </c>
      <c r="U85" s="846">
        <f t="shared" si="18"/>
        <v>-8.5556114745848344E-3</v>
      </c>
      <c r="V85" s="845">
        <v>143.85159999999999</v>
      </c>
      <c r="W85" s="846">
        <f t="shared" si="19"/>
        <v>-1.3745265519654604E-3</v>
      </c>
      <c r="X85" s="845">
        <v>42512</v>
      </c>
      <c r="Y85" s="846">
        <f t="shared" si="20"/>
        <v>1.0257204706811907E-2</v>
      </c>
      <c r="Z85" s="845">
        <v>5792.0415000000003</v>
      </c>
      <c r="AA85" s="846">
        <f t="shared" si="21"/>
        <v>7.1131376567563631E-3</v>
      </c>
      <c r="AB85" s="843"/>
      <c r="AC85" s="832"/>
    </row>
    <row r="86" spans="1:29" ht="14.4" x14ac:dyDescent="0.55000000000000004">
      <c r="A86" s="841" t="s">
        <v>5245</v>
      </c>
      <c r="B86" s="842">
        <v>138.22999999999999</v>
      </c>
      <c r="C86" s="843">
        <f t="shared" si="12"/>
        <v>4.1406363504286059E-3</v>
      </c>
      <c r="D86" s="842">
        <v>45.19</v>
      </c>
      <c r="E86" s="843">
        <f t="shared" si="13"/>
        <v>-2.8684907325684517E-3</v>
      </c>
      <c r="F86" s="842">
        <v>34.119999999999997</v>
      </c>
      <c r="G86" s="843">
        <f t="shared" si="13"/>
        <v>2.9394473838917357E-3</v>
      </c>
      <c r="H86" s="842">
        <v>38.840000000000003</v>
      </c>
      <c r="I86" s="843">
        <f t="shared" si="13"/>
        <v>-1.0288065843621075E-3</v>
      </c>
      <c r="J86" s="842">
        <v>71.599999999999994</v>
      </c>
      <c r="K86" s="843">
        <f t="shared" si="14"/>
        <v>-6.2456627342123427E-3</v>
      </c>
      <c r="L86" s="842">
        <v>73.849999999999994</v>
      </c>
      <c r="M86" s="843">
        <f t="shared" si="15"/>
        <v>6.7750677506772661E-4</v>
      </c>
      <c r="N86" s="842">
        <v>64.489999999999995</v>
      </c>
      <c r="O86" s="843">
        <f t="shared" si="16"/>
        <v>3.735408560311182E-3</v>
      </c>
      <c r="P86" s="844">
        <f t="shared" si="22"/>
        <v>1.9286271693662118E-4</v>
      </c>
      <c r="Q86" s="830"/>
      <c r="R86" s="845">
        <v>1030.3108999999999</v>
      </c>
      <c r="S86" s="846">
        <f t="shared" si="17"/>
        <v>2.8625519530451893E-3</v>
      </c>
      <c r="T86" s="845">
        <v>79.48</v>
      </c>
      <c r="U86" s="846">
        <f t="shared" si="18"/>
        <v>5.0352467270897705E-4</v>
      </c>
      <c r="V86" s="845">
        <v>144.0496</v>
      </c>
      <c r="W86" s="846">
        <f t="shared" si="19"/>
        <v>4.1406539723789493E-3</v>
      </c>
      <c r="X86" s="845">
        <v>42080.373</v>
      </c>
      <c r="Y86" s="846">
        <f t="shared" si="20"/>
        <v>3.0064422570876825E-3</v>
      </c>
      <c r="Z86" s="845">
        <v>5751.1328999999996</v>
      </c>
      <c r="AA86" s="846">
        <f t="shared" si="21"/>
        <v>9.6892641173365046E-3</v>
      </c>
      <c r="AB86" s="843"/>
      <c r="AC86" s="832"/>
    </row>
    <row r="87" spans="1:29" ht="14.4" x14ac:dyDescent="0.55000000000000004">
      <c r="A87" s="841" t="s">
        <v>5246</v>
      </c>
      <c r="B87" s="842">
        <v>137.66</v>
      </c>
      <c r="C87" s="843">
        <f t="shared" si="12"/>
        <v>-1.5589244851258677E-2</v>
      </c>
      <c r="D87" s="856">
        <v>45.32</v>
      </c>
      <c r="E87" s="843">
        <f t="shared" si="13"/>
        <v>-1.263616557734204E-2</v>
      </c>
      <c r="F87" s="842">
        <v>34.020000000000003</v>
      </c>
      <c r="G87" s="843">
        <f t="shared" si="13"/>
        <v>-1.7898383371824367E-2</v>
      </c>
      <c r="H87" s="842">
        <v>38.880000000000003</v>
      </c>
      <c r="I87" s="843">
        <f t="shared" si="13"/>
        <v>-1.619433198380571E-2</v>
      </c>
      <c r="J87" s="842">
        <v>72.05</v>
      </c>
      <c r="K87" s="843">
        <f t="shared" si="14"/>
        <v>-1.8793408688547064E-2</v>
      </c>
      <c r="L87" s="842">
        <v>73.8</v>
      </c>
      <c r="M87" s="843">
        <f t="shared" si="15"/>
        <v>-4.0633888663144102E-4</v>
      </c>
      <c r="N87" s="842">
        <v>64.25</v>
      </c>
      <c r="O87" s="843">
        <f t="shared" si="16"/>
        <v>-1.3359950859950898E-2</v>
      </c>
      <c r="P87" s="844">
        <f t="shared" si="22"/>
        <v>-1.3553974888480027E-2</v>
      </c>
      <c r="Q87" s="830"/>
      <c r="R87" s="845">
        <v>1027.3699999999999</v>
      </c>
      <c r="S87" s="846">
        <f t="shared" si="17"/>
        <v>-2.2873827775770073E-2</v>
      </c>
      <c r="T87" s="845">
        <v>79.44</v>
      </c>
      <c r="U87" s="846">
        <f t="shared" si="18"/>
        <v>-2.299840118066665E-2</v>
      </c>
      <c r="V87" s="845">
        <v>143.4556</v>
      </c>
      <c r="W87" s="846">
        <f t="shared" si="19"/>
        <v>-1.5589381269411118E-2</v>
      </c>
      <c r="X87" s="845">
        <v>41954.239999999998</v>
      </c>
      <c r="Y87" s="846">
        <f t="shared" si="20"/>
        <v>-9.4093063614523187E-3</v>
      </c>
      <c r="Z87" s="845">
        <v>5695.9434000000001</v>
      </c>
      <c r="AA87" s="846">
        <f t="shared" si="21"/>
        <v>-9.5851410699667738E-3</v>
      </c>
      <c r="AB87" s="843"/>
      <c r="AC87" s="832"/>
    </row>
    <row r="88" spans="1:29" ht="14.4" x14ac:dyDescent="0.55000000000000004">
      <c r="A88" s="841" t="s">
        <v>5247</v>
      </c>
      <c r="B88" s="842">
        <v>139.84</v>
      </c>
      <c r="C88" s="843">
        <f t="shared" si="12"/>
        <v>4.4533831346071917E-3</v>
      </c>
      <c r="D88" s="842">
        <v>45.9</v>
      </c>
      <c r="E88" s="843">
        <f t="shared" si="13"/>
        <v>-1.3054830287206887E-3</v>
      </c>
      <c r="F88" s="842">
        <v>34.64</v>
      </c>
      <c r="G88" s="843">
        <f t="shared" si="13"/>
        <v>-1.4413375612567503E-3</v>
      </c>
      <c r="H88" s="842">
        <v>39.520000000000003</v>
      </c>
      <c r="I88" s="843">
        <f t="shared" si="13"/>
        <v>1.0224948875255713E-2</v>
      </c>
      <c r="J88" s="842">
        <v>73.430000000000007</v>
      </c>
      <c r="K88" s="843">
        <f t="shared" si="14"/>
        <v>9.6246390760346134E-3</v>
      </c>
      <c r="L88" s="842">
        <v>73.83</v>
      </c>
      <c r="M88" s="843">
        <f t="shared" si="15"/>
        <v>1.5683037556747825E-2</v>
      </c>
      <c r="N88" s="842">
        <v>65.12</v>
      </c>
      <c r="O88" s="843">
        <f t="shared" si="16"/>
        <v>1.3839766261725117E-3</v>
      </c>
      <c r="P88" s="844">
        <f t="shared" si="22"/>
        <v>5.5175949541200597E-3</v>
      </c>
      <c r="Q88" s="830"/>
      <c r="R88" s="845">
        <v>1051.42</v>
      </c>
      <c r="S88" s="846">
        <f t="shared" si="17"/>
        <v>-6.3132029108777798E-3</v>
      </c>
      <c r="T88" s="845">
        <v>81.31</v>
      </c>
      <c r="U88" s="846">
        <f t="shared" si="18"/>
        <v>-1.5962671905697112E-3</v>
      </c>
      <c r="V88" s="845">
        <v>145.72739999999999</v>
      </c>
      <c r="W88" s="846">
        <f t="shared" si="19"/>
        <v>4.4533651132157015E-3</v>
      </c>
      <c r="X88" s="845">
        <v>42352.75</v>
      </c>
      <c r="Y88" s="846">
        <f t="shared" si="20"/>
        <v>8.1206162394711345E-3</v>
      </c>
      <c r="Z88" s="845">
        <v>5751.0681999999997</v>
      </c>
      <c r="AA88" s="846">
        <f t="shared" si="21"/>
        <v>8.9696354443478121E-3</v>
      </c>
      <c r="AB88" s="843"/>
      <c r="AC88" s="832"/>
    </row>
    <row r="89" spans="1:29" ht="14.4" x14ac:dyDescent="0.55000000000000004">
      <c r="A89" s="841" t="s">
        <v>5248</v>
      </c>
      <c r="B89" s="842">
        <v>139.22</v>
      </c>
      <c r="C89" s="843">
        <f t="shared" si="12"/>
        <v>7.1880391029321977E-4</v>
      </c>
      <c r="D89" s="842">
        <v>45.96</v>
      </c>
      <c r="E89" s="843">
        <f t="shared" si="13"/>
        <v>-6.6998054895180958E-3</v>
      </c>
      <c r="F89" s="842">
        <v>34.69</v>
      </c>
      <c r="G89" s="843">
        <f t="shared" si="13"/>
        <v>2.8835063437138153E-4</v>
      </c>
      <c r="H89" s="842">
        <v>39.119999999999997</v>
      </c>
      <c r="I89" s="843">
        <f t="shared" si="13"/>
        <v>-1.3864381144441773E-2</v>
      </c>
      <c r="J89" s="842">
        <v>72.73</v>
      </c>
      <c r="K89" s="843">
        <f t="shared" si="14"/>
        <v>-2.8790786948176272E-3</v>
      </c>
      <c r="L89" s="842">
        <v>72.69</v>
      </c>
      <c r="M89" s="843">
        <f t="shared" si="15"/>
        <v>-1.0347174948944882E-2</v>
      </c>
      <c r="N89" s="842">
        <v>65.03</v>
      </c>
      <c r="O89" s="843">
        <f t="shared" si="16"/>
        <v>-1.0047191353326212E-2</v>
      </c>
      <c r="P89" s="844">
        <f t="shared" si="22"/>
        <v>-6.118639583769141E-3</v>
      </c>
      <c r="Q89" s="830"/>
      <c r="R89" s="845">
        <v>1058.0999999999999</v>
      </c>
      <c r="S89" s="846">
        <f t="shared" si="17"/>
        <v>-6.3295894218849957E-3</v>
      </c>
      <c r="T89" s="845">
        <v>81.44</v>
      </c>
      <c r="U89" s="846">
        <f t="shared" si="18"/>
        <v>-3.682337056585272E-4</v>
      </c>
      <c r="V89" s="845">
        <v>145.0813</v>
      </c>
      <c r="W89" s="846">
        <f t="shared" si="19"/>
        <v>7.1873420009094247E-4</v>
      </c>
      <c r="X89" s="845">
        <v>42011.59</v>
      </c>
      <c r="Y89" s="846">
        <f t="shared" si="20"/>
        <v>-4.3825888959563297E-3</v>
      </c>
      <c r="Z89" s="845">
        <v>5699.9417999999996</v>
      </c>
      <c r="AA89" s="846">
        <f t="shared" si="21"/>
        <v>-1.6809762272592677E-3</v>
      </c>
      <c r="AB89" s="843"/>
      <c r="AC89" s="832"/>
    </row>
    <row r="90" spans="1:29" ht="14.4" x14ac:dyDescent="0.55000000000000004">
      <c r="A90" s="841" t="s">
        <v>5249</v>
      </c>
      <c r="B90" s="842">
        <v>139.12</v>
      </c>
      <c r="C90" s="843">
        <f t="shared" si="12"/>
        <v>1.0073391854943381E-3</v>
      </c>
      <c r="D90" s="842">
        <v>46.27</v>
      </c>
      <c r="E90" s="843">
        <f t="shared" si="13"/>
        <v>-1.2590695689287168E-2</v>
      </c>
      <c r="F90" s="842">
        <v>34.68</v>
      </c>
      <c r="G90" s="843">
        <f t="shared" si="13"/>
        <v>-4.3066322136089408E-3</v>
      </c>
      <c r="H90" s="842">
        <v>39.67</v>
      </c>
      <c r="I90" s="843">
        <f t="shared" si="13"/>
        <v>-1.8069306930692974E-2</v>
      </c>
      <c r="J90" s="842">
        <v>72.94</v>
      </c>
      <c r="K90" s="843">
        <f t="shared" si="14"/>
        <v>-1.3391045583660333E-2</v>
      </c>
      <c r="L90" s="842">
        <v>73.45</v>
      </c>
      <c r="M90" s="843">
        <f t="shared" si="15"/>
        <v>-1.631099633002453E-3</v>
      </c>
      <c r="N90" s="842">
        <v>65.69</v>
      </c>
      <c r="O90" s="843">
        <f t="shared" si="16"/>
        <v>-1.8526819064694555E-2</v>
      </c>
      <c r="P90" s="844">
        <f t="shared" si="22"/>
        <v>-9.6440371327788689E-3</v>
      </c>
      <c r="Q90" s="830"/>
      <c r="R90" s="845">
        <v>1064.8399999999999</v>
      </c>
      <c r="S90" s="846">
        <f t="shared" si="17"/>
        <v>-3.0042434939370199E-4</v>
      </c>
      <c r="T90" s="845">
        <v>81.47</v>
      </c>
      <c r="U90" s="846">
        <f t="shared" si="18"/>
        <v>4.9121945229013697E-4</v>
      </c>
      <c r="V90" s="845">
        <v>144.97710000000001</v>
      </c>
      <c r="W90" s="846">
        <f t="shared" si="19"/>
        <v>1.0073796253846634E-3</v>
      </c>
      <c r="X90" s="845">
        <v>42196.52</v>
      </c>
      <c r="Y90" s="846">
        <f t="shared" si="20"/>
        <v>9.3816040384298027E-4</v>
      </c>
      <c r="Z90" s="845">
        <v>5709.5393999999997</v>
      </c>
      <c r="AA90" s="846">
        <f t="shared" si="21"/>
        <v>1.3801616693243091E-4</v>
      </c>
      <c r="AB90" s="843"/>
      <c r="AC90" s="832"/>
    </row>
    <row r="91" spans="1:29" ht="14.4" x14ac:dyDescent="0.55000000000000004">
      <c r="A91" s="841" t="s">
        <v>5250</v>
      </c>
      <c r="B91" s="842">
        <v>138.97999999999999</v>
      </c>
      <c r="C91" s="843">
        <f t="shared" si="12"/>
        <v>1.9465071011461887E-3</v>
      </c>
      <c r="D91" s="842">
        <v>46.86</v>
      </c>
      <c r="E91" s="843">
        <f t="shared" si="13"/>
        <v>-7.2033898305084998E-3</v>
      </c>
      <c r="F91" s="842">
        <v>34.83</v>
      </c>
      <c r="G91" s="843">
        <f t="shared" si="13"/>
        <v>5.1948051948051965E-3</v>
      </c>
      <c r="H91" s="842">
        <v>40.4</v>
      </c>
      <c r="I91" s="843">
        <f t="shared" si="13"/>
        <v>-1.0289073983341557E-2</v>
      </c>
      <c r="J91" s="842">
        <v>73.930000000000007</v>
      </c>
      <c r="K91" s="843">
        <f t="shared" si="14"/>
        <v>-6.5842515452834149E-3</v>
      </c>
      <c r="L91" s="842">
        <v>73.569999999999993</v>
      </c>
      <c r="M91" s="843">
        <f t="shared" si="15"/>
        <v>-2.5759219088938856E-3</v>
      </c>
      <c r="N91" s="842">
        <v>66.930000000000007</v>
      </c>
      <c r="O91" s="843">
        <f t="shared" si="16"/>
        <v>-5.3499777084261568E-3</v>
      </c>
      <c r="P91" s="844">
        <f t="shared" si="22"/>
        <v>-3.5516146686431611E-3</v>
      </c>
      <c r="Q91" s="830"/>
      <c r="R91" s="845">
        <v>1065.1600000000001</v>
      </c>
      <c r="S91" s="846">
        <f t="shared" si="17"/>
        <v>4.8679245283018702E-3</v>
      </c>
      <c r="T91" s="845">
        <v>81.430000000000007</v>
      </c>
      <c r="U91" s="846">
        <f t="shared" si="18"/>
        <v>8.0465461747958322E-3</v>
      </c>
      <c r="V91" s="845">
        <v>144.8312</v>
      </c>
      <c r="W91" s="846">
        <f t="shared" si="19"/>
        <v>1.9467339283760765E-3</v>
      </c>
      <c r="X91" s="845">
        <v>42156.97</v>
      </c>
      <c r="Y91" s="846">
        <f t="shared" si="20"/>
        <v>-4.0911737851153651E-3</v>
      </c>
      <c r="Z91" s="845">
        <v>5708.7515000000003</v>
      </c>
      <c r="AA91" s="846">
        <f t="shared" si="21"/>
        <v>-9.3246925471336395E-3</v>
      </c>
      <c r="AB91" s="843"/>
      <c r="AC91" s="832"/>
    </row>
    <row r="92" spans="1:29" ht="14.4" x14ac:dyDescent="0.55000000000000004">
      <c r="A92" s="841" t="s">
        <v>5251</v>
      </c>
      <c r="B92" s="842">
        <v>138.71</v>
      </c>
      <c r="C92" s="843">
        <f t="shared" si="12"/>
        <v>6.7498911307881659E-3</v>
      </c>
      <c r="D92" s="842">
        <v>47.2</v>
      </c>
      <c r="E92" s="843">
        <f t="shared" si="13"/>
        <v>5.9676044330776445E-3</v>
      </c>
      <c r="F92" s="842">
        <v>34.65</v>
      </c>
      <c r="G92" s="843">
        <f t="shared" si="13"/>
        <v>7.8534031413610705E-3</v>
      </c>
      <c r="H92" s="842">
        <v>40.82</v>
      </c>
      <c r="I92" s="843">
        <f t="shared" si="13"/>
        <v>8.8976767177459948E-3</v>
      </c>
      <c r="J92" s="842">
        <v>74.42</v>
      </c>
      <c r="K92" s="843">
        <f t="shared" si="14"/>
        <v>2.9649595687331054E-3</v>
      </c>
      <c r="L92" s="842">
        <v>73.760000000000005</v>
      </c>
      <c r="M92" s="843">
        <f t="shared" si="15"/>
        <v>-1.0198604401502775E-2</v>
      </c>
      <c r="N92" s="842">
        <v>67.290000000000006</v>
      </c>
      <c r="O92" s="843">
        <f t="shared" si="16"/>
        <v>2.2341376228776078E-3</v>
      </c>
      <c r="P92" s="844">
        <f t="shared" si="22"/>
        <v>3.4955811732972591E-3</v>
      </c>
      <c r="Q92" s="830"/>
      <c r="R92" s="845">
        <v>1060</v>
      </c>
      <c r="S92" s="846">
        <f t="shared" si="17"/>
        <v>4.6821981688245362E-3</v>
      </c>
      <c r="T92" s="845">
        <v>80.78</v>
      </c>
      <c r="U92" s="846">
        <f t="shared" si="18"/>
        <v>4.4764983834866268E-3</v>
      </c>
      <c r="V92" s="845">
        <v>144.5498</v>
      </c>
      <c r="W92" s="846">
        <f t="shared" si="19"/>
        <v>6.7495143845934802E-3</v>
      </c>
      <c r="X92" s="845">
        <v>42330.15</v>
      </c>
      <c r="Y92" s="846">
        <f t="shared" si="20"/>
        <v>4.0531278803213056E-4</v>
      </c>
      <c r="Z92" s="845">
        <v>5762.4849000000004</v>
      </c>
      <c r="AA92" s="846">
        <f t="shared" si="21"/>
        <v>4.2370812250689394E-3</v>
      </c>
      <c r="AB92" s="843"/>
      <c r="AC92" s="832"/>
    </row>
    <row r="93" spans="1:29" ht="14.4" x14ac:dyDescent="0.55000000000000004">
      <c r="A93" s="841" t="s">
        <v>5252</v>
      </c>
      <c r="B93" s="842">
        <v>137.78</v>
      </c>
      <c r="C93" s="843">
        <f t="shared" si="12"/>
        <v>7.3846603787379728E-3</v>
      </c>
      <c r="D93" s="842">
        <v>46.92</v>
      </c>
      <c r="E93" s="843">
        <f t="shared" si="13"/>
        <v>6.8669527896996208E-3</v>
      </c>
      <c r="F93" s="842">
        <v>34.380000000000003</v>
      </c>
      <c r="G93" s="843">
        <f t="shared" si="13"/>
        <v>7.620164126612039E-3</v>
      </c>
      <c r="H93" s="842">
        <v>40.46</v>
      </c>
      <c r="I93" s="843">
        <f t="shared" si="13"/>
        <v>9.4810379241516696E-3</v>
      </c>
      <c r="J93" s="842">
        <v>74.2</v>
      </c>
      <c r="K93" s="843">
        <f t="shared" si="14"/>
        <v>6.7842605156038793E-3</v>
      </c>
      <c r="L93" s="842">
        <v>74.52</v>
      </c>
      <c r="M93" s="843">
        <f t="shared" si="15"/>
        <v>1.0029818378964439E-2</v>
      </c>
      <c r="N93" s="842">
        <v>67.14</v>
      </c>
      <c r="O93" s="843">
        <f t="shared" si="16"/>
        <v>1.2059089538739798E-2</v>
      </c>
      <c r="P93" s="844">
        <f t="shared" si="22"/>
        <v>8.6037119503584881E-3</v>
      </c>
      <c r="Q93" s="830"/>
      <c r="R93" s="845">
        <v>1055.06</v>
      </c>
      <c r="S93" s="846">
        <f t="shared" si="17"/>
        <v>9.9650600679652701E-3</v>
      </c>
      <c r="T93" s="845">
        <v>80.42</v>
      </c>
      <c r="U93" s="846">
        <f t="shared" si="18"/>
        <v>9.9208840889113414E-3</v>
      </c>
      <c r="V93" s="845">
        <v>143.58070000000001</v>
      </c>
      <c r="W93" s="846">
        <f t="shared" si="19"/>
        <v>7.3852103550107184E-3</v>
      </c>
      <c r="X93" s="845">
        <v>42313</v>
      </c>
      <c r="Y93" s="846">
        <f t="shared" si="20"/>
        <v>3.2694639089263511E-3</v>
      </c>
      <c r="Z93" s="845">
        <v>5738.1718000000001</v>
      </c>
      <c r="AA93" s="846">
        <f t="shared" si="21"/>
        <v>-1.252191744578357E-3</v>
      </c>
      <c r="AB93" s="843"/>
      <c r="AC93" s="832"/>
    </row>
    <row r="94" spans="1:29" ht="14.4" x14ac:dyDescent="0.55000000000000004">
      <c r="A94" s="841" t="s">
        <v>5253</v>
      </c>
      <c r="B94" s="842">
        <v>136.77000000000001</v>
      </c>
      <c r="C94" s="843">
        <f t="shared" si="12"/>
        <v>1.3911260799530645E-3</v>
      </c>
      <c r="D94" s="842">
        <v>46.6</v>
      </c>
      <c r="E94" s="843">
        <f t="shared" si="13"/>
        <v>-7.2432893054963365E-3</v>
      </c>
      <c r="F94" s="842">
        <v>34.119999999999997</v>
      </c>
      <c r="G94" s="843">
        <f t="shared" si="13"/>
        <v>-1.7554125219427785E-3</v>
      </c>
      <c r="H94" s="842">
        <v>40.08</v>
      </c>
      <c r="I94" s="843">
        <f t="shared" si="13"/>
        <v>1.2490632025978776E-3</v>
      </c>
      <c r="J94" s="842">
        <v>73.7</v>
      </c>
      <c r="K94" s="843">
        <f t="shared" si="14"/>
        <v>-3.6501284304447656E-3</v>
      </c>
      <c r="L94" s="842">
        <v>73.78</v>
      </c>
      <c r="M94" s="843">
        <f t="shared" si="15"/>
        <v>-1.6528925619834656E-2</v>
      </c>
      <c r="N94" s="842">
        <v>66.34</v>
      </c>
      <c r="O94" s="843">
        <f t="shared" si="16"/>
        <v>-6.5887990416292341E-3</v>
      </c>
      <c r="P94" s="844">
        <f t="shared" si="22"/>
        <v>-4.7323379481138328E-3</v>
      </c>
      <c r="Q94" s="830"/>
      <c r="R94" s="845">
        <v>1044.6500000000001</v>
      </c>
      <c r="S94" s="846">
        <f t="shared" si="17"/>
        <v>-4.2689710042246309E-3</v>
      </c>
      <c r="T94" s="845">
        <v>79.63</v>
      </c>
      <c r="U94" s="846">
        <f t="shared" si="18"/>
        <v>-6.859565976552906E-3</v>
      </c>
      <c r="V94" s="845">
        <v>142.52809999999999</v>
      </c>
      <c r="W94" s="846">
        <f t="shared" si="19"/>
        <v>1.3911323044106805E-3</v>
      </c>
      <c r="X94" s="845">
        <v>42175.11</v>
      </c>
      <c r="Y94" s="846">
        <f t="shared" si="20"/>
        <v>6.2116558013587397E-3</v>
      </c>
      <c r="Z94" s="845">
        <v>5745.3661000000002</v>
      </c>
      <c r="AA94" s="846">
        <f t="shared" si="21"/>
        <v>4.0378272880476906E-3</v>
      </c>
      <c r="AB94" s="843"/>
      <c r="AC94" s="832"/>
    </row>
    <row r="95" spans="1:29" ht="12.75" customHeight="1" x14ac:dyDescent="0.55000000000000004">
      <c r="A95" s="841" t="s">
        <v>5254</v>
      </c>
      <c r="B95" s="842">
        <v>136.58000000000001</v>
      </c>
      <c r="C95" s="843">
        <f t="shared" si="12"/>
        <v>7.3270808909753349E-4</v>
      </c>
      <c r="D95" s="842">
        <v>46.94</v>
      </c>
      <c r="E95" s="843">
        <f t="shared" si="13"/>
        <v>-1.4890448840672033E-3</v>
      </c>
      <c r="F95" s="842">
        <v>34.18</v>
      </c>
      <c r="G95" s="843">
        <f t="shared" si="13"/>
        <v>-2.0437956204379937E-3</v>
      </c>
      <c r="H95" s="842">
        <v>40.03</v>
      </c>
      <c r="I95" s="843">
        <f t="shared" si="13"/>
        <v>7.5000000000002842E-4</v>
      </c>
      <c r="J95" s="842">
        <v>73.97</v>
      </c>
      <c r="K95" s="843">
        <f t="shared" si="14"/>
        <v>-3.6368534482758008E-3</v>
      </c>
      <c r="L95" s="842">
        <v>75.02</v>
      </c>
      <c r="M95" s="843">
        <f t="shared" si="15"/>
        <v>1.5567889535670565E-2</v>
      </c>
      <c r="N95" s="842">
        <v>66.78</v>
      </c>
      <c r="O95" s="843">
        <f t="shared" si="16"/>
        <v>-1.497230124271054E-4</v>
      </c>
      <c r="P95" s="844">
        <f t="shared" si="22"/>
        <v>1.390168665651432E-3</v>
      </c>
      <c r="Q95" s="830"/>
      <c r="R95" s="845">
        <v>1049.1287</v>
      </c>
      <c r="S95" s="846">
        <f t="shared" si="17"/>
        <v>2.2757391146810413E-4</v>
      </c>
      <c r="T95" s="845">
        <v>80.180000000000007</v>
      </c>
      <c r="U95" s="846">
        <f t="shared" si="18"/>
        <v>5.2657973921765855E-3</v>
      </c>
      <c r="V95" s="845">
        <v>142.33009999999999</v>
      </c>
      <c r="W95" s="846">
        <f t="shared" si="19"/>
        <v>7.3263730445716213E-4</v>
      </c>
      <c r="X95" s="845">
        <v>41914.75</v>
      </c>
      <c r="Y95" s="846">
        <f t="shared" si="20"/>
        <v>-6.9529110680336403E-3</v>
      </c>
      <c r="Z95" s="845">
        <v>5722.2605999999996</v>
      </c>
      <c r="AA95" s="846">
        <f t="shared" si="21"/>
        <v>-1.860602697683067E-3</v>
      </c>
      <c r="AB95" s="843"/>
      <c r="AC95" s="832"/>
    </row>
    <row r="96" spans="1:29" ht="14.4" x14ac:dyDescent="0.55000000000000004">
      <c r="A96" s="841" t="s">
        <v>5255</v>
      </c>
      <c r="B96" s="842">
        <v>136.47999999999999</v>
      </c>
      <c r="C96" s="843">
        <f t="shared" si="12"/>
        <v>-6.3341827448125665E-3</v>
      </c>
      <c r="D96" s="842">
        <v>47.01</v>
      </c>
      <c r="E96" s="843">
        <f t="shared" si="13"/>
        <v>-7.3902027027027417E-3</v>
      </c>
      <c r="F96" s="842">
        <v>34.25</v>
      </c>
      <c r="G96" s="843">
        <f t="shared" si="13"/>
        <v>-5.836008170412299E-4</v>
      </c>
      <c r="H96" s="842">
        <v>40</v>
      </c>
      <c r="I96" s="843">
        <f t="shared" si="13"/>
        <v>1.2515644555692873E-3</v>
      </c>
      <c r="J96" s="842">
        <v>74.239999999999995</v>
      </c>
      <c r="K96" s="843">
        <f t="shared" si="14"/>
        <v>-6.7303809395624636E-4</v>
      </c>
      <c r="L96" s="842">
        <v>73.87</v>
      </c>
      <c r="M96" s="843">
        <f t="shared" si="15"/>
        <v>-1.0846277450455299E-2</v>
      </c>
      <c r="N96" s="842">
        <v>66.790000000000006</v>
      </c>
      <c r="O96" s="843">
        <f t="shared" si="16"/>
        <v>-4.6199701937404969E-3</v>
      </c>
      <c r="P96" s="844">
        <f t="shared" si="22"/>
        <v>-4.1708153638770418E-3</v>
      </c>
      <c r="Q96" s="830"/>
      <c r="R96" s="845">
        <v>1048.8900000000001</v>
      </c>
      <c r="S96" s="846">
        <f t="shared" si="17"/>
        <v>-8.9384419143003768E-3</v>
      </c>
      <c r="T96" s="845">
        <v>79.760000000000005</v>
      </c>
      <c r="U96" s="846">
        <f t="shared" si="18"/>
        <v>-7.0957301132825723E-3</v>
      </c>
      <c r="V96" s="845">
        <v>142.2259</v>
      </c>
      <c r="W96" s="846">
        <f t="shared" si="19"/>
        <v>-6.3346854594970026E-3</v>
      </c>
      <c r="X96" s="845">
        <v>42208.22</v>
      </c>
      <c r="Y96" s="846">
        <f t="shared" si="20"/>
        <v>1.9838740499920071E-3</v>
      </c>
      <c r="Z96" s="845">
        <v>5732.9273000000003</v>
      </c>
      <c r="AA96" s="846">
        <f t="shared" si="21"/>
        <v>2.5112587219193738E-3</v>
      </c>
      <c r="AB96" s="843"/>
      <c r="AC96" s="832"/>
    </row>
    <row r="97" spans="1:29" ht="14.4" x14ac:dyDescent="0.55000000000000004">
      <c r="A97" s="841" t="s">
        <v>5256</v>
      </c>
      <c r="B97" s="842">
        <v>137.35</v>
      </c>
      <c r="C97" s="843">
        <f t="shared" si="12"/>
        <v>5.7850029291153238E-3</v>
      </c>
      <c r="D97" s="842">
        <v>47.36</v>
      </c>
      <c r="E97" s="843">
        <f t="shared" si="13"/>
        <v>-5.8774139378673373E-3</v>
      </c>
      <c r="F97" s="842">
        <v>34.270000000000003</v>
      </c>
      <c r="G97" s="843">
        <f t="shared" si="13"/>
        <v>5.5751173708922241E-3</v>
      </c>
      <c r="H97" s="842">
        <v>39.950000000000003</v>
      </c>
      <c r="I97" s="843">
        <f t="shared" si="13"/>
        <v>1.1904761904762085E-2</v>
      </c>
      <c r="J97" s="842">
        <v>74.290000000000006</v>
      </c>
      <c r="K97" s="843">
        <f t="shared" si="14"/>
        <v>1.0198531411476752E-2</v>
      </c>
      <c r="L97" s="842">
        <v>74.680000000000007</v>
      </c>
      <c r="M97" s="843">
        <f t="shared" si="15"/>
        <v>1.0008114687584557E-2</v>
      </c>
      <c r="N97" s="842">
        <v>67.099999999999994</v>
      </c>
      <c r="O97" s="843">
        <f t="shared" si="16"/>
        <v>8.1129807692306155E-3</v>
      </c>
      <c r="P97" s="844">
        <f t="shared" si="22"/>
        <v>6.5295850193134598E-3</v>
      </c>
      <c r="Q97" s="830"/>
      <c r="R97" s="845">
        <v>1058.3499999999999</v>
      </c>
      <c r="S97" s="846">
        <f t="shared" si="17"/>
        <v>7.1274955750528779E-3</v>
      </c>
      <c r="T97" s="845">
        <v>80.33</v>
      </c>
      <c r="U97" s="846">
        <f t="shared" si="18"/>
        <v>3.12187812187803E-3</v>
      </c>
      <c r="V97" s="845">
        <v>143.1326</v>
      </c>
      <c r="W97" s="846">
        <f t="shared" si="19"/>
        <v>5.7852859932554512E-3</v>
      </c>
      <c r="X97" s="845">
        <v>42124.65</v>
      </c>
      <c r="Y97" s="846">
        <f t="shared" si="20"/>
        <v>1.4570875935731031E-3</v>
      </c>
      <c r="Z97" s="845">
        <v>5718.5664999999999</v>
      </c>
      <c r="AA97" s="846">
        <f t="shared" si="21"/>
        <v>2.8090778233924585E-3</v>
      </c>
      <c r="AB97" s="843"/>
      <c r="AC97" s="832"/>
    </row>
    <row r="98" spans="1:29" ht="14.4" x14ac:dyDescent="0.55000000000000004">
      <c r="A98" s="841" t="s">
        <v>5257</v>
      </c>
      <c r="B98" s="842">
        <v>136.56</v>
      </c>
      <c r="C98" s="843">
        <f t="shared" si="12"/>
        <v>2.2752293577981142E-3</v>
      </c>
      <c r="D98" s="842">
        <v>47.64</v>
      </c>
      <c r="E98" s="843">
        <f t="shared" si="13"/>
        <v>-1.0484378276367501E-3</v>
      </c>
      <c r="F98" s="842">
        <v>34.08</v>
      </c>
      <c r="G98" s="843">
        <f t="shared" si="13"/>
        <v>7.3898906296185896E-3</v>
      </c>
      <c r="H98" s="842">
        <v>39.479999999999997</v>
      </c>
      <c r="I98" s="843">
        <f t="shared" si="13"/>
        <v>-1.3246688327918088E-2</v>
      </c>
      <c r="J98" s="842">
        <v>73.540000000000006</v>
      </c>
      <c r="K98" s="843">
        <f t="shared" si="14"/>
        <v>-1.3579576317218622E-3</v>
      </c>
      <c r="L98" s="842">
        <v>73.94</v>
      </c>
      <c r="M98" s="843">
        <f t="shared" si="15"/>
        <v>-4.0409482758619886E-3</v>
      </c>
      <c r="N98" s="842">
        <v>66.56</v>
      </c>
      <c r="O98" s="843">
        <f t="shared" si="16"/>
        <v>-3.145125056162823E-3</v>
      </c>
      <c r="P98" s="844">
        <f t="shared" si="22"/>
        <v>-1.8820053045549726E-3</v>
      </c>
      <c r="Q98" s="830"/>
      <c r="R98" s="845">
        <v>1050.8599999999999</v>
      </c>
      <c r="S98" s="846">
        <f t="shared" si="17"/>
        <v>8.1255576127934326E-3</v>
      </c>
      <c r="T98" s="845">
        <v>80.08</v>
      </c>
      <c r="U98" s="846">
        <f t="shared" si="18"/>
        <v>2.6403486285567768E-2</v>
      </c>
      <c r="V98" s="845">
        <v>142.30930000000001</v>
      </c>
      <c r="W98" s="846">
        <f t="shared" si="19"/>
        <v>2.2755732599366585E-3</v>
      </c>
      <c r="X98" s="845">
        <v>42063.360000000001</v>
      </c>
      <c r="Y98" s="846">
        <f t="shared" si="20"/>
        <v>9.0826478119421239E-4</v>
      </c>
      <c r="Z98" s="845">
        <v>5702.5475999999999</v>
      </c>
      <c r="AA98" s="846">
        <f t="shared" si="21"/>
        <v>-1.941581524957825E-3</v>
      </c>
      <c r="AB98" s="843"/>
      <c r="AC98" s="832"/>
    </row>
    <row r="99" spans="1:29" ht="14.4" x14ac:dyDescent="0.55000000000000004">
      <c r="A99" s="841" t="s">
        <v>5258</v>
      </c>
      <c r="B99" s="842">
        <v>136.25</v>
      </c>
      <c r="C99" s="843">
        <f t="shared" si="12"/>
        <v>-2.0508313191239802E-3</v>
      </c>
      <c r="D99" s="842">
        <v>47.69</v>
      </c>
      <c r="E99" s="843">
        <f t="shared" si="13"/>
        <v>0</v>
      </c>
      <c r="F99" s="842">
        <v>33.83</v>
      </c>
      <c r="G99" s="843">
        <f t="shared" si="13"/>
        <v>-7.0443205165835465E-3</v>
      </c>
      <c r="H99" s="842">
        <v>40.01</v>
      </c>
      <c r="I99" s="843">
        <f t="shared" si="13"/>
        <v>-1.2481278082876468E-3</v>
      </c>
      <c r="J99" s="842">
        <v>73.64</v>
      </c>
      <c r="K99" s="843">
        <f t="shared" si="14"/>
        <v>4.5014322739052037E-3</v>
      </c>
      <c r="L99" s="842">
        <v>74.239999999999995</v>
      </c>
      <c r="M99" s="843">
        <f t="shared" si="15"/>
        <v>1.130636153112663E-2</v>
      </c>
      <c r="N99" s="842">
        <v>66.77</v>
      </c>
      <c r="O99" s="843">
        <f t="shared" si="16"/>
        <v>-4.4910179640722525E-4</v>
      </c>
      <c r="P99" s="844">
        <f t="shared" si="22"/>
        <v>7.1648748066134777E-4</v>
      </c>
      <c r="Q99" s="830"/>
      <c r="R99" s="845">
        <v>1042.3900000000001</v>
      </c>
      <c r="S99" s="846">
        <f t="shared" si="17"/>
        <v>-7.3043445136466989E-3</v>
      </c>
      <c r="T99" s="845">
        <v>78.02</v>
      </c>
      <c r="U99" s="846">
        <f t="shared" si="18"/>
        <v>-5.8613659531091544E-3</v>
      </c>
      <c r="V99" s="845">
        <v>141.9862</v>
      </c>
      <c r="W99" s="846">
        <f t="shared" si="19"/>
        <v>-2.0509144070059993E-3</v>
      </c>
      <c r="X99" s="845">
        <v>42025.19</v>
      </c>
      <c r="Y99" s="846">
        <f t="shared" si="20"/>
        <v>1.2579542251060838E-2</v>
      </c>
      <c r="Z99" s="845">
        <v>5713.6410999999998</v>
      </c>
      <c r="AA99" s="846">
        <f t="shared" si="21"/>
        <v>1.6977163210168733E-2</v>
      </c>
      <c r="AB99" s="843"/>
      <c r="AC99" s="832"/>
    </row>
    <row r="100" spans="1:29" ht="14.4" x14ac:dyDescent="0.55000000000000004">
      <c r="A100" s="841" t="s">
        <v>5259</v>
      </c>
      <c r="B100" s="842">
        <v>136.53</v>
      </c>
      <c r="C100" s="843">
        <f t="shared" si="12"/>
        <v>-1.1726384364820874E-2</v>
      </c>
      <c r="D100" s="842">
        <v>47.69</v>
      </c>
      <c r="E100" s="843">
        <f t="shared" si="13"/>
        <v>-6.8721366097460601E-3</v>
      </c>
      <c r="F100" s="842">
        <v>34.07</v>
      </c>
      <c r="G100" s="843">
        <f t="shared" si="13"/>
        <v>-3.2182562902282053E-3</v>
      </c>
      <c r="H100" s="842">
        <v>40.06</v>
      </c>
      <c r="I100" s="843">
        <f t="shared" si="13"/>
        <v>-1.0619906149666569E-2</v>
      </c>
      <c r="J100" s="842">
        <v>73.31</v>
      </c>
      <c r="K100" s="843">
        <f t="shared" si="14"/>
        <v>-2.8563656147986283E-3</v>
      </c>
      <c r="L100" s="842">
        <v>73.41</v>
      </c>
      <c r="M100" s="843">
        <f t="shared" si="15"/>
        <v>-4.7451193058569707E-3</v>
      </c>
      <c r="N100" s="842">
        <v>66.8</v>
      </c>
      <c r="O100" s="843">
        <f t="shared" si="16"/>
        <v>-1.7931858936043321E-3</v>
      </c>
      <c r="P100" s="844">
        <f t="shared" si="22"/>
        <v>-5.975907746960234E-3</v>
      </c>
      <c r="Q100" s="830"/>
      <c r="R100" s="845">
        <v>1050.06</v>
      </c>
      <c r="S100" s="846">
        <f t="shared" si="17"/>
        <v>-8.7508141938772432E-3</v>
      </c>
      <c r="T100" s="845">
        <v>78.48</v>
      </c>
      <c r="U100" s="846">
        <f t="shared" si="18"/>
        <v>-7.587253414263917E-3</v>
      </c>
      <c r="V100" s="845">
        <v>142.27799999999999</v>
      </c>
      <c r="W100" s="846">
        <f t="shared" si="19"/>
        <v>-1.1726363549221963E-2</v>
      </c>
      <c r="X100" s="845">
        <v>41503.1</v>
      </c>
      <c r="Y100" s="846">
        <f t="shared" si="20"/>
        <v>-2.4775165612416217E-3</v>
      </c>
      <c r="Z100" s="845">
        <v>5618.259</v>
      </c>
      <c r="AA100" s="846">
        <f t="shared" si="21"/>
        <v>-2.8966487016495179E-3</v>
      </c>
      <c r="AB100" s="843"/>
      <c r="AC100" s="832"/>
    </row>
    <row r="101" spans="1:29" ht="14.4" x14ac:dyDescent="0.55000000000000004">
      <c r="A101" s="841" t="s">
        <v>5260</v>
      </c>
      <c r="B101" s="842">
        <v>138.15</v>
      </c>
      <c r="C101" s="843">
        <f t="shared" si="12"/>
        <v>-8.6786721631593178E-4</v>
      </c>
      <c r="D101" s="842">
        <v>48.02</v>
      </c>
      <c r="E101" s="843">
        <f t="shared" si="13"/>
        <v>4.166666666667318E-4</v>
      </c>
      <c r="F101" s="842">
        <v>34.18</v>
      </c>
      <c r="G101" s="843">
        <f t="shared" si="13"/>
        <v>-5.8173356602676529E-3</v>
      </c>
      <c r="H101" s="842">
        <v>40.49</v>
      </c>
      <c r="I101" s="843">
        <f t="shared" si="13"/>
        <v>-2.9549372075843294E-3</v>
      </c>
      <c r="J101" s="842">
        <v>73.52</v>
      </c>
      <c r="K101" s="843">
        <f t="shared" si="14"/>
        <v>-3.9290069096329372E-3</v>
      </c>
      <c r="L101" s="842">
        <v>73.760000000000005</v>
      </c>
      <c r="M101" s="843">
        <f t="shared" si="15"/>
        <v>9.8576122672509037E-3</v>
      </c>
      <c r="N101" s="842">
        <v>66.92</v>
      </c>
      <c r="O101" s="843">
        <f t="shared" si="16"/>
        <v>-4.4809559372671615E-4</v>
      </c>
      <c r="P101" s="844">
        <f t="shared" si="22"/>
        <v>-5.347090933728474E-4</v>
      </c>
      <c r="Q101" s="830"/>
      <c r="R101" s="845">
        <v>1059.33</v>
      </c>
      <c r="S101" s="846">
        <f t="shared" si="17"/>
        <v>-1.5833969519609692E-3</v>
      </c>
      <c r="T101" s="845">
        <v>79.08</v>
      </c>
      <c r="U101" s="846">
        <f t="shared" si="18"/>
        <v>-7.5815011372259988E-4</v>
      </c>
      <c r="V101" s="845">
        <v>143.96619999999999</v>
      </c>
      <c r="W101" s="846">
        <f t="shared" si="19"/>
        <v>-8.6819953737671263E-4</v>
      </c>
      <c r="X101" s="845">
        <v>41606.18</v>
      </c>
      <c r="Y101" s="846">
        <f t="shared" si="20"/>
        <v>-3.8200877995531179E-4</v>
      </c>
      <c r="Z101" s="845">
        <v>5634.5803999999998</v>
      </c>
      <c r="AA101" s="846">
        <f t="shared" si="21"/>
        <v>2.6497012881621096E-4</v>
      </c>
      <c r="AB101" s="843"/>
      <c r="AC101" s="832"/>
    </row>
    <row r="102" spans="1:29" ht="14.4" x14ac:dyDescent="0.55000000000000004">
      <c r="A102" s="841" t="s">
        <v>5261</v>
      </c>
      <c r="B102" s="842">
        <v>138.27000000000001</v>
      </c>
      <c r="C102" s="843">
        <f t="shared" si="12"/>
        <v>9.4911294444040006E-3</v>
      </c>
      <c r="D102" s="842">
        <v>48</v>
      </c>
      <c r="E102" s="843">
        <f t="shared" si="13"/>
        <v>7.7682133109384655E-3</v>
      </c>
      <c r="F102" s="842">
        <v>34.380000000000003</v>
      </c>
      <c r="G102" s="843">
        <f t="shared" si="13"/>
        <v>9.3951849677040844E-3</v>
      </c>
      <c r="H102" s="842">
        <v>40.61</v>
      </c>
      <c r="I102" s="843">
        <f t="shared" si="13"/>
        <v>6.9427225390528147E-3</v>
      </c>
      <c r="J102" s="842">
        <v>73.81</v>
      </c>
      <c r="K102" s="843">
        <f t="shared" si="14"/>
        <v>1.5827140104596849E-2</v>
      </c>
      <c r="L102" s="842">
        <v>73.040000000000006</v>
      </c>
      <c r="M102" s="843">
        <f t="shared" si="15"/>
        <v>1.0654490106545067E-2</v>
      </c>
      <c r="N102" s="842">
        <v>66.95</v>
      </c>
      <c r="O102" s="843">
        <f t="shared" si="16"/>
        <v>1.0108630054314949E-2</v>
      </c>
      <c r="P102" s="844">
        <f t="shared" si="22"/>
        <v>1.0026787218222319E-2</v>
      </c>
      <c r="Q102" s="830"/>
      <c r="R102" s="845">
        <v>1061.01</v>
      </c>
      <c r="S102" s="846">
        <f t="shared" si="17"/>
        <v>6.2212527858125366E-3</v>
      </c>
      <c r="T102" s="845">
        <v>79.14</v>
      </c>
      <c r="U102" s="846">
        <f t="shared" si="18"/>
        <v>7.6394194041251584E-3</v>
      </c>
      <c r="V102" s="845">
        <v>144.09129999999999</v>
      </c>
      <c r="W102" s="846">
        <f t="shared" si="19"/>
        <v>9.4909084285319523E-3</v>
      </c>
      <c r="X102" s="845">
        <v>41622.080000000002</v>
      </c>
      <c r="Y102" s="846">
        <f t="shared" si="20"/>
        <v>5.5153213840339887E-3</v>
      </c>
      <c r="Z102" s="845">
        <v>5633.0878000000002</v>
      </c>
      <c r="AA102" s="846">
        <f t="shared" si="21"/>
        <v>1.2565191305979884E-3</v>
      </c>
      <c r="AB102" s="843"/>
      <c r="AC102" s="832"/>
    </row>
    <row r="103" spans="1:29" ht="14.4" x14ac:dyDescent="0.55000000000000004">
      <c r="A103" s="841" t="s">
        <v>5262</v>
      </c>
      <c r="B103" s="842">
        <v>136.97</v>
      </c>
      <c r="C103" s="843">
        <f t="shared" si="12"/>
        <v>1.6324107739110971E-2</v>
      </c>
      <c r="D103" s="842">
        <v>47.63</v>
      </c>
      <c r="E103" s="843">
        <f t="shared" si="13"/>
        <v>2.562446167097332E-2</v>
      </c>
      <c r="F103" s="842">
        <v>34.06</v>
      </c>
      <c r="G103" s="843">
        <f t="shared" si="13"/>
        <v>1.2786202795123325E-2</v>
      </c>
      <c r="H103" s="842">
        <v>40.33</v>
      </c>
      <c r="I103" s="843">
        <f t="shared" si="13"/>
        <v>2.6208651399491023E-2</v>
      </c>
      <c r="J103" s="842">
        <v>72.66</v>
      </c>
      <c r="K103" s="843">
        <f t="shared" si="14"/>
        <v>2.1079258010118007E-2</v>
      </c>
      <c r="L103" s="842">
        <v>72.27</v>
      </c>
      <c r="M103" s="843">
        <f t="shared" si="15"/>
        <v>3.3757688456587109E-2</v>
      </c>
      <c r="N103" s="842">
        <v>66.28</v>
      </c>
      <c r="O103" s="843">
        <f t="shared" si="16"/>
        <v>1.9535456083679348E-2</v>
      </c>
      <c r="P103" s="844">
        <f t="shared" si="22"/>
        <v>2.2187975165011871E-2</v>
      </c>
      <c r="Q103" s="830"/>
      <c r="R103" s="845">
        <v>1054.45</v>
      </c>
      <c r="S103" s="846">
        <f t="shared" si="17"/>
        <v>1.1268821329241341E-2</v>
      </c>
      <c r="T103" s="845">
        <v>78.540000000000006</v>
      </c>
      <c r="U103" s="846">
        <f t="shared" si="18"/>
        <v>1.4073595868302258E-2</v>
      </c>
      <c r="V103" s="845">
        <v>142.73660000000001</v>
      </c>
      <c r="W103" s="846">
        <f t="shared" si="19"/>
        <v>1.6324667714297192E-2</v>
      </c>
      <c r="X103" s="845">
        <v>41393.78</v>
      </c>
      <c r="Y103" s="846">
        <f t="shared" si="20"/>
        <v>7.2270886495460207E-3</v>
      </c>
      <c r="Z103" s="845">
        <v>5626.0186000000003</v>
      </c>
      <c r="AA103" s="846">
        <f t="shared" si="21"/>
        <v>5.4067867593046159E-3</v>
      </c>
      <c r="AB103" s="843"/>
      <c r="AC103" s="832"/>
    </row>
    <row r="104" spans="1:29" ht="14.4" x14ac:dyDescent="0.55000000000000004">
      <c r="A104" s="841" t="s">
        <v>5263</v>
      </c>
      <c r="B104" s="842">
        <v>134.77000000000001</v>
      </c>
      <c r="C104" s="843">
        <f t="shared" si="12"/>
        <v>-7.4194984418962662E-5</v>
      </c>
      <c r="D104" s="842">
        <v>46.44</v>
      </c>
      <c r="E104" s="843">
        <f t="shared" si="13"/>
        <v>3.240440699935121E-3</v>
      </c>
      <c r="F104" s="842">
        <v>33.630000000000003</v>
      </c>
      <c r="G104" s="843">
        <f t="shared" si="13"/>
        <v>2.0858164481525332E-3</v>
      </c>
      <c r="H104" s="842">
        <v>39.299999999999997</v>
      </c>
      <c r="I104" s="843">
        <f t="shared" si="13"/>
        <v>6.4020486555698142E-3</v>
      </c>
      <c r="J104" s="842">
        <v>71.16</v>
      </c>
      <c r="K104" s="843">
        <f t="shared" si="14"/>
        <v>6.5063649222063535E-3</v>
      </c>
      <c r="L104" s="842">
        <v>69.91</v>
      </c>
      <c r="M104" s="843">
        <f t="shared" si="15"/>
        <v>4.5983618335967424E-3</v>
      </c>
      <c r="N104" s="842">
        <v>65.010000000000005</v>
      </c>
      <c r="O104" s="843">
        <f t="shared" si="16"/>
        <v>3.7054191755443444E-3</v>
      </c>
      <c r="P104" s="844">
        <f t="shared" si="22"/>
        <v>3.7806081072265635E-3</v>
      </c>
      <c r="Q104" s="830"/>
      <c r="R104" s="845">
        <v>1042.7</v>
      </c>
      <c r="S104" s="846">
        <f t="shared" si="17"/>
        <v>1.3348570550557604E-3</v>
      </c>
      <c r="T104" s="845">
        <v>77.45</v>
      </c>
      <c r="U104" s="846">
        <f t="shared" si="18"/>
        <v>2.1997929606625277E-3</v>
      </c>
      <c r="V104" s="845">
        <v>140.44390000000001</v>
      </c>
      <c r="W104" s="846">
        <f t="shared" si="19"/>
        <v>-7.4757358971888621E-5</v>
      </c>
      <c r="X104" s="845">
        <v>41096.769999999997</v>
      </c>
      <c r="Y104" s="846">
        <f t="shared" si="20"/>
        <v>5.7525737420189849E-3</v>
      </c>
      <c r="Z104" s="845">
        <v>5595.7635</v>
      </c>
      <c r="AA104" s="846">
        <f t="shared" si="21"/>
        <v>7.4955181118836478E-3</v>
      </c>
      <c r="AB104" s="843"/>
      <c r="AC104" s="832"/>
    </row>
    <row r="105" spans="1:29" ht="14.4" x14ac:dyDescent="0.55000000000000004">
      <c r="A105" s="841" t="s">
        <v>5264</v>
      </c>
      <c r="B105" s="842">
        <v>134.78</v>
      </c>
      <c r="C105" s="843">
        <f t="shared" si="12"/>
        <v>-1.042584434654914E-2</v>
      </c>
      <c r="D105" s="842">
        <v>46.29</v>
      </c>
      <c r="E105" s="843">
        <f t="shared" si="13"/>
        <v>-1.3847464848742996E-2</v>
      </c>
      <c r="F105" s="842">
        <v>33.56</v>
      </c>
      <c r="G105" s="843">
        <f t="shared" si="13"/>
        <v>1.4920919128620369E-3</v>
      </c>
      <c r="H105" s="842">
        <v>39.049999999999997</v>
      </c>
      <c r="I105" s="843">
        <f t="shared" si="13"/>
        <v>-1.13924050632912E-2</v>
      </c>
      <c r="J105" s="842">
        <v>70.7</v>
      </c>
      <c r="K105" s="843">
        <f t="shared" si="14"/>
        <v>1.0144306329475716E-2</v>
      </c>
      <c r="L105" s="842">
        <v>69.59</v>
      </c>
      <c r="M105" s="843">
        <f t="shared" si="15"/>
        <v>-1.3747165532879801E-2</v>
      </c>
      <c r="N105" s="842">
        <v>64.77</v>
      </c>
      <c r="O105" s="843">
        <f t="shared" si="16"/>
        <v>-3.1983261096996007E-2</v>
      </c>
      <c r="P105" s="844">
        <f t="shared" si="22"/>
        <v>-9.9656775208744851E-3</v>
      </c>
      <c r="Q105" s="830"/>
      <c r="R105" s="845">
        <v>1041.31</v>
      </c>
      <c r="S105" s="846">
        <f t="shared" si="17"/>
        <v>-2.2803706081309105E-3</v>
      </c>
      <c r="T105" s="845">
        <v>77.28</v>
      </c>
      <c r="U105" s="846">
        <f t="shared" si="18"/>
        <v>3.1152647975076775E-3</v>
      </c>
      <c r="V105" s="845">
        <v>140.45439999999999</v>
      </c>
      <c r="W105" s="846">
        <f t="shared" si="19"/>
        <v>-1.0425260737201292E-2</v>
      </c>
      <c r="X105" s="845">
        <v>40861.71</v>
      </c>
      <c r="Y105" s="846">
        <f t="shared" si="20"/>
        <v>3.0623296387359833E-3</v>
      </c>
      <c r="Z105" s="845">
        <v>5554.1324000000004</v>
      </c>
      <c r="AA105" s="846">
        <f t="shared" si="21"/>
        <v>1.0665597868692922E-2</v>
      </c>
      <c r="AB105" s="843"/>
      <c r="AC105" s="832"/>
    </row>
    <row r="106" spans="1:29" ht="14.4" x14ac:dyDescent="0.55000000000000004">
      <c r="A106" s="841" t="s">
        <v>5265</v>
      </c>
      <c r="B106" s="842">
        <v>136.19999999999999</v>
      </c>
      <c r="C106" s="843">
        <f t="shared" si="12"/>
        <v>1.7937219730941534E-2</v>
      </c>
      <c r="D106" s="842">
        <v>46.94</v>
      </c>
      <c r="E106" s="843">
        <f t="shared" si="13"/>
        <v>1.5797446440164453E-2</v>
      </c>
      <c r="F106" s="842">
        <v>33.51</v>
      </c>
      <c r="G106" s="843">
        <f t="shared" si="13"/>
        <v>1.7937219730941312E-3</v>
      </c>
      <c r="H106" s="842">
        <v>39.5</v>
      </c>
      <c r="I106" s="843">
        <f t="shared" si="13"/>
        <v>1.4381099126861807E-2</v>
      </c>
      <c r="J106" s="842">
        <v>69.989999999999995</v>
      </c>
      <c r="K106" s="843">
        <f t="shared" si="14"/>
        <v>1.8184463194646394E-2</v>
      </c>
      <c r="L106" s="842">
        <v>70.56</v>
      </c>
      <c r="M106" s="843">
        <f t="shared" si="15"/>
        <v>3.5211267605633978E-2</v>
      </c>
      <c r="N106" s="842">
        <v>66.91</v>
      </c>
      <c r="O106" s="843">
        <f t="shared" si="16"/>
        <v>1.7797383632491615E-2</v>
      </c>
      <c r="P106" s="844">
        <f t="shared" si="22"/>
        <v>1.7300371671976272E-2</v>
      </c>
      <c r="Q106" s="830"/>
      <c r="R106" s="845">
        <v>1043.69</v>
      </c>
      <c r="S106" s="846">
        <f t="shared" si="17"/>
        <v>3.6349299458606765E-3</v>
      </c>
      <c r="T106" s="845">
        <v>77.040000000000006</v>
      </c>
      <c r="U106" s="846">
        <f t="shared" si="18"/>
        <v>4.6948356807512415E-3</v>
      </c>
      <c r="V106" s="845">
        <v>141.9341</v>
      </c>
      <c r="W106" s="846">
        <f t="shared" si="19"/>
        <v>1.7936917417743725E-2</v>
      </c>
      <c r="X106" s="845">
        <v>40736.959999999999</v>
      </c>
      <c r="Y106" s="846">
        <f t="shared" si="20"/>
        <v>-2.2686977753143545E-3</v>
      </c>
      <c r="Z106" s="845">
        <v>5495.5194000000001</v>
      </c>
      <c r="AA106" s="846">
        <f t="shared" si="21"/>
        <v>4.4722665190095601E-3</v>
      </c>
      <c r="AB106" s="843"/>
      <c r="AC106" s="832"/>
    </row>
    <row r="107" spans="1:29" ht="14.4" x14ac:dyDescent="0.55000000000000004">
      <c r="A107" s="841" t="s">
        <v>5266</v>
      </c>
      <c r="B107" s="842">
        <v>133.80000000000001</v>
      </c>
      <c r="C107" s="843">
        <f t="shared" si="12"/>
        <v>2.2935779816513735E-2</v>
      </c>
      <c r="D107" s="842">
        <v>46.21</v>
      </c>
      <c r="E107" s="843">
        <f t="shared" si="13"/>
        <v>3.9104931566369405E-3</v>
      </c>
      <c r="F107" s="842">
        <v>33.450000000000003</v>
      </c>
      <c r="G107" s="843">
        <f t="shared" si="13"/>
        <v>7.5301204819278045E-3</v>
      </c>
      <c r="H107" s="842">
        <v>38.94</v>
      </c>
      <c r="I107" s="843">
        <f t="shared" si="13"/>
        <v>-7.1392146863845651E-3</v>
      </c>
      <c r="J107" s="842">
        <v>68.739999999999995</v>
      </c>
      <c r="K107" s="843">
        <f t="shared" si="14"/>
        <v>2.3330417031204309E-3</v>
      </c>
      <c r="L107" s="842">
        <v>68.16</v>
      </c>
      <c r="M107" s="843">
        <f t="shared" si="15"/>
        <v>-4.8182216381953413E-3</v>
      </c>
      <c r="N107" s="842">
        <v>65.739999999999995</v>
      </c>
      <c r="O107" s="843">
        <f t="shared" si="16"/>
        <v>3.0515715593528725E-3</v>
      </c>
      <c r="P107" s="844">
        <f t="shared" si="22"/>
        <v>3.9719386275674107E-3</v>
      </c>
      <c r="Q107" s="830"/>
      <c r="R107" s="845">
        <v>1039.9100000000001</v>
      </c>
      <c r="S107" s="846">
        <f t="shared" si="17"/>
        <v>1.075969052525183E-2</v>
      </c>
      <c r="T107" s="845">
        <v>76.680000000000007</v>
      </c>
      <c r="U107" s="846">
        <f t="shared" si="18"/>
        <v>1.014359109471763E-2</v>
      </c>
      <c r="V107" s="845">
        <v>139.4331</v>
      </c>
      <c r="W107" s="846">
        <f t="shared" si="19"/>
        <v>2.2935759624611363E-2</v>
      </c>
      <c r="X107" s="845">
        <v>40829.589999999997</v>
      </c>
      <c r="Y107" s="846">
        <f t="shared" si="20"/>
        <v>1.2000869491721522E-2</v>
      </c>
      <c r="Z107" s="845">
        <v>5471.0514000000003</v>
      </c>
      <c r="AA107" s="846">
        <f t="shared" si="21"/>
        <v>1.1579957858688594E-2</v>
      </c>
      <c r="AB107" s="843"/>
      <c r="AC107" s="832"/>
    </row>
    <row r="108" spans="1:29" ht="14.4" x14ac:dyDescent="0.55000000000000004">
      <c r="A108" s="841" t="s">
        <v>5267</v>
      </c>
      <c r="B108" s="842">
        <v>130.80000000000001</v>
      </c>
      <c r="C108" s="843">
        <f t="shared" si="12"/>
        <v>-4.7176989803681124E-3</v>
      </c>
      <c r="D108" s="842">
        <v>46.03</v>
      </c>
      <c r="E108" s="843">
        <f t="shared" si="13"/>
        <v>-7.9741379310344085E-3</v>
      </c>
      <c r="F108" s="842">
        <v>33.200000000000003</v>
      </c>
      <c r="G108" s="843">
        <f t="shared" si="13"/>
        <v>-5.9880239520956335E-3</v>
      </c>
      <c r="H108" s="842">
        <v>39.22</v>
      </c>
      <c r="I108" s="843">
        <f t="shared" si="13"/>
        <v>-2.0724094881398258E-2</v>
      </c>
      <c r="J108" s="842">
        <v>68.58</v>
      </c>
      <c r="K108" s="843">
        <f t="shared" si="14"/>
        <v>-1.6633209062231091E-2</v>
      </c>
      <c r="L108" s="842">
        <v>68.489999999999995</v>
      </c>
      <c r="M108" s="843">
        <f t="shared" si="15"/>
        <v>-2.3106546854942289E-2</v>
      </c>
      <c r="N108" s="842">
        <v>65.540000000000006</v>
      </c>
      <c r="O108" s="843">
        <f t="shared" si="16"/>
        <v>-6.3674954517888294E-3</v>
      </c>
      <c r="P108" s="844">
        <f t="shared" si="22"/>
        <v>-1.2215886730551231E-2</v>
      </c>
      <c r="Q108" s="830"/>
      <c r="R108" s="845">
        <v>1028.8399999999999</v>
      </c>
      <c r="S108" s="846">
        <f t="shared" si="17"/>
        <v>-7.5913225492183489E-3</v>
      </c>
      <c r="T108" s="845">
        <v>75.91</v>
      </c>
      <c r="U108" s="846">
        <f t="shared" si="18"/>
        <v>-9.5250521920668962E-3</v>
      </c>
      <c r="V108" s="845">
        <v>136.30680000000001</v>
      </c>
      <c r="W108" s="846">
        <f t="shared" si="19"/>
        <v>-4.7176803119903798E-3</v>
      </c>
      <c r="X108" s="845">
        <v>40345.410000000003</v>
      </c>
      <c r="Y108" s="846">
        <f t="shared" si="20"/>
        <v>-1.0068272575035286E-2</v>
      </c>
      <c r="Z108" s="845">
        <v>5408.4220999999998</v>
      </c>
      <c r="AA108" s="846">
        <f t="shared" si="21"/>
        <v>-1.7259576183385694E-2</v>
      </c>
      <c r="AB108" s="843"/>
      <c r="AC108" s="832"/>
    </row>
    <row r="109" spans="1:29" ht="14.4" x14ac:dyDescent="0.55000000000000004">
      <c r="A109" s="841" t="s">
        <v>5268</v>
      </c>
      <c r="B109" s="842">
        <v>131.41999999999999</v>
      </c>
      <c r="C109" s="843">
        <f t="shared" si="12"/>
        <v>-5.9001512859304661E-3</v>
      </c>
      <c r="D109" s="842">
        <v>46.4</v>
      </c>
      <c r="E109" s="843">
        <f t="shared" si="13"/>
        <v>1.7271157167528806E-3</v>
      </c>
      <c r="F109" s="842">
        <v>33.4</v>
      </c>
      <c r="G109" s="843">
        <f t="shared" si="13"/>
        <v>5.4184226369655697E-3</v>
      </c>
      <c r="H109" s="842">
        <v>40.049999999999997</v>
      </c>
      <c r="I109" s="843">
        <f t="shared" si="13"/>
        <v>8.5620750440693616E-3</v>
      </c>
      <c r="J109" s="842">
        <v>69.739999999999995</v>
      </c>
      <c r="K109" s="843">
        <f t="shared" si="14"/>
        <v>-4.8515981735159919E-3</v>
      </c>
      <c r="L109" s="842">
        <v>70.11</v>
      </c>
      <c r="M109" s="843">
        <f t="shared" si="15"/>
        <v>-1.4755480607082538E-2</v>
      </c>
      <c r="N109" s="842">
        <v>65.959999999999994</v>
      </c>
      <c r="O109" s="843">
        <f t="shared" si="16"/>
        <v>2.431610942249085E-3</v>
      </c>
      <c r="P109" s="844">
        <f t="shared" si="22"/>
        <v>-1.0525722466417284E-3</v>
      </c>
      <c r="Q109" s="830"/>
      <c r="R109" s="845">
        <v>1036.71</v>
      </c>
      <c r="S109" s="846">
        <f t="shared" si="17"/>
        <v>-1.4544123596155201E-3</v>
      </c>
      <c r="T109" s="845">
        <v>76.64</v>
      </c>
      <c r="U109" s="846">
        <f t="shared" si="18"/>
        <v>-2.4729923207080784E-3</v>
      </c>
      <c r="V109" s="845">
        <v>136.9529</v>
      </c>
      <c r="W109" s="846">
        <f t="shared" si="19"/>
        <v>-5.8998720291045803E-3</v>
      </c>
      <c r="X109" s="845">
        <v>40755.75</v>
      </c>
      <c r="Y109" s="846">
        <f t="shared" si="20"/>
        <v>-5.3500954363114861E-3</v>
      </c>
      <c r="Z109" s="845">
        <v>5503.4085999999998</v>
      </c>
      <c r="AA109" s="846">
        <f t="shared" si="21"/>
        <v>-3.0179339463910493E-3</v>
      </c>
      <c r="AB109" s="843"/>
      <c r="AC109" s="832"/>
    </row>
    <row r="110" spans="1:29" ht="14.4" x14ac:dyDescent="0.55000000000000004">
      <c r="A110" s="841" t="s">
        <v>5269</v>
      </c>
      <c r="B110" s="842">
        <v>132.19999999999999</v>
      </c>
      <c r="C110" s="843">
        <f t="shared" si="12"/>
        <v>2.6545316647705874E-3</v>
      </c>
      <c r="D110" s="842">
        <v>46.32</v>
      </c>
      <c r="E110" s="843">
        <f t="shared" si="13"/>
        <v>2.1593608291947675E-4</v>
      </c>
      <c r="F110" s="842">
        <v>33.22</v>
      </c>
      <c r="G110" s="843">
        <f t="shared" si="13"/>
        <v>9.0388671286545375E-4</v>
      </c>
      <c r="H110" s="842">
        <v>39.71</v>
      </c>
      <c r="I110" s="843">
        <f t="shared" si="13"/>
        <v>2.2715800100960859E-3</v>
      </c>
      <c r="J110" s="842">
        <v>70.08</v>
      </c>
      <c r="K110" s="843">
        <f t="shared" si="14"/>
        <v>8.0552359033372323E-3</v>
      </c>
      <c r="L110" s="842">
        <v>71.16</v>
      </c>
      <c r="M110" s="843">
        <f t="shared" si="15"/>
        <v>-9.189640768588081E-3</v>
      </c>
      <c r="N110" s="842">
        <v>65.8</v>
      </c>
      <c r="O110" s="843">
        <f t="shared" si="16"/>
        <v>-5.2910052910054572E-3</v>
      </c>
      <c r="P110" s="844">
        <f t="shared" si="22"/>
        <v>-5.4210812229243164E-5</v>
      </c>
      <c r="Q110" s="830"/>
      <c r="R110" s="845">
        <v>1038.22</v>
      </c>
      <c r="S110" s="846">
        <f t="shared" si="17"/>
        <v>7.9218686290118967E-3</v>
      </c>
      <c r="T110" s="845">
        <v>76.83</v>
      </c>
      <c r="U110" s="846">
        <f t="shared" si="18"/>
        <v>8.5324232081909201E-3</v>
      </c>
      <c r="V110" s="845">
        <v>137.76570000000001</v>
      </c>
      <c r="W110" s="846">
        <f t="shared" si="19"/>
        <v>2.6542747141578005E-3</v>
      </c>
      <c r="X110" s="845">
        <v>40974.97</v>
      </c>
      <c r="Y110" s="846">
        <f t="shared" si="20"/>
        <v>9.2923431239233523E-4</v>
      </c>
      <c r="Z110" s="845">
        <v>5520.0677999999998</v>
      </c>
      <c r="AA110" s="846">
        <f t="shared" si="21"/>
        <v>-1.6034919140101023E-3</v>
      </c>
      <c r="AB110" s="843"/>
      <c r="AC110" s="832"/>
    </row>
    <row r="111" spans="1:29" ht="14.4" x14ac:dyDescent="0.55000000000000004">
      <c r="A111" s="841" t="s">
        <v>5270</v>
      </c>
      <c r="B111" s="842">
        <v>131.85</v>
      </c>
      <c r="C111" s="843">
        <f t="shared" si="12"/>
        <v>8.4901330885727155E-3</v>
      </c>
      <c r="D111" s="842">
        <v>46.31</v>
      </c>
      <c r="E111" s="843">
        <f t="shared" si="13"/>
        <v>0</v>
      </c>
      <c r="F111" s="842">
        <v>33.19</v>
      </c>
      <c r="G111" s="843">
        <f t="shared" si="13"/>
        <v>3.9322444041136606E-3</v>
      </c>
      <c r="H111" s="842">
        <v>39.619999999999997</v>
      </c>
      <c r="I111" s="843">
        <f t="shared" si="13"/>
        <v>-1.4917951268025864E-2</v>
      </c>
      <c r="J111" s="842">
        <v>69.52</v>
      </c>
      <c r="K111" s="843">
        <f t="shared" si="14"/>
        <v>8.4131128517550557E-3</v>
      </c>
      <c r="L111" s="842">
        <v>71.819999999999993</v>
      </c>
      <c r="M111" s="843">
        <f t="shared" si="15"/>
        <v>-1.2376237623762498E-2</v>
      </c>
      <c r="N111" s="842">
        <v>66.150000000000006</v>
      </c>
      <c r="O111" s="843">
        <f t="shared" si="16"/>
        <v>2.7285129604366354E-3</v>
      </c>
      <c r="P111" s="844">
        <f t="shared" si="22"/>
        <v>-5.3288365527289926E-4</v>
      </c>
      <c r="Q111" s="830"/>
      <c r="R111" s="845">
        <v>1030.06</v>
      </c>
      <c r="S111" s="846">
        <f t="shared" si="17"/>
        <v>9.0120094822012664E-3</v>
      </c>
      <c r="T111" s="845">
        <v>76.180000000000007</v>
      </c>
      <c r="U111" s="846">
        <f t="shared" si="18"/>
        <v>-1.441866561803673E-3</v>
      </c>
      <c r="V111" s="845">
        <v>137.40100000000001</v>
      </c>
      <c r="W111" s="846">
        <f t="shared" si="19"/>
        <v>8.4898964580537584E-3</v>
      </c>
      <c r="X111" s="845">
        <v>40936.93</v>
      </c>
      <c r="Y111" s="846">
        <f t="shared" si="20"/>
        <v>-1.5065052926780287E-2</v>
      </c>
      <c r="Z111" s="845">
        <v>5528.9333999999999</v>
      </c>
      <c r="AA111" s="846">
        <f t="shared" si="21"/>
        <v>-2.1150035270182554E-2</v>
      </c>
      <c r="AB111" s="843"/>
      <c r="AC111" s="832"/>
    </row>
    <row r="112" spans="1:29" ht="14.4" x14ac:dyDescent="0.55000000000000004">
      <c r="A112" s="841" t="s">
        <v>5271</v>
      </c>
      <c r="B112" s="842">
        <v>130.74</v>
      </c>
      <c r="C112" s="843">
        <f t="shared" si="12"/>
        <v>1.043357291908209E-2</v>
      </c>
      <c r="D112" s="842">
        <v>46.31</v>
      </c>
      <c r="E112" s="843">
        <f t="shared" si="13"/>
        <v>1.4457831325301207E-2</v>
      </c>
      <c r="F112" s="842">
        <v>33.06</v>
      </c>
      <c r="G112" s="843">
        <f t="shared" si="13"/>
        <v>7.3126142595978383E-3</v>
      </c>
      <c r="H112" s="842">
        <v>40.22</v>
      </c>
      <c r="I112" s="843">
        <f t="shared" si="13"/>
        <v>1.7434620174345827E-3</v>
      </c>
      <c r="J112" s="842">
        <v>68.94</v>
      </c>
      <c r="K112" s="843">
        <f t="shared" si="14"/>
        <v>1.0998680158381013E-2</v>
      </c>
      <c r="L112" s="842">
        <v>72.72</v>
      </c>
      <c r="M112" s="843">
        <f t="shared" si="15"/>
        <v>1.4792073681272777E-2</v>
      </c>
      <c r="N112" s="842">
        <v>65.97</v>
      </c>
      <c r="O112" s="843">
        <f t="shared" si="16"/>
        <v>7.7910174152153733E-3</v>
      </c>
      <c r="P112" s="844">
        <f t="shared" si="22"/>
        <v>9.6470359680406979E-3</v>
      </c>
      <c r="Q112" s="830"/>
      <c r="R112" s="845">
        <v>1020.86</v>
      </c>
      <c r="S112" s="846">
        <f t="shared" si="17"/>
        <v>5.9716200236501482E-3</v>
      </c>
      <c r="T112" s="845">
        <v>76.290000000000006</v>
      </c>
      <c r="U112" s="846">
        <f t="shared" si="18"/>
        <v>7.5277337559429558E-3</v>
      </c>
      <c r="V112" s="845">
        <v>136.24430000000001</v>
      </c>
      <c r="W112" s="846">
        <f t="shared" si="19"/>
        <v>1.043404871348752E-2</v>
      </c>
      <c r="X112" s="845">
        <v>41563.08</v>
      </c>
      <c r="Y112" s="846">
        <f t="shared" si="20"/>
        <v>5.5166257207865943E-3</v>
      </c>
      <c r="Z112" s="845">
        <v>5648.3972000000003</v>
      </c>
      <c r="AA112" s="846">
        <f t="shared" si="21"/>
        <v>1.0091893121552342E-2</v>
      </c>
      <c r="AB112" s="843"/>
      <c r="AC112" s="832"/>
    </row>
    <row r="113" spans="1:29" ht="14.4" x14ac:dyDescent="0.55000000000000004">
      <c r="A113" s="841" t="s">
        <v>5272</v>
      </c>
      <c r="B113" s="842">
        <v>129.38999999999999</v>
      </c>
      <c r="C113" s="843">
        <f t="shared" si="12"/>
        <v>2.3239600278874839E-3</v>
      </c>
      <c r="D113" s="842">
        <v>45.65</v>
      </c>
      <c r="E113" s="843">
        <f t="shared" si="13"/>
        <v>1.7555409260479049E-3</v>
      </c>
      <c r="F113" s="842">
        <v>32.82</v>
      </c>
      <c r="G113" s="843">
        <f t="shared" si="13"/>
        <v>-1.2172854534387989E-3</v>
      </c>
      <c r="H113" s="842">
        <v>40.15</v>
      </c>
      <c r="I113" s="843">
        <f t="shared" si="13"/>
        <v>-1.98856574695494E-3</v>
      </c>
      <c r="J113" s="842">
        <v>68.19</v>
      </c>
      <c r="K113" s="843">
        <f t="shared" si="14"/>
        <v>-2.3408924652523755E-3</v>
      </c>
      <c r="L113" s="842">
        <v>71.66</v>
      </c>
      <c r="M113" s="843">
        <f t="shared" si="15"/>
        <v>-2.7901785714301575E-4</v>
      </c>
      <c r="N113" s="842">
        <v>65.459999999999994</v>
      </c>
      <c r="O113" s="843">
        <f t="shared" si="16"/>
        <v>2.4502297090351899E-3</v>
      </c>
      <c r="P113" s="844">
        <f t="shared" si="22"/>
        <v>1.0056702002592122E-4</v>
      </c>
      <c r="Q113" s="830"/>
      <c r="R113" s="845">
        <v>1014.8</v>
      </c>
      <c r="S113" s="846">
        <f t="shared" si="17"/>
        <v>4.1360748847241169E-3</v>
      </c>
      <c r="T113" s="845">
        <v>75.72</v>
      </c>
      <c r="U113" s="846">
        <f t="shared" si="18"/>
        <v>5.4441641216305126E-3</v>
      </c>
      <c r="V113" s="845">
        <v>134.8374</v>
      </c>
      <c r="W113" s="846">
        <f t="shared" si="19"/>
        <v>2.3237351031184517E-3</v>
      </c>
      <c r="X113" s="845">
        <v>41335.050000000003</v>
      </c>
      <c r="Y113" s="846">
        <f t="shared" si="20"/>
        <v>5.9289749538955494E-3</v>
      </c>
      <c r="Z113" s="845">
        <v>5591.9637000000002</v>
      </c>
      <c r="AA113" s="846">
        <f t="shared" si="21"/>
        <v>-3.8178332403271398E-5</v>
      </c>
      <c r="AB113" s="843"/>
      <c r="AC113" s="832"/>
    </row>
    <row r="114" spans="1:29" ht="14.4" x14ac:dyDescent="0.55000000000000004">
      <c r="A114" s="841" t="s">
        <v>5273</v>
      </c>
      <c r="B114" s="842">
        <v>129.09</v>
      </c>
      <c r="C114" s="843">
        <f t="shared" si="12"/>
        <v>-1.7013378702342985E-3</v>
      </c>
      <c r="D114" s="842">
        <v>45.57</v>
      </c>
      <c r="E114" s="843">
        <f t="shared" si="13"/>
        <v>-6.1068702290076882E-3</v>
      </c>
      <c r="F114" s="842">
        <v>32.86</v>
      </c>
      <c r="G114" s="843">
        <f t="shared" si="13"/>
        <v>4.2787286063570296E-3</v>
      </c>
      <c r="H114" s="842">
        <v>40.229999999999997</v>
      </c>
      <c r="I114" s="843">
        <f t="shared" si="13"/>
        <v>-5.1928783382789723E-3</v>
      </c>
      <c r="J114" s="842">
        <v>68.349999999999994</v>
      </c>
      <c r="K114" s="843">
        <f t="shared" si="14"/>
        <v>-4.2249417249418109E-3</v>
      </c>
      <c r="L114" s="842">
        <v>71.680000000000007</v>
      </c>
      <c r="M114" s="843">
        <f t="shared" si="15"/>
        <v>-1.0354825348612429E-2</v>
      </c>
      <c r="N114" s="842">
        <v>65.3</v>
      </c>
      <c r="O114" s="843">
        <f t="shared" si="16"/>
        <v>2.456248081056156E-3</v>
      </c>
      <c r="P114" s="844">
        <f t="shared" si="22"/>
        <v>-2.9779824033802876E-3</v>
      </c>
      <c r="Q114" s="830"/>
      <c r="R114" s="845">
        <v>1010.62</v>
      </c>
      <c r="S114" s="846">
        <f t="shared" si="17"/>
        <v>2.8976878039097542E-3</v>
      </c>
      <c r="T114" s="845">
        <v>75.31</v>
      </c>
      <c r="U114" s="846">
        <f t="shared" si="18"/>
        <v>0</v>
      </c>
      <c r="V114" s="845">
        <v>134.5248</v>
      </c>
      <c r="W114" s="846">
        <f t="shared" si="19"/>
        <v>-1.7016179841652379E-3</v>
      </c>
      <c r="X114" s="845">
        <v>41091.42</v>
      </c>
      <c r="Y114" s="846">
        <f t="shared" si="20"/>
        <v>-3.8564381037805573E-3</v>
      </c>
      <c r="Z114" s="845">
        <v>5592.1772000000001</v>
      </c>
      <c r="AA114" s="846">
        <f t="shared" si="21"/>
        <v>-5.9768900505207112E-3</v>
      </c>
      <c r="AB114" s="843"/>
      <c r="AC114" s="832"/>
    </row>
    <row r="115" spans="1:29" ht="14.4" x14ac:dyDescent="0.55000000000000004">
      <c r="A115" s="841" t="s">
        <v>5274</v>
      </c>
      <c r="B115" s="842">
        <v>129.31</v>
      </c>
      <c r="C115" s="843">
        <f t="shared" si="12"/>
        <v>-6.7593517167217065E-3</v>
      </c>
      <c r="D115" s="842">
        <v>45.85</v>
      </c>
      <c r="E115" s="843">
        <f t="shared" si="13"/>
        <v>-6.9309075157027999E-3</v>
      </c>
      <c r="F115" s="842">
        <v>32.72</v>
      </c>
      <c r="G115" s="843">
        <f t="shared" si="13"/>
        <v>-2.7430661383724964E-3</v>
      </c>
      <c r="H115" s="842">
        <v>40.44</v>
      </c>
      <c r="I115" s="843">
        <f t="shared" si="13"/>
        <v>3.9721946375370631E-3</v>
      </c>
      <c r="J115" s="842">
        <v>68.64</v>
      </c>
      <c r="K115" s="843">
        <f t="shared" si="14"/>
        <v>-4.0626813697040021E-3</v>
      </c>
      <c r="L115" s="842">
        <v>72.430000000000007</v>
      </c>
      <c r="M115" s="843">
        <f t="shared" si="15"/>
        <v>-5.2190633154786115E-3</v>
      </c>
      <c r="N115" s="842">
        <v>65.14</v>
      </c>
      <c r="O115" s="843">
        <f t="shared" si="16"/>
        <v>-5.951472607965802E-3</v>
      </c>
      <c r="P115" s="844">
        <f t="shared" si="22"/>
        <v>-3.9563354323440504E-3</v>
      </c>
      <c r="Q115" s="830"/>
      <c r="R115" s="845">
        <v>1007.7</v>
      </c>
      <c r="S115" s="846">
        <f t="shared" si="17"/>
        <v>-8.2961825750641482E-3</v>
      </c>
      <c r="T115" s="845">
        <v>75.31</v>
      </c>
      <c r="U115" s="846">
        <f t="shared" si="18"/>
        <v>-7.9040969569226238E-3</v>
      </c>
      <c r="V115" s="845">
        <v>134.75409999999999</v>
      </c>
      <c r="W115" s="846">
        <f t="shared" si="19"/>
        <v>-6.758992887947457E-3</v>
      </c>
      <c r="X115" s="845">
        <v>41250.5</v>
      </c>
      <c r="Y115" s="846">
        <f t="shared" si="20"/>
        <v>2.419950087924061E-4</v>
      </c>
      <c r="Z115" s="845">
        <v>5625.8019999999997</v>
      </c>
      <c r="AA115" s="846">
        <f t="shared" si="21"/>
        <v>1.5962901818085129E-3</v>
      </c>
      <c r="AB115" s="843"/>
      <c r="AC115" s="832"/>
    </row>
    <row r="116" spans="1:29" ht="14.4" x14ac:dyDescent="0.55000000000000004">
      <c r="A116" s="841" t="s">
        <v>5275</v>
      </c>
      <c r="B116" s="842">
        <v>130.19</v>
      </c>
      <c r="C116" s="843">
        <f t="shared" si="12"/>
        <v>7.686985932815471E-4</v>
      </c>
      <c r="D116" s="842">
        <v>46.17</v>
      </c>
      <c r="E116" s="843">
        <f t="shared" si="13"/>
        <v>1.3012361743656164E-3</v>
      </c>
      <c r="F116" s="842">
        <v>32.81</v>
      </c>
      <c r="G116" s="843">
        <f t="shared" si="13"/>
        <v>5.8246474555487815E-3</v>
      </c>
      <c r="H116" s="842">
        <v>40.28</v>
      </c>
      <c r="I116" s="843">
        <f t="shared" si="13"/>
        <v>4.2383445524807328E-3</v>
      </c>
      <c r="J116" s="842">
        <v>68.92</v>
      </c>
      <c r="K116" s="843">
        <f t="shared" si="14"/>
        <v>1.2338425381903662E-2</v>
      </c>
      <c r="L116" s="842">
        <v>72.81</v>
      </c>
      <c r="M116" s="843">
        <f t="shared" si="15"/>
        <v>1.4632107023411223E-2</v>
      </c>
      <c r="N116" s="842">
        <v>65.53</v>
      </c>
      <c r="O116" s="843">
        <f t="shared" si="16"/>
        <v>-1.067073170731625E-3</v>
      </c>
      <c r="P116" s="844">
        <f t="shared" si="22"/>
        <v>5.4337694300371341E-3</v>
      </c>
      <c r="Q116" s="830"/>
      <c r="R116" s="845">
        <v>1016.13</v>
      </c>
      <c r="S116" s="846">
        <f t="shared" si="17"/>
        <v>5.6013538254475748E-3</v>
      </c>
      <c r="T116" s="845">
        <v>75.91</v>
      </c>
      <c r="U116" s="846">
        <f t="shared" si="18"/>
        <v>6.496950411031488E-3</v>
      </c>
      <c r="V116" s="845">
        <v>135.6711</v>
      </c>
      <c r="W116" s="846">
        <f t="shared" si="19"/>
        <v>7.6862419956480466E-4</v>
      </c>
      <c r="X116" s="845">
        <v>41240.519999999997</v>
      </c>
      <c r="Y116" s="846">
        <f t="shared" si="20"/>
        <v>1.5893108161537661E-3</v>
      </c>
      <c r="Z116" s="845">
        <v>5616.8359</v>
      </c>
      <c r="AA116" s="846">
        <f t="shared" si="21"/>
        <v>-3.1537077536107905E-3</v>
      </c>
      <c r="AB116" s="843"/>
      <c r="AC116" s="832"/>
    </row>
    <row r="117" spans="1:29" ht="14.4" x14ac:dyDescent="0.55000000000000004">
      <c r="A117" s="841" t="s">
        <v>5276</v>
      </c>
      <c r="B117" s="842">
        <v>130.09</v>
      </c>
      <c r="C117" s="843">
        <f t="shared" si="12"/>
        <v>2.8522972556275228E-3</v>
      </c>
      <c r="D117" s="842">
        <v>46.11</v>
      </c>
      <c r="E117" s="843">
        <f t="shared" si="13"/>
        <v>1.0076670317634262E-2</v>
      </c>
      <c r="F117" s="842">
        <v>32.619999999999997</v>
      </c>
      <c r="G117" s="843">
        <f t="shared" si="13"/>
        <v>1.535155050659931E-3</v>
      </c>
      <c r="H117" s="842">
        <v>40.11</v>
      </c>
      <c r="I117" s="843">
        <f t="shared" si="13"/>
        <v>1.4672400708322764E-2</v>
      </c>
      <c r="J117" s="842">
        <v>68.08</v>
      </c>
      <c r="K117" s="843">
        <f t="shared" si="14"/>
        <v>1.0688836104512989E-2</v>
      </c>
      <c r="L117" s="842">
        <v>71.760000000000005</v>
      </c>
      <c r="M117" s="843">
        <f t="shared" si="15"/>
        <v>5.1827987113042262E-3</v>
      </c>
      <c r="N117" s="842">
        <v>65.599999999999994</v>
      </c>
      <c r="O117" s="843">
        <f t="shared" si="16"/>
        <v>1.1721159777914769E-2</v>
      </c>
      <c r="P117" s="844">
        <f t="shared" si="22"/>
        <v>8.1041882751394945E-3</v>
      </c>
      <c r="Q117" s="830"/>
      <c r="R117" s="845">
        <v>1010.47</v>
      </c>
      <c r="S117" s="846">
        <f t="shared" si="17"/>
        <v>1.8143242385786351E-3</v>
      </c>
      <c r="T117" s="845">
        <v>75.42</v>
      </c>
      <c r="U117" s="846">
        <f t="shared" si="18"/>
        <v>2.7921818907061802E-3</v>
      </c>
      <c r="V117" s="845">
        <v>135.5669</v>
      </c>
      <c r="W117" s="846">
        <f t="shared" si="19"/>
        <v>2.8524655407220489E-3</v>
      </c>
      <c r="X117" s="845">
        <v>41175.08</v>
      </c>
      <c r="Y117" s="846">
        <f t="shared" si="20"/>
        <v>1.1355156783693143E-2</v>
      </c>
      <c r="Z117" s="845">
        <v>5634.6058000000003</v>
      </c>
      <c r="AA117" s="846">
        <f t="shared" si="21"/>
        <v>1.1481831025443645E-2</v>
      </c>
      <c r="AB117" s="843"/>
      <c r="AC117" s="832"/>
    </row>
    <row r="118" spans="1:29" ht="14.4" x14ac:dyDescent="0.55000000000000004">
      <c r="A118" s="841" t="s">
        <v>5277</v>
      </c>
      <c r="B118" s="842">
        <v>129.72</v>
      </c>
      <c r="C118" s="843">
        <f t="shared" si="12"/>
        <v>1.0031638243690466E-3</v>
      </c>
      <c r="D118" s="842">
        <v>45.65</v>
      </c>
      <c r="E118" s="843">
        <f t="shared" si="13"/>
        <v>6.576063130205867E-4</v>
      </c>
      <c r="F118" s="842">
        <v>32.57</v>
      </c>
      <c r="G118" s="843">
        <f t="shared" si="13"/>
        <v>7.7351485148515753E-3</v>
      </c>
      <c r="H118" s="842">
        <v>39.53</v>
      </c>
      <c r="I118" s="843">
        <f t="shared" si="13"/>
        <v>4.8296898830706425E-3</v>
      </c>
      <c r="J118" s="842">
        <v>67.36</v>
      </c>
      <c r="K118" s="843">
        <f t="shared" si="14"/>
        <v>-1.9262112905614748E-3</v>
      </c>
      <c r="L118" s="842">
        <v>71.39</v>
      </c>
      <c r="M118" s="843">
        <f t="shared" si="15"/>
        <v>-3.6287508722959716E-3</v>
      </c>
      <c r="N118" s="842">
        <v>64.84</v>
      </c>
      <c r="O118" s="843">
        <f t="shared" si="16"/>
        <v>-2.6149823104137937E-3</v>
      </c>
      <c r="P118" s="844">
        <f t="shared" si="22"/>
        <v>8.6509486600580153E-4</v>
      </c>
      <c r="Q118" s="830"/>
      <c r="R118" s="845">
        <v>1008.64</v>
      </c>
      <c r="S118" s="846">
        <f t="shared" si="17"/>
        <v>-1.6035476016075245E-3</v>
      </c>
      <c r="T118" s="845">
        <v>75.209999999999994</v>
      </c>
      <c r="U118" s="846">
        <f t="shared" si="18"/>
        <v>-1.1952191235060639E-3</v>
      </c>
      <c r="V118" s="845">
        <v>135.18129999999999</v>
      </c>
      <c r="W118" s="846">
        <f t="shared" si="19"/>
        <v>1.0026220714587364E-3</v>
      </c>
      <c r="X118" s="845">
        <v>40712.78</v>
      </c>
      <c r="Y118" s="846">
        <f t="shared" si="20"/>
        <v>-4.3459982993599988E-3</v>
      </c>
      <c r="Z118" s="845">
        <v>5570.6445999999996</v>
      </c>
      <c r="AA118" s="846">
        <f t="shared" si="21"/>
        <v>-8.9324703349725754E-3</v>
      </c>
      <c r="AB118" s="843"/>
      <c r="AC118" s="832"/>
    </row>
    <row r="119" spans="1:29" ht="14.4" x14ac:dyDescent="0.55000000000000004">
      <c r="A119" s="841" t="s">
        <v>5278</v>
      </c>
      <c r="B119" s="842">
        <v>129.59</v>
      </c>
      <c r="C119" s="843">
        <f t="shared" si="12"/>
        <v>2.552993965650785E-3</v>
      </c>
      <c r="D119" s="842">
        <v>45.62</v>
      </c>
      <c r="E119" s="843">
        <f t="shared" si="13"/>
        <v>0</v>
      </c>
      <c r="F119" s="842">
        <v>32.32</v>
      </c>
      <c r="G119" s="843">
        <f t="shared" si="13"/>
        <v>5.2877138413687241E-3</v>
      </c>
      <c r="H119" s="842">
        <v>39.340000000000003</v>
      </c>
      <c r="I119" s="843">
        <f t="shared" si="13"/>
        <v>6.1381074168798122E-3</v>
      </c>
      <c r="J119" s="842">
        <v>67.489999999999995</v>
      </c>
      <c r="K119" s="843">
        <f t="shared" si="14"/>
        <v>1.9299287410925459E-3</v>
      </c>
      <c r="L119" s="842">
        <v>71.650000000000006</v>
      </c>
      <c r="M119" s="843">
        <f t="shared" si="15"/>
        <v>1.3958682300407865E-4</v>
      </c>
      <c r="N119" s="842">
        <v>65.010000000000005</v>
      </c>
      <c r="O119" s="843">
        <f t="shared" si="16"/>
        <v>5.1020408163264808E-3</v>
      </c>
      <c r="P119" s="844">
        <f t="shared" si="22"/>
        <v>3.0214816577603465E-3</v>
      </c>
      <c r="Q119" s="830"/>
      <c r="R119" s="845">
        <v>1010.26</v>
      </c>
      <c r="S119" s="846">
        <f t="shared" si="17"/>
        <v>3.6260319289496135E-3</v>
      </c>
      <c r="T119" s="845">
        <v>75.3</v>
      </c>
      <c r="U119" s="846">
        <f t="shared" si="18"/>
        <v>7.0884044402834689E-3</v>
      </c>
      <c r="V119" s="845">
        <v>135.04589999999999</v>
      </c>
      <c r="W119" s="846">
        <f t="shared" si="19"/>
        <v>2.5530430134665938E-3</v>
      </c>
      <c r="X119" s="845">
        <v>40890.49</v>
      </c>
      <c r="Y119" s="846">
        <f t="shared" si="20"/>
        <v>1.3596189736393427E-3</v>
      </c>
      <c r="Z119" s="845">
        <v>5620.8527000000004</v>
      </c>
      <c r="AA119" s="846">
        <f t="shared" si="21"/>
        <v>4.239301578553567E-3</v>
      </c>
      <c r="AB119" s="843"/>
      <c r="AC119" s="832"/>
    </row>
    <row r="120" spans="1:29" ht="14.4" x14ac:dyDescent="0.55000000000000004">
      <c r="A120" s="841" t="s">
        <v>5279</v>
      </c>
      <c r="B120" s="842">
        <v>129.26</v>
      </c>
      <c r="C120" s="843">
        <f t="shared" si="12"/>
        <v>-1.1591067150915624E-3</v>
      </c>
      <c r="D120" s="842">
        <v>45.62</v>
      </c>
      <c r="E120" s="843">
        <f t="shared" si="13"/>
        <v>5.7319223985889955E-3</v>
      </c>
      <c r="F120" s="842">
        <v>32.15</v>
      </c>
      <c r="G120" s="843">
        <f t="shared" si="13"/>
        <v>6.2247121070635458E-4</v>
      </c>
      <c r="H120" s="842">
        <v>39.1</v>
      </c>
      <c r="I120" s="843">
        <f t="shared" si="13"/>
        <v>3.8510911424902705E-3</v>
      </c>
      <c r="J120" s="842">
        <v>67.36</v>
      </c>
      <c r="K120" s="843">
        <f t="shared" si="14"/>
        <v>6.1239731142643805E-3</v>
      </c>
      <c r="L120" s="842">
        <v>71.64</v>
      </c>
      <c r="M120" s="843">
        <f t="shared" si="15"/>
        <v>1.5378163008528123E-3</v>
      </c>
      <c r="N120" s="842">
        <v>64.680000000000007</v>
      </c>
      <c r="O120" s="843">
        <f t="shared" si="16"/>
        <v>2.7906976744187517E-3</v>
      </c>
      <c r="P120" s="844">
        <f t="shared" si="22"/>
        <v>2.7855521608900003E-3</v>
      </c>
      <c r="Q120" s="830"/>
      <c r="R120" s="845">
        <v>1006.61</v>
      </c>
      <c r="S120" s="846">
        <f t="shared" si="17"/>
        <v>-1.7750892502974569E-3</v>
      </c>
      <c r="T120" s="845">
        <v>74.77</v>
      </c>
      <c r="U120" s="846">
        <f t="shared" si="18"/>
        <v>-2.135326304551044E-3</v>
      </c>
      <c r="V120" s="845">
        <v>134.702</v>
      </c>
      <c r="W120" s="846">
        <f t="shared" si="19"/>
        <v>-1.1589942925278596E-3</v>
      </c>
      <c r="X120" s="845">
        <v>40834.97</v>
      </c>
      <c r="Y120" s="846">
        <f t="shared" si="20"/>
        <v>-1.5052621823904433E-3</v>
      </c>
      <c r="Z120" s="845">
        <v>5597.1247999999996</v>
      </c>
      <c r="AA120" s="846">
        <f t="shared" si="21"/>
        <v>-1.9832399330893535E-3</v>
      </c>
      <c r="AB120" s="843"/>
      <c r="AC120" s="832"/>
    </row>
    <row r="121" spans="1:29" ht="14.4" x14ac:dyDescent="0.55000000000000004">
      <c r="A121" s="841" t="s">
        <v>5280</v>
      </c>
      <c r="B121" s="842">
        <v>129.41</v>
      </c>
      <c r="C121" s="843">
        <f t="shared" si="12"/>
        <v>1.5478678120888212E-3</v>
      </c>
      <c r="D121" s="842">
        <v>45.36</v>
      </c>
      <c r="E121" s="843">
        <f t="shared" si="13"/>
        <v>-2.2040996253025469E-4</v>
      </c>
      <c r="F121" s="842">
        <v>32.130000000000003</v>
      </c>
      <c r="G121" s="843">
        <f t="shared" si="13"/>
        <v>7.2100313479626088E-3</v>
      </c>
      <c r="H121" s="842">
        <v>38.950000000000003</v>
      </c>
      <c r="I121" s="843">
        <f t="shared" si="13"/>
        <v>8.8060088060089026E-3</v>
      </c>
      <c r="J121" s="842">
        <v>66.95</v>
      </c>
      <c r="K121" s="843">
        <f t="shared" si="14"/>
        <v>1.3460963206701759E-3</v>
      </c>
      <c r="L121" s="842">
        <v>71.53</v>
      </c>
      <c r="M121" s="843">
        <f t="shared" si="15"/>
        <v>3.9298245614034499E-3</v>
      </c>
      <c r="N121" s="842">
        <v>64.5</v>
      </c>
      <c r="O121" s="843">
        <f t="shared" si="16"/>
        <v>-3.3992583436340817E-3</v>
      </c>
      <c r="P121" s="844">
        <f t="shared" si="22"/>
        <v>2.7457372202813746E-3</v>
      </c>
      <c r="Q121" s="830"/>
      <c r="R121" s="845">
        <v>1008.4</v>
      </c>
      <c r="S121" s="846">
        <f t="shared" si="17"/>
        <v>4.1324371421458395E-3</v>
      </c>
      <c r="T121" s="845">
        <v>74.930000000000007</v>
      </c>
      <c r="U121" s="846">
        <f t="shared" si="18"/>
        <v>6.5824825362710282E-3</v>
      </c>
      <c r="V121" s="845">
        <v>134.85830000000001</v>
      </c>
      <c r="W121" s="846">
        <f t="shared" si="19"/>
        <v>1.5477174509599401E-3</v>
      </c>
      <c r="X121" s="845">
        <v>40896.53</v>
      </c>
      <c r="Y121" s="846">
        <f t="shared" si="20"/>
        <v>5.8232021044883897E-3</v>
      </c>
      <c r="Z121" s="845">
        <v>5608.2473</v>
      </c>
      <c r="AA121" s="846">
        <f t="shared" si="21"/>
        <v>9.7215986508063512E-3</v>
      </c>
      <c r="AB121" s="843"/>
      <c r="AC121" s="832"/>
    </row>
    <row r="122" spans="1:29" ht="14.4" x14ac:dyDescent="0.55000000000000004">
      <c r="A122" s="841" t="s">
        <v>5281</v>
      </c>
      <c r="B122" s="842">
        <v>129.21</v>
      </c>
      <c r="C122" s="843">
        <f t="shared" si="12"/>
        <v>1.3950244129272704E-3</v>
      </c>
      <c r="D122" s="842">
        <v>45.37</v>
      </c>
      <c r="E122" s="843">
        <f t="shared" si="13"/>
        <v>7.7743225233228852E-3</v>
      </c>
      <c r="F122" s="842">
        <v>31.9</v>
      </c>
      <c r="G122" s="843">
        <f t="shared" si="13"/>
        <v>5.3577056413487423E-3</v>
      </c>
      <c r="H122" s="842">
        <v>38.61</v>
      </c>
      <c r="I122" s="843">
        <f t="shared" si="13"/>
        <v>-7.763975155279379E-4</v>
      </c>
      <c r="J122" s="842">
        <v>66.86</v>
      </c>
      <c r="K122" s="843">
        <f t="shared" si="14"/>
        <v>1.0480610869889606E-3</v>
      </c>
      <c r="L122" s="842">
        <v>71.25</v>
      </c>
      <c r="M122" s="843">
        <f t="shared" si="15"/>
        <v>9.4927741569850177E-3</v>
      </c>
      <c r="N122" s="842">
        <v>64.72</v>
      </c>
      <c r="O122" s="843">
        <f t="shared" si="16"/>
        <v>7.3151750972761942E-3</v>
      </c>
      <c r="P122" s="844">
        <f t="shared" si="22"/>
        <v>4.5152379147601618E-3</v>
      </c>
      <c r="Q122" s="830"/>
      <c r="R122" s="845">
        <v>1004.25</v>
      </c>
      <c r="S122" s="846">
        <f t="shared" si="17"/>
        <v>3.3269392159214206E-3</v>
      </c>
      <c r="T122" s="845">
        <v>74.44</v>
      </c>
      <c r="U122" s="846">
        <f t="shared" si="18"/>
        <v>4.4528403724193311E-3</v>
      </c>
      <c r="V122" s="845">
        <v>134.6499</v>
      </c>
      <c r="W122" s="846">
        <f t="shared" si="19"/>
        <v>1.3951866062085205E-3</v>
      </c>
      <c r="X122" s="845">
        <v>40659.760000000002</v>
      </c>
      <c r="Y122" s="846">
        <f t="shared" si="20"/>
        <v>2.3839424343232718E-3</v>
      </c>
      <c r="Z122" s="845">
        <v>5554.2511000000004</v>
      </c>
      <c r="AA122" s="846">
        <f t="shared" si="21"/>
        <v>1.9903420002482797E-3</v>
      </c>
      <c r="AB122" s="843"/>
      <c r="AC122" s="832"/>
    </row>
    <row r="123" spans="1:29" ht="14.4" x14ac:dyDescent="0.55000000000000004">
      <c r="A123" s="841" t="s">
        <v>5282</v>
      </c>
      <c r="B123" s="842">
        <v>129.03</v>
      </c>
      <c r="C123" s="843">
        <f t="shared" si="12"/>
        <v>2.875796673402764E-3</v>
      </c>
      <c r="D123" s="842">
        <v>45.02</v>
      </c>
      <c r="E123" s="843">
        <f t="shared" si="13"/>
        <v>7.6096687555953224E-3</v>
      </c>
      <c r="F123" s="842">
        <v>31.73</v>
      </c>
      <c r="G123" s="843">
        <f t="shared" si="13"/>
        <v>-3.4547738693466723E-3</v>
      </c>
      <c r="H123" s="842">
        <v>38.64</v>
      </c>
      <c r="I123" s="843">
        <f t="shared" si="13"/>
        <v>2.0871862615587933E-2</v>
      </c>
      <c r="J123" s="842">
        <v>66.790000000000006</v>
      </c>
      <c r="K123" s="843">
        <f t="shared" si="14"/>
        <v>3.7571385632702015E-3</v>
      </c>
      <c r="L123" s="842">
        <v>70.58</v>
      </c>
      <c r="M123" s="843">
        <f t="shared" si="15"/>
        <v>-1.8904642757853751E-2</v>
      </c>
      <c r="N123" s="842">
        <v>64.25</v>
      </c>
      <c r="O123" s="843">
        <f t="shared" si="16"/>
        <v>6.1071093015971911E-3</v>
      </c>
      <c r="P123" s="844">
        <f t="shared" si="22"/>
        <v>2.6945941831789983E-3</v>
      </c>
      <c r="Q123" s="830"/>
      <c r="R123" s="845">
        <v>1000.92</v>
      </c>
      <c r="S123" s="846">
        <f t="shared" si="17"/>
        <v>-1.0579053474122357E-3</v>
      </c>
      <c r="T123" s="845">
        <v>74.11</v>
      </c>
      <c r="U123" s="846">
        <f t="shared" si="18"/>
        <v>-1.3491635186191342E-4</v>
      </c>
      <c r="V123" s="845">
        <v>134.4623</v>
      </c>
      <c r="W123" s="846">
        <f t="shared" si="19"/>
        <v>2.8759657718306908E-3</v>
      </c>
      <c r="X123" s="845">
        <v>40563.06</v>
      </c>
      <c r="Y123" s="846">
        <f t="shared" si="20"/>
        <v>1.3863842059128162E-2</v>
      </c>
      <c r="Z123" s="845">
        <v>5543.2182000000003</v>
      </c>
      <c r="AA123" s="846">
        <f t="shared" si="21"/>
        <v>1.6132498608669943E-2</v>
      </c>
      <c r="AB123" s="843"/>
      <c r="AC123" s="832"/>
    </row>
    <row r="124" spans="1:29" ht="14.4" x14ac:dyDescent="0.55000000000000004">
      <c r="A124" s="841" t="s">
        <v>5283</v>
      </c>
      <c r="B124" s="842">
        <v>128.66</v>
      </c>
      <c r="C124" s="843">
        <f t="shared" si="12"/>
        <v>-1.0869565217392907E-3</v>
      </c>
      <c r="D124" s="842">
        <v>44.68</v>
      </c>
      <c r="E124" s="843">
        <f t="shared" si="13"/>
        <v>1.5691548980050207E-3</v>
      </c>
      <c r="F124" s="842">
        <v>31.84</v>
      </c>
      <c r="G124" s="843">
        <f t="shared" si="13"/>
        <v>6.321112515802696E-3</v>
      </c>
      <c r="H124" s="842">
        <v>37.85</v>
      </c>
      <c r="I124" s="843">
        <f t="shared" si="13"/>
        <v>-1.3192612137202797E-3</v>
      </c>
      <c r="J124" s="842">
        <v>66.540000000000006</v>
      </c>
      <c r="K124" s="843">
        <f t="shared" si="14"/>
        <v>-1.2173396674584169E-2</v>
      </c>
      <c r="L124" s="842">
        <v>71.94</v>
      </c>
      <c r="M124" s="843">
        <f t="shared" si="15"/>
        <v>9.7398079866417575E-4</v>
      </c>
      <c r="N124" s="842">
        <v>63.86</v>
      </c>
      <c r="O124" s="843">
        <f t="shared" si="16"/>
        <v>-2.0315674324113964E-3</v>
      </c>
      <c r="P124" s="844">
        <f t="shared" si="22"/>
        <v>-1.1067048042833205E-3</v>
      </c>
      <c r="Q124" s="830"/>
      <c r="R124" s="845">
        <v>1001.98</v>
      </c>
      <c r="S124" s="846">
        <f t="shared" si="17"/>
        <v>-1.1563690013357553E-3</v>
      </c>
      <c r="T124" s="845">
        <v>74.12</v>
      </c>
      <c r="U124" s="846">
        <f t="shared" si="18"/>
        <v>-6.7412700552782479E-4</v>
      </c>
      <c r="V124" s="845">
        <v>134.07669999999999</v>
      </c>
      <c r="W124" s="846">
        <f t="shared" si="19"/>
        <v>-1.0870002518206245E-3</v>
      </c>
      <c r="X124" s="845">
        <v>40008.39</v>
      </c>
      <c r="Y124" s="846">
        <f t="shared" si="20"/>
        <v>6.104488530426222E-3</v>
      </c>
      <c r="Z124" s="845">
        <v>5455.2120000000004</v>
      </c>
      <c r="AA124" s="846">
        <f t="shared" si="21"/>
        <v>3.8236189064664305E-3</v>
      </c>
      <c r="AB124" s="843"/>
      <c r="AC124" s="832"/>
    </row>
    <row r="125" spans="1:29" ht="14.4" x14ac:dyDescent="0.55000000000000004">
      <c r="A125" s="841" t="s">
        <v>5284</v>
      </c>
      <c r="B125" s="842">
        <v>128.80000000000001</v>
      </c>
      <c r="C125" s="843">
        <f t="shared" si="12"/>
        <v>1.2437810945276073E-3</v>
      </c>
      <c r="D125" s="842">
        <v>44.61</v>
      </c>
      <c r="E125" s="843">
        <f t="shared" si="13"/>
        <v>1.1106074342701833E-2</v>
      </c>
      <c r="F125" s="842">
        <v>31.64</v>
      </c>
      <c r="G125" s="843">
        <f t="shared" si="13"/>
        <v>2.5348542458809575E-3</v>
      </c>
      <c r="H125" s="842">
        <v>37.9</v>
      </c>
      <c r="I125" s="843">
        <f t="shared" si="13"/>
        <v>3.9735099337747659E-3</v>
      </c>
      <c r="J125" s="842">
        <v>67.36</v>
      </c>
      <c r="K125" s="843">
        <f t="shared" si="14"/>
        <v>7.0264613544626098E-3</v>
      </c>
      <c r="L125" s="842">
        <v>71.87</v>
      </c>
      <c r="M125" s="843">
        <f t="shared" si="15"/>
        <v>1.3681241184767323E-2</v>
      </c>
      <c r="N125" s="842">
        <v>63.99</v>
      </c>
      <c r="O125" s="843">
        <f t="shared" si="16"/>
        <v>8.0340264650284876E-3</v>
      </c>
      <c r="P125" s="844">
        <f t="shared" si="22"/>
        <v>6.7999926601633688E-3</v>
      </c>
      <c r="Q125" s="830"/>
      <c r="R125" s="845">
        <v>1003.14</v>
      </c>
      <c r="S125" s="846">
        <f t="shared" si="17"/>
        <v>2.2279725449840804E-3</v>
      </c>
      <c r="T125" s="845">
        <v>74.17</v>
      </c>
      <c r="U125" s="846">
        <f t="shared" si="18"/>
        <v>5.8312991592082142E-3</v>
      </c>
      <c r="V125" s="845">
        <v>134.2226</v>
      </c>
      <c r="W125" s="846">
        <f t="shared" si="19"/>
        <v>1.243511102458017E-3</v>
      </c>
      <c r="X125" s="845">
        <v>39765.641100000001</v>
      </c>
      <c r="Y125" s="846">
        <f t="shared" si="20"/>
        <v>1.0382676427909576E-2</v>
      </c>
      <c r="Z125" s="845">
        <v>5434.4327999999996</v>
      </c>
      <c r="AA125" s="846">
        <f t="shared" si="21"/>
        <v>1.6849010060128178E-2</v>
      </c>
      <c r="AB125" s="843"/>
      <c r="AC125" s="832"/>
    </row>
    <row r="126" spans="1:29" ht="14.4" x14ac:dyDescent="0.55000000000000004">
      <c r="A126" s="841" t="s">
        <v>5285</v>
      </c>
      <c r="B126" s="842">
        <v>128.63999999999999</v>
      </c>
      <c r="C126" s="843">
        <f t="shared" si="12"/>
        <v>4.6075751659506725E-3</v>
      </c>
      <c r="D126" s="842">
        <v>44.12</v>
      </c>
      <c r="E126" s="843">
        <f t="shared" si="13"/>
        <v>-7.6473234367971932E-3</v>
      </c>
      <c r="F126" s="842">
        <v>31.56</v>
      </c>
      <c r="G126" s="843">
        <f t="shared" si="13"/>
        <v>6.6985645933013149E-3</v>
      </c>
      <c r="H126" s="842">
        <v>37.75</v>
      </c>
      <c r="I126" s="843">
        <f t="shared" si="13"/>
        <v>-1.332984840564555E-2</v>
      </c>
      <c r="J126" s="842">
        <v>66.89</v>
      </c>
      <c r="K126" s="843">
        <f t="shared" si="14"/>
        <v>-1.1964549483013287E-2</v>
      </c>
      <c r="L126" s="842">
        <v>70.900000000000006</v>
      </c>
      <c r="M126" s="843">
        <f t="shared" si="15"/>
        <v>-7.9753742829158369E-3</v>
      </c>
      <c r="N126" s="842">
        <v>63.48</v>
      </c>
      <c r="O126" s="843">
        <f t="shared" si="16"/>
        <v>-1.1368945647095452E-2</v>
      </c>
      <c r="P126" s="844">
        <f t="shared" si="22"/>
        <v>-5.8542716423164763E-3</v>
      </c>
      <c r="Q126" s="830"/>
      <c r="R126" s="845">
        <v>1000.91</v>
      </c>
      <c r="S126" s="846">
        <f t="shared" si="17"/>
        <v>3.5895841897866099E-3</v>
      </c>
      <c r="T126" s="845">
        <v>73.739999999999995</v>
      </c>
      <c r="U126" s="846">
        <f t="shared" si="18"/>
        <v>1.7660643934247489E-3</v>
      </c>
      <c r="V126" s="845">
        <v>134.05590000000001</v>
      </c>
      <c r="W126" s="846">
        <f t="shared" si="19"/>
        <v>4.6080290165690929E-3</v>
      </c>
      <c r="X126" s="845">
        <v>39357.01</v>
      </c>
      <c r="Y126" s="846">
        <f t="shared" si="20"/>
        <v>-3.557943102279304E-3</v>
      </c>
      <c r="Z126" s="845">
        <v>5344.3851999999997</v>
      </c>
      <c r="AA126" s="846">
        <f t="shared" si="21"/>
        <v>4.1316094242960233E-5</v>
      </c>
      <c r="AB126" s="843"/>
      <c r="AC126" s="832"/>
    </row>
    <row r="127" spans="1:29" ht="14.4" x14ac:dyDescent="0.55000000000000004">
      <c r="A127" s="841" t="s">
        <v>5286</v>
      </c>
      <c r="B127" s="842">
        <v>128.05000000000001</v>
      </c>
      <c r="C127" s="843">
        <f t="shared" si="12"/>
        <v>8.6648286727057933E-3</v>
      </c>
      <c r="D127" s="842">
        <v>44.46</v>
      </c>
      <c r="E127" s="843">
        <f t="shared" si="13"/>
        <v>7.2496601721794285E-3</v>
      </c>
      <c r="F127" s="842">
        <v>31.35</v>
      </c>
      <c r="G127" s="843">
        <f t="shared" si="13"/>
        <v>9.6618357487923134E-3</v>
      </c>
      <c r="H127" s="842">
        <v>38.26</v>
      </c>
      <c r="I127" s="843">
        <f t="shared" si="13"/>
        <v>1.5706806282720365E-3</v>
      </c>
      <c r="J127" s="842">
        <v>67.7</v>
      </c>
      <c r="K127" s="843">
        <f t="shared" si="14"/>
        <v>5.7940870598722771E-3</v>
      </c>
      <c r="L127" s="842">
        <v>71.47</v>
      </c>
      <c r="M127" s="843">
        <f t="shared" si="15"/>
        <v>3.3693668398147025E-3</v>
      </c>
      <c r="N127" s="842">
        <v>64.209999999999994</v>
      </c>
      <c r="O127" s="843">
        <f t="shared" si="16"/>
        <v>2.6545908806994145E-3</v>
      </c>
      <c r="P127" s="844">
        <f t="shared" si="22"/>
        <v>5.5664357146194233E-3</v>
      </c>
      <c r="Q127" s="830"/>
      <c r="R127" s="845">
        <v>997.33</v>
      </c>
      <c r="S127" s="846">
        <f t="shared" si="17"/>
        <v>7.5257380240412175E-4</v>
      </c>
      <c r="T127" s="845">
        <v>73.61</v>
      </c>
      <c r="U127" s="846">
        <f t="shared" si="18"/>
        <v>3.40785169029445E-3</v>
      </c>
      <c r="V127" s="845">
        <v>133.441</v>
      </c>
      <c r="W127" s="846">
        <f t="shared" si="19"/>
        <v>8.6647462067641623E-3</v>
      </c>
      <c r="X127" s="845">
        <v>39497.54</v>
      </c>
      <c r="Y127" s="846">
        <f t="shared" si="20"/>
        <v>1.294158238160259E-3</v>
      </c>
      <c r="Z127" s="845">
        <v>5344.1643999999997</v>
      </c>
      <c r="AA127" s="846">
        <f t="shared" si="21"/>
        <v>4.6728445754062875E-3</v>
      </c>
      <c r="AB127" s="843"/>
      <c r="AC127" s="832"/>
    </row>
    <row r="128" spans="1:29" ht="14.4" x14ac:dyDescent="0.55000000000000004">
      <c r="A128" s="841" t="s">
        <v>5287</v>
      </c>
      <c r="B128" s="842">
        <v>126.95</v>
      </c>
      <c r="C128" s="843">
        <f t="shared" si="12"/>
        <v>-8.9773614363777288E-3</v>
      </c>
      <c r="D128" s="842">
        <v>44.14</v>
      </c>
      <c r="E128" s="843">
        <f t="shared" si="13"/>
        <v>-5.1836826684695803E-3</v>
      </c>
      <c r="F128" s="842">
        <v>31.05</v>
      </c>
      <c r="G128" s="843">
        <f t="shared" si="13"/>
        <v>-1.607717041800627E-3</v>
      </c>
      <c r="H128" s="842">
        <v>38.200000000000003</v>
      </c>
      <c r="I128" s="843">
        <f t="shared" si="13"/>
        <v>7.6496966499606245E-3</v>
      </c>
      <c r="J128" s="842">
        <v>67.31</v>
      </c>
      <c r="K128" s="843">
        <f t="shared" si="14"/>
        <v>1.9350997320630725E-3</v>
      </c>
      <c r="L128" s="842">
        <v>71.23</v>
      </c>
      <c r="M128" s="843">
        <f t="shared" si="15"/>
        <v>7.2115384615385469E-3</v>
      </c>
      <c r="N128" s="842">
        <v>64.040000000000006</v>
      </c>
      <c r="O128" s="843">
        <f t="shared" si="16"/>
        <v>-1.0965250965250917E-2</v>
      </c>
      <c r="P128" s="844">
        <f t="shared" si="22"/>
        <v>-1.4196681811909442E-3</v>
      </c>
      <c r="Q128" s="830"/>
      <c r="R128" s="845">
        <v>996.58</v>
      </c>
      <c r="S128" s="846">
        <f t="shared" si="17"/>
        <v>-3.9777724474293619E-3</v>
      </c>
      <c r="T128" s="845">
        <v>73.36</v>
      </c>
      <c r="U128" s="846">
        <f t="shared" si="18"/>
        <v>1.0917030567685337E-3</v>
      </c>
      <c r="V128" s="845">
        <v>132.29470000000001</v>
      </c>
      <c r="W128" s="846">
        <f t="shared" si="19"/>
        <v>-8.9772430185529606E-3</v>
      </c>
      <c r="X128" s="845">
        <v>39446.49</v>
      </c>
      <c r="Y128" s="846">
        <f t="shared" si="20"/>
        <v>1.7620722613699291E-2</v>
      </c>
      <c r="Z128" s="845">
        <v>5319.3081000000002</v>
      </c>
      <c r="AA128" s="846">
        <f t="shared" si="21"/>
        <v>2.3042234830272124E-2</v>
      </c>
      <c r="AB128" s="843"/>
      <c r="AC128" s="832"/>
    </row>
    <row r="129" spans="1:29" ht="14.4" x14ac:dyDescent="0.55000000000000004">
      <c r="A129" s="841" t="s">
        <v>5288</v>
      </c>
      <c r="B129" s="842">
        <v>128.1</v>
      </c>
      <c r="C129" s="843">
        <f t="shared" si="12"/>
        <v>4.5483061480551257E-3</v>
      </c>
      <c r="D129" s="842">
        <v>44.37</v>
      </c>
      <c r="E129" s="843">
        <f t="shared" si="13"/>
        <v>2.0000000000000018E-2</v>
      </c>
      <c r="F129" s="842">
        <v>31.1</v>
      </c>
      <c r="G129" s="843">
        <f t="shared" si="13"/>
        <v>5.1712992889463294E-3</v>
      </c>
      <c r="H129" s="842">
        <v>37.909999999999997</v>
      </c>
      <c r="I129" s="843">
        <f t="shared" si="13"/>
        <v>-1.2503256056264789E-2</v>
      </c>
      <c r="J129" s="842">
        <v>67.180000000000007</v>
      </c>
      <c r="K129" s="843">
        <f t="shared" si="14"/>
        <v>1.6031457955232975E-2</v>
      </c>
      <c r="L129" s="842">
        <v>70.72</v>
      </c>
      <c r="M129" s="843">
        <f t="shared" si="15"/>
        <v>1.1441647597253857E-2</v>
      </c>
      <c r="N129" s="842">
        <v>64.75</v>
      </c>
      <c r="O129" s="843">
        <f t="shared" si="16"/>
        <v>8.252880722516398E-3</v>
      </c>
      <c r="P129" s="844">
        <f t="shared" si="22"/>
        <v>7.5631908079628451E-3</v>
      </c>
      <c r="Q129" s="830"/>
      <c r="R129" s="845">
        <v>1000.56</v>
      </c>
      <c r="S129" s="846">
        <f t="shared" si="17"/>
        <v>5.4969902219899058E-3</v>
      </c>
      <c r="T129" s="845">
        <v>73.28</v>
      </c>
      <c r="U129" s="846">
        <f t="shared" si="18"/>
        <v>5.6264580760256866E-3</v>
      </c>
      <c r="V129" s="845">
        <v>133.4931</v>
      </c>
      <c r="W129" s="846">
        <f t="shared" si="19"/>
        <v>4.5481669999030139E-3</v>
      </c>
      <c r="X129" s="845">
        <v>38763.449999999997</v>
      </c>
      <c r="Y129" s="846">
        <f t="shared" si="20"/>
        <v>-6.0057449600824375E-3</v>
      </c>
      <c r="Z129" s="845">
        <v>5199.5</v>
      </c>
      <c r="AA129" s="846">
        <f t="shared" si="21"/>
        <v>-7.7339500274626882E-3</v>
      </c>
      <c r="AB129" s="843"/>
      <c r="AC129" s="832"/>
    </row>
    <row r="130" spans="1:29" ht="14.4" x14ac:dyDescent="0.55000000000000004">
      <c r="A130" s="841" t="s">
        <v>5289</v>
      </c>
      <c r="B130" s="842">
        <v>127.52</v>
      </c>
      <c r="C130" s="843">
        <f t="shared" si="12"/>
        <v>2.0430614490019039E-3</v>
      </c>
      <c r="D130" s="842">
        <v>43.5</v>
      </c>
      <c r="E130" s="843">
        <f t="shared" si="13"/>
        <v>-3.3333333333333326E-2</v>
      </c>
      <c r="F130" s="842">
        <v>30.94</v>
      </c>
      <c r="G130" s="843">
        <f t="shared" si="13"/>
        <v>1.2103369316323276E-2</v>
      </c>
      <c r="H130" s="842">
        <v>38.39</v>
      </c>
      <c r="I130" s="843">
        <f t="shared" si="13"/>
        <v>7.8760829614070715E-3</v>
      </c>
      <c r="J130" s="842">
        <v>66.12</v>
      </c>
      <c r="K130" s="843">
        <f t="shared" si="14"/>
        <v>-7.2072072072070226E-3</v>
      </c>
      <c r="L130" s="842">
        <v>69.92</v>
      </c>
      <c r="M130" s="843">
        <f t="shared" si="15"/>
        <v>-2.1550517772180089E-2</v>
      </c>
      <c r="N130" s="842">
        <v>64.22</v>
      </c>
      <c r="O130" s="843">
        <f t="shared" si="16"/>
        <v>4.5362114813076726E-3</v>
      </c>
      <c r="P130" s="844">
        <f t="shared" si="22"/>
        <v>-5.0760475863829303E-3</v>
      </c>
      <c r="Q130" s="830"/>
      <c r="R130" s="845">
        <v>995.09</v>
      </c>
      <c r="S130" s="846">
        <f t="shared" si="17"/>
        <v>3.9144076431836261E-3</v>
      </c>
      <c r="T130" s="845">
        <v>72.87</v>
      </c>
      <c r="U130" s="846">
        <f t="shared" si="18"/>
        <v>8.4417381677277525E-3</v>
      </c>
      <c r="V130" s="845">
        <v>132.8887</v>
      </c>
      <c r="W130" s="846">
        <f t="shared" si="19"/>
        <v>2.0427122151023269E-3</v>
      </c>
      <c r="X130" s="845">
        <v>38997.660000000003</v>
      </c>
      <c r="Y130" s="846">
        <f t="shared" si="20"/>
        <v>7.6063340384417977E-3</v>
      </c>
      <c r="Z130" s="845">
        <v>5240.0261</v>
      </c>
      <c r="AA130" s="846">
        <f t="shared" si="21"/>
        <v>1.035331262350736E-2</v>
      </c>
      <c r="AB130" s="843"/>
      <c r="AC130" s="832"/>
    </row>
    <row r="131" spans="1:29" ht="14.4" x14ac:dyDescent="0.55000000000000004">
      <c r="A131" s="841" t="s">
        <v>5290</v>
      </c>
      <c r="B131" s="842">
        <v>127.26</v>
      </c>
      <c r="C131" s="843">
        <f t="shared" si="12"/>
        <v>-2.1001615508885352E-2</v>
      </c>
      <c r="D131" s="842">
        <v>45</v>
      </c>
      <c r="E131" s="843">
        <f t="shared" si="13"/>
        <v>-3.8461538461538436E-2</v>
      </c>
      <c r="F131" s="842">
        <v>30.57</v>
      </c>
      <c r="G131" s="843">
        <f t="shared" si="13"/>
        <v>-3.8981452373467396E-2</v>
      </c>
      <c r="H131" s="842">
        <v>38.090000000000003</v>
      </c>
      <c r="I131" s="843">
        <f t="shared" si="13"/>
        <v>-2.1325796505652583E-2</v>
      </c>
      <c r="J131" s="842">
        <v>66.599999999999994</v>
      </c>
      <c r="K131" s="843">
        <f t="shared" si="14"/>
        <v>-3.576082235413347E-2</v>
      </c>
      <c r="L131" s="842">
        <v>71.459999999999994</v>
      </c>
      <c r="M131" s="843">
        <f t="shared" si="15"/>
        <v>-3.4585247230478289E-2</v>
      </c>
      <c r="N131" s="842">
        <v>63.93</v>
      </c>
      <c r="O131" s="843">
        <f t="shared" si="16"/>
        <v>-3.2975344123430617E-2</v>
      </c>
      <c r="P131" s="844">
        <f t="shared" si="22"/>
        <v>-3.1870259508226591E-2</v>
      </c>
      <c r="Q131" s="830"/>
      <c r="R131" s="845">
        <v>991.21</v>
      </c>
      <c r="S131" s="846">
        <f t="shared" si="17"/>
        <v>-2.6756082713115914E-2</v>
      </c>
      <c r="T131" s="845">
        <v>72.260000000000005</v>
      </c>
      <c r="U131" s="846">
        <f t="shared" si="18"/>
        <v>-2.6407976286715096E-2</v>
      </c>
      <c r="V131" s="845">
        <v>132.61779999999999</v>
      </c>
      <c r="W131" s="846">
        <f t="shared" si="19"/>
        <v>-2.1001353140015833E-2</v>
      </c>
      <c r="X131" s="845">
        <v>38703.269999999997</v>
      </c>
      <c r="Y131" s="846">
        <f t="shared" si="20"/>
        <v>-2.6020666749544508E-2</v>
      </c>
      <c r="Z131" s="845">
        <v>5186.3303999999998</v>
      </c>
      <c r="AA131" s="846">
        <f t="shared" si="21"/>
        <v>-2.9969326277311636E-2</v>
      </c>
      <c r="AB131" s="843"/>
      <c r="AC131" s="832"/>
    </row>
    <row r="132" spans="1:29" ht="14.4" x14ac:dyDescent="0.55000000000000004">
      <c r="A132" s="841" t="s">
        <v>5291</v>
      </c>
      <c r="B132" s="842">
        <v>129.99</v>
      </c>
      <c r="C132" s="843">
        <f t="shared" si="12"/>
        <v>-6.918819188191927E-4</v>
      </c>
      <c r="D132" s="842">
        <v>46.8</v>
      </c>
      <c r="E132" s="843">
        <f t="shared" si="13"/>
        <v>-2.5575447570332921E-3</v>
      </c>
      <c r="F132" s="842">
        <v>31.81</v>
      </c>
      <c r="G132" s="843">
        <f t="shared" si="13"/>
        <v>1.5743073047858047E-3</v>
      </c>
      <c r="H132" s="842">
        <v>38.92</v>
      </c>
      <c r="I132" s="843">
        <f t="shared" si="13"/>
        <v>-3.5678889990089169E-2</v>
      </c>
      <c r="J132" s="842">
        <v>69.069999999999993</v>
      </c>
      <c r="K132" s="843">
        <f t="shared" si="14"/>
        <v>-8.6120281326254045E-3</v>
      </c>
      <c r="L132" s="842">
        <v>74.02</v>
      </c>
      <c r="M132" s="843">
        <f t="shared" si="15"/>
        <v>2.9810298102981303E-3</v>
      </c>
      <c r="N132" s="842">
        <v>66.11</v>
      </c>
      <c r="O132" s="843">
        <f t="shared" si="16"/>
        <v>-2.414365474573632E-3</v>
      </c>
      <c r="P132" s="844">
        <f t="shared" si="22"/>
        <v>-6.4856247368652508E-3</v>
      </c>
      <c r="Q132" s="830"/>
      <c r="R132" s="845">
        <v>1018.46</v>
      </c>
      <c r="S132" s="846">
        <f t="shared" si="17"/>
        <v>7.4698140395863533E-3</v>
      </c>
      <c r="T132" s="845">
        <v>74.22</v>
      </c>
      <c r="U132" s="846">
        <f t="shared" si="18"/>
        <v>1.6194331983805377E-3</v>
      </c>
      <c r="V132" s="845">
        <v>135.46270000000001</v>
      </c>
      <c r="W132" s="846">
        <f t="shared" si="19"/>
        <v>-6.9196239206525956E-4</v>
      </c>
      <c r="X132" s="845">
        <v>39737.26</v>
      </c>
      <c r="Y132" s="846">
        <f t="shared" si="20"/>
        <v>-1.5136082359850644E-2</v>
      </c>
      <c r="Z132" s="845">
        <v>5346.5632999999998</v>
      </c>
      <c r="AA132" s="846">
        <f t="shared" si="21"/>
        <v>-1.8382009032541169E-2</v>
      </c>
      <c r="AB132" s="843"/>
      <c r="AC132" s="832"/>
    </row>
    <row r="133" spans="1:29" ht="14.4" x14ac:dyDescent="0.55000000000000004">
      <c r="A133" s="841" t="s">
        <v>5292</v>
      </c>
      <c r="B133" s="842">
        <v>130.08000000000001</v>
      </c>
      <c r="C133" s="843">
        <f t="shared" si="12"/>
        <v>1.7203628401626592E-2</v>
      </c>
      <c r="D133" s="842">
        <v>46.92</v>
      </c>
      <c r="E133" s="843">
        <f t="shared" si="13"/>
        <v>3.6363636363636598E-3</v>
      </c>
      <c r="F133" s="842">
        <v>31.76</v>
      </c>
      <c r="G133" s="843">
        <f t="shared" si="13"/>
        <v>1.6320000000000112E-2</v>
      </c>
      <c r="H133" s="842">
        <v>40.36</v>
      </c>
      <c r="I133" s="843">
        <f t="shared" si="13"/>
        <v>9.5047523761881969E-3</v>
      </c>
      <c r="J133" s="842">
        <v>69.67</v>
      </c>
      <c r="K133" s="843">
        <f t="shared" si="14"/>
        <v>5.7446502944147326E-4</v>
      </c>
      <c r="L133" s="842">
        <v>73.8</v>
      </c>
      <c r="M133" s="843">
        <f t="shared" si="15"/>
        <v>-4.8543689320388328E-3</v>
      </c>
      <c r="N133" s="842">
        <v>66.27</v>
      </c>
      <c r="O133" s="843">
        <f t="shared" si="16"/>
        <v>-4.8055263553087313E-3</v>
      </c>
      <c r="P133" s="844">
        <f t="shared" si="22"/>
        <v>5.3684734508960674E-3</v>
      </c>
      <c r="Q133" s="830"/>
      <c r="R133" s="845">
        <v>1010.9087</v>
      </c>
      <c r="S133" s="846">
        <f t="shared" si="17"/>
        <v>2.3093746521065883E-2</v>
      </c>
      <c r="T133" s="845">
        <v>74.099999999999994</v>
      </c>
      <c r="U133" s="846">
        <f t="shared" si="18"/>
        <v>1.7996977606813847E-2</v>
      </c>
      <c r="V133" s="845">
        <v>135.5565</v>
      </c>
      <c r="W133" s="846">
        <f t="shared" si="19"/>
        <v>1.7203458701118501E-2</v>
      </c>
      <c r="X133" s="845">
        <v>40347.970200000003</v>
      </c>
      <c r="Y133" s="846">
        <f t="shared" si="20"/>
        <v>-1.2115230129969068E-2</v>
      </c>
      <c r="Z133" s="845">
        <v>5446.6842999999999</v>
      </c>
      <c r="AA133" s="846">
        <f t="shared" si="21"/>
        <v>-1.3693112535066554E-2</v>
      </c>
      <c r="AB133" s="843"/>
      <c r="AC133" s="832"/>
    </row>
    <row r="134" spans="1:29" ht="14.4" x14ac:dyDescent="0.55000000000000004">
      <c r="A134" s="841" t="s">
        <v>5293</v>
      </c>
      <c r="B134" s="842">
        <v>127.88</v>
      </c>
      <c r="C134" s="843">
        <f t="shared" si="12"/>
        <v>-2.6516924036812384E-3</v>
      </c>
      <c r="D134" s="842">
        <v>46.75</v>
      </c>
      <c r="E134" s="843">
        <f t="shared" si="13"/>
        <v>-5.5307381408210565E-3</v>
      </c>
      <c r="F134" s="842">
        <v>31.25</v>
      </c>
      <c r="G134" s="843">
        <f t="shared" si="13"/>
        <v>-5.4105665181413132E-3</v>
      </c>
      <c r="H134" s="842">
        <v>39.979999999999997</v>
      </c>
      <c r="I134" s="843">
        <f t="shared" si="13"/>
        <v>-1.8654884634266233E-2</v>
      </c>
      <c r="J134" s="842">
        <v>69.63</v>
      </c>
      <c r="K134" s="843">
        <f t="shared" si="14"/>
        <v>-1.2900481996030777E-2</v>
      </c>
      <c r="L134" s="842">
        <v>74.16</v>
      </c>
      <c r="M134" s="843">
        <f t="shared" si="15"/>
        <v>7.0613796849536836E-3</v>
      </c>
      <c r="N134" s="842">
        <v>66.59</v>
      </c>
      <c r="O134" s="843">
        <f t="shared" si="16"/>
        <v>-1.4649304527966756E-2</v>
      </c>
      <c r="P134" s="844">
        <f t="shared" si="22"/>
        <v>-7.5337555051362415E-3</v>
      </c>
      <c r="Q134" s="830"/>
      <c r="R134" s="845">
        <v>988.09</v>
      </c>
      <c r="S134" s="846">
        <f t="shared" si="17"/>
        <v>1.500086153596758E-3</v>
      </c>
      <c r="T134" s="845">
        <v>72.790000000000006</v>
      </c>
      <c r="U134" s="846">
        <f t="shared" si="18"/>
        <v>1.2941831338714183E-2</v>
      </c>
      <c r="V134" s="845">
        <v>133.26390000000001</v>
      </c>
      <c r="W134" s="846">
        <f t="shared" si="19"/>
        <v>-2.6515848888848392E-3</v>
      </c>
      <c r="X134" s="845">
        <v>40842.79</v>
      </c>
      <c r="Y134" s="846">
        <f t="shared" si="20"/>
        <v>2.4411357638169928E-3</v>
      </c>
      <c r="Z134" s="845">
        <v>5522.3018000000002</v>
      </c>
      <c r="AA134" s="846">
        <f t="shared" si="21"/>
        <v>1.5792988655948914E-2</v>
      </c>
      <c r="AB134" s="843"/>
      <c r="AC134" s="832"/>
    </row>
    <row r="135" spans="1:29" ht="14.4" x14ac:dyDescent="0.55000000000000004">
      <c r="A135" s="841" t="s">
        <v>5294</v>
      </c>
      <c r="B135" s="842">
        <v>128.22</v>
      </c>
      <c r="C135" s="843">
        <f t="shared" si="12"/>
        <v>9.2884130982366919E-3</v>
      </c>
      <c r="D135" s="842">
        <v>47.01</v>
      </c>
      <c r="E135" s="843">
        <f t="shared" si="13"/>
        <v>8.5818493885432279E-3</v>
      </c>
      <c r="F135" s="842">
        <v>31.42</v>
      </c>
      <c r="G135" s="843">
        <f t="shared" si="13"/>
        <v>2.872646026173209E-3</v>
      </c>
      <c r="H135" s="842">
        <v>40.74</v>
      </c>
      <c r="I135" s="843">
        <f t="shared" si="13"/>
        <v>3.6954915003695188E-3</v>
      </c>
      <c r="J135" s="842">
        <v>70.540000000000006</v>
      </c>
      <c r="K135" s="843">
        <f t="shared" si="14"/>
        <v>6.707578136149861E-3</v>
      </c>
      <c r="L135" s="842">
        <v>73.64</v>
      </c>
      <c r="M135" s="843">
        <f t="shared" si="15"/>
        <v>1.5724137931034443E-2</v>
      </c>
      <c r="N135" s="842">
        <v>67.58</v>
      </c>
      <c r="O135" s="843">
        <f t="shared" si="16"/>
        <v>4.6082949308756671E-3</v>
      </c>
      <c r="P135" s="844">
        <f t="shared" si="22"/>
        <v>7.3540587159118031E-3</v>
      </c>
      <c r="Q135" s="830"/>
      <c r="R135" s="845">
        <v>986.61</v>
      </c>
      <c r="S135" s="846">
        <f t="shared" si="17"/>
        <v>1.056027860288844E-2</v>
      </c>
      <c r="T135" s="845">
        <v>71.86</v>
      </c>
      <c r="U135" s="846">
        <f t="shared" si="18"/>
        <v>5.1755490278362348E-3</v>
      </c>
      <c r="V135" s="845">
        <v>133.6182</v>
      </c>
      <c r="W135" s="846">
        <f t="shared" si="19"/>
        <v>9.2885711372212576E-3</v>
      </c>
      <c r="X135" s="845">
        <v>40743.33</v>
      </c>
      <c r="Y135" s="846">
        <f t="shared" si="20"/>
        <v>5.0172755601700647E-3</v>
      </c>
      <c r="Z135" s="845">
        <v>5436.4440999999997</v>
      </c>
      <c r="AA135" s="846">
        <f t="shared" si="21"/>
        <v>-4.9591304243578049E-3</v>
      </c>
      <c r="AB135" s="843"/>
      <c r="AC135" s="832"/>
    </row>
    <row r="136" spans="1:29" ht="14.4" x14ac:dyDescent="0.55000000000000004">
      <c r="A136" s="841" t="s">
        <v>5295</v>
      </c>
      <c r="B136" s="842">
        <v>127.04</v>
      </c>
      <c r="C136" s="843">
        <f t="shared" ref="C136:C199" si="23">IFERROR(((B136/B137)-1), "NA")</f>
        <v>6.9752694990488084E-3</v>
      </c>
      <c r="D136" s="842">
        <v>46.61</v>
      </c>
      <c r="E136" s="843">
        <f t="shared" ref="E136:I199" si="24">IFERROR(((D136/D137)-1), "NA")</f>
        <v>-8.2978723404255605E-3</v>
      </c>
      <c r="F136" s="842">
        <v>31.33</v>
      </c>
      <c r="G136" s="843">
        <f t="shared" si="24"/>
        <v>0</v>
      </c>
      <c r="H136" s="842">
        <v>40.590000000000003</v>
      </c>
      <c r="I136" s="843">
        <f t="shared" si="24"/>
        <v>-2.9476787030212614E-3</v>
      </c>
      <c r="J136" s="842">
        <v>70.069999999999993</v>
      </c>
      <c r="K136" s="843">
        <f t="shared" ref="K136:K199" si="25">IFERROR(((J136/J137)-1), "NA")</f>
        <v>-5.9582919563059278E-3</v>
      </c>
      <c r="L136" s="842">
        <v>72.5</v>
      </c>
      <c r="M136" s="843">
        <f t="shared" ref="M136:M199" si="26">IFERROR(((L136/L137)-1), "NA")</f>
        <v>-4.4418083563991129E-2</v>
      </c>
      <c r="N136" s="842">
        <v>67.27</v>
      </c>
      <c r="O136" s="843">
        <f t="shared" ref="O136:O199" si="27">IFERROR(((N136/N137)-1), "NA")</f>
        <v>-7.3778958241109693E-3</v>
      </c>
      <c r="P136" s="844">
        <f t="shared" si="22"/>
        <v>-8.860650412686577E-3</v>
      </c>
      <c r="Q136" s="830"/>
      <c r="R136" s="845">
        <v>976.3</v>
      </c>
      <c r="S136" s="846">
        <f t="shared" ref="S136:S199" si="28">IFERROR(((R136/R137)-1), "NA")</f>
        <v>5.0339197661131152E-3</v>
      </c>
      <c r="T136" s="845">
        <v>71.489999999999995</v>
      </c>
      <c r="U136" s="846">
        <f t="shared" ref="U136:U199" si="29">IFERROR(((T136/T137)-1), "NA")</f>
        <v>4.4962765210059263E-3</v>
      </c>
      <c r="V136" s="845">
        <v>132.38849999999999</v>
      </c>
      <c r="W136" s="846">
        <f t="shared" ref="W136:W199" si="30">IFERROR(((V136/V137)-1), "NA")</f>
        <v>6.9756616267873106E-3</v>
      </c>
      <c r="X136" s="845">
        <v>40539.93</v>
      </c>
      <c r="Y136" s="846">
        <f t="shared" ref="Y136:Y199" si="31">IFERROR(((X136/X137)-1), "NA")</f>
        <v>-1.2173146939564727E-3</v>
      </c>
      <c r="Z136" s="845">
        <v>5463.5384999999997</v>
      </c>
      <c r="AA136" s="846">
        <f t="shared" ref="AA136:AA199" si="32">IFERROR(((Z136/Z137)-1), "NA")</f>
        <v>8.135227629388897E-4</v>
      </c>
      <c r="AB136" s="843"/>
      <c r="AC136" s="832"/>
    </row>
    <row r="137" spans="1:29" ht="14.4" x14ac:dyDescent="0.55000000000000004">
      <c r="A137" s="841" t="s">
        <v>5296</v>
      </c>
      <c r="B137" s="842">
        <v>126.16</v>
      </c>
      <c r="C137" s="843">
        <f t="shared" si="23"/>
        <v>9.8455134875530259E-3</v>
      </c>
      <c r="D137" s="842">
        <v>47</v>
      </c>
      <c r="E137" s="843">
        <f t="shared" si="24"/>
        <v>9.0167453842850964E-3</v>
      </c>
      <c r="F137" s="842">
        <v>31.33</v>
      </c>
      <c r="G137" s="843">
        <f t="shared" si="24"/>
        <v>8.0437580437580092E-3</v>
      </c>
      <c r="H137" s="842">
        <v>40.71</v>
      </c>
      <c r="I137" s="843">
        <f t="shared" si="24"/>
        <v>8.9219330855019319E-3</v>
      </c>
      <c r="J137" s="842">
        <v>70.489999999999995</v>
      </c>
      <c r="K137" s="843">
        <f t="shared" si="25"/>
        <v>1.9083417666618363E-2</v>
      </c>
      <c r="L137" s="842">
        <v>75.87</v>
      </c>
      <c r="M137" s="843">
        <f t="shared" si="26"/>
        <v>1.6206804178944711E-2</v>
      </c>
      <c r="N137" s="842">
        <v>67.77</v>
      </c>
      <c r="O137" s="843">
        <f t="shared" si="27"/>
        <v>9.5337405035007539E-3</v>
      </c>
      <c r="P137" s="844">
        <f t="shared" ref="P137:P200" si="33">IFERROR(AVERAGE(C137,E137,G137,I137,M137,K137,O137),"NA")</f>
        <v>1.1521701764308842E-2</v>
      </c>
      <c r="Q137" s="830"/>
      <c r="R137" s="845">
        <v>971.41</v>
      </c>
      <c r="S137" s="846">
        <f t="shared" si="28"/>
        <v>1.0453940251310634E-2</v>
      </c>
      <c r="T137" s="845">
        <v>71.17</v>
      </c>
      <c r="U137" s="846">
        <f t="shared" si="29"/>
        <v>9.7900113507378705E-3</v>
      </c>
      <c r="V137" s="845">
        <v>131.47139999999999</v>
      </c>
      <c r="W137" s="846">
        <f t="shared" si="30"/>
        <v>9.8448648395379479E-3</v>
      </c>
      <c r="X137" s="845">
        <v>40589.339999999997</v>
      </c>
      <c r="Y137" s="846">
        <f t="shared" si="31"/>
        <v>1.6383344263575683E-2</v>
      </c>
      <c r="Z137" s="845">
        <v>5459.0973999999997</v>
      </c>
      <c r="AA137" s="846">
        <f t="shared" si="32"/>
        <v>1.1089541133005643E-2</v>
      </c>
      <c r="AB137" s="843"/>
      <c r="AC137" s="832"/>
    </row>
    <row r="138" spans="1:29" ht="14.4" x14ac:dyDescent="0.55000000000000004">
      <c r="A138" s="841" t="s">
        <v>5297</v>
      </c>
      <c r="B138" s="842">
        <v>124.93</v>
      </c>
      <c r="C138" s="843">
        <f t="shared" si="23"/>
        <v>-7.7045274027005561E-3</v>
      </c>
      <c r="D138" s="842">
        <v>46.58</v>
      </c>
      <c r="E138" s="843">
        <f t="shared" si="24"/>
        <v>1.085069444444442E-2</v>
      </c>
      <c r="F138" s="842">
        <v>31.08</v>
      </c>
      <c r="G138" s="843">
        <f t="shared" si="24"/>
        <v>2.2573363431150906E-3</v>
      </c>
      <c r="H138" s="842">
        <v>40.35</v>
      </c>
      <c r="I138" s="843">
        <f t="shared" si="24"/>
        <v>7.9940044966275714E-3</v>
      </c>
      <c r="J138" s="842">
        <v>69.17</v>
      </c>
      <c r="K138" s="843">
        <f t="shared" si="25"/>
        <v>4.3390222736472417E-4</v>
      </c>
      <c r="L138" s="842">
        <v>74.66</v>
      </c>
      <c r="M138" s="843">
        <f t="shared" si="26"/>
        <v>1.1516054735130732E-2</v>
      </c>
      <c r="N138" s="842">
        <v>67.13</v>
      </c>
      <c r="O138" s="843">
        <f t="shared" si="27"/>
        <v>6.8996550172490956E-3</v>
      </c>
      <c r="P138" s="844">
        <f t="shared" si="33"/>
        <v>4.6067314087472966E-3</v>
      </c>
      <c r="Q138" s="830"/>
      <c r="R138" s="845">
        <v>961.36</v>
      </c>
      <c r="S138" s="846">
        <f t="shared" si="28"/>
        <v>-7.0338886765752839E-3</v>
      </c>
      <c r="T138" s="845">
        <v>70.48</v>
      </c>
      <c r="U138" s="846">
        <f t="shared" si="29"/>
        <v>-8.3016744055155467E-3</v>
      </c>
      <c r="V138" s="845">
        <v>130.18969999999999</v>
      </c>
      <c r="W138" s="846">
        <f t="shared" si="30"/>
        <v>-7.7042389320164384E-3</v>
      </c>
      <c r="X138" s="845">
        <v>39935.07</v>
      </c>
      <c r="Y138" s="846">
        <f t="shared" si="31"/>
        <v>2.0374432896981265E-3</v>
      </c>
      <c r="Z138" s="845">
        <v>5399.2224999999999</v>
      </c>
      <c r="AA138" s="846">
        <f t="shared" si="32"/>
        <v>-5.1417990404022396E-3</v>
      </c>
      <c r="AB138" s="843"/>
      <c r="AC138" s="832"/>
    </row>
    <row r="139" spans="1:29" ht="14.4" x14ac:dyDescent="0.55000000000000004">
      <c r="A139" s="841" t="s">
        <v>5298</v>
      </c>
      <c r="B139" s="842">
        <v>125.9</v>
      </c>
      <c r="C139" s="843">
        <f t="shared" si="23"/>
        <v>1.092018628553082E-2</v>
      </c>
      <c r="D139" s="842">
        <v>46.08</v>
      </c>
      <c r="E139" s="843">
        <f t="shared" si="24"/>
        <v>2.8291621327529715E-3</v>
      </c>
      <c r="F139" s="842">
        <v>31.01</v>
      </c>
      <c r="G139" s="843">
        <f t="shared" si="24"/>
        <v>1.4725130890052451E-2</v>
      </c>
      <c r="H139" s="842">
        <v>40.03</v>
      </c>
      <c r="I139" s="843">
        <f t="shared" si="24"/>
        <v>6.0316662478010485E-3</v>
      </c>
      <c r="J139" s="842">
        <v>69.14</v>
      </c>
      <c r="K139" s="843">
        <f t="shared" si="25"/>
        <v>6.6977285963889521E-3</v>
      </c>
      <c r="L139" s="842">
        <v>73.81</v>
      </c>
      <c r="M139" s="843">
        <f t="shared" si="26"/>
        <v>-2.7151706867009406E-2</v>
      </c>
      <c r="N139" s="842">
        <v>66.67</v>
      </c>
      <c r="O139" s="843">
        <f t="shared" si="27"/>
        <v>7.8609221466363621E-3</v>
      </c>
      <c r="P139" s="844">
        <f t="shared" si="33"/>
        <v>3.1304413474504572E-3</v>
      </c>
      <c r="Q139" s="830"/>
      <c r="R139" s="845">
        <v>968.17</v>
      </c>
      <c r="S139" s="846">
        <f t="shared" si="28"/>
        <v>1.7166931069623637E-2</v>
      </c>
      <c r="T139" s="845">
        <v>71.069999999999993</v>
      </c>
      <c r="U139" s="846">
        <f t="shared" si="29"/>
        <v>1.1240751280591876E-2</v>
      </c>
      <c r="V139" s="845">
        <v>131.20050000000001</v>
      </c>
      <c r="W139" s="846">
        <f t="shared" si="30"/>
        <v>1.0920519759106018E-2</v>
      </c>
      <c r="X139" s="845">
        <v>39853.870000000003</v>
      </c>
      <c r="Y139" s="846">
        <f t="shared" si="31"/>
        <v>-1.249365368876465E-2</v>
      </c>
      <c r="Z139" s="845">
        <v>5427.1277</v>
      </c>
      <c r="AA139" s="846">
        <f t="shared" si="32"/>
        <v>-2.3150095998848874E-2</v>
      </c>
      <c r="AB139" s="843"/>
      <c r="AC139" s="832"/>
    </row>
    <row r="140" spans="1:29" ht="14.4" x14ac:dyDescent="0.55000000000000004">
      <c r="A140" s="841" t="s">
        <v>5299</v>
      </c>
      <c r="B140" s="842">
        <v>124.54</v>
      </c>
      <c r="C140" s="843">
        <f t="shared" si="23"/>
        <v>8.3394057161363389E-3</v>
      </c>
      <c r="D140" s="842">
        <v>45.95</v>
      </c>
      <c r="E140" s="843">
        <f t="shared" si="24"/>
        <v>-2.1715526601518986E-3</v>
      </c>
      <c r="F140" s="842">
        <v>30.56</v>
      </c>
      <c r="G140" s="843">
        <f t="shared" si="24"/>
        <v>-7.7922077922079058E-3</v>
      </c>
      <c r="H140" s="842">
        <v>39.79</v>
      </c>
      <c r="I140" s="843">
        <f t="shared" si="24"/>
        <v>3.7840565085771605E-3</v>
      </c>
      <c r="J140" s="842">
        <v>68.680000000000007</v>
      </c>
      <c r="K140" s="843">
        <f t="shared" si="25"/>
        <v>2.912904165455199E-4</v>
      </c>
      <c r="L140" s="842">
        <v>75.87</v>
      </c>
      <c r="M140" s="843">
        <f t="shared" si="26"/>
        <v>2.5131738954195404E-2</v>
      </c>
      <c r="N140" s="842">
        <v>66.150000000000006</v>
      </c>
      <c r="O140" s="843">
        <f t="shared" si="27"/>
        <v>1.5140045420136694E-3</v>
      </c>
      <c r="P140" s="844">
        <f t="shared" si="33"/>
        <v>4.1566765264440409E-3</v>
      </c>
      <c r="Q140" s="830"/>
      <c r="R140" s="845">
        <v>951.83</v>
      </c>
      <c r="S140" s="846">
        <f t="shared" si="28"/>
        <v>-5.7555309503415364E-3</v>
      </c>
      <c r="T140" s="845">
        <v>70.28</v>
      </c>
      <c r="U140" s="846">
        <f t="shared" si="29"/>
        <v>-6.2217194570135526E-3</v>
      </c>
      <c r="V140" s="845">
        <v>129.78319999999999</v>
      </c>
      <c r="W140" s="846">
        <f t="shared" si="30"/>
        <v>8.3389078850966136E-3</v>
      </c>
      <c r="X140" s="845">
        <v>40358.089999999997</v>
      </c>
      <c r="Y140" s="846">
        <f t="shared" si="31"/>
        <v>-1.4190121399150213E-3</v>
      </c>
      <c r="Z140" s="845">
        <v>5555.7437</v>
      </c>
      <c r="AA140" s="846">
        <f t="shared" si="32"/>
        <v>-1.5579720908203143E-3</v>
      </c>
      <c r="AB140" s="843"/>
      <c r="AC140" s="832"/>
    </row>
    <row r="141" spans="1:29" ht="14.4" x14ac:dyDescent="0.55000000000000004">
      <c r="A141" s="841" t="s">
        <v>5300</v>
      </c>
      <c r="B141" s="842">
        <v>123.51</v>
      </c>
      <c r="C141" s="843">
        <f t="shared" si="23"/>
        <v>4.5546970313135038E-3</v>
      </c>
      <c r="D141" s="842">
        <v>46.05</v>
      </c>
      <c r="E141" s="843">
        <f t="shared" si="24"/>
        <v>2.8310104529616353E-3</v>
      </c>
      <c r="F141" s="842">
        <v>30.8</v>
      </c>
      <c r="G141" s="843">
        <f t="shared" si="24"/>
        <v>1.0167267956707082E-2</v>
      </c>
      <c r="H141" s="842">
        <v>39.64</v>
      </c>
      <c r="I141" s="843">
        <f t="shared" si="24"/>
        <v>7.6258261311641373E-3</v>
      </c>
      <c r="J141" s="842">
        <v>68.66</v>
      </c>
      <c r="K141" s="843">
        <f t="shared" si="25"/>
        <v>5.270863836017492E-3</v>
      </c>
      <c r="L141" s="842">
        <v>74.010000000000005</v>
      </c>
      <c r="M141" s="843">
        <f t="shared" si="26"/>
        <v>9.4671355152842196E-4</v>
      </c>
      <c r="N141" s="842">
        <v>66.05</v>
      </c>
      <c r="O141" s="843">
        <f t="shared" si="27"/>
        <v>8.3969465648854325E-3</v>
      </c>
      <c r="P141" s="844">
        <f t="shared" si="33"/>
        <v>5.6847607892253861E-3</v>
      </c>
      <c r="Q141" s="830"/>
      <c r="R141" s="845">
        <v>957.34</v>
      </c>
      <c r="S141" s="846">
        <f t="shared" si="28"/>
        <v>6.8254719461533497E-3</v>
      </c>
      <c r="T141" s="845">
        <v>70.72</v>
      </c>
      <c r="U141" s="846">
        <f t="shared" si="29"/>
        <v>8.4129473834309021E-3</v>
      </c>
      <c r="V141" s="845">
        <v>128.7099</v>
      </c>
      <c r="W141" s="846">
        <f t="shared" si="30"/>
        <v>4.5548806138944187E-3</v>
      </c>
      <c r="X141" s="845">
        <v>40415.440000000002</v>
      </c>
      <c r="Y141" s="846">
        <f t="shared" si="31"/>
        <v>3.1749278250616797E-3</v>
      </c>
      <c r="Z141" s="845">
        <v>5564.4129000000003</v>
      </c>
      <c r="AA141" s="846">
        <f t="shared" si="32"/>
        <v>1.0791964858294145E-2</v>
      </c>
      <c r="AB141" s="843"/>
      <c r="AC141" s="832"/>
    </row>
    <row r="142" spans="1:29" ht="14.4" x14ac:dyDescent="0.55000000000000004">
      <c r="A142" s="841" t="s">
        <v>5301</v>
      </c>
      <c r="B142" s="842">
        <v>122.95</v>
      </c>
      <c r="C142" s="843">
        <f t="shared" si="23"/>
        <v>-2.1912027268300438E-3</v>
      </c>
      <c r="D142" s="842">
        <v>45.92</v>
      </c>
      <c r="E142" s="843">
        <f t="shared" si="24"/>
        <v>-3.9045553145335976E-3</v>
      </c>
      <c r="F142" s="842">
        <v>30.49</v>
      </c>
      <c r="G142" s="843">
        <f t="shared" si="24"/>
        <v>-5.8689272905120271E-3</v>
      </c>
      <c r="H142" s="842">
        <v>39.340000000000003</v>
      </c>
      <c r="I142" s="843">
        <f t="shared" si="24"/>
        <v>-1.2550200803212896E-2</v>
      </c>
      <c r="J142" s="842">
        <v>68.3</v>
      </c>
      <c r="K142" s="843">
        <f t="shared" si="25"/>
        <v>-2.7741276098700585E-3</v>
      </c>
      <c r="L142" s="842">
        <v>73.94</v>
      </c>
      <c r="M142" s="843">
        <f t="shared" si="26"/>
        <v>5.1658510059815477E-3</v>
      </c>
      <c r="N142" s="842">
        <v>65.5</v>
      </c>
      <c r="O142" s="843">
        <f t="shared" si="27"/>
        <v>-1.5264845061835342E-4</v>
      </c>
      <c r="P142" s="844">
        <f t="shared" si="33"/>
        <v>-3.1822587413707754E-3</v>
      </c>
      <c r="Q142" s="830"/>
      <c r="R142" s="845">
        <v>950.85</v>
      </c>
      <c r="S142" s="846">
        <f t="shared" si="28"/>
        <v>-4.2065854094497368E-5</v>
      </c>
      <c r="T142" s="845">
        <v>70.13</v>
      </c>
      <c r="U142" s="846">
        <f t="shared" si="29"/>
        <v>1.1420413990006484E-3</v>
      </c>
      <c r="V142" s="845">
        <v>128.12629999999999</v>
      </c>
      <c r="W142" s="846">
        <f t="shared" si="30"/>
        <v>-2.1914573658746717E-3</v>
      </c>
      <c r="X142" s="845">
        <v>40287.53</v>
      </c>
      <c r="Y142" s="846">
        <f t="shared" si="31"/>
        <v>-9.2829168656500816E-3</v>
      </c>
      <c r="Z142" s="845">
        <v>5505.0030999999999</v>
      </c>
      <c r="AA142" s="846">
        <f t="shared" si="32"/>
        <v>-7.1403074259803745E-3</v>
      </c>
      <c r="AB142" s="843"/>
      <c r="AC142" s="832"/>
    </row>
    <row r="143" spans="1:29" ht="14.4" x14ac:dyDescent="0.55000000000000004">
      <c r="A143" s="841" t="s">
        <v>5302</v>
      </c>
      <c r="B143" s="842">
        <v>123.22</v>
      </c>
      <c r="C143" s="843">
        <f t="shared" si="23"/>
        <v>-1.1472121941436098E-2</v>
      </c>
      <c r="D143" s="842">
        <v>46.1</v>
      </c>
      <c r="E143" s="843">
        <f t="shared" si="24"/>
        <v>0</v>
      </c>
      <c r="F143" s="842">
        <v>30.67</v>
      </c>
      <c r="G143" s="843">
        <f t="shared" si="24"/>
        <v>-6.5167807103294617E-4</v>
      </c>
      <c r="H143" s="842">
        <v>39.840000000000003</v>
      </c>
      <c r="I143" s="843">
        <f t="shared" si="24"/>
        <v>-9.9403578528827197E-3</v>
      </c>
      <c r="J143" s="842">
        <v>68.489999999999995</v>
      </c>
      <c r="K143" s="843">
        <f t="shared" si="25"/>
        <v>-1.6654702081837947E-2</v>
      </c>
      <c r="L143" s="842">
        <v>73.56</v>
      </c>
      <c r="M143" s="843">
        <f t="shared" si="26"/>
        <v>-3.3870749220972218E-3</v>
      </c>
      <c r="N143" s="842">
        <v>65.510000000000005</v>
      </c>
      <c r="O143" s="843">
        <f t="shared" si="27"/>
        <v>-6.2196601941747476E-3</v>
      </c>
      <c r="P143" s="844">
        <f t="shared" si="33"/>
        <v>-6.9036564376373831E-3</v>
      </c>
      <c r="Q143" s="830"/>
      <c r="R143" s="845">
        <v>950.89</v>
      </c>
      <c r="S143" s="846">
        <f t="shared" si="28"/>
        <v>-3.4375425762704914E-3</v>
      </c>
      <c r="T143" s="845">
        <v>70.05</v>
      </c>
      <c r="U143" s="846">
        <f t="shared" si="29"/>
        <v>-8.5579803166457857E-4</v>
      </c>
      <c r="V143" s="845">
        <v>128.40770000000001</v>
      </c>
      <c r="W143" s="846">
        <f t="shared" si="30"/>
        <v>-1.147208692365298E-2</v>
      </c>
      <c r="X143" s="845">
        <v>40665.019999999997</v>
      </c>
      <c r="Y143" s="846">
        <f t="shared" si="31"/>
        <v>-1.2938952494873646E-2</v>
      </c>
      <c r="Z143" s="845">
        <v>5544.5932000000003</v>
      </c>
      <c r="AA143" s="846">
        <f t="shared" si="32"/>
        <v>-7.8161017117331921E-3</v>
      </c>
      <c r="AB143" s="843"/>
      <c r="AC143" s="832"/>
    </row>
    <row r="144" spans="1:29" ht="14.4" x14ac:dyDescent="0.55000000000000004">
      <c r="A144" s="841" t="s">
        <v>5303</v>
      </c>
      <c r="B144" s="842">
        <v>124.65</v>
      </c>
      <c r="C144" s="843">
        <f t="shared" si="23"/>
        <v>1.8881804806277547E-2</v>
      </c>
      <c r="D144" s="842">
        <v>46.1</v>
      </c>
      <c r="E144" s="843">
        <f t="shared" si="24"/>
        <v>1.0521701008329831E-2</v>
      </c>
      <c r="F144" s="842">
        <v>30.69</v>
      </c>
      <c r="G144" s="843">
        <f t="shared" si="24"/>
        <v>2.19780219780219E-2</v>
      </c>
      <c r="H144" s="842">
        <v>40.24</v>
      </c>
      <c r="I144" s="843">
        <f t="shared" si="24"/>
        <v>3.0737704918032849E-2</v>
      </c>
      <c r="J144" s="842">
        <v>69.650000000000006</v>
      </c>
      <c r="K144" s="843">
        <f t="shared" si="25"/>
        <v>1.9915068091960642E-2</v>
      </c>
      <c r="L144" s="842">
        <v>73.81</v>
      </c>
      <c r="M144" s="843">
        <f t="shared" si="26"/>
        <v>4.0661425860677447E-4</v>
      </c>
      <c r="N144" s="842">
        <v>65.92</v>
      </c>
      <c r="O144" s="843">
        <f t="shared" si="27"/>
        <v>2.1540368820703648E-2</v>
      </c>
      <c r="P144" s="844">
        <f t="shared" si="33"/>
        <v>1.7711611983133313E-2</v>
      </c>
      <c r="Q144" s="830"/>
      <c r="R144" s="845">
        <v>954.17</v>
      </c>
      <c r="S144" s="846">
        <f t="shared" si="28"/>
        <v>1.4513247990473266E-2</v>
      </c>
      <c r="T144" s="845">
        <v>70.11</v>
      </c>
      <c r="U144" s="846">
        <f t="shared" si="29"/>
        <v>5.7085771371490068E-4</v>
      </c>
      <c r="V144" s="845">
        <v>129.89789999999999</v>
      </c>
      <c r="W144" s="846">
        <f t="shared" si="30"/>
        <v>1.8882176411437301E-2</v>
      </c>
      <c r="X144" s="845">
        <v>41198.080000000002</v>
      </c>
      <c r="Y144" s="846">
        <f t="shared" si="31"/>
        <v>5.9480672199963003E-3</v>
      </c>
      <c r="Z144" s="845">
        <v>5588.2717000000002</v>
      </c>
      <c r="AA144" s="846">
        <f t="shared" si="32"/>
        <v>-1.3926812540878797E-2</v>
      </c>
      <c r="AB144" s="843"/>
      <c r="AC144" s="832"/>
    </row>
    <row r="145" spans="1:29" ht="14.4" x14ac:dyDescent="0.55000000000000004">
      <c r="A145" s="841" t="s">
        <v>5304</v>
      </c>
      <c r="B145" s="842">
        <v>122.34</v>
      </c>
      <c r="C145" s="843">
        <f t="shared" si="23"/>
        <v>1.2496896466109408E-2</v>
      </c>
      <c r="D145" s="842">
        <v>45.62</v>
      </c>
      <c r="E145" s="843">
        <f t="shared" si="24"/>
        <v>2.5168539325842731E-2</v>
      </c>
      <c r="F145" s="842">
        <v>30.03</v>
      </c>
      <c r="G145" s="843">
        <f t="shared" si="24"/>
        <v>1.0090817356205983E-2</v>
      </c>
      <c r="H145" s="842">
        <v>39.04</v>
      </c>
      <c r="I145" s="843">
        <f t="shared" si="24"/>
        <v>3.0351016099234629E-2</v>
      </c>
      <c r="J145" s="842">
        <v>68.290000000000006</v>
      </c>
      <c r="K145" s="843">
        <f t="shared" si="25"/>
        <v>3.0948067632850407E-2</v>
      </c>
      <c r="L145" s="842">
        <v>73.78</v>
      </c>
      <c r="M145" s="843">
        <f t="shared" si="26"/>
        <v>1.7795558008001144E-2</v>
      </c>
      <c r="N145" s="842">
        <v>64.53</v>
      </c>
      <c r="O145" s="843">
        <f t="shared" si="27"/>
        <v>3.3472133247917979E-2</v>
      </c>
      <c r="P145" s="844">
        <f t="shared" si="33"/>
        <v>2.290328973373747E-2</v>
      </c>
      <c r="Q145" s="830"/>
      <c r="R145" s="845">
        <v>940.52</v>
      </c>
      <c r="S145" s="846">
        <f t="shared" si="28"/>
        <v>1.1474969081034514E-2</v>
      </c>
      <c r="T145" s="845">
        <v>70.069999999999993</v>
      </c>
      <c r="U145" s="846">
        <f t="shared" si="29"/>
        <v>7.7664317560763863E-3</v>
      </c>
      <c r="V145" s="845">
        <v>127.4906</v>
      </c>
      <c r="W145" s="846">
        <f t="shared" si="30"/>
        <v>1.2497121119467547E-2</v>
      </c>
      <c r="X145" s="845">
        <v>40954.480000000003</v>
      </c>
      <c r="Y145" s="846">
        <f t="shared" si="31"/>
        <v>1.8471231770240237E-2</v>
      </c>
      <c r="Z145" s="845">
        <v>5667.1976999999997</v>
      </c>
      <c r="AA145" s="846">
        <f t="shared" si="32"/>
        <v>6.3896856380574185E-3</v>
      </c>
      <c r="AB145" s="843"/>
      <c r="AC145" s="832"/>
    </row>
    <row r="146" spans="1:29" ht="14.4" x14ac:dyDescent="0.55000000000000004">
      <c r="A146" s="841" t="s">
        <v>5305</v>
      </c>
      <c r="B146" s="842">
        <v>120.83</v>
      </c>
      <c r="C146" s="843">
        <f t="shared" si="23"/>
        <v>-9.0954192161396552E-4</v>
      </c>
      <c r="D146" s="842">
        <v>44.5</v>
      </c>
      <c r="E146" s="843">
        <f t="shared" si="24"/>
        <v>-4.0286481647269223E-3</v>
      </c>
      <c r="F146" s="842">
        <v>29.73</v>
      </c>
      <c r="G146" s="843">
        <f t="shared" si="24"/>
        <v>-1.1306950448952469E-2</v>
      </c>
      <c r="H146" s="842">
        <v>37.89</v>
      </c>
      <c r="I146" s="843">
        <f t="shared" si="24"/>
        <v>2.63991552270193E-4</v>
      </c>
      <c r="J146" s="842">
        <v>66.239999999999995</v>
      </c>
      <c r="K146" s="843">
        <f t="shared" si="25"/>
        <v>8.9870525514088584E-3</v>
      </c>
      <c r="L146" s="842">
        <v>72.489999999999995</v>
      </c>
      <c r="M146" s="843">
        <f t="shared" si="26"/>
        <v>3.4606866002215853E-3</v>
      </c>
      <c r="N146" s="842">
        <v>62.44</v>
      </c>
      <c r="O146" s="843">
        <f t="shared" si="27"/>
        <v>4.5045045045044585E-3</v>
      </c>
      <c r="P146" s="844">
        <f t="shared" si="33"/>
        <v>1.387278104445341E-4</v>
      </c>
      <c r="Q146" s="830"/>
      <c r="R146" s="845">
        <v>929.85</v>
      </c>
      <c r="S146" s="846">
        <f t="shared" si="28"/>
        <v>-1.6635292624632481E-2</v>
      </c>
      <c r="T146" s="845">
        <v>69.53</v>
      </c>
      <c r="U146" s="846">
        <f t="shared" si="29"/>
        <v>-2.4277294414819073E-2</v>
      </c>
      <c r="V146" s="845">
        <v>125.917</v>
      </c>
      <c r="W146" s="846">
        <f t="shared" si="30"/>
        <v>-9.1008849360918465E-4</v>
      </c>
      <c r="X146" s="845">
        <v>40211.72</v>
      </c>
      <c r="Y146" s="846">
        <f t="shared" si="31"/>
        <v>5.2703814164181129E-3</v>
      </c>
      <c r="Z146" s="845">
        <v>5631.2160000000003</v>
      </c>
      <c r="AA146" s="846">
        <f t="shared" si="32"/>
        <v>2.8256837758682263E-3</v>
      </c>
      <c r="AB146" s="843"/>
      <c r="AC146" s="832"/>
    </row>
    <row r="147" spans="1:29" ht="14.4" x14ac:dyDescent="0.55000000000000004">
      <c r="A147" s="841" t="s">
        <v>5306</v>
      </c>
      <c r="B147" s="842">
        <v>120.94</v>
      </c>
      <c r="C147" s="843">
        <f t="shared" si="23"/>
        <v>8.9263368649370456E-3</v>
      </c>
      <c r="D147" s="842">
        <v>44.68</v>
      </c>
      <c r="E147" s="843">
        <f t="shared" si="24"/>
        <v>1.1546298392574039E-2</v>
      </c>
      <c r="F147" s="842">
        <v>30.07</v>
      </c>
      <c r="G147" s="843">
        <f t="shared" si="24"/>
        <v>1.2457912457912501E-2</v>
      </c>
      <c r="H147" s="842">
        <v>37.880000000000003</v>
      </c>
      <c r="I147" s="843">
        <f t="shared" si="24"/>
        <v>1.4733458344495132E-2</v>
      </c>
      <c r="J147" s="842">
        <v>65.650000000000006</v>
      </c>
      <c r="K147" s="843">
        <f t="shared" si="25"/>
        <v>1.4369592088998795E-2</v>
      </c>
      <c r="L147" s="842">
        <v>72.239999999999995</v>
      </c>
      <c r="M147" s="843">
        <f t="shared" si="26"/>
        <v>9.6993210475249114E-4</v>
      </c>
      <c r="N147" s="842">
        <v>62.16</v>
      </c>
      <c r="O147" s="843">
        <f t="shared" si="27"/>
        <v>8.9271222204188039E-3</v>
      </c>
      <c r="P147" s="844">
        <f t="shared" si="33"/>
        <v>1.0275807496298401E-2</v>
      </c>
      <c r="Q147" s="830"/>
      <c r="R147" s="845">
        <v>945.58</v>
      </c>
      <c r="S147" s="846">
        <f t="shared" si="28"/>
        <v>7.3078234191239488E-3</v>
      </c>
      <c r="T147" s="845">
        <v>71.260000000000005</v>
      </c>
      <c r="U147" s="846">
        <f t="shared" si="29"/>
        <v>7.3508623126945505E-3</v>
      </c>
      <c r="V147" s="845">
        <v>126.0317</v>
      </c>
      <c r="W147" s="846">
        <f t="shared" si="30"/>
        <v>8.9267559315575618E-3</v>
      </c>
      <c r="X147" s="845">
        <v>40000.9</v>
      </c>
      <c r="Y147" s="846">
        <f t="shared" si="31"/>
        <v>6.2170235512373218E-3</v>
      </c>
      <c r="Z147" s="845">
        <v>5615.3487999999998</v>
      </c>
      <c r="AA147" s="846">
        <f t="shared" si="32"/>
        <v>5.5160275118597557E-3</v>
      </c>
      <c r="AB147" s="843"/>
      <c r="AC147" s="832"/>
    </row>
    <row r="148" spans="1:29" ht="14.4" x14ac:dyDescent="0.55000000000000004">
      <c r="A148" s="841" t="s">
        <v>5307</v>
      </c>
      <c r="B148" s="842">
        <v>119.87</v>
      </c>
      <c r="C148" s="843">
        <f t="shared" si="23"/>
        <v>2.4442355354243217E-2</v>
      </c>
      <c r="D148" s="842">
        <v>44.17</v>
      </c>
      <c r="E148" s="843">
        <f t="shared" si="24"/>
        <v>3.7341474870831393E-2</v>
      </c>
      <c r="F148" s="842">
        <v>29.7</v>
      </c>
      <c r="G148" s="843">
        <f t="shared" si="24"/>
        <v>1.6775077028414964E-2</v>
      </c>
      <c r="H148" s="842">
        <v>37.33</v>
      </c>
      <c r="I148" s="843">
        <f t="shared" si="24"/>
        <v>3.5793562708102078E-2</v>
      </c>
      <c r="J148" s="842">
        <v>64.72</v>
      </c>
      <c r="K148" s="843">
        <f t="shared" si="25"/>
        <v>1.953371140516702E-2</v>
      </c>
      <c r="L148" s="842">
        <v>72.17</v>
      </c>
      <c r="M148" s="843">
        <f t="shared" si="26"/>
        <v>1.3338949733221028E-2</v>
      </c>
      <c r="N148" s="842">
        <v>61.61</v>
      </c>
      <c r="O148" s="843">
        <f t="shared" si="27"/>
        <v>3.1647689216342867E-2</v>
      </c>
      <c r="P148" s="844">
        <f t="shared" si="33"/>
        <v>2.5553260045188937E-2</v>
      </c>
      <c r="Q148" s="830"/>
      <c r="R148" s="845">
        <v>938.72</v>
      </c>
      <c r="S148" s="846">
        <f t="shared" si="28"/>
        <v>2.201415351115954E-2</v>
      </c>
      <c r="T148" s="845">
        <v>70.739999999999995</v>
      </c>
      <c r="U148" s="846">
        <f t="shared" si="29"/>
        <v>1.8281272491722955E-2</v>
      </c>
      <c r="V148" s="845">
        <v>124.9166</v>
      </c>
      <c r="W148" s="846">
        <f t="shared" si="30"/>
        <v>2.4442290312474801E-2</v>
      </c>
      <c r="X148" s="845">
        <v>39753.75</v>
      </c>
      <c r="Y148" s="846">
        <f t="shared" si="31"/>
        <v>8.1543028738195744E-4</v>
      </c>
      <c r="Z148" s="845">
        <v>5584.5442999999996</v>
      </c>
      <c r="AA148" s="846">
        <f t="shared" si="32"/>
        <v>-8.7626321191160983E-3</v>
      </c>
      <c r="AB148" s="843"/>
      <c r="AC148" s="832"/>
    </row>
    <row r="149" spans="1:29" ht="14.4" x14ac:dyDescent="0.55000000000000004">
      <c r="A149" s="841" t="s">
        <v>5308</v>
      </c>
      <c r="B149" s="842">
        <v>117.01</v>
      </c>
      <c r="C149" s="843">
        <f t="shared" si="23"/>
        <v>1.9517295460486306E-2</v>
      </c>
      <c r="D149" s="842">
        <v>42.58</v>
      </c>
      <c r="E149" s="843">
        <f t="shared" si="24"/>
        <v>1.0921177587844166E-2</v>
      </c>
      <c r="F149" s="842">
        <v>29.21</v>
      </c>
      <c r="G149" s="843">
        <f t="shared" si="24"/>
        <v>1.0377032168799705E-2</v>
      </c>
      <c r="H149" s="842">
        <v>36.04</v>
      </c>
      <c r="I149" s="843">
        <f t="shared" si="24"/>
        <v>1.5783540022547893E-2</v>
      </c>
      <c r="J149" s="842">
        <v>63.48</v>
      </c>
      <c r="K149" s="843">
        <f t="shared" si="25"/>
        <v>9.8631880369073333E-3</v>
      </c>
      <c r="L149" s="842">
        <v>71.22</v>
      </c>
      <c r="M149" s="843">
        <f t="shared" si="26"/>
        <v>1.5108323831242831E-2</v>
      </c>
      <c r="N149" s="842">
        <v>59.72</v>
      </c>
      <c r="O149" s="843">
        <f t="shared" si="27"/>
        <v>8.6134098969767869E-3</v>
      </c>
      <c r="P149" s="844">
        <f t="shared" si="33"/>
        <v>1.2883423857829288E-2</v>
      </c>
      <c r="Q149" s="830"/>
      <c r="R149" s="845">
        <v>918.5</v>
      </c>
      <c r="S149" s="846">
        <f t="shared" si="28"/>
        <v>1.062893358566952E-2</v>
      </c>
      <c r="T149" s="845">
        <v>69.47</v>
      </c>
      <c r="U149" s="846">
        <f t="shared" si="29"/>
        <v>9.4449287997675491E-3</v>
      </c>
      <c r="V149" s="845">
        <v>121.9362</v>
      </c>
      <c r="W149" s="846">
        <f t="shared" si="30"/>
        <v>1.9517248471805138E-2</v>
      </c>
      <c r="X149" s="845">
        <v>39721.360000000001</v>
      </c>
      <c r="Y149" s="846">
        <f t="shared" si="31"/>
        <v>1.092818710795096E-2</v>
      </c>
      <c r="Z149" s="845">
        <v>5633.9121999999998</v>
      </c>
      <c r="AA149" s="846">
        <f t="shared" si="32"/>
        <v>1.0207613092702683E-2</v>
      </c>
      <c r="AB149" s="843"/>
      <c r="AC149" s="832"/>
    </row>
    <row r="150" spans="1:29" ht="14.4" x14ac:dyDescent="0.55000000000000004">
      <c r="A150" s="841" t="s">
        <v>5309</v>
      </c>
      <c r="B150" s="842">
        <v>114.77</v>
      </c>
      <c r="C150" s="843">
        <f t="shared" si="23"/>
        <v>6.0483870967742437E-3</v>
      </c>
      <c r="D150" s="842">
        <v>42.12</v>
      </c>
      <c r="E150" s="843">
        <f t="shared" si="24"/>
        <v>2.1413276231263545E-3</v>
      </c>
      <c r="F150" s="842">
        <v>28.91</v>
      </c>
      <c r="G150" s="843">
        <f t="shared" si="24"/>
        <v>1.1900595029751493E-2</v>
      </c>
      <c r="H150" s="842">
        <v>35.479999999999997</v>
      </c>
      <c r="I150" s="843">
        <f t="shared" si="24"/>
        <v>6.5248226950354038E-3</v>
      </c>
      <c r="J150" s="842">
        <v>62.86</v>
      </c>
      <c r="K150" s="843">
        <f t="shared" si="25"/>
        <v>1.0286081645773049E-2</v>
      </c>
      <c r="L150" s="842">
        <v>70.16</v>
      </c>
      <c r="M150" s="843">
        <f t="shared" si="26"/>
        <v>2.2857142857142243E-3</v>
      </c>
      <c r="N150" s="842">
        <v>59.21</v>
      </c>
      <c r="O150" s="843">
        <f t="shared" si="27"/>
        <v>1.0143702451395065E-3</v>
      </c>
      <c r="P150" s="844">
        <f t="shared" si="33"/>
        <v>5.7430426601877537E-3</v>
      </c>
      <c r="Q150" s="830"/>
      <c r="R150" s="845">
        <v>908.84</v>
      </c>
      <c r="S150" s="846">
        <f t="shared" si="28"/>
        <v>4.6760482417838034E-3</v>
      </c>
      <c r="T150" s="845">
        <v>68.819999999999993</v>
      </c>
      <c r="U150" s="846">
        <f t="shared" si="29"/>
        <v>2.9146021568053904E-3</v>
      </c>
      <c r="V150" s="845">
        <v>119.6019</v>
      </c>
      <c r="W150" s="846">
        <f t="shared" si="30"/>
        <v>6.0479682107350552E-3</v>
      </c>
      <c r="X150" s="845">
        <v>39291.97</v>
      </c>
      <c r="Y150" s="846">
        <f t="shared" si="31"/>
        <v>-1.3424903271818112E-3</v>
      </c>
      <c r="Z150" s="845">
        <v>5576.9844999999996</v>
      </c>
      <c r="AA150" s="846">
        <f t="shared" si="32"/>
        <v>7.4186454895186493E-4</v>
      </c>
      <c r="AB150" s="843"/>
      <c r="AC150" s="832"/>
    </row>
    <row r="151" spans="1:29" ht="14.4" x14ac:dyDescent="0.55000000000000004">
      <c r="A151" s="841" t="s">
        <v>5310</v>
      </c>
      <c r="B151" s="842">
        <v>114.08</v>
      </c>
      <c r="C151" s="843">
        <f t="shared" si="23"/>
        <v>-4.7112196824289354E-3</v>
      </c>
      <c r="D151" s="842">
        <v>42.03</v>
      </c>
      <c r="E151" s="843">
        <f t="shared" si="24"/>
        <v>-5.442498816847996E-3</v>
      </c>
      <c r="F151" s="842">
        <v>28.57</v>
      </c>
      <c r="G151" s="843">
        <f t="shared" si="24"/>
        <v>1.0511562718991119E-3</v>
      </c>
      <c r="H151" s="842">
        <v>35.25</v>
      </c>
      <c r="I151" s="843">
        <f t="shared" si="24"/>
        <v>-1.6992353440952179E-3</v>
      </c>
      <c r="J151" s="842">
        <v>62.22</v>
      </c>
      <c r="K151" s="843">
        <f t="shared" si="25"/>
        <v>-6.0702875399361034E-3</v>
      </c>
      <c r="L151" s="842">
        <v>70</v>
      </c>
      <c r="M151" s="843">
        <f t="shared" si="26"/>
        <v>-5.8230365004970919E-3</v>
      </c>
      <c r="N151" s="842">
        <v>59.15</v>
      </c>
      <c r="O151" s="843">
        <f t="shared" si="27"/>
        <v>-1.0207496653279802E-2</v>
      </c>
      <c r="P151" s="844">
        <f t="shared" si="33"/>
        <v>-4.700374037883719E-3</v>
      </c>
      <c r="Q151" s="830"/>
      <c r="R151" s="845">
        <v>904.61</v>
      </c>
      <c r="S151" s="846">
        <f t="shared" si="28"/>
        <v>-3.5908224745833106E-3</v>
      </c>
      <c r="T151" s="845">
        <v>68.62</v>
      </c>
      <c r="U151" s="846">
        <f t="shared" si="29"/>
        <v>1.0211524434720065E-3</v>
      </c>
      <c r="V151" s="845">
        <v>118.88290000000001</v>
      </c>
      <c r="W151" s="846">
        <f t="shared" si="30"/>
        <v>-4.7109311686658328E-3</v>
      </c>
      <c r="X151" s="845">
        <v>39344.79</v>
      </c>
      <c r="Y151" s="846">
        <f t="shared" si="31"/>
        <v>-7.8931589321074025E-4</v>
      </c>
      <c r="Z151" s="845">
        <v>5572.8501999999999</v>
      </c>
      <c r="AA151" s="846">
        <f t="shared" si="32"/>
        <v>1.0166348900155775E-3</v>
      </c>
      <c r="AB151" s="843"/>
      <c r="AC151" s="832"/>
    </row>
    <row r="152" spans="1:29" ht="14.4" x14ac:dyDescent="0.55000000000000004">
      <c r="A152" s="841" t="s">
        <v>5311</v>
      </c>
      <c r="B152" s="842">
        <v>114.62</v>
      </c>
      <c r="C152" s="843">
        <f t="shared" si="23"/>
        <v>-4.6891281695031761E-3</v>
      </c>
      <c r="D152" s="842">
        <v>42.26</v>
      </c>
      <c r="E152" s="843">
        <f t="shared" si="24"/>
        <v>-2.3607176581681433E-3</v>
      </c>
      <c r="F152" s="842">
        <v>28.54</v>
      </c>
      <c r="G152" s="843">
        <f t="shared" si="24"/>
        <v>-3.4916201117318746E-3</v>
      </c>
      <c r="H152" s="842">
        <v>35.31</v>
      </c>
      <c r="I152" s="843">
        <f t="shared" si="24"/>
        <v>-6.1919504643962453E-3</v>
      </c>
      <c r="J152" s="842">
        <v>62.6</v>
      </c>
      <c r="K152" s="843">
        <f t="shared" si="25"/>
        <v>-1.8193224592220725E-2</v>
      </c>
      <c r="L152" s="842">
        <v>70.41</v>
      </c>
      <c r="M152" s="843">
        <f t="shared" si="26"/>
        <v>-1.3727412802913674E-2</v>
      </c>
      <c r="N152" s="842">
        <v>59.76</v>
      </c>
      <c r="O152" s="843">
        <f t="shared" si="27"/>
        <v>-4.663557628247883E-3</v>
      </c>
      <c r="P152" s="844">
        <f t="shared" si="33"/>
        <v>-7.6168016324545318E-3</v>
      </c>
      <c r="Q152" s="830"/>
      <c r="R152" s="845">
        <v>907.87</v>
      </c>
      <c r="S152" s="846">
        <f t="shared" si="28"/>
        <v>4.3143024657896767E-3</v>
      </c>
      <c r="T152" s="845">
        <v>68.55</v>
      </c>
      <c r="U152" s="846">
        <f t="shared" si="29"/>
        <v>1.7536168347214165E-3</v>
      </c>
      <c r="V152" s="845">
        <v>119.4456</v>
      </c>
      <c r="W152" s="846">
        <f t="shared" si="30"/>
        <v>-4.6888423550704994E-3</v>
      </c>
      <c r="X152" s="845">
        <v>39375.870000000003</v>
      </c>
      <c r="Y152" s="846">
        <f t="shared" si="31"/>
        <v>1.7266205352599595E-3</v>
      </c>
      <c r="Z152" s="845">
        <v>5567.1904000000004</v>
      </c>
      <c r="AA152" s="846">
        <f t="shared" si="32"/>
        <v>5.4490149763073426E-3</v>
      </c>
      <c r="AB152" s="843"/>
      <c r="AC152" s="832"/>
    </row>
    <row r="153" spans="1:29" ht="14.4" x14ac:dyDescent="0.55000000000000004">
      <c r="A153" s="841" t="s">
        <v>5312</v>
      </c>
      <c r="B153" s="842">
        <v>115.16</v>
      </c>
      <c r="C153" s="843">
        <f t="shared" si="23"/>
        <v>-1.1671815997253643E-2</v>
      </c>
      <c r="D153" s="842">
        <v>42.36</v>
      </c>
      <c r="E153" s="843">
        <f t="shared" si="24"/>
        <v>-7.4976569821930683E-3</v>
      </c>
      <c r="F153" s="842">
        <v>28.64</v>
      </c>
      <c r="G153" s="843">
        <f t="shared" si="24"/>
        <v>2.4501225061253074E-3</v>
      </c>
      <c r="H153" s="842">
        <v>35.53</v>
      </c>
      <c r="I153" s="843">
        <f t="shared" si="24"/>
        <v>-1.058201058201047E-2</v>
      </c>
      <c r="J153" s="842">
        <v>63.76</v>
      </c>
      <c r="K153" s="843">
        <f t="shared" si="25"/>
        <v>-3.7500000000000311E-3</v>
      </c>
      <c r="L153" s="842">
        <v>71.39</v>
      </c>
      <c r="M153" s="843">
        <f t="shared" si="26"/>
        <v>8.1909334839711523E-3</v>
      </c>
      <c r="N153" s="842">
        <v>60.04</v>
      </c>
      <c r="O153" s="843">
        <f t="shared" si="27"/>
        <v>-9.0774055124608344E-3</v>
      </c>
      <c r="P153" s="844">
        <f t="shared" si="33"/>
        <v>-4.5625475834030838E-3</v>
      </c>
      <c r="Q153" s="830"/>
      <c r="R153" s="845">
        <v>903.97</v>
      </c>
      <c r="S153" s="846">
        <f t="shared" si="28"/>
        <v>8.7468721628036761E-4</v>
      </c>
      <c r="T153" s="845">
        <v>68.430000000000007</v>
      </c>
      <c r="U153" s="846">
        <f t="shared" si="29"/>
        <v>6.0276389297266864E-3</v>
      </c>
      <c r="V153" s="845">
        <v>120.00830000000001</v>
      </c>
      <c r="W153" s="846">
        <f t="shared" si="30"/>
        <v>-1.1672167977757497E-2</v>
      </c>
      <c r="X153" s="845">
        <v>39308</v>
      </c>
      <c r="Y153" s="846">
        <f t="shared" si="31"/>
        <v>-6.0637879987845977E-4</v>
      </c>
      <c r="Z153" s="845">
        <v>5537.0191000000004</v>
      </c>
      <c r="AA153" s="846">
        <f t="shared" si="32"/>
        <v>5.0840340474174184E-3</v>
      </c>
      <c r="AB153" s="843"/>
      <c r="AC153" s="832"/>
    </row>
    <row r="154" spans="1:29" ht="14.4" x14ac:dyDescent="0.55000000000000004">
      <c r="A154" s="841" t="s">
        <v>5313</v>
      </c>
      <c r="B154" s="842">
        <v>116.52</v>
      </c>
      <c r="C154" s="843">
        <f t="shared" si="23"/>
        <v>4.6559751681323203E-3</v>
      </c>
      <c r="D154" s="842">
        <v>42.68</v>
      </c>
      <c r="E154" s="843">
        <f t="shared" si="24"/>
        <v>3.7629350893695346E-3</v>
      </c>
      <c r="F154" s="842">
        <v>28.57</v>
      </c>
      <c r="G154" s="843">
        <f t="shared" si="24"/>
        <v>-4.5296167247386165E-3</v>
      </c>
      <c r="H154" s="842">
        <v>35.909999999999997</v>
      </c>
      <c r="I154" s="843">
        <f t="shared" si="24"/>
        <v>5.0377833753147971E-3</v>
      </c>
      <c r="J154" s="842">
        <v>64</v>
      </c>
      <c r="K154" s="843">
        <f t="shared" si="25"/>
        <v>1.943294042688759E-2</v>
      </c>
      <c r="L154" s="842">
        <v>70.81</v>
      </c>
      <c r="M154" s="843">
        <f t="shared" si="26"/>
        <v>2.2527075812274422E-2</v>
      </c>
      <c r="N154" s="842">
        <v>60.59</v>
      </c>
      <c r="O154" s="843">
        <f t="shared" si="27"/>
        <v>4.4761273209550367E-3</v>
      </c>
      <c r="P154" s="844">
        <f t="shared" si="33"/>
        <v>7.9090314954564402E-3</v>
      </c>
      <c r="Q154" s="830"/>
      <c r="R154" s="845">
        <v>903.18</v>
      </c>
      <c r="S154" s="846">
        <f t="shared" si="28"/>
        <v>4.8508043879751384E-3</v>
      </c>
      <c r="T154" s="845">
        <v>68.02</v>
      </c>
      <c r="U154" s="846">
        <f t="shared" si="29"/>
        <v>5.1721590069453427E-3</v>
      </c>
      <c r="V154" s="845">
        <v>121.4256</v>
      </c>
      <c r="W154" s="846">
        <f t="shared" si="30"/>
        <v>4.6556883874209198E-3</v>
      </c>
      <c r="X154" s="845">
        <v>39331.85</v>
      </c>
      <c r="Y154" s="846">
        <f t="shared" si="31"/>
        <v>4.1442938284665942E-3</v>
      </c>
      <c r="Z154" s="845">
        <v>5509.0110999999997</v>
      </c>
      <c r="AA154" s="846">
        <f t="shared" si="32"/>
        <v>6.1958269020825352E-3</v>
      </c>
      <c r="AB154" s="843"/>
      <c r="AC154" s="832"/>
    </row>
    <row r="155" spans="1:29" ht="14.4" x14ac:dyDescent="0.55000000000000004">
      <c r="A155" s="841" t="s">
        <v>5314</v>
      </c>
      <c r="B155" s="842">
        <v>115.98</v>
      </c>
      <c r="C155" s="843">
        <f t="shared" si="23"/>
        <v>-5.7436776682383561E-3</v>
      </c>
      <c r="D155" s="842">
        <v>42.52</v>
      </c>
      <c r="E155" s="843">
        <f t="shared" si="24"/>
        <v>-5.1474029012634759E-3</v>
      </c>
      <c r="F155" s="842">
        <v>28.7</v>
      </c>
      <c r="G155" s="843">
        <f t="shared" si="24"/>
        <v>-3.8181187087816815E-3</v>
      </c>
      <c r="H155" s="842">
        <v>35.729999999999997</v>
      </c>
      <c r="I155" s="843">
        <f t="shared" si="24"/>
        <v>-1.0523400720022225E-2</v>
      </c>
      <c r="J155" s="842">
        <v>62.78</v>
      </c>
      <c r="K155" s="843">
        <f t="shared" si="25"/>
        <v>-1.6758026624902111E-2</v>
      </c>
      <c r="L155" s="842">
        <v>69.25</v>
      </c>
      <c r="M155" s="843">
        <f t="shared" si="26"/>
        <v>-1.6055697641375377E-2</v>
      </c>
      <c r="N155" s="842">
        <v>60.32</v>
      </c>
      <c r="O155" s="843">
        <f t="shared" si="27"/>
        <v>-6.7511938086611822E-3</v>
      </c>
      <c r="P155" s="844">
        <f t="shared" si="33"/>
        <v>-9.2567882961777734E-3</v>
      </c>
      <c r="Q155" s="830"/>
      <c r="R155" s="845">
        <v>898.82</v>
      </c>
      <c r="S155" s="846">
        <f t="shared" si="28"/>
        <v>-8.6580564042042507E-3</v>
      </c>
      <c r="T155" s="845">
        <v>67.67</v>
      </c>
      <c r="U155" s="846">
        <f t="shared" si="29"/>
        <v>-6.8975638391546301E-3</v>
      </c>
      <c r="V155" s="845">
        <v>120.8629</v>
      </c>
      <c r="W155" s="846">
        <f t="shared" si="30"/>
        <v>-5.7436137053712422E-3</v>
      </c>
      <c r="X155" s="845">
        <v>39169.519999999997</v>
      </c>
      <c r="Y155" s="846">
        <f t="shared" si="31"/>
        <v>1.2950275135827916E-3</v>
      </c>
      <c r="Z155" s="845">
        <v>5475.0883999999996</v>
      </c>
      <c r="AA155" s="846">
        <f t="shared" si="32"/>
        <v>2.6748185224505505E-3</v>
      </c>
      <c r="AB155" s="843"/>
      <c r="AC155" s="832"/>
    </row>
    <row r="156" spans="1:29" ht="14.4" x14ac:dyDescent="0.55000000000000004">
      <c r="A156" s="841" t="s">
        <v>5315</v>
      </c>
      <c r="B156" s="842">
        <v>116.65</v>
      </c>
      <c r="C156" s="843">
        <f t="shared" si="23"/>
        <v>8.5800085800102899E-4</v>
      </c>
      <c r="D156" s="842">
        <v>42.74</v>
      </c>
      <c r="E156" s="843">
        <f t="shared" si="24"/>
        <v>3.0509270124383647E-3</v>
      </c>
      <c r="F156" s="842">
        <v>28.81</v>
      </c>
      <c r="G156" s="843">
        <f t="shared" si="24"/>
        <v>-6.5517241379310365E-3</v>
      </c>
      <c r="H156" s="842">
        <v>36.11</v>
      </c>
      <c r="I156" s="843">
        <f t="shared" si="24"/>
        <v>1.2051569506726478E-2</v>
      </c>
      <c r="J156" s="842">
        <v>63.85</v>
      </c>
      <c r="K156" s="843">
        <f t="shared" si="25"/>
        <v>1.5426208651399431E-2</v>
      </c>
      <c r="L156" s="842">
        <v>70.38</v>
      </c>
      <c r="M156" s="843">
        <f t="shared" si="26"/>
        <v>-2.7900552486187946E-2</v>
      </c>
      <c r="N156" s="842">
        <v>60.73</v>
      </c>
      <c r="O156" s="843">
        <f t="shared" si="27"/>
        <v>1.0482529118136297E-2</v>
      </c>
      <c r="P156" s="844">
        <f t="shared" si="33"/>
        <v>1.0595655032260881E-3</v>
      </c>
      <c r="Q156" s="830"/>
      <c r="R156" s="845">
        <v>906.67</v>
      </c>
      <c r="S156" s="846">
        <f t="shared" si="28"/>
        <v>-6.4217066836158576E-3</v>
      </c>
      <c r="T156" s="845">
        <v>68.14</v>
      </c>
      <c r="U156" s="846">
        <f t="shared" si="29"/>
        <v>-1.117399506602812E-2</v>
      </c>
      <c r="V156" s="845">
        <v>121.5611</v>
      </c>
      <c r="W156" s="846">
        <f t="shared" si="30"/>
        <v>8.5791749995256517E-4</v>
      </c>
      <c r="X156" s="845">
        <v>39118.86</v>
      </c>
      <c r="Y156" s="846">
        <f t="shared" si="31"/>
        <v>-1.1541193635183911E-3</v>
      </c>
      <c r="Z156" s="845">
        <v>5460.4826000000003</v>
      </c>
      <c r="AA156" s="846">
        <f t="shared" si="32"/>
        <v>-4.0834804855367501E-3</v>
      </c>
      <c r="AB156" s="843"/>
      <c r="AC156" s="832"/>
    </row>
    <row r="157" spans="1:29" ht="14.4" x14ac:dyDescent="0.55000000000000004">
      <c r="A157" s="841" t="s">
        <v>5316</v>
      </c>
      <c r="B157" s="842">
        <v>116.55</v>
      </c>
      <c r="C157" s="843">
        <f t="shared" si="23"/>
        <v>3.7895099474636318E-3</v>
      </c>
      <c r="D157" s="842">
        <v>42.61</v>
      </c>
      <c r="E157" s="843">
        <f t="shared" si="24"/>
        <v>4.7158688988446773E-3</v>
      </c>
      <c r="F157" s="842">
        <v>29</v>
      </c>
      <c r="G157" s="843">
        <f t="shared" si="24"/>
        <v>-6.8917987594763197E-4</v>
      </c>
      <c r="H157" s="842">
        <v>35.68</v>
      </c>
      <c r="I157" s="843">
        <f t="shared" si="24"/>
        <v>9.6208262591963578E-3</v>
      </c>
      <c r="J157" s="842">
        <v>62.88</v>
      </c>
      <c r="K157" s="843">
        <f t="shared" si="25"/>
        <v>2.7115321790264657E-2</v>
      </c>
      <c r="L157" s="842">
        <v>72.400000000000006</v>
      </c>
      <c r="M157" s="843">
        <f t="shared" si="26"/>
        <v>-1.9368820262765762E-2</v>
      </c>
      <c r="N157" s="842">
        <v>60.1</v>
      </c>
      <c r="O157" s="843">
        <f t="shared" si="27"/>
        <v>1.5031244722175208E-2</v>
      </c>
      <c r="P157" s="844">
        <f t="shared" si="33"/>
        <v>5.7449673541758771E-3</v>
      </c>
      <c r="Q157" s="830"/>
      <c r="R157" s="845">
        <v>912.53</v>
      </c>
      <c r="S157" s="846">
        <f t="shared" si="28"/>
        <v>2.4056945756529835E-3</v>
      </c>
      <c r="T157" s="845">
        <v>68.91</v>
      </c>
      <c r="U157" s="846">
        <f t="shared" si="29"/>
        <v>1.7444395987786798E-3</v>
      </c>
      <c r="V157" s="845">
        <v>121.4569</v>
      </c>
      <c r="W157" s="846">
        <f t="shared" si="30"/>
        <v>3.7901358944711916E-3</v>
      </c>
      <c r="X157" s="845">
        <v>39164.06</v>
      </c>
      <c r="Y157" s="846">
        <f t="shared" si="31"/>
        <v>9.2670684270501624E-4</v>
      </c>
      <c r="Z157" s="845">
        <v>5482.8717999999999</v>
      </c>
      <c r="AA157" s="846">
        <f t="shared" si="32"/>
        <v>9.0695279851216171E-4</v>
      </c>
      <c r="AB157" s="843"/>
      <c r="AC157" s="832"/>
    </row>
    <row r="158" spans="1:29" ht="14.4" x14ac:dyDescent="0.55000000000000004">
      <c r="A158" s="841" t="s">
        <v>5317</v>
      </c>
      <c r="B158" s="842">
        <v>116.11</v>
      </c>
      <c r="C158" s="843">
        <f t="shared" si="23"/>
        <v>-3.6042220887325671E-3</v>
      </c>
      <c r="D158" s="842">
        <v>42.41</v>
      </c>
      <c r="E158" s="843">
        <f t="shared" si="24"/>
        <v>2.8375502482855808E-3</v>
      </c>
      <c r="F158" s="842">
        <v>29.02</v>
      </c>
      <c r="G158" s="843">
        <f t="shared" si="24"/>
        <v>6.5903572667360688E-3</v>
      </c>
      <c r="H158" s="842">
        <v>35.340000000000003</v>
      </c>
      <c r="I158" s="843">
        <f t="shared" si="24"/>
        <v>3.1223389156971315E-3</v>
      </c>
      <c r="J158" s="842">
        <v>61.22</v>
      </c>
      <c r="K158" s="843">
        <f t="shared" si="25"/>
        <v>1.1900826446280988E-2</v>
      </c>
      <c r="L158" s="842">
        <v>73.83</v>
      </c>
      <c r="M158" s="843">
        <f t="shared" si="26"/>
        <v>1.3563000135630165E-3</v>
      </c>
      <c r="N158" s="842">
        <v>59.21</v>
      </c>
      <c r="O158" s="843">
        <f t="shared" si="27"/>
        <v>5.092514004413573E-3</v>
      </c>
      <c r="P158" s="844">
        <f t="shared" si="33"/>
        <v>3.8993806866062558E-3</v>
      </c>
      <c r="Q158" s="830"/>
      <c r="R158" s="845">
        <v>910.34</v>
      </c>
      <c r="S158" s="846">
        <f t="shared" si="28"/>
        <v>1.0336485594897304E-3</v>
      </c>
      <c r="T158" s="845">
        <v>68.790000000000006</v>
      </c>
      <c r="U158" s="846">
        <f t="shared" si="29"/>
        <v>-4.1980312680948151E-3</v>
      </c>
      <c r="V158" s="845">
        <v>120.9983</v>
      </c>
      <c r="W158" s="846">
        <f t="shared" si="30"/>
        <v>-3.6043677327975976E-3</v>
      </c>
      <c r="X158" s="845">
        <v>39127.800000000003</v>
      </c>
      <c r="Y158" s="846">
        <f t="shared" si="31"/>
        <v>3.9987563969878792E-4</v>
      </c>
      <c r="Z158" s="845">
        <v>5477.9035999999996</v>
      </c>
      <c r="AA158" s="846">
        <f t="shared" si="32"/>
        <v>1.5735476370326573E-3</v>
      </c>
      <c r="AB158" s="843"/>
      <c r="AC158" s="832"/>
    </row>
    <row r="159" spans="1:29" ht="14.4" x14ac:dyDescent="0.55000000000000004">
      <c r="A159" s="841" t="s">
        <v>5318</v>
      </c>
      <c r="B159" s="842">
        <v>116.53</v>
      </c>
      <c r="C159" s="843">
        <f t="shared" si="23"/>
        <v>-1.2624978817149635E-2</v>
      </c>
      <c r="D159" s="842">
        <v>42.29</v>
      </c>
      <c r="E159" s="843">
        <f t="shared" si="24"/>
        <v>-8.6732301922174404E-3</v>
      </c>
      <c r="F159" s="842">
        <v>28.83</v>
      </c>
      <c r="G159" s="843">
        <f t="shared" si="24"/>
        <v>-1.7313019390582385E-3</v>
      </c>
      <c r="H159" s="842">
        <v>35.229999999999997</v>
      </c>
      <c r="I159" s="843">
        <f t="shared" si="24"/>
        <v>-4.5210511443911638E-3</v>
      </c>
      <c r="J159" s="842">
        <v>60.5</v>
      </c>
      <c r="K159" s="843">
        <f t="shared" si="25"/>
        <v>-1.3533344203489284E-2</v>
      </c>
      <c r="L159" s="842">
        <v>73.73</v>
      </c>
      <c r="M159" s="843">
        <f t="shared" si="26"/>
        <v>-1.3909321920556272E-2</v>
      </c>
      <c r="N159" s="842">
        <v>58.91</v>
      </c>
      <c r="O159" s="843">
        <f t="shared" si="27"/>
        <v>-6.2415654520918684E-3</v>
      </c>
      <c r="P159" s="844">
        <f t="shared" si="33"/>
        <v>-8.747827666993415E-3</v>
      </c>
      <c r="Q159" s="830"/>
      <c r="R159" s="845">
        <v>909.4</v>
      </c>
      <c r="S159" s="846">
        <f t="shared" si="28"/>
        <v>-1.4200542005420091E-2</v>
      </c>
      <c r="T159" s="845">
        <v>69.08</v>
      </c>
      <c r="U159" s="846">
        <f t="shared" si="29"/>
        <v>-9.4637223974762819E-3</v>
      </c>
      <c r="V159" s="845">
        <v>121.43600000000001</v>
      </c>
      <c r="W159" s="846">
        <f t="shared" si="30"/>
        <v>-1.2624737069340419E-2</v>
      </c>
      <c r="X159" s="845">
        <v>39112.160000000003</v>
      </c>
      <c r="Y159" s="846">
        <f t="shared" si="31"/>
        <v>-7.5879426183564913E-3</v>
      </c>
      <c r="Z159" s="845">
        <v>5469.2974000000004</v>
      </c>
      <c r="AA159" s="846">
        <f t="shared" si="32"/>
        <v>3.9326726558790437E-3</v>
      </c>
      <c r="AB159" s="843"/>
      <c r="AC159" s="832"/>
    </row>
    <row r="160" spans="1:29" ht="14.4" x14ac:dyDescent="0.55000000000000004">
      <c r="A160" s="841" t="s">
        <v>5319</v>
      </c>
      <c r="B160" s="842">
        <v>118.02</v>
      </c>
      <c r="C160" s="843">
        <f t="shared" si="23"/>
        <v>1.4876601599449479E-2</v>
      </c>
      <c r="D160" s="842">
        <v>42.66</v>
      </c>
      <c r="E160" s="843">
        <f t="shared" si="24"/>
        <v>1.4024245305443328E-2</v>
      </c>
      <c r="F160" s="842">
        <v>28.88</v>
      </c>
      <c r="G160" s="843">
        <f t="shared" si="24"/>
        <v>1.9774011299434902E-2</v>
      </c>
      <c r="H160" s="842">
        <v>35.39</v>
      </c>
      <c r="I160" s="843">
        <f t="shared" si="24"/>
        <v>1.2589413447782416E-2</v>
      </c>
      <c r="J160" s="842">
        <v>61.33</v>
      </c>
      <c r="K160" s="843">
        <f t="shared" si="25"/>
        <v>1.9787163285666765E-2</v>
      </c>
      <c r="L160" s="842">
        <v>74.77</v>
      </c>
      <c r="M160" s="843">
        <f t="shared" si="26"/>
        <v>1.6725591514821669E-2</v>
      </c>
      <c r="N160" s="842">
        <v>59.28</v>
      </c>
      <c r="O160" s="843">
        <f t="shared" si="27"/>
        <v>1.1604095563140016E-2</v>
      </c>
      <c r="P160" s="844">
        <f t="shared" si="33"/>
        <v>1.5625874573676941E-2</v>
      </c>
      <c r="Q160" s="830"/>
      <c r="R160" s="845">
        <v>922.5</v>
      </c>
      <c r="S160" s="846">
        <f t="shared" si="28"/>
        <v>1.433817869944809E-2</v>
      </c>
      <c r="T160" s="845">
        <v>69.739999999999995</v>
      </c>
      <c r="U160" s="846">
        <f t="shared" si="29"/>
        <v>5.0439544602967068E-3</v>
      </c>
      <c r="V160" s="845">
        <v>122.98869999999999</v>
      </c>
      <c r="W160" s="846">
        <f t="shared" si="30"/>
        <v>1.4876318119517062E-2</v>
      </c>
      <c r="X160" s="845">
        <v>39411.21</v>
      </c>
      <c r="Y160" s="846">
        <f t="shared" si="31"/>
        <v>6.6635453647516663E-3</v>
      </c>
      <c r="Z160" s="845">
        <v>5447.8726999999999</v>
      </c>
      <c r="AA160" s="846">
        <f t="shared" si="32"/>
        <v>-3.0649150381197865E-3</v>
      </c>
      <c r="AB160" s="843"/>
      <c r="AC160" s="832"/>
    </row>
    <row r="161" spans="1:29" ht="14.4" x14ac:dyDescent="0.55000000000000004">
      <c r="A161" s="841" t="s">
        <v>5320</v>
      </c>
      <c r="B161" s="842">
        <v>116.29</v>
      </c>
      <c r="C161" s="843">
        <f t="shared" si="23"/>
        <v>-7.5951527564430688E-3</v>
      </c>
      <c r="D161" s="842">
        <v>42.07</v>
      </c>
      <c r="E161" s="843">
        <f t="shared" si="24"/>
        <v>-4.7517224994064744E-4</v>
      </c>
      <c r="F161" s="842">
        <v>28.32</v>
      </c>
      <c r="G161" s="843">
        <f t="shared" si="24"/>
        <v>-7.057163020465218E-4</v>
      </c>
      <c r="H161" s="842">
        <v>34.950000000000003</v>
      </c>
      <c r="I161" s="843">
        <f t="shared" si="24"/>
        <v>-7.3842658335699918E-3</v>
      </c>
      <c r="J161" s="842">
        <v>60.14</v>
      </c>
      <c r="K161" s="843">
        <f t="shared" si="25"/>
        <v>-8.8991430454844478E-3</v>
      </c>
      <c r="L161" s="842">
        <v>73.540000000000006</v>
      </c>
      <c r="M161" s="843">
        <f t="shared" si="26"/>
        <v>-9.2954331132965029E-3</v>
      </c>
      <c r="N161" s="842">
        <v>58.6</v>
      </c>
      <c r="O161" s="843">
        <f t="shared" si="27"/>
        <v>1.7067759003230876E-4</v>
      </c>
      <c r="P161" s="844">
        <f t="shared" si="33"/>
        <v>-4.88345795867841E-3</v>
      </c>
      <c r="Q161" s="830"/>
      <c r="R161" s="845">
        <v>909.46</v>
      </c>
      <c r="S161" s="846">
        <f t="shared" si="28"/>
        <v>-3.8773274917852651E-3</v>
      </c>
      <c r="T161" s="845">
        <v>69.39</v>
      </c>
      <c r="U161" s="846">
        <f t="shared" si="29"/>
        <v>-5.8739255014326197E-3</v>
      </c>
      <c r="V161" s="845">
        <v>121.1859</v>
      </c>
      <c r="W161" s="846">
        <f t="shared" si="30"/>
        <v>-7.5953990307369157E-3</v>
      </c>
      <c r="X161" s="845">
        <v>39150.33</v>
      </c>
      <c r="Y161" s="846">
        <f t="shared" si="31"/>
        <v>3.9785602364750261E-4</v>
      </c>
      <c r="Z161" s="845">
        <v>5464.6212999999998</v>
      </c>
      <c r="AA161" s="846">
        <f t="shared" si="32"/>
        <v>-1.5617095529742997E-3</v>
      </c>
      <c r="AB161" s="843"/>
      <c r="AC161" s="832"/>
    </row>
    <row r="162" spans="1:29" ht="14.4" x14ac:dyDescent="0.55000000000000004">
      <c r="A162" s="841" t="s">
        <v>5321</v>
      </c>
      <c r="B162" s="842">
        <v>117.18</v>
      </c>
      <c r="C162" s="843">
        <f t="shared" si="23"/>
        <v>1.5384615384614886E-3</v>
      </c>
      <c r="D162" s="842">
        <v>42.09</v>
      </c>
      <c r="E162" s="843">
        <f t="shared" si="24"/>
        <v>5.494505494505697E-3</v>
      </c>
      <c r="F162" s="842">
        <v>28.34</v>
      </c>
      <c r="G162" s="843">
        <f t="shared" si="24"/>
        <v>9.6188101175631591E-3</v>
      </c>
      <c r="H162" s="842">
        <v>35.21</v>
      </c>
      <c r="I162" s="843">
        <f t="shared" si="24"/>
        <v>5.4254711593375582E-3</v>
      </c>
      <c r="J162" s="842">
        <v>60.68</v>
      </c>
      <c r="K162" s="843">
        <f t="shared" si="25"/>
        <v>7.4713597874813686E-3</v>
      </c>
      <c r="L162" s="842">
        <v>74.23</v>
      </c>
      <c r="M162" s="843">
        <f t="shared" si="26"/>
        <v>-1.3469827586198857E-4</v>
      </c>
      <c r="N162" s="842">
        <v>58.59</v>
      </c>
      <c r="O162" s="843">
        <f t="shared" si="27"/>
        <v>3.0816640986133237E-3</v>
      </c>
      <c r="P162" s="844">
        <f t="shared" si="33"/>
        <v>4.6422248457286585E-3</v>
      </c>
      <c r="Q162" s="830"/>
      <c r="R162" s="845">
        <v>913</v>
      </c>
      <c r="S162" s="846">
        <f t="shared" si="28"/>
        <v>4.9089748387523002E-3</v>
      </c>
      <c r="T162" s="845">
        <v>69.8</v>
      </c>
      <c r="U162" s="846">
        <f t="shared" si="29"/>
        <v>8.6705202312138407E-3</v>
      </c>
      <c r="V162" s="845">
        <v>122.1134</v>
      </c>
      <c r="W162" s="846">
        <f t="shared" si="30"/>
        <v>1.5386407142705671E-3</v>
      </c>
      <c r="X162" s="845">
        <v>39134.76</v>
      </c>
      <c r="Y162" s="846">
        <f t="shared" si="31"/>
        <v>7.7224431863538445E-3</v>
      </c>
      <c r="Z162" s="845">
        <v>5473.1688000000004</v>
      </c>
      <c r="AA162" s="846">
        <f t="shared" si="32"/>
        <v>-2.5255391057432686E-3</v>
      </c>
      <c r="AB162" s="843"/>
      <c r="AC162" s="832"/>
    </row>
    <row r="163" spans="1:29" ht="14.4" x14ac:dyDescent="0.55000000000000004">
      <c r="A163" s="841" t="s">
        <v>5322</v>
      </c>
      <c r="B163" s="842">
        <v>117</v>
      </c>
      <c r="C163" s="843">
        <f t="shared" si="23"/>
        <v>6.1054260899475743E-3</v>
      </c>
      <c r="D163" s="842">
        <v>41.86</v>
      </c>
      <c r="E163" s="843">
        <f t="shared" si="24"/>
        <v>0</v>
      </c>
      <c r="F163" s="842">
        <v>28.07</v>
      </c>
      <c r="G163" s="843">
        <f t="shared" si="24"/>
        <v>2.4999999999999467E-3</v>
      </c>
      <c r="H163" s="842">
        <v>35.020000000000003</v>
      </c>
      <c r="I163" s="843">
        <f t="shared" si="24"/>
        <v>-1.2129760225669917E-2</v>
      </c>
      <c r="J163" s="842">
        <v>60.23</v>
      </c>
      <c r="K163" s="843">
        <f t="shared" si="25"/>
        <v>-7.9064404546204115E-3</v>
      </c>
      <c r="L163" s="842">
        <v>74.239999999999995</v>
      </c>
      <c r="M163" s="843">
        <f t="shared" si="26"/>
        <v>9.5186293173781245E-3</v>
      </c>
      <c r="N163" s="842">
        <v>58.41</v>
      </c>
      <c r="O163" s="843">
        <f t="shared" si="27"/>
        <v>-3.0721966205837781E-3</v>
      </c>
      <c r="P163" s="844">
        <f t="shared" si="33"/>
        <v>-7.1204884193549437E-4</v>
      </c>
      <c r="Q163" s="830"/>
      <c r="R163" s="845">
        <v>908.54</v>
      </c>
      <c r="S163" s="846">
        <f t="shared" si="28"/>
        <v>-2.9709180136661129E-4</v>
      </c>
      <c r="T163" s="845">
        <v>69.2</v>
      </c>
      <c r="U163" s="846">
        <f t="shared" si="29"/>
        <v>4.3371403787761942E-4</v>
      </c>
      <c r="V163" s="845">
        <v>121.9258</v>
      </c>
      <c r="W163" s="846">
        <f t="shared" si="30"/>
        <v>6.1054957713726488E-3</v>
      </c>
      <c r="X163" s="845">
        <v>38834.86</v>
      </c>
      <c r="Y163" s="846">
        <f t="shared" si="31"/>
        <v>1.4637127657106674E-3</v>
      </c>
      <c r="Z163" s="845">
        <v>5487.0264999999999</v>
      </c>
      <c r="AA163" s="846">
        <f t="shared" si="32"/>
        <v>2.5201557741072467E-3</v>
      </c>
      <c r="AB163" s="843"/>
      <c r="AC163" s="832"/>
    </row>
    <row r="164" spans="1:29" ht="14.4" x14ac:dyDescent="0.55000000000000004">
      <c r="A164" s="841" t="s">
        <v>5323</v>
      </c>
      <c r="B164" s="842">
        <v>116.29</v>
      </c>
      <c r="C164" s="843">
        <f t="shared" si="23"/>
        <v>1.2053379250969165E-3</v>
      </c>
      <c r="D164" s="842">
        <v>41.86</v>
      </c>
      <c r="E164" s="843">
        <f t="shared" si="24"/>
        <v>-5.2281368821291974E-3</v>
      </c>
      <c r="F164" s="842">
        <v>28</v>
      </c>
      <c r="G164" s="843">
        <f t="shared" si="24"/>
        <v>-6.0347887823927193E-3</v>
      </c>
      <c r="H164" s="842">
        <v>35.450000000000003</v>
      </c>
      <c r="I164" s="843">
        <f t="shared" si="24"/>
        <v>8.469791078486999E-4</v>
      </c>
      <c r="J164" s="842">
        <v>60.71</v>
      </c>
      <c r="K164" s="843">
        <f t="shared" si="25"/>
        <v>-1.3160059220266307E-3</v>
      </c>
      <c r="L164" s="842">
        <v>73.540000000000006</v>
      </c>
      <c r="M164" s="843">
        <f t="shared" si="26"/>
        <v>2.0538440188731633E-2</v>
      </c>
      <c r="N164" s="842">
        <v>58.59</v>
      </c>
      <c r="O164" s="843">
        <f t="shared" si="27"/>
        <v>2.0523345305285545E-3</v>
      </c>
      <c r="P164" s="844">
        <f t="shared" si="33"/>
        <v>1.7234514522367508E-3</v>
      </c>
      <c r="Q164" s="830"/>
      <c r="R164" s="845">
        <v>908.81</v>
      </c>
      <c r="S164" s="846">
        <f t="shared" si="28"/>
        <v>-8.6394030957861467E-3</v>
      </c>
      <c r="T164" s="845">
        <v>69.17</v>
      </c>
      <c r="U164" s="846">
        <f t="shared" si="29"/>
        <v>-1.100943665999421E-2</v>
      </c>
      <c r="V164" s="845">
        <v>121.1859</v>
      </c>
      <c r="W164" s="846">
        <f t="shared" si="30"/>
        <v>1.2053866490415732E-3</v>
      </c>
      <c r="X164" s="845">
        <v>38778.1</v>
      </c>
      <c r="Y164" s="846">
        <f t="shared" si="31"/>
        <v>4.8961936460911737E-3</v>
      </c>
      <c r="Z164" s="845">
        <v>5473.2331000000004</v>
      </c>
      <c r="AA164" s="846">
        <f t="shared" si="32"/>
        <v>7.6646636295147896E-3</v>
      </c>
      <c r="AB164" s="843"/>
      <c r="AC164" s="832"/>
    </row>
    <row r="165" spans="1:29" ht="14.4" x14ac:dyDescent="0.55000000000000004">
      <c r="A165" s="841" t="s">
        <v>5324</v>
      </c>
      <c r="B165" s="842">
        <v>116.15</v>
      </c>
      <c r="C165" s="843">
        <f t="shared" si="23"/>
        <v>-1.7216148747523086E-4</v>
      </c>
      <c r="D165" s="842">
        <v>42.08</v>
      </c>
      <c r="E165" s="843">
        <f t="shared" si="24"/>
        <v>-1.1868027533824543E-3</v>
      </c>
      <c r="F165" s="842">
        <v>28.17</v>
      </c>
      <c r="G165" s="843">
        <f t="shared" si="24"/>
        <v>-4.2417815482501675E-3</v>
      </c>
      <c r="H165" s="842">
        <v>35.42</v>
      </c>
      <c r="I165" s="843">
        <f t="shared" si="24"/>
        <v>-2.2535211267604716E-3</v>
      </c>
      <c r="J165" s="842">
        <v>60.79</v>
      </c>
      <c r="K165" s="843">
        <f t="shared" si="25"/>
        <v>0</v>
      </c>
      <c r="L165" s="842">
        <v>72.06</v>
      </c>
      <c r="M165" s="843">
        <f t="shared" si="26"/>
        <v>-1.9390581717451116E-3</v>
      </c>
      <c r="N165" s="842">
        <v>58.47</v>
      </c>
      <c r="O165" s="843">
        <f t="shared" si="27"/>
        <v>4.466586497165359E-3</v>
      </c>
      <c r="P165" s="844">
        <f t="shared" si="33"/>
        <v>-7.6096265577829669E-4</v>
      </c>
      <c r="Q165" s="830"/>
      <c r="R165" s="845">
        <v>916.73</v>
      </c>
      <c r="S165" s="846">
        <f t="shared" si="28"/>
        <v>-4.4704189109623371E-4</v>
      </c>
      <c r="T165" s="845">
        <v>69.94</v>
      </c>
      <c r="U165" s="846">
        <f t="shared" si="29"/>
        <v>-2.4247610897162319E-3</v>
      </c>
      <c r="V165" s="845">
        <v>121.04</v>
      </c>
      <c r="W165" s="846">
        <f t="shared" si="30"/>
        <v>-1.7264038182429609E-4</v>
      </c>
      <c r="X165" s="845">
        <v>38589.160000000003</v>
      </c>
      <c r="Y165" s="846">
        <f t="shared" si="31"/>
        <v>-1.4992069262633745E-3</v>
      </c>
      <c r="Z165" s="845">
        <v>5431.6017000000002</v>
      </c>
      <c r="AA165" s="846">
        <f t="shared" si="32"/>
        <v>-3.9411137427325382E-4</v>
      </c>
      <c r="AB165" s="843"/>
      <c r="AC165" s="832"/>
    </row>
    <row r="166" spans="1:29" ht="14.4" x14ac:dyDescent="0.55000000000000004">
      <c r="A166" s="841" t="s">
        <v>5325</v>
      </c>
      <c r="B166" s="842">
        <v>116.17</v>
      </c>
      <c r="C166" s="843">
        <f t="shared" si="23"/>
        <v>-8.6073334481073793E-5</v>
      </c>
      <c r="D166" s="842">
        <v>42.13</v>
      </c>
      <c r="E166" s="843">
        <f t="shared" si="24"/>
        <v>-1.0800657431321969E-2</v>
      </c>
      <c r="F166" s="842">
        <v>28.29</v>
      </c>
      <c r="G166" s="843">
        <f t="shared" si="24"/>
        <v>4.2598509052182987E-3</v>
      </c>
      <c r="H166" s="842">
        <v>35.5</v>
      </c>
      <c r="I166" s="843">
        <f t="shared" si="24"/>
        <v>-4.7659097280629004E-3</v>
      </c>
      <c r="J166" s="842">
        <v>60.79</v>
      </c>
      <c r="K166" s="843">
        <f t="shared" si="25"/>
        <v>-9.1279543602282853E-3</v>
      </c>
      <c r="L166" s="842">
        <v>72.2</v>
      </c>
      <c r="M166" s="843">
        <f t="shared" si="26"/>
        <v>-1.7687074829931926E-2</v>
      </c>
      <c r="N166" s="842">
        <v>58.21</v>
      </c>
      <c r="O166" s="843">
        <f t="shared" si="27"/>
        <v>-7.5021312872974866E-3</v>
      </c>
      <c r="P166" s="844">
        <f t="shared" si="33"/>
        <v>-6.5299928665864771E-3</v>
      </c>
      <c r="Q166" s="830"/>
      <c r="R166" s="845">
        <v>917.14</v>
      </c>
      <c r="S166" s="846">
        <f t="shared" si="28"/>
        <v>2.0554844220546098E-3</v>
      </c>
      <c r="T166" s="845">
        <v>70.11</v>
      </c>
      <c r="U166" s="846">
        <f t="shared" si="29"/>
        <v>2.2873481057898992E-3</v>
      </c>
      <c r="V166" s="845">
        <v>121.0609</v>
      </c>
      <c r="W166" s="846">
        <f t="shared" si="30"/>
        <v>-8.5899796235744397E-5</v>
      </c>
      <c r="X166" s="845">
        <v>38647.1</v>
      </c>
      <c r="Y166" s="846">
        <f t="shared" si="31"/>
        <v>-1.6818982951374295E-3</v>
      </c>
      <c r="Z166" s="845">
        <v>5433.7431999999999</v>
      </c>
      <c r="AA166" s="846">
        <f t="shared" si="32"/>
        <v>2.3459397666028003E-3</v>
      </c>
      <c r="AB166" s="843"/>
      <c r="AC166" s="832"/>
    </row>
    <row r="167" spans="1:29" ht="14.4" x14ac:dyDescent="0.55000000000000004">
      <c r="A167" s="841" t="s">
        <v>5326</v>
      </c>
      <c r="B167" s="842">
        <v>116.18</v>
      </c>
      <c r="C167" s="843">
        <f t="shared" si="23"/>
        <v>3.714902807775422E-3</v>
      </c>
      <c r="D167" s="842">
        <v>42.59</v>
      </c>
      <c r="E167" s="843">
        <f t="shared" si="24"/>
        <v>-1.3892104653854931E-2</v>
      </c>
      <c r="F167" s="842">
        <v>28.17</v>
      </c>
      <c r="G167" s="843">
        <f t="shared" si="24"/>
        <v>-5.2966101694914558E-3</v>
      </c>
      <c r="H167" s="842">
        <v>35.67</v>
      </c>
      <c r="I167" s="843">
        <f t="shared" si="24"/>
        <v>-2.7956388034666713E-3</v>
      </c>
      <c r="J167" s="842">
        <v>61.35</v>
      </c>
      <c r="K167" s="843">
        <f t="shared" si="25"/>
        <v>9.8765432098766315E-3</v>
      </c>
      <c r="L167" s="842">
        <v>73.5</v>
      </c>
      <c r="M167" s="843">
        <f t="shared" si="26"/>
        <v>-3.6600244001626647E-3</v>
      </c>
      <c r="N167" s="842">
        <v>58.65</v>
      </c>
      <c r="O167" s="843">
        <f t="shared" si="27"/>
        <v>-6.2690613351407132E-3</v>
      </c>
      <c r="P167" s="844">
        <f t="shared" si="33"/>
        <v>-2.6174276206377689E-3</v>
      </c>
      <c r="Q167" s="830"/>
      <c r="R167" s="845">
        <v>915.25869999999998</v>
      </c>
      <c r="S167" s="846">
        <f t="shared" si="28"/>
        <v>-5.0021742439066985E-3</v>
      </c>
      <c r="T167" s="845">
        <v>69.95</v>
      </c>
      <c r="U167" s="846">
        <f t="shared" si="29"/>
        <v>-6.5331629029966587E-3</v>
      </c>
      <c r="V167" s="845">
        <v>121.07129999999999</v>
      </c>
      <c r="W167" s="846">
        <f t="shared" si="30"/>
        <v>3.7148740872401387E-3</v>
      </c>
      <c r="X167" s="845">
        <v>38712.21</v>
      </c>
      <c r="Y167" s="846">
        <f t="shared" si="31"/>
        <v>-9.0870566349965376E-4</v>
      </c>
      <c r="Z167" s="845">
        <v>5421.0258000000003</v>
      </c>
      <c r="AA167" s="846">
        <f t="shared" si="32"/>
        <v>8.503611378247955E-3</v>
      </c>
      <c r="AB167" s="843"/>
      <c r="AC167" s="832"/>
    </row>
    <row r="168" spans="1:29" ht="14.4" x14ac:dyDescent="0.55000000000000004">
      <c r="A168" s="841" t="s">
        <v>5327</v>
      </c>
      <c r="B168" s="842">
        <v>115.75</v>
      </c>
      <c r="C168" s="843">
        <f t="shared" si="23"/>
        <v>2.3380671977830669E-3</v>
      </c>
      <c r="D168" s="842">
        <v>43.19</v>
      </c>
      <c r="E168" s="843">
        <f t="shared" si="24"/>
        <v>-5.9838895281933979E-3</v>
      </c>
      <c r="F168" s="842">
        <v>28.32</v>
      </c>
      <c r="G168" s="843">
        <f t="shared" si="24"/>
        <v>-3.8691523039042774E-3</v>
      </c>
      <c r="H168" s="842">
        <v>35.770000000000003</v>
      </c>
      <c r="I168" s="843">
        <f t="shared" si="24"/>
        <v>-6.1128091136426477E-3</v>
      </c>
      <c r="J168" s="842">
        <v>60.75</v>
      </c>
      <c r="K168" s="843">
        <f t="shared" si="25"/>
        <v>-1.9714144898964614E-3</v>
      </c>
      <c r="L168" s="842">
        <v>73.77</v>
      </c>
      <c r="M168" s="843">
        <f t="shared" si="26"/>
        <v>-7.8009414929387511E-3</v>
      </c>
      <c r="N168" s="842">
        <v>59.02</v>
      </c>
      <c r="O168" s="843">
        <f t="shared" si="27"/>
        <v>-1.4691151919866363E-2</v>
      </c>
      <c r="P168" s="844">
        <f t="shared" si="33"/>
        <v>-5.4416130929512618E-3</v>
      </c>
      <c r="Q168" s="830"/>
      <c r="R168" s="845">
        <v>919.86</v>
      </c>
      <c r="S168" s="846">
        <f t="shared" si="28"/>
        <v>-5.5460059027665487E-3</v>
      </c>
      <c r="T168" s="845">
        <v>70.41</v>
      </c>
      <c r="U168" s="846">
        <f t="shared" si="29"/>
        <v>-6.0700169395822012E-3</v>
      </c>
      <c r="V168" s="845">
        <v>120.6232</v>
      </c>
      <c r="W168" s="846">
        <f t="shared" si="30"/>
        <v>2.3383396292890879E-3</v>
      </c>
      <c r="X168" s="845">
        <v>38747.42</v>
      </c>
      <c r="Y168" s="846">
        <f t="shared" si="31"/>
        <v>-3.1033208775127497E-3</v>
      </c>
      <c r="Z168" s="845">
        <v>5375.3162000000002</v>
      </c>
      <c r="AA168" s="846">
        <f t="shared" si="32"/>
        <v>2.7099931288094847E-3</v>
      </c>
      <c r="AB168" s="843"/>
      <c r="AC168" s="832"/>
    </row>
    <row r="169" spans="1:29" ht="14.4" x14ac:dyDescent="0.55000000000000004">
      <c r="A169" s="841" t="s">
        <v>5328</v>
      </c>
      <c r="B169" s="842">
        <v>115.48</v>
      </c>
      <c r="C169" s="843">
        <f t="shared" si="23"/>
        <v>6.0986234535633788E-3</v>
      </c>
      <c r="D169" s="842">
        <v>43.45</v>
      </c>
      <c r="E169" s="843">
        <f t="shared" si="24"/>
        <v>3.6960036960038689E-3</v>
      </c>
      <c r="F169" s="842">
        <v>28.43</v>
      </c>
      <c r="G169" s="843">
        <f t="shared" si="24"/>
        <v>5.3041018387551819E-3</v>
      </c>
      <c r="H169" s="842">
        <v>35.99</v>
      </c>
      <c r="I169" s="843">
        <f t="shared" si="24"/>
        <v>-3.5991140642301911E-3</v>
      </c>
      <c r="J169" s="842">
        <v>60.87</v>
      </c>
      <c r="K169" s="843">
        <f t="shared" si="25"/>
        <v>7.2811517458215569E-3</v>
      </c>
      <c r="L169" s="842">
        <v>74.349999999999994</v>
      </c>
      <c r="M169" s="843">
        <f t="shared" si="26"/>
        <v>3.5092455122147648E-3</v>
      </c>
      <c r="N169" s="842">
        <v>59.9</v>
      </c>
      <c r="O169" s="843">
        <f t="shared" si="27"/>
        <v>2.6782725142282526E-3</v>
      </c>
      <c r="P169" s="844">
        <f t="shared" si="33"/>
        <v>3.566897813765259E-3</v>
      </c>
      <c r="Q169" s="830"/>
      <c r="R169" s="845">
        <v>924.99</v>
      </c>
      <c r="S169" s="846">
        <f t="shared" si="28"/>
        <v>5.2927878972308662E-3</v>
      </c>
      <c r="T169" s="845">
        <v>70.84</v>
      </c>
      <c r="U169" s="846">
        <f t="shared" si="29"/>
        <v>1.2868172719473936E-2</v>
      </c>
      <c r="V169" s="845">
        <v>120.34180000000001</v>
      </c>
      <c r="W169" s="846">
        <f t="shared" si="30"/>
        <v>6.0988711027210041E-3</v>
      </c>
      <c r="X169" s="845">
        <v>38868.04</v>
      </c>
      <c r="Y169" s="846">
        <f t="shared" si="31"/>
        <v>1.7796855021225966E-3</v>
      </c>
      <c r="Z169" s="845">
        <v>5360.7884999999997</v>
      </c>
      <c r="AA169" s="846">
        <f t="shared" si="32"/>
        <v>2.580967030766379E-3</v>
      </c>
      <c r="AB169" s="843"/>
      <c r="AC169" s="832"/>
    </row>
    <row r="170" spans="1:29" ht="14.4" x14ac:dyDescent="0.55000000000000004">
      <c r="A170" s="841" t="s">
        <v>5329</v>
      </c>
      <c r="B170" s="842">
        <v>114.78</v>
      </c>
      <c r="C170" s="843">
        <f t="shared" si="23"/>
        <v>-5.8033780857513761E-3</v>
      </c>
      <c r="D170" s="842">
        <v>43.29</v>
      </c>
      <c r="E170" s="843">
        <f t="shared" si="24"/>
        <v>-3.6823935558113474E-3</v>
      </c>
      <c r="F170" s="842">
        <v>28.28</v>
      </c>
      <c r="G170" s="843">
        <f t="shared" si="24"/>
        <v>-9.1100210231254142E-3</v>
      </c>
      <c r="H170" s="842">
        <v>36.119999999999997</v>
      </c>
      <c r="I170" s="843">
        <f t="shared" si="24"/>
        <v>-1.1764705882352899E-2</v>
      </c>
      <c r="J170" s="842">
        <v>60.43</v>
      </c>
      <c r="K170" s="843">
        <f t="shared" si="25"/>
        <v>-3.9558266029339206E-3</v>
      </c>
      <c r="L170" s="842">
        <v>74.09</v>
      </c>
      <c r="M170" s="843">
        <f t="shared" si="26"/>
        <v>-1.4105123087159055E-2</v>
      </c>
      <c r="N170" s="842">
        <v>59.74</v>
      </c>
      <c r="O170" s="843">
        <f t="shared" si="27"/>
        <v>-6.3206919494344094E-3</v>
      </c>
      <c r="P170" s="844">
        <f t="shared" si="33"/>
        <v>-7.8203057409383468E-3</v>
      </c>
      <c r="Q170" s="830"/>
      <c r="R170" s="845">
        <v>920.12</v>
      </c>
      <c r="S170" s="846">
        <f t="shared" si="28"/>
        <v>-9.6546082726108873E-3</v>
      </c>
      <c r="T170" s="845">
        <v>69.94</v>
      </c>
      <c r="U170" s="846">
        <f t="shared" si="29"/>
        <v>-1.0889548861547138E-2</v>
      </c>
      <c r="V170" s="845">
        <v>119.6123</v>
      </c>
      <c r="W170" s="846">
        <f t="shared" si="30"/>
        <v>-5.8033172499490915E-3</v>
      </c>
      <c r="X170" s="845">
        <v>38798.99</v>
      </c>
      <c r="Y170" s="846">
        <f t="shared" si="31"/>
        <v>-2.241928171378138E-3</v>
      </c>
      <c r="Z170" s="845">
        <v>5346.9880999999996</v>
      </c>
      <c r="AA170" s="846">
        <f t="shared" si="32"/>
        <v>-1.1160362761388765E-3</v>
      </c>
      <c r="AB170" s="843"/>
      <c r="AC170" s="832"/>
    </row>
    <row r="171" spans="1:29" ht="14.4" x14ac:dyDescent="0.55000000000000004">
      <c r="A171" s="841" t="s">
        <v>5330</v>
      </c>
      <c r="B171" s="842">
        <v>115.45</v>
      </c>
      <c r="C171" s="843">
        <f t="shared" si="23"/>
        <v>3.8257542822364154E-3</v>
      </c>
      <c r="D171" s="842">
        <v>43.45</v>
      </c>
      <c r="E171" s="843">
        <f t="shared" si="24"/>
        <v>-1.1826245167159355E-2</v>
      </c>
      <c r="F171" s="842">
        <v>28.54</v>
      </c>
      <c r="G171" s="843">
        <f t="shared" si="24"/>
        <v>-6.6132962060564404E-3</v>
      </c>
      <c r="H171" s="842">
        <v>36.549999999999997</v>
      </c>
      <c r="I171" s="843">
        <f t="shared" si="24"/>
        <v>-9.4850948509485056E-3</v>
      </c>
      <c r="J171" s="842">
        <v>60.67</v>
      </c>
      <c r="K171" s="843">
        <f t="shared" si="25"/>
        <v>-1.2693246541903958E-2</v>
      </c>
      <c r="L171" s="842">
        <v>75.150000000000006</v>
      </c>
      <c r="M171" s="843">
        <f t="shared" si="26"/>
        <v>-1.610369206598572E-2</v>
      </c>
      <c r="N171" s="842">
        <v>60.12</v>
      </c>
      <c r="O171" s="843">
        <f t="shared" si="27"/>
        <v>-7.7570556197393836E-3</v>
      </c>
      <c r="P171" s="844">
        <f t="shared" si="33"/>
        <v>-8.6646965956509916E-3</v>
      </c>
      <c r="Q171" s="830"/>
      <c r="R171" s="845">
        <v>929.09</v>
      </c>
      <c r="S171" s="846">
        <f t="shared" si="28"/>
        <v>-5.8849335002514325E-3</v>
      </c>
      <c r="T171" s="845">
        <v>70.709999999999994</v>
      </c>
      <c r="U171" s="846">
        <f t="shared" si="29"/>
        <v>-1.0356892932120498E-2</v>
      </c>
      <c r="V171" s="845">
        <v>120.3105</v>
      </c>
      <c r="W171" s="846">
        <f t="shared" si="30"/>
        <v>3.8255515135332541E-3</v>
      </c>
      <c r="X171" s="845">
        <v>38886.17</v>
      </c>
      <c r="Y171" s="846">
        <f t="shared" si="31"/>
        <v>2.0315749627710655E-3</v>
      </c>
      <c r="Z171" s="845">
        <v>5352.9621999999999</v>
      </c>
      <c r="AA171" s="846">
        <f t="shared" si="32"/>
        <v>-1.9917712057038184E-4</v>
      </c>
      <c r="AB171" s="843"/>
      <c r="AC171" s="832"/>
    </row>
    <row r="172" spans="1:29" ht="14.4" x14ac:dyDescent="0.55000000000000004">
      <c r="A172" s="841" t="s">
        <v>5331</v>
      </c>
      <c r="B172" s="842">
        <v>115.01</v>
      </c>
      <c r="C172" s="843">
        <f t="shared" si="23"/>
        <v>-7.5934075416342894E-3</v>
      </c>
      <c r="D172" s="842">
        <v>43.97</v>
      </c>
      <c r="E172" s="843">
        <f t="shared" si="24"/>
        <v>-1.390446288405478E-2</v>
      </c>
      <c r="F172" s="842">
        <v>28.73</v>
      </c>
      <c r="G172" s="843">
        <f t="shared" si="24"/>
        <v>-1.3053933356234948E-2</v>
      </c>
      <c r="H172" s="842">
        <v>36.9</v>
      </c>
      <c r="I172" s="843">
        <f t="shared" si="24"/>
        <v>-1.2312633832976427E-2</v>
      </c>
      <c r="J172" s="842">
        <v>61.45</v>
      </c>
      <c r="K172" s="843">
        <f t="shared" si="25"/>
        <v>-2.6920031670625399E-2</v>
      </c>
      <c r="L172" s="842">
        <v>76.38</v>
      </c>
      <c r="M172" s="843">
        <f t="shared" si="26"/>
        <v>1.3094146916325933E-4</v>
      </c>
      <c r="N172" s="842">
        <v>60.59</v>
      </c>
      <c r="O172" s="843">
        <f t="shared" si="27"/>
        <v>-1.7034393251135538E-2</v>
      </c>
      <c r="P172" s="844">
        <f t="shared" si="33"/>
        <v>-1.2955417295356875E-2</v>
      </c>
      <c r="Q172" s="830"/>
      <c r="R172" s="845">
        <v>934.59</v>
      </c>
      <c r="S172" s="846">
        <f t="shared" si="28"/>
        <v>-9.9262680622059785E-3</v>
      </c>
      <c r="T172" s="845">
        <v>71.45</v>
      </c>
      <c r="U172" s="846">
        <f t="shared" si="29"/>
        <v>-5.7055385471750375E-3</v>
      </c>
      <c r="V172" s="845">
        <v>119.852</v>
      </c>
      <c r="W172" s="846">
        <f t="shared" si="30"/>
        <v>-7.5938298786691893E-3</v>
      </c>
      <c r="X172" s="845">
        <v>38807.33</v>
      </c>
      <c r="Y172" s="846">
        <f t="shared" si="31"/>
        <v>2.4809299819252839E-3</v>
      </c>
      <c r="Z172" s="845">
        <v>5354.0285999999996</v>
      </c>
      <c r="AA172" s="846">
        <f t="shared" si="32"/>
        <v>1.1848275578977496E-2</v>
      </c>
      <c r="AB172" s="843"/>
      <c r="AC172" s="832"/>
    </row>
    <row r="173" spans="1:29" ht="14.4" x14ac:dyDescent="0.55000000000000004">
      <c r="A173" s="841" t="s">
        <v>5332</v>
      </c>
      <c r="B173" s="842">
        <v>115.89</v>
      </c>
      <c r="C173" s="843">
        <f t="shared" si="23"/>
        <v>3.2897584624707044E-3</v>
      </c>
      <c r="D173" s="842">
        <v>44.59</v>
      </c>
      <c r="E173" s="843">
        <f t="shared" si="24"/>
        <v>1.2948659700136256E-2</v>
      </c>
      <c r="F173" s="842">
        <v>29.11</v>
      </c>
      <c r="G173" s="843">
        <f t="shared" si="24"/>
        <v>1.747640685075158E-2</v>
      </c>
      <c r="H173" s="842">
        <v>37.36</v>
      </c>
      <c r="I173" s="843">
        <f t="shared" si="24"/>
        <v>-5.8541777541245565E-3</v>
      </c>
      <c r="J173" s="842">
        <v>63.15</v>
      </c>
      <c r="K173" s="843">
        <f t="shared" si="25"/>
        <v>4.4536344838554953E-3</v>
      </c>
      <c r="L173" s="842">
        <v>76.37</v>
      </c>
      <c r="M173" s="843">
        <f t="shared" si="26"/>
        <v>2.7573529411766273E-3</v>
      </c>
      <c r="N173" s="842">
        <v>61.64</v>
      </c>
      <c r="O173" s="843">
        <f t="shared" si="27"/>
        <v>5.3824824661554693E-3</v>
      </c>
      <c r="P173" s="844">
        <f t="shared" si="33"/>
        <v>5.7791595929173678E-3</v>
      </c>
      <c r="Q173" s="830"/>
      <c r="R173" s="845">
        <v>943.96</v>
      </c>
      <c r="S173" s="846">
        <f t="shared" si="28"/>
        <v>4.0098278007636434E-3</v>
      </c>
      <c r="T173" s="845">
        <v>71.86</v>
      </c>
      <c r="U173" s="846">
        <f t="shared" si="29"/>
        <v>-4.1730421477259583E-4</v>
      </c>
      <c r="V173" s="845">
        <v>120.76909999999999</v>
      </c>
      <c r="W173" s="846">
        <f t="shared" si="30"/>
        <v>3.2897715519497606E-3</v>
      </c>
      <c r="X173" s="845">
        <v>38711.29</v>
      </c>
      <c r="Y173" s="846">
        <f t="shared" si="31"/>
        <v>3.6364079465858179E-3</v>
      </c>
      <c r="Z173" s="845">
        <v>5291.3353999999999</v>
      </c>
      <c r="AA173" s="846">
        <f t="shared" si="32"/>
        <v>1.5025371272032739E-3</v>
      </c>
      <c r="AB173" s="843"/>
      <c r="AC173" s="832"/>
    </row>
    <row r="174" spans="1:29" ht="14.4" x14ac:dyDescent="0.55000000000000004">
      <c r="A174" s="841" t="s">
        <v>5333</v>
      </c>
      <c r="B174" s="842">
        <v>115.51</v>
      </c>
      <c r="C174" s="843">
        <f t="shared" si="23"/>
        <v>-3.5369220151828529E-3</v>
      </c>
      <c r="D174" s="842">
        <v>44.02</v>
      </c>
      <c r="E174" s="843">
        <f t="shared" si="24"/>
        <v>1.2885411872986641E-2</v>
      </c>
      <c r="F174" s="842">
        <v>28.61</v>
      </c>
      <c r="G174" s="843">
        <f t="shared" si="24"/>
        <v>-1.5485203028217431E-2</v>
      </c>
      <c r="H174" s="842">
        <v>37.58</v>
      </c>
      <c r="I174" s="843">
        <f t="shared" si="24"/>
        <v>4.27578834847675E-3</v>
      </c>
      <c r="J174" s="842">
        <v>62.87</v>
      </c>
      <c r="K174" s="843">
        <f t="shared" si="25"/>
        <v>2.0120071393801675E-2</v>
      </c>
      <c r="L174" s="842">
        <v>76.16</v>
      </c>
      <c r="M174" s="843">
        <f t="shared" si="26"/>
        <v>-1.8430210078618448E-2</v>
      </c>
      <c r="N174" s="842">
        <v>61.31</v>
      </c>
      <c r="O174" s="843">
        <f t="shared" si="27"/>
        <v>3.2631750693434824E-4</v>
      </c>
      <c r="P174" s="844">
        <f t="shared" si="33"/>
        <v>2.2179142882954623E-5</v>
      </c>
      <c r="Q174" s="830"/>
      <c r="R174" s="845">
        <v>940.19</v>
      </c>
      <c r="S174" s="846">
        <f t="shared" si="28"/>
        <v>-6.5827011263497326E-3</v>
      </c>
      <c r="T174" s="845">
        <v>71.89</v>
      </c>
      <c r="U174" s="846">
        <f t="shared" si="29"/>
        <v>-1.1413641364136362E-2</v>
      </c>
      <c r="V174" s="845">
        <v>120.37309999999999</v>
      </c>
      <c r="W174" s="846">
        <f t="shared" si="30"/>
        <v>-3.536415058571829E-3</v>
      </c>
      <c r="X174" s="845">
        <v>38571.03</v>
      </c>
      <c r="Y174" s="846">
        <f t="shared" si="31"/>
        <v>-2.9801232063427774E-3</v>
      </c>
      <c r="Z174" s="845">
        <v>5283.3968999999997</v>
      </c>
      <c r="AA174" s="846">
        <f t="shared" si="32"/>
        <v>1.1159814028109949E-3</v>
      </c>
      <c r="AB174" s="843"/>
      <c r="AC174" s="832"/>
    </row>
    <row r="175" spans="1:29" ht="14.4" x14ac:dyDescent="0.55000000000000004">
      <c r="A175" s="841" t="s">
        <v>5334</v>
      </c>
      <c r="B175" s="842">
        <v>115.92</v>
      </c>
      <c r="C175" s="843">
        <f t="shared" si="23"/>
        <v>2.9576338928856805E-2</v>
      </c>
      <c r="D175" s="842">
        <v>43.46</v>
      </c>
      <c r="E175" s="843">
        <f t="shared" si="24"/>
        <v>2.6210153482880694E-2</v>
      </c>
      <c r="F175" s="842">
        <v>29.06</v>
      </c>
      <c r="G175" s="843">
        <f t="shared" si="24"/>
        <v>3.8598999285203606E-2</v>
      </c>
      <c r="H175" s="842">
        <v>37.42</v>
      </c>
      <c r="I175" s="843">
        <f t="shared" si="24"/>
        <v>1.3268345518548719E-2</v>
      </c>
      <c r="J175" s="842">
        <v>61.63</v>
      </c>
      <c r="K175" s="843">
        <f t="shared" si="25"/>
        <v>3.8416175231676508E-2</v>
      </c>
      <c r="L175" s="842">
        <v>77.59</v>
      </c>
      <c r="M175" s="843">
        <f t="shared" si="26"/>
        <v>3.191913818326908E-2</v>
      </c>
      <c r="N175" s="842">
        <v>61.29</v>
      </c>
      <c r="O175" s="843">
        <f t="shared" si="27"/>
        <v>2.2181454302868442E-2</v>
      </c>
      <c r="P175" s="844">
        <f t="shared" si="33"/>
        <v>2.8595800704757694E-2</v>
      </c>
      <c r="Q175" s="830"/>
      <c r="R175" s="845">
        <v>946.42</v>
      </c>
      <c r="S175" s="846">
        <f t="shared" si="28"/>
        <v>2.5573784703408986E-2</v>
      </c>
      <c r="T175" s="845">
        <v>72.72</v>
      </c>
      <c r="U175" s="846">
        <f t="shared" si="29"/>
        <v>1.7632241813602123E-2</v>
      </c>
      <c r="V175" s="845">
        <v>120.80029999999999</v>
      </c>
      <c r="W175" s="846">
        <f t="shared" si="30"/>
        <v>2.9576383212832846E-2</v>
      </c>
      <c r="X175" s="845">
        <v>38686.32</v>
      </c>
      <c r="Y175" s="846">
        <f t="shared" si="31"/>
        <v>1.5083119312081283E-2</v>
      </c>
      <c r="Z175" s="845">
        <v>5277.5073000000002</v>
      </c>
      <c r="AA175" s="846">
        <f t="shared" si="32"/>
        <v>8.0279213511251779E-3</v>
      </c>
      <c r="AB175" s="843"/>
      <c r="AC175" s="832"/>
    </row>
    <row r="176" spans="1:29" ht="14.4" x14ac:dyDescent="0.55000000000000004">
      <c r="A176" s="841" t="s">
        <v>5335</v>
      </c>
      <c r="B176" s="842">
        <v>112.59</v>
      </c>
      <c r="C176" s="843">
        <f t="shared" si="23"/>
        <v>1.1226872642356778E-2</v>
      </c>
      <c r="D176" s="842">
        <v>42.35</v>
      </c>
      <c r="E176" s="843">
        <f t="shared" si="24"/>
        <v>1.3642891335567287E-2</v>
      </c>
      <c r="F176" s="842">
        <v>27.98</v>
      </c>
      <c r="G176" s="843">
        <f t="shared" si="24"/>
        <v>7.5621173928699381E-3</v>
      </c>
      <c r="H176" s="842">
        <v>36.93</v>
      </c>
      <c r="I176" s="843">
        <f t="shared" si="24"/>
        <v>4.3810062182023657E-2</v>
      </c>
      <c r="J176" s="842">
        <v>59.35</v>
      </c>
      <c r="K176" s="843">
        <f t="shared" si="25"/>
        <v>1.3836692859583222E-2</v>
      </c>
      <c r="L176" s="842">
        <v>75.19</v>
      </c>
      <c r="M176" s="843">
        <f t="shared" si="26"/>
        <v>1.7869229727900171E-2</v>
      </c>
      <c r="N176" s="842">
        <v>59.96</v>
      </c>
      <c r="O176" s="843">
        <f t="shared" si="27"/>
        <v>1.4551607445008496E-2</v>
      </c>
      <c r="P176" s="844">
        <f t="shared" si="33"/>
        <v>1.7499924797901363E-2</v>
      </c>
      <c r="Q176" s="830"/>
      <c r="R176" s="845">
        <v>922.82</v>
      </c>
      <c r="S176" s="846">
        <f t="shared" si="28"/>
        <v>1.2941396002327021E-2</v>
      </c>
      <c r="T176" s="845">
        <v>71.459999999999994</v>
      </c>
      <c r="U176" s="846">
        <f t="shared" si="29"/>
        <v>1.3473266203375189E-2</v>
      </c>
      <c r="V176" s="845">
        <v>117.3301</v>
      </c>
      <c r="W176" s="846">
        <f t="shared" si="30"/>
        <v>1.1226648854797405E-2</v>
      </c>
      <c r="X176" s="845">
        <v>38111.480000000003</v>
      </c>
      <c r="Y176" s="846">
        <f t="shared" si="31"/>
        <v>-8.5860243892413868E-3</v>
      </c>
      <c r="Z176" s="845">
        <v>5235.4772999999996</v>
      </c>
      <c r="AA176" s="846">
        <f t="shared" si="32"/>
        <v>-5.9753944095231049E-3</v>
      </c>
      <c r="AB176" s="843"/>
      <c r="AC176" s="832"/>
    </row>
    <row r="177" spans="1:29" ht="14.4" x14ac:dyDescent="0.55000000000000004">
      <c r="A177" s="841" t="s">
        <v>5336</v>
      </c>
      <c r="B177" s="842">
        <v>111.34</v>
      </c>
      <c r="C177" s="843">
        <f t="shared" si="23"/>
        <v>-6.2477686540521882E-3</v>
      </c>
      <c r="D177" s="842">
        <v>41.78</v>
      </c>
      <c r="E177" s="843">
        <f t="shared" si="24"/>
        <v>-9.0132827324477249E-3</v>
      </c>
      <c r="F177" s="842">
        <v>27.77</v>
      </c>
      <c r="G177" s="843">
        <f t="shared" si="24"/>
        <v>-4.6594982078852487E-3</v>
      </c>
      <c r="H177" s="842">
        <v>35.380000000000003</v>
      </c>
      <c r="I177" s="843">
        <f t="shared" si="24"/>
        <v>-8.1300813008129413E-3</v>
      </c>
      <c r="J177" s="842">
        <v>58.54</v>
      </c>
      <c r="K177" s="843">
        <f t="shared" si="25"/>
        <v>-9.3078355051616768E-3</v>
      </c>
      <c r="L177" s="842">
        <v>73.87</v>
      </c>
      <c r="M177" s="843">
        <f t="shared" si="26"/>
        <v>-2.8026315789473677E-2</v>
      </c>
      <c r="N177" s="842">
        <v>59.1</v>
      </c>
      <c r="O177" s="843">
        <f t="shared" si="27"/>
        <v>-3.8766222821505769E-3</v>
      </c>
      <c r="P177" s="844">
        <f t="shared" si="33"/>
        <v>-9.8944863531405768E-3</v>
      </c>
      <c r="Q177" s="830"/>
      <c r="R177" s="845">
        <v>911.03</v>
      </c>
      <c r="S177" s="846">
        <f t="shared" si="28"/>
        <v>-1.1318993770755181E-2</v>
      </c>
      <c r="T177" s="845">
        <v>70.510000000000005</v>
      </c>
      <c r="U177" s="846">
        <f t="shared" si="29"/>
        <v>-1.2879742405151884E-2</v>
      </c>
      <c r="V177" s="845">
        <v>116.0275</v>
      </c>
      <c r="W177" s="846">
        <f t="shared" si="30"/>
        <v>-6.24801939070041E-3</v>
      </c>
      <c r="X177" s="845">
        <v>38441.54</v>
      </c>
      <c r="Y177" s="846">
        <f t="shared" si="31"/>
        <v>-1.0586608038635981E-2</v>
      </c>
      <c r="Z177" s="845">
        <v>5266.9494000000004</v>
      </c>
      <c r="AA177" s="846">
        <f t="shared" si="32"/>
        <v>-7.3680309315158343E-3</v>
      </c>
      <c r="AB177" s="843"/>
      <c r="AC177" s="832"/>
    </row>
    <row r="178" spans="1:29" ht="14.4" x14ac:dyDescent="0.55000000000000004">
      <c r="A178" s="841" t="s">
        <v>5337</v>
      </c>
      <c r="B178" s="842">
        <v>112.04</v>
      </c>
      <c r="C178" s="843">
        <f t="shared" si="23"/>
        <v>-5.0617174318443592E-3</v>
      </c>
      <c r="D178" s="842">
        <v>42.16</v>
      </c>
      <c r="E178" s="843">
        <f t="shared" si="24"/>
        <v>-1.0328638497652642E-2</v>
      </c>
      <c r="F178" s="842">
        <v>27.9</v>
      </c>
      <c r="G178" s="843">
        <f t="shared" si="24"/>
        <v>-4.9928673323823558E-3</v>
      </c>
      <c r="H178" s="842">
        <v>35.67</v>
      </c>
      <c r="I178" s="843">
        <f t="shared" si="24"/>
        <v>-1.5456803753795101E-2</v>
      </c>
      <c r="J178" s="842">
        <v>59.09</v>
      </c>
      <c r="K178" s="843">
        <f t="shared" si="25"/>
        <v>-1.7132401862940738E-2</v>
      </c>
      <c r="L178" s="842">
        <v>76</v>
      </c>
      <c r="M178" s="843">
        <f t="shared" si="26"/>
        <v>-2.4937655860348684E-3</v>
      </c>
      <c r="N178" s="842">
        <v>59.33</v>
      </c>
      <c r="O178" s="843">
        <f t="shared" si="27"/>
        <v>-5.8646112600536648E-3</v>
      </c>
      <c r="P178" s="844">
        <f t="shared" si="33"/>
        <v>-8.7615436749576749E-3</v>
      </c>
      <c r="Q178" s="830"/>
      <c r="R178" s="845">
        <v>921.46</v>
      </c>
      <c r="S178" s="846">
        <f t="shared" si="28"/>
        <v>-5.0210018248372235E-3</v>
      </c>
      <c r="T178" s="845">
        <v>71.430000000000007</v>
      </c>
      <c r="U178" s="846">
        <f t="shared" si="29"/>
        <v>-9.79020979020917E-4</v>
      </c>
      <c r="V178" s="845">
        <v>116.75700000000001</v>
      </c>
      <c r="W178" s="846">
        <f t="shared" si="30"/>
        <v>-5.0617378633330823E-3</v>
      </c>
      <c r="X178" s="845">
        <v>38852.86</v>
      </c>
      <c r="Y178" s="846">
        <f t="shared" si="31"/>
        <v>-5.5472811462826677E-3</v>
      </c>
      <c r="Z178" s="845">
        <v>5306.0445</v>
      </c>
      <c r="AA178" s="846">
        <f t="shared" si="32"/>
        <v>2.5013584135002986E-4</v>
      </c>
      <c r="AB178" s="843"/>
      <c r="AC178" s="832"/>
    </row>
    <row r="179" spans="1:29" ht="14.4" x14ac:dyDescent="0.55000000000000004">
      <c r="A179" s="841" t="s">
        <v>5338</v>
      </c>
      <c r="B179" s="842">
        <v>112.61</v>
      </c>
      <c r="C179" s="843">
        <f t="shared" si="23"/>
        <v>-1.2106325116238215E-2</v>
      </c>
      <c r="D179" s="842">
        <v>42.6</v>
      </c>
      <c r="E179" s="843">
        <f t="shared" si="24"/>
        <v>3.2972209138011355E-3</v>
      </c>
      <c r="F179" s="842">
        <v>28.04</v>
      </c>
      <c r="G179" s="843">
        <f t="shared" si="24"/>
        <v>-1.4245014245013454E-3</v>
      </c>
      <c r="H179" s="842">
        <v>36.229999999999997</v>
      </c>
      <c r="I179" s="843">
        <f t="shared" si="24"/>
        <v>-1.3612850530901222E-2</v>
      </c>
      <c r="J179" s="842">
        <v>60.12</v>
      </c>
      <c r="K179" s="843">
        <f t="shared" si="25"/>
        <v>-4.1411297001822112E-3</v>
      </c>
      <c r="L179" s="842">
        <v>76.19</v>
      </c>
      <c r="M179" s="843">
        <f t="shared" si="26"/>
        <v>-3.2705389848246558E-3</v>
      </c>
      <c r="N179" s="842">
        <v>59.68</v>
      </c>
      <c r="O179" s="843">
        <f t="shared" si="27"/>
        <v>-9.6249585131098492E-3</v>
      </c>
      <c r="P179" s="844">
        <f t="shared" si="33"/>
        <v>-5.8404404794223375E-3</v>
      </c>
      <c r="Q179" s="830"/>
      <c r="R179" s="845">
        <v>926.11</v>
      </c>
      <c r="S179" s="846">
        <f t="shared" si="28"/>
        <v>2.0774948874149324E-3</v>
      </c>
      <c r="T179" s="845">
        <v>71.5</v>
      </c>
      <c r="U179" s="846">
        <f t="shared" si="29"/>
        <v>1.0029665206950034E-2</v>
      </c>
      <c r="V179" s="845">
        <v>117.351</v>
      </c>
      <c r="W179" s="846">
        <f t="shared" si="30"/>
        <v>-1.2106329621152212E-2</v>
      </c>
      <c r="X179" s="845">
        <v>39069.589999999997</v>
      </c>
      <c r="Y179" s="846">
        <f t="shared" si="31"/>
        <v>1.1084016847684453E-4</v>
      </c>
      <c r="Z179" s="845">
        <v>5304.7175999999999</v>
      </c>
      <c r="AA179" s="846">
        <f t="shared" si="32"/>
        <v>7.0008795448743832E-3</v>
      </c>
      <c r="AB179" s="843"/>
      <c r="AC179" s="832"/>
    </row>
    <row r="180" spans="1:29" ht="14.4" x14ac:dyDescent="0.55000000000000004">
      <c r="A180" s="841" t="s">
        <v>5339</v>
      </c>
      <c r="B180" s="842">
        <v>113.99</v>
      </c>
      <c r="C180" s="843">
        <f t="shared" si="23"/>
        <v>-2.7306084136871744E-2</v>
      </c>
      <c r="D180" s="842">
        <v>42.46</v>
      </c>
      <c r="E180" s="843">
        <f t="shared" si="24"/>
        <v>-2.9263831732967538E-2</v>
      </c>
      <c r="F180" s="842">
        <v>28.08</v>
      </c>
      <c r="G180" s="843">
        <f t="shared" si="24"/>
        <v>-2.7364045722203079E-2</v>
      </c>
      <c r="H180" s="842">
        <v>36.729999999999997</v>
      </c>
      <c r="I180" s="843">
        <f t="shared" si="24"/>
        <v>-3.2912058978409653E-2</v>
      </c>
      <c r="J180" s="842">
        <v>60.37</v>
      </c>
      <c r="K180" s="843">
        <f t="shared" si="25"/>
        <v>-3.7621552686115112E-2</v>
      </c>
      <c r="L180" s="842">
        <v>76.44</v>
      </c>
      <c r="M180" s="843">
        <f t="shared" si="26"/>
        <v>-1.3677419354838793E-2</v>
      </c>
      <c r="N180" s="842">
        <v>60.26</v>
      </c>
      <c r="O180" s="843">
        <f t="shared" si="27"/>
        <v>-2.8221254636348947E-2</v>
      </c>
      <c r="P180" s="844">
        <f t="shared" si="33"/>
        <v>-2.8052321035393551E-2</v>
      </c>
      <c r="Q180" s="830"/>
      <c r="R180" s="845">
        <v>924.19</v>
      </c>
      <c r="S180" s="846">
        <f t="shared" si="28"/>
        <v>-2.2052209982751814E-2</v>
      </c>
      <c r="T180" s="845">
        <v>70.790000000000006</v>
      </c>
      <c r="U180" s="846">
        <f t="shared" si="29"/>
        <v>-1.6942091376197732E-2</v>
      </c>
      <c r="V180" s="845">
        <v>118.7891</v>
      </c>
      <c r="W180" s="846">
        <f t="shared" si="30"/>
        <v>-2.7305897785689592E-2</v>
      </c>
      <c r="X180" s="845">
        <v>39065.26</v>
      </c>
      <c r="Y180" s="846">
        <f t="shared" si="31"/>
        <v>-1.5270081147355841E-2</v>
      </c>
      <c r="Z180" s="845">
        <v>5267.8380999999999</v>
      </c>
      <c r="AA180" s="846">
        <f t="shared" si="32"/>
        <v>-7.3802641082770792E-3</v>
      </c>
      <c r="AB180" s="843"/>
      <c r="AC180" s="832"/>
    </row>
    <row r="181" spans="1:29" ht="14.4" x14ac:dyDescent="0.55000000000000004">
      <c r="A181" s="841" t="s">
        <v>5340</v>
      </c>
      <c r="B181" s="842">
        <v>117.19</v>
      </c>
      <c r="C181" s="843">
        <f t="shared" si="23"/>
        <v>-1.1054852320675157E-2</v>
      </c>
      <c r="D181" s="842">
        <v>43.74</v>
      </c>
      <c r="E181" s="843">
        <f t="shared" si="24"/>
        <v>-1.8622391743325029E-2</v>
      </c>
      <c r="F181" s="842">
        <v>28.87</v>
      </c>
      <c r="G181" s="843">
        <f t="shared" si="24"/>
        <v>-1.1639849366655297E-2</v>
      </c>
      <c r="H181" s="842">
        <v>37.979999999999997</v>
      </c>
      <c r="I181" s="843">
        <f t="shared" si="24"/>
        <v>-1.987096774193553E-2</v>
      </c>
      <c r="J181" s="842">
        <v>62.73</v>
      </c>
      <c r="K181" s="843">
        <f t="shared" si="25"/>
        <v>-2.1525503041647243E-2</v>
      </c>
      <c r="L181" s="842">
        <v>77.5</v>
      </c>
      <c r="M181" s="843">
        <f t="shared" si="26"/>
        <v>-1.084875558391829E-2</v>
      </c>
      <c r="N181" s="842">
        <v>62.01</v>
      </c>
      <c r="O181" s="843">
        <f t="shared" si="27"/>
        <v>-1.9449715370019049E-2</v>
      </c>
      <c r="P181" s="844">
        <f t="shared" si="33"/>
        <v>-1.6144576452596513E-2</v>
      </c>
      <c r="Q181" s="830"/>
      <c r="R181" s="845">
        <v>945.03</v>
      </c>
      <c r="S181" s="846">
        <f t="shared" si="28"/>
        <v>-1.045015235442559E-2</v>
      </c>
      <c r="T181" s="845">
        <v>72.010000000000005</v>
      </c>
      <c r="U181" s="846">
        <f t="shared" si="29"/>
        <v>-1.1801838891176031E-2</v>
      </c>
      <c r="V181" s="845">
        <v>122.1238</v>
      </c>
      <c r="W181" s="846">
        <f t="shared" si="30"/>
        <v>-1.1055235689008791E-2</v>
      </c>
      <c r="X181" s="845">
        <v>39671.040000000001</v>
      </c>
      <c r="Y181" s="846">
        <f t="shared" si="31"/>
        <v>-5.0648321081513403E-3</v>
      </c>
      <c r="Z181" s="845">
        <v>5307.0051999999996</v>
      </c>
      <c r="AA181" s="846">
        <f t="shared" si="32"/>
        <v>-2.7073265516747158E-3</v>
      </c>
      <c r="AB181" s="843"/>
      <c r="AC181" s="832"/>
    </row>
    <row r="182" spans="1:29" ht="14.4" x14ac:dyDescent="0.55000000000000004">
      <c r="A182" s="841" t="s">
        <v>5341</v>
      </c>
      <c r="B182" s="842">
        <v>118.5</v>
      </c>
      <c r="C182" s="843">
        <f t="shared" si="23"/>
        <v>1.8599932363883021E-3</v>
      </c>
      <c r="D182" s="842">
        <v>44.57</v>
      </c>
      <c r="E182" s="843">
        <f t="shared" si="24"/>
        <v>1.3480116827679911E-3</v>
      </c>
      <c r="F182" s="842">
        <v>29.21</v>
      </c>
      <c r="G182" s="843">
        <f t="shared" si="24"/>
        <v>3.0906593406594407E-3</v>
      </c>
      <c r="H182" s="842">
        <v>38.75</v>
      </c>
      <c r="I182" s="843">
        <f t="shared" si="24"/>
        <v>1.0333247222940045E-3</v>
      </c>
      <c r="J182" s="842">
        <v>64.11</v>
      </c>
      <c r="K182" s="843">
        <f t="shared" si="25"/>
        <v>3.2863849765258912E-3</v>
      </c>
      <c r="L182" s="842">
        <v>78.349999999999994</v>
      </c>
      <c r="M182" s="843">
        <f t="shared" si="26"/>
        <v>7.4578886460074933E-3</v>
      </c>
      <c r="N182" s="842">
        <v>63.24</v>
      </c>
      <c r="O182" s="843">
        <f t="shared" si="27"/>
        <v>5.2455889365761177E-3</v>
      </c>
      <c r="P182" s="844">
        <f t="shared" si="33"/>
        <v>3.3316930773170344E-3</v>
      </c>
      <c r="Q182" s="830"/>
      <c r="R182" s="845">
        <v>955.01</v>
      </c>
      <c r="S182" s="846">
        <f t="shared" si="28"/>
        <v>5.3583459659760635E-3</v>
      </c>
      <c r="T182" s="845">
        <v>72.87</v>
      </c>
      <c r="U182" s="846">
        <f t="shared" si="29"/>
        <v>9.0002769315979947E-3</v>
      </c>
      <c r="V182" s="845">
        <v>123.489</v>
      </c>
      <c r="W182" s="846">
        <f t="shared" si="30"/>
        <v>1.8602998384711356E-3</v>
      </c>
      <c r="X182" s="845">
        <v>39872.99</v>
      </c>
      <c r="Y182" s="846">
        <f t="shared" si="31"/>
        <v>1.6635361271462035E-3</v>
      </c>
      <c r="Z182" s="845">
        <v>5321.4120000000003</v>
      </c>
      <c r="AA182" s="846">
        <f t="shared" si="32"/>
        <v>2.5017650746950171E-3</v>
      </c>
      <c r="AB182" s="843"/>
      <c r="AC182" s="832"/>
    </row>
    <row r="183" spans="1:29" ht="14.4" x14ac:dyDescent="0.55000000000000004">
      <c r="A183" s="841" t="s">
        <v>5342</v>
      </c>
      <c r="B183" s="842">
        <v>118.28</v>
      </c>
      <c r="C183" s="843">
        <f t="shared" si="23"/>
        <v>-3.0343897505057393E-3</v>
      </c>
      <c r="D183" s="842">
        <v>44.51</v>
      </c>
      <c r="E183" s="843">
        <f t="shared" si="24"/>
        <v>9.0682384946723094E-3</v>
      </c>
      <c r="F183" s="842">
        <v>29.12</v>
      </c>
      <c r="G183" s="843">
        <f t="shared" si="24"/>
        <v>-3.7632569278138739E-3</v>
      </c>
      <c r="H183" s="842">
        <v>38.71</v>
      </c>
      <c r="I183" s="843">
        <f t="shared" si="24"/>
        <v>4.4110015568241678E-3</v>
      </c>
      <c r="J183" s="842">
        <v>63.9</v>
      </c>
      <c r="K183" s="843">
        <f t="shared" si="25"/>
        <v>2.8248587570620654E-3</v>
      </c>
      <c r="L183" s="842">
        <v>77.77</v>
      </c>
      <c r="M183" s="843">
        <f t="shared" si="26"/>
        <v>1.1585993820801832E-3</v>
      </c>
      <c r="N183" s="842">
        <v>62.91</v>
      </c>
      <c r="O183" s="843">
        <f t="shared" si="27"/>
        <v>5.1126378015655671E-3</v>
      </c>
      <c r="P183" s="844">
        <f t="shared" si="33"/>
        <v>2.2539556162692398E-3</v>
      </c>
      <c r="Q183" s="830"/>
      <c r="R183" s="845">
        <v>949.92</v>
      </c>
      <c r="S183" s="846">
        <f t="shared" si="28"/>
        <v>-1.5765907800970869E-3</v>
      </c>
      <c r="T183" s="845">
        <v>72.22</v>
      </c>
      <c r="U183" s="846">
        <f t="shared" si="29"/>
        <v>-1.6588332872546907E-3</v>
      </c>
      <c r="V183" s="845">
        <v>123.2597</v>
      </c>
      <c r="W183" s="846">
        <f t="shared" si="30"/>
        <v>-3.0339354291833986E-3</v>
      </c>
      <c r="X183" s="845">
        <v>39806.769999999997</v>
      </c>
      <c r="Y183" s="846">
        <f t="shared" si="31"/>
        <v>-4.9200584247564016E-3</v>
      </c>
      <c r="Z183" s="845">
        <v>5308.1323000000002</v>
      </c>
      <c r="AA183" s="846">
        <f t="shared" si="32"/>
        <v>9.169060362892445E-4</v>
      </c>
      <c r="AB183" s="843"/>
      <c r="AC183" s="832"/>
    </row>
    <row r="184" spans="1:29" ht="14.4" x14ac:dyDescent="0.55000000000000004">
      <c r="A184" s="841" t="s">
        <v>5343</v>
      </c>
      <c r="B184" s="842">
        <v>118.64</v>
      </c>
      <c r="C184" s="843">
        <f t="shared" si="23"/>
        <v>6.7476383265852036E-4</v>
      </c>
      <c r="D184" s="842">
        <v>44.11</v>
      </c>
      <c r="E184" s="843">
        <f t="shared" si="24"/>
        <v>-8.3183453237409832E-3</v>
      </c>
      <c r="F184" s="842">
        <v>29.23</v>
      </c>
      <c r="G184" s="843">
        <f t="shared" si="24"/>
        <v>2.7444253859347789E-3</v>
      </c>
      <c r="H184" s="842">
        <v>38.54</v>
      </c>
      <c r="I184" s="843">
        <f t="shared" si="24"/>
        <v>1.2990387113536173E-3</v>
      </c>
      <c r="J184" s="842">
        <v>63.72</v>
      </c>
      <c r="K184" s="843">
        <f t="shared" si="25"/>
        <v>-1.7727763218745252E-2</v>
      </c>
      <c r="L184" s="842">
        <v>77.680000000000007</v>
      </c>
      <c r="M184" s="843">
        <f t="shared" si="26"/>
        <v>4.0067209512730795E-3</v>
      </c>
      <c r="N184" s="842">
        <v>62.59</v>
      </c>
      <c r="O184" s="843">
        <f t="shared" si="27"/>
        <v>4.4936607286150121E-3</v>
      </c>
      <c r="P184" s="844">
        <f t="shared" si="33"/>
        <v>-1.8324998475216039E-3</v>
      </c>
      <c r="Q184" s="830"/>
      <c r="R184" s="845">
        <v>951.42</v>
      </c>
      <c r="S184" s="846">
        <f t="shared" si="28"/>
        <v>1.5369068171291467E-3</v>
      </c>
      <c r="T184" s="845">
        <v>72.34</v>
      </c>
      <c r="U184" s="846">
        <f t="shared" si="29"/>
        <v>8.3010514665193824E-4</v>
      </c>
      <c r="V184" s="845">
        <v>123.6348</v>
      </c>
      <c r="W184" s="846">
        <f t="shared" si="30"/>
        <v>6.7421277766754883E-4</v>
      </c>
      <c r="X184" s="845">
        <v>40003.589999999997</v>
      </c>
      <c r="Y184" s="846">
        <f t="shared" si="31"/>
        <v>3.3662424647686873E-3</v>
      </c>
      <c r="Z184" s="845">
        <v>5303.2696999999998</v>
      </c>
      <c r="AA184" s="846">
        <f t="shared" si="32"/>
        <v>1.1650151493312055E-3</v>
      </c>
      <c r="AB184" s="843"/>
      <c r="AC184" s="832"/>
    </row>
    <row r="185" spans="1:29" ht="14.4" x14ac:dyDescent="0.55000000000000004">
      <c r="A185" s="841" t="s">
        <v>5344</v>
      </c>
      <c r="B185" s="842">
        <v>118.56</v>
      </c>
      <c r="C185" s="843">
        <f t="shared" si="23"/>
        <v>6.3661828367711504E-3</v>
      </c>
      <c r="D185" s="842">
        <v>44.48</v>
      </c>
      <c r="E185" s="843">
        <f t="shared" si="24"/>
        <v>8.1595648232093421E-3</v>
      </c>
      <c r="F185" s="842">
        <v>29.15</v>
      </c>
      <c r="G185" s="843">
        <f t="shared" si="24"/>
        <v>6.8657741160316199E-4</v>
      </c>
      <c r="H185" s="842">
        <v>38.49</v>
      </c>
      <c r="I185" s="843">
        <f t="shared" si="24"/>
        <v>8.9121887287024748E-3</v>
      </c>
      <c r="J185" s="842">
        <v>64.87</v>
      </c>
      <c r="K185" s="843">
        <f t="shared" si="25"/>
        <v>1.1066084788029951E-2</v>
      </c>
      <c r="L185" s="842">
        <v>77.37</v>
      </c>
      <c r="M185" s="843">
        <f t="shared" si="26"/>
        <v>1.6554986204178279E-2</v>
      </c>
      <c r="N185" s="842">
        <v>62.31</v>
      </c>
      <c r="O185" s="843">
        <f t="shared" si="27"/>
        <v>4.8379293662312861E-3</v>
      </c>
      <c r="P185" s="844">
        <f t="shared" si="33"/>
        <v>8.0833591655322355E-3</v>
      </c>
      <c r="Q185" s="830"/>
      <c r="R185" s="845">
        <v>949.96</v>
      </c>
      <c r="S185" s="846">
        <f t="shared" si="28"/>
        <v>3.580379520229382E-4</v>
      </c>
      <c r="T185" s="845">
        <v>72.28</v>
      </c>
      <c r="U185" s="846">
        <f t="shared" si="29"/>
        <v>-3.446849579484379E-3</v>
      </c>
      <c r="V185" s="845">
        <v>123.5515</v>
      </c>
      <c r="W185" s="846">
        <f t="shared" si="30"/>
        <v>6.3663813361418686E-3</v>
      </c>
      <c r="X185" s="845">
        <v>39869.379999999997</v>
      </c>
      <c r="Y185" s="846">
        <f t="shared" si="31"/>
        <v>-9.6772576926940079E-4</v>
      </c>
      <c r="Z185" s="845">
        <v>5297.0985000000001</v>
      </c>
      <c r="AA185" s="846">
        <f t="shared" si="32"/>
        <v>-2.0819119340569348E-3</v>
      </c>
      <c r="AB185" s="843"/>
      <c r="AC185" s="832"/>
    </row>
    <row r="186" spans="1:29" ht="14.4" x14ac:dyDescent="0.55000000000000004">
      <c r="A186" s="841" t="s">
        <v>5345</v>
      </c>
      <c r="B186" s="842">
        <v>117.81</v>
      </c>
      <c r="C186" s="843">
        <f t="shared" si="23"/>
        <v>4.7761194029851683E-3</v>
      </c>
      <c r="D186" s="842">
        <v>44.12</v>
      </c>
      <c r="E186" s="843">
        <f t="shared" si="24"/>
        <v>3.4114168751420149E-3</v>
      </c>
      <c r="F186" s="842">
        <v>29.13</v>
      </c>
      <c r="G186" s="843">
        <f t="shared" si="24"/>
        <v>9.0058884655350724E-3</v>
      </c>
      <c r="H186" s="842">
        <v>38.15</v>
      </c>
      <c r="I186" s="843">
        <f t="shared" si="24"/>
        <v>4.2116346406948502E-3</v>
      </c>
      <c r="J186" s="842">
        <v>64.16</v>
      </c>
      <c r="K186" s="843">
        <f t="shared" si="25"/>
        <v>3.2838154808443321E-3</v>
      </c>
      <c r="L186" s="842">
        <v>76.11</v>
      </c>
      <c r="M186" s="843">
        <f t="shared" si="26"/>
        <v>2.5603018461124005E-2</v>
      </c>
      <c r="N186" s="842">
        <v>62.01</v>
      </c>
      <c r="O186" s="843">
        <f t="shared" si="27"/>
        <v>2.5869037995149835E-3</v>
      </c>
      <c r="P186" s="844">
        <f t="shared" si="33"/>
        <v>7.5541138751200609E-3</v>
      </c>
      <c r="Q186" s="830"/>
      <c r="R186" s="845">
        <v>949.62</v>
      </c>
      <c r="S186" s="846" t="str">
        <f t="shared" si="28"/>
        <v>NA</v>
      </c>
      <c r="T186" s="845">
        <v>72.53</v>
      </c>
      <c r="U186" s="846">
        <f t="shared" si="29"/>
        <v>1.497341169885269E-2</v>
      </c>
      <c r="V186" s="845">
        <v>122.76990000000001</v>
      </c>
      <c r="W186" s="846">
        <f t="shared" si="30"/>
        <v>4.7763128926892051E-3</v>
      </c>
      <c r="X186" s="845">
        <v>39908</v>
      </c>
      <c r="Y186" s="846">
        <f t="shared" si="31"/>
        <v>8.8449625121118647E-3</v>
      </c>
      <c r="Z186" s="845">
        <v>5308.1495999999997</v>
      </c>
      <c r="AA186" s="846">
        <f t="shared" si="32"/>
        <v>1.1715807737863848E-2</v>
      </c>
      <c r="AB186" s="843"/>
      <c r="AC186" s="832"/>
    </row>
    <row r="187" spans="1:29" ht="14.4" x14ac:dyDescent="0.55000000000000004">
      <c r="A187" s="841" t="s">
        <v>5346</v>
      </c>
      <c r="B187" s="842">
        <v>117.25</v>
      </c>
      <c r="C187" s="843">
        <f t="shared" si="23"/>
        <v>7.9085360612052291E-3</v>
      </c>
      <c r="D187" s="842">
        <v>43.97</v>
      </c>
      <c r="E187" s="843">
        <f t="shared" si="24"/>
        <v>-3.3998186763372074E-3</v>
      </c>
      <c r="F187" s="842">
        <v>28.87</v>
      </c>
      <c r="G187" s="843">
        <f t="shared" si="24"/>
        <v>2.4305555555554914E-3</v>
      </c>
      <c r="H187" s="842">
        <v>37.99</v>
      </c>
      <c r="I187" s="843">
        <f t="shared" si="24"/>
        <v>-1.2733887733887617E-2</v>
      </c>
      <c r="J187" s="842">
        <v>63.95</v>
      </c>
      <c r="K187" s="843">
        <f t="shared" si="25"/>
        <v>2.1940134775113584E-3</v>
      </c>
      <c r="L187" s="842">
        <v>74.209999999999994</v>
      </c>
      <c r="M187" s="843">
        <f t="shared" si="26"/>
        <v>-2.1492616033755407E-2</v>
      </c>
      <c r="N187" s="842">
        <v>61.85</v>
      </c>
      <c r="O187" s="843">
        <f t="shared" si="27"/>
        <v>-5.6270096463022501E-3</v>
      </c>
      <c r="P187" s="844">
        <f t="shared" si="33"/>
        <v>-4.3886038565729146E-3</v>
      </c>
      <c r="Q187" s="830"/>
      <c r="R187" s="845" t="s">
        <v>14</v>
      </c>
      <c r="S187" s="846" t="str">
        <f t="shared" si="28"/>
        <v>NA</v>
      </c>
      <c r="T187" s="845">
        <v>71.459999999999994</v>
      </c>
      <c r="U187" s="846">
        <f t="shared" si="29"/>
        <v>2.6659183387118812E-3</v>
      </c>
      <c r="V187" s="845">
        <v>122.1863</v>
      </c>
      <c r="W187" s="846">
        <f t="shared" si="30"/>
        <v>7.90826511454501E-3</v>
      </c>
      <c r="X187" s="845">
        <v>39558.11</v>
      </c>
      <c r="Y187" s="846">
        <f t="shared" si="31"/>
        <v>3.2106302801997444E-3</v>
      </c>
      <c r="Z187" s="845">
        <v>5246.6805000000004</v>
      </c>
      <c r="AA187" s="846">
        <f t="shared" si="32"/>
        <v>4.8387069590860587E-3</v>
      </c>
      <c r="AB187" s="843"/>
      <c r="AC187" s="832"/>
    </row>
    <row r="188" spans="1:29" ht="14.4" x14ac:dyDescent="0.55000000000000004">
      <c r="A188" s="841" t="s">
        <v>5347</v>
      </c>
      <c r="B188" s="842">
        <v>116.33</v>
      </c>
      <c r="C188" s="843">
        <f t="shared" si="23"/>
        <v>-7.2537975763783402E-3</v>
      </c>
      <c r="D188" s="842">
        <v>44.12</v>
      </c>
      <c r="E188" s="843">
        <f t="shared" si="24"/>
        <v>-4.7371982855853867E-3</v>
      </c>
      <c r="F188" s="842">
        <v>28.8</v>
      </c>
      <c r="G188" s="843">
        <f t="shared" si="24"/>
        <v>4.1841004184099972E-3</v>
      </c>
      <c r="H188" s="842">
        <v>38.479999999999997</v>
      </c>
      <c r="I188" s="843">
        <f t="shared" si="24"/>
        <v>-4.1407867494824835E-3</v>
      </c>
      <c r="J188" s="842">
        <v>63.81</v>
      </c>
      <c r="K188" s="843">
        <f t="shared" si="25"/>
        <v>-5.3000779423226785E-3</v>
      </c>
      <c r="L188" s="842">
        <v>75.84</v>
      </c>
      <c r="M188" s="843">
        <f t="shared" si="26"/>
        <v>-7.0699135899449095E-3</v>
      </c>
      <c r="N188" s="842">
        <v>62.2</v>
      </c>
      <c r="O188" s="843">
        <f t="shared" si="27"/>
        <v>5.1712992889463294E-3</v>
      </c>
      <c r="P188" s="844">
        <f t="shared" si="33"/>
        <v>-2.7351963480510672E-3</v>
      </c>
      <c r="Q188" s="830"/>
      <c r="R188" s="845">
        <v>941.01</v>
      </c>
      <c r="S188" s="846">
        <f t="shared" si="28"/>
        <v>-1.4219769724624909E-3</v>
      </c>
      <c r="T188" s="845">
        <v>71.27</v>
      </c>
      <c r="U188" s="846">
        <f t="shared" si="29"/>
        <v>0</v>
      </c>
      <c r="V188" s="845">
        <v>121.2276</v>
      </c>
      <c r="W188" s="846">
        <f t="shared" si="30"/>
        <v>-7.253913165958914E-3</v>
      </c>
      <c r="X188" s="845">
        <v>39431.51</v>
      </c>
      <c r="Y188" s="846">
        <f t="shared" si="31"/>
        <v>-2.0583182580647952E-3</v>
      </c>
      <c r="Z188" s="845">
        <v>5221.4156000000003</v>
      </c>
      <c r="AA188" s="846">
        <f t="shared" si="32"/>
        <v>-2.4121736533733174E-4</v>
      </c>
      <c r="AB188" s="843"/>
      <c r="AC188" s="832"/>
    </row>
    <row r="189" spans="1:29" ht="14.4" x14ac:dyDescent="0.55000000000000004">
      <c r="A189" s="841" t="s">
        <v>5348</v>
      </c>
      <c r="B189" s="842">
        <v>117.18</v>
      </c>
      <c r="C189" s="843">
        <f t="shared" si="23"/>
        <v>-2.097084134012861E-2</v>
      </c>
      <c r="D189" s="842">
        <v>44.33</v>
      </c>
      <c r="E189" s="843">
        <f t="shared" si="24"/>
        <v>0</v>
      </c>
      <c r="F189" s="842">
        <v>28.68</v>
      </c>
      <c r="G189" s="843">
        <f t="shared" si="24"/>
        <v>-7.6124567474048499E-3</v>
      </c>
      <c r="H189" s="842">
        <v>38.64</v>
      </c>
      <c r="I189" s="843">
        <f t="shared" si="24"/>
        <v>7.2992700729928028E-3</v>
      </c>
      <c r="J189" s="842">
        <v>64.150000000000006</v>
      </c>
      <c r="K189" s="843">
        <f t="shared" si="25"/>
        <v>-2.1776326022709958E-3</v>
      </c>
      <c r="L189" s="842">
        <v>76.38</v>
      </c>
      <c r="M189" s="843">
        <f t="shared" si="26"/>
        <v>-7.5363825363825576E-3</v>
      </c>
      <c r="N189" s="842">
        <v>61.88</v>
      </c>
      <c r="O189" s="843">
        <f t="shared" si="27"/>
        <v>3.4052213393871433E-3</v>
      </c>
      <c r="P189" s="844">
        <f t="shared" si="33"/>
        <v>-3.9418316876867242E-3</v>
      </c>
      <c r="Q189" s="830"/>
      <c r="R189" s="845">
        <v>942.35</v>
      </c>
      <c r="S189" s="846">
        <f t="shared" si="28"/>
        <v>-8.9059468399799169E-4</v>
      </c>
      <c r="T189" s="845">
        <v>71.27</v>
      </c>
      <c r="U189" s="846">
        <f t="shared" si="29"/>
        <v>-9.8121670871886835E-4</v>
      </c>
      <c r="V189" s="845">
        <v>122.1134</v>
      </c>
      <c r="W189" s="846">
        <f t="shared" si="30"/>
        <v>-2.0971048456214336E-2</v>
      </c>
      <c r="X189" s="845">
        <v>39512.839999999997</v>
      </c>
      <c r="Y189" s="846">
        <f t="shared" si="31"/>
        <v>3.1756058227223605E-3</v>
      </c>
      <c r="Z189" s="845">
        <v>5222.6754000000001</v>
      </c>
      <c r="AA189" s="846">
        <f t="shared" si="32"/>
        <v>1.6482289670429751E-3</v>
      </c>
      <c r="AB189" s="843"/>
      <c r="AC189" s="832"/>
    </row>
    <row r="190" spans="1:29" ht="14.4" x14ac:dyDescent="0.55000000000000004">
      <c r="A190" s="841" t="s">
        <v>5349</v>
      </c>
      <c r="B190" s="842">
        <v>119.69</v>
      </c>
      <c r="C190" s="843">
        <f t="shared" si="23"/>
        <v>-7.4633054150428091E-3</v>
      </c>
      <c r="D190" s="842">
        <v>44.33</v>
      </c>
      <c r="E190" s="843">
        <f t="shared" si="24"/>
        <v>3.1681375876895235E-3</v>
      </c>
      <c r="F190" s="842">
        <v>28.9</v>
      </c>
      <c r="G190" s="843">
        <f t="shared" si="24"/>
        <v>6.2674094707519945E-3</v>
      </c>
      <c r="H190" s="842">
        <v>38.36</v>
      </c>
      <c r="I190" s="843">
        <f t="shared" si="24"/>
        <v>-2.8593709383935018E-3</v>
      </c>
      <c r="J190" s="842">
        <v>64.290000000000006</v>
      </c>
      <c r="K190" s="843">
        <f t="shared" si="25"/>
        <v>3.120611639881421E-3</v>
      </c>
      <c r="L190" s="842">
        <v>76.959999999999994</v>
      </c>
      <c r="M190" s="843">
        <f t="shared" si="26"/>
        <v>1.5437392795883298E-2</v>
      </c>
      <c r="N190" s="842">
        <v>61.67</v>
      </c>
      <c r="O190" s="843">
        <f t="shared" si="27"/>
        <v>1.4615134784021766E-3</v>
      </c>
      <c r="P190" s="844">
        <f t="shared" si="33"/>
        <v>2.7331983741674432E-3</v>
      </c>
      <c r="Q190" s="830"/>
      <c r="R190" s="845">
        <v>943.19</v>
      </c>
      <c r="S190" s="846" t="str">
        <f t="shared" si="28"/>
        <v>NA</v>
      </c>
      <c r="T190" s="845">
        <v>71.34</v>
      </c>
      <c r="U190" s="846">
        <f t="shared" si="29"/>
        <v>1.5226981642237236E-2</v>
      </c>
      <c r="V190" s="845">
        <v>124.7291</v>
      </c>
      <c r="W190" s="846">
        <f t="shared" si="30"/>
        <v>-7.4625856132362056E-3</v>
      </c>
      <c r="X190" s="845">
        <v>39387.760000000002</v>
      </c>
      <c r="Y190" s="846">
        <f t="shared" si="31"/>
        <v>8.4843990957690352E-3</v>
      </c>
      <c r="Z190" s="845">
        <v>5214.0814</v>
      </c>
      <c r="AA190" s="846">
        <f t="shared" si="32"/>
        <v>5.0910517508369058E-3</v>
      </c>
      <c r="AB190" s="843"/>
      <c r="AC190" s="832"/>
    </row>
    <row r="191" spans="1:29" ht="14.4" x14ac:dyDescent="0.55000000000000004">
      <c r="A191" s="841" t="s">
        <v>5350</v>
      </c>
      <c r="B191" s="842">
        <v>120.59</v>
      </c>
      <c r="C191" s="843">
        <f t="shared" si="23"/>
        <v>2.0774472328402016E-3</v>
      </c>
      <c r="D191" s="842">
        <v>44.19</v>
      </c>
      <c r="E191" s="843">
        <f t="shared" si="24"/>
        <v>-1.4715719063545185E-2</v>
      </c>
      <c r="F191" s="842">
        <v>28.72</v>
      </c>
      <c r="G191" s="843">
        <f t="shared" si="24"/>
        <v>-1.135972461273671E-2</v>
      </c>
      <c r="H191" s="842">
        <v>38.47</v>
      </c>
      <c r="I191" s="843">
        <f t="shared" si="24"/>
        <v>2.6062027625750606E-3</v>
      </c>
      <c r="J191" s="842">
        <v>64.09</v>
      </c>
      <c r="K191" s="843">
        <f t="shared" si="25"/>
        <v>-1.1414468610211226E-2</v>
      </c>
      <c r="L191" s="842">
        <v>75.790000000000006</v>
      </c>
      <c r="M191" s="843">
        <f t="shared" si="26"/>
        <v>-6.5539389172892815E-3</v>
      </c>
      <c r="N191" s="842">
        <v>61.58</v>
      </c>
      <c r="O191" s="843">
        <f t="shared" si="27"/>
        <v>-3.7210807312733074E-3</v>
      </c>
      <c r="P191" s="844">
        <f t="shared" si="33"/>
        <v>-6.1544688485200639E-3</v>
      </c>
      <c r="Q191" s="830"/>
      <c r="R191" s="845" t="s">
        <v>14</v>
      </c>
      <c r="S191" s="846" t="str">
        <f t="shared" si="28"/>
        <v>NA</v>
      </c>
      <c r="T191" s="845">
        <v>70.27</v>
      </c>
      <c r="U191" s="846">
        <f t="shared" si="29"/>
        <v>1.0497555363819133E-2</v>
      </c>
      <c r="V191" s="845">
        <v>125.6669</v>
      </c>
      <c r="W191" s="846">
        <f t="shared" si="30"/>
        <v>2.0772464563212356E-3</v>
      </c>
      <c r="X191" s="845">
        <v>39056.39</v>
      </c>
      <c r="Y191" s="846">
        <f t="shared" si="31"/>
        <v>4.426726906979761E-3</v>
      </c>
      <c r="Z191" s="845">
        <v>5187.6706999999997</v>
      </c>
      <c r="AA191" s="846">
        <f t="shared" si="32"/>
        <v>-5.2431734701707811E-6</v>
      </c>
      <c r="AB191" s="843"/>
      <c r="AC191" s="832"/>
    </row>
    <row r="192" spans="1:29" ht="14.4" x14ac:dyDescent="0.55000000000000004">
      <c r="A192" s="841" t="s">
        <v>5351</v>
      </c>
      <c r="B192" s="842">
        <v>120.34</v>
      </c>
      <c r="C192" s="843">
        <f t="shared" si="23"/>
        <v>7.4508162411051071E-3</v>
      </c>
      <c r="D192" s="842">
        <v>44.85</v>
      </c>
      <c r="E192" s="843">
        <f t="shared" si="24"/>
        <v>2.2346368715084886E-3</v>
      </c>
      <c r="F192" s="842">
        <v>29.05</v>
      </c>
      <c r="G192" s="843">
        <f t="shared" si="24"/>
        <v>1.0083449235048558E-2</v>
      </c>
      <c r="H192" s="842">
        <v>38.369999999999997</v>
      </c>
      <c r="I192" s="843">
        <f t="shared" si="24"/>
        <v>1.3470681458003009E-2</v>
      </c>
      <c r="J192" s="842">
        <v>64.83</v>
      </c>
      <c r="K192" s="843">
        <f t="shared" si="25"/>
        <v>-3.9944691964972634E-3</v>
      </c>
      <c r="L192" s="842">
        <v>76.290000000000006</v>
      </c>
      <c r="M192" s="843">
        <f t="shared" si="26"/>
        <v>6.9957761351637782E-3</v>
      </c>
      <c r="N192" s="842">
        <v>61.81</v>
      </c>
      <c r="O192" s="843">
        <f t="shared" si="27"/>
        <v>1.0462645087461198E-2</v>
      </c>
      <c r="P192" s="844">
        <f t="shared" si="33"/>
        <v>6.6719336902561254E-3</v>
      </c>
      <c r="Q192" s="830"/>
      <c r="R192" s="845">
        <v>929.86</v>
      </c>
      <c r="S192" s="846">
        <f t="shared" si="28"/>
        <v>1.253334785212612E-2</v>
      </c>
      <c r="T192" s="845">
        <v>69.540000000000006</v>
      </c>
      <c r="U192" s="846">
        <f t="shared" si="29"/>
        <v>1.1343804537521818E-2</v>
      </c>
      <c r="V192" s="845">
        <v>125.4064</v>
      </c>
      <c r="W192" s="846">
        <f t="shared" si="30"/>
        <v>7.4510619872123485E-3</v>
      </c>
      <c r="X192" s="845">
        <v>38884.26</v>
      </c>
      <c r="Y192" s="846">
        <f t="shared" si="31"/>
        <v>8.2337531372056461E-4</v>
      </c>
      <c r="Z192" s="845">
        <v>5187.6979000000001</v>
      </c>
      <c r="AA192" s="846">
        <f t="shared" si="32"/>
        <v>1.3428967792192825E-3</v>
      </c>
      <c r="AB192" s="843"/>
      <c r="AC192" s="832"/>
    </row>
    <row r="193" spans="1:29" ht="14.4" x14ac:dyDescent="0.55000000000000004">
      <c r="A193" s="841" t="s">
        <v>5352</v>
      </c>
      <c r="B193" s="842">
        <v>119.45</v>
      </c>
      <c r="C193" s="843">
        <f t="shared" si="23"/>
        <v>1.0895072075092216E-3</v>
      </c>
      <c r="D193" s="842">
        <v>44.75</v>
      </c>
      <c r="E193" s="843">
        <f t="shared" si="24"/>
        <v>1.1185682326622093E-3</v>
      </c>
      <c r="F193" s="842">
        <v>28.76</v>
      </c>
      <c r="G193" s="843">
        <f t="shared" si="24"/>
        <v>7.7084793272601537E-3</v>
      </c>
      <c r="H193" s="842">
        <v>37.86</v>
      </c>
      <c r="I193" s="843">
        <f t="shared" si="24"/>
        <v>-1.9932694796790162E-2</v>
      </c>
      <c r="J193" s="842">
        <v>65.09</v>
      </c>
      <c r="K193" s="843">
        <f t="shared" si="25"/>
        <v>-5.5003819709702473E-3</v>
      </c>
      <c r="L193" s="842">
        <v>75.760000000000005</v>
      </c>
      <c r="M193" s="843">
        <f t="shared" si="26"/>
        <v>8.3854651936643432E-3</v>
      </c>
      <c r="N193" s="842">
        <v>61.17</v>
      </c>
      <c r="O193" s="843">
        <f t="shared" si="27"/>
        <v>-2.2834774098842159E-3</v>
      </c>
      <c r="P193" s="844">
        <f t="shared" si="33"/>
        <v>-1.3449334595069568E-3</v>
      </c>
      <c r="Q193" s="830"/>
      <c r="R193" s="845">
        <v>918.35</v>
      </c>
      <c r="S193" s="846">
        <f t="shared" si="28"/>
        <v>4.4186326300708068E-3</v>
      </c>
      <c r="T193" s="845">
        <v>68.760000000000005</v>
      </c>
      <c r="U193" s="846">
        <f t="shared" si="29"/>
        <v>5.1162110802516203E-3</v>
      </c>
      <c r="V193" s="845">
        <v>124.4789</v>
      </c>
      <c r="W193" s="846">
        <f t="shared" si="30"/>
        <v>1.0889190026015516E-3</v>
      </c>
      <c r="X193" s="845">
        <v>38852.269999999997</v>
      </c>
      <c r="Y193" s="846">
        <f t="shared" si="31"/>
        <v>4.5659184272905939E-3</v>
      </c>
      <c r="Z193" s="845">
        <v>5180.7407000000003</v>
      </c>
      <c r="AA193" s="846">
        <f t="shared" si="32"/>
        <v>1.0326892308661906E-2</v>
      </c>
      <c r="AB193" s="843"/>
      <c r="AC193" s="832"/>
    </row>
    <row r="194" spans="1:29" ht="14.4" x14ac:dyDescent="0.55000000000000004">
      <c r="A194" s="841" t="s">
        <v>5353</v>
      </c>
      <c r="B194" s="842">
        <v>119.32</v>
      </c>
      <c r="C194" s="843">
        <f t="shared" si="23"/>
        <v>2.2679546409072326E-3</v>
      </c>
      <c r="D194" s="842">
        <v>44.7</v>
      </c>
      <c r="E194" s="843">
        <f t="shared" si="24"/>
        <v>3.3670033670034627E-3</v>
      </c>
      <c r="F194" s="842">
        <v>28.54</v>
      </c>
      <c r="G194" s="843">
        <f t="shared" si="24"/>
        <v>1.4035087719297401E-3</v>
      </c>
      <c r="H194" s="842">
        <v>38.630000000000003</v>
      </c>
      <c r="I194" s="843">
        <f t="shared" si="24"/>
        <v>-4.1247744263984698E-3</v>
      </c>
      <c r="J194" s="842">
        <v>65.45</v>
      </c>
      <c r="K194" s="843">
        <f t="shared" si="25"/>
        <v>-6.5270188221007164E-3</v>
      </c>
      <c r="L194" s="842">
        <v>75.13</v>
      </c>
      <c r="M194" s="843">
        <f t="shared" si="26"/>
        <v>-2.6549847338378507E-3</v>
      </c>
      <c r="N194" s="842">
        <v>61.31</v>
      </c>
      <c r="O194" s="843">
        <f t="shared" si="27"/>
        <v>-5.9987029831387595E-3</v>
      </c>
      <c r="P194" s="844">
        <f t="shared" si="33"/>
        <v>-1.7524305979479088E-3</v>
      </c>
      <c r="Q194" s="830"/>
      <c r="R194" s="845">
        <v>914.31</v>
      </c>
      <c r="S194" s="846">
        <f t="shared" si="28"/>
        <v>6.8495413450206932E-3</v>
      </c>
      <c r="T194" s="845">
        <v>68.41</v>
      </c>
      <c r="U194" s="846">
        <f t="shared" si="29"/>
        <v>7.9563872108441291E-3</v>
      </c>
      <c r="V194" s="845">
        <v>124.34350000000001</v>
      </c>
      <c r="W194" s="846">
        <f t="shared" si="30"/>
        <v>2.2682189000509112E-3</v>
      </c>
      <c r="X194" s="845">
        <v>38675.68</v>
      </c>
      <c r="Y194" s="846">
        <f t="shared" si="31"/>
        <v>1.1772720209408893E-2</v>
      </c>
      <c r="Z194" s="845">
        <v>5127.7866000000004</v>
      </c>
      <c r="AA194" s="846">
        <f t="shared" si="32"/>
        <v>1.2557039417496307E-2</v>
      </c>
      <c r="AB194" s="843"/>
      <c r="AC194" s="832"/>
    </row>
    <row r="195" spans="1:29" ht="14.4" x14ac:dyDescent="0.55000000000000004">
      <c r="A195" s="841" t="s">
        <v>5354</v>
      </c>
      <c r="B195" s="842">
        <v>119.05</v>
      </c>
      <c r="C195" s="843">
        <f t="shared" si="23"/>
        <v>3.2867015000843658E-3</v>
      </c>
      <c r="D195" s="842">
        <v>44.55</v>
      </c>
      <c r="E195" s="843">
        <f t="shared" si="24"/>
        <v>1.0891763104152519E-2</v>
      </c>
      <c r="F195" s="842">
        <v>28.5</v>
      </c>
      <c r="G195" s="843">
        <f t="shared" si="24"/>
        <v>1.4234875444839812E-2</v>
      </c>
      <c r="H195" s="842">
        <v>38.79</v>
      </c>
      <c r="I195" s="843">
        <f t="shared" si="24"/>
        <v>1.6243122871364868E-2</v>
      </c>
      <c r="J195" s="842">
        <v>65.88</v>
      </c>
      <c r="K195" s="843">
        <f t="shared" si="25"/>
        <v>1.2759415833973886E-2</v>
      </c>
      <c r="L195" s="842">
        <v>75.33</v>
      </c>
      <c r="M195" s="843">
        <f t="shared" si="26"/>
        <v>9.6501809408926498E-3</v>
      </c>
      <c r="N195" s="842">
        <v>61.68</v>
      </c>
      <c r="O195" s="843">
        <f t="shared" si="27"/>
        <v>-3.5541195476574972E-3</v>
      </c>
      <c r="P195" s="844">
        <f t="shared" si="33"/>
        <v>9.073134306807229E-3</v>
      </c>
      <c r="Q195" s="830"/>
      <c r="R195" s="845">
        <v>908.09</v>
      </c>
      <c r="S195" s="846">
        <f t="shared" si="28"/>
        <v>4.9801347956484054E-3</v>
      </c>
      <c r="T195" s="845">
        <v>67.87</v>
      </c>
      <c r="U195" s="846">
        <f t="shared" si="29"/>
        <v>5.3325433269144629E-3</v>
      </c>
      <c r="V195" s="845">
        <v>124.0621</v>
      </c>
      <c r="W195" s="846">
        <f t="shared" si="30"/>
        <v>3.2865448175862788E-3</v>
      </c>
      <c r="X195" s="845">
        <v>38225.660000000003</v>
      </c>
      <c r="Y195" s="846">
        <f t="shared" si="31"/>
        <v>8.5050664467385406E-3</v>
      </c>
      <c r="Z195" s="845">
        <v>5064.1953000000003</v>
      </c>
      <c r="AA195" s="846">
        <f t="shared" si="32"/>
        <v>9.1284945256293604E-3</v>
      </c>
      <c r="AB195" s="843"/>
      <c r="AC195" s="832"/>
    </row>
    <row r="196" spans="1:29" ht="14.4" x14ac:dyDescent="0.55000000000000004">
      <c r="A196" s="841" t="s">
        <v>5355</v>
      </c>
      <c r="B196" s="842">
        <v>118.66</v>
      </c>
      <c r="C196" s="843">
        <f t="shared" si="23"/>
        <v>6.446140797285782E-3</v>
      </c>
      <c r="D196" s="842">
        <v>44.07</v>
      </c>
      <c r="E196" s="843">
        <f t="shared" si="24"/>
        <v>8.6976424811169295E-3</v>
      </c>
      <c r="F196" s="842">
        <v>28.1</v>
      </c>
      <c r="G196" s="843">
        <f t="shared" si="24"/>
        <v>8.6145010768126085E-3</v>
      </c>
      <c r="H196" s="842">
        <v>38.17</v>
      </c>
      <c r="I196" s="843">
        <f t="shared" si="24"/>
        <v>5.2424639580617161E-4</v>
      </c>
      <c r="J196" s="842">
        <v>65.05</v>
      </c>
      <c r="K196" s="843">
        <f t="shared" si="25"/>
        <v>8.2145071295722794E-3</v>
      </c>
      <c r="L196" s="842">
        <v>74.61</v>
      </c>
      <c r="M196" s="843">
        <f t="shared" si="26"/>
        <v>-1.3401232913434757E-4</v>
      </c>
      <c r="N196" s="842">
        <v>61.9</v>
      </c>
      <c r="O196" s="843">
        <f t="shared" si="27"/>
        <v>1.7802233371095877E-3</v>
      </c>
      <c r="P196" s="844">
        <f t="shared" si="33"/>
        <v>4.8776069840812874E-3</v>
      </c>
      <c r="Q196" s="830"/>
      <c r="R196" s="845">
        <v>903.59</v>
      </c>
      <c r="S196" s="846">
        <f t="shared" si="28"/>
        <v>1.1824910697288971E-2</v>
      </c>
      <c r="T196" s="845">
        <v>67.510000000000005</v>
      </c>
      <c r="U196" s="846">
        <f t="shared" si="29"/>
        <v>1.1537308960144044E-2</v>
      </c>
      <c r="V196" s="845">
        <v>123.6557</v>
      </c>
      <c r="W196" s="846">
        <f t="shared" si="30"/>
        <v>6.446167582451201E-3</v>
      </c>
      <c r="X196" s="845">
        <v>37903.29</v>
      </c>
      <c r="Y196" s="846">
        <f t="shared" si="31"/>
        <v>2.3104026029250324E-3</v>
      </c>
      <c r="Z196" s="845">
        <v>5018.3850000000002</v>
      </c>
      <c r="AA196" s="846">
        <f t="shared" si="32"/>
        <v>-3.436806903806322E-3</v>
      </c>
      <c r="AB196" s="843"/>
      <c r="AC196" s="832"/>
    </row>
    <row r="197" spans="1:29" ht="14.4" x14ac:dyDescent="0.55000000000000004">
      <c r="A197" s="841" t="s">
        <v>5356</v>
      </c>
      <c r="B197" s="842">
        <v>117.9</v>
      </c>
      <c r="C197" s="843">
        <f t="shared" si="23"/>
        <v>-6.2373567093728655E-3</v>
      </c>
      <c r="D197" s="842">
        <v>43.69</v>
      </c>
      <c r="E197" s="843">
        <f t="shared" si="24"/>
        <v>4.8298068077277101E-3</v>
      </c>
      <c r="F197" s="842">
        <v>27.86</v>
      </c>
      <c r="G197" s="843">
        <f t="shared" si="24"/>
        <v>-1.4336917562723928E-3</v>
      </c>
      <c r="H197" s="842">
        <v>38.15</v>
      </c>
      <c r="I197" s="843">
        <f t="shared" si="24"/>
        <v>-2.0925974365680888E-3</v>
      </c>
      <c r="J197" s="842">
        <v>64.52</v>
      </c>
      <c r="K197" s="843">
        <f t="shared" si="25"/>
        <v>-1.5475085112969245E-3</v>
      </c>
      <c r="L197" s="842">
        <v>74.62</v>
      </c>
      <c r="M197" s="843">
        <f t="shared" si="26"/>
        <v>-1.3399437223626798E-4</v>
      </c>
      <c r="N197" s="842">
        <v>61.79</v>
      </c>
      <c r="O197" s="843">
        <f t="shared" si="27"/>
        <v>2.9216036357733177E-3</v>
      </c>
      <c r="P197" s="844">
        <f t="shared" si="33"/>
        <v>-5.2767690603507307E-4</v>
      </c>
      <c r="Q197" s="830"/>
      <c r="R197" s="845">
        <v>893.03</v>
      </c>
      <c r="S197" s="846">
        <f t="shared" si="28"/>
        <v>-4.3370646211479125E-3</v>
      </c>
      <c r="T197" s="845">
        <v>66.739999999999995</v>
      </c>
      <c r="U197" s="846">
        <f t="shared" si="29"/>
        <v>-5.2168728573559475E-3</v>
      </c>
      <c r="V197" s="845">
        <v>122.86369999999999</v>
      </c>
      <c r="W197" s="846">
        <f t="shared" si="30"/>
        <v>-6.2369171139518009E-3</v>
      </c>
      <c r="X197" s="845">
        <v>37815.919999999998</v>
      </c>
      <c r="Y197" s="846">
        <f t="shared" si="31"/>
        <v>-1.4853557629860181E-2</v>
      </c>
      <c r="Z197" s="845">
        <v>5035.6917000000003</v>
      </c>
      <c r="AA197" s="846">
        <f t="shared" si="32"/>
        <v>-1.5729723162313802E-2</v>
      </c>
      <c r="AB197" s="843"/>
      <c r="AC197" s="832"/>
    </row>
    <row r="198" spans="1:29" ht="14.4" x14ac:dyDescent="0.55000000000000004">
      <c r="A198" s="841" t="s">
        <v>5357</v>
      </c>
      <c r="B198" s="842">
        <v>118.64</v>
      </c>
      <c r="C198" s="843">
        <f t="shared" si="23"/>
        <v>1.4624134097323216E-2</v>
      </c>
      <c r="D198" s="842">
        <v>43.48</v>
      </c>
      <c r="E198" s="843">
        <f t="shared" si="24"/>
        <v>3.2302722658050786E-3</v>
      </c>
      <c r="F198" s="842">
        <v>27.9</v>
      </c>
      <c r="G198" s="843">
        <f t="shared" si="24"/>
        <v>-1.4316392269149159E-3</v>
      </c>
      <c r="H198" s="842">
        <v>38.229999999999997</v>
      </c>
      <c r="I198" s="843">
        <f t="shared" si="24"/>
        <v>-2.3486430062631403E-3</v>
      </c>
      <c r="J198" s="842">
        <v>64.62</v>
      </c>
      <c r="K198" s="843">
        <f t="shared" si="25"/>
        <v>1.0476935105551144E-2</v>
      </c>
      <c r="L198" s="842">
        <v>74.63</v>
      </c>
      <c r="M198" s="843">
        <f t="shared" si="26"/>
        <v>-4.9333333333333451E-3</v>
      </c>
      <c r="N198" s="842">
        <v>61.61</v>
      </c>
      <c r="O198" s="843">
        <f t="shared" si="27"/>
        <v>3.4201954397394818E-3</v>
      </c>
      <c r="P198" s="844">
        <f t="shared" si="33"/>
        <v>3.2911316202725027E-3</v>
      </c>
      <c r="Q198" s="830"/>
      <c r="R198" s="845">
        <v>896.92</v>
      </c>
      <c r="S198" s="846">
        <f t="shared" si="28"/>
        <v>1.4328527000282643E-2</v>
      </c>
      <c r="T198" s="845">
        <v>67.09</v>
      </c>
      <c r="U198" s="846">
        <f t="shared" si="29"/>
        <v>1.3597220123885867E-2</v>
      </c>
      <c r="V198" s="845">
        <v>123.6348</v>
      </c>
      <c r="W198" s="846">
        <f t="shared" si="30"/>
        <v>1.4623369653081753E-2</v>
      </c>
      <c r="X198" s="845">
        <v>38386.089999999997</v>
      </c>
      <c r="Y198" s="846">
        <f t="shared" si="31"/>
        <v>3.8292704485340945E-3</v>
      </c>
      <c r="Z198" s="845">
        <v>5116.1675999999998</v>
      </c>
      <c r="AA198" s="846">
        <f t="shared" si="32"/>
        <v>3.177493952161381E-3</v>
      </c>
      <c r="AB198" s="843"/>
      <c r="AC198" s="832"/>
    </row>
    <row r="199" spans="1:29" ht="14.4" x14ac:dyDescent="0.55000000000000004">
      <c r="A199" s="857" t="s">
        <v>5358</v>
      </c>
      <c r="B199" s="842">
        <v>116.93</v>
      </c>
      <c r="C199" s="843">
        <f t="shared" si="23"/>
        <v>-1.0493357028010464E-2</v>
      </c>
      <c r="D199" s="842">
        <v>43.34</v>
      </c>
      <c r="E199" s="843">
        <f t="shared" si="24"/>
        <v>9.237875288685693E-4</v>
      </c>
      <c r="F199" s="842">
        <v>27.94</v>
      </c>
      <c r="G199" s="843">
        <f t="shared" si="24"/>
        <v>-5.6939501779359469E-3</v>
      </c>
      <c r="H199" s="842">
        <v>38.32</v>
      </c>
      <c r="I199" s="843">
        <f t="shared" si="24"/>
        <v>-8.7946197620278888E-3</v>
      </c>
      <c r="J199" s="842">
        <v>63.95</v>
      </c>
      <c r="K199" s="843">
        <f t="shared" si="25"/>
        <v>-9.1416176014874617E-3</v>
      </c>
      <c r="L199" s="842">
        <v>75</v>
      </c>
      <c r="M199" s="843">
        <f t="shared" si="26"/>
        <v>-1.2508229098090906E-2</v>
      </c>
      <c r="N199" s="842">
        <v>61.4</v>
      </c>
      <c r="O199" s="843">
        <f t="shared" si="27"/>
        <v>-5.6680161943319929E-3</v>
      </c>
      <c r="P199" s="844">
        <f t="shared" si="33"/>
        <v>-7.339428904716584E-3</v>
      </c>
      <c r="Q199" s="830"/>
      <c r="R199" s="845">
        <v>884.25</v>
      </c>
      <c r="S199" s="846">
        <f t="shared" si="28"/>
        <v>-1.1547318294618747E-2</v>
      </c>
      <c r="T199" s="845">
        <v>66.19</v>
      </c>
      <c r="U199" s="846">
        <f t="shared" si="29"/>
        <v>-1.090854751942627E-2</v>
      </c>
      <c r="V199" s="845">
        <v>121.85290000000001</v>
      </c>
      <c r="W199" s="846">
        <f t="shared" si="30"/>
        <v>-1.0493312360784102E-2</v>
      </c>
      <c r="X199" s="845">
        <v>38239.660000000003</v>
      </c>
      <c r="Y199" s="846">
        <f t="shared" si="31"/>
        <v>4.0398258668585818E-3</v>
      </c>
      <c r="Z199" s="845">
        <v>5099.9624999999996</v>
      </c>
      <c r="AA199" s="846">
        <f t="shared" si="32"/>
        <v>1.0210490392065008E-2</v>
      </c>
      <c r="AB199" s="843"/>
      <c r="AC199" s="832"/>
    </row>
    <row r="200" spans="1:29" ht="14.4" x14ac:dyDescent="0.55000000000000004">
      <c r="A200" s="857" t="s">
        <v>5359</v>
      </c>
      <c r="B200" s="842">
        <v>118.17</v>
      </c>
      <c r="C200" s="843">
        <f t="shared" ref="C200:C263" si="34">IFERROR(((B200/B201)-1), "NA")</f>
        <v>-4.1294454744648101E-3</v>
      </c>
      <c r="D200" s="842">
        <v>43.3</v>
      </c>
      <c r="E200" s="843">
        <f t="shared" ref="E200:I263" si="35">IFERROR(((D200/D201)-1), "NA")</f>
        <v>-9.1533180778032852E-3</v>
      </c>
      <c r="F200" s="842">
        <v>28.1</v>
      </c>
      <c r="G200" s="843">
        <f t="shared" si="35"/>
        <v>-2.8388928317955031E-3</v>
      </c>
      <c r="H200" s="842">
        <v>38.659999999999997</v>
      </c>
      <c r="I200" s="843">
        <f t="shared" si="35"/>
        <v>2.0736132711249855E-3</v>
      </c>
      <c r="J200" s="842">
        <v>64.540000000000006</v>
      </c>
      <c r="K200" s="843">
        <f t="shared" ref="K200:K263" si="36">IFERROR(((J200/J201)-1), "NA")</f>
        <v>-6.0064685045433386E-3</v>
      </c>
      <c r="L200" s="842">
        <v>75.95</v>
      </c>
      <c r="M200" s="843">
        <f t="shared" ref="M200:M263" si="37">IFERROR(((L200/L201)-1), "NA")</f>
        <v>9.302325581395321E-3</v>
      </c>
      <c r="N200" s="842">
        <v>61.75</v>
      </c>
      <c r="O200" s="843">
        <f t="shared" ref="O200:O263" si="38">IFERROR(((N200/N201)-1), "NA")</f>
        <v>-4.8348106365833088E-3</v>
      </c>
      <c r="P200" s="844">
        <f t="shared" si="33"/>
        <v>-2.2267138103814199E-3</v>
      </c>
      <c r="Q200" s="844"/>
      <c r="R200" s="845">
        <v>894.58</v>
      </c>
      <c r="S200" s="846">
        <f t="shared" ref="S200:S263" si="39">IFERROR(((R200/R201)-1), "NA")</f>
        <v>2.0498459815179171E-3</v>
      </c>
      <c r="T200" s="845">
        <v>66.92</v>
      </c>
      <c r="U200" s="846">
        <f t="shared" ref="U200:U263" si="40">IFERROR(((T200/T201)-1), "NA")</f>
        <v>2.6970332634104199E-3</v>
      </c>
      <c r="V200" s="845">
        <v>123.1451</v>
      </c>
      <c r="W200" s="846">
        <f t="shared" ref="W200:W263" si="41">IFERROR(((V200/V201)-1), "NA")</f>
        <v>-4.1292071453236101E-3</v>
      </c>
      <c r="X200" s="845">
        <v>38085.800000000003</v>
      </c>
      <c r="Y200" s="846">
        <f t="shared" ref="Y200:Y263" si="42">IFERROR(((X200/X201)-1), "NA")</f>
        <v>-9.7532768326913377E-3</v>
      </c>
      <c r="Z200" s="845">
        <v>5048.4156999999996</v>
      </c>
      <c r="AA200" s="846">
        <f t="shared" ref="AA200:AA263" si="43">IFERROR(((Z200/Z201)-1), "NA")</f>
        <v>-4.5769913943815022E-3</v>
      </c>
      <c r="AB200" s="843"/>
      <c r="AC200" s="832"/>
    </row>
    <row r="201" spans="1:29" ht="14.4" x14ac:dyDescent="0.55000000000000004">
      <c r="A201" s="857" t="s">
        <v>5360</v>
      </c>
      <c r="B201" s="842">
        <v>118.66</v>
      </c>
      <c r="C201" s="843">
        <f t="shared" si="34"/>
        <v>8.4133593949180518E-3</v>
      </c>
      <c r="D201" s="842">
        <v>43.7</v>
      </c>
      <c r="E201" s="843">
        <f t="shared" si="35"/>
        <v>5.9852670349909154E-3</v>
      </c>
      <c r="F201" s="842">
        <v>28.18</v>
      </c>
      <c r="G201" s="843">
        <f t="shared" si="35"/>
        <v>8.9509488005727889E-3</v>
      </c>
      <c r="H201" s="842">
        <v>38.58</v>
      </c>
      <c r="I201" s="843">
        <f t="shared" si="35"/>
        <v>7.0477682067344727E-3</v>
      </c>
      <c r="J201" s="842">
        <v>64.930000000000007</v>
      </c>
      <c r="K201" s="843">
        <f t="shared" si="36"/>
        <v>6.5106185087584478E-3</v>
      </c>
      <c r="L201" s="842">
        <v>75.25</v>
      </c>
      <c r="M201" s="843">
        <f t="shared" si="37"/>
        <v>9.3896713615024829E-3</v>
      </c>
      <c r="N201" s="842">
        <v>62.05</v>
      </c>
      <c r="O201" s="843">
        <f t="shared" si="38"/>
        <v>1.4386136995259147E-2</v>
      </c>
      <c r="P201" s="844">
        <f t="shared" ref="P201:P264" si="44">IFERROR(AVERAGE(C201,E201,G201,I201,M201,K201,O201),"NA")</f>
        <v>8.669110043248043E-3</v>
      </c>
      <c r="Q201" s="830"/>
      <c r="R201" s="845">
        <v>892.75</v>
      </c>
      <c r="S201" s="846">
        <f t="shared" si="39"/>
        <v>7.66400288952096E-3</v>
      </c>
      <c r="T201" s="845">
        <v>66.739999999999995</v>
      </c>
      <c r="U201" s="846">
        <f t="shared" si="40"/>
        <v>6.0295447693696769E-3</v>
      </c>
      <c r="V201" s="845">
        <v>123.6557</v>
      </c>
      <c r="W201" s="846">
        <f t="shared" si="41"/>
        <v>8.413524269311079E-3</v>
      </c>
      <c r="X201" s="845">
        <v>38460.92</v>
      </c>
      <c r="Y201" s="846">
        <f t="shared" si="42"/>
        <v>-1.1108026269690541E-3</v>
      </c>
      <c r="Z201" s="845">
        <v>5071.6284999999998</v>
      </c>
      <c r="AA201" s="846">
        <f t="shared" si="43"/>
        <v>2.1246210865588644E-4</v>
      </c>
      <c r="AB201" s="843"/>
      <c r="AC201" s="832"/>
    </row>
    <row r="202" spans="1:29" ht="14.4" x14ac:dyDescent="0.55000000000000004">
      <c r="A202" s="857" t="s">
        <v>5361</v>
      </c>
      <c r="B202" s="842">
        <v>117.67</v>
      </c>
      <c r="C202" s="843">
        <f t="shared" si="34"/>
        <v>-3.4722222222222099E-3</v>
      </c>
      <c r="D202" s="842">
        <v>43.44</v>
      </c>
      <c r="E202" s="843">
        <f t="shared" si="35"/>
        <v>-2.0675396278428959E-3</v>
      </c>
      <c r="F202" s="842">
        <v>27.93</v>
      </c>
      <c r="G202" s="843">
        <f t="shared" si="35"/>
        <v>7.1658903618776471E-4</v>
      </c>
      <c r="H202" s="842">
        <v>38.31</v>
      </c>
      <c r="I202" s="843">
        <f t="shared" si="35"/>
        <v>8.1578947368421417E-3</v>
      </c>
      <c r="J202" s="842">
        <v>64.510000000000005</v>
      </c>
      <c r="K202" s="843">
        <f t="shared" si="36"/>
        <v>-2.011138613861263E-3</v>
      </c>
      <c r="L202" s="842">
        <v>74.55</v>
      </c>
      <c r="M202" s="843">
        <f t="shared" si="37"/>
        <v>4.0404040404040664E-3</v>
      </c>
      <c r="N202" s="842">
        <v>61.17</v>
      </c>
      <c r="O202" s="843">
        <f t="shared" si="38"/>
        <v>-3.4213098729227731E-3</v>
      </c>
      <c r="P202" s="844">
        <f t="shared" si="44"/>
        <v>2.7752535379783297E-4</v>
      </c>
      <c r="Q202" s="830"/>
      <c r="R202" s="845">
        <v>885.96</v>
      </c>
      <c r="S202" s="846">
        <f t="shared" si="39"/>
        <v>2.97736972592344E-3</v>
      </c>
      <c r="T202" s="845">
        <v>66.34</v>
      </c>
      <c r="U202" s="846">
        <f t="shared" si="40"/>
        <v>4.6948356807512415E-3</v>
      </c>
      <c r="V202" s="845">
        <v>122.624</v>
      </c>
      <c r="W202" s="846">
        <f t="shared" si="41"/>
        <v>-3.4725354384715912E-3</v>
      </c>
      <c r="X202" s="845">
        <v>38503.69</v>
      </c>
      <c r="Y202" s="846">
        <f t="shared" si="42"/>
        <v>6.8961856151599221E-3</v>
      </c>
      <c r="Z202" s="845">
        <v>5070.5511999999999</v>
      </c>
      <c r="AA202" s="846">
        <f t="shared" si="43"/>
        <v>1.1963945428861145E-2</v>
      </c>
      <c r="AB202" s="843"/>
      <c r="AC202" s="832"/>
    </row>
    <row r="203" spans="1:29" ht="14.4" x14ac:dyDescent="0.55000000000000004">
      <c r="A203" s="857" t="s">
        <v>5362</v>
      </c>
      <c r="B203" s="842">
        <v>118.08</v>
      </c>
      <c r="C203" s="843">
        <f t="shared" si="34"/>
        <v>7.5085324232082584E-3</v>
      </c>
      <c r="D203" s="842">
        <v>43.53</v>
      </c>
      <c r="E203" s="843">
        <f t="shared" si="35"/>
        <v>3.9206642066420549E-3</v>
      </c>
      <c r="F203" s="842">
        <v>27.91</v>
      </c>
      <c r="G203" s="843">
        <f t="shared" si="35"/>
        <v>1.1965192168237992E-2</v>
      </c>
      <c r="H203" s="842">
        <v>38</v>
      </c>
      <c r="I203" s="843">
        <f t="shared" si="35"/>
        <v>8.4925690021231404E-3</v>
      </c>
      <c r="J203" s="842">
        <v>64.64</v>
      </c>
      <c r="K203" s="843">
        <f t="shared" si="36"/>
        <v>3.8825904643577935E-3</v>
      </c>
      <c r="L203" s="842">
        <v>74.25</v>
      </c>
      <c r="M203" s="843">
        <f t="shared" si="37"/>
        <v>1.0479041916167553E-2</v>
      </c>
      <c r="N203" s="842">
        <v>61.38</v>
      </c>
      <c r="O203" s="843">
        <f t="shared" si="38"/>
        <v>7.7163027417501695E-3</v>
      </c>
      <c r="P203" s="844">
        <f t="shared" si="44"/>
        <v>7.7092704174981375E-3</v>
      </c>
      <c r="Q203" s="830"/>
      <c r="R203" s="845">
        <v>883.33</v>
      </c>
      <c r="S203" s="846">
        <f t="shared" si="39"/>
        <v>8.816710636013747E-3</v>
      </c>
      <c r="T203" s="845">
        <v>66.03</v>
      </c>
      <c r="U203" s="846">
        <f t="shared" si="40"/>
        <v>9.1701054562125517E-3</v>
      </c>
      <c r="V203" s="845">
        <v>123.0513</v>
      </c>
      <c r="W203" s="846">
        <f t="shared" si="41"/>
        <v>7.5089532661611891E-3</v>
      </c>
      <c r="X203" s="845">
        <v>38239.980000000003</v>
      </c>
      <c r="Y203" s="846">
        <f t="shared" si="42"/>
        <v>6.6755470378871973E-3</v>
      </c>
      <c r="Z203" s="845">
        <v>5010.6045999999997</v>
      </c>
      <c r="AA203" s="846">
        <f t="shared" si="43"/>
        <v>8.7311554361964028E-3</v>
      </c>
      <c r="AB203" s="843"/>
      <c r="AC203" s="832"/>
    </row>
    <row r="204" spans="1:29" ht="14.4" x14ac:dyDescent="0.55000000000000004">
      <c r="A204" s="857" t="s">
        <v>5363</v>
      </c>
      <c r="B204" s="842">
        <v>117.2</v>
      </c>
      <c r="C204" s="843">
        <f t="shared" si="34"/>
        <v>2.295539844636485E-2</v>
      </c>
      <c r="D204" s="842">
        <v>43.36</v>
      </c>
      <c r="E204" s="843">
        <f t="shared" si="35"/>
        <v>2.7731689973927498E-2</v>
      </c>
      <c r="F204" s="842">
        <v>27.58</v>
      </c>
      <c r="G204" s="843">
        <f t="shared" si="35"/>
        <v>6.5693430656934559E-3</v>
      </c>
      <c r="H204" s="842">
        <v>37.68</v>
      </c>
      <c r="I204" s="843">
        <f t="shared" si="35"/>
        <v>2.9789559989067849E-2</v>
      </c>
      <c r="J204" s="842">
        <v>64.39</v>
      </c>
      <c r="K204" s="843">
        <f t="shared" si="36"/>
        <v>3.3713276609407705E-2</v>
      </c>
      <c r="L204" s="842">
        <v>73.48</v>
      </c>
      <c r="M204" s="843">
        <f t="shared" si="37"/>
        <v>4.0994807324405969E-3</v>
      </c>
      <c r="N204" s="842">
        <v>60.91</v>
      </c>
      <c r="O204" s="843">
        <f t="shared" si="38"/>
        <v>2.5420875420875344E-2</v>
      </c>
      <c r="P204" s="844">
        <f t="shared" si="44"/>
        <v>2.1468517748253899E-2</v>
      </c>
      <c r="Q204" s="830"/>
      <c r="R204" s="845">
        <v>875.61</v>
      </c>
      <c r="S204" s="846">
        <f t="shared" si="39"/>
        <v>1.7796117633383846E-2</v>
      </c>
      <c r="T204" s="845">
        <v>65.430000000000007</v>
      </c>
      <c r="U204" s="846">
        <f t="shared" si="40"/>
        <v>1.5363128491620248E-2</v>
      </c>
      <c r="V204" s="845">
        <v>122.13420000000001</v>
      </c>
      <c r="W204" s="846">
        <f t="shared" si="41"/>
        <v>2.2955186002588057E-2</v>
      </c>
      <c r="X204" s="845">
        <v>37986.400000000001</v>
      </c>
      <c r="Y204" s="846">
        <f t="shared" si="42"/>
        <v>5.5861780874211231E-3</v>
      </c>
      <c r="Z204" s="845">
        <v>4967.2349000000004</v>
      </c>
      <c r="AA204" s="846">
        <f t="shared" si="43"/>
        <v>-8.7580970875428266E-3</v>
      </c>
      <c r="AB204" s="843"/>
      <c r="AC204" s="832"/>
    </row>
    <row r="205" spans="1:29" ht="14.4" x14ac:dyDescent="0.55000000000000004">
      <c r="A205" s="857" t="s">
        <v>5364</v>
      </c>
      <c r="B205" s="842">
        <v>114.57</v>
      </c>
      <c r="C205" s="843">
        <f t="shared" si="34"/>
        <v>8.729050279332462E-5</v>
      </c>
      <c r="D205" s="842">
        <v>42.19</v>
      </c>
      <c r="E205" s="843">
        <f t="shared" si="35"/>
        <v>1.5403128760529405E-2</v>
      </c>
      <c r="F205" s="842">
        <v>27.4</v>
      </c>
      <c r="G205" s="843">
        <f t="shared" si="35"/>
        <v>9.208103130755152E-3</v>
      </c>
      <c r="H205" s="842">
        <v>36.590000000000003</v>
      </c>
      <c r="I205" s="843">
        <f t="shared" si="35"/>
        <v>1.9504040122596988E-2</v>
      </c>
      <c r="J205" s="842">
        <v>62.29</v>
      </c>
      <c r="K205" s="843">
        <f t="shared" si="36"/>
        <v>1.3669650122050347E-2</v>
      </c>
      <c r="L205" s="842">
        <v>73.180000000000007</v>
      </c>
      <c r="M205" s="843">
        <f t="shared" si="37"/>
        <v>-5.3010738072581942E-3</v>
      </c>
      <c r="N205" s="842">
        <v>59.4</v>
      </c>
      <c r="O205" s="843">
        <f t="shared" si="38"/>
        <v>2.0969405293915333E-2</v>
      </c>
      <c r="P205" s="844">
        <f t="shared" si="44"/>
        <v>1.0505792017911766E-2</v>
      </c>
      <c r="Q205" s="830"/>
      <c r="R205" s="845">
        <v>860.3</v>
      </c>
      <c r="S205" s="846">
        <f t="shared" si="39"/>
        <v>8.1443721802307856E-3</v>
      </c>
      <c r="T205" s="845">
        <v>64.44</v>
      </c>
      <c r="U205" s="846">
        <f t="shared" si="40"/>
        <v>5.6179775280897903E-3</v>
      </c>
      <c r="V205" s="845">
        <v>119.3935</v>
      </c>
      <c r="W205" s="846">
        <f t="shared" si="41"/>
        <v>8.7114507832275478E-5</v>
      </c>
      <c r="X205" s="845">
        <v>37775.379999999997</v>
      </c>
      <c r="Y205" s="846">
        <f t="shared" si="42"/>
        <v>5.8458450398113371E-4</v>
      </c>
      <c r="Z205" s="845">
        <v>5011.1228000000001</v>
      </c>
      <c r="AA205" s="846">
        <f t="shared" si="43"/>
        <v>-2.2072363390762684E-3</v>
      </c>
      <c r="AB205" s="843"/>
      <c r="AC205" s="832"/>
    </row>
    <row r="206" spans="1:29" ht="14.4" x14ac:dyDescent="0.55000000000000004">
      <c r="A206" s="857" t="s">
        <v>5365</v>
      </c>
      <c r="B206" s="842">
        <v>114.56</v>
      </c>
      <c r="C206" s="843">
        <f t="shared" si="34"/>
        <v>1.9852221134158299E-2</v>
      </c>
      <c r="D206" s="842">
        <v>41.55</v>
      </c>
      <c r="E206" s="843">
        <f t="shared" si="35"/>
        <v>6.5406976744184497E-3</v>
      </c>
      <c r="F206" s="842">
        <v>27.15</v>
      </c>
      <c r="G206" s="843">
        <f t="shared" si="35"/>
        <v>2.2213855421686635E-2</v>
      </c>
      <c r="H206" s="842">
        <v>35.89</v>
      </c>
      <c r="I206" s="843">
        <f t="shared" si="35"/>
        <v>1.0701210926499671E-2</v>
      </c>
      <c r="J206" s="842">
        <v>61.45</v>
      </c>
      <c r="K206" s="843">
        <f t="shared" si="36"/>
        <v>6.3871601703242575E-3</v>
      </c>
      <c r="L206" s="842">
        <v>73.569999999999993</v>
      </c>
      <c r="M206" s="843">
        <f t="shared" si="37"/>
        <v>4.2315042315039797E-3</v>
      </c>
      <c r="N206" s="842">
        <v>58.18</v>
      </c>
      <c r="O206" s="843">
        <f t="shared" si="38"/>
        <v>6.8799449604406426E-4</v>
      </c>
      <c r="P206" s="844">
        <f t="shared" si="44"/>
        <v>1.0087806293519337E-2</v>
      </c>
      <c r="Q206" s="830"/>
      <c r="R206" s="845">
        <v>853.35</v>
      </c>
      <c r="S206" s="846">
        <f t="shared" si="39"/>
        <v>2.1327779971993976E-2</v>
      </c>
      <c r="T206" s="845">
        <v>64.08</v>
      </c>
      <c r="U206" s="846">
        <f t="shared" si="40"/>
        <v>2.0869842281344475E-2</v>
      </c>
      <c r="V206" s="845">
        <v>119.3831</v>
      </c>
      <c r="W206" s="846">
        <f t="shared" si="41"/>
        <v>1.9852348213553528E-2</v>
      </c>
      <c r="X206" s="845">
        <v>37753.31</v>
      </c>
      <c r="Y206" s="846">
        <f t="shared" si="42"/>
        <v>-1.2079694235055394E-3</v>
      </c>
      <c r="Z206" s="845">
        <v>5022.2079999999996</v>
      </c>
      <c r="AA206" s="846">
        <f t="shared" si="43"/>
        <v>-5.7817277653687826E-3</v>
      </c>
      <c r="AB206" s="843"/>
      <c r="AC206" s="832"/>
    </row>
    <row r="207" spans="1:29" ht="14.4" x14ac:dyDescent="0.55000000000000004">
      <c r="A207" s="857" t="s">
        <v>5366</v>
      </c>
      <c r="B207" s="842">
        <v>112.33</v>
      </c>
      <c r="C207" s="843">
        <f t="shared" si="34"/>
        <v>-6.4567486290465492E-3</v>
      </c>
      <c r="D207" s="842">
        <v>41.28</v>
      </c>
      <c r="E207" s="843">
        <f t="shared" si="35"/>
        <v>-7.2150072150071187E-3</v>
      </c>
      <c r="F207" s="842">
        <v>26.56</v>
      </c>
      <c r="G207" s="843">
        <f t="shared" si="35"/>
        <v>-9.6942580164057768E-3</v>
      </c>
      <c r="H207" s="842">
        <v>35.51</v>
      </c>
      <c r="I207" s="843">
        <f t="shared" si="35"/>
        <v>-6.1572907920515174E-3</v>
      </c>
      <c r="J207" s="842">
        <v>61.06</v>
      </c>
      <c r="K207" s="843">
        <f t="shared" si="36"/>
        <v>-1.468452477005E-2</v>
      </c>
      <c r="L207" s="842">
        <v>73.260000000000005</v>
      </c>
      <c r="M207" s="843">
        <f t="shared" si="37"/>
        <v>1.3278008298755362E-2</v>
      </c>
      <c r="N207" s="842">
        <v>58.14</v>
      </c>
      <c r="O207" s="843">
        <f t="shared" si="38"/>
        <v>-4.2815550607980812E-3</v>
      </c>
      <c r="P207" s="844">
        <f t="shared" si="44"/>
        <v>-5.0301965978005259E-3</v>
      </c>
      <c r="Q207" s="830"/>
      <c r="R207" s="845">
        <v>835.53</v>
      </c>
      <c r="S207" s="846">
        <f t="shared" si="39"/>
        <v>-1.5587445214194862E-2</v>
      </c>
      <c r="T207" s="845">
        <v>62.77</v>
      </c>
      <c r="U207" s="846">
        <f t="shared" si="40"/>
        <v>-1.3205470837918454E-2</v>
      </c>
      <c r="V207" s="845">
        <v>117.0592</v>
      </c>
      <c r="W207" s="846">
        <f t="shared" si="41"/>
        <v>-6.4564644852015407E-3</v>
      </c>
      <c r="X207" s="845">
        <v>37798.97</v>
      </c>
      <c r="Y207" s="846">
        <f t="shared" si="42"/>
        <v>1.6923231441487996E-3</v>
      </c>
      <c r="Z207" s="845">
        <v>5051.4138999999996</v>
      </c>
      <c r="AA207" s="846">
        <f t="shared" si="43"/>
        <v>-2.0549148818245211E-3</v>
      </c>
      <c r="AB207" s="843"/>
      <c r="AC207" s="832"/>
    </row>
    <row r="208" spans="1:29" ht="14.4" x14ac:dyDescent="0.55000000000000004">
      <c r="A208" s="857" t="s">
        <v>5367</v>
      </c>
      <c r="B208" s="842">
        <v>113.06</v>
      </c>
      <c r="C208" s="843">
        <f t="shared" si="34"/>
        <v>-8.1586104044213403E-3</v>
      </c>
      <c r="D208" s="842">
        <v>41.58</v>
      </c>
      <c r="E208" s="843">
        <f t="shared" si="35"/>
        <v>-5.0251256281407253E-3</v>
      </c>
      <c r="F208" s="842">
        <v>26.82</v>
      </c>
      <c r="G208" s="843">
        <f t="shared" si="35"/>
        <v>-9.235315847802017E-3</v>
      </c>
      <c r="H208" s="842">
        <v>35.729999999999997</v>
      </c>
      <c r="I208" s="843">
        <f t="shared" si="35"/>
        <v>-1.1071132023249497E-2</v>
      </c>
      <c r="J208" s="842">
        <v>61.97</v>
      </c>
      <c r="K208" s="843">
        <f t="shared" si="36"/>
        <v>-1.7719072164947836E-3</v>
      </c>
      <c r="L208" s="842">
        <v>72.3</v>
      </c>
      <c r="M208" s="843">
        <f t="shared" si="37"/>
        <v>-7.6859730990941344E-3</v>
      </c>
      <c r="N208" s="842">
        <v>58.39</v>
      </c>
      <c r="O208" s="843">
        <f t="shared" si="38"/>
        <v>-4.6027957722467594E-3</v>
      </c>
      <c r="P208" s="844">
        <f t="shared" si="44"/>
        <v>-6.7929799987784655E-3</v>
      </c>
      <c r="Q208" s="830"/>
      <c r="R208" s="845">
        <v>848.76</v>
      </c>
      <c r="S208" s="846">
        <f t="shared" si="39"/>
        <v>-7.193739691897405E-3</v>
      </c>
      <c r="T208" s="845">
        <v>63.61</v>
      </c>
      <c r="U208" s="846">
        <f t="shared" si="40"/>
        <v>-9.1900311526480483E-3</v>
      </c>
      <c r="V208" s="845">
        <v>117.8199</v>
      </c>
      <c r="W208" s="846">
        <f t="shared" si="41"/>
        <v>-8.1589977531608682E-3</v>
      </c>
      <c r="X208" s="845">
        <v>37735.11</v>
      </c>
      <c r="Y208" s="846">
        <f t="shared" si="42"/>
        <v>-6.532618070496321E-3</v>
      </c>
      <c r="Z208" s="845">
        <v>5061.8154999999997</v>
      </c>
      <c r="AA208" s="846">
        <f t="shared" si="43"/>
        <v>-1.2021551753415349E-2</v>
      </c>
      <c r="AB208" s="843"/>
      <c r="AC208" s="832"/>
    </row>
    <row r="209" spans="1:29" ht="14.4" x14ac:dyDescent="0.55000000000000004">
      <c r="A209" s="857" t="s">
        <v>5368</v>
      </c>
      <c r="B209" s="842">
        <v>113.99</v>
      </c>
      <c r="C209" s="843">
        <f t="shared" si="34"/>
        <v>-3.4096870082181985E-3</v>
      </c>
      <c r="D209" s="842">
        <v>41.79</v>
      </c>
      <c r="E209" s="843">
        <f t="shared" si="35"/>
        <v>-1.9106759016001007E-3</v>
      </c>
      <c r="F209" s="842">
        <v>27.07</v>
      </c>
      <c r="G209" s="843">
        <f t="shared" si="35"/>
        <v>-6.6055045871559193E-3</v>
      </c>
      <c r="H209" s="842">
        <v>36.130000000000003</v>
      </c>
      <c r="I209" s="843">
        <f t="shared" si="35"/>
        <v>1.6634322151372061E-3</v>
      </c>
      <c r="J209" s="842">
        <v>62.08</v>
      </c>
      <c r="K209" s="843">
        <f t="shared" si="36"/>
        <v>-1.0046244618083233E-2</v>
      </c>
      <c r="L209" s="842">
        <v>72.86</v>
      </c>
      <c r="M209" s="843">
        <f t="shared" si="37"/>
        <v>-2.3278104888402318E-3</v>
      </c>
      <c r="N209" s="842">
        <v>58.66</v>
      </c>
      <c r="O209" s="843">
        <f t="shared" si="38"/>
        <v>-5.1116033395814942E-4</v>
      </c>
      <c r="P209" s="844">
        <f t="shared" si="44"/>
        <v>-3.306807246102661E-3</v>
      </c>
      <c r="Q209" s="830"/>
      <c r="R209" s="845">
        <v>854.91</v>
      </c>
      <c r="S209" s="846">
        <f t="shared" si="39"/>
        <v>-7.5112029534003533E-3</v>
      </c>
      <c r="T209" s="845">
        <v>64.2</v>
      </c>
      <c r="U209" s="846">
        <f t="shared" si="40"/>
        <v>-7.574586489411006E-3</v>
      </c>
      <c r="V209" s="845">
        <v>118.7891</v>
      </c>
      <c r="W209" s="846">
        <f t="shared" si="41"/>
        <v>-3.4095246884319197E-3</v>
      </c>
      <c r="X209" s="845">
        <v>37983.24</v>
      </c>
      <c r="Y209" s="846">
        <f t="shared" si="42"/>
        <v>-1.2372630858564548E-2</v>
      </c>
      <c r="Z209" s="845">
        <v>5123.4067999999997</v>
      </c>
      <c r="AA209" s="846">
        <f t="shared" si="43"/>
        <v>-1.4550716199138392E-2</v>
      </c>
      <c r="AB209" s="843"/>
      <c r="AC209" s="832"/>
    </row>
    <row r="210" spans="1:29" ht="14.4" x14ac:dyDescent="0.55000000000000004">
      <c r="A210" s="857" t="s">
        <v>5369</v>
      </c>
      <c r="B210" s="842">
        <v>114.38</v>
      </c>
      <c r="C210" s="843">
        <f t="shared" si="34"/>
        <v>-6.0827250608272987E-3</v>
      </c>
      <c r="D210" s="842">
        <v>41.87</v>
      </c>
      <c r="E210" s="843">
        <f t="shared" si="35"/>
        <v>1.9143335726250488E-3</v>
      </c>
      <c r="F210" s="842">
        <v>27.25</v>
      </c>
      <c r="G210" s="843">
        <f t="shared" si="35"/>
        <v>-1.831501831501825E-3</v>
      </c>
      <c r="H210" s="842">
        <v>36.07</v>
      </c>
      <c r="I210" s="843">
        <f t="shared" si="35"/>
        <v>1.0081209745169462E-2</v>
      </c>
      <c r="J210" s="842">
        <v>62.71</v>
      </c>
      <c r="K210" s="843">
        <f t="shared" si="36"/>
        <v>-3.1791448100459974E-3</v>
      </c>
      <c r="L210" s="842">
        <v>73.03</v>
      </c>
      <c r="M210" s="843">
        <f t="shared" si="37"/>
        <v>-5.0408719346050068E-3</v>
      </c>
      <c r="N210" s="842">
        <v>58.69</v>
      </c>
      <c r="O210" s="843">
        <f t="shared" si="38"/>
        <v>3.5909712722297371E-3</v>
      </c>
      <c r="P210" s="844">
        <f t="shared" si="44"/>
        <v>-7.8247006707982922E-5</v>
      </c>
      <c r="Q210" s="830"/>
      <c r="R210" s="845">
        <v>861.38</v>
      </c>
      <c r="S210" s="846">
        <f t="shared" si="39"/>
        <v>-3.5168089586080642E-3</v>
      </c>
      <c r="T210" s="845">
        <v>64.69</v>
      </c>
      <c r="U210" s="846">
        <f t="shared" si="40"/>
        <v>-2.0055538414068819E-3</v>
      </c>
      <c r="V210" s="845">
        <v>119.1955</v>
      </c>
      <c r="W210" s="846">
        <f t="shared" si="41"/>
        <v>-6.0829685219929708E-3</v>
      </c>
      <c r="X210" s="845">
        <v>38459.08</v>
      </c>
      <c r="Y210" s="846">
        <f t="shared" si="42"/>
        <v>-6.318004675320843E-5</v>
      </c>
      <c r="Z210" s="845">
        <v>5199.0568000000003</v>
      </c>
      <c r="AA210" s="846">
        <f t="shared" si="43"/>
        <v>7.4442320116976379E-3</v>
      </c>
      <c r="AB210" s="843"/>
      <c r="AC210" s="832"/>
    </row>
    <row r="211" spans="1:29" ht="14.4" x14ac:dyDescent="0.55000000000000004">
      <c r="A211" s="857" t="s">
        <v>5370</v>
      </c>
      <c r="B211" s="842">
        <v>115.08</v>
      </c>
      <c r="C211" s="843">
        <f t="shared" si="34"/>
        <v>-1.3374485596707841E-2</v>
      </c>
      <c r="D211" s="842">
        <v>41.79</v>
      </c>
      <c r="E211" s="843">
        <f t="shared" si="35"/>
        <v>-2.6328052190121243E-2</v>
      </c>
      <c r="F211" s="842">
        <v>27.3</v>
      </c>
      <c r="G211" s="843">
        <f t="shared" si="35"/>
        <v>-1.230101302460207E-2</v>
      </c>
      <c r="H211" s="842">
        <v>35.71</v>
      </c>
      <c r="I211" s="843">
        <f t="shared" si="35"/>
        <v>-2.6975476839237067E-2</v>
      </c>
      <c r="J211" s="842">
        <v>62.91</v>
      </c>
      <c r="K211" s="843">
        <f t="shared" si="36"/>
        <v>-2.1617418351477458E-2</v>
      </c>
      <c r="L211" s="842">
        <v>73.400000000000006</v>
      </c>
      <c r="M211" s="843">
        <f t="shared" si="37"/>
        <v>-2.3286759813705871E-2</v>
      </c>
      <c r="N211" s="842">
        <v>58.48</v>
      </c>
      <c r="O211" s="843">
        <f t="shared" si="38"/>
        <v>-3.0182421227197387E-2</v>
      </c>
      <c r="P211" s="844">
        <f t="shared" si="44"/>
        <v>-2.2009375291864135E-2</v>
      </c>
      <c r="Q211" s="830"/>
      <c r="R211" s="845">
        <v>864.42</v>
      </c>
      <c r="S211" s="846">
        <f t="shared" si="39"/>
        <v>-1.9787497023370793E-2</v>
      </c>
      <c r="T211" s="845">
        <v>64.819999999999993</v>
      </c>
      <c r="U211" s="846">
        <f t="shared" si="40"/>
        <v>-1.7134192570129048E-2</v>
      </c>
      <c r="V211" s="845">
        <v>119.925</v>
      </c>
      <c r="W211" s="846">
        <f t="shared" si="41"/>
        <v>-1.3373854180892653E-2</v>
      </c>
      <c r="X211" s="845">
        <v>38461.51</v>
      </c>
      <c r="Y211" s="846">
        <f t="shared" si="42"/>
        <v>-1.0856999866524886E-2</v>
      </c>
      <c r="Z211" s="845">
        <v>5160.6397999999999</v>
      </c>
      <c r="AA211" s="846">
        <f t="shared" si="43"/>
        <v>-9.4571676735808463E-3</v>
      </c>
      <c r="AB211" s="843"/>
      <c r="AC211" s="832"/>
    </row>
    <row r="212" spans="1:29" ht="14.4" x14ac:dyDescent="0.55000000000000004">
      <c r="A212" s="857" t="s">
        <v>5371</v>
      </c>
      <c r="B212" s="842">
        <v>116.64</v>
      </c>
      <c r="C212" s="843">
        <f t="shared" si="34"/>
        <v>2.6648328032321533E-3</v>
      </c>
      <c r="D212" s="842">
        <v>42.92</v>
      </c>
      <c r="E212" s="843">
        <f t="shared" si="35"/>
        <v>-2.3293733985552123E-4</v>
      </c>
      <c r="F212" s="842">
        <v>27.64</v>
      </c>
      <c r="G212" s="843">
        <f t="shared" si="35"/>
        <v>6.9216757741348278E-3</v>
      </c>
      <c r="H212" s="842">
        <v>36.700000000000003</v>
      </c>
      <c r="I212" s="843">
        <f t="shared" si="35"/>
        <v>-2.175095160413254E-3</v>
      </c>
      <c r="J212" s="842">
        <v>64.3</v>
      </c>
      <c r="K212" s="843">
        <f t="shared" si="36"/>
        <v>7.3633087889706239E-3</v>
      </c>
      <c r="L212" s="842">
        <v>75.150000000000006</v>
      </c>
      <c r="M212" s="843">
        <f t="shared" si="37"/>
        <v>-7.9207920792078168E-3</v>
      </c>
      <c r="N212" s="842">
        <v>60.3</v>
      </c>
      <c r="O212" s="843">
        <f t="shared" si="38"/>
        <v>4.330446369087193E-3</v>
      </c>
      <c r="P212" s="844">
        <f t="shared" si="44"/>
        <v>1.5644913079926009E-3</v>
      </c>
      <c r="Q212" s="830"/>
      <c r="R212" s="845">
        <v>881.87</v>
      </c>
      <c r="S212" s="846">
        <f t="shared" si="39"/>
        <v>7.9320631364796501E-3</v>
      </c>
      <c r="T212" s="845">
        <v>65.95</v>
      </c>
      <c r="U212" s="846">
        <f t="shared" si="40"/>
        <v>5.4886415612136474E-3</v>
      </c>
      <c r="V212" s="845">
        <v>121.5506</v>
      </c>
      <c r="W212" s="846">
        <f t="shared" si="41"/>
        <v>2.664409754874475E-3</v>
      </c>
      <c r="X212" s="845">
        <v>38883.67</v>
      </c>
      <c r="Y212" s="846">
        <f t="shared" si="42"/>
        <v>-2.3474781964794023E-4</v>
      </c>
      <c r="Z212" s="845">
        <v>5209.9107999999997</v>
      </c>
      <c r="AA212" s="846">
        <f t="shared" si="43"/>
        <v>1.4452775078324098E-3</v>
      </c>
      <c r="AB212" s="843"/>
      <c r="AC212" s="832"/>
    </row>
    <row r="213" spans="1:29" ht="14.4" x14ac:dyDescent="0.55000000000000004">
      <c r="A213" s="857" t="s">
        <v>5372</v>
      </c>
      <c r="B213" s="842">
        <v>116.33</v>
      </c>
      <c r="C213" s="843">
        <f t="shared" si="34"/>
        <v>8.6036307321690764E-4</v>
      </c>
      <c r="D213" s="842">
        <v>42.93</v>
      </c>
      <c r="E213" s="843">
        <f t="shared" si="35"/>
        <v>3.5063113604487661E-3</v>
      </c>
      <c r="F213" s="842">
        <v>27.45</v>
      </c>
      <c r="G213" s="843">
        <f t="shared" si="35"/>
        <v>9.562339095255501E-3</v>
      </c>
      <c r="H213" s="842">
        <v>36.78</v>
      </c>
      <c r="I213" s="843">
        <f t="shared" si="35"/>
        <v>1.016204339467186E-2</v>
      </c>
      <c r="J213" s="842">
        <v>63.83</v>
      </c>
      <c r="K213" s="843">
        <f t="shared" si="36"/>
        <v>1.7263025737601634E-3</v>
      </c>
      <c r="L213" s="842">
        <v>75.75</v>
      </c>
      <c r="M213" s="843">
        <f t="shared" si="37"/>
        <v>1.6232895089884458E-2</v>
      </c>
      <c r="N213" s="842">
        <v>60.04</v>
      </c>
      <c r="O213" s="843">
        <f t="shared" si="38"/>
        <v>1.179642736771136E-2</v>
      </c>
      <c r="P213" s="844">
        <f t="shared" si="44"/>
        <v>7.692383136421288E-3</v>
      </c>
      <c r="Q213" s="830"/>
      <c r="R213" s="845">
        <v>874.93</v>
      </c>
      <c r="S213" s="846">
        <f t="shared" si="39"/>
        <v>6.0020006668888293E-3</v>
      </c>
      <c r="T213" s="845">
        <v>65.59</v>
      </c>
      <c r="U213" s="846">
        <f t="shared" si="40"/>
        <v>6.5991405770411404E-3</v>
      </c>
      <c r="V213" s="845">
        <v>121.2276</v>
      </c>
      <c r="W213" s="846">
        <f t="shared" si="41"/>
        <v>8.6027968171298319E-4</v>
      </c>
      <c r="X213" s="845">
        <v>38892.800000000003</v>
      </c>
      <c r="Y213" s="846">
        <f t="shared" si="42"/>
        <v>-2.8891600975111675E-4</v>
      </c>
      <c r="Z213" s="845">
        <v>5202.3918999999996</v>
      </c>
      <c r="AA213" s="846">
        <f t="shared" si="43"/>
        <v>-3.7338102998030198E-4</v>
      </c>
      <c r="AB213" s="843"/>
      <c r="AC213" s="832"/>
    </row>
    <row r="214" spans="1:29" ht="14.4" x14ac:dyDescent="0.55000000000000004">
      <c r="A214" s="857" t="s">
        <v>5373</v>
      </c>
      <c r="B214" s="842">
        <v>116.23</v>
      </c>
      <c r="C214" s="843">
        <f t="shared" si="34"/>
        <v>8.6110393524507778E-4</v>
      </c>
      <c r="D214" s="842">
        <v>42.78</v>
      </c>
      <c r="E214" s="843">
        <f t="shared" si="35"/>
        <v>-3.029596830575465E-3</v>
      </c>
      <c r="F214" s="842">
        <v>27.19</v>
      </c>
      <c r="G214" s="843">
        <f t="shared" si="35"/>
        <v>7.3610599926388076E-4</v>
      </c>
      <c r="H214" s="842">
        <v>36.409999999999997</v>
      </c>
      <c r="I214" s="843">
        <f t="shared" si="35"/>
        <v>-9.2517006802722568E-3</v>
      </c>
      <c r="J214" s="842">
        <v>63.72</v>
      </c>
      <c r="K214" s="843">
        <f t="shared" si="36"/>
        <v>-5.4627750897454641E-3</v>
      </c>
      <c r="L214" s="842">
        <v>74.540000000000006</v>
      </c>
      <c r="M214" s="843">
        <f t="shared" si="37"/>
        <v>-1.4735432016075301E-3</v>
      </c>
      <c r="N214" s="842">
        <v>59.34</v>
      </c>
      <c r="O214" s="843">
        <f t="shared" si="38"/>
        <v>-9.3489148580967463E-3</v>
      </c>
      <c r="P214" s="844">
        <f t="shared" si="44"/>
        <v>-3.852760103684072E-3</v>
      </c>
      <c r="Q214" s="830"/>
      <c r="R214" s="845">
        <v>869.71</v>
      </c>
      <c r="S214" s="846">
        <f t="shared" si="39"/>
        <v>-1.595683618413446E-3</v>
      </c>
      <c r="T214" s="845">
        <v>65.16</v>
      </c>
      <c r="U214" s="846">
        <f t="shared" si="40"/>
        <v>2.9244266584578238E-3</v>
      </c>
      <c r="V214" s="845">
        <v>121.1234</v>
      </c>
      <c r="W214" s="846">
        <f t="shared" si="41"/>
        <v>8.6102040006874603E-4</v>
      </c>
      <c r="X214" s="845">
        <v>38904.04</v>
      </c>
      <c r="Y214" s="846">
        <f t="shared" si="42"/>
        <v>7.9555447084200814E-3</v>
      </c>
      <c r="Z214" s="845">
        <v>5204.3351000000002</v>
      </c>
      <c r="AA214" s="846">
        <f t="shared" si="43"/>
        <v>1.1098461321465747E-2</v>
      </c>
      <c r="AB214" s="843"/>
      <c r="AC214" s="832"/>
    </row>
    <row r="215" spans="1:29" ht="14.4" x14ac:dyDescent="0.55000000000000004">
      <c r="A215" s="857" t="s">
        <v>5374</v>
      </c>
      <c r="B215" s="842">
        <v>116.13</v>
      </c>
      <c r="C215" s="843">
        <f t="shared" si="34"/>
        <v>-7.1813285457810183E-3</v>
      </c>
      <c r="D215" s="842">
        <v>42.91</v>
      </c>
      <c r="E215" s="843">
        <f t="shared" si="35"/>
        <v>5.153431717029644E-3</v>
      </c>
      <c r="F215" s="842">
        <v>27.17</v>
      </c>
      <c r="G215" s="843">
        <f t="shared" si="35"/>
        <v>-6.2179956108265877E-3</v>
      </c>
      <c r="H215" s="842">
        <v>36.75</v>
      </c>
      <c r="I215" s="843">
        <f t="shared" si="35"/>
        <v>-6.2195781503514569E-3</v>
      </c>
      <c r="J215" s="842">
        <v>64.069999999999993</v>
      </c>
      <c r="K215" s="843">
        <f t="shared" si="36"/>
        <v>1.0089862840926944E-2</v>
      </c>
      <c r="L215" s="842">
        <v>74.650000000000006</v>
      </c>
      <c r="M215" s="843">
        <f t="shared" si="37"/>
        <v>-1.7763157894736814E-2</v>
      </c>
      <c r="N215" s="842">
        <v>59.9</v>
      </c>
      <c r="O215" s="843">
        <f t="shared" si="38"/>
        <v>-8.6064217146640809E-3</v>
      </c>
      <c r="P215" s="844">
        <f t="shared" si="44"/>
        <v>-4.3921696226290529E-3</v>
      </c>
      <c r="Q215" s="830"/>
      <c r="R215" s="845">
        <v>871.1</v>
      </c>
      <c r="S215" s="846">
        <f t="shared" si="39"/>
        <v>2.9856230765701319E-4</v>
      </c>
      <c r="T215" s="845">
        <v>64.97</v>
      </c>
      <c r="U215" s="846">
        <f t="shared" si="40"/>
        <v>-1.9969278033793447E-3</v>
      </c>
      <c r="V215" s="845">
        <v>121.0192</v>
      </c>
      <c r="W215" s="846">
        <f t="shared" si="41"/>
        <v>-7.1807997899823173E-3</v>
      </c>
      <c r="X215" s="845">
        <v>38596.980000000003</v>
      </c>
      <c r="Y215" s="846">
        <f t="shared" si="42"/>
        <v>-1.3549674215902252E-2</v>
      </c>
      <c r="Z215" s="845">
        <v>5147.2089999999998</v>
      </c>
      <c r="AA215" s="846">
        <f t="shared" si="43"/>
        <v>-1.2333737204057837E-2</v>
      </c>
      <c r="AB215" s="843"/>
      <c r="AC215" s="832"/>
    </row>
    <row r="216" spans="1:29" ht="14.4" x14ac:dyDescent="0.55000000000000004">
      <c r="A216" s="857" t="s">
        <v>5375</v>
      </c>
      <c r="B216" s="842">
        <v>116.97</v>
      </c>
      <c r="C216" s="843">
        <f t="shared" si="34"/>
        <v>-6.792901418018138E-3</v>
      </c>
      <c r="D216" s="842">
        <v>42.69</v>
      </c>
      <c r="E216" s="843">
        <f t="shared" si="35"/>
        <v>-1.0201715743102358E-2</v>
      </c>
      <c r="F216" s="842">
        <v>27.34</v>
      </c>
      <c r="G216" s="843">
        <f t="shared" si="35"/>
        <v>-5.8181818181818334E-3</v>
      </c>
      <c r="H216" s="842">
        <v>36.979999999999997</v>
      </c>
      <c r="I216" s="843">
        <f t="shared" si="35"/>
        <v>4.6183102417820532E-3</v>
      </c>
      <c r="J216" s="842">
        <v>63.43</v>
      </c>
      <c r="K216" s="843">
        <f t="shared" si="36"/>
        <v>-7.3552425665101007E-3</v>
      </c>
      <c r="L216" s="842">
        <v>76</v>
      </c>
      <c r="M216" s="843">
        <f t="shared" si="37"/>
        <v>-1.7076054117955985E-3</v>
      </c>
      <c r="N216" s="842">
        <v>60.42</v>
      </c>
      <c r="O216" s="843">
        <f t="shared" si="38"/>
        <v>-1.0157273918741772E-2</v>
      </c>
      <c r="P216" s="844">
        <f t="shared" si="44"/>
        <v>-5.3449443763668213E-3</v>
      </c>
      <c r="Q216" s="830"/>
      <c r="R216" s="845">
        <v>870.84</v>
      </c>
      <c r="S216" s="846">
        <f t="shared" si="39"/>
        <v>-5.5498458376156412E-3</v>
      </c>
      <c r="T216" s="845">
        <v>65.099999999999994</v>
      </c>
      <c r="U216" s="846">
        <f t="shared" si="40"/>
        <v>-3.9779681762546204E-3</v>
      </c>
      <c r="V216" s="845">
        <v>121.89449999999999</v>
      </c>
      <c r="W216" s="846">
        <f t="shared" si="41"/>
        <v>-6.7930597857706054E-3</v>
      </c>
      <c r="X216" s="845">
        <v>39127.14</v>
      </c>
      <c r="Y216" s="846">
        <f t="shared" si="42"/>
        <v>-1.1003251448037377E-3</v>
      </c>
      <c r="Z216" s="845">
        <v>5211.4861000000001</v>
      </c>
      <c r="AA216" s="846">
        <f t="shared" si="43"/>
        <v>1.0901279149373444E-3</v>
      </c>
      <c r="AB216" s="843"/>
      <c r="AC216" s="832"/>
    </row>
    <row r="217" spans="1:29" ht="14.4" x14ac:dyDescent="0.55000000000000004">
      <c r="A217" s="857" t="s">
        <v>5376</v>
      </c>
      <c r="B217" s="842">
        <v>117.77</v>
      </c>
      <c r="C217" s="843">
        <f t="shared" si="34"/>
        <v>-6.7882901994054112E-4</v>
      </c>
      <c r="D217" s="842">
        <v>43.13</v>
      </c>
      <c r="E217" s="843">
        <f t="shared" si="35"/>
        <v>1.1017346460384658E-2</v>
      </c>
      <c r="F217" s="842">
        <v>27.5</v>
      </c>
      <c r="G217" s="843">
        <f t="shared" si="35"/>
        <v>7.2780203784561515E-4</v>
      </c>
      <c r="H217" s="842">
        <v>36.81</v>
      </c>
      <c r="I217" s="843">
        <f t="shared" si="35"/>
        <v>-8.3512931034481763E-3</v>
      </c>
      <c r="J217" s="842">
        <v>63.9</v>
      </c>
      <c r="K217" s="843">
        <f t="shared" si="36"/>
        <v>4.4011317195851163E-3</v>
      </c>
      <c r="L217" s="842">
        <v>76.13</v>
      </c>
      <c r="M217" s="843">
        <f t="shared" si="37"/>
        <v>7.2770574225984319E-3</v>
      </c>
      <c r="N217" s="842">
        <v>61.04</v>
      </c>
      <c r="O217" s="843">
        <f t="shared" si="38"/>
        <v>1.476620180475674E-3</v>
      </c>
      <c r="P217" s="844">
        <f t="shared" si="44"/>
        <v>2.2671193853572541E-3</v>
      </c>
      <c r="Q217" s="830"/>
      <c r="R217" s="845">
        <v>875.7</v>
      </c>
      <c r="S217" s="846">
        <f t="shared" si="39"/>
        <v>7.4281469630310681E-4</v>
      </c>
      <c r="T217" s="845">
        <v>65.36</v>
      </c>
      <c r="U217" s="846">
        <f t="shared" si="40"/>
        <v>1.6858237547892063E-3</v>
      </c>
      <c r="V217" s="845">
        <v>122.7282</v>
      </c>
      <c r="W217" s="846">
        <f t="shared" si="41"/>
        <v>-6.7908894599533198E-4</v>
      </c>
      <c r="X217" s="845">
        <v>39170.239999999998</v>
      </c>
      <c r="Y217" s="846">
        <f t="shared" si="42"/>
        <v>-1.0023795171968497E-2</v>
      </c>
      <c r="Z217" s="845">
        <v>5205.8110999999999</v>
      </c>
      <c r="AA217" s="846">
        <f t="shared" si="43"/>
        <v>-7.2394058102707159E-3</v>
      </c>
      <c r="AB217" s="843"/>
      <c r="AC217" s="832"/>
    </row>
    <row r="218" spans="1:29" ht="14.4" x14ac:dyDescent="0.55000000000000004">
      <c r="A218" s="857" t="s">
        <v>5377</v>
      </c>
      <c r="B218" s="842">
        <v>117.85</v>
      </c>
      <c r="C218" s="843">
        <f t="shared" si="34"/>
        <v>-8.5808025574157787E-3</v>
      </c>
      <c r="D218" s="842">
        <v>42.66</v>
      </c>
      <c r="E218" s="843">
        <f t="shared" si="35"/>
        <v>-5.8261477511070137E-3</v>
      </c>
      <c r="F218" s="842">
        <v>27.48</v>
      </c>
      <c r="G218" s="843">
        <f t="shared" si="35"/>
        <v>-6.5075921908893664E-3</v>
      </c>
      <c r="H218" s="842">
        <v>37.119999999999997</v>
      </c>
      <c r="I218" s="843">
        <f t="shared" si="35"/>
        <v>-2.6867275658248868E-3</v>
      </c>
      <c r="J218" s="842">
        <v>63.62</v>
      </c>
      <c r="K218" s="843">
        <f t="shared" si="36"/>
        <v>-1.410196807686348E-2</v>
      </c>
      <c r="L218" s="842">
        <v>75.58</v>
      </c>
      <c r="M218" s="843">
        <f t="shared" si="37"/>
        <v>-7.22448443451984E-3</v>
      </c>
      <c r="N218" s="842">
        <v>60.95</v>
      </c>
      <c r="O218" s="843">
        <f t="shared" si="38"/>
        <v>-6.8437347238062829E-3</v>
      </c>
      <c r="P218" s="844">
        <f t="shared" si="44"/>
        <v>-7.3959224714895211E-3</v>
      </c>
      <c r="Q218" s="830"/>
      <c r="R218" s="845">
        <v>875.05</v>
      </c>
      <c r="S218" s="846">
        <f t="shared" si="39"/>
        <v>-8.1497098295248982E-3</v>
      </c>
      <c r="T218" s="845">
        <v>65.25</v>
      </c>
      <c r="U218" s="846">
        <f t="shared" si="40"/>
        <v>-6.0929169840061581E-3</v>
      </c>
      <c r="V218" s="845">
        <v>122.8116</v>
      </c>
      <c r="W218" s="846">
        <f t="shared" si="41"/>
        <v>-8.5804584478645918E-3</v>
      </c>
      <c r="X218" s="845">
        <v>39566.85</v>
      </c>
      <c r="Y218" s="846">
        <f t="shared" si="42"/>
        <v>-6.0420972297341446E-3</v>
      </c>
      <c r="Z218" s="845">
        <v>5243.7728999999999</v>
      </c>
      <c r="AA218" s="846">
        <f t="shared" si="43"/>
        <v>-2.0138535002511837E-3</v>
      </c>
      <c r="AB218" s="843"/>
      <c r="AC218" s="832"/>
    </row>
    <row r="219" spans="1:29" ht="14.4" x14ac:dyDescent="0.55000000000000004">
      <c r="A219" s="857" t="s">
        <v>5378</v>
      </c>
      <c r="B219" s="842">
        <v>118.87</v>
      </c>
      <c r="C219" s="843">
        <f t="shared" si="34"/>
        <v>5.1581261626922892E-3</v>
      </c>
      <c r="D219" s="842">
        <v>42.91</v>
      </c>
      <c r="E219" s="843">
        <f t="shared" si="35"/>
        <v>1.2744866650932218E-2</v>
      </c>
      <c r="F219" s="842">
        <v>27.66</v>
      </c>
      <c r="G219" s="843">
        <f t="shared" si="35"/>
        <v>7.2833211944647314E-3</v>
      </c>
      <c r="H219" s="842">
        <v>37.22</v>
      </c>
      <c r="I219" s="843">
        <f t="shared" si="35"/>
        <v>1.4998636487592032E-2</v>
      </c>
      <c r="J219" s="842">
        <v>64.53</v>
      </c>
      <c r="K219" s="843">
        <f t="shared" si="36"/>
        <v>1.6861014812480368E-2</v>
      </c>
      <c r="L219" s="842">
        <v>76.13</v>
      </c>
      <c r="M219" s="843">
        <f t="shared" si="37"/>
        <v>1.5743829219479588E-2</v>
      </c>
      <c r="N219" s="842">
        <v>61.37</v>
      </c>
      <c r="O219" s="843">
        <f t="shared" si="38"/>
        <v>1.3207858675912121E-2</v>
      </c>
      <c r="P219" s="844">
        <f t="shared" si="44"/>
        <v>1.2285379029079049E-2</v>
      </c>
      <c r="Q219" s="830"/>
      <c r="R219" s="845">
        <v>882.24</v>
      </c>
      <c r="S219" s="846">
        <f t="shared" si="39"/>
        <v>8.5855063848272462E-3</v>
      </c>
      <c r="T219" s="845">
        <v>65.650000000000006</v>
      </c>
      <c r="U219" s="846">
        <f t="shared" si="40"/>
        <v>6.9018404907976727E-3</v>
      </c>
      <c r="V219" s="845">
        <v>123.8745</v>
      </c>
      <c r="W219" s="846">
        <f t="shared" si="41"/>
        <v>5.1582780747621015E-3</v>
      </c>
      <c r="X219" s="845">
        <v>39807.370000000003</v>
      </c>
      <c r="Y219" s="846">
        <f t="shared" si="42"/>
        <v>1.1893839247809623E-3</v>
      </c>
      <c r="Z219" s="845">
        <v>5254.3544000000002</v>
      </c>
      <c r="AA219" s="846">
        <f t="shared" si="43"/>
        <v>1.1167586368743265E-3</v>
      </c>
      <c r="AB219" s="843"/>
      <c r="AC219" s="832"/>
    </row>
    <row r="220" spans="1:29" ht="14.4" x14ac:dyDescent="0.55000000000000004">
      <c r="A220" s="857" t="s">
        <v>5379</v>
      </c>
      <c r="B220" s="842">
        <v>118.26</v>
      </c>
      <c r="C220" s="843">
        <f t="shared" si="34"/>
        <v>2.6117136659436158E-2</v>
      </c>
      <c r="D220" s="842">
        <v>42.37</v>
      </c>
      <c r="E220" s="843">
        <f t="shared" si="35"/>
        <v>1.875450829526315E-2</v>
      </c>
      <c r="F220" s="842">
        <v>27.46</v>
      </c>
      <c r="G220" s="843">
        <f t="shared" si="35"/>
        <v>1.8168335187245255E-2</v>
      </c>
      <c r="H220" s="842">
        <v>36.67</v>
      </c>
      <c r="I220" s="843">
        <f t="shared" si="35"/>
        <v>3.0056179775280967E-2</v>
      </c>
      <c r="J220" s="842">
        <v>63.46</v>
      </c>
      <c r="K220" s="843">
        <f t="shared" si="36"/>
        <v>2.6362607148633366E-2</v>
      </c>
      <c r="L220" s="842">
        <v>74.95</v>
      </c>
      <c r="M220" s="843">
        <f t="shared" si="37"/>
        <v>3.1942723392537564E-2</v>
      </c>
      <c r="N220" s="842">
        <v>60.57</v>
      </c>
      <c r="O220" s="843">
        <f t="shared" si="38"/>
        <v>1.7470183100957382E-2</v>
      </c>
      <c r="P220" s="844">
        <f t="shared" si="44"/>
        <v>2.4124524794193407E-2</v>
      </c>
      <c r="Q220" s="830"/>
      <c r="R220" s="845">
        <v>874.73</v>
      </c>
      <c r="S220" s="846">
        <f t="shared" si="39"/>
        <v>2.7365725896433046E-2</v>
      </c>
      <c r="T220" s="845">
        <v>65.2</v>
      </c>
      <c r="U220" s="846">
        <f t="shared" si="40"/>
        <v>2.7904776919438712E-2</v>
      </c>
      <c r="V220" s="845">
        <v>123.2388</v>
      </c>
      <c r="W220" s="846">
        <f t="shared" si="41"/>
        <v>2.6116945498871447E-2</v>
      </c>
      <c r="X220" s="845">
        <v>39760.080000000002</v>
      </c>
      <c r="Y220" s="846">
        <f t="shared" si="42"/>
        <v>1.2161956788204753E-2</v>
      </c>
      <c r="Z220" s="845">
        <v>5248.4930999999997</v>
      </c>
      <c r="AA220" s="846">
        <f t="shared" si="43"/>
        <v>8.6303782688861297E-3</v>
      </c>
      <c r="AB220" s="843"/>
      <c r="AC220" s="832"/>
    </row>
    <row r="221" spans="1:29" ht="14.4" x14ac:dyDescent="0.55000000000000004">
      <c r="A221" s="857" t="s">
        <v>5380</v>
      </c>
      <c r="B221" s="842">
        <v>115.25</v>
      </c>
      <c r="C221" s="843">
        <f t="shared" si="34"/>
        <v>-7.3212747631351549E-3</v>
      </c>
      <c r="D221" s="842">
        <v>41.59</v>
      </c>
      <c r="E221" s="843">
        <f t="shared" si="35"/>
        <v>-1.1644486692015121E-2</v>
      </c>
      <c r="F221" s="842">
        <v>26.97</v>
      </c>
      <c r="G221" s="843">
        <f t="shared" si="35"/>
        <v>-6.6298342541436517E-3</v>
      </c>
      <c r="H221" s="842">
        <v>35.6</v>
      </c>
      <c r="I221" s="843">
        <f t="shared" si="35"/>
        <v>-2.063273727647863E-2</v>
      </c>
      <c r="J221" s="842">
        <v>61.83</v>
      </c>
      <c r="K221" s="843">
        <f t="shared" si="36"/>
        <v>-1.0720000000000063E-2</v>
      </c>
      <c r="L221" s="842">
        <v>72.63</v>
      </c>
      <c r="M221" s="843">
        <f t="shared" si="37"/>
        <v>4.8422800221361584E-3</v>
      </c>
      <c r="N221" s="842">
        <v>59.53</v>
      </c>
      <c r="O221" s="843">
        <f t="shared" si="38"/>
        <v>-5.5128633478115363E-3</v>
      </c>
      <c r="P221" s="844">
        <f t="shared" si="44"/>
        <v>-8.2312737587782858E-3</v>
      </c>
      <c r="Q221" s="830"/>
      <c r="R221" s="845">
        <v>851.43</v>
      </c>
      <c r="S221" s="846">
        <f t="shared" si="39"/>
        <v>-8.3046030562802242E-3</v>
      </c>
      <c r="T221" s="845">
        <v>63.43</v>
      </c>
      <c r="U221" s="846">
        <f t="shared" si="40"/>
        <v>-1.1377805486284198E-2</v>
      </c>
      <c r="V221" s="845">
        <v>120.10209999999999</v>
      </c>
      <c r="W221" s="846">
        <f t="shared" si="41"/>
        <v>-7.3213932963545059E-3</v>
      </c>
      <c r="X221" s="845">
        <v>39282.33</v>
      </c>
      <c r="Y221" s="846">
        <f t="shared" si="42"/>
        <v>-7.9641569694377523E-4</v>
      </c>
      <c r="Z221" s="845">
        <v>5203.5842000000002</v>
      </c>
      <c r="AA221" s="846">
        <f t="shared" si="43"/>
        <v>-2.7983667736219964E-3</v>
      </c>
      <c r="AB221" s="843"/>
      <c r="AC221" s="832"/>
    </row>
    <row r="222" spans="1:29" ht="14.4" x14ac:dyDescent="0.55000000000000004">
      <c r="A222" s="857" t="s">
        <v>5381</v>
      </c>
      <c r="B222" s="842">
        <v>116.1</v>
      </c>
      <c r="C222" s="843">
        <f t="shared" si="34"/>
        <v>-4.0319121557862436E-3</v>
      </c>
      <c r="D222" s="842">
        <v>42.08</v>
      </c>
      <c r="E222" s="843">
        <f t="shared" si="35"/>
        <v>7.1343638525567243E-4</v>
      </c>
      <c r="F222" s="842">
        <v>27.15</v>
      </c>
      <c r="G222" s="843">
        <f t="shared" si="35"/>
        <v>1.8450184501843658E-3</v>
      </c>
      <c r="H222" s="842">
        <v>36.35</v>
      </c>
      <c r="I222" s="843">
        <f t="shared" si="35"/>
        <v>1.2816940651992237E-2</v>
      </c>
      <c r="J222" s="842">
        <v>62.5</v>
      </c>
      <c r="K222" s="843">
        <f t="shared" si="36"/>
        <v>1.4420765902900534E-3</v>
      </c>
      <c r="L222" s="842">
        <v>72.28</v>
      </c>
      <c r="M222" s="843">
        <f t="shared" si="37"/>
        <v>7.9486821921630479E-3</v>
      </c>
      <c r="N222" s="842">
        <v>59.86</v>
      </c>
      <c r="O222" s="843">
        <f t="shared" si="38"/>
        <v>1.5057721264848389E-3</v>
      </c>
      <c r="P222" s="844">
        <f t="shared" si="44"/>
        <v>3.177144891511996E-3</v>
      </c>
      <c r="Q222" s="830"/>
      <c r="R222" s="845">
        <v>858.56</v>
      </c>
      <c r="S222" s="846">
        <f t="shared" si="39"/>
        <v>2.2134976758270142E-4</v>
      </c>
      <c r="T222" s="845">
        <v>64.16</v>
      </c>
      <c r="U222" s="846">
        <f t="shared" si="40"/>
        <v>4.6977763858440102E-3</v>
      </c>
      <c r="V222" s="845">
        <v>120.9879</v>
      </c>
      <c r="W222" s="846">
        <f t="shared" si="41"/>
        <v>-4.0320157526855249E-3</v>
      </c>
      <c r="X222" s="845">
        <v>39313.64</v>
      </c>
      <c r="Y222" s="846">
        <f t="shared" si="42"/>
        <v>-4.1103559386866939E-3</v>
      </c>
      <c r="Z222" s="845">
        <v>5218.1866</v>
      </c>
      <c r="AA222" s="846">
        <f t="shared" si="43"/>
        <v>-3.055588400559528E-3</v>
      </c>
      <c r="AB222" s="843"/>
      <c r="AC222" s="832"/>
    </row>
    <row r="223" spans="1:29" ht="14.4" x14ac:dyDescent="0.55000000000000004">
      <c r="A223" s="857" t="s">
        <v>5382</v>
      </c>
      <c r="B223" s="842">
        <v>116.57</v>
      </c>
      <c r="C223" s="843">
        <f t="shared" si="34"/>
        <v>-2.2254557904648475E-3</v>
      </c>
      <c r="D223" s="842">
        <v>42.05</v>
      </c>
      <c r="E223" s="843">
        <f t="shared" si="35"/>
        <v>6.4624222115843288E-3</v>
      </c>
      <c r="F223" s="842">
        <v>27.1</v>
      </c>
      <c r="G223" s="843">
        <f t="shared" si="35"/>
        <v>0</v>
      </c>
      <c r="H223" s="842">
        <v>35.89</v>
      </c>
      <c r="I223" s="843">
        <f t="shared" si="35"/>
        <v>-1.644286105782411E-2</v>
      </c>
      <c r="J223" s="842">
        <v>62.41</v>
      </c>
      <c r="K223" s="843">
        <f t="shared" si="36"/>
        <v>-8.8931237097030769E-3</v>
      </c>
      <c r="L223" s="842">
        <v>71.709999999999994</v>
      </c>
      <c r="M223" s="843">
        <f t="shared" si="37"/>
        <v>-1.6706111652513567E-3</v>
      </c>
      <c r="N223" s="842">
        <v>59.77</v>
      </c>
      <c r="O223" s="843">
        <f t="shared" si="38"/>
        <v>1.8437814280927167E-3</v>
      </c>
      <c r="P223" s="844">
        <f t="shared" si="44"/>
        <v>-2.9894068690809066E-3</v>
      </c>
      <c r="Q223" s="830"/>
      <c r="R223" s="845">
        <v>858.37</v>
      </c>
      <c r="S223" s="846">
        <f t="shared" si="39"/>
        <v>-6.2870382228630284E-4</v>
      </c>
      <c r="T223" s="845">
        <v>63.86</v>
      </c>
      <c r="U223" s="846">
        <f t="shared" si="40"/>
        <v>1.4113219382154707E-3</v>
      </c>
      <c r="V223" s="845">
        <v>121.4777</v>
      </c>
      <c r="W223" s="846">
        <f t="shared" si="41"/>
        <v>-2.2250769208023158E-3</v>
      </c>
      <c r="X223" s="845">
        <v>39475.9</v>
      </c>
      <c r="Y223" s="846">
        <f t="shared" si="42"/>
        <v>-7.6787199636413339E-3</v>
      </c>
      <c r="Z223" s="845">
        <v>5234.1800999999996</v>
      </c>
      <c r="AA223" s="846">
        <f t="shared" si="43"/>
        <v>-1.4027766839502798E-3</v>
      </c>
      <c r="AB223" s="843"/>
      <c r="AC223" s="832"/>
    </row>
    <row r="224" spans="1:29" ht="14.4" x14ac:dyDescent="0.55000000000000004">
      <c r="A224" s="857" t="s">
        <v>5383</v>
      </c>
      <c r="B224" s="842">
        <v>116.83</v>
      </c>
      <c r="C224" s="843">
        <f t="shared" si="34"/>
        <v>2.8326180257509659E-3</v>
      </c>
      <c r="D224" s="842">
        <v>41.78</v>
      </c>
      <c r="E224" s="843">
        <f t="shared" si="35"/>
        <v>-5.2380952380952639E-3</v>
      </c>
      <c r="F224" s="842">
        <v>27.1</v>
      </c>
      <c r="G224" s="843">
        <f t="shared" si="35"/>
        <v>8.9352196574832288E-3</v>
      </c>
      <c r="H224" s="842">
        <v>36.49</v>
      </c>
      <c r="I224" s="843">
        <f t="shared" si="35"/>
        <v>8.2281952825025151E-4</v>
      </c>
      <c r="J224" s="842">
        <v>62.97</v>
      </c>
      <c r="K224" s="843">
        <f t="shared" si="36"/>
        <v>9.5374344301379921E-4</v>
      </c>
      <c r="L224" s="842">
        <v>71.83</v>
      </c>
      <c r="M224" s="843">
        <f t="shared" si="37"/>
        <v>2.0926339285713969E-3</v>
      </c>
      <c r="N224" s="842">
        <v>59.66</v>
      </c>
      <c r="O224" s="843">
        <f t="shared" si="38"/>
        <v>-5.0033355570381355E-3</v>
      </c>
      <c r="P224" s="844">
        <f t="shared" si="44"/>
        <v>7.7080054113374901E-4</v>
      </c>
      <c r="Q224" s="830"/>
      <c r="R224" s="845">
        <v>858.91</v>
      </c>
      <c r="S224" s="846">
        <f t="shared" si="39"/>
        <v>2.2125954909624213E-4</v>
      </c>
      <c r="T224" s="845">
        <v>63.77</v>
      </c>
      <c r="U224" s="846">
        <f t="shared" si="40"/>
        <v>-1.565680288085125E-3</v>
      </c>
      <c r="V224" s="845">
        <v>121.7486</v>
      </c>
      <c r="W224" s="846">
        <f t="shared" si="41"/>
        <v>2.8318484936344923E-3</v>
      </c>
      <c r="X224" s="845">
        <v>39781.370000000003</v>
      </c>
      <c r="Y224" s="846">
        <f t="shared" si="42"/>
        <v>6.8141099960949969E-3</v>
      </c>
      <c r="Z224" s="845">
        <v>5241.5328</v>
      </c>
      <c r="AA224" s="846">
        <f t="shared" si="43"/>
        <v>3.2365204824722493E-3</v>
      </c>
      <c r="AB224" s="843"/>
      <c r="AC224" s="832"/>
    </row>
    <row r="225" spans="1:29" ht="14.4" x14ac:dyDescent="0.55000000000000004">
      <c r="A225" s="857" t="s">
        <v>5384</v>
      </c>
      <c r="B225" s="842">
        <v>116.5</v>
      </c>
      <c r="C225" s="843">
        <f t="shared" si="34"/>
        <v>6.2186906201415759E-3</v>
      </c>
      <c r="D225" s="842">
        <v>42</v>
      </c>
      <c r="E225" s="843">
        <f t="shared" si="35"/>
        <v>4.5443673762257664E-3</v>
      </c>
      <c r="F225" s="842">
        <v>26.86</v>
      </c>
      <c r="G225" s="843">
        <f t="shared" si="35"/>
        <v>7.4515648286133107E-4</v>
      </c>
      <c r="H225" s="842">
        <v>36.46</v>
      </c>
      <c r="I225" s="843">
        <f t="shared" si="35"/>
        <v>1.0812309398392062E-2</v>
      </c>
      <c r="J225" s="842">
        <v>62.91</v>
      </c>
      <c r="K225" s="843">
        <f t="shared" si="36"/>
        <v>1.0927205527880401E-2</v>
      </c>
      <c r="L225" s="842">
        <v>71.680000000000007</v>
      </c>
      <c r="M225" s="843">
        <f t="shared" si="37"/>
        <v>1.6305118389337903E-2</v>
      </c>
      <c r="N225" s="842">
        <v>59.96</v>
      </c>
      <c r="O225" s="843">
        <f t="shared" si="38"/>
        <v>1.1812352345595745E-2</v>
      </c>
      <c r="P225" s="844">
        <f t="shared" si="44"/>
        <v>8.7664571629192545E-3</v>
      </c>
      <c r="Q225" s="830"/>
      <c r="R225" s="845">
        <v>858.72</v>
      </c>
      <c r="S225" s="846">
        <f t="shared" si="39"/>
        <v>-1.0702154390209717E-3</v>
      </c>
      <c r="T225" s="845">
        <v>63.87</v>
      </c>
      <c r="U225" s="846">
        <f t="shared" si="40"/>
        <v>1.2541150650571264E-3</v>
      </c>
      <c r="V225" s="845">
        <v>121.40479999999999</v>
      </c>
      <c r="W225" s="846">
        <f t="shared" si="41"/>
        <v>6.2194167804903167E-3</v>
      </c>
      <c r="X225" s="845">
        <v>39512.129999999997</v>
      </c>
      <c r="Y225" s="846">
        <f t="shared" si="42"/>
        <v>1.0262393264666603E-2</v>
      </c>
      <c r="Z225" s="845">
        <v>5224.6232</v>
      </c>
      <c r="AA225" s="846">
        <f t="shared" si="43"/>
        <v>8.9048599372023585E-3</v>
      </c>
      <c r="AB225" s="843"/>
      <c r="AC225" s="832"/>
    </row>
    <row r="226" spans="1:29" ht="14.4" x14ac:dyDescent="0.55000000000000004">
      <c r="A226" s="857" t="s">
        <v>5385</v>
      </c>
      <c r="B226" s="842">
        <v>115.78</v>
      </c>
      <c r="C226" s="843">
        <f t="shared" si="34"/>
        <v>3.2059613551684851E-3</v>
      </c>
      <c r="D226" s="842">
        <v>41.81</v>
      </c>
      <c r="E226" s="843">
        <f t="shared" si="35"/>
        <v>1.3330101793504801E-2</v>
      </c>
      <c r="F226" s="842">
        <v>26.84</v>
      </c>
      <c r="G226" s="843">
        <f t="shared" si="35"/>
        <v>7.1294559099437382E-3</v>
      </c>
      <c r="H226" s="842">
        <v>36.07</v>
      </c>
      <c r="I226" s="843">
        <f t="shared" si="35"/>
        <v>5.0153246029533971E-3</v>
      </c>
      <c r="J226" s="842">
        <v>62.23</v>
      </c>
      <c r="K226" s="843">
        <f t="shared" si="36"/>
        <v>3.8715921922889418E-3</v>
      </c>
      <c r="L226" s="842">
        <v>70.53</v>
      </c>
      <c r="M226" s="843">
        <f t="shared" si="37"/>
        <v>8.2916368834882181E-3</v>
      </c>
      <c r="N226" s="842">
        <v>59.26</v>
      </c>
      <c r="O226" s="843">
        <f t="shared" si="38"/>
        <v>6.4538043478259421E-3</v>
      </c>
      <c r="P226" s="844">
        <f t="shared" si="44"/>
        <v>6.756839583596218E-3</v>
      </c>
      <c r="Q226" s="830"/>
      <c r="R226" s="845">
        <v>859.64</v>
      </c>
      <c r="S226" s="846">
        <f t="shared" si="39"/>
        <v>7.3709497861369488E-3</v>
      </c>
      <c r="T226" s="845">
        <v>63.79</v>
      </c>
      <c r="U226" s="846">
        <f t="shared" si="40"/>
        <v>8.8565554325479301E-3</v>
      </c>
      <c r="V226" s="845">
        <v>120.6544</v>
      </c>
      <c r="W226" s="846">
        <f t="shared" si="41"/>
        <v>3.2053174178860999E-3</v>
      </c>
      <c r="X226" s="845">
        <v>39110.76</v>
      </c>
      <c r="Y226" s="846">
        <f t="shared" si="42"/>
        <v>8.2579646577778387E-3</v>
      </c>
      <c r="Z226" s="845">
        <v>5178.5092999999997</v>
      </c>
      <c r="AA226" s="846">
        <f t="shared" si="43"/>
        <v>5.6495322043708107E-3</v>
      </c>
      <c r="AB226" s="843"/>
      <c r="AC226" s="832"/>
    </row>
    <row r="227" spans="1:29" ht="14.4" x14ac:dyDescent="0.55000000000000004">
      <c r="A227" s="857" t="s">
        <v>5386</v>
      </c>
      <c r="B227" s="842">
        <v>115.41</v>
      </c>
      <c r="C227" s="843">
        <f t="shared" si="34"/>
        <v>7.5076385857704153E-3</v>
      </c>
      <c r="D227" s="842">
        <v>41.26</v>
      </c>
      <c r="E227" s="843">
        <f t="shared" si="35"/>
        <v>-1.0788779669144155E-2</v>
      </c>
      <c r="F227" s="842">
        <v>26.65</v>
      </c>
      <c r="G227" s="843">
        <f t="shared" si="35"/>
        <v>5.6603773584904538E-3</v>
      </c>
      <c r="H227" s="842">
        <v>35.89</v>
      </c>
      <c r="I227" s="843">
        <f t="shared" si="35"/>
        <v>-1.2654745529573574E-2</v>
      </c>
      <c r="J227" s="842">
        <v>61.99</v>
      </c>
      <c r="K227" s="843">
        <f t="shared" si="36"/>
        <v>9.2803647020514024E-3</v>
      </c>
      <c r="L227" s="842">
        <v>69.95</v>
      </c>
      <c r="M227" s="843">
        <f t="shared" si="37"/>
        <v>-1.5620602307908849E-2</v>
      </c>
      <c r="N227" s="842">
        <v>58.88</v>
      </c>
      <c r="O227" s="843">
        <f t="shared" si="38"/>
        <v>-1.1914750797113571E-2</v>
      </c>
      <c r="P227" s="844">
        <f t="shared" si="44"/>
        <v>-4.0757853796325539E-3</v>
      </c>
      <c r="Q227" s="830"/>
      <c r="R227" s="845">
        <v>853.35</v>
      </c>
      <c r="S227" s="846">
        <f t="shared" si="39"/>
        <v>3.5987721836079345E-3</v>
      </c>
      <c r="T227" s="845">
        <v>63.23</v>
      </c>
      <c r="U227" s="846">
        <f t="shared" si="40"/>
        <v>-3.6243302867948746E-3</v>
      </c>
      <c r="V227" s="845">
        <v>120.2689</v>
      </c>
      <c r="W227" s="846">
        <f t="shared" si="41"/>
        <v>7.5075792036203293E-3</v>
      </c>
      <c r="X227" s="845">
        <v>38790.43</v>
      </c>
      <c r="Y227" s="846">
        <f t="shared" si="42"/>
        <v>1.9542928964837447E-3</v>
      </c>
      <c r="Z227" s="845">
        <v>5149.4174999999996</v>
      </c>
      <c r="AA227" s="846">
        <f t="shared" si="43"/>
        <v>6.3179094704679528E-3</v>
      </c>
      <c r="AB227" s="843"/>
      <c r="AC227" s="832"/>
    </row>
    <row r="228" spans="1:29" ht="14.4" x14ac:dyDescent="0.55000000000000004">
      <c r="A228" s="857" t="s">
        <v>5387</v>
      </c>
      <c r="B228" s="842">
        <v>114.55</v>
      </c>
      <c r="C228" s="843">
        <f t="shared" si="34"/>
        <v>-3.0461270670149032E-3</v>
      </c>
      <c r="D228" s="842">
        <v>41.71</v>
      </c>
      <c r="E228" s="843">
        <f t="shared" si="35"/>
        <v>-7.1873502635366737E-4</v>
      </c>
      <c r="F228" s="842">
        <v>26.5</v>
      </c>
      <c r="G228" s="843">
        <f t="shared" si="35"/>
        <v>5.3110773899849306E-3</v>
      </c>
      <c r="H228" s="842">
        <v>36.35</v>
      </c>
      <c r="I228" s="843">
        <f t="shared" si="35"/>
        <v>5.2544247787611464E-3</v>
      </c>
      <c r="J228" s="842">
        <v>61.42</v>
      </c>
      <c r="K228" s="843">
        <f t="shared" si="36"/>
        <v>4.8867893793769213E-4</v>
      </c>
      <c r="L228" s="842">
        <v>71.06</v>
      </c>
      <c r="M228" s="843">
        <f t="shared" si="37"/>
        <v>-4.220002813335455E-4</v>
      </c>
      <c r="N228" s="842">
        <v>59.59</v>
      </c>
      <c r="O228" s="843">
        <f t="shared" si="38"/>
        <v>-3.6783146630997576E-3</v>
      </c>
      <c r="P228" s="844">
        <f t="shared" si="44"/>
        <v>4.555720098402708E-4</v>
      </c>
      <c r="Q228" s="830"/>
      <c r="R228" s="845">
        <v>850.29</v>
      </c>
      <c r="S228" s="846">
        <f t="shared" si="39"/>
        <v>-1.151221116684531E-3</v>
      </c>
      <c r="T228" s="845">
        <v>63.46</v>
      </c>
      <c r="U228" s="846">
        <f t="shared" si="40"/>
        <v>1.4202303929304883E-3</v>
      </c>
      <c r="V228" s="845">
        <v>119.37269999999999</v>
      </c>
      <c r="W228" s="846">
        <f t="shared" si="41"/>
        <v>-3.0458319622774788E-3</v>
      </c>
      <c r="X228" s="845">
        <v>38714.769999999997</v>
      </c>
      <c r="Y228" s="846">
        <f t="shared" si="42"/>
        <v>-4.9064840437099688E-3</v>
      </c>
      <c r="Z228" s="845">
        <v>5117.0882000000001</v>
      </c>
      <c r="AA228" s="846">
        <f t="shared" si="43"/>
        <v>-6.4832211072215484E-3</v>
      </c>
      <c r="AB228" s="843"/>
      <c r="AC228" s="832"/>
    </row>
    <row r="229" spans="1:29" ht="14.4" x14ac:dyDescent="0.55000000000000004">
      <c r="A229" s="857" t="s">
        <v>5388</v>
      </c>
      <c r="B229" s="842">
        <v>114.9</v>
      </c>
      <c r="C229" s="843">
        <f t="shared" si="34"/>
        <v>-1.1442828873784672E-2</v>
      </c>
      <c r="D229" s="842">
        <v>41.74</v>
      </c>
      <c r="E229" s="843">
        <f t="shared" si="35"/>
        <v>-1.4170996693434135E-2</v>
      </c>
      <c r="F229" s="842">
        <v>26.36</v>
      </c>
      <c r="G229" s="843">
        <f t="shared" si="35"/>
        <v>-1.0881801125703583E-2</v>
      </c>
      <c r="H229" s="842">
        <v>36.159999999999997</v>
      </c>
      <c r="I229" s="843">
        <f t="shared" si="35"/>
        <v>-2.16450216450218E-2</v>
      </c>
      <c r="J229" s="842">
        <v>61.39</v>
      </c>
      <c r="K229" s="843">
        <f t="shared" si="36"/>
        <v>-1.3656812339331692E-2</v>
      </c>
      <c r="L229" s="842">
        <v>71.09</v>
      </c>
      <c r="M229" s="843">
        <f t="shared" si="37"/>
        <v>-1.2501736352271031E-2</v>
      </c>
      <c r="N229" s="842">
        <v>59.81</v>
      </c>
      <c r="O229" s="843">
        <f t="shared" si="38"/>
        <v>-9.9321304419797141E-3</v>
      </c>
      <c r="P229" s="844">
        <f t="shared" si="44"/>
        <v>-1.3461618210218089E-2</v>
      </c>
      <c r="Q229" s="830"/>
      <c r="R229" s="845">
        <v>851.27</v>
      </c>
      <c r="S229" s="846">
        <f t="shared" si="39"/>
        <v>-9.194920679260199E-3</v>
      </c>
      <c r="T229" s="845">
        <v>63.37</v>
      </c>
      <c r="U229" s="846">
        <f t="shared" si="40"/>
        <v>-7.9837194740138839E-3</v>
      </c>
      <c r="V229" s="845">
        <v>119.73739999999999</v>
      </c>
      <c r="W229" s="846">
        <f t="shared" si="41"/>
        <v>-1.1442875612804881E-2</v>
      </c>
      <c r="X229" s="845">
        <v>38905.660000000003</v>
      </c>
      <c r="Y229" s="846">
        <f t="shared" si="42"/>
        <v>-3.525827209366339E-3</v>
      </c>
      <c r="Z229" s="845">
        <v>5150.4799000000003</v>
      </c>
      <c r="AA229" s="846">
        <f t="shared" si="43"/>
        <v>-2.8714626119672459E-3</v>
      </c>
      <c r="AB229" s="843"/>
      <c r="AC229" s="832"/>
    </row>
    <row r="230" spans="1:29" ht="14.4" x14ac:dyDescent="0.55000000000000004">
      <c r="A230" s="857" t="s">
        <v>5389</v>
      </c>
      <c r="B230" s="842">
        <v>116.23</v>
      </c>
      <c r="C230" s="843">
        <f t="shared" si="34"/>
        <v>-2.4888431170614345E-3</v>
      </c>
      <c r="D230" s="842">
        <v>42.34</v>
      </c>
      <c r="E230" s="843">
        <f t="shared" si="35"/>
        <v>-1.0053776011222815E-2</v>
      </c>
      <c r="F230" s="842">
        <v>26.65</v>
      </c>
      <c r="G230" s="843">
        <f t="shared" si="35"/>
        <v>-6.3385533184191489E-3</v>
      </c>
      <c r="H230" s="842">
        <v>36.96</v>
      </c>
      <c r="I230" s="843">
        <f t="shared" si="35"/>
        <v>-2.0408163265306034E-2</v>
      </c>
      <c r="J230" s="842">
        <v>62.24</v>
      </c>
      <c r="K230" s="843">
        <f t="shared" si="36"/>
        <v>-1.3316423589093129E-2</v>
      </c>
      <c r="L230" s="842">
        <v>71.989999999999995</v>
      </c>
      <c r="M230" s="843">
        <f t="shared" si="37"/>
        <v>-1.9343413703855061E-2</v>
      </c>
      <c r="N230" s="842">
        <v>60.41</v>
      </c>
      <c r="O230" s="843">
        <f t="shared" si="38"/>
        <v>-9.1848450057405717E-3</v>
      </c>
      <c r="P230" s="844">
        <f t="shared" si="44"/>
        <v>-1.1590574001528313E-2</v>
      </c>
      <c r="Q230" s="830"/>
      <c r="R230" s="845">
        <v>859.17</v>
      </c>
      <c r="S230" s="846">
        <f t="shared" si="39"/>
        <v>4.3251078354586969E-3</v>
      </c>
      <c r="T230" s="845">
        <v>63.88</v>
      </c>
      <c r="U230" s="846">
        <f t="shared" si="40"/>
        <v>6.7769897557130587E-3</v>
      </c>
      <c r="V230" s="845">
        <v>121.1234</v>
      </c>
      <c r="W230" s="846">
        <f t="shared" si="41"/>
        <v>-2.4887667839401661E-3</v>
      </c>
      <c r="X230" s="845">
        <v>39043.32</v>
      </c>
      <c r="Y230" s="846">
        <f t="shared" si="42"/>
        <v>9.6986347306504683E-4</v>
      </c>
      <c r="Z230" s="845">
        <v>5165.3118999999997</v>
      </c>
      <c r="AA230" s="846">
        <f t="shared" si="43"/>
        <v>-1.9237072881024275E-3</v>
      </c>
      <c r="AB230" s="843"/>
      <c r="AC230" s="832"/>
    </row>
    <row r="231" spans="1:29" ht="14.4" x14ac:dyDescent="0.55000000000000004">
      <c r="A231" s="857" t="s">
        <v>5390</v>
      </c>
      <c r="B231" s="842">
        <v>116.52</v>
      </c>
      <c r="C231" s="843">
        <f t="shared" si="34"/>
        <v>-4.1025641025641546E-3</v>
      </c>
      <c r="D231" s="842">
        <v>42.77</v>
      </c>
      <c r="E231" s="843">
        <f t="shared" si="35"/>
        <v>-1.7007584463341607E-2</v>
      </c>
      <c r="F231" s="842">
        <v>26.82</v>
      </c>
      <c r="G231" s="843">
        <f t="shared" si="35"/>
        <v>-9.6011816838994513E-3</v>
      </c>
      <c r="H231" s="842">
        <v>37.729999999999997</v>
      </c>
      <c r="I231" s="843">
        <f t="shared" si="35"/>
        <v>-1.4882506527415185E-2</v>
      </c>
      <c r="J231" s="842">
        <v>63.08</v>
      </c>
      <c r="K231" s="843">
        <f t="shared" si="36"/>
        <v>-9.5026924295216197E-4</v>
      </c>
      <c r="L231" s="842">
        <v>73.41</v>
      </c>
      <c r="M231" s="843">
        <f t="shared" si="37"/>
        <v>-9.3117408906882027E-3</v>
      </c>
      <c r="N231" s="842">
        <v>60.97</v>
      </c>
      <c r="O231" s="843">
        <f t="shared" si="38"/>
        <v>-3.1066056245911966E-3</v>
      </c>
      <c r="P231" s="844">
        <f t="shared" si="44"/>
        <v>-8.4232075050645651E-3</v>
      </c>
      <c r="Q231" s="830"/>
      <c r="R231" s="845">
        <v>855.47</v>
      </c>
      <c r="S231" s="846">
        <f t="shared" si="39"/>
        <v>-9.8726851851851372E-3</v>
      </c>
      <c r="T231" s="845">
        <v>63.45</v>
      </c>
      <c r="U231" s="846">
        <f t="shared" si="40"/>
        <v>-9.6769158732634697E-3</v>
      </c>
      <c r="V231" s="845">
        <v>121.4256</v>
      </c>
      <c r="W231" s="846">
        <f t="shared" si="41"/>
        <v>-4.1024951240835605E-3</v>
      </c>
      <c r="X231" s="845">
        <v>39005.49</v>
      </c>
      <c r="Y231" s="846">
        <f t="shared" si="42"/>
        <v>6.0828493208346934E-3</v>
      </c>
      <c r="Z231" s="845">
        <v>5175.2676000000001</v>
      </c>
      <c r="AA231" s="846">
        <f t="shared" si="43"/>
        <v>1.1201935905109206E-2</v>
      </c>
      <c r="AB231" s="843"/>
      <c r="AC231" s="832"/>
    </row>
    <row r="232" spans="1:29" ht="14.4" x14ac:dyDescent="0.55000000000000004">
      <c r="A232" s="857" t="s">
        <v>5391</v>
      </c>
      <c r="B232" s="842">
        <v>117</v>
      </c>
      <c r="C232" s="843">
        <f t="shared" si="34"/>
        <v>1.0188223104817817E-2</v>
      </c>
      <c r="D232" s="842">
        <v>43.51</v>
      </c>
      <c r="E232" s="843">
        <f t="shared" si="35"/>
        <v>1.1390051139005042E-2</v>
      </c>
      <c r="F232" s="842">
        <v>27.08</v>
      </c>
      <c r="G232" s="843">
        <f t="shared" si="35"/>
        <v>2.5916327286188423E-3</v>
      </c>
      <c r="H232" s="842">
        <v>38.299999999999997</v>
      </c>
      <c r="I232" s="843">
        <f t="shared" si="35"/>
        <v>1.5915119363395069E-2</v>
      </c>
      <c r="J232" s="842">
        <v>63.14</v>
      </c>
      <c r="K232" s="843">
        <f t="shared" si="36"/>
        <v>1.5840329478855608E-4</v>
      </c>
      <c r="L232" s="842">
        <v>74.099999999999994</v>
      </c>
      <c r="M232" s="843">
        <f t="shared" si="37"/>
        <v>2.699784017277107E-4</v>
      </c>
      <c r="N232" s="842">
        <v>61.16</v>
      </c>
      <c r="O232" s="843">
        <f t="shared" si="38"/>
        <v>7.5782537067543565E-3</v>
      </c>
      <c r="P232" s="844">
        <f t="shared" si="44"/>
        <v>6.8702373913010562E-3</v>
      </c>
      <c r="Q232" s="830"/>
      <c r="R232" s="845">
        <v>864</v>
      </c>
      <c r="S232" s="846">
        <f t="shared" si="39"/>
        <v>9.7586630047332701E-3</v>
      </c>
      <c r="T232" s="845">
        <v>64.069999999999993</v>
      </c>
      <c r="U232" s="846">
        <f t="shared" si="40"/>
        <v>5.0196078431370417E-3</v>
      </c>
      <c r="V232" s="845">
        <v>121.9258</v>
      </c>
      <c r="W232" s="846">
        <f t="shared" si="41"/>
        <v>1.0188398796647125E-2</v>
      </c>
      <c r="X232" s="845">
        <v>38769.660000000003</v>
      </c>
      <c r="Y232" s="846">
        <f t="shared" si="42"/>
        <v>1.2129839120165187E-3</v>
      </c>
      <c r="Z232" s="845">
        <v>5117.9368000000004</v>
      </c>
      <c r="AA232" s="846">
        <f t="shared" si="43"/>
        <v>-1.1230770723081873E-3</v>
      </c>
      <c r="AB232" s="843"/>
      <c r="AC232" s="832"/>
    </row>
    <row r="233" spans="1:29" ht="14.4" x14ac:dyDescent="0.55000000000000004">
      <c r="A233" s="857" t="s">
        <v>5392</v>
      </c>
      <c r="B233" s="842">
        <v>115.82</v>
      </c>
      <c r="C233" s="843">
        <f t="shared" si="34"/>
        <v>1.9897915044553294E-3</v>
      </c>
      <c r="D233" s="842">
        <v>43.02</v>
      </c>
      <c r="E233" s="843">
        <f t="shared" si="35"/>
        <v>9.3066542577968647E-4</v>
      </c>
      <c r="F233" s="842">
        <v>27.01</v>
      </c>
      <c r="G233" s="843">
        <f t="shared" si="35"/>
        <v>1.4831294030404063E-3</v>
      </c>
      <c r="H233" s="842">
        <v>37.700000000000003</v>
      </c>
      <c r="I233" s="843">
        <f t="shared" si="35"/>
        <v>3.9946737683089761E-3</v>
      </c>
      <c r="J233" s="842">
        <v>63.13</v>
      </c>
      <c r="K233" s="843">
        <f t="shared" si="36"/>
        <v>7.1793235481811823E-3</v>
      </c>
      <c r="L233" s="842">
        <v>74.08</v>
      </c>
      <c r="M233" s="843">
        <f t="shared" si="37"/>
        <v>3.7940379403793578E-3</v>
      </c>
      <c r="N233" s="842">
        <v>60.7</v>
      </c>
      <c r="O233" s="843">
        <f t="shared" si="38"/>
        <v>-7.3589533932950646E-3</v>
      </c>
      <c r="P233" s="844">
        <f t="shared" si="44"/>
        <v>1.7160954566928391E-3</v>
      </c>
      <c r="Q233" s="830"/>
      <c r="R233" s="845">
        <v>855.65</v>
      </c>
      <c r="S233" s="846">
        <f t="shared" si="39"/>
        <v>2.9420728133717766E-3</v>
      </c>
      <c r="T233" s="845">
        <v>63.75</v>
      </c>
      <c r="U233" s="846">
        <f t="shared" si="40"/>
        <v>2.5161188866174022E-3</v>
      </c>
      <c r="V233" s="845">
        <v>120.6961</v>
      </c>
      <c r="W233" s="846">
        <f t="shared" si="41"/>
        <v>1.9899316267131262E-3</v>
      </c>
      <c r="X233" s="845">
        <v>38722.69</v>
      </c>
      <c r="Y233" s="846">
        <f t="shared" si="42"/>
        <v>-1.769982225418687E-3</v>
      </c>
      <c r="Z233" s="845">
        <v>5123.6911</v>
      </c>
      <c r="AA233" s="846">
        <f t="shared" si="43"/>
        <v>-6.5281858489091293E-3</v>
      </c>
      <c r="AB233" s="843"/>
      <c r="AC233" s="832"/>
    </row>
    <row r="234" spans="1:29" ht="14.4" x14ac:dyDescent="0.55000000000000004">
      <c r="A234" s="857" t="s">
        <v>5393</v>
      </c>
      <c r="B234" s="842">
        <v>115.59</v>
      </c>
      <c r="C234" s="843">
        <f t="shared" si="34"/>
        <v>3.3854166666666963E-3</v>
      </c>
      <c r="D234" s="842">
        <v>42.98</v>
      </c>
      <c r="E234" s="843">
        <f t="shared" si="35"/>
        <v>9.8684210526314153E-3</v>
      </c>
      <c r="F234" s="842">
        <v>26.97</v>
      </c>
      <c r="G234" s="843">
        <f t="shared" si="35"/>
        <v>3.7216226274654485E-3</v>
      </c>
      <c r="H234" s="842">
        <v>37.549999999999997</v>
      </c>
      <c r="I234" s="843">
        <f t="shared" si="35"/>
        <v>4.5478865703583171E-3</v>
      </c>
      <c r="J234" s="842">
        <v>62.68</v>
      </c>
      <c r="K234" s="843">
        <f t="shared" si="36"/>
        <v>1.2437409142303402E-2</v>
      </c>
      <c r="L234" s="842">
        <v>73.8</v>
      </c>
      <c r="M234" s="843">
        <f t="shared" si="37"/>
        <v>1.7509995863780548E-2</v>
      </c>
      <c r="N234" s="842">
        <v>61.15</v>
      </c>
      <c r="O234" s="843">
        <f t="shared" si="38"/>
        <v>6.7500823180770553E-3</v>
      </c>
      <c r="P234" s="844">
        <f t="shared" si="44"/>
        <v>8.3172620344689838E-3</v>
      </c>
      <c r="Q234" s="830"/>
      <c r="R234" s="845">
        <v>853.14</v>
      </c>
      <c r="S234" s="846">
        <f t="shared" si="39"/>
        <v>4.6869847849639878E-3</v>
      </c>
      <c r="T234" s="845">
        <v>63.59</v>
      </c>
      <c r="U234" s="846">
        <f t="shared" si="40"/>
        <v>6.4893953782843017E-3</v>
      </c>
      <c r="V234" s="845">
        <v>120.4564</v>
      </c>
      <c r="W234" s="846">
        <f t="shared" si="41"/>
        <v>3.3852561432736739E-3</v>
      </c>
      <c r="X234" s="845">
        <v>38791.35</v>
      </c>
      <c r="Y234" s="846">
        <f t="shared" si="42"/>
        <v>3.3703171538277399E-3</v>
      </c>
      <c r="Z234" s="845">
        <v>5157.3593000000001</v>
      </c>
      <c r="AA234" s="846">
        <f t="shared" si="43"/>
        <v>1.030452535529025E-2</v>
      </c>
      <c r="AB234" s="843"/>
      <c r="AC234" s="832"/>
    </row>
    <row r="235" spans="1:29" ht="14.4" x14ac:dyDescent="0.55000000000000004">
      <c r="A235" s="857" t="s">
        <v>5394</v>
      </c>
      <c r="B235" s="842">
        <v>115.2</v>
      </c>
      <c r="C235" s="843">
        <f t="shared" si="34"/>
        <v>6.4651406604927519E-3</v>
      </c>
      <c r="D235" s="842">
        <v>42.56</v>
      </c>
      <c r="E235" s="843">
        <f t="shared" si="35"/>
        <v>1.0686297791498545E-2</v>
      </c>
      <c r="F235" s="842">
        <v>26.87</v>
      </c>
      <c r="G235" s="843">
        <f t="shared" si="35"/>
        <v>1.0530274539300555E-2</v>
      </c>
      <c r="H235" s="842">
        <v>37.380000000000003</v>
      </c>
      <c r="I235" s="843">
        <f t="shared" si="35"/>
        <v>4.8387096774193949E-3</v>
      </c>
      <c r="J235" s="842">
        <v>61.91</v>
      </c>
      <c r="K235" s="843">
        <f t="shared" si="36"/>
        <v>7.1579632340978971E-3</v>
      </c>
      <c r="L235" s="842">
        <v>72.53</v>
      </c>
      <c r="M235" s="843">
        <f t="shared" si="37"/>
        <v>2.0974099099098975E-2</v>
      </c>
      <c r="N235" s="842">
        <v>60.74</v>
      </c>
      <c r="O235" s="843">
        <f t="shared" si="38"/>
        <v>0</v>
      </c>
      <c r="P235" s="844">
        <f t="shared" si="44"/>
        <v>8.6646407145583026E-3</v>
      </c>
      <c r="Q235" s="830"/>
      <c r="R235" s="845">
        <v>849.16</v>
      </c>
      <c r="S235" s="846">
        <f t="shared" si="39"/>
        <v>8.5155405646146765E-3</v>
      </c>
      <c r="T235" s="845">
        <v>63.18</v>
      </c>
      <c r="U235" s="846">
        <f t="shared" si="40"/>
        <v>9.5877277085330004E-3</v>
      </c>
      <c r="V235" s="845">
        <v>120.05</v>
      </c>
      <c r="W235" s="846">
        <f t="shared" si="41"/>
        <v>6.4646806769681486E-3</v>
      </c>
      <c r="X235" s="845">
        <v>38661.050000000003</v>
      </c>
      <c r="Y235" s="846">
        <f t="shared" si="42"/>
        <v>1.9660393016076583E-3</v>
      </c>
      <c r="Z235" s="845">
        <v>5104.7572</v>
      </c>
      <c r="AA235" s="846">
        <f t="shared" si="43"/>
        <v>5.1397870380616162E-3</v>
      </c>
      <c r="AB235" s="843"/>
      <c r="AC235" s="832"/>
    </row>
    <row r="236" spans="1:29" ht="14.4" x14ac:dyDescent="0.55000000000000004">
      <c r="A236" s="857" t="s">
        <v>5395</v>
      </c>
      <c r="B236" s="842">
        <v>114.46</v>
      </c>
      <c r="C236" s="843">
        <f t="shared" si="34"/>
        <v>-1.9183815835369655E-3</v>
      </c>
      <c r="D236" s="842">
        <v>42.11</v>
      </c>
      <c r="E236" s="843">
        <f t="shared" si="35"/>
        <v>-2.605400284225512E-3</v>
      </c>
      <c r="F236" s="842">
        <v>26.59</v>
      </c>
      <c r="G236" s="843">
        <f t="shared" si="35"/>
        <v>-7.5159714393080446E-4</v>
      </c>
      <c r="H236" s="842">
        <v>37.200000000000003</v>
      </c>
      <c r="I236" s="843">
        <f t="shared" si="35"/>
        <v>-1.27388535031846E-2</v>
      </c>
      <c r="J236" s="842">
        <v>61.47</v>
      </c>
      <c r="K236" s="843">
        <f t="shared" si="36"/>
        <v>1.385452746165261E-2</v>
      </c>
      <c r="L236" s="842">
        <v>71.040000000000006</v>
      </c>
      <c r="M236" s="843">
        <f t="shared" si="37"/>
        <v>1.2975901896478126E-2</v>
      </c>
      <c r="N236" s="842">
        <v>60.74</v>
      </c>
      <c r="O236" s="843">
        <f t="shared" si="38"/>
        <v>-2.7910031193563167E-3</v>
      </c>
      <c r="P236" s="844">
        <f t="shared" si="44"/>
        <v>8.6074196055664826E-4</v>
      </c>
      <c r="Q236" s="830"/>
      <c r="R236" s="845">
        <v>841.99</v>
      </c>
      <c r="S236" s="846">
        <f t="shared" si="39"/>
        <v>-6.2786937484509142E-3</v>
      </c>
      <c r="T236" s="845">
        <v>62.58</v>
      </c>
      <c r="U236" s="846">
        <f t="shared" si="40"/>
        <v>-2.8680688336519822E-3</v>
      </c>
      <c r="V236" s="845">
        <v>119.27889999999999</v>
      </c>
      <c r="W236" s="846">
        <f t="shared" si="41"/>
        <v>-1.9178616344833754E-3</v>
      </c>
      <c r="X236" s="845">
        <v>38585.19</v>
      </c>
      <c r="Y236" s="846">
        <f t="shared" si="42"/>
        <v>-1.0378090902166015E-2</v>
      </c>
      <c r="Z236" s="845">
        <v>5078.6540000000005</v>
      </c>
      <c r="AA236" s="846">
        <f t="shared" si="43"/>
        <v>-1.019211026295086E-2</v>
      </c>
      <c r="AB236" s="843"/>
      <c r="AC236" s="832"/>
    </row>
    <row r="237" spans="1:29" ht="14.4" x14ac:dyDescent="0.55000000000000004">
      <c r="A237" s="857" t="s">
        <v>5396</v>
      </c>
      <c r="B237" s="842">
        <v>114.68</v>
      </c>
      <c r="C237" s="843">
        <f t="shared" si="34"/>
        <v>1.7297968597533853E-2</v>
      </c>
      <c r="D237" s="842">
        <v>42.22</v>
      </c>
      <c r="E237" s="843">
        <f t="shared" si="35"/>
        <v>1.0773282259995076E-2</v>
      </c>
      <c r="F237" s="842">
        <v>26.61</v>
      </c>
      <c r="G237" s="843">
        <f t="shared" si="35"/>
        <v>1.8369690011481143E-2</v>
      </c>
      <c r="H237" s="842">
        <v>37.68</v>
      </c>
      <c r="I237" s="843">
        <f t="shared" si="35"/>
        <v>2.0308692120227567E-2</v>
      </c>
      <c r="J237" s="842">
        <v>60.63</v>
      </c>
      <c r="K237" s="843">
        <f t="shared" si="36"/>
        <v>1.9334229993275054E-2</v>
      </c>
      <c r="L237" s="842">
        <v>70.13</v>
      </c>
      <c r="M237" s="843">
        <f t="shared" si="37"/>
        <v>7.4701910645020853E-3</v>
      </c>
      <c r="N237" s="842">
        <v>60.91</v>
      </c>
      <c r="O237" s="843">
        <f t="shared" si="38"/>
        <v>2.1808421405804301E-2</v>
      </c>
      <c r="P237" s="844">
        <f t="shared" si="44"/>
        <v>1.6480353636117013E-2</v>
      </c>
      <c r="Q237" s="830"/>
      <c r="R237" s="845">
        <v>847.31</v>
      </c>
      <c r="S237" s="846">
        <f t="shared" si="39"/>
        <v>1.7130029770479283E-2</v>
      </c>
      <c r="T237" s="845">
        <v>62.76</v>
      </c>
      <c r="U237" s="846">
        <f t="shared" si="40"/>
        <v>1.6850291639662895E-2</v>
      </c>
      <c r="V237" s="845">
        <v>119.5081</v>
      </c>
      <c r="W237" s="846">
        <f t="shared" si="41"/>
        <v>1.729800129388126E-2</v>
      </c>
      <c r="X237" s="845">
        <v>38989.83</v>
      </c>
      <c r="Y237" s="846">
        <f t="shared" si="42"/>
        <v>-2.4956904248889522E-3</v>
      </c>
      <c r="Z237" s="845">
        <v>5130.9492</v>
      </c>
      <c r="AA237" s="846">
        <f t="shared" si="43"/>
        <v>-1.1941794681255002E-3</v>
      </c>
      <c r="AB237" s="843"/>
      <c r="AC237" s="832"/>
    </row>
    <row r="238" spans="1:29" ht="14.4" x14ac:dyDescent="0.55000000000000004">
      <c r="A238" s="857" t="s">
        <v>5397</v>
      </c>
      <c r="B238" s="842">
        <v>112.73</v>
      </c>
      <c r="C238" s="843">
        <f t="shared" si="34"/>
        <v>-1.5941900628818617E-3</v>
      </c>
      <c r="D238" s="842">
        <v>41.77</v>
      </c>
      <c r="E238" s="843">
        <f t="shared" si="35"/>
        <v>3.8452295121365054E-3</v>
      </c>
      <c r="F238" s="842">
        <v>26.13</v>
      </c>
      <c r="G238" s="843">
        <f t="shared" si="35"/>
        <v>2.6861089792786785E-3</v>
      </c>
      <c r="H238" s="842">
        <v>36.93</v>
      </c>
      <c r="I238" s="843">
        <f t="shared" si="35"/>
        <v>5.1714752313554158E-3</v>
      </c>
      <c r="J238" s="842">
        <v>59.48</v>
      </c>
      <c r="K238" s="843">
        <f t="shared" si="36"/>
        <v>-2.0134228187920211E-3</v>
      </c>
      <c r="L238" s="842">
        <v>69.61</v>
      </c>
      <c r="M238" s="843">
        <f t="shared" si="37"/>
        <v>2.1423330887747616E-2</v>
      </c>
      <c r="N238" s="842">
        <v>59.61</v>
      </c>
      <c r="O238" s="843">
        <f t="shared" si="38"/>
        <v>4.8887390424814381E-3</v>
      </c>
      <c r="P238" s="844">
        <f t="shared" si="44"/>
        <v>4.9153243959036818E-3</v>
      </c>
      <c r="Q238" s="830"/>
      <c r="R238" s="845">
        <v>833.04</v>
      </c>
      <c r="S238" s="846">
        <f t="shared" si="39"/>
        <v>-9.4178082191781476E-3</v>
      </c>
      <c r="T238" s="845">
        <v>61.72</v>
      </c>
      <c r="U238" s="846">
        <f t="shared" si="40"/>
        <v>-6.1191626409018429E-3</v>
      </c>
      <c r="V238" s="845">
        <v>117.476</v>
      </c>
      <c r="W238" s="846">
        <f t="shared" si="41"/>
        <v>-1.5943758307582767E-3</v>
      </c>
      <c r="X238" s="845">
        <v>39087.379999999997</v>
      </c>
      <c r="Y238" s="846">
        <f t="shared" si="42"/>
        <v>2.3332929022403803E-3</v>
      </c>
      <c r="Z238" s="845">
        <v>5137.0838000000003</v>
      </c>
      <c r="AA238" s="846">
        <f t="shared" si="43"/>
        <v>8.0086620222890037E-3</v>
      </c>
      <c r="AB238" s="843"/>
      <c r="AC238" s="832"/>
    </row>
    <row r="239" spans="1:29" ht="14.4" x14ac:dyDescent="0.55000000000000004">
      <c r="A239" s="857" t="s">
        <v>5398</v>
      </c>
      <c r="B239" s="842">
        <v>112.91</v>
      </c>
      <c r="C239" s="843">
        <f t="shared" si="34"/>
        <v>4.0014227280811276E-3</v>
      </c>
      <c r="D239" s="842">
        <v>41.61</v>
      </c>
      <c r="E239" s="843">
        <f t="shared" si="35"/>
        <v>6.5312046444121474E-3</v>
      </c>
      <c r="F239" s="842">
        <v>26.06</v>
      </c>
      <c r="G239" s="843">
        <f t="shared" si="35"/>
        <v>8.1237911025144882E-3</v>
      </c>
      <c r="H239" s="842">
        <v>36.74</v>
      </c>
      <c r="I239" s="843">
        <f t="shared" si="35"/>
        <v>-1.1036339165545028E-2</v>
      </c>
      <c r="J239" s="842">
        <v>59.6</v>
      </c>
      <c r="K239" s="843">
        <f t="shared" si="36"/>
        <v>2.523128679562614E-3</v>
      </c>
      <c r="L239" s="842">
        <v>68.150000000000006</v>
      </c>
      <c r="M239" s="843">
        <f t="shared" si="37"/>
        <v>1.6102579394662531E-2</v>
      </c>
      <c r="N239" s="842">
        <v>59.32</v>
      </c>
      <c r="O239" s="843">
        <f t="shared" si="38"/>
        <v>-8.4217618325743704E-4</v>
      </c>
      <c r="P239" s="844">
        <f t="shared" si="44"/>
        <v>3.6290873143472063E-3</v>
      </c>
      <c r="Q239" s="830"/>
      <c r="R239" s="845">
        <v>840.96</v>
      </c>
      <c r="S239" s="846">
        <f t="shared" si="39"/>
        <v>-4.8730047422651523E-4</v>
      </c>
      <c r="T239" s="845">
        <v>62.1</v>
      </c>
      <c r="U239" s="846">
        <f t="shared" si="40"/>
        <v>3.2216494845371813E-4</v>
      </c>
      <c r="V239" s="845">
        <v>117.6636</v>
      </c>
      <c r="W239" s="846">
        <f t="shared" si="41"/>
        <v>4.0010341764602497E-3</v>
      </c>
      <c r="X239" s="845">
        <v>38996.39</v>
      </c>
      <c r="Y239" s="846">
        <f t="shared" si="42"/>
        <v>1.2162051830830745E-3</v>
      </c>
      <c r="Z239" s="845">
        <v>5096.2695000000003</v>
      </c>
      <c r="AA239" s="846">
        <f t="shared" si="43"/>
        <v>5.2296397272728612E-3</v>
      </c>
      <c r="AB239" s="843"/>
      <c r="AC239" s="832"/>
    </row>
    <row r="240" spans="1:29" ht="14.4" x14ac:dyDescent="0.55000000000000004">
      <c r="A240" s="857" t="s">
        <v>5399</v>
      </c>
      <c r="B240" s="842">
        <v>112.46</v>
      </c>
      <c r="C240" s="843">
        <f t="shared" si="34"/>
        <v>-6.2205634053147385E-4</v>
      </c>
      <c r="D240" s="842">
        <v>41.34</v>
      </c>
      <c r="E240" s="843">
        <f t="shared" si="35"/>
        <v>-7.2516316171122863E-4</v>
      </c>
      <c r="F240" s="842">
        <v>25.85</v>
      </c>
      <c r="G240" s="843">
        <f t="shared" si="35"/>
        <v>-6.5334358186009966E-3</v>
      </c>
      <c r="H240" s="842">
        <v>37.15</v>
      </c>
      <c r="I240" s="843">
        <f t="shared" si="35"/>
        <v>1.5859994531036259E-2</v>
      </c>
      <c r="J240" s="842">
        <v>59.45</v>
      </c>
      <c r="K240" s="843">
        <f t="shared" si="36"/>
        <v>7.6271186440679539E-3</v>
      </c>
      <c r="L240" s="842">
        <v>67.069999999999993</v>
      </c>
      <c r="M240" s="843">
        <f t="shared" si="37"/>
        <v>7.2605149528226276E-2</v>
      </c>
      <c r="N240" s="842">
        <v>59.37</v>
      </c>
      <c r="O240" s="843">
        <f t="shared" si="38"/>
        <v>5.0787201625190903E-3</v>
      </c>
      <c r="P240" s="844">
        <f t="shared" si="44"/>
        <v>1.3327189649286555E-2</v>
      </c>
      <c r="Q240" s="830"/>
      <c r="R240" s="845">
        <v>841.37</v>
      </c>
      <c r="S240" s="846">
        <f t="shared" si="39"/>
        <v>-1.1752694809820108E-3</v>
      </c>
      <c r="T240" s="845">
        <v>62.08</v>
      </c>
      <c r="U240" s="846">
        <f t="shared" si="40"/>
        <v>3.0699628372918841E-3</v>
      </c>
      <c r="V240" s="845">
        <v>117.1947</v>
      </c>
      <c r="W240" s="846">
        <f t="shared" si="41"/>
        <v>-6.2165508631539801E-4</v>
      </c>
      <c r="X240" s="845">
        <v>38949.019999999997</v>
      </c>
      <c r="Y240" s="846">
        <f t="shared" si="42"/>
        <v>-6.0016817025188018E-4</v>
      </c>
      <c r="Z240" s="845">
        <v>5069.7565000000004</v>
      </c>
      <c r="AA240" s="846">
        <f t="shared" si="43"/>
        <v>-1.6592550582811283E-3</v>
      </c>
      <c r="AB240" s="843"/>
      <c r="AC240" s="832"/>
    </row>
    <row r="241" spans="1:29" ht="14.4" x14ac:dyDescent="0.55000000000000004">
      <c r="A241" s="857" t="s">
        <v>5400</v>
      </c>
      <c r="B241" s="842">
        <v>112.53</v>
      </c>
      <c r="C241" s="843">
        <f t="shared" si="34"/>
        <v>8.1526608134743217E-3</v>
      </c>
      <c r="D241" s="842">
        <v>41.37</v>
      </c>
      <c r="E241" s="843">
        <f t="shared" si="35"/>
        <v>1.1738811445341168E-2</v>
      </c>
      <c r="F241" s="842">
        <v>26.02</v>
      </c>
      <c r="G241" s="843">
        <f t="shared" si="35"/>
        <v>1.2057565149747207E-2</v>
      </c>
      <c r="H241" s="842">
        <v>36.57</v>
      </c>
      <c r="I241" s="843">
        <f t="shared" si="35"/>
        <v>-8.1967213114753079E-4</v>
      </c>
      <c r="J241" s="842">
        <v>59</v>
      </c>
      <c r="K241" s="843">
        <f t="shared" si="36"/>
        <v>1.1486370649751443E-2</v>
      </c>
      <c r="L241" s="842">
        <v>62.53</v>
      </c>
      <c r="M241" s="843">
        <f t="shared" si="37"/>
        <v>1.4603277624533506E-2</v>
      </c>
      <c r="N241" s="842">
        <v>59.07</v>
      </c>
      <c r="O241" s="843">
        <f t="shared" si="38"/>
        <v>9.2260379292670169E-3</v>
      </c>
      <c r="P241" s="844">
        <f t="shared" si="44"/>
        <v>9.4921502115667324E-3</v>
      </c>
      <c r="Q241" s="830"/>
      <c r="R241" s="845">
        <v>842.36</v>
      </c>
      <c r="S241" s="846">
        <f t="shared" si="39"/>
        <v>1.1564372605766593E-2</v>
      </c>
      <c r="T241" s="845">
        <v>61.89</v>
      </c>
      <c r="U241" s="846">
        <f t="shared" si="40"/>
        <v>1.8933157721435556E-2</v>
      </c>
      <c r="V241" s="845">
        <v>117.2676</v>
      </c>
      <c r="W241" s="846">
        <f t="shared" si="41"/>
        <v>8.1525593775066962E-3</v>
      </c>
      <c r="X241" s="845">
        <v>38972.410000000003</v>
      </c>
      <c r="Y241" s="846">
        <f t="shared" si="42"/>
        <v>-2.4781650419012369E-3</v>
      </c>
      <c r="Z241" s="845">
        <v>5078.1824999999999</v>
      </c>
      <c r="AA241" s="846">
        <f t="shared" si="43"/>
        <v>1.7066669191554418E-3</v>
      </c>
      <c r="AB241" s="843"/>
      <c r="AC241" s="832"/>
    </row>
    <row r="242" spans="1:29" ht="14.4" x14ac:dyDescent="0.55000000000000004">
      <c r="A242" s="857" t="s">
        <v>5401</v>
      </c>
      <c r="B242" s="842">
        <v>111.62</v>
      </c>
      <c r="C242" s="843">
        <f t="shared" si="34"/>
        <v>-1.0109968073785058E-2</v>
      </c>
      <c r="D242" s="842">
        <v>40.89</v>
      </c>
      <c r="E242" s="843">
        <f t="shared" si="35"/>
        <v>-1.2795750845002396E-2</v>
      </c>
      <c r="F242" s="842">
        <v>25.71</v>
      </c>
      <c r="G242" s="843">
        <f t="shared" si="35"/>
        <v>-1.5696784073506942E-2</v>
      </c>
      <c r="H242" s="842">
        <v>36.6</v>
      </c>
      <c r="I242" s="843">
        <f t="shared" si="35"/>
        <v>2.0920502092050208E-2</v>
      </c>
      <c r="J242" s="842">
        <v>58.33</v>
      </c>
      <c r="K242" s="843">
        <f t="shared" si="36"/>
        <v>-1.7020559487698095E-2</v>
      </c>
      <c r="L242" s="842">
        <v>61.63</v>
      </c>
      <c r="M242" s="843">
        <f t="shared" si="37"/>
        <v>-2.4996044929599726E-2</v>
      </c>
      <c r="N242" s="842">
        <v>58.53</v>
      </c>
      <c r="O242" s="843">
        <f t="shared" si="38"/>
        <v>-1.0314507947243867E-2</v>
      </c>
      <c r="P242" s="844">
        <f t="shared" si="44"/>
        <v>-1.000187332354084E-2</v>
      </c>
      <c r="Q242" s="830"/>
      <c r="R242" s="845">
        <v>832.73</v>
      </c>
      <c r="S242" s="846">
        <f t="shared" si="39"/>
        <v>-1.9221482833755354E-2</v>
      </c>
      <c r="T242" s="845">
        <v>60.74</v>
      </c>
      <c r="U242" s="846">
        <f t="shared" si="40"/>
        <v>-1.969012265978054E-2</v>
      </c>
      <c r="V242" s="845">
        <v>116.3193</v>
      </c>
      <c r="W242" s="846">
        <f t="shared" si="41"/>
        <v>-1.0110010186601182E-2</v>
      </c>
      <c r="X242" s="845">
        <v>39069.230000000003</v>
      </c>
      <c r="Y242" s="846">
        <f t="shared" si="42"/>
        <v>-1.5920665509372434E-3</v>
      </c>
      <c r="Z242" s="845">
        <v>5069.5304999999998</v>
      </c>
      <c r="AA242" s="846">
        <f t="shared" si="43"/>
        <v>-3.7866295351877133E-3</v>
      </c>
      <c r="AB242" s="843"/>
      <c r="AC242" s="832"/>
    </row>
    <row r="243" spans="1:29" ht="14.4" x14ac:dyDescent="0.55000000000000004">
      <c r="A243" s="857" t="s">
        <v>5402</v>
      </c>
      <c r="B243" s="842">
        <v>112.76</v>
      </c>
      <c r="C243" s="843">
        <f t="shared" si="34"/>
        <v>-1.2522988002451996E-2</v>
      </c>
      <c r="D243" s="842">
        <v>41.42</v>
      </c>
      <c r="E243" s="843">
        <f t="shared" si="35"/>
        <v>-5.2833813640730254E-3</v>
      </c>
      <c r="F243" s="842">
        <v>26.12</v>
      </c>
      <c r="G243" s="843">
        <f t="shared" si="35"/>
        <v>3.0721966205837781E-3</v>
      </c>
      <c r="H243" s="842">
        <v>35.85</v>
      </c>
      <c r="I243" s="843">
        <f t="shared" si="35"/>
        <v>-9.8340040241448601E-2</v>
      </c>
      <c r="J243" s="842">
        <v>59.34</v>
      </c>
      <c r="K243" s="843">
        <f t="shared" si="36"/>
        <v>-2.1760633036597365E-2</v>
      </c>
      <c r="L243" s="842">
        <v>63.21</v>
      </c>
      <c r="M243" s="843">
        <f t="shared" si="37"/>
        <v>1.0551558752997625E-2</v>
      </c>
      <c r="N243" s="842">
        <v>59.14</v>
      </c>
      <c r="O243" s="843">
        <f t="shared" si="38"/>
        <v>-7.7181208053691552E-3</v>
      </c>
      <c r="P243" s="844">
        <f t="shared" si="44"/>
        <v>-1.885734401090839E-2</v>
      </c>
      <c r="Q243" s="830"/>
      <c r="R243" s="845">
        <v>849.05</v>
      </c>
      <c r="S243" s="846">
        <f t="shared" si="39"/>
        <v>3.7119788157131683E-3</v>
      </c>
      <c r="T243" s="845">
        <v>61.96</v>
      </c>
      <c r="U243" s="846">
        <f t="shared" si="40"/>
        <v>7.152145643693153E-3</v>
      </c>
      <c r="V243" s="845">
        <v>117.5073</v>
      </c>
      <c r="W243" s="846">
        <f t="shared" si="41"/>
        <v>-1.252295216286059E-2</v>
      </c>
      <c r="X243" s="845">
        <v>39131.53</v>
      </c>
      <c r="Y243" s="846">
        <f t="shared" si="42"/>
        <v>1.5976816467024868E-3</v>
      </c>
      <c r="Z243" s="845">
        <v>5088.7999</v>
      </c>
      <c r="AA243" s="846">
        <f t="shared" si="43"/>
        <v>3.4745208227882074E-4</v>
      </c>
      <c r="AB243" s="843"/>
      <c r="AC243" s="832"/>
    </row>
    <row r="244" spans="1:29" ht="14.4" x14ac:dyDescent="0.55000000000000004">
      <c r="A244" s="857" t="s">
        <v>5403</v>
      </c>
      <c r="B244" s="842">
        <v>114.19</v>
      </c>
      <c r="C244" s="843">
        <f t="shared" si="34"/>
        <v>-4.3595779928502498E-3</v>
      </c>
      <c r="D244" s="842">
        <v>41.64</v>
      </c>
      <c r="E244" s="843">
        <f t="shared" si="35"/>
        <v>-8.8074268031420599E-3</v>
      </c>
      <c r="F244" s="842">
        <v>26.04</v>
      </c>
      <c r="G244" s="843">
        <f t="shared" si="35"/>
        <v>-8.0000000000000071E-3</v>
      </c>
      <c r="H244" s="842">
        <v>39.76</v>
      </c>
      <c r="I244" s="843">
        <f t="shared" si="35"/>
        <v>2.289683560586564E-2</v>
      </c>
      <c r="J244" s="842">
        <v>60.66</v>
      </c>
      <c r="K244" s="843">
        <f t="shared" si="36"/>
        <v>4.4709388971684305E-3</v>
      </c>
      <c r="L244" s="842">
        <v>62.55</v>
      </c>
      <c r="M244" s="843">
        <f t="shared" si="37"/>
        <v>1.0990787134313784E-2</v>
      </c>
      <c r="N244" s="842">
        <v>59.6</v>
      </c>
      <c r="O244" s="843">
        <f t="shared" si="38"/>
        <v>-2.1764607399965552E-3</v>
      </c>
      <c r="P244" s="844">
        <f t="shared" si="44"/>
        <v>2.145013728765569E-3</v>
      </c>
      <c r="Q244" s="830"/>
      <c r="R244" s="845">
        <v>845.91</v>
      </c>
      <c r="S244" s="846">
        <f t="shared" si="39"/>
        <v>-9.6818000889742351E-3</v>
      </c>
      <c r="T244" s="845">
        <v>61.52</v>
      </c>
      <c r="U244" s="846">
        <f t="shared" si="40"/>
        <v>-7.7419354838709209E-3</v>
      </c>
      <c r="V244" s="845">
        <v>118.9975</v>
      </c>
      <c r="W244" s="846">
        <f t="shared" si="41"/>
        <v>-4.359157787288126E-3</v>
      </c>
      <c r="X244" s="845">
        <v>39069.11</v>
      </c>
      <c r="Y244" s="846">
        <f t="shared" si="42"/>
        <v>1.1832258371956783E-2</v>
      </c>
      <c r="Z244" s="845">
        <v>5087.0324000000001</v>
      </c>
      <c r="AA244" s="846">
        <f t="shared" si="43"/>
        <v>2.1123983976063299E-2</v>
      </c>
      <c r="AB244" s="843"/>
      <c r="AC244" s="832"/>
    </row>
    <row r="245" spans="1:29" ht="14.4" x14ac:dyDescent="0.55000000000000004">
      <c r="A245" s="857" t="s">
        <v>5404</v>
      </c>
      <c r="B245" s="842">
        <v>114.69</v>
      </c>
      <c r="C245" s="843">
        <f t="shared" si="34"/>
        <v>8.7958483595742543E-3</v>
      </c>
      <c r="D245" s="842">
        <v>42.01</v>
      </c>
      <c r="E245" s="843">
        <f t="shared" si="35"/>
        <v>-2.3798191337465191E-4</v>
      </c>
      <c r="F245" s="842">
        <v>26.25</v>
      </c>
      <c r="G245" s="843">
        <f t="shared" si="35"/>
        <v>8.8393543428131327E-3</v>
      </c>
      <c r="H245" s="842">
        <v>38.869999999999997</v>
      </c>
      <c r="I245" s="843">
        <f t="shared" si="35"/>
        <v>-7.4055158324820569E-3</v>
      </c>
      <c r="J245" s="842">
        <v>60.39</v>
      </c>
      <c r="K245" s="843">
        <f t="shared" si="36"/>
        <v>-2.6424442609412901E-3</v>
      </c>
      <c r="L245" s="842">
        <v>61.87</v>
      </c>
      <c r="M245" s="843">
        <f t="shared" si="37"/>
        <v>3.5685320356853012E-3</v>
      </c>
      <c r="N245" s="842">
        <v>59.73</v>
      </c>
      <c r="O245" s="843">
        <f t="shared" si="38"/>
        <v>-1.3375689683999825E-3</v>
      </c>
      <c r="P245" s="844">
        <f t="shared" si="44"/>
        <v>1.3686033946963866E-3</v>
      </c>
      <c r="Q245" s="830"/>
      <c r="R245" s="845">
        <v>854.18</v>
      </c>
      <c r="S245" s="846">
        <f t="shared" si="39"/>
        <v>1.3959782531278941E-2</v>
      </c>
      <c r="T245" s="845">
        <v>62</v>
      </c>
      <c r="U245" s="846">
        <f t="shared" si="40"/>
        <v>1.3237457100833572E-2</v>
      </c>
      <c r="V245" s="845">
        <v>119.5185</v>
      </c>
      <c r="W245" s="846">
        <f t="shared" si="41"/>
        <v>8.7958445732652102E-3</v>
      </c>
      <c r="X245" s="845">
        <v>38612.239999999998</v>
      </c>
      <c r="Y245" s="846">
        <f t="shared" si="42"/>
        <v>1.2561002805739907E-3</v>
      </c>
      <c r="Z245" s="845">
        <v>4981.7969999999996</v>
      </c>
      <c r="AA245" s="846">
        <f t="shared" si="43"/>
        <v>1.2633274493818458E-3</v>
      </c>
      <c r="AB245" s="843"/>
      <c r="AC245" s="832"/>
    </row>
    <row r="246" spans="1:29" ht="14.4" x14ac:dyDescent="0.55000000000000004">
      <c r="A246" s="857" t="s">
        <v>5405</v>
      </c>
      <c r="B246" s="842">
        <v>113.69</v>
      </c>
      <c r="C246" s="843">
        <f t="shared" si="34"/>
        <v>-2.2817025010970493E-3</v>
      </c>
      <c r="D246" s="842">
        <v>42.02</v>
      </c>
      <c r="E246" s="843">
        <f t="shared" si="35"/>
        <v>-1.4258555133078721E-3</v>
      </c>
      <c r="F246" s="842">
        <v>26.02</v>
      </c>
      <c r="G246" s="843">
        <f t="shared" si="35"/>
        <v>4.6332046332047128E-3</v>
      </c>
      <c r="H246" s="842">
        <v>39.159999999999997</v>
      </c>
      <c r="I246" s="843">
        <f t="shared" si="35"/>
        <v>7.3170731707316916E-2</v>
      </c>
      <c r="J246" s="842">
        <v>60.55</v>
      </c>
      <c r="K246" s="843">
        <f t="shared" si="36"/>
        <v>-3.1280869278894619E-3</v>
      </c>
      <c r="L246" s="842">
        <v>61.65</v>
      </c>
      <c r="M246" s="843">
        <f t="shared" si="37"/>
        <v>3.1281365005018325E-2</v>
      </c>
      <c r="N246" s="842">
        <v>59.81</v>
      </c>
      <c r="O246" s="843">
        <f t="shared" si="38"/>
        <v>6.5634466509592038E-3</v>
      </c>
      <c r="P246" s="844">
        <f t="shared" si="44"/>
        <v>1.5544729007743539E-2</v>
      </c>
      <c r="Q246" s="830"/>
      <c r="R246" s="845">
        <v>842.42</v>
      </c>
      <c r="S246" s="846">
        <f t="shared" si="39"/>
        <v>-2.3448602558029386E-3</v>
      </c>
      <c r="T246" s="845">
        <v>61.19</v>
      </c>
      <c r="U246" s="846">
        <f t="shared" si="40"/>
        <v>-6.5327453862484841E-4</v>
      </c>
      <c r="V246" s="845">
        <v>118.4764</v>
      </c>
      <c r="W246" s="846">
        <f t="shared" si="41"/>
        <v>-2.282155230346139E-3</v>
      </c>
      <c r="X246" s="845">
        <v>38563.800000000003</v>
      </c>
      <c r="Y246" s="846">
        <f t="shared" si="42"/>
        <v>-1.6617483850439596E-3</v>
      </c>
      <c r="Z246" s="845">
        <v>4975.5113000000001</v>
      </c>
      <c r="AA246" s="846">
        <f t="shared" si="43"/>
        <v>-6.0047525071328378E-3</v>
      </c>
      <c r="AB246" s="843"/>
      <c r="AC246" s="832"/>
    </row>
    <row r="247" spans="1:29" ht="14.4" x14ac:dyDescent="0.55000000000000004">
      <c r="A247" s="857" t="s">
        <v>5406</v>
      </c>
      <c r="B247" s="842">
        <v>113.95</v>
      </c>
      <c r="C247" s="843">
        <f t="shared" si="34"/>
        <v>-2.800385052944665E-3</v>
      </c>
      <c r="D247" s="842">
        <v>42.08</v>
      </c>
      <c r="E247" s="843">
        <f t="shared" si="35"/>
        <v>-6.3754427390791957E-3</v>
      </c>
      <c r="F247" s="842">
        <v>25.9</v>
      </c>
      <c r="G247" s="843">
        <f t="shared" si="35"/>
        <v>-2.6954177897574594E-3</v>
      </c>
      <c r="H247" s="842">
        <v>36.49</v>
      </c>
      <c r="I247" s="843">
        <f t="shared" si="35"/>
        <v>1.1924570160843029E-2</v>
      </c>
      <c r="J247" s="842">
        <v>60.74</v>
      </c>
      <c r="K247" s="843">
        <f t="shared" si="36"/>
        <v>-1.0426849136526584E-2</v>
      </c>
      <c r="L247" s="842">
        <v>59.78</v>
      </c>
      <c r="M247" s="843">
        <f t="shared" si="37"/>
        <v>-7.8008298755186667E-3</v>
      </c>
      <c r="N247" s="842">
        <v>59.42</v>
      </c>
      <c r="O247" s="843">
        <f t="shared" si="38"/>
        <v>-1.0161585873729839E-2</v>
      </c>
      <c r="P247" s="844">
        <f t="shared" si="44"/>
        <v>-4.0479914723876255E-3</v>
      </c>
      <c r="Q247" s="830"/>
      <c r="R247" s="845">
        <v>844.4</v>
      </c>
      <c r="S247" s="846">
        <f t="shared" si="39"/>
        <v>-3.1049667662302882E-3</v>
      </c>
      <c r="T247" s="845">
        <v>61.23</v>
      </c>
      <c r="U247" s="846">
        <f t="shared" si="40"/>
        <v>-1.1419249592169445E-3</v>
      </c>
      <c r="V247" s="845">
        <v>118.7474</v>
      </c>
      <c r="W247" s="846">
        <f t="shared" si="41"/>
        <v>-2.8006170594948587E-3</v>
      </c>
      <c r="X247" s="845">
        <v>38627.99</v>
      </c>
      <c r="Y247" s="846">
        <f t="shared" si="42"/>
        <v>-3.7430570457059886E-3</v>
      </c>
      <c r="Z247" s="845">
        <v>5005.5685000000003</v>
      </c>
      <c r="AA247" s="846">
        <f t="shared" si="43"/>
        <v>-4.8046669340232606E-3</v>
      </c>
      <c r="AB247" s="843"/>
      <c r="AC247" s="832"/>
    </row>
    <row r="248" spans="1:29" ht="14.4" x14ac:dyDescent="0.55000000000000004">
      <c r="A248" s="857" t="s">
        <v>5407</v>
      </c>
      <c r="B248" s="842">
        <v>114.27</v>
      </c>
      <c r="C248" s="843">
        <f t="shared" si="34"/>
        <v>1.1417950079660066E-2</v>
      </c>
      <c r="D248" s="842">
        <v>42.35</v>
      </c>
      <c r="E248" s="843">
        <f t="shared" si="35"/>
        <v>2.4431543299467728E-2</v>
      </c>
      <c r="F248" s="842">
        <v>25.97</v>
      </c>
      <c r="G248" s="843">
        <f t="shared" si="35"/>
        <v>2.3246650906225463E-2</v>
      </c>
      <c r="H248" s="842">
        <v>36.06</v>
      </c>
      <c r="I248" s="843">
        <f t="shared" si="35"/>
        <v>1.4916971573318394E-2</v>
      </c>
      <c r="J248" s="842">
        <v>61.38</v>
      </c>
      <c r="K248" s="843">
        <f t="shared" si="36"/>
        <v>2.6078234704112413E-2</v>
      </c>
      <c r="L248" s="842">
        <v>60.25</v>
      </c>
      <c r="M248" s="843">
        <f t="shared" si="37"/>
        <v>3.3624978555498286E-2</v>
      </c>
      <c r="N248" s="842">
        <v>60.03</v>
      </c>
      <c r="O248" s="843">
        <f t="shared" si="38"/>
        <v>2.6153846153846194E-2</v>
      </c>
      <c r="P248" s="844">
        <f t="shared" si="44"/>
        <v>2.2838596467446935E-2</v>
      </c>
      <c r="Q248" s="830"/>
      <c r="R248" s="845">
        <v>847.03</v>
      </c>
      <c r="S248" s="846">
        <f t="shared" si="39"/>
        <v>1.6354691624669959E-2</v>
      </c>
      <c r="T248" s="845">
        <v>61.3</v>
      </c>
      <c r="U248" s="846">
        <f t="shared" si="40"/>
        <v>1.6752363576049145E-2</v>
      </c>
      <c r="V248" s="845">
        <v>119.0809</v>
      </c>
      <c r="W248" s="846">
        <f t="shared" si="41"/>
        <v>1.1417859866855284E-2</v>
      </c>
      <c r="X248" s="845">
        <v>38773.120000000003</v>
      </c>
      <c r="Y248" s="846">
        <f t="shared" si="42"/>
        <v>9.0788972698767623E-3</v>
      </c>
      <c r="Z248" s="845">
        <v>5029.7347</v>
      </c>
      <c r="AA248" s="846">
        <f t="shared" si="43"/>
        <v>5.8221979310124627E-3</v>
      </c>
      <c r="AB248" s="843"/>
      <c r="AC248" s="832"/>
    </row>
    <row r="249" spans="1:29" ht="14.4" x14ac:dyDescent="0.55000000000000004">
      <c r="A249" s="857" t="s">
        <v>5408</v>
      </c>
      <c r="B249" s="842">
        <v>112.98</v>
      </c>
      <c r="C249" s="843">
        <f t="shared" si="34"/>
        <v>1.1006711409395908E-2</v>
      </c>
      <c r="D249" s="842">
        <v>41.34</v>
      </c>
      <c r="E249" s="843">
        <f t="shared" si="35"/>
        <v>1.6724053123462923E-2</v>
      </c>
      <c r="F249" s="842">
        <v>25.38</v>
      </c>
      <c r="G249" s="843">
        <f t="shared" si="35"/>
        <v>3.9556962025315556E-3</v>
      </c>
      <c r="H249" s="842">
        <v>35.53</v>
      </c>
      <c r="I249" s="843">
        <f t="shared" si="35"/>
        <v>1.1098463289698435E-2</v>
      </c>
      <c r="J249" s="842">
        <v>59.82</v>
      </c>
      <c r="K249" s="843">
        <f t="shared" si="36"/>
        <v>1.1156186612576224E-2</v>
      </c>
      <c r="L249" s="842">
        <v>58.29</v>
      </c>
      <c r="M249" s="843">
        <f t="shared" si="37"/>
        <v>-1.1994516792324106E-3</v>
      </c>
      <c r="N249" s="842">
        <v>58.5</v>
      </c>
      <c r="O249" s="843">
        <f t="shared" si="38"/>
        <v>1.3162452372705191E-2</v>
      </c>
      <c r="P249" s="844">
        <f t="shared" si="44"/>
        <v>9.4148730473054033E-3</v>
      </c>
      <c r="Q249" s="830"/>
      <c r="R249" s="845">
        <v>833.4</v>
      </c>
      <c r="S249" s="846">
        <f t="shared" si="39"/>
        <v>4.8469941402011774E-3</v>
      </c>
      <c r="T249" s="845">
        <v>60.29</v>
      </c>
      <c r="U249" s="846">
        <f t="shared" si="40"/>
        <v>5.5036691127416937E-3</v>
      </c>
      <c r="V249" s="845">
        <v>117.7366</v>
      </c>
      <c r="W249" s="846">
        <f t="shared" si="41"/>
        <v>1.100684557442011E-2</v>
      </c>
      <c r="X249" s="845">
        <v>38424.269999999997</v>
      </c>
      <c r="Y249" s="846">
        <f t="shared" si="42"/>
        <v>3.958952518436698E-3</v>
      </c>
      <c r="Z249" s="845">
        <v>5000.6201000000001</v>
      </c>
      <c r="AA249" s="846">
        <f t="shared" si="43"/>
        <v>9.5801515313029828E-3</v>
      </c>
      <c r="AB249" s="843"/>
      <c r="AC249" s="832"/>
    </row>
    <row r="250" spans="1:29" ht="14.4" x14ac:dyDescent="0.55000000000000004">
      <c r="A250" s="857" t="s">
        <v>5409</v>
      </c>
      <c r="B250" s="842">
        <v>111.75</v>
      </c>
      <c r="C250" s="843">
        <f t="shared" si="34"/>
        <v>-1.9736842105263164E-2</v>
      </c>
      <c r="D250" s="842">
        <v>40.659999999999997</v>
      </c>
      <c r="E250" s="843">
        <f t="shared" si="35"/>
        <v>-3.4892000949442337E-2</v>
      </c>
      <c r="F250" s="842">
        <v>25.28</v>
      </c>
      <c r="G250" s="843">
        <f t="shared" si="35"/>
        <v>-1.365587202497065E-2</v>
      </c>
      <c r="H250" s="842">
        <v>35.14</v>
      </c>
      <c r="I250" s="843">
        <f t="shared" si="35"/>
        <v>-4.0415073730202034E-2</v>
      </c>
      <c r="J250" s="842">
        <v>59.16</v>
      </c>
      <c r="K250" s="843">
        <f t="shared" si="36"/>
        <v>-5.268214571657337E-2</v>
      </c>
      <c r="L250" s="842">
        <v>58.36</v>
      </c>
      <c r="M250" s="843">
        <f t="shared" si="37"/>
        <v>-3.5371900826446256E-2</v>
      </c>
      <c r="N250" s="842">
        <v>57.74</v>
      </c>
      <c r="O250" s="843">
        <f t="shared" si="38"/>
        <v>-2.6963262554769107E-2</v>
      </c>
      <c r="P250" s="844">
        <f t="shared" si="44"/>
        <v>-3.1959585415380985E-2</v>
      </c>
      <c r="Q250" s="830"/>
      <c r="R250" s="845">
        <v>829.38</v>
      </c>
      <c r="S250" s="846">
        <f t="shared" si="39"/>
        <v>-1.8159863623449235E-2</v>
      </c>
      <c r="T250" s="845">
        <v>59.96</v>
      </c>
      <c r="U250" s="846">
        <f t="shared" si="40"/>
        <v>-1.6565524028210543E-2</v>
      </c>
      <c r="V250" s="845">
        <v>116.45480000000001</v>
      </c>
      <c r="W250" s="846">
        <f t="shared" si="41"/>
        <v>-1.9736615053093542E-2</v>
      </c>
      <c r="X250" s="845">
        <v>38272.75</v>
      </c>
      <c r="Y250" s="846">
        <f t="shared" si="42"/>
        <v>-1.3522304856668055E-2</v>
      </c>
      <c r="Z250" s="845">
        <v>4953.1679999999997</v>
      </c>
      <c r="AA250" s="846">
        <f t="shared" si="43"/>
        <v>-1.3675552877035591E-2</v>
      </c>
      <c r="AB250" s="843"/>
      <c r="AC250" s="832"/>
    </row>
    <row r="251" spans="1:29" ht="14.4" x14ac:dyDescent="0.55000000000000004">
      <c r="A251" s="857" t="s">
        <v>5410</v>
      </c>
      <c r="B251" s="842">
        <v>114</v>
      </c>
      <c r="C251" s="843">
        <f t="shared" si="34"/>
        <v>7.868446644859084E-3</v>
      </c>
      <c r="D251" s="842">
        <v>42.13</v>
      </c>
      <c r="E251" s="843">
        <f t="shared" si="35"/>
        <v>2.0591085271317811E-2</v>
      </c>
      <c r="F251" s="842">
        <v>25.63</v>
      </c>
      <c r="G251" s="843">
        <f t="shared" si="35"/>
        <v>1.5049504950495063E-2</v>
      </c>
      <c r="H251" s="842">
        <v>36.619999999999997</v>
      </c>
      <c r="I251" s="843">
        <f t="shared" si="35"/>
        <v>4.2413891261030345E-2</v>
      </c>
      <c r="J251" s="842">
        <v>62.45</v>
      </c>
      <c r="K251" s="843">
        <f t="shared" si="36"/>
        <v>2.629416598192269E-2</v>
      </c>
      <c r="L251" s="842">
        <v>60.5</v>
      </c>
      <c r="M251" s="843">
        <f t="shared" si="37"/>
        <v>2.3342354533153031E-2</v>
      </c>
      <c r="N251" s="842">
        <v>59.34</v>
      </c>
      <c r="O251" s="843">
        <f t="shared" si="38"/>
        <v>1.6966580976863765E-2</v>
      </c>
      <c r="P251" s="844">
        <f t="shared" si="44"/>
        <v>2.1789432802805968E-2</v>
      </c>
      <c r="Q251" s="830"/>
      <c r="R251" s="845">
        <v>844.72</v>
      </c>
      <c r="S251" s="846">
        <f t="shared" si="39"/>
        <v>1.2331771388852442E-2</v>
      </c>
      <c r="T251" s="845">
        <v>60.97</v>
      </c>
      <c r="U251" s="846">
        <f t="shared" si="40"/>
        <v>1.1614401858304202E-2</v>
      </c>
      <c r="V251" s="845">
        <v>118.79949999999999</v>
      </c>
      <c r="W251" s="846">
        <f t="shared" si="41"/>
        <v>7.8687050359711463E-3</v>
      </c>
      <c r="X251" s="845">
        <v>38797.379999999997</v>
      </c>
      <c r="Y251" s="846">
        <f t="shared" si="42"/>
        <v>3.2501812049070544E-3</v>
      </c>
      <c r="Z251" s="845">
        <v>5021.8445000000002</v>
      </c>
      <c r="AA251" s="846">
        <f t="shared" si="43"/>
        <v>-9.4777620043851041E-4</v>
      </c>
      <c r="AB251" s="843"/>
      <c r="AC251" s="832"/>
    </row>
    <row r="252" spans="1:29" ht="14.4" x14ac:dyDescent="0.55000000000000004">
      <c r="A252" s="857" t="s">
        <v>5411</v>
      </c>
      <c r="B252" s="842">
        <v>113.11</v>
      </c>
      <c r="C252" s="843">
        <f t="shared" si="34"/>
        <v>1.5939077304525373E-3</v>
      </c>
      <c r="D252" s="842">
        <v>41.28</v>
      </c>
      <c r="E252" s="843">
        <f t="shared" si="35"/>
        <v>3.1591737545566545E-3</v>
      </c>
      <c r="F252" s="842">
        <v>25.25</v>
      </c>
      <c r="G252" s="843">
        <f t="shared" si="35"/>
        <v>7.5818036711892134E-3</v>
      </c>
      <c r="H252" s="842">
        <v>35.130000000000003</v>
      </c>
      <c r="I252" s="843">
        <f t="shared" si="35"/>
        <v>-6.5045248868776939E-3</v>
      </c>
      <c r="J252" s="842">
        <v>60.85</v>
      </c>
      <c r="K252" s="843">
        <f t="shared" si="36"/>
        <v>9.7909060736807163E-3</v>
      </c>
      <c r="L252" s="842">
        <v>59.12</v>
      </c>
      <c r="M252" s="843">
        <f t="shared" si="37"/>
        <v>1.163586584531151E-2</v>
      </c>
      <c r="N252" s="842">
        <v>58.35</v>
      </c>
      <c r="O252" s="843">
        <f t="shared" si="38"/>
        <v>-1.8816284639069369E-3</v>
      </c>
      <c r="P252" s="844">
        <f t="shared" si="44"/>
        <v>3.6250719606294285E-3</v>
      </c>
      <c r="Q252" s="830"/>
      <c r="R252" s="845">
        <v>834.43</v>
      </c>
      <c r="S252" s="846">
        <f t="shared" si="39"/>
        <v>3.572029923267328E-3</v>
      </c>
      <c r="T252" s="845">
        <v>60.27</v>
      </c>
      <c r="U252" s="846">
        <f t="shared" si="40"/>
        <v>3.8307794803464912E-3</v>
      </c>
      <c r="V252" s="845">
        <v>117.872</v>
      </c>
      <c r="W252" s="846">
        <f t="shared" si="41"/>
        <v>1.5932429504310619E-3</v>
      </c>
      <c r="X252" s="845">
        <v>38671.69</v>
      </c>
      <c r="Y252" s="846">
        <f t="shared" si="42"/>
        <v>-1.4109263645689651E-3</v>
      </c>
      <c r="Z252" s="845">
        <v>5026.6085999999996</v>
      </c>
      <c r="AA252" s="846">
        <f t="shared" si="43"/>
        <v>5.7430458767786519E-3</v>
      </c>
      <c r="AB252" s="843"/>
      <c r="AC252" s="832"/>
    </row>
    <row r="253" spans="1:29" ht="14.4" x14ac:dyDescent="0.55000000000000004">
      <c r="A253" s="857" t="s">
        <v>5412</v>
      </c>
      <c r="B253" s="842">
        <v>112.93</v>
      </c>
      <c r="C253" s="843">
        <f t="shared" si="34"/>
        <v>8.9341552756185827E-3</v>
      </c>
      <c r="D253" s="842">
        <v>41.15</v>
      </c>
      <c r="E253" s="843">
        <f t="shared" si="35"/>
        <v>1.6049382716049276E-2</v>
      </c>
      <c r="F253" s="842">
        <v>25.06</v>
      </c>
      <c r="G253" s="843">
        <f t="shared" si="35"/>
        <v>-1.1956954962136779E-3</v>
      </c>
      <c r="H253" s="842">
        <v>35.36</v>
      </c>
      <c r="I253" s="843">
        <f t="shared" si="35"/>
        <v>-7.2992700729926918E-3</v>
      </c>
      <c r="J253" s="842">
        <v>60.26</v>
      </c>
      <c r="K253" s="843">
        <f t="shared" si="36"/>
        <v>2.5527569775357417E-2</v>
      </c>
      <c r="L253" s="842">
        <v>58.44</v>
      </c>
      <c r="M253" s="843">
        <f t="shared" si="37"/>
        <v>1.2474012474012364E-2</v>
      </c>
      <c r="N253" s="842">
        <v>58.46</v>
      </c>
      <c r="O253" s="843">
        <f t="shared" si="38"/>
        <v>1.0369858278603594E-2</v>
      </c>
      <c r="P253" s="844">
        <f t="shared" si="44"/>
        <v>9.2657161357764094E-3</v>
      </c>
      <c r="Q253" s="830"/>
      <c r="R253" s="845">
        <v>831.46</v>
      </c>
      <c r="S253" s="846">
        <f t="shared" si="39"/>
        <v>-7.1763764672166941E-3</v>
      </c>
      <c r="T253" s="845">
        <v>60.04</v>
      </c>
      <c r="U253" s="846">
        <f t="shared" si="40"/>
        <v>-7.1109641144369018E-3</v>
      </c>
      <c r="V253" s="845">
        <v>117.6845</v>
      </c>
      <c r="W253" s="846">
        <f t="shared" si="41"/>
        <v>8.9341440162411523E-3</v>
      </c>
      <c r="X253" s="845">
        <v>38726.33</v>
      </c>
      <c r="Y253" s="846">
        <f t="shared" si="42"/>
        <v>1.2661153708526385E-3</v>
      </c>
      <c r="Z253" s="845">
        <v>4997.9053999999996</v>
      </c>
      <c r="AA253" s="846">
        <f t="shared" si="43"/>
        <v>5.704841175147024E-4</v>
      </c>
      <c r="AB253" s="843"/>
      <c r="AC253" s="832"/>
    </row>
    <row r="254" spans="1:29" ht="14.4" x14ac:dyDescent="0.55000000000000004">
      <c r="A254" s="857" t="s">
        <v>5413</v>
      </c>
      <c r="B254" s="842">
        <v>111.93</v>
      </c>
      <c r="C254" s="843">
        <f t="shared" si="34"/>
        <v>1.0732492621412515E-3</v>
      </c>
      <c r="D254" s="842">
        <v>40.5</v>
      </c>
      <c r="E254" s="843">
        <f t="shared" si="35"/>
        <v>-1.0021999511121926E-2</v>
      </c>
      <c r="F254" s="842">
        <v>25.09</v>
      </c>
      <c r="G254" s="843">
        <f t="shared" si="35"/>
        <v>3.9872408293462058E-4</v>
      </c>
      <c r="H254" s="842">
        <v>35.619999999999997</v>
      </c>
      <c r="I254" s="843">
        <f t="shared" si="35"/>
        <v>-3.6363636363636598E-3</v>
      </c>
      <c r="J254" s="842">
        <v>58.76</v>
      </c>
      <c r="K254" s="843">
        <f t="shared" si="36"/>
        <v>1.5340037497868497E-3</v>
      </c>
      <c r="L254" s="842">
        <v>57.72</v>
      </c>
      <c r="M254" s="843">
        <f t="shared" si="37"/>
        <v>-1.0457740442310959E-2</v>
      </c>
      <c r="N254" s="842">
        <v>57.86</v>
      </c>
      <c r="O254" s="843">
        <f t="shared" si="38"/>
        <v>-1.5530629853321987E-3</v>
      </c>
      <c r="P254" s="844">
        <f t="shared" si="44"/>
        <v>-3.2375984971808602E-3</v>
      </c>
      <c r="Q254" s="830"/>
      <c r="R254" s="845">
        <v>837.47</v>
      </c>
      <c r="S254" s="846">
        <f t="shared" si="39"/>
        <v>-5.1318773123276706E-4</v>
      </c>
      <c r="T254" s="845">
        <v>60.47</v>
      </c>
      <c r="U254" s="846">
        <f t="shared" si="40"/>
        <v>6.6192288598387883E-4</v>
      </c>
      <c r="V254" s="845">
        <v>116.64239999999999</v>
      </c>
      <c r="W254" s="846">
        <f t="shared" si="41"/>
        <v>1.0736603062377892E-3</v>
      </c>
      <c r="X254" s="845">
        <v>38677.360000000001</v>
      </c>
      <c r="Y254" s="846">
        <f t="shared" si="42"/>
        <v>4.0497012566533819E-3</v>
      </c>
      <c r="Z254" s="845">
        <v>4995.0558000000001</v>
      </c>
      <c r="AA254" s="846">
        <f t="shared" si="43"/>
        <v>8.2404926456289829E-3</v>
      </c>
      <c r="AB254" s="843"/>
      <c r="AC254" s="832"/>
    </row>
    <row r="255" spans="1:29" ht="14.4" x14ac:dyDescent="0.55000000000000004">
      <c r="A255" s="857" t="s">
        <v>5414</v>
      </c>
      <c r="B255" s="842">
        <v>111.81</v>
      </c>
      <c r="C255" s="843">
        <f t="shared" si="34"/>
        <v>2.6838432635534204E-4</v>
      </c>
      <c r="D255" s="842">
        <v>40.909999999999997</v>
      </c>
      <c r="E255" s="843">
        <f t="shared" si="35"/>
        <v>3.6220871327254267E-2</v>
      </c>
      <c r="F255" s="842">
        <v>25.08</v>
      </c>
      <c r="G255" s="843">
        <f t="shared" si="35"/>
        <v>-6.7326732673268497E-3</v>
      </c>
      <c r="H255" s="842">
        <v>35.75</v>
      </c>
      <c r="I255" s="843">
        <f t="shared" si="35"/>
        <v>-2.5111607142858094E-3</v>
      </c>
      <c r="J255" s="842">
        <v>58.67</v>
      </c>
      <c r="K255" s="843">
        <f t="shared" si="36"/>
        <v>-3.2279986408426664E-3</v>
      </c>
      <c r="L255" s="842">
        <v>58.33</v>
      </c>
      <c r="M255" s="843">
        <f t="shared" si="37"/>
        <v>-3.9275956284153812E-3</v>
      </c>
      <c r="N255" s="842">
        <v>57.95</v>
      </c>
      <c r="O255" s="843">
        <f t="shared" si="38"/>
        <v>-1.3785972772702992E-3</v>
      </c>
      <c r="P255" s="844">
        <f t="shared" si="44"/>
        <v>2.6730328750669435E-3</v>
      </c>
      <c r="Q255" s="830"/>
      <c r="R255" s="845">
        <v>837.9</v>
      </c>
      <c r="S255" s="846">
        <f t="shared" si="39"/>
        <v>2.0929259104227604E-3</v>
      </c>
      <c r="T255" s="845">
        <v>60.43</v>
      </c>
      <c r="U255" s="846">
        <f t="shared" si="40"/>
        <v>3.6538780933399462E-3</v>
      </c>
      <c r="V255" s="845">
        <v>116.51730000000001</v>
      </c>
      <c r="W255" s="846">
        <f t="shared" si="41"/>
        <v>2.6870181824434347E-4</v>
      </c>
      <c r="X255" s="845">
        <v>38521.360000000001</v>
      </c>
      <c r="Y255" s="846">
        <f t="shared" si="42"/>
        <v>3.6800301822921266E-3</v>
      </c>
      <c r="Z255" s="845">
        <v>4954.2304999999997</v>
      </c>
      <c r="AA255" s="846">
        <f t="shared" si="43"/>
        <v>2.3113592220966872E-3</v>
      </c>
      <c r="AB255" s="843"/>
      <c r="AC255" s="832"/>
    </row>
    <row r="256" spans="1:29" ht="14.4" x14ac:dyDescent="0.55000000000000004">
      <c r="A256" s="857" t="s">
        <v>5415</v>
      </c>
      <c r="B256" s="842">
        <v>111.78</v>
      </c>
      <c r="C256" s="843">
        <f t="shared" si="34"/>
        <v>-1.7491430078227954E-2</v>
      </c>
      <c r="D256" s="842">
        <v>39.479999999999997</v>
      </c>
      <c r="E256" s="843">
        <f t="shared" si="35"/>
        <v>-3.2352941176470584E-2</v>
      </c>
      <c r="F256" s="842">
        <v>25.25</v>
      </c>
      <c r="G256" s="843">
        <f t="shared" si="35"/>
        <v>-1.3671875E-2</v>
      </c>
      <c r="H256" s="842">
        <v>35.840000000000003</v>
      </c>
      <c r="I256" s="843">
        <f t="shared" si="35"/>
        <v>-2.9778018408229356E-2</v>
      </c>
      <c r="J256" s="842">
        <v>58.86</v>
      </c>
      <c r="K256" s="843">
        <f t="shared" si="36"/>
        <v>-3.9334094989391333E-2</v>
      </c>
      <c r="L256" s="842">
        <v>58.56</v>
      </c>
      <c r="M256" s="843">
        <f t="shared" si="37"/>
        <v>-2.4487756121938986E-2</v>
      </c>
      <c r="N256" s="842">
        <v>58.03</v>
      </c>
      <c r="O256" s="843">
        <f t="shared" si="38"/>
        <v>-1.6440677966101713E-2</v>
      </c>
      <c r="P256" s="844">
        <f t="shared" si="44"/>
        <v>-2.4793827677194274E-2</v>
      </c>
      <c r="Q256" s="830"/>
      <c r="R256" s="845">
        <v>836.15</v>
      </c>
      <c r="S256" s="846">
        <f t="shared" si="39"/>
        <v>-1.800394607037159E-2</v>
      </c>
      <c r="T256" s="845">
        <v>60.21</v>
      </c>
      <c r="U256" s="846">
        <f t="shared" si="40"/>
        <v>-2.081639290941617E-2</v>
      </c>
      <c r="V256" s="845">
        <v>116.486</v>
      </c>
      <c r="W256" s="846">
        <f t="shared" si="41"/>
        <v>-1.7491594958830792E-2</v>
      </c>
      <c r="X256" s="845">
        <v>38380.120000000003</v>
      </c>
      <c r="Y256" s="846">
        <f t="shared" si="42"/>
        <v>-7.0962130592050476E-3</v>
      </c>
      <c r="Z256" s="845">
        <v>4942.8059000000003</v>
      </c>
      <c r="AA256" s="846">
        <f t="shared" si="43"/>
        <v>-3.1879876753461156E-3</v>
      </c>
      <c r="AB256" s="843"/>
      <c r="AC256" s="832"/>
    </row>
    <row r="257" spans="1:29" ht="14.4" x14ac:dyDescent="0.55000000000000004">
      <c r="A257" s="857" t="s">
        <v>5416</v>
      </c>
      <c r="B257" s="842">
        <v>113.77</v>
      </c>
      <c r="C257" s="843">
        <f t="shared" si="34"/>
        <v>-1.744537524829437E-2</v>
      </c>
      <c r="D257" s="842">
        <v>40.799999999999997</v>
      </c>
      <c r="E257" s="843">
        <f t="shared" si="35"/>
        <v>-1.591895803183796E-2</v>
      </c>
      <c r="F257" s="842">
        <v>25.6</v>
      </c>
      <c r="G257" s="843">
        <f t="shared" si="35"/>
        <v>-2.8462998102466774E-2</v>
      </c>
      <c r="H257" s="842">
        <v>36.94</v>
      </c>
      <c r="I257" s="843">
        <f t="shared" si="35"/>
        <v>-2.4304617877397572E-3</v>
      </c>
      <c r="J257" s="842">
        <v>61.27</v>
      </c>
      <c r="K257" s="843">
        <f t="shared" si="36"/>
        <v>-1.0177705977382767E-2</v>
      </c>
      <c r="L257" s="842">
        <v>60.03</v>
      </c>
      <c r="M257" s="843">
        <f t="shared" si="37"/>
        <v>1.6686133822794158E-3</v>
      </c>
      <c r="N257" s="842">
        <v>59</v>
      </c>
      <c r="O257" s="843">
        <f t="shared" si="38"/>
        <v>-4.5554243293403074E-3</v>
      </c>
      <c r="P257" s="844">
        <f t="shared" si="44"/>
        <v>-1.1046044299254645E-2</v>
      </c>
      <c r="Q257" s="830"/>
      <c r="R257" s="845">
        <v>851.48</v>
      </c>
      <c r="S257" s="846">
        <f t="shared" si="39"/>
        <v>-1.7934788876970753E-2</v>
      </c>
      <c r="T257" s="845">
        <v>61.49</v>
      </c>
      <c r="U257" s="846">
        <f t="shared" si="40"/>
        <v>-1.8045352922388957E-2</v>
      </c>
      <c r="V257" s="845">
        <v>118.5598</v>
      </c>
      <c r="W257" s="846">
        <f t="shared" si="41"/>
        <v>-1.7445835532951204E-2</v>
      </c>
      <c r="X257" s="845">
        <v>38654.42</v>
      </c>
      <c r="Y257" s="846">
        <f t="shared" si="42"/>
        <v>3.4937839824880079E-3</v>
      </c>
      <c r="Z257" s="845">
        <v>4958.6139000000003</v>
      </c>
      <c r="AA257" s="846">
        <f t="shared" si="43"/>
        <v>1.0684432780277309E-2</v>
      </c>
      <c r="AB257" s="843"/>
      <c r="AC257" s="832"/>
    </row>
    <row r="258" spans="1:29" ht="14.4" x14ac:dyDescent="0.55000000000000004">
      <c r="A258" s="857" t="s">
        <v>5417</v>
      </c>
      <c r="B258" s="842">
        <v>115.79</v>
      </c>
      <c r="C258" s="843">
        <f t="shared" si="34"/>
        <v>1.6236615762682094E-2</v>
      </c>
      <c r="D258" s="842">
        <v>41.46</v>
      </c>
      <c r="E258" s="843">
        <f t="shared" si="35"/>
        <v>1.5429831006612771E-2</v>
      </c>
      <c r="F258" s="842">
        <v>26.35</v>
      </c>
      <c r="G258" s="843">
        <f t="shared" si="35"/>
        <v>1.4632268001540272E-2</v>
      </c>
      <c r="H258" s="842">
        <v>37.03</v>
      </c>
      <c r="I258" s="843">
        <f t="shared" si="35"/>
        <v>4.6120455778622116E-3</v>
      </c>
      <c r="J258" s="842">
        <v>61.9</v>
      </c>
      <c r="K258" s="843">
        <f t="shared" si="36"/>
        <v>8.6361414371842748E-3</v>
      </c>
      <c r="L258" s="842">
        <v>59.93</v>
      </c>
      <c r="M258" s="843">
        <f t="shared" si="37"/>
        <v>2.1301976823449253E-2</v>
      </c>
      <c r="N258" s="842">
        <v>59.27</v>
      </c>
      <c r="O258" s="843">
        <f t="shared" si="38"/>
        <v>4.4037343667429951E-2</v>
      </c>
      <c r="P258" s="844">
        <f t="shared" si="44"/>
        <v>1.7840888896680118E-2</v>
      </c>
      <c r="Q258" s="830"/>
      <c r="R258" s="845">
        <v>867.03</v>
      </c>
      <c r="S258" s="846">
        <f t="shared" si="39"/>
        <v>1.6400168808027749E-2</v>
      </c>
      <c r="T258" s="845">
        <v>62.62</v>
      </c>
      <c r="U258" s="846">
        <f t="shared" si="40"/>
        <v>1.9039869812855992E-2</v>
      </c>
      <c r="V258" s="845">
        <v>120.6649</v>
      </c>
      <c r="W258" s="846">
        <f t="shared" si="41"/>
        <v>1.6236724862511265E-2</v>
      </c>
      <c r="X258" s="845">
        <v>38519.839999999997</v>
      </c>
      <c r="Y258" s="846">
        <f t="shared" si="42"/>
        <v>9.6864244842109759E-3</v>
      </c>
      <c r="Z258" s="845">
        <v>4906.1940000000004</v>
      </c>
      <c r="AA258" s="846">
        <f t="shared" si="43"/>
        <v>1.2495090439105905E-2</v>
      </c>
      <c r="AB258" s="843"/>
      <c r="AC258" s="832"/>
    </row>
    <row r="259" spans="1:29" ht="14.4" x14ac:dyDescent="0.55000000000000004">
      <c r="A259" s="857" t="s">
        <v>5418</v>
      </c>
      <c r="B259" s="842">
        <v>113.94</v>
      </c>
      <c r="C259" s="843">
        <f t="shared" si="34"/>
        <v>-4.977731202515101E-3</v>
      </c>
      <c r="D259" s="842">
        <v>40.83</v>
      </c>
      <c r="E259" s="843">
        <f t="shared" si="35"/>
        <v>-1.9923187710033541E-2</v>
      </c>
      <c r="F259" s="842">
        <v>25.97</v>
      </c>
      <c r="G259" s="843">
        <f t="shared" si="35"/>
        <v>-5.7427258805513581E-3</v>
      </c>
      <c r="H259" s="842">
        <v>36.86</v>
      </c>
      <c r="I259" s="843">
        <f t="shared" si="35"/>
        <v>-2.2281167108753386E-2</v>
      </c>
      <c r="J259" s="842">
        <v>61.37</v>
      </c>
      <c r="K259" s="843">
        <f t="shared" si="36"/>
        <v>-1.6268098259313302E-3</v>
      </c>
      <c r="L259" s="842">
        <v>58.68</v>
      </c>
      <c r="M259" s="843">
        <f t="shared" si="37"/>
        <v>-2.2488755622188883E-2</v>
      </c>
      <c r="N259" s="842">
        <v>56.77</v>
      </c>
      <c r="O259" s="843">
        <f t="shared" si="38"/>
        <v>-2.1712907117008462E-2</v>
      </c>
      <c r="P259" s="844">
        <f t="shared" si="44"/>
        <v>-1.4107612066711723E-2</v>
      </c>
      <c r="Q259" s="830"/>
      <c r="R259" s="845">
        <v>853.04</v>
      </c>
      <c r="S259" s="846">
        <f t="shared" si="39"/>
        <v>-2.0356115023748567E-3</v>
      </c>
      <c r="T259" s="845">
        <v>61.45</v>
      </c>
      <c r="U259" s="846">
        <f t="shared" si="40"/>
        <v>-2.1110750243584775E-3</v>
      </c>
      <c r="V259" s="845">
        <v>118.73699999999999</v>
      </c>
      <c r="W259" s="846">
        <f t="shared" si="41"/>
        <v>-4.977750961611016E-3</v>
      </c>
      <c r="X259" s="845">
        <v>38150.300000000003</v>
      </c>
      <c r="Y259" s="846">
        <f t="shared" si="42"/>
        <v>-8.2410233520356924E-3</v>
      </c>
      <c r="Z259" s="845">
        <v>4845.6472000000003</v>
      </c>
      <c r="AA259" s="846">
        <f t="shared" si="43"/>
        <v>-1.6107029521516769E-2</v>
      </c>
      <c r="AB259" s="843"/>
      <c r="AC259" s="832"/>
    </row>
    <row r="260" spans="1:29" ht="14.4" x14ac:dyDescent="0.55000000000000004">
      <c r="A260" s="857" t="s">
        <v>5419</v>
      </c>
      <c r="B260" s="842">
        <v>114.51</v>
      </c>
      <c r="C260" s="843">
        <f t="shared" si="34"/>
        <v>2.1879922982670497E-3</v>
      </c>
      <c r="D260" s="842">
        <v>41.66</v>
      </c>
      <c r="E260" s="843">
        <f t="shared" si="35"/>
        <v>-1.0451306413301831E-2</v>
      </c>
      <c r="F260" s="842">
        <v>26.12</v>
      </c>
      <c r="G260" s="843">
        <f t="shared" si="35"/>
        <v>1.149865848984355E-3</v>
      </c>
      <c r="H260" s="842">
        <v>37.700000000000003</v>
      </c>
      <c r="I260" s="843">
        <f t="shared" si="35"/>
        <v>-3.2837352488455429E-2</v>
      </c>
      <c r="J260" s="842">
        <v>61.47</v>
      </c>
      <c r="K260" s="843">
        <f t="shared" si="36"/>
        <v>-1.4745952877063706E-2</v>
      </c>
      <c r="L260" s="842">
        <v>60.03</v>
      </c>
      <c r="M260" s="843">
        <f t="shared" si="37"/>
        <v>-2.3267409007811102E-3</v>
      </c>
      <c r="N260" s="842">
        <v>58.03</v>
      </c>
      <c r="O260" s="843">
        <f t="shared" si="38"/>
        <v>-8.5426277122843119E-3</v>
      </c>
      <c r="P260" s="844">
        <f t="shared" si="44"/>
        <v>-9.3665888920907124E-3</v>
      </c>
      <c r="Q260" s="830"/>
      <c r="R260" s="845">
        <v>854.78</v>
      </c>
      <c r="S260" s="846">
        <f t="shared" si="39"/>
        <v>-1.273557900148381E-3</v>
      </c>
      <c r="T260" s="845">
        <v>61.58</v>
      </c>
      <c r="U260" s="846">
        <f t="shared" si="40"/>
        <v>-3.2467532467539417E-4</v>
      </c>
      <c r="V260" s="845">
        <v>119.331</v>
      </c>
      <c r="W260" s="846">
        <f t="shared" si="41"/>
        <v>2.1886211854498239E-3</v>
      </c>
      <c r="X260" s="845">
        <v>38467.31</v>
      </c>
      <c r="Y260" s="846">
        <f t="shared" si="42"/>
        <v>3.4919893722062945E-3</v>
      </c>
      <c r="Z260" s="845">
        <v>4924.9739</v>
      </c>
      <c r="AA260" s="846">
        <f t="shared" si="43"/>
        <v>-5.9962311143779701E-4</v>
      </c>
      <c r="AB260" s="843"/>
      <c r="AC260" s="832"/>
    </row>
    <row r="261" spans="1:29" ht="14.4" x14ac:dyDescent="0.55000000000000004">
      <c r="A261" s="857" t="s">
        <v>5420</v>
      </c>
      <c r="B261" s="842">
        <v>114.26</v>
      </c>
      <c r="C261" s="843">
        <f t="shared" si="34"/>
        <v>4.9252418645557849E-3</v>
      </c>
      <c r="D261" s="842">
        <v>42.1</v>
      </c>
      <c r="E261" s="843">
        <f t="shared" si="35"/>
        <v>1.3480982185845036E-2</v>
      </c>
      <c r="F261" s="842">
        <v>26.09</v>
      </c>
      <c r="G261" s="843">
        <f t="shared" si="35"/>
        <v>1.0457010069713446E-2</v>
      </c>
      <c r="H261" s="842">
        <v>38.979999999999997</v>
      </c>
      <c r="I261" s="843">
        <f t="shared" si="35"/>
        <v>6.4549444874772988E-3</v>
      </c>
      <c r="J261" s="842">
        <v>62.39</v>
      </c>
      <c r="K261" s="843">
        <f t="shared" si="36"/>
        <v>1.7117704597326311E-2</v>
      </c>
      <c r="L261" s="842">
        <v>60.17</v>
      </c>
      <c r="M261" s="843">
        <f t="shared" si="37"/>
        <v>1.2622012790306281E-2</v>
      </c>
      <c r="N261" s="842">
        <v>58.53</v>
      </c>
      <c r="O261" s="843">
        <f t="shared" si="38"/>
        <v>6.534823731728423E-3</v>
      </c>
      <c r="P261" s="844">
        <f t="shared" si="44"/>
        <v>1.0227531389564655E-2</v>
      </c>
      <c r="Q261" s="830"/>
      <c r="R261" s="845">
        <v>855.87</v>
      </c>
      <c r="S261" s="846">
        <f t="shared" si="39"/>
        <v>7.2850955653893656E-3</v>
      </c>
      <c r="T261" s="845">
        <v>61.6</v>
      </c>
      <c r="U261" s="846">
        <f t="shared" si="40"/>
        <v>6.3715079235420191E-3</v>
      </c>
      <c r="V261" s="845">
        <v>119.07040000000001</v>
      </c>
      <c r="W261" s="846">
        <f t="shared" si="41"/>
        <v>4.9245950396203941E-3</v>
      </c>
      <c r="X261" s="845">
        <v>38333.449999999997</v>
      </c>
      <c r="Y261" s="846">
        <f t="shared" si="42"/>
        <v>5.8783350997377859E-3</v>
      </c>
      <c r="Z261" s="845">
        <v>4927.9287999999997</v>
      </c>
      <c r="AA261" s="846">
        <f t="shared" si="43"/>
        <v>7.5564348629784117E-3</v>
      </c>
      <c r="AB261" s="843"/>
      <c r="AC261" s="832"/>
    </row>
    <row r="262" spans="1:29" ht="14.4" x14ac:dyDescent="0.55000000000000004">
      <c r="A262" s="857" t="s">
        <v>5421</v>
      </c>
      <c r="B262" s="842">
        <v>113.7</v>
      </c>
      <c r="C262" s="843">
        <f t="shared" si="34"/>
        <v>-1.9311797752809001E-3</v>
      </c>
      <c r="D262" s="842">
        <v>41.54</v>
      </c>
      <c r="E262" s="843">
        <f t="shared" si="35"/>
        <v>-9.5374344301382141E-3</v>
      </c>
      <c r="F262" s="842">
        <v>25.82</v>
      </c>
      <c r="G262" s="843">
        <f t="shared" si="35"/>
        <v>1.0172143974960912E-2</v>
      </c>
      <c r="H262" s="842">
        <v>38.729999999999997</v>
      </c>
      <c r="I262" s="843">
        <f t="shared" si="35"/>
        <v>-6.6683765067967471E-3</v>
      </c>
      <c r="J262" s="842">
        <v>61.34</v>
      </c>
      <c r="K262" s="843">
        <f t="shared" si="36"/>
        <v>1.7965049812185274E-3</v>
      </c>
      <c r="L262" s="842">
        <v>59.42</v>
      </c>
      <c r="M262" s="843">
        <f t="shared" si="37"/>
        <v>-6.8527494567941494E-3</v>
      </c>
      <c r="N262" s="842">
        <v>58.15</v>
      </c>
      <c r="O262" s="843">
        <f t="shared" si="38"/>
        <v>-1.1558728539860619E-2</v>
      </c>
      <c r="P262" s="844">
        <f t="shared" si="44"/>
        <v>-3.5114028218130272E-3</v>
      </c>
      <c r="Q262" s="830"/>
      <c r="R262" s="845">
        <v>849.68</v>
      </c>
      <c r="S262" s="846">
        <f t="shared" si="39"/>
        <v>1.2726844213999389E-3</v>
      </c>
      <c r="T262" s="845">
        <v>61.21</v>
      </c>
      <c r="U262" s="846">
        <f t="shared" si="40"/>
        <v>2.9493691627069385E-3</v>
      </c>
      <c r="V262" s="845">
        <v>118.48690000000001</v>
      </c>
      <c r="W262" s="846">
        <f t="shared" si="41"/>
        <v>-1.9306564147575367E-3</v>
      </c>
      <c r="X262" s="845">
        <v>38109.43</v>
      </c>
      <c r="Y262" s="846">
        <f t="shared" si="42"/>
        <v>1.5847931345605026E-3</v>
      </c>
      <c r="Z262" s="845">
        <v>4890.9705000000004</v>
      </c>
      <c r="AA262" s="846">
        <f t="shared" si="43"/>
        <v>-6.5079663588951675E-4</v>
      </c>
      <c r="AB262" s="843"/>
      <c r="AC262" s="832"/>
    </row>
    <row r="263" spans="1:29" ht="14.4" x14ac:dyDescent="0.55000000000000004">
      <c r="A263" s="857" t="s">
        <v>5422</v>
      </c>
      <c r="B263" s="842">
        <v>113.92</v>
      </c>
      <c r="C263" s="843">
        <f t="shared" si="34"/>
        <v>2.7324375507259413E-2</v>
      </c>
      <c r="D263" s="842">
        <v>41.94</v>
      </c>
      <c r="E263" s="843">
        <f t="shared" si="35"/>
        <v>5.9966418805468269E-3</v>
      </c>
      <c r="F263" s="842">
        <v>25.56</v>
      </c>
      <c r="G263" s="843">
        <f t="shared" si="35"/>
        <v>1.5091342335186608E-2</v>
      </c>
      <c r="H263" s="842">
        <v>38.99</v>
      </c>
      <c r="I263" s="843">
        <f t="shared" si="35"/>
        <v>1.4044213263979088E-2</v>
      </c>
      <c r="J263" s="842">
        <v>61.23</v>
      </c>
      <c r="K263" s="843">
        <f t="shared" si="36"/>
        <v>1.0562799141772494E-2</v>
      </c>
      <c r="L263" s="842">
        <v>59.83</v>
      </c>
      <c r="M263" s="843">
        <f t="shared" si="37"/>
        <v>1.9945448346402994E-2</v>
      </c>
      <c r="N263" s="842">
        <v>58.83</v>
      </c>
      <c r="O263" s="843">
        <f t="shared" si="38"/>
        <v>-1.1260504201680677E-2</v>
      </c>
      <c r="P263" s="844">
        <f t="shared" si="44"/>
        <v>1.167204518192382E-2</v>
      </c>
      <c r="Q263" s="830"/>
      <c r="R263" s="845">
        <v>848.6</v>
      </c>
      <c r="S263" s="846">
        <f t="shared" si="39"/>
        <v>1.7396204246544089E-2</v>
      </c>
      <c r="T263" s="845">
        <v>61.03</v>
      </c>
      <c r="U263" s="846">
        <f t="shared" si="40"/>
        <v>1.8015012510425255E-2</v>
      </c>
      <c r="V263" s="845">
        <v>118.7161</v>
      </c>
      <c r="W263" s="846">
        <f t="shared" si="41"/>
        <v>2.7323799353747846E-2</v>
      </c>
      <c r="X263" s="845">
        <v>38049.129999999997</v>
      </c>
      <c r="Y263" s="846">
        <f t="shared" si="42"/>
        <v>6.4206077332429334E-3</v>
      </c>
      <c r="Z263" s="845">
        <v>4894.1556</v>
      </c>
      <c r="AA263" s="846">
        <f t="shared" si="43"/>
        <v>5.2585840735994704E-3</v>
      </c>
      <c r="AB263" s="843"/>
      <c r="AC263" s="832"/>
    </row>
    <row r="264" spans="1:29" ht="14.4" x14ac:dyDescent="0.55000000000000004">
      <c r="A264" s="857" t="s">
        <v>5423</v>
      </c>
      <c r="B264" s="842">
        <v>110.89</v>
      </c>
      <c r="C264" s="843">
        <f t="shared" ref="C264:C327" si="45">IFERROR(((B264/B265)-1), "NA")</f>
        <v>-1.6060337178349648E-2</v>
      </c>
      <c r="D264" s="842">
        <v>41.69</v>
      </c>
      <c r="E264" s="843">
        <f t="shared" ref="E264:I327" si="46">IFERROR(((D264/D265)-1), "NA")</f>
        <v>-1.5816808309726205E-2</v>
      </c>
      <c r="F264" s="842">
        <v>25.18</v>
      </c>
      <c r="G264" s="843">
        <f t="shared" si="46"/>
        <v>-1.947040498442365E-2</v>
      </c>
      <c r="H264" s="842">
        <v>38.450000000000003</v>
      </c>
      <c r="I264" s="843">
        <f t="shared" si="46"/>
        <v>-1.4102564102564052E-2</v>
      </c>
      <c r="J264" s="842">
        <v>60.59</v>
      </c>
      <c r="K264" s="843">
        <f t="shared" ref="K264:K327" si="47">IFERROR(((J264/J265)-1), "NA")</f>
        <v>-9.1578086672117198E-3</v>
      </c>
      <c r="L264" s="842">
        <v>58.66</v>
      </c>
      <c r="M264" s="843">
        <f t="shared" ref="M264:M327" si="48">IFERROR(((L264/L265)-1), "NA")</f>
        <v>-2.7681087352892431E-2</v>
      </c>
      <c r="N264" s="842">
        <v>59.5</v>
      </c>
      <c r="O264" s="843">
        <f t="shared" ref="O264:O327" si="49">IFERROR(((N264/N265)-1), "NA")</f>
        <v>-2.1542509455681702E-2</v>
      </c>
      <c r="P264" s="844">
        <f t="shared" si="44"/>
        <v>-1.7690217150121344E-2</v>
      </c>
      <c r="Q264" s="830"/>
      <c r="R264" s="845">
        <v>834.09</v>
      </c>
      <c r="S264" s="846">
        <f t="shared" ref="S264:S327" si="50">IFERROR(((R264/R265)-1), "NA")</f>
        <v>-1.7781650749537858E-2</v>
      </c>
      <c r="T264" s="845">
        <v>59.95</v>
      </c>
      <c r="U264" s="846">
        <f t="shared" ref="U264:U327" si="51">IFERROR(((T264/T265)-1), "NA")</f>
        <v>-1.3655807831523536E-2</v>
      </c>
      <c r="V264" s="845">
        <v>115.5586</v>
      </c>
      <c r="W264" s="846">
        <f t="shared" ref="W264:W327" si="52">IFERROR(((V264/V265)-1), "NA")</f>
        <v>-1.6060310886476081E-2</v>
      </c>
      <c r="X264" s="845">
        <v>37806.39</v>
      </c>
      <c r="Y264" s="846">
        <f t="shared" ref="Y264:Y327" si="53">IFERROR(((X264/X265)-1), "NA")</f>
        <v>-2.6133445190598126E-3</v>
      </c>
      <c r="Z264" s="845">
        <v>4868.5538999999999</v>
      </c>
      <c r="AA264" s="846">
        <f t="shared" ref="AA264:AA327" si="54">IFERROR(((Z264/Z265)-1), "NA")</f>
        <v>8.1346928513115202E-4</v>
      </c>
      <c r="AB264" s="843"/>
      <c r="AC264" s="832"/>
    </row>
    <row r="265" spans="1:29" ht="14.4" x14ac:dyDescent="0.55000000000000004">
      <c r="A265" s="857" t="s">
        <v>5424</v>
      </c>
      <c r="B265" s="842">
        <v>112.7</v>
      </c>
      <c r="C265" s="843">
        <f t="shared" si="45"/>
        <v>-3.8889870956336781E-3</v>
      </c>
      <c r="D265" s="842">
        <v>42.36</v>
      </c>
      <c r="E265" s="843">
        <f t="shared" si="46"/>
        <v>4.2674253200569723E-3</v>
      </c>
      <c r="F265" s="842">
        <v>25.68</v>
      </c>
      <c r="G265" s="843">
        <f t="shared" si="46"/>
        <v>3.5169988276670949E-3</v>
      </c>
      <c r="H265" s="842">
        <v>39</v>
      </c>
      <c r="I265" s="843">
        <f t="shared" si="46"/>
        <v>5.9324219757543872E-3</v>
      </c>
      <c r="J265" s="842">
        <v>61.15</v>
      </c>
      <c r="K265" s="843">
        <f t="shared" si="47"/>
        <v>1.4096185737976885E-2</v>
      </c>
      <c r="L265" s="842">
        <v>60.33</v>
      </c>
      <c r="M265" s="843">
        <f t="shared" si="48"/>
        <v>-1.1589403973509826E-3</v>
      </c>
      <c r="N265" s="842">
        <v>60.81</v>
      </c>
      <c r="O265" s="843">
        <f t="shared" si="49"/>
        <v>1.063652983214225E-2</v>
      </c>
      <c r="P265" s="844">
        <f t="shared" ref="P265:P328" si="55">IFERROR(AVERAGE(C265,E265,G265,I265,M265,K265,O265),"NA")</f>
        <v>4.7716620286589895E-3</v>
      </c>
      <c r="Q265" s="830"/>
      <c r="R265" s="845">
        <v>849.19</v>
      </c>
      <c r="S265" s="846">
        <f t="shared" si="50"/>
        <v>2.5913754314044191E-4</v>
      </c>
      <c r="T265" s="845">
        <v>60.78</v>
      </c>
      <c r="U265" s="846">
        <f t="shared" si="51"/>
        <v>1.8130871930113202E-3</v>
      </c>
      <c r="V265" s="845">
        <v>117.4448</v>
      </c>
      <c r="W265" s="846">
        <f t="shared" si="52"/>
        <v>-3.8887800426281594E-3</v>
      </c>
      <c r="X265" s="845">
        <v>37905.449999999997</v>
      </c>
      <c r="Y265" s="846">
        <f t="shared" si="53"/>
        <v>-2.5356686957805907E-3</v>
      </c>
      <c r="Z265" s="845">
        <v>4864.5967000000001</v>
      </c>
      <c r="AA265" s="846">
        <f t="shared" si="54"/>
        <v>2.921599232001526E-3</v>
      </c>
      <c r="AB265" s="843"/>
      <c r="AC265" s="832"/>
    </row>
    <row r="266" spans="1:29" ht="14.4" x14ac:dyDescent="0.55000000000000004">
      <c r="A266" s="857" t="s">
        <v>5425</v>
      </c>
      <c r="B266" s="842">
        <v>113.14</v>
      </c>
      <c r="C266" s="843">
        <f t="shared" si="45"/>
        <v>5.3059780686237623E-4</v>
      </c>
      <c r="D266" s="842">
        <v>42.18</v>
      </c>
      <c r="E266" s="843">
        <f t="shared" si="46"/>
        <v>1.0783608914450182E-2</v>
      </c>
      <c r="F266" s="842">
        <v>25.59</v>
      </c>
      <c r="G266" s="843">
        <f t="shared" si="46"/>
        <v>-3.9062500000008882E-4</v>
      </c>
      <c r="H266" s="842">
        <v>38.770000000000003</v>
      </c>
      <c r="I266" s="843">
        <f t="shared" si="46"/>
        <v>2.0263157894736983E-2</v>
      </c>
      <c r="J266" s="842">
        <v>60.3</v>
      </c>
      <c r="K266" s="843">
        <f t="shared" si="47"/>
        <v>1.8925312605609923E-2</v>
      </c>
      <c r="L266" s="842">
        <v>60.4</v>
      </c>
      <c r="M266" s="843">
        <f t="shared" si="48"/>
        <v>-1.8178813419269524E-3</v>
      </c>
      <c r="N266" s="842">
        <v>60.17</v>
      </c>
      <c r="O266" s="843">
        <f t="shared" si="49"/>
        <v>2.3473379826501217E-2</v>
      </c>
      <c r="P266" s="844">
        <f t="shared" si="55"/>
        <v>1.0252507243747664E-2</v>
      </c>
      <c r="Q266" s="830"/>
      <c r="R266" s="845">
        <v>848.97</v>
      </c>
      <c r="S266" s="846">
        <f t="shared" si="50"/>
        <v>-4.187486804138163E-3</v>
      </c>
      <c r="T266" s="845">
        <v>60.67</v>
      </c>
      <c r="U266" s="846">
        <f t="shared" si="51"/>
        <v>-5.0836339783534301E-3</v>
      </c>
      <c r="V266" s="845">
        <v>117.9033</v>
      </c>
      <c r="W266" s="846">
        <f t="shared" si="52"/>
        <v>5.3037657585486286E-4</v>
      </c>
      <c r="X266" s="845">
        <v>38001.81</v>
      </c>
      <c r="Y266" s="846">
        <f t="shared" si="53"/>
        <v>3.6449062164916057E-3</v>
      </c>
      <c r="Z266" s="845">
        <v>4850.4256999999998</v>
      </c>
      <c r="AA266" s="846">
        <f t="shared" si="54"/>
        <v>2.1931226493661082E-3</v>
      </c>
      <c r="AB266" s="843"/>
      <c r="AC266" s="832"/>
    </row>
    <row r="267" spans="1:29" ht="14.4" x14ac:dyDescent="0.55000000000000004">
      <c r="A267" s="857" t="s">
        <v>5426</v>
      </c>
      <c r="B267" s="842">
        <v>113.08</v>
      </c>
      <c r="C267" s="843">
        <f t="shared" si="45"/>
        <v>5.7813750778261674E-3</v>
      </c>
      <c r="D267" s="842">
        <v>41.73</v>
      </c>
      <c r="E267" s="843">
        <f t="shared" si="46"/>
        <v>5.7845263919016343E-3</v>
      </c>
      <c r="F267" s="842">
        <v>25.6</v>
      </c>
      <c r="G267" s="843">
        <f t="shared" si="46"/>
        <v>-1.9493177387913674E-3</v>
      </c>
      <c r="H267" s="842">
        <v>38</v>
      </c>
      <c r="I267" s="843">
        <f t="shared" si="46"/>
        <v>6.0894890124436607E-3</v>
      </c>
      <c r="J267" s="842">
        <v>59.18</v>
      </c>
      <c r="K267" s="843">
        <f t="shared" si="47"/>
        <v>1.0414888168004177E-2</v>
      </c>
      <c r="L267" s="842">
        <v>60.51</v>
      </c>
      <c r="M267" s="843">
        <f t="shared" si="48"/>
        <v>2.8173682466023919E-3</v>
      </c>
      <c r="N267" s="842">
        <v>58.79</v>
      </c>
      <c r="O267" s="843">
        <f t="shared" si="49"/>
        <v>1.0137457044673504E-2</v>
      </c>
      <c r="P267" s="844">
        <f t="shared" si="55"/>
        <v>5.5822551718085955E-3</v>
      </c>
      <c r="Q267" s="830"/>
      <c r="R267" s="845">
        <v>852.54</v>
      </c>
      <c r="S267" s="846">
        <f t="shared" si="50"/>
        <v>-1.9783898949932155E-3</v>
      </c>
      <c r="T267" s="845">
        <v>60.98</v>
      </c>
      <c r="U267" s="846">
        <f t="shared" si="51"/>
        <v>-1.3101867016050983E-3</v>
      </c>
      <c r="V267" s="845">
        <v>117.8408</v>
      </c>
      <c r="W267" s="846">
        <f t="shared" si="52"/>
        <v>5.7816690195060527E-3</v>
      </c>
      <c r="X267" s="845">
        <v>37863.800000000003</v>
      </c>
      <c r="Y267" s="846">
        <f t="shared" si="53"/>
        <v>1.054722873359859E-2</v>
      </c>
      <c r="Z267" s="845">
        <v>4839.8113999999996</v>
      </c>
      <c r="AA267" s="846">
        <f t="shared" si="54"/>
        <v>1.2314279107093817E-2</v>
      </c>
      <c r="AB267" s="843"/>
      <c r="AC267" s="832"/>
    </row>
    <row r="268" spans="1:29" ht="14.4" x14ac:dyDescent="0.55000000000000004">
      <c r="A268" s="857" t="s">
        <v>5427</v>
      </c>
      <c r="B268" s="842">
        <v>112.43</v>
      </c>
      <c r="C268" s="843">
        <f t="shared" si="45"/>
        <v>-2.7496895511796016E-3</v>
      </c>
      <c r="D268" s="842">
        <v>41.49</v>
      </c>
      <c r="E268" s="843">
        <f t="shared" si="46"/>
        <v>-1.3786546232469665E-2</v>
      </c>
      <c r="F268" s="842">
        <v>25.65</v>
      </c>
      <c r="G268" s="843">
        <f t="shared" si="46"/>
        <v>-1.117964533538951E-2</v>
      </c>
      <c r="H268" s="842">
        <v>37.770000000000003</v>
      </c>
      <c r="I268" s="843">
        <f t="shared" si="46"/>
        <v>1.5910898965791898E-3</v>
      </c>
      <c r="J268" s="842">
        <v>58.57</v>
      </c>
      <c r="K268" s="843">
        <f t="shared" si="47"/>
        <v>-4.9269452939177949E-3</v>
      </c>
      <c r="L268" s="842">
        <v>60.34</v>
      </c>
      <c r="M268" s="843">
        <f t="shared" si="48"/>
        <v>-6.7489711934155538E-3</v>
      </c>
      <c r="N268" s="842">
        <v>58.2</v>
      </c>
      <c r="O268" s="843">
        <f t="shared" si="49"/>
        <v>-3.5952747817153963E-3</v>
      </c>
      <c r="P268" s="844">
        <f t="shared" si="55"/>
        <v>-5.91371178450119E-3</v>
      </c>
      <c r="Q268" s="830"/>
      <c r="R268" s="845">
        <v>854.23</v>
      </c>
      <c r="S268" s="846">
        <f t="shared" si="50"/>
        <v>-1.086138418962268E-2</v>
      </c>
      <c r="T268" s="845">
        <v>61.06</v>
      </c>
      <c r="U268" s="846">
        <f t="shared" si="51"/>
        <v>-1.0693454309786077E-2</v>
      </c>
      <c r="V268" s="845">
        <v>117.1634</v>
      </c>
      <c r="W268" s="846">
        <f t="shared" si="52"/>
        <v>-2.7501032033468986E-3</v>
      </c>
      <c r="X268" s="845">
        <v>37468.61</v>
      </c>
      <c r="Y268" s="846">
        <f t="shared" si="53"/>
        <v>5.418783057353993E-3</v>
      </c>
      <c r="Z268" s="845">
        <v>4780.9376000000002</v>
      </c>
      <c r="AA268" s="846">
        <f t="shared" si="54"/>
        <v>8.8051630397913971E-3</v>
      </c>
      <c r="AB268" s="843"/>
      <c r="AC268" s="832"/>
    </row>
    <row r="269" spans="1:29" ht="14.4" x14ac:dyDescent="0.55000000000000004">
      <c r="A269" s="857" t="s">
        <v>5428</v>
      </c>
      <c r="B269" s="842">
        <v>112.74</v>
      </c>
      <c r="C269" s="843">
        <f t="shared" si="45"/>
        <v>-1.1746143057503544E-2</v>
      </c>
      <c r="D269" s="842">
        <v>42.07</v>
      </c>
      <c r="E269" s="843">
        <f t="shared" si="46"/>
        <v>-1.8979833926452416E-3</v>
      </c>
      <c r="F269" s="842">
        <v>25.94</v>
      </c>
      <c r="G269" s="843">
        <f t="shared" si="46"/>
        <v>-1.2937595129375978E-2</v>
      </c>
      <c r="H269" s="842">
        <v>37.71</v>
      </c>
      <c r="I269" s="843">
        <f t="shared" si="46"/>
        <v>-3.1720856463123281E-3</v>
      </c>
      <c r="J269" s="842">
        <v>58.86</v>
      </c>
      <c r="K269" s="843">
        <f t="shared" si="47"/>
        <v>-6.9174962038131005E-3</v>
      </c>
      <c r="L269" s="842">
        <v>60.75</v>
      </c>
      <c r="M269" s="843">
        <f t="shared" si="48"/>
        <v>-8.2236842105254393E-4</v>
      </c>
      <c r="N269" s="842">
        <v>58.41</v>
      </c>
      <c r="O269" s="843">
        <f t="shared" si="49"/>
        <v>-1.0000000000000009E-2</v>
      </c>
      <c r="P269" s="844">
        <f t="shared" si="55"/>
        <v>-6.7848102643861064E-3</v>
      </c>
      <c r="Q269" s="830"/>
      <c r="R269" s="845">
        <v>863.61</v>
      </c>
      <c r="S269" s="846">
        <f t="shared" si="50"/>
        <v>-1.3734129965633057E-2</v>
      </c>
      <c r="T269" s="845">
        <v>61.72</v>
      </c>
      <c r="U269" s="846">
        <f t="shared" si="51"/>
        <v>-1.4529778061631915E-2</v>
      </c>
      <c r="V269" s="845">
        <v>117.48650000000001</v>
      </c>
      <c r="W269" s="846">
        <f t="shared" si="52"/>
        <v>-1.1746012252392912E-2</v>
      </c>
      <c r="X269" s="845">
        <v>37266.67</v>
      </c>
      <c r="Y269" s="846">
        <f t="shared" si="53"/>
        <v>-2.5279757420536564E-3</v>
      </c>
      <c r="Z269" s="845">
        <v>4739.2080999999998</v>
      </c>
      <c r="AA269" s="846">
        <f t="shared" si="54"/>
        <v>-5.6164571537917762E-3</v>
      </c>
      <c r="AB269" s="843"/>
      <c r="AC269" s="832"/>
    </row>
    <row r="270" spans="1:29" ht="14.4" x14ac:dyDescent="0.55000000000000004">
      <c r="A270" s="857" t="s">
        <v>5429</v>
      </c>
      <c r="B270" s="842">
        <v>114.08</v>
      </c>
      <c r="C270" s="843">
        <f t="shared" si="45"/>
        <v>-1.4768114690387857E-2</v>
      </c>
      <c r="D270" s="842">
        <v>42.15</v>
      </c>
      <c r="E270" s="843">
        <f t="shared" si="46"/>
        <v>-1.8169112508735208E-2</v>
      </c>
      <c r="F270" s="842">
        <v>26.28</v>
      </c>
      <c r="G270" s="843">
        <f t="shared" si="46"/>
        <v>-1.7202692595362667E-2</v>
      </c>
      <c r="H270" s="842">
        <v>37.83</v>
      </c>
      <c r="I270" s="843">
        <f t="shared" si="46"/>
        <v>-1.5612802498048417E-2</v>
      </c>
      <c r="J270" s="842">
        <v>59.27</v>
      </c>
      <c r="K270" s="843">
        <f t="shared" si="47"/>
        <v>-2.5164473684210376E-2</v>
      </c>
      <c r="L270" s="842">
        <v>60.8</v>
      </c>
      <c r="M270" s="843">
        <f t="shared" si="48"/>
        <v>-1.824640723397386E-2</v>
      </c>
      <c r="N270" s="842">
        <v>59</v>
      </c>
      <c r="O270" s="843">
        <f t="shared" si="49"/>
        <v>-1.8139457480446097E-2</v>
      </c>
      <c r="P270" s="844">
        <f t="shared" si="55"/>
        <v>-1.8186151527309211E-2</v>
      </c>
      <c r="Q270" s="830"/>
      <c r="R270" s="845">
        <v>875.63610000000006</v>
      </c>
      <c r="S270" s="846">
        <f t="shared" si="50"/>
        <v>-1.1128188912353565E-2</v>
      </c>
      <c r="T270" s="845">
        <v>62.63</v>
      </c>
      <c r="U270" s="846">
        <f t="shared" si="51"/>
        <v>-1.0897030953884945E-2</v>
      </c>
      <c r="V270" s="845">
        <v>118.88290000000001</v>
      </c>
      <c r="W270" s="846">
        <f t="shared" si="52"/>
        <v>-1.4768172020198089E-2</v>
      </c>
      <c r="X270" s="845">
        <v>37361.118000000002</v>
      </c>
      <c r="Y270" s="846">
        <f t="shared" si="53"/>
        <v>-6.1676940747980025E-3</v>
      </c>
      <c r="Z270" s="845">
        <v>4765.9759999999997</v>
      </c>
      <c r="AA270" s="846">
        <f t="shared" si="54"/>
        <v>-3.7323851170248945E-3</v>
      </c>
      <c r="AB270" s="843"/>
      <c r="AC270" s="832"/>
    </row>
    <row r="271" spans="1:29" ht="14.4" x14ac:dyDescent="0.55000000000000004">
      <c r="A271" s="857" t="s">
        <v>5430</v>
      </c>
      <c r="B271" s="842">
        <v>115.79</v>
      </c>
      <c r="C271" s="843">
        <f t="shared" si="45"/>
        <v>3.4665048964381828E-3</v>
      </c>
      <c r="D271" s="842">
        <v>42.93</v>
      </c>
      <c r="E271" s="843">
        <f t="shared" si="46"/>
        <v>-4.656577415600438E-4</v>
      </c>
      <c r="F271" s="842">
        <v>26.74</v>
      </c>
      <c r="G271" s="843">
        <f t="shared" si="46"/>
        <v>9.0566037735848592E-3</v>
      </c>
      <c r="H271" s="842">
        <v>38.43</v>
      </c>
      <c r="I271" s="843">
        <f t="shared" si="46"/>
        <v>3.1323414252153459E-3</v>
      </c>
      <c r="J271" s="842">
        <v>60.8</v>
      </c>
      <c r="K271" s="843">
        <f t="shared" si="47"/>
        <v>-3.768638374569977E-3</v>
      </c>
      <c r="L271" s="842">
        <v>61.93</v>
      </c>
      <c r="M271" s="843">
        <f t="shared" si="48"/>
        <v>3.890419841141135E-3</v>
      </c>
      <c r="N271" s="842">
        <v>60.09</v>
      </c>
      <c r="O271" s="843">
        <f t="shared" si="49"/>
        <v>4.1778074866309911E-3</v>
      </c>
      <c r="P271" s="844">
        <f t="shared" si="55"/>
        <v>2.784197329554356E-3</v>
      </c>
      <c r="Q271" s="830"/>
      <c r="R271" s="845">
        <v>885.49</v>
      </c>
      <c r="S271" s="846">
        <f t="shared" si="50"/>
        <v>6.5817892463340133E-3</v>
      </c>
      <c r="T271" s="845">
        <v>63.32</v>
      </c>
      <c r="U271" s="846">
        <f t="shared" si="51"/>
        <v>5.7179161372300502E-3</v>
      </c>
      <c r="V271" s="845">
        <v>120.6649</v>
      </c>
      <c r="W271" s="846">
        <f t="shared" si="52"/>
        <v>3.4670015301709878E-3</v>
      </c>
      <c r="X271" s="845">
        <v>37592.980000000003</v>
      </c>
      <c r="Y271" s="846">
        <f t="shared" si="53"/>
        <v>-3.1301195247435132E-3</v>
      </c>
      <c r="Z271" s="845">
        <v>4783.8311000000003</v>
      </c>
      <c r="AA271" s="846">
        <f t="shared" si="54"/>
        <v>7.5071505263601956E-4</v>
      </c>
      <c r="AB271" s="843"/>
      <c r="AC271" s="832"/>
    </row>
    <row r="272" spans="1:29" ht="14.4" x14ac:dyDescent="0.55000000000000004">
      <c r="A272" s="857" t="s">
        <v>5431</v>
      </c>
      <c r="B272" s="842">
        <v>115.39</v>
      </c>
      <c r="C272" s="843">
        <f t="shared" si="45"/>
        <v>-2.245001694340909E-2</v>
      </c>
      <c r="D272" s="842">
        <v>42.95</v>
      </c>
      <c r="E272" s="843">
        <f t="shared" si="46"/>
        <v>-2.5192918747162896E-2</v>
      </c>
      <c r="F272" s="842">
        <v>26.5</v>
      </c>
      <c r="G272" s="843">
        <f t="shared" si="46"/>
        <v>-3.0724213606437401E-2</v>
      </c>
      <c r="H272" s="842">
        <v>38.31</v>
      </c>
      <c r="I272" s="843">
        <f t="shared" si="46"/>
        <v>-2.2454707833630905E-2</v>
      </c>
      <c r="J272" s="842">
        <v>61.03</v>
      </c>
      <c r="K272" s="843">
        <f t="shared" si="47"/>
        <v>-2.3519999999999985E-2</v>
      </c>
      <c r="L272" s="842">
        <v>61.69</v>
      </c>
      <c r="M272" s="843">
        <f t="shared" si="48"/>
        <v>-2.9268292682926855E-2</v>
      </c>
      <c r="N272" s="842">
        <v>59.84</v>
      </c>
      <c r="O272" s="843">
        <f t="shared" si="49"/>
        <v>-2.5565868751017629E-2</v>
      </c>
      <c r="P272" s="844">
        <f t="shared" si="55"/>
        <v>-2.5596574080654966E-2</v>
      </c>
      <c r="Q272" s="830"/>
      <c r="R272" s="845">
        <v>879.7</v>
      </c>
      <c r="S272" s="846">
        <f t="shared" si="50"/>
        <v>-2.1892616106472085E-2</v>
      </c>
      <c r="T272" s="845">
        <v>62.96</v>
      </c>
      <c r="U272" s="846">
        <f t="shared" si="51"/>
        <v>-2.3270245113248378E-2</v>
      </c>
      <c r="V272" s="845">
        <v>120.248</v>
      </c>
      <c r="W272" s="846">
        <f t="shared" si="52"/>
        <v>-2.2450280303325965E-2</v>
      </c>
      <c r="X272" s="845">
        <v>37711.019999999997</v>
      </c>
      <c r="Y272" s="846">
        <f t="shared" si="53"/>
        <v>4.0561623292600935E-4</v>
      </c>
      <c r="Z272" s="845">
        <v>4780.2425000000003</v>
      </c>
      <c r="AA272" s="846">
        <f t="shared" si="54"/>
        <v>-6.70353114032185E-4</v>
      </c>
      <c r="AB272" s="843"/>
      <c r="AC272" s="832"/>
    </row>
    <row r="273" spans="1:29" ht="14.4" x14ac:dyDescent="0.55000000000000004">
      <c r="A273" s="857" t="s">
        <v>5432</v>
      </c>
      <c r="B273" s="842">
        <v>118.04</v>
      </c>
      <c r="C273" s="843">
        <f t="shared" si="45"/>
        <v>-2.7036160865157033E-3</v>
      </c>
      <c r="D273" s="842">
        <v>44.06</v>
      </c>
      <c r="E273" s="843">
        <f t="shared" si="46"/>
        <v>2.2747952684258888E-3</v>
      </c>
      <c r="F273" s="842">
        <v>27.34</v>
      </c>
      <c r="G273" s="843">
        <f t="shared" si="46"/>
        <v>7.3691967575533202E-3</v>
      </c>
      <c r="H273" s="842">
        <v>39.19</v>
      </c>
      <c r="I273" s="843">
        <f t="shared" si="46"/>
        <v>0</v>
      </c>
      <c r="J273" s="842">
        <v>62.5</v>
      </c>
      <c r="K273" s="843">
        <f t="shared" si="47"/>
        <v>-8.2513487781656902E-3</v>
      </c>
      <c r="L273" s="842">
        <v>63.55</v>
      </c>
      <c r="M273" s="843">
        <f t="shared" si="48"/>
        <v>6.6529383811182452E-3</v>
      </c>
      <c r="N273" s="842">
        <v>61.41</v>
      </c>
      <c r="O273" s="843">
        <f t="shared" si="49"/>
        <v>-5.3449951409135776E-3</v>
      </c>
      <c r="P273" s="844">
        <f t="shared" si="55"/>
        <v>-4.3279978535957853E-7</v>
      </c>
      <c r="Q273" s="830"/>
      <c r="R273" s="845">
        <v>899.39</v>
      </c>
      <c r="S273" s="846">
        <f t="shared" si="50"/>
        <v>-1.0773468390421481E-3</v>
      </c>
      <c r="T273" s="845">
        <v>64.459999999999994</v>
      </c>
      <c r="U273" s="846">
        <f t="shared" si="51"/>
        <v>-1.5511090429665142E-4</v>
      </c>
      <c r="V273" s="845">
        <v>123.00960000000001</v>
      </c>
      <c r="W273" s="846">
        <f t="shared" si="52"/>
        <v>-2.7038399391615675E-3</v>
      </c>
      <c r="X273" s="845">
        <v>37695.730000000003</v>
      </c>
      <c r="Y273" s="846">
        <f t="shared" si="53"/>
        <v>4.545483616858581E-3</v>
      </c>
      <c r="Z273" s="845">
        <v>4783.4490999999998</v>
      </c>
      <c r="AA273" s="846">
        <f t="shared" si="54"/>
        <v>5.6664816215044045E-3</v>
      </c>
      <c r="AB273" s="843"/>
      <c r="AC273" s="832"/>
    </row>
    <row r="274" spans="1:29" ht="14.4" x14ac:dyDescent="0.55000000000000004">
      <c r="A274" s="857" t="s">
        <v>5433</v>
      </c>
      <c r="B274" s="842">
        <v>118.36</v>
      </c>
      <c r="C274" s="843">
        <f t="shared" si="45"/>
        <v>-4.1228439209086698E-3</v>
      </c>
      <c r="D274" s="842">
        <v>43.96</v>
      </c>
      <c r="E274" s="843">
        <f t="shared" si="46"/>
        <v>-2.2893976439208763E-2</v>
      </c>
      <c r="F274" s="842">
        <v>27.14</v>
      </c>
      <c r="G274" s="843">
        <f t="shared" si="46"/>
        <v>-5.4965188713813617E-3</v>
      </c>
      <c r="H274" s="842">
        <v>39.19</v>
      </c>
      <c r="I274" s="843">
        <f t="shared" si="46"/>
        <v>-1.1102699974766761E-2</v>
      </c>
      <c r="J274" s="842">
        <v>63.02</v>
      </c>
      <c r="K274" s="843">
        <f t="shared" si="47"/>
        <v>-2.3399969006663524E-2</v>
      </c>
      <c r="L274" s="842">
        <v>63.13</v>
      </c>
      <c r="M274" s="843">
        <f t="shared" si="48"/>
        <v>-2.3511214230471866E-2</v>
      </c>
      <c r="N274" s="842">
        <v>61.74</v>
      </c>
      <c r="O274" s="843">
        <f t="shared" si="49"/>
        <v>-2.0932445290199775E-2</v>
      </c>
      <c r="P274" s="844">
        <f t="shared" si="55"/>
        <v>-1.5922809676228673E-2</v>
      </c>
      <c r="Q274" s="830"/>
      <c r="R274" s="845">
        <v>900.36</v>
      </c>
      <c r="S274" s="846">
        <f t="shared" si="50"/>
        <v>-4.8631681329854848E-3</v>
      </c>
      <c r="T274" s="845">
        <v>64.47</v>
      </c>
      <c r="U274" s="846">
        <f t="shared" si="51"/>
        <v>-8.1538461538461782E-3</v>
      </c>
      <c r="V274" s="845">
        <v>123.34310000000001</v>
      </c>
      <c r="W274" s="846">
        <f t="shared" si="52"/>
        <v>-4.1226059455631292E-3</v>
      </c>
      <c r="X274" s="845">
        <v>37525.160000000003</v>
      </c>
      <c r="Y274" s="846">
        <f t="shared" si="53"/>
        <v>-4.1888904309925756E-3</v>
      </c>
      <c r="Z274" s="845">
        <v>4756.4965000000002</v>
      </c>
      <c r="AA274" s="846">
        <f t="shared" si="54"/>
        <v>-1.4780612718199304E-3</v>
      </c>
      <c r="AB274" s="843"/>
      <c r="AC274" s="832"/>
    </row>
    <row r="275" spans="1:29" ht="14.4" x14ac:dyDescent="0.55000000000000004">
      <c r="A275" s="857" t="s">
        <v>5434</v>
      </c>
      <c r="B275" s="842">
        <v>118.85</v>
      </c>
      <c r="C275" s="843">
        <f t="shared" si="45"/>
        <v>7.3741312086792465E-3</v>
      </c>
      <c r="D275" s="842">
        <v>44.99</v>
      </c>
      <c r="E275" s="843">
        <f t="shared" si="46"/>
        <v>6.6725978647697026E-4</v>
      </c>
      <c r="F275" s="842">
        <v>27.29</v>
      </c>
      <c r="G275" s="843">
        <f t="shared" si="46"/>
        <v>9.2455621301774649E-3</v>
      </c>
      <c r="H275" s="842">
        <v>39.630000000000003</v>
      </c>
      <c r="I275" s="843">
        <f t="shared" si="46"/>
        <v>6.3484002031488629E-3</v>
      </c>
      <c r="J275" s="842">
        <v>64.53</v>
      </c>
      <c r="K275" s="843">
        <f t="shared" si="47"/>
        <v>9.3852651337400506E-3</v>
      </c>
      <c r="L275" s="842">
        <v>64.650000000000006</v>
      </c>
      <c r="M275" s="843">
        <f t="shared" si="48"/>
        <v>1.4276749294007018E-2</v>
      </c>
      <c r="N275" s="842">
        <v>63.06</v>
      </c>
      <c r="O275" s="843">
        <f t="shared" si="49"/>
        <v>5.7416267942582699E-3</v>
      </c>
      <c r="P275" s="844">
        <f t="shared" si="55"/>
        <v>7.5769992214982694E-3</v>
      </c>
      <c r="Q275" s="830"/>
      <c r="R275" s="845">
        <v>904.76</v>
      </c>
      <c r="S275" s="846">
        <f t="shared" si="50"/>
        <v>6.7766810953966417E-3</v>
      </c>
      <c r="T275" s="845">
        <v>65</v>
      </c>
      <c r="U275" s="846">
        <f t="shared" si="51"/>
        <v>7.2834340616767523E-3</v>
      </c>
      <c r="V275" s="845">
        <v>123.8537</v>
      </c>
      <c r="W275" s="846">
        <f t="shared" si="52"/>
        <v>7.3739030851480702E-3</v>
      </c>
      <c r="X275" s="845">
        <v>37683.01</v>
      </c>
      <c r="Y275" s="846">
        <f t="shared" si="53"/>
        <v>5.7892319218622035E-3</v>
      </c>
      <c r="Z275" s="845">
        <v>4763.5373</v>
      </c>
      <c r="AA275" s="846">
        <f t="shared" si="54"/>
        <v>1.4113038900739561E-2</v>
      </c>
      <c r="AB275" s="843"/>
      <c r="AC275" s="832"/>
    </row>
    <row r="276" spans="1:29" ht="14.4" x14ac:dyDescent="0.55000000000000004">
      <c r="A276" s="857" t="s">
        <v>5435</v>
      </c>
      <c r="B276" s="842">
        <v>117.98</v>
      </c>
      <c r="C276" s="843">
        <f t="shared" si="45"/>
        <v>3.231292517006823E-3</v>
      </c>
      <c r="D276" s="842">
        <v>44.96</v>
      </c>
      <c r="E276" s="843">
        <f t="shared" si="46"/>
        <v>-7.9435127978817466E-3</v>
      </c>
      <c r="F276" s="842">
        <v>27.04</v>
      </c>
      <c r="G276" s="843">
        <f t="shared" si="46"/>
        <v>6.7014147431123661E-3</v>
      </c>
      <c r="H276" s="842">
        <v>39.380000000000003</v>
      </c>
      <c r="I276" s="843">
        <f t="shared" si="46"/>
        <v>-7.8105316200552943E-3</v>
      </c>
      <c r="J276" s="842">
        <v>63.93</v>
      </c>
      <c r="K276" s="843">
        <f t="shared" si="47"/>
        <v>-7.1439664544183934E-3</v>
      </c>
      <c r="L276" s="842">
        <v>63.74</v>
      </c>
      <c r="M276" s="843">
        <f t="shared" si="48"/>
        <v>-7.1651090342679247E-3</v>
      </c>
      <c r="N276" s="842">
        <v>62.7</v>
      </c>
      <c r="O276" s="843">
        <f t="shared" si="49"/>
        <v>-6.0240963855421326E-3</v>
      </c>
      <c r="P276" s="844">
        <f t="shared" si="55"/>
        <v>-3.736358433149472E-3</v>
      </c>
      <c r="Q276" s="830"/>
      <c r="R276" s="845">
        <v>898.67</v>
      </c>
      <c r="S276" s="846">
        <f t="shared" si="50"/>
        <v>3.524008887854535E-3</v>
      </c>
      <c r="T276" s="845">
        <v>64.53</v>
      </c>
      <c r="U276" s="846">
        <f t="shared" si="51"/>
        <v>3.7330844610359293E-3</v>
      </c>
      <c r="V276" s="845">
        <v>122.94710000000001</v>
      </c>
      <c r="W276" s="846">
        <f t="shared" si="52"/>
        <v>3.2313051453638497E-3</v>
      </c>
      <c r="X276" s="845">
        <v>37466.11</v>
      </c>
      <c r="Y276" s="846">
        <f t="shared" si="53"/>
        <v>6.88295031508801E-4</v>
      </c>
      <c r="Z276" s="845">
        <v>4697.2448999999997</v>
      </c>
      <c r="AA276" s="846">
        <f t="shared" si="54"/>
        <v>1.8275734983606018E-3</v>
      </c>
      <c r="AB276" s="843"/>
      <c r="AC276" s="832"/>
    </row>
    <row r="277" spans="1:29" ht="14.4" x14ac:dyDescent="0.55000000000000004">
      <c r="A277" s="857" t="s">
        <v>5436</v>
      </c>
      <c r="B277" s="842">
        <v>117.6</v>
      </c>
      <c r="C277" s="843">
        <f t="shared" si="45"/>
        <v>-3.558718861209953E-3</v>
      </c>
      <c r="D277" s="842">
        <v>45.32</v>
      </c>
      <c r="E277" s="843">
        <f t="shared" si="46"/>
        <v>1.546961325966878E-3</v>
      </c>
      <c r="F277" s="842">
        <v>26.86</v>
      </c>
      <c r="G277" s="843">
        <f t="shared" si="46"/>
        <v>-1.1156563778356166E-3</v>
      </c>
      <c r="H277" s="842">
        <v>39.69</v>
      </c>
      <c r="I277" s="843">
        <f t="shared" si="46"/>
        <v>-6.0105184072126727E-3</v>
      </c>
      <c r="J277" s="842">
        <v>64.39</v>
      </c>
      <c r="K277" s="843">
        <f t="shared" si="47"/>
        <v>-9.5369943085680253E-3</v>
      </c>
      <c r="L277" s="842">
        <v>64.2</v>
      </c>
      <c r="M277" s="843">
        <f t="shared" si="48"/>
        <v>6.2344139650871711E-4</v>
      </c>
      <c r="N277" s="842">
        <v>63.08</v>
      </c>
      <c r="O277" s="843">
        <f t="shared" si="49"/>
        <v>-9.4221105527638738E-3</v>
      </c>
      <c r="P277" s="844">
        <f t="shared" si="55"/>
        <v>-3.9247993978735064E-3</v>
      </c>
      <c r="Q277" s="830"/>
      <c r="R277" s="845">
        <v>895.51419999999996</v>
      </c>
      <c r="S277" s="846">
        <f t="shared" si="50"/>
        <v>-2.3682099728176143E-3</v>
      </c>
      <c r="T277" s="845">
        <v>64.290000000000006</v>
      </c>
      <c r="U277" s="846">
        <f t="shared" si="51"/>
        <v>-3.101256008683384E-3</v>
      </c>
      <c r="V277" s="845">
        <v>122.55110000000001</v>
      </c>
      <c r="W277" s="846">
        <f t="shared" si="52"/>
        <v>-3.5580504550417613E-3</v>
      </c>
      <c r="X277" s="845">
        <v>37440.339999999997</v>
      </c>
      <c r="Y277" s="846">
        <f t="shared" si="53"/>
        <v>2.7117147949273779E-4</v>
      </c>
      <c r="Z277" s="845">
        <v>4688.6760000000004</v>
      </c>
      <c r="AA277" s="846">
        <f t="shared" si="54"/>
        <v>-3.4294894432636003E-3</v>
      </c>
      <c r="AB277" s="843"/>
      <c r="AC277" s="832"/>
    </row>
    <row r="278" spans="1:29" ht="14.4" x14ac:dyDescent="0.55000000000000004">
      <c r="A278" s="857" t="s">
        <v>5437</v>
      </c>
      <c r="B278" s="842">
        <v>118.02</v>
      </c>
      <c r="C278" s="843">
        <f t="shared" si="45"/>
        <v>9.321816471393074E-3</v>
      </c>
      <c r="D278" s="842">
        <v>45.25</v>
      </c>
      <c r="E278" s="843">
        <f t="shared" si="46"/>
        <v>-4.4179368235042205E-4</v>
      </c>
      <c r="F278" s="842">
        <v>26.89</v>
      </c>
      <c r="G278" s="843">
        <f t="shared" si="46"/>
        <v>-4.4427989633469833E-3</v>
      </c>
      <c r="H278" s="842">
        <v>39.93</v>
      </c>
      <c r="I278" s="843">
        <f t="shared" si="46"/>
        <v>6.3004032258064946E-3</v>
      </c>
      <c r="J278" s="842">
        <v>65.010000000000005</v>
      </c>
      <c r="K278" s="843">
        <f t="shared" si="47"/>
        <v>4.9466687277788246E-3</v>
      </c>
      <c r="L278" s="842">
        <v>64.16</v>
      </c>
      <c r="M278" s="843">
        <f t="shared" si="48"/>
        <v>2.1868166198062422E-3</v>
      </c>
      <c r="N278" s="842">
        <v>63.68</v>
      </c>
      <c r="O278" s="843">
        <f t="shared" si="49"/>
        <v>-1.2547051442910462E-3</v>
      </c>
      <c r="P278" s="844">
        <f t="shared" si="55"/>
        <v>2.3737724649708835E-3</v>
      </c>
      <c r="Q278" s="830"/>
      <c r="R278" s="845">
        <v>897.64</v>
      </c>
      <c r="S278" s="846">
        <f t="shared" si="50"/>
        <v>3.7796613960145997E-3</v>
      </c>
      <c r="T278" s="845">
        <v>64.489999999999995</v>
      </c>
      <c r="U278" s="846">
        <f t="shared" si="51"/>
        <v>3.735408560311182E-3</v>
      </c>
      <c r="V278" s="845">
        <v>122.98869999999999</v>
      </c>
      <c r="W278" s="846">
        <f t="shared" si="52"/>
        <v>9.3210748369549901E-3</v>
      </c>
      <c r="X278" s="845">
        <v>37430.19</v>
      </c>
      <c r="Y278" s="846">
        <f t="shared" si="53"/>
        <v>-7.5526898552937816E-3</v>
      </c>
      <c r="Z278" s="845">
        <v>4704.8110999999999</v>
      </c>
      <c r="AA278" s="846">
        <f t="shared" si="54"/>
        <v>-8.0159744304533209E-3</v>
      </c>
      <c r="AB278" s="843"/>
      <c r="AC278" s="832"/>
    </row>
    <row r="279" spans="1:29" ht="14.4" x14ac:dyDescent="0.55000000000000004">
      <c r="A279" s="857" t="s">
        <v>5438</v>
      </c>
      <c r="B279" s="842">
        <v>116.93</v>
      </c>
      <c r="C279" s="843">
        <f t="shared" si="45"/>
        <v>8.8869715271786554E-3</v>
      </c>
      <c r="D279" s="842">
        <v>45.27</v>
      </c>
      <c r="E279" s="843">
        <f t="shared" si="46"/>
        <v>1.5477792732166984E-2</v>
      </c>
      <c r="F279" s="842">
        <v>27.01</v>
      </c>
      <c r="G279" s="843">
        <f t="shared" si="46"/>
        <v>1.7325800376647882E-2</v>
      </c>
      <c r="H279" s="842">
        <v>39.68</v>
      </c>
      <c r="I279" s="843">
        <f t="shared" si="46"/>
        <v>1.9003595274781793E-2</v>
      </c>
      <c r="J279" s="842">
        <v>64.69</v>
      </c>
      <c r="K279" s="843">
        <f t="shared" si="47"/>
        <v>1.5222849968612673E-2</v>
      </c>
      <c r="L279" s="842">
        <v>64.02</v>
      </c>
      <c r="M279" s="843">
        <f t="shared" si="48"/>
        <v>1.057616416732432E-2</v>
      </c>
      <c r="N279" s="842">
        <v>63.76</v>
      </c>
      <c r="O279" s="843">
        <f t="shared" si="49"/>
        <v>2.2778312479948548E-2</v>
      </c>
      <c r="P279" s="844">
        <f t="shared" si="55"/>
        <v>1.561021236095155E-2</v>
      </c>
      <c r="Q279" s="830"/>
      <c r="R279" s="845">
        <v>894.26</v>
      </c>
      <c r="S279" s="846">
        <f t="shared" si="50"/>
        <v>1.4279719169303817E-2</v>
      </c>
      <c r="T279" s="845">
        <v>64.25</v>
      </c>
      <c r="U279" s="846">
        <f t="shared" si="51"/>
        <v>1.4527080372651158E-2</v>
      </c>
      <c r="V279" s="845">
        <v>121.85290000000001</v>
      </c>
      <c r="W279" s="846">
        <f t="shared" si="52"/>
        <v>8.887269776741924E-3</v>
      </c>
      <c r="X279" s="845">
        <v>37715.040000000001</v>
      </c>
      <c r="Y279" s="846">
        <f t="shared" si="53"/>
        <v>6.765802925692288E-4</v>
      </c>
      <c r="Z279" s="845">
        <v>4742.8294999999998</v>
      </c>
      <c r="AA279" s="846">
        <f t="shared" si="54"/>
        <v>-5.6605588451443811E-3</v>
      </c>
      <c r="AB279" s="843"/>
      <c r="AC279" s="832"/>
    </row>
    <row r="280" spans="1:29" ht="14.4" x14ac:dyDescent="0.55000000000000004">
      <c r="A280" s="857" t="s">
        <v>5439</v>
      </c>
      <c r="B280" s="842">
        <v>115.9</v>
      </c>
      <c r="C280" s="843">
        <f t="shared" si="45"/>
        <v>-1.5506547208821164E-3</v>
      </c>
      <c r="D280" s="842">
        <v>44.58</v>
      </c>
      <c r="E280" s="843">
        <f t="shared" si="46"/>
        <v>-4.2439133348225466E-3</v>
      </c>
      <c r="F280" s="842">
        <v>26.55</v>
      </c>
      <c r="G280" s="843">
        <f t="shared" si="46"/>
        <v>0</v>
      </c>
      <c r="H280" s="842">
        <v>38.94</v>
      </c>
      <c r="I280" s="843">
        <f t="shared" si="46"/>
        <v>-2.050230650948337E-3</v>
      </c>
      <c r="J280" s="842">
        <v>63.72</v>
      </c>
      <c r="K280" s="843">
        <f t="shared" si="47"/>
        <v>-8.5576474249260404E-3</v>
      </c>
      <c r="L280" s="842">
        <v>63.35</v>
      </c>
      <c r="M280" s="843">
        <f t="shared" si="48"/>
        <v>-8.4520269212708943E-3</v>
      </c>
      <c r="N280" s="842">
        <v>62.34</v>
      </c>
      <c r="O280" s="843">
        <f t="shared" si="49"/>
        <v>-1.121615125781017E-3</v>
      </c>
      <c r="P280" s="844">
        <f t="shared" si="55"/>
        <v>-3.7108697398044216E-3</v>
      </c>
      <c r="Q280" s="830"/>
      <c r="R280" s="845">
        <v>881.67</v>
      </c>
      <c r="S280" s="846">
        <f t="shared" si="50"/>
        <v>-9.971106452891787E-4</v>
      </c>
      <c r="T280" s="845">
        <v>63.33</v>
      </c>
      <c r="U280" s="846">
        <f t="shared" si="51"/>
        <v>-1.2616306576249681E-3</v>
      </c>
      <c r="V280" s="845">
        <v>120.7795</v>
      </c>
      <c r="W280" s="846">
        <f t="shared" si="52"/>
        <v>-1.5508348964305974E-3</v>
      </c>
      <c r="X280" s="845">
        <v>37689.54</v>
      </c>
      <c r="Y280" s="846">
        <f t="shared" si="53"/>
        <v>-5.4521202542545666E-4</v>
      </c>
      <c r="Z280" s="845">
        <v>4769.8293999999996</v>
      </c>
      <c r="AA280" s="846">
        <f t="shared" si="54"/>
        <v>-2.8260544070037863E-3</v>
      </c>
      <c r="AB280" s="843"/>
      <c r="AC280" s="832"/>
    </row>
    <row r="281" spans="1:29" ht="14.4" x14ac:dyDescent="0.55000000000000004">
      <c r="A281" s="857" t="s">
        <v>5440</v>
      </c>
      <c r="B281" s="842">
        <v>116.08</v>
      </c>
      <c r="C281" s="843">
        <f t="shared" si="45"/>
        <v>1.3802622498273465E-3</v>
      </c>
      <c r="D281" s="842">
        <v>44.77</v>
      </c>
      <c r="E281" s="843">
        <f t="shared" si="46"/>
        <v>2.0143240823635722E-3</v>
      </c>
      <c r="F281" s="842">
        <v>26.55</v>
      </c>
      <c r="G281" s="843">
        <f t="shared" si="46"/>
        <v>1.0273972602739656E-2</v>
      </c>
      <c r="H281" s="842">
        <v>39.020000000000003</v>
      </c>
      <c r="I281" s="843">
        <f t="shared" si="46"/>
        <v>-3.5750766087843111E-3</v>
      </c>
      <c r="J281" s="842">
        <v>64.27</v>
      </c>
      <c r="K281" s="843">
        <f t="shared" si="47"/>
        <v>-1.2432012432012085E-3</v>
      </c>
      <c r="L281" s="842">
        <v>63.89</v>
      </c>
      <c r="M281" s="843">
        <f t="shared" si="48"/>
        <v>9.3999686667722848E-4</v>
      </c>
      <c r="N281" s="842">
        <v>62.41</v>
      </c>
      <c r="O281" s="843">
        <f t="shared" si="49"/>
        <v>-2.7165228507510797E-3</v>
      </c>
      <c r="P281" s="844">
        <f t="shared" si="55"/>
        <v>1.0105364426958863E-3</v>
      </c>
      <c r="Q281" s="830"/>
      <c r="R281" s="845">
        <v>882.55</v>
      </c>
      <c r="S281" s="846">
        <f t="shared" si="50"/>
        <v>5.995736871502011E-3</v>
      </c>
      <c r="T281" s="845">
        <v>63.41</v>
      </c>
      <c r="U281" s="846">
        <f t="shared" si="51"/>
        <v>7.1473951715375073E-3</v>
      </c>
      <c r="V281" s="845">
        <v>120.9671</v>
      </c>
      <c r="W281" s="846">
        <f t="shared" si="52"/>
        <v>1.3807912728693861E-3</v>
      </c>
      <c r="X281" s="845">
        <v>37710.1</v>
      </c>
      <c r="Y281" s="846">
        <f t="shared" si="53"/>
        <v>1.4228611672029157E-3</v>
      </c>
      <c r="Z281" s="845">
        <v>4783.3473999999997</v>
      </c>
      <c r="AA281" s="846">
        <f t="shared" si="54"/>
        <v>3.6987783198294544E-4</v>
      </c>
      <c r="AB281" s="843"/>
      <c r="AC281" s="832"/>
    </row>
    <row r="282" spans="1:29" ht="14.4" x14ac:dyDescent="0.55000000000000004">
      <c r="A282" s="857" t="s">
        <v>5441</v>
      </c>
      <c r="B282" s="842">
        <v>115.92</v>
      </c>
      <c r="C282" s="843">
        <f t="shared" si="45"/>
        <v>9.4983162075812366E-4</v>
      </c>
      <c r="D282" s="842">
        <v>44.68</v>
      </c>
      <c r="E282" s="843">
        <f t="shared" si="46"/>
        <v>-3.5682426404995971E-3</v>
      </c>
      <c r="F282" s="842">
        <v>26.28</v>
      </c>
      <c r="G282" s="843">
        <f t="shared" si="46"/>
        <v>-5.6753688989783502E-3</v>
      </c>
      <c r="H282" s="842">
        <v>39.159999999999997</v>
      </c>
      <c r="I282" s="843">
        <f t="shared" si="46"/>
        <v>1.2784454103809129E-3</v>
      </c>
      <c r="J282" s="842">
        <v>64.349999999999994</v>
      </c>
      <c r="K282" s="843">
        <f t="shared" si="47"/>
        <v>-7.2508485035482906E-3</v>
      </c>
      <c r="L282" s="842">
        <v>63.83</v>
      </c>
      <c r="M282" s="843">
        <f t="shared" si="48"/>
        <v>-4.0567951318458695E-3</v>
      </c>
      <c r="N282" s="842">
        <v>62.58</v>
      </c>
      <c r="O282" s="843">
        <f t="shared" si="49"/>
        <v>-1.1374407582938395E-2</v>
      </c>
      <c r="P282" s="844">
        <f t="shared" si="55"/>
        <v>-4.2424836752387807E-3</v>
      </c>
      <c r="Q282" s="830"/>
      <c r="R282" s="845">
        <v>877.29</v>
      </c>
      <c r="S282" s="846">
        <f t="shared" si="50"/>
        <v>-1.8999726950033047E-3</v>
      </c>
      <c r="T282" s="845">
        <v>62.96</v>
      </c>
      <c r="U282" s="846">
        <f t="shared" si="51"/>
        <v>-6.3492063492065487E-4</v>
      </c>
      <c r="V282" s="845">
        <v>120.80029999999999</v>
      </c>
      <c r="W282" s="846">
        <f t="shared" si="52"/>
        <v>9.4957397603856464E-4</v>
      </c>
      <c r="X282" s="845">
        <v>37656.519999999997</v>
      </c>
      <c r="Y282" s="846">
        <f t="shared" si="53"/>
        <v>2.9614868213967416E-3</v>
      </c>
      <c r="Z282" s="845">
        <v>4781.5788000000002</v>
      </c>
      <c r="AA282" s="846">
        <f t="shared" si="54"/>
        <v>1.4300642215741011E-3</v>
      </c>
      <c r="AB282" s="843"/>
      <c r="AC282" s="832"/>
    </row>
    <row r="283" spans="1:29" ht="14.4" x14ac:dyDescent="0.55000000000000004">
      <c r="A283" s="857" t="s">
        <v>5442</v>
      </c>
      <c r="B283" s="842">
        <v>115.81</v>
      </c>
      <c r="C283" s="843">
        <f t="shared" si="45"/>
        <v>7.8322165172743929E-3</v>
      </c>
      <c r="D283" s="842">
        <v>44.84</v>
      </c>
      <c r="E283" s="843">
        <f t="shared" si="46"/>
        <v>-4.8823790501553166E-3</v>
      </c>
      <c r="F283" s="842">
        <v>26.43</v>
      </c>
      <c r="G283" s="843">
        <f t="shared" si="46"/>
        <v>6.857142857142895E-3</v>
      </c>
      <c r="H283" s="842">
        <v>39.11</v>
      </c>
      <c r="I283" s="843">
        <f t="shared" si="46"/>
        <v>-1.2768130745658413E-3</v>
      </c>
      <c r="J283" s="842">
        <v>64.819999999999993</v>
      </c>
      <c r="K283" s="843">
        <f t="shared" si="47"/>
        <v>-3.6889025514911244E-3</v>
      </c>
      <c r="L283" s="842">
        <v>64.09</v>
      </c>
      <c r="M283" s="843">
        <f t="shared" si="48"/>
        <v>-3.7307632519818501E-3</v>
      </c>
      <c r="N283" s="842">
        <v>63.3</v>
      </c>
      <c r="O283" s="843">
        <f t="shared" si="49"/>
        <v>-7.5258701787395132E-3</v>
      </c>
      <c r="P283" s="844">
        <f t="shared" si="55"/>
        <v>-9.1648124750233679E-4</v>
      </c>
      <c r="Q283" s="830"/>
      <c r="R283" s="845">
        <v>878.96</v>
      </c>
      <c r="S283" s="846">
        <f t="shared" si="50"/>
        <v>6.6540686021876461E-3</v>
      </c>
      <c r="T283" s="845">
        <v>63</v>
      </c>
      <c r="U283" s="846">
        <f t="shared" si="51"/>
        <v>6.0683487703609984E-3</v>
      </c>
      <c r="V283" s="845">
        <v>120.6857</v>
      </c>
      <c r="W283" s="846">
        <f t="shared" si="52"/>
        <v>7.8322942049875444E-3</v>
      </c>
      <c r="X283" s="845">
        <v>37545.33</v>
      </c>
      <c r="Y283" s="846">
        <f t="shared" si="53"/>
        <v>4.2625615973050923E-3</v>
      </c>
      <c r="Z283" s="845">
        <v>4774.7506000000003</v>
      </c>
      <c r="AA283" s="846">
        <f t="shared" si="54"/>
        <v>4.2314952111746074E-3</v>
      </c>
      <c r="AB283" s="843"/>
      <c r="AC283" s="832"/>
    </row>
    <row r="284" spans="1:29" ht="14.4" x14ac:dyDescent="0.55000000000000004">
      <c r="A284" s="857" t="s">
        <v>5443</v>
      </c>
      <c r="B284" s="842">
        <v>114.91</v>
      </c>
      <c r="C284" s="843">
        <f t="shared" si="45"/>
        <v>1.0197802197802197E-2</v>
      </c>
      <c r="D284" s="842">
        <v>45.06</v>
      </c>
      <c r="E284" s="843">
        <f t="shared" si="46"/>
        <v>1.2129380053908401E-2</v>
      </c>
      <c r="F284" s="842">
        <v>26.25</v>
      </c>
      <c r="G284" s="843">
        <f t="shared" si="46"/>
        <v>8.0645161290322509E-3</v>
      </c>
      <c r="H284" s="842">
        <v>39.159999999999997</v>
      </c>
      <c r="I284" s="843">
        <f t="shared" si="46"/>
        <v>1.6614745586708057E-2</v>
      </c>
      <c r="J284" s="842">
        <v>65.06</v>
      </c>
      <c r="K284" s="843">
        <f t="shared" si="47"/>
        <v>1.2764632627646488E-2</v>
      </c>
      <c r="L284" s="842">
        <v>64.33</v>
      </c>
      <c r="M284" s="843">
        <f t="shared" si="48"/>
        <v>2.1111111111111081E-2</v>
      </c>
      <c r="N284" s="842">
        <v>63.78</v>
      </c>
      <c r="O284" s="843">
        <f t="shared" si="49"/>
        <v>1.2541673281473154E-2</v>
      </c>
      <c r="P284" s="844">
        <f t="shared" si="55"/>
        <v>1.334626585538309E-2</v>
      </c>
      <c r="Q284" s="830"/>
      <c r="R284" s="845">
        <v>873.15</v>
      </c>
      <c r="S284" s="846">
        <f t="shared" si="50"/>
        <v>4.937504316000263E-3</v>
      </c>
      <c r="T284" s="845">
        <v>62.62</v>
      </c>
      <c r="U284" s="846">
        <f t="shared" si="51"/>
        <v>3.364845377343384E-3</v>
      </c>
      <c r="V284" s="845">
        <v>119.7478</v>
      </c>
      <c r="W284" s="846">
        <f t="shared" si="52"/>
        <v>1.0197487746648859E-2</v>
      </c>
      <c r="X284" s="845">
        <v>37385.97</v>
      </c>
      <c r="Y284" s="846">
        <f t="shared" si="53"/>
        <v>-4.9138669700177218E-4</v>
      </c>
      <c r="Z284" s="845">
        <v>4754.6314000000002</v>
      </c>
      <c r="AA284" s="846">
        <f t="shared" si="54"/>
        <v>1.661306643440108E-3</v>
      </c>
      <c r="AB284" s="843"/>
      <c r="AC284" s="832"/>
    </row>
    <row r="285" spans="1:29" ht="14.4" x14ac:dyDescent="0.55000000000000004">
      <c r="A285" s="857" t="s">
        <v>5444</v>
      </c>
      <c r="B285" s="842">
        <v>113.75</v>
      </c>
      <c r="C285" s="843">
        <f t="shared" si="45"/>
        <v>5.2138564863910553E-3</v>
      </c>
      <c r="D285" s="842">
        <v>44.52</v>
      </c>
      <c r="E285" s="843">
        <f t="shared" si="46"/>
        <v>1.2969283276450527E-2</v>
      </c>
      <c r="F285" s="842">
        <v>26.04</v>
      </c>
      <c r="G285" s="843">
        <f t="shared" si="46"/>
        <v>-1.5337423312883347E-3</v>
      </c>
      <c r="H285" s="842">
        <v>38.520000000000003</v>
      </c>
      <c r="I285" s="843">
        <f t="shared" si="46"/>
        <v>8.3769633507853047E-3</v>
      </c>
      <c r="J285" s="842">
        <v>64.239999999999995</v>
      </c>
      <c r="K285" s="843">
        <f t="shared" si="47"/>
        <v>1.9520710998254254E-2</v>
      </c>
      <c r="L285" s="842">
        <v>63</v>
      </c>
      <c r="M285" s="843">
        <f t="shared" si="48"/>
        <v>3.175611305177295E-4</v>
      </c>
      <c r="N285" s="842">
        <v>62.99</v>
      </c>
      <c r="O285" s="843">
        <f t="shared" si="49"/>
        <v>4.6251993620414211E-3</v>
      </c>
      <c r="P285" s="844">
        <f t="shared" si="55"/>
        <v>7.0699760390217081E-3</v>
      </c>
      <c r="Q285" s="830"/>
      <c r="R285" s="845">
        <v>868.86</v>
      </c>
      <c r="S285" s="846">
        <f t="shared" si="50"/>
        <v>1.325327586405578E-3</v>
      </c>
      <c r="T285" s="845">
        <v>62.41</v>
      </c>
      <c r="U285" s="846">
        <f t="shared" si="51"/>
        <v>1.7656500802567532E-3</v>
      </c>
      <c r="V285" s="845">
        <v>118.539</v>
      </c>
      <c r="W285" s="846">
        <f t="shared" si="52"/>
        <v>5.2143709385952253E-3</v>
      </c>
      <c r="X285" s="845">
        <v>37404.35</v>
      </c>
      <c r="Y285" s="846">
        <f t="shared" si="53"/>
        <v>8.6928968232564685E-3</v>
      </c>
      <c r="Z285" s="845">
        <v>4746.7456000000002</v>
      </c>
      <c r="AA285" s="846">
        <f t="shared" si="54"/>
        <v>1.0300143758921187E-2</v>
      </c>
      <c r="AB285" s="843"/>
      <c r="AC285" s="832"/>
    </row>
    <row r="286" spans="1:29" ht="14.4" x14ac:dyDescent="0.55000000000000004">
      <c r="A286" s="857" t="s">
        <v>5445</v>
      </c>
      <c r="B286" s="842">
        <v>113.16</v>
      </c>
      <c r="C286" s="843">
        <f t="shared" si="45"/>
        <v>-1.7281806339557226E-2</v>
      </c>
      <c r="D286" s="842">
        <v>43.95</v>
      </c>
      <c r="E286" s="843">
        <f t="shared" si="46"/>
        <v>-1.1693276366089411E-2</v>
      </c>
      <c r="F286" s="842">
        <v>26.08</v>
      </c>
      <c r="G286" s="843">
        <f t="shared" si="46"/>
        <v>-1.7332328560663135E-2</v>
      </c>
      <c r="H286" s="842">
        <v>38.200000000000003</v>
      </c>
      <c r="I286" s="843">
        <f t="shared" si="46"/>
        <v>-1.0875194199896243E-2</v>
      </c>
      <c r="J286" s="842">
        <v>63.01</v>
      </c>
      <c r="K286" s="843">
        <f t="shared" si="47"/>
        <v>-1.1142498430634085E-2</v>
      </c>
      <c r="L286" s="842">
        <v>62.98</v>
      </c>
      <c r="M286" s="843">
        <f t="shared" si="48"/>
        <v>-2.326302729528551E-2</v>
      </c>
      <c r="N286" s="842">
        <v>62.7</v>
      </c>
      <c r="O286" s="843">
        <f t="shared" si="49"/>
        <v>-1.3840830449826869E-2</v>
      </c>
      <c r="P286" s="844">
        <f t="shared" si="55"/>
        <v>-1.506128023456464E-2</v>
      </c>
      <c r="Q286" s="830"/>
      <c r="R286" s="845">
        <v>867.71</v>
      </c>
      <c r="S286" s="846">
        <f t="shared" si="50"/>
        <v>-1.8416497924184649E-2</v>
      </c>
      <c r="T286" s="845">
        <v>62.3</v>
      </c>
      <c r="U286" s="846">
        <f t="shared" si="51"/>
        <v>-2.0286208523352833E-2</v>
      </c>
      <c r="V286" s="845">
        <v>117.9241</v>
      </c>
      <c r="W286" s="846">
        <f t="shared" si="52"/>
        <v>-1.7281969101126005E-2</v>
      </c>
      <c r="X286" s="845">
        <v>37082</v>
      </c>
      <c r="Y286" s="846">
        <f t="shared" si="53"/>
        <v>-1.2671628247783673E-2</v>
      </c>
      <c r="Z286" s="845">
        <v>4698.3518999999997</v>
      </c>
      <c r="AA286" s="846">
        <f t="shared" si="54"/>
        <v>-1.4682914191097907E-2</v>
      </c>
      <c r="AB286" s="843"/>
      <c r="AC286" s="832"/>
    </row>
    <row r="287" spans="1:29" ht="14.4" x14ac:dyDescent="0.55000000000000004">
      <c r="A287" s="857" t="s">
        <v>5446</v>
      </c>
      <c r="B287" s="842">
        <v>115.15</v>
      </c>
      <c r="C287" s="843">
        <f t="shared" si="45"/>
        <v>7.612880644032316E-3</v>
      </c>
      <c r="D287" s="842">
        <v>44.47</v>
      </c>
      <c r="E287" s="843">
        <f t="shared" si="46"/>
        <v>1.5528659511303999E-2</v>
      </c>
      <c r="F287" s="842">
        <v>26.54</v>
      </c>
      <c r="G287" s="843">
        <f t="shared" si="46"/>
        <v>5.6839712012124455E-3</v>
      </c>
      <c r="H287" s="842">
        <v>38.619999999999997</v>
      </c>
      <c r="I287" s="843">
        <f t="shared" si="46"/>
        <v>1.5247108307045121E-2</v>
      </c>
      <c r="J287" s="842">
        <v>63.72</v>
      </c>
      <c r="K287" s="843">
        <f t="shared" si="47"/>
        <v>1.1107584893684574E-2</v>
      </c>
      <c r="L287" s="842">
        <v>64.48</v>
      </c>
      <c r="M287" s="843">
        <f t="shared" si="48"/>
        <v>1.7676767676767735E-2</v>
      </c>
      <c r="N287" s="842">
        <v>63.58</v>
      </c>
      <c r="O287" s="843">
        <f t="shared" si="49"/>
        <v>1.2420382165605037E-2</v>
      </c>
      <c r="P287" s="844">
        <f t="shared" si="55"/>
        <v>1.2182479199950176E-2</v>
      </c>
      <c r="Q287" s="830"/>
      <c r="R287" s="845">
        <v>883.99</v>
      </c>
      <c r="S287" s="846">
        <f t="shared" si="50"/>
        <v>5.0251827597576071E-3</v>
      </c>
      <c r="T287" s="845">
        <v>63.59</v>
      </c>
      <c r="U287" s="846">
        <f t="shared" si="51"/>
        <v>5.6934999209237169E-3</v>
      </c>
      <c r="V287" s="845">
        <v>119.9979</v>
      </c>
      <c r="W287" s="846">
        <f t="shared" si="52"/>
        <v>7.6126467676480569E-3</v>
      </c>
      <c r="X287" s="845">
        <v>37557.919999999998</v>
      </c>
      <c r="Y287" s="846">
        <f t="shared" si="53"/>
        <v>6.7522614312649498E-3</v>
      </c>
      <c r="Z287" s="845">
        <v>4768.3653999999997</v>
      </c>
      <c r="AA287" s="846">
        <f t="shared" si="54"/>
        <v>5.8662739138615194E-3</v>
      </c>
      <c r="AB287" s="843"/>
      <c r="AC287" s="832"/>
    </row>
    <row r="288" spans="1:29" ht="14.4" x14ac:dyDescent="0.55000000000000004">
      <c r="A288" s="857" t="s">
        <v>5447</v>
      </c>
      <c r="B288" s="842">
        <v>114.28</v>
      </c>
      <c r="C288" s="843">
        <f t="shared" si="45"/>
        <v>-4.7030134122973966E-3</v>
      </c>
      <c r="D288" s="842">
        <v>43.79</v>
      </c>
      <c r="E288" s="843">
        <f t="shared" si="46"/>
        <v>2.7478818410808792E-3</v>
      </c>
      <c r="F288" s="842">
        <v>26.39</v>
      </c>
      <c r="G288" s="843">
        <f t="shared" si="46"/>
        <v>-3.3987915407854841E-3</v>
      </c>
      <c r="H288" s="842">
        <v>38.04</v>
      </c>
      <c r="I288" s="843">
        <f t="shared" si="46"/>
        <v>-1.0148321623731471E-2</v>
      </c>
      <c r="J288" s="842">
        <v>63.02</v>
      </c>
      <c r="K288" s="843">
        <f t="shared" si="47"/>
        <v>-3.3212082872053905E-3</v>
      </c>
      <c r="L288" s="842">
        <v>63.36</v>
      </c>
      <c r="M288" s="843">
        <f t="shared" si="48"/>
        <v>1.8975332068311701E-3</v>
      </c>
      <c r="N288" s="842">
        <v>62.8</v>
      </c>
      <c r="O288" s="843">
        <f t="shared" si="49"/>
        <v>-2.0657873828063833E-3</v>
      </c>
      <c r="P288" s="844">
        <f t="shared" si="55"/>
        <v>-2.7131010284162965E-3</v>
      </c>
      <c r="Q288" s="830"/>
      <c r="R288" s="845">
        <v>879.57</v>
      </c>
      <c r="S288" s="846">
        <f t="shared" si="50"/>
        <v>-2.6307135810588189E-3</v>
      </c>
      <c r="T288" s="845">
        <v>63.23</v>
      </c>
      <c r="U288" s="846">
        <f t="shared" si="51"/>
        <v>-1.1567922463654901E-2</v>
      </c>
      <c r="V288" s="845">
        <v>119.0913</v>
      </c>
      <c r="W288" s="846">
        <f t="shared" si="52"/>
        <v>-4.7027261938589193E-3</v>
      </c>
      <c r="X288" s="845">
        <v>37306.019999999997</v>
      </c>
      <c r="Y288" s="846">
        <f t="shared" si="53"/>
        <v>2.305311115113895E-5</v>
      </c>
      <c r="Z288" s="845">
        <v>4740.5559999999996</v>
      </c>
      <c r="AA288" s="846">
        <f t="shared" si="54"/>
        <v>4.5273441593987052E-3</v>
      </c>
      <c r="AB288" s="843"/>
      <c r="AC288" s="832"/>
    </row>
    <row r="289" spans="1:29" ht="14.4" x14ac:dyDescent="0.55000000000000004">
      <c r="A289" s="857" t="s">
        <v>5448</v>
      </c>
      <c r="B289" s="842">
        <v>114.82</v>
      </c>
      <c r="C289" s="843">
        <f t="shared" si="45"/>
        <v>-4.9397694774244716E-3</v>
      </c>
      <c r="D289" s="842">
        <v>43.67</v>
      </c>
      <c r="E289" s="843">
        <f t="shared" si="46"/>
        <v>-2.3915958873491294E-2</v>
      </c>
      <c r="F289" s="842">
        <v>26.48</v>
      </c>
      <c r="G289" s="843">
        <f t="shared" si="46"/>
        <v>-7.496251874062887E-3</v>
      </c>
      <c r="H289" s="842">
        <v>38.43</v>
      </c>
      <c r="I289" s="843">
        <f t="shared" si="46"/>
        <v>-2.1639511201629325E-2</v>
      </c>
      <c r="J289" s="842">
        <v>63.23</v>
      </c>
      <c r="K289" s="843">
        <f t="shared" si="47"/>
        <v>-1.9081600992863712E-2</v>
      </c>
      <c r="L289" s="842">
        <v>63.24</v>
      </c>
      <c r="M289" s="843">
        <f t="shared" si="48"/>
        <v>-1.9382850054271872E-2</v>
      </c>
      <c r="N289" s="842">
        <v>62.93</v>
      </c>
      <c r="O289" s="843">
        <f t="shared" si="49"/>
        <v>-2.6755335601608365E-2</v>
      </c>
      <c r="P289" s="844">
        <f t="shared" si="55"/>
        <v>-1.7601611153621705E-2</v>
      </c>
      <c r="Q289" s="830"/>
      <c r="R289" s="845">
        <v>881.89</v>
      </c>
      <c r="S289" s="846">
        <f t="shared" si="50"/>
        <v>-1.7020375406839316E-2</v>
      </c>
      <c r="T289" s="845">
        <v>63.97</v>
      </c>
      <c r="U289" s="846">
        <f t="shared" si="51"/>
        <v>-1.7357910906297902E-2</v>
      </c>
      <c r="V289" s="845">
        <v>119.654</v>
      </c>
      <c r="W289" s="846">
        <f t="shared" si="52"/>
        <v>-4.9397910983967064E-3</v>
      </c>
      <c r="X289" s="845">
        <v>37305.160000000003</v>
      </c>
      <c r="Y289" s="846">
        <f t="shared" si="53"/>
        <v>1.5251682289283419E-3</v>
      </c>
      <c r="Z289" s="845">
        <v>4719.1905999999999</v>
      </c>
      <c r="AA289" s="846">
        <f t="shared" si="54"/>
        <v>-7.6553877922269642E-5</v>
      </c>
      <c r="AB289" s="843"/>
      <c r="AC289" s="832"/>
    </row>
    <row r="290" spans="1:29" ht="14.4" x14ac:dyDescent="0.55000000000000004">
      <c r="A290" s="857" t="s">
        <v>5449</v>
      </c>
      <c r="B290" s="842">
        <v>115.39</v>
      </c>
      <c r="C290" s="843">
        <f t="shared" si="45"/>
        <v>-1.2494651262302092E-2</v>
      </c>
      <c r="D290" s="842">
        <v>44.74</v>
      </c>
      <c r="E290" s="843">
        <f t="shared" si="46"/>
        <v>-6.4401510104374893E-3</v>
      </c>
      <c r="F290" s="842">
        <v>26.68</v>
      </c>
      <c r="G290" s="843">
        <f t="shared" si="46"/>
        <v>-1.2948575656677841E-2</v>
      </c>
      <c r="H290" s="842">
        <v>39.28</v>
      </c>
      <c r="I290" s="843">
        <f t="shared" si="46"/>
        <v>-1.2072434607645843E-2</v>
      </c>
      <c r="J290" s="842">
        <v>64.459999999999994</v>
      </c>
      <c r="K290" s="843">
        <f t="shared" si="47"/>
        <v>4.6758104738153783E-3</v>
      </c>
      <c r="L290" s="842">
        <v>64.489999999999995</v>
      </c>
      <c r="M290" s="843">
        <f t="shared" si="48"/>
        <v>1.5110971194711054E-2</v>
      </c>
      <c r="N290" s="842">
        <v>64.66</v>
      </c>
      <c r="O290" s="843">
        <f t="shared" si="49"/>
        <v>-9.8009188361408706E-3</v>
      </c>
      <c r="P290" s="844">
        <f t="shared" si="55"/>
        <v>-4.8528499578111006E-3</v>
      </c>
      <c r="Q290" s="830"/>
      <c r="R290" s="845">
        <v>897.16</v>
      </c>
      <c r="S290" s="846">
        <f t="shared" si="50"/>
        <v>-1.1045217046231182E-2</v>
      </c>
      <c r="T290" s="845">
        <v>65.099999999999994</v>
      </c>
      <c r="U290" s="846">
        <f t="shared" si="51"/>
        <v>-1.3038204972710687E-2</v>
      </c>
      <c r="V290" s="845">
        <v>120.248</v>
      </c>
      <c r="W290" s="846">
        <f t="shared" si="52"/>
        <v>-1.2494918678322531E-2</v>
      </c>
      <c r="X290" s="845">
        <v>37248.35</v>
      </c>
      <c r="Y290" s="846">
        <f t="shared" si="53"/>
        <v>4.2628465062506393E-3</v>
      </c>
      <c r="Z290" s="845">
        <v>4719.5519000000004</v>
      </c>
      <c r="AA290" s="846">
        <f t="shared" si="54"/>
        <v>2.647176130890605E-3</v>
      </c>
      <c r="AB290" s="843"/>
      <c r="AC290" s="832"/>
    </row>
    <row r="291" spans="1:29" ht="14.4" x14ac:dyDescent="0.55000000000000004">
      <c r="A291" s="857" t="s">
        <v>5450</v>
      </c>
      <c r="B291" s="842">
        <v>116.85</v>
      </c>
      <c r="C291" s="843">
        <f t="shared" si="45"/>
        <v>2.770448548812654E-2</v>
      </c>
      <c r="D291" s="842">
        <v>45.03</v>
      </c>
      <c r="E291" s="843">
        <f t="shared" si="46"/>
        <v>2.925714285714287E-2</v>
      </c>
      <c r="F291" s="842">
        <v>27.03</v>
      </c>
      <c r="G291" s="843">
        <f t="shared" si="46"/>
        <v>3.2467532467532534E-2</v>
      </c>
      <c r="H291" s="842">
        <v>39.76</v>
      </c>
      <c r="I291" s="843">
        <f t="shared" si="46"/>
        <v>3.5956227201667357E-2</v>
      </c>
      <c r="J291" s="842">
        <v>64.16</v>
      </c>
      <c r="K291" s="843">
        <f t="shared" si="47"/>
        <v>5.1114023591087854E-2</v>
      </c>
      <c r="L291" s="842">
        <v>63.53</v>
      </c>
      <c r="M291" s="843">
        <f t="shared" si="48"/>
        <v>4.3185550082101898E-2</v>
      </c>
      <c r="N291" s="842">
        <v>65.3</v>
      </c>
      <c r="O291" s="843">
        <f t="shared" si="49"/>
        <v>2.1909233176838683E-2</v>
      </c>
      <c r="P291" s="844">
        <f t="shared" si="55"/>
        <v>3.4513456409213959E-2</v>
      </c>
      <c r="Q291" s="830"/>
      <c r="R291" s="845">
        <v>907.18</v>
      </c>
      <c r="S291" s="846">
        <f t="shared" si="50"/>
        <v>3.5688190702347189E-2</v>
      </c>
      <c r="T291" s="845">
        <v>65.959999999999994</v>
      </c>
      <c r="U291" s="846">
        <f t="shared" si="51"/>
        <v>3.7759597230962783E-2</v>
      </c>
      <c r="V291" s="845">
        <v>121.76949999999999</v>
      </c>
      <c r="W291" s="846">
        <f t="shared" si="52"/>
        <v>2.7704328495386399E-2</v>
      </c>
      <c r="X291" s="845">
        <v>37090.239999999998</v>
      </c>
      <c r="Y291" s="846">
        <f t="shared" si="53"/>
        <v>1.4005709452199699E-2</v>
      </c>
      <c r="Z291" s="845">
        <v>4707.0914000000002</v>
      </c>
      <c r="AA291" s="846">
        <f t="shared" si="54"/>
        <v>1.3650661203094661E-2</v>
      </c>
      <c r="AB291" s="843"/>
      <c r="AC291" s="832"/>
    </row>
    <row r="292" spans="1:29" ht="14.4" x14ac:dyDescent="0.55000000000000004">
      <c r="A292" s="857" t="s">
        <v>5451</v>
      </c>
      <c r="B292" s="842">
        <v>113.7</v>
      </c>
      <c r="C292" s="843">
        <f t="shared" si="45"/>
        <v>3.3533356865513841E-3</v>
      </c>
      <c r="D292" s="842">
        <v>43.75</v>
      </c>
      <c r="E292" s="843">
        <f t="shared" si="46"/>
        <v>-7.2611754027683828E-3</v>
      </c>
      <c r="F292" s="842">
        <v>26.18</v>
      </c>
      <c r="G292" s="843">
        <f t="shared" si="46"/>
        <v>-6.0744115413818855E-3</v>
      </c>
      <c r="H292" s="842">
        <v>38.380000000000003</v>
      </c>
      <c r="I292" s="843">
        <f t="shared" si="46"/>
        <v>-5.6994818652849055E-3</v>
      </c>
      <c r="J292" s="842">
        <v>61.04</v>
      </c>
      <c r="K292" s="843">
        <f t="shared" si="47"/>
        <v>-1.1454753722794919E-3</v>
      </c>
      <c r="L292" s="842">
        <v>60.9</v>
      </c>
      <c r="M292" s="843">
        <f t="shared" si="48"/>
        <v>-2.4570024570024218E-3</v>
      </c>
      <c r="N292" s="842">
        <v>63.9</v>
      </c>
      <c r="O292" s="843">
        <f t="shared" si="49"/>
        <v>8.2044809088039905E-3</v>
      </c>
      <c r="P292" s="844">
        <f t="shared" si="55"/>
        <v>-1.5828185776231019E-3</v>
      </c>
      <c r="Q292" s="830"/>
      <c r="R292" s="845">
        <v>875.92</v>
      </c>
      <c r="S292" s="846">
        <f t="shared" si="50"/>
        <v>-2.4939927799478845E-3</v>
      </c>
      <c r="T292" s="845">
        <v>63.56</v>
      </c>
      <c r="U292" s="846">
        <f t="shared" si="51"/>
        <v>-4.0739580068943626E-3</v>
      </c>
      <c r="V292" s="845">
        <v>118.48690000000001</v>
      </c>
      <c r="W292" s="846">
        <f t="shared" si="52"/>
        <v>3.3533489879407075E-3</v>
      </c>
      <c r="X292" s="845">
        <v>36577.94</v>
      </c>
      <c r="Y292" s="846">
        <f t="shared" si="53"/>
        <v>4.7523783179916901E-3</v>
      </c>
      <c r="Z292" s="845">
        <v>4643.7017999999998</v>
      </c>
      <c r="AA292" s="846">
        <f t="shared" si="54"/>
        <v>4.5995180727895768E-3</v>
      </c>
      <c r="AB292" s="843"/>
      <c r="AC292" s="832"/>
    </row>
    <row r="293" spans="1:29" ht="14.4" x14ac:dyDescent="0.55000000000000004">
      <c r="A293" s="857" t="s">
        <v>5452</v>
      </c>
      <c r="B293" s="842">
        <v>113.32</v>
      </c>
      <c r="C293" s="843">
        <f t="shared" si="45"/>
        <v>-1.233915036136124E-3</v>
      </c>
      <c r="D293" s="842">
        <v>44.07</v>
      </c>
      <c r="E293" s="843">
        <f t="shared" si="46"/>
        <v>-1.5858631626642916E-3</v>
      </c>
      <c r="F293" s="842">
        <v>26.34</v>
      </c>
      <c r="G293" s="843">
        <f t="shared" si="46"/>
        <v>1.5209125475283969E-3</v>
      </c>
      <c r="H293" s="842">
        <v>38.6</v>
      </c>
      <c r="I293" s="843">
        <f t="shared" si="46"/>
        <v>-7.7659849857625307E-4</v>
      </c>
      <c r="J293" s="842">
        <v>61.11</v>
      </c>
      <c r="K293" s="843">
        <f t="shared" si="47"/>
        <v>-7.148659626320053E-3</v>
      </c>
      <c r="L293" s="842">
        <v>61.05</v>
      </c>
      <c r="M293" s="843">
        <f t="shared" si="48"/>
        <v>3.2770768474521539E-4</v>
      </c>
      <c r="N293" s="842">
        <v>63.38</v>
      </c>
      <c r="O293" s="843">
        <f t="shared" si="49"/>
        <v>7.9516539440203093E-3</v>
      </c>
      <c r="P293" s="844">
        <f t="shared" si="55"/>
        <v>-1.3496602105754287E-4</v>
      </c>
      <c r="Q293" s="830"/>
      <c r="R293" s="845">
        <v>878.11</v>
      </c>
      <c r="S293" s="846">
        <f t="shared" si="50"/>
        <v>4.6795267842840715E-3</v>
      </c>
      <c r="T293" s="845">
        <v>63.82</v>
      </c>
      <c r="U293" s="846">
        <f t="shared" si="51"/>
        <v>6.4658571203279891E-3</v>
      </c>
      <c r="V293" s="845">
        <v>118.0909</v>
      </c>
      <c r="W293" s="846">
        <f t="shared" si="52"/>
        <v>-1.2339643833392255E-3</v>
      </c>
      <c r="X293" s="845">
        <v>36404.93</v>
      </c>
      <c r="Y293" s="846">
        <f t="shared" si="53"/>
        <v>4.3329442530002371E-3</v>
      </c>
      <c r="Z293" s="845">
        <v>4622.4408000000003</v>
      </c>
      <c r="AA293" s="846">
        <f t="shared" si="54"/>
        <v>3.9242048259218176E-3</v>
      </c>
      <c r="AB293" s="843"/>
      <c r="AC293" s="832"/>
    </row>
    <row r="294" spans="1:29" ht="14.4" x14ac:dyDescent="0.55000000000000004">
      <c r="A294" s="857" t="s">
        <v>5453</v>
      </c>
      <c r="B294" s="842">
        <v>113.46</v>
      </c>
      <c r="C294" s="843">
        <f t="shared" si="45"/>
        <v>-9.3425303413953165E-3</v>
      </c>
      <c r="D294" s="842">
        <v>44.14</v>
      </c>
      <c r="E294" s="843">
        <f t="shared" si="46"/>
        <v>-4.0613718411551814E-3</v>
      </c>
      <c r="F294" s="842">
        <v>26.3</v>
      </c>
      <c r="G294" s="843">
        <f t="shared" si="46"/>
        <v>-4.9186530457813182E-3</v>
      </c>
      <c r="H294" s="842">
        <v>38.630000000000003</v>
      </c>
      <c r="I294" s="843">
        <f t="shared" si="46"/>
        <v>1.2960082944530882E-3</v>
      </c>
      <c r="J294" s="842">
        <v>61.55</v>
      </c>
      <c r="K294" s="843">
        <f t="shared" si="47"/>
        <v>7.5298739564575445E-3</v>
      </c>
      <c r="L294" s="842">
        <v>61.03</v>
      </c>
      <c r="M294" s="843">
        <f t="shared" si="48"/>
        <v>-3.7544890630101246E-3</v>
      </c>
      <c r="N294" s="842">
        <v>62.88</v>
      </c>
      <c r="O294" s="843">
        <f t="shared" si="49"/>
        <v>-1.5962441314553932E-2</v>
      </c>
      <c r="P294" s="844">
        <f t="shared" si="55"/>
        <v>-4.1733719078550346E-3</v>
      </c>
      <c r="Q294" s="830"/>
      <c r="R294" s="845">
        <v>874.02</v>
      </c>
      <c r="S294" s="846">
        <f t="shared" si="50"/>
        <v>-4.8957099918025548E-3</v>
      </c>
      <c r="T294" s="845">
        <v>63.41</v>
      </c>
      <c r="U294" s="846">
        <f t="shared" si="51"/>
        <v>-1.8888713993390205E-3</v>
      </c>
      <c r="V294" s="845">
        <v>118.2368</v>
      </c>
      <c r="W294" s="846">
        <f t="shared" si="52"/>
        <v>-9.3421297374651768E-3</v>
      </c>
      <c r="X294" s="845">
        <v>36247.870000000003</v>
      </c>
      <c r="Y294" s="846">
        <f t="shared" si="53"/>
        <v>3.6129420240340604E-3</v>
      </c>
      <c r="Z294" s="845">
        <v>4604.3723</v>
      </c>
      <c r="AA294" s="846">
        <f t="shared" si="54"/>
        <v>4.0967717497057965E-3</v>
      </c>
      <c r="AB294" s="843"/>
      <c r="AC294" s="832"/>
    </row>
    <row r="295" spans="1:29" ht="14.4" x14ac:dyDescent="0.55000000000000004">
      <c r="A295" s="857" t="s">
        <v>5454</v>
      </c>
      <c r="B295" s="842">
        <v>114.53</v>
      </c>
      <c r="C295" s="843">
        <f t="shared" si="45"/>
        <v>-1.7432232197333031E-3</v>
      </c>
      <c r="D295" s="842">
        <v>44.32</v>
      </c>
      <c r="E295" s="843">
        <f t="shared" si="46"/>
        <v>0</v>
      </c>
      <c r="F295" s="842">
        <v>26.43</v>
      </c>
      <c r="G295" s="843">
        <f t="shared" si="46"/>
        <v>7.572889057174681E-4</v>
      </c>
      <c r="H295" s="842">
        <v>38.58</v>
      </c>
      <c r="I295" s="843">
        <f t="shared" si="46"/>
        <v>7.0477682067344727E-3</v>
      </c>
      <c r="J295" s="842">
        <v>61.09</v>
      </c>
      <c r="K295" s="843">
        <f t="shared" si="47"/>
        <v>-3.9132561552257528E-3</v>
      </c>
      <c r="L295" s="842">
        <v>61.26</v>
      </c>
      <c r="M295" s="843">
        <f t="shared" si="48"/>
        <v>-5.3580126643936188E-3</v>
      </c>
      <c r="N295" s="842">
        <v>63.9</v>
      </c>
      <c r="O295" s="843">
        <f t="shared" si="49"/>
        <v>7.0921985815601829E-3</v>
      </c>
      <c r="P295" s="844">
        <f t="shared" si="55"/>
        <v>5.5468052209420705E-4</v>
      </c>
      <c r="Q295" s="830"/>
      <c r="R295" s="845">
        <v>878.32</v>
      </c>
      <c r="S295" s="846">
        <f t="shared" si="50"/>
        <v>-1.1486017763524536E-3</v>
      </c>
      <c r="T295" s="845">
        <v>63.53</v>
      </c>
      <c r="U295" s="846">
        <f t="shared" si="51"/>
        <v>-2.1988377571855455E-3</v>
      </c>
      <c r="V295" s="845">
        <v>119.3518</v>
      </c>
      <c r="W295" s="846">
        <f t="shared" si="52"/>
        <v>-1.7430549631064496E-3</v>
      </c>
      <c r="X295" s="845">
        <v>36117.379999999997</v>
      </c>
      <c r="Y295" s="846">
        <f t="shared" si="53"/>
        <v>1.7459712995044896E-3</v>
      </c>
      <c r="Z295" s="845">
        <v>4585.5861999999997</v>
      </c>
      <c r="AA295" s="846">
        <f t="shared" si="54"/>
        <v>7.9679295714578657E-3</v>
      </c>
      <c r="AB295" s="843"/>
      <c r="AC295" s="832"/>
    </row>
    <row r="296" spans="1:29" ht="14.4" x14ac:dyDescent="0.55000000000000004">
      <c r="A296" s="857" t="s">
        <v>5455</v>
      </c>
      <c r="B296" s="842">
        <v>114.73</v>
      </c>
      <c r="C296" s="843">
        <f t="shared" si="45"/>
        <v>7.4639971900245516E-3</v>
      </c>
      <c r="D296" s="842">
        <v>44.32</v>
      </c>
      <c r="E296" s="843">
        <f t="shared" si="46"/>
        <v>2.0962911771481352E-2</v>
      </c>
      <c r="F296" s="842">
        <v>26.41</v>
      </c>
      <c r="G296" s="843">
        <f t="shared" si="46"/>
        <v>1.032899770466722E-2</v>
      </c>
      <c r="H296" s="842">
        <v>38.31</v>
      </c>
      <c r="I296" s="843">
        <f t="shared" si="46"/>
        <v>1.5372382719321731E-2</v>
      </c>
      <c r="J296" s="842">
        <v>61.33</v>
      </c>
      <c r="K296" s="843">
        <f t="shared" si="47"/>
        <v>1.6912618139611979E-2</v>
      </c>
      <c r="L296" s="842">
        <v>61.59</v>
      </c>
      <c r="M296" s="843">
        <f t="shared" si="48"/>
        <v>1.3160059220266529E-2</v>
      </c>
      <c r="N296" s="842">
        <v>63.45</v>
      </c>
      <c r="O296" s="843">
        <f t="shared" si="49"/>
        <v>2.603492884864167E-2</v>
      </c>
      <c r="P296" s="844">
        <f t="shared" si="55"/>
        <v>1.5747985084859289E-2</v>
      </c>
      <c r="Q296" s="830"/>
      <c r="R296" s="845">
        <v>879.33</v>
      </c>
      <c r="S296" s="846">
        <f t="shared" si="50"/>
        <v>1.4233151478102446E-2</v>
      </c>
      <c r="T296" s="845">
        <v>63.67</v>
      </c>
      <c r="U296" s="846">
        <f t="shared" si="51"/>
        <v>1.3369409517746345E-2</v>
      </c>
      <c r="V296" s="845">
        <v>119.56019999999999</v>
      </c>
      <c r="W296" s="846">
        <f t="shared" si="52"/>
        <v>7.4641203157546077E-3</v>
      </c>
      <c r="X296" s="845">
        <v>36054.43</v>
      </c>
      <c r="Y296" s="846">
        <f t="shared" si="53"/>
        <v>-1.9413385242615933E-3</v>
      </c>
      <c r="Z296" s="845">
        <v>4549.3374000000003</v>
      </c>
      <c r="AA296" s="846">
        <f t="shared" si="54"/>
        <v>-3.9073538327673019E-3</v>
      </c>
      <c r="AB296" s="843"/>
      <c r="AC296" s="832"/>
    </row>
    <row r="297" spans="1:29" ht="14.4" x14ac:dyDescent="0.55000000000000004">
      <c r="A297" s="857" t="s">
        <v>5456</v>
      </c>
      <c r="B297" s="842">
        <v>113.88</v>
      </c>
      <c r="C297" s="843">
        <f t="shared" si="45"/>
        <v>-9.0497737556561875E-3</v>
      </c>
      <c r="D297" s="842">
        <v>43.41</v>
      </c>
      <c r="E297" s="843">
        <f t="shared" si="46"/>
        <v>-1.0034207525655758E-2</v>
      </c>
      <c r="F297" s="842">
        <v>26.14</v>
      </c>
      <c r="G297" s="843">
        <f t="shared" si="46"/>
        <v>-1.1346444780635401E-2</v>
      </c>
      <c r="H297" s="842">
        <v>37.729999999999997</v>
      </c>
      <c r="I297" s="843">
        <f t="shared" si="46"/>
        <v>-1.1786275536930457E-2</v>
      </c>
      <c r="J297" s="842">
        <v>60.31</v>
      </c>
      <c r="K297" s="843">
        <f t="shared" si="47"/>
        <v>-2.537168713639304E-2</v>
      </c>
      <c r="L297" s="842">
        <v>60.79</v>
      </c>
      <c r="M297" s="843">
        <f t="shared" si="48"/>
        <v>-2.6251025430681363E-3</v>
      </c>
      <c r="N297" s="842">
        <v>61.84</v>
      </c>
      <c r="O297" s="843">
        <f t="shared" si="49"/>
        <v>-1.1666933035000771E-2</v>
      </c>
      <c r="P297" s="844">
        <f t="shared" si="55"/>
        <v>-1.169720347333425E-2</v>
      </c>
      <c r="Q297" s="830"/>
      <c r="R297" s="845">
        <v>866.99</v>
      </c>
      <c r="S297" s="846">
        <f t="shared" si="50"/>
        <v>-8.8937663614435669E-3</v>
      </c>
      <c r="T297" s="845">
        <v>62.83</v>
      </c>
      <c r="U297" s="846">
        <f t="shared" si="51"/>
        <v>-7.111251580278144E-3</v>
      </c>
      <c r="V297" s="845">
        <v>118.67440000000001</v>
      </c>
      <c r="W297" s="846">
        <f t="shared" si="52"/>
        <v>-9.0499022196391943E-3</v>
      </c>
      <c r="X297" s="845">
        <v>36124.559999999998</v>
      </c>
      <c r="Y297" s="846">
        <f t="shared" si="53"/>
        <v>-2.2063592200295412E-3</v>
      </c>
      <c r="Z297" s="845">
        <v>4567.183</v>
      </c>
      <c r="AA297" s="846">
        <f t="shared" si="54"/>
        <v>-5.6864861988159543E-4</v>
      </c>
      <c r="AB297" s="843"/>
      <c r="AC297" s="832"/>
    </row>
    <row r="298" spans="1:29" ht="14.4" x14ac:dyDescent="0.55000000000000004">
      <c r="A298" s="857" t="s">
        <v>5457</v>
      </c>
      <c r="B298" s="842">
        <v>114.92</v>
      </c>
      <c r="C298" s="843">
        <f t="shared" si="45"/>
        <v>9.3983311374616907E-3</v>
      </c>
      <c r="D298" s="842">
        <v>43.85</v>
      </c>
      <c r="E298" s="843">
        <f t="shared" si="46"/>
        <v>1.9767441860465196E-2</v>
      </c>
      <c r="F298" s="842">
        <v>26.44</v>
      </c>
      <c r="G298" s="843">
        <f t="shared" si="46"/>
        <v>9.1603053435114212E-3</v>
      </c>
      <c r="H298" s="842">
        <v>38.18</v>
      </c>
      <c r="I298" s="843">
        <f t="shared" si="46"/>
        <v>2.359249329758728E-2</v>
      </c>
      <c r="J298" s="842">
        <v>61.88</v>
      </c>
      <c r="K298" s="843">
        <f t="shared" si="47"/>
        <v>3.5821894877803739E-2</v>
      </c>
      <c r="L298" s="842">
        <v>60.95</v>
      </c>
      <c r="M298" s="843">
        <f t="shared" si="48"/>
        <v>1.0611838832697673E-2</v>
      </c>
      <c r="N298" s="842">
        <v>62.57</v>
      </c>
      <c r="O298" s="843">
        <f t="shared" si="49"/>
        <v>1.1150614091790523E-2</v>
      </c>
      <c r="P298" s="844">
        <f t="shared" si="55"/>
        <v>1.707184563447393E-2</v>
      </c>
      <c r="Q298" s="830"/>
      <c r="R298" s="845">
        <v>874.77</v>
      </c>
      <c r="S298" s="846">
        <f t="shared" si="50"/>
        <v>-1.4155089553772315E-3</v>
      </c>
      <c r="T298" s="845">
        <v>63.28</v>
      </c>
      <c r="U298" s="846">
        <f t="shared" si="51"/>
        <v>-3.9351487486226633E-3</v>
      </c>
      <c r="V298" s="845">
        <v>119.7582</v>
      </c>
      <c r="W298" s="846">
        <f t="shared" si="52"/>
        <v>9.3979258819723022E-3</v>
      </c>
      <c r="X298" s="845">
        <v>36204.44</v>
      </c>
      <c r="Y298" s="846">
        <f t="shared" si="53"/>
        <v>-1.1328302823798708E-3</v>
      </c>
      <c r="Z298" s="845">
        <v>4569.7816000000003</v>
      </c>
      <c r="AA298" s="846">
        <f t="shared" si="54"/>
        <v>-5.4084858511832534E-3</v>
      </c>
      <c r="AB298" s="843"/>
      <c r="AC298" s="832"/>
    </row>
    <row r="299" spans="1:29" ht="14.4" x14ac:dyDescent="0.55000000000000004">
      <c r="A299" s="857" t="s">
        <v>5458</v>
      </c>
      <c r="B299" s="842">
        <v>113.85</v>
      </c>
      <c r="C299" s="843">
        <f t="shared" si="45"/>
        <v>3.5146296458998805E-4</v>
      </c>
      <c r="D299" s="842">
        <v>43</v>
      </c>
      <c r="E299" s="843">
        <f t="shared" si="46"/>
        <v>1.8957345971563955E-2</v>
      </c>
      <c r="F299" s="842">
        <v>26.2</v>
      </c>
      <c r="G299" s="843">
        <f t="shared" si="46"/>
        <v>2.1840873634945357E-2</v>
      </c>
      <c r="H299" s="842">
        <v>37.299999999999997</v>
      </c>
      <c r="I299" s="843">
        <f t="shared" si="46"/>
        <v>1.856908793009282E-2</v>
      </c>
      <c r="J299" s="842">
        <v>59.74</v>
      </c>
      <c r="K299" s="843">
        <f t="shared" si="47"/>
        <v>3.6612875238591025E-2</v>
      </c>
      <c r="L299" s="842">
        <v>60.31</v>
      </c>
      <c r="M299" s="843">
        <f t="shared" si="48"/>
        <v>2.0301133479952771E-2</v>
      </c>
      <c r="N299" s="842">
        <v>61.88</v>
      </c>
      <c r="O299" s="843">
        <f t="shared" si="49"/>
        <v>1.4259957384035404E-2</v>
      </c>
      <c r="P299" s="844">
        <f t="shared" si="55"/>
        <v>1.8698962371967331E-2</v>
      </c>
      <c r="Q299" s="830"/>
      <c r="R299" s="845">
        <v>876.01</v>
      </c>
      <c r="S299" s="846">
        <f t="shared" si="50"/>
        <v>1.0671927638562062E-2</v>
      </c>
      <c r="T299" s="845">
        <v>63.53</v>
      </c>
      <c r="U299" s="846">
        <f t="shared" si="51"/>
        <v>1.2268961121733701E-2</v>
      </c>
      <c r="V299" s="845">
        <v>118.64319999999999</v>
      </c>
      <c r="W299" s="846">
        <f t="shared" si="52"/>
        <v>3.5159757675917724E-4</v>
      </c>
      <c r="X299" s="845">
        <v>36245.5</v>
      </c>
      <c r="Y299" s="846">
        <f t="shared" si="53"/>
        <v>8.1947901707022375E-3</v>
      </c>
      <c r="Z299" s="845">
        <v>4594.6315999999997</v>
      </c>
      <c r="AA299" s="846">
        <f t="shared" si="54"/>
        <v>5.8743833408065882E-3</v>
      </c>
      <c r="AB299" s="843"/>
      <c r="AC299" s="832"/>
    </row>
    <row r="300" spans="1:29" ht="14.4" x14ac:dyDescent="0.55000000000000004">
      <c r="A300" s="857" t="s">
        <v>5459</v>
      </c>
      <c r="B300" s="842">
        <v>113.81</v>
      </c>
      <c r="C300" s="843">
        <f t="shared" si="45"/>
        <v>1.5707273538598798E-2</v>
      </c>
      <c r="D300" s="842">
        <v>42.2</v>
      </c>
      <c r="E300" s="843">
        <f t="shared" si="46"/>
        <v>7.6408787010506796E-3</v>
      </c>
      <c r="F300" s="842">
        <v>25.64</v>
      </c>
      <c r="G300" s="843">
        <f t="shared" si="46"/>
        <v>-6.5865943432776852E-3</v>
      </c>
      <c r="H300" s="842">
        <v>36.619999999999997</v>
      </c>
      <c r="I300" s="843">
        <f t="shared" si="46"/>
        <v>6.8737970855099473E-3</v>
      </c>
      <c r="J300" s="842">
        <v>57.63</v>
      </c>
      <c r="K300" s="843">
        <f t="shared" si="47"/>
        <v>-2.1063359945642901E-2</v>
      </c>
      <c r="L300" s="842">
        <v>59.11</v>
      </c>
      <c r="M300" s="843">
        <f t="shared" si="48"/>
        <v>-7.8885532057737517E-3</v>
      </c>
      <c r="N300" s="842">
        <v>61.01</v>
      </c>
      <c r="O300" s="843">
        <f t="shared" si="49"/>
        <v>1.4773473407747595E-3</v>
      </c>
      <c r="P300" s="844">
        <f t="shared" si="55"/>
        <v>-5.4845868982287909E-4</v>
      </c>
      <c r="Q300" s="830"/>
      <c r="R300" s="845">
        <v>866.76</v>
      </c>
      <c r="S300" s="846">
        <f t="shared" si="50"/>
        <v>4.9740860551670263E-3</v>
      </c>
      <c r="T300" s="845">
        <v>62.76</v>
      </c>
      <c r="U300" s="846">
        <f t="shared" si="51"/>
        <v>4.3206913106095257E-3</v>
      </c>
      <c r="V300" s="845">
        <v>118.6015</v>
      </c>
      <c r="W300" s="846">
        <f t="shared" si="52"/>
        <v>1.5707295015561007E-2</v>
      </c>
      <c r="X300" s="845">
        <v>35950.89</v>
      </c>
      <c r="Y300" s="846">
        <f t="shared" si="53"/>
        <v>1.468991900180705E-2</v>
      </c>
      <c r="Z300" s="845">
        <v>4567.7986000000001</v>
      </c>
      <c r="AA300" s="846">
        <f t="shared" si="54"/>
        <v>3.7833180162458735E-3</v>
      </c>
      <c r="AB300" s="843"/>
      <c r="AC300" s="832"/>
    </row>
    <row r="301" spans="1:29" ht="14.4" x14ac:dyDescent="0.55000000000000004">
      <c r="A301" s="857" t="s">
        <v>5460</v>
      </c>
      <c r="B301" s="842">
        <v>112.05</v>
      </c>
      <c r="C301" s="843">
        <f t="shared" si="45"/>
        <v>-4.0000000000000036E-3</v>
      </c>
      <c r="D301" s="842">
        <v>41.88</v>
      </c>
      <c r="E301" s="843">
        <f t="shared" si="46"/>
        <v>-4.9893086243764095E-3</v>
      </c>
      <c r="F301" s="842">
        <v>25.81</v>
      </c>
      <c r="G301" s="843">
        <f t="shared" si="46"/>
        <v>-1.4132925897631821E-2</v>
      </c>
      <c r="H301" s="842">
        <v>36.369999999999997</v>
      </c>
      <c r="I301" s="843">
        <f t="shared" si="46"/>
        <v>-8.9918256130792074E-3</v>
      </c>
      <c r="J301" s="842">
        <v>58.87</v>
      </c>
      <c r="K301" s="843">
        <f t="shared" si="47"/>
        <v>-2.5415113520841359E-3</v>
      </c>
      <c r="L301" s="842">
        <v>59.58</v>
      </c>
      <c r="M301" s="843">
        <f t="shared" si="48"/>
        <v>-1.9420671494404185E-2</v>
      </c>
      <c r="N301" s="842">
        <v>60.92</v>
      </c>
      <c r="O301" s="843">
        <f t="shared" si="49"/>
        <v>-6.6851459318441053E-3</v>
      </c>
      <c r="P301" s="844">
        <f t="shared" si="55"/>
        <v>-8.6801984162028379E-3</v>
      </c>
      <c r="Q301" s="830"/>
      <c r="R301" s="845">
        <v>862.47</v>
      </c>
      <c r="S301" s="846">
        <f t="shared" si="50"/>
        <v>-6.1763248562506368E-3</v>
      </c>
      <c r="T301" s="845">
        <v>62.49</v>
      </c>
      <c r="U301" s="846">
        <f t="shared" si="51"/>
        <v>-7.9377678996666035E-3</v>
      </c>
      <c r="V301" s="845">
        <v>116.76739999999999</v>
      </c>
      <c r="W301" s="846">
        <f t="shared" si="52"/>
        <v>-3.9996144538850809E-3</v>
      </c>
      <c r="X301" s="845">
        <v>35430.42</v>
      </c>
      <c r="Y301" s="846">
        <f t="shared" si="53"/>
        <v>3.7947899566814769E-4</v>
      </c>
      <c r="Z301" s="845">
        <v>4550.5823</v>
      </c>
      <c r="AA301" s="846">
        <f t="shared" si="54"/>
        <v>-9.4586245386441004E-4</v>
      </c>
      <c r="AB301" s="843"/>
      <c r="AC301" s="832"/>
    </row>
    <row r="302" spans="1:29" ht="14.4" x14ac:dyDescent="0.55000000000000004">
      <c r="A302" s="857" t="s">
        <v>5461</v>
      </c>
      <c r="B302" s="842">
        <v>112.5</v>
      </c>
      <c r="C302" s="843">
        <f t="shared" si="45"/>
        <v>-1.2428977272727071E-3</v>
      </c>
      <c r="D302" s="842">
        <v>42.09</v>
      </c>
      <c r="E302" s="843">
        <f t="shared" si="46"/>
        <v>-7.5453902381512616E-3</v>
      </c>
      <c r="F302" s="842">
        <v>26.18</v>
      </c>
      <c r="G302" s="843">
        <f t="shared" si="46"/>
        <v>-7.6335877862598878E-4</v>
      </c>
      <c r="H302" s="842">
        <v>36.700000000000003</v>
      </c>
      <c r="I302" s="843">
        <f t="shared" si="46"/>
        <v>-8.1677103185395783E-4</v>
      </c>
      <c r="J302" s="842">
        <v>59.02</v>
      </c>
      <c r="K302" s="843">
        <f t="shared" si="47"/>
        <v>4.0830214358624772E-3</v>
      </c>
      <c r="L302" s="842">
        <v>60.76</v>
      </c>
      <c r="M302" s="843">
        <f t="shared" si="48"/>
        <v>1.1992005329780175E-2</v>
      </c>
      <c r="N302" s="842">
        <v>61.33</v>
      </c>
      <c r="O302" s="843">
        <f t="shared" si="49"/>
        <v>6.8954194713513051E-3</v>
      </c>
      <c r="P302" s="844">
        <f t="shared" si="55"/>
        <v>1.8002897801557202E-3</v>
      </c>
      <c r="Q302" s="830"/>
      <c r="R302" s="845">
        <v>867.83</v>
      </c>
      <c r="S302" s="846">
        <f t="shared" si="50"/>
        <v>2.680500514147699E-3</v>
      </c>
      <c r="T302" s="845">
        <v>62.99</v>
      </c>
      <c r="U302" s="846">
        <f t="shared" si="51"/>
        <v>3.1852205765250385E-3</v>
      </c>
      <c r="V302" s="845">
        <v>117.2363</v>
      </c>
      <c r="W302" s="846">
        <f t="shared" si="52"/>
        <v>-1.2429482493938604E-3</v>
      </c>
      <c r="X302" s="845">
        <v>35416.980000000003</v>
      </c>
      <c r="Y302" s="846">
        <f t="shared" si="53"/>
        <v>2.3634814242701196E-3</v>
      </c>
      <c r="Z302" s="845">
        <v>4554.8905999999997</v>
      </c>
      <c r="AA302" s="846">
        <f t="shared" si="54"/>
        <v>9.8069895842756161E-4</v>
      </c>
      <c r="AB302" s="843"/>
      <c r="AC302" s="832"/>
    </row>
    <row r="303" spans="1:29" ht="14.4" x14ac:dyDescent="0.55000000000000004">
      <c r="A303" s="857" t="s">
        <v>5462</v>
      </c>
      <c r="B303" s="842">
        <v>112.64</v>
      </c>
      <c r="C303" s="843">
        <f t="shared" si="45"/>
        <v>5.7142857142857828E-3</v>
      </c>
      <c r="D303" s="842">
        <v>42.41</v>
      </c>
      <c r="E303" s="843">
        <f t="shared" si="46"/>
        <v>-7.2565543071161365E-3</v>
      </c>
      <c r="F303" s="842">
        <v>26.2</v>
      </c>
      <c r="G303" s="843">
        <f t="shared" si="46"/>
        <v>3.8314176245208831E-3</v>
      </c>
      <c r="H303" s="842">
        <v>36.729999999999997</v>
      </c>
      <c r="I303" s="843">
        <f t="shared" si="46"/>
        <v>7.129147244310241E-3</v>
      </c>
      <c r="J303" s="842">
        <v>58.78</v>
      </c>
      <c r="K303" s="843">
        <f t="shared" si="47"/>
        <v>-3.5599254110866285E-3</v>
      </c>
      <c r="L303" s="842">
        <v>60.04</v>
      </c>
      <c r="M303" s="843">
        <f t="shared" si="48"/>
        <v>-3.3300033300043275E-4</v>
      </c>
      <c r="N303" s="842">
        <v>60.91</v>
      </c>
      <c r="O303" s="843">
        <f t="shared" si="49"/>
        <v>2.9639387452660149E-3</v>
      </c>
      <c r="P303" s="844">
        <f t="shared" si="55"/>
        <v>1.2127584681685319E-3</v>
      </c>
      <c r="Q303" s="830"/>
      <c r="R303" s="845">
        <v>865.51</v>
      </c>
      <c r="S303" s="846">
        <f t="shared" si="50"/>
        <v>-5.3904446400876438E-4</v>
      </c>
      <c r="T303" s="845">
        <v>62.79</v>
      </c>
      <c r="U303" s="846">
        <f t="shared" si="51"/>
        <v>1.5951507417450994E-3</v>
      </c>
      <c r="V303" s="845">
        <v>117.3822</v>
      </c>
      <c r="W303" s="846">
        <f t="shared" si="52"/>
        <v>5.7139038326594616E-3</v>
      </c>
      <c r="X303" s="845">
        <v>35333.47</v>
      </c>
      <c r="Y303" s="846">
        <f t="shared" si="53"/>
        <v>-1.6015925063624925E-3</v>
      </c>
      <c r="Z303" s="845">
        <v>4550.4279999999999</v>
      </c>
      <c r="AA303" s="846">
        <f t="shared" si="54"/>
        <v>-1.9536181502953776E-3</v>
      </c>
      <c r="AB303" s="843"/>
      <c r="AC303" s="832"/>
    </row>
    <row r="304" spans="1:29" ht="14.4" x14ac:dyDescent="0.55000000000000004">
      <c r="A304" s="857" t="s">
        <v>5463</v>
      </c>
      <c r="B304" s="842">
        <v>112</v>
      </c>
      <c r="C304" s="843">
        <f t="shared" si="45"/>
        <v>-9.2879256965944235E-3</v>
      </c>
      <c r="D304" s="842">
        <v>42.72</v>
      </c>
      <c r="E304" s="843">
        <f t="shared" si="46"/>
        <v>7.027406886859211E-4</v>
      </c>
      <c r="F304" s="842">
        <v>26.1</v>
      </c>
      <c r="G304" s="843">
        <f t="shared" si="46"/>
        <v>-3.4364261168384758E-3</v>
      </c>
      <c r="H304" s="842">
        <v>36.47</v>
      </c>
      <c r="I304" s="843">
        <f t="shared" si="46"/>
        <v>-4.9113233287858549E-3</v>
      </c>
      <c r="J304" s="842">
        <v>58.99</v>
      </c>
      <c r="K304" s="843">
        <f t="shared" si="47"/>
        <v>-5.395380205698852E-3</v>
      </c>
      <c r="L304" s="842">
        <v>60.06</v>
      </c>
      <c r="M304" s="843">
        <f t="shared" si="48"/>
        <v>1.3337779259754434E-3</v>
      </c>
      <c r="N304" s="842">
        <v>60.73</v>
      </c>
      <c r="O304" s="843">
        <f t="shared" si="49"/>
        <v>3.3041467041134975E-3</v>
      </c>
      <c r="P304" s="844">
        <f t="shared" si="55"/>
        <v>-2.5271985755918208E-3</v>
      </c>
      <c r="Q304" s="830"/>
      <c r="R304" s="845">
        <v>865.97680000000003</v>
      </c>
      <c r="S304" s="846">
        <f t="shared" si="50"/>
        <v>3.3912287816466602E-3</v>
      </c>
      <c r="T304" s="845">
        <v>62.69</v>
      </c>
      <c r="U304" s="846">
        <f t="shared" si="51"/>
        <v>2.5587717895410034E-3</v>
      </c>
      <c r="V304" s="845">
        <v>116.7153</v>
      </c>
      <c r="W304" s="846">
        <f t="shared" si="52"/>
        <v>-9.2878757655366906E-3</v>
      </c>
      <c r="X304" s="845">
        <v>35390.150600000001</v>
      </c>
      <c r="Y304" s="846">
        <f t="shared" si="53"/>
        <v>3.3204008841882793E-3</v>
      </c>
      <c r="Z304" s="845">
        <v>4559.3352000000004</v>
      </c>
      <c r="AA304" s="846">
        <f t="shared" si="54"/>
        <v>5.9605595306289061E-4</v>
      </c>
      <c r="AB304" s="843"/>
      <c r="AC304" s="832"/>
    </row>
    <row r="305" spans="1:29" ht="14.4" x14ac:dyDescent="0.55000000000000004">
      <c r="A305" s="857" t="s">
        <v>5464</v>
      </c>
      <c r="B305" s="842">
        <v>113.05</v>
      </c>
      <c r="C305" s="843">
        <f t="shared" si="45"/>
        <v>1.2992831541218663E-2</v>
      </c>
      <c r="D305" s="842">
        <v>42.69</v>
      </c>
      <c r="E305" s="843">
        <f t="shared" si="46"/>
        <v>2.3495564612802555E-2</v>
      </c>
      <c r="F305" s="842">
        <v>26.19</v>
      </c>
      <c r="G305" s="843">
        <f t="shared" si="46"/>
        <v>6.9204152249133788E-3</v>
      </c>
      <c r="H305" s="842">
        <v>36.65</v>
      </c>
      <c r="I305" s="843">
        <f t="shared" si="46"/>
        <v>9.6418732782368455E-3</v>
      </c>
      <c r="J305" s="842">
        <v>59.31</v>
      </c>
      <c r="K305" s="843">
        <f t="shared" si="47"/>
        <v>4.0629761300152722E-3</v>
      </c>
      <c r="L305" s="842">
        <v>59.98</v>
      </c>
      <c r="M305" s="843">
        <f t="shared" si="48"/>
        <v>1.2662502110416973E-2</v>
      </c>
      <c r="N305" s="842">
        <v>60.53</v>
      </c>
      <c r="O305" s="843">
        <f t="shared" si="49"/>
        <v>1.2884872824632021E-2</v>
      </c>
      <c r="P305" s="844">
        <f t="shared" si="55"/>
        <v>1.1808719388890816E-2</v>
      </c>
      <c r="Q305" s="830"/>
      <c r="R305" s="845">
        <v>863.05</v>
      </c>
      <c r="S305" s="846">
        <f t="shared" si="50"/>
        <v>2.9400827406684815E-3</v>
      </c>
      <c r="T305" s="845">
        <v>62.53</v>
      </c>
      <c r="U305" s="846">
        <f t="shared" si="51"/>
        <v>4.8208259681825627E-3</v>
      </c>
      <c r="V305" s="845">
        <v>117.8095</v>
      </c>
      <c r="W305" s="846">
        <f t="shared" si="52"/>
        <v>1.2992428965119984E-2</v>
      </c>
      <c r="X305" s="845">
        <v>35273.03</v>
      </c>
      <c r="Y305" s="846">
        <f t="shared" si="53"/>
        <v>5.2650043647040068E-3</v>
      </c>
      <c r="Z305" s="845">
        <v>4556.6192000000001</v>
      </c>
      <c r="AA305" s="846">
        <f t="shared" si="54"/>
        <v>4.060538033243466E-3</v>
      </c>
      <c r="AB305" s="843"/>
      <c r="AC305" s="832"/>
    </row>
    <row r="306" spans="1:29" ht="14.4" x14ac:dyDescent="0.55000000000000004">
      <c r="A306" s="857" t="s">
        <v>5465</v>
      </c>
      <c r="B306" s="842">
        <v>111.6</v>
      </c>
      <c r="C306" s="843">
        <f t="shared" si="45"/>
        <v>-1.1689691817215797E-2</v>
      </c>
      <c r="D306" s="842">
        <v>41.71</v>
      </c>
      <c r="E306" s="843">
        <f t="shared" si="46"/>
        <v>-1.5112160566706057E-2</v>
      </c>
      <c r="F306" s="842">
        <v>26.01</v>
      </c>
      <c r="G306" s="843">
        <f t="shared" si="46"/>
        <v>-1.9186492709131198E-3</v>
      </c>
      <c r="H306" s="842">
        <v>36.299999999999997</v>
      </c>
      <c r="I306" s="843">
        <f t="shared" si="46"/>
        <v>-1.1707051456575024E-2</v>
      </c>
      <c r="J306" s="842">
        <v>59.07</v>
      </c>
      <c r="K306" s="843">
        <f t="shared" si="47"/>
        <v>-2.2181757987088213E-2</v>
      </c>
      <c r="L306" s="842">
        <v>59.23</v>
      </c>
      <c r="M306" s="843">
        <f t="shared" si="48"/>
        <v>-8.0388544632390424E-3</v>
      </c>
      <c r="N306" s="842">
        <v>59.76</v>
      </c>
      <c r="O306" s="843">
        <f t="shared" si="49"/>
        <v>-1.9685039370078816E-2</v>
      </c>
      <c r="P306" s="844">
        <f t="shared" si="55"/>
        <v>-1.290474356168801E-2</v>
      </c>
      <c r="Q306" s="830"/>
      <c r="R306" s="845">
        <v>860.52</v>
      </c>
      <c r="S306" s="846">
        <f t="shared" si="50"/>
        <v>5.9301636027497828E-4</v>
      </c>
      <c r="T306" s="845">
        <v>62.23</v>
      </c>
      <c r="U306" s="846">
        <f t="shared" si="51"/>
        <v>2.0933977455714903E-3</v>
      </c>
      <c r="V306" s="845">
        <v>116.2985</v>
      </c>
      <c r="W306" s="846">
        <f t="shared" si="52"/>
        <v>-1.1689073202236666E-2</v>
      </c>
      <c r="X306" s="845">
        <v>35088.29</v>
      </c>
      <c r="Y306" s="846">
        <f t="shared" si="53"/>
        <v>-1.7851534406947422E-3</v>
      </c>
      <c r="Z306" s="845">
        <v>4538.1917000000003</v>
      </c>
      <c r="AA306" s="846">
        <f t="shared" si="54"/>
        <v>-2.0200214299339603E-3</v>
      </c>
      <c r="AB306" s="843"/>
      <c r="AC306" s="832"/>
    </row>
    <row r="307" spans="1:29" ht="14.4" x14ac:dyDescent="0.55000000000000004">
      <c r="A307" s="857" t="s">
        <v>5466</v>
      </c>
      <c r="B307" s="842">
        <v>112.92</v>
      </c>
      <c r="C307" s="843">
        <f t="shared" si="45"/>
        <v>-8.6040386303775085E-3</v>
      </c>
      <c r="D307" s="842">
        <v>42.35</v>
      </c>
      <c r="E307" s="843">
        <f t="shared" si="46"/>
        <v>-1.5345268542199419E-2</v>
      </c>
      <c r="F307" s="842">
        <v>26.06</v>
      </c>
      <c r="G307" s="843">
        <f t="shared" si="46"/>
        <v>-7.6687116564411184E-4</v>
      </c>
      <c r="H307" s="842">
        <v>36.729999999999997</v>
      </c>
      <c r="I307" s="843">
        <f t="shared" si="46"/>
        <v>-1.3164965072541723E-2</v>
      </c>
      <c r="J307" s="842">
        <v>60.41</v>
      </c>
      <c r="K307" s="843">
        <f t="shared" si="47"/>
        <v>-2.0590142671854772E-2</v>
      </c>
      <c r="L307" s="842">
        <v>59.71</v>
      </c>
      <c r="M307" s="843">
        <f t="shared" si="48"/>
        <v>-5.3306679993336825E-3</v>
      </c>
      <c r="N307" s="842">
        <v>60.96</v>
      </c>
      <c r="O307" s="843">
        <f t="shared" si="49"/>
        <v>-6.5189048239895353E-3</v>
      </c>
      <c r="P307" s="844">
        <f t="shared" si="55"/>
        <v>-1.0045836986562964E-2</v>
      </c>
      <c r="Q307" s="830"/>
      <c r="R307" s="845">
        <v>860.01</v>
      </c>
      <c r="S307" s="846">
        <f t="shared" si="50"/>
        <v>-4.0416907932832036E-3</v>
      </c>
      <c r="T307" s="845">
        <v>62.1</v>
      </c>
      <c r="U307" s="846">
        <f t="shared" si="51"/>
        <v>-3.0502488360891755E-3</v>
      </c>
      <c r="V307" s="845">
        <v>117.67400000000001</v>
      </c>
      <c r="W307" s="846">
        <f t="shared" si="52"/>
        <v>-8.604384503851481E-3</v>
      </c>
      <c r="X307" s="845">
        <v>35151.040000000001</v>
      </c>
      <c r="Y307" s="846">
        <f t="shared" si="53"/>
        <v>5.8304966795699187E-3</v>
      </c>
      <c r="Z307" s="845">
        <v>4547.3774999999996</v>
      </c>
      <c r="AA307" s="846">
        <f t="shared" si="54"/>
        <v>7.3902232421363401E-3</v>
      </c>
      <c r="AB307" s="843"/>
      <c r="AC307" s="832"/>
    </row>
    <row r="308" spans="1:29" ht="14.4" x14ac:dyDescent="0.55000000000000004">
      <c r="A308" s="857" t="s">
        <v>5467</v>
      </c>
      <c r="B308" s="842">
        <v>113.9</v>
      </c>
      <c r="C308" s="843">
        <f t="shared" si="45"/>
        <v>-1.3152126260411734E-3</v>
      </c>
      <c r="D308" s="842">
        <v>43.01</v>
      </c>
      <c r="E308" s="843">
        <f t="shared" si="46"/>
        <v>5.8465855940130762E-3</v>
      </c>
      <c r="F308" s="842">
        <v>26.08</v>
      </c>
      <c r="G308" s="843">
        <f t="shared" si="46"/>
        <v>1.202949165696543E-2</v>
      </c>
      <c r="H308" s="842">
        <v>37.22</v>
      </c>
      <c r="I308" s="843">
        <f t="shared" si="46"/>
        <v>1.8842530282638936E-3</v>
      </c>
      <c r="J308" s="842">
        <v>61.68</v>
      </c>
      <c r="K308" s="843">
        <f t="shared" si="47"/>
        <v>-1.1336032388663542E-3</v>
      </c>
      <c r="L308" s="842">
        <v>60.03</v>
      </c>
      <c r="M308" s="843">
        <f t="shared" si="48"/>
        <v>4.9999999999994493E-4</v>
      </c>
      <c r="N308" s="842">
        <v>61.36</v>
      </c>
      <c r="O308" s="843">
        <f t="shared" si="49"/>
        <v>2.7117509206561641E-2</v>
      </c>
      <c r="P308" s="844">
        <f t="shared" si="55"/>
        <v>6.4184319458423511E-3</v>
      </c>
      <c r="Q308" s="830"/>
      <c r="R308" s="845">
        <v>863.5</v>
      </c>
      <c r="S308" s="846">
        <f t="shared" si="50"/>
        <v>1.0317524721483728E-3</v>
      </c>
      <c r="T308" s="845">
        <v>62.29</v>
      </c>
      <c r="U308" s="846">
        <f t="shared" si="51"/>
        <v>2.7366387636831302E-3</v>
      </c>
      <c r="V308" s="845">
        <v>118.6953</v>
      </c>
      <c r="W308" s="846">
        <f t="shared" si="52"/>
        <v>-1.3150853669617879E-3</v>
      </c>
      <c r="X308" s="845">
        <v>34947.279999999999</v>
      </c>
      <c r="Y308" s="846">
        <f t="shared" si="53"/>
        <v>5.1794982296682335E-5</v>
      </c>
      <c r="Z308" s="845">
        <v>4514.0178999999998</v>
      </c>
      <c r="AA308" s="846">
        <f t="shared" si="54"/>
        <v>1.2808536184880648E-3</v>
      </c>
      <c r="AB308" s="843"/>
      <c r="AC308" s="832"/>
    </row>
    <row r="309" spans="1:29" ht="14.4" x14ac:dyDescent="0.55000000000000004">
      <c r="A309" s="857" t="s">
        <v>5468</v>
      </c>
      <c r="B309" s="842">
        <v>114.05</v>
      </c>
      <c r="C309" s="843">
        <f t="shared" si="45"/>
        <v>4.5802871487712338E-3</v>
      </c>
      <c r="D309" s="842">
        <v>42.76</v>
      </c>
      <c r="E309" s="843">
        <f t="shared" si="46"/>
        <v>4.9353701527614646E-3</v>
      </c>
      <c r="F309" s="842">
        <v>25.77</v>
      </c>
      <c r="G309" s="843">
        <f t="shared" si="46"/>
        <v>7.7669902912624877E-4</v>
      </c>
      <c r="H309" s="842">
        <v>37.15</v>
      </c>
      <c r="I309" s="843">
        <f t="shared" si="46"/>
        <v>-5.620985010706625E-3</v>
      </c>
      <c r="J309" s="842">
        <v>61.75</v>
      </c>
      <c r="K309" s="843">
        <f t="shared" si="47"/>
        <v>-6.4735394076709252E-4</v>
      </c>
      <c r="L309" s="842">
        <v>60</v>
      </c>
      <c r="M309" s="843">
        <f t="shared" si="48"/>
        <v>-2.3278528406316168E-2</v>
      </c>
      <c r="N309" s="842">
        <v>59.74</v>
      </c>
      <c r="O309" s="843">
        <f t="shared" si="49"/>
        <v>-2.8375897179101495E-3</v>
      </c>
      <c r="P309" s="844">
        <f t="shared" si="55"/>
        <v>-3.1560143921487266E-3</v>
      </c>
      <c r="Q309" s="830"/>
      <c r="R309" s="845">
        <v>862.61</v>
      </c>
      <c r="S309" s="846">
        <f t="shared" si="50"/>
        <v>5.6894360696255752E-3</v>
      </c>
      <c r="T309" s="845">
        <v>62.12</v>
      </c>
      <c r="U309" s="846">
        <f t="shared" si="51"/>
        <v>5.3406700113287631E-3</v>
      </c>
      <c r="V309" s="845">
        <v>118.8516</v>
      </c>
      <c r="W309" s="846">
        <f t="shared" si="52"/>
        <v>4.5803513997584311E-3</v>
      </c>
      <c r="X309" s="845">
        <v>34945.47</v>
      </c>
      <c r="Y309" s="846">
        <f t="shared" si="53"/>
        <v>-1.3071854331415667E-3</v>
      </c>
      <c r="Z309" s="845">
        <v>4508.2434999999996</v>
      </c>
      <c r="AA309" s="846">
        <f t="shared" si="54"/>
        <v>1.1913933814962085E-3</v>
      </c>
      <c r="AB309" s="843"/>
      <c r="AC309" s="832"/>
    </row>
    <row r="310" spans="1:29" ht="14.4" x14ac:dyDescent="0.55000000000000004">
      <c r="A310" s="857" t="s">
        <v>5469</v>
      </c>
      <c r="B310" s="842">
        <v>113.53</v>
      </c>
      <c r="C310" s="843">
        <f t="shared" si="45"/>
        <v>-5.344314000350403E-3</v>
      </c>
      <c r="D310" s="842">
        <v>42.55</v>
      </c>
      <c r="E310" s="843">
        <f t="shared" si="46"/>
        <v>-9.0824406148113379E-3</v>
      </c>
      <c r="F310" s="842">
        <v>25.75</v>
      </c>
      <c r="G310" s="843">
        <f t="shared" si="46"/>
        <v>-8.4713130535232217E-3</v>
      </c>
      <c r="H310" s="842">
        <v>37.36</v>
      </c>
      <c r="I310" s="843">
        <f t="shared" si="46"/>
        <v>2.6838432635534204E-3</v>
      </c>
      <c r="J310" s="842">
        <v>61.79</v>
      </c>
      <c r="K310" s="843">
        <f t="shared" si="47"/>
        <v>5.369345916042878E-3</v>
      </c>
      <c r="L310" s="842">
        <v>61.43</v>
      </c>
      <c r="M310" s="843">
        <f t="shared" si="48"/>
        <v>1.957266351329201E-3</v>
      </c>
      <c r="N310" s="842">
        <v>59.91</v>
      </c>
      <c r="O310" s="843">
        <f t="shared" si="49"/>
        <v>4.5271629778671496E-3</v>
      </c>
      <c r="P310" s="844">
        <f t="shared" si="55"/>
        <v>-1.1943498799846161E-3</v>
      </c>
      <c r="Q310" s="830"/>
      <c r="R310" s="845">
        <v>857.73</v>
      </c>
      <c r="S310" s="846">
        <f t="shared" si="50"/>
        <v>-2.4423432538990264E-3</v>
      </c>
      <c r="T310" s="845">
        <v>61.79</v>
      </c>
      <c r="U310" s="846">
        <f t="shared" si="51"/>
        <v>-3.0655050016134E-3</v>
      </c>
      <c r="V310" s="845">
        <v>118.30970000000001</v>
      </c>
      <c r="W310" s="846">
        <f t="shared" si="52"/>
        <v>-5.3444689748405327E-3</v>
      </c>
      <c r="X310" s="845">
        <v>34991.21</v>
      </c>
      <c r="Y310" s="846">
        <f t="shared" si="53"/>
        <v>4.6948262446271372E-3</v>
      </c>
      <c r="Z310" s="845">
        <v>4502.8788000000004</v>
      </c>
      <c r="AA310" s="846">
        <f t="shared" si="54"/>
        <v>1.5964582702732155E-3</v>
      </c>
      <c r="AB310" s="843"/>
      <c r="AC310" s="832"/>
    </row>
    <row r="311" spans="1:29" ht="14.4" x14ac:dyDescent="0.55000000000000004">
      <c r="A311" s="857" t="s">
        <v>5470</v>
      </c>
      <c r="B311" s="842">
        <v>114.14</v>
      </c>
      <c r="C311" s="843">
        <f t="shared" si="45"/>
        <v>2.7177825773938125E-2</v>
      </c>
      <c r="D311" s="842">
        <v>42.94</v>
      </c>
      <c r="E311" s="843">
        <f t="shared" si="46"/>
        <v>4.2739193783389862E-2</v>
      </c>
      <c r="F311" s="842">
        <v>25.97</v>
      </c>
      <c r="G311" s="843">
        <f t="shared" si="46"/>
        <v>4.6755340588472416E-2</v>
      </c>
      <c r="H311" s="842">
        <v>37.26</v>
      </c>
      <c r="I311" s="843">
        <f t="shared" si="46"/>
        <v>4.22377622377621E-2</v>
      </c>
      <c r="J311" s="842">
        <v>61.46</v>
      </c>
      <c r="K311" s="843">
        <f t="shared" si="47"/>
        <v>2.9998324115971142E-2</v>
      </c>
      <c r="L311" s="842">
        <v>61.31</v>
      </c>
      <c r="M311" s="843">
        <f t="shared" si="48"/>
        <v>4.3574468085106455E-2</v>
      </c>
      <c r="N311" s="842">
        <v>59.64</v>
      </c>
      <c r="O311" s="843">
        <f t="shared" si="49"/>
        <v>4.2110781058885216E-2</v>
      </c>
      <c r="P311" s="844">
        <f t="shared" si="55"/>
        <v>3.9227670806217904E-2</v>
      </c>
      <c r="Q311" s="830"/>
      <c r="R311" s="845">
        <v>859.83</v>
      </c>
      <c r="S311" s="846">
        <f t="shared" si="50"/>
        <v>3.9232749555821567E-2</v>
      </c>
      <c r="T311" s="845">
        <v>61.98</v>
      </c>
      <c r="U311" s="846">
        <f t="shared" si="51"/>
        <v>3.9932885906040161E-2</v>
      </c>
      <c r="V311" s="845">
        <v>118.94540000000001</v>
      </c>
      <c r="W311" s="846">
        <f t="shared" si="52"/>
        <v>2.7178315379686513E-2</v>
      </c>
      <c r="X311" s="845">
        <v>34827.699999999997</v>
      </c>
      <c r="Y311" s="846">
        <f t="shared" si="53"/>
        <v>1.4265008283856684E-2</v>
      </c>
      <c r="Z311" s="845">
        <v>4495.7016000000003</v>
      </c>
      <c r="AA311" s="846">
        <f t="shared" si="54"/>
        <v>1.9074159090709752E-2</v>
      </c>
      <c r="AB311" s="843"/>
      <c r="AC311" s="832"/>
    </row>
    <row r="312" spans="1:29" ht="14.4" x14ac:dyDescent="0.55000000000000004">
      <c r="A312" s="857" t="s">
        <v>5471</v>
      </c>
      <c r="B312" s="842">
        <v>111.12</v>
      </c>
      <c r="C312" s="843">
        <f t="shared" si="45"/>
        <v>-2.6029979355532973E-3</v>
      </c>
      <c r="D312" s="842">
        <v>41.18</v>
      </c>
      <c r="E312" s="843">
        <f t="shared" si="46"/>
        <v>3.6558615647086512E-3</v>
      </c>
      <c r="F312" s="842">
        <v>24.81</v>
      </c>
      <c r="G312" s="843">
        <f t="shared" si="46"/>
        <v>-7.6000000000000512E-3</v>
      </c>
      <c r="H312" s="842">
        <v>35.75</v>
      </c>
      <c r="I312" s="843">
        <f t="shared" si="46"/>
        <v>-1.2430939226519389E-2</v>
      </c>
      <c r="J312" s="842">
        <v>59.67</v>
      </c>
      <c r="K312" s="843">
        <f t="shared" si="47"/>
        <v>-1.0939830929885597E-2</v>
      </c>
      <c r="L312" s="842">
        <v>58.75</v>
      </c>
      <c r="M312" s="843">
        <f t="shared" si="48"/>
        <v>1.7139889196675862E-2</v>
      </c>
      <c r="N312" s="842">
        <v>57.23</v>
      </c>
      <c r="O312" s="843">
        <f t="shared" si="49"/>
        <v>5.4462403373154444E-3</v>
      </c>
      <c r="P312" s="844">
        <f t="shared" si="55"/>
        <v>-1.0473967133226253E-3</v>
      </c>
      <c r="Q312" s="830"/>
      <c r="R312" s="845">
        <v>827.37</v>
      </c>
      <c r="S312" s="846">
        <f t="shared" si="50"/>
        <v>-1.266140003341365E-2</v>
      </c>
      <c r="T312" s="845">
        <v>59.6</v>
      </c>
      <c r="U312" s="846">
        <f t="shared" si="51"/>
        <v>-1.1936339522546358E-2</v>
      </c>
      <c r="V312" s="845">
        <v>115.79819999999999</v>
      </c>
      <c r="W312" s="846">
        <f t="shared" si="52"/>
        <v>-2.603778622831121E-3</v>
      </c>
      <c r="X312" s="845">
        <v>34337.870000000003</v>
      </c>
      <c r="Y312" s="846">
        <f t="shared" si="53"/>
        <v>1.5975801488197217E-3</v>
      </c>
      <c r="Z312" s="845">
        <v>4411.5549000000001</v>
      </c>
      <c r="AA312" s="846">
        <f t="shared" si="54"/>
        <v>-8.3569547119322074E-4</v>
      </c>
      <c r="AB312" s="843"/>
      <c r="AC312" s="832"/>
    </row>
    <row r="313" spans="1:29" ht="14.4" x14ac:dyDescent="0.55000000000000004">
      <c r="A313" s="857" t="s">
        <v>5472</v>
      </c>
      <c r="B313" s="842">
        <v>111.41</v>
      </c>
      <c r="C313" s="843">
        <f t="shared" si="45"/>
        <v>1.0782639949680206E-3</v>
      </c>
      <c r="D313" s="842">
        <v>41.03</v>
      </c>
      <c r="E313" s="843">
        <f t="shared" si="46"/>
        <v>-2.4313153415997935E-3</v>
      </c>
      <c r="F313" s="842">
        <v>25</v>
      </c>
      <c r="G313" s="843">
        <f t="shared" si="46"/>
        <v>7.2522159548751297E-3</v>
      </c>
      <c r="H313" s="842">
        <v>36.200000000000003</v>
      </c>
      <c r="I313" s="843">
        <f t="shared" si="46"/>
        <v>2.4923843810580326E-3</v>
      </c>
      <c r="J313" s="842">
        <v>60.33</v>
      </c>
      <c r="K313" s="843">
        <f t="shared" si="47"/>
        <v>2.1594684385382035E-3</v>
      </c>
      <c r="L313" s="842">
        <v>57.76</v>
      </c>
      <c r="M313" s="843">
        <f t="shared" si="48"/>
        <v>-8.4120171673820465E-3</v>
      </c>
      <c r="N313" s="842">
        <v>56.92</v>
      </c>
      <c r="O313" s="843">
        <f t="shared" si="49"/>
        <v>-4.1987403778865895E-3</v>
      </c>
      <c r="P313" s="844">
        <f t="shared" si="55"/>
        <v>-2.9424858820414901E-4</v>
      </c>
      <c r="Q313" s="830"/>
      <c r="R313" s="845">
        <v>837.98</v>
      </c>
      <c r="S313" s="846">
        <f t="shared" si="50"/>
        <v>3.328544061302674E-3</v>
      </c>
      <c r="T313" s="845">
        <v>60.32</v>
      </c>
      <c r="U313" s="846">
        <f t="shared" si="51"/>
        <v>5.3333333333334121E-3</v>
      </c>
      <c r="V313" s="845">
        <v>116.1005</v>
      </c>
      <c r="W313" s="846">
        <f t="shared" si="52"/>
        <v>1.0786770297839254E-3</v>
      </c>
      <c r="X313" s="845">
        <v>34283.1</v>
      </c>
      <c r="Y313" s="846">
        <f t="shared" si="53"/>
        <v>1.1541387126260627E-2</v>
      </c>
      <c r="Z313" s="845">
        <v>4415.2447000000002</v>
      </c>
      <c r="AA313" s="846">
        <f t="shared" si="54"/>
        <v>1.5617654647626322E-2</v>
      </c>
      <c r="AB313" s="843"/>
      <c r="AC313" s="832"/>
    </row>
    <row r="314" spans="1:29" ht="14.4" x14ac:dyDescent="0.55000000000000004">
      <c r="A314" s="857" t="s">
        <v>5473</v>
      </c>
      <c r="B314" s="842">
        <v>111.29</v>
      </c>
      <c r="C314" s="843">
        <f t="shared" si="45"/>
        <v>1.8486318294133941E-2</v>
      </c>
      <c r="D314" s="842">
        <v>41.13</v>
      </c>
      <c r="E314" s="843">
        <f t="shared" si="46"/>
        <v>-6.7616517749334859E-3</v>
      </c>
      <c r="F314" s="842">
        <v>24.82</v>
      </c>
      <c r="G314" s="843">
        <f t="shared" si="46"/>
        <v>-6.4051240992794023E-3</v>
      </c>
      <c r="H314" s="842">
        <v>36.11</v>
      </c>
      <c r="I314" s="843">
        <f t="shared" si="46"/>
        <v>-1.6344320348678831E-2</v>
      </c>
      <c r="J314" s="842">
        <v>60.2</v>
      </c>
      <c r="K314" s="843">
        <f t="shared" si="47"/>
        <v>8.2063305978898882E-3</v>
      </c>
      <c r="L314" s="842">
        <v>58.25</v>
      </c>
      <c r="M314" s="843">
        <f t="shared" si="48"/>
        <v>-1.5049036185322939E-2</v>
      </c>
      <c r="N314" s="842">
        <v>57.16</v>
      </c>
      <c r="O314" s="843">
        <f t="shared" si="49"/>
        <v>1.9281332164766685E-3</v>
      </c>
      <c r="P314" s="844">
        <f t="shared" si="55"/>
        <v>-2.2770500428163087E-3</v>
      </c>
      <c r="Q314" s="830"/>
      <c r="R314" s="845">
        <v>835.2</v>
      </c>
      <c r="S314" s="846">
        <f t="shared" si="50"/>
        <v>-7.8756993692312705E-3</v>
      </c>
      <c r="T314" s="845">
        <v>60</v>
      </c>
      <c r="U314" s="846">
        <f t="shared" si="51"/>
        <v>-1.3157894736842035E-2</v>
      </c>
      <c r="V314" s="845">
        <v>115.97539999999999</v>
      </c>
      <c r="W314" s="846">
        <f t="shared" si="52"/>
        <v>1.8485927861849882E-2</v>
      </c>
      <c r="X314" s="845">
        <v>33891.94</v>
      </c>
      <c r="Y314" s="846">
        <f t="shared" si="53"/>
        <v>-6.4589662312122265E-3</v>
      </c>
      <c r="Z314" s="845">
        <v>4347.3492999999999</v>
      </c>
      <c r="AA314" s="846">
        <f t="shared" si="54"/>
        <v>-8.0849299479477388E-3</v>
      </c>
      <c r="AB314" s="843"/>
      <c r="AC314" s="832"/>
    </row>
    <row r="315" spans="1:29" ht="14.4" x14ac:dyDescent="0.55000000000000004">
      <c r="A315" s="857" t="s">
        <v>5474</v>
      </c>
      <c r="B315" s="842">
        <v>109.27</v>
      </c>
      <c r="C315" s="843">
        <f t="shared" si="45"/>
        <v>-5.370471509193564E-3</v>
      </c>
      <c r="D315" s="842">
        <v>41.41</v>
      </c>
      <c r="E315" s="843">
        <f t="shared" si="46"/>
        <v>-1.2872467222884487E-2</v>
      </c>
      <c r="F315" s="842">
        <v>24.98</v>
      </c>
      <c r="G315" s="843">
        <f t="shared" si="46"/>
        <v>-3.1923383878690315E-3</v>
      </c>
      <c r="H315" s="842">
        <v>36.71</v>
      </c>
      <c r="I315" s="843">
        <f t="shared" si="46"/>
        <v>-1.68719871451527E-2</v>
      </c>
      <c r="J315" s="842">
        <v>59.71</v>
      </c>
      <c r="K315" s="843">
        <f t="shared" si="47"/>
        <v>-2.4824432467744462E-2</v>
      </c>
      <c r="L315" s="842">
        <v>59.14</v>
      </c>
      <c r="M315" s="843">
        <f t="shared" si="48"/>
        <v>-3.0343897505057393E-3</v>
      </c>
      <c r="N315" s="842">
        <v>57.05</v>
      </c>
      <c r="O315" s="843">
        <f t="shared" si="49"/>
        <v>-1.4340013821700137E-2</v>
      </c>
      <c r="P315" s="844">
        <f t="shared" si="55"/>
        <v>-1.1500871472150018E-2</v>
      </c>
      <c r="Q315" s="830"/>
      <c r="R315" s="845">
        <v>841.83</v>
      </c>
      <c r="S315" s="846">
        <f t="shared" si="50"/>
        <v>-7.6504149377593089E-3</v>
      </c>
      <c r="T315" s="845">
        <v>60.8</v>
      </c>
      <c r="U315" s="846">
        <f t="shared" si="51"/>
        <v>-7.3469387755102922E-3</v>
      </c>
      <c r="V315" s="845">
        <v>113.8704</v>
      </c>
      <c r="W315" s="846">
        <f t="shared" si="52"/>
        <v>-5.3701264442914676E-3</v>
      </c>
      <c r="X315" s="845">
        <v>34112.269999999997</v>
      </c>
      <c r="Y315" s="846">
        <f t="shared" si="53"/>
        <v>-1.180876419364929E-3</v>
      </c>
      <c r="Z315" s="845">
        <v>4382.7838000000002</v>
      </c>
      <c r="AA315" s="846">
        <f t="shared" si="54"/>
        <v>1.0060115625893928E-3</v>
      </c>
      <c r="AB315" s="843"/>
      <c r="AC315" s="832"/>
    </row>
    <row r="316" spans="1:29" ht="14.4" x14ac:dyDescent="0.55000000000000004">
      <c r="A316" s="857" t="s">
        <v>5475</v>
      </c>
      <c r="B316" s="842">
        <v>109.86</v>
      </c>
      <c r="C316" s="843">
        <f t="shared" si="45"/>
        <v>-7.5880758807588267E-3</v>
      </c>
      <c r="D316" s="842">
        <v>41.95</v>
      </c>
      <c r="E316" s="843">
        <f t="shared" si="46"/>
        <v>-8.7429111531189818E-3</v>
      </c>
      <c r="F316" s="842">
        <v>25.06</v>
      </c>
      <c r="G316" s="843">
        <f t="shared" si="46"/>
        <v>-9.0945037564255093E-3</v>
      </c>
      <c r="H316" s="842">
        <v>37.340000000000003</v>
      </c>
      <c r="I316" s="843">
        <f t="shared" si="46"/>
        <v>-1.086092715231779E-2</v>
      </c>
      <c r="J316" s="842">
        <v>61.23</v>
      </c>
      <c r="K316" s="843">
        <f t="shared" si="47"/>
        <v>-1.5753094357820352E-2</v>
      </c>
      <c r="L316" s="842">
        <v>59.32</v>
      </c>
      <c r="M316" s="843">
        <f t="shared" si="48"/>
        <v>-1.0178541631903903E-2</v>
      </c>
      <c r="N316" s="842">
        <v>57.88</v>
      </c>
      <c r="O316" s="843">
        <f t="shared" si="49"/>
        <v>-4.4719642242861957E-3</v>
      </c>
      <c r="P316" s="844">
        <f t="shared" si="55"/>
        <v>-9.5271454509473653E-3</v>
      </c>
      <c r="Q316" s="830"/>
      <c r="R316" s="845">
        <v>848.32</v>
      </c>
      <c r="S316" s="846">
        <f t="shared" si="50"/>
        <v>-7.034752379057263E-3</v>
      </c>
      <c r="T316" s="845">
        <v>61.25</v>
      </c>
      <c r="U316" s="846">
        <f t="shared" si="51"/>
        <v>-7.2933549432739886E-3</v>
      </c>
      <c r="V316" s="845">
        <v>114.48520000000001</v>
      </c>
      <c r="W316" s="846">
        <f t="shared" si="52"/>
        <v>-7.5883793946980305E-3</v>
      </c>
      <c r="X316" s="845">
        <v>34152.6</v>
      </c>
      <c r="Y316" s="846">
        <f t="shared" si="53"/>
        <v>1.6641316570398246E-3</v>
      </c>
      <c r="Z316" s="845">
        <v>4378.3791000000001</v>
      </c>
      <c r="AA316" s="846">
        <f t="shared" si="54"/>
        <v>2.8403945232888805E-3</v>
      </c>
      <c r="AB316" s="843"/>
      <c r="AC316" s="832"/>
    </row>
    <row r="317" spans="1:29" ht="14.4" x14ac:dyDescent="0.55000000000000004">
      <c r="A317" s="857" t="s">
        <v>5476</v>
      </c>
      <c r="B317" s="842">
        <v>110.7</v>
      </c>
      <c r="C317" s="843">
        <f t="shared" si="45"/>
        <v>-7.0858372948245929E-3</v>
      </c>
      <c r="D317" s="842">
        <v>42.32</v>
      </c>
      <c r="E317" s="843">
        <f t="shared" si="46"/>
        <v>-1.7413512885999571E-2</v>
      </c>
      <c r="F317" s="842">
        <v>25.29</v>
      </c>
      <c r="G317" s="843">
        <f t="shared" si="46"/>
        <v>-1.6718506998444793E-2</v>
      </c>
      <c r="H317" s="842">
        <v>37.75</v>
      </c>
      <c r="I317" s="843">
        <f t="shared" si="46"/>
        <v>-4.0416878495170394E-2</v>
      </c>
      <c r="J317" s="842">
        <v>62.21</v>
      </c>
      <c r="K317" s="843">
        <f t="shared" si="47"/>
        <v>0</v>
      </c>
      <c r="L317" s="842">
        <v>59.93</v>
      </c>
      <c r="M317" s="843">
        <f t="shared" si="48"/>
        <v>-2.5845253576072924E-2</v>
      </c>
      <c r="N317" s="842">
        <v>58.14</v>
      </c>
      <c r="O317" s="843">
        <f t="shared" si="49"/>
        <v>-2.1047314362687364E-2</v>
      </c>
      <c r="P317" s="844">
        <f t="shared" si="55"/>
        <v>-1.8361043373314234E-2</v>
      </c>
      <c r="Q317" s="830"/>
      <c r="R317" s="845">
        <v>854.33</v>
      </c>
      <c r="S317" s="846">
        <f t="shared" si="50"/>
        <v>-6.6507761176675118E-3</v>
      </c>
      <c r="T317" s="845">
        <v>61.7</v>
      </c>
      <c r="U317" s="846">
        <f t="shared" si="51"/>
        <v>-2.5864856126737168E-3</v>
      </c>
      <c r="V317" s="845">
        <v>115.36060000000001</v>
      </c>
      <c r="W317" s="846">
        <f t="shared" si="52"/>
        <v>-7.0853251486007185E-3</v>
      </c>
      <c r="X317" s="845">
        <v>34095.86</v>
      </c>
      <c r="Y317" s="846">
        <f t="shared" si="53"/>
        <v>1.0140534776690302E-3</v>
      </c>
      <c r="Z317" s="845">
        <v>4365.9780000000001</v>
      </c>
      <c r="AA317" s="846">
        <f t="shared" si="54"/>
        <v>1.7536053674807039E-3</v>
      </c>
      <c r="AB317" s="843"/>
      <c r="AC317" s="832"/>
    </row>
    <row r="318" spans="1:29" ht="14.4" x14ac:dyDescent="0.55000000000000004">
      <c r="A318" s="857" t="s">
        <v>5477</v>
      </c>
      <c r="B318" s="842">
        <v>111.49</v>
      </c>
      <c r="C318" s="843">
        <f t="shared" si="45"/>
        <v>9.8760998383906617E-4</v>
      </c>
      <c r="D318" s="842">
        <v>43.07</v>
      </c>
      <c r="E318" s="843">
        <f t="shared" si="46"/>
        <v>1.3411764705882456E-2</v>
      </c>
      <c r="F318" s="842">
        <v>25.72</v>
      </c>
      <c r="G318" s="843">
        <f t="shared" si="46"/>
        <v>-2.3273855702095059E-3</v>
      </c>
      <c r="H318" s="842">
        <v>39.340000000000003</v>
      </c>
      <c r="I318" s="843">
        <f t="shared" si="46"/>
        <v>1.9699326075687029E-2</v>
      </c>
      <c r="J318" s="842">
        <v>62.21</v>
      </c>
      <c r="K318" s="843">
        <f t="shared" si="47"/>
        <v>-2.2453889334402843E-3</v>
      </c>
      <c r="L318" s="842">
        <v>61.52</v>
      </c>
      <c r="M318" s="843">
        <f t="shared" si="48"/>
        <v>3.3949579831932919E-2</v>
      </c>
      <c r="N318" s="842">
        <v>59.39</v>
      </c>
      <c r="O318" s="843">
        <f t="shared" si="49"/>
        <v>2.0622100017185119E-2</v>
      </c>
      <c r="P318" s="844">
        <f t="shared" si="55"/>
        <v>1.2013943730125256E-2</v>
      </c>
      <c r="Q318" s="830"/>
      <c r="R318" s="845">
        <v>860.05</v>
      </c>
      <c r="S318" s="846">
        <f t="shared" si="50"/>
        <v>1.0729563296197009E-2</v>
      </c>
      <c r="T318" s="845">
        <v>61.86</v>
      </c>
      <c r="U318" s="846">
        <f t="shared" si="51"/>
        <v>5.8536585365853711E-3</v>
      </c>
      <c r="V318" s="845">
        <v>116.18380000000001</v>
      </c>
      <c r="W318" s="846">
        <f t="shared" si="52"/>
        <v>9.8734203389017061E-4</v>
      </c>
      <c r="X318" s="845">
        <v>34061.32</v>
      </c>
      <c r="Y318" s="846">
        <f t="shared" si="53"/>
        <v>6.5675544370591421E-3</v>
      </c>
      <c r="Z318" s="845">
        <v>4358.3352000000004</v>
      </c>
      <c r="AA318" s="846">
        <f t="shared" si="54"/>
        <v>9.3936565252177306E-3</v>
      </c>
      <c r="AB318" s="843"/>
      <c r="AC318" s="832"/>
    </row>
    <row r="319" spans="1:29" ht="14.4" x14ac:dyDescent="0.55000000000000004">
      <c r="A319" s="857" t="s">
        <v>5478</v>
      </c>
      <c r="B319" s="842">
        <v>111.38</v>
      </c>
      <c r="C319" s="843">
        <f t="shared" si="45"/>
        <v>2.4937885340940324E-2</v>
      </c>
      <c r="D319" s="842">
        <v>42.5</v>
      </c>
      <c r="E319" s="843">
        <f t="shared" si="46"/>
        <v>1.8940302085830751E-2</v>
      </c>
      <c r="F319" s="842">
        <v>25.78</v>
      </c>
      <c r="G319" s="843">
        <f t="shared" si="46"/>
        <v>1.4960629921259905E-2</v>
      </c>
      <c r="H319" s="842">
        <v>38.58</v>
      </c>
      <c r="I319" s="843">
        <f t="shared" si="46"/>
        <v>2.9898558462359892E-2</v>
      </c>
      <c r="J319" s="842">
        <v>62.35</v>
      </c>
      <c r="K319" s="843">
        <f t="shared" si="47"/>
        <v>1.4811197916666741E-2</v>
      </c>
      <c r="L319" s="842">
        <v>59.5</v>
      </c>
      <c r="M319" s="843">
        <f t="shared" si="48"/>
        <v>2.5685226685054241E-2</v>
      </c>
      <c r="N319" s="842">
        <v>58.19</v>
      </c>
      <c r="O319" s="843">
        <f t="shared" si="49"/>
        <v>2.4111228440689914E-2</v>
      </c>
      <c r="P319" s="844">
        <f t="shared" si="55"/>
        <v>2.1906432693257396E-2</v>
      </c>
      <c r="Q319" s="830"/>
      <c r="R319" s="845">
        <v>850.92</v>
      </c>
      <c r="S319" s="846">
        <f t="shared" si="50"/>
        <v>2.1488079517898662E-2</v>
      </c>
      <c r="T319" s="845">
        <v>61.5</v>
      </c>
      <c r="U319" s="846">
        <f t="shared" si="51"/>
        <v>1.8717906244823723E-2</v>
      </c>
      <c r="V319" s="845">
        <v>116.0692</v>
      </c>
      <c r="W319" s="846">
        <f t="shared" si="52"/>
        <v>2.4937944334898487E-2</v>
      </c>
      <c r="X319" s="845">
        <v>33839.08</v>
      </c>
      <c r="Y319" s="846">
        <f t="shared" si="53"/>
        <v>1.6964902336858989E-2</v>
      </c>
      <c r="Z319" s="845">
        <v>4317.7754999999997</v>
      </c>
      <c r="AA319" s="846">
        <f t="shared" si="54"/>
        <v>1.8858570830020627E-2</v>
      </c>
      <c r="AB319" s="843"/>
      <c r="AC319" s="832"/>
    </row>
    <row r="320" spans="1:29" ht="14.4" x14ac:dyDescent="0.55000000000000004">
      <c r="A320" s="857" t="s">
        <v>5479</v>
      </c>
      <c r="B320" s="842">
        <v>108.67</v>
      </c>
      <c r="C320" s="843">
        <f t="shared" si="45"/>
        <v>9.3813858443247966E-3</v>
      </c>
      <c r="D320" s="842">
        <v>41.71</v>
      </c>
      <c r="E320" s="843">
        <f t="shared" si="46"/>
        <v>2.7846229669788114E-2</v>
      </c>
      <c r="F320" s="842">
        <v>25.4</v>
      </c>
      <c r="G320" s="843">
        <f t="shared" si="46"/>
        <v>9.5389507154213238E-3</v>
      </c>
      <c r="H320" s="842">
        <v>37.46</v>
      </c>
      <c r="I320" s="843">
        <f t="shared" si="46"/>
        <v>2.043040043584865E-2</v>
      </c>
      <c r="J320" s="842">
        <v>61.44</v>
      </c>
      <c r="K320" s="843">
        <f t="shared" si="47"/>
        <v>1.7218543046357615E-2</v>
      </c>
      <c r="L320" s="842">
        <v>58.01</v>
      </c>
      <c r="M320" s="843">
        <f t="shared" si="48"/>
        <v>-1.0237160894045361E-2</v>
      </c>
      <c r="N320" s="842">
        <v>56.82</v>
      </c>
      <c r="O320" s="843">
        <f t="shared" si="49"/>
        <v>2.1391335610282169E-2</v>
      </c>
      <c r="P320" s="844">
        <f t="shared" si="55"/>
        <v>1.3652812061139616E-2</v>
      </c>
      <c r="Q320" s="830"/>
      <c r="R320" s="845">
        <v>833.02</v>
      </c>
      <c r="S320" s="846">
        <f t="shared" si="50"/>
        <v>1.1044761627342581E-2</v>
      </c>
      <c r="T320" s="845">
        <v>60.37</v>
      </c>
      <c r="U320" s="846">
        <f t="shared" si="51"/>
        <v>1.1392192997151884E-2</v>
      </c>
      <c r="V320" s="845">
        <v>113.24509999999999</v>
      </c>
      <c r="W320" s="846">
        <f t="shared" si="52"/>
        <v>9.3811891336861297E-3</v>
      </c>
      <c r="X320" s="845">
        <v>33274.58</v>
      </c>
      <c r="Y320" s="846">
        <f t="shared" si="53"/>
        <v>6.7077382387672468E-3</v>
      </c>
      <c r="Z320" s="845">
        <v>4237.8555999999999</v>
      </c>
      <c r="AA320" s="846">
        <f t="shared" si="54"/>
        <v>1.0504694905647538E-2</v>
      </c>
      <c r="AB320" s="843"/>
      <c r="AC320" s="832"/>
    </row>
    <row r="321" spans="1:29" ht="14.4" x14ac:dyDescent="0.55000000000000004">
      <c r="A321" s="857" t="s">
        <v>5480</v>
      </c>
      <c r="B321" s="842">
        <v>107.66</v>
      </c>
      <c r="C321" s="843">
        <f t="shared" si="45"/>
        <v>1.1461856444945573E-2</v>
      </c>
      <c r="D321" s="842">
        <v>40.58</v>
      </c>
      <c r="E321" s="843">
        <f t="shared" si="46"/>
        <v>-2.2129333661176087E-3</v>
      </c>
      <c r="F321" s="842">
        <v>25.16</v>
      </c>
      <c r="G321" s="843">
        <f t="shared" si="46"/>
        <v>1.5923566878981443E-3</v>
      </c>
      <c r="H321" s="842">
        <v>36.71</v>
      </c>
      <c r="I321" s="843">
        <f t="shared" si="46"/>
        <v>1.1573436208321963E-2</v>
      </c>
      <c r="J321" s="842">
        <v>60.4</v>
      </c>
      <c r="K321" s="843">
        <f t="shared" si="47"/>
        <v>-1.5003261578604099E-2</v>
      </c>
      <c r="L321" s="842">
        <v>58.61</v>
      </c>
      <c r="M321" s="843">
        <f t="shared" si="48"/>
        <v>2.9148375768217605E-2</v>
      </c>
      <c r="N321" s="842">
        <v>55.63</v>
      </c>
      <c r="O321" s="843">
        <f t="shared" si="49"/>
        <v>1.1638479723586226E-2</v>
      </c>
      <c r="P321" s="844">
        <f t="shared" si="55"/>
        <v>6.8854728411782574E-3</v>
      </c>
      <c r="Q321" s="830"/>
      <c r="R321" s="845">
        <v>823.92</v>
      </c>
      <c r="S321" s="846">
        <f t="shared" si="50"/>
        <v>9.2853467917779486E-3</v>
      </c>
      <c r="T321" s="845">
        <v>59.69</v>
      </c>
      <c r="U321" s="846">
        <f t="shared" si="51"/>
        <v>8.6177762757688736E-3</v>
      </c>
      <c r="V321" s="845">
        <v>112.1926</v>
      </c>
      <c r="W321" s="846">
        <f t="shared" si="52"/>
        <v>1.1462191177159964E-2</v>
      </c>
      <c r="X321" s="845">
        <v>33052.870000000003</v>
      </c>
      <c r="Y321" s="846">
        <f t="shared" si="53"/>
        <v>3.7629490879762528E-3</v>
      </c>
      <c r="Z321" s="845">
        <v>4193.8010000000004</v>
      </c>
      <c r="AA321" s="846">
        <f t="shared" si="54"/>
        <v>6.4763852852507409E-3</v>
      </c>
      <c r="AB321" s="843"/>
      <c r="AC321" s="832"/>
    </row>
    <row r="322" spans="1:29" ht="14.4" x14ac:dyDescent="0.55000000000000004">
      <c r="A322" s="857" t="s">
        <v>5481</v>
      </c>
      <c r="B322" s="842">
        <v>106.44</v>
      </c>
      <c r="C322" s="843">
        <f t="shared" si="45"/>
        <v>3.0154542027891473E-3</v>
      </c>
      <c r="D322" s="842">
        <v>40.67</v>
      </c>
      <c r="E322" s="843">
        <f t="shared" si="46"/>
        <v>0</v>
      </c>
      <c r="F322" s="842">
        <v>25.12</v>
      </c>
      <c r="G322" s="843">
        <f t="shared" si="46"/>
        <v>-1.1928429423457843E-3</v>
      </c>
      <c r="H322" s="842">
        <v>36.29</v>
      </c>
      <c r="I322" s="843">
        <f t="shared" si="46"/>
        <v>-2.051282051282044E-2</v>
      </c>
      <c r="J322" s="842">
        <v>61.32</v>
      </c>
      <c r="K322" s="843">
        <f t="shared" si="47"/>
        <v>-3.0889286294910612E-3</v>
      </c>
      <c r="L322" s="842">
        <v>56.95</v>
      </c>
      <c r="M322" s="843">
        <f t="shared" si="48"/>
        <v>-3.5106196243628318E-4</v>
      </c>
      <c r="N322" s="842">
        <v>54.99</v>
      </c>
      <c r="O322" s="843">
        <f t="shared" si="49"/>
        <v>3.4671532846717312E-3</v>
      </c>
      <c r="P322" s="844">
        <f t="shared" si="55"/>
        <v>-2.6661495085189557E-3</v>
      </c>
      <c r="Q322" s="830"/>
      <c r="R322" s="845">
        <v>816.34</v>
      </c>
      <c r="S322" s="846">
        <f t="shared" si="50"/>
        <v>4.2441166701521205E-3</v>
      </c>
      <c r="T322" s="845">
        <v>59.18</v>
      </c>
      <c r="U322" s="846">
        <f t="shared" si="51"/>
        <v>7.6621828707645889E-3</v>
      </c>
      <c r="V322" s="845">
        <v>110.9212</v>
      </c>
      <c r="W322" s="846">
        <f t="shared" si="52"/>
        <v>3.0157060866624619E-3</v>
      </c>
      <c r="X322" s="845">
        <v>32928.959999999999</v>
      </c>
      <c r="Y322" s="846">
        <f t="shared" si="53"/>
        <v>1.5774460717159933E-2</v>
      </c>
      <c r="Z322" s="845">
        <v>4166.8150999999998</v>
      </c>
      <c r="AA322" s="846">
        <f t="shared" si="54"/>
        <v>1.2007969740323254E-2</v>
      </c>
      <c r="AB322" s="843"/>
      <c r="AC322" s="832"/>
    </row>
    <row r="323" spans="1:29" ht="14.4" x14ac:dyDescent="0.55000000000000004">
      <c r="A323" s="857" t="s">
        <v>5482</v>
      </c>
      <c r="B323" s="842">
        <v>106.12</v>
      </c>
      <c r="C323" s="843">
        <f t="shared" si="45"/>
        <v>-2.4273630011033442E-2</v>
      </c>
      <c r="D323" s="842">
        <v>40.67</v>
      </c>
      <c r="E323" s="843">
        <f t="shared" si="46"/>
        <v>-2.0236087689713189E-2</v>
      </c>
      <c r="F323" s="842">
        <v>25.15</v>
      </c>
      <c r="G323" s="843">
        <f t="shared" si="46"/>
        <v>-2.2161741835147741E-2</v>
      </c>
      <c r="H323" s="842">
        <v>37.049999999999997</v>
      </c>
      <c r="I323" s="843">
        <f t="shared" si="46"/>
        <v>-1.6197557089750347E-2</v>
      </c>
      <c r="J323" s="842">
        <v>61.51</v>
      </c>
      <c r="K323" s="843">
        <f t="shared" si="47"/>
        <v>-2.4270304568527967E-2</v>
      </c>
      <c r="L323" s="842">
        <v>56.97</v>
      </c>
      <c r="M323" s="843">
        <f t="shared" si="48"/>
        <v>0</v>
      </c>
      <c r="N323" s="842">
        <v>54.8</v>
      </c>
      <c r="O323" s="843">
        <f t="shared" si="49"/>
        <v>-1.2968299711815678E-2</v>
      </c>
      <c r="P323" s="844">
        <f t="shared" si="55"/>
        <v>-1.7158231557998338E-2</v>
      </c>
      <c r="Q323" s="830"/>
      <c r="R323" s="845">
        <v>812.89</v>
      </c>
      <c r="S323" s="846">
        <f t="shared" si="50"/>
        <v>-1.8782062888526796E-2</v>
      </c>
      <c r="T323" s="845">
        <v>58.73</v>
      </c>
      <c r="U323" s="846">
        <f t="shared" si="51"/>
        <v>-1.887738055462751E-2</v>
      </c>
      <c r="V323" s="845">
        <v>110.5877</v>
      </c>
      <c r="W323" s="846">
        <f t="shared" si="52"/>
        <v>-2.4274101830880634E-2</v>
      </c>
      <c r="X323" s="845">
        <v>32417.59</v>
      </c>
      <c r="Y323" s="846">
        <f t="shared" si="53"/>
        <v>-1.1185536979590904E-2</v>
      </c>
      <c r="Z323" s="845">
        <v>4117.3738000000003</v>
      </c>
      <c r="AA323" s="846">
        <f t="shared" si="54"/>
        <v>-4.799587202145017E-3</v>
      </c>
      <c r="AB323" s="843"/>
      <c r="AC323" s="832"/>
    </row>
    <row r="324" spans="1:29" ht="14.4" x14ac:dyDescent="0.55000000000000004">
      <c r="A324" s="857" t="s">
        <v>5483</v>
      </c>
      <c r="B324" s="842">
        <v>108.76</v>
      </c>
      <c r="C324" s="843">
        <f t="shared" si="45"/>
        <v>3.7840332256577902E-3</v>
      </c>
      <c r="D324" s="842">
        <v>41.51</v>
      </c>
      <c r="E324" s="843">
        <f t="shared" si="46"/>
        <v>-1.4433485686793368E-3</v>
      </c>
      <c r="F324" s="842">
        <v>25.72</v>
      </c>
      <c r="G324" s="843">
        <f t="shared" si="46"/>
        <v>1.6199130778348447E-2</v>
      </c>
      <c r="H324" s="842">
        <v>37.659999999999997</v>
      </c>
      <c r="I324" s="843">
        <f t="shared" si="46"/>
        <v>-1.3259082471493988E-3</v>
      </c>
      <c r="J324" s="842">
        <v>63.04</v>
      </c>
      <c r="K324" s="843">
        <f t="shared" si="47"/>
        <v>3.6618372870560467E-3</v>
      </c>
      <c r="L324" s="842">
        <v>56.97</v>
      </c>
      <c r="M324" s="843">
        <f t="shared" si="48"/>
        <v>-3.3240027991602306E-3</v>
      </c>
      <c r="N324" s="842">
        <v>55.52</v>
      </c>
      <c r="O324" s="843">
        <f t="shared" si="49"/>
        <v>2.70904822105833E-3</v>
      </c>
      <c r="P324" s="844">
        <f t="shared" si="55"/>
        <v>2.8943985567330926E-3</v>
      </c>
      <c r="Q324" s="830"/>
      <c r="R324" s="845">
        <v>828.45</v>
      </c>
      <c r="S324" s="846">
        <f t="shared" si="50"/>
        <v>9.2218107396939697E-3</v>
      </c>
      <c r="T324" s="845">
        <v>59.86</v>
      </c>
      <c r="U324" s="846">
        <f t="shared" si="51"/>
        <v>8.5930918281380553E-3</v>
      </c>
      <c r="V324" s="845">
        <v>113.3389</v>
      </c>
      <c r="W324" s="846">
        <f t="shared" si="52"/>
        <v>3.784376450249427E-3</v>
      </c>
      <c r="X324" s="845">
        <v>32784.300000000003</v>
      </c>
      <c r="Y324" s="846">
        <f t="shared" si="53"/>
        <v>-7.6168583720814809E-3</v>
      </c>
      <c r="Z324" s="845">
        <v>4137.2308000000003</v>
      </c>
      <c r="AA324" s="846">
        <f t="shared" si="54"/>
        <v>-1.1831186520801174E-2</v>
      </c>
      <c r="AB324" s="843"/>
      <c r="AC324" s="832"/>
    </row>
    <row r="325" spans="1:29" ht="14.4" x14ac:dyDescent="0.55000000000000004">
      <c r="A325" s="857" t="s">
        <v>5484</v>
      </c>
      <c r="B325" s="842">
        <v>108.35</v>
      </c>
      <c r="C325" s="843">
        <f t="shared" si="45"/>
        <v>-2.9446949480077533E-3</v>
      </c>
      <c r="D325" s="842">
        <v>41.57</v>
      </c>
      <c r="E325" s="843">
        <f t="shared" si="46"/>
        <v>-3.1175059952038842E-3</v>
      </c>
      <c r="F325" s="842">
        <v>25.31</v>
      </c>
      <c r="G325" s="843">
        <f t="shared" si="46"/>
        <v>3.1708283789140257E-3</v>
      </c>
      <c r="H325" s="842">
        <v>37.71</v>
      </c>
      <c r="I325" s="843">
        <f t="shared" si="46"/>
        <v>-2.6448029621793934E-3</v>
      </c>
      <c r="J325" s="842">
        <v>62.81</v>
      </c>
      <c r="K325" s="843">
        <f t="shared" si="47"/>
        <v>-2.4689440993788891E-2</v>
      </c>
      <c r="L325" s="842">
        <v>57.16</v>
      </c>
      <c r="M325" s="843">
        <f t="shared" si="48"/>
        <v>-6.9930069930079775E-4</v>
      </c>
      <c r="N325" s="842">
        <v>55.37</v>
      </c>
      <c r="O325" s="843">
        <f t="shared" si="49"/>
        <v>-2.1625518111372255E-3</v>
      </c>
      <c r="P325" s="844">
        <f t="shared" si="55"/>
        <v>-4.7267812901005601E-3</v>
      </c>
      <c r="Q325" s="830"/>
      <c r="R325" s="845">
        <v>820.88</v>
      </c>
      <c r="S325" s="846">
        <f t="shared" si="50"/>
        <v>1.9651641095121963E-3</v>
      </c>
      <c r="T325" s="845">
        <v>59.35</v>
      </c>
      <c r="U325" s="846">
        <f t="shared" si="51"/>
        <v>5.5913249745849214E-3</v>
      </c>
      <c r="V325" s="845">
        <v>112.91160000000001</v>
      </c>
      <c r="W325" s="846">
        <f t="shared" si="52"/>
        <v>-2.9449397810588085E-3</v>
      </c>
      <c r="X325" s="845">
        <v>33035.93</v>
      </c>
      <c r="Y325" s="846">
        <f t="shared" si="53"/>
        <v>-3.1818228450353203E-3</v>
      </c>
      <c r="Z325" s="845">
        <v>4186.7651999999998</v>
      </c>
      <c r="AA325" s="846">
        <f t="shared" si="54"/>
        <v>-1.4339979915609535E-2</v>
      </c>
      <c r="AB325" s="843"/>
      <c r="AC325" s="832"/>
    </row>
    <row r="326" spans="1:29" ht="14.4" x14ac:dyDescent="0.55000000000000004">
      <c r="A326" s="857" t="s">
        <v>5485</v>
      </c>
      <c r="B326" s="842">
        <v>108.67</v>
      </c>
      <c r="C326" s="843">
        <f t="shared" si="45"/>
        <v>8.1640226366082036E-3</v>
      </c>
      <c r="D326" s="842">
        <v>41.7</v>
      </c>
      <c r="E326" s="843">
        <f t="shared" si="46"/>
        <v>5.7887120115773794E-3</v>
      </c>
      <c r="F326" s="842">
        <v>25.23</v>
      </c>
      <c r="G326" s="843">
        <f t="shared" si="46"/>
        <v>2.2285251215559132E-2</v>
      </c>
      <c r="H326" s="842">
        <v>37.81</v>
      </c>
      <c r="I326" s="843">
        <f t="shared" si="46"/>
        <v>-9.9502487562187492E-3</v>
      </c>
      <c r="J326" s="842">
        <v>64.400000000000006</v>
      </c>
      <c r="K326" s="843">
        <f t="shared" si="47"/>
        <v>-1.4989293361884259E-2</v>
      </c>
      <c r="L326" s="842">
        <v>57.2</v>
      </c>
      <c r="M326" s="843">
        <f t="shared" si="48"/>
        <v>1.0500525026251317E-3</v>
      </c>
      <c r="N326" s="842">
        <v>55.49</v>
      </c>
      <c r="O326" s="843">
        <f t="shared" si="49"/>
        <v>-1.8223637650389257E-2</v>
      </c>
      <c r="P326" s="844">
        <f t="shared" si="55"/>
        <v>-8.3930591458891701E-4</v>
      </c>
      <c r="Q326" s="830"/>
      <c r="R326" s="845">
        <v>819.27</v>
      </c>
      <c r="S326" s="846">
        <f t="shared" si="50"/>
        <v>2.1559141125713888E-2</v>
      </c>
      <c r="T326" s="845">
        <v>59.02</v>
      </c>
      <c r="U326" s="846">
        <f t="shared" si="51"/>
        <v>2.5721237400069485E-2</v>
      </c>
      <c r="V326" s="845">
        <v>113.24509999999999</v>
      </c>
      <c r="W326" s="846">
        <f t="shared" si="52"/>
        <v>8.1635850690966461E-3</v>
      </c>
      <c r="X326" s="845">
        <v>33141.379999999997</v>
      </c>
      <c r="Y326" s="846">
        <f t="shared" si="53"/>
        <v>6.2232040468281902E-3</v>
      </c>
      <c r="Z326" s="845">
        <v>4247.6768000000002</v>
      </c>
      <c r="AA326" s="846">
        <f t="shared" si="54"/>
        <v>7.264188933886917E-3</v>
      </c>
      <c r="AB326" s="843"/>
      <c r="AC326" s="832"/>
    </row>
    <row r="327" spans="1:29" ht="14.4" x14ac:dyDescent="0.55000000000000004">
      <c r="A327" s="857" t="s">
        <v>5486</v>
      </c>
      <c r="B327" s="842">
        <v>107.79</v>
      </c>
      <c r="C327" s="843">
        <f t="shared" si="45"/>
        <v>-9.1009376723661939E-3</v>
      </c>
      <c r="D327" s="842">
        <v>41.46</v>
      </c>
      <c r="E327" s="843">
        <f t="shared" si="46"/>
        <v>-1.7069701280227556E-2</v>
      </c>
      <c r="F327" s="842">
        <v>24.68</v>
      </c>
      <c r="G327" s="843">
        <f t="shared" si="46"/>
        <v>-2.1411578112608964E-2</v>
      </c>
      <c r="H327" s="842">
        <v>38.19</v>
      </c>
      <c r="I327" s="843">
        <f t="shared" si="46"/>
        <v>-3.0710659898477211E-2</v>
      </c>
      <c r="J327" s="842">
        <v>65.38</v>
      </c>
      <c r="K327" s="843">
        <f t="shared" si="47"/>
        <v>-8.9434591480976877E-3</v>
      </c>
      <c r="L327" s="842">
        <v>57.14</v>
      </c>
      <c r="M327" s="843">
        <f t="shared" si="48"/>
        <v>-7.4691679694285362E-3</v>
      </c>
      <c r="N327" s="842">
        <v>56.52</v>
      </c>
      <c r="O327" s="843">
        <f t="shared" si="49"/>
        <v>-1.892032633223395E-2</v>
      </c>
      <c r="P327" s="844">
        <f t="shared" si="55"/>
        <v>-1.6232261487634299E-2</v>
      </c>
      <c r="Q327" s="830"/>
      <c r="R327" s="845">
        <v>801.98</v>
      </c>
      <c r="S327" s="846">
        <f t="shared" si="50"/>
        <v>-6.4052530508579286E-3</v>
      </c>
      <c r="T327" s="845">
        <v>57.54</v>
      </c>
      <c r="U327" s="846">
        <f t="shared" si="51"/>
        <v>-8.4439083232811241E-3</v>
      </c>
      <c r="V327" s="845">
        <v>112.32810000000001</v>
      </c>
      <c r="W327" s="846">
        <f t="shared" si="52"/>
        <v>-9.1002357980833892E-3</v>
      </c>
      <c r="X327" s="845">
        <v>32936.410000000003</v>
      </c>
      <c r="Y327" s="846">
        <f t="shared" si="53"/>
        <v>-5.7617166275044651E-3</v>
      </c>
      <c r="Z327" s="845">
        <v>4217.0433999999996</v>
      </c>
      <c r="AA327" s="846">
        <f t="shared" si="54"/>
        <v>-1.6846191532303711E-3</v>
      </c>
      <c r="AB327" s="843"/>
      <c r="AC327" s="832"/>
    </row>
    <row r="328" spans="1:29" ht="14.4" x14ac:dyDescent="0.55000000000000004">
      <c r="A328" s="857" t="s">
        <v>5487</v>
      </c>
      <c r="B328" s="842">
        <v>108.78</v>
      </c>
      <c r="C328" s="843">
        <f t="shared" ref="C328:C391" si="56">IFERROR(((B328/B329)-1), "NA")</f>
        <v>-1.1989100817438647E-2</v>
      </c>
      <c r="D328" s="842">
        <v>42.18</v>
      </c>
      <c r="E328" s="843">
        <f t="shared" ref="E328:I391" si="57">IFERROR(((D328/D329)-1), "NA")</f>
        <v>-7.2958343139563064E-3</v>
      </c>
      <c r="F328" s="842">
        <v>25.22</v>
      </c>
      <c r="G328" s="843">
        <f t="shared" si="57"/>
        <v>-1.5996878657822844E-2</v>
      </c>
      <c r="H328" s="842">
        <v>39.4</v>
      </c>
      <c r="I328" s="843">
        <f t="shared" si="57"/>
        <v>-1.3520280420630915E-2</v>
      </c>
      <c r="J328" s="842">
        <v>65.97</v>
      </c>
      <c r="K328" s="843">
        <f t="shared" ref="K328:K391" si="58">IFERROR(((J328/J329)-1), "NA")</f>
        <v>-9.3107073134104379E-3</v>
      </c>
      <c r="L328" s="842">
        <v>57.57</v>
      </c>
      <c r="M328" s="843">
        <f t="shared" ref="M328:M391" si="59">IFERROR(((L328/L329)-1), "NA")</f>
        <v>-6.0428176795580546E-3</v>
      </c>
      <c r="N328" s="842">
        <v>57.61</v>
      </c>
      <c r="O328" s="843">
        <f t="shared" ref="O328:O391" si="60">IFERROR(((N328/N329)-1), "NA")</f>
        <v>8.6865879082687059E-4</v>
      </c>
      <c r="P328" s="844">
        <f t="shared" si="55"/>
        <v>-9.040994344570048E-3</v>
      </c>
      <c r="Q328" s="830"/>
      <c r="R328" s="845">
        <v>807.15</v>
      </c>
      <c r="S328" s="846">
        <f t="shared" ref="S328:S391" si="61">IFERROR(((R328/R329)-1), "NA")</f>
        <v>-1.1608684471547726E-2</v>
      </c>
      <c r="T328" s="845">
        <v>58.03</v>
      </c>
      <c r="U328" s="846">
        <f t="shared" ref="U328:U391" si="62">IFERROR(((T328/T329)-1), "NA")</f>
        <v>-1.0402455661664423E-2</v>
      </c>
      <c r="V328" s="845">
        <v>113.3597</v>
      </c>
      <c r="W328" s="846">
        <f t="shared" ref="W328:W391" si="63">IFERROR(((V328/V329)-1), "NA")</f>
        <v>-1.1989335452994743E-2</v>
      </c>
      <c r="X328" s="845">
        <v>33127.279999999999</v>
      </c>
      <c r="Y328" s="846">
        <f t="shared" ref="Y328:Y391" si="64">IFERROR(((X328/X329)-1), "NA")</f>
        <v>-8.5858783863252963E-3</v>
      </c>
      <c r="Z328" s="845">
        <v>4224.1594999999998</v>
      </c>
      <c r="AA328" s="846">
        <f t="shared" ref="AA328:AA391" si="65">IFERROR(((Z328/Z329)-1), "NA")</f>
        <v>-1.2584837008082439E-2</v>
      </c>
      <c r="AB328" s="843"/>
      <c r="AC328" s="832"/>
    </row>
    <row r="329" spans="1:29" ht="14.4" x14ac:dyDescent="0.55000000000000004">
      <c r="A329" s="857" t="s">
        <v>5488</v>
      </c>
      <c r="B329" s="842">
        <v>110.1</v>
      </c>
      <c r="C329" s="843">
        <f t="shared" si="56"/>
        <v>-1.5909903468001474E-2</v>
      </c>
      <c r="D329" s="842">
        <v>42.49</v>
      </c>
      <c r="E329" s="843">
        <f t="shared" si="57"/>
        <v>-2.2544283413848509E-2</v>
      </c>
      <c r="F329" s="842">
        <v>25.63</v>
      </c>
      <c r="G329" s="843">
        <f t="shared" si="57"/>
        <v>-1.3471901462663638E-2</v>
      </c>
      <c r="H329" s="842">
        <v>39.94</v>
      </c>
      <c r="I329" s="843">
        <f t="shared" si="57"/>
        <v>-1.0406342913776068E-2</v>
      </c>
      <c r="J329" s="842">
        <v>66.59</v>
      </c>
      <c r="K329" s="843">
        <f t="shared" si="58"/>
        <v>-2.4465279812481699E-2</v>
      </c>
      <c r="L329" s="842">
        <v>57.92</v>
      </c>
      <c r="M329" s="843">
        <f t="shared" si="59"/>
        <v>-5.8359079986267659E-3</v>
      </c>
      <c r="N329" s="842">
        <v>57.56</v>
      </c>
      <c r="O329" s="843">
        <f t="shared" si="60"/>
        <v>-2.2086306489976115E-2</v>
      </c>
      <c r="P329" s="844">
        <f t="shared" ref="P329:P392" si="66">IFERROR(AVERAGE(C329,E329,G329,I329,M329,K329,O329),"NA")</f>
        <v>-1.6388560794196323E-2</v>
      </c>
      <c r="Q329" s="830"/>
      <c r="R329" s="845">
        <v>816.63</v>
      </c>
      <c r="S329" s="846">
        <f t="shared" si="61"/>
        <v>-9.3555807284887438E-3</v>
      </c>
      <c r="T329" s="845">
        <v>58.64</v>
      </c>
      <c r="U329" s="846">
        <f t="shared" si="62"/>
        <v>-9.961168326861336E-3</v>
      </c>
      <c r="V329" s="845">
        <v>114.7353</v>
      </c>
      <c r="W329" s="846">
        <f t="shared" si="63"/>
        <v>-1.5909570444171184E-2</v>
      </c>
      <c r="X329" s="845">
        <v>33414.17</v>
      </c>
      <c r="Y329" s="846">
        <f t="shared" si="64"/>
        <v>-7.4531235333468171E-3</v>
      </c>
      <c r="Z329" s="845">
        <v>4277.9974000000002</v>
      </c>
      <c r="AA329" s="846">
        <f t="shared" si="65"/>
        <v>-8.4835892229840892E-3</v>
      </c>
      <c r="AB329" s="843"/>
      <c r="AC329" s="832"/>
    </row>
    <row r="330" spans="1:29" ht="14.4" x14ac:dyDescent="0.55000000000000004">
      <c r="A330" s="857" t="s">
        <v>5489</v>
      </c>
      <c r="B330" s="842">
        <v>111.88</v>
      </c>
      <c r="C330" s="843">
        <f t="shared" si="56"/>
        <v>-7.5401401578994998E-3</v>
      </c>
      <c r="D330" s="842">
        <v>43.47</v>
      </c>
      <c r="E330" s="843">
        <f t="shared" si="57"/>
        <v>9.2872068725331491E-3</v>
      </c>
      <c r="F330" s="842">
        <v>25.98</v>
      </c>
      <c r="G330" s="843">
        <f t="shared" si="57"/>
        <v>-5.7405281285878296E-3</v>
      </c>
      <c r="H330" s="842">
        <v>40.36</v>
      </c>
      <c r="I330" s="843">
        <f t="shared" si="57"/>
        <v>0</v>
      </c>
      <c r="J330" s="842">
        <v>68.260000000000005</v>
      </c>
      <c r="K330" s="843">
        <f t="shared" si="58"/>
        <v>-1.8970968669157706E-2</v>
      </c>
      <c r="L330" s="842">
        <v>58.26</v>
      </c>
      <c r="M330" s="843">
        <f t="shared" si="59"/>
        <v>-1.337849280270953E-2</v>
      </c>
      <c r="N330" s="842">
        <v>58.86</v>
      </c>
      <c r="O330" s="843">
        <f t="shared" si="60"/>
        <v>-9.591115598182709E-3</v>
      </c>
      <c r="P330" s="844">
        <f t="shared" si="66"/>
        <v>-6.5620054977148746E-3</v>
      </c>
      <c r="Q330" s="830"/>
      <c r="R330" s="845">
        <v>824.34220000000005</v>
      </c>
      <c r="S330" s="846">
        <f t="shared" si="61"/>
        <v>-9.5255145565741328E-3</v>
      </c>
      <c r="T330" s="845">
        <v>59.23</v>
      </c>
      <c r="U330" s="846">
        <f t="shared" si="62"/>
        <v>-8.702928870292892E-3</v>
      </c>
      <c r="V330" s="845">
        <v>116.5902</v>
      </c>
      <c r="W330" s="846">
        <f t="shared" si="63"/>
        <v>-7.5402635431918164E-3</v>
      </c>
      <c r="X330" s="845">
        <v>33665.08</v>
      </c>
      <c r="Y330" s="846">
        <f t="shared" si="64"/>
        <v>-9.7821467071989021E-3</v>
      </c>
      <c r="Z330" s="845">
        <v>4314.6007</v>
      </c>
      <c r="AA330" s="846">
        <f t="shared" si="65"/>
        <v>-1.3398736301780234E-2</v>
      </c>
      <c r="AB330" s="843"/>
      <c r="AC330" s="832"/>
    </row>
    <row r="331" spans="1:29" ht="14.4" x14ac:dyDescent="0.55000000000000004">
      <c r="A331" s="857" t="s">
        <v>5490</v>
      </c>
      <c r="B331" s="842">
        <v>112.73</v>
      </c>
      <c r="C331" s="843">
        <f t="shared" si="56"/>
        <v>4.2761692650334915E-3</v>
      </c>
      <c r="D331" s="842">
        <v>43.07</v>
      </c>
      <c r="E331" s="843">
        <f t="shared" si="57"/>
        <v>1.2220916568742801E-2</v>
      </c>
      <c r="F331" s="842">
        <v>26.13</v>
      </c>
      <c r="G331" s="843">
        <f t="shared" si="57"/>
        <v>7.6599004212951627E-4</v>
      </c>
      <c r="H331" s="842">
        <v>40.36</v>
      </c>
      <c r="I331" s="843">
        <f t="shared" si="57"/>
        <v>1.1528822055137944E-2</v>
      </c>
      <c r="J331" s="842">
        <v>69.58</v>
      </c>
      <c r="K331" s="843">
        <f t="shared" si="58"/>
        <v>-3.1518624641834192E-3</v>
      </c>
      <c r="L331" s="842">
        <v>59.05</v>
      </c>
      <c r="M331" s="843">
        <f t="shared" si="59"/>
        <v>-5.0778605280976663E-4</v>
      </c>
      <c r="N331" s="842">
        <v>59.43</v>
      </c>
      <c r="O331" s="843">
        <f t="shared" si="60"/>
        <v>1.7462763225475131E-2</v>
      </c>
      <c r="P331" s="844">
        <f t="shared" si="66"/>
        <v>6.0850018056465283E-3</v>
      </c>
      <c r="Q331" s="830"/>
      <c r="R331" s="845">
        <v>832.27</v>
      </c>
      <c r="S331" s="846">
        <f t="shared" si="61"/>
        <v>-1.1641303826028793E-3</v>
      </c>
      <c r="T331" s="845">
        <v>59.75</v>
      </c>
      <c r="U331" s="846">
        <f t="shared" si="62"/>
        <v>-2.670672675680108E-3</v>
      </c>
      <c r="V331" s="845">
        <v>117.476</v>
      </c>
      <c r="W331" s="846">
        <f t="shared" si="63"/>
        <v>4.2760981331180226E-3</v>
      </c>
      <c r="X331" s="845">
        <v>33997.65</v>
      </c>
      <c r="Y331" s="846">
        <f t="shared" si="64"/>
        <v>3.8576364429232513E-4</v>
      </c>
      <c r="Z331" s="845">
        <v>4373.1959999999999</v>
      </c>
      <c r="AA331" s="846">
        <f t="shared" si="65"/>
        <v>-1.0032844991991752E-4</v>
      </c>
      <c r="AB331" s="843"/>
      <c r="AC331" s="832"/>
    </row>
    <row r="332" spans="1:29" ht="14.4" x14ac:dyDescent="0.55000000000000004">
      <c r="A332" s="857" t="s">
        <v>5491</v>
      </c>
      <c r="B332" s="842">
        <v>112.25</v>
      </c>
      <c r="C332" s="843">
        <f t="shared" si="56"/>
        <v>2.4111448472940999E-3</v>
      </c>
      <c r="D332" s="842">
        <v>42.55</v>
      </c>
      <c r="E332" s="843">
        <f t="shared" si="57"/>
        <v>1.189060642092743E-2</v>
      </c>
      <c r="F332" s="842">
        <v>26.11</v>
      </c>
      <c r="G332" s="843">
        <f t="shared" si="57"/>
        <v>1.2800620636151949E-2</v>
      </c>
      <c r="H332" s="842">
        <v>39.9</v>
      </c>
      <c r="I332" s="843">
        <f t="shared" si="57"/>
        <v>1.8636711769211001E-2</v>
      </c>
      <c r="J332" s="842">
        <v>69.8</v>
      </c>
      <c r="K332" s="843">
        <f t="shared" si="58"/>
        <v>9.9840833453914701E-3</v>
      </c>
      <c r="L332" s="842">
        <v>59.08</v>
      </c>
      <c r="M332" s="843">
        <f t="shared" si="59"/>
        <v>2.5872547317242534E-2</v>
      </c>
      <c r="N332" s="842">
        <v>58.41</v>
      </c>
      <c r="O332" s="843">
        <f t="shared" si="60"/>
        <v>1.3007284079084247E-2</v>
      </c>
      <c r="P332" s="844">
        <f t="shared" si="66"/>
        <v>1.3514714059328961E-2</v>
      </c>
      <c r="Q332" s="830"/>
      <c r="R332" s="845">
        <v>833.24</v>
      </c>
      <c r="S332" s="846">
        <f t="shared" si="61"/>
        <v>1.052682642864089E-2</v>
      </c>
      <c r="T332" s="845">
        <v>59.91</v>
      </c>
      <c r="U332" s="846">
        <f t="shared" si="62"/>
        <v>1.0286677908937669E-2</v>
      </c>
      <c r="V332" s="845">
        <v>116.97580000000001</v>
      </c>
      <c r="W332" s="846">
        <f t="shared" si="63"/>
        <v>2.410567764547622E-3</v>
      </c>
      <c r="X332" s="845">
        <v>33984.54</v>
      </c>
      <c r="Y332" s="846">
        <f t="shared" si="64"/>
        <v>9.3331539466989799E-3</v>
      </c>
      <c r="Z332" s="845">
        <v>4373.6347999999998</v>
      </c>
      <c r="AA332" s="846">
        <f t="shared" si="65"/>
        <v>1.0594754866406042E-2</v>
      </c>
      <c r="AB332" s="843"/>
      <c r="AC332" s="832"/>
    </row>
    <row r="333" spans="1:29" ht="14.4" x14ac:dyDescent="0.55000000000000004">
      <c r="A333" s="857" t="s">
        <v>5492</v>
      </c>
      <c r="B333" s="842">
        <v>111.98</v>
      </c>
      <c r="C333" s="843">
        <f t="shared" si="56"/>
        <v>7.7393808495320737E-3</v>
      </c>
      <c r="D333" s="842">
        <v>42.05</v>
      </c>
      <c r="E333" s="843">
        <f t="shared" si="57"/>
        <v>-2.1357380161367567E-3</v>
      </c>
      <c r="F333" s="842">
        <v>25.78</v>
      </c>
      <c r="G333" s="843">
        <f t="shared" si="57"/>
        <v>1.5360378101614724E-2</v>
      </c>
      <c r="H333" s="842">
        <v>39.17</v>
      </c>
      <c r="I333" s="843">
        <f t="shared" si="57"/>
        <v>1.1099638616417051E-2</v>
      </c>
      <c r="J333" s="842">
        <v>69.11</v>
      </c>
      <c r="K333" s="843">
        <f t="shared" si="58"/>
        <v>1.1267193444541856E-2</v>
      </c>
      <c r="L333" s="842">
        <v>57.59</v>
      </c>
      <c r="M333" s="843">
        <f t="shared" si="59"/>
        <v>-1.5218878248973944E-2</v>
      </c>
      <c r="N333" s="842">
        <v>57.66</v>
      </c>
      <c r="O333" s="843">
        <f t="shared" si="60"/>
        <v>1.3893713094823568E-3</v>
      </c>
      <c r="P333" s="844">
        <f t="shared" si="66"/>
        <v>4.2144780080681944E-3</v>
      </c>
      <c r="Q333" s="830"/>
      <c r="R333" s="845">
        <v>824.56</v>
      </c>
      <c r="S333" s="846">
        <f t="shared" si="61"/>
        <v>9.0187104590118139E-3</v>
      </c>
      <c r="T333" s="845">
        <v>59.3</v>
      </c>
      <c r="U333" s="846">
        <f t="shared" si="62"/>
        <v>1.1255115961800843E-2</v>
      </c>
      <c r="V333" s="845">
        <v>116.69450000000001</v>
      </c>
      <c r="W333" s="846">
        <f t="shared" si="63"/>
        <v>7.7401893984536674E-3</v>
      </c>
      <c r="X333" s="845">
        <v>33670.29</v>
      </c>
      <c r="Y333" s="846">
        <f t="shared" si="64"/>
        <v>1.1640997004562781E-3</v>
      </c>
      <c r="Z333" s="845">
        <v>4327.7830000000004</v>
      </c>
      <c r="AA333" s="846">
        <f t="shared" si="65"/>
        <v>-5.0171902934283974E-3</v>
      </c>
      <c r="AB333" s="843"/>
      <c r="AC333" s="832"/>
    </row>
    <row r="334" spans="1:29" ht="14.4" x14ac:dyDescent="0.55000000000000004">
      <c r="A334" s="857" t="s">
        <v>5493</v>
      </c>
      <c r="B334" s="842">
        <v>111.12</v>
      </c>
      <c r="C334" s="843">
        <f t="shared" si="56"/>
        <v>-5.993380445478147E-3</v>
      </c>
      <c r="D334" s="842">
        <v>42.14</v>
      </c>
      <c r="E334" s="843">
        <f t="shared" si="57"/>
        <v>-9.6357226792008754E-3</v>
      </c>
      <c r="F334" s="842">
        <v>25.39</v>
      </c>
      <c r="G334" s="843">
        <f t="shared" si="57"/>
        <v>-2.5335892514395386E-2</v>
      </c>
      <c r="H334" s="842">
        <v>38.74</v>
      </c>
      <c r="I334" s="843">
        <f t="shared" si="57"/>
        <v>-1.2490440989038842E-2</v>
      </c>
      <c r="J334" s="842">
        <v>68.34</v>
      </c>
      <c r="K334" s="843">
        <f t="shared" si="58"/>
        <v>-1.2998266897746857E-2</v>
      </c>
      <c r="L334" s="842">
        <v>58.48</v>
      </c>
      <c r="M334" s="843">
        <f t="shared" si="59"/>
        <v>-6.962132789947395E-3</v>
      </c>
      <c r="N334" s="842">
        <v>57.58</v>
      </c>
      <c r="O334" s="843">
        <f t="shared" si="60"/>
        <v>-1.7406143344709912E-2</v>
      </c>
      <c r="P334" s="844">
        <f t="shared" si="66"/>
        <v>-1.297456852293106E-2</v>
      </c>
      <c r="Q334" s="830"/>
      <c r="R334" s="845">
        <v>817.19</v>
      </c>
      <c r="S334" s="846">
        <f t="shared" si="61"/>
        <v>-1.5137089484784538E-2</v>
      </c>
      <c r="T334" s="845">
        <v>58.64</v>
      </c>
      <c r="U334" s="846">
        <f t="shared" si="62"/>
        <v>-1.5446608462055145E-2</v>
      </c>
      <c r="V334" s="845">
        <v>115.79819999999999</v>
      </c>
      <c r="W334" s="846">
        <f t="shared" si="63"/>
        <v>-5.9941714987146177E-3</v>
      </c>
      <c r="X334" s="845">
        <v>33631.14</v>
      </c>
      <c r="Y334" s="846">
        <f t="shared" si="64"/>
        <v>-5.1392003578183409E-3</v>
      </c>
      <c r="Z334" s="845">
        <v>4349.6058000000003</v>
      </c>
      <c r="AA334" s="846">
        <f t="shared" si="65"/>
        <v>-6.2462285340012524E-3</v>
      </c>
      <c r="AB334" s="843"/>
      <c r="AC334" s="832"/>
    </row>
    <row r="335" spans="1:29" ht="14.4" x14ac:dyDescent="0.55000000000000004">
      <c r="A335" s="857" t="s">
        <v>5494</v>
      </c>
      <c r="B335" s="842">
        <v>111.79</v>
      </c>
      <c r="C335" s="843">
        <f t="shared" si="56"/>
        <v>8.9350180505416432E-3</v>
      </c>
      <c r="D335" s="842">
        <v>42.55</v>
      </c>
      <c r="E335" s="843">
        <f t="shared" si="57"/>
        <v>9.2504743833017322E-3</v>
      </c>
      <c r="F335" s="842">
        <v>26.05</v>
      </c>
      <c r="G335" s="843">
        <f t="shared" si="57"/>
        <v>2.3173605655930851E-2</v>
      </c>
      <c r="H335" s="842">
        <v>39.229999999999997</v>
      </c>
      <c r="I335" s="843">
        <f t="shared" si="57"/>
        <v>2.5555839509325828E-3</v>
      </c>
      <c r="J335" s="842">
        <v>69.239999999999995</v>
      </c>
      <c r="K335" s="843">
        <f t="shared" si="58"/>
        <v>8.1537565521256905E-3</v>
      </c>
      <c r="L335" s="842">
        <v>58.89</v>
      </c>
      <c r="M335" s="843">
        <f t="shared" si="59"/>
        <v>-7.917789757412419E-3</v>
      </c>
      <c r="N335" s="842">
        <v>58.6</v>
      </c>
      <c r="O335" s="843">
        <f t="shared" si="60"/>
        <v>3.5965062510703305E-3</v>
      </c>
      <c r="P335" s="844">
        <f t="shared" si="66"/>
        <v>6.8210221552129158E-3</v>
      </c>
      <c r="Q335" s="830"/>
      <c r="R335" s="845">
        <v>829.75</v>
      </c>
      <c r="S335" s="846">
        <f t="shared" si="61"/>
        <v>1.3348477076768894E-2</v>
      </c>
      <c r="T335" s="845">
        <v>59.56</v>
      </c>
      <c r="U335" s="846">
        <f t="shared" si="62"/>
        <v>1.6208838082238497E-2</v>
      </c>
      <c r="V335" s="845">
        <v>116.4965</v>
      </c>
      <c r="W335" s="846">
        <f t="shared" si="63"/>
        <v>8.9351906381858193E-3</v>
      </c>
      <c r="X335" s="845">
        <v>33804.870000000003</v>
      </c>
      <c r="Y335" s="846">
        <f t="shared" si="64"/>
        <v>1.943430954406189E-3</v>
      </c>
      <c r="Z335" s="845">
        <v>4376.9452000000001</v>
      </c>
      <c r="AA335" s="846">
        <f t="shared" si="65"/>
        <v>4.2923999169481863E-3</v>
      </c>
      <c r="AB335" s="843"/>
      <c r="AC335" s="832"/>
    </row>
    <row r="336" spans="1:29" ht="14.4" x14ac:dyDescent="0.55000000000000004">
      <c r="A336" s="857" t="s">
        <v>5495</v>
      </c>
      <c r="B336" s="842">
        <v>110.8</v>
      </c>
      <c r="C336" s="843">
        <f t="shared" si="56"/>
        <v>1.0119427477436327E-2</v>
      </c>
      <c r="D336" s="842">
        <v>42.16</v>
      </c>
      <c r="E336" s="843">
        <f t="shared" si="57"/>
        <v>5.4853326973527405E-3</v>
      </c>
      <c r="F336" s="842">
        <v>25.46</v>
      </c>
      <c r="G336" s="843">
        <f t="shared" si="57"/>
        <v>1.2728719172633296E-2</v>
      </c>
      <c r="H336" s="842">
        <v>39.130000000000003</v>
      </c>
      <c r="I336" s="843">
        <f t="shared" si="57"/>
        <v>1.7921146953405742E-3</v>
      </c>
      <c r="J336" s="842">
        <v>68.680000000000007</v>
      </c>
      <c r="K336" s="843">
        <f t="shared" si="58"/>
        <v>4.5341524060260596E-3</v>
      </c>
      <c r="L336" s="842">
        <v>59.36</v>
      </c>
      <c r="M336" s="843">
        <f t="shared" si="59"/>
        <v>3.7199864727763821E-3</v>
      </c>
      <c r="N336" s="842">
        <v>58.39</v>
      </c>
      <c r="O336" s="843">
        <f t="shared" si="60"/>
        <v>7.4189095928225424E-3</v>
      </c>
      <c r="P336" s="844">
        <f t="shared" si="66"/>
        <v>6.5426632163411314E-3</v>
      </c>
      <c r="Q336" s="830"/>
      <c r="R336" s="845">
        <v>818.82</v>
      </c>
      <c r="S336" s="846">
        <f t="shared" si="61"/>
        <v>1.0514624213254553E-2</v>
      </c>
      <c r="T336" s="845">
        <v>58.61</v>
      </c>
      <c r="U336" s="846">
        <f t="shared" si="62"/>
        <v>1.366309235558627E-2</v>
      </c>
      <c r="V336" s="845">
        <v>115.4648</v>
      </c>
      <c r="W336" s="846">
        <f t="shared" si="63"/>
        <v>1.0120026594813814E-2</v>
      </c>
      <c r="X336" s="845">
        <v>33739.300000000003</v>
      </c>
      <c r="Y336" s="846">
        <f t="shared" si="64"/>
        <v>4.0068859517954358E-3</v>
      </c>
      <c r="Z336" s="845">
        <v>4358.2379000000001</v>
      </c>
      <c r="AA336" s="846">
        <f t="shared" si="65"/>
        <v>5.2080682111075305E-3</v>
      </c>
      <c r="AB336" s="843"/>
      <c r="AC336" s="832"/>
    </row>
    <row r="337" spans="1:29" ht="14.4" x14ac:dyDescent="0.55000000000000004">
      <c r="A337" s="857" t="s">
        <v>5496</v>
      </c>
      <c r="B337" s="842">
        <v>109.69</v>
      </c>
      <c r="C337" s="843">
        <f t="shared" si="56"/>
        <v>1.0502072777521798E-2</v>
      </c>
      <c r="D337" s="842">
        <v>41.93</v>
      </c>
      <c r="E337" s="843">
        <f t="shared" si="57"/>
        <v>1.329144514258096E-2</v>
      </c>
      <c r="F337" s="842">
        <v>25.14</v>
      </c>
      <c r="G337" s="843">
        <f t="shared" si="57"/>
        <v>2.2366815778771976E-2</v>
      </c>
      <c r="H337" s="842">
        <v>39.06</v>
      </c>
      <c r="I337" s="843">
        <f t="shared" si="57"/>
        <v>1.3492475350285416E-2</v>
      </c>
      <c r="J337" s="842">
        <v>68.37</v>
      </c>
      <c r="K337" s="843">
        <f t="shared" si="58"/>
        <v>1.4391691394658679E-2</v>
      </c>
      <c r="L337" s="842">
        <v>59.14</v>
      </c>
      <c r="M337" s="843">
        <f t="shared" si="59"/>
        <v>1.1458867795450578E-2</v>
      </c>
      <c r="N337" s="842">
        <v>57.96</v>
      </c>
      <c r="O337" s="843">
        <f t="shared" si="60"/>
        <v>8.0000000000000071E-3</v>
      </c>
      <c r="P337" s="844">
        <f t="shared" si="66"/>
        <v>1.3357624034181345E-2</v>
      </c>
      <c r="Q337" s="830"/>
      <c r="R337" s="845">
        <v>810.3</v>
      </c>
      <c r="S337" s="846">
        <f t="shared" si="61"/>
        <v>1.2698284149415873E-2</v>
      </c>
      <c r="T337" s="845">
        <v>57.82</v>
      </c>
      <c r="U337" s="846">
        <f t="shared" si="62"/>
        <v>9.9563318777291521E-3</v>
      </c>
      <c r="V337" s="845">
        <v>114.30800000000001</v>
      </c>
      <c r="W337" s="846">
        <f t="shared" si="63"/>
        <v>1.0501228340498381E-2</v>
      </c>
      <c r="X337" s="845">
        <v>33604.65</v>
      </c>
      <c r="Y337" s="846">
        <f t="shared" si="64"/>
        <v>5.8989606550370333E-3</v>
      </c>
      <c r="Z337" s="845">
        <v>4335.6575000000003</v>
      </c>
      <c r="AA337" s="846">
        <f t="shared" si="65"/>
        <v>6.3027005927327462E-3</v>
      </c>
      <c r="AB337" s="843"/>
      <c r="AC337" s="832"/>
    </row>
    <row r="338" spans="1:29" ht="14.4" x14ac:dyDescent="0.55000000000000004">
      <c r="A338" s="857" t="s">
        <v>5497</v>
      </c>
      <c r="B338" s="842">
        <v>108.55</v>
      </c>
      <c r="C338" s="843">
        <f t="shared" si="56"/>
        <v>1.0331347728965046E-2</v>
      </c>
      <c r="D338" s="842">
        <v>41.38</v>
      </c>
      <c r="E338" s="843">
        <f t="shared" si="57"/>
        <v>8.2846003898635612E-3</v>
      </c>
      <c r="F338" s="842">
        <v>24.59</v>
      </c>
      <c r="G338" s="843">
        <f t="shared" si="57"/>
        <v>3.1892572387746565E-2</v>
      </c>
      <c r="H338" s="842">
        <v>38.54</v>
      </c>
      <c r="I338" s="843">
        <f t="shared" si="57"/>
        <v>1.1017838405036784E-2</v>
      </c>
      <c r="J338" s="842">
        <v>67.400000000000006</v>
      </c>
      <c r="K338" s="843">
        <f t="shared" si="58"/>
        <v>6.4207854263103048E-3</v>
      </c>
      <c r="L338" s="842">
        <v>58.47</v>
      </c>
      <c r="M338" s="843">
        <f t="shared" si="59"/>
        <v>-2.2184300341296925E-3</v>
      </c>
      <c r="N338" s="842">
        <v>57.5</v>
      </c>
      <c r="O338" s="843">
        <f t="shared" si="60"/>
        <v>1.1611541168191408E-2</v>
      </c>
      <c r="P338" s="844">
        <f t="shared" si="66"/>
        <v>1.104860792456914E-2</v>
      </c>
      <c r="Q338" s="830"/>
      <c r="R338" s="845">
        <v>800.13959999999997</v>
      </c>
      <c r="S338" s="846">
        <f t="shared" si="61"/>
        <v>1.2540146539614883E-2</v>
      </c>
      <c r="T338" s="845">
        <v>57.25</v>
      </c>
      <c r="U338" s="846">
        <f t="shared" si="62"/>
        <v>1.417183348095663E-2</v>
      </c>
      <c r="V338" s="845">
        <v>113.12009999999999</v>
      </c>
      <c r="W338" s="846">
        <f t="shared" si="63"/>
        <v>1.0331956989477753E-2</v>
      </c>
      <c r="X338" s="845">
        <v>33407.58</v>
      </c>
      <c r="Y338" s="846">
        <f t="shared" si="64"/>
        <v>8.696067008116426E-3</v>
      </c>
      <c r="Z338" s="845">
        <v>4308.5023000000001</v>
      </c>
      <c r="AA338" s="846">
        <f t="shared" si="65"/>
        <v>1.1816417216928388E-2</v>
      </c>
      <c r="AB338" s="843"/>
      <c r="AC338" s="832"/>
    </row>
    <row r="339" spans="1:29" ht="14.4" x14ac:dyDescent="0.55000000000000004">
      <c r="A339" s="857" t="s">
        <v>5498</v>
      </c>
      <c r="B339" s="842">
        <v>107.44</v>
      </c>
      <c r="C339" s="843">
        <f t="shared" si="56"/>
        <v>1.0629291694102205E-2</v>
      </c>
      <c r="D339" s="842">
        <v>41.04</v>
      </c>
      <c r="E339" s="843">
        <f t="shared" si="57"/>
        <v>1.4836795252225476E-2</v>
      </c>
      <c r="F339" s="842">
        <v>23.83</v>
      </c>
      <c r="G339" s="843">
        <f t="shared" si="57"/>
        <v>-7.4968763015411666E-3</v>
      </c>
      <c r="H339" s="842">
        <v>38.119999999999997</v>
      </c>
      <c r="I339" s="843">
        <f t="shared" si="57"/>
        <v>7.6658736452550613E-3</v>
      </c>
      <c r="J339" s="842">
        <v>66.97</v>
      </c>
      <c r="K339" s="843">
        <f t="shared" si="58"/>
        <v>3.747002398081456E-3</v>
      </c>
      <c r="L339" s="842">
        <v>58.6</v>
      </c>
      <c r="M339" s="843">
        <f t="shared" si="59"/>
        <v>-6.9479749195051621E-3</v>
      </c>
      <c r="N339" s="842">
        <v>56.84</v>
      </c>
      <c r="O339" s="843">
        <f t="shared" si="60"/>
        <v>1.9917459178180552E-2</v>
      </c>
      <c r="P339" s="844">
        <f t="shared" si="66"/>
        <v>6.0502244209712031E-3</v>
      </c>
      <c r="Q339" s="830"/>
      <c r="R339" s="845">
        <v>790.23</v>
      </c>
      <c r="S339" s="846">
        <f t="shared" si="61"/>
        <v>-4.8483779971791874E-3</v>
      </c>
      <c r="T339" s="845">
        <v>56.45</v>
      </c>
      <c r="U339" s="846">
        <f t="shared" si="62"/>
        <v>-5.8119056005635494E-3</v>
      </c>
      <c r="V339" s="845">
        <v>111.9633</v>
      </c>
      <c r="W339" s="846">
        <f t="shared" si="63"/>
        <v>1.0629530706580237E-2</v>
      </c>
      <c r="X339" s="845">
        <v>33119.57</v>
      </c>
      <c r="Y339" s="846">
        <f t="shared" si="64"/>
        <v>-3.0124164077094395E-4</v>
      </c>
      <c r="Z339" s="845">
        <v>4258.1858000000002</v>
      </c>
      <c r="AA339" s="846">
        <f t="shared" si="65"/>
        <v>-1.3052591179630868E-3</v>
      </c>
      <c r="AB339" s="843"/>
      <c r="AC339" s="832"/>
    </row>
    <row r="340" spans="1:29" ht="14.4" x14ac:dyDescent="0.55000000000000004">
      <c r="A340" s="857" t="s">
        <v>5499</v>
      </c>
      <c r="B340" s="842">
        <v>106.31</v>
      </c>
      <c r="C340" s="843">
        <f t="shared" si="56"/>
        <v>1.8880582710369964E-2</v>
      </c>
      <c r="D340" s="842">
        <v>40.44</v>
      </c>
      <c r="E340" s="843">
        <f t="shared" si="57"/>
        <v>1.3533834586466176E-2</v>
      </c>
      <c r="F340" s="842">
        <v>24.01</v>
      </c>
      <c r="G340" s="843">
        <f t="shared" si="57"/>
        <v>2.0868113522538589E-3</v>
      </c>
      <c r="H340" s="842">
        <v>37.83</v>
      </c>
      <c r="I340" s="843">
        <f t="shared" si="57"/>
        <v>1.0416666666666741E-2</v>
      </c>
      <c r="J340" s="842">
        <v>66.72</v>
      </c>
      <c r="K340" s="843">
        <f t="shared" si="58"/>
        <v>3.9121275955462664E-3</v>
      </c>
      <c r="L340" s="842">
        <v>59.01</v>
      </c>
      <c r="M340" s="843">
        <f t="shared" si="59"/>
        <v>-5.8962264150943522E-3</v>
      </c>
      <c r="N340" s="842">
        <v>55.73</v>
      </c>
      <c r="O340" s="843">
        <f t="shared" si="60"/>
        <v>7.4114244396239481E-3</v>
      </c>
      <c r="P340" s="844">
        <f t="shared" si="66"/>
        <v>7.1921744194046577E-3</v>
      </c>
      <c r="Q340" s="830"/>
      <c r="R340" s="845">
        <v>794.08</v>
      </c>
      <c r="S340" s="846">
        <f t="shared" si="61"/>
        <v>5.9667836375845162E-3</v>
      </c>
      <c r="T340" s="845">
        <v>56.78</v>
      </c>
      <c r="U340" s="846">
        <f t="shared" si="62"/>
        <v>-1.055594651653835E-3</v>
      </c>
      <c r="V340" s="845">
        <v>110.78570000000001</v>
      </c>
      <c r="W340" s="846">
        <f t="shared" si="63"/>
        <v>1.8880227493451862E-2</v>
      </c>
      <c r="X340" s="845">
        <v>33129.550000000003</v>
      </c>
      <c r="Y340" s="846">
        <f t="shared" si="64"/>
        <v>3.8533584547539856E-3</v>
      </c>
      <c r="Z340" s="845">
        <v>4263.7511000000004</v>
      </c>
      <c r="AA340" s="846">
        <f t="shared" si="65"/>
        <v>8.1093465277897181E-3</v>
      </c>
      <c r="AB340" s="843"/>
      <c r="AC340" s="832"/>
    </row>
    <row r="341" spans="1:29" ht="14.4" x14ac:dyDescent="0.55000000000000004">
      <c r="A341" s="857" t="s">
        <v>5500</v>
      </c>
      <c r="B341" s="842">
        <v>104.34</v>
      </c>
      <c r="C341" s="843">
        <f t="shared" si="56"/>
        <v>1.5375632541845041E-2</v>
      </c>
      <c r="D341" s="842">
        <v>39.9</v>
      </c>
      <c r="E341" s="843">
        <f t="shared" si="57"/>
        <v>1.4234875444839812E-2</v>
      </c>
      <c r="F341" s="842">
        <v>23.96</v>
      </c>
      <c r="G341" s="843">
        <f t="shared" si="57"/>
        <v>3.3649698015530749E-2</v>
      </c>
      <c r="H341" s="842">
        <v>37.44</v>
      </c>
      <c r="I341" s="843">
        <f t="shared" si="57"/>
        <v>1.380991064175463E-2</v>
      </c>
      <c r="J341" s="842">
        <v>66.459999999999994</v>
      </c>
      <c r="K341" s="843">
        <f t="shared" si="58"/>
        <v>1.2183978068839529E-2</v>
      </c>
      <c r="L341" s="842">
        <v>59.36</v>
      </c>
      <c r="M341" s="843">
        <f t="shared" si="59"/>
        <v>3.8897344833417336E-3</v>
      </c>
      <c r="N341" s="842">
        <v>55.32</v>
      </c>
      <c r="O341" s="843">
        <f t="shared" si="60"/>
        <v>1.0410958904109702E-2</v>
      </c>
      <c r="P341" s="844">
        <f t="shared" si="66"/>
        <v>1.479354115718017E-2</v>
      </c>
      <c r="Q341" s="830"/>
      <c r="R341" s="845">
        <v>789.37</v>
      </c>
      <c r="S341" s="846">
        <f t="shared" si="61"/>
        <v>8.0323849415129267E-3</v>
      </c>
      <c r="T341" s="845">
        <v>56.84</v>
      </c>
      <c r="U341" s="846">
        <f t="shared" si="62"/>
        <v>1.1567894643174981E-2</v>
      </c>
      <c r="V341" s="845">
        <v>108.7328</v>
      </c>
      <c r="W341" s="846">
        <f t="shared" si="63"/>
        <v>1.5375449520620421E-2</v>
      </c>
      <c r="X341" s="845">
        <v>33002.379999999997</v>
      </c>
      <c r="Y341" s="846">
        <f t="shared" si="64"/>
        <v>-1.2890422287925141E-2</v>
      </c>
      <c r="Z341" s="845">
        <v>4229.4530000000004</v>
      </c>
      <c r="AA341" s="846">
        <f t="shared" si="65"/>
        <v>-1.3743547200584905E-2</v>
      </c>
      <c r="AB341" s="843"/>
      <c r="AC341" s="832"/>
    </row>
    <row r="342" spans="1:29" ht="14.4" x14ac:dyDescent="0.55000000000000004">
      <c r="A342" s="857" t="s">
        <v>5501</v>
      </c>
      <c r="B342" s="842">
        <v>102.76</v>
      </c>
      <c r="C342" s="843">
        <f t="shared" si="56"/>
        <v>-2.9925422448786931E-2</v>
      </c>
      <c r="D342" s="842">
        <v>39.340000000000003</v>
      </c>
      <c r="E342" s="843">
        <f t="shared" si="57"/>
        <v>-3.1749938469111449E-2</v>
      </c>
      <c r="F342" s="842">
        <v>23.18</v>
      </c>
      <c r="G342" s="843">
        <f t="shared" si="57"/>
        <v>-6.0777957860615905E-2</v>
      </c>
      <c r="H342" s="842">
        <v>36.93</v>
      </c>
      <c r="I342" s="843">
        <f t="shared" si="57"/>
        <v>-3.2232704402515688E-2</v>
      </c>
      <c r="J342" s="842">
        <v>65.66</v>
      </c>
      <c r="K342" s="843">
        <f t="shared" si="58"/>
        <v>-3.8371411833626357E-2</v>
      </c>
      <c r="L342" s="842">
        <v>59.13</v>
      </c>
      <c r="M342" s="843">
        <f t="shared" si="59"/>
        <v>-2.1188544942890131E-2</v>
      </c>
      <c r="N342" s="842">
        <v>54.75</v>
      </c>
      <c r="O342" s="843">
        <f t="shared" si="60"/>
        <v>-3.2343584305408291E-2</v>
      </c>
      <c r="P342" s="844">
        <f t="shared" si="66"/>
        <v>-3.5227080608993537E-2</v>
      </c>
      <c r="Q342" s="830"/>
      <c r="R342" s="845">
        <v>783.08</v>
      </c>
      <c r="S342" s="846">
        <f t="shared" si="61"/>
        <v>-4.0993052502409477E-2</v>
      </c>
      <c r="T342" s="845">
        <v>56.19</v>
      </c>
      <c r="U342" s="846">
        <f t="shared" si="62"/>
        <v>-4.6495842525029696E-2</v>
      </c>
      <c r="V342" s="845">
        <v>107.08629999999999</v>
      </c>
      <c r="W342" s="846">
        <f t="shared" si="63"/>
        <v>-2.9924893355086635E-2</v>
      </c>
      <c r="X342" s="845">
        <v>33433.35</v>
      </c>
      <c r="Y342" s="846">
        <f t="shared" si="64"/>
        <v>-2.2129374020741777E-3</v>
      </c>
      <c r="Z342" s="845">
        <v>4288.3906999999999</v>
      </c>
      <c r="AA342" s="846">
        <f t="shared" si="65"/>
        <v>7.8497143960909455E-5</v>
      </c>
      <c r="AB342" s="843"/>
      <c r="AC342" s="832"/>
    </row>
    <row r="343" spans="1:29" ht="14.4" x14ac:dyDescent="0.55000000000000004">
      <c r="A343" s="857" t="s">
        <v>5502</v>
      </c>
      <c r="B343" s="842">
        <v>105.93</v>
      </c>
      <c r="C343" s="843">
        <f t="shared" si="56"/>
        <v>1.8883958077631213E-4</v>
      </c>
      <c r="D343" s="842">
        <v>40.630000000000003</v>
      </c>
      <c r="E343" s="843">
        <f t="shared" si="57"/>
        <v>-2.7000490918016595E-3</v>
      </c>
      <c r="F343" s="842">
        <v>24.68</v>
      </c>
      <c r="G343" s="843">
        <f t="shared" si="57"/>
        <v>3.2520325203251321E-3</v>
      </c>
      <c r="H343" s="842">
        <v>38.159999999999997</v>
      </c>
      <c r="I343" s="843">
        <f t="shared" si="57"/>
        <v>-2.8743140841391845E-3</v>
      </c>
      <c r="J343" s="842">
        <v>68.28</v>
      </c>
      <c r="K343" s="843">
        <f t="shared" si="58"/>
        <v>-1.2009839386485255E-2</v>
      </c>
      <c r="L343" s="842">
        <v>60.41</v>
      </c>
      <c r="M343" s="843">
        <f t="shared" si="59"/>
        <v>1.0200668896320986E-2</v>
      </c>
      <c r="N343" s="842">
        <v>56.58</v>
      </c>
      <c r="O343" s="843">
        <f t="shared" si="60"/>
        <v>1.2164579606440018E-2</v>
      </c>
      <c r="P343" s="844">
        <f t="shared" si="66"/>
        <v>1.1745597202051927E-3</v>
      </c>
      <c r="Q343" s="830"/>
      <c r="R343" s="845">
        <v>816.553</v>
      </c>
      <c r="S343" s="846">
        <f t="shared" si="61"/>
        <v>1.2543989798046162E-3</v>
      </c>
      <c r="T343" s="845">
        <v>58.93</v>
      </c>
      <c r="U343" s="846">
        <f t="shared" si="62"/>
        <v>1.6998130205676532E-3</v>
      </c>
      <c r="V343" s="845">
        <v>110.3897</v>
      </c>
      <c r="W343" s="846">
        <f t="shared" si="63"/>
        <v>1.8845888651619624E-4</v>
      </c>
      <c r="X343" s="845">
        <v>33507.5</v>
      </c>
      <c r="Y343" s="846">
        <f t="shared" si="64"/>
        <v>-4.7180655812303351E-3</v>
      </c>
      <c r="Z343" s="845">
        <v>4288.0541000000003</v>
      </c>
      <c r="AA343" s="846">
        <f t="shared" si="65"/>
        <v>-2.7090016936057726E-3</v>
      </c>
      <c r="AB343" s="843"/>
      <c r="AC343" s="832"/>
    </row>
    <row r="344" spans="1:29" ht="14.4" x14ac:dyDescent="0.55000000000000004">
      <c r="A344" s="857" t="s">
        <v>5503</v>
      </c>
      <c r="B344" s="842">
        <v>105.91</v>
      </c>
      <c r="C344" s="843">
        <f t="shared" si="56"/>
        <v>-5.1662596280293016E-3</v>
      </c>
      <c r="D344" s="842">
        <v>40.74</v>
      </c>
      <c r="E344" s="843">
        <f t="shared" si="57"/>
        <v>-9.0002432498175189E-3</v>
      </c>
      <c r="F344" s="842">
        <v>24.6</v>
      </c>
      <c r="G344" s="843">
        <f t="shared" si="57"/>
        <v>-2.3034154090547987E-2</v>
      </c>
      <c r="H344" s="842">
        <v>38.270000000000003</v>
      </c>
      <c r="I344" s="843">
        <f t="shared" si="57"/>
        <v>3.1454783748363635E-3</v>
      </c>
      <c r="J344" s="842">
        <v>69.11</v>
      </c>
      <c r="K344" s="843">
        <f t="shared" si="58"/>
        <v>-1.1726011726011842E-2</v>
      </c>
      <c r="L344" s="842">
        <v>59.8</v>
      </c>
      <c r="M344" s="843">
        <f t="shared" si="59"/>
        <v>-4.3200000000000016E-2</v>
      </c>
      <c r="N344" s="842">
        <v>55.9</v>
      </c>
      <c r="O344" s="843">
        <f t="shared" si="60"/>
        <v>-7.1047957371225268E-3</v>
      </c>
      <c r="P344" s="844">
        <f t="shared" si="66"/>
        <v>-1.3726569436670404E-2</v>
      </c>
      <c r="Q344" s="830"/>
      <c r="R344" s="845">
        <v>815.53</v>
      </c>
      <c r="S344" s="846">
        <f t="shared" si="61"/>
        <v>-1.9948806075973713E-2</v>
      </c>
      <c r="T344" s="845">
        <v>58.83</v>
      </c>
      <c r="U344" s="846">
        <f t="shared" si="62"/>
        <v>-2.1619823715283593E-2</v>
      </c>
      <c r="V344" s="845">
        <v>110.3689</v>
      </c>
      <c r="W344" s="846">
        <f t="shared" si="63"/>
        <v>-5.1666590050125638E-3</v>
      </c>
      <c r="X344" s="845">
        <v>33666.339999999997</v>
      </c>
      <c r="Y344" s="846">
        <f t="shared" si="64"/>
        <v>3.4595846769638339E-3</v>
      </c>
      <c r="Z344" s="845">
        <v>4299.7020000000002</v>
      </c>
      <c r="AA344" s="846">
        <f t="shared" si="65"/>
        <v>5.89368220830222E-3</v>
      </c>
      <c r="AB344" s="843"/>
      <c r="AC344" s="832"/>
    </row>
    <row r="345" spans="1:29" ht="14.4" x14ac:dyDescent="0.55000000000000004">
      <c r="A345" s="857" t="s">
        <v>5504</v>
      </c>
      <c r="B345" s="842">
        <v>106.46</v>
      </c>
      <c r="C345" s="843">
        <f t="shared" si="56"/>
        <v>-4.8607216302113398E-3</v>
      </c>
      <c r="D345" s="842">
        <v>41.11</v>
      </c>
      <c r="E345" s="843">
        <f t="shared" si="57"/>
        <v>-5.3230099201547754E-3</v>
      </c>
      <c r="F345" s="842">
        <v>25.18</v>
      </c>
      <c r="G345" s="843">
        <f t="shared" si="57"/>
        <v>-2.1756021756021759E-2</v>
      </c>
      <c r="H345" s="842">
        <v>38.15</v>
      </c>
      <c r="I345" s="843">
        <f t="shared" si="57"/>
        <v>-2.1543985637342944E-2</v>
      </c>
      <c r="J345" s="842">
        <v>69.930000000000007</v>
      </c>
      <c r="K345" s="843">
        <f t="shared" si="58"/>
        <v>-1.2427623217059702E-2</v>
      </c>
      <c r="L345" s="842">
        <v>62.5</v>
      </c>
      <c r="M345" s="843">
        <f t="shared" si="59"/>
        <v>6.2791820962808664E-3</v>
      </c>
      <c r="N345" s="842">
        <v>56.3</v>
      </c>
      <c r="O345" s="843">
        <f t="shared" si="60"/>
        <v>-1.6422082459818355E-2</v>
      </c>
      <c r="P345" s="844">
        <f t="shared" si="66"/>
        <v>-1.0864894646332572E-2</v>
      </c>
      <c r="Q345" s="830"/>
      <c r="R345" s="845">
        <v>832.13</v>
      </c>
      <c r="S345" s="846">
        <f t="shared" si="61"/>
        <v>-1.5044268737275712E-2</v>
      </c>
      <c r="T345" s="845">
        <v>60.13</v>
      </c>
      <c r="U345" s="846">
        <f t="shared" si="62"/>
        <v>-1.9246452454738217E-2</v>
      </c>
      <c r="V345" s="845">
        <v>110.9421</v>
      </c>
      <c r="W345" s="846">
        <f t="shared" si="63"/>
        <v>-4.8607871981629636E-3</v>
      </c>
      <c r="X345" s="845">
        <v>33550.269999999997</v>
      </c>
      <c r="Y345" s="846">
        <f t="shared" si="64"/>
        <v>-2.0408175406200213E-3</v>
      </c>
      <c r="Z345" s="845">
        <v>4274.5093999999999</v>
      </c>
      <c r="AA345" s="846">
        <f t="shared" si="65"/>
        <v>2.2957610927720751E-4</v>
      </c>
      <c r="AB345" s="843"/>
      <c r="AC345" s="832"/>
    </row>
    <row r="346" spans="1:29" ht="14.4" x14ac:dyDescent="0.55000000000000004">
      <c r="A346" s="857" t="s">
        <v>5505</v>
      </c>
      <c r="B346" s="842">
        <v>106.98</v>
      </c>
      <c r="C346" s="843">
        <f t="shared" si="56"/>
        <v>-3.167994207096303E-2</v>
      </c>
      <c r="D346" s="842">
        <v>41.33</v>
      </c>
      <c r="E346" s="843">
        <f t="shared" si="57"/>
        <v>-2.4545669105499157E-2</v>
      </c>
      <c r="F346" s="842">
        <v>25.74</v>
      </c>
      <c r="G346" s="843">
        <f t="shared" si="57"/>
        <v>-3.5955056179775347E-2</v>
      </c>
      <c r="H346" s="842">
        <v>38.99</v>
      </c>
      <c r="I346" s="843">
        <f t="shared" si="57"/>
        <v>-1.0908168442415045E-2</v>
      </c>
      <c r="J346" s="842">
        <v>70.81</v>
      </c>
      <c r="K346" s="843">
        <f t="shared" si="58"/>
        <v>-3.0796605529701648E-2</v>
      </c>
      <c r="L346" s="842">
        <v>62.11</v>
      </c>
      <c r="M346" s="843">
        <f t="shared" si="59"/>
        <v>-5.2850736707238388E-3</v>
      </c>
      <c r="N346" s="842">
        <v>57.24</v>
      </c>
      <c r="O346" s="843">
        <f t="shared" si="60"/>
        <v>-2.2207037922787776E-2</v>
      </c>
      <c r="P346" s="844">
        <f t="shared" si="66"/>
        <v>-2.3053936131695121E-2</v>
      </c>
      <c r="Q346" s="830"/>
      <c r="R346" s="845">
        <v>844.84</v>
      </c>
      <c r="S346" s="846">
        <f t="shared" si="61"/>
        <v>-2.8472861085556578E-2</v>
      </c>
      <c r="T346" s="845">
        <v>61.31</v>
      </c>
      <c r="U346" s="846">
        <f t="shared" si="62"/>
        <v>-2.9905063291139289E-2</v>
      </c>
      <c r="V346" s="845">
        <v>111.48399999999999</v>
      </c>
      <c r="W346" s="846">
        <f t="shared" si="63"/>
        <v>-3.1679482469146092E-2</v>
      </c>
      <c r="X346" s="845">
        <v>33618.879999999997</v>
      </c>
      <c r="Y346" s="846">
        <f t="shared" si="64"/>
        <v>-1.1409455968909854E-2</v>
      </c>
      <c r="Z346" s="845">
        <v>4273.5282999999999</v>
      </c>
      <c r="AA346" s="846">
        <f t="shared" si="65"/>
        <v>-1.473602547121633E-2</v>
      </c>
      <c r="AB346" s="843"/>
      <c r="AC346" s="832"/>
    </row>
    <row r="347" spans="1:29" ht="14.4" x14ac:dyDescent="0.55000000000000004">
      <c r="A347" s="857" t="s">
        <v>5506</v>
      </c>
      <c r="B347" s="842">
        <v>110.48</v>
      </c>
      <c r="C347" s="843">
        <f t="shared" si="56"/>
        <v>-3.3378439332429899E-3</v>
      </c>
      <c r="D347" s="842">
        <v>42.37</v>
      </c>
      <c r="E347" s="843">
        <f t="shared" si="57"/>
        <v>-1.8845700824500211E-3</v>
      </c>
      <c r="F347" s="842">
        <v>26.7</v>
      </c>
      <c r="G347" s="843">
        <f t="shared" si="57"/>
        <v>3.7467216185826935E-4</v>
      </c>
      <c r="H347" s="842">
        <v>39.42</v>
      </c>
      <c r="I347" s="843">
        <f t="shared" si="57"/>
        <v>-4.5454545454545192E-3</v>
      </c>
      <c r="J347" s="842">
        <v>73.06</v>
      </c>
      <c r="K347" s="843">
        <f t="shared" si="58"/>
        <v>-4.2251601471992029E-3</v>
      </c>
      <c r="L347" s="842">
        <v>62.44</v>
      </c>
      <c r="M347" s="843">
        <f t="shared" si="59"/>
        <v>1.2828736369467908E-3</v>
      </c>
      <c r="N347" s="842">
        <v>58.54</v>
      </c>
      <c r="O347" s="843">
        <f t="shared" si="60"/>
        <v>2.9124550282679795E-3</v>
      </c>
      <c r="P347" s="844">
        <f t="shared" si="66"/>
        <v>-1.3461468401819562E-3</v>
      </c>
      <c r="Q347" s="830"/>
      <c r="R347" s="845">
        <v>869.6</v>
      </c>
      <c r="S347" s="846">
        <f t="shared" si="61"/>
        <v>-1.9167422268642209E-3</v>
      </c>
      <c r="T347" s="845">
        <v>63.2</v>
      </c>
      <c r="U347" s="846">
        <f t="shared" si="62"/>
        <v>-1.4220255964606521E-3</v>
      </c>
      <c r="V347" s="845">
        <v>115.1313</v>
      </c>
      <c r="W347" s="846">
        <f t="shared" si="63"/>
        <v>-3.3380397154010311E-3</v>
      </c>
      <c r="X347" s="845">
        <v>34006.879999999997</v>
      </c>
      <c r="Y347" s="846">
        <f t="shared" si="64"/>
        <v>1.267230089412763E-3</v>
      </c>
      <c r="Z347" s="845">
        <v>4337.4449999999997</v>
      </c>
      <c r="AA347" s="846">
        <f t="shared" si="65"/>
        <v>4.0249236520506493E-3</v>
      </c>
      <c r="AB347" s="843"/>
      <c r="AC347" s="832"/>
    </row>
    <row r="348" spans="1:29" ht="14.4" x14ac:dyDescent="0.55000000000000004">
      <c r="A348" s="857" t="s">
        <v>5507</v>
      </c>
      <c r="B348" s="842">
        <v>110.85</v>
      </c>
      <c r="C348" s="843">
        <f t="shared" si="56"/>
        <v>-7.0763167323540932E-3</v>
      </c>
      <c r="D348" s="842">
        <v>42.45</v>
      </c>
      <c r="E348" s="843">
        <f t="shared" si="57"/>
        <v>-4.7092064987042104E-4</v>
      </c>
      <c r="F348" s="842">
        <v>26.69</v>
      </c>
      <c r="G348" s="843">
        <f t="shared" si="57"/>
        <v>-1.367331855136722E-2</v>
      </c>
      <c r="H348" s="842">
        <v>39.6</v>
      </c>
      <c r="I348" s="843">
        <f t="shared" si="57"/>
        <v>-2.7700831024930483E-3</v>
      </c>
      <c r="J348" s="842">
        <v>73.37</v>
      </c>
      <c r="K348" s="843">
        <f t="shared" si="58"/>
        <v>2.1854937850021017E-3</v>
      </c>
      <c r="L348" s="842">
        <v>62.36</v>
      </c>
      <c r="M348" s="843">
        <f t="shared" si="59"/>
        <v>5.8064516129032739E-3</v>
      </c>
      <c r="N348" s="842">
        <v>58.37</v>
      </c>
      <c r="O348" s="843">
        <f t="shared" si="60"/>
        <v>-2.733640867931042E-3</v>
      </c>
      <c r="P348" s="844">
        <f t="shared" si="66"/>
        <v>-2.6760477865872068E-3</v>
      </c>
      <c r="Q348" s="830"/>
      <c r="R348" s="845">
        <v>871.27</v>
      </c>
      <c r="S348" s="846">
        <f t="shared" si="61"/>
        <v>-3.5340134498376141E-3</v>
      </c>
      <c r="T348" s="845">
        <v>63.29</v>
      </c>
      <c r="U348" s="846">
        <f t="shared" si="62"/>
        <v>-1.8924459864374521E-3</v>
      </c>
      <c r="V348" s="845">
        <v>115.51690000000001</v>
      </c>
      <c r="W348" s="846">
        <f t="shared" si="63"/>
        <v>-7.075806192361922E-3</v>
      </c>
      <c r="X348" s="845">
        <v>33963.839999999997</v>
      </c>
      <c r="Y348" s="846">
        <f t="shared" si="64"/>
        <v>-3.1282267726667756E-3</v>
      </c>
      <c r="Z348" s="845">
        <v>4320.0571</v>
      </c>
      <c r="AA348" s="846">
        <f t="shared" si="65"/>
        <v>-2.2974107950778366E-3</v>
      </c>
      <c r="AB348" s="843"/>
      <c r="AC348" s="832"/>
    </row>
    <row r="349" spans="1:29" ht="14.4" x14ac:dyDescent="0.55000000000000004">
      <c r="A349" s="857" t="s">
        <v>5508</v>
      </c>
      <c r="B349" s="842">
        <v>111.64</v>
      </c>
      <c r="C349" s="843">
        <f t="shared" si="56"/>
        <v>-2.2074281709880794E-2</v>
      </c>
      <c r="D349" s="842">
        <v>42.47</v>
      </c>
      <c r="E349" s="843">
        <f t="shared" si="57"/>
        <v>7.114062129475851E-3</v>
      </c>
      <c r="F349" s="842">
        <v>27.06</v>
      </c>
      <c r="G349" s="843">
        <f t="shared" si="57"/>
        <v>-1.9209858644436473E-2</v>
      </c>
      <c r="H349" s="842">
        <v>39.71</v>
      </c>
      <c r="I349" s="843">
        <f t="shared" si="57"/>
        <v>-1.02193419740777E-2</v>
      </c>
      <c r="J349" s="842">
        <v>73.209999999999994</v>
      </c>
      <c r="K349" s="843">
        <f t="shared" si="58"/>
        <v>-1.8369536068651215E-2</v>
      </c>
      <c r="L349" s="842">
        <v>62</v>
      </c>
      <c r="M349" s="843">
        <f t="shared" si="59"/>
        <v>-1.6185337987940418E-2</v>
      </c>
      <c r="N349" s="842">
        <v>58.53</v>
      </c>
      <c r="O349" s="843">
        <f t="shared" si="60"/>
        <v>-3.914227365554801E-3</v>
      </c>
      <c r="P349" s="844">
        <f t="shared" si="66"/>
        <v>-1.1836931660152221E-2</v>
      </c>
      <c r="Q349" s="830"/>
      <c r="R349" s="845">
        <v>874.36</v>
      </c>
      <c r="S349" s="846">
        <f t="shared" si="61"/>
        <v>-1.3939011187297012E-2</v>
      </c>
      <c r="T349" s="845">
        <v>63.41</v>
      </c>
      <c r="U349" s="846">
        <f t="shared" si="62"/>
        <v>-1.0455680399500622E-2</v>
      </c>
      <c r="V349" s="845">
        <v>116.34010000000001</v>
      </c>
      <c r="W349" s="846">
        <f t="shared" si="63"/>
        <v>-2.2074337080616124E-2</v>
      </c>
      <c r="X349" s="845">
        <v>34070.42</v>
      </c>
      <c r="Y349" s="846">
        <f t="shared" si="64"/>
        <v>-1.0756403436845918E-2</v>
      </c>
      <c r="Z349" s="845">
        <v>4330.0048999999999</v>
      </c>
      <c r="AA349" s="846">
        <f t="shared" si="65"/>
        <v>-1.6400559401672288E-2</v>
      </c>
      <c r="AB349" s="843"/>
      <c r="AC349" s="832"/>
    </row>
    <row r="350" spans="1:29" ht="14.4" x14ac:dyDescent="0.55000000000000004">
      <c r="A350" s="857" t="s">
        <v>5509</v>
      </c>
      <c r="B350" s="842">
        <v>114.16</v>
      </c>
      <c r="C350" s="843">
        <f t="shared" si="56"/>
        <v>6.1355070558333225E-4</v>
      </c>
      <c r="D350" s="842">
        <v>42.17</v>
      </c>
      <c r="E350" s="843">
        <f t="shared" si="57"/>
        <v>-3.3089104230678013E-3</v>
      </c>
      <c r="F350" s="842">
        <v>27.59</v>
      </c>
      <c r="G350" s="843">
        <f t="shared" si="57"/>
        <v>1.4519056261341756E-3</v>
      </c>
      <c r="H350" s="842">
        <v>40.119999999999997</v>
      </c>
      <c r="I350" s="843">
        <f t="shared" si="57"/>
        <v>-5.2070419042896665E-3</v>
      </c>
      <c r="J350" s="842">
        <v>74.58</v>
      </c>
      <c r="K350" s="843">
        <f t="shared" si="58"/>
        <v>5.7990559676330822E-3</v>
      </c>
      <c r="L350" s="842">
        <v>63.02</v>
      </c>
      <c r="M350" s="843">
        <f t="shared" si="59"/>
        <v>5.1036682615630546E-3</v>
      </c>
      <c r="N350" s="842">
        <v>58.76</v>
      </c>
      <c r="O350" s="843">
        <f t="shared" si="60"/>
        <v>-4.0677966101695384E-3</v>
      </c>
      <c r="P350" s="844">
        <f t="shared" si="66"/>
        <v>5.4918803340948354E-5</v>
      </c>
      <c r="Q350" s="830"/>
      <c r="R350" s="845">
        <v>886.72</v>
      </c>
      <c r="S350" s="846">
        <f t="shared" si="61"/>
        <v>1.4682297666643862E-3</v>
      </c>
      <c r="T350" s="845">
        <v>64.08</v>
      </c>
      <c r="U350" s="846">
        <f t="shared" si="62"/>
        <v>9.3720712277423068E-4</v>
      </c>
      <c r="V350" s="845">
        <v>118.9662</v>
      </c>
      <c r="W350" s="846">
        <f t="shared" si="63"/>
        <v>6.1315482033053037E-4</v>
      </c>
      <c r="X350" s="845">
        <v>34440.879999999997</v>
      </c>
      <c r="Y350" s="846">
        <f t="shared" si="64"/>
        <v>-2.2263920599646658E-3</v>
      </c>
      <c r="Z350" s="845">
        <v>4402.2034999999996</v>
      </c>
      <c r="AA350" s="846">
        <f t="shared" si="65"/>
        <v>-9.3934503051623652E-3</v>
      </c>
      <c r="AB350" s="843"/>
      <c r="AC350" s="832"/>
    </row>
    <row r="351" spans="1:29" ht="14.4" x14ac:dyDescent="0.55000000000000004">
      <c r="A351" s="857" t="s">
        <v>5510</v>
      </c>
      <c r="B351" s="842">
        <v>114.09</v>
      </c>
      <c r="C351" s="843">
        <f t="shared" si="56"/>
        <v>-3.5807860262008218E-3</v>
      </c>
      <c r="D351" s="842">
        <v>42.31</v>
      </c>
      <c r="E351" s="843">
        <f t="shared" si="57"/>
        <v>-1.8101647714086844E-2</v>
      </c>
      <c r="F351" s="842">
        <v>27.55</v>
      </c>
      <c r="G351" s="843">
        <f t="shared" si="57"/>
        <v>0</v>
      </c>
      <c r="H351" s="842">
        <v>40.33</v>
      </c>
      <c r="I351" s="843">
        <f t="shared" si="57"/>
        <v>-7.3837066207237401E-3</v>
      </c>
      <c r="J351" s="842">
        <v>74.150000000000006</v>
      </c>
      <c r="K351" s="843">
        <f t="shared" si="58"/>
        <v>-1.0013351134846471E-2</v>
      </c>
      <c r="L351" s="842">
        <v>62.7</v>
      </c>
      <c r="M351" s="843">
        <f t="shared" si="59"/>
        <v>-8.6956521739129933E-3</v>
      </c>
      <c r="N351" s="842">
        <v>59</v>
      </c>
      <c r="O351" s="843">
        <f t="shared" si="60"/>
        <v>-1.4860577725830715E-2</v>
      </c>
      <c r="P351" s="844">
        <f t="shared" si="66"/>
        <v>-8.9479601993716542E-3</v>
      </c>
      <c r="Q351" s="830"/>
      <c r="R351" s="845">
        <v>885.42</v>
      </c>
      <c r="S351" s="846">
        <f t="shared" si="61"/>
        <v>-5.9390823051274078E-3</v>
      </c>
      <c r="T351" s="845">
        <v>64.02</v>
      </c>
      <c r="U351" s="846">
        <f t="shared" si="62"/>
        <v>-5.4373155196520973E-3</v>
      </c>
      <c r="V351" s="845">
        <v>118.8933</v>
      </c>
      <c r="W351" s="846">
        <f t="shared" si="63"/>
        <v>-3.581108375251274E-3</v>
      </c>
      <c r="X351" s="845">
        <v>34517.730000000003</v>
      </c>
      <c r="Y351" s="846">
        <f t="shared" si="64"/>
        <v>-3.0778961596334975E-3</v>
      </c>
      <c r="Z351" s="845">
        <v>4443.9475000000002</v>
      </c>
      <c r="AA351" s="846">
        <f t="shared" si="65"/>
        <v>-2.1525153800336927E-3</v>
      </c>
      <c r="AB351" s="843"/>
      <c r="AC351" s="832"/>
    </row>
    <row r="352" spans="1:29" ht="14.4" x14ac:dyDescent="0.55000000000000004">
      <c r="A352" s="857" t="s">
        <v>5511</v>
      </c>
      <c r="B352" s="842">
        <v>114.5</v>
      </c>
      <c r="C352" s="843">
        <f t="shared" si="56"/>
        <v>-4.4343970089557594E-3</v>
      </c>
      <c r="D352" s="842">
        <v>43.09</v>
      </c>
      <c r="E352" s="843">
        <f t="shared" si="57"/>
        <v>-1.0335323840146904E-2</v>
      </c>
      <c r="F352" s="842">
        <v>27.55</v>
      </c>
      <c r="G352" s="843">
        <f t="shared" si="57"/>
        <v>-4.3368268883267058E-3</v>
      </c>
      <c r="H352" s="842">
        <v>40.630000000000003</v>
      </c>
      <c r="I352" s="843">
        <f t="shared" si="57"/>
        <v>-1.4313440077632134E-2</v>
      </c>
      <c r="J352" s="842">
        <v>74.900000000000006</v>
      </c>
      <c r="K352" s="843">
        <f t="shared" si="58"/>
        <v>-9.914077990746839E-3</v>
      </c>
      <c r="L352" s="842">
        <v>63.25</v>
      </c>
      <c r="M352" s="843">
        <f t="shared" si="59"/>
        <v>-1.001721709187664E-2</v>
      </c>
      <c r="N352" s="842">
        <v>59.89</v>
      </c>
      <c r="O352" s="843">
        <f t="shared" si="60"/>
        <v>-1.2530915086562233E-2</v>
      </c>
      <c r="P352" s="844">
        <f t="shared" si="66"/>
        <v>-9.4117425691781741E-3</v>
      </c>
      <c r="Q352" s="830"/>
      <c r="R352" s="845">
        <v>890.71</v>
      </c>
      <c r="S352" s="846">
        <f t="shared" si="61"/>
        <v>-1.5916962774482624E-3</v>
      </c>
      <c r="T352" s="845">
        <v>64.37</v>
      </c>
      <c r="U352" s="846">
        <f t="shared" si="62"/>
        <v>-8.7773329226977781E-3</v>
      </c>
      <c r="V352" s="845">
        <v>119.3206</v>
      </c>
      <c r="W352" s="846">
        <f t="shared" si="63"/>
        <v>-4.4338016887495169E-3</v>
      </c>
      <c r="X352" s="845">
        <v>34624.300000000003</v>
      </c>
      <c r="Y352" s="846">
        <f t="shared" si="64"/>
        <v>1.750522268031407E-4</v>
      </c>
      <c r="Z352" s="845">
        <v>4453.5338000000002</v>
      </c>
      <c r="AA352" s="846">
        <f t="shared" si="65"/>
        <v>7.229823192567153E-4</v>
      </c>
      <c r="AB352" s="843"/>
      <c r="AC352" s="832"/>
    </row>
    <row r="353" spans="1:29" ht="14.4" x14ac:dyDescent="0.55000000000000004">
      <c r="A353" s="857" t="s">
        <v>5512</v>
      </c>
      <c r="B353" s="842">
        <v>115.01</v>
      </c>
      <c r="C353" s="843">
        <f t="shared" si="56"/>
        <v>-1.1601925060158114E-2</v>
      </c>
      <c r="D353" s="842">
        <v>43.54</v>
      </c>
      <c r="E353" s="843">
        <f t="shared" si="57"/>
        <v>-2.2962112514346433E-4</v>
      </c>
      <c r="F353" s="842">
        <v>27.67</v>
      </c>
      <c r="G353" s="843">
        <f t="shared" si="57"/>
        <v>-2.5234318673394984E-3</v>
      </c>
      <c r="H353" s="842">
        <v>41.22</v>
      </c>
      <c r="I353" s="843">
        <f t="shared" si="57"/>
        <v>9.0575275397795085E-3</v>
      </c>
      <c r="J353" s="842">
        <v>75.650000000000006</v>
      </c>
      <c r="K353" s="843">
        <f t="shared" si="58"/>
        <v>1.4211020244000672E-2</v>
      </c>
      <c r="L353" s="842">
        <v>63.89</v>
      </c>
      <c r="M353" s="843">
        <f t="shared" si="59"/>
        <v>5.9833097150054915E-3</v>
      </c>
      <c r="N353" s="842">
        <v>60.65</v>
      </c>
      <c r="O353" s="843">
        <f t="shared" si="60"/>
        <v>-4.9439683586027794E-4</v>
      </c>
      <c r="P353" s="844">
        <f t="shared" si="66"/>
        <v>2.0574975157549025E-3</v>
      </c>
      <c r="Q353" s="830"/>
      <c r="R353" s="845">
        <v>892.13</v>
      </c>
      <c r="S353" s="846">
        <f t="shared" si="61"/>
        <v>-6.6036753648557323E-3</v>
      </c>
      <c r="T353" s="845">
        <v>64.94</v>
      </c>
      <c r="U353" s="846">
        <f t="shared" si="62"/>
        <v>-4.2931616068691003E-3</v>
      </c>
      <c r="V353" s="845">
        <v>119.852</v>
      </c>
      <c r="W353" s="846">
        <f t="shared" si="63"/>
        <v>-1.1602447325515852E-2</v>
      </c>
      <c r="X353" s="845">
        <v>34618.239999999998</v>
      </c>
      <c r="Y353" s="846">
        <f t="shared" si="64"/>
        <v>-8.2753914603644896E-3</v>
      </c>
      <c r="Z353" s="845">
        <v>4450.3163000000004</v>
      </c>
      <c r="AA353" s="846">
        <f t="shared" si="65"/>
        <v>-1.2159562493702869E-2</v>
      </c>
      <c r="AB353" s="843"/>
      <c r="AC353" s="832"/>
    </row>
    <row r="354" spans="1:29" ht="14.4" x14ac:dyDescent="0.55000000000000004">
      <c r="A354" s="857" t="s">
        <v>5513</v>
      </c>
      <c r="B354" s="842">
        <v>116.36</v>
      </c>
      <c r="C354" s="843">
        <f t="shared" si="56"/>
        <v>9.54364046503553E-3</v>
      </c>
      <c r="D354" s="842">
        <v>43.55</v>
      </c>
      <c r="E354" s="843">
        <f t="shared" si="57"/>
        <v>1.4442115071045869E-2</v>
      </c>
      <c r="F354" s="842">
        <v>27.74</v>
      </c>
      <c r="G354" s="843">
        <f t="shared" si="57"/>
        <v>1.2039401678219486E-2</v>
      </c>
      <c r="H354" s="842">
        <v>40.85</v>
      </c>
      <c r="I354" s="843">
        <f t="shared" si="57"/>
        <v>1.7181274900398558E-2</v>
      </c>
      <c r="J354" s="842">
        <v>74.59</v>
      </c>
      <c r="K354" s="843">
        <f t="shared" si="58"/>
        <v>7.020386121236788E-3</v>
      </c>
      <c r="L354" s="842">
        <v>63.51</v>
      </c>
      <c r="M354" s="843">
        <f t="shared" si="59"/>
        <v>7.4555837563452521E-3</v>
      </c>
      <c r="N354" s="842">
        <v>60.68</v>
      </c>
      <c r="O354" s="843">
        <f t="shared" si="60"/>
        <v>5.135000828226044E-3</v>
      </c>
      <c r="P354" s="844">
        <f t="shared" si="66"/>
        <v>1.0402486117215361E-2</v>
      </c>
      <c r="Q354" s="830"/>
      <c r="R354" s="845">
        <v>898.06050000000005</v>
      </c>
      <c r="S354" s="846">
        <f t="shared" si="61"/>
        <v>1.3967076516614219E-2</v>
      </c>
      <c r="T354" s="845">
        <v>65.22</v>
      </c>
      <c r="U354" s="846">
        <f t="shared" si="62"/>
        <v>1.4623522090852381E-2</v>
      </c>
      <c r="V354" s="845">
        <v>121.2589</v>
      </c>
      <c r="W354" s="846">
        <f t="shared" si="63"/>
        <v>9.5443854719534649E-3</v>
      </c>
      <c r="X354" s="845">
        <v>34907.11</v>
      </c>
      <c r="Y354" s="846">
        <f t="shared" si="64"/>
        <v>9.5900192997764311E-3</v>
      </c>
      <c r="Z354" s="845">
        <v>4505.0963000000002</v>
      </c>
      <c r="AA354" s="846">
        <f t="shared" si="65"/>
        <v>8.428626682307927E-3</v>
      </c>
      <c r="AB354" s="843"/>
      <c r="AC354" s="832"/>
    </row>
    <row r="355" spans="1:29" ht="14.4" x14ac:dyDescent="0.55000000000000004">
      <c r="A355" s="857" t="s">
        <v>5514</v>
      </c>
      <c r="B355" s="842">
        <v>115.26</v>
      </c>
      <c r="C355" s="843">
        <f t="shared" si="56"/>
        <v>1.2118018967334221E-2</v>
      </c>
      <c r="D355" s="842">
        <v>42.93</v>
      </c>
      <c r="E355" s="843">
        <f t="shared" si="57"/>
        <v>4.9157303370785943E-3</v>
      </c>
      <c r="F355" s="842">
        <v>27.41</v>
      </c>
      <c r="G355" s="843">
        <f t="shared" si="57"/>
        <v>1.0320678215997026E-2</v>
      </c>
      <c r="H355" s="842">
        <v>40.159999999999997</v>
      </c>
      <c r="I355" s="843">
        <f t="shared" si="57"/>
        <v>1.7460713394858995E-3</v>
      </c>
      <c r="J355" s="842">
        <v>74.069999999999993</v>
      </c>
      <c r="K355" s="843">
        <f t="shared" si="58"/>
        <v>1.7581823099810379E-3</v>
      </c>
      <c r="L355" s="842">
        <v>63.04</v>
      </c>
      <c r="M355" s="843">
        <f t="shared" si="59"/>
        <v>1.6774193548387162E-2</v>
      </c>
      <c r="N355" s="842">
        <v>60.37</v>
      </c>
      <c r="O355" s="843">
        <f t="shared" si="60"/>
        <v>1.0038480843232334E-2</v>
      </c>
      <c r="P355" s="844">
        <f t="shared" si="66"/>
        <v>8.2387650802137526E-3</v>
      </c>
      <c r="Q355" s="830"/>
      <c r="R355" s="845">
        <v>885.69</v>
      </c>
      <c r="S355" s="846">
        <f t="shared" si="61"/>
        <v>1.193958228600156E-2</v>
      </c>
      <c r="T355" s="845">
        <v>64.28</v>
      </c>
      <c r="U355" s="846">
        <f t="shared" si="62"/>
        <v>1.1964735516372782E-2</v>
      </c>
      <c r="V355" s="845">
        <v>120.1125</v>
      </c>
      <c r="W355" s="846">
        <f t="shared" si="63"/>
        <v>1.2118030510371192E-2</v>
      </c>
      <c r="X355" s="845">
        <v>34575.53</v>
      </c>
      <c r="Y355" s="846">
        <f t="shared" si="64"/>
        <v>-2.033712992470349E-3</v>
      </c>
      <c r="Z355" s="845">
        <v>4467.4418999999998</v>
      </c>
      <c r="AA355" s="846">
        <f t="shared" si="65"/>
        <v>1.2409498015073517E-3</v>
      </c>
      <c r="AB355" s="843"/>
      <c r="AC355" s="832"/>
    </row>
    <row r="356" spans="1:29" ht="14.4" x14ac:dyDescent="0.55000000000000004">
      <c r="A356" s="857" t="s">
        <v>5515</v>
      </c>
      <c r="B356" s="842">
        <v>113.88</v>
      </c>
      <c r="C356" s="843">
        <f t="shared" si="56"/>
        <v>-4.3886597033271357E-4</v>
      </c>
      <c r="D356" s="842">
        <v>42.72</v>
      </c>
      <c r="E356" s="843">
        <f t="shared" si="57"/>
        <v>1.0884997633696214E-2</v>
      </c>
      <c r="F356" s="842">
        <v>27.13</v>
      </c>
      <c r="G356" s="843">
        <f t="shared" si="57"/>
        <v>1.8463810930575697E-3</v>
      </c>
      <c r="H356" s="842">
        <v>40.090000000000003</v>
      </c>
      <c r="I356" s="843">
        <f t="shared" si="57"/>
        <v>4.761904761904967E-3</v>
      </c>
      <c r="J356" s="842">
        <v>73.94</v>
      </c>
      <c r="K356" s="843">
        <f t="shared" si="58"/>
        <v>-1.0571390338552256E-2</v>
      </c>
      <c r="L356" s="842">
        <v>62</v>
      </c>
      <c r="M356" s="843">
        <f t="shared" si="59"/>
        <v>8.9503661513425925E-3</v>
      </c>
      <c r="N356" s="842">
        <v>59.77</v>
      </c>
      <c r="O356" s="843">
        <f t="shared" si="60"/>
        <v>6.7374094660603845E-3</v>
      </c>
      <c r="P356" s="844">
        <f t="shared" si="66"/>
        <v>3.1672575424538225E-3</v>
      </c>
      <c r="Q356" s="830"/>
      <c r="R356" s="845">
        <v>875.24</v>
      </c>
      <c r="S356" s="846">
        <f t="shared" si="61"/>
        <v>1.2240182115608178E-3</v>
      </c>
      <c r="T356" s="845">
        <v>63.52</v>
      </c>
      <c r="U356" s="846">
        <f t="shared" si="62"/>
        <v>1.2610340479193294E-3</v>
      </c>
      <c r="V356" s="845">
        <v>118.67440000000001</v>
      </c>
      <c r="W356" s="846">
        <f t="shared" si="63"/>
        <v>-4.3966558462893435E-4</v>
      </c>
      <c r="X356" s="845">
        <v>34645.99</v>
      </c>
      <c r="Y356" s="846">
        <f t="shared" si="64"/>
        <v>-5.1148578398407807E-4</v>
      </c>
      <c r="Z356" s="845">
        <v>4461.9049000000005</v>
      </c>
      <c r="AA356" s="846">
        <f t="shared" si="65"/>
        <v>-5.6956447047962211E-3</v>
      </c>
      <c r="AB356" s="843"/>
      <c r="AC356" s="832"/>
    </row>
    <row r="357" spans="1:29" ht="14.4" x14ac:dyDescent="0.55000000000000004">
      <c r="A357" s="857" t="s">
        <v>5516</v>
      </c>
      <c r="B357" s="842">
        <v>113.93</v>
      </c>
      <c r="C357" s="843">
        <f t="shared" si="56"/>
        <v>-2.1895253109125434E-3</v>
      </c>
      <c r="D357" s="842">
        <v>42.26</v>
      </c>
      <c r="E357" s="843">
        <f t="shared" si="57"/>
        <v>4.5162823864985935E-3</v>
      </c>
      <c r="F357" s="842">
        <v>27.08</v>
      </c>
      <c r="G357" s="843">
        <f t="shared" si="57"/>
        <v>4.0786058583610618E-3</v>
      </c>
      <c r="H357" s="842">
        <v>39.9</v>
      </c>
      <c r="I357" s="843">
        <f t="shared" si="57"/>
        <v>1.5008903586873457E-2</v>
      </c>
      <c r="J357" s="842">
        <v>74.73</v>
      </c>
      <c r="K357" s="843">
        <f t="shared" si="58"/>
        <v>7.6860841423949111E-3</v>
      </c>
      <c r="L357" s="842">
        <v>61.45</v>
      </c>
      <c r="M357" s="843">
        <f t="shared" si="59"/>
        <v>8.5343837190219318E-3</v>
      </c>
      <c r="N357" s="842">
        <v>59.37</v>
      </c>
      <c r="O357" s="843">
        <f t="shared" si="60"/>
        <v>7.1246819338421918E-3</v>
      </c>
      <c r="P357" s="844">
        <f t="shared" si="66"/>
        <v>6.3942023308685147E-3</v>
      </c>
      <c r="Q357" s="830"/>
      <c r="R357" s="845">
        <v>874.17</v>
      </c>
      <c r="S357" s="846">
        <f t="shared" si="61"/>
        <v>2.7760252365929272E-3</v>
      </c>
      <c r="T357" s="845">
        <v>63.44</v>
      </c>
      <c r="U357" s="846">
        <f t="shared" si="62"/>
        <v>4.1152263374484299E-3</v>
      </c>
      <c r="V357" s="845">
        <v>118.7266</v>
      </c>
      <c r="W357" s="846">
        <f t="shared" si="63"/>
        <v>-2.1893129591358251E-3</v>
      </c>
      <c r="X357" s="845">
        <v>34663.72</v>
      </c>
      <c r="Y357" s="846">
        <f t="shared" si="64"/>
        <v>2.5199130394293334E-3</v>
      </c>
      <c r="Z357" s="845">
        <v>4487.4638999999997</v>
      </c>
      <c r="AA357" s="846">
        <f t="shared" si="65"/>
        <v>6.7245478300979045E-3</v>
      </c>
      <c r="AB357" s="843"/>
      <c r="AC357" s="832"/>
    </row>
    <row r="358" spans="1:29" ht="14.4" x14ac:dyDescent="0.55000000000000004">
      <c r="A358" s="857" t="s">
        <v>5517</v>
      </c>
      <c r="B358" s="842">
        <v>114.18</v>
      </c>
      <c r="C358" s="843">
        <f t="shared" si="56"/>
        <v>1.3154433043935931E-3</v>
      </c>
      <c r="D358" s="842">
        <v>42.07</v>
      </c>
      <c r="E358" s="843">
        <f t="shared" si="57"/>
        <v>-1.1870845204178249E-3</v>
      </c>
      <c r="F358" s="842">
        <v>26.97</v>
      </c>
      <c r="G358" s="843">
        <f t="shared" si="57"/>
        <v>5.9679224170086087E-3</v>
      </c>
      <c r="H358" s="842">
        <v>39.31</v>
      </c>
      <c r="I358" s="843">
        <f t="shared" si="57"/>
        <v>5.1137816415238735E-3</v>
      </c>
      <c r="J358" s="842">
        <v>74.16</v>
      </c>
      <c r="K358" s="843">
        <f t="shared" si="58"/>
        <v>3.1110509941836284E-3</v>
      </c>
      <c r="L358" s="842">
        <v>60.93</v>
      </c>
      <c r="M358" s="843">
        <f t="shared" si="59"/>
        <v>7.1074380165290219E-3</v>
      </c>
      <c r="N358" s="842">
        <v>58.95</v>
      </c>
      <c r="O358" s="843">
        <f t="shared" si="60"/>
        <v>-7.4086546556658694E-3</v>
      </c>
      <c r="P358" s="844">
        <f t="shared" si="66"/>
        <v>2.002842456793576E-3</v>
      </c>
      <c r="Q358" s="830"/>
      <c r="R358" s="845">
        <v>871.75</v>
      </c>
      <c r="S358" s="846">
        <f t="shared" si="61"/>
        <v>8.5846840905672295E-3</v>
      </c>
      <c r="T358" s="845">
        <v>63.18</v>
      </c>
      <c r="U358" s="846">
        <f t="shared" si="62"/>
        <v>8.7817339932938498E-3</v>
      </c>
      <c r="V358" s="845">
        <v>118.9871</v>
      </c>
      <c r="W358" s="846">
        <f t="shared" si="63"/>
        <v>1.3153155579193054E-3</v>
      </c>
      <c r="X358" s="845">
        <v>34576.589999999997</v>
      </c>
      <c r="Y358" s="846">
        <f t="shared" si="64"/>
        <v>2.1987940545025175E-3</v>
      </c>
      <c r="Z358" s="845">
        <v>4457.4893000000002</v>
      </c>
      <c r="AA358" s="846">
        <f t="shared" si="65"/>
        <v>1.4268935270036476E-3</v>
      </c>
      <c r="AB358" s="843"/>
      <c r="AC358" s="832"/>
    </row>
    <row r="359" spans="1:29" ht="14.4" x14ac:dyDescent="0.55000000000000004">
      <c r="A359" s="857" t="s">
        <v>5518</v>
      </c>
      <c r="B359" s="842">
        <v>114.03</v>
      </c>
      <c r="C359" s="843">
        <f t="shared" si="56"/>
        <v>1.5676494165850263E-2</v>
      </c>
      <c r="D359" s="842">
        <v>42.12</v>
      </c>
      <c r="E359" s="843">
        <f t="shared" si="57"/>
        <v>1.7883035282745263E-2</v>
      </c>
      <c r="F359" s="842">
        <v>26.81</v>
      </c>
      <c r="G359" s="843">
        <f t="shared" si="57"/>
        <v>1.9004180919802272E-2</v>
      </c>
      <c r="H359" s="842">
        <v>39.11</v>
      </c>
      <c r="I359" s="843">
        <f t="shared" si="57"/>
        <v>8.2495488527971617E-3</v>
      </c>
      <c r="J359" s="842">
        <v>73.930000000000007</v>
      </c>
      <c r="K359" s="843">
        <f t="shared" si="58"/>
        <v>7.9072937968645007E-3</v>
      </c>
      <c r="L359" s="842">
        <v>60.5</v>
      </c>
      <c r="M359" s="843">
        <f t="shared" si="59"/>
        <v>4.6496180670874132E-3</v>
      </c>
      <c r="N359" s="842">
        <v>59.39</v>
      </c>
      <c r="O359" s="843">
        <f t="shared" si="60"/>
        <v>1.590831337666776E-2</v>
      </c>
      <c r="P359" s="844">
        <f t="shared" si="66"/>
        <v>1.2754069208830663E-2</v>
      </c>
      <c r="Q359" s="830"/>
      <c r="R359" s="845">
        <v>864.33</v>
      </c>
      <c r="S359" s="846">
        <f t="shared" si="61"/>
        <v>1.3151879593487292E-2</v>
      </c>
      <c r="T359" s="845">
        <v>62.63</v>
      </c>
      <c r="U359" s="846">
        <f t="shared" si="62"/>
        <v>1.3102555807182226E-2</v>
      </c>
      <c r="V359" s="845">
        <v>118.8308</v>
      </c>
      <c r="W359" s="846">
        <f t="shared" si="63"/>
        <v>1.5676510534057719E-2</v>
      </c>
      <c r="X359" s="845">
        <v>34500.730000000003</v>
      </c>
      <c r="Y359" s="846">
        <f t="shared" si="64"/>
        <v>1.6705769703677653E-3</v>
      </c>
      <c r="Z359" s="845">
        <v>4451.1379999999999</v>
      </c>
      <c r="AA359" s="846">
        <f t="shared" si="65"/>
        <v>-3.2128202519019489E-3</v>
      </c>
      <c r="AB359" s="843"/>
      <c r="AC359" s="832"/>
    </row>
    <row r="360" spans="1:29" ht="14.4" x14ac:dyDescent="0.55000000000000004">
      <c r="A360" s="857" t="s">
        <v>5519</v>
      </c>
      <c r="B360" s="842">
        <v>112.27</v>
      </c>
      <c r="C360" s="843">
        <f t="shared" si="56"/>
        <v>4.4555337729468292E-4</v>
      </c>
      <c r="D360" s="842">
        <v>41.38</v>
      </c>
      <c r="E360" s="843">
        <f t="shared" si="57"/>
        <v>7.2551390568320606E-4</v>
      </c>
      <c r="F360" s="842">
        <v>26.31</v>
      </c>
      <c r="G360" s="843">
        <f t="shared" si="57"/>
        <v>4.5819014891179677E-3</v>
      </c>
      <c r="H360" s="842">
        <v>38.79</v>
      </c>
      <c r="I360" s="843">
        <f t="shared" si="57"/>
        <v>9.1050988553589285E-3</v>
      </c>
      <c r="J360" s="842">
        <v>73.349999999999994</v>
      </c>
      <c r="K360" s="843">
        <f t="shared" si="58"/>
        <v>1.298163237121952E-2</v>
      </c>
      <c r="L360" s="842">
        <v>60.22</v>
      </c>
      <c r="M360" s="843">
        <f t="shared" si="59"/>
        <v>-9.3765421944398408E-3</v>
      </c>
      <c r="N360" s="842">
        <v>58.46</v>
      </c>
      <c r="O360" s="843">
        <f t="shared" si="60"/>
        <v>1.722637898033752E-2</v>
      </c>
      <c r="P360" s="844">
        <f t="shared" si="66"/>
        <v>5.0985052549388553E-3</v>
      </c>
      <c r="Q360" s="830"/>
      <c r="R360" s="845">
        <v>853.11</v>
      </c>
      <c r="S360" s="846">
        <f t="shared" si="61"/>
        <v>1.9613830686835421E-3</v>
      </c>
      <c r="T360" s="845">
        <v>61.82</v>
      </c>
      <c r="U360" s="846">
        <f t="shared" si="62"/>
        <v>2.2697795071335847E-3</v>
      </c>
      <c r="V360" s="845">
        <v>116.9967</v>
      </c>
      <c r="W360" s="846">
        <f t="shared" si="63"/>
        <v>4.4551009623372551E-4</v>
      </c>
      <c r="X360" s="845">
        <v>34443.19</v>
      </c>
      <c r="Y360" s="846">
        <f t="shared" si="64"/>
        <v>-5.7381263248019732E-3</v>
      </c>
      <c r="Z360" s="845">
        <v>4465.4848000000002</v>
      </c>
      <c r="AA360" s="846">
        <f t="shared" si="65"/>
        <v>-6.9699140992138808E-3</v>
      </c>
      <c r="AB360" s="843"/>
      <c r="AC360" s="832"/>
    </row>
    <row r="361" spans="1:29" ht="14.4" x14ac:dyDescent="0.55000000000000004">
      <c r="A361" s="857" t="s">
        <v>5520</v>
      </c>
      <c r="B361" s="842">
        <v>112.22</v>
      </c>
      <c r="C361" s="843">
        <f t="shared" si="56"/>
        <v>-2.8145838745994634E-2</v>
      </c>
      <c r="D361" s="842">
        <v>41.35</v>
      </c>
      <c r="E361" s="843">
        <f t="shared" si="57"/>
        <v>-2.130177514792897E-2</v>
      </c>
      <c r="F361" s="842">
        <v>26.19</v>
      </c>
      <c r="G361" s="843">
        <f t="shared" si="57"/>
        <v>-1.3930722891566161E-2</v>
      </c>
      <c r="H361" s="842">
        <v>38.44</v>
      </c>
      <c r="I361" s="843">
        <f t="shared" si="57"/>
        <v>-1.2332990750257067E-2</v>
      </c>
      <c r="J361" s="842">
        <v>72.41</v>
      </c>
      <c r="K361" s="843">
        <f t="shared" si="58"/>
        <v>-1.0657193605683846E-2</v>
      </c>
      <c r="L361" s="842">
        <v>60.79</v>
      </c>
      <c r="M361" s="843">
        <f t="shared" si="59"/>
        <v>-2.203989703989695E-2</v>
      </c>
      <c r="N361" s="842">
        <v>57.47</v>
      </c>
      <c r="O361" s="843">
        <f t="shared" si="60"/>
        <v>-2.1454112038140627E-2</v>
      </c>
      <c r="P361" s="844">
        <f t="shared" si="66"/>
        <v>-1.8551790031352607E-2</v>
      </c>
      <c r="Q361" s="830"/>
      <c r="R361" s="845">
        <v>851.44</v>
      </c>
      <c r="S361" s="846">
        <f t="shared" si="61"/>
        <v>-1.7561673551334867E-2</v>
      </c>
      <c r="T361" s="845">
        <v>61.68</v>
      </c>
      <c r="U361" s="846">
        <f t="shared" si="62"/>
        <v>-1.5325670498084309E-2</v>
      </c>
      <c r="V361" s="845">
        <v>116.94459999999999</v>
      </c>
      <c r="W361" s="846">
        <f t="shared" si="63"/>
        <v>-2.8145604555419479E-2</v>
      </c>
      <c r="X361" s="845">
        <v>34641.97</v>
      </c>
      <c r="Y361" s="846">
        <f t="shared" si="64"/>
        <v>-5.6186241862624664E-3</v>
      </c>
      <c r="Z361" s="845">
        <v>4496.8272999999999</v>
      </c>
      <c r="AA361" s="846">
        <f t="shared" si="65"/>
        <v>-4.1942151404874561E-3</v>
      </c>
      <c r="AB361" s="843"/>
      <c r="AC361" s="832"/>
    </row>
    <row r="362" spans="1:29" ht="14.4" x14ac:dyDescent="0.55000000000000004">
      <c r="A362" s="857" t="s">
        <v>5521</v>
      </c>
      <c r="B362" s="842">
        <v>115.47</v>
      </c>
      <c r="C362" s="843">
        <f t="shared" si="56"/>
        <v>-4.1397153945667009E-3</v>
      </c>
      <c r="D362" s="842">
        <v>42.25</v>
      </c>
      <c r="E362" s="843">
        <f t="shared" si="57"/>
        <v>1.897083234526864E-3</v>
      </c>
      <c r="F362" s="842">
        <v>26.56</v>
      </c>
      <c r="G362" s="843">
        <f t="shared" si="57"/>
        <v>-7.4738415545591019E-3</v>
      </c>
      <c r="H362" s="842">
        <v>38.92</v>
      </c>
      <c r="I362" s="843">
        <f t="shared" si="57"/>
        <v>-9.164969450101812E-3</v>
      </c>
      <c r="J362" s="842">
        <v>73.19</v>
      </c>
      <c r="K362" s="843">
        <f t="shared" si="58"/>
        <v>9.9351455774803199E-3</v>
      </c>
      <c r="L362" s="842">
        <v>62.16</v>
      </c>
      <c r="M362" s="843">
        <f t="shared" si="59"/>
        <v>3.7138704989503335E-3</v>
      </c>
      <c r="N362" s="842">
        <v>58.73</v>
      </c>
      <c r="O362" s="843">
        <f t="shared" si="60"/>
        <v>5.4785139530901805E-3</v>
      </c>
      <c r="P362" s="844">
        <f t="shared" si="66"/>
        <v>3.5155266402869021E-5</v>
      </c>
      <c r="Q362" s="830"/>
      <c r="R362" s="845">
        <v>866.66</v>
      </c>
      <c r="S362" s="846">
        <f t="shared" si="61"/>
        <v>-6.9210496161339341E-3</v>
      </c>
      <c r="T362" s="845">
        <v>62.64</v>
      </c>
      <c r="U362" s="846">
        <f t="shared" si="62"/>
        <v>-5.0825921219822545E-3</v>
      </c>
      <c r="V362" s="845">
        <v>120.3314</v>
      </c>
      <c r="W362" s="846">
        <f t="shared" si="63"/>
        <v>-4.1396455893987216E-3</v>
      </c>
      <c r="X362" s="845">
        <v>34837.71</v>
      </c>
      <c r="Y362" s="846">
        <f t="shared" si="64"/>
        <v>3.3350699889491686E-3</v>
      </c>
      <c r="Z362" s="845">
        <v>4515.7673999999997</v>
      </c>
      <c r="AA362" s="846">
        <f t="shared" si="65"/>
        <v>1.7981828184181481E-3</v>
      </c>
      <c r="AB362" s="843"/>
      <c r="AC362" s="832"/>
    </row>
    <row r="363" spans="1:29" ht="14.4" x14ac:dyDescent="0.55000000000000004">
      <c r="A363" s="857" t="s">
        <v>5522</v>
      </c>
      <c r="B363" s="842">
        <v>115.95</v>
      </c>
      <c r="C363" s="843">
        <f t="shared" si="56"/>
        <v>-1.2014314928425307E-2</v>
      </c>
      <c r="D363" s="842">
        <v>42.17</v>
      </c>
      <c r="E363" s="843">
        <f t="shared" si="57"/>
        <v>-1.4719626168224198E-2</v>
      </c>
      <c r="F363" s="842">
        <v>26.76</v>
      </c>
      <c r="G363" s="843">
        <f t="shared" si="57"/>
        <v>3.7383177570093906E-4</v>
      </c>
      <c r="H363" s="842">
        <v>39.28</v>
      </c>
      <c r="I363" s="843">
        <f t="shared" si="57"/>
        <v>-1.4798093804865742E-2</v>
      </c>
      <c r="J363" s="842">
        <v>72.47</v>
      </c>
      <c r="K363" s="843">
        <f t="shared" si="58"/>
        <v>-1.988098458209353E-2</v>
      </c>
      <c r="L363" s="842">
        <v>61.93</v>
      </c>
      <c r="M363" s="843">
        <f t="shared" si="59"/>
        <v>-1.4324367340442401E-2</v>
      </c>
      <c r="N363" s="842">
        <v>58.41</v>
      </c>
      <c r="O363" s="843">
        <f t="shared" si="60"/>
        <v>-1.4343570705366182E-2</v>
      </c>
      <c r="P363" s="844">
        <f t="shared" si="66"/>
        <v>-1.2815303679102346E-2</v>
      </c>
      <c r="Q363" s="830"/>
      <c r="R363" s="845">
        <v>872.7</v>
      </c>
      <c r="S363" s="846">
        <f t="shared" si="61"/>
        <v>-1.0454462989840207E-2</v>
      </c>
      <c r="T363" s="845">
        <v>62.96</v>
      </c>
      <c r="U363" s="846">
        <f t="shared" si="62"/>
        <v>-9.5957212521630142E-3</v>
      </c>
      <c r="V363" s="845">
        <v>120.83159999999999</v>
      </c>
      <c r="W363" s="846">
        <f t="shared" si="63"/>
        <v>-1.2014619667868653E-2</v>
      </c>
      <c r="X363" s="845">
        <v>34721.910000000003</v>
      </c>
      <c r="Y363" s="846">
        <f t="shared" si="64"/>
        <v>-4.8245583865286212E-3</v>
      </c>
      <c r="Z363" s="845">
        <v>4507.6617999999999</v>
      </c>
      <c r="AA363" s="846">
        <f t="shared" si="65"/>
        <v>-1.5955071793616327E-3</v>
      </c>
      <c r="AB363" s="843"/>
      <c r="AC363" s="832"/>
    </row>
    <row r="364" spans="1:29" ht="14.4" x14ac:dyDescent="0.55000000000000004">
      <c r="A364" s="857" t="s">
        <v>5523</v>
      </c>
      <c r="B364" s="842">
        <v>117.36</v>
      </c>
      <c r="C364" s="843">
        <f t="shared" si="56"/>
        <v>9.3816631130061445E-4</v>
      </c>
      <c r="D364" s="842">
        <v>42.8</v>
      </c>
      <c r="E364" s="843">
        <f t="shared" si="57"/>
        <v>3.5169988276670949E-3</v>
      </c>
      <c r="F364" s="842">
        <v>26.75</v>
      </c>
      <c r="G364" s="843">
        <f t="shared" si="57"/>
        <v>0</v>
      </c>
      <c r="H364" s="842">
        <v>39.869999999999997</v>
      </c>
      <c r="I364" s="843">
        <f t="shared" si="57"/>
        <v>1.0042681395932007E-3</v>
      </c>
      <c r="J364" s="842">
        <v>73.94</v>
      </c>
      <c r="K364" s="843">
        <f t="shared" si="58"/>
        <v>-8.7143048666041834E-3</v>
      </c>
      <c r="L364" s="842">
        <v>62.83</v>
      </c>
      <c r="M364" s="843">
        <f t="shared" si="59"/>
        <v>-1.164071102721409E-2</v>
      </c>
      <c r="N364" s="842">
        <v>59.26</v>
      </c>
      <c r="O364" s="843">
        <f t="shared" si="60"/>
        <v>-3.5311921977467797E-3</v>
      </c>
      <c r="P364" s="844">
        <f t="shared" si="66"/>
        <v>-2.6323964018577345E-3</v>
      </c>
      <c r="Q364" s="830"/>
      <c r="R364" s="845">
        <v>881.92</v>
      </c>
      <c r="S364" s="846">
        <f t="shared" si="61"/>
        <v>-3.2211761248686077E-3</v>
      </c>
      <c r="T364" s="845">
        <v>63.57</v>
      </c>
      <c r="U364" s="846">
        <f t="shared" si="62"/>
        <v>-4.5411838396491877E-3</v>
      </c>
      <c r="V364" s="845">
        <v>122.301</v>
      </c>
      <c r="W364" s="846">
        <f t="shared" si="63"/>
        <v>9.3873044686687557E-4</v>
      </c>
      <c r="X364" s="845">
        <v>34890.239999999998</v>
      </c>
      <c r="Y364" s="846">
        <f t="shared" si="64"/>
        <v>1.0779661931208384E-3</v>
      </c>
      <c r="Z364" s="845">
        <v>4514.8653000000004</v>
      </c>
      <c r="AA364" s="846">
        <f t="shared" si="65"/>
        <v>3.8317054729049005E-3</v>
      </c>
      <c r="AB364" s="843"/>
      <c r="AC364" s="832"/>
    </row>
    <row r="365" spans="1:29" ht="14.4" x14ac:dyDescent="0.55000000000000004">
      <c r="A365" s="857" t="s">
        <v>5524</v>
      </c>
      <c r="B365" s="842">
        <v>117.25</v>
      </c>
      <c r="C365" s="843">
        <f t="shared" si="56"/>
        <v>3.7668007876037191E-3</v>
      </c>
      <c r="D365" s="842">
        <v>42.65</v>
      </c>
      <c r="E365" s="843">
        <f t="shared" si="57"/>
        <v>4.6915317851259353E-4</v>
      </c>
      <c r="F365" s="842">
        <v>26.75</v>
      </c>
      <c r="G365" s="843">
        <f t="shared" si="57"/>
        <v>5.639097744360777E-3</v>
      </c>
      <c r="H365" s="842">
        <v>39.83</v>
      </c>
      <c r="I365" s="843">
        <f t="shared" si="57"/>
        <v>3.0219088390832649E-3</v>
      </c>
      <c r="J365" s="842">
        <v>74.59</v>
      </c>
      <c r="K365" s="843">
        <f t="shared" si="58"/>
        <v>1.8804566823371616E-3</v>
      </c>
      <c r="L365" s="842">
        <v>63.57</v>
      </c>
      <c r="M365" s="843">
        <f t="shared" si="59"/>
        <v>-1.0275572162540936E-2</v>
      </c>
      <c r="N365" s="842">
        <v>59.47</v>
      </c>
      <c r="O365" s="843">
        <f t="shared" si="60"/>
        <v>6.771626883358639E-3</v>
      </c>
      <c r="P365" s="844">
        <f t="shared" si="66"/>
        <v>1.6104959932450313E-3</v>
      </c>
      <c r="Q365" s="830"/>
      <c r="R365" s="845">
        <v>884.77</v>
      </c>
      <c r="S365" s="846">
        <f t="shared" si="61"/>
        <v>3.7551335284640164E-3</v>
      </c>
      <c r="T365" s="845">
        <v>63.86</v>
      </c>
      <c r="U365" s="846">
        <f t="shared" si="62"/>
        <v>3.7723986167872425E-3</v>
      </c>
      <c r="V365" s="845">
        <v>122.1863</v>
      </c>
      <c r="W365" s="846">
        <f t="shared" si="63"/>
        <v>3.7666005628953503E-3</v>
      </c>
      <c r="X365" s="845">
        <v>34852.67</v>
      </c>
      <c r="Y365" s="846">
        <f t="shared" si="64"/>
        <v>8.4690442529189447E-3</v>
      </c>
      <c r="Z365" s="845">
        <v>4497.6316999999999</v>
      </c>
      <c r="AA365" s="846">
        <f t="shared" si="65"/>
        <v>1.4509737384221788E-2</v>
      </c>
      <c r="AB365" s="843"/>
      <c r="AC365" s="832"/>
    </row>
    <row r="366" spans="1:29" ht="14.4" x14ac:dyDescent="0.55000000000000004">
      <c r="A366" s="857" t="s">
        <v>5525</v>
      </c>
      <c r="B366" s="842">
        <v>116.81</v>
      </c>
      <c r="C366" s="843">
        <f t="shared" si="56"/>
        <v>-7.5615972812234089E-3</v>
      </c>
      <c r="D366" s="842">
        <v>42.63</v>
      </c>
      <c r="E366" s="843">
        <f t="shared" si="57"/>
        <v>4.4769085768143757E-3</v>
      </c>
      <c r="F366" s="842">
        <v>26.6</v>
      </c>
      <c r="G366" s="843">
        <f t="shared" si="57"/>
        <v>7.5244544770525223E-4</v>
      </c>
      <c r="H366" s="842">
        <v>39.71</v>
      </c>
      <c r="I366" s="843">
        <f t="shared" si="57"/>
        <v>-2.2613065326632098E-3</v>
      </c>
      <c r="J366" s="842">
        <v>74.45</v>
      </c>
      <c r="K366" s="843">
        <f t="shared" si="58"/>
        <v>-5.3440213760853617E-3</v>
      </c>
      <c r="L366" s="842">
        <v>64.23</v>
      </c>
      <c r="M366" s="843">
        <f t="shared" si="59"/>
        <v>5.3216465800596247E-3</v>
      </c>
      <c r="N366" s="842">
        <v>59.07</v>
      </c>
      <c r="O366" s="843">
        <f t="shared" si="60"/>
        <v>3.7383177570093906E-3</v>
      </c>
      <c r="P366" s="844">
        <f t="shared" si="66"/>
        <v>-1.2537240405476245E-4</v>
      </c>
      <c r="Q366" s="830"/>
      <c r="R366" s="845">
        <v>881.46</v>
      </c>
      <c r="S366" s="846">
        <f t="shared" si="61"/>
        <v>-1.4037626185412488E-3</v>
      </c>
      <c r="T366" s="845">
        <v>63.62</v>
      </c>
      <c r="U366" s="846">
        <f t="shared" si="62"/>
        <v>-1.5715857300024894E-4</v>
      </c>
      <c r="V366" s="845">
        <v>121.7278</v>
      </c>
      <c r="W366" s="846">
        <f t="shared" si="63"/>
        <v>-7.5618420076425386E-3</v>
      </c>
      <c r="X366" s="845">
        <v>34559.980000000003</v>
      </c>
      <c r="Y366" s="846">
        <f t="shared" si="64"/>
        <v>6.2037944275663559E-3</v>
      </c>
      <c r="Z366" s="845">
        <v>4433.3055999999997</v>
      </c>
      <c r="AA366" s="846">
        <f t="shared" si="65"/>
        <v>6.2645809501074012E-3</v>
      </c>
      <c r="AB366" s="843"/>
      <c r="AC366" s="832"/>
    </row>
    <row r="367" spans="1:29" ht="14.4" x14ac:dyDescent="0.55000000000000004">
      <c r="A367" s="857" t="s">
        <v>5526</v>
      </c>
      <c r="B367" s="842">
        <v>117.7</v>
      </c>
      <c r="C367" s="843">
        <f t="shared" si="56"/>
        <v>1.1168384879725046E-2</v>
      </c>
      <c r="D367" s="842">
        <v>42.44</v>
      </c>
      <c r="E367" s="843">
        <f t="shared" si="57"/>
        <v>6.8801897983392646E-3</v>
      </c>
      <c r="F367" s="842">
        <v>26.58</v>
      </c>
      <c r="G367" s="843">
        <f t="shared" si="57"/>
        <v>9.4948727687049761E-3</v>
      </c>
      <c r="H367" s="842">
        <v>39.799999999999997</v>
      </c>
      <c r="I367" s="843">
        <f t="shared" si="57"/>
        <v>5.050505050504972E-3</v>
      </c>
      <c r="J367" s="842">
        <v>74.849999999999994</v>
      </c>
      <c r="K367" s="843">
        <f t="shared" si="58"/>
        <v>9.9851571987585874E-3</v>
      </c>
      <c r="L367" s="842">
        <v>63.89</v>
      </c>
      <c r="M367" s="843">
        <f t="shared" si="59"/>
        <v>4.6977763858446764E-4</v>
      </c>
      <c r="N367" s="842">
        <v>58.85</v>
      </c>
      <c r="O367" s="843">
        <f t="shared" si="60"/>
        <v>4.7806044049854002E-3</v>
      </c>
      <c r="P367" s="844">
        <f t="shared" si="66"/>
        <v>6.8327845342289594E-3</v>
      </c>
      <c r="Q367" s="830"/>
      <c r="R367" s="845">
        <v>882.69910000000004</v>
      </c>
      <c r="S367" s="846">
        <f t="shared" si="61"/>
        <v>9.2949678127536295E-3</v>
      </c>
      <c r="T367" s="845">
        <v>63.63</v>
      </c>
      <c r="U367" s="846">
        <f t="shared" si="62"/>
        <v>7.6009501187648265E-3</v>
      </c>
      <c r="V367" s="845">
        <v>122.6553</v>
      </c>
      <c r="W367" s="846">
        <f t="shared" si="63"/>
        <v>1.1168956434639554E-2</v>
      </c>
      <c r="X367" s="845">
        <v>34346.8989</v>
      </c>
      <c r="Y367" s="846">
        <f t="shared" si="64"/>
        <v>7.2575691903264961E-3</v>
      </c>
      <c r="Z367" s="845">
        <v>4405.7057000000004</v>
      </c>
      <c r="AA367" s="846">
        <f t="shared" si="65"/>
        <v>6.7158786951093674E-3</v>
      </c>
      <c r="AB367" s="843"/>
      <c r="AC367" s="832"/>
    </row>
    <row r="368" spans="1:29" ht="14.4" x14ac:dyDescent="0.55000000000000004">
      <c r="A368" s="857" t="s">
        <v>5527</v>
      </c>
      <c r="B368" s="842">
        <v>116.4</v>
      </c>
      <c r="C368" s="843">
        <f t="shared" si="56"/>
        <v>-9.4412496781393074E-4</v>
      </c>
      <c r="D368" s="842">
        <v>42.15</v>
      </c>
      <c r="E368" s="843">
        <f t="shared" si="57"/>
        <v>-1.241799437675728E-2</v>
      </c>
      <c r="F368" s="842">
        <v>26.33</v>
      </c>
      <c r="G368" s="843">
        <f t="shared" si="57"/>
        <v>-7.1644042232278382E-3</v>
      </c>
      <c r="H368" s="842">
        <v>39.6</v>
      </c>
      <c r="I368" s="843">
        <f t="shared" si="57"/>
        <v>-9.2569427070302579E-3</v>
      </c>
      <c r="J368" s="842">
        <v>74.11</v>
      </c>
      <c r="K368" s="843">
        <f t="shared" si="58"/>
        <v>-9.3570378291673029E-3</v>
      </c>
      <c r="L368" s="842">
        <v>63.86</v>
      </c>
      <c r="M368" s="843">
        <f t="shared" si="59"/>
        <v>-3.4332084893882175E-3</v>
      </c>
      <c r="N368" s="842">
        <v>58.57</v>
      </c>
      <c r="O368" s="843">
        <f t="shared" si="60"/>
        <v>-4.757858963466477E-3</v>
      </c>
      <c r="P368" s="844">
        <f t="shared" si="66"/>
        <v>-6.7616530795501862E-3</v>
      </c>
      <c r="Q368" s="830"/>
      <c r="R368" s="845">
        <v>874.57</v>
      </c>
      <c r="S368" s="846">
        <f t="shared" si="61"/>
        <v>-6.2156265624289109E-3</v>
      </c>
      <c r="T368" s="845">
        <v>63.15</v>
      </c>
      <c r="U368" s="846">
        <f t="shared" si="62"/>
        <v>-5.8249370277079215E-3</v>
      </c>
      <c r="V368" s="845">
        <v>121.3005</v>
      </c>
      <c r="W368" s="846">
        <f t="shared" si="63"/>
        <v>-9.4469226258331318E-4</v>
      </c>
      <c r="X368" s="845">
        <v>34099.42</v>
      </c>
      <c r="Y368" s="846">
        <f t="shared" si="64"/>
        <v>-1.083631296162979E-2</v>
      </c>
      <c r="Z368" s="845">
        <v>4376.3149000000003</v>
      </c>
      <c r="AA368" s="846">
        <f t="shared" si="65"/>
        <v>-1.345731346921375E-2</v>
      </c>
      <c r="AB368" s="843"/>
      <c r="AC368" s="832"/>
    </row>
    <row r="369" spans="1:29" ht="14.4" x14ac:dyDescent="0.55000000000000004">
      <c r="A369" s="857" t="s">
        <v>5528</v>
      </c>
      <c r="B369" s="842">
        <v>116.51</v>
      </c>
      <c r="C369" s="843">
        <f t="shared" si="56"/>
        <v>-4.2731390479445741E-3</v>
      </c>
      <c r="D369" s="842">
        <v>42.68</v>
      </c>
      <c r="E369" s="843">
        <f t="shared" si="57"/>
        <v>-7.6726342710996542E-3</v>
      </c>
      <c r="F369" s="842">
        <v>26.52</v>
      </c>
      <c r="G369" s="843">
        <f t="shared" si="57"/>
        <v>5.6882821387940208E-3</v>
      </c>
      <c r="H369" s="842">
        <v>39.97</v>
      </c>
      <c r="I369" s="843">
        <f t="shared" si="57"/>
        <v>-2.9932651534049226E-3</v>
      </c>
      <c r="J369" s="842">
        <v>74.81</v>
      </c>
      <c r="K369" s="843">
        <f t="shared" si="58"/>
        <v>-2.5333333333332764E-3</v>
      </c>
      <c r="L369" s="842">
        <v>64.08</v>
      </c>
      <c r="M369" s="843">
        <f t="shared" si="59"/>
        <v>1.0566156757609191E-2</v>
      </c>
      <c r="N369" s="842">
        <v>58.85</v>
      </c>
      <c r="O369" s="843">
        <f t="shared" si="60"/>
        <v>-2.3732836073910857E-3</v>
      </c>
      <c r="P369" s="844">
        <f t="shared" si="66"/>
        <v>-5.1303093096718587E-4</v>
      </c>
      <c r="Q369" s="830"/>
      <c r="R369" s="845">
        <v>880.04</v>
      </c>
      <c r="S369" s="846">
        <f t="shared" si="61"/>
        <v>4.956035171862494E-3</v>
      </c>
      <c r="T369" s="845">
        <v>63.52</v>
      </c>
      <c r="U369" s="846">
        <f t="shared" si="62"/>
        <v>3.9513197407934353E-3</v>
      </c>
      <c r="V369" s="845">
        <v>121.4152</v>
      </c>
      <c r="W369" s="846">
        <f t="shared" si="63"/>
        <v>-4.2727262289623535E-3</v>
      </c>
      <c r="X369" s="845">
        <v>34472.980000000003</v>
      </c>
      <c r="Y369" s="846">
        <f t="shared" si="64"/>
        <v>5.3705536176067437E-3</v>
      </c>
      <c r="Z369" s="845">
        <v>4436.0117</v>
      </c>
      <c r="AA369" s="846">
        <f t="shared" si="65"/>
        <v>1.1045575402957919E-2</v>
      </c>
      <c r="AB369" s="843"/>
      <c r="AC369" s="832"/>
    </row>
    <row r="370" spans="1:29" ht="14.4" x14ac:dyDescent="0.55000000000000004">
      <c r="A370" s="857" t="s">
        <v>5529</v>
      </c>
      <c r="B370" s="842">
        <v>117.01</v>
      </c>
      <c r="C370" s="843">
        <f t="shared" si="56"/>
        <v>2.3128319342129444E-3</v>
      </c>
      <c r="D370" s="842">
        <v>43.01</v>
      </c>
      <c r="E370" s="843">
        <f t="shared" si="57"/>
        <v>3.2656869605784955E-3</v>
      </c>
      <c r="F370" s="842">
        <v>26.37</v>
      </c>
      <c r="G370" s="843">
        <f t="shared" si="57"/>
        <v>1.138952164009055E-3</v>
      </c>
      <c r="H370" s="842">
        <v>40.090000000000003</v>
      </c>
      <c r="I370" s="843">
        <f t="shared" si="57"/>
        <v>-3.7276341948310199E-3</v>
      </c>
      <c r="J370" s="842">
        <v>75</v>
      </c>
      <c r="K370" s="843">
        <f t="shared" si="58"/>
        <v>6.441223832528209E-3</v>
      </c>
      <c r="L370" s="842">
        <v>63.41</v>
      </c>
      <c r="M370" s="843">
        <f t="shared" si="59"/>
        <v>-7.0466645787661264E-3</v>
      </c>
      <c r="N370" s="842">
        <v>58.99</v>
      </c>
      <c r="O370" s="843">
        <f t="shared" si="60"/>
        <v>1.5280135823430019E-3</v>
      </c>
      <c r="P370" s="844">
        <f t="shared" si="66"/>
        <v>5.589156714392228E-4</v>
      </c>
      <c r="Q370" s="830"/>
      <c r="R370" s="845">
        <v>875.7</v>
      </c>
      <c r="S370" s="846">
        <f t="shared" si="61"/>
        <v>2.9778948574046282E-3</v>
      </c>
      <c r="T370" s="845">
        <v>63.27</v>
      </c>
      <c r="U370" s="846">
        <f t="shared" si="62"/>
        <v>2.8530670470756636E-3</v>
      </c>
      <c r="V370" s="845">
        <v>121.9362</v>
      </c>
      <c r="W370" s="846">
        <f t="shared" si="63"/>
        <v>2.3122784203513103E-3</v>
      </c>
      <c r="X370" s="845">
        <v>34288.83</v>
      </c>
      <c r="Y370" s="846">
        <f t="shared" si="64"/>
        <v>-5.0737457306515577E-3</v>
      </c>
      <c r="Z370" s="845">
        <v>4387.5487000000003</v>
      </c>
      <c r="AA370" s="846">
        <f t="shared" si="65"/>
        <v>-2.7775093924815586E-3</v>
      </c>
      <c r="AB370" s="843"/>
      <c r="AC370" s="832"/>
    </row>
    <row r="371" spans="1:29" ht="14.4" x14ac:dyDescent="0.55000000000000004">
      <c r="A371" s="857" t="s">
        <v>5530</v>
      </c>
      <c r="B371" s="842">
        <v>116.74</v>
      </c>
      <c r="C371" s="843">
        <f t="shared" si="56"/>
        <v>-1.8809849521204125E-3</v>
      </c>
      <c r="D371" s="842">
        <v>42.87</v>
      </c>
      <c r="E371" s="843">
        <f t="shared" si="57"/>
        <v>-9.7020097020097396E-3</v>
      </c>
      <c r="F371" s="842">
        <v>26.34</v>
      </c>
      <c r="G371" s="843">
        <f t="shared" si="57"/>
        <v>-3.7821482602118373E-3</v>
      </c>
      <c r="H371" s="842">
        <v>40.24</v>
      </c>
      <c r="I371" s="843">
        <f t="shared" si="57"/>
        <v>-9.1110563900516084E-3</v>
      </c>
      <c r="J371" s="842">
        <v>74.52</v>
      </c>
      <c r="K371" s="843">
        <f t="shared" si="58"/>
        <v>-3.0769230769230882E-3</v>
      </c>
      <c r="L371" s="842">
        <v>63.86</v>
      </c>
      <c r="M371" s="843">
        <f t="shared" si="59"/>
        <v>8.6874111514767538E-3</v>
      </c>
      <c r="N371" s="842">
        <v>58.9</v>
      </c>
      <c r="O371" s="843">
        <f t="shared" si="60"/>
        <v>-4.2265426880812029E-3</v>
      </c>
      <c r="P371" s="844">
        <f t="shared" si="66"/>
        <v>-3.2988934168458766E-3</v>
      </c>
      <c r="Q371" s="830"/>
      <c r="R371" s="845">
        <v>873.1</v>
      </c>
      <c r="S371" s="846">
        <f t="shared" si="61"/>
        <v>-5.6035170041683902E-3</v>
      </c>
      <c r="T371" s="845">
        <v>63.09</v>
      </c>
      <c r="U371" s="846">
        <f t="shared" si="62"/>
        <v>-6.3002047566546038E-3</v>
      </c>
      <c r="V371" s="845">
        <v>121.6549</v>
      </c>
      <c r="W371" s="846">
        <f t="shared" si="63"/>
        <v>-1.8804749758172257E-3</v>
      </c>
      <c r="X371" s="845">
        <v>34463.69</v>
      </c>
      <c r="Y371" s="846">
        <f t="shared" si="64"/>
        <v>-1.0715737032277461E-3</v>
      </c>
      <c r="Z371" s="845">
        <v>4399.7691000000004</v>
      </c>
      <c r="AA371" s="846">
        <f t="shared" si="65"/>
        <v>6.8786234514566225E-3</v>
      </c>
      <c r="AB371" s="843"/>
      <c r="AC371" s="832"/>
    </row>
    <row r="372" spans="1:29" ht="14.4" x14ac:dyDescent="0.55000000000000004">
      <c r="A372" s="857" t="s">
        <v>5531</v>
      </c>
      <c r="B372" s="842">
        <v>116.96</v>
      </c>
      <c r="C372" s="843">
        <f t="shared" si="56"/>
        <v>2.3997257456289667E-3</v>
      </c>
      <c r="D372" s="842">
        <v>43.29</v>
      </c>
      <c r="E372" s="843">
        <f t="shared" si="57"/>
        <v>3.4770514603614799E-3</v>
      </c>
      <c r="F372" s="842">
        <v>26.44</v>
      </c>
      <c r="G372" s="843">
        <f t="shared" si="57"/>
        <v>9.1603053435114212E-3</v>
      </c>
      <c r="H372" s="842">
        <v>40.61</v>
      </c>
      <c r="I372" s="843">
        <f t="shared" si="57"/>
        <v>-1.9660850331776336E-3</v>
      </c>
      <c r="J372" s="842">
        <v>74.75</v>
      </c>
      <c r="K372" s="843">
        <f t="shared" si="58"/>
        <v>3.0864197530864335E-3</v>
      </c>
      <c r="L372" s="842">
        <v>63.31</v>
      </c>
      <c r="M372" s="843">
        <f t="shared" si="59"/>
        <v>-2.049180327868827E-3</v>
      </c>
      <c r="N372" s="842">
        <v>59.15</v>
      </c>
      <c r="O372" s="843">
        <f t="shared" si="60"/>
        <v>-1.5192437542201898E-3</v>
      </c>
      <c r="P372" s="844">
        <f t="shared" si="66"/>
        <v>1.7984275981888073E-3</v>
      </c>
      <c r="Q372" s="830"/>
      <c r="R372" s="845">
        <v>878.02</v>
      </c>
      <c r="S372" s="846">
        <f t="shared" si="61"/>
        <v>3.5546513355659837E-3</v>
      </c>
      <c r="T372" s="845">
        <v>63.49</v>
      </c>
      <c r="U372" s="846">
        <f t="shared" si="62"/>
        <v>5.224825839138747E-3</v>
      </c>
      <c r="V372" s="845">
        <v>121.8841</v>
      </c>
      <c r="W372" s="846">
        <f t="shared" si="63"/>
        <v>2.3998230151087707E-3</v>
      </c>
      <c r="X372" s="845">
        <v>34500.660000000003</v>
      </c>
      <c r="Y372" s="846">
        <f t="shared" si="64"/>
        <v>7.4924227327599624E-4</v>
      </c>
      <c r="Z372" s="845">
        <v>4369.7115000000003</v>
      </c>
      <c r="AA372" s="846">
        <f t="shared" si="65"/>
        <v>-1.4840882333688743E-4</v>
      </c>
      <c r="AB372" s="843"/>
      <c r="AC372" s="832"/>
    </row>
    <row r="373" spans="1:29" ht="14.4" x14ac:dyDescent="0.55000000000000004">
      <c r="A373" s="857" t="s">
        <v>5532</v>
      </c>
      <c r="B373" s="842">
        <v>116.68</v>
      </c>
      <c r="C373" s="843">
        <f t="shared" si="56"/>
        <v>8.8189521009858218E-3</v>
      </c>
      <c r="D373" s="842">
        <v>43.14</v>
      </c>
      <c r="E373" s="843">
        <f t="shared" si="57"/>
        <v>9.2807424593965848E-4</v>
      </c>
      <c r="F373" s="842">
        <v>26.2</v>
      </c>
      <c r="G373" s="843">
        <f t="shared" si="57"/>
        <v>-7.6277650648359785E-4</v>
      </c>
      <c r="H373" s="842">
        <v>40.69</v>
      </c>
      <c r="I373" s="843">
        <f t="shared" si="57"/>
        <v>7.1782178217820736E-3</v>
      </c>
      <c r="J373" s="842">
        <v>74.52</v>
      </c>
      <c r="K373" s="843">
        <f t="shared" si="58"/>
        <v>-3.0769230769230882E-3</v>
      </c>
      <c r="L373" s="842">
        <v>63.44</v>
      </c>
      <c r="M373" s="843">
        <f t="shared" si="59"/>
        <v>-2.1440691038099646E-2</v>
      </c>
      <c r="N373" s="842">
        <v>59.24</v>
      </c>
      <c r="O373" s="843">
        <f t="shared" si="60"/>
        <v>3.557513128917611E-3</v>
      </c>
      <c r="P373" s="844">
        <f t="shared" si="66"/>
        <v>-6.853761891258811E-4</v>
      </c>
      <c r="Q373" s="830"/>
      <c r="R373" s="845">
        <v>874.91</v>
      </c>
      <c r="S373" s="846">
        <f t="shared" si="61"/>
        <v>-3.2128331035740088E-3</v>
      </c>
      <c r="T373" s="845">
        <v>63.16</v>
      </c>
      <c r="U373" s="846">
        <f t="shared" si="62"/>
        <v>-2.211690363349117E-3</v>
      </c>
      <c r="V373" s="845">
        <v>121.59229999999999</v>
      </c>
      <c r="W373" s="846">
        <f t="shared" si="63"/>
        <v>8.8185952970809556E-3</v>
      </c>
      <c r="X373" s="845">
        <v>34474.83</v>
      </c>
      <c r="Y373" s="846">
        <f t="shared" si="64"/>
        <v>-8.3677206353149902E-3</v>
      </c>
      <c r="Z373" s="845">
        <v>4370.3600999999999</v>
      </c>
      <c r="AA373" s="846">
        <f t="shared" si="65"/>
        <v>-7.7136302235060183E-3</v>
      </c>
      <c r="AB373" s="843"/>
      <c r="AC373" s="832"/>
    </row>
    <row r="374" spans="1:29" ht="14.4" x14ac:dyDescent="0.55000000000000004">
      <c r="A374" s="857" t="s">
        <v>5533</v>
      </c>
      <c r="B374" s="842">
        <v>115.66</v>
      </c>
      <c r="C374" s="843">
        <f t="shared" si="56"/>
        <v>8.3696599825631157E-3</v>
      </c>
      <c r="D374" s="842">
        <v>43.1</v>
      </c>
      <c r="E374" s="843">
        <f t="shared" si="57"/>
        <v>7.9513564078579346E-3</v>
      </c>
      <c r="F374" s="842">
        <v>26.22</v>
      </c>
      <c r="G374" s="843">
        <f t="shared" si="57"/>
        <v>4.9827520122651681E-3</v>
      </c>
      <c r="H374" s="842">
        <v>40.4</v>
      </c>
      <c r="I374" s="843">
        <f t="shared" si="57"/>
        <v>7.7326016462957448E-3</v>
      </c>
      <c r="J374" s="842">
        <v>74.75</v>
      </c>
      <c r="K374" s="843">
        <f t="shared" si="58"/>
        <v>1.7283614589003848E-2</v>
      </c>
      <c r="L374" s="842">
        <v>64.83</v>
      </c>
      <c r="M374" s="843">
        <f t="shared" si="59"/>
        <v>9.6558168509579545E-3</v>
      </c>
      <c r="N374" s="842">
        <v>59.03</v>
      </c>
      <c r="O374" s="843">
        <f t="shared" si="60"/>
        <v>6.8224458468360005E-3</v>
      </c>
      <c r="P374" s="844">
        <f t="shared" si="66"/>
        <v>8.9711781908256814E-3</v>
      </c>
      <c r="Q374" s="830"/>
      <c r="R374" s="845">
        <v>877.73</v>
      </c>
      <c r="S374" s="846">
        <f t="shared" si="61"/>
        <v>5.6139225278690752E-3</v>
      </c>
      <c r="T374" s="845">
        <v>63.3</v>
      </c>
      <c r="U374" s="846">
        <f t="shared" si="62"/>
        <v>4.4430339574736966E-3</v>
      </c>
      <c r="V374" s="845">
        <v>120.5294</v>
      </c>
      <c r="W374" s="846">
        <f t="shared" si="63"/>
        <v>8.3695170209738823E-3</v>
      </c>
      <c r="X374" s="845">
        <v>34765.74</v>
      </c>
      <c r="Y374" s="846">
        <f t="shared" si="64"/>
        <v>-5.1693465333615407E-3</v>
      </c>
      <c r="Z374" s="845">
        <v>4404.3334999999997</v>
      </c>
      <c r="AA374" s="846">
        <f t="shared" si="65"/>
        <v>-7.5544310894061217E-3</v>
      </c>
      <c r="AB374" s="843"/>
      <c r="AC374" s="832"/>
    </row>
    <row r="375" spans="1:29" ht="14.4" x14ac:dyDescent="0.55000000000000004">
      <c r="A375" s="857" t="s">
        <v>5534</v>
      </c>
      <c r="B375" s="842">
        <v>114.7</v>
      </c>
      <c r="C375" s="843">
        <f t="shared" si="56"/>
        <v>-1.3333333333333308E-2</v>
      </c>
      <c r="D375" s="842">
        <v>42.76</v>
      </c>
      <c r="E375" s="843">
        <f t="shared" si="57"/>
        <v>-1.1558021266759089E-2</v>
      </c>
      <c r="F375" s="842">
        <v>26.09</v>
      </c>
      <c r="G375" s="843">
        <f t="shared" si="57"/>
        <v>-1.5843078083742079E-2</v>
      </c>
      <c r="H375" s="842">
        <v>40.090000000000003</v>
      </c>
      <c r="I375" s="843">
        <f t="shared" si="57"/>
        <v>-9.3896713615022609E-3</v>
      </c>
      <c r="J375" s="842">
        <v>73.48</v>
      </c>
      <c r="K375" s="843">
        <f t="shared" si="58"/>
        <v>-1.5936788536226043E-2</v>
      </c>
      <c r="L375" s="842">
        <v>64.209999999999994</v>
      </c>
      <c r="M375" s="843">
        <f t="shared" si="59"/>
        <v>-1.1088864931464881E-2</v>
      </c>
      <c r="N375" s="842">
        <v>58.63</v>
      </c>
      <c r="O375" s="843">
        <f t="shared" si="60"/>
        <v>-4.245923913043459E-3</v>
      </c>
      <c r="P375" s="844">
        <f t="shared" si="66"/>
        <v>-1.1627954489438732E-2</v>
      </c>
      <c r="Q375" s="830"/>
      <c r="R375" s="845">
        <v>872.83</v>
      </c>
      <c r="S375" s="846">
        <f t="shared" si="61"/>
        <v>-1.5930819879137692E-2</v>
      </c>
      <c r="T375" s="845">
        <v>63.02</v>
      </c>
      <c r="U375" s="846">
        <f t="shared" si="62"/>
        <v>-1.6234779893849471E-2</v>
      </c>
      <c r="V375" s="845">
        <v>119.529</v>
      </c>
      <c r="W375" s="846">
        <f t="shared" si="63"/>
        <v>-1.3332871074306474E-2</v>
      </c>
      <c r="X375" s="845">
        <v>34946.39</v>
      </c>
      <c r="Y375" s="846">
        <f t="shared" si="64"/>
        <v>-1.0231216312168168E-2</v>
      </c>
      <c r="Z375" s="845">
        <v>4437.8590000000004</v>
      </c>
      <c r="AA375" s="846">
        <f t="shared" si="65"/>
        <v>-1.1550680139553515E-2</v>
      </c>
      <c r="AB375" s="843"/>
      <c r="AC375" s="832"/>
    </row>
    <row r="376" spans="1:29" ht="14.4" x14ac:dyDescent="0.55000000000000004">
      <c r="A376" s="857" t="s">
        <v>5535</v>
      </c>
      <c r="B376" s="842">
        <v>116.25</v>
      </c>
      <c r="C376" s="843">
        <f t="shared" si="56"/>
        <v>-1.0301379192916738E-2</v>
      </c>
      <c r="D376" s="842">
        <v>43.26</v>
      </c>
      <c r="E376" s="843">
        <f t="shared" si="57"/>
        <v>-1.3904718486437151E-2</v>
      </c>
      <c r="F376" s="842">
        <v>26.51</v>
      </c>
      <c r="G376" s="843">
        <f t="shared" si="57"/>
        <v>-1.1926947446887715E-2</v>
      </c>
      <c r="H376" s="842">
        <v>40.47</v>
      </c>
      <c r="I376" s="843">
        <f t="shared" si="57"/>
        <v>-1.7479970866715155E-2</v>
      </c>
      <c r="J376" s="842">
        <v>74.67</v>
      </c>
      <c r="K376" s="843">
        <f t="shared" si="58"/>
        <v>-1.2432217960587244E-2</v>
      </c>
      <c r="L376" s="842">
        <v>64.930000000000007</v>
      </c>
      <c r="M376" s="843">
        <f t="shared" si="59"/>
        <v>-5.2091313007505136E-3</v>
      </c>
      <c r="N376" s="842">
        <v>58.88</v>
      </c>
      <c r="O376" s="843">
        <f t="shared" si="60"/>
        <v>-1.8339446482160682E-2</v>
      </c>
      <c r="P376" s="844">
        <f t="shared" si="66"/>
        <v>-1.2799115962350742E-2</v>
      </c>
      <c r="Q376" s="830"/>
      <c r="R376" s="845">
        <v>886.96</v>
      </c>
      <c r="S376" s="846">
        <f t="shared" si="61"/>
        <v>-7.9413014786479108E-3</v>
      </c>
      <c r="T376" s="845">
        <v>64.06</v>
      </c>
      <c r="U376" s="846">
        <f t="shared" si="62"/>
        <v>-7.8984048319651334E-3</v>
      </c>
      <c r="V376" s="845">
        <v>121.1442</v>
      </c>
      <c r="W376" s="846">
        <f t="shared" si="63"/>
        <v>-1.0301849921408479E-2</v>
      </c>
      <c r="X376" s="845">
        <v>35307.629999999997</v>
      </c>
      <c r="Y376" s="846">
        <f t="shared" si="64"/>
        <v>7.4345122359087412E-4</v>
      </c>
      <c r="Z376" s="845">
        <v>4489.7183000000005</v>
      </c>
      <c r="AA376" s="846">
        <f t="shared" si="65"/>
        <v>5.7489664216920922E-3</v>
      </c>
      <c r="AB376" s="843"/>
      <c r="AC376" s="832"/>
    </row>
    <row r="377" spans="1:29" ht="14.4" x14ac:dyDescent="0.55000000000000004">
      <c r="A377" s="857" t="s">
        <v>5536</v>
      </c>
      <c r="B377" s="842">
        <v>117.46</v>
      </c>
      <c r="C377" s="843">
        <f t="shared" si="56"/>
        <v>4.2749658002736446E-3</v>
      </c>
      <c r="D377" s="842">
        <v>43.87</v>
      </c>
      <c r="E377" s="843">
        <f t="shared" si="57"/>
        <v>1.2930039251904724E-2</v>
      </c>
      <c r="F377" s="842">
        <v>26.83</v>
      </c>
      <c r="G377" s="843">
        <f t="shared" si="57"/>
        <v>3.7411148522259463E-3</v>
      </c>
      <c r="H377" s="842">
        <v>41.19</v>
      </c>
      <c r="I377" s="843">
        <f t="shared" si="57"/>
        <v>6.8442923490590335E-3</v>
      </c>
      <c r="J377" s="842">
        <v>75.61</v>
      </c>
      <c r="K377" s="843">
        <f t="shared" si="58"/>
        <v>-6.8304216471823942E-3</v>
      </c>
      <c r="L377" s="842">
        <v>65.27</v>
      </c>
      <c r="M377" s="843">
        <f t="shared" si="59"/>
        <v>-8.6573511543136528E-3</v>
      </c>
      <c r="N377" s="842">
        <v>59.98</v>
      </c>
      <c r="O377" s="843">
        <f t="shared" si="60"/>
        <v>0</v>
      </c>
      <c r="P377" s="844">
        <f t="shared" si="66"/>
        <v>1.7575199217096144E-3</v>
      </c>
      <c r="Q377" s="830"/>
      <c r="R377" s="845">
        <v>894.06</v>
      </c>
      <c r="S377" s="846">
        <f t="shared" si="61"/>
        <v>5.476894701919699E-3</v>
      </c>
      <c r="T377" s="845">
        <v>64.569999999999993</v>
      </c>
      <c r="U377" s="846">
        <f t="shared" si="62"/>
        <v>5.4500155714729548E-3</v>
      </c>
      <c r="V377" s="845">
        <v>122.40519999999999</v>
      </c>
      <c r="W377" s="846">
        <f t="shared" si="63"/>
        <v>4.2753730798354983E-3</v>
      </c>
      <c r="X377" s="845">
        <v>35281.4</v>
      </c>
      <c r="Y377" s="846">
        <f t="shared" si="64"/>
        <v>2.9920841251813712E-3</v>
      </c>
      <c r="Z377" s="845">
        <v>4464.0546000000004</v>
      </c>
      <c r="AA377" s="846">
        <f t="shared" si="65"/>
        <v>-1.0696748065064376E-3</v>
      </c>
      <c r="AB377" s="843"/>
      <c r="AC377" s="832"/>
    </row>
    <row r="378" spans="1:29" ht="14.4" x14ac:dyDescent="0.55000000000000004">
      <c r="A378" s="857" t="s">
        <v>5537</v>
      </c>
      <c r="B378" s="842">
        <v>116.96</v>
      </c>
      <c r="C378" s="843">
        <f t="shared" si="56"/>
        <v>-4.4262853251618717E-3</v>
      </c>
      <c r="D378" s="842">
        <v>43.31</v>
      </c>
      <c r="E378" s="843">
        <f t="shared" si="57"/>
        <v>-4.1388825017245612E-3</v>
      </c>
      <c r="F378" s="842">
        <v>26.73</v>
      </c>
      <c r="G378" s="843">
        <f t="shared" si="57"/>
        <v>-9.2661230541141171E-3</v>
      </c>
      <c r="H378" s="842">
        <v>40.909999999999997</v>
      </c>
      <c r="I378" s="843">
        <f t="shared" si="57"/>
        <v>-5.5906660184735779E-3</v>
      </c>
      <c r="J378" s="842">
        <v>76.13</v>
      </c>
      <c r="K378" s="843">
        <f t="shared" si="58"/>
        <v>5.2569325798379474E-4</v>
      </c>
      <c r="L378" s="842">
        <v>65.84</v>
      </c>
      <c r="M378" s="843">
        <f t="shared" si="59"/>
        <v>-2.4014230655202917E-2</v>
      </c>
      <c r="N378" s="842">
        <v>59.98</v>
      </c>
      <c r="O378" s="843">
        <f t="shared" si="60"/>
        <v>-4.3160690571050209E-3</v>
      </c>
      <c r="P378" s="844">
        <f t="shared" si="66"/>
        <v>-7.3180804791140386E-3</v>
      </c>
      <c r="Q378" s="830"/>
      <c r="R378" s="845">
        <v>889.19</v>
      </c>
      <c r="S378" s="846">
        <f t="shared" si="61"/>
        <v>-2.8483958148766142E-3</v>
      </c>
      <c r="T378" s="845">
        <v>64.22</v>
      </c>
      <c r="U378" s="846">
        <f t="shared" si="62"/>
        <v>-3.1046258925799819E-3</v>
      </c>
      <c r="V378" s="845">
        <v>121.8841</v>
      </c>
      <c r="W378" s="846">
        <f t="shared" si="63"/>
        <v>-4.4263473445182999E-3</v>
      </c>
      <c r="X378" s="845">
        <v>35176.15</v>
      </c>
      <c r="Y378" s="846">
        <f t="shared" si="64"/>
        <v>1.5029883245794018E-3</v>
      </c>
      <c r="Z378" s="845">
        <v>4468.8347999999996</v>
      </c>
      <c r="AA378" s="846">
        <f t="shared" si="65"/>
        <v>2.5084416211851313E-4</v>
      </c>
      <c r="AB378" s="843"/>
      <c r="AC378" s="832"/>
    </row>
    <row r="379" spans="1:29" ht="14.4" x14ac:dyDescent="0.55000000000000004">
      <c r="A379" s="857" t="s">
        <v>5538</v>
      </c>
      <c r="B379" s="842">
        <v>117.48</v>
      </c>
      <c r="C379" s="843">
        <f t="shared" si="56"/>
        <v>2.9025098173125485E-3</v>
      </c>
      <c r="D379" s="842">
        <v>43.49</v>
      </c>
      <c r="E379" s="843">
        <f t="shared" si="57"/>
        <v>-4.5966444495504355E-4</v>
      </c>
      <c r="F379" s="842">
        <v>26.98</v>
      </c>
      <c r="G379" s="843">
        <f t="shared" si="57"/>
        <v>8.9753178758416041E-3</v>
      </c>
      <c r="H379" s="842">
        <v>41.14</v>
      </c>
      <c r="I379" s="843">
        <f t="shared" si="57"/>
        <v>5.3763440860215006E-3</v>
      </c>
      <c r="J379" s="842">
        <v>76.09</v>
      </c>
      <c r="K379" s="843">
        <f t="shared" si="58"/>
        <v>-5.0993723849372952E-3</v>
      </c>
      <c r="L379" s="842">
        <v>67.459999999999994</v>
      </c>
      <c r="M379" s="843">
        <f t="shared" si="59"/>
        <v>5.6207922342257577E-2</v>
      </c>
      <c r="N379" s="842">
        <v>60.24</v>
      </c>
      <c r="O379" s="843">
        <f t="shared" si="60"/>
        <v>3.1640299750208545E-3</v>
      </c>
      <c r="P379" s="844">
        <f t="shared" si="66"/>
        <v>1.0152441038080249E-2</v>
      </c>
      <c r="Q379" s="830"/>
      <c r="R379" s="845">
        <v>891.73</v>
      </c>
      <c r="S379" s="846">
        <f t="shared" si="61"/>
        <v>3.3653792221488565E-4</v>
      </c>
      <c r="T379" s="845">
        <v>64.42</v>
      </c>
      <c r="U379" s="846">
        <f t="shared" si="62"/>
        <v>2.1779713752334562E-3</v>
      </c>
      <c r="V379" s="845">
        <v>122.426</v>
      </c>
      <c r="W379" s="846">
        <f t="shared" si="63"/>
        <v>2.9023926102444975E-3</v>
      </c>
      <c r="X379" s="845">
        <v>35123.360000000001</v>
      </c>
      <c r="Y379" s="846">
        <f t="shared" si="64"/>
        <v>-5.412225972964535E-3</v>
      </c>
      <c r="Z379" s="845">
        <v>4467.7141000000001</v>
      </c>
      <c r="AA379" s="846">
        <f t="shared" si="65"/>
        <v>-7.0372404643638253E-3</v>
      </c>
      <c r="AB379" s="843"/>
      <c r="AC379" s="832"/>
    </row>
    <row r="380" spans="1:29" ht="14.4" x14ac:dyDescent="0.55000000000000004">
      <c r="A380" s="857" t="s">
        <v>5539</v>
      </c>
      <c r="B380" s="842">
        <v>117.14</v>
      </c>
      <c r="C380" s="843">
        <f t="shared" si="56"/>
        <v>-7.2040003390116958E-3</v>
      </c>
      <c r="D380" s="842">
        <v>43.51</v>
      </c>
      <c r="E380" s="843">
        <f t="shared" si="57"/>
        <v>-1.8718989625620353E-2</v>
      </c>
      <c r="F380" s="842">
        <v>26.74</v>
      </c>
      <c r="G380" s="843">
        <f t="shared" si="57"/>
        <v>2.624671916010346E-3</v>
      </c>
      <c r="H380" s="842">
        <v>40.92</v>
      </c>
      <c r="I380" s="843">
        <f t="shared" si="57"/>
        <v>-1.0159651669085723E-2</v>
      </c>
      <c r="J380" s="842">
        <v>76.48</v>
      </c>
      <c r="K380" s="843">
        <f t="shared" si="58"/>
        <v>-1.7345496595143173E-2</v>
      </c>
      <c r="L380" s="842">
        <v>63.87</v>
      </c>
      <c r="M380" s="843">
        <f t="shared" si="59"/>
        <v>-7.6134244872592127E-3</v>
      </c>
      <c r="N380" s="842">
        <v>60.05</v>
      </c>
      <c r="O380" s="843">
        <f t="shared" si="60"/>
        <v>-1.2984878369493802E-2</v>
      </c>
      <c r="P380" s="844">
        <f t="shared" si="66"/>
        <v>-1.0200252738514801E-2</v>
      </c>
      <c r="Q380" s="830"/>
      <c r="R380" s="845">
        <v>891.43</v>
      </c>
      <c r="S380" s="846">
        <f t="shared" si="61"/>
        <v>4.4621226633012601E-3</v>
      </c>
      <c r="T380" s="845">
        <v>64.28</v>
      </c>
      <c r="U380" s="846">
        <f t="shared" si="62"/>
        <v>4.6889653016568555E-3</v>
      </c>
      <c r="V380" s="845">
        <v>122.07170000000001</v>
      </c>
      <c r="W380" s="846">
        <f t="shared" si="63"/>
        <v>-7.2041152430717403E-3</v>
      </c>
      <c r="X380" s="845">
        <v>35314.49</v>
      </c>
      <c r="Y380" s="846">
        <f t="shared" si="64"/>
        <v>-4.4721173462843877E-3</v>
      </c>
      <c r="Z380" s="845">
        <v>4499.3773000000001</v>
      </c>
      <c r="AA380" s="846">
        <f t="shared" si="65"/>
        <v>-4.2196168707125947E-3</v>
      </c>
      <c r="AB380" s="843"/>
      <c r="AC380" s="832"/>
    </row>
    <row r="381" spans="1:29" ht="14.4" x14ac:dyDescent="0.55000000000000004">
      <c r="A381" s="857" t="s">
        <v>5540</v>
      </c>
      <c r="B381" s="842">
        <v>117.99</v>
      </c>
      <c r="C381" s="843">
        <f t="shared" si="56"/>
        <v>6.1396776669224717E-3</v>
      </c>
      <c r="D381" s="842">
        <v>44.34</v>
      </c>
      <c r="E381" s="843">
        <f t="shared" si="57"/>
        <v>-4.9371633752244293E-3</v>
      </c>
      <c r="F381" s="842">
        <v>26.67</v>
      </c>
      <c r="G381" s="843">
        <f t="shared" si="57"/>
        <v>6.0354583176160936E-3</v>
      </c>
      <c r="H381" s="842">
        <v>41.34</v>
      </c>
      <c r="I381" s="843">
        <f t="shared" si="57"/>
        <v>2.4195499637080786E-4</v>
      </c>
      <c r="J381" s="842">
        <v>77.83</v>
      </c>
      <c r="K381" s="843">
        <f t="shared" si="58"/>
        <v>4.7766589207334231E-3</v>
      </c>
      <c r="L381" s="842">
        <v>64.36</v>
      </c>
      <c r="M381" s="843">
        <f t="shared" si="59"/>
        <v>3.4299968818209958E-3</v>
      </c>
      <c r="N381" s="842">
        <v>60.84</v>
      </c>
      <c r="O381" s="843">
        <f t="shared" si="60"/>
        <v>1.1518841533650903E-3</v>
      </c>
      <c r="P381" s="844">
        <f t="shared" si="66"/>
        <v>2.4054953659434935E-3</v>
      </c>
      <c r="Q381" s="830"/>
      <c r="R381" s="845">
        <v>887.47</v>
      </c>
      <c r="S381" s="846">
        <f t="shared" si="61"/>
        <v>1.5800106086425458E-3</v>
      </c>
      <c r="T381" s="845">
        <v>63.98</v>
      </c>
      <c r="U381" s="846">
        <f t="shared" si="62"/>
        <v>-1.5627441787791074E-4</v>
      </c>
      <c r="V381" s="845">
        <v>122.9575</v>
      </c>
      <c r="W381" s="846">
        <f t="shared" si="63"/>
        <v>6.1395727911284226E-3</v>
      </c>
      <c r="X381" s="845">
        <v>35473.129999999997</v>
      </c>
      <c r="Y381" s="846">
        <f t="shared" si="64"/>
        <v>1.1621354477690637E-2</v>
      </c>
      <c r="Z381" s="845">
        <v>4518.4434000000001</v>
      </c>
      <c r="AA381" s="846">
        <f t="shared" si="65"/>
        <v>9.0239604712227806E-3</v>
      </c>
      <c r="AB381" s="843"/>
      <c r="AC381" s="832"/>
    </row>
    <row r="382" spans="1:29" ht="14.4" x14ac:dyDescent="0.55000000000000004">
      <c r="A382" s="857" t="s">
        <v>5541</v>
      </c>
      <c r="B382" s="842">
        <v>117.27</v>
      </c>
      <c r="C382" s="843">
        <f t="shared" si="56"/>
        <v>-9.0417441270914667E-3</v>
      </c>
      <c r="D382" s="842">
        <v>44.56</v>
      </c>
      <c r="E382" s="843">
        <f t="shared" si="57"/>
        <v>5.8690744920995019E-3</v>
      </c>
      <c r="F382" s="842">
        <v>26.51</v>
      </c>
      <c r="G382" s="843">
        <f t="shared" si="57"/>
        <v>-1.6326530612244761E-2</v>
      </c>
      <c r="H382" s="842">
        <v>41.33</v>
      </c>
      <c r="I382" s="843">
        <f t="shared" si="57"/>
        <v>-2.7071563088512218E-2</v>
      </c>
      <c r="J382" s="842">
        <v>77.459999999999994</v>
      </c>
      <c r="K382" s="843">
        <f t="shared" si="58"/>
        <v>-7.4320861096874857E-3</v>
      </c>
      <c r="L382" s="842">
        <v>64.14</v>
      </c>
      <c r="M382" s="843">
        <f t="shared" si="59"/>
        <v>-8.1954538425854651E-3</v>
      </c>
      <c r="N382" s="842">
        <v>60.77</v>
      </c>
      <c r="O382" s="843">
        <f t="shared" si="60"/>
        <v>1.4831905075807228E-3</v>
      </c>
      <c r="P382" s="844">
        <f t="shared" si="66"/>
        <v>-8.6735875400630238E-3</v>
      </c>
      <c r="Q382" s="830"/>
      <c r="R382" s="845">
        <v>886.07</v>
      </c>
      <c r="S382" s="846">
        <f t="shared" si="61"/>
        <v>-1.1854577896732499E-2</v>
      </c>
      <c r="T382" s="845">
        <v>63.99</v>
      </c>
      <c r="U382" s="846">
        <f t="shared" si="62"/>
        <v>-1.1584800741427093E-2</v>
      </c>
      <c r="V382" s="845">
        <v>122.2072</v>
      </c>
      <c r="W382" s="846">
        <f t="shared" si="63"/>
        <v>-9.0413567062539446E-3</v>
      </c>
      <c r="X382" s="845">
        <v>35065.620000000003</v>
      </c>
      <c r="Y382" s="846">
        <f t="shared" si="64"/>
        <v>-4.2671078311522503E-3</v>
      </c>
      <c r="Z382" s="845">
        <v>4478.0338000000002</v>
      </c>
      <c r="AA382" s="846">
        <f t="shared" si="65"/>
        <v>-5.2982020400916818E-3</v>
      </c>
      <c r="AB382" s="843"/>
      <c r="AC382" s="832"/>
    </row>
    <row r="383" spans="1:29" ht="14.4" x14ac:dyDescent="0.55000000000000004">
      <c r="A383" s="857" t="s">
        <v>5542</v>
      </c>
      <c r="B383" s="842">
        <v>118.34</v>
      </c>
      <c r="C383" s="843">
        <f t="shared" si="56"/>
        <v>-2.5847876193612174E-2</v>
      </c>
      <c r="D383" s="842">
        <v>44.3</v>
      </c>
      <c r="E383" s="843">
        <f t="shared" si="57"/>
        <v>9.571558796718227E-3</v>
      </c>
      <c r="F383" s="842">
        <v>26.95</v>
      </c>
      <c r="G383" s="843">
        <f t="shared" si="57"/>
        <v>-2.7426921688921024E-2</v>
      </c>
      <c r="H383" s="842">
        <v>42.48</v>
      </c>
      <c r="I383" s="843">
        <f t="shared" si="57"/>
        <v>9.5057034220531467E-3</v>
      </c>
      <c r="J383" s="842">
        <v>78.040000000000006</v>
      </c>
      <c r="K383" s="843">
        <f t="shared" si="58"/>
        <v>-1.6385177716158217E-2</v>
      </c>
      <c r="L383" s="842">
        <v>64.67</v>
      </c>
      <c r="M383" s="843">
        <f t="shared" si="59"/>
        <v>-1.0405508798775664E-2</v>
      </c>
      <c r="N383" s="842">
        <v>60.68</v>
      </c>
      <c r="O383" s="843">
        <f t="shared" si="60"/>
        <v>-1.0759700032605179E-2</v>
      </c>
      <c r="P383" s="844">
        <f t="shared" si="66"/>
        <v>-1.0249703173042983E-2</v>
      </c>
      <c r="Q383" s="830"/>
      <c r="R383" s="845">
        <v>896.7</v>
      </c>
      <c r="S383" s="846">
        <f t="shared" si="61"/>
        <v>-2.6490066225165587E-2</v>
      </c>
      <c r="T383" s="845">
        <v>64.739999999999995</v>
      </c>
      <c r="U383" s="846">
        <f t="shared" si="62"/>
        <v>-2.2792452830188714E-2</v>
      </c>
      <c r="V383" s="845">
        <v>123.3222</v>
      </c>
      <c r="W383" s="846">
        <f t="shared" si="63"/>
        <v>-2.5847904804635946E-2</v>
      </c>
      <c r="X383" s="845">
        <v>35215.89</v>
      </c>
      <c r="Y383" s="846">
        <f t="shared" si="64"/>
        <v>-1.8884705514231603E-3</v>
      </c>
      <c r="Z383" s="845">
        <v>4501.8856999999998</v>
      </c>
      <c r="AA383" s="846">
        <f t="shared" si="65"/>
        <v>-2.5497885305335588E-3</v>
      </c>
      <c r="AB383" s="843"/>
      <c r="AC383" s="832"/>
    </row>
    <row r="384" spans="1:29" ht="14.4" x14ac:dyDescent="0.55000000000000004">
      <c r="A384" s="857" t="s">
        <v>5543</v>
      </c>
      <c r="B384" s="842">
        <v>121.48</v>
      </c>
      <c r="C384" s="843">
        <f t="shared" si="56"/>
        <v>3.4693540393193611E-3</v>
      </c>
      <c r="D384" s="842">
        <v>43.88</v>
      </c>
      <c r="E384" s="843">
        <f t="shared" si="57"/>
        <v>0</v>
      </c>
      <c r="F384" s="842">
        <v>27.71</v>
      </c>
      <c r="G384" s="843">
        <f t="shared" si="57"/>
        <v>8.3697234352255734E-3</v>
      </c>
      <c r="H384" s="842">
        <v>42.08</v>
      </c>
      <c r="I384" s="843">
        <f t="shared" si="57"/>
        <v>-4.023668639053346E-3</v>
      </c>
      <c r="J384" s="842">
        <v>79.34</v>
      </c>
      <c r="K384" s="843">
        <f t="shared" si="58"/>
        <v>1.678841471229009E-2</v>
      </c>
      <c r="L384" s="842">
        <v>65.349999999999994</v>
      </c>
      <c r="M384" s="843">
        <f t="shared" si="59"/>
        <v>-8.1954773106693857E-3</v>
      </c>
      <c r="N384" s="842">
        <v>61.34</v>
      </c>
      <c r="O384" s="843">
        <f t="shared" si="60"/>
        <v>-1.1442385173247249E-2</v>
      </c>
      <c r="P384" s="844">
        <f t="shared" si="66"/>
        <v>7.0942300912357759E-4</v>
      </c>
      <c r="Q384" s="830"/>
      <c r="R384" s="845">
        <v>921.1</v>
      </c>
      <c r="S384" s="846">
        <f t="shared" si="61"/>
        <v>1.4677901603696863E-3</v>
      </c>
      <c r="T384" s="845">
        <v>66.25</v>
      </c>
      <c r="U384" s="846">
        <f t="shared" si="62"/>
        <v>0</v>
      </c>
      <c r="V384" s="845">
        <v>126.59439999999999</v>
      </c>
      <c r="W384" s="846">
        <f t="shared" si="63"/>
        <v>3.4694946839921581E-3</v>
      </c>
      <c r="X384" s="845">
        <v>35282.519999999997</v>
      </c>
      <c r="Y384" s="846">
        <f t="shared" si="64"/>
        <v>-9.7713543496785737E-3</v>
      </c>
      <c r="Z384" s="845">
        <v>4513.3939</v>
      </c>
      <c r="AA384" s="846">
        <f t="shared" si="65"/>
        <v>-1.3838550902246949E-2</v>
      </c>
      <c r="AB384" s="843"/>
      <c r="AC384" s="832"/>
    </row>
    <row r="385" spans="1:29" ht="14.4" x14ac:dyDescent="0.55000000000000004">
      <c r="A385" s="857" t="s">
        <v>5544</v>
      </c>
      <c r="B385" s="842">
        <v>121.06</v>
      </c>
      <c r="C385" s="843">
        <f t="shared" si="56"/>
        <v>-5.3405636348696772E-3</v>
      </c>
      <c r="D385" s="842">
        <v>43.88</v>
      </c>
      <c r="E385" s="843">
        <f t="shared" si="57"/>
        <v>-1.8344519015659921E-2</v>
      </c>
      <c r="F385" s="842">
        <v>27.48</v>
      </c>
      <c r="G385" s="843">
        <f t="shared" si="57"/>
        <v>-1.2931034482758563E-2</v>
      </c>
      <c r="H385" s="842">
        <v>42.25</v>
      </c>
      <c r="I385" s="843">
        <f t="shared" si="57"/>
        <v>-1.6755876192692587E-2</v>
      </c>
      <c r="J385" s="842">
        <v>78.03</v>
      </c>
      <c r="K385" s="843">
        <f t="shared" si="58"/>
        <v>-1.3901175281182843E-2</v>
      </c>
      <c r="L385" s="842">
        <v>65.89</v>
      </c>
      <c r="M385" s="843">
        <f t="shared" si="59"/>
        <v>-7.5826508947518523E-4</v>
      </c>
      <c r="N385" s="842">
        <v>62.05</v>
      </c>
      <c r="O385" s="843">
        <f t="shared" si="60"/>
        <v>-2.3910649677520879E-2</v>
      </c>
      <c r="P385" s="844">
        <f t="shared" si="66"/>
        <v>-1.3134583339165664E-2</v>
      </c>
      <c r="Q385" s="830"/>
      <c r="R385" s="845">
        <v>919.75</v>
      </c>
      <c r="S385" s="846">
        <f t="shared" si="61"/>
        <v>-1.2317175318399598E-2</v>
      </c>
      <c r="T385" s="845">
        <v>66.25</v>
      </c>
      <c r="U385" s="846">
        <f t="shared" si="62"/>
        <v>-1.2226032503354634E-2</v>
      </c>
      <c r="V385" s="845">
        <v>126.1567</v>
      </c>
      <c r="W385" s="846">
        <f t="shared" si="63"/>
        <v>-5.3408349962668078E-3</v>
      </c>
      <c r="X385" s="845">
        <v>35630.68</v>
      </c>
      <c r="Y385" s="846">
        <f t="shared" si="64"/>
        <v>2.0008700902403032E-3</v>
      </c>
      <c r="Z385" s="845">
        <v>4576.7291999999998</v>
      </c>
      <c r="AA385" s="846">
        <f t="shared" si="65"/>
        <v>-2.6655052708990379E-3</v>
      </c>
      <c r="AB385" s="843"/>
      <c r="AC385" s="832"/>
    </row>
    <row r="386" spans="1:29" ht="14.4" x14ac:dyDescent="0.55000000000000004">
      <c r="A386" s="857" t="s">
        <v>5545</v>
      </c>
      <c r="B386" s="842">
        <v>121.71</v>
      </c>
      <c r="C386" s="843">
        <f t="shared" si="56"/>
        <v>-3.1941031941031817E-3</v>
      </c>
      <c r="D386" s="842">
        <v>44.7</v>
      </c>
      <c r="E386" s="843">
        <f t="shared" si="57"/>
        <v>1.3440860215054862E-3</v>
      </c>
      <c r="F386" s="842">
        <v>27.84</v>
      </c>
      <c r="G386" s="843">
        <f t="shared" si="57"/>
        <v>3.2432432432432101E-3</v>
      </c>
      <c r="H386" s="842">
        <v>42.97</v>
      </c>
      <c r="I386" s="843">
        <f t="shared" si="57"/>
        <v>-6.9332100762654614E-3</v>
      </c>
      <c r="J386" s="842">
        <v>79.13</v>
      </c>
      <c r="K386" s="843">
        <f t="shared" si="58"/>
        <v>-2.2695750851091656E-3</v>
      </c>
      <c r="L386" s="842">
        <v>65.94</v>
      </c>
      <c r="M386" s="843">
        <f t="shared" si="59"/>
        <v>1.823154056517895E-3</v>
      </c>
      <c r="N386" s="842">
        <v>63.57</v>
      </c>
      <c r="O386" s="843">
        <f t="shared" si="60"/>
        <v>2.3651844843897152E-3</v>
      </c>
      <c r="P386" s="844">
        <f t="shared" si="66"/>
        <v>-5.1731722140307176E-4</v>
      </c>
      <c r="Q386" s="830"/>
      <c r="R386" s="845">
        <v>931.22</v>
      </c>
      <c r="S386" s="846">
        <f t="shared" si="61"/>
        <v>-1.6296073932714483E-3</v>
      </c>
      <c r="T386" s="845">
        <v>67.069999999999993</v>
      </c>
      <c r="U386" s="846">
        <f t="shared" si="62"/>
        <v>4.4749403341270977E-4</v>
      </c>
      <c r="V386" s="845">
        <v>126.83410000000001</v>
      </c>
      <c r="W386" s="846">
        <f t="shared" si="63"/>
        <v>-3.193951611318635E-3</v>
      </c>
      <c r="X386" s="845">
        <v>35559.53</v>
      </c>
      <c r="Y386" s="846">
        <f t="shared" si="64"/>
        <v>2.8269037535719743E-3</v>
      </c>
      <c r="Z386" s="845">
        <v>4588.9611000000004</v>
      </c>
      <c r="AA386" s="846">
        <f t="shared" si="65"/>
        <v>1.4686731331088332E-3</v>
      </c>
      <c r="AB386" s="843"/>
      <c r="AC386" s="832"/>
    </row>
    <row r="387" spans="1:29" ht="14.4" x14ac:dyDescent="0.55000000000000004">
      <c r="A387" s="857" t="s">
        <v>5546</v>
      </c>
      <c r="B387" s="842">
        <v>122.1</v>
      </c>
      <c r="C387" s="843">
        <f t="shared" si="56"/>
        <v>-1.3086864060199987E-3</v>
      </c>
      <c r="D387" s="842">
        <v>44.64</v>
      </c>
      <c r="E387" s="843">
        <f t="shared" si="57"/>
        <v>-8.9525514771704451E-4</v>
      </c>
      <c r="F387" s="842">
        <v>27.75</v>
      </c>
      <c r="G387" s="843">
        <f t="shared" si="57"/>
        <v>-8.2201572551823254E-3</v>
      </c>
      <c r="H387" s="842">
        <v>43.27</v>
      </c>
      <c r="I387" s="843">
        <f t="shared" si="57"/>
        <v>-9.3864468864468531E-3</v>
      </c>
      <c r="J387" s="842">
        <v>79.31</v>
      </c>
      <c r="K387" s="843">
        <f t="shared" si="58"/>
        <v>-2.0133383666791627E-3</v>
      </c>
      <c r="L387" s="842">
        <v>65.819999999999993</v>
      </c>
      <c r="M387" s="843">
        <f t="shared" si="59"/>
        <v>2.2841480127910874E-3</v>
      </c>
      <c r="N387" s="842">
        <v>63.42</v>
      </c>
      <c r="O387" s="843">
        <f t="shared" si="60"/>
        <v>-7.3563938018469388E-3</v>
      </c>
      <c r="P387" s="844">
        <f t="shared" si="66"/>
        <v>-3.8423042644430338E-3</v>
      </c>
      <c r="Q387" s="830"/>
      <c r="R387" s="845">
        <v>932.74</v>
      </c>
      <c r="S387" s="846">
        <f t="shared" si="61"/>
        <v>-1.2207135820447856E-3</v>
      </c>
      <c r="T387" s="845">
        <v>67.040000000000006</v>
      </c>
      <c r="U387" s="846">
        <f t="shared" si="62"/>
        <v>-2.2324750706949059E-3</v>
      </c>
      <c r="V387" s="845">
        <v>127.2405</v>
      </c>
      <c r="W387" s="846">
        <f t="shared" si="63"/>
        <v>-1.3091871501869079E-3</v>
      </c>
      <c r="X387" s="845">
        <v>35459.29</v>
      </c>
      <c r="Y387" s="846">
        <f t="shared" si="64"/>
        <v>5.0044327648208764E-3</v>
      </c>
      <c r="Z387" s="845">
        <v>4582.2313000000004</v>
      </c>
      <c r="AA387" s="846">
        <f t="shared" si="65"/>
        <v>9.8777455050973462E-3</v>
      </c>
      <c r="AB387" s="843"/>
      <c r="AC387" s="832"/>
    </row>
    <row r="388" spans="1:29" ht="14.4" x14ac:dyDescent="0.55000000000000004">
      <c r="A388" s="857" t="s">
        <v>5547</v>
      </c>
      <c r="B388" s="842">
        <v>122.26</v>
      </c>
      <c r="C388" s="843">
        <f t="shared" si="56"/>
        <v>-1.7281569005706876E-2</v>
      </c>
      <c r="D388" s="842">
        <v>44.68</v>
      </c>
      <c r="E388" s="843">
        <f t="shared" si="57"/>
        <v>-3.2900432900432985E-2</v>
      </c>
      <c r="F388" s="842">
        <v>27.98</v>
      </c>
      <c r="G388" s="843">
        <f t="shared" si="57"/>
        <v>-1.5828350334154084E-2</v>
      </c>
      <c r="H388" s="842">
        <v>43.68</v>
      </c>
      <c r="I388" s="843">
        <f t="shared" si="57"/>
        <v>-2.2162525184687754E-2</v>
      </c>
      <c r="J388" s="842">
        <v>79.47</v>
      </c>
      <c r="K388" s="843">
        <f t="shared" si="58"/>
        <v>-2.3590121636564709E-2</v>
      </c>
      <c r="L388" s="842">
        <v>65.67</v>
      </c>
      <c r="M388" s="843">
        <f t="shared" si="59"/>
        <v>-2.4799524799524852E-2</v>
      </c>
      <c r="N388" s="842">
        <v>63.89</v>
      </c>
      <c r="O388" s="843">
        <f t="shared" si="60"/>
        <v>-2.0692826486817806E-2</v>
      </c>
      <c r="P388" s="844">
        <f t="shared" si="66"/>
        <v>-2.2465050049698437E-2</v>
      </c>
      <c r="Q388" s="830"/>
      <c r="R388" s="845">
        <v>933.88</v>
      </c>
      <c r="S388" s="846">
        <f t="shared" si="61"/>
        <v>-1.584959743708636E-2</v>
      </c>
      <c r="T388" s="845">
        <v>67.19</v>
      </c>
      <c r="U388" s="846">
        <f t="shared" si="62"/>
        <v>-1.7690058479532311E-2</v>
      </c>
      <c r="V388" s="845">
        <v>127.40730000000001</v>
      </c>
      <c r="W388" s="846">
        <f t="shared" si="63"/>
        <v>-1.7281434779456206E-2</v>
      </c>
      <c r="X388" s="845">
        <v>35282.720000000001</v>
      </c>
      <c r="Y388" s="846">
        <f t="shared" si="64"/>
        <v>-6.683535979045141E-3</v>
      </c>
      <c r="Z388" s="845">
        <v>4537.4119000000001</v>
      </c>
      <c r="AA388" s="846">
        <f t="shared" si="65"/>
        <v>-6.4246540927547224E-3</v>
      </c>
      <c r="AB388" s="843"/>
      <c r="AC388" s="832"/>
    </row>
    <row r="389" spans="1:29" ht="14.4" x14ac:dyDescent="0.55000000000000004">
      <c r="A389" s="857" t="s">
        <v>5548</v>
      </c>
      <c r="B389" s="842">
        <v>124.41</v>
      </c>
      <c r="C389" s="843">
        <f t="shared" si="56"/>
        <v>4.521598708114638E-3</v>
      </c>
      <c r="D389" s="842">
        <v>46.2</v>
      </c>
      <c r="E389" s="843">
        <f t="shared" si="57"/>
        <v>8.0733144228672948E-3</v>
      </c>
      <c r="F389" s="842">
        <v>28.43</v>
      </c>
      <c r="G389" s="843">
        <f t="shared" si="57"/>
        <v>1.1024182076813549E-2</v>
      </c>
      <c r="H389" s="842">
        <v>44.67</v>
      </c>
      <c r="I389" s="843">
        <f t="shared" si="57"/>
        <v>5.1755175517551599E-3</v>
      </c>
      <c r="J389" s="842">
        <v>81.39</v>
      </c>
      <c r="K389" s="843">
        <f t="shared" si="58"/>
        <v>7.177329538423427E-3</v>
      </c>
      <c r="L389" s="842">
        <v>67.34</v>
      </c>
      <c r="M389" s="843">
        <f t="shared" si="59"/>
        <v>1.1262952395254544E-2</v>
      </c>
      <c r="N389" s="842">
        <v>65.239999999999995</v>
      </c>
      <c r="O389" s="843">
        <f t="shared" si="60"/>
        <v>1.3814274750574285E-3</v>
      </c>
      <c r="P389" s="844">
        <f t="shared" si="66"/>
        <v>6.9451888811837203E-3</v>
      </c>
      <c r="Q389" s="830"/>
      <c r="R389" s="845">
        <v>948.92</v>
      </c>
      <c r="S389" s="846">
        <f t="shared" si="61"/>
        <v>4.0799845656391831E-4</v>
      </c>
      <c r="T389" s="845">
        <v>68.400000000000006</v>
      </c>
      <c r="U389" s="846">
        <f t="shared" si="62"/>
        <v>0</v>
      </c>
      <c r="V389" s="845">
        <v>129.64779999999999</v>
      </c>
      <c r="W389" s="846">
        <f t="shared" si="63"/>
        <v>4.5217806332040755E-3</v>
      </c>
      <c r="X389" s="845">
        <v>35520.120000000003</v>
      </c>
      <c r="Y389" s="846">
        <f t="shared" si="64"/>
        <v>2.3154339505355725E-3</v>
      </c>
      <c r="Z389" s="845">
        <v>4566.7516999999998</v>
      </c>
      <c r="AA389" s="846">
        <f t="shared" si="65"/>
        <v>-1.5588520167120201E-4</v>
      </c>
      <c r="AB389" s="843"/>
      <c r="AC389" s="832"/>
    </row>
    <row r="390" spans="1:29" ht="14.4" x14ac:dyDescent="0.55000000000000004">
      <c r="A390" s="857" t="s">
        <v>5549</v>
      </c>
      <c r="B390" s="842">
        <v>123.85</v>
      </c>
      <c r="C390" s="843">
        <f t="shared" si="56"/>
        <v>5.5208248761873246E-3</v>
      </c>
      <c r="D390" s="842">
        <v>45.83</v>
      </c>
      <c r="E390" s="843">
        <f t="shared" si="57"/>
        <v>-9.7234226447709959E-3</v>
      </c>
      <c r="F390" s="842">
        <v>28.12</v>
      </c>
      <c r="G390" s="843">
        <f t="shared" si="57"/>
        <v>2.495543672014211E-3</v>
      </c>
      <c r="H390" s="842">
        <v>44.44</v>
      </c>
      <c r="I390" s="843">
        <f t="shared" si="57"/>
        <v>2.7075812274368616E-3</v>
      </c>
      <c r="J390" s="842">
        <v>80.81</v>
      </c>
      <c r="K390" s="843">
        <f t="shared" si="58"/>
        <v>2.3567353014140036E-3</v>
      </c>
      <c r="L390" s="842">
        <v>66.59</v>
      </c>
      <c r="M390" s="843">
        <f t="shared" si="59"/>
        <v>3.9197949645710661E-3</v>
      </c>
      <c r="N390" s="842">
        <v>65.150000000000006</v>
      </c>
      <c r="O390" s="843">
        <f t="shared" si="60"/>
        <v>-3.3654581612360124E-3</v>
      </c>
      <c r="P390" s="844">
        <f t="shared" si="66"/>
        <v>5.5879989080235128E-4</v>
      </c>
      <c r="Q390" s="830"/>
      <c r="R390" s="845">
        <v>948.53300000000002</v>
      </c>
      <c r="S390" s="846">
        <f t="shared" si="61"/>
        <v>2.3173489443539808E-3</v>
      </c>
      <c r="T390" s="845">
        <v>68.400000000000006</v>
      </c>
      <c r="U390" s="846">
        <f t="shared" si="62"/>
        <v>1.7574692442883233E-3</v>
      </c>
      <c r="V390" s="845">
        <v>129.0642</v>
      </c>
      <c r="W390" s="846">
        <f t="shared" si="63"/>
        <v>5.5206005815093828E-3</v>
      </c>
      <c r="X390" s="845">
        <v>35438.065499999997</v>
      </c>
      <c r="Y390" s="846">
        <f t="shared" si="64"/>
        <v>7.5754195560495674E-4</v>
      </c>
      <c r="Z390" s="845">
        <v>4567.4637000000002</v>
      </c>
      <c r="AA390" s="846">
        <f t="shared" si="65"/>
        <v>2.8149959698264837E-3</v>
      </c>
      <c r="AB390" s="843"/>
      <c r="AC390" s="832"/>
    </row>
    <row r="391" spans="1:29" ht="14.4" x14ac:dyDescent="0.55000000000000004">
      <c r="A391" s="857" t="s">
        <v>5550</v>
      </c>
      <c r="B391" s="842">
        <v>123.17</v>
      </c>
      <c r="C391" s="843">
        <f t="shared" si="56"/>
        <v>-8.9227774172617735E-4</v>
      </c>
      <c r="D391" s="842">
        <v>46.28</v>
      </c>
      <c r="E391" s="843">
        <f t="shared" si="57"/>
        <v>-3.2306698255437638E-3</v>
      </c>
      <c r="F391" s="842">
        <v>28.05</v>
      </c>
      <c r="G391" s="843">
        <f t="shared" si="57"/>
        <v>-1.0683760683759536E-3</v>
      </c>
      <c r="H391" s="842">
        <v>44.32</v>
      </c>
      <c r="I391" s="843">
        <f t="shared" si="57"/>
        <v>3.8505096262742011E-3</v>
      </c>
      <c r="J391" s="842">
        <v>80.62</v>
      </c>
      <c r="K391" s="843">
        <f t="shared" si="58"/>
        <v>1.2405408758220382E-4</v>
      </c>
      <c r="L391" s="842">
        <v>66.33</v>
      </c>
      <c r="M391" s="843">
        <f t="shared" si="59"/>
        <v>9.5890410958903161E-3</v>
      </c>
      <c r="N391" s="842">
        <v>65.37</v>
      </c>
      <c r="O391" s="843">
        <f t="shared" si="60"/>
        <v>2.1462517246666479E-3</v>
      </c>
      <c r="P391" s="844">
        <f t="shared" si="66"/>
        <v>1.5026475569667821E-3</v>
      </c>
      <c r="Q391" s="830"/>
      <c r="R391" s="845">
        <v>946.34</v>
      </c>
      <c r="S391" s="846">
        <f t="shared" si="61"/>
        <v>-2.4876146305470304E-3</v>
      </c>
      <c r="T391" s="845">
        <v>68.28</v>
      </c>
      <c r="U391" s="846">
        <f t="shared" si="62"/>
        <v>-2.6292725679227802E-3</v>
      </c>
      <c r="V391" s="845">
        <v>128.35560000000001</v>
      </c>
      <c r="W391" s="846">
        <f t="shared" si="63"/>
        <v>-8.9203566274509427E-4</v>
      </c>
      <c r="X391" s="845">
        <v>35411.24</v>
      </c>
      <c r="Y391" s="846">
        <f t="shared" si="64"/>
        <v>5.2103898949944494E-3</v>
      </c>
      <c r="Z391" s="845">
        <v>4554.6423999999997</v>
      </c>
      <c r="AA391" s="846">
        <f t="shared" si="65"/>
        <v>4.0349502137020377E-3</v>
      </c>
      <c r="AB391" s="843"/>
      <c r="AC391" s="832"/>
    </row>
    <row r="392" spans="1:29" ht="14.4" x14ac:dyDescent="0.55000000000000004">
      <c r="A392" s="857" t="s">
        <v>5551</v>
      </c>
      <c r="B392" s="842">
        <v>123.28</v>
      </c>
      <c r="C392" s="843">
        <f t="shared" ref="C392:C455" si="67">IFERROR(((B392/B393)-1), "NA")</f>
        <v>9.0031101653298418E-3</v>
      </c>
      <c r="D392" s="842">
        <v>46.43</v>
      </c>
      <c r="E392" s="843">
        <f t="shared" ref="E392:I455" si="68">IFERROR(((D392/D393)-1), "NA")</f>
        <v>-4.9292756108014757E-3</v>
      </c>
      <c r="F392" s="842">
        <v>28.08</v>
      </c>
      <c r="G392" s="843">
        <f t="shared" si="68"/>
        <v>2.1413276231263545E-3</v>
      </c>
      <c r="H392" s="842">
        <v>44.15</v>
      </c>
      <c r="I392" s="843">
        <f t="shared" si="68"/>
        <v>-3.3860045146726359E-3</v>
      </c>
      <c r="J392" s="842">
        <v>80.61</v>
      </c>
      <c r="K392" s="843">
        <f t="shared" ref="K392:K455" si="69">IFERROR(((J392/J393)-1), "NA")</f>
        <v>6.4926957173179201E-3</v>
      </c>
      <c r="L392" s="842">
        <v>65.7</v>
      </c>
      <c r="M392" s="843">
        <f t="shared" ref="M392:M455" si="70">IFERROR(((L392/L393)-1), "NA")</f>
        <v>-1.5197568389057059E-3</v>
      </c>
      <c r="N392" s="842">
        <v>65.23</v>
      </c>
      <c r="O392" s="843">
        <f t="shared" ref="O392:O455" si="71">IFERROR(((N392/N393)-1), "NA")</f>
        <v>-3.0567018187376283E-3</v>
      </c>
      <c r="P392" s="844">
        <f t="shared" si="66"/>
        <v>6.7791353180809576E-4</v>
      </c>
      <c r="Q392" s="830"/>
      <c r="R392" s="845">
        <v>948.7</v>
      </c>
      <c r="S392" s="846">
        <f t="shared" ref="S392:S455" si="72">IFERROR(((R392/R393)-1), "NA")</f>
        <v>1.3384321223709472E-2</v>
      </c>
      <c r="T392" s="845">
        <v>68.459999999999994</v>
      </c>
      <c r="U392" s="846">
        <f t="shared" ref="U392:U455" si="73">IFERROR(((T392/T393)-1), "NA")</f>
        <v>1.4974054855448449E-2</v>
      </c>
      <c r="V392" s="845">
        <v>128.47020000000001</v>
      </c>
      <c r="W392" s="846">
        <f t="shared" ref="W392:W455" si="74">IFERROR(((V392/V393)-1), "NA")</f>
        <v>9.0030229988242727E-3</v>
      </c>
      <c r="X392" s="845">
        <v>35227.69</v>
      </c>
      <c r="Y392" s="846">
        <f t="shared" ref="Y392:Y455" si="75">IFERROR(((X392/X393)-1), "NA")</f>
        <v>7.1255845960349617E-5</v>
      </c>
      <c r="Z392" s="845">
        <v>4536.3384999999998</v>
      </c>
      <c r="AA392" s="846">
        <f t="shared" ref="AA392:AA455" si="76">IFERROR(((Z392/Z393)-1), "NA")</f>
        <v>3.2435346072734461E-4</v>
      </c>
      <c r="AB392" s="843"/>
      <c r="AC392" s="832"/>
    </row>
    <row r="393" spans="1:29" ht="14.4" x14ac:dyDescent="0.55000000000000004">
      <c r="A393" s="857" t="s">
        <v>5552</v>
      </c>
      <c r="B393" s="842">
        <v>122.18</v>
      </c>
      <c r="C393" s="843">
        <f t="shared" si="67"/>
        <v>8.3353965503012439E-3</v>
      </c>
      <c r="D393" s="842">
        <v>46.66</v>
      </c>
      <c r="E393" s="843">
        <f t="shared" si="68"/>
        <v>1.0612952133419951E-2</v>
      </c>
      <c r="F393" s="842">
        <v>28.02</v>
      </c>
      <c r="G393" s="843">
        <f t="shared" si="68"/>
        <v>1.1552346570397054E-2</v>
      </c>
      <c r="H393" s="842">
        <v>44.3</v>
      </c>
      <c r="I393" s="843">
        <f t="shared" si="68"/>
        <v>2.2150438394093142E-2</v>
      </c>
      <c r="J393" s="842">
        <v>80.09</v>
      </c>
      <c r="K393" s="843">
        <f t="shared" si="69"/>
        <v>1.6499555781190445E-2</v>
      </c>
      <c r="L393" s="842">
        <v>65.8</v>
      </c>
      <c r="M393" s="843">
        <f t="shared" si="70"/>
        <v>1.6059295861642786E-2</v>
      </c>
      <c r="N393" s="842">
        <v>65.430000000000007</v>
      </c>
      <c r="O393" s="843">
        <f t="shared" si="71"/>
        <v>1.8048856387117063E-2</v>
      </c>
      <c r="P393" s="844">
        <f t="shared" ref="P393:P456" si="77">IFERROR(AVERAGE(C393,E393,G393,I393,M393,K393,O393),"NA")</f>
        <v>1.4751263096880241E-2</v>
      </c>
      <c r="Q393" s="830"/>
      <c r="R393" s="845">
        <v>936.17</v>
      </c>
      <c r="S393" s="846">
        <f t="shared" si="72"/>
        <v>1.7830544592669861E-2</v>
      </c>
      <c r="T393" s="845">
        <v>67.45</v>
      </c>
      <c r="U393" s="846">
        <f t="shared" si="73"/>
        <v>1.8266908212560606E-2</v>
      </c>
      <c r="V393" s="845">
        <v>127.32389999999999</v>
      </c>
      <c r="W393" s="846">
        <f t="shared" si="74"/>
        <v>8.335220802176968E-3</v>
      </c>
      <c r="X393" s="845">
        <v>35225.18</v>
      </c>
      <c r="Y393" s="846">
        <f t="shared" si="75"/>
        <v>4.6766783006062518E-3</v>
      </c>
      <c r="Z393" s="845">
        <v>4534.8675999999996</v>
      </c>
      <c r="AA393" s="846">
        <f t="shared" si="76"/>
        <v>-6.7566829102647663E-3</v>
      </c>
      <c r="AB393" s="843"/>
      <c r="AC393" s="832"/>
    </row>
    <row r="394" spans="1:29" ht="14.4" x14ac:dyDescent="0.55000000000000004">
      <c r="A394" s="857" t="s">
        <v>5553</v>
      </c>
      <c r="B394" s="842">
        <v>121.17</v>
      </c>
      <c r="C394" s="843">
        <f t="shared" si="67"/>
        <v>1.5249266862170208E-2</v>
      </c>
      <c r="D394" s="842">
        <v>46.17</v>
      </c>
      <c r="E394" s="843">
        <f t="shared" si="68"/>
        <v>5.0065302568569336E-3</v>
      </c>
      <c r="F394" s="842">
        <v>27.7</v>
      </c>
      <c r="G394" s="843">
        <f t="shared" si="68"/>
        <v>1.5023818248442566E-2</v>
      </c>
      <c r="H394" s="842">
        <v>43.34</v>
      </c>
      <c r="I394" s="843">
        <f t="shared" si="68"/>
        <v>1.0491956166938765E-2</v>
      </c>
      <c r="J394" s="842">
        <v>78.790000000000006</v>
      </c>
      <c r="K394" s="843">
        <f t="shared" si="69"/>
        <v>1.0516865461074776E-2</v>
      </c>
      <c r="L394" s="842">
        <v>64.760000000000005</v>
      </c>
      <c r="M394" s="843">
        <f t="shared" si="70"/>
        <v>1.3934554563958201E-2</v>
      </c>
      <c r="N394" s="842">
        <v>64.27</v>
      </c>
      <c r="O394" s="843">
        <f t="shared" si="71"/>
        <v>1.1966619430010983E-2</v>
      </c>
      <c r="P394" s="844">
        <f t="shared" si="77"/>
        <v>1.1741372998493205E-2</v>
      </c>
      <c r="Q394" s="830"/>
      <c r="R394" s="845">
        <v>919.77</v>
      </c>
      <c r="S394" s="846">
        <f t="shared" si="72"/>
        <v>1.0947340653543192E-2</v>
      </c>
      <c r="T394" s="845">
        <v>66.239999999999995</v>
      </c>
      <c r="U394" s="846">
        <f t="shared" si="73"/>
        <v>1.0218087540033505E-2</v>
      </c>
      <c r="V394" s="845">
        <v>126.2714</v>
      </c>
      <c r="W394" s="846">
        <f t="shared" si="74"/>
        <v>1.5249886029875759E-2</v>
      </c>
      <c r="X394" s="845">
        <v>35061.21</v>
      </c>
      <c r="Y394" s="846">
        <f t="shared" si="75"/>
        <v>3.1265798483803842E-3</v>
      </c>
      <c r="Z394" s="845">
        <v>4565.7166999999999</v>
      </c>
      <c r="AA394" s="846">
        <f t="shared" si="76"/>
        <v>2.3578165676318985E-3</v>
      </c>
      <c r="AB394" s="843"/>
      <c r="AC394" s="832"/>
    </row>
    <row r="395" spans="1:29" ht="14.4" x14ac:dyDescent="0.55000000000000004">
      <c r="A395" s="857" t="s">
        <v>5554</v>
      </c>
      <c r="B395" s="842">
        <v>119.35</v>
      </c>
      <c r="C395" s="843">
        <f t="shared" si="67"/>
        <v>-2.8406717353162136E-3</v>
      </c>
      <c r="D395" s="842">
        <v>45.94</v>
      </c>
      <c r="E395" s="843">
        <f t="shared" si="68"/>
        <v>1.5260518857640459E-3</v>
      </c>
      <c r="F395" s="842">
        <v>27.29</v>
      </c>
      <c r="G395" s="843">
        <f t="shared" si="68"/>
        <v>-6.5526028394612412E-3</v>
      </c>
      <c r="H395" s="842">
        <v>42.89</v>
      </c>
      <c r="I395" s="843">
        <f t="shared" si="68"/>
        <v>1.6347501167679468E-3</v>
      </c>
      <c r="J395" s="842">
        <v>77.97</v>
      </c>
      <c r="K395" s="843">
        <f t="shared" si="69"/>
        <v>6.5840433772270668E-3</v>
      </c>
      <c r="L395" s="842">
        <v>63.87</v>
      </c>
      <c r="M395" s="843">
        <f t="shared" si="70"/>
        <v>1.2541150650571264E-3</v>
      </c>
      <c r="N395" s="842">
        <v>63.51</v>
      </c>
      <c r="O395" s="843">
        <f t="shared" si="71"/>
        <v>5.5414819506016677E-3</v>
      </c>
      <c r="P395" s="844">
        <f t="shared" si="77"/>
        <v>1.0210239743771998E-3</v>
      </c>
      <c r="Q395" s="830"/>
      <c r="R395" s="845">
        <v>909.81</v>
      </c>
      <c r="S395" s="846">
        <f t="shared" si="72"/>
        <v>-7.0394866086045393E-3</v>
      </c>
      <c r="T395" s="845">
        <v>65.569999999999993</v>
      </c>
      <c r="U395" s="846">
        <f t="shared" si="73"/>
        <v>-7.7179176755448609E-3</v>
      </c>
      <c r="V395" s="845">
        <v>124.3747</v>
      </c>
      <c r="W395" s="846">
        <f t="shared" si="74"/>
        <v>-2.8413577906037935E-3</v>
      </c>
      <c r="X395" s="845">
        <v>34951.93</v>
      </c>
      <c r="Y395" s="846">
        <f t="shared" si="75"/>
        <v>1.0599285535638714E-2</v>
      </c>
      <c r="Z395" s="845">
        <v>4554.9768999999997</v>
      </c>
      <c r="AA395" s="846">
        <f t="shared" si="76"/>
        <v>7.1159125099045095E-3</v>
      </c>
      <c r="AB395" s="843"/>
      <c r="AC395" s="832"/>
    </row>
    <row r="396" spans="1:29" ht="14.4" x14ac:dyDescent="0.55000000000000004">
      <c r="A396" s="857" t="s">
        <v>5555</v>
      </c>
      <c r="B396" s="842">
        <v>119.69</v>
      </c>
      <c r="C396" s="843">
        <f t="shared" si="67"/>
        <v>2.0931011386469134E-3</v>
      </c>
      <c r="D396" s="842">
        <v>45.87</v>
      </c>
      <c r="E396" s="843">
        <f t="shared" si="68"/>
        <v>-6.4977257959715207E-3</v>
      </c>
      <c r="F396" s="842">
        <v>27.47</v>
      </c>
      <c r="G396" s="843">
        <f t="shared" si="68"/>
        <v>-1.6821760916249207E-2</v>
      </c>
      <c r="H396" s="842">
        <v>42.82</v>
      </c>
      <c r="I396" s="843">
        <f t="shared" si="68"/>
        <v>-1.1085450346420278E-2</v>
      </c>
      <c r="J396" s="842">
        <v>77.459999999999994</v>
      </c>
      <c r="K396" s="843">
        <f t="shared" si="69"/>
        <v>1.6402046975462437E-2</v>
      </c>
      <c r="L396" s="842">
        <v>63.79</v>
      </c>
      <c r="M396" s="843">
        <f t="shared" si="70"/>
        <v>-1.0086902545003107E-2</v>
      </c>
      <c r="N396" s="842">
        <v>63.16</v>
      </c>
      <c r="O396" s="843">
        <f t="shared" si="71"/>
        <v>2.0625099159130578E-3</v>
      </c>
      <c r="P396" s="844">
        <f t="shared" si="77"/>
        <v>-3.4191687962316719E-3</v>
      </c>
      <c r="Q396" s="830"/>
      <c r="R396" s="845">
        <v>916.26</v>
      </c>
      <c r="S396" s="846">
        <f t="shared" si="72"/>
        <v>-1.2171850574092979E-2</v>
      </c>
      <c r="T396" s="845">
        <v>66.08</v>
      </c>
      <c r="U396" s="846">
        <f t="shared" si="73"/>
        <v>-1.1518324607329822E-2</v>
      </c>
      <c r="V396" s="845">
        <v>124.7291</v>
      </c>
      <c r="W396" s="846">
        <f t="shared" si="74"/>
        <v>2.093702422701238E-3</v>
      </c>
      <c r="X396" s="845">
        <v>34585.35</v>
      </c>
      <c r="Y396" s="846">
        <f t="shared" si="75"/>
        <v>2.2115950520775751E-3</v>
      </c>
      <c r="Z396" s="845">
        <v>4522.7930999999999</v>
      </c>
      <c r="AA396" s="846">
        <f t="shared" si="76"/>
        <v>3.8559776542934632E-3</v>
      </c>
      <c r="AB396" s="843"/>
      <c r="AC396" s="832"/>
    </row>
    <row r="397" spans="1:29" ht="14.4" x14ac:dyDescent="0.55000000000000004">
      <c r="A397" s="857" t="s">
        <v>5556</v>
      </c>
      <c r="B397" s="842">
        <v>119.44</v>
      </c>
      <c r="C397" s="843">
        <f t="shared" si="67"/>
        <v>-7.8910208489076927E-3</v>
      </c>
      <c r="D397" s="842">
        <v>46.17</v>
      </c>
      <c r="E397" s="843">
        <f t="shared" si="68"/>
        <v>-1.2828736369467686E-2</v>
      </c>
      <c r="F397" s="842">
        <v>27.94</v>
      </c>
      <c r="G397" s="843">
        <f t="shared" si="68"/>
        <v>-7.8125E-3</v>
      </c>
      <c r="H397" s="842">
        <v>43.3</v>
      </c>
      <c r="I397" s="843">
        <f t="shared" si="68"/>
        <v>9.2464170134065604E-4</v>
      </c>
      <c r="J397" s="842">
        <v>76.209999999999994</v>
      </c>
      <c r="K397" s="843">
        <f t="shared" si="69"/>
        <v>-2.2572784404258139E-2</v>
      </c>
      <c r="L397" s="842">
        <v>64.44</v>
      </c>
      <c r="M397" s="843">
        <f t="shared" si="70"/>
        <v>-1.1201473070431289E-2</v>
      </c>
      <c r="N397" s="842">
        <v>63.03</v>
      </c>
      <c r="O397" s="843">
        <f t="shared" si="71"/>
        <v>-1.2842599843382985E-2</v>
      </c>
      <c r="P397" s="844">
        <f t="shared" si="77"/>
        <v>-1.0603496119301019E-2</v>
      </c>
      <c r="Q397" s="830"/>
      <c r="R397" s="845">
        <v>927.55</v>
      </c>
      <c r="S397" s="846">
        <f t="shared" si="72"/>
        <v>-3.8661869730978182E-3</v>
      </c>
      <c r="T397" s="845">
        <v>66.849999999999994</v>
      </c>
      <c r="U397" s="846">
        <f t="shared" si="73"/>
        <v>-3.874236328416103E-3</v>
      </c>
      <c r="V397" s="845">
        <v>124.46850000000001</v>
      </c>
      <c r="W397" s="846">
        <f t="shared" si="74"/>
        <v>-7.8910556080297178E-3</v>
      </c>
      <c r="X397" s="845">
        <v>34509.03</v>
      </c>
      <c r="Y397" s="846">
        <f t="shared" si="75"/>
        <v>3.3112236205463663E-3</v>
      </c>
      <c r="Z397" s="845">
        <v>4505.4202999999998</v>
      </c>
      <c r="AA397" s="846">
        <f t="shared" si="76"/>
        <v>-1.0247133407943476E-3</v>
      </c>
      <c r="AB397" s="843"/>
      <c r="AC397" s="832"/>
    </row>
    <row r="398" spans="1:29" ht="14.4" x14ac:dyDescent="0.55000000000000004">
      <c r="A398" s="857" t="s">
        <v>5557</v>
      </c>
      <c r="B398" s="842">
        <v>120.39</v>
      </c>
      <c r="C398" s="843">
        <f t="shared" si="67"/>
        <v>1.6615435739808504E-4</v>
      </c>
      <c r="D398" s="842">
        <v>46.77</v>
      </c>
      <c r="E398" s="843">
        <f t="shared" si="68"/>
        <v>3.6480686695279374E-3</v>
      </c>
      <c r="F398" s="842">
        <v>28.16</v>
      </c>
      <c r="G398" s="843">
        <f t="shared" si="68"/>
        <v>3.2062700391877197E-3</v>
      </c>
      <c r="H398" s="842">
        <v>43.26</v>
      </c>
      <c r="I398" s="843">
        <f t="shared" si="68"/>
        <v>1.0039691804809792E-2</v>
      </c>
      <c r="J398" s="842">
        <v>77.97</v>
      </c>
      <c r="K398" s="843">
        <f t="shared" si="69"/>
        <v>1.9275250578258962E-3</v>
      </c>
      <c r="L398" s="842">
        <v>65.17</v>
      </c>
      <c r="M398" s="843">
        <f t="shared" si="70"/>
        <v>3.0783438510082473E-3</v>
      </c>
      <c r="N398" s="842">
        <v>63.85</v>
      </c>
      <c r="O398" s="843">
        <f t="shared" si="71"/>
        <v>-1.5659254619482255E-4</v>
      </c>
      <c r="P398" s="844">
        <f t="shared" si="77"/>
        <v>3.1299230333661221E-3</v>
      </c>
      <c r="Q398" s="830"/>
      <c r="R398" s="845">
        <v>931.15</v>
      </c>
      <c r="S398" s="846">
        <f t="shared" si="72"/>
        <v>4.3359615156450815E-3</v>
      </c>
      <c r="T398" s="845">
        <v>67.11</v>
      </c>
      <c r="U398" s="846">
        <f t="shared" si="73"/>
        <v>3.4389952153111025E-3</v>
      </c>
      <c r="V398" s="845">
        <v>125.4585</v>
      </c>
      <c r="W398" s="846">
        <f t="shared" si="74"/>
        <v>1.6581936690474031E-4</v>
      </c>
      <c r="X398" s="845">
        <v>34395.14</v>
      </c>
      <c r="Y398" s="846">
        <f t="shared" si="75"/>
        <v>1.389041334387997E-3</v>
      </c>
      <c r="Z398" s="845">
        <v>4510.0418</v>
      </c>
      <c r="AA398" s="846">
        <f t="shared" si="76"/>
        <v>8.470514797960238E-3</v>
      </c>
      <c r="AB398" s="843"/>
      <c r="AC398" s="832"/>
    </row>
    <row r="399" spans="1:29" ht="14.4" x14ac:dyDescent="0.55000000000000004">
      <c r="A399" s="857" t="s">
        <v>5558</v>
      </c>
      <c r="B399" s="842">
        <v>120.37</v>
      </c>
      <c r="C399" s="843">
        <f t="shared" si="67"/>
        <v>1.5952059419311215E-2</v>
      </c>
      <c r="D399" s="842">
        <v>46.6</v>
      </c>
      <c r="E399" s="843">
        <f t="shared" si="68"/>
        <v>1.0407632263660149E-2</v>
      </c>
      <c r="F399" s="842">
        <v>28.07</v>
      </c>
      <c r="G399" s="843">
        <f t="shared" si="68"/>
        <v>1.8505079825834603E-2</v>
      </c>
      <c r="H399" s="842">
        <v>42.83</v>
      </c>
      <c r="I399" s="843">
        <f t="shared" si="68"/>
        <v>1.1095372993390029E-2</v>
      </c>
      <c r="J399" s="842">
        <v>77.819999999999993</v>
      </c>
      <c r="K399" s="843">
        <f t="shared" si="69"/>
        <v>1.6989022477783555E-2</v>
      </c>
      <c r="L399" s="842">
        <v>64.97</v>
      </c>
      <c r="M399" s="843">
        <f t="shared" si="70"/>
        <v>-1.2298232129130948E-3</v>
      </c>
      <c r="N399" s="842">
        <v>63.86</v>
      </c>
      <c r="O399" s="843">
        <f t="shared" si="71"/>
        <v>1.0602943503718931E-2</v>
      </c>
      <c r="P399" s="844">
        <f t="shared" si="77"/>
        <v>1.1760326752969341E-2</v>
      </c>
      <c r="Q399" s="830"/>
      <c r="R399" s="845">
        <v>927.13</v>
      </c>
      <c r="S399" s="846">
        <f t="shared" si="72"/>
        <v>1.3888433231630692E-2</v>
      </c>
      <c r="T399" s="845">
        <v>66.88</v>
      </c>
      <c r="U399" s="846">
        <f t="shared" si="73"/>
        <v>1.4563106796116498E-2</v>
      </c>
      <c r="V399" s="845">
        <v>125.43770000000001</v>
      </c>
      <c r="W399" s="846">
        <f t="shared" si="74"/>
        <v>1.5952298609924309E-2</v>
      </c>
      <c r="X399" s="845">
        <v>34347.43</v>
      </c>
      <c r="Y399" s="846">
        <f t="shared" si="75"/>
        <v>2.5104038303140896E-3</v>
      </c>
      <c r="Z399" s="845">
        <v>4472.1602999999996</v>
      </c>
      <c r="AA399" s="846">
        <f t="shared" si="76"/>
        <v>7.4120523295759799E-3</v>
      </c>
      <c r="AB399" s="843"/>
      <c r="AC399" s="832"/>
    </row>
    <row r="400" spans="1:29" ht="14.4" x14ac:dyDescent="0.55000000000000004">
      <c r="A400" s="857" t="s">
        <v>5559</v>
      </c>
      <c r="B400" s="842">
        <v>118.48</v>
      </c>
      <c r="C400" s="843">
        <f t="shared" si="67"/>
        <v>7.6543629869025853E-3</v>
      </c>
      <c r="D400" s="842">
        <v>46.12</v>
      </c>
      <c r="E400" s="843">
        <f t="shared" si="68"/>
        <v>1.0517090271691343E-2</v>
      </c>
      <c r="F400" s="842">
        <v>27.56</v>
      </c>
      <c r="G400" s="843">
        <f t="shared" si="68"/>
        <v>1.2862918044836302E-2</v>
      </c>
      <c r="H400" s="842">
        <v>42.36</v>
      </c>
      <c r="I400" s="843">
        <f t="shared" si="68"/>
        <v>5.6980056980058258E-3</v>
      </c>
      <c r="J400" s="842">
        <v>76.52</v>
      </c>
      <c r="K400" s="843">
        <f t="shared" si="69"/>
        <v>1.6201859229747706E-2</v>
      </c>
      <c r="L400" s="842">
        <v>65.05</v>
      </c>
      <c r="M400" s="843">
        <f t="shared" si="70"/>
        <v>1.9113269622434537E-2</v>
      </c>
      <c r="N400" s="842">
        <v>63.19</v>
      </c>
      <c r="O400" s="843">
        <f t="shared" si="71"/>
        <v>3.3343918704351605E-3</v>
      </c>
      <c r="P400" s="844">
        <f t="shared" si="77"/>
        <v>1.0768842532007637E-2</v>
      </c>
      <c r="Q400" s="830"/>
      <c r="R400" s="845">
        <v>914.43</v>
      </c>
      <c r="S400" s="846">
        <f t="shared" si="72"/>
        <v>1.3050462527003814E-2</v>
      </c>
      <c r="T400" s="845">
        <v>65.92</v>
      </c>
      <c r="U400" s="846">
        <f t="shared" si="73"/>
        <v>1.2440485332514184E-2</v>
      </c>
      <c r="V400" s="845">
        <v>123.46810000000001</v>
      </c>
      <c r="W400" s="846">
        <f t="shared" si="74"/>
        <v>7.6544394769617607E-3</v>
      </c>
      <c r="X400" s="845">
        <v>34261.42</v>
      </c>
      <c r="Y400" s="846">
        <f t="shared" si="75"/>
        <v>9.3393902970739795E-3</v>
      </c>
      <c r="Z400" s="845">
        <v>4439.2563</v>
      </c>
      <c r="AA400" s="846">
        <f t="shared" si="76"/>
        <v>6.7423349694426538E-3</v>
      </c>
      <c r="AB400" s="843"/>
      <c r="AC400" s="832"/>
    </row>
    <row r="401" spans="1:29" ht="14.4" x14ac:dyDescent="0.55000000000000004">
      <c r="A401" s="857" t="s">
        <v>5560</v>
      </c>
      <c r="B401" s="842">
        <v>117.58</v>
      </c>
      <c r="C401" s="843">
        <f t="shared" si="67"/>
        <v>2.3015940670019219E-3</v>
      </c>
      <c r="D401" s="842">
        <v>45.64</v>
      </c>
      <c r="E401" s="843">
        <f t="shared" si="68"/>
        <v>5.0649636643911311E-3</v>
      </c>
      <c r="F401" s="842">
        <v>27.21</v>
      </c>
      <c r="G401" s="843">
        <f t="shared" si="68"/>
        <v>-1.1264534883720922E-2</v>
      </c>
      <c r="H401" s="842">
        <v>42.12</v>
      </c>
      <c r="I401" s="843">
        <f t="shared" si="68"/>
        <v>6.6921606118546251E-3</v>
      </c>
      <c r="J401" s="842">
        <v>75.3</v>
      </c>
      <c r="K401" s="843">
        <f t="shared" si="69"/>
        <v>1.4824797843665749E-2</v>
      </c>
      <c r="L401" s="842">
        <v>63.83</v>
      </c>
      <c r="M401" s="843">
        <f t="shared" si="70"/>
        <v>3.9320541050644753E-3</v>
      </c>
      <c r="N401" s="842">
        <v>62.98</v>
      </c>
      <c r="O401" s="843">
        <f t="shared" si="71"/>
        <v>1.35178628902477E-2</v>
      </c>
      <c r="P401" s="844">
        <f t="shared" si="77"/>
        <v>5.0098426140720975E-3</v>
      </c>
      <c r="Q401" s="830"/>
      <c r="R401" s="845">
        <v>902.65</v>
      </c>
      <c r="S401" s="846">
        <f t="shared" si="72"/>
        <v>-3.4445830619251883E-3</v>
      </c>
      <c r="T401" s="845">
        <v>65.11</v>
      </c>
      <c r="U401" s="846">
        <f t="shared" si="73"/>
        <v>-4.2820003058572365E-3</v>
      </c>
      <c r="V401" s="845">
        <v>122.53019999999999</v>
      </c>
      <c r="W401" s="846">
        <f t="shared" si="74"/>
        <v>2.3010431995706959E-3</v>
      </c>
      <c r="X401" s="845">
        <v>33944.400000000001</v>
      </c>
      <c r="Y401" s="846">
        <f t="shared" si="75"/>
        <v>6.2107824305290826E-3</v>
      </c>
      <c r="Z401" s="845">
        <v>4409.5258000000003</v>
      </c>
      <c r="AA401" s="846">
        <f t="shared" si="76"/>
        <v>2.4035493721039636E-3</v>
      </c>
      <c r="AB401" s="843"/>
      <c r="AC401" s="832"/>
    </row>
    <row r="402" spans="1:29" ht="14.4" x14ac:dyDescent="0.55000000000000004">
      <c r="A402" s="857" t="s">
        <v>5561</v>
      </c>
      <c r="B402" s="842">
        <v>117.31</v>
      </c>
      <c r="C402" s="843">
        <f t="shared" si="67"/>
        <v>-1.9567806704100521E-3</v>
      </c>
      <c r="D402" s="842">
        <v>45.41</v>
      </c>
      <c r="E402" s="843">
        <f t="shared" si="68"/>
        <v>-2.0703040759111557E-2</v>
      </c>
      <c r="F402" s="842">
        <v>27.52</v>
      </c>
      <c r="G402" s="843">
        <f t="shared" si="68"/>
        <v>-7.573025604038941E-3</v>
      </c>
      <c r="H402" s="842">
        <v>41.84</v>
      </c>
      <c r="I402" s="843">
        <f t="shared" si="68"/>
        <v>-1.1575714623198508E-2</v>
      </c>
      <c r="J402" s="842">
        <v>74.2</v>
      </c>
      <c r="K402" s="843">
        <f t="shared" si="69"/>
        <v>-2.3812656229443507E-2</v>
      </c>
      <c r="L402" s="842">
        <v>63.58</v>
      </c>
      <c r="M402" s="843">
        <f t="shared" si="70"/>
        <v>-4.540472835447007E-3</v>
      </c>
      <c r="N402" s="842">
        <v>62.14</v>
      </c>
      <c r="O402" s="843">
        <f t="shared" si="71"/>
        <v>-4.963971176941584E-3</v>
      </c>
      <c r="P402" s="844">
        <f t="shared" si="77"/>
        <v>-1.0732237414084451E-2</v>
      </c>
      <c r="Q402" s="830"/>
      <c r="R402" s="845">
        <v>905.77</v>
      </c>
      <c r="S402" s="846">
        <f t="shared" si="72"/>
        <v>-6.0573472769370751E-3</v>
      </c>
      <c r="T402" s="845">
        <v>65.39</v>
      </c>
      <c r="U402" s="846">
        <f t="shared" si="73"/>
        <v>-7.2870806133293886E-3</v>
      </c>
      <c r="V402" s="845">
        <v>122.24890000000001</v>
      </c>
      <c r="W402" s="846">
        <f t="shared" si="74"/>
        <v>-1.9561020014123853E-3</v>
      </c>
      <c r="X402" s="845">
        <v>33734.879999999997</v>
      </c>
      <c r="Y402" s="846">
        <f t="shared" si="75"/>
        <v>-5.5238064916666163E-3</v>
      </c>
      <c r="Z402" s="845">
        <v>4398.9526999999998</v>
      </c>
      <c r="AA402" s="846">
        <f t="shared" si="76"/>
        <v>-2.8647263219591101E-3</v>
      </c>
      <c r="AB402" s="843"/>
      <c r="AC402" s="832"/>
    </row>
    <row r="403" spans="1:29" ht="14.4" x14ac:dyDescent="0.55000000000000004">
      <c r="A403" s="857" t="s">
        <v>5562</v>
      </c>
      <c r="B403" s="842">
        <v>117.54</v>
      </c>
      <c r="C403" s="843">
        <f t="shared" si="67"/>
        <v>-8.8540349101947635E-3</v>
      </c>
      <c r="D403" s="842">
        <v>46.37</v>
      </c>
      <c r="E403" s="843">
        <f t="shared" si="68"/>
        <v>-1.4662133446663894E-2</v>
      </c>
      <c r="F403" s="842">
        <v>27.73</v>
      </c>
      <c r="G403" s="843">
        <f t="shared" si="68"/>
        <v>-5.3802008608321295E-3</v>
      </c>
      <c r="H403" s="842">
        <v>42.33</v>
      </c>
      <c r="I403" s="843">
        <f t="shared" si="68"/>
        <v>-1.3056656563301572E-2</v>
      </c>
      <c r="J403" s="842">
        <v>76.010000000000005</v>
      </c>
      <c r="K403" s="843">
        <f t="shared" si="69"/>
        <v>-1.1187719526473239E-2</v>
      </c>
      <c r="L403" s="842">
        <v>63.87</v>
      </c>
      <c r="M403" s="843">
        <f t="shared" si="70"/>
        <v>-6.5328978068129873E-3</v>
      </c>
      <c r="N403" s="842">
        <v>62.45</v>
      </c>
      <c r="O403" s="843">
        <f t="shared" si="71"/>
        <v>-1.8853102906519981E-2</v>
      </c>
      <c r="P403" s="844">
        <f t="shared" si="77"/>
        <v>-1.1218106574399795E-2</v>
      </c>
      <c r="Q403" s="830"/>
      <c r="R403" s="845">
        <v>911.29</v>
      </c>
      <c r="S403" s="846">
        <f t="shared" si="72"/>
        <v>-1.1835870350315858E-2</v>
      </c>
      <c r="T403" s="845">
        <v>65.87</v>
      </c>
      <c r="U403" s="846">
        <f t="shared" si="73"/>
        <v>-1.214757048590287E-2</v>
      </c>
      <c r="V403" s="845">
        <v>122.4885</v>
      </c>
      <c r="W403" s="846">
        <f t="shared" si="74"/>
        <v>-8.8539900811359651E-3</v>
      </c>
      <c r="X403" s="845">
        <v>33922.26</v>
      </c>
      <c r="Y403" s="846">
        <f t="shared" si="75"/>
        <v>-1.0685073433336689E-2</v>
      </c>
      <c r="Z403" s="845">
        <v>4411.5906999999997</v>
      </c>
      <c r="AA403" s="846">
        <f t="shared" si="76"/>
        <v>-7.9234288699659983E-3</v>
      </c>
      <c r="AB403" s="843"/>
      <c r="AC403" s="832"/>
    </row>
    <row r="404" spans="1:29" ht="14.4" x14ac:dyDescent="0.55000000000000004">
      <c r="A404" s="857" t="s">
        <v>5563</v>
      </c>
      <c r="B404" s="842">
        <v>118.59</v>
      </c>
      <c r="C404" s="843">
        <f t="shared" si="67"/>
        <v>1.0997442455243034E-2</v>
      </c>
      <c r="D404" s="842">
        <v>47.06</v>
      </c>
      <c r="E404" s="843">
        <f t="shared" si="68"/>
        <v>-7.3824087745200107E-3</v>
      </c>
      <c r="F404" s="842">
        <v>27.88</v>
      </c>
      <c r="G404" s="843">
        <f t="shared" si="68"/>
        <v>1.6776075857038553E-2</v>
      </c>
      <c r="H404" s="842">
        <v>42.89</v>
      </c>
      <c r="I404" s="843">
        <f t="shared" si="68"/>
        <v>-7.8649086282672753E-3</v>
      </c>
      <c r="J404" s="842">
        <v>76.87</v>
      </c>
      <c r="K404" s="843">
        <f t="shared" si="69"/>
        <v>-2.3361453601556947E-3</v>
      </c>
      <c r="L404" s="842">
        <v>64.290000000000006</v>
      </c>
      <c r="M404" s="843">
        <f t="shared" si="70"/>
        <v>7.0488721804511378E-3</v>
      </c>
      <c r="N404" s="842">
        <v>63.65</v>
      </c>
      <c r="O404" s="843">
        <f t="shared" si="71"/>
        <v>2.3622047244094002E-3</v>
      </c>
      <c r="P404" s="844">
        <f t="shared" si="77"/>
        <v>2.8001617791713063E-3</v>
      </c>
      <c r="Q404" s="830"/>
      <c r="R404" s="845">
        <v>922.20510000000002</v>
      </c>
      <c r="S404" s="846">
        <f t="shared" si="72"/>
        <v>1.075757077565509E-2</v>
      </c>
      <c r="T404" s="845">
        <v>66.680000000000007</v>
      </c>
      <c r="U404" s="846">
        <f t="shared" si="73"/>
        <v>1.1375701501592506E-2</v>
      </c>
      <c r="V404" s="845">
        <v>123.5827</v>
      </c>
      <c r="W404" s="846">
        <f t="shared" si="74"/>
        <v>1.0997362530923205E-2</v>
      </c>
      <c r="X404" s="845">
        <v>34288.636599999998</v>
      </c>
      <c r="Y404" s="846">
        <f t="shared" si="75"/>
        <v>-3.7722013790851827E-3</v>
      </c>
      <c r="Z404" s="845">
        <v>4446.8248000000003</v>
      </c>
      <c r="AA404" s="846">
        <f t="shared" si="76"/>
        <v>-1.9681102445174847E-3</v>
      </c>
      <c r="AB404" s="843"/>
      <c r="AC404" s="832"/>
    </row>
    <row r="405" spans="1:29" ht="14.4" x14ac:dyDescent="0.55000000000000004">
      <c r="A405" s="857" t="s">
        <v>5564</v>
      </c>
      <c r="B405" s="842">
        <v>117.3</v>
      </c>
      <c r="C405" s="843">
        <f t="shared" si="67"/>
        <v>8.2516761217121815E-3</v>
      </c>
      <c r="D405" s="842">
        <v>47.41</v>
      </c>
      <c r="E405" s="843">
        <f t="shared" si="68"/>
        <v>4.4491525423726586E-3</v>
      </c>
      <c r="F405" s="842">
        <v>27.42</v>
      </c>
      <c r="G405" s="843">
        <f t="shared" si="68"/>
        <v>2.5594149908592101E-3</v>
      </c>
      <c r="H405" s="842">
        <v>43.23</v>
      </c>
      <c r="I405" s="843">
        <f t="shared" si="68"/>
        <v>4.1811846689896459E-3</v>
      </c>
      <c r="J405" s="842">
        <v>77.05</v>
      </c>
      <c r="K405" s="843">
        <f t="shared" si="69"/>
        <v>3.1245931519332526E-3</v>
      </c>
      <c r="L405" s="842">
        <v>63.84</v>
      </c>
      <c r="M405" s="843">
        <f t="shared" si="70"/>
        <v>2.9850746268658135E-3</v>
      </c>
      <c r="N405" s="842">
        <v>63.5</v>
      </c>
      <c r="O405" s="843">
        <f t="shared" si="71"/>
        <v>9.4577553593944153E-4</v>
      </c>
      <c r="P405" s="844">
        <f t="shared" si="77"/>
        <v>3.7852673769531719E-3</v>
      </c>
      <c r="Q405" s="830"/>
      <c r="R405" s="845">
        <v>912.39</v>
      </c>
      <c r="S405" s="846">
        <f t="shared" si="72"/>
        <v>6.3198994110251761E-3</v>
      </c>
      <c r="T405" s="845">
        <v>65.930000000000007</v>
      </c>
      <c r="U405" s="846">
        <f t="shared" si="73"/>
        <v>7.4877750611248572E-3</v>
      </c>
      <c r="V405" s="845">
        <v>122.2384</v>
      </c>
      <c r="W405" s="846">
        <f t="shared" si="74"/>
        <v>8.2515382965737682E-3</v>
      </c>
      <c r="X405" s="845">
        <v>34418.47</v>
      </c>
      <c r="Y405" s="846">
        <f t="shared" si="75"/>
        <v>3.1591857612855989E-4</v>
      </c>
      <c r="Z405" s="845">
        <v>4455.5938999999998</v>
      </c>
      <c r="AA405" s="846">
        <f t="shared" si="76"/>
        <v>1.1712704257498263E-3</v>
      </c>
      <c r="AB405" s="843"/>
      <c r="AC405" s="832"/>
    </row>
    <row r="406" spans="1:29" ht="14.4" x14ac:dyDescent="0.55000000000000004">
      <c r="A406" s="857" t="s">
        <v>5565</v>
      </c>
      <c r="B406" s="842">
        <v>116.34</v>
      </c>
      <c r="C406" s="843">
        <f t="shared" si="67"/>
        <v>5.531547104580925E-3</v>
      </c>
      <c r="D406" s="842">
        <v>47.2</v>
      </c>
      <c r="E406" s="843">
        <f t="shared" si="68"/>
        <v>-2.1181952976057072E-4</v>
      </c>
      <c r="F406" s="842">
        <v>27.35</v>
      </c>
      <c r="G406" s="843">
        <f t="shared" si="68"/>
        <v>6.6249539933749269E-3</v>
      </c>
      <c r="H406" s="842">
        <v>43.05</v>
      </c>
      <c r="I406" s="843">
        <f t="shared" si="68"/>
        <v>4.6674445740955139E-3</v>
      </c>
      <c r="J406" s="842">
        <v>76.81</v>
      </c>
      <c r="K406" s="843">
        <f t="shared" si="69"/>
        <v>-6.4674686327771402E-3</v>
      </c>
      <c r="L406" s="842">
        <v>63.65</v>
      </c>
      <c r="M406" s="843">
        <f t="shared" si="70"/>
        <v>4.4184945557834698E-3</v>
      </c>
      <c r="N406" s="842">
        <v>63.44</v>
      </c>
      <c r="O406" s="843">
        <f t="shared" si="71"/>
        <v>6.6645509362106559E-3</v>
      </c>
      <c r="P406" s="844">
        <f t="shared" si="77"/>
        <v>3.0325290002153971E-3</v>
      </c>
      <c r="Q406" s="830"/>
      <c r="R406" s="845">
        <v>906.66</v>
      </c>
      <c r="S406" s="846">
        <f t="shared" si="72"/>
        <v>1.0859385452437254E-2</v>
      </c>
      <c r="T406" s="845">
        <v>65.44</v>
      </c>
      <c r="U406" s="846">
        <f t="shared" si="73"/>
        <v>1.1124845488257096E-2</v>
      </c>
      <c r="V406" s="845">
        <v>121.238</v>
      </c>
      <c r="W406" s="846">
        <f t="shared" si="74"/>
        <v>5.5311762105512141E-3</v>
      </c>
      <c r="X406" s="845">
        <v>34407.599999999999</v>
      </c>
      <c r="Y406" s="846">
        <f t="shared" si="75"/>
        <v>8.3575549448133835E-3</v>
      </c>
      <c r="Z406" s="845">
        <v>4450.3813</v>
      </c>
      <c r="AA406" s="846">
        <f t="shared" si="76"/>
        <v>1.2268530512641096E-2</v>
      </c>
      <c r="AB406" s="843"/>
      <c r="AC406" s="832"/>
    </row>
    <row r="407" spans="1:29" ht="14.4" x14ac:dyDescent="0.55000000000000004">
      <c r="A407" s="857" t="s">
        <v>5566</v>
      </c>
      <c r="B407" s="842">
        <v>115.7</v>
      </c>
      <c r="C407" s="843">
        <f t="shared" si="67"/>
        <v>3.8174561860142564E-3</v>
      </c>
      <c r="D407" s="842">
        <v>47.21</v>
      </c>
      <c r="E407" s="843">
        <f t="shared" si="68"/>
        <v>1.6142918639689974E-2</v>
      </c>
      <c r="F407" s="842">
        <v>27.17</v>
      </c>
      <c r="G407" s="843">
        <f t="shared" si="68"/>
        <v>1.4743826022853845E-3</v>
      </c>
      <c r="H407" s="842">
        <v>42.85</v>
      </c>
      <c r="I407" s="843">
        <f t="shared" si="68"/>
        <v>8.2352941176471184E-3</v>
      </c>
      <c r="J407" s="842">
        <v>77.31</v>
      </c>
      <c r="K407" s="843">
        <f t="shared" si="69"/>
        <v>1.1249182472204078E-2</v>
      </c>
      <c r="L407" s="842">
        <v>63.37</v>
      </c>
      <c r="M407" s="843">
        <f t="shared" si="70"/>
        <v>1.4731785428342636E-2</v>
      </c>
      <c r="N407" s="842">
        <v>63.02</v>
      </c>
      <c r="O407" s="843">
        <f t="shared" si="71"/>
        <v>7.0310003195910298E-3</v>
      </c>
      <c r="P407" s="844">
        <f t="shared" si="77"/>
        <v>8.9545742522534975E-3</v>
      </c>
      <c r="Q407" s="830"/>
      <c r="R407" s="845">
        <v>896.92</v>
      </c>
      <c r="S407" s="846">
        <f t="shared" si="72"/>
        <v>4.1336261002467012E-4</v>
      </c>
      <c r="T407" s="845">
        <v>64.72</v>
      </c>
      <c r="U407" s="846">
        <f t="shared" si="73"/>
        <v>0</v>
      </c>
      <c r="V407" s="845">
        <v>120.5711</v>
      </c>
      <c r="W407" s="846">
        <f t="shared" si="74"/>
        <v>3.8180872099073948E-3</v>
      </c>
      <c r="X407" s="845">
        <v>34122.42</v>
      </c>
      <c r="Y407" s="846">
        <f t="shared" si="75"/>
        <v>7.9687185092116586E-3</v>
      </c>
      <c r="Z407" s="845">
        <v>4396.4434000000001</v>
      </c>
      <c r="AA407" s="846">
        <f t="shared" si="76"/>
        <v>4.4734543595681409E-3</v>
      </c>
      <c r="AB407" s="843"/>
      <c r="AC407" s="832"/>
    </row>
    <row r="408" spans="1:29" ht="14.4" x14ac:dyDescent="0.55000000000000004">
      <c r="A408" s="857" t="s">
        <v>5567</v>
      </c>
      <c r="B408" s="842">
        <v>115.26</v>
      </c>
      <c r="C408" s="843">
        <f t="shared" si="67"/>
        <v>-1.6468981995050758E-2</v>
      </c>
      <c r="D408" s="842">
        <v>46.46</v>
      </c>
      <c r="E408" s="843">
        <f t="shared" si="68"/>
        <v>-3.6457216384302438E-3</v>
      </c>
      <c r="F408" s="842">
        <v>27.13</v>
      </c>
      <c r="G408" s="843">
        <f t="shared" si="68"/>
        <v>-1.1297376093294509E-2</v>
      </c>
      <c r="H408" s="842">
        <v>42.5</v>
      </c>
      <c r="I408" s="843">
        <f t="shared" si="68"/>
        <v>-4.9168812924373917E-3</v>
      </c>
      <c r="J408" s="842">
        <v>76.45</v>
      </c>
      <c r="K408" s="843">
        <f t="shared" si="69"/>
        <v>-1.0740165631469956E-2</v>
      </c>
      <c r="L408" s="842">
        <v>62.45</v>
      </c>
      <c r="M408" s="843">
        <f t="shared" si="70"/>
        <v>-1.638053236730197E-2</v>
      </c>
      <c r="N408" s="842">
        <v>62.58</v>
      </c>
      <c r="O408" s="843">
        <f t="shared" si="71"/>
        <v>-8.0836899667142692E-3</v>
      </c>
      <c r="P408" s="844">
        <f t="shared" si="77"/>
        <v>-1.0219049854957014E-2</v>
      </c>
      <c r="Q408" s="830"/>
      <c r="R408" s="845">
        <v>896.54939999999999</v>
      </c>
      <c r="S408" s="846">
        <f t="shared" si="72"/>
        <v>-1.5502591451914793E-2</v>
      </c>
      <c r="T408" s="845">
        <v>64.72</v>
      </c>
      <c r="U408" s="846">
        <f t="shared" si="73"/>
        <v>-1.4766326685949127E-2</v>
      </c>
      <c r="V408" s="845">
        <v>120.1125</v>
      </c>
      <c r="W408" s="846">
        <f t="shared" si="74"/>
        <v>-1.6469353230082917E-2</v>
      </c>
      <c r="X408" s="845">
        <v>33852.657700000003</v>
      </c>
      <c r="Y408" s="846">
        <f t="shared" si="75"/>
        <v>-2.1835344210914265E-3</v>
      </c>
      <c r="Z408" s="845">
        <v>4376.8636999999999</v>
      </c>
      <c r="AA408" s="846">
        <f t="shared" si="76"/>
        <v>-3.5209166223160171E-4</v>
      </c>
      <c r="AB408" s="843"/>
      <c r="AC408" s="832"/>
    </row>
    <row r="409" spans="1:29" ht="14.4" x14ac:dyDescent="0.55000000000000004">
      <c r="A409" s="857" t="s">
        <v>5568</v>
      </c>
      <c r="B409" s="842">
        <v>117.19</v>
      </c>
      <c r="C409" s="843">
        <f t="shared" si="67"/>
        <v>7.2195960464116471E-3</v>
      </c>
      <c r="D409" s="842">
        <v>46.63</v>
      </c>
      <c r="E409" s="843">
        <f t="shared" si="68"/>
        <v>9.0889417874919776E-3</v>
      </c>
      <c r="F409" s="842">
        <v>27.44</v>
      </c>
      <c r="G409" s="843">
        <f t="shared" si="68"/>
        <v>6.9724770642203282E-3</v>
      </c>
      <c r="H409" s="842">
        <v>42.71</v>
      </c>
      <c r="I409" s="843">
        <f t="shared" si="68"/>
        <v>8.7387812942842924E-3</v>
      </c>
      <c r="J409" s="842">
        <v>77.28</v>
      </c>
      <c r="K409" s="843">
        <f t="shared" si="69"/>
        <v>4.1580041580042693E-3</v>
      </c>
      <c r="L409" s="842">
        <v>63.49</v>
      </c>
      <c r="M409" s="843">
        <f t="shared" si="70"/>
        <v>2.090368226402961E-2</v>
      </c>
      <c r="N409" s="842">
        <v>63.09</v>
      </c>
      <c r="O409" s="843">
        <f t="shared" si="71"/>
        <v>1.7465862178469571E-3</v>
      </c>
      <c r="P409" s="844">
        <f t="shared" si="77"/>
        <v>8.4040098331841541E-3</v>
      </c>
      <c r="Q409" s="830"/>
      <c r="R409" s="845">
        <v>910.6671</v>
      </c>
      <c r="S409" s="846">
        <f t="shared" si="72"/>
        <v>2.9041992004670281E-3</v>
      </c>
      <c r="T409" s="845">
        <v>65.69</v>
      </c>
      <c r="U409" s="846">
        <f t="shared" si="73"/>
        <v>3.0455306837207097E-4</v>
      </c>
      <c r="V409" s="845">
        <v>122.1238</v>
      </c>
      <c r="W409" s="846">
        <f t="shared" si="74"/>
        <v>7.2198890871961741E-3</v>
      </c>
      <c r="X409" s="845">
        <v>33926.7379</v>
      </c>
      <c r="Y409" s="846">
        <f t="shared" si="75"/>
        <v>6.2888839915871131E-3</v>
      </c>
      <c r="Z409" s="845">
        <v>4378.4053000000004</v>
      </c>
      <c r="AA409" s="846">
        <f t="shared" si="76"/>
        <v>1.1454318191352675E-2</v>
      </c>
      <c r="AB409" s="843"/>
      <c r="AC409" s="832"/>
    </row>
    <row r="410" spans="1:29" ht="14.4" x14ac:dyDescent="0.55000000000000004">
      <c r="A410" s="857" t="s">
        <v>5569</v>
      </c>
      <c r="B410" s="842">
        <v>116.35</v>
      </c>
      <c r="C410" s="843">
        <f t="shared" si="67"/>
        <v>1.6867680475441293E-2</v>
      </c>
      <c r="D410" s="842">
        <v>46.21</v>
      </c>
      <c r="E410" s="843">
        <f t="shared" si="68"/>
        <v>5.0021748586341896E-3</v>
      </c>
      <c r="F410" s="842">
        <v>27.25</v>
      </c>
      <c r="G410" s="843">
        <f t="shared" si="68"/>
        <v>1.9835329341317376E-2</v>
      </c>
      <c r="H410" s="842">
        <v>42.34</v>
      </c>
      <c r="I410" s="843">
        <f t="shared" si="68"/>
        <v>7.1360608943864534E-3</v>
      </c>
      <c r="J410" s="842">
        <v>76.959999999999994</v>
      </c>
      <c r="K410" s="843">
        <f t="shared" si="69"/>
        <v>7.4617096478595268E-3</v>
      </c>
      <c r="L410" s="842">
        <v>62.19</v>
      </c>
      <c r="M410" s="843">
        <f t="shared" si="70"/>
        <v>2.0847012475377458E-2</v>
      </c>
      <c r="N410" s="842">
        <v>62.98</v>
      </c>
      <c r="O410" s="843">
        <f t="shared" si="71"/>
        <v>4.305533407749973E-3</v>
      </c>
      <c r="P410" s="844">
        <f t="shared" si="77"/>
        <v>1.1636500157252325E-2</v>
      </c>
      <c r="Q410" s="830"/>
      <c r="R410" s="845">
        <v>908.03</v>
      </c>
      <c r="S410" s="846">
        <f t="shared" si="72"/>
        <v>6.1720187044300712E-3</v>
      </c>
      <c r="T410" s="845">
        <v>65.67</v>
      </c>
      <c r="U410" s="846">
        <f t="shared" si="73"/>
        <v>9.8416115638935153E-3</v>
      </c>
      <c r="V410" s="845">
        <v>121.2484</v>
      </c>
      <c r="W410" s="846">
        <f t="shared" si="74"/>
        <v>1.6867219290624069E-2</v>
      </c>
      <c r="X410" s="845">
        <v>33714.71</v>
      </c>
      <c r="Y410" s="846">
        <f t="shared" si="75"/>
        <v>-3.7714109850650601E-4</v>
      </c>
      <c r="Z410" s="845">
        <v>4328.8216000000002</v>
      </c>
      <c r="AA410" s="846">
        <f t="shared" si="76"/>
        <v>-4.4865722839342315E-3</v>
      </c>
      <c r="AB410" s="843"/>
      <c r="AC410" s="832"/>
    </row>
    <row r="411" spans="1:29" ht="14.4" x14ac:dyDescent="0.55000000000000004">
      <c r="A411" s="857" t="s">
        <v>5570</v>
      </c>
      <c r="B411" s="842">
        <v>114.42</v>
      </c>
      <c r="C411" s="843">
        <f t="shared" si="67"/>
        <v>-1.3195342820181089E-2</v>
      </c>
      <c r="D411" s="842">
        <v>45.98</v>
      </c>
      <c r="E411" s="843">
        <f t="shared" si="68"/>
        <v>-2.6053802160559303E-2</v>
      </c>
      <c r="F411" s="842">
        <v>26.72</v>
      </c>
      <c r="G411" s="843">
        <f t="shared" si="68"/>
        <v>-1.5837937384898693E-2</v>
      </c>
      <c r="H411" s="842">
        <v>42.04</v>
      </c>
      <c r="I411" s="843">
        <f t="shared" si="68"/>
        <v>-1.3377141516076052E-2</v>
      </c>
      <c r="J411" s="842">
        <v>76.39</v>
      </c>
      <c r="K411" s="843">
        <f t="shared" si="69"/>
        <v>-1.7239161199022246E-2</v>
      </c>
      <c r="L411" s="842">
        <v>60.92</v>
      </c>
      <c r="M411" s="843">
        <f t="shared" si="70"/>
        <v>-5.3877551020408143E-3</v>
      </c>
      <c r="N411" s="842">
        <v>62.71</v>
      </c>
      <c r="O411" s="843">
        <f t="shared" si="71"/>
        <v>-1.7392666875587603E-2</v>
      </c>
      <c r="P411" s="844">
        <f t="shared" si="77"/>
        <v>-1.5497686722623685E-2</v>
      </c>
      <c r="Q411" s="830"/>
      <c r="R411" s="845">
        <v>902.46</v>
      </c>
      <c r="S411" s="846">
        <f t="shared" si="72"/>
        <v>-1.5920441410594677E-2</v>
      </c>
      <c r="T411" s="845">
        <v>65.03</v>
      </c>
      <c r="U411" s="846">
        <f t="shared" si="73"/>
        <v>-1.4696969696969653E-2</v>
      </c>
      <c r="V411" s="845">
        <v>119.2372</v>
      </c>
      <c r="W411" s="846">
        <f t="shared" si="74"/>
        <v>-1.3195223765968489E-2</v>
      </c>
      <c r="X411" s="845">
        <v>33727.43</v>
      </c>
      <c r="Y411" s="846">
        <f t="shared" si="75"/>
        <v>-6.4595361376698079E-3</v>
      </c>
      <c r="Z411" s="845">
        <v>4348.3307000000004</v>
      </c>
      <c r="AA411" s="846">
        <f t="shared" si="76"/>
        <v>-7.658749117532726E-3</v>
      </c>
      <c r="AB411" s="843"/>
      <c r="AC411" s="832"/>
    </row>
    <row r="412" spans="1:29" ht="14.4" x14ac:dyDescent="0.55000000000000004">
      <c r="A412" s="857" t="s">
        <v>5571</v>
      </c>
      <c r="B412" s="842">
        <v>115.95</v>
      </c>
      <c r="C412" s="843">
        <f t="shared" si="67"/>
        <v>-1.3862901854056808E-2</v>
      </c>
      <c r="D412" s="842">
        <v>47.21</v>
      </c>
      <c r="E412" s="843">
        <f t="shared" si="68"/>
        <v>-1.4405010438413357E-2</v>
      </c>
      <c r="F412" s="842">
        <v>27.15</v>
      </c>
      <c r="G412" s="843">
        <f t="shared" si="68"/>
        <v>-1.2727272727272809E-2</v>
      </c>
      <c r="H412" s="842">
        <v>42.61</v>
      </c>
      <c r="I412" s="843">
        <f t="shared" si="68"/>
        <v>8.7594696969697239E-3</v>
      </c>
      <c r="J412" s="842">
        <v>77.73</v>
      </c>
      <c r="K412" s="843">
        <f t="shared" si="69"/>
        <v>-1.818870784388027E-2</v>
      </c>
      <c r="L412" s="842">
        <v>61.25</v>
      </c>
      <c r="M412" s="843">
        <f t="shared" si="70"/>
        <v>-2.5302355187778569E-2</v>
      </c>
      <c r="N412" s="842">
        <v>63.82</v>
      </c>
      <c r="O412" s="843">
        <f t="shared" si="71"/>
        <v>-1.7206319411856574E-3</v>
      </c>
      <c r="P412" s="844">
        <f t="shared" si="77"/>
        <v>-1.106391575651682E-2</v>
      </c>
      <c r="Q412" s="830"/>
      <c r="R412" s="845">
        <v>917.06</v>
      </c>
      <c r="S412" s="846">
        <f t="shared" si="72"/>
        <v>-7.4141420701150373E-3</v>
      </c>
      <c r="T412" s="845">
        <v>66</v>
      </c>
      <c r="U412" s="846">
        <f t="shared" si="73"/>
        <v>-7.6680198466396732E-3</v>
      </c>
      <c r="V412" s="845">
        <v>120.83159999999999</v>
      </c>
      <c r="W412" s="846">
        <f t="shared" si="74"/>
        <v>-1.386270486786112E-2</v>
      </c>
      <c r="X412" s="845">
        <v>33946.71</v>
      </c>
      <c r="Y412" s="846">
        <f t="shared" si="75"/>
        <v>-1.4167259669073395E-4</v>
      </c>
      <c r="Z412" s="845">
        <v>4381.8905000000004</v>
      </c>
      <c r="AA412" s="846">
        <f t="shared" si="76"/>
        <v>3.7109141377842381E-3</v>
      </c>
      <c r="AB412" s="843"/>
      <c r="AC412" s="832"/>
    </row>
    <row r="413" spans="1:29" ht="14.4" x14ac:dyDescent="0.55000000000000004">
      <c r="A413" s="857" t="s">
        <v>5572</v>
      </c>
      <c r="B413" s="842">
        <v>117.58</v>
      </c>
      <c r="C413" s="843">
        <f t="shared" si="67"/>
        <v>1.4407730135449937E-2</v>
      </c>
      <c r="D413" s="842">
        <v>47.9</v>
      </c>
      <c r="E413" s="843">
        <f t="shared" si="68"/>
        <v>6.7255149222362753E-3</v>
      </c>
      <c r="F413" s="842">
        <v>27.5</v>
      </c>
      <c r="G413" s="843">
        <f t="shared" si="68"/>
        <v>1.0286554004408588E-2</v>
      </c>
      <c r="H413" s="842">
        <v>42.24</v>
      </c>
      <c r="I413" s="843">
        <f t="shared" si="68"/>
        <v>-2.1261516654853541E-3</v>
      </c>
      <c r="J413" s="842">
        <v>79.17</v>
      </c>
      <c r="K413" s="843">
        <f t="shared" si="69"/>
        <v>1.0079101811686808E-2</v>
      </c>
      <c r="L413" s="842">
        <v>62.84</v>
      </c>
      <c r="M413" s="843">
        <f t="shared" si="70"/>
        <v>-1.9197752458248618E-2</v>
      </c>
      <c r="N413" s="842">
        <v>63.93</v>
      </c>
      <c r="O413" s="843">
        <f t="shared" si="71"/>
        <v>1.4761904761904754E-2</v>
      </c>
      <c r="P413" s="844">
        <f t="shared" si="77"/>
        <v>4.9909859302789128E-3</v>
      </c>
      <c r="Q413" s="830"/>
      <c r="R413" s="845">
        <v>923.91</v>
      </c>
      <c r="S413" s="846">
        <f t="shared" si="72"/>
        <v>8.3491585357866605E-3</v>
      </c>
      <c r="T413" s="845">
        <v>66.510000000000005</v>
      </c>
      <c r="U413" s="846">
        <f t="shared" si="73"/>
        <v>8.0327371930888347E-3</v>
      </c>
      <c r="V413" s="845">
        <v>122.53019999999999</v>
      </c>
      <c r="W413" s="846">
        <f t="shared" si="74"/>
        <v>1.4407661567730434E-2</v>
      </c>
      <c r="X413" s="845">
        <v>33951.519999999997</v>
      </c>
      <c r="Y413" s="846">
        <f t="shared" si="75"/>
        <v>-3.0055321172015592E-3</v>
      </c>
      <c r="Z413" s="845">
        <v>4365.6898000000001</v>
      </c>
      <c r="AA413" s="846">
        <f t="shared" si="76"/>
        <v>-5.245277325012343E-3</v>
      </c>
      <c r="AB413" s="843"/>
      <c r="AC413" s="832"/>
    </row>
    <row r="414" spans="1:29" ht="14.4" x14ac:dyDescent="0.55000000000000004">
      <c r="A414" s="857" t="s">
        <v>5573</v>
      </c>
      <c r="B414" s="842">
        <v>115.91</v>
      </c>
      <c r="C414" s="843">
        <f t="shared" si="67"/>
        <v>-9.316239316239372E-3</v>
      </c>
      <c r="D414" s="842">
        <v>47.58</v>
      </c>
      <c r="E414" s="843">
        <f t="shared" si="68"/>
        <v>1.8951358180667732E-3</v>
      </c>
      <c r="F414" s="842">
        <v>27.22</v>
      </c>
      <c r="G414" s="843">
        <f t="shared" si="68"/>
        <v>-5.8436815193572134E-3</v>
      </c>
      <c r="H414" s="842">
        <v>42.33</v>
      </c>
      <c r="I414" s="843">
        <f t="shared" si="68"/>
        <v>-4.0000000000000036E-3</v>
      </c>
      <c r="J414" s="842">
        <v>78.38</v>
      </c>
      <c r="K414" s="843">
        <f t="shared" si="69"/>
        <v>1.6613418530351254E-3</v>
      </c>
      <c r="L414" s="842">
        <v>64.069999999999993</v>
      </c>
      <c r="M414" s="843">
        <f t="shared" si="70"/>
        <v>-6.239276243956704E-4</v>
      </c>
      <c r="N414" s="842">
        <v>63</v>
      </c>
      <c r="O414" s="843">
        <f t="shared" si="71"/>
        <v>-7.717750826901959E-3</v>
      </c>
      <c r="P414" s="844">
        <f t="shared" si="77"/>
        <v>-3.4207316593989029E-3</v>
      </c>
      <c r="Q414" s="830"/>
      <c r="R414" s="845">
        <v>916.26</v>
      </c>
      <c r="S414" s="846">
        <f t="shared" si="72"/>
        <v>-9.3629719327076311E-3</v>
      </c>
      <c r="T414" s="845">
        <v>65.98</v>
      </c>
      <c r="U414" s="846">
        <f t="shared" si="73"/>
        <v>-1.9613670133729499E-2</v>
      </c>
      <c r="V414" s="845">
        <v>120.7899</v>
      </c>
      <c r="W414" s="846">
        <f t="shared" si="74"/>
        <v>-9.3163218941355597E-3</v>
      </c>
      <c r="X414" s="845">
        <v>34053.870000000003</v>
      </c>
      <c r="Y414" s="846">
        <f t="shared" si="75"/>
        <v>-7.150329221274454E-3</v>
      </c>
      <c r="Z414" s="845">
        <v>4388.7097999999996</v>
      </c>
      <c r="AA414" s="846">
        <f t="shared" si="76"/>
        <v>-4.736172560451446E-3</v>
      </c>
      <c r="AB414" s="843"/>
      <c r="AC414" s="832"/>
    </row>
    <row r="415" spans="1:29" ht="14.4" x14ac:dyDescent="0.55000000000000004">
      <c r="A415" s="857" t="s">
        <v>5574</v>
      </c>
      <c r="B415" s="842">
        <v>117</v>
      </c>
      <c r="C415" s="843">
        <f t="shared" si="67"/>
        <v>-4.1705677078900383E-3</v>
      </c>
      <c r="D415" s="842">
        <v>47.49</v>
      </c>
      <c r="E415" s="843">
        <f t="shared" si="68"/>
        <v>-2.520478890989275E-3</v>
      </c>
      <c r="F415" s="842">
        <v>27.38</v>
      </c>
      <c r="G415" s="843">
        <f t="shared" si="68"/>
        <v>1.4630577907825959E-3</v>
      </c>
      <c r="H415" s="842">
        <v>42.5</v>
      </c>
      <c r="I415" s="843">
        <f t="shared" si="68"/>
        <v>-9.4029149036201076E-4</v>
      </c>
      <c r="J415" s="842">
        <v>78.25</v>
      </c>
      <c r="K415" s="843">
        <f t="shared" si="69"/>
        <v>6.0426844947287783E-3</v>
      </c>
      <c r="L415" s="842">
        <v>64.11</v>
      </c>
      <c r="M415" s="843">
        <f t="shared" si="70"/>
        <v>2.0318849640512671E-3</v>
      </c>
      <c r="N415" s="842">
        <v>63.49</v>
      </c>
      <c r="O415" s="843">
        <f t="shared" si="71"/>
        <v>-3.1402103940962878E-3</v>
      </c>
      <c r="P415" s="844">
        <f t="shared" si="77"/>
        <v>-1.7627446196785294E-4</v>
      </c>
      <c r="Q415" s="830"/>
      <c r="R415" s="845">
        <v>924.92</v>
      </c>
      <c r="S415" s="846">
        <f t="shared" si="72"/>
        <v>3.9510246613407851E-3</v>
      </c>
      <c r="T415" s="845">
        <v>67.3</v>
      </c>
      <c r="U415" s="846">
        <f t="shared" si="73"/>
        <v>5.37795040334621E-3</v>
      </c>
      <c r="V415" s="845">
        <v>121.9258</v>
      </c>
      <c r="W415" s="846">
        <f t="shared" si="74"/>
        <v>-4.1703284317409217E-3</v>
      </c>
      <c r="X415" s="845">
        <v>34299.120000000003</v>
      </c>
      <c r="Y415" s="846">
        <f t="shared" si="75"/>
        <v>-3.1661186361565674E-3</v>
      </c>
      <c r="Z415" s="845">
        <v>4409.5944</v>
      </c>
      <c r="AA415" s="846">
        <f t="shared" si="76"/>
        <v>-3.671593237023707E-3</v>
      </c>
      <c r="AB415" s="843"/>
      <c r="AC415" s="832"/>
    </row>
    <row r="416" spans="1:29" ht="14.4" x14ac:dyDescent="0.55000000000000004">
      <c r="A416" s="857" t="s">
        <v>5575</v>
      </c>
      <c r="B416" s="842">
        <v>117.49</v>
      </c>
      <c r="C416" s="843">
        <f t="shared" si="67"/>
        <v>3.5875971640899618E-3</v>
      </c>
      <c r="D416" s="842">
        <v>47.61</v>
      </c>
      <c r="E416" s="843">
        <f t="shared" si="68"/>
        <v>-6.0542797494780309E-3</v>
      </c>
      <c r="F416" s="842">
        <v>27.34</v>
      </c>
      <c r="G416" s="843">
        <f t="shared" si="68"/>
        <v>6.6273932253313461E-3</v>
      </c>
      <c r="H416" s="842">
        <v>42.54</v>
      </c>
      <c r="I416" s="843">
        <f t="shared" si="68"/>
        <v>-7.2345390898483908E-3</v>
      </c>
      <c r="J416" s="842">
        <v>77.78</v>
      </c>
      <c r="K416" s="843">
        <f t="shared" si="69"/>
        <v>-1.3945233265720058E-2</v>
      </c>
      <c r="L416" s="842">
        <v>63.98</v>
      </c>
      <c r="M416" s="843">
        <f t="shared" si="70"/>
        <v>5.1846032992930446E-3</v>
      </c>
      <c r="N416" s="842">
        <v>63.69</v>
      </c>
      <c r="O416" s="843">
        <f t="shared" si="71"/>
        <v>-4.3770517430045119E-3</v>
      </c>
      <c r="P416" s="844">
        <f t="shared" si="77"/>
        <v>-2.315930022762377E-3</v>
      </c>
      <c r="Q416" s="830"/>
      <c r="R416" s="845">
        <v>921.28</v>
      </c>
      <c r="S416" s="846">
        <f t="shared" si="72"/>
        <v>1.0729566648381761E-2</v>
      </c>
      <c r="T416" s="845">
        <v>66.94</v>
      </c>
      <c r="U416" s="846">
        <f t="shared" si="73"/>
        <v>1.0872848082150499E-2</v>
      </c>
      <c r="V416" s="845">
        <v>122.43640000000001</v>
      </c>
      <c r="W416" s="846">
        <f t="shared" si="74"/>
        <v>3.5877431480828559E-3</v>
      </c>
      <c r="X416" s="845">
        <v>34408.06</v>
      </c>
      <c r="Y416" s="846">
        <f t="shared" si="75"/>
        <v>1.2617376505069222E-2</v>
      </c>
      <c r="Z416" s="845">
        <v>4425.8442999999997</v>
      </c>
      <c r="AA416" s="846">
        <f t="shared" si="76"/>
        <v>1.2179259273692677E-2</v>
      </c>
      <c r="AB416" s="843"/>
      <c r="AC416" s="832"/>
    </row>
    <row r="417" spans="1:29" ht="14.4" x14ac:dyDescent="0.55000000000000004">
      <c r="A417" s="857" t="s">
        <v>5576</v>
      </c>
      <c r="B417" s="842">
        <v>117.07</v>
      </c>
      <c r="C417" s="843">
        <f t="shared" si="67"/>
        <v>-4.2527855745513321E-3</v>
      </c>
      <c r="D417" s="842">
        <v>47.9</v>
      </c>
      <c r="E417" s="843">
        <f t="shared" si="68"/>
        <v>-6.4302012030699185E-3</v>
      </c>
      <c r="F417" s="842">
        <v>27.16</v>
      </c>
      <c r="G417" s="843">
        <f t="shared" si="68"/>
        <v>4.0665434380775523E-3</v>
      </c>
      <c r="H417" s="842">
        <v>42.85</v>
      </c>
      <c r="I417" s="843">
        <f t="shared" si="68"/>
        <v>-1.6525131971540041E-2</v>
      </c>
      <c r="J417" s="842">
        <v>78.88</v>
      </c>
      <c r="K417" s="843">
        <f t="shared" si="69"/>
        <v>-1.5722485650112361E-2</v>
      </c>
      <c r="L417" s="842">
        <v>63.65</v>
      </c>
      <c r="M417" s="843">
        <f t="shared" si="70"/>
        <v>5.5292259083727924E-3</v>
      </c>
      <c r="N417" s="842">
        <v>63.97</v>
      </c>
      <c r="O417" s="843">
        <f t="shared" si="71"/>
        <v>-3.2370291937679596E-2</v>
      </c>
      <c r="P417" s="844">
        <f t="shared" si="77"/>
        <v>-9.3864467129289864E-3</v>
      </c>
      <c r="Q417" s="830"/>
      <c r="R417" s="845">
        <v>911.5</v>
      </c>
      <c r="S417" s="846">
        <f t="shared" si="72"/>
        <v>3.2913864416839189E-5</v>
      </c>
      <c r="T417" s="845">
        <v>66.22</v>
      </c>
      <c r="U417" s="846">
        <f t="shared" si="73"/>
        <v>-6.0368246302455741E-4</v>
      </c>
      <c r="V417" s="845">
        <v>121.9987</v>
      </c>
      <c r="W417" s="846">
        <f t="shared" si="74"/>
        <v>-4.2531900966211733E-3</v>
      </c>
      <c r="X417" s="845">
        <v>33979.33</v>
      </c>
      <c r="Y417" s="846">
        <f t="shared" si="75"/>
        <v>-6.8043137928898156E-3</v>
      </c>
      <c r="Z417" s="845">
        <v>4372.5893999999998</v>
      </c>
      <c r="AA417" s="846">
        <f t="shared" si="76"/>
        <v>8.2009493050860804E-4</v>
      </c>
      <c r="AB417" s="843"/>
      <c r="AC417" s="832"/>
    </row>
    <row r="418" spans="1:29" ht="14.4" x14ac:dyDescent="0.55000000000000004">
      <c r="A418" s="857" t="s">
        <v>5577</v>
      </c>
      <c r="B418" s="842">
        <v>117.57</v>
      </c>
      <c r="C418" s="843">
        <f t="shared" si="67"/>
        <v>5.9574468085110688E-4</v>
      </c>
      <c r="D418" s="842">
        <v>48.21</v>
      </c>
      <c r="E418" s="843">
        <f t="shared" si="68"/>
        <v>-1.1887681902029046E-2</v>
      </c>
      <c r="F418" s="842">
        <v>27.05</v>
      </c>
      <c r="G418" s="843">
        <f t="shared" si="68"/>
        <v>-2.5811209439527971E-3</v>
      </c>
      <c r="H418" s="842">
        <v>43.57</v>
      </c>
      <c r="I418" s="843">
        <f t="shared" si="68"/>
        <v>5.5388876067390402E-3</v>
      </c>
      <c r="J418" s="842">
        <v>80.14</v>
      </c>
      <c r="K418" s="843">
        <f t="shared" si="69"/>
        <v>-4.8429156835961829E-3</v>
      </c>
      <c r="L418" s="842">
        <v>63.3</v>
      </c>
      <c r="M418" s="843">
        <f t="shared" si="70"/>
        <v>6.5193194466528492E-3</v>
      </c>
      <c r="N418" s="842">
        <v>66.11</v>
      </c>
      <c r="O418" s="843">
        <f t="shared" si="71"/>
        <v>6.8534876637222908E-3</v>
      </c>
      <c r="P418" s="844">
        <f t="shared" si="77"/>
        <v>2.7960124055323048E-5</v>
      </c>
      <c r="Q418" s="830"/>
      <c r="R418" s="845">
        <v>911.47</v>
      </c>
      <c r="S418" s="846">
        <f t="shared" si="72"/>
        <v>-1.5883100381193227E-3</v>
      </c>
      <c r="T418" s="845">
        <v>66.260000000000005</v>
      </c>
      <c r="U418" s="846">
        <f t="shared" si="73"/>
        <v>-1.5089784216071322E-4</v>
      </c>
      <c r="V418" s="845">
        <v>122.5198</v>
      </c>
      <c r="W418" s="846">
        <f t="shared" si="74"/>
        <v>5.9536011119920573E-4</v>
      </c>
      <c r="X418" s="845">
        <v>34212.120000000003</v>
      </c>
      <c r="Y418" s="846">
        <f t="shared" si="75"/>
        <v>4.2795921955784966E-3</v>
      </c>
      <c r="Z418" s="845">
        <v>4369.0064000000002</v>
      </c>
      <c r="AA418" s="846">
        <f t="shared" si="76"/>
        <v>6.9307339608546403E-3</v>
      </c>
      <c r="AB418" s="843"/>
      <c r="AC418" s="832"/>
    </row>
    <row r="419" spans="1:29" ht="14.4" x14ac:dyDescent="0.55000000000000004">
      <c r="A419" s="857" t="s">
        <v>5578</v>
      </c>
      <c r="B419" s="842">
        <v>117.5</v>
      </c>
      <c r="C419" s="843">
        <f t="shared" si="67"/>
        <v>1.4489047984318493E-3</v>
      </c>
      <c r="D419" s="842">
        <v>48.79</v>
      </c>
      <c r="E419" s="843">
        <f t="shared" si="68"/>
        <v>-2.0870961268312227E-2</v>
      </c>
      <c r="F419" s="842">
        <v>27.12</v>
      </c>
      <c r="G419" s="843">
        <f t="shared" si="68"/>
        <v>1.1074197120708451E-3</v>
      </c>
      <c r="H419" s="842">
        <v>43.33</v>
      </c>
      <c r="I419" s="843">
        <f t="shared" si="68"/>
        <v>-3.4498620055197771E-3</v>
      </c>
      <c r="J419" s="842">
        <v>80.53</v>
      </c>
      <c r="K419" s="843">
        <f t="shared" si="69"/>
        <v>-2.055460958404276E-2</v>
      </c>
      <c r="L419" s="842">
        <v>62.89</v>
      </c>
      <c r="M419" s="843">
        <f t="shared" si="70"/>
        <v>1.02811244979919E-2</v>
      </c>
      <c r="N419" s="842">
        <v>65.66</v>
      </c>
      <c r="O419" s="843">
        <f t="shared" si="71"/>
        <v>-6.5062793160842736E-3</v>
      </c>
      <c r="P419" s="844">
        <f t="shared" si="77"/>
        <v>-5.5063233093520635E-3</v>
      </c>
      <c r="Q419" s="830"/>
      <c r="R419" s="845">
        <v>912.92</v>
      </c>
      <c r="S419" s="846">
        <f t="shared" si="72"/>
        <v>-2.5348542458809575E-3</v>
      </c>
      <c r="T419" s="845">
        <v>66.27</v>
      </c>
      <c r="U419" s="846">
        <f t="shared" si="73"/>
        <v>-1.8075011296883048E-3</v>
      </c>
      <c r="V419" s="845">
        <v>122.4469</v>
      </c>
      <c r="W419" s="846">
        <f t="shared" si="74"/>
        <v>1.449255212043532E-3</v>
      </c>
      <c r="X419" s="845">
        <v>34066.33</v>
      </c>
      <c r="Y419" s="846">
        <f t="shared" si="75"/>
        <v>5.5952779455428203E-3</v>
      </c>
      <c r="Z419" s="845">
        <v>4338.9344000000001</v>
      </c>
      <c r="AA419" s="846">
        <f t="shared" si="76"/>
        <v>9.3227332761198767E-3</v>
      </c>
      <c r="AB419" s="843"/>
      <c r="AC419" s="832"/>
    </row>
    <row r="420" spans="1:29" ht="14.4" x14ac:dyDescent="0.55000000000000004">
      <c r="A420" s="857" t="s">
        <v>5579</v>
      </c>
      <c r="B420" s="842">
        <v>117.33</v>
      </c>
      <c r="C420" s="843">
        <f t="shared" si="67"/>
        <v>-1.4468085106382755E-3</v>
      </c>
      <c r="D420" s="842">
        <v>49.83</v>
      </c>
      <c r="E420" s="843">
        <f t="shared" si="68"/>
        <v>-9.5408467501491012E-3</v>
      </c>
      <c r="F420" s="842">
        <v>27.09</v>
      </c>
      <c r="G420" s="843">
        <f t="shared" si="68"/>
        <v>-8.7815587266739659E-3</v>
      </c>
      <c r="H420" s="842">
        <v>43.48</v>
      </c>
      <c r="I420" s="843">
        <f t="shared" si="68"/>
        <v>-1.0468821119708704E-2</v>
      </c>
      <c r="J420" s="842">
        <v>82.22</v>
      </c>
      <c r="K420" s="843">
        <f t="shared" si="69"/>
        <v>-4.238827661378175E-3</v>
      </c>
      <c r="L420" s="842">
        <v>62.25</v>
      </c>
      <c r="M420" s="843">
        <f t="shared" si="70"/>
        <v>-3.0429212043561193E-3</v>
      </c>
      <c r="N420" s="842">
        <v>66.09</v>
      </c>
      <c r="O420" s="843">
        <f t="shared" si="71"/>
        <v>-1.8125092853959246E-2</v>
      </c>
      <c r="P420" s="844">
        <f t="shared" si="77"/>
        <v>-7.9492681181233694E-3</v>
      </c>
      <c r="Q420" s="830"/>
      <c r="R420" s="845">
        <v>915.24</v>
      </c>
      <c r="S420" s="846">
        <f t="shared" si="72"/>
        <v>-6.0921974262909684E-3</v>
      </c>
      <c r="T420" s="845">
        <v>66.39</v>
      </c>
      <c r="U420" s="846">
        <f t="shared" si="73"/>
        <v>-5.8400718778077731E-3</v>
      </c>
      <c r="V420" s="845">
        <v>122.2697</v>
      </c>
      <c r="W420" s="846">
        <f t="shared" si="74"/>
        <v>-1.4471579108985555E-3</v>
      </c>
      <c r="X420" s="845">
        <v>33876.78</v>
      </c>
      <c r="Y420" s="846">
        <f t="shared" si="75"/>
        <v>1.2759501572547904E-3</v>
      </c>
      <c r="Z420" s="845">
        <v>4298.8572999999997</v>
      </c>
      <c r="AA420" s="846">
        <f t="shared" si="76"/>
        <v>1.1480165083350702E-3</v>
      </c>
      <c r="AB420" s="843"/>
      <c r="AC420" s="832"/>
    </row>
    <row r="421" spans="1:29" ht="14.4" x14ac:dyDescent="0.55000000000000004">
      <c r="A421" s="857" t="s">
        <v>5580</v>
      </c>
      <c r="B421" s="842">
        <v>117.5</v>
      </c>
      <c r="C421" s="843">
        <f t="shared" si="67"/>
        <v>3.0732456889193127E-3</v>
      </c>
      <c r="D421" s="842">
        <v>50.31</v>
      </c>
      <c r="E421" s="843">
        <f t="shared" si="68"/>
        <v>-2.181673938913109E-3</v>
      </c>
      <c r="F421" s="842">
        <v>27.33</v>
      </c>
      <c r="G421" s="843">
        <f t="shared" si="68"/>
        <v>-2.5547445255474921E-3</v>
      </c>
      <c r="H421" s="842">
        <v>43.94</v>
      </c>
      <c r="I421" s="843">
        <f t="shared" si="68"/>
        <v>-8.3502595350937181E-3</v>
      </c>
      <c r="J421" s="842">
        <v>82.57</v>
      </c>
      <c r="K421" s="843">
        <f t="shared" si="69"/>
        <v>-1.2556804592202986E-2</v>
      </c>
      <c r="L421" s="842">
        <v>62.44</v>
      </c>
      <c r="M421" s="843">
        <f t="shared" si="70"/>
        <v>-4.1467304625200097E-3</v>
      </c>
      <c r="N421" s="842">
        <v>67.31</v>
      </c>
      <c r="O421" s="843">
        <f t="shared" si="71"/>
        <v>-1.0292604028819374E-2</v>
      </c>
      <c r="P421" s="844">
        <f t="shared" si="77"/>
        <v>-5.2870816277396249E-3</v>
      </c>
      <c r="Q421" s="830"/>
      <c r="R421" s="845">
        <v>920.85</v>
      </c>
      <c r="S421" s="846">
        <f t="shared" si="72"/>
        <v>2.787790349453978E-3</v>
      </c>
      <c r="T421" s="845">
        <v>66.78</v>
      </c>
      <c r="U421" s="846">
        <f t="shared" si="73"/>
        <v>4.3615581290421535E-3</v>
      </c>
      <c r="V421" s="845">
        <v>122.4469</v>
      </c>
      <c r="W421" s="846">
        <f t="shared" si="74"/>
        <v>3.0736034641936083E-3</v>
      </c>
      <c r="X421" s="845">
        <v>33833.61</v>
      </c>
      <c r="Y421" s="846">
        <f t="shared" si="75"/>
        <v>5.0078687016970047E-3</v>
      </c>
      <c r="Z421" s="845">
        <v>4293.9278000000004</v>
      </c>
      <c r="AA421" s="846">
        <f t="shared" si="76"/>
        <v>6.1884441742900975E-3</v>
      </c>
      <c r="AB421" s="843"/>
      <c r="AC421" s="832"/>
    </row>
    <row r="422" spans="1:29" ht="14.4" x14ac:dyDescent="0.55000000000000004">
      <c r="A422" s="857" t="s">
        <v>5581</v>
      </c>
      <c r="B422" s="842">
        <v>117.14</v>
      </c>
      <c r="C422" s="843">
        <f t="shared" si="67"/>
        <v>1.7105148910306456E-2</v>
      </c>
      <c r="D422" s="842">
        <v>50.42</v>
      </c>
      <c r="E422" s="843">
        <f t="shared" si="68"/>
        <v>1.879167508587587E-2</v>
      </c>
      <c r="F422" s="842">
        <v>27.4</v>
      </c>
      <c r="G422" s="843">
        <f t="shared" si="68"/>
        <v>1.6320474777447913E-2</v>
      </c>
      <c r="H422" s="842">
        <v>44.31</v>
      </c>
      <c r="I422" s="843">
        <f t="shared" si="68"/>
        <v>2.2853185595567815E-2</v>
      </c>
      <c r="J422" s="842">
        <v>83.62</v>
      </c>
      <c r="K422" s="843">
        <f t="shared" si="69"/>
        <v>2.7398943359135064E-2</v>
      </c>
      <c r="L422" s="842">
        <v>62.7</v>
      </c>
      <c r="M422" s="843">
        <f t="shared" si="70"/>
        <v>3.1928900592495202E-2</v>
      </c>
      <c r="N422" s="842">
        <v>68.010000000000005</v>
      </c>
      <c r="O422" s="843">
        <f t="shared" si="71"/>
        <v>3.8479157123225027E-2</v>
      </c>
      <c r="P422" s="844">
        <f t="shared" si="77"/>
        <v>2.4696783634864765E-2</v>
      </c>
      <c r="Q422" s="830"/>
      <c r="R422" s="845">
        <v>918.29</v>
      </c>
      <c r="S422" s="846">
        <f t="shared" si="72"/>
        <v>1.7507119192456289E-2</v>
      </c>
      <c r="T422" s="845">
        <v>66.489999999999995</v>
      </c>
      <c r="U422" s="846">
        <f t="shared" si="73"/>
        <v>1.6977669011930319E-2</v>
      </c>
      <c r="V422" s="845">
        <v>122.07170000000001</v>
      </c>
      <c r="W422" s="846">
        <f t="shared" si="74"/>
        <v>1.7104820244828289E-2</v>
      </c>
      <c r="X422" s="845">
        <v>33665.019999999997</v>
      </c>
      <c r="Y422" s="846">
        <f t="shared" si="75"/>
        <v>2.7325301549325776E-3</v>
      </c>
      <c r="Z422" s="845">
        <v>4267.5185000000001</v>
      </c>
      <c r="AA422" s="846">
        <f t="shared" si="76"/>
        <v>-3.81196962992425E-3</v>
      </c>
      <c r="AB422" s="843"/>
      <c r="AC422" s="832"/>
    </row>
    <row r="423" spans="1:29" ht="14.4" x14ac:dyDescent="0.55000000000000004">
      <c r="A423" s="857" t="s">
        <v>5582</v>
      </c>
      <c r="B423" s="842">
        <v>115.17</v>
      </c>
      <c r="C423" s="843">
        <f t="shared" si="67"/>
        <v>4.9738219895287816E-3</v>
      </c>
      <c r="D423" s="842">
        <v>49.49</v>
      </c>
      <c r="E423" s="843">
        <f t="shared" si="68"/>
        <v>9.1761827079934744E-3</v>
      </c>
      <c r="F423" s="842">
        <v>26.96</v>
      </c>
      <c r="G423" s="843">
        <f t="shared" si="68"/>
        <v>7.097497198356395E-3</v>
      </c>
      <c r="H423" s="842">
        <v>43.32</v>
      </c>
      <c r="I423" s="843">
        <f t="shared" si="68"/>
        <v>1.5471167369901728E-2</v>
      </c>
      <c r="J423" s="842">
        <v>81.39</v>
      </c>
      <c r="K423" s="843">
        <f t="shared" si="69"/>
        <v>1.7756658747030141E-2</v>
      </c>
      <c r="L423" s="842">
        <v>60.76</v>
      </c>
      <c r="M423" s="843">
        <f t="shared" si="70"/>
        <v>2.7218934911242609E-2</v>
      </c>
      <c r="N423" s="842">
        <v>65.489999999999995</v>
      </c>
      <c r="O423" s="843">
        <f t="shared" si="71"/>
        <v>1.3149752475247523E-2</v>
      </c>
      <c r="P423" s="844">
        <f t="shared" si="77"/>
        <v>1.3549145057042951E-2</v>
      </c>
      <c r="Q423" s="830"/>
      <c r="R423" s="845">
        <v>902.49</v>
      </c>
      <c r="S423" s="846">
        <f t="shared" si="72"/>
        <v>-1.9132511999292445E-3</v>
      </c>
      <c r="T423" s="845">
        <v>65.38</v>
      </c>
      <c r="U423" s="846">
        <f t="shared" si="73"/>
        <v>-7.6417545468454584E-4</v>
      </c>
      <c r="V423" s="845">
        <v>120.0188</v>
      </c>
      <c r="W423" s="846">
        <f t="shared" si="74"/>
        <v>4.973841279198199E-3</v>
      </c>
      <c r="X423" s="845">
        <v>33573.279999999999</v>
      </c>
      <c r="Y423" s="846">
        <f t="shared" si="75"/>
        <v>3.1046221925068451E-4</v>
      </c>
      <c r="Z423" s="845">
        <v>4283.8483999999999</v>
      </c>
      <c r="AA423" s="846">
        <f t="shared" si="76"/>
        <v>2.3525231982390871E-3</v>
      </c>
      <c r="AB423" s="843"/>
      <c r="AC423" s="832"/>
    </row>
    <row r="424" spans="1:29" ht="14.4" x14ac:dyDescent="0.55000000000000004">
      <c r="A424" s="857" t="s">
        <v>5583</v>
      </c>
      <c r="B424" s="842">
        <v>114.6</v>
      </c>
      <c r="C424" s="843">
        <f t="shared" si="67"/>
        <v>6.9856793573164211E-4</v>
      </c>
      <c r="D424" s="842">
        <v>49.04</v>
      </c>
      <c r="E424" s="843">
        <f t="shared" si="68"/>
        <v>-2.6211278792692583E-2</v>
      </c>
      <c r="F424" s="842">
        <v>26.77</v>
      </c>
      <c r="G424" s="843">
        <f t="shared" si="68"/>
        <v>3.7369207772797175E-4</v>
      </c>
      <c r="H424" s="842">
        <v>42.66</v>
      </c>
      <c r="I424" s="843">
        <f t="shared" si="68"/>
        <v>-1.5235457063711988E-2</v>
      </c>
      <c r="J424" s="842">
        <v>79.97</v>
      </c>
      <c r="K424" s="843">
        <f t="shared" si="69"/>
        <v>-1.7326124354878347E-2</v>
      </c>
      <c r="L424" s="842">
        <v>59.15</v>
      </c>
      <c r="M424" s="843">
        <f t="shared" si="70"/>
        <v>-1.2191048764195078E-2</v>
      </c>
      <c r="N424" s="842">
        <v>64.64</v>
      </c>
      <c r="O424" s="843">
        <f t="shared" si="71"/>
        <v>-1.3280415203785756E-2</v>
      </c>
      <c r="P424" s="844">
        <f t="shared" si="77"/>
        <v>-1.1881723452257733E-2</v>
      </c>
      <c r="Q424" s="830"/>
      <c r="R424" s="845">
        <v>904.22</v>
      </c>
      <c r="S424" s="846">
        <f t="shared" si="72"/>
        <v>4.6442380338651557E-3</v>
      </c>
      <c r="T424" s="845">
        <v>65.430000000000007</v>
      </c>
      <c r="U424" s="846">
        <f t="shared" si="73"/>
        <v>4.7604422604423657E-3</v>
      </c>
      <c r="V424" s="845">
        <v>119.4248</v>
      </c>
      <c r="W424" s="846">
        <f t="shared" si="74"/>
        <v>6.9883544185000979E-4</v>
      </c>
      <c r="X424" s="845">
        <v>33562.86</v>
      </c>
      <c r="Y424" s="846">
        <f t="shared" si="75"/>
        <v>-5.92072449053338E-3</v>
      </c>
      <c r="Z424" s="845">
        <v>4273.7942000000003</v>
      </c>
      <c r="AA424" s="846">
        <f t="shared" si="76"/>
        <v>-2.0015572701218565E-3</v>
      </c>
      <c r="AB424" s="843"/>
      <c r="AC424" s="832"/>
    </row>
    <row r="425" spans="1:29" ht="14.4" x14ac:dyDescent="0.55000000000000004">
      <c r="A425" s="857" t="s">
        <v>5584</v>
      </c>
      <c r="B425" s="842">
        <v>114.52</v>
      </c>
      <c r="C425" s="843">
        <f t="shared" si="67"/>
        <v>2.1861336664584563E-2</v>
      </c>
      <c r="D425" s="842">
        <v>50.36</v>
      </c>
      <c r="E425" s="843">
        <f t="shared" si="68"/>
        <v>3.4298623947422557E-2</v>
      </c>
      <c r="F425" s="842">
        <v>26.76</v>
      </c>
      <c r="G425" s="843">
        <f t="shared" si="68"/>
        <v>3.3745781777276829E-3</v>
      </c>
      <c r="H425" s="842">
        <v>43.32</v>
      </c>
      <c r="I425" s="843">
        <f t="shared" si="68"/>
        <v>2.8245905530500881E-2</v>
      </c>
      <c r="J425" s="842">
        <v>81.38</v>
      </c>
      <c r="K425" s="843">
        <f t="shared" si="69"/>
        <v>2.1976641969107202E-2</v>
      </c>
      <c r="L425" s="842">
        <v>59.88</v>
      </c>
      <c r="M425" s="843">
        <f t="shared" si="70"/>
        <v>3.2413793103448274E-2</v>
      </c>
      <c r="N425" s="842">
        <v>65.510000000000005</v>
      </c>
      <c r="O425" s="843">
        <f t="shared" si="71"/>
        <v>3.0193426639408827E-2</v>
      </c>
      <c r="P425" s="844">
        <f t="shared" si="77"/>
        <v>2.4623472290314283E-2</v>
      </c>
      <c r="Q425" s="830"/>
      <c r="R425" s="845">
        <v>900.04</v>
      </c>
      <c r="S425" s="846">
        <f t="shared" si="72"/>
        <v>1.0327331507341331E-2</v>
      </c>
      <c r="T425" s="845">
        <v>65.12</v>
      </c>
      <c r="U425" s="846">
        <f t="shared" si="73"/>
        <v>1.0395655546935556E-2</v>
      </c>
      <c r="V425" s="845">
        <v>119.34139999999999</v>
      </c>
      <c r="W425" s="846">
        <f t="shared" si="74"/>
        <v>2.1861797681615114E-2</v>
      </c>
      <c r="X425" s="845">
        <v>33762.76</v>
      </c>
      <c r="Y425" s="846">
        <f t="shared" si="75"/>
        <v>2.1208611690249457E-2</v>
      </c>
      <c r="Z425" s="845">
        <v>4282.3656000000001</v>
      </c>
      <c r="AA425" s="846">
        <f t="shared" si="76"/>
        <v>1.4533311164917073E-2</v>
      </c>
      <c r="AB425" s="843"/>
      <c r="AC425" s="832"/>
    </row>
    <row r="426" spans="1:29" ht="14.4" x14ac:dyDescent="0.55000000000000004">
      <c r="A426" s="857" t="s">
        <v>5585</v>
      </c>
      <c r="B426" s="842">
        <v>112.07</v>
      </c>
      <c r="C426" s="843">
        <f t="shared" si="67"/>
        <v>-2.7845246356696829E-2</v>
      </c>
      <c r="D426" s="842">
        <v>48.69</v>
      </c>
      <c r="E426" s="843">
        <f t="shared" si="68"/>
        <v>4.9535603715169518E-3</v>
      </c>
      <c r="F426" s="842">
        <v>26.67</v>
      </c>
      <c r="G426" s="843">
        <f t="shared" si="68"/>
        <v>-8.1814801041278917E-3</v>
      </c>
      <c r="H426" s="842">
        <v>42.13</v>
      </c>
      <c r="I426" s="843">
        <f t="shared" si="68"/>
        <v>-1.3348946135831374E-2</v>
      </c>
      <c r="J426" s="842">
        <v>79.63</v>
      </c>
      <c r="K426" s="843">
        <f t="shared" si="69"/>
        <v>-1.6184828267852724E-2</v>
      </c>
      <c r="L426" s="842">
        <v>58</v>
      </c>
      <c r="M426" s="843">
        <f t="shared" si="70"/>
        <v>-9.0551853750213684E-3</v>
      </c>
      <c r="N426" s="842">
        <v>63.59</v>
      </c>
      <c r="O426" s="843">
        <f t="shared" si="71"/>
        <v>-1.517732693201157E-2</v>
      </c>
      <c r="P426" s="844">
        <f t="shared" si="77"/>
        <v>-1.2119921828574973E-2</v>
      </c>
      <c r="Q426" s="830"/>
      <c r="R426" s="845">
        <v>890.84</v>
      </c>
      <c r="S426" s="846">
        <f t="shared" si="72"/>
        <v>-1.0584537467929866E-2</v>
      </c>
      <c r="T426" s="845">
        <v>64.45</v>
      </c>
      <c r="U426" s="846">
        <f t="shared" si="73"/>
        <v>-7.3925766209764765E-3</v>
      </c>
      <c r="V426" s="845">
        <v>116.7882</v>
      </c>
      <c r="W426" s="846">
        <f t="shared" si="74"/>
        <v>-2.7845711517363148E-2</v>
      </c>
      <c r="X426" s="845">
        <v>33061.57</v>
      </c>
      <c r="Y426" s="846">
        <f t="shared" si="75"/>
        <v>4.658403495534813E-3</v>
      </c>
      <c r="Z426" s="845">
        <v>4221.0201999999999</v>
      </c>
      <c r="AA426" s="846">
        <f t="shared" si="76"/>
        <v>9.855602823610754E-3</v>
      </c>
      <c r="AB426" s="843"/>
      <c r="AC426" s="832"/>
    </row>
    <row r="427" spans="1:29" ht="14.4" x14ac:dyDescent="0.55000000000000004">
      <c r="A427" s="857" t="s">
        <v>5586</v>
      </c>
      <c r="B427" s="842">
        <v>115.28</v>
      </c>
      <c r="C427" s="843">
        <f t="shared" si="67"/>
        <v>7.4281219959799749E-3</v>
      </c>
      <c r="D427" s="842">
        <v>48.45</v>
      </c>
      <c r="E427" s="843">
        <f t="shared" si="68"/>
        <v>-5.5418719211821621E-3</v>
      </c>
      <c r="F427" s="842">
        <v>26.89</v>
      </c>
      <c r="G427" s="843">
        <f t="shared" si="68"/>
        <v>1.0902255639097636E-2</v>
      </c>
      <c r="H427" s="842">
        <v>42.7</v>
      </c>
      <c r="I427" s="843">
        <f t="shared" si="68"/>
        <v>-3.0352556619190896E-3</v>
      </c>
      <c r="J427" s="842">
        <v>80.94</v>
      </c>
      <c r="K427" s="843">
        <f t="shared" si="69"/>
        <v>-5.8953574060427449E-3</v>
      </c>
      <c r="L427" s="842">
        <v>58.53</v>
      </c>
      <c r="M427" s="843">
        <f t="shared" si="70"/>
        <v>-7.7979318528563768E-3</v>
      </c>
      <c r="N427" s="842">
        <v>64.569999999999993</v>
      </c>
      <c r="O427" s="843">
        <f t="shared" si="71"/>
        <v>-4.7780517879162376E-3</v>
      </c>
      <c r="P427" s="844">
        <f t="shared" si="77"/>
        <v>-1.2454415706912858E-3</v>
      </c>
      <c r="Q427" s="830"/>
      <c r="R427" s="845">
        <v>900.37</v>
      </c>
      <c r="S427" s="846">
        <f t="shared" si="72"/>
        <v>8.9422786001636112E-3</v>
      </c>
      <c r="T427" s="845">
        <v>64.930000000000007</v>
      </c>
      <c r="U427" s="846">
        <f t="shared" si="73"/>
        <v>9.1700341933478313E-3</v>
      </c>
      <c r="V427" s="845">
        <v>120.13339999999999</v>
      </c>
      <c r="W427" s="846">
        <f t="shared" si="74"/>
        <v>7.4282417423914282E-3</v>
      </c>
      <c r="X427" s="845">
        <v>32908.269999999997</v>
      </c>
      <c r="Y427" s="846">
        <f t="shared" si="75"/>
        <v>-4.0707833905017088E-3</v>
      </c>
      <c r="Z427" s="845">
        <v>4179.8254999999999</v>
      </c>
      <c r="AA427" s="846">
        <f t="shared" si="76"/>
        <v>-6.1098736239724172E-3</v>
      </c>
      <c r="AB427" s="843"/>
      <c r="AC427" s="832"/>
    </row>
    <row r="428" spans="1:29" ht="14.4" x14ac:dyDescent="0.55000000000000004">
      <c r="A428" s="857" t="s">
        <v>5587</v>
      </c>
      <c r="B428" s="842">
        <v>114.43</v>
      </c>
      <c r="C428" s="843">
        <f t="shared" si="67"/>
        <v>6.4204045734388426E-3</v>
      </c>
      <c r="D428" s="842">
        <v>48.72</v>
      </c>
      <c r="E428" s="843">
        <f t="shared" si="68"/>
        <v>-4.9019607843138191E-3</v>
      </c>
      <c r="F428" s="842">
        <v>26.6</v>
      </c>
      <c r="G428" s="843">
        <f t="shared" si="68"/>
        <v>-9.3109869646182952E-3</v>
      </c>
      <c r="H428" s="842">
        <v>42.83</v>
      </c>
      <c r="I428" s="843">
        <f t="shared" si="68"/>
        <v>-2.4151287309182146E-2</v>
      </c>
      <c r="J428" s="842">
        <v>81.42</v>
      </c>
      <c r="K428" s="843">
        <f t="shared" si="69"/>
        <v>3.8219701639747861E-3</v>
      </c>
      <c r="L428" s="842">
        <v>58.99</v>
      </c>
      <c r="M428" s="843">
        <f t="shared" si="70"/>
        <v>1.1314932281844658E-2</v>
      </c>
      <c r="N428" s="842">
        <v>64.88</v>
      </c>
      <c r="O428" s="843">
        <f t="shared" si="71"/>
        <v>-1.2781497261107777E-2</v>
      </c>
      <c r="P428" s="844">
        <f t="shared" si="77"/>
        <v>-4.226917899994821E-3</v>
      </c>
      <c r="Q428" s="830"/>
      <c r="R428" s="845">
        <v>892.39</v>
      </c>
      <c r="S428" s="846">
        <f t="shared" si="72"/>
        <v>-1.5775341239651075E-3</v>
      </c>
      <c r="T428" s="845">
        <v>64.34</v>
      </c>
      <c r="U428" s="846">
        <f t="shared" si="73"/>
        <v>-3.8705681994116725E-3</v>
      </c>
      <c r="V428" s="845">
        <v>119.24760000000001</v>
      </c>
      <c r="W428" s="846">
        <f t="shared" si="74"/>
        <v>6.4201190173767131E-3</v>
      </c>
      <c r="X428" s="845">
        <v>33042.78</v>
      </c>
      <c r="Y428" s="846">
        <f t="shared" si="75"/>
        <v>-1.5277998533843595E-3</v>
      </c>
      <c r="Z428" s="845">
        <v>4205.5207</v>
      </c>
      <c r="AA428" s="846">
        <f t="shared" si="76"/>
        <v>1.6217042042354635E-5</v>
      </c>
      <c r="AB428" s="843"/>
      <c r="AC428" s="832"/>
    </row>
    <row r="429" spans="1:29" ht="14.4" x14ac:dyDescent="0.55000000000000004">
      <c r="A429" s="857" t="s">
        <v>5588</v>
      </c>
      <c r="B429" s="842">
        <v>113.7</v>
      </c>
      <c r="C429" s="843">
        <f t="shared" si="67"/>
        <v>-9.9268547544409946E-3</v>
      </c>
      <c r="D429" s="842">
        <v>48.96</v>
      </c>
      <c r="E429" s="843">
        <f t="shared" si="68"/>
        <v>1.8416206261511192E-3</v>
      </c>
      <c r="F429" s="842">
        <v>26.85</v>
      </c>
      <c r="G429" s="843">
        <f t="shared" si="68"/>
        <v>-5.9237319511291631E-3</v>
      </c>
      <c r="H429" s="842">
        <v>43.89</v>
      </c>
      <c r="I429" s="843">
        <f t="shared" si="68"/>
        <v>2.05479452054802E-3</v>
      </c>
      <c r="J429" s="842">
        <v>81.11</v>
      </c>
      <c r="K429" s="843">
        <f t="shared" si="69"/>
        <v>1.8330194601380967E-2</v>
      </c>
      <c r="L429" s="842">
        <v>58.33</v>
      </c>
      <c r="M429" s="843">
        <f t="shared" si="70"/>
        <v>1.9755244755244705E-2</v>
      </c>
      <c r="N429" s="842">
        <v>65.72</v>
      </c>
      <c r="O429" s="843">
        <f t="shared" si="71"/>
        <v>1.0662604722009306E-3</v>
      </c>
      <c r="P429" s="844">
        <f t="shared" si="77"/>
        <v>3.8853611814222261E-3</v>
      </c>
      <c r="Q429" s="830"/>
      <c r="R429" s="845">
        <v>893.8</v>
      </c>
      <c r="S429" s="846">
        <f t="shared" si="72"/>
        <v>-1.7311665829006229E-3</v>
      </c>
      <c r="T429" s="845">
        <v>64.59</v>
      </c>
      <c r="U429" s="846">
        <f t="shared" si="73"/>
        <v>0</v>
      </c>
      <c r="V429" s="845">
        <v>118.48690000000001</v>
      </c>
      <c r="W429" s="846">
        <f t="shared" si="74"/>
        <v>-9.9268936092696825E-3</v>
      </c>
      <c r="X429" s="845">
        <v>33093.339999999997</v>
      </c>
      <c r="Y429" s="846">
        <f t="shared" si="75"/>
        <v>1.0031848348753813E-2</v>
      </c>
      <c r="Z429" s="845">
        <v>4205.4525000000003</v>
      </c>
      <c r="AA429" s="846">
        <f t="shared" si="76"/>
        <v>1.3049613927502257E-2</v>
      </c>
      <c r="AB429" s="843"/>
      <c r="AC429" s="832"/>
    </row>
    <row r="430" spans="1:29" ht="14.4" x14ac:dyDescent="0.55000000000000004">
      <c r="A430" s="857" t="s">
        <v>5589</v>
      </c>
      <c r="B430" s="842">
        <v>114.84</v>
      </c>
      <c r="C430" s="843">
        <f t="shared" si="67"/>
        <v>-1.3486813847607526E-2</v>
      </c>
      <c r="D430" s="842">
        <v>48.87</v>
      </c>
      <c r="E430" s="843">
        <f t="shared" si="68"/>
        <v>3.6968576709797141E-3</v>
      </c>
      <c r="F430" s="842">
        <v>27.01</v>
      </c>
      <c r="G430" s="843">
        <f t="shared" si="68"/>
        <v>-8.8073394495412627E-3</v>
      </c>
      <c r="H430" s="842">
        <v>43.8</v>
      </c>
      <c r="I430" s="843">
        <f t="shared" si="68"/>
        <v>-9.7219082070992835E-3</v>
      </c>
      <c r="J430" s="842">
        <v>79.650000000000006</v>
      </c>
      <c r="K430" s="843">
        <f t="shared" si="69"/>
        <v>-1.2031753907219001E-2</v>
      </c>
      <c r="L430" s="842">
        <v>57.2</v>
      </c>
      <c r="M430" s="843">
        <f t="shared" si="70"/>
        <v>-1.430294675168009E-2</v>
      </c>
      <c r="N430" s="842">
        <v>65.650000000000006</v>
      </c>
      <c r="O430" s="843">
        <f t="shared" si="71"/>
        <v>-5.9055118110236116E-3</v>
      </c>
      <c r="P430" s="844">
        <f t="shared" si="77"/>
        <v>-8.6513451861701517E-3</v>
      </c>
      <c r="Q430" s="830"/>
      <c r="R430" s="845">
        <v>895.35</v>
      </c>
      <c r="S430" s="846">
        <f t="shared" si="72"/>
        <v>-1.3605816899856849E-2</v>
      </c>
      <c r="T430" s="845">
        <v>64.59</v>
      </c>
      <c r="U430" s="846">
        <f t="shared" si="73"/>
        <v>-1.3441270811058392E-2</v>
      </c>
      <c r="V430" s="845">
        <v>119.67489999999999</v>
      </c>
      <c r="W430" s="846">
        <f t="shared" si="74"/>
        <v>-1.3486823124036706E-2</v>
      </c>
      <c r="X430" s="845">
        <v>32764.65</v>
      </c>
      <c r="Y430" s="846">
        <f t="shared" si="75"/>
        <v>-1.0753075007499113E-3</v>
      </c>
      <c r="Z430" s="845">
        <v>4151.2799000000005</v>
      </c>
      <c r="AA430" s="846">
        <f t="shared" si="76"/>
        <v>8.7580098028825493E-3</v>
      </c>
      <c r="AB430" s="843"/>
      <c r="AC430" s="832"/>
    </row>
    <row r="431" spans="1:29" ht="14.4" x14ac:dyDescent="0.55000000000000004">
      <c r="A431" s="857" t="s">
        <v>5590</v>
      </c>
      <c r="B431" s="842">
        <v>116.41</v>
      </c>
      <c r="C431" s="843">
        <f t="shared" si="67"/>
        <v>8.5910652920961894E-5</v>
      </c>
      <c r="D431" s="842">
        <v>48.69</v>
      </c>
      <c r="E431" s="843">
        <f t="shared" si="68"/>
        <v>-1.5568135867367605E-2</v>
      </c>
      <c r="F431" s="842">
        <v>27.25</v>
      </c>
      <c r="G431" s="843">
        <f t="shared" si="68"/>
        <v>-4.0204678362573132E-3</v>
      </c>
      <c r="H431" s="842">
        <v>44.23</v>
      </c>
      <c r="I431" s="843">
        <f t="shared" si="68"/>
        <v>-1.7984014209591503E-2</v>
      </c>
      <c r="J431" s="842">
        <v>80.62</v>
      </c>
      <c r="K431" s="843">
        <f t="shared" si="69"/>
        <v>-1.2493875551200295E-2</v>
      </c>
      <c r="L431" s="842">
        <v>58.03</v>
      </c>
      <c r="M431" s="843">
        <f t="shared" si="70"/>
        <v>-5.1670685497762214E-4</v>
      </c>
      <c r="N431" s="842">
        <v>66.040000000000006</v>
      </c>
      <c r="O431" s="843">
        <f t="shared" si="71"/>
        <v>-2.9251800676172168E-2</v>
      </c>
      <c r="P431" s="844">
        <f t="shared" si="77"/>
        <v>-1.1392727191806507E-2</v>
      </c>
      <c r="Q431" s="830"/>
      <c r="R431" s="845">
        <v>907.7</v>
      </c>
      <c r="S431" s="846">
        <f t="shared" si="72"/>
        <v>-5.848593708928318E-3</v>
      </c>
      <c r="T431" s="845">
        <v>65.47</v>
      </c>
      <c r="U431" s="846">
        <f t="shared" si="73"/>
        <v>-6.5250379362671307E-3</v>
      </c>
      <c r="V431" s="845">
        <v>121.31100000000001</v>
      </c>
      <c r="W431" s="846">
        <f t="shared" si="74"/>
        <v>8.6561885565217267E-5</v>
      </c>
      <c r="X431" s="845">
        <v>32799.919999999998</v>
      </c>
      <c r="Y431" s="846">
        <f t="shared" si="75"/>
        <v>-7.7321451098472105E-3</v>
      </c>
      <c r="Z431" s="845">
        <v>4115.2385999999997</v>
      </c>
      <c r="AA431" s="846">
        <f t="shared" si="76"/>
        <v>-7.3178264864187659E-3</v>
      </c>
      <c r="AB431" s="843"/>
      <c r="AC431" s="832"/>
    </row>
    <row r="432" spans="1:29" ht="14.4" x14ac:dyDescent="0.55000000000000004">
      <c r="A432" s="857" t="s">
        <v>5591</v>
      </c>
      <c r="B432" s="842">
        <v>116.4</v>
      </c>
      <c r="C432" s="843">
        <f t="shared" si="67"/>
        <v>2.5779840164985579E-4</v>
      </c>
      <c r="D432" s="842">
        <v>49.46</v>
      </c>
      <c r="E432" s="843">
        <f t="shared" si="68"/>
        <v>2.0222446916062786E-4</v>
      </c>
      <c r="F432" s="842">
        <v>27.36</v>
      </c>
      <c r="G432" s="843">
        <f t="shared" si="68"/>
        <v>-1.0952902519167917E-3</v>
      </c>
      <c r="H432" s="842">
        <v>45.04</v>
      </c>
      <c r="I432" s="843">
        <f t="shared" si="68"/>
        <v>7.6062639821028455E-3</v>
      </c>
      <c r="J432" s="842">
        <v>81.64</v>
      </c>
      <c r="K432" s="843">
        <f t="shared" si="69"/>
        <v>1.1272141706924366E-2</v>
      </c>
      <c r="L432" s="842">
        <v>58.06</v>
      </c>
      <c r="M432" s="843">
        <f t="shared" si="70"/>
        <v>2.244087692042207E-3</v>
      </c>
      <c r="N432" s="842">
        <v>68.03</v>
      </c>
      <c r="O432" s="843">
        <f t="shared" si="71"/>
        <v>2.0621593754603929E-3</v>
      </c>
      <c r="P432" s="844">
        <f t="shared" si="77"/>
        <v>3.2213407679176432E-3</v>
      </c>
      <c r="Q432" s="830"/>
      <c r="R432" s="845">
        <v>913.04</v>
      </c>
      <c r="S432" s="846">
        <f t="shared" si="72"/>
        <v>-3.1552629567761503E-3</v>
      </c>
      <c r="T432" s="845">
        <v>65.900000000000006</v>
      </c>
      <c r="U432" s="846">
        <f t="shared" si="73"/>
        <v>-3.4779978829576619E-3</v>
      </c>
      <c r="V432" s="845">
        <v>121.3005</v>
      </c>
      <c r="W432" s="846">
        <f t="shared" si="74"/>
        <v>2.5727863523572481E-4</v>
      </c>
      <c r="X432" s="845">
        <v>33055.51</v>
      </c>
      <c r="Y432" s="846">
        <f t="shared" si="75"/>
        <v>-6.941836620043218E-3</v>
      </c>
      <c r="Z432" s="845">
        <v>4145.5752000000002</v>
      </c>
      <c r="AA432" s="846">
        <f t="shared" si="76"/>
        <v>-1.1223382970505735E-2</v>
      </c>
      <c r="AB432" s="843"/>
      <c r="AC432" s="832"/>
    </row>
    <row r="433" spans="1:29" ht="14.4" x14ac:dyDescent="0.55000000000000004">
      <c r="A433" s="857" t="s">
        <v>5592</v>
      </c>
      <c r="B433" s="842">
        <v>116.37</v>
      </c>
      <c r="C433" s="843">
        <f t="shared" si="67"/>
        <v>-1.6300617707618592E-3</v>
      </c>
      <c r="D433" s="842">
        <v>49.45</v>
      </c>
      <c r="E433" s="843">
        <f t="shared" si="68"/>
        <v>2.4325967970810769E-3</v>
      </c>
      <c r="F433" s="842">
        <v>27.39</v>
      </c>
      <c r="G433" s="843">
        <f t="shared" si="68"/>
        <v>1.0964912280702066E-3</v>
      </c>
      <c r="H433" s="842">
        <v>44.7</v>
      </c>
      <c r="I433" s="843">
        <f t="shared" si="68"/>
        <v>6.7159167226327199E-4</v>
      </c>
      <c r="J433" s="842">
        <v>80.73</v>
      </c>
      <c r="K433" s="843">
        <f t="shared" si="69"/>
        <v>5.3549190535493452E-3</v>
      </c>
      <c r="L433" s="842">
        <v>57.93</v>
      </c>
      <c r="M433" s="843">
        <f t="shared" si="70"/>
        <v>8.5306406685237146E-3</v>
      </c>
      <c r="N433" s="842">
        <v>67.89</v>
      </c>
      <c r="O433" s="843">
        <f t="shared" si="71"/>
        <v>-1.6176470588235015E-3</v>
      </c>
      <c r="P433" s="844">
        <f t="shared" si="77"/>
        <v>2.1197900842717505E-3</v>
      </c>
      <c r="Q433" s="830"/>
      <c r="R433" s="845">
        <v>915.93</v>
      </c>
      <c r="S433" s="846">
        <f t="shared" si="72"/>
        <v>1.2024091907785195E-3</v>
      </c>
      <c r="T433" s="845">
        <v>66.13</v>
      </c>
      <c r="U433" s="846">
        <f t="shared" si="73"/>
        <v>3.0252609287551024E-4</v>
      </c>
      <c r="V433" s="845">
        <v>121.2693</v>
      </c>
      <c r="W433" s="846">
        <f t="shared" si="74"/>
        <v>-1.6300683393801751E-3</v>
      </c>
      <c r="X433" s="845">
        <v>33286.58</v>
      </c>
      <c r="Y433" s="846">
        <f t="shared" si="75"/>
        <v>-4.1897732436682045E-3</v>
      </c>
      <c r="Z433" s="845">
        <v>4192.6306999999997</v>
      </c>
      <c r="AA433" s="846">
        <f t="shared" si="76"/>
        <v>1.5527269477777494E-4</v>
      </c>
      <c r="AB433" s="843"/>
      <c r="AC433" s="832"/>
    </row>
    <row r="434" spans="1:29" ht="14.4" x14ac:dyDescent="0.55000000000000004">
      <c r="A434" s="857" t="s">
        <v>5593</v>
      </c>
      <c r="B434" s="842">
        <v>116.56</v>
      </c>
      <c r="C434" s="843">
        <f t="shared" si="67"/>
        <v>3.87563517354228E-3</v>
      </c>
      <c r="D434" s="842">
        <v>49.33</v>
      </c>
      <c r="E434" s="843">
        <f t="shared" si="68"/>
        <v>7.3514396569327456E-3</v>
      </c>
      <c r="F434" s="842">
        <v>27.36</v>
      </c>
      <c r="G434" s="843">
        <f t="shared" si="68"/>
        <v>0</v>
      </c>
      <c r="H434" s="842">
        <v>44.67</v>
      </c>
      <c r="I434" s="843">
        <f t="shared" si="68"/>
        <v>3.8202247191012617E-3</v>
      </c>
      <c r="J434" s="842">
        <v>80.3</v>
      </c>
      <c r="K434" s="843">
        <f t="shared" si="69"/>
        <v>7.2754641244354712E-3</v>
      </c>
      <c r="L434" s="842">
        <v>57.44</v>
      </c>
      <c r="M434" s="843">
        <f t="shared" si="70"/>
        <v>6.1306708705550772E-3</v>
      </c>
      <c r="N434" s="842">
        <v>68</v>
      </c>
      <c r="O434" s="843">
        <f t="shared" si="71"/>
        <v>3.097802035698427E-3</v>
      </c>
      <c r="P434" s="844">
        <f t="shared" si="77"/>
        <v>4.5073195114664665E-3</v>
      </c>
      <c r="Q434" s="830"/>
      <c r="R434" s="845">
        <v>914.83</v>
      </c>
      <c r="S434" s="846">
        <f t="shared" si="72"/>
        <v>-2.2684887284465383E-3</v>
      </c>
      <c r="T434" s="845">
        <v>66.11</v>
      </c>
      <c r="U434" s="846">
        <f t="shared" si="73"/>
        <v>-1.5103458692039551E-3</v>
      </c>
      <c r="V434" s="845">
        <v>121.46729999999999</v>
      </c>
      <c r="W434" s="846">
        <f t="shared" si="74"/>
        <v>3.8760875152790142E-3</v>
      </c>
      <c r="X434" s="845">
        <v>33426.629999999997</v>
      </c>
      <c r="Y434" s="846">
        <f t="shared" si="75"/>
        <v>-3.2585965313005616E-3</v>
      </c>
      <c r="Z434" s="845">
        <v>4191.9798000000001</v>
      </c>
      <c r="AA434" s="846">
        <f t="shared" si="76"/>
        <v>-1.4461711267007571E-3</v>
      </c>
      <c r="AB434" s="843"/>
      <c r="AC434" s="832"/>
    </row>
    <row r="435" spans="1:29" ht="14.4" x14ac:dyDescent="0.55000000000000004">
      <c r="A435" s="857" t="s">
        <v>5594</v>
      </c>
      <c r="B435" s="842">
        <v>116.11</v>
      </c>
      <c r="C435" s="843">
        <f t="shared" si="67"/>
        <v>-5.7372837814694266E-3</v>
      </c>
      <c r="D435" s="842">
        <v>48.97</v>
      </c>
      <c r="E435" s="843">
        <f t="shared" si="68"/>
        <v>-8.7044534412955565E-3</v>
      </c>
      <c r="F435" s="842">
        <v>27.36</v>
      </c>
      <c r="G435" s="843">
        <f t="shared" si="68"/>
        <v>-2.5519504192490494E-3</v>
      </c>
      <c r="H435" s="842">
        <v>44.5</v>
      </c>
      <c r="I435" s="843">
        <f t="shared" si="68"/>
        <v>-8.9086859688195519E-3</v>
      </c>
      <c r="J435" s="842">
        <v>79.72</v>
      </c>
      <c r="K435" s="843">
        <f t="shared" si="69"/>
        <v>-2.252816020025139E-3</v>
      </c>
      <c r="L435" s="842">
        <v>57.09</v>
      </c>
      <c r="M435" s="843">
        <f t="shared" si="70"/>
        <v>8.1229030549179182E-3</v>
      </c>
      <c r="N435" s="842">
        <v>67.790000000000006</v>
      </c>
      <c r="O435" s="843">
        <f t="shared" si="71"/>
        <v>-3.8207200587802026E-3</v>
      </c>
      <c r="P435" s="844">
        <f t="shared" si="77"/>
        <v>-3.4075723763887155E-3</v>
      </c>
      <c r="Q435" s="830"/>
      <c r="R435" s="845">
        <v>916.91</v>
      </c>
      <c r="S435" s="846">
        <f t="shared" si="72"/>
        <v>-4.7325973927295761E-3</v>
      </c>
      <c r="T435" s="845">
        <v>66.209999999999994</v>
      </c>
      <c r="U435" s="846">
        <f t="shared" si="73"/>
        <v>-3.0115946393616255E-3</v>
      </c>
      <c r="V435" s="845">
        <v>120.9983</v>
      </c>
      <c r="W435" s="846">
        <f t="shared" si="74"/>
        <v>-5.7372233383868876E-3</v>
      </c>
      <c r="X435" s="845">
        <v>33535.910000000003</v>
      </c>
      <c r="Y435" s="846">
        <f t="shared" si="75"/>
        <v>3.4451629929532768E-3</v>
      </c>
      <c r="Z435" s="845">
        <v>4198.0509000000002</v>
      </c>
      <c r="AA435" s="846">
        <f t="shared" si="76"/>
        <v>9.4451225828555696E-3</v>
      </c>
      <c r="AB435" s="843"/>
      <c r="AC435" s="832"/>
    </row>
    <row r="436" spans="1:29" ht="14.4" x14ac:dyDescent="0.55000000000000004">
      <c r="A436" s="857" t="s">
        <v>5595</v>
      </c>
      <c r="B436" s="842">
        <v>116.78</v>
      </c>
      <c r="C436" s="843">
        <f t="shared" si="67"/>
        <v>6.8109319768945298E-3</v>
      </c>
      <c r="D436" s="842">
        <v>49.4</v>
      </c>
      <c r="E436" s="843">
        <f t="shared" si="68"/>
        <v>4.0650406504063596E-3</v>
      </c>
      <c r="F436" s="842">
        <v>27.43</v>
      </c>
      <c r="G436" s="843">
        <f t="shared" si="68"/>
        <v>-3.9941902687000708E-3</v>
      </c>
      <c r="H436" s="842">
        <v>44.9</v>
      </c>
      <c r="I436" s="843">
        <f t="shared" si="68"/>
        <v>1.8602540834845804E-2</v>
      </c>
      <c r="J436" s="842">
        <v>79.900000000000006</v>
      </c>
      <c r="K436" s="843">
        <f t="shared" si="69"/>
        <v>1.13924050632912E-2</v>
      </c>
      <c r="L436" s="842">
        <v>56.63</v>
      </c>
      <c r="M436" s="843">
        <f t="shared" si="70"/>
        <v>1.5420476958938556E-2</v>
      </c>
      <c r="N436" s="842">
        <v>68.05</v>
      </c>
      <c r="O436" s="843">
        <f t="shared" si="71"/>
        <v>1.2046400951814418E-2</v>
      </c>
      <c r="P436" s="844">
        <f t="shared" si="77"/>
        <v>9.1919437382129709E-3</v>
      </c>
      <c r="Q436" s="830"/>
      <c r="R436" s="845">
        <v>921.27</v>
      </c>
      <c r="S436" s="846">
        <f t="shared" si="72"/>
        <v>-2.4039242439009012E-3</v>
      </c>
      <c r="T436" s="845">
        <v>66.41</v>
      </c>
      <c r="U436" s="846">
        <f t="shared" si="73"/>
        <v>-3.6009002250564359E-3</v>
      </c>
      <c r="V436" s="845">
        <v>121.6965</v>
      </c>
      <c r="W436" s="846">
        <f t="shared" si="74"/>
        <v>6.8104370444093121E-3</v>
      </c>
      <c r="X436" s="845">
        <v>33420.769999999997</v>
      </c>
      <c r="Y436" s="846">
        <f t="shared" si="75"/>
        <v>1.2378173605225085E-2</v>
      </c>
      <c r="Z436" s="845">
        <v>4158.7708000000002</v>
      </c>
      <c r="AA436" s="846">
        <f t="shared" si="76"/>
        <v>1.1891733539794336E-2</v>
      </c>
      <c r="AB436" s="843"/>
      <c r="AC436" s="832"/>
    </row>
    <row r="437" spans="1:29" ht="14.4" x14ac:dyDescent="0.55000000000000004">
      <c r="A437" s="857" t="s">
        <v>5596</v>
      </c>
      <c r="B437" s="842">
        <v>115.99</v>
      </c>
      <c r="C437" s="843">
        <f t="shared" si="67"/>
        <v>-1.3606599200612357E-2</v>
      </c>
      <c r="D437" s="842">
        <v>49.2</v>
      </c>
      <c r="E437" s="843">
        <f t="shared" si="68"/>
        <v>-1.045856798069178E-2</v>
      </c>
      <c r="F437" s="842">
        <v>27.54</v>
      </c>
      <c r="G437" s="843">
        <f t="shared" si="68"/>
        <v>-1.7831669044222509E-2</v>
      </c>
      <c r="H437" s="842">
        <v>44.08</v>
      </c>
      <c r="I437" s="843">
        <f t="shared" si="68"/>
        <v>-2.0444444444444487E-2</v>
      </c>
      <c r="J437" s="842">
        <v>79</v>
      </c>
      <c r="K437" s="843">
        <f t="shared" si="69"/>
        <v>-1.948616110214707E-2</v>
      </c>
      <c r="L437" s="842">
        <v>55.77</v>
      </c>
      <c r="M437" s="843">
        <f t="shared" si="70"/>
        <v>-5.3763440860199463E-4</v>
      </c>
      <c r="N437" s="842">
        <v>67.239999999999995</v>
      </c>
      <c r="O437" s="843">
        <f t="shared" si="71"/>
        <v>-1.1612523886520787E-2</v>
      </c>
      <c r="P437" s="844">
        <f t="shared" si="77"/>
        <v>-1.3425371438177283E-2</v>
      </c>
      <c r="Q437" s="830"/>
      <c r="R437" s="845">
        <v>923.49</v>
      </c>
      <c r="S437" s="846">
        <f t="shared" si="72"/>
        <v>-2.3309678169915249E-2</v>
      </c>
      <c r="T437" s="845">
        <v>66.650000000000006</v>
      </c>
      <c r="U437" s="846">
        <f t="shared" si="73"/>
        <v>-2.2153755868544511E-2</v>
      </c>
      <c r="V437" s="845">
        <v>120.8733</v>
      </c>
      <c r="W437" s="846">
        <f t="shared" si="74"/>
        <v>-1.3606102793686348E-2</v>
      </c>
      <c r="X437" s="845">
        <v>33012.14</v>
      </c>
      <c r="Y437" s="846">
        <f t="shared" si="75"/>
        <v>-1.0089179155946537E-2</v>
      </c>
      <c r="Z437" s="845">
        <v>4109.8969999999999</v>
      </c>
      <c r="AA437" s="846">
        <f t="shared" si="76"/>
        <v>-6.3794455903199987E-3</v>
      </c>
      <c r="AB437" s="843"/>
      <c r="AC437" s="832"/>
    </row>
    <row r="438" spans="1:29" ht="14.4" x14ac:dyDescent="0.55000000000000004">
      <c r="A438" s="857" t="s">
        <v>5597</v>
      </c>
      <c r="B438" s="842">
        <v>117.59</v>
      </c>
      <c r="C438" s="843">
        <f t="shared" si="67"/>
        <v>-1.3092740243390688E-2</v>
      </c>
      <c r="D438" s="842">
        <v>49.72</v>
      </c>
      <c r="E438" s="843">
        <f t="shared" si="68"/>
        <v>-1.153081510934395E-2</v>
      </c>
      <c r="F438" s="842">
        <v>28.04</v>
      </c>
      <c r="G438" s="843">
        <f t="shared" si="68"/>
        <v>-1.5795015795015743E-2</v>
      </c>
      <c r="H438" s="842">
        <v>45</v>
      </c>
      <c r="I438" s="843">
        <f t="shared" si="68"/>
        <v>-1.4670462010072272E-2</v>
      </c>
      <c r="J438" s="842">
        <v>80.569999999999993</v>
      </c>
      <c r="K438" s="843">
        <f t="shared" si="69"/>
        <v>-1.4554794520548087E-2</v>
      </c>
      <c r="L438" s="842">
        <v>55.8</v>
      </c>
      <c r="M438" s="843">
        <f t="shared" si="70"/>
        <v>-8.8809946714032417E-3</v>
      </c>
      <c r="N438" s="842">
        <v>68.03</v>
      </c>
      <c r="O438" s="843">
        <f t="shared" si="71"/>
        <v>-1.5342307135620237E-2</v>
      </c>
      <c r="P438" s="844">
        <f t="shared" si="77"/>
        <v>-1.3409589926484888E-2</v>
      </c>
      <c r="Q438" s="830"/>
      <c r="R438" s="845">
        <v>945.53</v>
      </c>
      <c r="S438" s="846">
        <f t="shared" si="72"/>
        <v>-1.4241182664539997E-2</v>
      </c>
      <c r="T438" s="845">
        <v>68.16</v>
      </c>
      <c r="U438" s="846">
        <f t="shared" si="73"/>
        <v>-1.260321599304659E-2</v>
      </c>
      <c r="V438" s="845">
        <v>122.5406</v>
      </c>
      <c r="W438" s="846">
        <f t="shared" si="74"/>
        <v>-1.3092924569710229E-2</v>
      </c>
      <c r="X438" s="845">
        <v>33348.6</v>
      </c>
      <c r="Y438" s="846">
        <f t="shared" si="75"/>
        <v>1.4408140148740589E-3</v>
      </c>
      <c r="Z438" s="845">
        <v>4136.2842000000001</v>
      </c>
      <c r="AA438" s="846">
        <f t="shared" si="76"/>
        <v>2.9590107468790983E-3</v>
      </c>
      <c r="AB438" s="843"/>
      <c r="AC438" s="832"/>
    </row>
    <row r="439" spans="1:29" ht="14.4" x14ac:dyDescent="0.55000000000000004">
      <c r="A439" s="857" t="s">
        <v>5598</v>
      </c>
      <c r="B439" s="842">
        <v>119.15</v>
      </c>
      <c r="C439" s="843">
        <f t="shared" si="67"/>
        <v>8.8907705334462239E-3</v>
      </c>
      <c r="D439" s="842">
        <v>50.3</v>
      </c>
      <c r="E439" s="843">
        <f t="shared" si="68"/>
        <v>9.2295345104331794E-3</v>
      </c>
      <c r="F439" s="842">
        <v>28.49</v>
      </c>
      <c r="G439" s="843">
        <f t="shared" si="68"/>
        <v>1.171875E-2</v>
      </c>
      <c r="H439" s="842">
        <v>45.67</v>
      </c>
      <c r="I439" s="843">
        <f t="shared" si="68"/>
        <v>-6.3098346388162918E-3</v>
      </c>
      <c r="J439" s="842">
        <v>81.760000000000005</v>
      </c>
      <c r="K439" s="843">
        <f t="shared" si="69"/>
        <v>7.3928043371120911E-3</v>
      </c>
      <c r="L439" s="842">
        <v>56.3</v>
      </c>
      <c r="M439" s="843">
        <f t="shared" si="70"/>
        <v>-3.3634271552488437E-3</v>
      </c>
      <c r="N439" s="842">
        <v>69.09</v>
      </c>
      <c r="O439" s="843">
        <f t="shared" si="71"/>
        <v>6.9960647135987042E-3</v>
      </c>
      <c r="P439" s="844">
        <f t="shared" si="77"/>
        <v>4.9363803286464379E-3</v>
      </c>
      <c r="Q439" s="830"/>
      <c r="R439" s="845">
        <v>959.19</v>
      </c>
      <c r="S439" s="846">
        <f t="shared" si="72"/>
        <v>3.0220642057932068E-3</v>
      </c>
      <c r="T439" s="845">
        <v>69.03</v>
      </c>
      <c r="U439" s="846">
        <f t="shared" si="73"/>
        <v>5.5353241077931159E-3</v>
      </c>
      <c r="V439" s="845">
        <v>124.16630000000001</v>
      </c>
      <c r="W439" s="846">
        <f t="shared" si="74"/>
        <v>8.8907234052233441E-3</v>
      </c>
      <c r="X439" s="845">
        <v>33300.620000000003</v>
      </c>
      <c r="Y439" s="846">
        <f t="shared" si="75"/>
        <v>-2.6689074681673919E-4</v>
      </c>
      <c r="Z439" s="845">
        <v>4124.0810000000001</v>
      </c>
      <c r="AA439" s="846">
        <f t="shared" si="76"/>
        <v>-1.5833695526625835E-3</v>
      </c>
      <c r="AB439" s="843"/>
      <c r="AC439" s="832"/>
    </row>
    <row r="440" spans="1:29" ht="14.4" x14ac:dyDescent="0.55000000000000004">
      <c r="A440" s="857" t="s">
        <v>5599</v>
      </c>
      <c r="B440" s="842">
        <v>118.1</v>
      </c>
      <c r="C440" s="843">
        <f t="shared" si="67"/>
        <v>-1.014164780823068E-2</v>
      </c>
      <c r="D440" s="842">
        <v>49.84</v>
      </c>
      <c r="E440" s="843">
        <f t="shared" si="68"/>
        <v>-1.0914864060329377E-2</v>
      </c>
      <c r="F440" s="842">
        <v>28.16</v>
      </c>
      <c r="G440" s="843">
        <f t="shared" si="68"/>
        <v>-2.5268258913118791E-2</v>
      </c>
      <c r="H440" s="842">
        <v>45.96</v>
      </c>
      <c r="I440" s="843">
        <f t="shared" si="68"/>
        <v>-1.1187607573149627E-2</v>
      </c>
      <c r="J440" s="842">
        <v>81.16</v>
      </c>
      <c r="K440" s="843">
        <f t="shared" si="69"/>
        <v>-5.3921568627450789E-3</v>
      </c>
      <c r="L440" s="842">
        <v>56.49</v>
      </c>
      <c r="M440" s="843">
        <f t="shared" si="70"/>
        <v>-1.275777700104852E-2</v>
      </c>
      <c r="N440" s="842">
        <v>68.61</v>
      </c>
      <c r="O440" s="843">
        <f t="shared" si="71"/>
        <v>-1.0242354298903522E-2</v>
      </c>
      <c r="P440" s="844">
        <f t="shared" si="77"/>
        <v>-1.2272095216789371E-2</v>
      </c>
      <c r="Q440" s="830"/>
      <c r="R440" s="845">
        <v>956.3</v>
      </c>
      <c r="S440" s="846">
        <f t="shared" si="72"/>
        <v>-1.0696846809567173E-2</v>
      </c>
      <c r="T440" s="845">
        <v>68.650000000000006</v>
      </c>
      <c r="U440" s="846">
        <f t="shared" si="73"/>
        <v>-1.0236447520184488E-2</v>
      </c>
      <c r="V440" s="845">
        <v>123.07210000000001</v>
      </c>
      <c r="W440" s="846">
        <f t="shared" si="74"/>
        <v>-1.0142110186265763E-2</v>
      </c>
      <c r="X440" s="845">
        <v>33309.51</v>
      </c>
      <c r="Y440" s="846">
        <f t="shared" si="75"/>
        <v>-6.6153057454029218E-3</v>
      </c>
      <c r="Z440" s="845">
        <v>4130.6212999999998</v>
      </c>
      <c r="AA440" s="846">
        <f t="shared" si="76"/>
        <v>-1.696835941976893E-3</v>
      </c>
      <c r="AB440" s="843"/>
      <c r="AC440" s="832"/>
    </row>
    <row r="441" spans="1:29" ht="14.4" x14ac:dyDescent="0.55000000000000004">
      <c r="A441" s="857" t="s">
        <v>5600</v>
      </c>
      <c r="B441" s="842">
        <v>119.31</v>
      </c>
      <c r="C441" s="843">
        <f t="shared" si="67"/>
        <v>6.8354430379746756E-3</v>
      </c>
      <c r="D441" s="842">
        <v>50.39</v>
      </c>
      <c r="E441" s="843">
        <f t="shared" si="68"/>
        <v>5.9892194050708003E-3</v>
      </c>
      <c r="F441" s="842">
        <v>28.89</v>
      </c>
      <c r="G441" s="843">
        <f t="shared" si="68"/>
        <v>1.5465729349736446E-2</v>
      </c>
      <c r="H441" s="842">
        <v>46.48</v>
      </c>
      <c r="I441" s="843">
        <f t="shared" si="68"/>
        <v>3.8876889848811214E-3</v>
      </c>
      <c r="J441" s="842">
        <v>81.599999999999994</v>
      </c>
      <c r="K441" s="843">
        <f t="shared" si="69"/>
        <v>8.5279940674822807E-3</v>
      </c>
      <c r="L441" s="842">
        <v>57.22</v>
      </c>
      <c r="M441" s="843">
        <f t="shared" si="70"/>
        <v>2.581570455360338E-2</v>
      </c>
      <c r="N441" s="842">
        <v>69.319999999999993</v>
      </c>
      <c r="O441" s="843">
        <f t="shared" si="71"/>
        <v>1.2857977790765585E-2</v>
      </c>
      <c r="P441" s="844">
        <f t="shared" si="77"/>
        <v>1.1339965312787756E-2</v>
      </c>
      <c r="Q441" s="830"/>
      <c r="R441" s="845">
        <v>966.64</v>
      </c>
      <c r="S441" s="846">
        <f t="shared" si="72"/>
        <v>7.7774765945912705E-3</v>
      </c>
      <c r="T441" s="845">
        <v>69.36</v>
      </c>
      <c r="U441" s="846">
        <f t="shared" si="73"/>
        <v>9.1663029244870575E-3</v>
      </c>
      <c r="V441" s="845">
        <v>124.3331</v>
      </c>
      <c r="W441" s="846">
        <f t="shared" si="74"/>
        <v>6.8354266371903893E-3</v>
      </c>
      <c r="X441" s="845">
        <v>33531.33</v>
      </c>
      <c r="Y441" s="846">
        <f t="shared" si="75"/>
        <v>-9.0817509544316444E-4</v>
      </c>
      <c r="Z441" s="845">
        <v>4137.6422000000002</v>
      </c>
      <c r="AA441" s="846">
        <f t="shared" si="76"/>
        <v>4.4836179996696757E-3</v>
      </c>
      <c r="AB441" s="843"/>
      <c r="AC441" s="832"/>
    </row>
    <row r="442" spans="1:29" ht="14.4" x14ac:dyDescent="0.55000000000000004">
      <c r="A442" s="857" t="s">
        <v>5601</v>
      </c>
      <c r="B442" s="842">
        <v>118.5</v>
      </c>
      <c r="C442" s="843">
        <f t="shared" si="67"/>
        <v>5.4301713897844106E-3</v>
      </c>
      <c r="D442" s="842">
        <v>50.09</v>
      </c>
      <c r="E442" s="843">
        <f t="shared" si="68"/>
        <v>-2.3899621589323905E-3</v>
      </c>
      <c r="F442" s="842">
        <v>28.45</v>
      </c>
      <c r="G442" s="843">
        <f t="shared" si="68"/>
        <v>0</v>
      </c>
      <c r="H442" s="842">
        <v>46.3</v>
      </c>
      <c r="I442" s="843">
        <f t="shared" si="68"/>
        <v>-9.8374679213002469E-3</v>
      </c>
      <c r="J442" s="842">
        <v>80.91</v>
      </c>
      <c r="K442" s="843">
        <f t="shared" si="69"/>
        <v>5.5928411633110464E-3</v>
      </c>
      <c r="L442" s="842">
        <v>55.78</v>
      </c>
      <c r="M442" s="843">
        <f t="shared" si="70"/>
        <v>-6.5894924309883862E-3</v>
      </c>
      <c r="N442" s="842">
        <v>68.44</v>
      </c>
      <c r="O442" s="843">
        <f t="shared" si="71"/>
        <v>1.7564402810306134E-3</v>
      </c>
      <c r="P442" s="844">
        <f t="shared" si="77"/>
        <v>-8.6249566815642192E-4</v>
      </c>
      <c r="Q442" s="830"/>
      <c r="R442" s="845">
        <v>959.18</v>
      </c>
      <c r="S442" s="846">
        <f t="shared" si="72"/>
        <v>-1.4593670516627189E-4</v>
      </c>
      <c r="T442" s="845">
        <v>68.73</v>
      </c>
      <c r="U442" s="846">
        <f t="shared" si="73"/>
        <v>-1.3077593722753411E-3</v>
      </c>
      <c r="V442" s="845">
        <v>123.489</v>
      </c>
      <c r="W442" s="846">
        <f t="shared" si="74"/>
        <v>5.4306231782579317E-3</v>
      </c>
      <c r="X442" s="845">
        <v>33561.81</v>
      </c>
      <c r="Y442" s="846">
        <f t="shared" si="75"/>
        <v>-1.6919160145741907E-3</v>
      </c>
      <c r="Z442" s="845">
        <v>4119.1733999999997</v>
      </c>
      <c r="AA442" s="846">
        <f t="shared" si="76"/>
        <v>-4.5792742265031716E-3</v>
      </c>
      <c r="AB442" s="843"/>
      <c r="AC442" s="832"/>
    </row>
    <row r="443" spans="1:29" ht="14.4" x14ac:dyDescent="0.55000000000000004">
      <c r="A443" s="857" t="s">
        <v>5602</v>
      </c>
      <c r="B443" s="842">
        <v>117.86</v>
      </c>
      <c r="C443" s="843">
        <f t="shared" si="67"/>
        <v>2.5518883974140483E-3</v>
      </c>
      <c r="D443" s="842">
        <v>50.21</v>
      </c>
      <c r="E443" s="843">
        <f t="shared" si="68"/>
        <v>-1.3168238993710779E-2</v>
      </c>
      <c r="F443" s="842">
        <v>28.45</v>
      </c>
      <c r="G443" s="843">
        <f t="shared" si="68"/>
        <v>-3.1534688156972246E-3</v>
      </c>
      <c r="H443" s="842">
        <v>46.76</v>
      </c>
      <c r="I443" s="843">
        <f t="shared" si="68"/>
        <v>-6.1636556854409719E-3</v>
      </c>
      <c r="J443" s="842">
        <v>80.459999999999994</v>
      </c>
      <c r="K443" s="843">
        <f t="shared" si="69"/>
        <v>-3.4679217240525251E-3</v>
      </c>
      <c r="L443" s="842">
        <v>56.15</v>
      </c>
      <c r="M443" s="843">
        <f t="shared" si="70"/>
        <v>-2.1325750844145563E-3</v>
      </c>
      <c r="N443" s="842">
        <v>68.319999999999993</v>
      </c>
      <c r="O443" s="843">
        <f t="shared" si="71"/>
        <v>-1.7826336975273249E-2</v>
      </c>
      <c r="P443" s="844">
        <f t="shared" si="77"/>
        <v>-6.1943298401678937E-3</v>
      </c>
      <c r="Q443" s="830"/>
      <c r="R443" s="845">
        <v>959.32</v>
      </c>
      <c r="S443" s="846">
        <f t="shared" si="72"/>
        <v>-3.065667640059333E-3</v>
      </c>
      <c r="T443" s="845">
        <v>68.819999999999993</v>
      </c>
      <c r="U443" s="846">
        <f t="shared" si="73"/>
        <v>-3.042155584528583E-3</v>
      </c>
      <c r="V443" s="845">
        <v>122.822</v>
      </c>
      <c r="W443" s="846">
        <f t="shared" si="74"/>
        <v>2.5516409353079084E-3</v>
      </c>
      <c r="X443" s="845">
        <v>33618.69</v>
      </c>
      <c r="Y443" s="846">
        <f t="shared" si="75"/>
        <v>-1.6537795202167249E-3</v>
      </c>
      <c r="Z443" s="845">
        <v>4138.1229999999996</v>
      </c>
      <c r="AA443" s="846">
        <f t="shared" si="76"/>
        <v>4.520032549262254E-4</v>
      </c>
      <c r="AB443" s="843"/>
      <c r="AC443" s="832"/>
    </row>
    <row r="444" spans="1:29" ht="14.4" x14ac:dyDescent="0.55000000000000004">
      <c r="A444" s="857" t="s">
        <v>5603</v>
      </c>
      <c r="B444" s="842">
        <v>117.56</v>
      </c>
      <c r="C444" s="843">
        <f t="shared" si="67"/>
        <v>-3.390979993217913E-3</v>
      </c>
      <c r="D444" s="842">
        <v>50.88</v>
      </c>
      <c r="E444" s="843">
        <f t="shared" si="68"/>
        <v>-5.278592375366542E-3</v>
      </c>
      <c r="F444" s="842">
        <v>28.54</v>
      </c>
      <c r="G444" s="843">
        <f t="shared" si="68"/>
        <v>5.9922453295733202E-3</v>
      </c>
      <c r="H444" s="842">
        <v>47.05</v>
      </c>
      <c r="I444" s="843">
        <f t="shared" si="68"/>
        <v>-2.648458514380303E-2</v>
      </c>
      <c r="J444" s="842">
        <v>80.739999999999995</v>
      </c>
      <c r="K444" s="843">
        <f t="shared" si="69"/>
        <v>1.3684871311989921E-2</v>
      </c>
      <c r="L444" s="842">
        <v>56.27</v>
      </c>
      <c r="M444" s="843">
        <f t="shared" si="70"/>
        <v>4.1651240281377344E-2</v>
      </c>
      <c r="N444" s="842">
        <v>69.56</v>
      </c>
      <c r="O444" s="843">
        <f t="shared" si="71"/>
        <v>1.7107764293025296E-2</v>
      </c>
      <c r="P444" s="844">
        <f t="shared" si="77"/>
        <v>6.1831376719397712E-3</v>
      </c>
      <c r="Q444" s="830"/>
      <c r="R444" s="845">
        <v>962.27</v>
      </c>
      <c r="S444" s="846">
        <f t="shared" si="72"/>
        <v>6.7481324935656506E-3</v>
      </c>
      <c r="T444" s="845">
        <v>69.03</v>
      </c>
      <c r="U444" s="846">
        <f t="shared" si="73"/>
        <v>6.4149292899839949E-3</v>
      </c>
      <c r="V444" s="845">
        <v>122.5094</v>
      </c>
      <c r="W444" s="846">
        <f t="shared" si="74"/>
        <v>-3.3906522775453141E-3</v>
      </c>
      <c r="X444" s="845">
        <v>33674.379999999997</v>
      </c>
      <c r="Y444" s="846">
        <f t="shared" si="75"/>
        <v>1.6500974711827654E-2</v>
      </c>
      <c r="Z444" s="845">
        <v>4136.2533999999996</v>
      </c>
      <c r="AA444" s="846">
        <f t="shared" si="76"/>
        <v>1.8476358650038938E-2</v>
      </c>
      <c r="AB444" s="843"/>
      <c r="AC444" s="832"/>
    </row>
    <row r="445" spans="1:29" ht="14.4" x14ac:dyDescent="0.55000000000000004">
      <c r="A445" s="857" t="s">
        <v>5604</v>
      </c>
      <c r="B445" s="842">
        <v>117.96</v>
      </c>
      <c r="C445" s="843">
        <f t="shared" si="67"/>
        <v>4.4725887875298964E-2</v>
      </c>
      <c r="D445" s="842">
        <v>51.15</v>
      </c>
      <c r="E445" s="843">
        <f t="shared" si="68"/>
        <v>-1.729106628242072E-2</v>
      </c>
      <c r="F445" s="842">
        <v>28.37</v>
      </c>
      <c r="G445" s="843">
        <f t="shared" si="68"/>
        <v>8.8904694167852849E-3</v>
      </c>
      <c r="H445" s="842">
        <v>48.33</v>
      </c>
      <c r="I445" s="843">
        <f t="shared" si="68"/>
        <v>4.746423927178145E-2</v>
      </c>
      <c r="J445" s="842">
        <v>79.650000000000006</v>
      </c>
      <c r="K445" s="843">
        <f t="shared" si="69"/>
        <v>-1.2539184952977678E-3</v>
      </c>
      <c r="L445" s="842">
        <v>54.02</v>
      </c>
      <c r="M445" s="843">
        <f t="shared" si="70"/>
        <v>-2.0489573889392432E-2</v>
      </c>
      <c r="N445" s="842">
        <v>68.39</v>
      </c>
      <c r="O445" s="843">
        <f t="shared" si="71"/>
        <v>1.0192023633677882E-2</v>
      </c>
      <c r="P445" s="844">
        <f t="shared" si="77"/>
        <v>1.0319723075776095E-2</v>
      </c>
      <c r="Q445" s="830"/>
      <c r="R445" s="845">
        <v>955.82</v>
      </c>
      <c r="S445" s="846">
        <f t="shared" si="72"/>
        <v>1.0669007010457587E-2</v>
      </c>
      <c r="T445" s="845">
        <v>68.59</v>
      </c>
      <c r="U445" s="846">
        <f t="shared" si="73"/>
        <v>7.6391949463787689E-3</v>
      </c>
      <c r="V445" s="845">
        <v>122.92619999999999</v>
      </c>
      <c r="W445" s="846">
        <f t="shared" si="74"/>
        <v>4.4725811550895944E-2</v>
      </c>
      <c r="X445" s="845">
        <v>33127.74</v>
      </c>
      <c r="Y445" s="846">
        <f t="shared" si="75"/>
        <v>-8.5741887291166385E-3</v>
      </c>
      <c r="Z445" s="845">
        <v>4061.2168999999999</v>
      </c>
      <c r="AA445" s="846">
        <f t="shared" si="76"/>
        <v>-7.2200168956702004E-3</v>
      </c>
      <c r="AB445" s="843"/>
      <c r="AC445" s="832"/>
    </row>
    <row r="446" spans="1:29" ht="14.4" x14ac:dyDescent="0.55000000000000004">
      <c r="A446" s="857" t="s">
        <v>5605</v>
      </c>
      <c r="B446" s="842">
        <v>112.91</v>
      </c>
      <c r="C446" s="843">
        <f t="shared" si="67"/>
        <v>5.4318788958147568E-3</v>
      </c>
      <c r="D446" s="842">
        <v>52.05</v>
      </c>
      <c r="E446" s="843">
        <f t="shared" si="68"/>
        <v>1.4224473889321798E-2</v>
      </c>
      <c r="F446" s="842">
        <v>28.12</v>
      </c>
      <c r="G446" s="843">
        <f t="shared" si="68"/>
        <v>7.5241848799714184E-3</v>
      </c>
      <c r="H446" s="842">
        <v>46.14</v>
      </c>
      <c r="I446" s="843">
        <f t="shared" si="68"/>
        <v>3.6980639547530281E-3</v>
      </c>
      <c r="J446" s="842">
        <v>79.75</v>
      </c>
      <c r="K446" s="843">
        <f t="shared" si="69"/>
        <v>1.8388456135870257E-2</v>
      </c>
      <c r="L446" s="842">
        <v>55.15</v>
      </c>
      <c r="M446" s="843">
        <f t="shared" si="70"/>
        <v>1.827917282127034E-2</v>
      </c>
      <c r="N446" s="842">
        <v>67.7</v>
      </c>
      <c r="O446" s="843">
        <f t="shared" si="71"/>
        <v>1.5906362545017982E-2</v>
      </c>
      <c r="P446" s="844">
        <f t="shared" si="77"/>
        <v>1.1921799017431369E-2</v>
      </c>
      <c r="Q446" s="830"/>
      <c r="R446" s="845">
        <v>945.73</v>
      </c>
      <c r="S446" s="846">
        <f t="shared" si="72"/>
        <v>-2.9624475509729686E-3</v>
      </c>
      <c r="T446" s="845">
        <v>68.069999999999993</v>
      </c>
      <c r="U446" s="846">
        <f t="shared" si="73"/>
        <v>-2.7834749487256616E-3</v>
      </c>
      <c r="V446" s="845">
        <v>117.6636</v>
      </c>
      <c r="W446" s="846">
        <f t="shared" si="74"/>
        <v>5.4320380011945169E-3</v>
      </c>
      <c r="X446" s="845">
        <v>33414.239999999998</v>
      </c>
      <c r="Y446" s="846">
        <f t="shared" si="75"/>
        <v>-8.0241582708738823E-3</v>
      </c>
      <c r="Z446" s="845">
        <v>4090.7521999999999</v>
      </c>
      <c r="AA446" s="846">
        <f t="shared" si="76"/>
        <v>-6.9978486158444042E-3</v>
      </c>
      <c r="AB446" s="843"/>
      <c r="AC446" s="832"/>
    </row>
    <row r="447" spans="1:29" ht="14.4" x14ac:dyDescent="0.55000000000000004">
      <c r="A447" s="857" t="s">
        <v>5606</v>
      </c>
      <c r="B447" s="842">
        <v>112.3</v>
      </c>
      <c r="C447" s="843">
        <f t="shared" si="67"/>
        <v>-1.9642077695329552E-2</v>
      </c>
      <c r="D447" s="842">
        <v>51.32</v>
      </c>
      <c r="E447" s="843">
        <f t="shared" si="68"/>
        <v>-6.7737565318366499E-3</v>
      </c>
      <c r="F447" s="842">
        <v>27.91</v>
      </c>
      <c r="G447" s="843">
        <f t="shared" si="68"/>
        <v>-2.1045247281655577E-2</v>
      </c>
      <c r="H447" s="842">
        <v>45.97</v>
      </c>
      <c r="I447" s="843">
        <f t="shared" si="68"/>
        <v>-1.8783351120597702E-2</v>
      </c>
      <c r="J447" s="842">
        <v>78.31</v>
      </c>
      <c r="K447" s="843">
        <f t="shared" si="69"/>
        <v>1.3197050071160454E-2</v>
      </c>
      <c r="L447" s="842">
        <v>54.16</v>
      </c>
      <c r="M447" s="843">
        <f t="shared" si="70"/>
        <v>-4.0736804817570027E-2</v>
      </c>
      <c r="N447" s="842">
        <v>66.64</v>
      </c>
      <c r="O447" s="843">
        <f t="shared" si="71"/>
        <v>-1.4784151389710232E-2</v>
      </c>
      <c r="P447" s="844">
        <f t="shared" si="77"/>
        <v>-1.5509762680791326E-2</v>
      </c>
      <c r="Q447" s="830"/>
      <c r="R447" s="845">
        <v>948.54</v>
      </c>
      <c r="S447" s="846">
        <f t="shared" si="72"/>
        <v>-1.2729373315153447E-2</v>
      </c>
      <c r="T447" s="845">
        <v>68.260000000000005</v>
      </c>
      <c r="U447" s="846">
        <f t="shared" si="73"/>
        <v>-1.2156295224312386E-2</v>
      </c>
      <c r="V447" s="845">
        <v>117.0279</v>
      </c>
      <c r="W447" s="846">
        <f t="shared" si="74"/>
        <v>-1.9642682120786348E-2</v>
      </c>
      <c r="X447" s="845">
        <v>33684.53</v>
      </c>
      <c r="Y447" s="846">
        <f t="shared" si="75"/>
        <v>-1.0782721567498821E-2</v>
      </c>
      <c r="Z447" s="845">
        <v>4119.5803999999998</v>
      </c>
      <c r="AA447" s="846">
        <f t="shared" si="76"/>
        <v>-1.1585422749464502E-2</v>
      </c>
      <c r="AB447" s="843"/>
      <c r="AC447" s="832"/>
    </row>
    <row r="448" spans="1:29" ht="14.4" x14ac:dyDescent="0.55000000000000004">
      <c r="A448" s="857" t="s">
        <v>5607</v>
      </c>
      <c r="B448" s="842">
        <v>114.55</v>
      </c>
      <c r="C448" s="843">
        <f t="shared" si="67"/>
        <v>3.5920799018749339E-3</v>
      </c>
      <c r="D448" s="842">
        <v>51.67</v>
      </c>
      <c r="E448" s="843">
        <f t="shared" si="68"/>
        <v>5.8094500387295689E-4</v>
      </c>
      <c r="F448" s="842">
        <v>28.51</v>
      </c>
      <c r="G448" s="843">
        <f t="shared" si="68"/>
        <v>1.7568517217148027E-3</v>
      </c>
      <c r="H448" s="842">
        <v>46.85</v>
      </c>
      <c r="I448" s="843">
        <f t="shared" si="68"/>
        <v>-2.3424190800681588E-3</v>
      </c>
      <c r="J448" s="842">
        <v>77.290000000000006</v>
      </c>
      <c r="K448" s="843">
        <f t="shared" si="69"/>
        <v>4.4184535412605808E-3</v>
      </c>
      <c r="L448" s="842">
        <v>56.46</v>
      </c>
      <c r="M448" s="843">
        <f t="shared" si="70"/>
        <v>8.2142857142857295E-3</v>
      </c>
      <c r="N448" s="842">
        <v>67.64</v>
      </c>
      <c r="O448" s="843">
        <f t="shared" si="71"/>
        <v>-1.3288055514543151E-3</v>
      </c>
      <c r="P448" s="844">
        <f t="shared" si="77"/>
        <v>2.1273416073552187E-3</v>
      </c>
      <c r="Q448" s="830"/>
      <c r="R448" s="845">
        <v>960.77</v>
      </c>
      <c r="S448" s="846">
        <f t="shared" si="72"/>
        <v>1.2088244182533181E-3</v>
      </c>
      <c r="T448" s="845">
        <v>69.099999999999994</v>
      </c>
      <c r="U448" s="846">
        <f t="shared" si="73"/>
        <v>1.7396346767177828E-3</v>
      </c>
      <c r="V448" s="845">
        <v>119.37269999999999</v>
      </c>
      <c r="W448" s="846">
        <f t="shared" si="74"/>
        <v>3.5924045822703921E-3</v>
      </c>
      <c r="X448" s="845">
        <v>34051.699999999997</v>
      </c>
      <c r="Y448" s="846">
        <f t="shared" si="75"/>
        <v>-1.362536864159436E-3</v>
      </c>
      <c r="Z448" s="845">
        <v>4167.8669</v>
      </c>
      <c r="AA448" s="846">
        <f t="shared" si="76"/>
        <v>-3.8721842001732121E-4</v>
      </c>
      <c r="AB448" s="843"/>
      <c r="AC448" s="832"/>
    </row>
    <row r="449" spans="1:29" ht="14.4" x14ac:dyDescent="0.55000000000000004">
      <c r="A449" s="857" t="s">
        <v>5608</v>
      </c>
      <c r="B449" s="842">
        <v>114.14</v>
      </c>
      <c r="C449" s="843">
        <f t="shared" si="67"/>
        <v>-6.9601531233687286E-3</v>
      </c>
      <c r="D449" s="842">
        <v>51.64</v>
      </c>
      <c r="E449" s="843">
        <f t="shared" si="68"/>
        <v>1.1632415664986073E-3</v>
      </c>
      <c r="F449" s="842">
        <v>28.46</v>
      </c>
      <c r="G449" s="843">
        <f t="shared" si="68"/>
        <v>-3.1523642732048662E-3</v>
      </c>
      <c r="H449" s="842">
        <v>46.96</v>
      </c>
      <c r="I449" s="843">
        <f t="shared" si="68"/>
        <v>-6.5580706579225767E-3</v>
      </c>
      <c r="J449" s="842">
        <v>76.95</v>
      </c>
      <c r="K449" s="843">
        <f t="shared" si="69"/>
        <v>-1.5984654731457826E-2</v>
      </c>
      <c r="L449" s="842">
        <v>56</v>
      </c>
      <c r="M449" s="843">
        <f t="shared" si="70"/>
        <v>-6.2111801242236142E-3</v>
      </c>
      <c r="N449" s="842">
        <v>67.73</v>
      </c>
      <c r="O449" s="843">
        <f t="shared" si="71"/>
        <v>-1.4693046261274212E-2</v>
      </c>
      <c r="P449" s="844">
        <f t="shared" si="77"/>
        <v>-7.4851753721361736E-3</v>
      </c>
      <c r="Q449" s="830"/>
      <c r="R449" s="845">
        <v>959.61</v>
      </c>
      <c r="S449" s="846">
        <f t="shared" si="72"/>
        <v>-3.92364462990058E-3</v>
      </c>
      <c r="T449" s="845">
        <v>68.98</v>
      </c>
      <c r="U449" s="846">
        <f t="shared" si="73"/>
        <v>-1.4475969889982121E-3</v>
      </c>
      <c r="V449" s="845">
        <v>118.94540000000001</v>
      </c>
      <c r="W449" s="846">
        <f t="shared" si="74"/>
        <v>-6.9603127757680294E-3</v>
      </c>
      <c r="X449" s="845">
        <v>34098.160000000003</v>
      </c>
      <c r="Y449" s="846">
        <f t="shared" si="75"/>
        <v>8.041113741553918E-3</v>
      </c>
      <c r="Z449" s="845">
        <v>4169.4813999999997</v>
      </c>
      <c r="AA449" s="846">
        <f t="shared" si="76"/>
        <v>8.2530334417463269E-3</v>
      </c>
      <c r="AB449" s="843"/>
      <c r="AC449" s="832"/>
    </row>
    <row r="450" spans="1:29" ht="14.4" x14ac:dyDescent="0.55000000000000004">
      <c r="A450" s="857" t="s">
        <v>5609</v>
      </c>
      <c r="B450" s="842">
        <v>114.94</v>
      </c>
      <c r="C450" s="843">
        <f t="shared" si="67"/>
        <v>9.5740008783486985E-3</v>
      </c>
      <c r="D450" s="842">
        <v>51.58</v>
      </c>
      <c r="E450" s="843">
        <f t="shared" si="68"/>
        <v>8.2095387021110522E-3</v>
      </c>
      <c r="F450" s="842">
        <v>28.55</v>
      </c>
      <c r="G450" s="843">
        <f t="shared" si="68"/>
        <v>9.1905266878755665E-3</v>
      </c>
      <c r="H450" s="842">
        <v>47.27</v>
      </c>
      <c r="I450" s="843">
        <f t="shared" si="68"/>
        <v>7.8891257995736819E-3</v>
      </c>
      <c r="J450" s="842">
        <v>78.2</v>
      </c>
      <c r="K450" s="843">
        <f t="shared" si="69"/>
        <v>1.4267185473411326E-2</v>
      </c>
      <c r="L450" s="842">
        <v>56.35</v>
      </c>
      <c r="M450" s="843">
        <f t="shared" si="70"/>
        <v>2.4545454545454648E-2</v>
      </c>
      <c r="N450" s="842">
        <v>68.739999999999995</v>
      </c>
      <c r="O450" s="843">
        <f t="shared" si="71"/>
        <v>1.6112342941611013E-2</v>
      </c>
      <c r="P450" s="844">
        <f t="shared" si="77"/>
        <v>1.2826882146912284E-2</v>
      </c>
      <c r="Q450" s="830"/>
      <c r="R450" s="845">
        <v>963.39</v>
      </c>
      <c r="S450" s="846">
        <f t="shared" si="72"/>
        <v>8.9755137093900927E-3</v>
      </c>
      <c r="T450" s="845">
        <v>69.08</v>
      </c>
      <c r="U450" s="846">
        <f t="shared" si="73"/>
        <v>1.2012891883973031E-2</v>
      </c>
      <c r="V450" s="845">
        <v>119.7791</v>
      </c>
      <c r="W450" s="846">
        <f t="shared" si="74"/>
        <v>9.5740843133025333E-3</v>
      </c>
      <c r="X450" s="845">
        <v>33826.160000000003</v>
      </c>
      <c r="Y450" s="846">
        <f t="shared" si="75"/>
        <v>1.5743560346611174E-2</v>
      </c>
      <c r="Z450" s="845">
        <v>4135.3522000000003</v>
      </c>
      <c r="AA450" s="846">
        <f t="shared" si="76"/>
        <v>1.9567218619346072E-2</v>
      </c>
      <c r="AB450" s="843"/>
      <c r="AC450" s="832"/>
    </row>
    <row r="451" spans="1:29" ht="14.4" x14ac:dyDescent="0.55000000000000004">
      <c r="A451" s="857" t="s">
        <v>5610</v>
      </c>
      <c r="B451" s="842">
        <v>113.85</v>
      </c>
      <c r="C451" s="843">
        <f t="shared" si="67"/>
        <v>-2.0813623462630049E-2</v>
      </c>
      <c r="D451" s="842">
        <v>51.16</v>
      </c>
      <c r="E451" s="843">
        <f t="shared" si="68"/>
        <v>-2.4594852240228948E-2</v>
      </c>
      <c r="F451" s="842">
        <v>28.29</v>
      </c>
      <c r="G451" s="843">
        <f t="shared" si="68"/>
        <v>-1.2565445026177957E-2</v>
      </c>
      <c r="H451" s="842">
        <v>46.9</v>
      </c>
      <c r="I451" s="843">
        <f t="shared" si="68"/>
        <v>-1.8623142916928237E-2</v>
      </c>
      <c r="J451" s="842">
        <v>77.099999999999994</v>
      </c>
      <c r="K451" s="843">
        <f t="shared" si="69"/>
        <v>-3.6972270796902462E-2</v>
      </c>
      <c r="L451" s="842">
        <v>55</v>
      </c>
      <c r="M451" s="843">
        <f t="shared" si="70"/>
        <v>-2.170046246887225E-2</v>
      </c>
      <c r="N451" s="842">
        <v>67.650000000000006</v>
      </c>
      <c r="O451" s="843">
        <f t="shared" si="71"/>
        <v>-3.1218673922382867E-2</v>
      </c>
      <c r="P451" s="844">
        <f t="shared" si="77"/>
        <v>-2.3784067262017539E-2</v>
      </c>
      <c r="Q451" s="830"/>
      <c r="R451" s="845">
        <v>954.82</v>
      </c>
      <c r="S451" s="846">
        <f t="shared" si="72"/>
        <v>-2.1089000297316862E-2</v>
      </c>
      <c r="T451" s="845">
        <v>68.260000000000005</v>
      </c>
      <c r="U451" s="846">
        <f t="shared" si="73"/>
        <v>-2.346208869814026E-2</v>
      </c>
      <c r="V451" s="845">
        <v>118.64319999999999</v>
      </c>
      <c r="W451" s="846">
        <f t="shared" si="74"/>
        <v>-2.0813749173648199E-2</v>
      </c>
      <c r="X451" s="845">
        <v>33301.870000000003</v>
      </c>
      <c r="Y451" s="846">
        <f t="shared" si="75"/>
        <v>-6.8283427520284823E-3</v>
      </c>
      <c r="Z451" s="845">
        <v>4055.9877999999999</v>
      </c>
      <c r="AA451" s="846">
        <f t="shared" si="76"/>
        <v>-3.8418516572624739E-3</v>
      </c>
      <c r="AB451" s="843"/>
      <c r="AC451" s="832"/>
    </row>
    <row r="452" spans="1:29" ht="14.4" x14ac:dyDescent="0.55000000000000004">
      <c r="A452" s="857" t="s">
        <v>5611</v>
      </c>
      <c r="B452" s="842">
        <v>116.27</v>
      </c>
      <c r="C452" s="843">
        <f t="shared" si="67"/>
        <v>4.3021855102387541E-4</v>
      </c>
      <c r="D452" s="842">
        <v>52.45</v>
      </c>
      <c r="E452" s="843">
        <f t="shared" si="68"/>
        <v>-1.3726965024445259E-2</v>
      </c>
      <c r="F452" s="842">
        <v>28.65</v>
      </c>
      <c r="G452" s="843">
        <f t="shared" si="68"/>
        <v>4.2060988433227919E-3</v>
      </c>
      <c r="H452" s="842">
        <v>47.79</v>
      </c>
      <c r="I452" s="843">
        <f t="shared" si="68"/>
        <v>2.0968756552737222E-3</v>
      </c>
      <c r="J452" s="842">
        <v>80.06</v>
      </c>
      <c r="K452" s="843">
        <f t="shared" si="69"/>
        <v>-7.0693290338582626E-3</v>
      </c>
      <c r="L452" s="842">
        <v>56.22</v>
      </c>
      <c r="M452" s="843">
        <f t="shared" si="70"/>
        <v>-2.3958333333333415E-2</v>
      </c>
      <c r="N452" s="842">
        <v>69.83</v>
      </c>
      <c r="O452" s="843">
        <f t="shared" si="71"/>
        <v>2.8723251472067002E-3</v>
      </c>
      <c r="P452" s="844">
        <f t="shared" si="77"/>
        <v>-5.0213013135442641E-3</v>
      </c>
      <c r="Q452" s="830"/>
      <c r="R452" s="845">
        <v>975.39</v>
      </c>
      <c r="S452" s="846">
        <f t="shared" si="72"/>
        <v>9.5437473061998901E-4</v>
      </c>
      <c r="T452" s="845">
        <v>69.900000000000006</v>
      </c>
      <c r="U452" s="846">
        <f t="shared" si="73"/>
        <v>-1.0004287551806934E-3</v>
      </c>
      <c r="V452" s="845">
        <v>121.1651</v>
      </c>
      <c r="W452" s="846">
        <f t="shared" si="74"/>
        <v>4.3017677705936563E-4</v>
      </c>
      <c r="X452" s="845">
        <v>33530.83</v>
      </c>
      <c r="Y452" s="846">
        <f t="shared" si="75"/>
        <v>-1.017168800958812E-2</v>
      </c>
      <c r="Z452" s="845">
        <v>4071.6304</v>
      </c>
      <c r="AA452" s="846">
        <f t="shared" si="76"/>
        <v>-1.5811818900864694E-2</v>
      </c>
      <c r="AB452" s="843"/>
      <c r="AC452" s="832"/>
    </row>
    <row r="453" spans="1:29" ht="14.4" x14ac:dyDescent="0.55000000000000004">
      <c r="A453" s="857" t="s">
        <v>5612</v>
      </c>
      <c r="B453" s="842">
        <v>116.22</v>
      </c>
      <c r="C453" s="843">
        <f t="shared" si="67"/>
        <v>7.2802912116485263E-3</v>
      </c>
      <c r="D453" s="842">
        <v>53.18</v>
      </c>
      <c r="E453" s="843">
        <f t="shared" si="68"/>
        <v>-2.6256564141035055E-3</v>
      </c>
      <c r="F453" s="842">
        <v>28.53</v>
      </c>
      <c r="G453" s="843">
        <f t="shared" si="68"/>
        <v>-3.840782122905062E-3</v>
      </c>
      <c r="H453" s="842">
        <v>47.69</v>
      </c>
      <c r="I453" s="843">
        <f t="shared" si="68"/>
        <v>-6.2866722548204912E-4</v>
      </c>
      <c r="J453" s="842">
        <v>80.63</v>
      </c>
      <c r="K453" s="843">
        <f t="shared" si="69"/>
        <v>-9.9120307272948516E-4</v>
      </c>
      <c r="L453" s="842">
        <v>57.6</v>
      </c>
      <c r="M453" s="843">
        <f t="shared" si="70"/>
        <v>2.0876826722338038E-3</v>
      </c>
      <c r="N453" s="842">
        <v>69.63</v>
      </c>
      <c r="O453" s="843">
        <f t="shared" si="71"/>
        <v>-4.005149477900205E-3</v>
      </c>
      <c r="P453" s="844">
        <f t="shared" si="77"/>
        <v>-3.8906920417685383E-4</v>
      </c>
      <c r="Q453" s="830"/>
      <c r="R453" s="845">
        <v>974.46</v>
      </c>
      <c r="S453" s="846">
        <f t="shared" si="72"/>
        <v>5.2797665550687878E-3</v>
      </c>
      <c r="T453" s="845">
        <v>69.97</v>
      </c>
      <c r="U453" s="846">
        <f t="shared" si="73"/>
        <v>5.0272910083308808E-3</v>
      </c>
      <c r="V453" s="845">
        <v>121.113</v>
      </c>
      <c r="W453" s="846">
        <f t="shared" si="74"/>
        <v>7.2805844428032174E-3</v>
      </c>
      <c r="X453" s="845">
        <v>33875.4</v>
      </c>
      <c r="Y453" s="846">
        <f t="shared" si="75"/>
        <v>1.9651328592000805E-3</v>
      </c>
      <c r="Z453" s="845">
        <v>4137.0446000000002</v>
      </c>
      <c r="AA453" s="846">
        <f t="shared" si="76"/>
        <v>8.5237252799452712E-4</v>
      </c>
      <c r="AB453" s="843"/>
      <c r="AC453" s="832"/>
    </row>
    <row r="454" spans="1:29" ht="14.4" x14ac:dyDescent="0.55000000000000004">
      <c r="A454" s="857" t="s">
        <v>5613</v>
      </c>
      <c r="B454" s="842">
        <v>115.38</v>
      </c>
      <c r="C454" s="843">
        <f t="shared" si="67"/>
        <v>-3.3687483804094587E-3</v>
      </c>
      <c r="D454" s="842">
        <v>53.32</v>
      </c>
      <c r="E454" s="843">
        <f t="shared" si="68"/>
        <v>-3.9230338128152242E-3</v>
      </c>
      <c r="F454" s="842">
        <v>28.64</v>
      </c>
      <c r="G454" s="843">
        <f t="shared" si="68"/>
        <v>1.7488632388946712E-3</v>
      </c>
      <c r="H454" s="842">
        <v>47.72</v>
      </c>
      <c r="I454" s="843">
        <f t="shared" si="68"/>
        <v>2.3104389834067707E-3</v>
      </c>
      <c r="J454" s="842">
        <v>80.709999999999994</v>
      </c>
      <c r="K454" s="843">
        <f t="shared" si="69"/>
        <v>1.4890184886460212E-3</v>
      </c>
      <c r="L454" s="842">
        <v>57.48</v>
      </c>
      <c r="M454" s="843">
        <f t="shared" si="70"/>
        <v>6.6549912434323844E-3</v>
      </c>
      <c r="N454" s="842">
        <v>69.91</v>
      </c>
      <c r="O454" s="843">
        <f t="shared" si="71"/>
        <v>1.8629979936943819E-3</v>
      </c>
      <c r="P454" s="844">
        <f t="shared" si="77"/>
        <v>9.6778967926422087E-4</v>
      </c>
      <c r="Q454" s="830"/>
      <c r="R454" s="845">
        <v>969.34209999999996</v>
      </c>
      <c r="S454" s="846">
        <f t="shared" si="72"/>
        <v>2.6501375700780372E-3</v>
      </c>
      <c r="T454" s="845">
        <v>69.62</v>
      </c>
      <c r="U454" s="846">
        <f t="shared" si="73"/>
        <v>2.8810141169692827E-3</v>
      </c>
      <c r="V454" s="845">
        <v>120.2376</v>
      </c>
      <c r="W454" s="846">
        <f t="shared" si="74"/>
        <v>-3.3685885746493893E-3</v>
      </c>
      <c r="X454" s="845">
        <v>33808.960899999998</v>
      </c>
      <c r="Y454" s="846">
        <f t="shared" si="75"/>
        <v>6.6123512798843542E-4</v>
      </c>
      <c r="Z454" s="845">
        <v>4133.5213000000003</v>
      </c>
      <c r="AA454" s="846">
        <f t="shared" si="76"/>
        <v>9.029267427582699E-4</v>
      </c>
      <c r="AB454" s="843"/>
      <c r="AC454" s="832"/>
    </row>
    <row r="455" spans="1:29" ht="14.4" x14ac:dyDescent="0.55000000000000004">
      <c r="A455" s="857" t="s">
        <v>5614</v>
      </c>
      <c r="B455" s="842">
        <v>115.77</v>
      </c>
      <c r="C455" s="843">
        <f t="shared" si="67"/>
        <v>8.9768171518214146E-3</v>
      </c>
      <c r="D455" s="842">
        <v>53.53</v>
      </c>
      <c r="E455" s="843">
        <f t="shared" si="68"/>
        <v>-3.3513312232359427E-3</v>
      </c>
      <c r="F455" s="842">
        <v>28.59</v>
      </c>
      <c r="G455" s="843">
        <f t="shared" si="68"/>
        <v>1.4010507880910517E-3</v>
      </c>
      <c r="H455" s="842">
        <v>47.61</v>
      </c>
      <c r="I455" s="843">
        <f t="shared" si="68"/>
        <v>-2.099958000839619E-4</v>
      </c>
      <c r="J455" s="842">
        <v>80.59</v>
      </c>
      <c r="K455" s="843">
        <f t="shared" si="69"/>
        <v>-9.9169455807612827E-4</v>
      </c>
      <c r="L455" s="842">
        <v>57.1</v>
      </c>
      <c r="M455" s="843">
        <f t="shared" si="70"/>
        <v>-1.6195727084769129E-2</v>
      </c>
      <c r="N455" s="842">
        <v>69.78</v>
      </c>
      <c r="O455" s="843">
        <f t="shared" si="71"/>
        <v>-2.4303073624016847E-3</v>
      </c>
      <c r="P455" s="844">
        <f t="shared" si="77"/>
        <v>-1.8287411555220543E-3</v>
      </c>
      <c r="Q455" s="830"/>
      <c r="R455" s="845">
        <v>966.78</v>
      </c>
      <c r="S455" s="846">
        <f t="shared" si="72"/>
        <v>3.1031807602666106E-5</v>
      </c>
      <c r="T455" s="845">
        <v>69.42</v>
      </c>
      <c r="U455" s="846">
        <f t="shared" si="73"/>
        <v>-2.8801843317971532E-4</v>
      </c>
      <c r="V455" s="845">
        <v>120.64400000000001</v>
      </c>
      <c r="W455" s="846">
        <f t="shared" si="74"/>
        <v>8.9762793058834056E-3</v>
      </c>
      <c r="X455" s="845">
        <v>33786.620000000003</v>
      </c>
      <c r="Y455" s="846">
        <f t="shared" si="75"/>
        <v>-3.2566294195269796E-3</v>
      </c>
      <c r="Z455" s="845">
        <v>4129.7924000000003</v>
      </c>
      <c r="AA455" s="846">
        <f t="shared" si="76"/>
        <v>-5.9517359289967819E-3</v>
      </c>
      <c r="AB455" s="843"/>
      <c r="AC455" s="832"/>
    </row>
    <row r="456" spans="1:29" ht="14.4" x14ac:dyDescent="0.55000000000000004">
      <c r="A456" s="857" t="s">
        <v>5615</v>
      </c>
      <c r="B456" s="842">
        <v>114.74</v>
      </c>
      <c r="C456" s="843">
        <f t="shared" ref="C456:C519" si="78">IFERROR(((B456/B457)-1), "NA")</f>
        <v>1.0035211267605648E-2</v>
      </c>
      <c r="D456" s="842">
        <v>53.71</v>
      </c>
      <c r="E456" s="843">
        <f t="shared" ref="E456:I519" si="79">IFERROR(((D456/D457)-1), "NA")</f>
        <v>5.4286783976038588E-3</v>
      </c>
      <c r="F456" s="842">
        <v>28.55</v>
      </c>
      <c r="G456" s="843">
        <f t="shared" si="79"/>
        <v>1.2770485987938951E-2</v>
      </c>
      <c r="H456" s="842">
        <v>47.62</v>
      </c>
      <c r="I456" s="843">
        <f t="shared" si="79"/>
        <v>1.2329931972788977E-2</v>
      </c>
      <c r="J456" s="842">
        <v>80.67</v>
      </c>
      <c r="K456" s="843">
        <f t="shared" ref="K456:K519" si="80">IFERROR(((J456/J457)-1), "NA")</f>
        <v>1.5994962216624664E-2</v>
      </c>
      <c r="L456" s="842">
        <v>58.04</v>
      </c>
      <c r="M456" s="843">
        <f t="shared" ref="M456:M519" si="81">IFERROR(((L456/L457)-1), "NA")</f>
        <v>9.3913043478259794E-3</v>
      </c>
      <c r="N456" s="842">
        <v>69.95</v>
      </c>
      <c r="O456" s="843">
        <f t="shared" ref="O456:O519" si="82">IFERROR(((N456/N457)-1), "NA")</f>
        <v>1.3474355259345261E-2</v>
      </c>
      <c r="P456" s="844">
        <f t="shared" si="77"/>
        <v>1.1346418492819048E-2</v>
      </c>
      <c r="Q456" s="830"/>
      <c r="R456" s="845">
        <v>966.75</v>
      </c>
      <c r="S456" s="846">
        <f t="shared" ref="S456:S519" si="83">IFERROR(((R456/R457)-1), "NA")</f>
        <v>8.0918466303090408E-3</v>
      </c>
      <c r="T456" s="845">
        <v>69.44</v>
      </c>
      <c r="U456" s="846">
        <f t="shared" ref="U456:U519" si="84">IFERROR(((T456/T457)-1), "NA")</f>
        <v>7.6911914090842526E-3</v>
      </c>
      <c r="V456" s="845">
        <v>119.5707</v>
      </c>
      <c r="W456" s="846">
        <f t="shared" ref="W456:W519" si="85">IFERROR(((V456/V457)-1), "NA")</f>
        <v>1.0035250082993663E-2</v>
      </c>
      <c r="X456" s="845">
        <v>33897.01</v>
      </c>
      <c r="Y456" s="846">
        <f t="shared" ref="Y456:Y519" si="86">IFERROR(((X456/X457)-1), "NA")</f>
        <v>-2.3433754318775701E-3</v>
      </c>
      <c r="Z456" s="845">
        <v>4154.5190000000002</v>
      </c>
      <c r="AA456" s="846">
        <f t="shared" ref="AA456:AA519" si="87">IFERROR(((Z456/Z457)-1), "NA")</f>
        <v>-8.4503243555023033E-5</v>
      </c>
      <c r="AB456" s="843"/>
      <c r="AC456" s="832"/>
    </row>
    <row r="457" spans="1:29" ht="14.4" x14ac:dyDescent="0.55000000000000004">
      <c r="A457" s="857" t="s">
        <v>5616</v>
      </c>
      <c r="B457" s="842">
        <v>113.6</v>
      </c>
      <c r="C457" s="843">
        <f t="shared" si="78"/>
        <v>-4.382120946538115E-3</v>
      </c>
      <c r="D457" s="842">
        <v>53.42</v>
      </c>
      <c r="E457" s="843">
        <f t="shared" si="79"/>
        <v>-8.721469660419312E-3</v>
      </c>
      <c r="F457" s="842">
        <v>28.19</v>
      </c>
      <c r="G457" s="843">
        <f t="shared" si="79"/>
        <v>-3.8869257950530089E-3</v>
      </c>
      <c r="H457" s="842">
        <v>47.04</v>
      </c>
      <c r="I457" s="843">
        <f t="shared" si="79"/>
        <v>-1.0101010101010166E-2</v>
      </c>
      <c r="J457" s="842">
        <v>79.400000000000006</v>
      </c>
      <c r="K457" s="843">
        <f t="shared" si="80"/>
        <v>-1.5376984126984072E-2</v>
      </c>
      <c r="L457" s="842">
        <v>57.5</v>
      </c>
      <c r="M457" s="843">
        <f t="shared" si="81"/>
        <v>-2.4762550881953893E-2</v>
      </c>
      <c r="N457" s="842">
        <v>69.02</v>
      </c>
      <c r="O457" s="843">
        <f t="shared" si="82"/>
        <v>-9.1874820556990811E-3</v>
      </c>
      <c r="P457" s="844">
        <f t="shared" ref="P457:P520" si="88">IFERROR(AVERAGE(C457,E457,G457,I457,M457,K457,O457),"NA")</f>
        <v>-1.0916934795379665E-2</v>
      </c>
      <c r="Q457" s="830"/>
      <c r="R457" s="845">
        <v>958.99</v>
      </c>
      <c r="S457" s="846">
        <f t="shared" si="83"/>
        <v>-4.2364521789693965E-3</v>
      </c>
      <c r="T457" s="845">
        <v>68.91</v>
      </c>
      <c r="U457" s="846">
        <f t="shared" si="84"/>
        <v>-5.197055002165385E-3</v>
      </c>
      <c r="V457" s="845">
        <v>118.3827</v>
      </c>
      <c r="W457" s="846">
        <f t="shared" si="85"/>
        <v>-4.3816971212838896E-3</v>
      </c>
      <c r="X457" s="845">
        <v>33976.629999999997</v>
      </c>
      <c r="Y457" s="846">
        <f t="shared" si="86"/>
        <v>-3.1041116091423682E-4</v>
      </c>
      <c r="Z457" s="845">
        <v>4154.8701000000001</v>
      </c>
      <c r="AA457" s="846">
        <f t="shared" si="87"/>
        <v>8.5459515261931962E-4</v>
      </c>
      <c r="AB457" s="843"/>
      <c r="AC457" s="832"/>
    </row>
    <row r="458" spans="1:29" ht="14.4" x14ac:dyDescent="0.55000000000000004">
      <c r="A458" s="857" t="s">
        <v>5617</v>
      </c>
      <c r="B458" s="842">
        <v>114.1</v>
      </c>
      <c r="C458" s="843">
        <f t="shared" si="78"/>
        <v>9.377211606510949E-3</v>
      </c>
      <c r="D458" s="842">
        <v>53.89</v>
      </c>
      <c r="E458" s="843">
        <f t="shared" si="79"/>
        <v>1.0311211098612549E-2</v>
      </c>
      <c r="F458" s="842">
        <v>28.3</v>
      </c>
      <c r="G458" s="843">
        <f t="shared" si="79"/>
        <v>1.6157989228007263E-2</v>
      </c>
      <c r="H458" s="842">
        <v>47.52</v>
      </c>
      <c r="I458" s="843">
        <f t="shared" si="79"/>
        <v>9.9893730074389619E-3</v>
      </c>
      <c r="J458" s="842">
        <v>80.64</v>
      </c>
      <c r="K458" s="843">
        <f t="shared" si="80"/>
        <v>1.2810851544837965E-2</v>
      </c>
      <c r="L458" s="842">
        <v>58.96</v>
      </c>
      <c r="M458" s="843">
        <f t="shared" si="81"/>
        <v>-5.0856077301242308E-4</v>
      </c>
      <c r="N458" s="842">
        <v>69.66</v>
      </c>
      <c r="O458" s="843">
        <f t="shared" si="82"/>
        <v>2.4261138067930954E-2</v>
      </c>
      <c r="P458" s="844">
        <f t="shared" si="88"/>
        <v>1.1771316254332318E-2</v>
      </c>
      <c r="Q458" s="830"/>
      <c r="R458" s="845">
        <v>963.07</v>
      </c>
      <c r="S458" s="846">
        <f t="shared" si="83"/>
        <v>6.900373247461955E-3</v>
      </c>
      <c r="T458" s="845">
        <v>69.27</v>
      </c>
      <c r="U458" s="846">
        <f t="shared" si="84"/>
        <v>5.5160400638698537E-3</v>
      </c>
      <c r="V458" s="845">
        <v>118.9037</v>
      </c>
      <c r="W458" s="846">
        <f t="shared" si="85"/>
        <v>9.3769816577546905E-3</v>
      </c>
      <c r="X458" s="845">
        <v>33987.18</v>
      </c>
      <c r="Y458" s="846">
        <f t="shared" si="86"/>
        <v>2.9719826231531243E-3</v>
      </c>
      <c r="Z458" s="845">
        <v>4151.3224</v>
      </c>
      <c r="AA458" s="846">
        <f t="shared" si="87"/>
        <v>3.3071278069782828E-3</v>
      </c>
      <c r="AB458" s="843"/>
      <c r="AC458" s="832"/>
    </row>
    <row r="459" spans="1:29" ht="14.4" x14ac:dyDescent="0.55000000000000004">
      <c r="A459" s="857" t="s">
        <v>5618</v>
      </c>
      <c r="B459" s="842">
        <v>113.04</v>
      </c>
      <c r="C459" s="843">
        <f t="shared" si="78"/>
        <v>-1.1369599440265832E-2</v>
      </c>
      <c r="D459" s="842">
        <v>53.34</v>
      </c>
      <c r="E459" s="843">
        <f t="shared" si="79"/>
        <v>-2.4149286498353351E-2</v>
      </c>
      <c r="F459" s="842">
        <v>27.85</v>
      </c>
      <c r="G459" s="843">
        <f t="shared" si="79"/>
        <v>-1.7290049400141116E-2</v>
      </c>
      <c r="H459" s="842">
        <v>47.05</v>
      </c>
      <c r="I459" s="843">
        <f t="shared" si="79"/>
        <v>-1.1346921622189643E-2</v>
      </c>
      <c r="J459" s="842">
        <v>79.62</v>
      </c>
      <c r="K459" s="843">
        <f t="shared" si="80"/>
        <v>-2.0543732316398056E-2</v>
      </c>
      <c r="L459" s="842">
        <v>58.99</v>
      </c>
      <c r="M459" s="843">
        <f t="shared" si="81"/>
        <v>-1.2058281694858453E-2</v>
      </c>
      <c r="N459" s="842">
        <v>68.010000000000005</v>
      </c>
      <c r="O459" s="843">
        <f t="shared" si="82"/>
        <v>-1.8756312220458815E-2</v>
      </c>
      <c r="P459" s="844">
        <f t="shared" si="88"/>
        <v>-1.6502026170380751E-2</v>
      </c>
      <c r="Q459" s="830"/>
      <c r="R459" s="845">
        <v>956.47</v>
      </c>
      <c r="S459" s="846">
        <f t="shared" si="83"/>
        <v>-1.2502839207912619E-2</v>
      </c>
      <c r="T459" s="845">
        <v>68.89</v>
      </c>
      <c r="U459" s="846">
        <f t="shared" si="84"/>
        <v>-1.1195636572412848E-2</v>
      </c>
      <c r="V459" s="845">
        <v>117.7991</v>
      </c>
      <c r="W459" s="846">
        <f t="shared" si="85"/>
        <v>-1.1369339458750072E-2</v>
      </c>
      <c r="X459" s="845">
        <v>33886.47</v>
      </c>
      <c r="Y459" s="846">
        <f t="shared" si="86"/>
        <v>-4.2086777752016191E-3</v>
      </c>
      <c r="Z459" s="845">
        <v>4137.6387000000004</v>
      </c>
      <c r="AA459" s="846">
        <f t="shared" si="87"/>
        <v>-2.0687296062544824E-3</v>
      </c>
      <c r="AB459" s="843"/>
      <c r="AC459" s="832"/>
    </row>
    <row r="460" spans="1:29" ht="14.4" x14ac:dyDescent="0.55000000000000004">
      <c r="A460" s="857" t="s">
        <v>5619</v>
      </c>
      <c r="B460" s="842">
        <v>114.34</v>
      </c>
      <c r="C460" s="843">
        <f t="shared" si="78"/>
        <v>-1.3459879206212277E-2</v>
      </c>
      <c r="D460" s="842">
        <v>54.66</v>
      </c>
      <c r="E460" s="843">
        <f t="shared" si="79"/>
        <v>-4.3715846994535346E-3</v>
      </c>
      <c r="F460" s="842">
        <v>28.34</v>
      </c>
      <c r="G460" s="843">
        <f t="shared" si="79"/>
        <v>-1.1165387299371998E-2</v>
      </c>
      <c r="H460" s="842">
        <v>47.59</v>
      </c>
      <c r="I460" s="843">
        <f t="shared" si="79"/>
        <v>-7.5078206465067909E-3</v>
      </c>
      <c r="J460" s="842">
        <v>81.290000000000006</v>
      </c>
      <c r="K460" s="843">
        <f t="shared" si="80"/>
        <v>-8.0536912751677514E-3</v>
      </c>
      <c r="L460" s="842">
        <v>59.71</v>
      </c>
      <c r="M460" s="843">
        <f t="shared" si="81"/>
        <v>-8.3668005354742281E-4</v>
      </c>
      <c r="N460" s="842">
        <v>69.31</v>
      </c>
      <c r="O460" s="843">
        <f t="shared" si="82"/>
        <v>-6.1657585316889918E-3</v>
      </c>
      <c r="P460" s="844">
        <f t="shared" si="88"/>
        <v>-7.365828815992681E-3</v>
      </c>
      <c r="Q460" s="830"/>
      <c r="R460" s="845">
        <v>968.58</v>
      </c>
      <c r="S460" s="846">
        <f t="shared" si="83"/>
        <v>-1.0323326588745907E-4</v>
      </c>
      <c r="T460" s="845">
        <v>69.67</v>
      </c>
      <c r="U460" s="846">
        <f t="shared" si="84"/>
        <v>1.4355440712043865E-4</v>
      </c>
      <c r="V460" s="845">
        <v>119.1538</v>
      </c>
      <c r="W460" s="846">
        <f t="shared" si="85"/>
        <v>-1.3460065656837439E-2</v>
      </c>
      <c r="X460" s="845">
        <v>34029.69</v>
      </c>
      <c r="Y460" s="846">
        <f t="shared" si="86"/>
        <v>1.13887031340556E-2</v>
      </c>
      <c r="Z460" s="845">
        <v>4146.2160999999996</v>
      </c>
      <c r="AA460" s="846">
        <f t="shared" si="87"/>
        <v>1.3260657053802083E-2</v>
      </c>
      <c r="AB460" s="843"/>
      <c r="AC460" s="832"/>
    </row>
    <row r="461" spans="1:29" ht="14.4" x14ac:dyDescent="0.55000000000000004">
      <c r="A461" s="857" t="s">
        <v>5620</v>
      </c>
      <c r="B461" s="842">
        <v>115.9</v>
      </c>
      <c r="C461" s="843">
        <f t="shared" si="78"/>
        <v>-4.0388416258485549E-3</v>
      </c>
      <c r="D461" s="842">
        <v>54.9</v>
      </c>
      <c r="E461" s="843">
        <f t="shared" si="79"/>
        <v>-1.0097367472051921E-2</v>
      </c>
      <c r="F461" s="842">
        <v>28.66</v>
      </c>
      <c r="G461" s="843">
        <f t="shared" si="79"/>
        <v>6.9832402234637492E-4</v>
      </c>
      <c r="H461" s="842">
        <v>47.95</v>
      </c>
      <c r="I461" s="843">
        <f t="shared" si="79"/>
        <v>-1.093234323432335E-2</v>
      </c>
      <c r="J461" s="842">
        <v>81.95</v>
      </c>
      <c r="K461" s="843">
        <f t="shared" si="80"/>
        <v>-5.5818468632446994E-3</v>
      </c>
      <c r="L461" s="842">
        <v>59.76</v>
      </c>
      <c r="M461" s="843">
        <f t="shared" si="81"/>
        <v>-1.3210039630118908E-2</v>
      </c>
      <c r="N461" s="842">
        <v>69.739999999999995</v>
      </c>
      <c r="O461" s="843">
        <f t="shared" si="82"/>
        <v>-1.8713943998874272E-2</v>
      </c>
      <c r="P461" s="844">
        <f t="shared" si="88"/>
        <v>-8.839436971730761E-3</v>
      </c>
      <c r="Q461" s="830"/>
      <c r="R461" s="845">
        <v>968.68</v>
      </c>
      <c r="S461" s="846">
        <f t="shared" si="83"/>
        <v>-2.4201106042037734E-3</v>
      </c>
      <c r="T461" s="845">
        <v>69.66</v>
      </c>
      <c r="U461" s="846">
        <f t="shared" si="84"/>
        <v>-1.0038720780153332E-3</v>
      </c>
      <c r="V461" s="845">
        <v>120.7795</v>
      </c>
      <c r="W461" s="846">
        <f t="shared" si="85"/>
        <v>-4.0389447287978442E-3</v>
      </c>
      <c r="X461" s="845">
        <v>33646.5</v>
      </c>
      <c r="Y461" s="846">
        <f t="shared" si="86"/>
        <v>-1.136714819952922E-3</v>
      </c>
      <c r="Z461" s="845">
        <v>4091.9540999999999</v>
      </c>
      <c r="AA461" s="846">
        <f t="shared" si="87"/>
        <v>-4.1341309111033731E-3</v>
      </c>
      <c r="AB461" s="843"/>
      <c r="AC461" s="832"/>
    </row>
    <row r="462" spans="1:29" ht="14.4" x14ac:dyDescent="0.55000000000000004">
      <c r="A462" s="857" t="s">
        <v>5621</v>
      </c>
      <c r="B462" s="842">
        <v>116.37</v>
      </c>
      <c r="C462" s="843">
        <f t="shared" si="78"/>
        <v>2.5846471956578743E-3</v>
      </c>
      <c r="D462" s="842">
        <v>55.46</v>
      </c>
      <c r="E462" s="843">
        <f t="shared" si="79"/>
        <v>2.8933092224232571E-3</v>
      </c>
      <c r="F462" s="842">
        <v>28.64</v>
      </c>
      <c r="G462" s="843">
        <f t="shared" si="79"/>
        <v>-1.7427675148135036E-3</v>
      </c>
      <c r="H462" s="842">
        <v>48.48</v>
      </c>
      <c r="I462" s="843">
        <f t="shared" si="79"/>
        <v>-6.9643588693159009E-3</v>
      </c>
      <c r="J462" s="842">
        <v>82.41</v>
      </c>
      <c r="K462" s="843">
        <f t="shared" si="80"/>
        <v>-3.2656023222061847E-3</v>
      </c>
      <c r="L462" s="842">
        <v>60.56</v>
      </c>
      <c r="M462" s="843">
        <f t="shared" si="81"/>
        <v>-1.3192612137202797E-3</v>
      </c>
      <c r="N462" s="842">
        <v>71.069999999999993</v>
      </c>
      <c r="O462" s="843">
        <f t="shared" si="82"/>
        <v>-3.784693019344143E-3</v>
      </c>
      <c r="P462" s="844">
        <f t="shared" si="88"/>
        <v>-1.6569609316169828E-3</v>
      </c>
      <c r="Q462" s="830"/>
      <c r="R462" s="845">
        <v>971.03</v>
      </c>
      <c r="S462" s="846">
        <f t="shared" si="83"/>
        <v>1.0308959516716065E-3</v>
      </c>
      <c r="T462" s="845">
        <v>69.73</v>
      </c>
      <c r="U462" s="846">
        <f t="shared" si="84"/>
        <v>8.6120281326262926E-4</v>
      </c>
      <c r="V462" s="845">
        <v>121.2693</v>
      </c>
      <c r="W462" s="846">
        <f t="shared" si="85"/>
        <v>2.5852247831039676E-3</v>
      </c>
      <c r="X462" s="845">
        <v>33684.79</v>
      </c>
      <c r="Y462" s="846">
        <f t="shared" si="86"/>
        <v>2.9258762146242567E-3</v>
      </c>
      <c r="Z462" s="845">
        <v>4108.9409999999998</v>
      </c>
      <c r="AA462" s="846">
        <f t="shared" si="87"/>
        <v>-4.1712171222174632E-5</v>
      </c>
      <c r="AB462" s="843"/>
      <c r="AC462" s="832"/>
    </row>
    <row r="463" spans="1:29" ht="14.4" x14ac:dyDescent="0.55000000000000004">
      <c r="A463" s="857" t="s">
        <v>5622</v>
      </c>
      <c r="B463" s="842">
        <v>116.07</v>
      </c>
      <c r="C463" s="843">
        <f t="shared" si="78"/>
        <v>5.6316063073988953E-3</v>
      </c>
      <c r="D463" s="842">
        <v>55.3</v>
      </c>
      <c r="E463" s="843">
        <f t="shared" si="79"/>
        <v>9.3082679321043749E-3</v>
      </c>
      <c r="F463" s="842">
        <v>28.69</v>
      </c>
      <c r="G463" s="843">
        <f t="shared" si="79"/>
        <v>-4.5107564191533278E-3</v>
      </c>
      <c r="H463" s="842">
        <v>48.82</v>
      </c>
      <c r="I463" s="843">
        <f t="shared" si="79"/>
        <v>2.0487604998975506E-4</v>
      </c>
      <c r="J463" s="842">
        <v>82.68</v>
      </c>
      <c r="K463" s="843">
        <f t="shared" si="80"/>
        <v>5.961795838909989E-3</v>
      </c>
      <c r="L463" s="842">
        <v>60.64</v>
      </c>
      <c r="M463" s="843">
        <f t="shared" si="81"/>
        <v>4.1397582381188514E-3</v>
      </c>
      <c r="N463" s="842">
        <v>71.34</v>
      </c>
      <c r="O463" s="843">
        <f t="shared" si="82"/>
        <v>3.5166690111125831E-3</v>
      </c>
      <c r="P463" s="844">
        <f t="shared" si="88"/>
        <v>3.4646024226401601E-3</v>
      </c>
      <c r="Q463" s="830"/>
      <c r="R463" s="845">
        <v>970.03</v>
      </c>
      <c r="S463" s="846">
        <f t="shared" si="83"/>
        <v>-7.8286756147050163E-4</v>
      </c>
      <c r="T463" s="845">
        <v>69.67</v>
      </c>
      <c r="U463" s="846">
        <f t="shared" si="84"/>
        <v>-2.0054433462254329E-3</v>
      </c>
      <c r="V463" s="845">
        <v>120.95659999999999</v>
      </c>
      <c r="W463" s="846">
        <f t="shared" si="85"/>
        <v>5.6310603736469123E-3</v>
      </c>
      <c r="X463" s="845">
        <v>33586.519999999997</v>
      </c>
      <c r="Y463" s="846">
        <f t="shared" si="86"/>
        <v>3.0231185096498692E-3</v>
      </c>
      <c r="Z463" s="845">
        <v>4109.1124</v>
      </c>
      <c r="AA463" s="846">
        <f t="shared" si="87"/>
        <v>9.9724271658008234E-4</v>
      </c>
      <c r="AB463" s="843"/>
      <c r="AC463" s="832"/>
    </row>
    <row r="464" spans="1:29" ht="14.4" x14ac:dyDescent="0.55000000000000004">
      <c r="A464" s="857" t="s">
        <v>5623</v>
      </c>
      <c r="B464" s="842">
        <v>115.42</v>
      </c>
      <c r="C464" s="843">
        <f t="shared" si="78"/>
        <v>5.050505050504972E-3</v>
      </c>
      <c r="D464" s="842">
        <v>54.79</v>
      </c>
      <c r="E464" s="843">
        <f t="shared" si="79"/>
        <v>1.2792397660819077E-3</v>
      </c>
      <c r="F464" s="842">
        <v>28.82</v>
      </c>
      <c r="G464" s="843">
        <f t="shared" si="79"/>
        <v>4.5311955385152203E-3</v>
      </c>
      <c r="H464" s="842">
        <v>48.81</v>
      </c>
      <c r="I464" s="843">
        <f t="shared" si="79"/>
        <v>1.0559006211180222E-2</v>
      </c>
      <c r="J464" s="842">
        <v>82.19</v>
      </c>
      <c r="K464" s="843">
        <f t="shared" si="80"/>
        <v>8.0951796884582983E-3</v>
      </c>
      <c r="L464" s="842">
        <v>60.39</v>
      </c>
      <c r="M464" s="843">
        <f t="shared" si="81"/>
        <v>-6.4165844027640473E-3</v>
      </c>
      <c r="N464" s="842">
        <v>71.09</v>
      </c>
      <c r="O464" s="843">
        <f t="shared" si="82"/>
        <v>-6.0123042505592084E-3</v>
      </c>
      <c r="P464" s="844">
        <f t="shared" si="88"/>
        <v>2.4408910859167665E-3</v>
      </c>
      <c r="Q464" s="830"/>
      <c r="R464" s="845">
        <v>970.79</v>
      </c>
      <c r="S464" s="846">
        <f t="shared" si="83"/>
        <v>7.6079961804329521E-3</v>
      </c>
      <c r="T464" s="845">
        <v>69.81</v>
      </c>
      <c r="U464" s="846">
        <f t="shared" si="84"/>
        <v>7.0686670513562255E-3</v>
      </c>
      <c r="V464" s="845">
        <v>120.27930000000001</v>
      </c>
      <c r="W464" s="846">
        <f t="shared" si="85"/>
        <v>5.0503489035713667E-3</v>
      </c>
      <c r="X464" s="845">
        <v>33485.29</v>
      </c>
      <c r="Y464" s="846">
        <f t="shared" si="86"/>
        <v>7.6756010264356078E-5</v>
      </c>
      <c r="Z464" s="845">
        <v>4105.0186999999996</v>
      </c>
      <c r="AA464" s="846">
        <f t="shared" si="87"/>
        <v>3.5799648995531452E-3</v>
      </c>
      <c r="AB464" s="843"/>
      <c r="AC464" s="832"/>
    </row>
    <row r="465" spans="1:29" ht="14.4" x14ac:dyDescent="0.55000000000000004">
      <c r="A465" s="857" t="s">
        <v>5624</v>
      </c>
      <c r="B465" s="842">
        <v>114.84</v>
      </c>
      <c r="C465" s="843">
        <f t="shared" si="78"/>
        <v>3.3198380566801688E-2</v>
      </c>
      <c r="D465" s="842">
        <v>54.72</v>
      </c>
      <c r="E465" s="843">
        <f t="shared" si="79"/>
        <v>3.2647669371579591E-2</v>
      </c>
      <c r="F465" s="842">
        <v>28.69</v>
      </c>
      <c r="G465" s="843">
        <f t="shared" si="79"/>
        <v>3.3501440922190096E-2</v>
      </c>
      <c r="H465" s="842">
        <v>48.3</v>
      </c>
      <c r="I465" s="843">
        <f t="shared" si="79"/>
        <v>2.9631208697505906E-2</v>
      </c>
      <c r="J465" s="842">
        <v>81.53</v>
      </c>
      <c r="K465" s="843">
        <f t="shared" si="80"/>
        <v>3.2678910702976571E-2</v>
      </c>
      <c r="L465" s="842">
        <v>60.78</v>
      </c>
      <c r="M465" s="843">
        <f t="shared" si="81"/>
        <v>1.3168861476912763E-2</v>
      </c>
      <c r="N465" s="842">
        <v>71.52</v>
      </c>
      <c r="O465" s="843">
        <f t="shared" si="82"/>
        <v>2.8029322984044924E-2</v>
      </c>
      <c r="P465" s="844">
        <f t="shared" si="88"/>
        <v>2.8979399246001649E-2</v>
      </c>
      <c r="Q465" s="830"/>
      <c r="R465" s="845">
        <v>963.46</v>
      </c>
      <c r="S465" s="846">
        <f t="shared" si="83"/>
        <v>2.6223850709386154E-2</v>
      </c>
      <c r="T465" s="845">
        <v>69.319999999999993</v>
      </c>
      <c r="U465" s="846">
        <f t="shared" si="84"/>
        <v>2.5899067633565087E-2</v>
      </c>
      <c r="V465" s="845">
        <v>119.67489999999999</v>
      </c>
      <c r="W465" s="846">
        <f t="shared" si="85"/>
        <v>3.3198796506934691E-2</v>
      </c>
      <c r="X465" s="845">
        <v>33482.720000000001</v>
      </c>
      <c r="Y465" s="846">
        <f t="shared" si="86"/>
        <v>2.4052178317832684E-3</v>
      </c>
      <c r="Z465" s="845">
        <v>4090.3753000000002</v>
      </c>
      <c r="AA465" s="846">
        <f t="shared" si="87"/>
        <v>-2.4932211123301906E-3</v>
      </c>
      <c r="AB465" s="843"/>
      <c r="AC465" s="832"/>
    </row>
    <row r="466" spans="1:29" ht="14.4" x14ac:dyDescent="0.55000000000000004">
      <c r="A466" s="857" t="s">
        <v>5625</v>
      </c>
      <c r="B466" s="842">
        <v>111.15</v>
      </c>
      <c r="C466" s="843">
        <f t="shared" si="78"/>
        <v>3.6000360003596299E-4</v>
      </c>
      <c r="D466" s="842">
        <v>52.99</v>
      </c>
      <c r="E466" s="843">
        <f t="shared" si="79"/>
        <v>6.8402052061562468E-3</v>
      </c>
      <c r="F466" s="842">
        <v>27.76</v>
      </c>
      <c r="G466" s="843">
        <f t="shared" si="79"/>
        <v>0</v>
      </c>
      <c r="H466" s="842">
        <v>46.91</v>
      </c>
      <c r="I466" s="843">
        <f t="shared" si="79"/>
        <v>-1.4899957428693433E-3</v>
      </c>
      <c r="J466" s="842">
        <v>78.95</v>
      </c>
      <c r="K466" s="843">
        <f t="shared" si="80"/>
        <v>6.1169873837134681E-3</v>
      </c>
      <c r="L466" s="842">
        <v>59.99</v>
      </c>
      <c r="M466" s="843">
        <f t="shared" si="81"/>
        <v>-5.1409618573796667E-3</v>
      </c>
      <c r="N466" s="842">
        <v>69.569999999999993</v>
      </c>
      <c r="O466" s="843">
        <f t="shared" si="82"/>
        <v>-1.0051694428490077E-3</v>
      </c>
      <c r="P466" s="844">
        <f t="shared" si="88"/>
        <v>8.1158130668680857E-4</v>
      </c>
      <c r="Q466" s="830"/>
      <c r="R466" s="845">
        <v>938.84</v>
      </c>
      <c r="S466" s="846">
        <f t="shared" si="83"/>
        <v>6.5290806754221276E-3</v>
      </c>
      <c r="T466" s="845">
        <v>67.569999999999993</v>
      </c>
      <c r="U466" s="846">
        <f t="shared" si="84"/>
        <v>5.0572661014427478E-3</v>
      </c>
      <c r="V466" s="845">
        <v>115.8295</v>
      </c>
      <c r="W466" s="846">
        <f t="shared" si="85"/>
        <v>3.6014156931907237E-4</v>
      </c>
      <c r="X466" s="845">
        <v>33402.379999999997</v>
      </c>
      <c r="Y466" s="846">
        <f t="shared" si="86"/>
        <v>-5.9155713420524503E-3</v>
      </c>
      <c r="Z466" s="845">
        <v>4100.5990000000002</v>
      </c>
      <c r="AA466" s="846">
        <f t="shared" si="87"/>
        <v>-5.7963305181275571E-3</v>
      </c>
      <c r="AB466" s="843"/>
      <c r="AC466" s="832"/>
    </row>
    <row r="467" spans="1:29" ht="14.4" x14ac:dyDescent="0.55000000000000004">
      <c r="A467" s="857" t="s">
        <v>5626</v>
      </c>
      <c r="B467" s="842">
        <v>111.11</v>
      </c>
      <c r="C467" s="843">
        <f t="shared" si="78"/>
        <v>-1.1124955500178002E-2</v>
      </c>
      <c r="D467" s="842">
        <v>52.63</v>
      </c>
      <c r="E467" s="843">
        <f t="shared" si="79"/>
        <v>-1.0714285714285676E-2</v>
      </c>
      <c r="F467" s="842">
        <v>27.76</v>
      </c>
      <c r="G467" s="843">
        <f t="shared" si="79"/>
        <v>-7.1530758226037161E-3</v>
      </c>
      <c r="H467" s="842">
        <v>46.98</v>
      </c>
      <c r="I467" s="843">
        <f t="shared" si="79"/>
        <v>-1.2195121951219634E-2</v>
      </c>
      <c r="J467" s="842">
        <v>78.47</v>
      </c>
      <c r="K467" s="843">
        <f t="shared" si="80"/>
        <v>-9.5923261390887804E-3</v>
      </c>
      <c r="L467" s="842">
        <v>60.3</v>
      </c>
      <c r="M467" s="843">
        <f t="shared" si="81"/>
        <v>-3.4427542033626968E-2</v>
      </c>
      <c r="N467" s="842">
        <v>69.64</v>
      </c>
      <c r="O467" s="843">
        <f t="shared" si="82"/>
        <v>-7.1285999429712144E-3</v>
      </c>
      <c r="P467" s="844">
        <f t="shared" si="88"/>
        <v>-1.3190843871996285E-2</v>
      </c>
      <c r="Q467" s="830"/>
      <c r="R467" s="845">
        <v>932.75</v>
      </c>
      <c r="S467" s="846">
        <f t="shared" si="83"/>
        <v>-7.4910352312750339E-3</v>
      </c>
      <c r="T467" s="845">
        <v>67.23</v>
      </c>
      <c r="U467" s="846">
        <f t="shared" si="84"/>
        <v>-6.7956862165754472E-3</v>
      </c>
      <c r="V467" s="845">
        <v>115.7878</v>
      </c>
      <c r="W467" s="846">
        <f t="shared" si="85"/>
        <v>-1.1125582348696095E-2</v>
      </c>
      <c r="X467" s="845">
        <v>33601.15</v>
      </c>
      <c r="Y467" s="846">
        <f t="shared" si="86"/>
        <v>9.8274486350515833E-3</v>
      </c>
      <c r="Z467" s="845">
        <v>4124.5060000000003</v>
      </c>
      <c r="AA467" s="846">
        <f t="shared" si="87"/>
        <v>3.6973582246997427E-3</v>
      </c>
      <c r="AB467" s="843"/>
      <c r="AC467" s="832"/>
    </row>
    <row r="468" spans="1:29" ht="14.4" x14ac:dyDescent="0.55000000000000004">
      <c r="A468" s="857" t="s">
        <v>5627</v>
      </c>
      <c r="B468" s="842">
        <v>112.36</v>
      </c>
      <c r="C468" s="843">
        <f t="shared" si="78"/>
        <v>3.7520100053600736E-3</v>
      </c>
      <c r="D468" s="842">
        <v>53.2</v>
      </c>
      <c r="E468" s="843">
        <f t="shared" si="79"/>
        <v>8.1485692628386897E-3</v>
      </c>
      <c r="F468" s="842">
        <v>27.96</v>
      </c>
      <c r="G468" s="843">
        <f t="shared" si="79"/>
        <v>4.3103448275862988E-3</v>
      </c>
      <c r="H468" s="842">
        <v>47.56</v>
      </c>
      <c r="I468" s="843">
        <f t="shared" si="79"/>
        <v>2.1070375052676393E-3</v>
      </c>
      <c r="J468" s="842">
        <v>79.23</v>
      </c>
      <c r="K468" s="843">
        <f t="shared" si="80"/>
        <v>3.0383592859857256E-3</v>
      </c>
      <c r="L468" s="842">
        <v>62.45</v>
      </c>
      <c r="M468" s="843">
        <f t="shared" si="81"/>
        <v>1.6015374759770218E-4</v>
      </c>
      <c r="N468" s="842">
        <v>70.14</v>
      </c>
      <c r="O468" s="843">
        <f t="shared" si="82"/>
        <v>-9.7416349004658676E-3</v>
      </c>
      <c r="P468" s="844">
        <f t="shared" si="88"/>
        <v>1.682119962024323E-3</v>
      </c>
      <c r="Q468" s="830"/>
      <c r="R468" s="845">
        <v>939.79</v>
      </c>
      <c r="S468" s="846">
        <f t="shared" si="83"/>
        <v>7.374773558006753E-3</v>
      </c>
      <c r="T468" s="845">
        <v>67.69</v>
      </c>
      <c r="U468" s="846">
        <f t="shared" si="84"/>
        <v>7.2916666666666963E-3</v>
      </c>
      <c r="V468" s="845">
        <v>117.09050000000001</v>
      </c>
      <c r="W468" s="846">
        <f t="shared" si="85"/>
        <v>3.7521602567620604E-3</v>
      </c>
      <c r="X468" s="845">
        <v>33274.15</v>
      </c>
      <c r="Y468" s="846">
        <f t="shared" si="86"/>
        <v>1.2633361362158313E-2</v>
      </c>
      <c r="Z468" s="845">
        <v>4109.3123999999998</v>
      </c>
      <c r="AA468" s="846">
        <f t="shared" si="87"/>
        <v>1.4437365427240501E-2</v>
      </c>
      <c r="AB468" s="843"/>
      <c r="AC468" s="832"/>
    </row>
    <row r="469" spans="1:29" ht="14.4" x14ac:dyDescent="0.55000000000000004">
      <c r="A469" s="857" t="s">
        <v>5628</v>
      </c>
      <c r="B469" s="842">
        <v>111.94</v>
      </c>
      <c r="C469" s="843">
        <f t="shared" si="78"/>
        <v>3.676140948623674E-3</v>
      </c>
      <c r="D469" s="842">
        <v>52.77</v>
      </c>
      <c r="E469" s="843">
        <f t="shared" si="79"/>
        <v>2.2792022792024191E-3</v>
      </c>
      <c r="F469" s="842">
        <v>27.84</v>
      </c>
      <c r="G469" s="843">
        <f t="shared" si="79"/>
        <v>8.6956521739129933E-3</v>
      </c>
      <c r="H469" s="842">
        <v>47.46</v>
      </c>
      <c r="I469" s="843">
        <f t="shared" si="79"/>
        <v>1.8999366687777464E-3</v>
      </c>
      <c r="J469" s="842">
        <v>78.989999999999995</v>
      </c>
      <c r="K469" s="843">
        <f t="shared" si="80"/>
        <v>1.0138132049168913E-3</v>
      </c>
      <c r="L469" s="842">
        <v>62.44</v>
      </c>
      <c r="M469" s="843">
        <f t="shared" si="81"/>
        <v>-6.2072258475250885E-3</v>
      </c>
      <c r="N469" s="842">
        <v>70.83</v>
      </c>
      <c r="O469" s="843">
        <f t="shared" si="82"/>
        <v>7.8258394991461699E-3</v>
      </c>
      <c r="P469" s="844">
        <f t="shared" si="88"/>
        <v>2.7404798467221153E-3</v>
      </c>
      <c r="Q469" s="830"/>
      <c r="R469" s="845">
        <v>932.91</v>
      </c>
      <c r="S469" s="846">
        <f t="shared" si="83"/>
        <v>4.3926229772939251E-3</v>
      </c>
      <c r="T469" s="845">
        <v>67.2</v>
      </c>
      <c r="U469" s="846">
        <f t="shared" si="84"/>
        <v>4.3341802421164033E-3</v>
      </c>
      <c r="V469" s="845">
        <v>116.6528</v>
      </c>
      <c r="W469" s="846">
        <f t="shared" si="85"/>
        <v>3.6764737514574097E-3</v>
      </c>
      <c r="X469" s="845">
        <v>32859.03</v>
      </c>
      <c r="Y469" s="846">
        <f t="shared" si="86"/>
        <v>4.3227498349511784E-3</v>
      </c>
      <c r="Z469" s="845">
        <v>4050.8290999999999</v>
      </c>
      <c r="AA469" s="846">
        <f t="shared" si="87"/>
        <v>5.7145917294347814E-3</v>
      </c>
      <c r="AB469" s="843"/>
      <c r="AC469" s="832"/>
    </row>
    <row r="470" spans="1:29" ht="14.4" x14ac:dyDescent="0.55000000000000004">
      <c r="A470" s="857" t="s">
        <v>5629</v>
      </c>
      <c r="B470" s="842">
        <v>111.53</v>
      </c>
      <c r="C470" s="843">
        <f t="shared" si="78"/>
        <v>1.3356351081228457E-2</v>
      </c>
      <c r="D470" s="842">
        <v>52.65</v>
      </c>
      <c r="E470" s="843">
        <f t="shared" si="79"/>
        <v>7.0772762050497207E-3</v>
      </c>
      <c r="F470" s="842">
        <v>27.6</v>
      </c>
      <c r="G470" s="843">
        <f t="shared" si="79"/>
        <v>1.3960323291697385E-2</v>
      </c>
      <c r="H470" s="842">
        <v>47.37</v>
      </c>
      <c r="I470" s="843">
        <f t="shared" si="79"/>
        <v>8.5160740898444498E-3</v>
      </c>
      <c r="J470" s="842">
        <v>78.91</v>
      </c>
      <c r="K470" s="843">
        <f t="shared" si="80"/>
        <v>7.5331971399388298E-3</v>
      </c>
      <c r="L470" s="842">
        <v>62.83</v>
      </c>
      <c r="M470" s="843">
        <f t="shared" si="81"/>
        <v>2.7473426001635382E-2</v>
      </c>
      <c r="N470" s="842">
        <v>70.28</v>
      </c>
      <c r="O470" s="843">
        <f t="shared" si="82"/>
        <v>1.5020219526285405E-2</v>
      </c>
      <c r="P470" s="844">
        <f t="shared" si="88"/>
        <v>1.3276695333668518E-2</v>
      </c>
      <c r="Q470" s="830"/>
      <c r="R470" s="845">
        <v>928.83</v>
      </c>
      <c r="S470" s="846">
        <f t="shared" si="83"/>
        <v>1.5991949333304278E-2</v>
      </c>
      <c r="T470" s="845">
        <v>66.91</v>
      </c>
      <c r="U470" s="846">
        <f t="shared" si="84"/>
        <v>1.4556482183472275E-2</v>
      </c>
      <c r="V470" s="845">
        <v>116.2255</v>
      </c>
      <c r="W470" s="846">
        <f t="shared" si="85"/>
        <v>1.3356455809216738E-2</v>
      </c>
      <c r="X470" s="845">
        <v>32717.599999999999</v>
      </c>
      <c r="Y470" s="846">
        <f t="shared" si="86"/>
        <v>9.9817097170022961E-3</v>
      </c>
      <c r="Z470" s="845">
        <v>4027.8117999999999</v>
      </c>
      <c r="AA470" s="846">
        <f t="shared" si="87"/>
        <v>1.4237661290334769E-2</v>
      </c>
      <c r="AB470" s="843"/>
      <c r="AC470" s="832"/>
    </row>
    <row r="471" spans="1:29" ht="14.4" x14ac:dyDescent="0.55000000000000004">
      <c r="A471" s="857" t="s">
        <v>5630</v>
      </c>
      <c r="B471" s="842">
        <v>110.06</v>
      </c>
      <c r="C471" s="843">
        <f t="shared" si="78"/>
        <v>-1.7233560090702538E-3</v>
      </c>
      <c r="D471" s="842">
        <v>52.28</v>
      </c>
      <c r="E471" s="843">
        <f t="shared" si="79"/>
        <v>2.1084914701936519E-3</v>
      </c>
      <c r="F471" s="842">
        <v>27.22</v>
      </c>
      <c r="G471" s="843">
        <f t="shared" si="79"/>
        <v>6.2846580406654695E-3</v>
      </c>
      <c r="H471" s="842">
        <v>46.97</v>
      </c>
      <c r="I471" s="843">
        <f t="shared" si="79"/>
        <v>2.7754056362083723E-3</v>
      </c>
      <c r="J471" s="842">
        <v>78.319999999999993</v>
      </c>
      <c r="K471" s="843">
        <f t="shared" si="80"/>
        <v>5.520605982796134E-3</v>
      </c>
      <c r="L471" s="842">
        <v>61.15</v>
      </c>
      <c r="M471" s="843">
        <f t="shared" si="81"/>
        <v>-2.7723418134377731E-3</v>
      </c>
      <c r="N471" s="842">
        <v>69.239999999999995</v>
      </c>
      <c r="O471" s="843">
        <f t="shared" si="82"/>
        <v>-5.773672055428003E-4</v>
      </c>
      <c r="P471" s="844">
        <f t="shared" si="88"/>
        <v>1.6594423002589715E-3</v>
      </c>
      <c r="Q471" s="830"/>
      <c r="R471" s="845">
        <v>914.21</v>
      </c>
      <c r="S471" s="846">
        <f t="shared" si="83"/>
        <v>2.0936095582593239E-3</v>
      </c>
      <c r="T471" s="845">
        <v>65.95</v>
      </c>
      <c r="U471" s="846">
        <f t="shared" si="84"/>
        <v>2.7368100957885222E-3</v>
      </c>
      <c r="V471" s="845">
        <v>114.6936</v>
      </c>
      <c r="W471" s="846">
        <f t="shared" si="85"/>
        <v>-1.7233635879384535E-3</v>
      </c>
      <c r="X471" s="845">
        <v>32394.25</v>
      </c>
      <c r="Y471" s="846">
        <f t="shared" si="86"/>
        <v>-1.1664376752894556E-3</v>
      </c>
      <c r="Z471" s="845">
        <v>3971.2701999999999</v>
      </c>
      <c r="AA471" s="846">
        <f t="shared" si="87"/>
        <v>-1.5733389394951836E-3</v>
      </c>
      <c r="AB471" s="843"/>
      <c r="AC471" s="832"/>
    </row>
    <row r="472" spans="1:29" ht="14.4" x14ac:dyDescent="0.55000000000000004">
      <c r="A472" s="857" t="s">
        <v>5631</v>
      </c>
      <c r="B472" s="842">
        <v>110.25</v>
      </c>
      <c r="C472" s="843">
        <f t="shared" si="78"/>
        <v>7.9539221064179877E-3</v>
      </c>
      <c r="D472" s="842">
        <v>52.17</v>
      </c>
      <c r="E472" s="843">
        <f t="shared" si="79"/>
        <v>1.4585764294049008E-2</v>
      </c>
      <c r="F472" s="842">
        <v>27.05</v>
      </c>
      <c r="G472" s="843">
        <f t="shared" si="79"/>
        <v>1.1214953271028172E-2</v>
      </c>
      <c r="H472" s="842">
        <v>46.84</v>
      </c>
      <c r="I472" s="843">
        <f t="shared" si="79"/>
        <v>9.2652445593623955E-3</v>
      </c>
      <c r="J472" s="842">
        <v>77.89</v>
      </c>
      <c r="K472" s="843">
        <f t="shared" si="80"/>
        <v>1.1295767333160178E-2</v>
      </c>
      <c r="L472" s="842">
        <v>61.32</v>
      </c>
      <c r="M472" s="843">
        <f t="shared" si="81"/>
        <v>1.1428571428571122E-3</v>
      </c>
      <c r="N472" s="842">
        <v>69.28</v>
      </c>
      <c r="O472" s="843">
        <f t="shared" si="82"/>
        <v>1.0114145354718218E-3</v>
      </c>
      <c r="P472" s="844">
        <f t="shared" si="88"/>
        <v>8.0671318917638103E-3</v>
      </c>
      <c r="Q472" s="830"/>
      <c r="R472" s="845">
        <v>912.3</v>
      </c>
      <c r="S472" s="846">
        <f t="shared" si="83"/>
        <v>1.7898909594034063E-3</v>
      </c>
      <c r="T472" s="845">
        <v>65.77</v>
      </c>
      <c r="U472" s="846">
        <f t="shared" si="84"/>
        <v>1.2178413761607665E-3</v>
      </c>
      <c r="V472" s="845">
        <v>114.8916</v>
      </c>
      <c r="W472" s="846">
        <f t="shared" si="85"/>
        <v>7.9536781155415959E-3</v>
      </c>
      <c r="X472" s="845">
        <v>32432.080000000002</v>
      </c>
      <c r="Y472" s="846">
        <f t="shared" si="86"/>
        <v>6.0348916309655998E-3</v>
      </c>
      <c r="Z472" s="845">
        <v>3977.5282000000002</v>
      </c>
      <c r="AA472" s="846">
        <f t="shared" si="87"/>
        <v>1.6473992456886855E-3</v>
      </c>
      <c r="AB472" s="843"/>
      <c r="AC472" s="832"/>
    </row>
    <row r="473" spans="1:29" ht="14.4" x14ac:dyDescent="0.55000000000000004">
      <c r="A473" s="857" t="s">
        <v>5632</v>
      </c>
      <c r="B473" s="842">
        <v>109.38</v>
      </c>
      <c r="C473" s="843">
        <f t="shared" si="78"/>
        <v>2.6849417949680765E-2</v>
      </c>
      <c r="D473" s="842">
        <v>51.42</v>
      </c>
      <c r="E473" s="843">
        <f t="shared" si="79"/>
        <v>2.8399999999999981E-2</v>
      </c>
      <c r="F473" s="842">
        <v>26.75</v>
      </c>
      <c r="G473" s="843">
        <f t="shared" si="79"/>
        <v>2.9638183217859826E-2</v>
      </c>
      <c r="H473" s="842">
        <v>46.41</v>
      </c>
      <c r="I473" s="843">
        <f t="shared" si="79"/>
        <v>3.3630289532293967E-2</v>
      </c>
      <c r="J473" s="842">
        <v>77.02</v>
      </c>
      <c r="K473" s="843">
        <f t="shared" si="80"/>
        <v>2.9679144385026834E-2</v>
      </c>
      <c r="L473" s="842">
        <v>61.25</v>
      </c>
      <c r="M473" s="843">
        <f t="shared" si="81"/>
        <v>3.0797711208347289E-2</v>
      </c>
      <c r="N473" s="842">
        <v>69.209999999999994</v>
      </c>
      <c r="O473" s="843">
        <f t="shared" si="82"/>
        <v>3.5767734211314073E-2</v>
      </c>
      <c r="P473" s="844">
        <f t="shared" si="88"/>
        <v>3.0680354357788962E-2</v>
      </c>
      <c r="Q473" s="830"/>
      <c r="R473" s="845">
        <v>910.67</v>
      </c>
      <c r="S473" s="846">
        <f t="shared" si="83"/>
        <v>3.1873909397874378E-2</v>
      </c>
      <c r="T473" s="845">
        <v>65.69</v>
      </c>
      <c r="U473" s="846">
        <f t="shared" si="84"/>
        <v>3.1240188383045542E-2</v>
      </c>
      <c r="V473" s="845">
        <v>113.985</v>
      </c>
      <c r="W473" s="846">
        <f t="shared" si="85"/>
        <v>2.6849337775191273E-2</v>
      </c>
      <c r="X473" s="845">
        <v>32237.53</v>
      </c>
      <c r="Y473" s="846">
        <f t="shared" si="86"/>
        <v>4.1201984099172861E-3</v>
      </c>
      <c r="Z473" s="845">
        <v>3970.9863999999998</v>
      </c>
      <c r="AA473" s="846">
        <f t="shared" si="87"/>
        <v>5.6379482818713633E-3</v>
      </c>
      <c r="AB473" s="843"/>
      <c r="AC473" s="832"/>
    </row>
    <row r="474" spans="1:29" ht="14.4" x14ac:dyDescent="0.55000000000000004">
      <c r="A474" s="857" t="s">
        <v>5633</v>
      </c>
      <c r="B474" s="842">
        <v>106.52</v>
      </c>
      <c r="C474" s="843">
        <f t="shared" si="78"/>
        <v>-7.1768105135614491E-3</v>
      </c>
      <c r="D474" s="842">
        <v>50</v>
      </c>
      <c r="E474" s="843">
        <f t="shared" si="79"/>
        <v>-6.7540723083036047E-3</v>
      </c>
      <c r="F474" s="842">
        <v>25.98</v>
      </c>
      <c r="G474" s="843">
        <f t="shared" si="79"/>
        <v>-1.4789533560864654E-2</v>
      </c>
      <c r="H474" s="842">
        <v>44.9</v>
      </c>
      <c r="I474" s="843">
        <f t="shared" si="79"/>
        <v>-1.664476565922024E-2</v>
      </c>
      <c r="J474" s="842">
        <v>74.8</v>
      </c>
      <c r="K474" s="843">
        <f t="shared" si="80"/>
        <v>-1.0843692144935302E-2</v>
      </c>
      <c r="L474" s="842">
        <v>59.42</v>
      </c>
      <c r="M474" s="843">
        <f t="shared" si="81"/>
        <v>-2.0118733509234765E-2</v>
      </c>
      <c r="N474" s="842">
        <v>66.819999999999993</v>
      </c>
      <c r="O474" s="843">
        <f t="shared" si="82"/>
        <v>-8.7524106215695063E-3</v>
      </c>
      <c r="P474" s="844">
        <f t="shared" si="88"/>
        <v>-1.2154288331098504E-2</v>
      </c>
      <c r="Q474" s="830"/>
      <c r="R474" s="845">
        <v>882.54</v>
      </c>
      <c r="S474" s="846">
        <f t="shared" si="83"/>
        <v>-9.2058288613962036E-3</v>
      </c>
      <c r="T474" s="845">
        <v>63.7</v>
      </c>
      <c r="U474" s="846">
        <f t="shared" si="84"/>
        <v>-1.025481665630823E-2</v>
      </c>
      <c r="V474" s="845">
        <v>111.0046</v>
      </c>
      <c r="W474" s="846">
        <f t="shared" si="85"/>
        <v>-7.1766526246120899E-3</v>
      </c>
      <c r="X474" s="845">
        <v>32105.25</v>
      </c>
      <c r="Y474" s="846">
        <f t="shared" si="86"/>
        <v>2.3459176381224189E-3</v>
      </c>
      <c r="Z474" s="845">
        <v>3948.7237</v>
      </c>
      <c r="AA474" s="846">
        <f t="shared" si="87"/>
        <v>2.9851118552703948E-3</v>
      </c>
      <c r="AB474" s="843"/>
      <c r="AC474" s="832"/>
    </row>
    <row r="475" spans="1:29" ht="14.4" x14ac:dyDescent="0.55000000000000004">
      <c r="A475" s="857" t="s">
        <v>5634</v>
      </c>
      <c r="B475" s="842">
        <v>107.29</v>
      </c>
      <c r="C475" s="843">
        <f t="shared" si="78"/>
        <v>-2.6494873423464238E-2</v>
      </c>
      <c r="D475" s="842">
        <v>50.34</v>
      </c>
      <c r="E475" s="843">
        <f t="shared" si="79"/>
        <v>-2.6870288034022694E-2</v>
      </c>
      <c r="F475" s="842">
        <v>26.37</v>
      </c>
      <c r="G475" s="843">
        <f t="shared" si="79"/>
        <v>-2.2609340252038534E-2</v>
      </c>
      <c r="H475" s="842">
        <v>45.66</v>
      </c>
      <c r="I475" s="843">
        <f t="shared" si="79"/>
        <v>-2.4358974358974383E-2</v>
      </c>
      <c r="J475" s="842">
        <v>75.62</v>
      </c>
      <c r="K475" s="843">
        <f t="shared" si="80"/>
        <v>-2.5264243361691086E-2</v>
      </c>
      <c r="L475" s="842">
        <v>60.64</v>
      </c>
      <c r="M475" s="843">
        <f t="shared" si="81"/>
        <v>-1.1895062734234907E-2</v>
      </c>
      <c r="N475" s="842">
        <v>67.41</v>
      </c>
      <c r="O475" s="843">
        <f t="shared" si="82"/>
        <v>-2.1341463414634165E-2</v>
      </c>
      <c r="P475" s="844">
        <f t="shared" si="88"/>
        <v>-2.2690606511294287E-2</v>
      </c>
      <c r="Q475" s="830"/>
      <c r="R475" s="845">
        <v>890.74</v>
      </c>
      <c r="S475" s="846">
        <f t="shared" si="83"/>
        <v>-2.0195798042019542E-2</v>
      </c>
      <c r="T475" s="845">
        <v>64.36</v>
      </c>
      <c r="U475" s="846">
        <f t="shared" si="84"/>
        <v>-1.9649657273419718E-2</v>
      </c>
      <c r="V475" s="845">
        <v>111.807</v>
      </c>
      <c r="W475" s="846">
        <f t="shared" si="85"/>
        <v>-2.6494581188142075E-2</v>
      </c>
      <c r="X475" s="845">
        <v>32030.11</v>
      </c>
      <c r="Y475" s="846">
        <f t="shared" si="86"/>
        <v>-1.6292390189369899E-2</v>
      </c>
      <c r="Z475" s="845">
        <v>3936.9713999999999</v>
      </c>
      <c r="AA475" s="846">
        <f t="shared" si="87"/>
        <v>-1.646369789102764E-2</v>
      </c>
      <c r="AB475" s="843"/>
      <c r="AC475" s="832"/>
    </row>
    <row r="476" spans="1:29" ht="14.4" x14ac:dyDescent="0.55000000000000004">
      <c r="A476" s="857" t="s">
        <v>5635</v>
      </c>
      <c r="B476" s="842">
        <v>110.21</v>
      </c>
      <c r="C476" s="843">
        <f t="shared" si="78"/>
        <v>-4.0651114206128103E-2</v>
      </c>
      <c r="D476" s="842">
        <v>51.73</v>
      </c>
      <c r="E476" s="843">
        <f t="shared" si="79"/>
        <v>-1.3915364086923399E-2</v>
      </c>
      <c r="F476" s="842">
        <v>26.98</v>
      </c>
      <c r="G476" s="843">
        <f t="shared" si="79"/>
        <v>-3.0194104960460044E-2</v>
      </c>
      <c r="H476" s="842">
        <v>46.8</v>
      </c>
      <c r="I476" s="843">
        <f t="shared" si="79"/>
        <v>-1.7219655606887874E-2</v>
      </c>
      <c r="J476" s="842">
        <v>77.58</v>
      </c>
      <c r="K476" s="843">
        <f t="shared" si="80"/>
        <v>-2.451904941531502E-2</v>
      </c>
      <c r="L476" s="842">
        <v>61.37</v>
      </c>
      <c r="M476" s="843">
        <f t="shared" si="81"/>
        <v>-5.6707712248865727E-3</v>
      </c>
      <c r="N476" s="842">
        <v>68.88</v>
      </c>
      <c r="O476" s="843">
        <f t="shared" si="82"/>
        <v>-2.0338500924477421E-2</v>
      </c>
      <c r="P476" s="844">
        <f t="shared" si="88"/>
        <v>-2.1786937203582633E-2</v>
      </c>
      <c r="Q476" s="830"/>
      <c r="R476" s="845">
        <v>909.1</v>
      </c>
      <c r="S476" s="846">
        <f t="shared" si="83"/>
        <v>-2.4005324973697229E-2</v>
      </c>
      <c r="T476" s="845">
        <v>65.650000000000006</v>
      </c>
      <c r="U476" s="846">
        <f t="shared" si="84"/>
        <v>-2.0149253731343242E-2</v>
      </c>
      <c r="V476" s="845">
        <v>114.84990000000001</v>
      </c>
      <c r="W476" s="846">
        <f t="shared" si="85"/>
        <v>-4.0651038077457957E-2</v>
      </c>
      <c r="X476" s="845">
        <v>32560.6</v>
      </c>
      <c r="Y476" s="846">
        <f t="shared" si="86"/>
        <v>9.8007168956766311E-3</v>
      </c>
      <c r="Z476" s="845">
        <v>4002.8735000000001</v>
      </c>
      <c r="AA476" s="846">
        <f t="shared" si="87"/>
        <v>1.2983349474179784E-2</v>
      </c>
      <c r="AB476" s="843"/>
      <c r="AC476" s="832"/>
    </row>
    <row r="477" spans="1:29" ht="14.4" x14ac:dyDescent="0.55000000000000004">
      <c r="A477" s="857" t="s">
        <v>5636</v>
      </c>
      <c r="B477" s="842">
        <v>114.88</v>
      </c>
      <c r="C477" s="843">
        <f t="shared" si="78"/>
        <v>1.6566396372830194E-3</v>
      </c>
      <c r="D477" s="842">
        <v>52.46</v>
      </c>
      <c r="E477" s="843">
        <f t="shared" si="79"/>
        <v>6.7165611207062881E-3</v>
      </c>
      <c r="F477" s="842">
        <v>27.82</v>
      </c>
      <c r="G477" s="843">
        <f t="shared" si="79"/>
        <v>1.2741172187841432E-2</v>
      </c>
      <c r="H477" s="842">
        <v>47.62</v>
      </c>
      <c r="I477" s="843">
        <f t="shared" si="79"/>
        <v>6.7653276955601527E-3</v>
      </c>
      <c r="J477" s="842">
        <v>79.53</v>
      </c>
      <c r="K477" s="843">
        <f t="shared" si="80"/>
        <v>1.4283892360668293E-2</v>
      </c>
      <c r="L477" s="842">
        <v>61.72</v>
      </c>
      <c r="M477" s="843">
        <f t="shared" si="81"/>
        <v>2.3209549071617985E-2</v>
      </c>
      <c r="N477" s="842">
        <v>70.31</v>
      </c>
      <c r="O477" s="843">
        <f t="shared" si="82"/>
        <v>4.2851021282672708E-3</v>
      </c>
      <c r="P477" s="844">
        <f t="shared" si="88"/>
        <v>9.9511777431349202E-3</v>
      </c>
      <c r="Q477" s="830"/>
      <c r="R477" s="845">
        <v>931.46</v>
      </c>
      <c r="S477" s="846">
        <f t="shared" si="83"/>
        <v>8.9362116961471116E-3</v>
      </c>
      <c r="T477" s="845">
        <v>67</v>
      </c>
      <c r="U477" s="846">
        <f t="shared" si="84"/>
        <v>4.4796177392858461E-4</v>
      </c>
      <c r="V477" s="845">
        <v>119.7165</v>
      </c>
      <c r="W477" s="846">
        <f t="shared" si="85"/>
        <v>1.6566472972803226E-3</v>
      </c>
      <c r="X477" s="845">
        <v>32244.58</v>
      </c>
      <c r="Y477" s="846">
        <f t="shared" si="86"/>
        <v>1.2008042186957724E-2</v>
      </c>
      <c r="Z477" s="845">
        <v>3951.5689000000002</v>
      </c>
      <c r="AA477" s="846">
        <f t="shared" si="87"/>
        <v>8.9187990146240015E-3</v>
      </c>
      <c r="AB477" s="843"/>
      <c r="AC477" s="832"/>
    </row>
    <row r="478" spans="1:29" ht="14.4" x14ac:dyDescent="0.55000000000000004">
      <c r="A478" s="857" t="s">
        <v>5637</v>
      </c>
      <c r="B478" s="842">
        <v>114.69</v>
      </c>
      <c r="C478" s="843">
        <f t="shared" si="78"/>
        <v>3.0610460031483822E-3</v>
      </c>
      <c r="D478" s="842">
        <v>52.11</v>
      </c>
      <c r="E478" s="843">
        <f t="shared" si="79"/>
        <v>-4.2040894324478773E-3</v>
      </c>
      <c r="F478" s="842">
        <v>27.47</v>
      </c>
      <c r="G478" s="843">
        <f t="shared" si="79"/>
        <v>-1.7525035765379227E-2</v>
      </c>
      <c r="H478" s="842">
        <v>47.3</v>
      </c>
      <c r="I478" s="843">
        <f t="shared" si="79"/>
        <v>-1.6836416545416788E-2</v>
      </c>
      <c r="J478" s="842">
        <v>78.41</v>
      </c>
      <c r="K478" s="843">
        <f t="shared" si="80"/>
        <v>-2.163400356324785E-3</v>
      </c>
      <c r="L478" s="842">
        <v>60.32</v>
      </c>
      <c r="M478" s="843">
        <f t="shared" si="81"/>
        <v>3.3167495854069529E-4</v>
      </c>
      <c r="N478" s="842">
        <v>70.010000000000005</v>
      </c>
      <c r="O478" s="843">
        <f t="shared" si="82"/>
        <v>-1.4776245426400214E-2</v>
      </c>
      <c r="P478" s="844">
        <f t="shared" si="88"/>
        <v>-7.4446380806114021E-3</v>
      </c>
      <c r="Q478" s="830"/>
      <c r="R478" s="845">
        <v>923.21</v>
      </c>
      <c r="S478" s="846">
        <f t="shared" si="83"/>
        <v>-9.5269770086580108E-3</v>
      </c>
      <c r="T478" s="845">
        <v>66.97</v>
      </c>
      <c r="U478" s="846">
        <f t="shared" si="84"/>
        <v>-9.6125406684414161E-3</v>
      </c>
      <c r="V478" s="845">
        <v>119.5185</v>
      </c>
      <c r="W478" s="846">
        <f t="shared" si="85"/>
        <v>3.0607500558101908E-3</v>
      </c>
      <c r="X478" s="845">
        <v>31861.98</v>
      </c>
      <c r="Y478" s="846">
        <f t="shared" si="86"/>
        <v>-1.1925926959628241E-2</v>
      </c>
      <c r="Z478" s="845">
        <v>3916.6372000000001</v>
      </c>
      <c r="AA478" s="846">
        <f t="shared" si="87"/>
        <v>-1.1020404586936983E-2</v>
      </c>
      <c r="AB478" s="843"/>
      <c r="AC478" s="832"/>
    </row>
    <row r="479" spans="1:29" ht="14.4" x14ac:dyDescent="0.55000000000000004">
      <c r="A479" s="857" t="s">
        <v>5638</v>
      </c>
      <c r="B479" s="842">
        <v>114.34</v>
      </c>
      <c r="C479" s="843">
        <f t="shared" si="78"/>
        <v>4.9217788715063548E-3</v>
      </c>
      <c r="D479" s="842">
        <v>52.33</v>
      </c>
      <c r="E479" s="843">
        <f t="shared" si="79"/>
        <v>1.1207729468599048E-2</v>
      </c>
      <c r="F479" s="842">
        <v>27.96</v>
      </c>
      <c r="G479" s="843">
        <f t="shared" si="79"/>
        <v>3.9497307001794546E-3</v>
      </c>
      <c r="H479" s="842">
        <v>48.11</v>
      </c>
      <c r="I479" s="843">
        <f t="shared" si="79"/>
        <v>4.1588687876892294E-4</v>
      </c>
      <c r="J479" s="842">
        <v>78.58</v>
      </c>
      <c r="K479" s="843">
        <f t="shared" si="80"/>
        <v>1.8667358050298066E-2</v>
      </c>
      <c r="L479" s="842">
        <v>60.3</v>
      </c>
      <c r="M479" s="843">
        <f t="shared" si="81"/>
        <v>-3.7997687097307553E-3</v>
      </c>
      <c r="N479" s="842">
        <v>71.06</v>
      </c>
      <c r="O479" s="843">
        <f t="shared" si="82"/>
        <v>2.1857923497267784E-2</v>
      </c>
      <c r="P479" s="844">
        <f t="shared" si="88"/>
        <v>8.1743769652698386E-3</v>
      </c>
      <c r="Q479" s="830"/>
      <c r="R479" s="845">
        <v>932.09</v>
      </c>
      <c r="S479" s="846">
        <f t="shared" si="83"/>
        <v>7.4361496308945618E-3</v>
      </c>
      <c r="T479" s="845">
        <v>67.62</v>
      </c>
      <c r="U479" s="846">
        <f t="shared" si="84"/>
        <v>6.6994193836533711E-3</v>
      </c>
      <c r="V479" s="845">
        <v>119.1538</v>
      </c>
      <c r="W479" s="846">
        <f t="shared" si="85"/>
        <v>4.9219787096590473E-3</v>
      </c>
      <c r="X479" s="845">
        <v>32246.55</v>
      </c>
      <c r="Y479" s="846">
        <f t="shared" si="86"/>
        <v>1.1670118216496661E-2</v>
      </c>
      <c r="Z479" s="845">
        <v>3960.2811000000002</v>
      </c>
      <c r="AA479" s="846">
        <f t="shared" si="87"/>
        <v>1.756312625312284E-2</v>
      </c>
      <c r="AB479" s="843"/>
      <c r="AC479" s="832"/>
    </row>
    <row r="480" spans="1:29" ht="14.4" x14ac:dyDescent="0.55000000000000004">
      <c r="A480" s="857" t="s">
        <v>5639</v>
      </c>
      <c r="B480" s="842">
        <v>113.78</v>
      </c>
      <c r="C480" s="843">
        <f t="shared" si="78"/>
        <v>1.5439535921463632E-2</v>
      </c>
      <c r="D480" s="842">
        <v>51.75</v>
      </c>
      <c r="E480" s="843">
        <f t="shared" si="79"/>
        <v>1.9327406262070745E-4</v>
      </c>
      <c r="F480" s="842">
        <v>27.85</v>
      </c>
      <c r="G480" s="843">
        <f t="shared" si="79"/>
        <v>3.2420749279538086E-3</v>
      </c>
      <c r="H480" s="842">
        <v>48.09</v>
      </c>
      <c r="I480" s="843">
        <f t="shared" si="79"/>
        <v>2.5810580204778111E-2</v>
      </c>
      <c r="J480" s="842">
        <v>77.14</v>
      </c>
      <c r="K480" s="843">
        <f t="shared" si="80"/>
        <v>1.1672131147540954E-2</v>
      </c>
      <c r="L480" s="842">
        <v>60.53</v>
      </c>
      <c r="M480" s="843">
        <f t="shared" si="81"/>
        <v>-1.013900245298438E-2</v>
      </c>
      <c r="N480" s="842">
        <v>69.540000000000006</v>
      </c>
      <c r="O480" s="843">
        <f t="shared" si="82"/>
        <v>-1.5793251974156597E-3</v>
      </c>
      <c r="P480" s="844">
        <f t="shared" si="88"/>
        <v>6.3770383734224534E-3</v>
      </c>
      <c r="Q480" s="830"/>
      <c r="R480" s="845">
        <v>925.21</v>
      </c>
      <c r="S480" s="846">
        <f t="shared" si="83"/>
        <v>1.3884322878997102E-2</v>
      </c>
      <c r="T480" s="845">
        <v>67.17</v>
      </c>
      <c r="U480" s="846">
        <f t="shared" si="84"/>
        <v>1.3580805794477291E-2</v>
      </c>
      <c r="V480" s="845">
        <v>118.5702</v>
      </c>
      <c r="W480" s="846">
        <f t="shared" si="85"/>
        <v>1.5439240746989435E-2</v>
      </c>
      <c r="X480" s="845">
        <v>31874.57</v>
      </c>
      <c r="Y480" s="846">
        <f t="shared" si="86"/>
        <v>-8.7335253176761274E-3</v>
      </c>
      <c r="Z480" s="845">
        <v>3891.9267</v>
      </c>
      <c r="AA480" s="846">
        <f t="shared" si="87"/>
        <v>-6.980938114509061E-3</v>
      </c>
      <c r="AB480" s="843"/>
      <c r="AC480" s="832"/>
    </row>
    <row r="481" spans="1:29" ht="14.4" x14ac:dyDescent="0.55000000000000004">
      <c r="A481" s="857" t="s">
        <v>5640</v>
      </c>
      <c r="B481" s="842">
        <v>112.05</v>
      </c>
      <c r="C481" s="843">
        <f t="shared" si="78"/>
        <v>1.3751922554962492E-2</v>
      </c>
      <c r="D481" s="842">
        <v>51.74</v>
      </c>
      <c r="E481" s="843">
        <f t="shared" si="79"/>
        <v>2.3338607594936667E-2</v>
      </c>
      <c r="F481" s="842">
        <v>27.76</v>
      </c>
      <c r="G481" s="843">
        <f t="shared" si="79"/>
        <v>1.5733626051957605E-2</v>
      </c>
      <c r="H481" s="842">
        <v>46.88</v>
      </c>
      <c r="I481" s="843">
        <f t="shared" si="79"/>
        <v>1.691973969631233E-2</v>
      </c>
      <c r="J481" s="842">
        <v>76.25</v>
      </c>
      <c r="K481" s="843">
        <f t="shared" si="80"/>
        <v>1.8159967952997791E-2</v>
      </c>
      <c r="L481" s="842">
        <v>61.15</v>
      </c>
      <c r="M481" s="843">
        <f t="shared" si="81"/>
        <v>1.8318068276436339E-2</v>
      </c>
      <c r="N481" s="842">
        <v>69.650000000000006</v>
      </c>
      <c r="O481" s="843">
        <f t="shared" si="82"/>
        <v>2.5924289291501035E-2</v>
      </c>
      <c r="P481" s="844">
        <f t="shared" si="88"/>
        <v>1.8878031631300609E-2</v>
      </c>
      <c r="Q481" s="830"/>
      <c r="R481" s="845">
        <v>912.54</v>
      </c>
      <c r="S481" s="846">
        <f t="shared" si="83"/>
        <v>1.2718071647356499E-2</v>
      </c>
      <c r="T481" s="845">
        <v>66.27</v>
      </c>
      <c r="U481" s="846">
        <f t="shared" si="84"/>
        <v>1.3147836722213757E-2</v>
      </c>
      <c r="V481" s="845">
        <v>116.76739999999999</v>
      </c>
      <c r="W481" s="846">
        <f t="shared" si="85"/>
        <v>1.3751981622351694E-2</v>
      </c>
      <c r="X481" s="845">
        <v>32155.4</v>
      </c>
      <c r="Y481" s="846">
        <f t="shared" si="86"/>
        <v>1.0567853185221354E-2</v>
      </c>
      <c r="Z481" s="845">
        <v>3919.2869999999998</v>
      </c>
      <c r="AA481" s="846">
        <f t="shared" si="87"/>
        <v>1.6475368979604221E-2</v>
      </c>
      <c r="AB481" s="843"/>
      <c r="AC481" s="832"/>
    </row>
    <row r="482" spans="1:29" ht="14.4" x14ac:dyDescent="0.55000000000000004">
      <c r="A482" s="857" t="s">
        <v>5641</v>
      </c>
      <c r="B482" s="842">
        <v>110.53</v>
      </c>
      <c r="C482" s="843">
        <f t="shared" si="78"/>
        <v>1.2550384756321087E-2</v>
      </c>
      <c r="D482" s="842">
        <v>50.56</v>
      </c>
      <c r="E482" s="843">
        <f t="shared" si="79"/>
        <v>1.8738666129357151E-2</v>
      </c>
      <c r="F482" s="842">
        <v>27.33</v>
      </c>
      <c r="G482" s="843">
        <f t="shared" si="79"/>
        <v>2.3212280044926814E-2</v>
      </c>
      <c r="H482" s="842">
        <v>46.1</v>
      </c>
      <c r="I482" s="843">
        <f t="shared" si="79"/>
        <v>1.0300241069471916E-2</v>
      </c>
      <c r="J482" s="842">
        <v>74.89</v>
      </c>
      <c r="K482" s="843">
        <f t="shared" si="80"/>
        <v>7.3984396018293985E-3</v>
      </c>
      <c r="L482" s="842">
        <v>60.05</v>
      </c>
      <c r="M482" s="843">
        <f t="shared" si="81"/>
        <v>1.2818350480688023E-2</v>
      </c>
      <c r="N482" s="842">
        <v>67.89</v>
      </c>
      <c r="O482" s="843">
        <f t="shared" si="82"/>
        <v>2.1209386281588305E-2</v>
      </c>
      <c r="P482" s="844">
        <f t="shared" si="88"/>
        <v>1.5175392623454671E-2</v>
      </c>
      <c r="Q482" s="830"/>
      <c r="R482" s="845">
        <v>901.08</v>
      </c>
      <c r="S482" s="846">
        <f t="shared" si="83"/>
        <v>1.5244211593713031E-2</v>
      </c>
      <c r="T482" s="845">
        <v>65.41</v>
      </c>
      <c r="U482" s="846">
        <f t="shared" si="84"/>
        <v>1.5367898168270555E-2</v>
      </c>
      <c r="V482" s="845">
        <v>115.18340000000001</v>
      </c>
      <c r="W482" s="846">
        <f t="shared" si="85"/>
        <v>1.25505798830301E-2</v>
      </c>
      <c r="X482" s="845">
        <v>31819.14</v>
      </c>
      <c r="Y482" s="846">
        <f t="shared" si="86"/>
        <v>-2.8361335320611358E-3</v>
      </c>
      <c r="Z482" s="845">
        <v>3855.7619</v>
      </c>
      <c r="AA482" s="846">
        <f t="shared" si="87"/>
        <v>-1.5092229239568322E-3</v>
      </c>
      <c r="AB482" s="843"/>
      <c r="AC482" s="832"/>
    </row>
    <row r="483" spans="1:29" ht="14.4" x14ac:dyDescent="0.55000000000000004">
      <c r="A483" s="857" t="s">
        <v>5642</v>
      </c>
      <c r="B483" s="842">
        <v>109.16</v>
      </c>
      <c r="C483" s="843">
        <f t="shared" si="78"/>
        <v>-1.2394824934407023E-2</v>
      </c>
      <c r="D483" s="842">
        <v>49.63</v>
      </c>
      <c r="E483" s="843">
        <f t="shared" si="79"/>
        <v>-2.09114223712763E-2</v>
      </c>
      <c r="F483" s="842">
        <v>26.71</v>
      </c>
      <c r="G483" s="843">
        <f t="shared" si="79"/>
        <v>-2.4470416362308178E-2</v>
      </c>
      <c r="H483" s="842">
        <v>45.63</v>
      </c>
      <c r="I483" s="843">
        <f t="shared" si="79"/>
        <v>-1.5533980582524198E-2</v>
      </c>
      <c r="J483" s="842">
        <v>74.34</v>
      </c>
      <c r="K483" s="843">
        <f t="shared" si="80"/>
        <v>-2.1455837830722579E-2</v>
      </c>
      <c r="L483" s="842">
        <v>59.29</v>
      </c>
      <c r="M483" s="843">
        <f t="shared" si="81"/>
        <v>-5.8685446009389963E-3</v>
      </c>
      <c r="N483" s="842">
        <v>66.48</v>
      </c>
      <c r="O483" s="843">
        <f t="shared" si="82"/>
        <v>-1.1155734047300303E-2</v>
      </c>
      <c r="P483" s="844">
        <f t="shared" si="88"/>
        <v>-1.5970108675639656E-2</v>
      </c>
      <c r="Q483" s="830"/>
      <c r="R483" s="845">
        <v>887.55</v>
      </c>
      <c r="S483" s="846">
        <f t="shared" si="83"/>
        <v>-1.6041772909691665E-2</v>
      </c>
      <c r="T483" s="845">
        <v>64.42</v>
      </c>
      <c r="U483" s="846">
        <f t="shared" si="84"/>
        <v>-1.5737203972498115E-2</v>
      </c>
      <c r="V483" s="845">
        <v>113.7557</v>
      </c>
      <c r="W483" s="846">
        <f t="shared" si="85"/>
        <v>-1.2395015253934161E-2</v>
      </c>
      <c r="X483" s="845">
        <v>31909.64</v>
      </c>
      <c r="Y483" s="846">
        <f t="shared" si="86"/>
        <v>-1.070288322441959E-2</v>
      </c>
      <c r="Z483" s="845">
        <v>3861.5898999999999</v>
      </c>
      <c r="AA483" s="846">
        <f t="shared" si="87"/>
        <v>-1.4478521338244454E-2</v>
      </c>
      <c r="AB483" s="843"/>
      <c r="AC483" s="832"/>
    </row>
    <row r="484" spans="1:29" ht="14.4" x14ac:dyDescent="0.55000000000000004">
      <c r="A484" s="857" t="s">
        <v>5643</v>
      </c>
      <c r="B484" s="842">
        <v>110.53</v>
      </c>
      <c r="C484" s="843">
        <f t="shared" si="78"/>
        <v>-1.6549515081412891E-2</v>
      </c>
      <c r="D484" s="842">
        <v>50.69</v>
      </c>
      <c r="E484" s="843">
        <f t="shared" si="79"/>
        <v>-1.4005057381832331E-2</v>
      </c>
      <c r="F484" s="842">
        <v>27.38</v>
      </c>
      <c r="G484" s="843">
        <f t="shared" si="79"/>
        <v>-1.1552346570397165E-2</v>
      </c>
      <c r="H484" s="842">
        <v>46.35</v>
      </c>
      <c r="I484" s="843">
        <f t="shared" si="79"/>
        <v>-1.5087122821929477E-2</v>
      </c>
      <c r="J484" s="842">
        <v>75.97</v>
      </c>
      <c r="K484" s="843">
        <f t="shared" si="80"/>
        <v>-2.1635544108177807E-2</v>
      </c>
      <c r="L484" s="842">
        <v>59.64</v>
      </c>
      <c r="M484" s="843">
        <f t="shared" si="81"/>
        <v>-4.514889529298749E-2</v>
      </c>
      <c r="N484" s="842">
        <v>67.23</v>
      </c>
      <c r="O484" s="843">
        <f t="shared" si="82"/>
        <v>-1.6098346260793095E-2</v>
      </c>
      <c r="P484" s="844">
        <f t="shared" si="88"/>
        <v>-2.001097535964718E-2</v>
      </c>
      <c r="Q484" s="830"/>
      <c r="R484" s="845">
        <v>902.02</v>
      </c>
      <c r="S484" s="846">
        <f t="shared" si="83"/>
        <v>-1.058497043886486E-2</v>
      </c>
      <c r="T484" s="845">
        <v>65.45</v>
      </c>
      <c r="U484" s="846">
        <f t="shared" si="84"/>
        <v>-8.0327371930888347E-3</v>
      </c>
      <c r="V484" s="845">
        <v>115.18340000000001</v>
      </c>
      <c r="W484" s="846">
        <f t="shared" si="85"/>
        <v>-1.6549452407196963E-2</v>
      </c>
      <c r="X484" s="845">
        <v>32254.86</v>
      </c>
      <c r="Y484" s="846">
        <f t="shared" si="86"/>
        <v>-1.6572149860968888E-2</v>
      </c>
      <c r="Z484" s="845">
        <v>3918.3213999999998</v>
      </c>
      <c r="AA484" s="846">
        <f t="shared" si="87"/>
        <v>-1.8459808700031388E-2</v>
      </c>
      <c r="AB484" s="843"/>
      <c r="AC484" s="832"/>
    </row>
    <row r="485" spans="1:29" ht="14.4" x14ac:dyDescent="0.55000000000000004">
      <c r="A485" s="857" t="s">
        <v>5644</v>
      </c>
      <c r="B485" s="842">
        <v>112.39</v>
      </c>
      <c r="C485" s="843">
        <f t="shared" si="78"/>
        <v>1.070143884892083E-2</v>
      </c>
      <c r="D485" s="842">
        <v>51.41</v>
      </c>
      <c r="E485" s="843">
        <f t="shared" si="79"/>
        <v>7.6440611524890567E-3</v>
      </c>
      <c r="F485" s="842">
        <v>27.7</v>
      </c>
      <c r="G485" s="843">
        <f t="shared" si="79"/>
        <v>1.4280483339436101E-2</v>
      </c>
      <c r="H485" s="842">
        <v>47.06</v>
      </c>
      <c r="I485" s="843">
        <f t="shared" si="79"/>
        <v>2.1294718909710131E-3</v>
      </c>
      <c r="J485" s="842">
        <v>77.650000000000006</v>
      </c>
      <c r="K485" s="843">
        <f t="shared" si="80"/>
        <v>-2.3127328793522972E-3</v>
      </c>
      <c r="L485" s="842">
        <v>62.46</v>
      </c>
      <c r="M485" s="843">
        <f t="shared" si="81"/>
        <v>3.8922155688622784E-2</v>
      </c>
      <c r="N485" s="842">
        <v>68.33</v>
      </c>
      <c r="O485" s="843">
        <f t="shared" si="82"/>
        <v>4.2621987066431277E-3</v>
      </c>
      <c r="P485" s="844">
        <f t="shared" si="88"/>
        <v>1.0803868106818659E-2</v>
      </c>
      <c r="Q485" s="830"/>
      <c r="R485" s="845">
        <v>911.67</v>
      </c>
      <c r="S485" s="846">
        <f t="shared" si="83"/>
        <v>8.5179817914311506E-3</v>
      </c>
      <c r="T485" s="845">
        <v>65.98</v>
      </c>
      <c r="U485" s="846">
        <f t="shared" si="84"/>
        <v>7.6359193646915458E-3</v>
      </c>
      <c r="V485" s="845">
        <v>117.1217</v>
      </c>
      <c r="W485" s="846">
        <f t="shared" si="85"/>
        <v>1.0701440090575165E-2</v>
      </c>
      <c r="X485" s="845">
        <v>32798.400000000001</v>
      </c>
      <c r="Y485" s="846">
        <f t="shared" si="86"/>
        <v>-1.7670802027971444E-3</v>
      </c>
      <c r="Z485" s="845">
        <v>3992.0131999999999</v>
      </c>
      <c r="AA485" s="846">
        <f t="shared" si="87"/>
        <v>1.4149203506506058E-3</v>
      </c>
      <c r="AB485" s="843"/>
      <c r="AC485" s="832"/>
    </row>
    <row r="486" spans="1:29" ht="14.4" x14ac:dyDescent="0.55000000000000004">
      <c r="A486" s="857" t="s">
        <v>5645</v>
      </c>
      <c r="B486" s="842">
        <v>111.2</v>
      </c>
      <c r="C486" s="843">
        <f t="shared" si="78"/>
        <v>-1.9400352733686121E-2</v>
      </c>
      <c r="D486" s="842">
        <v>51.02</v>
      </c>
      <c r="E486" s="843">
        <f t="shared" si="79"/>
        <v>-9.8971472928390813E-3</v>
      </c>
      <c r="F486" s="842">
        <v>27.31</v>
      </c>
      <c r="G486" s="843">
        <f t="shared" si="79"/>
        <v>-9.0711175616835504E-3</v>
      </c>
      <c r="H486" s="842">
        <v>46.96</v>
      </c>
      <c r="I486" s="843">
        <f t="shared" si="79"/>
        <v>-9.4916684243829819E-3</v>
      </c>
      <c r="J486" s="842">
        <v>77.83</v>
      </c>
      <c r="K486" s="843">
        <f t="shared" si="80"/>
        <v>-2.5419484097170097E-2</v>
      </c>
      <c r="L486" s="842">
        <v>60.12</v>
      </c>
      <c r="M486" s="843">
        <f t="shared" si="81"/>
        <v>-4.3060616098046234E-3</v>
      </c>
      <c r="N486" s="842">
        <v>68.040000000000006</v>
      </c>
      <c r="O486" s="843">
        <f t="shared" si="82"/>
        <v>-1.061509379089709E-2</v>
      </c>
      <c r="P486" s="844">
        <f t="shared" si="88"/>
        <v>-1.2600132215780506E-2</v>
      </c>
      <c r="Q486" s="830"/>
      <c r="R486" s="845">
        <v>903.97</v>
      </c>
      <c r="S486" s="846">
        <f t="shared" si="83"/>
        <v>-1.7498668579564614E-2</v>
      </c>
      <c r="T486" s="845">
        <v>65.48</v>
      </c>
      <c r="U486" s="846">
        <f t="shared" si="84"/>
        <v>-1.6373741925792218E-2</v>
      </c>
      <c r="V486" s="845">
        <v>115.88160000000001</v>
      </c>
      <c r="W486" s="846">
        <f t="shared" si="85"/>
        <v>-1.9400173641962448E-2</v>
      </c>
      <c r="X486" s="845">
        <v>32856.46</v>
      </c>
      <c r="Y486" s="846">
        <f t="shared" si="86"/>
        <v>-1.7198780549087966E-2</v>
      </c>
      <c r="Z486" s="845">
        <v>3986.3728000000001</v>
      </c>
      <c r="AA486" s="846">
        <f t="shared" si="87"/>
        <v>-1.5325740342313487E-2</v>
      </c>
      <c r="AB486" s="843"/>
      <c r="AC486" s="832"/>
    </row>
    <row r="487" spans="1:29" ht="14.4" x14ac:dyDescent="0.55000000000000004">
      <c r="A487" s="857" t="s">
        <v>5646</v>
      </c>
      <c r="B487" s="842">
        <v>113.4</v>
      </c>
      <c r="C487" s="843">
        <f t="shared" si="78"/>
        <v>5.9434045950501613E-3</v>
      </c>
      <c r="D487" s="842">
        <v>51.53</v>
      </c>
      <c r="E487" s="843">
        <f t="shared" si="79"/>
        <v>3.5053554040895829E-3</v>
      </c>
      <c r="F487" s="842">
        <v>27.56</v>
      </c>
      <c r="G487" s="843">
        <f t="shared" si="79"/>
        <v>-5.0541516245488083E-3</v>
      </c>
      <c r="H487" s="842">
        <v>47.41</v>
      </c>
      <c r="I487" s="843">
        <f t="shared" si="79"/>
        <v>-1.7816449140252932E-2</v>
      </c>
      <c r="J487" s="842">
        <v>79.86</v>
      </c>
      <c r="K487" s="843">
        <f t="shared" si="80"/>
        <v>-1.3952339795036406E-2</v>
      </c>
      <c r="L487" s="842">
        <v>60.38</v>
      </c>
      <c r="M487" s="843">
        <f t="shared" si="81"/>
        <v>1.65645188007435E-4</v>
      </c>
      <c r="N487" s="842">
        <v>68.77</v>
      </c>
      <c r="O487" s="843">
        <f t="shared" si="82"/>
        <v>-1.7290654472706612E-2</v>
      </c>
      <c r="P487" s="844">
        <f t="shared" si="88"/>
        <v>-6.3570271207710827E-3</v>
      </c>
      <c r="Q487" s="830"/>
      <c r="R487" s="845">
        <v>920.07</v>
      </c>
      <c r="S487" s="846">
        <f t="shared" si="83"/>
        <v>4.1910873907207158E-3</v>
      </c>
      <c r="T487" s="845">
        <v>66.569999999999993</v>
      </c>
      <c r="U487" s="846">
        <f t="shared" si="84"/>
        <v>4.8301886792452287E-3</v>
      </c>
      <c r="V487" s="845">
        <v>118.1742</v>
      </c>
      <c r="W487" s="846">
        <f t="shared" si="85"/>
        <v>5.9433416187135713E-3</v>
      </c>
      <c r="X487" s="845">
        <v>33431.440000000002</v>
      </c>
      <c r="Y487" s="846">
        <f t="shared" si="86"/>
        <v>1.2120043233245781E-3</v>
      </c>
      <c r="Z487" s="845">
        <v>4048.4178000000002</v>
      </c>
      <c r="AA487" s="846">
        <f t="shared" si="87"/>
        <v>6.8720935360100377E-4</v>
      </c>
      <c r="AB487" s="843"/>
      <c r="AC487" s="832"/>
    </row>
    <row r="488" spans="1:29" ht="14.4" x14ac:dyDescent="0.55000000000000004">
      <c r="A488" s="857" t="s">
        <v>5647</v>
      </c>
      <c r="B488" s="842">
        <v>112.73</v>
      </c>
      <c r="C488" s="843">
        <f t="shared" si="78"/>
        <v>1.1122073728585535E-2</v>
      </c>
      <c r="D488" s="842">
        <v>51.35</v>
      </c>
      <c r="E488" s="843">
        <f t="shared" si="79"/>
        <v>1.522340846184278E-2</v>
      </c>
      <c r="F488" s="842">
        <v>27.7</v>
      </c>
      <c r="G488" s="843">
        <f t="shared" si="79"/>
        <v>1.5768243491015799E-2</v>
      </c>
      <c r="H488" s="842">
        <v>48.27</v>
      </c>
      <c r="I488" s="843">
        <f t="shared" si="79"/>
        <v>9.4102885821831794E-3</v>
      </c>
      <c r="J488" s="842">
        <v>80.989999999999995</v>
      </c>
      <c r="K488" s="843">
        <f t="shared" si="80"/>
        <v>2.6229092752154015E-2</v>
      </c>
      <c r="L488" s="842">
        <v>60.37</v>
      </c>
      <c r="M488" s="843">
        <f t="shared" si="81"/>
        <v>5.663834749291885E-3</v>
      </c>
      <c r="N488" s="842">
        <v>69.98</v>
      </c>
      <c r="O488" s="843">
        <f t="shared" si="82"/>
        <v>3.8731889255487761E-3</v>
      </c>
      <c r="P488" s="844">
        <f t="shared" si="88"/>
        <v>1.2470018670088854E-2</v>
      </c>
      <c r="Q488" s="830"/>
      <c r="R488" s="845">
        <v>916.23</v>
      </c>
      <c r="S488" s="846">
        <f t="shared" si="83"/>
        <v>1.4920909211750599E-2</v>
      </c>
      <c r="T488" s="845">
        <v>66.25</v>
      </c>
      <c r="U488" s="846">
        <f t="shared" si="84"/>
        <v>1.7040221062327277E-2</v>
      </c>
      <c r="V488" s="845">
        <v>117.476</v>
      </c>
      <c r="W488" s="846">
        <f t="shared" si="85"/>
        <v>1.1122032503670942E-2</v>
      </c>
      <c r="X488" s="845">
        <v>33390.97</v>
      </c>
      <c r="Y488" s="846">
        <f t="shared" si="86"/>
        <v>1.1738124087788071E-2</v>
      </c>
      <c r="Z488" s="845">
        <v>4045.6376</v>
      </c>
      <c r="AA488" s="846">
        <f t="shared" si="87"/>
        <v>1.6146599234637016E-2</v>
      </c>
      <c r="AB488" s="843"/>
      <c r="AC488" s="832"/>
    </row>
    <row r="489" spans="1:29" ht="14.4" x14ac:dyDescent="0.55000000000000004">
      <c r="A489" s="857" t="s">
        <v>5648</v>
      </c>
      <c r="B489" s="842">
        <v>111.49</v>
      </c>
      <c r="C489" s="843">
        <f t="shared" si="78"/>
        <v>8.5941740546406908E-3</v>
      </c>
      <c r="D489" s="842">
        <v>50.58</v>
      </c>
      <c r="E489" s="843">
        <f t="shared" si="79"/>
        <v>1.4237016242229839E-2</v>
      </c>
      <c r="F489" s="842">
        <v>27.27</v>
      </c>
      <c r="G489" s="843">
        <f t="shared" si="79"/>
        <v>1.6399552739470691E-2</v>
      </c>
      <c r="H489" s="842">
        <v>47.82</v>
      </c>
      <c r="I489" s="843">
        <f t="shared" si="79"/>
        <v>1.6581632653061229E-2</v>
      </c>
      <c r="J489" s="842">
        <v>78.92</v>
      </c>
      <c r="K489" s="843">
        <f t="shared" si="80"/>
        <v>-6.0453400503779342E-3</v>
      </c>
      <c r="L489" s="842">
        <v>60.03</v>
      </c>
      <c r="M489" s="843">
        <f t="shared" si="81"/>
        <v>4.8543689320388328E-3</v>
      </c>
      <c r="N489" s="842">
        <v>69.709999999999994</v>
      </c>
      <c r="O489" s="843">
        <f t="shared" si="82"/>
        <v>-1.050390347764385E-2</v>
      </c>
      <c r="P489" s="844">
        <f t="shared" si="88"/>
        <v>6.302500156202785E-3</v>
      </c>
      <c r="Q489" s="830"/>
      <c r="R489" s="845">
        <v>902.76</v>
      </c>
      <c r="S489" s="846">
        <f t="shared" si="83"/>
        <v>1.3551291695202528E-2</v>
      </c>
      <c r="T489" s="845">
        <v>65.14</v>
      </c>
      <c r="U489" s="846">
        <f t="shared" si="84"/>
        <v>1.8926951353042343E-2</v>
      </c>
      <c r="V489" s="845">
        <v>116.18380000000001</v>
      </c>
      <c r="W489" s="846">
        <f t="shared" si="85"/>
        <v>8.5942125357441057E-3</v>
      </c>
      <c r="X489" s="845">
        <v>33003.57</v>
      </c>
      <c r="Y489" s="846">
        <f t="shared" si="86"/>
        <v>1.0462668361610916E-2</v>
      </c>
      <c r="Z489" s="845">
        <v>3981.3523</v>
      </c>
      <c r="AA489" s="846">
        <f t="shared" si="87"/>
        <v>7.5816275789029053E-3</v>
      </c>
      <c r="AB489" s="843"/>
      <c r="AC489" s="832"/>
    </row>
    <row r="490" spans="1:29" ht="14.4" x14ac:dyDescent="0.55000000000000004">
      <c r="A490" s="857" t="s">
        <v>5649</v>
      </c>
      <c r="B490" s="842">
        <v>110.54</v>
      </c>
      <c r="C490" s="843">
        <f t="shared" si="78"/>
        <v>-2.0122329580710918E-2</v>
      </c>
      <c r="D490" s="842">
        <v>49.87</v>
      </c>
      <c r="E490" s="843">
        <f t="shared" si="79"/>
        <v>-2.27317264354302E-2</v>
      </c>
      <c r="F490" s="842">
        <v>26.83</v>
      </c>
      <c r="G490" s="843">
        <f t="shared" si="79"/>
        <v>-2.1873860736420059E-2</v>
      </c>
      <c r="H490" s="842">
        <v>47.04</v>
      </c>
      <c r="I490" s="843">
        <f t="shared" si="79"/>
        <v>-2.6892842366570191E-2</v>
      </c>
      <c r="J490" s="842">
        <v>79.400000000000006</v>
      </c>
      <c r="K490" s="843">
        <f t="shared" si="80"/>
        <v>-9.4810379241515585E-3</v>
      </c>
      <c r="L490" s="842">
        <v>59.74</v>
      </c>
      <c r="M490" s="843">
        <f t="shared" si="81"/>
        <v>-5.1896524361212393E-2</v>
      </c>
      <c r="N490" s="842">
        <v>70.45</v>
      </c>
      <c r="O490" s="843">
        <f t="shared" si="82"/>
        <v>7.1022727272729291E-4</v>
      </c>
      <c r="P490" s="844">
        <f t="shared" si="88"/>
        <v>-2.1755442018824005E-2</v>
      </c>
      <c r="Q490" s="830"/>
      <c r="R490" s="845">
        <v>890.69</v>
      </c>
      <c r="S490" s="846">
        <f t="shared" si="83"/>
        <v>-1.7971532210939389E-2</v>
      </c>
      <c r="T490" s="845">
        <v>63.93</v>
      </c>
      <c r="U490" s="846">
        <f t="shared" si="84"/>
        <v>-1.6461538461538416E-2</v>
      </c>
      <c r="V490" s="845">
        <v>115.1938</v>
      </c>
      <c r="W490" s="846">
        <f t="shared" si="85"/>
        <v>-2.0122593344300888E-2</v>
      </c>
      <c r="X490" s="845">
        <v>32661.84</v>
      </c>
      <c r="Y490" s="846">
        <f t="shared" si="86"/>
        <v>1.5739496029909539E-4</v>
      </c>
      <c r="Z490" s="845">
        <v>3951.3942999999999</v>
      </c>
      <c r="AA490" s="846">
        <f t="shared" si="87"/>
        <v>-4.7250315315272573E-3</v>
      </c>
      <c r="AB490" s="843"/>
      <c r="AC490" s="832"/>
    </row>
    <row r="491" spans="1:29" ht="14.4" x14ac:dyDescent="0.55000000000000004">
      <c r="A491" s="857" t="s">
        <v>5650</v>
      </c>
      <c r="B491" s="842">
        <v>112.81</v>
      </c>
      <c r="C491" s="843">
        <f t="shared" si="78"/>
        <v>-1.8189730200174115E-2</v>
      </c>
      <c r="D491" s="842">
        <v>51.03</v>
      </c>
      <c r="E491" s="843">
        <f t="shared" si="79"/>
        <v>-7.0052539404553693E-3</v>
      </c>
      <c r="F491" s="842">
        <v>27.43</v>
      </c>
      <c r="G491" s="843">
        <f t="shared" si="79"/>
        <v>-2.1826118588577081E-3</v>
      </c>
      <c r="H491" s="842">
        <v>48.34</v>
      </c>
      <c r="I491" s="843">
        <f t="shared" si="79"/>
        <v>1.2356020942408508E-2</v>
      </c>
      <c r="J491" s="842">
        <v>80.16</v>
      </c>
      <c r="K491" s="843">
        <f t="shared" si="80"/>
        <v>-8.7795226907383395E-3</v>
      </c>
      <c r="L491" s="842">
        <v>63.01</v>
      </c>
      <c r="M491" s="843">
        <f t="shared" si="81"/>
        <v>-1.4390739871734781E-2</v>
      </c>
      <c r="N491" s="842">
        <v>70.400000000000006</v>
      </c>
      <c r="O491" s="843">
        <f t="shared" si="82"/>
        <v>-1.1652393654359106E-2</v>
      </c>
      <c r="P491" s="844">
        <f t="shared" si="88"/>
        <v>-7.1206044677015589E-3</v>
      </c>
      <c r="Q491" s="830"/>
      <c r="R491" s="845">
        <v>906.99</v>
      </c>
      <c r="S491" s="846">
        <f t="shared" si="83"/>
        <v>-1.6823665868120674E-2</v>
      </c>
      <c r="T491" s="845">
        <v>65</v>
      </c>
      <c r="U491" s="846">
        <f t="shared" si="84"/>
        <v>-1.7533252720677073E-2</v>
      </c>
      <c r="V491" s="845">
        <v>117.5594</v>
      </c>
      <c r="W491" s="846">
        <f t="shared" si="85"/>
        <v>-1.8189805357390454E-2</v>
      </c>
      <c r="X491" s="845">
        <v>32656.7</v>
      </c>
      <c r="Y491" s="846">
        <f t="shared" si="86"/>
        <v>-7.0658689553282361E-3</v>
      </c>
      <c r="Z491" s="845">
        <v>3970.1534000000001</v>
      </c>
      <c r="AA491" s="846">
        <f t="shared" si="87"/>
        <v>-3.0352010650888106E-3</v>
      </c>
      <c r="AB491" s="843"/>
      <c r="AC491" s="832"/>
    </row>
    <row r="492" spans="1:29" ht="14.4" x14ac:dyDescent="0.55000000000000004">
      <c r="A492" s="857" t="s">
        <v>5651</v>
      </c>
      <c r="B492" s="842">
        <v>114.9</v>
      </c>
      <c r="C492" s="843">
        <f t="shared" si="78"/>
        <v>-7.3434125269977724E-3</v>
      </c>
      <c r="D492" s="842">
        <v>51.39</v>
      </c>
      <c r="E492" s="843">
        <f t="shared" si="79"/>
        <v>-7.7775617343955883E-4</v>
      </c>
      <c r="F492" s="842">
        <v>27.49</v>
      </c>
      <c r="G492" s="843">
        <f t="shared" si="79"/>
        <v>-1.1861969805895156E-2</v>
      </c>
      <c r="H492" s="842">
        <v>47.75</v>
      </c>
      <c r="I492" s="843">
        <f t="shared" si="79"/>
        <v>3.5729298024380629E-3</v>
      </c>
      <c r="J492" s="842">
        <v>80.87</v>
      </c>
      <c r="K492" s="843">
        <f t="shared" si="80"/>
        <v>1.0243597751405487E-2</v>
      </c>
      <c r="L492" s="842">
        <v>63.93</v>
      </c>
      <c r="M492" s="843">
        <f t="shared" si="81"/>
        <v>-1.8735362997657212E-3</v>
      </c>
      <c r="N492" s="842">
        <v>71.23</v>
      </c>
      <c r="O492" s="843">
        <f t="shared" si="82"/>
        <v>-5.7230597431602304E-3</v>
      </c>
      <c r="P492" s="844">
        <f t="shared" si="88"/>
        <v>-1.9661724279164128E-3</v>
      </c>
      <c r="Q492" s="830"/>
      <c r="R492" s="845">
        <v>922.51</v>
      </c>
      <c r="S492" s="846">
        <f t="shared" si="83"/>
        <v>-6.3870578604972028E-3</v>
      </c>
      <c r="T492" s="845">
        <v>66.16</v>
      </c>
      <c r="U492" s="846">
        <f t="shared" si="84"/>
        <v>-6.7557423810239436E-3</v>
      </c>
      <c r="V492" s="845">
        <v>119.73739999999999</v>
      </c>
      <c r="W492" s="846">
        <f t="shared" si="85"/>
        <v>-7.3435292713176503E-3</v>
      </c>
      <c r="X492" s="845">
        <v>32889.089999999997</v>
      </c>
      <c r="Y492" s="846">
        <f t="shared" si="86"/>
        <v>2.1991704279378244E-3</v>
      </c>
      <c r="Z492" s="845">
        <v>3982.2402999999999</v>
      </c>
      <c r="AA492" s="846">
        <f t="shared" si="87"/>
        <v>3.073900977441868E-3</v>
      </c>
      <c r="AB492" s="843"/>
      <c r="AC492" s="832"/>
    </row>
    <row r="493" spans="1:29" ht="14.4" x14ac:dyDescent="0.55000000000000004">
      <c r="A493" s="857" t="s">
        <v>5652</v>
      </c>
      <c r="B493" s="842">
        <v>115.75</v>
      </c>
      <c r="C493" s="843">
        <f t="shared" si="78"/>
        <v>-3.4438226431339203E-3</v>
      </c>
      <c r="D493" s="842">
        <v>51.43</v>
      </c>
      <c r="E493" s="843">
        <f t="shared" si="79"/>
        <v>-4.6448616218308647E-3</v>
      </c>
      <c r="F493" s="842">
        <v>27.82</v>
      </c>
      <c r="G493" s="843">
        <f t="shared" si="79"/>
        <v>-2.8673835125447855E-3</v>
      </c>
      <c r="H493" s="842">
        <v>47.58</v>
      </c>
      <c r="I493" s="843">
        <f t="shared" si="79"/>
        <v>-1.1838006230529552E-2</v>
      </c>
      <c r="J493" s="842">
        <v>80.05</v>
      </c>
      <c r="K493" s="843">
        <f t="shared" si="80"/>
        <v>-2.6164963867432167E-3</v>
      </c>
      <c r="L493" s="842">
        <v>64.05</v>
      </c>
      <c r="M493" s="843">
        <f t="shared" si="81"/>
        <v>-8.6673889490791467E-3</v>
      </c>
      <c r="N493" s="842">
        <v>71.64</v>
      </c>
      <c r="O493" s="843">
        <f t="shared" si="82"/>
        <v>-3.754693366708306E-3</v>
      </c>
      <c r="P493" s="844">
        <f t="shared" si="88"/>
        <v>-5.4046646729385417E-3</v>
      </c>
      <c r="Q493" s="830"/>
      <c r="R493" s="845">
        <v>928.44</v>
      </c>
      <c r="S493" s="846">
        <f t="shared" si="83"/>
        <v>-1.204871121820994E-3</v>
      </c>
      <c r="T493" s="845">
        <v>66.61</v>
      </c>
      <c r="U493" s="846">
        <f t="shared" si="84"/>
        <v>3.0034539720680264E-4</v>
      </c>
      <c r="V493" s="845">
        <v>120.6232</v>
      </c>
      <c r="W493" s="846">
        <f t="shared" si="85"/>
        <v>-3.4434897554528332E-3</v>
      </c>
      <c r="X493" s="845">
        <v>32816.92</v>
      </c>
      <c r="Y493" s="846">
        <f t="shared" si="86"/>
        <v>-1.0164411980366883E-2</v>
      </c>
      <c r="Z493" s="845">
        <v>3970.0367999999999</v>
      </c>
      <c r="AA493" s="846">
        <f t="shared" si="87"/>
        <v>-1.0539131045076311E-2</v>
      </c>
      <c r="AB493" s="843"/>
      <c r="AC493" s="832"/>
    </row>
    <row r="494" spans="1:29" ht="14.4" x14ac:dyDescent="0.55000000000000004">
      <c r="A494" s="857" t="s">
        <v>5653</v>
      </c>
      <c r="B494" s="842">
        <v>116.15</v>
      </c>
      <c r="C494" s="843">
        <f t="shared" si="78"/>
        <v>4.4102386717399522E-3</v>
      </c>
      <c r="D494" s="842">
        <v>51.67</v>
      </c>
      <c r="E494" s="843">
        <f t="shared" si="79"/>
        <v>9.1796874999998668E-3</v>
      </c>
      <c r="F494" s="842">
        <v>27.9</v>
      </c>
      <c r="G494" s="843">
        <f t="shared" si="79"/>
        <v>1.0503440782325235E-2</v>
      </c>
      <c r="H494" s="842">
        <v>48.15</v>
      </c>
      <c r="I494" s="843">
        <f t="shared" si="79"/>
        <v>-1.8656716417910779E-3</v>
      </c>
      <c r="J494" s="842">
        <v>80.260000000000005</v>
      </c>
      <c r="K494" s="843">
        <f t="shared" si="80"/>
        <v>3.6263598849568535E-3</v>
      </c>
      <c r="L494" s="842">
        <v>64.61</v>
      </c>
      <c r="M494" s="843">
        <f t="shared" si="81"/>
        <v>8.1135902636915169E-3</v>
      </c>
      <c r="N494" s="842">
        <v>71.91</v>
      </c>
      <c r="O494" s="843">
        <f t="shared" si="82"/>
        <v>-2.6352288488210585E-3</v>
      </c>
      <c r="P494" s="844">
        <f t="shared" si="88"/>
        <v>4.47605951601447E-3</v>
      </c>
      <c r="Q494" s="830"/>
      <c r="R494" s="845">
        <v>929.56</v>
      </c>
      <c r="S494" s="846">
        <f t="shared" si="83"/>
        <v>-5.4207756168668242E-3</v>
      </c>
      <c r="T494" s="845">
        <v>66.59</v>
      </c>
      <c r="U494" s="846">
        <f t="shared" si="84"/>
        <v>-5.2285628921421301E-3</v>
      </c>
      <c r="V494" s="845">
        <v>121.04</v>
      </c>
      <c r="W494" s="846">
        <f t="shared" si="85"/>
        <v>4.4104772692383776E-3</v>
      </c>
      <c r="X494" s="845">
        <v>33153.910000000003</v>
      </c>
      <c r="Y494" s="846">
        <f t="shared" si="86"/>
        <v>3.2930276398448477E-3</v>
      </c>
      <c r="Z494" s="845">
        <v>4012.3231999999998</v>
      </c>
      <c r="AA494" s="846">
        <f t="shared" si="87"/>
        <v>5.3308057430634381E-3</v>
      </c>
      <c r="AB494" s="843"/>
      <c r="AC494" s="832"/>
    </row>
    <row r="495" spans="1:29" ht="14.4" x14ac:dyDescent="0.55000000000000004">
      <c r="A495" s="857" t="s">
        <v>5654</v>
      </c>
      <c r="B495" s="842">
        <v>115.64</v>
      </c>
      <c r="C495" s="843">
        <f t="shared" si="78"/>
        <v>-3.5329599310641724E-3</v>
      </c>
      <c r="D495" s="842">
        <v>51.2</v>
      </c>
      <c r="E495" s="843">
        <f t="shared" si="79"/>
        <v>6.0915700530557171E-3</v>
      </c>
      <c r="F495" s="842">
        <v>27.61</v>
      </c>
      <c r="G495" s="843">
        <f t="shared" si="79"/>
        <v>2.4489795918367419E-2</v>
      </c>
      <c r="H495" s="842">
        <v>48.24</v>
      </c>
      <c r="I495" s="843">
        <f t="shared" si="79"/>
        <v>8.9939343233633728E-3</v>
      </c>
      <c r="J495" s="842">
        <v>79.97</v>
      </c>
      <c r="K495" s="843">
        <f t="shared" si="80"/>
        <v>8.7609511889863434E-4</v>
      </c>
      <c r="L495" s="842">
        <v>64.09</v>
      </c>
      <c r="M495" s="843">
        <f t="shared" si="81"/>
        <v>4.0733197556008793E-3</v>
      </c>
      <c r="N495" s="842">
        <v>72.099999999999994</v>
      </c>
      <c r="O495" s="843">
        <f t="shared" si="82"/>
        <v>5.9997209432118837E-3</v>
      </c>
      <c r="P495" s="844">
        <f t="shared" si="88"/>
        <v>6.7130680259191045E-3</v>
      </c>
      <c r="Q495" s="830"/>
      <c r="R495" s="845">
        <v>934.62639999999999</v>
      </c>
      <c r="S495" s="846">
        <f t="shared" si="83"/>
        <v>-4.519901583818875E-3</v>
      </c>
      <c r="T495" s="845">
        <v>66.94</v>
      </c>
      <c r="U495" s="846">
        <f t="shared" si="84"/>
        <v>-3.8690476190477163E-3</v>
      </c>
      <c r="V495" s="845">
        <v>120.5085</v>
      </c>
      <c r="W495" s="846">
        <f t="shared" si="85"/>
        <v>-3.5332796409335288E-3</v>
      </c>
      <c r="X495" s="845">
        <v>33045.0916</v>
      </c>
      <c r="Y495" s="846">
        <f t="shared" si="86"/>
        <v>-2.5505416758854205E-3</v>
      </c>
      <c r="Z495" s="845">
        <v>3991.0477000000001</v>
      </c>
      <c r="AA495" s="846">
        <f t="shared" si="87"/>
        <v>-1.5733225181325805E-3</v>
      </c>
      <c r="AB495" s="843"/>
      <c r="AC495" s="832"/>
    </row>
    <row r="496" spans="1:29" ht="14.4" x14ac:dyDescent="0.55000000000000004">
      <c r="A496" s="857" t="s">
        <v>5655</v>
      </c>
      <c r="B496" s="842">
        <v>116.05</v>
      </c>
      <c r="C496" s="843">
        <f t="shared" si="78"/>
        <v>-9.0513192724789304E-3</v>
      </c>
      <c r="D496" s="842">
        <v>50.89</v>
      </c>
      <c r="E496" s="843">
        <f t="shared" si="79"/>
        <v>-1.5667311411992291E-2</v>
      </c>
      <c r="F496" s="842">
        <v>26.95</v>
      </c>
      <c r="G496" s="843">
        <f t="shared" si="79"/>
        <v>-7.0007369196758429E-3</v>
      </c>
      <c r="H496" s="842">
        <v>47.81</v>
      </c>
      <c r="I496" s="843">
        <f t="shared" si="79"/>
        <v>-2.5677603423680417E-2</v>
      </c>
      <c r="J496" s="842">
        <v>79.900000000000006</v>
      </c>
      <c r="K496" s="843">
        <f t="shared" si="80"/>
        <v>-2.3107959408240619E-2</v>
      </c>
      <c r="L496" s="842">
        <v>63.83</v>
      </c>
      <c r="M496" s="843">
        <f t="shared" si="81"/>
        <v>-1.9508448540706547E-2</v>
      </c>
      <c r="N496" s="842">
        <v>71.67</v>
      </c>
      <c r="O496" s="843">
        <f t="shared" si="82"/>
        <v>-1.7142073505211242E-2</v>
      </c>
      <c r="P496" s="844">
        <f t="shared" si="88"/>
        <v>-1.6736493211712271E-2</v>
      </c>
      <c r="Q496" s="830"/>
      <c r="R496" s="845">
        <v>938.87</v>
      </c>
      <c r="S496" s="846">
        <f t="shared" si="83"/>
        <v>-1.5457052673524818E-2</v>
      </c>
      <c r="T496" s="845">
        <v>67.2</v>
      </c>
      <c r="U496" s="846">
        <f t="shared" si="84"/>
        <v>-1.8691588785046731E-2</v>
      </c>
      <c r="V496" s="845">
        <v>120.9358</v>
      </c>
      <c r="W496" s="846">
        <f t="shared" si="85"/>
        <v>-9.0511011107797801E-3</v>
      </c>
      <c r="X496" s="845">
        <v>33129.589999999997</v>
      </c>
      <c r="Y496" s="846">
        <f t="shared" si="86"/>
        <v>-2.0607987361459412E-2</v>
      </c>
      <c r="Z496" s="845">
        <v>3997.3368</v>
      </c>
      <c r="AA496" s="846">
        <f t="shared" si="87"/>
        <v>-2.0043148299547897E-2</v>
      </c>
      <c r="AB496" s="843"/>
      <c r="AC496" s="832"/>
    </row>
    <row r="497" spans="1:29" ht="14.4" x14ac:dyDescent="0.55000000000000004">
      <c r="A497" s="857" t="s">
        <v>5656</v>
      </c>
      <c r="B497" s="842">
        <v>117.11</v>
      </c>
      <c r="C497" s="843">
        <f t="shared" si="78"/>
        <v>1.227418100095079E-2</v>
      </c>
      <c r="D497" s="842">
        <v>51.7</v>
      </c>
      <c r="E497" s="843">
        <f t="shared" si="79"/>
        <v>1.7916912778106031E-2</v>
      </c>
      <c r="F497" s="842">
        <v>27.14</v>
      </c>
      <c r="G497" s="843">
        <f t="shared" si="79"/>
        <v>9.6726190476190688E-3</v>
      </c>
      <c r="H497" s="842">
        <v>49.07</v>
      </c>
      <c r="I497" s="843">
        <f t="shared" si="79"/>
        <v>1.3842975206611596E-2</v>
      </c>
      <c r="J497" s="842">
        <v>81.790000000000006</v>
      </c>
      <c r="K497" s="843">
        <f t="shared" si="80"/>
        <v>5.9033329233797449E-3</v>
      </c>
      <c r="L497" s="842">
        <v>65.099999999999994</v>
      </c>
      <c r="M497" s="843">
        <f t="shared" si="81"/>
        <v>1.1497824735860807E-2</v>
      </c>
      <c r="N497" s="842">
        <v>72.92</v>
      </c>
      <c r="O497" s="843">
        <f t="shared" si="82"/>
        <v>1.5457457178665868E-2</v>
      </c>
      <c r="P497" s="844">
        <f t="shared" si="88"/>
        <v>1.2366471838741986E-2</v>
      </c>
      <c r="Q497" s="830"/>
      <c r="R497" s="845">
        <v>953.61</v>
      </c>
      <c r="S497" s="846">
        <f t="shared" si="83"/>
        <v>1.1026176567254353E-2</v>
      </c>
      <c r="T497" s="845">
        <v>68.48</v>
      </c>
      <c r="U497" s="846">
        <f t="shared" si="84"/>
        <v>1.0774907749077522E-2</v>
      </c>
      <c r="V497" s="845">
        <v>122.04040000000001</v>
      </c>
      <c r="W497" s="846">
        <f t="shared" si="85"/>
        <v>1.2273485472463319E-2</v>
      </c>
      <c r="X497" s="845">
        <v>33826.69</v>
      </c>
      <c r="Y497" s="846">
        <f t="shared" si="86"/>
        <v>3.8531791547282701E-3</v>
      </c>
      <c r="Z497" s="845">
        <v>4079.0947000000001</v>
      </c>
      <c r="AA497" s="846">
        <f t="shared" si="87"/>
        <v>-2.7660559127461459E-3</v>
      </c>
      <c r="AB497" s="843"/>
      <c r="AC497" s="832"/>
    </row>
    <row r="498" spans="1:29" ht="14.4" x14ac:dyDescent="0.55000000000000004">
      <c r="A498" s="857" t="s">
        <v>5657</v>
      </c>
      <c r="B498" s="842">
        <v>115.69</v>
      </c>
      <c r="C498" s="843">
        <f t="shared" si="78"/>
        <v>-1.0435377640920396E-2</v>
      </c>
      <c r="D498" s="842">
        <v>50.79</v>
      </c>
      <c r="E498" s="843">
        <f t="shared" si="79"/>
        <v>-1.5697674418604701E-2</v>
      </c>
      <c r="F498" s="842">
        <v>26.88</v>
      </c>
      <c r="G498" s="843">
        <f t="shared" si="79"/>
        <v>-4.4444444444444731E-3</v>
      </c>
      <c r="H498" s="842">
        <v>48.4</v>
      </c>
      <c r="I498" s="843">
        <f t="shared" si="79"/>
        <v>-3.9102696027990547E-3</v>
      </c>
      <c r="J498" s="842">
        <v>81.31</v>
      </c>
      <c r="K498" s="843">
        <f t="shared" si="80"/>
        <v>4.8195748887791545E-3</v>
      </c>
      <c r="L498" s="842">
        <v>64.36</v>
      </c>
      <c r="M498" s="843">
        <f t="shared" si="81"/>
        <v>-9.541397353031722E-3</v>
      </c>
      <c r="N498" s="842">
        <v>71.81</v>
      </c>
      <c r="O498" s="843">
        <f t="shared" si="82"/>
        <v>-2.5003472704541174E-3</v>
      </c>
      <c r="P498" s="844">
        <f t="shared" si="88"/>
        <v>-5.9585622630679014E-3</v>
      </c>
      <c r="Q498" s="830"/>
      <c r="R498" s="845">
        <v>943.21</v>
      </c>
      <c r="S498" s="846">
        <f t="shared" si="83"/>
        <v>-7.2205205932194261E-3</v>
      </c>
      <c r="T498" s="845">
        <v>67.75</v>
      </c>
      <c r="U498" s="846">
        <f t="shared" si="84"/>
        <v>-7.6168155851764618E-3</v>
      </c>
      <c r="V498" s="845">
        <v>120.5607</v>
      </c>
      <c r="W498" s="846">
        <f t="shared" si="85"/>
        <v>-1.0434861120231065E-2</v>
      </c>
      <c r="X498" s="845">
        <v>33696.85</v>
      </c>
      <c r="Y498" s="846">
        <f t="shared" si="86"/>
        <v>-1.2634768174566213E-2</v>
      </c>
      <c r="Z498" s="845">
        <v>4090.4090000000001</v>
      </c>
      <c r="AA498" s="846">
        <f t="shared" si="87"/>
        <v>-1.3789627738952537E-2</v>
      </c>
      <c r="AB498" s="843"/>
      <c r="AC498" s="832"/>
    </row>
    <row r="499" spans="1:29" ht="14.4" x14ac:dyDescent="0.55000000000000004">
      <c r="A499" s="857" t="s">
        <v>5658</v>
      </c>
      <c r="B499" s="842">
        <v>116.91</v>
      </c>
      <c r="C499" s="843">
        <f t="shared" si="78"/>
        <v>9.8471106504276484E-3</v>
      </c>
      <c r="D499" s="842">
        <v>51.6</v>
      </c>
      <c r="E499" s="843">
        <f t="shared" si="79"/>
        <v>9.3896713615024829E-3</v>
      </c>
      <c r="F499" s="842">
        <v>27</v>
      </c>
      <c r="G499" s="843">
        <f t="shared" si="79"/>
        <v>2.5993316004455647E-3</v>
      </c>
      <c r="H499" s="842">
        <v>48.59</v>
      </c>
      <c r="I499" s="843">
        <f t="shared" si="79"/>
        <v>8.7191197840981172E-3</v>
      </c>
      <c r="J499" s="842">
        <v>80.92</v>
      </c>
      <c r="K499" s="843">
        <f t="shared" si="80"/>
        <v>1.8571251702366176E-3</v>
      </c>
      <c r="L499" s="842">
        <v>64.98</v>
      </c>
      <c r="M499" s="843">
        <f t="shared" si="81"/>
        <v>1.3886721797472301E-2</v>
      </c>
      <c r="N499" s="842">
        <v>71.989999999999995</v>
      </c>
      <c r="O499" s="843">
        <f t="shared" si="82"/>
        <v>5.8683806063992705E-3</v>
      </c>
      <c r="P499" s="844">
        <f t="shared" si="88"/>
        <v>7.4524944243688574E-3</v>
      </c>
      <c r="Q499" s="830"/>
      <c r="R499" s="845">
        <v>950.07</v>
      </c>
      <c r="S499" s="846">
        <f t="shared" si="83"/>
        <v>5.3650793650794615E-3</v>
      </c>
      <c r="T499" s="845">
        <v>68.27</v>
      </c>
      <c r="U499" s="846">
        <f t="shared" si="84"/>
        <v>6.4868052484150507E-3</v>
      </c>
      <c r="V499" s="845">
        <v>121.83199999999999</v>
      </c>
      <c r="W499" s="846">
        <f t="shared" si="85"/>
        <v>9.8471536089650424E-3</v>
      </c>
      <c r="X499" s="845">
        <v>34128.050000000003</v>
      </c>
      <c r="Y499" s="846">
        <f t="shared" si="86"/>
        <v>1.1376013625403747E-3</v>
      </c>
      <c r="Z499" s="845">
        <v>4147.6028999999999</v>
      </c>
      <c r="AA499" s="846">
        <f t="shared" si="87"/>
        <v>2.773097480182507E-3</v>
      </c>
      <c r="AB499" s="843"/>
      <c r="AC499" s="832"/>
    </row>
    <row r="500" spans="1:29" ht="14.4" x14ac:dyDescent="0.55000000000000004">
      <c r="A500" s="857" t="s">
        <v>5659</v>
      </c>
      <c r="B500" s="842">
        <v>115.77</v>
      </c>
      <c r="C500" s="843">
        <f t="shared" si="78"/>
        <v>-8.9033473161544974E-3</v>
      </c>
      <c r="D500" s="842">
        <v>51.12</v>
      </c>
      <c r="E500" s="843">
        <f t="shared" si="79"/>
        <v>-1.0835913312693513E-2</v>
      </c>
      <c r="F500" s="842">
        <v>26.93</v>
      </c>
      <c r="G500" s="843">
        <f t="shared" si="79"/>
        <v>-7.7376565954311305E-3</v>
      </c>
      <c r="H500" s="842">
        <v>48.17</v>
      </c>
      <c r="I500" s="843">
        <f t="shared" si="79"/>
        <v>-1.5733551287290481E-2</v>
      </c>
      <c r="J500" s="842">
        <v>80.77</v>
      </c>
      <c r="K500" s="843">
        <f t="shared" si="80"/>
        <v>-1.6678841003165412E-2</v>
      </c>
      <c r="L500" s="842">
        <v>64.09</v>
      </c>
      <c r="M500" s="843">
        <f t="shared" si="81"/>
        <v>-3.9850187265917603E-2</v>
      </c>
      <c r="N500" s="842">
        <v>71.569999999999993</v>
      </c>
      <c r="O500" s="843">
        <f t="shared" si="82"/>
        <v>-2.0796278560678783E-2</v>
      </c>
      <c r="P500" s="844">
        <f t="shared" si="88"/>
        <v>-1.721939647733306E-2</v>
      </c>
      <c r="Q500" s="830"/>
      <c r="R500" s="845">
        <v>945</v>
      </c>
      <c r="S500" s="846">
        <f t="shared" si="83"/>
        <v>-7.144358058415623E-3</v>
      </c>
      <c r="T500" s="845">
        <v>67.83</v>
      </c>
      <c r="U500" s="846">
        <f t="shared" si="84"/>
        <v>-4.2571931884909375E-3</v>
      </c>
      <c r="V500" s="845">
        <v>120.64400000000001</v>
      </c>
      <c r="W500" s="846">
        <f t="shared" si="85"/>
        <v>-8.9034715159560518E-3</v>
      </c>
      <c r="X500" s="845">
        <v>34089.269999999997</v>
      </c>
      <c r="Y500" s="846">
        <f t="shared" si="86"/>
        <v>-4.574558202974921E-3</v>
      </c>
      <c r="Z500" s="845">
        <v>4136.1329999999998</v>
      </c>
      <c r="AA500" s="846">
        <f t="shared" si="87"/>
        <v>-2.7895090964313862E-4</v>
      </c>
      <c r="AB500" s="843"/>
      <c r="AC500" s="832"/>
    </row>
    <row r="501" spans="1:29" ht="14.4" x14ac:dyDescent="0.55000000000000004">
      <c r="A501" s="857" t="s">
        <v>5660</v>
      </c>
      <c r="B501" s="842">
        <v>116.81</v>
      </c>
      <c r="C501" s="843">
        <f t="shared" si="78"/>
        <v>4.8172043010752397E-3</v>
      </c>
      <c r="D501" s="842">
        <v>51.68</v>
      </c>
      <c r="E501" s="843">
        <f t="shared" si="79"/>
        <v>6.818624586012012E-3</v>
      </c>
      <c r="F501" s="842">
        <v>27.14</v>
      </c>
      <c r="G501" s="843">
        <f t="shared" si="79"/>
        <v>9.6726190476190688E-3</v>
      </c>
      <c r="H501" s="842">
        <v>48.94</v>
      </c>
      <c r="I501" s="843">
        <f t="shared" si="79"/>
        <v>8.2406262875978076E-3</v>
      </c>
      <c r="J501" s="842">
        <v>82.14</v>
      </c>
      <c r="K501" s="843">
        <f t="shared" si="80"/>
        <v>7.976438826849952E-3</v>
      </c>
      <c r="L501" s="842">
        <v>66.75</v>
      </c>
      <c r="M501" s="843">
        <f t="shared" si="81"/>
        <v>8.6128739800543919E-3</v>
      </c>
      <c r="N501" s="842">
        <v>73.09</v>
      </c>
      <c r="O501" s="843">
        <f t="shared" si="82"/>
        <v>4.3974165177957936E-3</v>
      </c>
      <c r="P501" s="844">
        <f t="shared" si="88"/>
        <v>7.2194005067148948E-3</v>
      </c>
      <c r="Q501" s="830"/>
      <c r="R501" s="845">
        <v>951.8</v>
      </c>
      <c r="S501" s="846">
        <f t="shared" si="83"/>
        <v>6.380226478901907E-3</v>
      </c>
      <c r="T501" s="845">
        <v>68.12</v>
      </c>
      <c r="U501" s="846">
        <f t="shared" si="84"/>
        <v>6.0552355634324595E-3</v>
      </c>
      <c r="V501" s="845">
        <v>121.7278</v>
      </c>
      <c r="W501" s="846">
        <f t="shared" si="85"/>
        <v>4.8173994297704414E-3</v>
      </c>
      <c r="X501" s="845">
        <v>34245.93</v>
      </c>
      <c r="Y501" s="846">
        <f t="shared" si="86"/>
        <v>1.1121102995014898E-2</v>
      </c>
      <c r="Z501" s="845">
        <v>4137.2870999999996</v>
      </c>
      <c r="AA501" s="846">
        <f t="shared" si="87"/>
        <v>1.1447386627720713E-2</v>
      </c>
      <c r="AB501" s="843"/>
      <c r="AC501" s="832"/>
    </row>
    <row r="502" spans="1:29" ht="14.4" x14ac:dyDescent="0.55000000000000004">
      <c r="A502" s="857" t="s">
        <v>5661</v>
      </c>
      <c r="B502" s="842">
        <v>116.25</v>
      </c>
      <c r="C502" s="843">
        <f t="shared" si="78"/>
        <v>1.4397905759162333E-2</v>
      </c>
      <c r="D502" s="842">
        <v>51.33</v>
      </c>
      <c r="E502" s="843">
        <f t="shared" si="79"/>
        <v>1.0433070866141758E-2</v>
      </c>
      <c r="F502" s="842">
        <v>26.88</v>
      </c>
      <c r="G502" s="843">
        <f t="shared" si="79"/>
        <v>2.0888720091150725E-2</v>
      </c>
      <c r="H502" s="842">
        <v>48.54</v>
      </c>
      <c r="I502" s="843">
        <f t="shared" si="79"/>
        <v>2.6649746192893398E-2</v>
      </c>
      <c r="J502" s="842">
        <v>81.489999999999995</v>
      </c>
      <c r="K502" s="843">
        <f t="shared" si="80"/>
        <v>2.2459222082810371E-2</v>
      </c>
      <c r="L502" s="842">
        <v>66.180000000000007</v>
      </c>
      <c r="M502" s="843">
        <f t="shared" si="81"/>
        <v>1.909454881429018E-2</v>
      </c>
      <c r="N502" s="842">
        <v>72.77</v>
      </c>
      <c r="O502" s="843">
        <f t="shared" si="82"/>
        <v>1.5206473214285587E-2</v>
      </c>
      <c r="P502" s="844">
        <f t="shared" si="88"/>
        <v>1.8447098145819192E-2</v>
      </c>
      <c r="Q502" s="830"/>
      <c r="R502" s="845">
        <v>945.76580000000001</v>
      </c>
      <c r="S502" s="846">
        <f t="shared" si="83"/>
        <v>1.9243030035240638E-2</v>
      </c>
      <c r="T502" s="845">
        <v>67.709999999999994</v>
      </c>
      <c r="U502" s="846">
        <f t="shared" si="84"/>
        <v>1.9882512426570242E-2</v>
      </c>
      <c r="V502" s="845">
        <v>121.1442</v>
      </c>
      <c r="W502" s="846">
        <f t="shared" si="85"/>
        <v>1.4397344605140638E-2</v>
      </c>
      <c r="X502" s="845">
        <v>33869.2664</v>
      </c>
      <c r="Y502" s="846">
        <f t="shared" si="86"/>
        <v>5.0263205685006085E-3</v>
      </c>
      <c r="Z502" s="845">
        <v>4090.462</v>
      </c>
      <c r="AA502" s="846">
        <f t="shared" si="87"/>
        <v>2.1946318521850472E-3</v>
      </c>
      <c r="AB502" s="843"/>
      <c r="AC502" s="832"/>
    </row>
    <row r="503" spans="1:29" ht="14.4" x14ac:dyDescent="0.55000000000000004">
      <c r="A503" s="857" t="s">
        <v>5662</v>
      </c>
      <c r="B503" s="842">
        <v>114.6</v>
      </c>
      <c r="C503" s="843">
        <f t="shared" si="78"/>
        <v>-1.5886646629454826E-2</v>
      </c>
      <c r="D503" s="842">
        <v>50.8</v>
      </c>
      <c r="E503" s="843">
        <f t="shared" si="79"/>
        <v>-1.6647309330236171E-2</v>
      </c>
      <c r="F503" s="842">
        <v>26.33</v>
      </c>
      <c r="G503" s="843">
        <f t="shared" si="79"/>
        <v>-1.7170586039567004E-2</v>
      </c>
      <c r="H503" s="842">
        <v>47.28</v>
      </c>
      <c r="I503" s="843">
        <f t="shared" si="79"/>
        <v>-3.3128834355828141E-2</v>
      </c>
      <c r="J503" s="842">
        <v>79.7</v>
      </c>
      <c r="K503" s="843">
        <f t="shared" si="80"/>
        <v>-1.0429600198659128E-2</v>
      </c>
      <c r="L503" s="842">
        <v>64.94</v>
      </c>
      <c r="M503" s="843">
        <f t="shared" si="81"/>
        <v>-1.186853317102865E-2</v>
      </c>
      <c r="N503" s="842">
        <v>71.680000000000007</v>
      </c>
      <c r="O503" s="843">
        <f t="shared" si="82"/>
        <v>-1.3623228292280132E-2</v>
      </c>
      <c r="P503" s="844">
        <f t="shared" si="88"/>
        <v>-1.6964962573864865E-2</v>
      </c>
      <c r="Q503" s="830"/>
      <c r="R503" s="845">
        <v>927.91</v>
      </c>
      <c r="S503" s="846">
        <f t="shared" si="83"/>
        <v>-1.4518150343040492E-2</v>
      </c>
      <c r="T503" s="845">
        <v>66.39</v>
      </c>
      <c r="U503" s="846">
        <f t="shared" si="84"/>
        <v>-1.3668102807903759E-2</v>
      </c>
      <c r="V503" s="845">
        <v>119.4248</v>
      </c>
      <c r="W503" s="846">
        <f t="shared" si="85"/>
        <v>-1.5885938991006321E-2</v>
      </c>
      <c r="X503" s="845">
        <v>33699.879999999997</v>
      </c>
      <c r="Y503" s="846">
        <f t="shared" si="86"/>
        <v>-7.3383583203163738E-3</v>
      </c>
      <c r="Z503" s="845">
        <v>4081.5046000000002</v>
      </c>
      <c r="AA503" s="846">
        <f t="shared" si="87"/>
        <v>-8.8298673623281587E-3</v>
      </c>
      <c r="AB503" s="843"/>
      <c r="AC503" s="832"/>
    </row>
    <row r="504" spans="1:29" ht="14.4" x14ac:dyDescent="0.55000000000000004">
      <c r="A504" s="857" t="s">
        <v>5663</v>
      </c>
      <c r="B504" s="842">
        <v>116.45</v>
      </c>
      <c r="C504" s="843">
        <f t="shared" si="78"/>
        <v>-3.8494439692045024E-3</v>
      </c>
      <c r="D504" s="842">
        <v>51.66</v>
      </c>
      <c r="E504" s="843">
        <f t="shared" si="79"/>
        <v>-1.5812535721089871E-2</v>
      </c>
      <c r="F504" s="842">
        <v>26.79</v>
      </c>
      <c r="G504" s="843">
        <f t="shared" si="79"/>
        <v>-1.6158648549394083E-2</v>
      </c>
      <c r="H504" s="842">
        <v>48.9</v>
      </c>
      <c r="I504" s="843">
        <f t="shared" si="79"/>
        <v>-4.8082538446564071E-2</v>
      </c>
      <c r="J504" s="842">
        <v>80.540000000000006</v>
      </c>
      <c r="K504" s="843">
        <f t="shared" si="80"/>
        <v>-2.3639228997454076E-2</v>
      </c>
      <c r="L504" s="842">
        <v>65.72</v>
      </c>
      <c r="M504" s="843">
        <f t="shared" si="81"/>
        <v>-1.851851851851849E-2</v>
      </c>
      <c r="N504" s="842">
        <v>72.67</v>
      </c>
      <c r="O504" s="843">
        <f t="shared" si="82"/>
        <v>-2.3777538957549638E-2</v>
      </c>
      <c r="P504" s="844">
        <f t="shared" si="88"/>
        <v>-2.1405493308539247E-2</v>
      </c>
      <c r="Q504" s="830"/>
      <c r="R504" s="845">
        <v>941.58</v>
      </c>
      <c r="S504" s="846">
        <f t="shared" si="83"/>
        <v>-1.7324511052203007E-2</v>
      </c>
      <c r="T504" s="845">
        <v>67.31</v>
      </c>
      <c r="U504" s="846">
        <f t="shared" si="84"/>
        <v>-1.6798130295062719E-2</v>
      </c>
      <c r="V504" s="845">
        <v>121.3526</v>
      </c>
      <c r="W504" s="846">
        <f t="shared" si="85"/>
        <v>-3.8498919731805303E-3</v>
      </c>
      <c r="X504" s="845">
        <v>33949.01</v>
      </c>
      <c r="Y504" s="846">
        <f t="shared" si="86"/>
        <v>-6.0802144470087915E-3</v>
      </c>
      <c r="Z504" s="845">
        <v>4117.8648000000003</v>
      </c>
      <c r="AA504" s="846">
        <f t="shared" si="87"/>
        <v>-1.1079443907727526E-2</v>
      </c>
      <c r="AB504" s="843"/>
      <c r="AC504" s="832"/>
    </row>
    <row r="505" spans="1:29" ht="14.4" x14ac:dyDescent="0.55000000000000004">
      <c r="A505" s="857" t="s">
        <v>5664</v>
      </c>
      <c r="B505" s="842">
        <v>116.9</v>
      </c>
      <c r="C505" s="843">
        <f t="shared" si="78"/>
        <v>-6.2903774226452658E-3</v>
      </c>
      <c r="D505" s="842">
        <v>52.49</v>
      </c>
      <c r="E505" s="843">
        <f t="shared" si="79"/>
        <v>1.7175572519083637E-3</v>
      </c>
      <c r="F505" s="842">
        <v>27.23</v>
      </c>
      <c r="G505" s="843">
        <f t="shared" si="79"/>
        <v>-1.4668133480014722E-3</v>
      </c>
      <c r="H505" s="842">
        <v>51.37</v>
      </c>
      <c r="I505" s="843">
        <f t="shared" si="79"/>
        <v>-4.6502615772137101E-3</v>
      </c>
      <c r="J505" s="842">
        <v>82.49</v>
      </c>
      <c r="K505" s="843">
        <f t="shared" si="80"/>
        <v>-1.5279933150292524E-2</v>
      </c>
      <c r="L505" s="842">
        <v>66.959999999999994</v>
      </c>
      <c r="M505" s="843">
        <f t="shared" si="81"/>
        <v>-7.4615728995686137E-4</v>
      </c>
      <c r="N505" s="842">
        <v>74.44</v>
      </c>
      <c r="O505" s="843">
        <f t="shared" si="82"/>
        <v>-1.0238000265922031E-2</v>
      </c>
      <c r="P505" s="844">
        <f t="shared" si="88"/>
        <v>-5.2791408288747855E-3</v>
      </c>
      <c r="Q505" s="830"/>
      <c r="R505" s="845">
        <v>958.18</v>
      </c>
      <c r="S505" s="846">
        <f t="shared" si="83"/>
        <v>-3.0278121715968664E-3</v>
      </c>
      <c r="T505" s="845">
        <v>68.459999999999994</v>
      </c>
      <c r="U505" s="846">
        <f t="shared" si="84"/>
        <v>-4.3802014892690977E-4</v>
      </c>
      <c r="V505" s="845">
        <v>121.8216</v>
      </c>
      <c r="W505" s="846">
        <f t="shared" si="85"/>
        <v>-6.2899340662208036E-3</v>
      </c>
      <c r="X505" s="845">
        <v>34156.69</v>
      </c>
      <c r="Y505" s="846">
        <f t="shared" si="86"/>
        <v>7.8389496686734894E-3</v>
      </c>
      <c r="Z505" s="845">
        <v>4163.9996000000001</v>
      </c>
      <c r="AA505" s="846">
        <f t="shared" si="87"/>
        <v>1.2872210809570905E-2</v>
      </c>
      <c r="AB505" s="843"/>
      <c r="AC505" s="832"/>
    </row>
    <row r="506" spans="1:29" ht="14.4" x14ac:dyDescent="0.55000000000000004">
      <c r="A506" s="857" t="s">
        <v>5665</v>
      </c>
      <c r="B506" s="842">
        <v>117.64</v>
      </c>
      <c r="C506" s="843">
        <f t="shared" si="78"/>
        <v>3.8399180817476619E-3</v>
      </c>
      <c r="D506" s="842">
        <v>52.4</v>
      </c>
      <c r="E506" s="843">
        <f t="shared" si="79"/>
        <v>-1.3739883305100786E-2</v>
      </c>
      <c r="F506" s="842">
        <v>27.27</v>
      </c>
      <c r="G506" s="843">
        <f t="shared" si="79"/>
        <v>-1.4646649578908821E-3</v>
      </c>
      <c r="H506" s="842">
        <v>51.61</v>
      </c>
      <c r="I506" s="843">
        <f t="shared" si="79"/>
        <v>-3.0905930075333377E-3</v>
      </c>
      <c r="J506" s="842">
        <v>83.77</v>
      </c>
      <c r="K506" s="843">
        <f t="shared" si="80"/>
        <v>1.1226460647030256E-2</v>
      </c>
      <c r="L506" s="842">
        <v>67.010000000000005</v>
      </c>
      <c r="M506" s="843">
        <f t="shared" si="81"/>
        <v>7.3662056524355091E-3</v>
      </c>
      <c r="N506" s="842">
        <v>75.209999999999994</v>
      </c>
      <c r="O506" s="843">
        <f t="shared" si="82"/>
        <v>-5.0271199894167395E-3</v>
      </c>
      <c r="P506" s="844">
        <f t="shared" si="88"/>
        <v>-1.2709669696118832E-4</v>
      </c>
      <c r="Q506" s="830"/>
      <c r="R506" s="845">
        <v>961.09</v>
      </c>
      <c r="S506" s="846">
        <f t="shared" si="83"/>
        <v>7.875584638939559E-3</v>
      </c>
      <c r="T506" s="845">
        <v>68.489999999999995</v>
      </c>
      <c r="U506" s="846">
        <f t="shared" si="84"/>
        <v>8.54071565307013E-3</v>
      </c>
      <c r="V506" s="845">
        <v>122.59269999999999</v>
      </c>
      <c r="W506" s="846">
        <f t="shared" si="85"/>
        <v>3.8395464274776359E-3</v>
      </c>
      <c r="X506" s="845">
        <v>33891.019999999997</v>
      </c>
      <c r="Y506" s="846">
        <f t="shared" si="86"/>
        <v>-1.0313620729347495E-3</v>
      </c>
      <c r="Z506" s="845">
        <v>4111.0808999999999</v>
      </c>
      <c r="AA506" s="846">
        <f t="shared" si="87"/>
        <v>-6.1406534480897834E-3</v>
      </c>
      <c r="AB506" s="843"/>
      <c r="AC506" s="832"/>
    </row>
    <row r="507" spans="1:29" ht="14.4" x14ac:dyDescent="0.55000000000000004">
      <c r="A507" s="857" t="s">
        <v>5666</v>
      </c>
      <c r="B507" s="842">
        <v>117.19</v>
      </c>
      <c r="C507" s="843">
        <f t="shared" si="78"/>
        <v>-1.9740694270179882E-2</v>
      </c>
      <c r="D507" s="842">
        <v>53.13</v>
      </c>
      <c r="E507" s="843">
        <f t="shared" si="79"/>
        <v>1.7036753445635489E-2</v>
      </c>
      <c r="F507" s="842">
        <v>27.31</v>
      </c>
      <c r="G507" s="843">
        <f t="shared" si="79"/>
        <v>-1.6564638098667706E-2</v>
      </c>
      <c r="H507" s="842">
        <v>51.77</v>
      </c>
      <c r="I507" s="843">
        <f t="shared" si="79"/>
        <v>-9.5657164721637544E-3</v>
      </c>
      <c r="J507" s="842">
        <v>82.84</v>
      </c>
      <c r="K507" s="843">
        <f t="shared" si="80"/>
        <v>-1.2634088200238369E-2</v>
      </c>
      <c r="L507" s="842">
        <v>66.52</v>
      </c>
      <c r="M507" s="843">
        <f t="shared" si="81"/>
        <v>-2.9976019184653202E-3</v>
      </c>
      <c r="N507" s="842">
        <v>75.59</v>
      </c>
      <c r="O507" s="843">
        <f t="shared" si="82"/>
        <v>1.4630872483221591E-2</v>
      </c>
      <c r="P507" s="844">
        <f t="shared" si="88"/>
        <v>-4.262159004408279E-3</v>
      </c>
      <c r="Q507" s="830"/>
      <c r="R507" s="845">
        <v>953.58</v>
      </c>
      <c r="S507" s="846">
        <f t="shared" si="83"/>
        <v>-2.3391573298375601E-2</v>
      </c>
      <c r="T507" s="845">
        <v>67.91</v>
      </c>
      <c r="U507" s="846">
        <f t="shared" si="84"/>
        <v>-2.0905420991926271E-2</v>
      </c>
      <c r="V507" s="845">
        <v>122.1238</v>
      </c>
      <c r="W507" s="846">
        <f t="shared" si="85"/>
        <v>-1.9741024471999435E-2</v>
      </c>
      <c r="X507" s="845">
        <v>33926.01</v>
      </c>
      <c r="Y507" s="846">
        <f t="shared" si="86"/>
        <v>-3.7566871850951422E-3</v>
      </c>
      <c r="Z507" s="845">
        <v>4136.4816000000001</v>
      </c>
      <c r="AA507" s="846">
        <f t="shared" si="87"/>
        <v>-1.0353236921316733E-2</v>
      </c>
      <c r="AB507" s="843"/>
      <c r="AC507" s="832"/>
    </row>
    <row r="508" spans="1:29" ht="14.4" x14ac:dyDescent="0.55000000000000004">
      <c r="A508" s="857" t="s">
        <v>5667</v>
      </c>
      <c r="B508" s="842">
        <v>119.55</v>
      </c>
      <c r="C508" s="843">
        <f t="shared" si="78"/>
        <v>4.8751786164578093E-3</v>
      </c>
      <c r="D508" s="842">
        <v>52.24</v>
      </c>
      <c r="E508" s="843">
        <f t="shared" si="79"/>
        <v>4.8785384460951597E-2</v>
      </c>
      <c r="F508" s="842">
        <v>27.77</v>
      </c>
      <c r="G508" s="843">
        <f t="shared" si="79"/>
        <v>-3.2304379038047282E-3</v>
      </c>
      <c r="H508" s="842">
        <v>52.27</v>
      </c>
      <c r="I508" s="843">
        <f t="shared" si="79"/>
        <v>2.2296107960101619E-2</v>
      </c>
      <c r="J508" s="842">
        <v>83.9</v>
      </c>
      <c r="K508" s="843">
        <f t="shared" si="80"/>
        <v>1.746301236963399E-2</v>
      </c>
      <c r="L508" s="842">
        <v>66.72</v>
      </c>
      <c r="M508" s="843">
        <f t="shared" si="81"/>
        <v>-5.8113544926240435E-3</v>
      </c>
      <c r="N508" s="842">
        <v>74.5</v>
      </c>
      <c r="O508" s="843">
        <f t="shared" si="82"/>
        <v>3.3670033670034627E-3</v>
      </c>
      <c r="P508" s="844">
        <f t="shared" si="88"/>
        <v>1.2534984911102815E-2</v>
      </c>
      <c r="Q508" s="830"/>
      <c r="R508" s="845">
        <v>976.42</v>
      </c>
      <c r="S508" s="846">
        <f t="shared" si="83"/>
        <v>2.6081242042139685E-3</v>
      </c>
      <c r="T508" s="845">
        <v>69.36</v>
      </c>
      <c r="U508" s="846">
        <f t="shared" si="84"/>
        <v>2.1673168617253324E-3</v>
      </c>
      <c r="V508" s="845">
        <v>124.58320000000001</v>
      </c>
      <c r="W508" s="846">
        <f t="shared" si="85"/>
        <v>4.8758375430617562E-3</v>
      </c>
      <c r="X508" s="845">
        <v>34053.94</v>
      </c>
      <c r="Y508" s="846">
        <f t="shared" si="86"/>
        <v>-1.1445178124749322E-3</v>
      </c>
      <c r="Z508" s="845">
        <v>4179.7556000000004</v>
      </c>
      <c r="AA508" s="846">
        <f t="shared" si="87"/>
        <v>1.4698253820683904E-2</v>
      </c>
      <c r="AB508" s="843"/>
      <c r="AC508" s="832"/>
    </row>
    <row r="509" spans="1:29" ht="14.4" x14ac:dyDescent="0.55000000000000004">
      <c r="A509" s="857" t="s">
        <v>5668</v>
      </c>
      <c r="B509" s="842">
        <v>118.97</v>
      </c>
      <c r="C509" s="843">
        <f t="shared" si="78"/>
        <v>1.2166071124723343E-2</v>
      </c>
      <c r="D509" s="842">
        <v>49.81</v>
      </c>
      <c r="E509" s="843">
        <f t="shared" si="79"/>
        <v>-2.203525641025661E-3</v>
      </c>
      <c r="F509" s="842">
        <v>27.86</v>
      </c>
      <c r="G509" s="843">
        <f t="shared" si="79"/>
        <v>3.9639639639639235E-3</v>
      </c>
      <c r="H509" s="842">
        <v>51.13</v>
      </c>
      <c r="I509" s="843">
        <f t="shared" si="79"/>
        <v>1.97447147985641E-2</v>
      </c>
      <c r="J509" s="842">
        <v>82.46</v>
      </c>
      <c r="K509" s="843">
        <f t="shared" si="80"/>
        <v>1.2141816415736084E-3</v>
      </c>
      <c r="L509" s="842">
        <v>67.11</v>
      </c>
      <c r="M509" s="843">
        <f t="shared" si="81"/>
        <v>2.6893769610039087E-3</v>
      </c>
      <c r="N509" s="842">
        <v>74.25</v>
      </c>
      <c r="O509" s="843">
        <f t="shared" si="82"/>
        <v>2.8108557186375061E-2</v>
      </c>
      <c r="P509" s="844">
        <f t="shared" si="88"/>
        <v>9.3833342907397553E-3</v>
      </c>
      <c r="Q509" s="830"/>
      <c r="R509" s="845">
        <v>973.88</v>
      </c>
      <c r="S509" s="846">
        <f t="shared" si="83"/>
        <v>2.9453564293218104E-3</v>
      </c>
      <c r="T509" s="845">
        <v>69.209999999999994</v>
      </c>
      <c r="U509" s="846">
        <f t="shared" si="84"/>
        <v>1.7368649587492513E-3</v>
      </c>
      <c r="V509" s="845">
        <v>123.9787</v>
      </c>
      <c r="W509" s="846">
        <f t="shared" si="85"/>
        <v>1.2166040077231655E-2</v>
      </c>
      <c r="X509" s="845">
        <v>34092.959999999999</v>
      </c>
      <c r="Y509" s="846">
        <f t="shared" si="86"/>
        <v>2.0301566271707649E-4</v>
      </c>
      <c r="Z509" s="845">
        <v>4119.2103999999999</v>
      </c>
      <c r="AA509" s="846">
        <f t="shared" si="87"/>
        <v>1.0451493961713965E-2</v>
      </c>
      <c r="AB509" s="843"/>
      <c r="AC509" s="832"/>
    </row>
    <row r="510" spans="1:29" ht="14.4" x14ac:dyDescent="0.55000000000000004">
      <c r="A510" s="857" t="s">
        <v>5669</v>
      </c>
      <c r="B510" s="842">
        <v>117.54</v>
      </c>
      <c r="C510" s="843">
        <f t="shared" si="78"/>
        <v>1.7398078421189345E-2</v>
      </c>
      <c r="D510" s="842">
        <v>49.92</v>
      </c>
      <c r="E510" s="843">
        <f t="shared" si="79"/>
        <v>2.1903787103377592E-2</v>
      </c>
      <c r="F510" s="842">
        <v>27.75</v>
      </c>
      <c r="G510" s="843">
        <f t="shared" si="79"/>
        <v>7.2595281306715442E-3</v>
      </c>
      <c r="H510" s="842">
        <v>50.14</v>
      </c>
      <c r="I510" s="843">
        <f t="shared" si="79"/>
        <v>2.1389284986758961E-2</v>
      </c>
      <c r="J510" s="842">
        <v>82.36</v>
      </c>
      <c r="K510" s="843">
        <f t="shared" si="80"/>
        <v>2.4888003982080686E-2</v>
      </c>
      <c r="L510" s="842">
        <v>66.930000000000007</v>
      </c>
      <c r="M510" s="843">
        <f t="shared" si="81"/>
        <v>1.6400911161731369E-2</v>
      </c>
      <c r="N510" s="842">
        <v>72.22</v>
      </c>
      <c r="O510" s="843">
        <f t="shared" si="82"/>
        <v>1.804341697208911E-2</v>
      </c>
      <c r="P510" s="844">
        <f t="shared" si="88"/>
        <v>1.8183287251128371E-2</v>
      </c>
      <c r="Q510" s="830"/>
      <c r="R510" s="845">
        <v>971.02</v>
      </c>
      <c r="S510" s="846">
        <f t="shared" si="83"/>
        <v>7.1672319548599095E-3</v>
      </c>
      <c r="T510" s="845">
        <v>69.09</v>
      </c>
      <c r="U510" s="846">
        <f t="shared" si="84"/>
        <v>7.4365704286964984E-3</v>
      </c>
      <c r="V510" s="845">
        <v>122.4885</v>
      </c>
      <c r="W510" s="846">
        <f t="shared" si="85"/>
        <v>1.7397891421409239E-2</v>
      </c>
      <c r="X510" s="845">
        <v>34086.04</v>
      </c>
      <c r="Y510" s="846">
        <f t="shared" si="86"/>
        <v>1.0942522026663681E-2</v>
      </c>
      <c r="Z510" s="845">
        <v>4076.6037999999999</v>
      </c>
      <c r="AA510" s="846">
        <f t="shared" si="87"/>
        <v>1.4642740109283459E-2</v>
      </c>
      <c r="AB510" s="843"/>
      <c r="AC510" s="832"/>
    </row>
    <row r="511" spans="1:29" ht="14.4" x14ac:dyDescent="0.55000000000000004">
      <c r="A511" s="857" t="s">
        <v>5670</v>
      </c>
      <c r="B511" s="842">
        <v>115.53</v>
      </c>
      <c r="C511" s="843">
        <f t="shared" si="78"/>
        <v>-3.6222509702458217E-3</v>
      </c>
      <c r="D511" s="842">
        <v>48.85</v>
      </c>
      <c r="E511" s="843">
        <f t="shared" si="79"/>
        <v>-1.1933656957928696E-2</v>
      </c>
      <c r="F511" s="842">
        <v>27.55</v>
      </c>
      <c r="G511" s="843">
        <f t="shared" si="79"/>
        <v>1.0901162790697416E-3</v>
      </c>
      <c r="H511" s="842">
        <v>49.09</v>
      </c>
      <c r="I511" s="843">
        <f t="shared" si="79"/>
        <v>-1.8984812150279695E-2</v>
      </c>
      <c r="J511" s="842">
        <v>80.36</v>
      </c>
      <c r="K511" s="843">
        <f t="shared" si="80"/>
        <v>-2.3587833643698985E-3</v>
      </c>
      <c r="L511" s="842">
        <v>65.849999999999994</v>
      </c>
      <c r="M511" s="843">
        <f t="shared" si="81"/>
        <v>-2.2727272727273151E-3</v>
      </c>
      <c r="N511" s="842">
        <v>70.94</v>
      </c>
      <c r="O511" s="843">
        <f t="shared" si="82"/>
        <v>-5.1886130977423228E-3</v>
      </c>
      <c r="P511" s="844">
        <f t="shared" si="88"/>
        <v>-6.1815325048891435E-3</v>
      </c>
      <c r="Q511" s="830"/>
      <c r="R511" s="845">
        <v>964.11</v>
      </c>
      <c r="S511" s="846">
        <f t="shared" si="83"/>
        <v>-3.8310930011826727E-3</v>
      </c>
      <c r="T511" s="845">
        <v>68.58</v>
      </c>
      <c r="U511" s="846">
        <f t="shared" si="84"/>
        <v>-4.499927420525518E-3</v>
      </c>
      <c r="V511" s="845">
        <v>120.3939</v>
      </c>
      <c r="W511" s="846">
        <f t="shared" si="85"/>
        <v>-3.622396790243565E-3</v>
      </c>
      <c r="X511" s="845">
        <v>33717.089999999997</v>
      </c>
      <c r="Y511" s="846">
        <f t="shared" si="86"/>
        <v>-7.6811256188729082E-3</v>
      </c>
      <c r="Z511" s="845">
        <v>4017.7725999999998</v>
      </c>
      <c r="AA511" s="846">
        <f t="shared" si="87"/>
        <v>-1.2967680625038724E-2</v>
      </c>
      <c r="AB511" s="843"/>
      <c r="AC511" s="832"/>
    </row>
    <row r="512" spans="1:29" ht="14.4" x14ac:dyDescent="0.55000000000000004">
      <c r="A512" s="857" t="s">
        <v>5671</v>
      </c>
      <c r="B512" s="842">
        <v>115.95</v>
      </c>
      <c r="C512" s="843">
        <f t="shared" si="78"/>
        <v>4.0699688257705979E-3</v>
      </c>
      <c r="D512" s="842">
        <v>49.44</v>
      </c>
      <c r="E512" s="843">
        <f t="shared" si="79"/>
        <v>-1.8170805572380599E-3</v>
      </c>
      <c r="F512" s="842">
        <v>27.52</v>
      </c>
      <c r="G512" s="843">
        <f t="shared" si="79"/>
        <v>-7.2621641249093205E-4</v>
      </c>
      <c r="H512" s="842">
        <v>50.04</v>
      </c>
      <c r="I512" s="843">
        <f t="shared" si="79"/>
        <v>1.193124368048526E-2</v>
      </c>
      <c r="J512" s="842">
        <v>80.55</v>
      </c>
      <c r="K512" s="843">
        <f t="shared" si="80"/>
        <v>6.8749999999999645E-3</v>
      </c>
      <c r="L512" s="842">
        <v>66</v>
      </c>
      <c r="M512" s="843">
        <f t="shared" si="81"/>
        <v>-3.4727464895063509E-3</v>
      </c>
      <c r="N512" s="842">
        <v>71.31</v>
      </c>
      <c r="O512" s="843">
        <f t="shared" si="82"/>
        <v>3.5181536729524954E-3</v>
      </c>
      <c r="P512" s="844">
        <f t="shared" si="88"/>
        <v>2.9111889599961393E-3</v>
      </c>
      <c r="Q512" s="830"/>
      <c r="R512" s="845">
        <v>967.81780000000003</v>
      </c>
      <c r="S512" s="846">
        <f t="shared" si="83"/>
        <v>1.1148809400667314E-3</v>
      </c>
      <c r="T512" s="845">
        <v>68.89</v>
      </c>
      <c r="U512" s="846">
        <f t="shared" si="84"/>
        <v>0</v>
      </c>
      <c r="V512" s="845">
        <v>120.83159999999999</v>
      </c>
      <c r="W512" s="846">
        <f t="shared" si="85"/>
        <v>4.0700737399639308E-3</v>
      </c>
      <c r="X512" s="845">
        <v>33978.079899999997</v>
      </c>
      <c r="Y512" s="846">
        <f t="shared" si="86"/>
        <v>8.4448890275257149E-4</v>
      </c>
      <c r="Z512" s="845">
        <v>4070.5583000000001</v>
      </c>
      <c r="AA512" s="846">
        <f t="shared" si="87"/>
        <v>2.4950329120525527E-3</v>
      </c>
      <c r="AB512" s="843"/>
      <c r="AC512" s="832"/>
    </row>
    <row r="513" spans="1:29" ht="14.4" x14ac:dyDescent="0.55000000000000004">
      <c r="A513" s="857" t="s">
        <v>5672</v>
      </c>
      <c r="B513" s="842">
        <v>115.48</v>
      </c>
      <c r="C513" s="843">
        <f t="shared" si="78"/>
        <v>2.9529268716346202E-3</v>
      </c>
      <c r="D513" s="842">
        <v>49.53</v>
      </c>
      <c r="E513" s="843">
        <f t="shared" si="79"/>
        <v>-1.008471157724844E-3</v>
      </c>
      <c r="F513" s="842">
        <v>27.54</v>
      </c>
      <c r="G513" s="843">
        <f t="shared" si="79"/>
        <v>-1.4503263234227903E-3</v>
      </c>
      <c r="H513" s="842">
        <v>49.45</v>
      </c>
      <c r="I513" s="843">
        <f t="shared" si="79"/>
        <v>4.8770575086365398E-3</v>
      </c>
      <c r="J513" s="842">
        <v>80</v>
      </c>
      <c r="K513" s="843">
        <f t="shared" si="80"/>
        <v>-2.2602321319486807E-2</v>
      </c>
      <c r="L513" s="842">
        <v>66.23</v>
      </c>
      <c r="M513" s="843">
        <f t="shared" si="81"/>
        <v>-1.2524228418070549E-2</v>
      </c>
      <c r="N513" s="842">
        <v>71.06</v>
      </c>
      <c r="O513" s="843">
        <f t="shared" si="82"/>
        <v>0</v>
      </c>
      <c r="P513" s="844">
        <f t="shared" si="88"/>
        <v>-4.2507661197762614E-3</v>
      </c>
      <c r="Q513" s="830"/>
      <c r="R513" s="845">
        <v>966.74</v>
      </c>
      <c r="S513" s="846">
        <f t="shared" si="83"/>
        <v>5.1257524874976923E-3</v>
      </c>
      <c r="T513" s="845">
        <v>68.89</v>
      </c>
      <c r="U513" s="846">
        <f t="shared" si="84"/>
        <v>3.3498397902709254E-3</v>
      </c>
      <c r="V513" s="845">
        <v>120.34180000000001</v>
      </c>
      <c r="W513" s="846">
        <f t="shared" si="85"/>
        <v>2.952807584123418E-3</v>
      </c>
      <c r="X513" s="845">
        <v>33949.410000000003</v>
      </c>
      <c r="Y513" s="846">
        <f t="shared" si="86"/>
        <v>6.0920748794448532E-3</v>
      </c>
      <c r="Z513" s="845">
        <v>4060.4274</v>
      </c>
      <c r="AA513" s="846">
        <f t="shared" si="87"/>
        <v>1.1007417125041385E-2</v>
      </c>
      <c r="AB513" s="843"/>
      <c r="AC513" s="832"/>
    </row>
    <row r="514" spans="1:29" ht="14.4" x14ac:dyDescent="0.55000000000000004">
      <c r="A514" s="857" t="s">
        <v>5673</v>
      </c>
      <c r="B514" s="842">
        <v>115.14</v>
      </c>
      <c r="C514" s="843">
        <f t="shared" si="78"/>
        <v>2.5250326512842314E-3</v>
      </c>
      <c r="D514" s="842">
        <v>49.58</v>
      </c>
      <c r="E514" s="843">
        <f t="shared" si="79"/>
        <v>1.2249897917517405E-2</v>
      </c>
      <c r="F514" s="842">
        <v>27.58</v>
      </c>
      <c r="G514" s="843">
        <f t="shared" si="79"/>
        <v>9.5168374816982926E-3</v>
      </c>
      <c r="H514" s="842">
        <v>49.21</v>
      </c>
      <c r="I514" s="843">
        <f t="shared" si="79"/>
        <v>-3.0388978930308008E-3</v>
      </c>
      <c r="J514" s="842">
        <v>81.849999999999994</v>
      </c>
      <c r="K514" s="843">
        <f t="shared" si="80"/>
        <v>3.5420619860847546E-2</v>
      </c>
      <c r="L514" s="842">
        <v>67.069999999999993</v>
      </c>
      <c r="M514" s="843">
        <f t="shared" si="81"/>
        <v>1.0851544837980454E-2</v>
      </c>
      <c r="N514" s="842">
        <v>71.06</v>
      </c>
      <c r="O514" s="843">
        <f t="shared" si="82"/>
        <v>4.2235675066870648E-4</v>
      </c>
      <c r="P514" s="844">
        <f t="shared" si="88"/>
        <v>9.706770229566548E-3</v>
      </c>
      <c r="Q514" s="830"/>
      <c r="R514" s="845">
        <v>961.81</v>
      </c>
      <c r="S514" s="846">
        <f t="shared" si="83"/>
        <v>-4.9349252001904542E-3</v>
      </c>
      <c r="T514" s="845">
        <v>68.66</v>
      </c>
      <c r="U514" s="846">
        <f t="shared" si="84"/>
        <v>-1.3505747126436707E-2</v>
      </c>
      <c r="V514" s="845">
        <v>119.9875</v>
      </c>
      <c r="W514" s="846">
        <f t="shared" si="85"/>
        <v>2.5249550278940713E-3</v>
      </c>
      <c r="X514" s="845">
        <v>33743.839999999997</v>
      </c>
      <c r="Y514" s="846">
        <f t="shared" si="86"/>
        <v>2.9287993464155448E-4</v>
      </c>
      <c r="Z514" s="845">
        <v>4016.2192</v>
      </c>
      <c r="AA514" s="846">
        <f t="shared" si="87"/>
        <v>-1.8185440559537192E-4</v>
      </c>
      <c r="AB514" s="843"/>
      <c r="AC514" s="832"/>
    </row>
    <row r="515" spans="1:29" ht="14.4" x14ac:dyDescent="0.55000000000000004">
      <c r="A515" s="857" t="s">
        <v>5674</v>
      </c>
      <c r="B515" s="842">
        <v>114.85</v>
      </c>
      <c r="C515" s="843">
        <f t="shared" si="78"/>
        <v>1.171599718111338E-2</v>
      </c>
      <c r="D515" s="842">
        <v>48.98</v>
      </c>
      <c r="E515" s="843">
        <f t="shared" si="79"/>
        <v>4.3059257740412082E-3</v>
      </c>
      <c r="F515" s="842">
        <v>27.32</v>
      </c>
      <c r="G515" s="843">
        <f t="shared" si="79"/>
        <v>8.4902177925434419E-3</v>
      </c>
      <c r="H515" s="842">
        <v>49.36</v>
      </c>
      <c r="I515" s="843">
        <f t="shared" si="79"/>
        <v>4.8859934853420217E-3</v>
      </c>
      <c r="J515" s="842">
        <v>79.05</v>
      </c>
      <c r="K515" s="843">
        <f t="shared" si="80"/>
        <v>9.3207354443309853E-3</v>
      </c>
      <c r="L515" s="842">
        <v>66.349999999999994</v>
      </c>
      <c r="M515" s="843">
        <f t="shared" si="81"/>
        <v>-2.705546370058709E-3</v>
      </c>
      <c r="N515" s="842">
        <v>71.03</v>
      </c>
      <c r="O515" s="843">
        <f t="shared" si="82"/>
        <v>8.948863636363491E-3</v>
      </c>
      <c r="P515" s="844">
        <f t="shared" si="88"/>
        <v>6.4231695633822595E-3</v>
      </c>
      <c r="Q515" s="830"/>
      <c r="R515" s="845">
        <v>966.58</v>
      </c>
      <c r="S515" s="846">
        <f t="shared" si="83"/>
        <v>6.3195594007350309E-3</v>
      </c>
      <c r="T515" s="845">
        <v>69.599999999999994</v>
      </c>
      <c r="U515" s="846">
        <f t="shared" si="84"/>
        <v>5.0541516245485862E-3</v>
      </c>
      <c r="V515" s="845">
        <v>119.6853</v>
      </c>
      <c r="W515" s="846">
        <f t="shared" si="85"/>
        <v>1.1716045657074847E-2</v>
      </c>
      <c r="X515" s="845">
        <v>33733.96</v>
      </c>
      <c r="Y515" s="846">
        <f t="shared" si="86"/>
        <v>3.1044117139802374E-3</v>
      </c>
      <c r="Z515" s="845">
        <v>4016.9497000000001</v>
      </c>
      <c r="AA515" s="846">
        <f t="shared" si="87"/>
        <v>-7.1257026537618895E-4</v>
      </c>
      <c r="AB515" s="843"/>
      <c r="AC515" s="832"/>
    </row>
    <row r="516" spans="1:29" ht="14.4" x14ac:dyDescent="0.55000000000000004">
      <c r="A516" s="857" t="s">
        <v>5675</v>
      </c>
      <c r="B516" s="842">
        <v>113.52</v>
      </c>
      <c r="C516" s="843">
        <f t="shared" si="78"/>
        <v>4.6017699115044053E-3</v>
      </c>
      <c r="D516" s="842">
        <v>48.77</v>
      </c>
      <c r="E516" s="843">
        <f t="shared" si="79"/>
        <v>-1.5542995559144068E-2</v>
      </c>
      <c r="F516" s="842">
        <v>27.09</v>
      </c>
      <c r="G516" s="843">
        <f t="shared" si="79"/>
        <v>-4.4101433296582782E-3</v>
      </c>
      <c r="H516" s="842">
        <v>49.12</v>
      </c>
      <c r="I516" s="843">
        <f t="shared" si="79"/>
        <v>7.3831009023790362E-3</v>
      </c>
      <c r="J516" s="842">
        <v>78.319999999999993</v>
      </c>
      <c r="K516" s="843">
        <f t="shared" si="80"/>
        <v>2.0988137139877461E-2</v>
      </c>
      <c r="L516" s="842">
        <v>66.53</v>
      </c>
      <c r="M516" s="843">
        <f t="shared" si="81"/>
        <v>5.7445200302341792E-3</v>
      </c>
      <c r="N516" s="842">
        <v>70.400000000000006</v>
      </c>
      <c r="O516" s="843">
        <f t="shared" si="82"/>
        <v>5.7142857142857828E-3</v>
      </c>
      <c r="P516" s="844">
        <f t="shared" si="88"/>
        <v>3.496953544211217E-3</v>
      </c>
      <c r="Q516" s="830"/>
      <c r="R516" s="845">
        <v>960.51</v>
      </c>
      <c r="S516" s="846">
        <f t="shared" si="83"/>
        <v>-9.3691442848209405E-5</v>
      </c>
      <c r="T516" s="845">
        <v>69.25</v>
      </c>
      <c r="U516" s="846">
        <f t="shared" si="84"/>
        <v>2.8889209880111899E-4</v>
      </c>
      <c r="V516" s="845">
        <v>118.2993</v>
      </c>
      <c r="W516" s="846">
        <f t="shared" si="85"/>
        <v>4.6018339399476194E-3</v>
      </c>
      <c r="X516" s="845">
        <v>33629.56</v>
      </c>
      <c r="Y516" s="846">
        <f t="shared" si="86"/>
        <v>7.6124725060215948E-3</v>
      </c>
      <c r="Z516" s="845">
        <v>4019.8141000000001</v>
      </c>
      <c r="AA516" s="846">
        <f t="shared" si="87"/>
        <v>1.1882262305856539E-2</v>
      </c>
      <c r="AB516" s="843"/>
      <c r="AC516" s="832"/>
    </row>
    <row r="517" spans="1:29" ht="14.4" x14ac:dyDescent="0.55000000000000004">
      <c r="A517" s="857" t="s">
        <v>5676</v>
      </c>
      <c r="B517" s="842">
        <v>113</v>
      </c>
      <c r="C517" s="843">
        <f t="shared" si="78"/>
        <v>8.5683684398427662E-3</v>
      </c>
      <c r="D517" s="842">
        <v>49.54</v>
      </c>
      <c r="E517" s="843">
        <f t="shared" si="79"/>
        <v>9.1668364228967292E-3</v>
      </c>
      <c r="F517" s="842">
        <v>27.21</v>
      </c>
      <c r="G517" s="843">
        <f t="shared" si="79"/>
        <v>1.4163250093179425E-2</v>
      </c>
      <c r="H517" s="842">
        <v>48.76</v>
      </c>
      <c r="I517" s="843">
        <f t="shared" si="79"/>
        <v>5.3608247422680666E-3</v>
      </c>
      <c r="J517" s="842">
        <v>76.709999999999994</v>
      </c>
      <c r="K517" s="843">
        <f t="shared" si="80"/>
        <v>-9.1169575410277037E-4</v>
      </c>
      <c r="L517" s="842">
        <v>66.150000000000006</v>
      </c>
      <c r="M517" s="843">
        <f t="shared" si="81"/>
        <v>-9.0620752152226203E-4</v>
      </c>
      <c r="N517" s="842">
        <v>70</v>
      </c>
      <c r="O517" s="843">
        <f t="shared" si="82"/>
        <v>-2.2805017103761926E-3</v>
      </c>
      <c r="P517" s="844">
        <f t="shared" si="88"/>
        <v>4.737267816026537E-3</v>
      </c>
      <c r="Q517" s="830"/>
      <c r="R517" s="845">
        <v>960.6</v>
      </c>
      <c r="S517" s="846">
        <f t="shared" si="83"/>
        <v>7.7421791401774964E-3</v>
      </c>
      <c r="T517" s="845">
        <v>69.23</v>
      </c>
      <c r="U517" s="846">
        <f t="shared" si="84"/>
        <v>5.9575704736996027E-3</v>
      </c>
      <c r="V517" s="845">
        <v>117.7574</v>
      </c>
      <c r="W517" s="846">
        <f t="shared" si="85"/>
        <v>8.5682228902763669E-3</v>
      </c>
      <c r="X517" s="845">
        <v>33375.49</v>
      </c>
      <c r="Y517" s="846">
        <f t="shared" si="86"/>
        <v>1.0014658993795056E-2</v>
      </c>
      <c r="Z517" s="845">
        <v>3972.6104999999998</v>
      </c>
      <c r="AA517" s="846">
        <f t="shared" si="87"/>
        <v>1.8917272836115773E-2</v>
      </c>
      <c r="AB517" s="843"/>
      <c r="AC517" s="832"/>
    </row>
    <row r="518" spans="1:29" ht="14.4" x14ac:dyDescent="0.55000000000000004">
      <c r="A518" s="857" t="s">
        <v>5677</v>
      </c>
      <c r="B518" s="842">
        <v>112.04</v>
      </c>
      <c r="C518" s="843">
        <f t="shared" si="78"/>
        <v>3.7627665292958579E-3</v>
      </c>
      <c r="D518" s="842">
        <v>49.09</v>
      </c>
      <c r="E518" s="843">
        <f t="shared" si="79"/>
        <v>-7.0792880258898627E-3</v>
      </c>
      <c r="F518" s="842">
        <v>26.83</v>
      </c>
      <c r="G518" s="843">
        <f t="shared" si="79"/>
        <v>-7.7662721893491105E-3</v>
      </c>
      <c r="H518" s="842">
        <v>48.5</v>
      </c>
      <c r="I518" s="843">
        <f t="shared" si="79"/>
        <v>-2.057613168724326E-3</v>
      </c>
      <c r="J518" s="842">
        <v>76.78</v>
      </c>
      <c r="K518" s="843">
        <f t="shared" si="80"/>
        <v>-6.341400284715859E-3</v>
      </c>
      <c r="L518" s="842">
        <v>66.209999999999994</v>
      </c>
      <c r="M518" s="843">
        <f t="shared" si="81"/>
        <v>8.0694275274053595E-3</v>
      </c>
      <c r="N518" s="842">
        <v>70.16</v>
      </c>
      <c r="O518" s="843">
        <f t="shared" si="82"/>
        <v>-3.2675095894303396E-3</v>
      </c>
      <c r="P518" s="844">
        <f t="shared" si="88"/>
        <v>-2.0971270287726113E-3</v>
      </c>
      <c r="Q518" s="830"/>
      <c r="R518" s="845">
        <v>953.22</v>
      </c>
      <c r="S518" s="846">
        <f t="shared" si="83"/>
        <v>-8.6321657375820759E-3</v>
      </c>
      <c r="T518" s="845">
        <v>68.819999999999993</v>
      </c>
      <c r="U518" s="846">
        <f t="shared" si="84"/>
        <v>-1.0069044879171485E-2</v>
      </c>
      <c r="V518" s="845">
        <v>116.75700000000001</v>
      </c>
      <c r="W518" s="846">
        <f t="shared" si="85"/>
        <v>3.7629181055938155E-3</v>
      </c>
      <c r="X518" s="845">
        <v>33044.559999999998</v>
      </c>
      <c r="Y518" s="846">
        <f t="shared" si="86"/>
        <v>-7.5802715923616315E-3</v>
      </c>
      <c r="Z518" s="845">
        <v>3898.8548000000001</v>
      </c>
      <c r="AA518" s="846">
        <f t="shared" si="87"/>
        <v>-7.6377072314292027E-3</v>
      </c>
      <c r="AB518" s="843"/>
      <c r="AC518" s="832"/>
    </row>
    <row r="519" spans="1:29" ht="14.4" x14ac:dyDescent="0.55000000000000004">
      <c r="A519" s="857" t="s">
        <v>5678</v>
      </c>
      <c r="B519" s="842">
        <v>111.62</v>
      </c>
      <c r="C519" s="843">
        <f t="shared" si="78"/>
        <v>-2.0447564721368994E-2</v>
      </c>
      <c r="D519" s="842">
        <v>49.44</v>
      </c>
      <c r="E519" s="843">
        <f t="shared" si="79"/>
        <v>-2.079619726678561E-2</v>
      </c>
      <c r="F519" s="842">
        <v>27.04</v>
      </c>
      <c r="G519" s="843">
        <f t="shared" si="79"/>
        <v>-2.0999275887038427E-2</v>
      </c>
      <c r="H519" s="842">
        <v>48.6</v>
      </c>
      <c r="I519" s="843">
        <f t="shared" si="79"/>
        <v>-1.9766034691407808E-2</v>
      </c>
      <c r="J519" s="842">
        <v>77.27</v>
      </c>
      <c r="K519" s="843">
        <f t="shared" si="80"/>
        <v>-2.1031293551248109E-2</v>
      </c>
      <c r="L519" s="842">
        <v>65.680000000000007</v>
      </c>
      <c r="M519" s="843">
        <f t="shared" si="81"/>
        <v>-6.5043109968233592E-3</v>
      </c>
      <c r="N519" s="842">
        <v>70.39</v>
      </c>
      <c r="O519" s="843">
        <f t="shared" si="82"/>
        <v>-1.7448352875488515E-2</v>
      </c>
      <c r="P519" s="844">
        <f t="shared" si="88"/>
        <v>-1.8141861427165833E-2</v>
      </c>
      <c r="Q519" s="830"/>
      <c r="R519" s="845">
        <v>961.52</v>
      </c>
      <c r="S519" s="846">
        <f t="shared" si="83"/>
        <v>-2.5558911162008258E-2</v>
      </c>
      <c r="T519" s="845">
        <v>69.52</v>
      </c>
      <c r="U519" s="846">
        <f t="shared" si="84"/>
        <v>-2.4006738733679756E-2</v>
      </c>
      <c r="V519" s="845">
        <v>116.3193</v>
      </c>
      <c r="W519" s="846">
        <f t="shared" si="85"/>
        <v>-2.0447605589680284E-2</v>
      </c>
      <c r="X519" s="845">
        <v>33296.959999999999</v>
      </c>
      <c r="Y519" s="846">
        <f t="shared" si="86"/>
        <v>-1.8103055511731525E-2</v>
      </c>
      <c r="Z519" s="845">
        <v>3928.8622999999998</v>
      </c>
      <c r="AA519" s="846">
        <f t="shared" si="87"/>
        <v>-1.5562081008825501E-2</v>
      </c>
      <c r="AB519" s="843"/>
      <c r="AC519" s="832"/>
    </row>
    <row r="520" spans="1:29" ht="14.4" x14ac:dyDescent="0.55000000000000004">
      <c r="A520" s="857" t="s">
        <v>5679</v>
      </c>
      <c r="B520" s="842">
        <v>113.95</v>
      </c>
      <c r="C520" s="843">
        <f t="shared" ref="C520:C583" si="89">IFERROR(((B520/B521)-1), "NA")</f>
        <v>-6.8851316018824216E-3</v>
      </c>
      <c r="D520" s="842">
        <v>50.49</v>
      </c>
      <c r="E520" s="843">
        <f t="shared" ref="E520:I583" si="90">IFERROR(((D520/D521)-1), "NA")</f>
        <v>-1.174398120963005E-2</v>
      </c>
      <c r="F520" s="842">
        <v>27.62</v>
      </c>
      <c r="G520" s="843">
        <f t="shared" si="90"/>
        <v>-6.1173083843107934E-3</v>
      </c>
      <c r="H520" s="842">
        <v>49.58</v>
      </c>
      <c r="I520" s="843">
        <f t="shared" si="90"/>
        <v>0</v>
      </c>
      <c r="J520" s="842">
        <v>78.930000000000007</v>
      </c>
      <c r="K520" s="843">
        <f t="shared" ref="K520:K583" si="91">IFERROR(((J520/J521)-1), "NA")</f>
        <v>-1.9746646795826939E-2</v>
      </c>
      <c r="L520" s="842">
        <v>66.11</v>
      </c>
      <c r="M520" s="843">
        <f t="shared" ref="M520:M583" si="92">IFERROR(((L520/L521)-1), "NA")</f>
        <v>1.5149219815178139E-3</v>
      </c>
      <c r="N520" s="842">
        <v>71.64</v>
      </c>
      <c r="O520" s="843">
        <f t="shared" ref="O520:O583" si="93">IFERROR(((N520/N521)-1), "NA")</f>
        <v>-2.0240700218818408E-2</v>
      </c>
      <c r="P520" s="844">
        <f t="shared" si="88"/>
        <v>-9.0312637469929704E-3</v>
      </c>
      <c r="Q520" s="830"/>
      <c r="R520" s="845">
        <v>986.74</v>
      </c>
      <c r="S520" s="846">
        <f t="shared" ref="S520:S583" si="94">IFERROR(((R520/R521)-1), "NA")</f>
        <v>-1.8814485130487224E-3</v>
      </c>
      <c r="T520" s="845">
        <v>71.23</v>
      </c>
      <c r="U520" s="846">
        <f t="shared" ref="U520:U583" si="95">IFERROR(((T520/T521)-1), "NA")</f>
        <v>-1.4019346698442847E-3</v>
      </c>
      <c r="V520" s="845">
        <v>118.7474</v>
      </c>
      <c r="W520" s="846">
        <f t="shared" ref="W520:W583" si="96">IFERROR(((V520/V521)-1), "NA")</f>
        <v>-6.885466088264125E-3</v>
      </c>
      <c r="X520" s="845">
        <v>33910.85</v>
      </c>
      <c r="Y520" s="846">
        <f t="shared" ref="Y520:Y583" si="97">IFERROR(((X520/X521)-1), "NA")</f>
        <v>-1.1420705304931666E-2</v>
      </c>
      <c r="Z520" s="845">
        <v>3990.9701</v>
      </c>
      <c r="AA520" s="846">
        <f t="shared" ref="AA520:AA583" si="98">IFERROR(((Z520/Z521)-1), "NA")</f>
        <v>-2.0306365636909574E-3</v>
      </c>
      <c r="AB520" s="843"/>
      <c r="AC520" s="832"/>
    </row>
    <row r="521" spans="1:29" ht="14.4" x14ac:dyDescent="0.55000000000000004">
      <c r="A521" s="857" t="s">
        <v>5680</v>
      </c>
      <c r="B521" s="842">
        <v>114.74</v>
      </c>
      <c r="C521" s="843">
        <f t="shared" si="89"/>
        <v>-1.4091768345076527E-2</v>
      </c>
      <c r="D521" s="842">
        <v>51.09</v>
      </c>
      <c r="E521" s="843">
        <f t="shared" si="90"/>
        <v>-1.1730205278591699E-3</v>
      </c>
      <c r="F521" s="842">
        <v>27.79</v>
      </c>
      <c r="G521" s="843">
        <f t="shared" si="90"/>
        <v>-3.9426523297491078E-3</v>
      </c>
      <c r="H521" s="842">
        <v>49.58</v>
      </c>
      <c r="I521" s="843">
        <f t="shared" si="90"/>
        <v>-2.4144869215292353E-3</v>
      </c>
      <c r="J521" s="842">
        <v>80.52</v>
      </c>
      <c r="K521" s="843">
        <f t="shared" si="91"/>
        <v>5.3689599200898996E-3</v>
      </c>
      <c r="L521" s="842">
        <v>66.010000000000005</v>
      </c>
      <c r="M521" s="843">
        <f t="shared" si="92"/>
        <v>-9.4537815126050084E-3</v>
      </c>
      <c r="N521" s="842">
        <v>73.12</v>
      </c>
      <c r="O521" s="843">
        <f t="shared" si="93"/>
        <v>3.9818756007141687E-3</v>
      </c>
      <c r="P521" s="844">
        <f t="shared" ref="P521:P584" si="99">IFERROR(AVERAGE(C521,E521,G521,I521,M521,K521,O521),"NA")</f>
        <v>-3.103553445144997E-3</v>
      </c>
      <c r="Q521" s="830"/>
      <c r="R521" s="845">
        <v>988.6</v>
      </c>
      <c r="S521" s="846">
        <f t="shared" si="94"/>
        <v>-5.3125125769710735E-3</v>
      </c>
      <c r="T521" s="845">
        <v>71.33</v>
      </c>
      <c r="U521" s="846">
        <f t="shared" si="95"/>
        <v>-3.6317921497416306E-3</v>
      </c>
      <c r="V521" s="845">
        <v>119.5707</v>
      </c>
      <c r="W521" s="846">
        <f t="shared" si="96"/>
        <v>-1.4091393695729759E-2</v>
      </c>
      <c r="X521" s="845">
        <v>34302.61</v>
      </c>
      <c r="Y521" s="846">
        <f t="shared" si="97"/>
        <v>3.2945334552794137E-3</v>
      </c>
      <c r="Z521" s="845">
        <v>3999.0907999999999</v>
      </c>
      <c r="AA521" s="846">
        <f t="shared" si="98"/>
        <v>3.9978996609857376E-3</v>
      </c>
      <c r="AB521" s="843"/>
      <c r="AC521" s="832"/>
    </row>
    <row r="522" spans="1:29" ht="14.4" x14ac:dyDescent="0.55000000000000004">
      <c r="A522" s="857" t="s">
        <v>5681</v>
      </c>
      <c r="B522" s="842">
        <v>116.38</v>
      </c>
      <c r="C522" s="843">
        <f t="shared" si="89"/>
        <v>-2.9983723121734807E-3</v>
      </c>
      <c r="D522" s="842">
        <v>51.15</v>
      </c>
      <c r="E522" s="843">
        <f t="shared" si="90"/>
        <v>1.3703993735316722E-3</v>
      </c>
      <c r="F522" s="842">
        <v>27.9</v>
      </c>
      <c r="G522" s="843">
        <f t="shared" si="90"/>
        <v>-1.0741138560688146E-3</v>
      </c>
      <c r="H522" s="842">
        <v>49.7</v>
      </c>
      <c r="I522" s="843">
        <f t="shared" si="90"/>
        <v>8.9321965083233312E-3</v>
      </c>
      <c r="J522" s="842">
        <v>80.09</v>
      </c>
      <c r="K522" s="843">
        <f t="shared" si="91"/>
        <v>-9.1550167017195871E-3</v>
      </c>
      <c r="L522" s="842">
        <v>66.64</v>
      </c>
      <c r="M522" s="843">
        <f t="shared" si="92"/>
        <v>1.0462471569370635E-2</v>
      </c>
      <c r="N522" s="842">
        <v>72.83</v>
      </c>
      <c r="O522" s="843">
        <f t="shared" si="93"/>
        <v>1.3732491073881192E-4</v>
      </c>
      <c r="P522" s="844">
        <f t="shared" si="99"/>
        <v>1.0964127845717955E-3</v>
      </c>
      <c r="Q522" s="830"/>
      <c r="R522" s="845">
        <v>993.88</v>
      </c>
      <c r="S522" s="846">
        <f t="shared" si="94"/>
        <v>-8.2126712636337862E-3</v>
      </c>
      <c r="T522" s="845">
        <v>71.59</v>
      </c>
      <c r="U522" s="846">
        <f t="shared" si="95"/>
        <v>-6.7980022197557943E-3</v>
      </c>
      <c r="V522" s="845">
        <v>121.27970000000001</v>
      </c>
      <c r="W522" s="846">
        <f t="shared" si="96"/>
        <v>-2.9980829368223549E-3</v>
      </c>
      <c r="X522" s="845">
        <v>34189.97</v>
      </c>
      <c r="Y522" s="846">
        <f t="shared" si="97"/>
        <v>6.3862460229457962E-3</v>
      </c>
      <c r="Z522" s="845">
        <v>3983.1664999999998</v>
      </c>
      <c r="AA522" s="846">
        <f t="shared" si="98"/>
        <v>3.4140346287061529E-3</v>
      </c>
      <c r="AB522" s="843"/>
      <c r="AC522" s="832"/>
    </row>
    <row r="523" spans="1:29" ht="14.4" x14ac:dyDescent="0.55000000000000004">
      <c r="A523" s="857" t="s">
        <v>5682</v>
      </c>
      <c r="B523" s="842">
        <v>116.73</v>
      </c>
      <c r="C523" s="843">
        <f t="shared" si="89"/>
        <v>2.1259842519685046E-2</v>
      </c>
      <c r="D523" s="842">
        <v>51.08</v>
      </c>
      <c r="E523" s="843">
        <f t="shared" si="90"/>
        <v>2.3547880690737433E-3</v>
      </c>
      <c r="F523" s="842">
        <v>27.93</v>
      </c>
      <c r="G523" s="843">
        <f t="shared" si="90"/>
        <v>1.3425253991291797E-2</v>
      </c>
      <c r="H523" s="842">
        <v>49.26</v>
      </c>
      <c r="I523" s="843">
        <f t="shared" si="90"/>
        <v>1.0047160139429856E-2</v>
      </c>
      <c r="J523" s="842">
        <v>80.83</v>
      </c>
      <c r="K523" s="843">
        <f t="shared" si="91"/>
        <v>1.5452261306532655E-2</v>
      </c>
      <c r="L523" s="842">
        <v>65.95</v>
      </c>
      <c r="M523" s="843">
        <f t="shared" si="92"/>
        <v>2.5843721495895089E-3</v>
      </c>
      <c r="N523" s="842">
        <v>72.819999999999993</v>
      </c>
      <c r="O523" s="843">
        <f t="shared" si="93"/>
        <v>1.0967652367069203E-2</v>
      </c>
      <c r="P523" s="844">
        <f t="shared" si="99"/>
        <v>1.0870190077524544E-2</v>
      </c>
      <c r="Q523" s="830"/>
      <c r="R523" s="845">
        <v>1002.11</v>
      </c>
      <c r="S523" s="846">
        <f t="shared" si="94"/>
        <v>1.072134586678497E-2</v>
      </c>
      <c r="T523" s="845">
        <v>72.08</v>
      </c>
      <c r="U523" s="846">
        <f t="shared" si="95"/>
        <v>8.1118881118880104E-3</v>
      </c>
      <c r="V523" s="845">
        <v>121.6444</v>
      </c>
      <c r="W523" s="846">
        <f t="shared" si="96"/>
        <v>2.1259804839306895E-2</v>
      </c>
      <c r="X523" s="845">
        <v>33973.01</v>
      </c>
      <c r="Y523" s="846">
        <f t="shared" si="97"/>
        <v>7.9785545378752154E-3</v>
      </c>
      <c r="Z523" s="845">
        <v>3969.6140999999998</v>
      </c>
      <c r="AA523" s="846">
        <f t="shared" si="98"/>
        <v>1.284956466453524E-2</v>
      </c>
      <c r="AB523" s="843"/>
      <c r="AC523" s="832"/>
    </row>
    <row r="524" spans="1:29" ht="14.4" x14ac:dyDescent="0.55000000000000004">
      <c r="A524" s="857" t="s">
        <v>5683</v>
      </c>
      <c r="B524" s="842">
        <v>114.3</v>
      </c>
      <c r="C524" s="843">
        <f t="shared" si="89"/>
        <v>4.4819404165568066E-3</v>
      </c>
      <c r="D524" s="842">
        <v>50.96</v>
      </c>
      <c r="E524" s="843">
        <f t="shared" si="90"/>
        <v>2.5575447570334031E-3</v>
      </c>
      <c r="F524" s="842">
        <v>27.56</v>
      </c>
      <c r="G524" s="843">
        <f t="shared" si="90"/>
        <v>-1.1477761836441891E-2</v>
      </c>
      <c r="H524" s="842">
        <v>48.77</v>
      </c>
      <c r="I524" s="843">
        <f t="shared" si="90"/>
        <v>8.2084957931471969E-4</v>
      </c>
      <c r="J524" s="842">
        <v>79.599999999999994</v>
      </c>
      <c r="K524" s="843">
        <f t="shared" si="91"/>
        <v>9.2557372892099199E-3</v>
      </c>
      <c r="L524" s="842">
        <v>65.78</v>
      </c>
      <c r="M524" s="843">
        <f t="shared" si="92"/>
        <v>1.465370970229829E-2</v>
      </c>
      <c r="N524" s="842">
        <v>72.03</v>
      </c>
      <c r="O524" s="843">
        <f t="shared" si="93"/>
        <v>4.8828125E-3</v>
      </c>
      <c r="P524" s="844">
        <f t="shared" si="99"/>
        <v>3.5964046297101782E-3</v>
      </c>
      <c r="Q524" s="830"/>
      <c r="R524" s="845">
        <v>991.48</v>
      </c>
      <c r="S524" s="846">
        <f t="shared" si="94"/>
        <v>3.0958499423323627E-3</v>
      </c>
      <c r="T524" s="845">
        <v>71.5</v>
      </c>
      <c r="U524" s="846">
        <f t="shared" si="95"/>
        <v>2.7979854504756041E-4</v>
      </c>
      <c r="V524" s="845">
        <v>119.1121</v>
      </c>
      <c r="W524" s="846">
        <f t="shared" si="96"/>
        <v>4.4813363388815919E-3</v>
      </c>
      <c r="X524" s="845">
        <v>33704.1</v>
      </c>
      <c r="Y524" s="846">
        <f t="shared" si="97"/>
        <v>5.5627408246101684E-3</v>
      </c>
      <c r="Z524" s="845">
        <v>3919.2534000000001</v>
      </c>
      <c r="AA524" s="846">
        <f t="shared" si="98"/>
        <v>6.9788707406892581E-3</v>
      </c>
      <c r="AB524" s="843"/>
      <c r="AC524" s="832"/>
    </row>
    <row r="525" spans="1:29" ht="14.4" x14ac:dyDescent="0.55000000000000004">
      <c r="A525" s="857" t="s">
        <v>5684</v>
      </c>
      <c r="B525" s="842">
        <v>113.79</v>
      </c>
      <c r="C525" s="843">
        <f t="shared" si="89"/>
        <v>1.1197014129565419E-2</v>
      </c>
      <c r="D525" s="842">
        <v>50.83</v>
      </c>
      <c r="E525" s="843">
        <f t="shared" si="90"/>
        <v>6.9334389857369505E-3</v>
      </c>
      <c r="F525" s="842">
        <v>27.88</v>
      </c>
      <c r="G525" s="843">
        <f t="shared" si="90"/>
        <v>9.7790655559579776E-3</v>
      </c>
      <c r="H525" s="842">
        <v>48.73</v>
      </c>
      <c r="I525" s="843">
        <f t="shared" si="90"/>
        <v>-1.055837563451778E-2</v>
      </c>
      <c r="J525" s="842">
        <v>78.87</v>
      </c>
      <c r="K525" s="843">
        <f t="shared" si="91"/>
        <v>-1.0132995566813907E-3</v>
      </c>
      <c r="L525" s="842">
        <v>64.83</v>
      </c>
      <c r="M525" s="843">
        <f t="shared" si="92"/>
        <v>-5.2171244437625441E-3</v>
      </c>
      <c r="N525" s="842">
        <v>71.680000000000007</v>
      </c>
      <c r="O525" s="843">
        <f t="shared" si="93"/>
        <v>-5.9631119123559895E-3</v>
      </c>
      <c r="P525" s="844">
        <f t="shared" si="99"/>
        <v>7.3680101770609173E-4</v>
      </c>
      <c r="Q525" s="830"/>
      <c r="R525" s="845">
        <v>988.42</v>
      </c>
      <c r="S525" s="846">
        <f t="shared" si="94"/>
        <v>7.2864756896673377E-3</v>
      </c>
      <c r="T525" s="845">
        <v>71.48</v>
      </c>
      <c r="U525" s="846">
        <f t="shared" si="95"/>
        <v>6.7605633802816367E-3</v>
      </c>
      <c r="V525" s="845">
        <v>118.58069999999999</v>
      </c>
      <c r="W525" s="846">
        <f t="shared" si="96"/>
        <v>1.119746630782914E-2</v>
      </c>
      <c r="X525" s="845">
        <v>33517.65</v>
      </c>
      <c r="Y525" s="846">
        <f t="shared" si="97"/>
        <v>-3.3588448142927163E-3</v>
      </c>
      <c r="Z525" s="845">
        <v>3892.0909999999999</v>
      </c>
      <c r="AA525" s="846">
        <f t="shared" si="98"/>
        <v>-7.6624956907134223E-4</v>
      </c>
      <c r="AB525" s="843"/>
      <c r="AC525" s="832"/>
    </row>
    <row r="526" spans="1:29" ht="14.4" x14ac:dyDescent="0.55000000000000004">
      <c r="A526" s="857" t="s">
        <v>5685</v>
      </c>
      <c r="B526" s="842">
        <v>112.53</v>
      </c>
      <c r="C526" s="843">
        <f t="shared" si="89"/>
        <v>3.361807660512528E-2</v>
      </c>
      <c r="D526" s="842">
        <v>50.48</v>
      </c>
      <c r="E526" s="843">
        <f t="shared" si="90"/>
        <v>2.3727438653416977E-2</v>
      </c>
      <c r="F526" s="842">
        <v>27.61</v>
      </c>
      <c r="G526" s="843">
        <f t="shared" si="90"/>
        <v>1.7692591227423504E-2</v>
      </c>
      <c r="H526" s="842">
        <v>49.25</v>
      </c>
      <c r="I526" s="843">
        <f t="shared" si="90"/>
        <v>2.242059373053773E-2</v>
      </c>
      <c r="J526" s="842">
        <v>78.95</v>
      </c>
      <c r="K526" s="843">
        <f t="shared" si="91"/>
        <v>3.2701111837802443E-2</v>
      </c>
      <c r="L526" s="842">
        <v>65.17</v>
      </c>
      <c r="M526" s="843">
        <f t="shared" si="92"/>
        <v>3.6583426117385187E-2</v>
      </c>
      <c r="N526" s="842">
        <v>72.11</v>
      </c>
      <c r="O526" s="843">
        <f t="shared" si="93"/>
        <v>2.8820088457697235E-2</v>
      </c>
      <c r="P526" s="844">
        <f t="shared" si="99"/>
        <v>2.7937618089912623E-2</v>
      </c>
      <c r="Q526" s="830"/>
      <c r="R526" s="845">
        <v>981.27</v>
      </c>
      <c r="S526" s="846">
        <f t="shared" si="94"/>
        <v>2.18901327779224E-2</v>
      </c>
      <c r="T526" s="845">
        <v>71</v>
      </c>
      <c r="U526" s="846">
        <f t="shared" si="95"/>
        <v>2.0114942528735691E-2</v>
      </c>
      <c r="V526" s="845">
        <v>117.2676</v>
      </c>
      <c r="W526" s="846">
        <f t="shared" si="96"/>
        <v>3.3618178372637253E-2</v>
      </c>
      <c r="X526" s="845">
        <v>33630.61</v>
      </c>
      <c r="Y526" s="846">
        <f t="shared" si="97"/>
        <v>2.127325533372515E-2</v>
      </c>
      <c r="Z526" s="845">
        <v>3895.0756000000001</v>
      </c>
      <c r="AA526" s="846">
        <f t="shared" si="98"/>
        <v>2.2838852385002495E-2</v>
      </c>
      <c r="AB526" s="843"/>
      <c r="AC526" s="832"/>
    </row>
    <row r="527" spans="1:29" ht="14.4" x14ac:dyDescent="0.55000000000000004">
      <c r="A527" s="857" t="s">
        <v>5686</v>
      </c>
      <c r="B527" s="842">
        <v>108.87</v>
      </c>
      <c r="C527" s="843">
        <f t="shared" si="89"/>
        <v>-2.7425406467750491E-2</v>
      </c>
      <c r="D527" s="842">
        <v>49.31</v>
      </c>
      <c r="E527" s="843">
        <f t="shared" si="90"/>
        <v>-2.0275750202758402E-4</v>
      </c>
      <c r="F527" s="842">
        <v>27.13</v>
      </c>
      <c r="G527" s="843">
        <f t="shared" si="90"/>
        <v>-2.3398128149748065E-2</v>
      </c>
      <c r="H527" s="842">
        <v>48.17</v>
      </c>
      <c r="I527" s="843">
        <f t="shared" si="90"/>
        <v>-1.3920163766632521E-2</v>
      </c>
      <c r="J527" s="842">
        <v>76.45</v>
      </c>
      <c r="K527" s="843">
        <f t="shared" si="91"/>
        <v>-9.3300505377736931E-3</v>
      </c>
      <c r="L527" s="842">
        <v>62.87</v>
      </c>
      <c r="M527" s="843">
        <f t="shared" si="92"/>
        <v>-2.3302780798508782E-2</v>
      </c>
      <c r="N527" s="842">
        <v>70.09</v>
      </c>
      <c r="O527" s="843">
        <f t="shared" si="93"/>
        <v>-1.0168055359412453E-2</v>
      </c>
      <c r="P527" s="844">
        <f t="shared" si="99"/>
        <v>-1.539247751169337E-2</v>
      </c>
      <c r="Q527" s="830"/>
      <c r="R527" s="845">
        <v>960.25</v>
      </c>
      <c r="S527" s="846">
        <f t="shared" si="94"/>
        <v>-2.0572815732033178E-2</v>
      </c>
      <c r="T527" s="845">
        <v>69.599999999999994</v>
      </c>
      <c r="U527" s="846">
        <f t="shared" si="95"/>
        <v>-2.1647455721113373E-2</v>
      </c>
      <c r="V527" s="845">
        <v>113.45350000000001</v>
      </c>
      <c r="W527" s="846">
        <f t="shared" si="96"/>
        <v>-2.7425831184506477E-2</v>
      </c>
      <c r="X527" s="845">
        <v>32930.080000000002</v>
      </c>
      <c r="Y527" s="846">
        <f t="shared" si="97"/>
        <v>-1.0210169772739475E-2</v>
      </c>
      <c r="Z527" s="845">
        <v>3808.1028999999999</v>
      </c>
      <c r="AA527" s="846">
        <f t="shared" si="98"/>
        <v>-1.1643680389983313E-2</v>
      </c>
      <c r="AB527" s="843"/>
      <c r="AC527" s="832"/>
    </row>
    <row r="528" spans="1:29" ht="14.4" x14ac:dyDescent="0.55000000000000004">
      <c r="A528" s="857" t="s">
        <v>5687</v>
      </c>
      <c r="B528" s="842">
        <v>111.94</v>
      </c>
      <c r="C528" s="843">
        <f t="shared" si="89"/>
        <v>6.6546762589927422E-3</v>
      </c>
      <c r="D528" s="842">
        <v>49.32</v>
      </c>
      <c r="E528" s="843">
        <f t="shared" si="90"/>
        <v>2.6428135799960728E-3</v>
      </c>
      <c r="F528" s="842">
        <v>27.78</v>
      </c>
      <c r="G528" s="843">
        <f t="shared" si="90"/>
        <v>1.2390670553935834E-2</v>
      </c>
      <c r="H528" s="842">
        <v>48.85</v>
      </c>
      <c r="I528" s="843">
        <f t="shared" si="90"/>
        <v>1.1596603851729226E-2</v>
      </c>
      <c r="J528" s="842">
        <v>77.17</v>
      </c>
      <c r="K528" s="843">
        <f t="shared" si="91"/>
        <v>1.140235910878129E-2</v>
      </c>
      <c r="L528" s="842">
        <v>64.37</v>
      </c>
      <c r="M528" s="843">
        <f t="shared" si="92"/>
        <v>4.1922952411783898E-2</v>
      </c>
      <c r="N528" s="842">
        <v>70.81</v>
      </c>
      <c r="O528" s="843">
        <f t="shared" si="93"/>
        <v>1.9435646415203012E-2</v>
      </c>
      <c r="P528" s="844">
        <f t="shared" si="99"/>
        <v>1.5149388882917439E-2</v>
      </c>
      <c r="Q528" s="830"/>
      <c r="R528" s="845">
        <v>980.42</v>
      </c>
      <c r="S528" s="846">
        <f t="shared" si="94"/>
        <v>1.0034202826884275E-2</v>
      </c>
      <c r="T528" s="845">
        <v>71.14</v>
      </c>
      <c r="U528" s="846">
        <f t="shared" si="95"/>
        <v>9.0780141843971318E-3</v>
      </c>
      <c r="V528" s="845">
        <v>116.6528</v>
      </c>
      <c r="W528" s="846">
        <f t="shared" si="96"/>
        <v>6.6550686217656807E-3</v>
      </c>
      <c r="X528" s="845">
        <v>33269.769999999997</v>
      </c>
      <c r="Y528" s="846">
        <f t="shared" si="97"/>
        <v>4.025787978586548E-3</v>
      </c>
      <c r="Z528" s="845">
        <v>3852.9656</v>
      </c>
      <c r="AA528" s="846">
        <f t="shared" si="98"/>
        <v>7.5382735906355247E-3</v>
      </c>
      <c r="AB528" s="843"/>
      <c r="AC528" s="832"/>
    </row>
    <row r="529" spans="1:29" ht="14.4" x14ac:dyDescent="0.55000000000000004">
      <c r="A529" s="857" t="s">
        <v>5688</v>
      </c>
      <c r="B529" s="842">
        <v>111.2</v>
      </c>
      <c r="C529" s="843">
        <f t="shared" si="89"/>
        <v>-7.7630052645667469E-3</v>
      </c>
      <c r="D529" s="842">
        <v>49.19</v>
      </c>
      <c r="E529" s="843">
        <f t="shared" si="90"/>
        <v>-8.6658605401047639E-3</v>
      </c>
      <c r="F529" s="842">
        <v>27.44</v>
      </c>
      <c r="G529" s="843">
        <f t="shared" si="90"/>
        <v>7.2939460248000465E-4</v>
      </c>
      <c r="H529" s="842">
        <v>48.29</v>
      </c>
      <c r="I529" s="843">
        <f t="shared" si="90"/>
        <v>1.470897247320857E-2</v>
      </c>
      <c r="J529" s="842">
        <v>76.3</v>
      </c>
      <c r="K529" s="843">
        <f t="shared" si="91"/>
        <v>7.6597992604332532E-3</v>
      </c>
      <c r="L529" s="842">
        <v>61.78</v>
      </c>
      <c r="M529" s="843">
        <f t="shared" si="92"/>
        <v>-1.6160310277957279E-3</v>
      </c>
      <c r="N529" s="842">
        <v>69.459999999999994</v>
      </c>
      <c r="O529" s="843">
        <f t="shared" si="93"/>
        <v>8.7133313970373383E-3</v>
      </c>
      <c r="P529" s="844">
        <f t="shared" si="99"/>
        <v>1.9666572715274183E-3</v>
      </c>
      <c r="Q529" s="830"/>
      <c r="R529" s="845">
        <v>970.68</v>
      </c>
      <c r="S529" s="846">
        <f t="shared" si="94"/>
        <v>3.3905313210667032E-3</v>
      </c>
      <c r="T529" s="845">
        <v>70.5</v>
      </c>
      <c r="U529" s="846">
        <f t="shared" si="95"/>
        <v>0</v>
      </c>
      <c r="V529" s="845">
        <v>115.88160000000001</v>
      </c>
      <c r="W529" s="846">
        <f t="shared" si="96"/>
        <v>-7.7627705538744207E-3</v>
      </c>
      <c r="X529" s="845">
        <v>33136.370000000003</v>
      </c>
      <c r="Y529" s="846">
        <f t="shared" si="97"/>
        <v>-3.2823235713363985E-4</v>
      </c>
      <c r="Z529" s="845">
        <v>3824.1381999999999</v>
      </c>
      <c r="AA529" s="846">
        <f t="shared" si="98"/>
        <v>-4.0001077224550707E-3</v>
      </c>
      <c r="AB529" s="843"/>
      <c r="AC529" s="832"/>
    </row>
    <row r="530" spans="1:29" ht="14.4" x14ac:dyDescent="0.55000000000000004">
      <c r="A530" s="857" t="s">
        <v>5689</v>
      </c>
      <c r="B530" s="842">
        <v>112.07</v>
      </c>
      <c r="C530" s="843">
        <f t="shared" si="89"/>
        <v>-2.1137217224211691E-2</v>
      </c>
      <c r="D530" s="842">
        <v>49.62</v>
      </c>
      <c r="E530" s="843">
        <f t="shared" si="90"/>
        <v>-7.79844031193766E-3</v>
      </c>
      <c r="F530" s="842">
        <v>27.42</v>
      </c>
      <c r="G530" s="843">
        <f t="shared" si="90"/>
        <v>-1.5086206896551713E-2</v>
      </c>
      <c r="H530" s="842">
        <v>47.59</v>
      </c>
      <c r="I530" s="843">
        <f t="shared" si="90"/>
        <v>-1.4087424901595202E-2</v>
      </c>
      <c r="J530" s="842">
        <v>75.72</v>
      </c>
      <c r="K530" s="843">
        <f t="shared" si="91"/>
        <v>-1.3291634089132032E-2</v>
      </c>
      <c r="L530" s="842">
        <v>61.88</v>
      </c>
      <c r="M530" s="843">
        <f t="shared" si="92"/>
        <v>-1.0553245922609422E-2</v>
      </c>
      <c r="N530" s="842">
        <v>68.86</v>
      </c>
      <c r="O530" s="843">
        <f t="shared" si="93"/>
        <v>-1.8948568172104219E-2</v>
      </c>
      <c r="P530" s="844">
        <f t="shared" si="99"/>
        <v>-1.4414676788305991E-2</v>
      </c>
      <c r="Q530" s="830"/>
      <c r="R530" s="845">
        <v>967.4</v>
      </c>
      <c r="S530" s="846">
        <f t="shared" si="94"/>
        <v>-1.0666475767771577E-2</v>
      </c>
      <c r="T530" s="845">
        <v>70.5</v>
      </c>
      <c r="U530" s="846">
        <f t="shared" si="95"/>
        <v>-9.5532452936218926E-3</v>
      </c>
      <c r="V530" s="845">
        <v>116.7882</v>
      </c>
      <c r="W530" s="846">
        <f t="shared" si="96"/>
        <v>-2.113735551307061E-2</v>
      </c>
      <c r="X530" s="845">
        <v>33147.25</v>
      </c>
      <c r="Y530" s="846">
        <f t="shared" si="97"/>
        <v>-2.2139743774984844E-3</v>
      </c>
      <c r="Z530" s="845">
        <v>3839.4965999999999</v>
      </c>
      <c r="AA530" s="846">
        <f t="shared" si="98"/>
        <v>-2.5424473834504413E-3</v>
      </c>
      <c r="AB530" s="843"/>
      <c r="AC530" s="832"/>
    </row>
    <row r="531" spans="1:29" ht="14.4" x14ac:dyDescent="0.55000000000000004">
      <c r="A531" s="857" t="s">
        <v>5690</v>
      </c>
      <c r="B531" s="842">
        <v>114.49</v>
      </c>
      <c r="C531" s="843">
        <f t="shared" si="89"/>
        <v>-5.0404101851047045E-3</v>
      </c>
      <c r="D531" s="842">
        <v>50.01</v>
      </c>
      <c r="E531" s="843">
        <f t="shared" si="90"/>
        <v>1.6670054889205144E-2</v>
      </c>
      <c r="F531" s="842">
        <v>27.84</v>
      </c>
      <c r="G531" s="843">
        <f t="shared" si="90"/>
        <v>1.0526315789473717E-2</v>
      </c>
      <c r="H531" s="842">
        <v>48.27</v>
      </c>
      <c r="I531" s="843">
        <f t="shared" si="90"/>
        <v>2.0291693088142049E-2</v>
      </c>
      <c r="J531" s="842">
        <v>76.739999999999995</v>
      </c>
      <c r="K531" s="843">
        <f t="shared" si="91"/>
        <v>1.6020124453859363E-2</v>
      </c>
      <c r="L531" s="842">
        <v>62.54</v>
      </c>
      <c r="M531" s="843">
        <f t="shared" si="92"/>
        <v>-9.5846645367414496E-4</v>
      </c>
      <c r="N531" s="842">
        <v>70.19</v>
      </c>
      <c r="O531" s="843">
        <f t="shared" si="93"/>
        <v>1.3135103926096958E-2</v>
      </c>
      <c r="P531" s="844">
        <f t="shared" si="99"/>
        <v>1.0092059358285483E-2</v>
      </c>
      <c r="Q531" s="830"/>
      <c r="R531" s="845">
        <v>977.83</v>
      </c>
      <c r="S531" s="846">
        <f t="shared" si="94"/>
        <v>4.5510581467023137E-3</v>
      </c>
      <c r="T531" s="845">
        <v>71.180000000000007</v>
      </c>
      <c r="U531" s="846">
        <f t="shared" si="95"/>
        <v>7.2166407244942388E-3</v>
      </c>
      <c r="V531" s="845">
        <v>119.31010000000001</v>
      </c>
      <c r="W531" s="846">
        <f t="shared" si="96"/>
        <v>-5.0402578503850881E-3</v>
      </c>
      <c r="X531" s="845">
        <v>33220.800000000003</v>
      </c>
      <c r="Y531" s="846">
        <f t="shared" si="97"/>
        <v>1.0496807521419349E-2</v>
      </c>
      <c r="Z531" s="845">
        <v>3849.2831999999999</v>
      </c>
      <c r="AA531" s="846">
        <f t="shared" si="98"/>
        <v>1.7461650874879941E-2</v>
      </c>
      <c r="AB531" s="843"/>
      <c r="AC531" s="832"/>
    </row>
    <row r="532" spans="1:29" ht="14.4" x14ac:dyDescent="0.55000000000000004">
      <c r="A532" s="857" t="s">
        <v>5691</v>
      </c>
      <c r="B532" s="842">
        <v>115.07</v>
      </c>
      <c r="C532" s="843">
        <f t="shared" si="89"/>
        <v>-4.4125281190517951E-3</v>
      </c>
      <c r="D532" s="842">
        <v>49.19</v>
      </c>
      <c r="E532" s="843">
        <f t="shared" si="90"/>
        <v>-6.8645265495660412E-3</v>
      </c>
      <c r="F532" s="842">
        <v>27.55</v>
      </c>
      <c r="G532" s="843">
        <f t="shared" si="90"/>
        <v>-8.9928057553957386E-3</v>
      </c>
      <c r="H532" s="842">
        <v>47.31</v>
      </c>
      <c r="I532" s="843">
        <f t="shared" si="90"/>
        <v>-1.1904761904761862E-2</v>
      </c>
      <c r="J532" s="842">
        <v>75.53</v>
      </c>
      <c r="K532" s="843">
        <f t="shared" si="91"/>
        <v>-5.136986301369828E-3</v>
      </c>
      <c r="L532" s="842">
        <v>62.6</v>
      </c>
      <c r="M532" s="843">
        <f t="shared" si="92"/>
        <v>6.59269979096333E-3</v>
      </c>
      <c r="N532" s="842">
        <v>69.28</v>
      </c>
      <c r="O532" s="843">
        <f t="shared" si="93"/>
        <v>-9.295009295009371E-3</v>
      </c>
      <c r="P532" s="844">
        <f t="shared" si="99"/>
        <v>-5.7162740191701866E-3</v>
      </c>
      <c r="Q532" s="830"/>
      <c r="R532" s="845">
        <v>973.4</v>
      </c>
      <c r="S532" s="846">
        <f t="shared" si="94"/>
        <v>-9.130979162637276E-3</v>
      </c>
      <c r="T532" s="845">
        <v>70.67</v>
      </c>
      <c r="U532" s="846">
        <f t="shared" si="95"/>
        <v>-9.5304835318850145E-3</v>
      </c>
      <c r="V532" s="845">
        <v>119.9145</v>
      </c>
      <c r="W532" s="846">
        <f t="shared" si="96"/>
        <v>-4.4127658867874064E-3</v>
      </c>
      <c r="X532" s="845">
        <v>32875.71</v>
      </c>
      <c r="Y532" s="846">
        <f t="shared" si="97"/>
        <v>-1.1005801171786067E-2</v>
      </c>
      <c r="Z532" s="845">
        <v>3783.2219</v>
      </c>
      <c r="AA532" s="846">
        <f t="shared" si="98"/>
        <v>-1.2019953884956025E-2</v>
      </c>
      <c r="AB532" s="843"/>
      <c r="AC532" s="832"/>
    </row>
    <row r="533" spans="1:29" ht="14.4" x14ac:dyDescent="0.55000000000000004">
      <c r="A533" s="857" t="s">
        <v>5692</v>
      </c>
      <c r="B533" s="842">
        <v>115.58</v>
      </c>
      <c r="C533" s="843">
        <f t="shared" si="89"/>
        <v>4.1702867072110905E-3</v>
      </c>
      <c r="D533" s="842">
        <v>49.53</v>
      </c>
      <c r="E533" s="843">
        <f t="shared" si="90"/>
        <v>-2.2159548751007341E-3</v>
      </c>
      <c r="F533" s="842">
        <v>27.8</v>
      </c>
      <c r="G533" s="843">
        <f t="shared" si="90"/>
        <v>3.2479249368460028E-3</v>
      </c>
      <c r="H533" s="842">
        <v>47.88</v>
      </c>
      <c r="I533" s="843">
        <f t="shared" si="90"/>
        <v>3.3528918692373733E-3</v>
      </c>
      <c r="J533" s="842">
        <v>75.92</v>
      </c>
      <c r="K533" s="843">
        <f t="shared" si="91"/>
        <v>5.0304474450622028E-3</v>
      </c>
      <c r="L533" s="842">
        <v>62.19</v>
      </c>
      <c r="M533" s="843">
        <f t="shared" si="92"/>
        <v>-3.2149172158824069E-4</v>
      </c>
      <c r="N533" s="842">
        <v>69.930000000000007</v>
      </c>
      <c r="O533" s="843">
        <f t="shared" si="93"/>
        <v>3.2998565279771519E-3</v>
      </c>
      <c r="P533" s="844">
        <f t="shared" si="99"/>
        <v>2.3662801270921208E-3</v>
      </c>
      <c r="Q533" s="830"/>
      <c r="R533" s="845">
        <v>982.37</v>
      </c>
      <c r="S533" s="846">
        <f t="shared" si="94"/>
        <v>6.9599622788494298E-3</v>
      </c>
      <c r="T533" s="845">
        <v>71.349999999999994</v>
      </c>
      <c r="U533" s="846">
        <f t="shared" si="95"/>
        <v>6.2050486532223559E-3</v>
      </c>
      <c r="V533" s="845">
        <v>120.446</v>
      </c>
      <c r="W533" s="846">
        <f t="shared" si="96"/>
        <v>4.1702168812913776E-3</v>
      </c>
      <c r="X533" s="845">
        <v>33241.56</v>
      </c>
      <c r="Y533" s="846">
        <f t="shared" si="97"/>
        <v>1.1332995823083447E-3</v>
      </c>
      <c r="Z533" s="845">
        <v>3829.2492999999999</v>
      </c>
      <c r="AA533" s="846">
        <f t="shared" si="98"/>
        <v>-4.0484912798145478E-3</v>
      </c>
      <c r="AB533" s="843"/>
      <c r="AC533" s="832"/>
    </row>
    <row r="534" spans="1:29" ht="14.4" x14ac:dyDescent="0.55000000000000004">
      <c r="A534" s="857" t="s">
        <v>5693</v>
      </c>
      <c r="B534" s="842">
        <v>115.1</v>
      </c>
      <c r="C534" s="843">
        <f t="shared" si="89"/>
        <v>9.3834955713407719E-3</v>
      </c>
      <c r="D534" s="842">
        <v>49.64</v>
      </c>
      <c r="E534" s="843">
        <f t="shared" si="90"/>
        <v>1.7213114754098369E-2</v>
      </c>
      <c r="F534" s="842">
        <v>27.71</v>
      </c>
      <c r="G534" s="843">
        <f t="shared" si="90"/>
        <v>1.0576221735959068E-2</v>
      </c>
      <c r="H534" s="842">
        <v>47.72</v>
      </c>
      <c r="I534" s="843">
        <f t="shared" si="90"/>
        <v>2.0748663101604281E-2</v>
      </c>
      <c r="J534" s="842">
        <v>75.540000000000006</v>
      </c>
      <c r="K534" s="843">
        <f t="shared" si="91"/>
        <v>8.2754938601174999E-3</v>
      </c>
      <c r="L534" s="842">
        <v>62.21</v>
      </c>
      <c r="M534" s="843">
        <f t="shared" si="92"/>
        <v>9.5748133722817208E-3</v>
      </c>
      <c r="N534" s="842">
        <v>69.7</v>
      </c>
      <c r="O534" s="843">
        <f t="shared" si="93"/>
        <v>1.7964071856287456E-2</v>
      </c>
      <c r="P534" s="844">
        <f t="shared" si="99"/>
        <v>1.3390839178812739E-2</v>
      </c>
      <c r="Q534" s="830"/>
      <c r="R534" s="845">
        <v>975.58</v>
      </c>
      <c r="S534" s="846">
        <f t="shared" si="94"/>
        <v>9.6663354860075934E-3</v>
      </c>
      <c r="T534" s="845">
        <v>70.91</v>
      </c>
      <c r="U534" s="846">
        <f t="shared" si="95"/>
        <v>1.025787149166546E-2</v>
      </c>
      <c r="V534" s="845">
        <v>119.94580000000001</v>
      </c>
      <c r="W534" s="846">
        <f t="shared" si="96"/>
        <v>9.3830892327579907E-3</v>
      </c>
      <c r="X534" s="845">
        <v>33203.93</v>
      </c>
      <c r="Y534" s="846">
        <f t="shared" si="97"/>
        <v>5.3422164384882009E-3</v>
      </c>
      <c r="Z534" s="845">
        <v>3844.8150000000001</v>
      </c>
      <c r="AA534" s="846">
        <f t="shared" si="98"/>
        <v>5.8676166909015226E-3</v>
      </c>
      <c r="AB534" s="843"/>
      <c r="AC534" s="832"/>
    </row>
    <row r="535" spans="1:29" ht="14.4" x14ac:dyDescent="0.55000000000000004">
      <c r="A535" s="857" t="s">
        <v>5694</v>
      </c>
      <c r="B535" s="842">
        <v>114.03</v>
      </c>
      <c r="C535" s="843">
        <f t="shared" si="89"/>
        <v>-4.8001396404259156E-3</v>
      </c>
      <c r="D535" s="842">
        <v>48.8</v>
      </c>
      <c r="E535" s="843">
        <f t="shared" si="90"/>
        <v>-9.1370558375635236E-3</v>
      </c>
      <c r="F535" s="842">
        <v>27.42</v>
      </c>
      <c r="G535" s="843">
        <f t="shared" si="90"/>
        <v>-4.7186932849364593E-3</v>
      </c>
      <c r="H535" s="842">
        <v>46.75</v>
      </c>
      <c r="I535" s="843">
        <f t="shared" si="90"/>
        <v>-1.2463033375580967E-2</v>
      </c>
      <c r="J535" s="842">
        <v>74.92</v>
      </c>
      <c r="K535" s="843">
        <f t="shared" si="91"/>
        <v>-7.4191838897721407E-3</v>
      </c>
      <c r="L535" s="842">
        <v>61.62</v>
      </c>
      <c r="M535" s="843">
        <f t="shared" si="92"/>
        <v>-2.1749484045086587E-2</v>
      </c>
      <c r="N535" s="842">
        <v>68.47</v>
      </c>
      <c r="O535" s="843">
        <f t="shared" si="93"/>
        <v>1.9022534386887724E-3</v>
      </c>
      <c r="P535" s="844">
        <f t="shared" si="99"/>
        <v>-8.3407623763824025E-3</v>
      </c>
      <c r="Q535" s="830"/>
      <c r="R535" s="845">
        <v>966.24</v>
      </c>
      <c r="S535" s="846">
        <f t="shared" si="94"/>
        <v>-4.3689720550655897E-3</v>
      </c>
      <c r="T535" s="845">
        <v>70.19</v>
      </c>
      <c r="U535" s="846">
        <f t="shared" si="95"/>
        <v>-6.0889266496744199E-3</v>
      </c>
      <c r="V535" s="845">
        <v>118.8308</v>
      </c>
      <c r="W535" s="846">
        <f t="shared" si="96"/>
        <v>-4.7996757224847419E-3</v>
      </c>
      <c r="X535" s="845">
        <v>33027.49</v>
      </c>
      <c r="Y535" s="846">
        <f t="shared" si="97"/>
        <v>-1.0456165539326046E-2</v>
      </c>
      <c r="Z535" s="845">
        <v>3822.3867</v>
      </c>
      <c r="AA535" s="846">
        <f t="shared" si="98"/>
        <v>-1.4452537618217631E-2</v>
      </c>
      <c r="AB535" s="843"/>
      <c r="AC535" s="832"/>
    </row>
    <row r="536" spans="1:29" ht="14.4" x14ac:dyDescent="0.55000000000000004">
      <c r="A536" s="857" t="s">
        <v>5695</v>
      </c>
      <c r="B536" s="842">
        <v>114.58</v>
      </c>
      <c r="C536" s="843">
        <f t="shared" si="89"/>
        <v>1.3354559122667364E-2</v>
      </c>
      <c r="D536" s="842">
        <v>49.25</v>
      </c>
      <c r="E536" s="843">
        <f t="shared" si="90"/>
        <v>1.2332990750256956E-2</v>
      </c>
      <c r="F536" s="842">
        <v>27.55</v>
      </c>
      <c r="G536" s="843">
        <f t="shared" si="90"/>
        <v>1.7731806427779828E-2</v>
      </c>
      <c r="H536" s="842">
        <v>47.34</v>
      </c>
      <c r="I536" s="843">
        <f t="shared" si="90"/>
        <v>2.7536538868884186E-3</v>
      </c>
      <c r="J536" s="842">
        <v>75.48</v>
      </c>
      <c r="K536" s="843">
        <f t="shared" si="91"/>
        <v>5.8635394456290069E-3</v>
      </c>
      <c r="L536" s="842">
        <v>62.99</v>
      </c>
      <c r="M536" s="843">
        <f t="shared" si="92"/>
        <v>1.1400128452151659E-2</v>
      </c>
      <c r="N536" s="842">
        <v>68.34</v>
      </c>
      <c r="O536" s="843">
        <f t="shared" si="93"/>
        <v>2.6742788461538547E-2</v>
      </c>
      <c r="P536" s="844">
        <f t="shared" si="99"/>
        <v>1.2882780935273111E-2</v>
      </c>
      <c r="Q536" s="830"/>
      <c r="R536" s="845">
        <v>970.48</v>
      </c>
      <c r="S536" s="846">
        <f t="shared" si="94"/>
        <v>1.2509259355861779E-2</v>
      </c>
      <c r="T536" s="845">
        <v>70.62</v>
      </c>
      <c r="U536" s="846">
        <f t="shared" si="95"/>
        <v>1.392677674084708E-2</v>
      </c>
      <c r="V536" s="845">
        <v>119.40389999999999</v>
      </c>
      <c r="W536" s="846">
        <f t="shared" si="96"/>
        <v>1.3354799232455417E-2</v>
      </c>
      <c r="X536" s="845">
        <v>33376.480000000003</v>
      </c>
      <c r="Y536" s="846">
        <f t="shared" si="97"/>
        <v>1.6034830108244469E-2</v>
      </c>
      <c r="Z536" s="845">
        <v>3878.44</v>
      </c>
      <c r="AA536" s="846">
        <f t="shared" si="98"/>
        <v>1.4868199590990061E-2</v>
      </c>
      <c r="AB536" s="843"/>
      <c r="AC536" s="832"/>
    </row>
    <row r="537" spans="1:29" ht="14.4" x14ac:dyDescent="0.55000000000000004">
      <c r="A537" s="857" t="s">
        <v>5696</v>
      </c>
      <c r="B537" s="842">
        <v>113.07</v>
      </c>
      <c r="C537" s="843">
        <f t="shared" si="89"/>
        <v>-3.6129714487135312E-3</v>
      </c>
      <c r="D537" s="842">
        <v>48.65</v>
      </c>
      <c r="E537" s="843">
        <f t="shared" si="90"/>
        <v>2.6793075020608015E-3</v>
      </c>
      <c r="F537" s="842">
        <v>27.07</v>
      </c>
      <c r="G537" s="843">
        <f t="shared" si="90"/>
        <v>7.3937153419589841E-4</v>
      </c>
      <c r="H537" s="842">
        <v>47.21</v>
      </c>
      <c r="I537" s="843">
        <f t="shared" si="90"/>
        <v>8.1144565449497996E-3</v>
      </c>
      <c r="J537" s="842">
        <v>75.040000000000006</v>
      </c>
      <c r="K537" s="843">
        <f t="shared" si="91"/>
        <v>4.6860356138707093E-3</v>
      </c>
      <c r="L537" s="842">
        <v>62.28</v>
      </c>
      <c r="M537" s="843">
        <f t="shared" si="92"/>
        <v>-1.0328936914031472E-2</v>
      </c>
      <c r="N537" s="842">
        <v>66.56</v>
      </c>
      <c r="O537" s="843">
        <f t="shared" si="93"/>
        <v>2.4096385542167198E-3</v>
      </c>
      <c r="P537" s="844">
        <f t="shared" si="99"/>
        <v>6.6955734093556069E-4</v>
      </c>
      <c r="Q537" s="830"/>
      <c r="R537" s="845">
        <v>958.49</v>
      </c>
      <c r="S537" s="846">
        <f t="shared" si="94"/>
        <v>-1.2564398010285194E-3</v>
      </c>
      <c r="T537" s="845">
        <v>69.650000000000006</v>
      </c>
      <c r="U537" s="846">
        <f t="shared" si="95"/>
        <v>2.8723251472073663E-4</v>
      </c>
      <c r="V537" s="845">
        <v>117.83029999999999</v>
      </c>
      <c r="W537" s="846">
        <f t="shared" si="96"/>
        <v>-3.6132984264859447E-3</v>
      </c>
      <c r="X537" s="845">
        <v>32849.74</v>
      </c>
      <c r="Y537" s="846">
        <f t="shared" si="97"/>
        <v>2.8147201923152121E-3</v>
      </c>
      <c r="Z537" s="845">
        <v>3821.6194</v>
      </c>
      <c r="AA537" s="846">
        <f t="shared" si="98"/>
        <v>1.0375994372675557E-3</v>
      </c>
      <c r="AB537" s="843"/>
      <c r="AC537" s="832"/>
    </row>
    <row r="538" spans="1:29" ht="14.4" x14ac:dyDescent="0.55000000000000004">
      <c r="A538" s="857" t="s">
        <v>5697</v>
      </c>
      <c r="B538" s="842">
        <v>113.48</v>
      </c>
      <c r="C538" s="843">
        <f t="shared" si="89"/>
        <v>-1.1239871046440641E-2</v>
      </c>
      <c r="D538" s="842">
        <v>48.52</v>
      </c>
      <c r="E538" s="843">
        <f t="shared" si="90"/>
        <v>-1.0294420424129536E-3</v>
      </c>
      <c r="F538" s="842">
        <v>27.05</v>
      </c>
      <c r="G538" s="843">
        <f t="shared" si="90"/>
        <v>-5.1489518205222184E-3</v>
      </c>
      <c r="H538" s="842">
        <v>46.83</v>
      </c>
      <c r="I538" s="843">
        <f t="shared" si="90"/>
        <v>1.0574018126888074E-2</v>
      </c>
      <c r="J538" s="842">
        <v>74.69</v>
      </c>
      <c r="K538" s="843">
        <f t="shared" si="91"/>
        <v>4.9784714747040937E-3</v>
      </c>
      <c r="L538" s="842">
        <v>62.93</v>
      </c>
      <c r="M538" s="843">
        <f t="shared" si="92"/>
        <v>-1.1932799497566315E-2</v>
      </c>
      <c r="N538" s="842">
        <v>66.400000000000006</v>
      </c>
      <c r="O538" s="843">
        <f t="shared" si="93"/>
        <v>9.1185410334346795E-3</v>
      </c>
      <c r="P538" s="844">
        <f t="shared" si="99"/>
        <v>-6.6857625313075457E-4</v>
      </c>
      <c r="Q538" s="830"/>
      <c r="R538" s="845">
        <v>959.69579999999996</v>
      </c>
      <c r="S538" s="846">
        <f t="shared" si="94"/>
        <v>-3.679456833188044E-3</v>
      </c>
      <c r="T538" s="845">
        <v>69.63</v>
      </c>
      <c r="U538" s="846">
        <f t="shared" si="95"/>
        <v>-1.2060158910329299E-2</v>
      </c>
      <c r="V538" s="845">
        <v>118.2576</v>
      </c>
      <c r="W538" s="846">
        <f t="shared" si="96"/>
        <v>-1.1239787996679018E-2</v>
      </c>
      <c r="X538" s="845">
        <v>32757.536700000001</v>
      </c>
      <c r="Y538" s="846">
        <f t="shared" si="97"/>
        <v>-4.9489982825270395E-3</v>
      </c>
      <c r="Z538" s="845">
        <v>3817.6581999999999</v>
      </c>
      <c r="AA538" s="846">
        <f t="shared" si="98"/>
        <v>-9.0088588730306007E-3</v>
      </c>
      <c r="AB538" s="843"/>
      <c r="AC538" s="832"/>
    </row>
    <row r="539" spans="1:29" ht="14.4" x14ac:dyDescent="0.55000000000000004">
      <c r="A539" s="857" t="s">
        <v>5698</v>
      </c>
      <c r="B539" s="842">
        <v>114.77</v>
      </c>
      <c r="C539" s="843">
        <f t="shared" si="89"/>
        <v>-1.7884648297107675E-2</v>
      </c>
      <c r="D539" s="842">
        <v>48.57</v>
      </c>
      <c r="E539" s="843">
        <f t="shared" si="90"/>
        <v>-1.0995723885155795E-2</v>
      </c>
      <c r="F539" s="842">
        <v>27.19</v>
      </c>
      <c r="G539" s="843">
        <f t="shared" si="90"/>
        <v>-9.1107871720116362E-3</v>
      </c>
      <c r="H539" s="842">
        <v>46.34</v>
      </c>
      <c r="I539" s="843">
        <f t="shared" si="90"/>
        <v>-1.2150927307610138E-2</v>
      </c>
      <c r="J539" s="842">
        <v>74.319999999999993</v>
      </c>
      <c r="K539" s="843">
        <f t="shared" si="91"/>
        <v>-2.5183630640083998E-2</v>
      </c>
      <c r="L539" s="842">
        <v>63.69</v>
      </c>
      <c r="M539" s="843">
        <f t="shared" si="92"/>
        <v>-2.0003077396522517E-2</v>
      </c>
      <c r="N539" s="842">
        <v>65.8</v>
      </c>
      <c r="O539" s="843">
        <f t="shared" si="93"/>
        <v>-1.6001196351129177E-2</v>
      </c>
      <c r="P539" s="844">
        <f t="shared" si="99"/>
        <v>-1.5904284435660134E-2</v>
      </c>
      <c r="Q539" s="830"/>
      <c r="R539" s="845">
        <v>963.24</v>
      </c>
      <c r="S539" s="846">
        <f t="shared" si="94"/>
        <v>-1.8973998594518648E-2</v>
      </c>
      <c r="T539" s="845">
        <v>70.48</v>
      </c>
      <c r="U539" s="846">
        <f t="shared" si="95"/>
        <v>-1.7015341701534181E-2</v>
      </c>
      <c r="V539" s="845">
        <v>119.6019</v>
      </c>
      <c r="W539" s="846">
        <f t="shared" si="96"/>
        <v>-1.7884724819120401E-2</v>
      </c>
      <c r="X539" s="845">
        <v>32920.46</v>
      </c>
      <c r="Y539" s="846">
        <f t="shared" si="97"/>
        <v>-8.486179538597205E-3</v>
      </c>
      <c r="Z539" s="845">
        <v>3852.3636000000001</v>
      </c>
      <c r="AA539" s="846">
        <f t="shared" si="98"/>
        <v>-1.1137691906723091E-2</v>
      </c>
      <c r="AB539" s="843"/>
      <c r="AC539" s="832"/>
    </row>
    <row r="540" spans="1:29" ht="14.4" x14ac:dyDescent="0.55000000000000004">
      <c r="A540" s="857" t="s">
        <v>5699</v>
      </c>
      <c r="B540" s="842">
        <v>116.86</v>
      </c>
      <c r="C540" s="843">
        <f t="shared" si="89"/>
        <v>-1.2506337671117196E-2</v>
      </c>
      <c r="D540" s="842">
        <v>49.11</v>
      </c>
      <c r="E540" s="843">
        <f t="shared" si="90"/>
        <v>-1.543704891740183E-2</v>
      </c>
      <c r="F540" s="842">
        <v>27.44</v>
      </c>
      <c r="G540" s="843">
        <f t="shared" si="90"/>
        <v>-1.3659237958303372E-2</v>
      </c>
      <c r="H540" s="842">
        <v>46.91</v>
      </c>
      <c r="I540" s="843">
        <f t="shared" si="90"/>
        <v>-8.8738643566448339E-3</v>
      </c>
      <c r="J540" s="842">
        <v>76.239999999999995</v>
      </c>
      <c r="K540" s="843">
        <f t="shared" si="91"/>
        <v>-3.3468559837728229E-2</v>
      </c>
      <c r="L540" s="842">
        <v>64.989999999999995</v>
      </c>
      <c r="M540" s="843">
        <f t="shared" si="92"/>
        <v>-8.8627121020894761E-2</v>
      </c>
      <c r="N540" s="842">
        <v>66.87</v>
      </c>
      <c r="O540" s="843">
        <f t="shared" si="93"/>
        <v>-1.4443625644804614E-2</v>
      </c>
      <c r="P540" s="844">
        <f t="shared" si="99"/>
        <v>-2.6716542200984978E-2</v>
      </c>
      <c r="Q540" s="830"/>
      <c r="R540" s="845">
        <v>981.87</v>
      </c>
      <c r="S540" s="846">
        <f t="shared" si="94"/>
        <v>-1.2987665738497522E-2</v>
      </c>
      <c r="T540" s="845">
        <v>71.7</v>
      </c>
      <c r="U540" s="846">
        <f t="shared" si="95"/>
        <v>-1.2124552218241824E-2</v>
      </c>
      <c r="V540" s="845">
        <v>121.7799</v>
      </c>
      <c r="W540" s="846">
        <f t="shared" si="96"/>
        <v>-1.2506264078973595E-2</v>
      </c>
      <c r="X540" s="845">
        <v>33202.22</v>
      </c>
      <c r="Y540" s="846">
        <f t="shared" si="97"/>
        <v>-2.249667685812573E-2</v>
      </c>
      <c r="Z540" s="845">
        <v>3895.7532999999999</v>
      </c>
      <c r="AA540" s="846">
        <f t="shared" si="98"/>
        <v>-2.4920515101836571E-2</v>
      </c>
      <c r="AB540" s="843"/>
      <c r="AC540" s="832"/>
    </row>
    <row r="541" spans="1:29" ht="14.4" x14ac:dyDescent="0.55000000000000004">
      <c r="A541" s="857" t="s">
        <v>5700</v>
      </c>
      <c r="B541" s="842">
        <v>118.34</v>
      </c>
      <c r="C541" s="843">
        <f t="shared" si="89"/>
        <v>-1.6029697123091102E-3</v>
      </c>
      <c r="D541" s="842">
        <v>49.88</v>
      </c>
      <c r="E541" s="843">
        <f t="shared" si="90"/>
        <v>3.2180209171359664E-3</v>
      </c>
      <c r="F541" s="842">
        <v>27.82</v>
      </c>
      <c r="G541" s="843">
        <f t="shared" si="90"/>
        <v>-3.9384174722519871E-3</v>
      </c>
      <c r="H541" s="842">
        <v>47.33</v>
      </c>
      <c r="I541" s="843">
        <f t="shared" si="90"/>
        <v>-1.1487050960735212E-2</v>
      </c>
      <c r="J541" s="842">
        <v>78.88</v>
      </c>
      <c r="K541" s="843">
        <f t="shared" si="91"/>
        <v>7.0215753861866403E-3</v>
      </c>
      <c r="L541" s="842">
        <v>71.31</v>
      </c>
      <c r="M541" s="843">
        <f t="shared" si="92"/>
        <v>4.3661971830986079E-3</v>
      </c>
      <c r="N541" s="842">
        <v>67.849999999999994</v>
      </c>
      <c r="O541" s="843">
        <f t="shared" si="93"/>
        <v>-2.2058823529412797E-3</v>
      </c>
      <c r="P541" s="844">
        <f t="shared" si="99"/>
        <v>-6.6121814454519633E-4</v>
      </c>
      <c r="Q541" s="830"/>
      <c r="R541" s="845">
        <v>994.79</v>
      </c>
      <c r="S541" s="846">
        <f t="shared" si="94"/>
        <v>-2.3567402771927926E-3</v>
      </c>
      <c r="T541" s="845">
        <v>72.58</v>
      </c>
      <c r="U541" s="846">
        <f t="shared" si="95"/>
        <v>-1.238475299298214E-3</v>
      </c>
      <c r="V541" s="845">
        <v>123.3222</v>
      </c>
      <c r="W541" s="846">
        <f t="shared" si="96"/>
        <v>-1.6029766791181288E-3</v>
      </c>
      <c r="X541" s="845">
        <v>33966.35</v>
      </c>
      <c r="Y541" s="846">
        <f t="shared" si="97"/>
        <v>-4.1716702864729172E-3</v>
      </c>
      <c r="Z541" s="845">
        <v>3995.3186999999998</v>
      </c>
      <c r="AA541" s="846">
        <f t="shared" si="98"/>
        <v>-6.054177194934951E-3</v>
      </c>
      <c r="AB541" s="843"/>
      <c r="AC541" s="832"/>
    </row>
    <row r="542" spans="1:29" ht="14.4" x14ac:dyDescent="0.55000000000000004">
      <c r="A542" s="857" t="s">
        <v>5701</v>
      </c>
      <c r="B542" s="842">
        <v>118.53</v>
      </c>
      <c r="C542" s="843">
        <f t="shared" si="89"/>
        <v>-3.9495798319327813E-3</v>
      </c>
      <c r="D542" s="842">
        <v>49.72</v>
      </c>
      <c r="E542" s="843">
        <f t="shared" si="90"/>
        <v>-1.9522776572668099E-2</v>
      </c>
      <c r="F542" s="842">
        <v>27.93</v>
      </c>
      <c r="G542" s="843">
        <f t="shared" si="90"/>
        <v>-5.3418803418803229E-3</v>
      </c>
      <c r="H542" s="842">
        <v>47.88</v>
      </c>
      <c r="I542" s="843">
        <f t="shared" si="90"/>
        <v>-9.9255583126550695E-3</v>
      </c>
      <c r="J542" s="842">
        <v>78.33</v>
      </c>
      <c r="K542" s="843">
        <f t="shared" si="91"/>
        <v>-5.8383043533444257E-3</v>
      </c>
      <c r="L542" s="842">
        <v>71</v>
      </c>
      <c r="M542" s="843">
        <f t="shared" si="92"/>
        <v>-7.5482247693599014E-3</v>
      </c>
      <c r="N542" s="842">
        <v>68</v>
      </c>
      <c r="O542" s="843">
        <f t="shared" si="93"/>
        <v>-6.1385559777843435E-3</v>
      </c>
      <c r="P542" s="844">
        <f t="shared" si="99"/>
        <v>-8.3235543085178488E-3</v>
      </c>
      <c r="Q542" s="830"/>
      <c r="R542" s="845">
        <v>997.14</v>
      </c>
      <c r="S542" s="846">
        <f t="shared" si="94"/>
        <v>2.9975054317212813E-3</v>
      </c>
      <c r="T542" s="845">
        <v>72.67</v>
      </c>
      <c r="U542" s="846">
        <f t="shared" si="95"/>
        <v>3.0365769496203399E-3</v>
      </c>
      <c r="V542" s="845">
        <v>123.5202</v>
      </c>
      <c r="W542" s="846">
        <f t="shared" si="96"/>
        <v>-3.9496814773002376E-3</v>
      </c>
      <c r="X542" s="845">
        <v>34108.639999999999</v>
      </c>
      <c r="Y542" s="846">
        <f t="shared" si="97"/>
        <v>3.0466072088137786E-3</v>
      </c>
      <c r="Z542" s="845">
        <v>4019.6543999999999</v>
      </c>
      <c r="AA542" s="846">
        <f t="shared" si="98"/>
        <v>7.2914373492927176E-3</v>
      </c>
      <c r="AB542" s="843"/>
      <c r="AC542" s="832"/>
    </row>
    <row r="543" spans="1:29" ht="14.4" x14ac:dyDescent="0.55000000000000004">
      <c r="A543" s="857" t="s">
        <v>5702</v>
      </c>
      <c r="B543" s="842">
        <v>119</v>
      </c>
      <c r="C543" s="843">
        <f t="shared" si="89"/>
        <v>1.1302795954788891E-2</v>
      </c>
      <c r="D543" s="842">
        <v>50.71</v>
      </c>
      <c r="E543" s="843">
        <f t="shared" si="90"/>
        <v>1.6028851933480359E-2</v>
      </c>
      <c r="F543" s="842">
        <v>28.08</v>
      </c>
      <c r="G543" s="843">
        <f t="shared" si="90"/>
        <v>2.5191675794085322E-2</v>
      </c>
      <c r="H543" s="842">
        <v>48.36</v>
      </c>
      <c r="I543" s="843">
        <f t="shared" si="90"/>
        <v>8.1300813008129413E-3</v>
      </c>
      <c r="J543" s="842">
        <v>78.790000000000006</v>
      </c>
      <c r="K543" s="843">
        <f t="shared" si="91"/>
        <v>2.086032650945846E-2</v>
      </c>
      <c r="L543" s="842">
        <v>71.540000000000006</v>
      </c>
      <c r="M543" s="843">
        <f t="shared" si="92"/>
        <v>1.2310740059431113E-2</v>
      </c>
      <c r="N543" s="842">
        <v>68.42</v>
      </c>
      <c r="O543" s="843">
        <f t="shared" si="93"/>
        <v>1.0635155096011761E-2</v>
      </c>
      <c r="P543" s="844">
        <f t="shared" si="99"/>
        <v>1.4922803806866978E-2</v>
      </c>
      <c r="Q543" s="830"/>
      <c r="R543" s="845">
        <v>994.16</v>
      </c>
      <c r="S543" s="846">
        <f t="shared" si="94"/>
        <v>2.0373392452094352E-2</v>
      </c>
      <c r="T543" s="845">
        <v>72.45</v>
      </c>
      <c r="U543" s="846">
        <f t="shared" si="95"/>
        <v>2.2871664548919979E-2</v>
      </c>
      <c r="V543" s="845">
        <v>124.01</v>
      </c>
      <c r="W543" s="846">
        <f t="shared" si="96"/>
        <v>1.1302844467641071E-2</v>
      </c>
      <c r="X543" s="845">
        <v>34005.040000000001</v>
      </c>
      <c r="Y543" s="846">
        <f t="shared" si="97"/>
        <v>1.5789602604337594E-2</v>
      </c>
      <c r="Z543" s="845">
        <v>3990.5574999999999</v>
      </c>
      <c r="AA543" s="846">
        <f t="shared" si="98"/>
        <v>1.4279517987157542E-2</v>
      </c>
      <c r="AB543" s="843"/>
      <c r="AC543" s="832"/>
    </row>
    <row r="544" spans="1:29" ht="14.4" x14ac:dyDescent="0.55000000000000004">
      <c r="A544" s="857" t="s">
        <v>5703</v>
      </c>
      <c r="B544" s="842">
        <v>117.67</v>
      </c>
      <c r="C544" s="843">
        <f t="shared" si="89"/>
        <v>1.4468085106382755E-3</v>
      </c>
      <c r="D544" s="842">
        <v>49.91</v>
      </c>
      <c r="E544" s="843">
        <f t="shared" si="90"/>
        <v>1.2036108324973149E-3</v>
      </c>
      <c r="F544" s="842">
        <v>27.39</v>
      </c>
      <c r="G544" s="843">
        <f t="shared" si="90"/>
        <v>-1.368383147281238E-2</v>
      </c>
      <c r="H544" s="842">
        <v>47.97</v>
      </c>
      <c r="I544" s="843">
        <f t="shared" si="90"/>
        <v>3.1367628607277265E-3</v>
      </c>
      <c r="J544" s="842">
        <v>77.180000000000007</v>
      </c>
      <c r="K544" s="843">
        <f t="shared" si="91"/>
        <v>1.4272739068381668E-3</v>
      </c>
      <c r="L544" s="842">
        <v>70.67</v>
      </c>
      <c r="M544" s="843">
        <f t="shared" si="92"/>
        <v>7.2690992018245026E-3</v>
      </c>
      <c r="N544" s="842">
        <v>67.7</v>
      </c>
      <c r="O544" s="843">
        <f t="shared" si="93"/>
        <v>-1.6131376253451513E-2</v>
      </c>
      <c r="P544" s="844">
        <f t="shared" si="99"/>
        <v>-2.1902360591054154E-3</v>
      </c>
      <c r="Q544" s="830"/>
      <c r="R544" s="845">
        <v>974.31</v>
      </c>
      <c r="S544" s="846">
        <f t="shared" si="94"/>
        <v>-3.3042126153405293E-3</v>
      </c>
      <c r="T544" s="845">
        <v>70.83</v>
      </c>
      <c r="U544" s="846">
        <f t="shared" si="95"/>
        <v>-5.1966292134831837E-3</v>
      </c>
      <c r="V544" s="845">
        <v>122.624</v>
      </c>
      <c r="W544" s="846">
        <f t="shared" si="96"/>
        <v>1.4463412303618028E-3</v>
      </c>
      <c r="X544" s="845">
        <v>33476.46</v>
      </c>
      <c r="Y544" s="846">
        <f t="shared" si="97"/>
        <v>-9.0292077197329235E-3</v>
      </c>
      <c r="Z544" s="845">
        <v>3934.3764999999999</v>
      </c>
      <c r="AA544" s="846">
        <f t="shared" si="98"/>
        <v>-7.3508550510902326E-3</v>
      </c>
      <c r="AB544" s="843"/>
      <c r="AC544" s="832"/>
    </row>
    <row r="545" spans="1:29" ht="14.4" x14ac:dyDescent="0.55000000000000004">
      <c r="A545" s="857" t="s">
        <v>5704</v>
      </c>
      <c r="B545" s="842">
        <v>117.5</v>
      </c>
      <c r="C545" s="843">
        <f t="shared" si="89"/>
        <v>7.6654458734348729E-4</v>
      </c>
      <c r="D545" s="842">
        <v>49.85</v>
      </c>
      <c r="E545" s="843">
        <f t="shared" si="90"/>
        <v>-2.0056157240266881E-4</v>
      </c>
      <c r="F545" s="842">
        <v>27.77</v>
      </c>
      <c r="G545" s="843">
        <f t="shared" si="90"/>
        <v>3.614022406938755E-3</v>
      </c>
      <c r="H545" s="842">
        <v>47.82</v>
      </c>
      <c r="I545" s="843">
        <f t="shared" si="90"/>
        <v>-8.0896079651524566E-3</v>
      </c>
      <c r="J545" s="842">
        <v>77.069999999999993</v>
      </c>
      <c r="K545" s="843">
        <f t="shared" si="91"/>
        <v>1.1417322834645471E-2</v>
      </c>
      <c r="L545" s="842">
        <v>70.16</v>
      </c>
      <c r="M545" s="843">
        <f t="shared" si="92"/>
        <v>1.4752675730401954E-2</v>
      </c>
      <c r="N545" s="842">
        <v>68.81</v>
      </c>
      <c r="O545" s="843">
        <f t="shared" si="93"/>
        <v>2.9073993312977997E-4</v>
      </c>
      <c r="P545" s="844">
        <f t="shared" si="99"/>
        <v>3.2215908507006175E-3</v>
      </c>
      <c r="Q545" s="830"/>
      <c r="R545" s="845">
        <v>977.54</v>
      </c>
      <c r="S545" s="846">
        <f t="shared" si="94"/>
        <v>4.8931927054420843E-3</v>
      </c>
      <c r="T545" s="845">
        <v>71.2</v>
      </c>
      <c r="U545" s="846">
        <f t="shared" si="95"/>
        <v>6.5026858919989827E-3</v>
      </c>
      <c r="V545" s="845">
        <v>122.4469</v>
      </c>
      <c r="W545" s="846">
        <f t="shared" si="96"/>
        <v>7.6663362023521309E-4</v>
      </c>
      <c r="X545" s="845">
        <v>33781.480000000003</v>
      </c>
      <c r="Y545" s="846">
        <f t="shared" si="97"/>
        <v>5.4634334506422633E-3</v>
      </c>
      <c r="Z545" s="845">
        <v>3963.5117</v>
      </c>
      <c r="AA545" s="846">
        <f t="shared" si="98"/>
        <v>7.521192771420937E-3</v>
      </c>
      <c r="AB545" s="843"/>
      <c r="AC545" s="832"/>
    </row>
    <row r="546" spans="1:29" ht="14.4" x14ac:dyDescent="0.55000000000000004">
      <c r="A546" s="857" t="s">
        <v>5705</v>
      </c>
      <c r="B546" s="842">
        <v>117.41</v>
      </c>
      <c r="C546" s="843">
        <f t="shared" si="89"/>
        <v>-2.5544959128065425E-4</v>
      </c>
      <c r="D546" s="842">
        <v>49.86</v>
      </c>
      <c r="E546" s="843">
        <f t="shared" si="90"/>
        <v>5.2419354838708632E-3</v>
      </c>
      <c r="F546" s="842">
        <v>27.67</v>
      </c>
      <c r="G546" s="843">
        <f t="shared" si="90"/>
        <v>-6.1063218390804419E-3</v>
      </c>
      <c r="H546" s="842">
        <v>48.21</v>
      </c>
      <c r="I546" s="843">
        <f t="shared" si="90"/>
        <v>1.4093395035759348E-2</v>
      </c>
      <c r="J546" s="842">
        <v>76.2</v>
      </c>
      <c r="K546" s="843">
        <f t="shared" si="91"/>
        <v>-1.44148866465732E-3</v>
      </c>
      <c r="L546" s="842">
        <v>69.14</v>
      </c>
      <c r="M546" s="843">
        <f t="shared" si="92"/>
        <v>-2.8918449971071514E-4</v>
      </c>
      <c r="N546" s="842">
        <v>68.790000000000006</v>
      </c>
      <c r="O546" s="843">
        <f t="shared" si="93"/>
        <v>1.8809241706161384E-2</v>
      </c>
      <c r="P546" s="844">
        <f t="shared" si="99"/>
        <v>4.2931610901517803E-3</v>
      </c>
      <c r="Q546" s="830"/>
      <c r="R546" s="845">
        <v>972.78</v>
      </c>
      <c r="S546" s="846">
        <f t="shared" si="94"/>
        <v>-6.3128217700417766E-3</v>
      </c>
      <c r="T546" s="845">
        <v>70.739999999999995</v>
      </c>
      <c r="U546" s="846">
        <f t="shared" si="95"/>
        <v>-4.6433094132545261E-3</v>
      </c>
      <c r="V546" s="845">
        <v>122.3531</v>
      </c>
      <c r="W546" s="846">
        <f t="shared" si="96"/>
        <v>-2.5493466073667204E-4</v>
      </c>
      <c r="X546" s="845">
        <v>33597.919999999998</v>
      </c>
      <c r="Y546" s="846">
        <f t="shared" si="97"/>
        <v>4.7028932318227135E-5</v>
      </c>
      <c r="Z546" s="845">
        <v>3933.9238999999998</v>
      </c>
      <c r="AA546" s="846">
        <f t="shared" si="98"/>
        <v>-1.861359057763412E-3</v>
      </c>
      <c r="AB546" s="843"/>
      <c r="AC546" s="832"/>
    </row>
    <row r="547" spans="1:29" ht="14.4" x14ac:dyDescent="0.55000000000000004">
      <c r="A547" s="857" t="s">
        <v>5706</v>
      </c>
      <c r="B547" s="842">
        <v>117.44</v>
      </c>
      <c r="C547" s="843">
        <f t="shared" si="89"/>
        <v>1.3637148282409806E-2</v>
      </c>
      <c r="D547" s="842">
        <v>49.6</v>
      </c>
      <c r="E547" s="843">
        <f t="shared" si="90"/>
        <v>1.8062397372742289E-2</v>
      </c>
      <c r="F547" s="842">
        <v>27.84</v>
      </c>
      <c r="G547" s="843">
        <f t="shared" si="90"/>
        <v>1.1995637949836269E-2</v>
      </c>
      <c r="H547" s="842">
        <v>47.54</v>
      </c>
      <c r="I547" s="843">
        <f t="shared" si="90"/>
        <v>4.4369321783224169E-3</v>
      </c>
      <c r="J547" s="842">
        <v>76.31</v>
      </c>
      <c r="K547" s="843">
        <f t="shared" si="91"/>
        <v>4.0922111580957488E-2</v>
      </c>
      <c r="L547" s="842">
        <v>69.16</v>
      </c>
      <c r="M547" s="843">
        <f t="shared" si="92"/>
        <v>1.8832391713747842E-3</v>
      </c>
      <c r="N547" s="842">
        <v>67.52</v>
      </c>
      <c r="O547" s="843">
        <f t="shared" si="93"/>
        <v>3.6695839091048787E-2</v>
      </c>
      <c r="P547" s="844">
        <f t="shared" si="99"/>
        <v>1.8233329375241691E-2</v>
      </c>
      <c r="Q547" s="830"/>
      <c r="R547" s="845">
        <v>978.96</v>
      </c>
      <c r="S547" s="846">
        <f t="shared" si="94"/>
        <v>8.9978664852663481E-3</v>
      </c>
      <c r="T547" s="845">
        <v>71.069999999999993</v>
      </c>
      <c r="U547" s="846">
        <f t="shared" si="95"/>
        <v>6.2296474585870065E-3</v>
      </c>
      <c r="V547" s="845">
        <v>122.3843</v>
      </c>
      <c r="W547" s="846">
        <f t="shared" si="96"/>
        <v>1.3636988581869236E-2</v>
      </c>
      <c r="X547" s="845">
        <v>33596.339999999997</v>
      </c>
      <c r="Y547" s="846">
        <f t="shared" si="97"/>
        <v>-1.0332546815486454E-2</v>
      </c>
      <c r="Z547" s="845">
        <v>3941.26</v>
      </c>
      <c r="AA547" s="846">
        <f t="shared" si="98"/>
        <v>-1.4399200408138246E-2</v>
      </c>
      <c r="AB547" s="843"/>
      <c r="AC547" s="832"/>
    </row>
    <row r="548" spans="1:29" ht="14.4" x14ac:dyDescent="0.55000000000000004">
      <c r="A548" s="857" t="s">
        <v>5707</v>
      </c>
      <c r="B548" s="842">
        <v>115.86</v>
      </c>
      <c r="C548" s="843">
        <f t="shared" si="89"/>
        <v>-5.8349064698816067E-3</v>
      </c>
      <c r="D548" s="842">
        <v>48.72</v>
      </c>
      <c r="E548" s="843">
        <f t="shared" si="90"/>
        <v>-1.0252204223909489E-3</v>
      </c>
      <c r="F548" s="842">
        <v>27.51</v>
      </c>
      <c r="G548" s="843">
        <f t="shared" si="90"/>
        <v>-2.1762785636560977E-3</v>
      </c>
      <c r="H548" s="842">
        <v>47.33</v>
      </c>
      <c r="I548" s="843">
        <f t="shared" si="90"/>
        <v>1.3924592973436178E-2</v>
      </c>
      <c r="J548" s="842">
        <v>73.31</v>
      </c>
      <c r="K548" s="843">
        <f t="shared" si="91"/>
        <v>6.4524986271279339E-3</v>
      </c>
      <c r="L548" s="842">
        <v>69.03</v>
      </c>
      <c r="M548" s="843">
        <f t="shared" si="92"/>
        <v>1.6043567853988971E-2</v>
      </c>
      <c r="N548" s="842">
        <v>65.13</v>
      </c>
      <c r="O548" s="843">
        <f t="shared" si="93"/>
        <v>-5.2516729706139076E-2</v>
      </c>
      <c r="P548" s="844">
        <f t="shared" si="99"/>
        <v>-3.5903536725020923E-3</v>
      </c>
      <c r="Q548" s="830"/>
      <c r="R548" s="845">
        <v>970.23</v>
      </c>
      <c r="S548" s="846">
        <f t="shared" si="94"/>
        <v>-5.6979473042354511E-3</v>
      </c>
      <c r="T548" s="845">
        <v>70.63</v>
      </c>
      <c r="U548" s="846">
        <f t="shared" si="95"/>
        <v>-5.6314233422498639E-3</v>
      </c>
      <c r="V548" s="845">
        <v>120.73779999999999</v>
      </c>
      <c r="W548" s="846">
        <f t="shared" si="96"/>
        <v>-5.8346727445194313E-3</v>
      </c>
      <c r="X548" s="845">
        <v>33947.1</v>
      </c>
      <c r="Y548" s="846">
        <f t="shared" si="97"/>
        <v>-1.4022122644633095E-2</v>
      </c>
      <c r="Z548" s="845">
        <v>3998.8400999999999</v>
      </c>
      <c r="AA548" s="846">
        <f t="shared" si="98"/>
        <v>-1.7894221087015216E-2</v>
      </c>
      <c r="AB548" s="843"/>
      <c r="AC548" s="832"/>
    </row>
    <row r="549" spans="1:29" ht="14.4" x14ac:dyDescent="0.55000000000000004">
      <c r="A549" s="857" t="s">
        <v>5708</v>
      </c>
      <c r="B549" s="842">
        <v>116.54</v>
      </c>
      <c r="C549" s="843">
        <f t="shared" si="89"/>
        <v>-8.0857945357050154E-3</v>
      </c>
      <c r="D549" s="842">
        <v>48.77</v>
      </c>
      <c r="E549" s="843">
        <f t="shared" si="90"/>
        <v>4.3245469522241731E-3</v>
      </c>
      <c r="F549" s="842">
        <v>27.57</v>
      </c>
      <c r="G549" s="843">
        <f t="shared" si="90"/>
        <v>-6.4864864864865313E-3</v>
      </c>
      <c r="H549" s="842">
        <v>46.68</v>
      </c>
      <c r="I549" s="843">
        <f t="shared" si="90"/>
        <v>-2.0356768100734501E-2</v>
      </c>
      <c r="J549" s="842">
        <v>72.84</v>
      </c>
      <c r="K549" s="843">
        <f t="shared" si="91"/>
        <v>1.7176372015081709E-2</v>
      </c>
      <c r="L549" s="842">
        <v>67.94</v>
      </c>
      <c r="M549" s="843">
        <f t="shared" si="92"/>
        <v>9.8097502972651629E-3</v>
      </c>
      <c r="N549" s="842">
        <v>68.739999999999995</v>
      </c>
      <c r="O549" s="843">
        <f t="shared" si="93"/>
        <v>-3.4414945919370776E-2</v>
      </c>
      <c r="P549" s="844">
        <f t="shared" si="99"/>
        <v>-5.4333322539608254E-3</v>
      </c>
      <c r="Q549" s="830"/>
      <c r="R549" s="845">
        <v>975.79</v>
      </c>
      <c r="S549" s="846">
        <f t="shared" si="94"/>
        <v>-4.5803239890643832E-3</v>
      </c>
      <c r="T549" s="845">
        <v>71.03</v>
      </c>
      <c r="U549" s="846">
        <f t="shared" si="95"/>
        <v>-4.7639064032507505E-3</v>
      </c>
      <c r="V549" s="845">
        <v>121.4464</v>
      </c>
      <c r="W549" s="846">
        <f t="shared" si="96"/>
        <v>-8.0858306843389904E-3</v>
      </c>
      <c r="X549" s="845">
        <v>34429.879999999997</v>
      </c>
      <c r="Y549" s="846">
        <f t="shared" si="97"/>
        <v>1.013809852068448E-3</v>
      </c>
      <c r="Z549" s="845">
        <v>4071.7</v>
      </c>
      <c r="AA549" s="846">
        <f t="shared" si="98"/>
        <v>-1.1937742215171188E-3</v>
      </c>
      <c r="AB549" s="843"/>
      <c r="AC549" s="832"/>
    </row>
    <row r="550" spans="1:29" ht="14.4" x14ac:dyDescent="0.55000000000000004">
      <c r="A550" s="857" t="s">
        <v>5709</v>
      </c>
      <c r="B550" s="842">
        <v>117.49</v>
      </c>
      <c r="C550" s="843">
        <f t="shared" si="89"/>
        <v>-2.254575707154749E-2</v>
      </c>
      <c r="D550" s="842">
        <v>48.56</v>
      </c>
      <c r="E550" s="843">
        <f t="shared" si="90"/>
        <v>-2.3919597989949692E-2</v>
      </c>
      <c r="F550" s="842">
        <v>27.75</v>
      </c>
      <c r="G550" s="843">
        <f t="shared" si="90"/>
        <v>-6.8002863278454617E-3</v>
      </c>
      <c r="H550" s="842">
        <v>47.65</v>
      </c>
      <c r="I550" s="843">
        <f t="shared" si="90"/>
        <v>-4.9091997605268389E-2</v>
      </c>
      <c r="J550" s="842">
        <v>71.61</v>
      </c>
      <c r="K550" s="843">
        <f t="shared" si="91"/>
        <v>-0.17642323174238073</v>
      </c>
      <c r="L550" s="842">
        <v>67.28</v>
      </c>
      <c r="M550" s="843">
        <f t="shared" si="92"/>
        <v>-1.7236342389716497E-2</v>
      </c>
      <c r="N550" s="842">
        <v>71.19</v>
      </c>
      <c r="O550" s="843">
        <f t="shared" si="93"/>
        <v>-3.9271255060728705E-2</v>
      </c>
      <c r="P550" s="844">
        <f t="shared" si="99"/>
        <v>-4.7898352598205282E-2</v>
      </c>
      <c r="Q550" s="830"/>
      <c r="R550" s="845">
        <v>980.28</v>
      </c>
      <c r="S550" s="846">
        <f t="shared" si="94"/>
        <v>-1.0394374808926354E-3</v>
      </c>
      <c r="T550" s="845">
        <v>71.37</v>
      </c>
      <c r="U550" s="846">
        <f t="shared" si="95"/>
        <v>-8.3998320033606966E-4</v>
      </c>
      <c r="V550" s="845">
        <v>122.43640000000001</v>
      </c>
      <c r="W550" s="846">
        <f t="shared" si="96"/>
        <v>-2.2545814522534902E-2</v>
      </c>
      <c r="X550" s="845">
        <v>34395.01</v>
      </c>
      <c r="Y550" s="846">
        <f t="shared" si="97"/>
        <v>-5.630566494081779E-3</v>
      </c>
      <c r="Z550" s="845">
        <v>4076.5664999999999</v>
      </c>
      <c r="AA550" s="846">
        <f t="shared" si="98"/>
        <v>-8.6764889917345656E-4</v>
      </c>
      <c r="AB550" s="843"/>
      <c r="AC550" s="832"/>
    </row>
    <row r="551" spans="1:29" ht="14.4" x14ac:dyDescent="0.55000000000000004">
      <c r="A551" s="857" t="s">
        <v>5710</v>
      </c>
      <c r="B551" s="842">
        <v>120.2</v>
      </c>
      <c r="C551" s="843">
        <f t="shared" si="89"/>
        <v>1.31490222521915E-2</v>
      </c>
      <c r="D551" s="842">
        <v>49.75</v>
      </c>
      <c r="E551" s="843">
        <f t="shared" si="90"/>
        <v>1.9258348699036976E-2</v>
      </c>
      <c r="F551" s="842">
        <v>27.94</v>
      </c>
      <c r="G551" s="843">
        <f t="shared" si="90"/>
        <v>2.6074182886522301E-2</v>
      </c>
      <c r="H551" s="842">
        <v>50.11</v>
      </c>
      <c r="I551" s="843">
        <f t="shared" si="90"/>
        <v>1.4167172637117975E-2</v>
      </c>
      <c r="J551" s="842">
        <v>86.95</v>
      </c>
      <c r="K551" s="843">
        <f t="shared" si="91"/>
        <v>2.1139166177334134E-2</v>
      </c>
      <c r="L551" s="842">
        <v>68.459999999999994</v>
      </c>
      <c r="M551" s="843">
        <f t="shared" si="92"/>
        <v>8.2474226804121198E-3</v>
      </c>
      <c r="N551" s="842">
        <v>74.099999999999994</v>
      </c>
      <c r="O551" s="843">
        <f t="shared" si="93"/>
        <v>1.3402625820568836E-2</v>
      </c>
      <c r="P551" s="844">
        <f t="shared" si="99"/>
        <v>1.6491134450454834E-2</v>
      </c>
      <c r="Q551" s="830"/>
      <c r="R551" s="845">
        <v>981.3</v>
      </c>
      <c r="S551" s="846">
        <f t="shared" si="94"/>
        <v>2.66899632764519E-2</v>
      </c>
      <c r="T551" s="845">
        <v>71.430000000000007</v>
      </c>
      <c r="U551" s="846">
        <f t="shared" si="95"/>
        <v>2.49677141627207E-2</v>
      </c>
      <c r="V551" s="845">
        <v>125.26049999999999</v>
      </c>
      <c r="W551" s="846">
        <f t="shared" si="96"/>
        <v>1.3149210416484536E-2</v>
      </c>
      <c r="X551" s="845">
        <v>34589.769999999997</v>
      </c>
      <c r="Y551" s="846">
        <f t="shared" si="97"/>
        <v>2.1777988233080414E-2</v>
      </c>
      <c r="Z551" s="845">
        <v>4080.1066000000001</v>
      </c>
      <c r="AA551" s="846">
        <f t="shared" si="98"/>
        <v>3.0948023662367818E-2</v>
      </c>
      <c r="AB551" s="843"/>
      <c r="AC551" s="832"/>
    </row>
    <row r="552" spans="1:29" ht="14.4" x14ac:dyDescent="0.55000000000000004">
      <c r="A552" s="857" t="s">
        <v>5711</v>
      </c>
      <c r="B552" s="842">
        <v>118.64</v>
      </c>
      <c r="C552" s="843">
        <f t="shared" si="89"/>
        <v>4.82764461759988E-3</v>
      </c>
      <c r="D552" s="842">
        <v>48.81</v>
      </c>
      <c r="E552" s="843">
        <f t="shared" si="90"/>
        <v>-2.0483408439164741E-4</v>
      </c>
      <c r="F552" s="842">
        <v>27.23</v>
      </c>
      <c r="G552" s="843">
        <f t="shared" si="90"/>
        <v>3.6737692872890193E-4</v>
      </c>
      <c r="H552" s="842">
        <v>49.41</v>
      </c>
      <c r="I552" s="843">
        <f t="shared" si="90"/>
        <v>1.8248175182480342E-3</v>
      </c>
      <c r="J552" s="842">
        <v>85.15</v>
      </c>
      <c r="K552" s="843">
        <f t="shared" si="91"/>
        <v>-1.6175621028307274E-2</v>
      </c>
      <c r="L552" s="842">
        <v>67.900000000000006</v>
      </c>
      <c r="M552" s="843">
        <f t="shared" si="92"/>
        <v>-3.5221602582916622E-3</v>
      </c>
      <c r="N552" s="842">
        <v>73.12</v>
      </c>
      <c r="O552" s="843">
        <f t="shared" si="93"/>
        <v>-7.4657255327812422E-3</v>
      </c>
      <c r="P552" s="844">
        <f t="shared" si="99"/>
        <v>-2.9069288341707156E-3</v>
      </c>
      <c r="Q552" s="830"/>
      <c r="R552" s="845">
        <v>955.79</v>
      </c>
      <c r="S552" s="846">
        <f t="shared" si="94"/>
        <v>-6.33135110408789E-3</v>
      </c>
      <c r="T552" s="845">
        <v>69.69</v>
      </c>
      <c r="U552" s="846">
        <f t="shared" si="95"/>
        <v>-7.4063523714570367E-3</v>
      </c>
      <c r="V552" s="845">
        <v>123.6348</v>
      </c>
      <c r="W552" s="846">
        <f t="shared" si="96"/>
        <v>4.8268502587351936E-3</v>
      </c>
      <c r="X552" s="845">
        <v>33852.53</v>
      </c>
      <c r="Y552" s="846">
        <f t="shared" si="97"/>
        <v>9.0695686135067177E-5</v>
      </c>
      <c r="Z552" s="845">
        <v>3957.6259</v>
      </c>
      <c r="AA552" s="846">
        <f t="shared" si="98"/>
        <v>-1.5933634143325826E-3</v>
      </c>
      <c r="AB552" s="843"/>
      <c r="AC552" s="832"/>
    </row>
    <row r="553" spans="1:29" ht="14.4" x14ac:dyDescent="0.55000000000000004">
      <c r="A553" s="857" t="s">
        <v>5712</v>
      </c>
      <c r="B553" s="842">
        <v>118.07</v>
      </c>
      <c r="C553" s="843">
        <f t="shared" si="89"/>
        <v>-9.1473648875461944E-3</v>
      </c>
      <c r="D553" s="842">
        <v>48.82</v>
      </c>
      <c r="E553" s="843">
        <f t="shared" si="90"/>
        <v>-1.6518936341659907E-2</v>
      </c>
      <c r="F553" s="842">
        <v>27.22</v>
      </c>
      <c r="G553" s="843">
        <f t="shared" si="90"/>
        <v>-2.565042139977991E-3</v>
      </c>
      <c r="H553" s="842">
        <v>49.32</v>
      </c>
      <c r="I553" s="843">
        <f t="shared" si="90"/>
        <v>-5.4446460980036582E-3</v>
      </c>
      <c r="J553" s="842">
        <v>86.55</v>
      </c>
      <c r="K553" s="843">
        <f t="shared" si="91"/>
        <v>-2.0151703837880675E-2</v>
      </c>
      <c r="L553" s="842">
        <v>68.14</v>
      </c>
      <c r="M553" s="843">
        <f t="shared" si="92"/>
        <v>-2.6710469932866743E-2</v>
      </c>
      <c r="N553" s="842">
        <v>73.67</v>
      </c>
      <c r="O553" s="843">
        <f t="shared" si="93"/>
        <v>-1.3392259274139562E-2</v>
      </c>
      <c r="P553" s="844">
        <f t="shared" si="99"/>
        <v>-1.3418631787439248E-2</v>
      </c>
      <c r="Q553" s="830"/>
      <c r="R553" s="845">
        <v>961.88</v>
      </c>
      <c r="S553" s="846">
        <f t="shared" si="94"/>
        <v>-1.0472604571734156E-2</v>
      </c>
      <c r="T553" s="845">
        <v>70.209999999999994</v>
      </c>
      <c r="U553" s="846">
        <f t="shared" si="95"/>
        <v>-1.02903862418946E-2</v>
      </c>
      <c r="V553" s="845">
        <v>123.04089999999999</v>
      </c>
      <c r="W553" s="846">
        <f t="shared" si="96"/>
        <v>-9.1466434524350992E-3</v>
      </c>
      <c r="X553" s="845">
        <v>33849.46</v>
      </c>
      <c r="Y553" s="846">
        <f t="shared" si="97"/>
        <v>-1.4486550947782062E-2</v>
      </c>
      <c r="Z553" s="845">
        <v>3963.9418999999998</v>
      </c>
      <c r="AA553" s="846">
        <f t="shared" si="98"/>
        <v>-1.5442577342850705E-2</v>
      </c>
      <c r="AB553" s="843"/>
      <c r="AC553" s="832"/>
    </row>
    <row r="554" spans="1:29" ht="14.4" x14ac:dyDescent="0.55000000000000004">
      <c r="A554" s="857" t="s">
        <v>5713</v>
      </c>
      <c r="B554" s="842">
        <v>119.16</v>
      </c>
      <c r="C554" s="843">
        <f t="shared" si="89"/>
        <v>4.8912126834204095E-3</v>
      </c>
      <c r="D554" s="842">
        <v>49.64</v>
      </c>
      <c r="E554" s="843">
        <f t="shared" si="90"/>
        <v>7.9187817258883353E-3</v>
      </c>
      <c r="F554" s="842">
        <v>27.29</v>
      </c>
      <c r="G554" s="843">
        <f t="shared" si="90"/>
        <v>4.0470934510670187E-3</v>
      </c>
      <c r="H554" s="842">
        <v>49.59</v>
      </c>
      <c r="I554" s="843">
        <f t="shared" si="90"/>
        <v>-4.0314452731293748E-4</v>
      </c>
      <c r="J554" s="842">
        <v>88.33</v>
      </c>
      <c r="K554" s="843">
        <f t="shared" si="91"/>
        <v>9.0244459675576927E-3</v>
      </c>
      <c r="L554" s="842">
        <v>70.010000000000005</v>
      </c>
      <c r="M554" s="843">
        <f t="shared" si="92"/>
        <v>-5.8222095995454914E-3</v>
      </c>
      <c r="N554" s="842">
        <v>74.67</v>
      </c>
      <c r="O554" s="843">
        <f t="shared" si="93"/>
        <v>1.3711648112951558E-2</v>
      </c>
      <c r="P554" s="844">
        <f t="shared" si="99"/>
        <v>4.7668325448609406E-3</v>
      </c>
      <c r="Q554" s="830"/>
      <c r="R554" s="845">
        <v>972.06</v>
      </c>
      <c r="S554" s="846">
        <f t="shared" si="94"/>
        <v>6.6484404125761731E-3</v>
      </c>
      <c r="T554" s="845">
        <v>70.94</v>
      </c>
      <c r="U554" s="846">
        <f t="shared" si="95"/>
        <v>5.8131291648944039E-3</v>
      </c>
      <c r="V554" s="845">
        <v>124.1767</v>
      </c>
      <c r="W554" s="846">
        <f t="shared" si="96"/>
        <v>4.8910637740011698E-3</v>
      </c>
      <c r="X554" s="845">
        <v>34347.03</v>
      </c>
      <c r="Y554" s="846">
        <f t="shared" si="97"/>
        <v>4.4735840084506595E-3</v>
      </c>
      <c r="Z554" s="845">
        <v>4026.1154999999999</v>
      </c>
      <c r="AA554" s="846">
        <f t="shared" si="98"/>
        <v>-2.847343786059886E-4</v>
      </c>
      <c r="AB554" s="843"/>
      <c r="AC554" s="832"/>
    </row>
    <row r="555" spans="1:29" ht="14.4" x14ac:dyDescent="0.55000000000000004">
      <c r="A555" s="857" t="s">
        <v>5714</v>
      </c>
      <c r="B555" s="842">
        <v>118.58</v>
      </c>
      <c r="C555" s="843">
        <f t="shared" si="89"/>
        <v>9.105608033358914E-3</v>
      </c>
      <c r="D555" s="842">
        <v>49.25</v>
      </c>
      <c r="E555" s="843">
        <f t="shared" si="90"/>
        <v>-1.2828222088594909E-2</v>
      </c>
      <c r="F555" s="842">
        <v>27.18</v>
      </c>
      <c r="G555" s="843">
        <f t="shared" si="90"/>
        <v>1.4179104477611837E-2</v>
      </c>
      <c r="H555" s="842">
        <v>49.61</v>
      </c>
      <c r="I555" s="843">
        <f t="shared" si="90"/>
        <v>-2.6135906714918056E-3</v>
      </c>
      <c r="J555" s="842">
        <v>87.54</v>
      </c>
      <c r="K555" s="843">
        <f t="shared" si="91"/>
        <v>4.4750430292599397E-3</v>
      </c>
      <c r="L555" s="842">
        <v>70.42</v>
      </c>
      <c r="M555" s="843">
        <f t="shared" si="92"/>
        <v>1.0619977037887418E-2</v>
      </c>
      <c r="N555" s="842">
        <v>73.66</v>
      </c>
      <c r="O555" s="843">
        <f t="shared" si="93"/>
        <v>5.0484377131940761E-3</v>
      </c>
      <c r="P555" s="844">
        <f t="shared" si="99"/>
        <v>3.9980510758893528E-3</v>
      </c>
      <c r="Q555" s="830"/>
      <c r="R555" s="845">
        <v>965.64</v>
      </c>
      <c r="S555" s="846">
        <f t="shared" si="94"/>
        <v>1.3263378803777481E-2</v>
      </c>
      <c r="T555" s="845">
        <v>70.53</v>
      </c>
      <c r="U555" s="846">
        <f t="shared" si="95"/>
        <v>1.1182795698924775E-2</v>
      </c>
      <c r="V555" s="845">
        <v>123.5723</v>
      </c>
      <c r="W555" s="846">
        <f t="shared" si="96"/>
        <v>9.105214633998937E-3</v>
      </c>
      <c r="X555" s="845">
        <v>34194.06</v>
      </c>
      <c r="Y555" s="846">
        <f t="shared" si="97"/>
        <v>2.8142330511082836E-3</v>
      </c>
      <c r="Z555" s="845">
        <v>4027.2622000000001</v>
      </c>
      <c r="AA555" s="846">
        <f t="shared" si="98"/>
        <v>5.9156578524852677E-3</v>
      </c>
      <c r="AB555" s="843"/>
      <c r="AC555" s="832"/>
    </row>
    <row r="556" spans="1:29" ht="14.4" x14ac:dyDescent="0.55000000000000004">
      <c r="A556" s="857" t="s">
        <v>5715</v>
      </c>
      <c r="B556" s="842">
        <v>117.51</v>
      </c>
      <c r="C556" s="843">
        <f t="shared" si="89"/>
        <v>1.4854477934191257E-2</v>
      </c>
      <c r="D556" s="842">
        <v>49.89</v>
      </c>
      <c r="E556" s="843">
        <f t="shared" si="90"/>
        <v>1.9619865113427393E-2</v>
      </c>
      <c r="F556" s="842">
        <v>26.8</v>
      </c>
      <c r="G556" s="843">
        <f t="shared" si="90"/>
        <v>9.4161958568739212E-3</v>
      </c>
      <c r="H556" s="842">
        <v>49.74</v>
      </c>
      <c r="I556" s="843">
        <f t="shared" si="90"/>
        <v>8.5158150851580849E-3</v>
      </c>
      <c r="J556" s="842">
        <v>87.15</v>
      </c>
      <c r="K556" s="843">
        <f t="shared" si="91"/>
        <v>1.5379238028661479E-2</v>
      </c>
      <c r="L556" s="842">
        <v>69.680000000000007</v>
      </c>
      <c r="M556" s="843">
        <f t="shared" si="92"/>
        <v>1.7820625182588534E-2</v>
      </c>
      <c r="N556" s="842">
        <v>73.290000000000006</v>
      </c>
      <c r="O556" s="843">
        <f t="shared" si="93"/>
        <v>1.1594202898550732E-2</v>
      </c>
      <c r="P556" s="844">
        <f t="shared" si="99"/>
        <v>1.3885774299921629E-2</v>
      </c>
      <c r="Q556" s="830"/>
      <c r="R556" s="845">
        <v>953</v>
      </c>
      <c r="S556" s="846">
        <f t="shared" si="94"/>
        <v>8.0740063833404374E-3</v>
      </c>
      <c r="T556" s="845">
        <v>69.75</v>
      </c>
      <c r="U556" s="846">
        <f t="shared" si="95"/>
        <v>8.5309427414690386E-3</v>
      </c>
      <c r="V556" s="845">
        <v>122.4573</v>
      </c>
      <c r="W556" s="846">
        <f t="shared" si="96"/>
        <v>1.4854361127386584E-2</v>
      </c>
      <c r="X556" s="845">
        <v>34098.1</v>
      </c>
      <c r="Y556" s="846">
        <f t="shared" si="97"/>
        <v>1.1804670710844789E-2</v>
      </c>
      <c r="Z556" s="845">
        <v>4003.5783999999999</v>
      </c>
      <c r="AA556" s="846">
        <f t="shared" si="98"/>
        <v>1.3580266541959096E-2</v>
      </c>
      <c r="AB556" s="843"/>
      <c r="AC556" s="832"/>
    </row>
    <row r="557" spans="1:29" ht="14.4" x14ac:dyDescent="0.55000000000000004">
      <c r="A557" s="857" t="s">
        <v>5716</v>
      </c>
      <c r="B557" s="842">
        <v>115.79</v>
      </c>
      <c r="C557" s="843">
        <f t="shared" si="89"/>
        <v>6.4319860930031059E-3</v>
      </c>
      <c r="D557" s="842">
        <v>48.93</v>
      </c>
      <c r="E557" s="843">
        <f t="shared" si="90"/>
        <v>2.0437956204379493E-2</v>
      </c>
      <c r="F557" s="842">
        <v>26.55</v>
      </c>
      <c r="G557" s="843">
        <f t="shared" si="90"/>
        <v>8.7386018237081142E-3</v>
      </c>
      <c r="H557" s="842">
        <v>49.32</v>
      </c>
      <c r="I557" s="843">
        <f t="shared" si="90"/>
        <v>1.2939001848428999E-2</v>
      </c>
      <c r="J557" s="842">
        <v>85.83</v>
      </c>
      <c r="K557" s="843">
        <f t="shared" si="91"/>
        <v>1.1311417462000595E-2</v>
      </c>
      <c r="L557" s="842">
        <v>68.459999999999994</v>
      </c>
      <c r="M557" s="843">
        <f t="shared" si="92"/>
        <v>2.4850299401197651E-2</v>
      </c>
      <c r="N557" s="842">
        <v>72.45</v>
      </c>
      <c r="O557" s="843">
        <f t="shared" si="93"/>
        <v>2.2438611346316639E-2</v>
      </c>
      <c r="P557" s="844">
        <f t="shared" si="99"/>
        <v>1.5306839168433515E-2</v>
      </c>
      <c r="Q557" s="830"/>
      <c r="R557" s="845">
        <v>945.36710000000005</v>
      </c>
      <c r="S557" s="846">
        <f t="shared" si="94"/>
        <v>6.4270277751163896E-3</v>
      </c>
      <c r="T557" s="845">
        <v>69.16</v>
      </c>
      <c r="U557" s="846">
        <f t="shared" si="95"/>
        <v>4.5025417574438009E-3</v>
      </c>
      <c r="V557" s="845">
        <v>120.6649</v>
      </c>
      <c r="W557" s="846">
        <f t="shared" si="96"/>
        <v>6.4323646697033166E-3</v>
      </c>
      <c r="X557" s="845">
        <v>33700.279300000002</v>
      </c>
      <c r="Y557" s="846">
        <f t="shared" si="97"/>
        <v>-1.345674069784919E-3</v>
      </c>
      <c r="Z557" s="845">
        <v>3949.9371999999998</v>
      </c>
      <c r="AA557" s="846">
        <f t="shared" si="98"/>
        <v>-3.8841821177825198E-3</v>
      </c>
      <c r="AB557" s="843"/>
      <c r="AC557" s="832"/>
    </row>
    <row r="558" spans="1:29" ht="14.4" x14ac:dyDescent="0.55000000000000004">
      <c r="A558" s="857" t="s">
        <v>5717</v>
      </c>
      <c r="B558" s="842">
        <v>115.05</v>
      </c>
      <c r="C558" s="843">
        <f t="shared" si="89"/>
        <v>3.4994602374954997E-2</v>
      </c>
      <c r="D558" s="842">
        <v>47.95</v>
      </c>
      <c r="E558" s="843">
        <f t="shared" si="90"/>
        <v>5.1996489688459935E-2</v>
      </c>
      <c r="F558" s="842">
        <v>26.32</v>
      </c>
      <c r="G558" s="843">
        <f t="shared" si="90"/>
        <v>2.9733959311424085E-2</v>
      </c>
      <c r="H558" s="842">
        <v>48.69</v>
      </c>
      <c r="I558" s="843">
        <f t="shared" si="90"/>
        <v>2.7215189873417645E-2</v>
      </c>
      <c r="J558" s="842">
        <v>84.87</v>
      </c>
      <c r="K558" s="843">
        <f t="shared" si="91"/>
        <v>3.4117217009869805E-2</v>
      </c>
      <c r="L558" s="842">
        <v>66.8</v>
      </c>
      <c r="M558" s="843">
        <f t="shared" si="92"/>
        <v>3.7911746426351645E-2</v>
      </c>
      <c r="N558" s="842">
        <v>70.86</v>
      </c>
      <c r="O558" s="843">
        <f t="shared" si="93"/>
        <v>3.2944606413994215E-2</v>
      </c>
      <c r="P558" s="844">
        <f t="shared" si="99"/>
        <v>3.5559115871210335E-2</v>
      </c>
      <c r="Q558" s="830"/>
      <c r="R558" s="845">
        <v>939.33</v>
      </c>
      <c r="S558" s="846">
        <f t="shared" si="94"/>
        <v>2.3034699078612109E-2</v>
      </c>
      <c r="T558" s="845">
        <v>68.849999999999994</v>
      </c>
      <c r="U558" s="846">
        <f t="shared" si="95"/>
        <v>2.1210323346187998E-2</v>
      </c>
      <c r="V558" s="845">
        <v>119.8937</v>
      </c>
      <c r="W558" s="846">
        <f t="shared" si="96"/>
        <v>3.4994850651631992E-2</v>
      </c>
      <c r="X558" s="845">
        <v>33745.69</v>
      </c>
      <c r="Y558" s="846">
        <f t="shared" si="97"/>
        <v>5.9431258033668666E-3</v>
      </c>
      <c r="Z558" s="845">
        <v>3965.3393000000001</v>
      </c>
      <c r="AA558" s="846">
        <f t="shared" si="98"/>
        <v>4.7589063685369304E-3</v>
      </c>
      <c r="AB558" s="843"/>
      <c r="AC558" s="832"/>
    </row>
    <row r="559" spans="1:29" ht="14.4" x14ac:dyDescent="0.55000000000000004">
      <c r="A559" s="857" t="s">
        <v>5718</v>
      </c>
      <c r="B559" s="842">
        <v>111.16</v>
      </c>
      <c r="C559" s="843">
        <f t="shared" si="89"/>
        <v>-1.0151380231522733E-2</v>
      </c>
      <c r="D559" s="842">
        <v>45.58</v>
      </c>
      <c r="E559" s="843">
        <f t="shared" si="90"/>
        <v>1.695671575189639E-2</v>
      </c>
      <c r="F559" s="842">
        <v>25.56</v>
      </c>
      <c r="G559" s="843">
        <f t="shared" si="90"/>
        <v>-1.692307692307693E-2</v>
      </c>
      <c r="H559" s="842">
        <v>47.4</v>
      </c>
      <c r="I559" s="843">
        <f t="shared" si="90"/>
        <v>-9.8182577814914795E-3</v>
      </c>
      <c r="J559" s="842">
        <v>82.07</v>
      </c>
      <c r="K559" s="843">
        <f t="shared" si="91"/>
        <v>6.6233288360111331E-3</v>
      </c>
      <c r="L559" s="842">
        <v>64.36</v>
      </c>
      <c r="M559" s="843">
        <f t="shared" si="92"/>
        <v>-1.4093137254902022E-2</v>
      </c>
      <c r="N559" s="842">
        <v>68.599999999999994</v>
      </c>
      <c r="O559" s="843">
        <f t="shared" si="93"/>
        <v>1.2396694214875881E-2</v>
      </c>
      <c r="P559" s="844">
        <f t="shared" si="99"/>
        <v>-2.1441590554585372E-3</v>
      </c>
      <c r="Q559" s="830"/>
      <c r="R559" s="845">
        <v>918.18</v>
      </c>
      <c r="S559" s="846">
        <f t="shared" si="94"/>
        <v>-1.8524655001015522E-2</v>
      </c>
      <c r="T559" s="845">
        <v>67.42</v>
      </c>
      <c r="U559" s="846">
        <f t="shared" si="95"/>
        <v>-1.7487612940833563E-2</v>
      </c>
      <c r="V559" s="845">
        <v>115.8399</v>
      </c>
      <c r="W559" s="846">
        <f t="shared" si="96"/>
        <v>-1.0151425429320682E-2</v>
      </c>
      <c r="X559" s="845">
        <v>33546.32</v>
      </c>
      <c r="Y559" s="846">
        <f t="shared" si="97"/>
        <v>-2.238194566760443E-4</v>
      </c>
      <c r="Z559" s="845">
        <v>3946.558</v>
      </c>
      <c r="AA559" s="846">
        <f t="shared" si="98"/>
        <v>-3.090689198380514E-3</v>
      </c>
      <c r="AB559" s="843"/>
      <c r="AC559" s="832"/>
    </row>
    <row r="560" spans="1:29" ht="14.4" x14ac:dyDescent="0.55000000000000004">
      <c r="A560" s="857" t="s">
        <v>5719</v>
      </c>
      <c r="B560" s="842">
        <v>112.3</v>
      </c>
      <c r="C560" s="843">
        <f t="shared" si="89"/>
        <v>6.452769313497031E-3</v>
      </c>
      <c r="D560" s="842">
        <v>44.82</v>
      </c>
      <c r="E560" s="843">
        <f t="shared" si="90"/>
        <v>-6.4287297716691949E-3</v>
      </c>
      <c r="F560" s="842">
        <v>26</v>
      </c>
      <c r="G560" s="843">
        <f t="shared" si="90"/>
        <v>1.2461059190031154E-2</v>
      </c>
      <c r="H560" s="842">
        <v>47.87</v>
      </c>
      <c r="I560" s="843">
        <f t="shared" si="90"/>
        <v>-8.3489876852427258E-4</v>
      </c>
      <c r="J560" s="842">
        <v>81.53</v>
      </c>
      <c r="K560" s="843">
        <f t="shared" si="91"/>
        <v>-4.6392381882554012E-3</v>
      </c>
      <c r="L560" s="842">
        <v>65.28</v>
      </c>
      <c r="M560" s="843">
        <f t="shared" si="92"/>
        <v>1.5320974413990385E-4</v>
      </c>
      <c r="N560" s="842">
        <v>67.760000000000005</v>
      </c>
      <c r="O560" s="843">
        <f t="shared" si="93"/>
        <v>-3.2138265962005419E-2</v>
      </c>
      <c r="P560" s="844">
        <f t="shared" si="99"/>
        <v>-3.5677277775408855E-3</v>
      </c>
      <c r="Q560" s="830"/>
      <c r="R560" s="845">
        <v>935.51</v>
      </c>
      <c r="S560" s="846">
        <f t="shared" si="94"/>
        <v>8.9842317565089758E-3</v>
      </c>
      <c r="T560" s="845">
        <v>68.62</v>
      </c>
      <c r="U560" s="846">
        <f t="shared" si="95"/>
        <v>8.9692692251139849E-3</v>
      </c>
      <c r="V560" s="845">
        <v>117.0279</v>
      </c>
      <c r="W560" s="846">
        <f t="shared" si="96"/>
        <v>6.4526615616420369E-3</v>
      </c>
      <c r="X560" s="845">
        <v>33553.83</v>
      </c>
      <c r="Y560" s="846">
        <f t="shared" si="97"/>
        <v>-1.1636380523037948E-3</v>
      </c>
      <c r="Z560" s="845">
        <v>3958.7934</v>
      </c>
      <c r="AA560" s="846">
        <f t="shared" si="98"/>
        <v>-8.2520292625761771E-3</v>
      </c>
      <c r="AB560" s="843"/>
      <c r="AC560" s="832"/>
    </row>
    <row r="561" spans="1:29" ht="14.4" x14ac:dyDescent="0.55000000000000004">
      <c r="A561" s="857" t="s">
        <v>5720</v>
      </c>
      <c r="B561" s="842">
        <v>111.58</v>
      </c>
      <c r="C561" s="843">
        <f t="shared" si="89"/>
        <v>9.4996833438885098E-3</v>
      </c>
      <c r="D561" s="842">
        <v>45.11</v>
      </c>
      <c r="E561" s="843">
        <f t="shared" si="90"/>
        <v>1.4848143982002071E-2</v>
      </c>
      <c r="F561" s="842">
        <v>25.68</v>
      </c>
      <c r="G561" s="843">
        <f t="shared" si="90"/>
        <v>-3.1055900621118626E-3</v>
      </c>
      <c r="H561" s="842">
        <v>47.91</v>
      </c>
      <c r="I561" s="843">
        <f t="shared" si="90"/>
        <v>8.8439671509790152E-3</v>
      </c>
      <c r="J561" s="842">
        <v>81.91</v>
      </c>
      <c r="K561" s="843">
        <f t="shared" si="91"/>
        <v>5.4007610163249176E-3</v>
      </c>
      <c r="L561" s="842">
        <v>65.27</v>
      </c>
      <c r="M561" s="843">
        <f t="shared" si="92"/>
        <v>2.9820132533922239E-2</v>
      </c>
      <c r="N561" s="842">
        <v>70.010000000000005</v>
      </c>
      <c r="O561" s="843">
        <f t="shared" si="93"/>
        <v>6.6139468008628022E-3</v>
      </c>
      <c r="P561" s="844">
        <f t="shared" si="99"/>
        <v>1.0274434966552528E-2</v>
      </c>
      <c r="Q561" s="830"/>
      <c r="R561" s="845">
        <v>927.18</v>
      </c>
      <c r="S561" s="846">
        <f t="shared" si="94"/>
        <v>9.1096091683808833E-3</v>
      </c>
      <c r="T561" s="845">
        <v>68.010000000000005</v>
      </c>
      <c r="U561" s="846">
        <f t="shared" si="95"/>
        <v>1.1000445964025607E-2</v>
      </c>
      <c r="V561" s="845">
        <v>116.27760000000001</v>
      </c>
      <c r="W561" s="846">
        <f t="shared" si="96"/>
        <v>9.4996327595817665E-3</v>
      </c>
      <c r="X561" s="845">
        <v>33592.92</v>
      </c>
      <c r="Y561" s="846">
        <f t="shared" si="97"/>
        <v>1.6763724516724032E-3</v>
      </c>
      <c r="Z561" s="845">
        <v>3991.7332999999999</v>
      </c>
      <c r="AA561" s="846">
        <f t="shared" si="98"/>
        <v>8.7131906906128265E-3</v>
      </c>
      <c r="AB561" s="843"/>
      <c r="AC561" s="832"/>
    </row>
    <row r="562" spans="1:29" ht="14.4" x14ac:dyDescent="0.55000000000000004">
      <c r="A562" s="857" t="s">
        <v>5721</v>
      </c>
      <c r="B562" s="842">
        <v>110.53</v>
      </c>
      <c r="C562" s="843">
        <f t="shared" si="89"/>
        <v>-1.4454783629956891E-3</v>
      </c>
      <c r="D562" s="842">
        <v>44.45</v>
      </c>
      <c r="E562" s="843">
        <f t="shared" si="90"/>
        <v>-1.5067582539330826E-2</v>
      </c>
      <c r="F562" s="842">
        <v>25.76</v>
      </c>
      <c r="G562" s="843">
        <f t="shared" si="90"/>
        <v>-1.9372336303756788E-3</v>
      </c>
      <c r="H562" s="842">
        <v>47.49</v>
      </c>
      <c r="I562" s="843">
        <f t="shared" si="90"/>
        <v>6.357279084551859E-3</v>
      </c>
      <c r="J562" s="842">
        <v>81.47</v>
      </c>
      <c r="K562" s="843">
        <f t="shared" si="91"/>
        <v>1.3520157325466187E-3</v>
      </c>
      <c r="L562" s="842">
        <v>63.38</v>
      </c>
      <c r="M562" s="843">
        <f t="shared" si="92"/>
        <v>-4.6200150489089542E-2</v>
      </c>
      <c r="N562" s="842">
        <v>69.55</v>
      </c>
      <c r="O562" s="843">
        <f t="shared" si="93"/>
        <v>-1.4034590303374062E-2</v>
      </c>
      <c r="P562" s="844">
        <f t="shared" si="99"/>
        <v>-1.0139391501152475E-2</v>
      </c>
      <c r="Q562" s="830"/>
      <c r="R562" s="845">
        <v>918.81</v>
      </c>
      <c r="S562" s="846">
        <f t="shared" si="94"/>
        <v>-9.2945020109334031E-3</v>
      </c>
      <c r="T562" s="845">
        <v>67.27</v>
      </c>
      <c r="U562" s="846">
        <f t="shared" si="95"/>
        <v>-1.1897767332549991E-2</v>
      </c>
      <c r="V562" s="845">
        <v>115.18340000000001</v>
      </c>
      <c r="W562" s="846">
        <f t="shared" si="96"/>
        <v>-1.4451656305455307E-3</v>
      </c>
      <c r="X562" s="845">
        <v>33536.699999999997</v>
      </c>
      <c r="Y562" s="846">
        <f t="shared" si="97"/>
        <v>-6.2569893320644221E-3</v>
      </c>
      <c r="Z562" s="845">
        <v>3957.2530000000002</v>
      </c>
      <c r="AA562" s="846">
        <f t="shared" si="98"/>
        <v>-8.9344718162565062E-3</v>
      </c>
      <c r="AB562" s="843"/>
      <c r="AC562" s="832"/>
    </row>
    <row r="563" spans="1:29" ht="14.4" x14ac:dyDescent="0.55000000000000004">
      <c r="A563" s="857" t="s">
        <v>5722</v>
      </c>
      <c r="B563" s="842">
        <v>110.69</v>
      </c>
      <c r="C563" s="843">
        <f t="shared" si="89"/>
        <v>-9.9284436493738415E-3</v>
      </c>
      <c r="D563" s="842">
        <v>45.13</v>
      </c>
      <c r="E563" s="843">
        <f t="shared" si="90"/>
        <v>-1.8913043478260838E-2</v>
      </c>
      <c r="F563" s="842">
        <v>25.81</v>
      </c>
      <c r="G563" s="843">
        <f t="shared" si="90"/>
        <v>-1.0732081257186721E-2</v>
      </c>
      <c r="H563" s="842">
        <v>47.19</v>
      </c>
      <c r="I563" s="843">
        <f t="shared" si="90"/>
        <v>2.3364485981307581E-3</v>
      </c>
      <c r="J563" s="842">
        <v>81.36</v>
      </c>
      <c r="K563" s="843">
        <f t="shared" si="91"/>
        <v>-1.1541732474790511E-2</v>
      </c>
      <c r="L563" s="842">
        <v>66.45</v>
      </c>
      <c r="M563" s="843">
        <f t="shared" si="92"/>
        <v>1.4194139194139366E-2</v>
      </c>
      <c r="N563" s="842">
        <v>70.540000000000006</v>
      </c>
      <c r="O563" s="843">
        <f t="shared" si="93"/>
        <v>-8.0157502460974639E-3</v>
      </c>
      <c r="P563" s="844">
        <f t="shared" si="99"/>
        <v>-6.0857804733484644E-3</v>
      </c>
      <c r="Q563" s="830"/>
      <c r="R563" s="845">
        <v>927.43</v>
      </c>
      <c r="S563" s="846">
        <f t="shared" si="94"/>
        <v>-1.2468854483889569E-2</v>
      </c>
      <c r="T563" s="845">
        <v>68.08</v>
      </c>
      <c r="U563" s="846">
        <f t="shared" si="95"/>
        <v>-1.1183732752360176E-2</v>
      </c>
      <c r="V563" s="845">
        <v>115.3501</v>
      </c>
      <c r="W563" s="846">
        <f t="shared" si="96"/>
        <v>-9.9290256628578044E-3</v>
      </c>
      <c r="X563" s="845">
        <v>33747.86</v>
      </c>
      <c r="Y563" s="846">
        <f t="shared" si="97"/>
        <v>9.6365544853860285E-4</v>
      </c>
      <c r="Z563" s="845">
        <v>3992.9277000000002</v>
      </c>
      <c r="AA563" s="846">
        <f t="shared" si="98"/>
        <v>9.2401360914069475E-3</v>
      </c>
      <c r="AB563" s="843"/>
      <c r="AC563" s="832"/>
    </row>
    <row r="564" spans="1:29" ht="14.4" x14ac:dyDescent="0.55000000000000004">
      <c r="A564" s="857" t="s">
        <v>5723</v>
      </c>
      <c r="B564" s="842">
        <v>111.8</v>
      </c>
      <c r="C564" s="843">
        <f t="shared" si="89"/>
        <v>8.3858458555501558E-2</v>
      </c>
      <c r="D564" s="842">
        <v>46</v>
      </c>
      <c r="E564" s="843">
        <f t="shared" si="90"/>
        <v>4.735883424408005E-2</v>
      </c>
      <c r="F564" s="842">
        <v>26.09</v>
      </c>
      <c r="G564" s="843">
        <f t="shared" si="90"/>
        <v>4.8212133386902334E-2</v>
      </c>
      <c r="H564" s="842">
        <v>47.08</v>
      </c>
      <c r="I564" s="843">
        <f t="shared" si="90"/>
        <v>3.7004405286343633E-2</v>
      </c>
      <c r="J564" s="842">
        <v>82.31</v>
      </c>
      <c r="K564" s="843">
        <f t="shared" si="91"/>
        <v>5.1347553966023751E-2</v>
      </c>
      <c r="L564" s="842">
        <v>65.52</v>
      </c>
      <c r="M564" s="843">
        <f t="shared" si="92"/>
        <v>2.2631496800374684E-2</v>
      </c>
      <c r="N564" s="842">
        <v>71.11</v>
      </c>
      <c r="O564" s="843">
        <f t="shared" si="93"/>
        <v>3.9467914047653929E-2</v>
      </c>
      <c r="P564" s="844">
        <f t="shared" si="99"/>
        <v>4.7125828040982851E-2</v>
      </c>
      <c r="Q564" s="830"/>
      <c r="R564" s="845">
        <v>939.14</v>
      </c>
      <c r="S564" s="846">
        <f t="shared" si="94"/>
        <v>4.9259817887268964E-2</v>
      </c>
      <c r="T564" s="845">
        <v>68.849999999999994</v>
      </c>
      <c r="U564" s="846">
        <f t="shared" si="95"/>
        <v>4.7148288973383856E-2</v>
      </c>
      <c r="V564" s="845">
        <v>116.5069</v>
      </c>
      <c r="W564" s="846">
        <f t="shared" si="96"/>
        <v>8.3858717847816733E-2</v>
      </c>
      <c r="X564" s="845">
        <v>33715.370000000003</v>
      </c>
      <c r="Y564" s="846">
        <f t="shared" si="97"/>
        <v>3.6951227688800659E-2</v>
      </c>
      <c r="Z564" s="845">
        <v>3956.3703</v>
      </c>
      <c r="AA564" s="846">
        <f t="shared" si="98"/>
        <v>5.5433820329370276E-2</v>
      </c>
      <c r="AB564" s="843"/>
      <c r="AC564" s="832"/>
    </row>
    <row r="565" spans="1:29" ht="14.4" x14ac:dyDescent="0.55000000000000004">
      <c r="A565" s="857" t="s">
        <v>5724</v>
      </c>
      <c r="B565" s="842">
        <v>103.15</v>
      </c>
      <c r="C565" s="843">
        <f t="shared" si="89"/>
        <v>-1.4239296636085585E-2</v>
      </c>
      <c r="D565" s="842">
        <v>43.92</v>
      </c>
      <c r="E565" s="843">
        <f t="shared" si="90"/>
        <v>-5.6599501924382567E-3</v>
      </c>
      <c r="F565" s="842">
        <v>24.89</v>
      </c>
      <c r="G565" s="843">
        <f t="shared" si="90"/>
        <v>-1.6044925792217946E-3</v>
      </c>
      <c r="H565" s="842">
        <v>45.4</v>
      </c>
      <c r="I565" s="843">
        <f t="shared" si="90"/>
        <v>1.9766397124887591E-2</v>
      </c>
      <c r="J565" s="842">
        <v>78.290000000000006</v>
      </c>
      <c r="K565" s="843">
        <f t="shared" si="91"/>
        <v>8.9491178726675003E-4</v>
      </c>
      <c r="L565" s="842">
        <v>64.069999999999993</v>
      </c>
      <c r="M565" s="843">
        <f t="shared" si="92"/>
        <v>-5.0111193476649496E-2</v>
      </c>
      <c r="N565" s="842">
        <v>68.41</v>
      </c>
      <c r="O565" s="843">
        <f t="shared" si="93"/>
        <v>6.325389820535321E-3</v>
      </c>
      <c r="P565" s="844">
        <f t="shared" si="99"/>
        <v>-6.3754620216722102E-3</v>
      </c>
      <c r="Q565" s="830"/>
      <c r="R565" s="845">
        <v>895.05</v>
      </c>
      <c r="S565" s="846">
        <f t="shared" si="94"/>
        <v>-9.1331783460644189E-3</v>
      </c>
      <c r="T565" s="845">
        <v>65.75</v>
      </c>
      <c r="U565" s="846">
        <f t="shared" si="95"/>
        <v>-7.8466877923645262E-3</v>
      </c>
      <c r="V565" s="845">
        <v>107.4927</v>
      </c>
      <c r="W565" s="846">
        <f t="shared" si="96"/>
        <v>-1.4239023379253091E-2</v>
      </c>
      <c r="X565" s="845">
        <v>32513.94</v>
      </c>
      <c r="Y565" s="846">
        <f t="shared" si="97"/>
        <v>-1.9507654060528679E-2</v>
      </c>
      <c r="Z565" s="845">
        <v>3748.5726</v>
      </c>
      <c r="AA565" s="846">
        <f t="shared" si="98"/>
        <v>-2.0776712130987085E-2</v>
      </c>
      <c r="AB565" s="843"/>
      <c r="AC565" s="832"/>
    </row>
    <row r="566" spans="1:29" ht="14.4" x14ac:dyDescent="0.55000000000000004">
      <c r="A566" s="857" t="s">
        <v>5725</v>
      </c>
      <c r="B566" s="842">
        <v>104.64</v>
      </c>
      <c r="C566" s="843">
        <f t="shared" si="89"/>
        <v>6.4441665865153652E-3</v>
      </c>
      <c r="D566" s="842">
        <v>44.17</v>
      </c>
      <c r="E566" s="843">
        <f t="shared" si="90"/>
        <v>1.7976492279327072E-2</v>
      </c>
      <c r="F566" s="842">
        <v>24.93</v>
      </c>
      <c r="G566" s="843">
        <f t="shared" si="90"/>
        <v>2.2979072630282982E-2</v>
      </c>
      <c r="H566" s="842">
        <v>44.52</v>
      </c>
      <c r="I566" s="843">
        <f t="shared" si="90"/>
        <v>-9.3457943925232545E-3</v>
      </c>
      <c r="J566" s="842">
        <v>78.22</v>
      </c>
      <c r="K566" s="843">
        <f t="shared" si="91"/>
        <v>5.7862929150058751E-3</v>
      </c>
      <c r="L566" s="842">
        <v>67.45</v>
      </c>
      <c r="M566" s="843">
        <f t="shared" si="92"/>
        <v>-2.4019678772970621E-2</v>
      </c>
      <c r="N566" s="842">
        <v>67.98</v>
      </c>
      <c r="O566" s="843">
        <f t="shared" si="93"/>
        <v>8.1566068515497303E-3</v>
      </c>
      <c r="P566" s="844">
        <f t="shared" si="99"/>
        <v>3.9967368710267358E-3</v>
      </c>
      <c r="Q566" s="830"/>
      <c r="R566" s="845">
        <v>903.3</v>
      </c>
      <c r="S566" s="846">
        <f t="shared" si="94"/>
        <v>9.8010961255072804E-3</v>
      </c>
      <c r="T566" s="845">
        <v>66.27</v>
      </c>
      <c r="U566" s="846">
        <f t="shared" si="95"/>
        <v>6.9898191764168338E-3</v>
      </c>
      <c r="V566" s="845">
        <v>109.0454</v>
      </c>
      <c r="W566" s="846">
        <f t="shared" si="96"/>
        <v>6.4440982323492602E-3</v>
      </c>
      <c r="X566" s="845">
        <v>33160.83</v>
      </c>
      <c r="Y566" s="846">
        <f t="shared" si="97"/>
        <v>1.0169271223121612E-2</v>
      </c>
      <c r="Z566" s="845">
        <v>3828.1080999999999</v>
      </c>
      <c r="AA566" s="846">
        <f t="shared" si="98"/>
        <v>5.596057586348735E-3</v>
      </c>
      <c r="AB566" s="843"/>
      <c r="AC566" s="832"/>
    </row>
    <row r="567" spans="1:29" ht="14.4" x14ac:dyDescent="0.55000000000000004">
      <c r="A567" s="857" t="s">
        <v>5726</v>
      </c>
      <c r="B567" s="842">
        <v>103.97</v>
      </c>
      <c r="C567" s="843">
        <f t="shared" si="89"/>
        <v>-1.942846364236539E-2</v>
      </c>
      <c r="D567" s="842">
        <v>43.39</v>
      </c>
      <c r="E567" s="843">
        <f t="shared" si="90"/>
        <v>-2.0099367660343259E-2</v>
      </c>
      <c r="F567" s="842">
        <v>24.37</v>
      </c>
      <c r="G567" s="843">
        <f t="shared" si="90"/>
        <v>-5.8709926612591667E-2</v>
      </c>
      <c r="H567" s="842">
        <v>44.94</v>
      </c>
      <c r="I567" s="843">
        <f t="shared" si="90"/>
        <v>-3.6449399656946935E-2</v>
      </c>
      <c r="J567" s="842">
        <v>77.77</v>
      </c>
      <c r="K567" s="843">
        <f t="shared" si="91"/>
        <v>-3.8689740420272067E-2</v>
      </c>
      <c r="L567" s="842">
        <v>69.11</v>
      </c>
      <c r="M567" s="843">
        <f t="shared" si="92"/>
        <v>-1.7765776009096124E-2</v>
      </c>
      <c r="N567" s="842">
        <v>67.430000000000007</v>
      </c>
      <c r="O567" s="843">
        <f t="shared" si="93"/>
        <v>-1.5332943925233655E-2</v>
      </c>
      <c r="P567" s="844">
        <f t="shared" si="99"/>
        <v>-2.9496516846692727E-2</v>
      </c>
      <c r="Q567" s="830"/>
      <c r="R567" s="845">
        <v>894.5326</v>
      </c>
      <c r="S567" s="846">
        <f t="shared" si="94"/>
        <v>-2.0237894437081683E-2</v>
      </c>
      <c r="T567" s="845">
        <v>65.81</v>
      </c>
      <c r="U567" s="846">
        <f t="shared" si="95"/>
        <v>-1.907884930690118E-2</v>
      </c>
      <c r="V567" s="845">
        <v>108.3472</v>
      </c>
      <c r="W567" s="846">
        <f t="shared" si="96"/>
        <v>-1.9429109272901646E-2</v>
      </c>
      <c r="X567" s="845">
        <v>32827.003299999997</v>
      </c>
      <c r="Y567" s="846">
        <f t="shared" si="97"/>
        <v>1.3078431711416094E-2</v>
      </c>
      <c r="Z567" s="845">
        <v>3806.8049999999998</v>
      </c>
      <c r="AA567" s="846">
        <f t="shared" si="98"/>
        <v>9.616272060728237E-3</v>
      </c>
      <c r="AB567" s="843"/>
      <c r="AC567" s="832"/>
    </row>
    <row r="568" spans="1:29" ht="14.4" x14ac:dyDescent="0.55000000000000004">
      <c r="A568" s="857" t="s">
        <v>5727</v>
      </c>
      <c r="B568" s="842">
        <v>106.03</v>
      </c>
      <c r="C568" s="843">
        <f t="shared" si="89"/>
        <v>1.2316211571510527E-2</v>
      </c>
      <c r="D568" s="842">
        <v>44.28</v>
      </c>
      <c r="E568" s="843">
        <f t="shared" si="90"/>
        <v>4.518752824220762E-4</v>
      </c>
      <c r="F568" s="842">
        <v>25.89</v>
      </c>
      <c r="G568" s="843">
        <f t="shared" si="90"/>
        <v>8.9633671083397815E-3</v>
      </c>
      <c r="H568" s="842">
        <v>46.64</v>
      </c>
      <c r="I568" s="843">
        <f t="shared" si="90"/>
        <v>1.1713665943600793E-2</v>
      </c>
      <c r="J568" s="842">
        <v>80.900000000000006</v>
      </c>
      <c r="K568" s="843">
        <f t="shared" si="91"/>
        <v>1.2135618666333059E-2</v>
      </c>
      <c r="L568" s="842">
        <v>70.36</v>
      </c>
      <c r="M568" s="843">
        <f t="shared" si="92"/>
        <v>3.9954337899543724E-3</v>
      </c>
      <c r="N568" s="842">
        <v>68.48</v>
      </c>
      <c r="O568" s="843">
        <f t="shared" si="93"/>
        <v>8.0965699985278139E-3</v>
      </c>
      <c r="P568" s="844">
        <f t="shared" si="99"/>
        <v>8.2389631943840611E-3</v>
      </c>
      <c r="Q568" s="830"/>
      <c r="R568" s="845">
        <v>913.01</v>
      </c>
      <c r="S568" s="846">
        <f t="shared" si="94"/>
        <v>6.781642149835676E-3</v>
      </c>
      <c r="T568" s="845">
        <v>67.09</v>
      </c>
      <c r="U568" s="846">
        <f t="shared" si="95"/>
        <v>6.1487702459508409E-3</v>
      </c>
      <c r="V568" s="845">
        <v>110.494</v>
      </c>
      <c r="W568" s="846">
        <f t="shared" si="96"/>
        <v>1.231704009909329E-2</v>
      </c>
      <c r="X568" s="845">
        <v>32403.22</v>
      </c>
      <c r="Y568" s="846">
        <f t="shared" si="97"/>
        <v>1.2561071833131487E-2</v>
      </c>
      <c r="Z568" s="845">
        <v>3770.5464000000002</v>
      </c>
      <c r="AA568" s="846">
        <f t="shared" si="98"/>
        <v>1.3616815299514196E-2</v>
      </c>
      <c r="AB568" s="843"/>
      <c r="AC568" s="832"/>
    </row>
    <row r="569" spans="1:29" ht="14.4" x14ac:dyDescent="0.55000000000000004">
      <c r="A569" s="857" t="s">
        <v>5728</v>
      </c>
      <c r="B569" s="842">
        <v>104.74</v>
      </c>
      <c r="C569" s="843">
        <f t="shared" si="89"/>
        <v>-7.6740881099005565E-3</v>
      </c>
      <c r="D569" s="842">
        <v>44.26</v>
      </c>
      <c r="E569" s="843">
        <f t="shared" si="90"/>
        <v>-5.8400718778078842E-3</v>
      </c>
      <c r="F569" s="842">
        <v>25.66</v>
      </c>
      <c r="G569" s="843">
        <f t="shared" si="90"/>
        <v>1.5612802498048417E-3</v>
      </c>
      <c r="H569" s="842">
        <v>46.1</v>
      </c>
      <c r="I569" s="843">
        <f t="shared" si="90"/>
        <v>-1.4957264957264904E-2</v>
      </c>
      <c r="J569" s="842">
        <v>79.930000000000007</v>
      </c>
      <c r="K569" s="843">
        <f t="shared" si="91"/>
        <v>7.0555625551216306E-3</v>
      </c>
      <c r="L569" s="842">
        <v>70.08</v>
      </c>
      <c r="M569" s="843">
        <f t="shared" si="92"/>
        <v>-1.931150293870687E-2</v>
      </c>
      <c r="N569" s="842">
        <v>67.930000000000007</v>
      </c>
      <c r="O569" s="843">
        <f t="shared" si="93"/>
        <v>-1.8068806013298633E-2</v>
      </c>
      <c r="P569" s="844">
        <f t="shared" si="99"/>
        <v>-8.1764130131503389E-3</v>
      </c>
      <c r="Q569" s="830"/>
      <c r="R569" s="845">
        <v>906.86</v>
      </c>
      <c r="S569" s="846">
        <f t="shared" si="94"/>
        <v>2.509424159011342E-3</v>
      </c>
      <c r="T569" s="845">
        <v>66.680000000000007</v>
      </c>
      <c r="U569" s="846">
        <f t="shared" si="95"/>
        <v>4.3681277300799959E-3</v>
      </c>
      <c r="V569" s="845">
        <v>109.14960000000001</v>
      </c>
      <c r="W569" s="846">
        <f t="shared" si="96"/>
        <v>-7.67407587889124E-3</v>
      </c>
      <c r="X569" s="845">
        <v>32001.25</v>
      </c>
      <c r="Y569" s="846">
        <f t="shared" si="97"/>
        <v>-4.5573937344312032E-3</v>
      </c>
      <c r="Z569" s="845">
        <v>3719.8933000000002</v>
      </c>
      <c r="AA569" s="846">
        <f t="shared" si="98"/>
        <v>-1.0585233013196138E-2</v>
      </c>
      <c r="AB569" s="843"/>
      <c r="AC569" s="832"/>
    </row>
    <row r="570" spans="1:29" ht="14.4" x14ac:dyDescent="0.55000000000000004">
      <c r="A570" s="857" t="s">
        <v>5729</v>
      </c>
      <c r="B570" s="842">
        <v>105.55</v>
      </c>
      <c r="C570" s="843">
        <f t="shared" si="89"/>
        <v>-6.7751952573633645E-3</v>
      </c>
      <c r="D570" s="842">
        <v>44.52</v>
      </c>
      <c r="E570" s="843">
        <f t="shared" si="90"/>
        <v>-1.3079139880292523E-2</v>
      </c>
      <c r="F570" s="842">
        <v>25.62</v>
      </c>
      <c r="G570" s="843">
        <f t="shared" si="90"/>
        <v>-8.1300813008129413E-3</v>
      </c>
      <c r="H570" s="842">
        <v>46.8</v>
      </c>
      <c r="I570" s="843">
        <f t="shared" si="90"/>
        <v>-1.9895287958115238E-2</v>
      </c>
      <c r="J570" s="842">
        <v>79.37</v>
      </c>
      <c r="K570" s="843">
        <f t="shared" si="91"/>
        <v>-8.246907409721338E-3</v>
      </c>
      <c r="L570" s="842">
        <v>71.459999999999994</v>
      </c>
      <c r="M570" s="843">
        <f t="shared" si="92"/>
        <v>-1.5838038837625801E-2</v>
      </c>
      <c r="N570" s="842">
        <v>69.180000000000007</v>
      </c>
      <c r="O570" s="843">
        <f t="shared" si="93"/>
        <v>-1.663113006396566E-2</v>
      </c>
      <c r="P570" s="844">
        <f t="shared" si="99"/>
        <v>-1.2656540101128124E-2</v>
      </c>
      <c r="Q570" s="830"/>
      <c r="R570" s="845">
        <v>904.59</v>
      </c>
      <c r="S570" s="846">
        <f t="shared" si="94"/>
        <v>-1.0154617177497882E-2</v>
      </c>
      <c r="T570" s="845">
        <v>66.39</v>
      </c>
      <c r="U570" s="846">
        <f t="shared" si="95"/>
        <v>-9.6957040572793751E-3</v>
      </c>
      <c r="V570" s="845">
        <v>109.9937</v>
      </c>
      <c r="W570" s="846">
        <f t="shared" si="96"/>
        <v>-6.775981745302917E-3</v>
      </c>
      <c r="X570" s="845">
        <v>32147.759999999998</v>
      </c>
      <c r="Y570" s="846">
        <f t="shared" si="97"/>
        <v>-1.5479034214104681E-2</v>
      </c>
      <c r="Z570" s="845">
        <v>3759.6905000000002</v>
      </c>
      <c r="AA570" s="846">
        <f t="shared" si="98"/>
        <v>-2.5002270427611606E-2</v>
      </c>
      <c r="AB570" s="843"/>
      <c r="AC570" s="832"/>
    </row>
    <row r="571" spans="1:29" ht="14.4" x14ac:dyDescent="0.55000000000000004">
      <c r="A571" s="857" t="s">
        <v>5730</v>
      </c>
      <c r="B571" s="842">
        <v>106.27</v>
      </c>
      <c r="C571" s="843">
        <f t="shared" si="89"/>
        <v>-2.6278742374472586E-3</v>
      </c>
      <c r="D571" s="842">
        <v>45.11</v>
      </c>
      <c r="E571" s="843">
        <f t="shared" si="90"/>
        <v>1.0528673835125346E-2</v>
      </c>
      <c r="F571" s="842">
        <v>25.83</v>
      </c>
      <c r="G571" s="843">
        <f t="shared" si="90"/>
        <v>5.4495912806538094E-3</v>
      </c>
      <c r="H571" s="842">
        <v>47.75</v>
      </c>
      <c r="I571" s="843">
        <f t="shared" si="90"/>
        <v>-7.0700769390726892E-3</v>
      </c>
      <c r="J571" s="842">
        <v>80.03</v>
      </c>
      <c r="K571" s="843">
        <f t="shared" si="91"/>
        <v>3.291171915332991E-2</v>
      </c>
      <c r="L571" s="842">
        <v>72.61</v>
      </c>
      <c r="M571" s="843">
        <f t="shared" si="92"/>
        <v>-6.2953332420965236E-3</v>
      </c>
      <c r="N571" s="842">
        <v>70.349999999999994</v>
      </c>
      <c r="O571" s="843">
        <f t="shared" si="93"/>
        <v>7.7352814782980506E-3</v>
      </c>
      <c r="P571" s="844">
        <f t="shared" si="99"/>
        <v>5.8045687612558062E-3</v>
      </c>
      <c r="Q571" s="830"/>
      <c r="R571" s="845">
        <v>913.87</v>
      </c>
      <c r="S571" s="846">
        <f t="shared" si="94"/>
        <v>4.7074794184620572E-4</v>
      </c>
      <c r="T571" s="845">
        <v>67.040000000000006</v>
      </c>
      <c r="U571" s="846">
        <f t="shared" si="95"/>
        <v>3.8933812518719968E-3</v>
      </c>
      <c r="V571" s="845">
        <v>110.7441</v>
      </c>
      <c r="W571" s="846">
        <f t="shared" si="96"/>
        <v>-2.6270806352545195E-3</v>
      </c>
      <c r="X571" s="845">
        <v>32653.200000000001</v>
      </c>
      <c r="Y571" s="846">
        <f t="shared" si="97"/>
        <v>-2.4363829107978408E-3</v>
      </c>
      <c r="Z571" s="845">
        <v>3856.1017999999999</v>
      </c>
      <c r="AA571" s="846">
        <f t="shared" si="98"/>
        <v>-4.1000757959008816E-3</v>
      </c>
      <c r="AB571" s="843"/>
      <c r="AC571" s="832"/>
    </row>
    <row r="572" spans="1:29" ht="14.4" x14ac:dyDescent="0.55000000000000004">
      <c r="A572" s="857" t="s">
        <v>5731</v>
      </c>
      <c r="B572" s="842">
        <v>106.55</v>
      </c>
      <c r="C572" s="843">
        <f t="shared" si="89"/>
        <v>-5.2282700028009055E-3</v>
      </c>
      <c r="D572" s="842">
        <v>44.64</v>
      </c>
      <c r="E572" s="843">
        <f t="shared" si="90"/>
        <v>-1.4134275618374548E-2</v>
      </c>
      <c r="F572" s="842">
        <v>25.69</v>
      </c>
      <c r="G572" s="843">
        <f t="shared" si="90"/>
        <v>-7.7249903437620615E-3</v>
      </c>
      <c r="H572" s="842">
        <v>48.09</v>
      </c>
      <c r="I572" s="843">
        <f t="shared" si="90"/>
        <v>-6.2344139650860608E-4</v>
      </c>
      <c r="J572" s="842">
        <v>77.48</v>
      </c>
      <c r="K572" s="843">
        <f t="shared" si="91"/>
        <v>3.6269430051814044E-3</v>
      </c>
      <c r="L572" s="842">
        <v>73.069999999999993</v>
      </c>
      <c r="M572" s="843">
        <f t="shared" si="92"/>
        <v>-1.1097577480038034E-2</v>
      </c>
      <c r="N572" s="842">
        <v>69.81</v>
      </c>
      <c r="O572" s="843">
        <f t="shared" si="93"/>
        <v>1.5781922525106573E-3</v>
      </c>
      <c r="P572" s="844">
        <f t="shared" si="99"/>
        <v>-4.8004885119702989E-3</v>
      </c>
      <c r="Q572" s="830"/>
      <c r="R572" s="845">
        <v>913.44</v>
      </c>
      <c r="S572" s="846">
        <f t="shared" si="94"/>
        <v>-8.391502111445126E-3</v>
      </c>
      <c r="T572" s="845">
        <v>66.78</v>
      </c>
      <c r="U572" s="846">
        <f t="shared" si="95"/>
        <v>-9.3457943925232545E-3</v>
      </c>
      <c r="V572" s="845">
        <v>111.03579999999999</v>
      </c>
      <c r="W572" s="846">
        <f t="shared" si="96"/>
        <v>-5.2284817872162437E-3</v>
      </c>
      <c r="X572" s="845">
        <v>32732.95</v>
      </c>
      <c r="Y572" s="846">
        <f t="shared" si="97"/>
        <v>-3.9209659848213896E-3</v>
      </c>
      <c r="Z572" s="845">
        <v>3871.9771999999998</v>
      </c>
      <c r="AA572" s="846">
        <f t="shared" si="98"/>
        <v>-7.4560687779574586E-3</v>
      </c>
      <c r="AB572" s="843"/>
      <c r="AC572" s="832"/>
    </row>
    <row r="573" spans="1:29" ht="14.4" x14ac:dyDescent="0.55000000000000004">
      <c r="A573" s="857" t="s">
        <v>5732</v>
      </c>
      <c r="B573" s="842">
        <v>107.11</v>
      </c>
      <c r="C573" s="843">
        <f t="shared" si="89"/>
        <v>2.3115865889769882E-2</v>
      </c>
      <c r="D573" s="842">
        <v>45.28</v>
      </c>
      <c r="E573" s="843">
        <f t="shared" si="90"/>
        <v>1.8901890189018999E-2</v>
      </c>
      <c r="F573" s="842">
        <v>25.89</v>
      </c>
      <c r="G573" s="843">
        <f t="shared" si="90"/>
        <v>2.0496649586125404E-2</v>
      </c>
      <c r="H573" s="842">
        <v>48.12</v>
      </c>
      <c r="I573" s="843">
        <f t="shared" si="90"/>
        <v>1.4120126448893489E-2</v>
      </c>
      <c r="J573" s="842">
        <v>77.2</v>
      </c>
      <c r="K573" s="843">
        <f t="shared" si="91"/>
        <v>2.1299113639370315E-2</v>
      </c>
      <c r="L573" s="842">
        <v>73.89</v>
      </c>
      <c r="M573" s="843">
        <f t="shared" si="92"/>
        <v>2.5537820957668433E-2</v>
      </c>
      <c r="N573" s="842">
        <v>69.7</v>
      </c>
      <c r="O573" s="843">
        <f t="shared" si="93"/>
        <v>8.6830680173661801E-3</v>
      </c>
      <c r="P573" s="844">
        <f t="shared" si="99"/>
        <v>1.887921924688753E-2</v>
      </c>
      <c r="Q573" s="830"/>
      <c r="R573" s="845">
        <v>921.17</v>
      </c>
      <c r="S573" s="846">
        <f t="shared" si="94"/>
        <v>2.7197305916724313E-2</v>
      </c>
      <c r="T573" s="845">
        <v>67.41</v>
      </c>
      <c r="U573" s="846">
        <f t="shared" si="95"/>
        <v>2.7434842249657088E-2</v>
      </c>
      <c r="V573" s="845">
        <v>111.6194</v>
      </c>
      <c r="W573" s="846">
        <f t="shared" si="96"/>
        <v>2.3116020073787213E-2</v>
      </c>
      <c r="X573" s="845">
        <v>32861.800000000003</v>
      </c>
      <c r="Y573" s="846">
        <f t="shared" si="97"/>
        <v>2.5864351074882164E-2</v>
      </c>
      <c r="Z573" s="845">
        <v>3901.0637999999999</v>
      </c>
      <c r="AA573" s="846">
        <f t="shared" si="98"/>
        <v>2.4627885061061949E-2</v>
      </c>
      <c r="AB573" s="843"/>
      <c r="AC573" s="832"/>
    </row>
    <row r="574" spans="1:29" ht="14.4" x14ac:dyDescent="0.55000000000000004">
      <c r="A574" s="857" t="s">
        <v>5733</v>
      </c>
      <c r="B574" s="842">
        <v>104.69</v>
      </c>
      <c r="C574" s="843">
        <f t="shared" si="89"/>
        <v>1.2280023206343138E-2</v>
      </c>
      <c r="D574" s="842">
        <v>44.44</v>
      </c>
      <c r="E574" s="843">
        <f t="shared" si="90"/>
        <v>1.8098510882015972E-2</v>
      </c>
      <c r="F574" s="842">
        <v>25.37</v>
      </c>
      <c r="G574" s="843">
        <f t="shared" si="90"/>
        <v>7.9459674215336396E-3</v>
      </c>
      <c r="H574" s="842">
        <v>47.45</v>
      </c>
      <c r="I574" s="843">
        <f t="shared" si="90"/>
        <v>1.6713091922005541E-2</v>
      </c>
      <c r="J574" s="842">
        <v>75.59</v>
      </c>
      <c r="K574" s="843">
        <f t="shared" si="91"/>
        <v>1.5312290127602379E-2</v>
      </c>
      <c r="L574" s="842">
        <v>72.05</v>
      </c>
      <c r="M574" s="843">
        <f t="shared" si="92"/>
        <v>2.1840873634945357E-2</v>
      </c>
      <c r="N574" s="842">
        <v>69.099999999999994</v>
      </c>
      <c r="O574" s="843">
        <f t="shared" si="93"/>
        <v>1.7223612542322853E-2</v>
      </c>
      <c r="P574" s="844">
        <f t="shared" si="99"/>
        <v>1.5630624248109841E-2</v>
      </c>
      <c r="Q574" s="830"/>
      <c r="R574" s="845">
        <v>896.78</v>
      </c>
      <c r="S574" s="846">
        <f t="shared" si="94"/>
        <v>8.9897501096998234E-3</v>
      </c>
      <c r="T574" s="845">
        <v>65.61</v>
      </c>
      <c r="U574" s="846">
        <f t="shared" si="95"/>
        <v>7.9889383929943047E-3</v>
      </c>
      <c r="V574" s="845">
        <v>109.0975</v>
      </c>
      <c r="W574" s="846">
        <f t="shared" si="96"/>
        <v>1.2279388090459475E-2</v>
      </c>
      <c r="X574" s="845">
        <v>32033.279999999999</v>
      </c>
      <c r="Y574" s="846">
        <f t="shared" si="97"/>
        <v>6.0984744862528917E-3</v>
      </c>
      <c r="Z574" s="845">
        <v>3807.2981</v>
      </c>
      <c r="AA574" s="846">
        <f t="shared" si="98"/>
        <v>-6.0820302136280757E-3</v>
      </c>
      <c r="AB574" s="843"/>
      <c r="AC574" s="832"/>
    </row>
    <row r="575" spans="1:29" ht="14.4" x14ac:dyDescent="0.55000000000000004">
      <c r="A575" s="857" t="s">
        <v>5734</v>
      </c>
      <c r="B575" s="842">
        <v>103.42</v>
      </c>
      <c r="C575" s="843">
        <f t="shared" si="89"/>
        <v>9.6786682152538717E-4</v>
      </c>
      <c r="D575" s="842">
        <v>43.65</v>
      </c>
      <c r="E575" s="843">
        <f t="shared" si="90"/>
        <v>1.558864588180553E-2</v>
      </c>
      <c r="F575" s="842">
        <v>25.17</v>
      </c>
      <c r="G575" s="843">
        <f t="shared" si="90"/>
        <v>1.5917230401911731E-3</v>
      </c>
      <c r="H575" s="842">
        <v>46.67</v>
      </c>
      <c r="I575" s="843">
        <f t="shared" si="90"/>
        <v>5.1690717208701109E-3</v>
      </c>
      <c r="J575" s="842">
        <v>74.45</v>
      </c>
      <c r="K575" s="843">
        <f t="shared" si="91"/>
        <v>1.0039343372676868E-2</v>
      </c>
      <c r="L575" s="842">
        <v>70.510000000000005</v>
      </c>
      <c r="M575" s="843">
        <f t="shared" si="92"/>
        <v>1.8471156578574455E-3</v>
      </c>
      <c r="N575" s="842">
        <v>67.930000000000007</v>
      </c>
      <c r="O575" s="843">
        <f t="shared" si="93"/>
        <v>1.5396113602391681E-2</v>
      </c>
      <c r="P575" s="844">
        <f t="shared" si="99"/>
        <v>7.228554299616885E-3</v>
      </c>
      <c r="Q575" s="830"/>
      <c r="R575" s="845">
        <v>888.79</v>
      </c>
      <c r="S575" s="846">
        <f t="shared" si="94"/>
        <v>2.250300977757469E-5</v>
      </c>
      <c r="T575" s="845">
        <v>65.09</v>
      </c>
      <c r="U575" s="846">
        <f t="shared" si="95"/>
        <v>-4.6068796068798878E-4</v>
      </c>
      <c r="V575" s="845">
        <v>107.7741</v>
      </c>
      <c r="W575" s="846">
        <f t="shared" si="96"/>
        <v>9.6777279443927E-4</v>
      </c>
      <c r="X575" s="845">
        <v>31839.11</v>
      </c>
      <c r="Y575" s="846">
        <f t="shared" si="97"/>
        <v>7.4442295285193083E-5</v>
      </c>
      <c r="Z575" s="845">
        <v>3830.5958999999998</v>
      </c>
      <c r="AA575" s="846">
        <f t="shared" si="98"/>
        <v>-7.3896764114349534E-3</v>
      </c>
      <c r="AB575" s="843"/>
      <c r="AC575" s="832"/>
    </row>
    <row r="576" spans="1:29" ht="14.4" x14ac:dyDescent="0.55000000000000004">
      <c r="A576" s="857" t="s">
        <v>5735</v>
      </c>
      <c r="B576" s="842">
        <v>103.32</v>
      </c>
      <c r="C576" s="843">
        <f t="shared" si="89"/>
        <v>1.9437592501233336E-2</v>
      </c>
      <c r="D576" s="842">
        <v>42.98</v>
      </c>
      <c r="E576" s="843">
        <f t="shared" si="90"/>
        <v>1.8724816307181813E-2</v>
      </c>
      <c r="F576" s="842">
        <v>25.13</v>
      </c>
      <c r="G576" s="843">
        <f t="shared" si="90"/>
        <v>1.8646128901499637E-2</v>
      </c>
      <c r="H576" s="842">
        <v>46.43</v>
      </c>
      <c r="I576" s="843">
        <f t="shared" si="90"/>
        <v>2.1562156215621409E-2</v>
      </c>
      <c r="J576" s="842">
        <v>73.709999999999994</v>
      </c>
      <c r="K576" s="843">
        <f t="shared" si="91"/>
        <v>1.0002740476842797E-2</v>
      </c>
      <c r="L576" s="842">
        <v>70.38</v>
      </c>
      <c r="M576" s="843">
        <f t="shared" si="92"/>
        <v>2.3560209424083656E-2</v>
      </c>
      <c r="N576" s="842">
        <v>66.900000000000006</v>
      </c>
      <c r="O576" s="843">
        <f t="shared" si="93"/>
        <v>1.9817073170731891E-2</v>
      </c>
      <c r="P576" s="844">
        <f t="shared" si="99"/>
        <v>1.8821530999599219E-2</v>
      </c>
      <c r="Q576" s="830"/>
      <c r="R576" s="845">
        <v>888.77</v>
      </c>
      <c r="S576" s="846">
        <f t="shared" si="94"/>
        <v>1.9117585004247095E-2</v>
      </c>
      <c r="T576" s="845">
        <v>65.12</v>
      </c>
      <c r="U576" s="846">
        <f t="shared" si="95"/>
        <v>2.0050125313283207E-2</v>
      </c>
      <c r="V576" s="845">
        <v>107.6699</v>
      </c>
      <c r="W576" s="846">
        <f t="shared" si="96"/>
        <v>1.9438177034167836E-2</v>
      </c>
      <c r="X576" s="845">
        <v>31836.74</v>
      </c>
      <c r="Y576" s="846">
        <f t="shared" si="97"/>
        <v>1.0702226193881836E-2</v>
      </c>
      <c r="Z576" s="845">
        <v>3859.1134999999999</v>
      </c>
      <c r="AA576" s="846">
        <f t="shared" si="98"/>
        <v>1.6268160288505307E-2</v>
      </c>
      <c r="AB576" s="843"/>
      <c r="AC576" s="832"/>
    </row>
    <row r="577" spans="1:29" ht="14.4" x14ac:dyDescent="0.55000000000000004">
      <c r="A577" s="857" t="s">
        <v>5736</v>
      </c>
      <c r="B577" s="842">
        <v>101.35</v>
      </c>
      <c r="C577" s="843">
        <f t="shared" si="89"/>
        <v>-3.8333005700805778E-3</v>
      </c>
      <c r="D577" s="842">
        <v>42.19</v>
      </c>
      <c r="E577" s="843">
        <f t="shared" si="90"/>
        <v>2.6140684410647097E-3</v>
      </c>
      <c r="F577" s="842">
        <v>24.67</v>
      </c>
      <c r="G577" s="843">
        <f t="shared" si="90"/>
        <v>7.3499387505104874E-3</v>
      </c>
      <c r="H577" s="842">
        <v>45.45</v>
      </c>
      <c r="I577" s="843">
        <f t="shared" si="90"/>
        <v>-7.8585461689587577E-3</v>
      </c>
      <c r="J577" s="842">
        <v>72.98</v>
      </c>
      <c r="K577" s="843">
        <f t="shared" si="91"/>
        <v>-1.3683634373288234E-3</v>
      </c>
      <c r="L577" s="842">
        <v>68.760000000000005</v>
      </c>
      <c r="M577" s="843">
        <f t="shared" si="92"/>
        <v>-2.2601279317697065E-2</v>
      </c>
      <c r="N577" s="842">
        <v>65.599999999999994</v>
      </c>
      <c r="O577" s="843">
        <f t="shared" si="93"/>
        <v>3.6719706242349659E-3</v>
      </c>
      <c r="P577" s="844">
        <f t="shared" si="99"/>
        <v>-3.1465016683221514E-3</v>
      </c>
      <c r="Q577" s="830"/>
      <c r="R577" s="845">
        <v>872.09760000000006</v>
      </c>
      <c r="S577" s="846">
        <f t="shared" si="94"/>
        <v>8.8234409522598423E-3</v>
      </c>
      <c r="T577" s="845">
        <v>63.84</v>
      </c>
      <c r="U577" s="846">
        <f t="shared" si="95"/>
        <v>8.3715052914232757E-3</v>
      </c>
      <c r="V577" s="845">
        <v>105.6169</v>
      </c>
      <c r="W577" s="846">
        <f t="shared" si="96"/>
        <v>-3.8331197010469387E-3</v>
      </c>
      <c r="X577" s="845">
        <v>31499.623899999999</v>
      </c>
      <c r="Y577" s="846">
        <f t="shared" si="97"/>
        <v>1.3417939191623818E-2</v>
      </c>
      <c r="Z577" s="845">
        <v>3797.3377999999998</v>
      </c>
      <c r="AA577" s="846">
        <f t="shared" si="98"/>
        <v>1.1881933236176145E-2</v>
      </c>
      <c r="AB577" s="843"/>
      <c r="AC577" s="832"/>
    </row>
    <row r="578" spans="1:29" ht="14.4" x14ac:dyDescent="0.55000000000000004">
      <c r="A578" s="857" t="s">
        <v>5737</v>
      </c>
      <c r="B578" s="842">
        <v>101.74</v>
      </c>
      <c r="C578" s="843">
        <f t="shared" si="89"/>
        <v>1.6282089701328495E-2</v>
      </c>
      <c r="D578" s="842">
        <v>42.08</v>
      </c>
      <c r="E578" s="843">
        <f t="shared" si="90"/>
        <v>3.2131469217561826E-2</v>
      </c>
      <c r="F578" s="842">
        <v>24.49</v>
      </c>
      <c r="G578" s="843">
        <f t="shared" si="90"/>
        <v>1.4078674948240222E-2</v>
      </c>
      <c r="H578" s="842">
        <v>45.81</v>
      </c>
      <c r="I578" s="843">
        <f t="shared" si="90"/>
        <v>1.46179401993356E-2</v>
      </c>
      <c r="J578" s="842">
        <v>73.08</v>
      </c>
      <c r="K578" s="843">
        <f t="shared" si="91"/>
        <v>9.5317032739328234E-3</v>
      </c>
      <c r="L578" s="842">
        <v>70.349999999999994</v>
      </c>
      <c r="M578" s="843">
        <f t="shared" si="92"/>
        <v>6.8699012451693964E-3</v>
      </c>
      <c r="N578" s="842">
        <v>65.36</v>
      </c>
      <c r="O578" s="843">
        <f t="shared" si="93"/>
        <v>8.6419753086419693E-3</v>
      </c>
      <c r="P578" s="844">
        <f t="shared" si="99"/>
        <v>1.4593393413458619E-2</v>
      </c>
      <c r="Q578" s="830"/>
      <c r="R578" s="845">
        <v>864.47</v>
      </c>
      <c r="S578" s="846">
        <f t="shared" si="94"/>
        <v>1.7885738507912752E-2</v>
      </c>
      <c r="T578" s="845">
        <v>63.31</v>
      </c>
      <c r="U578" s="846">
        <f t="shared" si="95"/>
        <v>1.8500643500643621E-2</v>
      </c>
      <c r="V578" s="845">
        <v>106.02330000000001</v>
      </c>
      <c r="W578" s="846">
        <f t="shared" si="96"/>
        <v>1.6281858466882682E-2</v>
      </c>
      <c r="X578" s="845">
        <v>31082.560000000001</v>
      </c>
      <c r="Y578" s="846">
        <f t="shared" si="97"/>
        <v>2.4691109756543872E-2</v>
      </c>
      <c r="Z578" s="845">
        <v>3752.7478999999998</v>
      </c>
      <c r="AA578" s="846">
        <f t="shared" si="98"/>
        <v>2.3724171358550761E-2</v>
      </c>
      <c r="AB578" s="843"/>
      <c r="AC578" s="832"/>
    </row>
    <row r="579" spans="1:29" ht="14.4" x14ac:dyDescent="0.55000000000000004">
      <c r="A579" s="857" t="s">
        <v>5738</v>
      </c>
      <c r="B579" s="842">
        <v>100.11</v>
      </c>
      <c r="C579" s="843">
        <f t="shared" si="89"/>
        <v>-1.8914151313210614E-2</v>
      </c>
      <c r="D579" s="842">
        <v>40.770000000000003</v>
      </c>
      <c r="E579" s="843">
        <f t="shared" si="90"/>
        <v>-1.0196649672250424E-2</v>
      </c>
      <c r="F579" s="842">
        <v>24.15</v>
      </c>
      <c r="G579" s="843">
        <f t="shared" si="90"/>
        <v>-2.9340836012861748E-2</v>
      </c>
      <c r="H579" s="842">
        <v>45.15</v>
      </c>
      <c r="I579" s="843">
        <f t="shared" si="90"/>
        <v>-2.2515696038103439E-2</v>
      </c>
      <c r="J579" s="842">
        <v>72.39</v>
      </c>
      <c r="K579" s="843">
        <f t="shared" si="91"/>
        <v>-1.9105691056910512E-2</v>
      </c>
      <c r="L579" s="842">
        <v>69.87</v>
      </c>
      <c r="M579" s="843">
        <f t="shared" si="92"/>
        <v>-2.620209059233447E-2</v>
      </c>
      <c r="N579" s="842">
        <v>64.8</v>
      </c>
      <c r="O579" s="843">
        <f t="shared" si="93"/>
        <v>-1.0535959688502072E-2</v>
      </c>
      <c r="P579" s="844">
        <f t="shared" si="99"/>
        <v>-1.9544439196310468E-2</v>
      </c>
      <c r="Q579" s="830"/>
      <c r="R579" s="845">
        <v>849.28</v>
      </c>
      <c r="S579" s="846">
        <f t="shared" si="94"/>
        <v>-2.4802498622083391E-2</v>
      </c>
      <c r="T579" s="845">
        <v>62.16</v>
      </c>
      <c r="U579" s="846">
        <f t="shared" si="95"/>
        <v>-2.5246981339187791E-2</v>
      </c>
      <c r="V579" s="845">
        <v>104.32470000000001</v>
      </c>
      <c r="W579" s="846">
        <f t="shared" si="96"/>
        <v>-1.8914572675293284E-2</v>
      </c>
      <c r="X579" s="845">
        <v>30333.59</v>
      </c>
      <c r="Y579" s="846">
        <f t="shared" si="97"/>
        <v>-2.9654405546182261E-3</v>
      </c>
      <c r="Z579" s="845">
        <v>3665.7802999999999</v>
      </c>
      <c r="AA579" s="846">
        <f t="shared" si="98"/>
        <v>-7.9495445265612696E-3</v>
      </c>
      <c r="AB579" s="843"/>
      <c r="AC579" s="832"/>
    </row>
    <row r="580" spans="1:29" ht="14.4" x14ac:dyDescent="0.55000000000000004">
      <c r="A580" s="857" t="s">
        <v>5739</v>
      </c>
      <c r="B580" s="842">
        <v>102.04</v>
      </c>
      <c r="C580" s="843">
        <f t="shared" si="89"/>
        <v>2.8501228501229825E-3</v>
      </c>
      <c r="D580" s="842">
        <v>41.19</v>
      </c>
      <c r="E580" s="843">
        <f t="shared" si="90"/>
        <v>1.4587892049597873E-3</v>
      </c>
      <c r="F580" s="842">
        <v>24.88</v>
      </c>
      <c r="G580" s="843">
        <f t="shared" si="90"/>
        <v>-1.543332014246146E-2</v>
      </c>
      <c r="H580" s="842">
        <v>46.19</v>
      </c>
      <c r="I580" s="843">
        <f t="shared" si="90"/>
        <v>-1.4508214209515646E-2</v>
      </c>
      <c r="J580" s="842">
        <v>73.8</v>
      </c>
      <c r="K580" s="843">
        <f t="shared" si="91"/>
        <v>6.7796610169490457E-4</v>
      </c>
      <c r="L580" s="842">
        <v>71.75</v>
      </c>
      <c r="M580" s="843">
        <f t="shared" si="92"/>
        <v>-3.7489586226048255E-3</v>
      </c>
      <c r="N580" s="842">
        <v>65.489999999999995</v>
      </c>
      <c r="O580" s="843">
        <f t="shared" si="93"/>
        <v>-5.6179775280899014E-3</v>
      </c>
      <c r="P580" s="844">
        <f t="shared" si="99"/>
        <v>-4.903084620842023E-3</v>
      </c>
      <c r="Q580" s="830"/>
      <c r="R580" s="845">
        <v>870.88</v>
      </c>
      <c r="S580" s="846">
        <f t="shared" si="94"/>
        <v>-9.9811290725961843E-3</v>
      </c>
      <c r="T580" s="845">
        <v>63.77</v>
      </c>
      <c r="U580" s="846">
        <f t="shared" si="95"/>
        <v>-1.3001083423618609E-2</v>
      </c>
      <c r="V580" s="845">
        <v>106.336</v>
      </c>
      <c r="W580" s="846">
        <f t="shared" si="96"/>
        <v>2.8500346116049347E-3</v>
      </c>
      <c r="X580" s="845">
        <v>30423.81</v>
      </c>
      <c r="Y580" s="846">
        <f t="shared" si="97"/>
        <v>-3.2758044542291476E-3</v>
      </c>
      <c r="Z580" s="845">
        <v>3695.1550999999999</v>
      </c>
      <c r="AA580" s="846">
        <f t="shared" si="98"/>
        <v>-6.6741170597379718E-3</v>
      </c>
      <c r="AB580" s="843"/>
      <c r="AC580" s="832"/>
    </row>
    <row r="581" spans="1:29" ht="14.4" x14ac:dyDescent="0.55000000000000004">
      <c r="A581" s="857" t="s">
        <v>5740</v>
      </c>
      <c r="B581" s="842">
        <v>101.75</v>
      </c>
      <c r="C581" s="843">
        <f t="shared" si="89"/>
        <v>2.1278731305831577E-2</v>
      </c>
      <c r="D581" s="842">
        <v>41.13</v>
      </c>
      <c r="E581" s="843">
        <f t="shared" si="90"/>
        <v>1.7313875834776171E-2</v>
      </c>
      <c r="F581" s="842">
        <v>25.27</v>
      </c>
      <c r="G581" s="843">
        <f t="shared" si="90"/>
        <v>1.5267175572519109E-2</v>
      </c>
      <c r="H581" s="842">
        <v>46.87</v>
      </c>
      <c r="I581" s="843">
        <f t="shared" si="90"/>
        <v>1.9799825935596038E-2</v>
      </c>
      <c r="J581" s="842">
        <v>73.75</v>
      </c>
      <c r="K581" s="843">
        <f t="shared" si="91"/>
        <v>1.8927880630008387E-2</v>
      </c>
      <c r="L581" s="842">
        <v>72.02</v>
      </c>
      <c r="M581" s="843">
        <f t="shared" si="92"/>
        <v>2.3883992038669311E-2</v>
      </c>
      <c r="N581" s="842">
        <v>65.86</v>
      </c>
      <c r="O581" s="843">
        <f t="shared" si="93"/>
        <v>1.7928902627511567E-2</v>
      </c>
      <c r="P581" s="844">
        <f t="shared" si="99"/>
        <v>1.9200054849273167E-2</v>
      </c>
      <c r="Q581" s="830"/>
      <c r="R581" s="845">
        <v>879.66</v>
      </c>
      <c r="S581" s="846">
        <f t="shared" si="94"/>
        <v>1.6360485268630764E-2</v>
      </c>
      <c r="T581" s="845">
        <v>64.61</v>
      </c>
      <c r="U581" s="846">
        <f t="shared" si="95"/>
        <v>1.8282111899133202E-2</v>
      </c>
      <c r="V581" s="845">
        <v>106.0338</v>
      </c>
      <c r="W581" s="846">
        <f t="shared" si="96"/>
        <v>2.1279177843379848E-2</v>
      </c>
      <c r="X581" s="845">
        <v>30523.8</v>
      </c>
      <c r="Y581" s="846">
        <f t="shared" si="97"/>
        <v>1.1196647962520068E-2</v>
      </c>
      <c r="Z581" s="845">
        <v>3719.9827</v>
      </c>
      <c r="AA581" s="846">
        <f t="shared" si="98"/>
        <v>1.1427250663126998E-2</v>
      </c>
      <c r="AB581" s="843"/>
      <c r="AC581" s="832"/>
    </row>
    <row r="582" spans="1:29" ht="14.4" x14ac:dyDescent="0.55000000000000004">
      <c r="A582" s="857" t="s">
        <v>5741</v>
      </c>
      <c r="B582" s="842">
        <v>99.63</v>
      </c>
      <c r="C582" s="843">
        <f t="shared" si="89"/>
        <v>1.5492814188156068E-2</v>
      </c>
      <c r="D582" s="842">
        <v>40.43</v>
      </c>
      <c r="E582" s="843">
        <f t="shared" si="90"/>
        <v>2.4062816616008176E-2</v>
      </c>
      <c r="F582" s="842">
        <v>24.89</v>
      </c>
      <c r="G582" s="843">
        <f t="shared" si="90"/>
        <v>1.6333197223356466E-2</v>
      </c>
      <c r="H582" s="842">
        <v>45.96</v>
      </c>
      <c r="I582" s="843">
        <f t="shared" si="90"/>
        <v>1.4345619068638182E-2</v>
      </c>
      <c r="J582" s="842">
        <v>72.38</v>
      </c>
      <c r="K582" s="843">
        <f t="shared" si="91"/>
        <v>2.6084491068896876E-2</v>
      </c>
      <c r="L582" s="842">
        <v>70.34</v>
      </c>
      <c r="M582" s="843">
        <f t="shared" si="92"/>
        <v>2.2978475858056902E-2</v>
      </c>
      <c r="N582" s="842">
        <v>64.7</v>
      </c>
      <c r="O582" s="843">
        <f t="shared" si="93"/>
        <v>2.3734177215189778E-2</v>
      </c>
      <c r="P582" s="844">
        <f t="shared" si="99"/>
        <v>2.0433084462614635E-2</v>
      </c>
      <c r="Q582" s="830"/>
      <c r="R582" s="845">
        <v>865.5</v>
      </c>
      <c r="S582" s="846">
        <f t="shared" si="94"/>
        <v>2.1709105074901647E-2</v>
      </c>
      <c r="T582" s="845">
        <v>63.45</v>
      </c>
      <c r="U582" s="846">
        <f t="shared" si="95"/>
        <v>2.0917135961383782E-2</v>
      </c>
      <c r="V582" s="845">
        <v>103.8245</v>
      </c>
      <c r="W582" s="846">
        <f t="shared" si="96"/>
        <v>1.5492881979254802E-2</v>
      </c>
      <c r="X582" s="845">
        <v>30185.82</v>
      </c>
      <c r="Y582" s="846">
        <f t="shared" si="97"/>
        <v>1.8592649257647142E-2</v>
      </c>
      <c r="Z582" s="845">
        <v>3677.9537999999998</v>
      </c>
      <c r="AA582" s="846">
        <f t="shared" si="98"/>
        <v>2.6481403889196509E-2</v>
      </c>
      <c r="AB582" s="843"/>
      <c r="AC582" s="832"/>
    </row>
    <row r="583" spans="1:29" ht="14.4" x14ac:dyDescent="0.55000000000000004">
      <c r="A583" s="857" t="s">
        <v>5742</v>
      </c>
      <c r="B583" s="842">
        <v>98.11</v>
      </c>
      <c r="C583" s="843">
        <f t="shared" si="89"/>
        <v>-3.301793810368614E-2</v>
      </c>
      <c r="D583" s="842">
        <v>39.479999999999997</v>
      </c>
      <c r="E583" s="843">
        <f t="shared" si="90"/>
        <v>-1.644245142002998E-2</v>
      </c>
      <c r="F583" s="842">
        <v>24.49</v>
      </c>
      <c r="G583" s="843">
        <f t="shared" si="90"/>
        <v>-2.9714738510301153E-2</v>
      </c>
      <c r="H583" s="842">
        <v>45.31</v>
      </c>
      <c r="I583" s="843">
        <f t="shared" si="90"/>
        <v>-6.5775049331285862E-3</v>
      </c>
      <c r="J583" s="842">
        <v>70.540000000000006</v>
      </c>
      <c r="K583" s="843">
        <f t="shared" si="91"/>
        <v>-1.9733185102834727E-2</v>
      </c>
      <c r="L583" s="842">
        <v>68.760000000000005</v>
      </c>
      <c r="M583" s="843">
        <f t="shared" si="92"/>
        <v>1.7482517482518833E-3</v>
      </c>
      <c r="N583" s="842">
        <v>63.2</v>
      </c>
      <c r="O583" s="843">
        <f t="shared" si="93"/>
        <v>-3.3047735618115026E-2</v>
      </c>
      <c r="P583" s="844">
        <f t="shared" si="99"/>
        <v>-1.9540757419977677E-2</v>
      </c>
      <c r="Q583" s="830"/>
      <c r="R583" s="845">
        <v>847.11</v>
      </c>
      <c r="S583" s="846">
        <f t="shared" si="94"/>
        <v>-1.5686547913689175E-2</v>
      </c>
      <c r="T583" s="845">
        <v>62.15</v>
      </c>
      <c r="U583" s="846">
        <f t="shared" si="95"/>
        <v>-1.4430700919759065E-2</v>
      </c>
      <c r="V583" s="845">
        <v>102.2405</v>
      </c>
      <c r="W583" s="846">
        <f t="shared" si="96"/>
        <v>-3.3018511022248842E-2</v>
      </c>
      <c r="X583" s="845">
        <v>29634.83</v>
      </c>
      <c r="Y583" s="846">
        <f t="shared" si="97"/>
        <v>-1.3445646152698942E-2</v>
      </c>
      <c r="Z583" s="845">
        <v>3583.0691000000002</v>
      </c>
      <c r="AA583" s="846">
        <f t="shared" si="98"/>
        <v>-2.3661806896019044E-2</v>
      </c>
      <c r="AB583" s="843"/>
      <c r="AC583" s="832"/>
    </row>
    <row r="584" spans="1:29" ht="14.4" x14ac:dyDescent="0.55000000000000004">
      <c r="A584" s="857" t="s">
        <v>5743</v>
      </c>
      <c r="B584" s="842">
        <v>101.46</v>
      </c>
      <c r="C584" s="843">
        <f t="shared" ref="C584:C647" si="100">IFERROR(((B584/B585)-1), "NA")</f>
        <v>2.2164013701390095E-2</v>
      </c>
      <c r="D584" s="842">
        <v>40.14</v>
      </c>
      <c r="E584" s="843">
        <f t="shared" ref="E584:I647" si="101">IFERROR(((D584/D585)-1), "NA")</f>
        <v>3.5336600464276335E-2</v>
      </c>
      <c r="F584" s="842">
        <v>25.24</v>
      </c>
      <c r="G584" s="843">
        <f t="shared" si="101"/>
        <v>4.3406366267052299E-2</v>
      </c>
      <c r="H584" s="842">
        <v>45.61</v>
      </c>
      <c r="I584" s="843">
        <f t="shared" si="101"/>
        <v>3.77701934015926E-2</v>
      </c>
      <c r="J584" s="842">
        <v>71.959999999999994</v>
      </c>
      <c r="K584" s="843">
        <f t="shared" ref="K584:K647" si="102">IFERROR(((J584/J585)-1), "NA")</f>
        <v>2.75596173068684E-2</v>
      </c>
      <c r="L584" s="842">
        <v>68.64</v>
      </c>
      <c r="M584" s="843">
        <f t="shared" ref="M584:M647" si="103">IFERROR(((L584/L585)-1), "NA")</f>
        <v>2.188476998660116E-2</v>
      </c>
      <c r="N584" s="842">
        <v>65.36</v>
      </c>
      <c r="O584" s="843">
        <f t="shared" ref="O584:O647" si="104">IFERROR(((N584/N585)-1), "NA")</f>
        <v>3.8449316809660017E-2</v>
      </c>
      <c r="P584" s="844">
        <f t="shared" si="99"/>
        <v>3.2367268276777272E-2</v>
      </c>
      <c r="Q584" s="830"/>
      <c r="R584" s="845">
        <v>860.61</v>
      </c>
      <c r="S584" s="846">
        <f t="shared" ref="S584:S647" si="105">IFERROR(((R584/R585)-1), "NA")</f>
        <v>2.5769079488432434E-2</v>
      </c>
      <c r="T584" s="845">
        <v>63.06</v>
      </c>
      <c r="U584" s="846">
        <f t="shared" ref="U584:U647" si="106">IFERROR(((T584/T585)-1), "NA")</f>
        <v>2.5032509752925813E-2</v>
      </c>
      <c r="V584" s="845">
        <v>105.7316</v>
      </c>
      <c r="W584" s="846">
        <f t="shared" ref="W584:W647" si="107">IFERROR(((V584/V585)-1), "NA")</f>
        <v>2.2164775534155856E-2</v>
      </c>
      <c r="X584" s="845">
        <v>30038.720000000001</v>
      </c>
      <c r="Y584" s="846">
        <f t="shared" ref="Y584:Y647" si="108">IFERROR(((X584/X585)-1), "NA")</f>
        <v>2.8341181444565988E-2</v>
      </c>
      <c r="Z584" s="845">
        <v>3669.9056999999998</v>
      </c>
      <c r="AA584" s="846">
        <f t="shared" ref="AA584:AA647" si="109">IFERROR(((Z584/Z585)-1), "NA")</f>
        <v>2.5963985725930172E-2</v>
      </c>
      <c r="AB584" s="843"/>
      <c r="AC584" s="832"/>
    </row>
    <row r="585" spans="1:29" ht="14.4" x14ac:dyDescent="0.55000000000000004">
      <c r="A585" s="857" t="s">
        <v>5744</v>
      </c>
      <c r="B585" s="842">
        <v>99.26</v>
      </c>
      <c r="C585" s="843">
        <f t="shared" si="100"/>
        <v>-2.876712328767117E-2</v>
      </c>
      <c r="D585" s="842">
        <v>38.770000000000003</v>
      </c>
      <c r="E585" s="843">
        <f t="shared" si="101"/>
        <v>-2.8564269606614734E-2</v>
      </c>
      <c r="F585" s="842">
        <v>24.19</v>
      </c>
      <c r="G585" s="843">
        <f t="shared" si="101"/>
        <v>-2.7342179332529137E-2</v>
      </c>
      <c r="H585" s="842">
        <v>43.95</v>
      </c>
      <c r="I585" s="843">
        <f t="shared" si="101"/>
        <v>-1.3689407540394938E-2</v>
      </c>
      <c r="J585" s="842">
        <v>70.03</v>
      </c>
      <c r="K585" s="843">
        <f t="shared" si="102"/>
        <v>-2.7361111111111058E-2</v>
      </c>
      <c r="L585" s="842">
        <v>67.17</v>
      </c>
      <c r="M585" s="843">
        <f t="shared" si="103"/>
        <v>-1.3656387665198166E-2</v>
      </c>
      <c r="N585" s="842">
        <v>62.94</v>
      </c>
      <c r="O585" s="843">
        <f t="shared" si="104"/>
        <v>-1.0688462747563632E-2</v>
      </c>
      <c r="P585" s="844">
        <f t="shared" ref="P585:P648" si="110">IFERROR(AVERAGE(C585,E585,G585,I585,M585,K585,O585),"NA")</f>
        <v>-2.1438420184440404E-2</v>
      </c>
      <c r="Q585" s="830"/>
      <c r="R585" s="845">
        <v>838.99</v>
      </c>
      <c r="S585" s="846">
        <f t="shared" si="105"/>
        <v>-3.1927168670528139E-2</v>
      </c>
      <c r="T585" s="845">
        <v>61.52</v>
      </c>
      <c r="U585" s="846">
        <f t="shared" si="106"/>
        <v>-3.3312382149591424E-2</v>
      </c>
      <c r="V585" s="845">
        <v>103.4389</v>
      </c>
      <c r="W585" s="846">
        <f t="shared" si="107"/>
        <v>-2.8767345804378675E-2</v>
      </c>
      <c r="X585" s="845">
        <v>29210.85</v>
      </c>
      <c r="Y585" s="846">
        <f t="shared" si="108"/>
        <v>-9.6924709610624049E-4</v>
      </c>
      <c r="Z585" s="845">
        <v>3577.0317</v>
      </c>
      <c r="AA585" s="846">
        <f t="shared" si="109"/>
        <v>-3.2908108880471687E-3</v>
      </c>
      <c r="AB585" s="843"/>
      <c r="AC585" s="832"/>
    </row>
    <row r="586" spans="1:29" ht="14.4" x14ac:dyDescent="0.55000000000000004">
      <c r="A586" s="857" t="s">
        <v>5745</v>
      </c>
      <c r="B586" s="842">
        <v>102.2</v>
      </c>
      <c r="C586" s="843">
        <f t="shared" si="100"/>
        <v>2.3227873448137926E-2</v>
      </c>
      <c r="D586" s="842">
        <v>39.909999999999997</v>
      </c>
      <c r="E586" s="843">
        <f t="shared" si="101"/>
        <v>1.6038696537678199E-2</v>
      </c>
      <c r="F586" s="842">
        <v>24.87</v>
      </c>
      <c r="G586" s="843">
        <f t="shared" si="101"/>
        <v>1.4274061990212195E-2</v>
      </c>
      <c r="H586" s="842">
        <v>44.56</v>
      </c>
      <c r="I586" s="843">
        <f t="shared" si="101"/>
        <v>4.1364804860948956E-2</v>
      </c>
      <c r="J586" s="842">
        <v>72</v>
      </c>
      <c r="K586" s="843">
        <f t="shared" si="102"/>
        <v>2.0842194810718917E-2</v>
      </c>
      <c r="L586" s="842">
        <v>68.099999999999994</v>
      </c>
      <c r="M586" s="843">
        <f t="shared" si="103"/>
        <v>1.3845466726216893E-2</v>
      </c>
      <c r="N586" s="842">
        <v>63.62</v>
      </c>
      <c r="O586" s="843">
        <f t="shared" si="104"/>
        <v>2.5467440361057303E-2</v>
      </c>
      <c r="P586" s="844">
        <f t="shared" si="110"/>
        <v>2.2151505533567199E-2</v>
      </c>
      <c r="Q586" s="830"/>
      <c r="R586" s="845">
        <v>866.66</v>
      </c>
      <c r="S586" s="846">
        <f t="shared" si="105"/>
        <v>4.6175513125379375E-4</v>
      </c>
      <c r="T586" s="845">
        <v>63.64</v>
      </c>
      <c r="U586" s="846">
        <f t="shared" si="106"/>
        <v>-3.6010646625957987E-3</v>
      </c>
      <c r="V586" s="845">
        <v>106.5027</v>
      </c>
      <c r="W586" s="846">
        <f t="shared" si="107"/>
        <v>2.3228130854590079E-2</v>
      </c>
      <c r="X586" s="845">
        <v>29239.19</v>
      </c>
      <c r="Y586" s="846">
        <f t="shared" si="108"/>
        <v>1.2433705168803932E-3</v>
      </c>
      <c r="Z586" s="845">
        <v>3588.8418999999999</v>
      </c>
      <c r="AA586" s="846">
        <f t="shared" si="109"/>
        <v>-6.5180161319902119E-3</v>
      </c>
      <c r="AB586" s="843"/>
      <c r="AC586" s="832"/>
    </row>
    <row r="587" spans="1:29" ht="14.4" x14ac:dyDescent="0.55000000000000004">
      <c r="A587" s="857" t="s">
        <v>5746</v>
      </c>
      <c r="B587" s="842">
        <v>99.88</v>
      </c>
      <c r="C587" s="843">
        <f t="shared" si="100"/>
        <v>4.9300734480328678E-3</v>
      </c>
      <c r="D587" s="842">
        <v>39.28</v>
      </c>
      <c r="E587" s="843">
        <f t="shared" si="101"/>
        <v>7.954837054144237E-3</v>
      </c>
      <c r="F587" s="842">
        <v>24.52</v>
      </c>
      <c r="G587" s="843">
        <f t="shared" si="101"/>
        <v>4.0799673602598396E-4</v>
      </c>
      <c r="H587" s="842">
        <v>42.79</v>
      </c>
      <c r="I587" s="843">
        <f t="shared" si="101"/>
        <v>1.404165691551551E-3</v>
      </c>
      <c r="J587" s="842">
        <v>70.53</v>
      </c>
      <c r="K587" s="843">
        <f t="shared" si="102"/>
        <v>3.4144259496371454E-3</v>
      </c>
      <c r="L587" s="842">
        <v>67.17</v>
      </c>
      <c r="M587" s="843">
        <f t="shared" si="103"/>
        <v>-1.2641481699250279E-2</v>
      </c>
      <c r="N587" s="842">
        <v>62.04</v>
      </c>
      <c r="O587" s="843">
        <f t="shared" si="104"/>
        <v>6.4516129032266001E-4</v>
      </c>
      <c r="P587" s="844">
        <f t="shared" si="110"/>
        <v>8.7359692435202377E-4</v>
      </c>
      <c r="Q587" s="830"/>
      <c r="R587" s="845">
        <v>866.26</v>
      </c>
      <c r="S587" s="846">
        <f t="shared" si="105"/>
        <v>3.2776252851998144E-3</v>
      </c>
      <c r="T587" s="845">
        <v>63.87</v>
      </c>
      <c r="U587" s="846">
        <f t="shared" si="106"/>
        <v>1.7252195734003273E-3</v>
      </c>
      <c r="V587" s="845">
        <v>104.08499999999999</v>
      </c>
      <c r="W587" s="846">
        <f t="shared" si="107"/>
        <v>4.9297896005189301E-3</v>
      </c>
      <c r="X587" s="845">
        <v>29202.880000000001</v>
      </c>
      <c r="Y587" s="846">
        <f t="shared" si="108"/>
        <v>-3.2054706334720962E-3</v>
      </c>
      <c r="Z587" s="845">
        <v>3612.3874999999998</v>
      </c>
      <c r="AA587" s="846">
        <f t="shared" si="109"/>
        <v>-7.4931449640900372E-3</v>
      </c>
      <c r="AB587" s="843"/>
      <c r="AC587" s="832"/>
    </row>
    <row r="588" spans="1:29" ht="14.4" x14ac:dyDescent="0.55000000000000004">
      <c r="A588" s="857" t="s">
        <v>5747</v>
      </c>
      <c r="B588" s="842">
        <v>99.39</v>
      </c>
      <c r="C588" s="843">
        <f t="shared" si="100"/>
        <v>-1.4085904176173059E-2</v>
      </c>
      <c r="D588" s="842">
        <v>38.97</v>
      </c>
      <c r="E588" s="843">
        <f t="shared" si="101"/>
        <v>-1.9869215291750453E-2</v>
      </c>
      <c r="F588" s="842">
        <v>24.51</v>
      </c>
      <c r="G588" s="843">
        <f t="shared" si="101"/>
        <v>-2.3505976095617553E-2</v>
      </c>
      <c r="H588" s="842">
        <v>42.73</v>
      </c>
      <c r="I588" s="843">
        <f t="shared" si="101"/>
        <v>-1.3391826368044479E-2</v>
      </c>
      <c r="J588" s="842">
        <v>70.290000000000006</v>
      </c>
      <c r="K588" s="843">
        <f t="shared" si="102"/>
        <v>-1.2225969645868306E-2</v>
      </c>
      <c r="L588" s="842">
        <v>68.03</v>
      </c>
      <c r="M588" s="843">
        <f t="shared" si="103"/>
        <v>-1.0904332654841475E-2</v>
      </c>
      <c r="N588" s="842">
        <v>62</v>
      </c>
      <c r="O588" s="843">
        <f t="shared" si="104"/>
        <v>-1.5404160711449899E-2</v>
      </c>
      <c r="P588" s="844">
        <f t="shared" si="110"/>
        <v>-1.562676927767789E-2</v>
      </c>
      <c r="Q588" s="830"/>
      <c r="R588" s="845">
        <v>863.43</v>
      </c>
      <c r="S588" s="846">
        <f t="shared" si="105"/>
        <v>-2.0776864190530264E-2</v>
      </c>
      <c r="T588" s="845">
        <v>63.76</v>
      </c>
      <c r="U588" s="846">
        <f t="shared" si="106"/>
        <v>-2.073414222085701E-2</v>
      </c>
      <c r="V588" s="845">
        <v>103.5744</v>
      </c>
      <c r="W588" s="846">
        <f t="shared" si="107"/>
        <v>-1.4086062242156916E-2</v>
      </c>
      <c r="X588" s="845">
        <v>29296.79</v>
      </c>
      <c r="Y588" s="846">
        <f t="shared" si="108"/>
        <v>-2.1056279058266458E-2</v>
      </c>
      <c r="Z588" s="845">
        <v>3639.66</v>
      </c>
      <c r="AA588" s="846">
        <f t="shared" si="109"/>
        <v>-2.8003537329406081E-2</v>
      </c>
      <c r="AB588" s="843"/>
      <c r="AC588" s="832"/>
    </row>
    <row r="589" spans="1:29" ht="14.4" x14ac:dyDescent="0.55000000000000004">
      <c r="A589" s="857" t="s">
        <v>5748</v>
      </c>
      <c r="B589" s="842">
        <v>100.81</v>
      </c>
      <c r="C589" s="843">
        <f t="shared" si="100"/>
        <v>-3.1697243300355393E-2</v>
      </c>
      <c r="D589" s="842">
        <v>39.76</v>
      </c>
      <c r="E589" s="843">
        <f t="shared" si="101"/>
        <v>-1.7786561264822143E-2</v>
      </c>
      <c r="F589" s="842">
        <v>25.1</v>
      </c>
      <c r="G589" s="843">
        <f t="shared" si="101"/>
        <v>-4.0519877675840976E-2</v>
      </c>
      <c r="H589" s="842">
        <v>43.31</v>
      </c>
      <c r="I589" s="843">
        <f t="shared" si="101"/>
        <v>-1.9470228661987776E-2</v>
      </c>
      <c r="J589" s="842">
        <v>71.16</v>
      </c>
      <c r="K589" s="843">
        <f t="shared" si="102"/>
        <v>-2.426984779925967E-2</v>
      </c>
      <c r="L589" s="842">
        <v>68.78</v>
      </c>
      <c r="M589" s="843">
        <f t="shared" si="103"/>
        <v>-1.5882100443554203E-2</v>
      </c>
      <c r="N589" s="842">
        <v>62.97</v>
      </c>
      <c r="O589" s="843">
        <f t="shared" si="104"/>
        <v>-2.1901211556383915E-2</v>
      </c>
      <c r="P589" s="844">
        <f t="shared" si="110"/>
        <v>-2.4503867243172012E-2</v>
      </c>
      <c r="Q589" s="830"/>
      <c r="R589" s="845">
        <v>881.75</v>
      </c>
      <c r="S589" s="846">
        <f t="shared" si="105"/>
        <v>-3.0404662414778905E-2</v>
      </c>
      <c r="T589" s="845">
        <v>65.11</v>
      </c>
      <c r="U589" s="846">
        <f t="shared" si="106"/>
        <v>-3.2971929303430847E-2</v>
      </c>
      <c r="V589" s="845">
        <v>105.05419999999999</v>
      </c>
      <c r="W589" s="846">
        <f t="shared" si="107"/>
        <v>-3.1696946626098788E-2</v>
      </c>
      <c r="X589" s="845">
        <v>29926.94</v>
      </c>
      <c r="Y589" s="846">
        <f t="shared" si="108"/>
        <v>-1.1459717571622008E-2</v>
      </c>
      <c r="Z589" s="845">
        <v>3744.5198</v>
      </c>
      <c r="AA589" s="846">
        <f t="shared" si="109"/>
        <v>-1.0245497466828568E-2</v>
      </c>
      <c r="AB589" s="843"/>
      <c r="AC589" s="832"/>
    </row>
    <row r="590" spans="1:29" ht="14.4" x14ac:dyDescent="0.55000000000000004">
      <c r="A590" s="857" t="s">
        <v>5749</v>
      </c>
      <c r="B590" s="842">
        <v>104.11</v>
      </c>
      <c r="C590" s="843">
        <f t="shared" si="100"/>
        <v>-2.1614509914481661E-2</v>
      </c>
      <c r="D590" s="842">
        <v>40.479999999999997</v>
      </c>
      <c r="E590" s="843">
        <f t="shared" si="101"/>
        <v>-1.2201073694485087E-2</v>
      </c>
      <c r="F590" s="842">
        <v>26.16</v>
      </c>
      <c r="G590" s="843">
        <f t="shared" si="101"/>
        <v>-2.7509293680297309E-2</v>
      </c>
      <c r="H590" s="842">
        <v>44.17</v>
      </c>
      <c r="I590" s="843">
        <f t="shared" si="101"/>
        <v>-2.472952086553315E-2</v>
      </c>
      <c r="J590" s="842">
        <v>72.930000000000007</v>
      </c>
      <c r="K590" s="843">
        <f t="shared" si="102"/>
        <v>-2.2517088862082701E-2</v>
      </c>
      <c r="L590" s="842">
        <v>69.89</v>
      </c>
      <c r="M590" s="843">
        <f t="shared" si="103"/>
        <v>-2.3064020128599427E-2</v>
      </c>
      <c r="N590" s="842">
        <v>64.38</v>
      </c>
      <c r="O590" s="843">
        <f t="shared" si="104"/>
        <v>-1.9643672910004684E-2</v>
      </c>
      <c r="P590" s="844">
        <f t="shared" si="110"/>
        <v>-2.1611311436497718E-2</v>
      </c>
      <c r="Q590" s="830"/>
      <c r="R590" s="845">
        <v>909.4</v>
      </c>
      <c r="S590" s="846">
        <f t="shared" si="105"/>
        <v>-2.5503643377625451E-2</v>
      </c>
      <c r="T590" s="845">
        <v>67.33</v>
      </c>
      <c r="U590" s="846">
        <f t="shared" si="106"/>
        <v>-2.2218995062445512E-2</v>
      </c>
      <c r="V590" s="845">
        <v>108.4931</v>
      </c>
      <c r="W590" s="846">
        <f t="shared" si="107"/>
        <v>-2.1615114077013331E-2</v>
      </c>
      <c r="X590" s="845">
        <v>30273.87</v>
      </c>
      <c r="Y590" s="846">
        <f t="shared" si="108"/>
        <v>-1.4002359125382391E-3</v>
      </c>
      <c r="Z590" s="845">
        <v>3783.2813999999998</v>
      </c>
      <c r="AA590" s="846">
        <f t="shared" si="109"/>
        <v>-2.0173155977681878E-3</v>
      </c>
      <c r="AB590" s="843"/>
      <c r="AC590" s="832"/>
    </row>
    <row r="591" spans="1:29" ht="14.4" x14ac:dyDescent="0.55000000000000004">
      <c r="A591" s="857" t="s">
        <v>5750</v>
      </c>
      <c r="B591" s="842">
        <v>106.41</v>
      </c>
      <c r="C591" s="843">
        <f t="shared" si="100"/>
        <v>1.333206361298922E-2</v>
      </c>
      <c r="D591" s="842">
        <v>40.98</v>
      </c>
      <c r="E591" s="843">
        <f t="shared" si="101"/>
        <v>2.5782227784730827E-2</v>
      </c>
      <c r="F591" s="842">
        <v>26.9</v>
      </c>
      <c r="G591" s="843">
        <f t="shared" si="101"/>
        <v>3.4217608612072237E-2</v>
      </c>
      <c r="H591" s="842">
        <v>45.29</v>
      </c>
      <c r="I591" s="843">
        <f t="shared" si="101"/>
        <v>2.1655763591247545E-2</v>
      </c>
      <c r="J591" s="842">
        <v>74.61</v>
      </c>
      <c r="K591" s="843">
        <f t="shared" si="102"/>
        <v>2.5426058273776642E-2</v>
      </c>
      <c r="L591" s="842">
        <v>71.540000000000006</v>
      </c>
      <c r="M591" s="843">
        <f t="shared" si="103"/>
        <v>8.457851705666819E-3</v>
      </c>
      <c r="N591" s="842">
        <v>65.67</v>
      </c>
      <c r="O591" s="843">
        <f t="shared" si="104"/>
        <v>2.4492979719188845E-2</v>
      </c>
      <c r="P591" s="844">
        <f t="shared" si="110"/>
        <v>2.1909221899953164E-2</v>
      </c>
      <c r="Q591" s="830"/>
      <c r="R591" s="845">
        <v>933.2</v>
      </c>
      <c r="S591" s="846">
        <f t="shared" si="105"/>
        <v>2.0124837394374762E-2</v>
      </c>
      <c r="T591" s="845">
        <v>68.86</v>
      </c>
      <c r="U591" s="846">
        <f t="shared" si="106"/>
        <v>2.1207177814029254E-2</v>
      </c>
      <c r="V591" s="845">
        <v>110.89</v>
      </c>
      <c r="W591" s="846">
        <f t="shared" si="107"/>
        <v>1.3332602279061634E-2</v>
      </c>
      <c r="X591" s="845">
        <v>30316.32</v>
      </c>
      <c r="Y591" s="846">
        <f t="shared" si="108"/>
        <v>2.7989321448081084E-2</v>
      </c>
      <c r="Z591" s="845">
        <v>3790.9288999999999</v>
      </c>
      <c r="AA591" s="846">
        <f t="shared" si="109"/>
        <v>3.0583737273914169E-2</v>
      </c>
      <c r="AB591" s="843"/>
      <c r="AC591" s="832"/>
    </row>
    <row r="592" spans="1:29" ht="14.4" x14ac:dyDescent="0.55000000000000004">
      <c r="A592" s="857" t="s">
        <v>5751</v>
      </c>
      <c r="B592" s="842">
        <v>105.01</v>
      </c>
      <c r="C592" s="843">
        <f t="shared" si="100"/>
        <v>3.1026018654884746E-2</v>
      </c>
      <c r="D592" s="842">
        <v>39.950000000000003</v>
      </c>
      <c r="E592" s="843">
        <f t="shared" si="101"/>
        <v>3.2299741602067167E-2</v>
      </c>
      <c r="F592" s="842">
        <v>26.01</v>
      </c>
      <c r="G592" s="843">
        <f t="shared" si="101"/>
        <v>3.2552600238189733E-2</v>
      </c>
      <c r="H592" s="842">
        <v>44.33</v>
      </c>
      <c r="I592" s="843">
        <f t="shared" si="101"/>
        <v>2.1899492853849623E-2</v>
      </c>
      <c r="J592" s="842">
        <v>72.760000000000005</v>
      </c>
      <c r="K592" s="843">
        <f t="shared" si="102"/>
        <v>3.3669555334564727E-2</v>
      </c>
      <c r="L592" s="842">
        <v>70.94</v>
      </c>
      <c r="M592" s="843">
        <f t="shared" si="103"/>
        <v>1.7060931899641529E-2</v>
      </c>
      <c r="N592" s="842">
        <v>64.099999999999994</v>
      </c>
      <c r="O592" s="843">
        <f t="shared" si="104"/>
        <v>2.8397240494143938E-2</v>
      </c>
      <c r="P592" s="844">
        <f t="shared" si="110"/>
        <v>2.8129368725334496E-2</v>
      </c>
      <c r="Q592" s="830"/>
      <c r="R592" s="845">
        <v>914.79</v>
      </c>
      <c r="S592" s="846">
        <f t="shared" si="105"/>
        <v>2.962396029128711E-2</v>
      </c>
      <c r="T592" s="845">
        <v>67.430000000000007</v>
      </c>
      <c r="U592" s="846">
        <f t="shared" si="106"/>
        <v>2.9308502518699431E-2</v>
      </c>
      <c r="V592" s="845">
        <v>109.431</v>
      </c>
      <c r="W592" s="846">
        <f t="shared" si="107"/>
        <v>3.102564585727996E-2</v>
      </c>
      <c r="X592" s="845">
        <v>29490.89</v>
      </c>
      <c r="Y592" s="846">
        <f t="shared" si="108"/>
        <v>2.6644609617026749E-2</v>
      </c>
      <c r="Z592" s="845">
        <v>3678.4288000000001</v>
      </c>
      <c r="AA592" s="846">
        <f t="shared" si="109"/>
        <v>2.5882439824074233E-2</v>
      </c>
      <c r="AB592" s="843"/>
      <c r="AC592" s="832"/>
    </row>
    <row r="593" spans="1:29" ht="14.4" x14ac:dyDescent="0.55000000000000004">
      <c r="A593" s="857" t="s">
        <v>5752</v>
      </c>
      <c r="B593" s="842">
        <v>101.85</v>
      </c>
      <c r="C593" s="843">
        <f t="shared" si="100"/>
        <v>-2.6848843875406092E-2</v>
      </c>
      <c r="D593" s="842">
        <v>38.700000000000003</v>
      </c>
      <c r="E593" s="843">
        <f t="shared" si="101"/>
        <v>-2.5434399395618201E-2</v>
      </c>
      <c r="F593" s="842">
        <v>25.19</v>
      </c>
      <c r="G593" s="843">
        <f t="shared" si="101"/>
        <v>-3.0034655371582453E-2</v>
      </c>
      <c r="H593" s="842">
        <v>43.38</v>
      </c>
      <c r="I593" s="843">
        <f t="shared" si="101"/>
        <v>-3.4068136272545013E-2</v>
      </c>
      <c r="J593" s="842">
        <v>70.39</v>
      </c>
      <c r="K593" s="843">
        <f t="shared" si="102"/>
        <v>-2.5743944636678173E-2</v>
      </c>
      <c r="L593" s="842">
        <v>69.75</v>
      </c>
      <c r="M593" s="843">
        <f t="shared" si="103"/>
        <v>-2.3246043971432484E-2</v>
      </c>
      <c r="N593" s="842">
        <v>62.33</v>
      </c>
      <c r="O593" s="843">
        <f t="shared" si="104"/>
        <v>-2.6398000624804685E-2</v>
      </c>
      <c r="P593" s="844">
        <f t="shared" si="110"/>
        <v>-2.7396289164009584E-2</v>
      </c>
      <c r="Q593" s="830"/>
      <c r="R593" s="845">
        <v>888.47</v>
      </c>
      <c r="S593" s="846">
        <f t="shared" si="105"/>
        <v>-1.9348785871964647E-2</v>
      </c>
      <c r="T593" s="845">
        <v>65.510000000000005</v>
      </c>
      <c r="U593" s="846">
        <f t="shared" si="106"/>
        <v>-1.9311377245508909E-2</v>
      </c>
      <c r="V593" s="845">
        <v>106.13800000000001</v>
      </c>
      <c r="W593" s="846">
        <f t="shared" si="107"/>
        <v>-2.6848806643298584E-2</v>
      </c>
      <c r="X593" s="845">
        <v>28725.51</v>
      </c>
      <c r="Y593" s="846">
        <f t="shared" si="108"/>
        <v>-1.7111704426357677E-2</v>
      </c>
      <c r="Z593" s="845">
        <v>3585.6241</v>
      </c>
      <c r="AA593" s="846">
        <f t="shared" si="109"/>
        <v>-1.5065095612292301E-2</v>
      </c>
      <c r="AB593" s="843"/>
      <c r="AC593" s="832"/>
    </row>
    <row r="594" spans="1:29" ht="14.4" x14ac:dyDescent="0.55000000000000004">
      <c r="A594" s="857" t="s">
        <v>5753</v>
      </c>
      <c r="B594" s="842">
        <v>104.66</v>
      </c>
      <c r="C594" s="843">
        <f t="shared" si="100"/>
        <v>-4.0344764349899198E-2</v>
      </c>
      <c r="D594" s="842">
        <v>39.71</v>
      </c>
      <c r="E594" s="843">
        <f t="shared" si="101"/>
        <v>-4.3363045049385596E-2</v>
      </c>
      <c r="F594" s="842">
        <v>25.97</v>
      </c>
      <c r="G594" s="843">
        <f t="shared" si="101"/>
        <v>-4.5922116091109522E-2</v>
      </c>
      <c r="H594" s="842">
        <v>44.91</v>
      </c>
      <c r="I594" s="843">
        <f t="shared" si="101"/>
        <v>-3.1903427462815381E-2</v>
      </c>
      <c r="J594" s="842">
        <v>72.25</v>
      </c>
      <c r="K594" s="843">
        <f t="shared" si="102"/>
        <v>-4.6959504023215914E-2</v>
      </c>
      <c r="L594" s="842">
        <v>71.41</v>
      </c>
      <c r="M594" s="843">
        <f t="shared" si="103"/>
        <v>-3.824915824915831E-2</v>
      </c>
      <c r="N594" s="842">
        <v>64.02</v>
      </c>
      <c r="O594" s="843">
        <f t="shared" si="104"/>
        <v>-2.8085623197206755E-2</v>
      </c>
      <c r="P594" s="844">
        <f t="shared" si="110"/>
        <v>-3.9261091203255813E-2</v>
      </c>
      <c r="Q594" s="830"/>
      <c r="R594" s="845">
        <v>906</v>
      </c>
      <c r="S594" s="846">
        <f t="shared" si="105"/>
        <v>-4.1107489098683447E-2</v>
      </c>
      <c r="T594" s="845">
        <v>66.8</v>
      </c>
      <c r="U594" s="846">
        <f t="shared" si="106"/>
        <v>-4.0091967236672077E-2</v>
      </c>
      <c r="V594" s="845">
        <v>109.0663</v>
      </c>
      <c r="W594" s="846">
        <f t="shared" si="107"/>
        <v>-4.0344386127767806E-2</v>
      </c>
      <c r="X594" s="845">
        <v>29225.61</v>
      </c>
      <c r="Y594" s="846">
        <f t="shared" si="108"/>
        <v>-1.5433702087405465E-2</v>
      </c>
      <c r="Z594" s="845">
        <v>3640.4681</v>
      </c>
      <c r="AA594" s="846">
        <f t="shared" si="109"/>
        <v>-2.1126588438028393E-2</v>
      </c>
      <c r="AB594" s="843"/>
      <c r="AC594" s="832"/>
    </row>
    <row r="595" spans="1:29" ht="14.4" x14ac:dyDescent="0.55000000000000004">
      <c r="A595" s="857" t="s">
        <v>5754</v>
      </c>
      <c r="B595" s="842">
        <v>109.06</v>
      </c>
      <c r="C595" s="843">
        <f t="shared" si="100"/>
        <v>1.3851445570326471E-2</v>
      </c>
      <c r="D595" s="842">
        <v>41.51</v>
      </c>
      <c r="E595" s="843">
        <f t="shared" si="101"/>
        <v>9.7299927025054078E-3</v>
      </c>
      <c r="F595" s="842">
        <v>27.22</v>
      </c>
      <c r="G595" s="843">
        <f t="shared" si="101"/>
        <v>1.3402829486224954E-2</v>
      </c>
      <c r="H595" s="842">
        <v>46.39</v>
      </c>
      <c r="I595" s="843">
        <f t="shared" si="101"/>
        <v>1.7770952172005305E-2</v>
      </c>
      <c r="J595" s="842">
        <v>75.81</v>
      </c>
      <c r="K595" s="843">
        <f t="shared" si="102"/>
        <v>2.3767724510465937E-2</v>
      </c>
      <c r="L595" s="842">
        <v>74.25</v>
      </c>
      <c r="M595" s="843">
        <f t="shared" si="103"/>
        <v>8.009774640238998E-3</v>
      </c>
      <c r="N595" s="842">
        <v>65.87</v>
      </c>
      <c r="O595" s="843">
        <f t="shared" si="104"/>
        <v>1.4789708827607662E-2</v>
      </c>
      <c r="P595" s="844">
        <f t="shared" si="110"/>
        <v>1.4474632558482105E-2</v>
      </c>
      <c r="Q595" s="830"/>
      <c r="R595" s="845">
        <v>944.84</v>
      </c>
      <c r="S595" s="846">
        <f t="shared" si="105"/>
        <v>1.1356946362244935E-2</v>
      </c>
      <c r="T595" s="845">
        <v>69.59</v>
      </c>
      <c r="U595" s="846">
        <f t="shared" si="106"/>
        <v>1.0748002904865883E-2</v>
      </c>
      <c r="V595" s="845">
        <v>113.6515</v>
      </c>
      <c r="W595" s="846">
        <f t="shared" si="107"/>
        <v>1.3851174142809786E-2</v>
      </c>
      <c r="X595" s="845">
        <v>29683.74</v>
      </c>
      <c r="Y595" s="846">
        <f t="shared" si="108"/>
        <v>1.88347413196297E-2</v>
      </c>
      <c r="Z595" s="845">
        <v>3719.0387000000001</v>
      </c>
      <c r="AA595" s="846">
        <f t="shared" si="109"/>
        <v>1.9671811664874639E-2</v>
      </c>
      <c r="AB595" s="843"/>
      <c r="AC595" s="832"/>
    </row>
    <row r="596" spans="1:29" ht="14.4" x14ac:dyDescent="0.55000000000000004">
      <c r="A596" s="857" t="s">
        <v>5755</v>
      </c>
      <c r="B596" s="842">
        <v>107.57</v>
      </c>
      <c r="C596" s="843">
        <f t="shared" si="100"/>
        <v>-1.465604103691498E-2</v>
      </c>
      <c r="D596" s="842">
        <v>41.11</v>
      </c>
      <c r="E596" s="843">
        <f t="shared" si="101"/>
        <v>-2.9279811097992936E-2</v>
      </c>
      <c r="F596" s="842">
        <v>26.86</v>
      </c>
      <c r="G596" s="843">
        <f t="shared" si="101"/>
        <v>-1.8633540372670843E-2</v>
      </c>
      <c r="H596" s="842">
        <v>45.58</v>
      </c>
      <c r="I596" s="843">
        <f t="shared" si="101"/>
        <v>-1.5975820379965477E-2</v>
      </c>
      <c r="J596" s="842">
        <v>74.05</v>
      </c>
      <c r="K596" s="843">
        <f t="shared" si="102"/>
        <v>-3.7186321674684719E-2</v>
      </c>
      <c r="L596" s="842">
        <v>73.66</v>
      </c>
      <c r="M596" s="843">
        <f t="shared" si="103"/>
        <v>-1.6555407209612905E-2</v>
      </c>
      <c r="N596" s="842">
        <v>64.91</v>
      </c>
      <c r="O596" s="843">
        <f t="shared" si="104"/>
        <v>-2.6398680065996771E-2</v>
      </c>
      <c r="P596" s="844">
        <f t="shared" si="110"/>
        <v>-2.266937454826266E-2</v>
      </c>
      <c r="Q596" s="830"/>
      <c r="R596" s="845">
        <v>934.23</v>
      </c>
      <c r="S596" s="846">
        <f t="shared" si="105"/>
        <v>-2.0189201661282907E-2</v>
      </c>
      <c r="T596" s="845">
        <v>68.849999999999994</v>
      </c>
      <c r="U596" s="846">
        <f t="shared" si="106"/>
        <v>-1.6849921462230522E-2</v>
      </c>
      <c r="V596" s="845">
        <v>112.0988</v>
      </c>
      <c r="W596" s="846">
        <f t="shared" si="107"/>
        <v>-1.4656374213079082E-2</v>
      </c>
      <c r="X596" s="845">
        <v>29134.99</v>
      </c>
      <c r="Y596" s="846">
        <f t="shared" si="108"/>
        <v>-4.2999493178760284E-3</v>
      </c>
      <c r="Z596" s="845">
        <v>3647.2899000000002</v>
      </c>
      <c r="AA596" s="846">
        <f t="shared" si="109"/>
        <v>-2.1209878233415802E-3</v>
      </c>
      <c r="AB596" s="843"/>
      <c r="AC596" s="832"/>
    </row>
    <row r="597" spans="1:29" ht="14.4" x14ac:dyDescent="0.55000000000000004">
      <c r="A597" s="857" t="s">
        <v>5756</v>
      </c>
      <c r="B597" s="842">
        <v>109.17</v>
      </c>
      <c r="C597" s="843">
        <f t="shared" si="100"/>
        <v>-2.1160225948175349E-2</v>
      </c>
      <c r="D597" s="842">
        <v>42.35</v>
      </c>
      <c r="E597" s="843">
        <f t="shared" si="101"/>
        <v>-9.8199672667758087E-3</v>
      </c>
      <c r="F597" s="842">
        <v>27.37</v>
      </c>
      <c r="G597" s="843">
        <f t="shared" si="101"/>
        <v>-2.3894436519258155E-2</v>
      </c>
      <c r="H597" s="842">
        <v>46.32</v>
      </c>
      <c r="I597" s="843">
        <f t="shared" si="101"/>
        <v>-1.2156110044785673E-2</v>
      </c>
      <c r="J597" s="842">
        <v>76.91</v>
      </c>
      <c r="K597" s="843">
        <f t="shared" si="102"/>
        <v>-2.1501272264631055E-2</v>
      </c>
      <c r="L597" s="842">
        <v>74.900000000000006</v>
      </c>
      <c r="M597" s="843">
        <f t="shared" si="103"/>
        <v>-2.3468057366362371E-2</v>
      </c>
      <c r="N597" s="842">
        <v>66.67</v>
      </c>
      <c r="O597" s="843">
        <f t="shared" si="104"/>
        <v>-1.8692964380335519E-2</v>
      </c>
      <c r="P597" s="844">
        <f t="shared" si="110"/>
        <v>-1.8670433398617705E-2</v>
      </c>
      <c r="Q597" s="830"/>
      <c r="R597" s="845">
        <v>953.48</v>
      </c>
      <c r="S597" s="846">
        <f t="shared" si="105"/>
        <v>-2.5589666026243685E-2</v>
      </c>
      <c r="T597" s="845">
        <v>70.03</v>
      </c>
      <c r="U597" s="846">
        <f t="shared" si="106"/>
        <v>-2.4108138238573051E-2</v>
      </c>
      <c r="V597" s="845">
        <v>113.7662</v>
      </c>
      <c r="W597" s="846">
        <f t="shared" si="107"/>
        <v>-2.1159728286821777E-2</v>
      </c>
      <c r="X597" s="845">
        <v>29260.81</v>
      </c>
      <c r="Y597" s="846">
        <f t="shared" si="108"/>
        <v>-1.1138743937647355E-2</v>
      </c>
      <c r="Z597" s="845">
        <v>3655.0421999999999</v>
      </c>
      <c r="AA597" s="846">
        <f t="shared" si="109"/>
        <v>-1.0340884214334101E-2</v>
      </c>
      <c r="AB597" s="843"/>
      <c r="AC597" s="832"/>
    </row>
    <row r="598" spans="1:29" ht="14.4" x14ac:dyDescent="0.55000000000000004">
      <c r="A598" s="857" t="s">
        <v>5757</v>
      </c>
      <c r="B598" s="842">
        <v>111.53</v>
      </c>
      <c r="C598" s="843">
        <f t="shared" si="100"/>
        <v>-1.5882820082943616E-2</v>
      </c>
      <c r="D598" s="842">
        <v>42.77</v>
      </c>
      <c r="E598" s="843">
        <f t="shared" si="101"/>
        <v>-3.0598368087035199E-2</v>
      </c>
      <c r="F598" s="842">
        <v>28.04</v>
      </c>
      <c r="G598" s="843">
        <f t="shared" si="101"/>
        <v>-2.0265548567435454E-2</v>
      </c>
      <c r="H598" s="842">
        <v>46.89</v>
      </c>
      <c r="I598" s="843">
        <f t="shared" si="101"/>
        <v>-7.8290308929326313E-3</v>
      </c>
      <c r="J598" s="842">
        <v>78.599999999999994</v>
      </c>
      <c r="K598" s="843">
        <f t="shared" si="102"/>
        <v>-1.5531062124248596E-2</v>
      </c>
      <c r="L598" s="842">
        <v>76.7</v>
      </c>
      <c r="M598" s="843">
        <f t="shared" si="103"/>
        <v>-2.5908051816103561E-2</v>
      </c>
      <c r="N598" s="842">
        <v>67.94</v>
      </c>
      <c r="O598" s="843">
        <f t="shared" si="104"/>
        <v>-2.1460463776465599E-2</v>
      </c>
      <c r="P598" s="844">
        <f t="shared" si="110"/>
        <v>-1.963933504959495E-2</v>
      </c>
      <c r="Q598" s="830"/>
      <c r="R598" s="845">
        <v>978.52</v>
      </c>
      <c r="S598" s="846">
        <f t="shared" si="105"/>
        <v>-1.2513623703225285E-2</v>
      </c>
      <c r="T598" s="845">
        <v>71.760000000000005</v>
      </c>
      <c r="U598" s="846">
        <f t="shared" si="106"/>
        <v>-1.157024793388417E-2</v>
      </c>
      <c r="V598" s="845">
        <v>116.2255</v>
      </c>
      <c r="W598" s="846">
        <f t="shared" si="107"/>
        <v>-1.5882975039224756E-2</v>
      </c>
      <c r="X598" s="845">
        <v>29590.41</v>
      </c>
      <c r="Y598" s="846">
        <f t="shared" si="108"/>
        <v>-1.6167675421622341E-2</v>
      </c>
      <c r="Z598" s="845">
        <v>3693.2334999999998</v>
      </c>
      <c r="AA598" s="846">
        <f t="shared" si="109"/>
        <v>-1.7231998840231522E-2</v>
      </c>
      <c r="AB598" s="843"/>
      <c r="AC598" s="832"/>
    </row>
    <row r="599" spans="1:29" ht="14.4" x14ac:dyDescent="0.55000000000000004">
      <c r="A599" s="857" t="s">
        <v>5758</v>
      </c>
      <c r="B599" s="842">
        <v>113.33</v>
      </c>
      <c r="C599" s="843">
        <f t="shared" si="100"/>
        <v>6.2150403977625501E-3</v>
      </c>
      <c r="D599" s="842">
        <v>44.12</v>
      </c>
      <c r="E599" s="843">
        <f t="shared" si="101"/>
        <v>5.2403736614261565E-3</v>
      </c>
      <c r="F599" s="842">
        <v>28.62</v>
      </c>
      <c r="G599" s="843">
        <f t="shared" si="101"/>
        <v>7.3917634635691787E-3</v>
      </c>
      <c r="H599" s="842">
        <v>47.26</v>
      </c>
      <c r="I599" s="843">
        <f t="shared" si="101"/>
        <v>1.2711864406778073E-3</v>
      </c>
      <c r="J599" s="842">
        <v>79.84</v>
      </c>
      <c r="K599" s="843">
        <f t="shared" si="102"/>
        <v>1.1401064099316072E-2</v>
      </c>
      <c r="L599" s="842">
        <v>78.739999999999995</v>
      </c>
      <c r="M599" s="843">
        <f t="shared" si="103"/>
        <v>1.1443102352191037E-3</v>
      </c>
      <c r="N599" s="842">
        <v>69.430000000000007</v>
      </c>
      <c r="O599" s="843">
        <f t="shared" si="104"/>
        <v>1.1804138735062697E-2</v>
      </c>
      <c r="P599" s="844">
        <f t="shared" si="110"/>
        <v>6.3525538618619381E-3</v>
      </c>
      <c r="Q599" s="830"/>
      <c r="R599" s="845">
        <v>990.92</v>
      </c>
      <c r="S599" s="846">
        <f t="shared" si="105"/>
        <v>-4.2406093614969498E-3</v>
      </c>
      <c r="T599" s="845">
        <v>72.599999999999994</v>
      </c>
      <c r="U599" s="846">
        <f t="shared" si="106"/>
        <v>-3.5684875102938163E-3</v>
      </c>
      <c r="V599" s="845">
        <v>118.10129999999999</v>
      </c>
      <c r="W599" s="846">
        <f t="shared" si="107"/>
        <v>6.2152919185016753E-3</v>
      </c>
      <c r="X599" s="845">
        <v>30076.68</v>
      </c>
      <c r="Y599" s="846">
        <f t="shared" si="108"/>
        <v>-3.5482633387865503E-3</v>
      </c>
      <c r="Z599" s="845">
        <v>3757.9911999999999</v>
      </c>
      <c r="AA599" s="846">
        <f t="shared" si="109"/>
        <v>-8.4279860695151143E-3</v>
      </c>
      <c r="AB599" s="843"/>
      <c r="AC599" s="832"/>
    </row>
    <row r="600" spans="1:29" ht="14.4" x14ac:dyDescent="0.55000000000000004">
      <c r="A600" s="857" t="s">
        <v>5759</v>
      </c>
      <c r="B600" s="842">
        <v>112.63</v>
      </c>
      <c r="C600" s="843">
        <f t="shared" si="100"/>
        <v>-7.7526209144569425E-3</v>
      </c>
      <c r="D600" s="842">
        <v>43.89</v>
      </c>
      <c r="E600" s="843">
        <f t="shared" si="101"/>
        <v>-1.8120805369127524E-2</v>
      </c>
      <c r="F600" s="842">
        <v>28.41</v>
      </c>
      <c r="G600" s="843">
        <f t="shared" si="101"/>
        <v>-1.5592515592515621E-2</v>
      </c>
      <c r="H600" s="842">
        <v>47.2</v>
      </c>
      <c r="I600" s="843">
        <f t="shared" si="101"/>
        <v>-1.4819453141306504E-2</v>
      </c>
      <c r="J600" s="842">
        <v>78.94</v>
      </c>
      <c r="K600" s="843">
        <f t="shared" si="102"/>
        <v>-1.1643921372229915E-2</v>
      </c>
      <c r="L600" s="842">
        <v>78.650000000000006</v>
      </c>
      <c r="M600" s="843">
        <f t="shared" si="103"/>
        <v>-2.2252610641471771E-2</v>
      </c>
      <c r="N600" s="842">
        <v>68.62</v>
      </c>
      <c r="O600" s="843">
        <f t="shared" si="104"/>
        <v>-1.2519787019714901E-2</v>
      </c>
      <c r="P600" s="844">
        <f t="shared" si="110"/>
        <v>-1.4671673435831882E-2</v>
      </c>
      <c r="Q600" s="830"/>
      <c r="R600" s="845">
        <v>995.14</v>
      </c>
      <c r="S600" s="846">
        <f t="shared" si="105"/>
        <v>-1.3257181386401751E-2</v>
      </c>
      <c r="T600" s="845">
        <v>72.86</v>
      </c>
      <c r="U600" s="846">
        <f t="shared" si="106"/>
        <v>-1.3672668200893523E-2</v>
      </c>
      <c r="V600" s="845">
        <v>117.37179999999999</v>
      </c>
      <c r="W600" s="846">
        <f t="shared" si="107"/>
        <v>-7.75305206152066E-3</v>
      </c>
      <c r="X600" s="845">
        <v>30183.78</v>
      </c>
      <c r="Y600" s="846">
        <f t="shared" si="108"/>
        <v>-1.7014462537406905E-2</v>
      </c>
      <c r="Z600" s="845">
        <v>3789.9326999999998</v>
      </c>
      <c r="AA600" s="846">
        <f t="shared" si="109"/>
        <v>-1.7116889154465076E-2</v>
      </c>
      <c r="AB600" s="843"/>
      <c r="AC600" s="832"/>
    </row>
    <row r="601" spans="1:29" ht="14.4" x14ac:dyDescent="0.55000000000000004">
      <c r="A601" s="857" t="s">
        <v>5760</v>
      </c>
      <c r="B601" s="842">
        <v>113.51</v>
      </c>
      <c r="C601" s="843">
        <f t="shared" si="100"/>
        <v>-1.4841173407394548E-2</v>
      </c>
      <c r="D601" s="842">
        <v>44.7</v>
      </c>
      <c r="E601" s="843">
        <f t="shared" si="101"/>
        <v>-1.5201586252478472E-2</v>
      </c>
      <c r="F601" s="842">
        <v>28.86</v>
      </c>
      <c r="G601" s="843">
        <f t="shared" si="101"/>
        <v>-1.4680778422669793E-2</v>
      </c>
      <c r="H601" s="842">
        <v>47.91</v>
      </c>
      <c r="I601" s="843">
        <f t="shared" si="101"/>
        <v>-1.1145510835913419E-2</v>
      </c>
      <c r="J601" s="842">
        <v>79.87</v>
      </c>
      <c r="K601" s="843">
        <f t="shared" si="102"/>
        <v>-7.4561948552255286E-3</v>
      </c>
      <c r="L601" s="842">
        <v>80.44</v>
      </c>
      <c r="M601" s="843">
        <f t="shared" si="103"/>
        <v>-1.6385424309122043E-2</v>
      </c>
      <c r="N601" s="842">
        <v>69.489999999999995</v>
      </c>
      <c r="O601" s="843">
        <f t="shared" si="104"/>
        <v>-1.5722379603399395E-2</v>
      </c>
      <c r="P601" s="844">
        <f t="shared" si="110"/>
        <v>-1.3633292526600458E-2</v>
      </c>
      <c r="Q601" s="830"/>
      <c r="R601" s="845">
        <v>1008.51</v>
      </c>
      <c r="S601" s="846">
        <f t="shared" si="105"/>
        <v>-1.5722902149089335E-2</v>
      </c>
      <c r="T601" s="845">
        <v>73.87</v>
      </c>
      <c r="U601" s="846">
        <f t="shared" si="106"/>
        <v>-1.4541088580576123E-2</v>
      </c>
      <c r="V601" s="845">
        <v>118.2889</v>
      </c>
      <c r="W601" s="846">
        <f t="shared" si="107"/>
        <v>-1.4841231305836811E-2</v>
      </c>
      <c r="X601" s="845">
        <v>30706.23</v>
      </c>
      <c r="Y601" s="846">
        <f t="shared" si="108"/>
        <v>-1.0104875356547915E-2</v>
      </c>
      <c r="Z601" s="845">
        <v>3855.9342999999999</v>
      </c>
      <c r="AA601" s="846">
        <f t="shared" si="109"/>
        <v>-1.1269970744528734E-2</v>
      </c>
      <c r="AB601" s="843"/>
      <c r="AC601" s="832"/>
    </row>
    <row r="602" spans="1:29" ht="14.4" x14ac:dyDescent="0.55000000000000004">
      <c r="A602" s="857" t="s">
        <v>5761</v>
      </c>
      <c r="B602" s="842">
        <v>115.22</v>
      </c>
      <c r="C602" s="843">
        <f t="shared" si="100"/>
        <v>1.061310411367411E-2</v>
      </c>
      <c r="D602" s="842">
        <v>45.39</v>
      </c>
      <c r="E602" s="843">
        <f t="shared" si="101"/>
        <v>1.4528386231560164E-2</v>
      </c>
      <c r="F602" s="842">
        <v>29.29</v>
      </c>
      <c r="G602" s="843">
        <f t="shared" si="101"/>
        <v>1.5955601803676833E-2</v>
      </c>
      <c r="H602" s="842">
        <v>48.45</v>
      </c>
      <c r="I602" s="843">
        <f t="shared" si="101"/>
        <v>1.1060100166945031E-2</v>
      </c>
      <c r="J602" s="842">
        <v>80.47</v>
      </c>
      <c r="K602" s="843">
        <f t="shared" si="102"/>
        <v>1.2965760322255715E-2</v>
      </c>
      <c r="L602" s="842">
        <v>81.78</v>
      </c>
      <c r="M602" s="843">
        <f t="shared" si="103"/>
        <v>6.7708974516804687E-3</v>
      </c>
      <c r="N602" s="842">
        <v>70.599999999999994</v>
      </c>
      <c r="O602" s="843">
        <f t="shared" si="104"/>
        <v>1.9347386658965959E-2</v>
      </c>
      <c r="P602" s="844">
        <f t="shared" si="110"/>
        <v>1.3034462392679755E-2</v>
      </c>
      <c r="Q602" s="830"/>
      <c r="R602" s="845">
        <v>1024.6199999999999</v>
      </c>
      <c r="S602" s="846">
        <f t="shared" si="105"/>
        <v>1.1610686570700635E-2</v>
      </c>
      <c r="T602" s="845">
        <v>74.959999999999994</v>
      </c>
      <c r="U602" s="846">
        <f t="shared" si="106"/>
        <v>6.5798308043507614E-3</v>
      </c>
      <c r="V602" s="845">
        <v>120.07089999999999</v>
      </c>
      <c r="W602" s="846">
        <f t="shared" si="107"/>
        <v>1.0613593648340691E-2</v>
      </c>
      <c r="X602" s="845">
        <v>31019.68</v>
      </c>
      <c r="Y602" s="846">
        <f t="shared" si="108"/>
        <v>6.3998868356216487E-3</v>
      </c>
      <c r="Z602" s="845">
        <v>3899.8859000000002</v>
      </c>
      <c r="AA602" s="846">
        <f t="shared" si="109"/>
        <v>6.8549724716506777E-3</v>
      </c>
      <c r="AB602" s="843"/>
      <c r="AC602" s="832"/>
    </row>
    <row r="603" spans="1:29" ht="14.4" x14ac:dyDescent="0.55000000000000004">
      <c r="A603" s="857" t="s">
        <v>5762</v>
      </c>
      <c r="B603" s="842">
        <v>114.01</v>
      </c>
      <c r="C603" s="843">
        <f t="shared" si="100"/>
        <v>-9.6389765159476948E-4</v>
      </c>
      <c r="D603" s="842">
        <v>44.74</v>
      </c>
      <c r="E603" s="843">
        <f t="shared" si="101"/>
        <v>1.0160307067058172E-2</v>
      </c>
      <c r="F603" s="842">
        <v>28.83</v>
      </c>
      <c r="G603" s="843">
        <f t="shared" si="101"/>
        <v>-4.4889502762431865E-3</v>
      </c>
      <c r="H603" s="842">
        <v>47.92</v>
      </c>
      <c r="I603" s="843">
        <f t="shared" si="101"/>
        <v>-2.0863759649480951E-4</v>
      </c>
      <c r="J603" s="842">
        <v>79.44</v>
      </c>
      <c r="K603" s="843">
        <f t="shared" si="102"/>
        <v>5.5696202531645422E-3</v>
      </c>
      <c r="L603" s="842">
        <v>81.23</v>
      </c>
      <c r="M603" s="843">
        <f t="shared" si="103"/>
        <v>-1.7205358240137691E-3</v>
      </c>
      <c r="N603" s="842">
        <v>69.260000000000005</v>
      </c>
      <c r="O603" s="843">
        <f t="shared" si="104"/>
        <v>6.2472758971379161E-3</v>
      </c>
      <c r="P603" s="844">
        <f t="shared" si="110"/>
        <v>2.0850259812877281E-3</v>
      </c>
      <c r="Q603" s="830"/>
      <c r="R603" s="845">
        <v>1012.86</v>
      </c>
      <c r="S603" s="846">
        <f t="shared" si="105"/>
        <v>-3.0709265930431995E-3</v>
      </c>
      <c r="T603" s="845">
        <v>74.47</v>
      </c>
      <c r="U603" s="846">
        <f t="shared" si="106"/>
        <v>-3.7458193979933441E-3</v>
      </c>
      <c r="V603" s="845">
        <v>118.8099</v>
      </c>
      <c r="W603" s="846">
        <f t="shared" si="107"/>
        <v>-9.6447665159271612E-4</v>
      </c>
      <c r="X603" s="845">
        <v>30822.42</v>
      </c>
      <c r="Y603" s="846">
        <f t="shared" si="108"/>
        <v>-4.5023193081027424E-3</v>
      </c>
      <c r="Z603" s="845">
        <v>3873.3343</v>
      </c>
      <c r="AA603" s="846">
        <f t="shared" si="109"/>
        <v>-7.1817396263162969E-3</v>
      </c>
      <c r="AB603" s="843"/>
      <c r="AC603" s="832"/>
    </row>
    <row r="604" spans="1:29" ht="14.4" x14ac:dyDescent="0.55000000000000004">
      <c r="A604" s="857" t="s">
        <v>5763</v>
      </c>
      <c r="B604" s="842">
        <v>114.12</v>
      </c>
      <c r="C604" s="843">
        <f t="shared" si="100"/>
        <v>-2.4865419123301646E-2</v>
      </c>
      <c r="D604" s="842">
        <v>44.29</v>
      </c>
      <c r="E604" s="843">
        <f t="shared" si="101"/>
        <v>-1.6215015548645129E-2</v>
      </c>
      <c r="F604" s="842">
        <v>28.96</v>
      </c>
      <c r="G604" s="843">
        <f t="shared" si="101"/>
        <v>-3.0140656396517085E-2</v>
      </c>
      <c r="H604" s="842">
        <v>47.93</v>
      </c>
      <c r="I604" s="843">
        <f t="shared" si="101"/>
        <v>-1.5811088295688003E-2</v>
      </c>
      <c r="J604" s="842">
        <v>79</v>
      </c>
      <c r="K604" s="843">
        <f t="shared" si="102"/>
        <v>-1.9364448857994043E-2</v>
      </c>
      <c r="L604" s="842">
        <v>81.37</v>
      </c>
      <c r="M604" s="843">
        <f t="shared" si="103"/>
        <v>-1.1300121506682803E-2</v>
      </c>
      <c r="N604" s="842">
        <v>68.83</v>
      </c>
      <c r="O604" s="843">
        <f t="shared" si="104"/>
        <v>-1.5448433700471997E-2</v>
      </c>
      <c r="P604" s="844">
        <f t="shared" si="110"/>
        <v>-1.9020740489900101E-2</v>
      </c>
      <c r="Q604" s="830"/>
      <c r="R604" s="845">
        <v>1015.98</v>
      </c>
      <c r="S604" s="846">
        <f t="shared" si="105"/>
        <v>-2.4559314873842997E-2</v>
      </c>
      <c r="T604" s="845">
        <v>74.75</v>
      </c>
      <c r="U604" s="846">
        <f t="shared" si="106"/>
        <v>-2.4915210018262468E-2</v>
      </c>
      <c r="V604" s="845">
        <v>118.9246</v>
      </c>
      <c r="W604" s="846">
        <f t="shared" si="107"/>
        <v>-2.4865300995186024E-2</v>
      </c>
      <c r="X604" s="845">
        <v>30961.82</v>
      </c>
      <c r="Y604" s="846">
        <f t="shared" si="108"/>
        <v>-5.5651035535789761E-3</v>
      </c>
      <c r="Z604" s="845">
        <v>3901.3528000000001</v>
      </c>
      <c r="AA604" s="846">
        <f t="shared" si="109"/>
        <v>-1.1317653233933078E-2</v>
      </c>
      <c r="AB604" s="843"/>
      <c r="AC604" s="832"/>
    </row>
    <row r="605" spans="1:29" ht="14.4" x14ac:dyDescent="0.55000000000000004">
      <c r="A605" s="857" t="s">
        <v>5764</v>
      </c>
      <c r="B605" s="842">
        <v>117.03</v>
      </c>
      <c r="C605" s="843">
        <f t="shared" si="100"/>
        <v>4.8943843379702923E-3</v>
      </c>
      <c r="D605" s="842">
        <v>45.02</v>
      </c>
      <c r="E605" s="843">
        <f t="shared" si="101"/>
        <v>2.2252497729337017E-2</v>
      </c>
      <c r="F605" s="842">
        <v>29.86</v>
      </c>
      <c r="G605" s="843">
        <f t="shared" si="101"/>
        <v>4.3726875210226002E-3</v>
      </c>
      <c r="H605" s="842">
        <v>48.7</v>
      </c>
      <c r="I605" s="843">
        <f t="shared" si="101"/>
        <v>1.7976588628762613E-2</v>
      </c>
      <c r="J605" s="842">
        <v>80.56</v>
      </c>
      <c r="K605" s="843">
        <f t="shared" si="102"/>
        <v>1.2187460736273303E-2</v>
      </c>
      <c r="L605" s="842">
        <v>82.3</v>
      </c>
      <c r="M605" s="843">
        <f t="shared" si="103"/>
        <v>1.2300123001230068E-2</v>
      </c>
      <c r="N605" s="842">
        <v>69.91</v>
      </c>
      <c r="O605" s="843">
        <f t="shared" si="104"/>
        <v>1.1136823835695697E-2</v>
      </c>
      <c r="P605" s="844">
        <f t="shared" si="110"/>
        <v>1.2160080827184514E-2</v>
      </c>
      <c r="Q605" s="830"/>
      <c r="R605" s="845">
        <v>1041.56</v>
      </c>
      <c r="S605" s="846">
        <f t="shared" si="105"/>
        <v>8.8041299020793495E-3</v>
      </c>
      <c r="T605" s="845">
        <v>76.66</v>
      </c>
      <c r="U605" s="846">
        <f t="shared" si="106"/>
        <v>8.1536033666489427E-3</v>
      </c>
      <c r="V605" s="845">
        <v>121.9571</v>
      </c>
      <c r="W605" s="846">
        <f t="shared" si="107"/>
        <v>4.8944036531697321E-3</v>
      </c>
      <c r="X605" s="845">
        <v>31135.09</v>
      </c>
      <c r="Y605" s="846">
        <f t="shared" si="108"/>
        <v>9.6833399935758457E-4</v>
      </c>
      <c r="Z605" s="845">
        <v>3946.0124000000001</v>
      </c>
      <c r="AA605" s="846">
        <f t="shared" si="109"/>
        <v>3.3867629596235904E-3</v>
      </c>
      <c r="AB605" s="843"/>
      <c r="AC605" s="832"/>
    </row>
    <row r="606" spans="1:29" ht="14.4" x14ac:dyDescent="0.55000000000000004">
      <c r="A606" s="857" t="s">
        <v>5765</v>
      </c>
      <c r="B606" s="842">
        <v>116.46</v>
      </c>
      <c r="C606" s="843">
        <f t="shared" si="100"/>
        <v>-2.4949765572672478E-2</v>
      </c>
      <c r="D606" s="842">
        <v>44.04</v>
      </c>
      <c r="E606" s="843">
        <f t="shared" si="101"/>
        <v>-3.1236251649802038E-2</v>
      </c>
      <c r="F606" s="842">
        <v>29.73</v>
      </c>
      <c r="G606" s="843">
        <f t="shared" si="101"/>
        <v>-2.779594506213201E-2</v>
      </c>
      <c r="H606" s="842">
        <v>47.84</v>
      </c>
      <c r="I606" s="843">
        <f t="shared" si="101"/>
        <v>-3.8005228232455113E-2</v>
      </c>
      <c r="J606" s="842">
        <v>79.59</v>
      </c>
      <c r="K606" s="843">
        <f t="shared" si="102"/>
        <v>-2.84423828125E-2</v>
      </c>
      <c r="L606" s="842">
        <v>81.3</v>
      </c>
      <c r="M606" s="843">
        <f t="shared" si="103"/>
        <v>-1.2750455373406133E-2</v>
      </c>
      <c r="N606" s="842">
        <v>69.14</v>
      </c>
      <c r="O606" s="843">
        <f t="shared" si="104"/>
        <v>-3.5704323570432406E-2</v>
      </c>
      <c r="P606" s="844">
        <f t="shared" si="110"/>
        <v>-2.8412050324771454E-2</v>
      </c>
      <c r="Q606" s="830"/>
      <c r="R606" s="845">
        <v>1032.47</v>
      </c>
      <c r="S606" s="846">
        <f t="shared" si="105"/>
        <v>-2.7595430272092769E-2</v>
      </c>
      <c r="T606" s="845">
        <v>76.040000000000006</v>
      </c>
      <c r="U606" s="846">
        <f t="shared" si="106"/>
        <v>-2.6625704045058818E-2</v>
      </c>
      <c r="V606" s="845">
        <v>121.3631</v>
      </c>
      <c r="W606" s="846">
        <f t="shared" si="107"/>
        <v>-2.4949284357086321E-2</v>
      </c>
      <c r="X606" s="845">
        <v>31104.97</v>
      </c>
      <c r="Y606" s="846">
        <f t="shared" si="108"/>
        <v>-3.9416836980804337E-2</v>
      </c>
      <c r="Z606" s="845">
        <v>3932.6932999999999</v>
      </c>
      <c r="AA606" s="846">
        <f t="shared" si="109"/>
        <v>-4.3235317680499818E-2</v>
      </c>
      <c r="AB606" s="843"/>
      <c r="AC606" s="832"/>
    </row>
    <row r="607" spans="1:29" ht="14.4" x14ac:dyDescent="0.55000000000000004">
      <c r="A607" s="857" t="s">
        <v>5766</v>
      </c>
      <c r="B607" s="842">
        <v>119.44</v>
      </c>
      <c r="C607" s="843">
        <f t="shared" si="100"/>
        <v>1.143195867558644E-2</v>
      </c>
      <c r="D607" s="842">
        <v>45.46</v>
      </c>
      <c r="E607" s="843">
        <f t="shared" si="101"/>
        <v>2.6416798374350847E-2</v>
      </c>
      <c r="F607" s="842">
        <v>30.58</v>
      </c>
      <c r="G607" s="843">
        <f t="shared" si="101"/>
        <v>3.939592908732692E-3</v>
      </c>
      <c r="H607" s="842">
        <v>49.73</v>
      </c>
      <c r="I607" s="843">
        <f t="shared" si="101"/>
        <v>2.1779330182864154E-2</v>
      </c>
      <c r="J607" s="842">
        <v>81.92</v>
      </c>
      <c r="K607" s="843">
        <f t="shared" si="102"/>
        <v>1.4740493001362598E-2</v>
      </c>
      <c r="L607" s="842">
        <v>82.35</v>
      </c>
      <c r="M607" s="843">
        <f t="shared" si="103"/>
        <v>2.6786801412395089E-3</v>
      </c>
      <c r="N607" s="842">
        <v>71.7</v>
      </c>
      <c r="O607" s="843">
        <f t="shared" si="104"/>
        <v>2.0059752454118618E-2</v>
      </c>
      <c r="P607" s="844">
        <f t="shared" si="110"/>
        <v>1.4435229391179265E-2</v>
      </c>
      <c r="Q607" s="830"/>
      <c r="R607" s="845">
        <v>1061.77</v>
      </c>
      <c r="S607" s="846">
        <f t="shared" si="105"/>
        <v>1.089181495339564E-2</v>
      </c>
      <c r="T607" s="845">
        <v>78.12</v>
      </c>
      <c r="U607" s="846">
        <f t="shared" si="106"/>
        <v>9.5631946239338461E-3</v>
      </c>
      <c r="V607" s="845">
        <v>124.46850000000001</v>
      </c>
      <c r="W607" s="846">
        <f t="shared" si="107"/>
        <v>1.1431663953935356E-2</v>
      </c>
      <c r="X607" s="845">
        <v>32381.34</v>
      </c>
      <c r="Y607" s="846">
        <f t="shared" si="108"/>
        <v>7.1420773576273966E-3</v>
      </c>
      <c r="Z607" s="845">
        <v>4110.4080999999996</v>
      </c>
      <c r="AA607" s="846">
        <f t="shared" si="109"/>
        <v>1.0583222448612428E-2</v>
      </c>
      <c r="AB607" s="843"/>
      <c r="AC607" s="832"/>
    </row>
    <row r="608" spans="1:29" ht="14.4" x14ac:dyDescent="0.55000000000000004">
      <c r="A608" s="857" t="s">
        <v>5767</v>
      </c>
      <c r="B608" s="842">
        <v>118.09</v>
      </c>
      <c r="C608" s="843">
        <f t="shared" si="100"/>
        <v>1.1869436201781269E-3</v>
      </c>
      <c r="D608" s="842">
        <v>44.29</v>
      </c>
      <c r="E608" s="843">
        <f t="shared" si="101"/>
        <v>-2.957931638913236E-2</v>
      </c>
      <c r="F608" s="842">
        <v>30.46</v>
      </c>
      <c r="G608" s="843">
        <f t="shared" si="101"/>
        <v>7.2751322751323233E-3</v>
      </c>
      <c r="H608" s="842">
        <v>48.67</v>
      </c>
      <c r="I608" s="843">
        <f t="shared" si="101"/>
        <v>7.6604554865424834E-3</v>
      </c>
      <c r="J608" s="842">
        <v>80.73</v>
      </c>
      <c r="K608" s="843">
        <f t="shared" si="102"/>
        <v>8.116883116883189E-3</v>
      </c>
      <c r="L608" s="842">
        <v>82.13</v>
      </c>
      <c r="M608" s="843">
        <f t="shared" si="103"/>
        <v>-3.6394516559505874E-3</v>
      </c>
      <c r="N608" s="842">
        <v>70.290000000000006</v>
      </c>
      <c r="O608" s="843">
        <f t="shared" si="104"/>
        <v>1.0058916510992999E-2</v>
      </c>
      <c r="P608" s="844">
        <f t="shared" si="110"/>
        <v>1.5422328066373923E-4</v>
      </c>
      <c r="Q608" s="830"/>
      <c r="R608" s="845">
        <v>1050.33</v>
      </c>
      <c r="S608" s="846">
        <f t="shared" si="105"/>
        <v>3.8612621739670949E-3</v>
      </c>
      <c r="T608" s="845">
        <v>77.38</v>
      </c>
      <c r="U608" s="846">
        <f t="shared" si="106"/>
        <v>4.0223173738160867E-3</v>
      </c>
      <c r="V608" s="845">
        <v>123.0617</v>
      </c>
      <c r="W608" s="846">
        <f t="shared" si="107"/>
        <v>1.18699142014278E-3</v>
      </c>
      <c r="X608" s="845">
        <v>32151.71</v>
      </c>
      <c r="Y608" s="846">
        <f t="shared" si="108"/>
        <v>1.1870832352463445E-2</v>
      </c>
      <c r="Z608" s="845">
        <v>4067.3622999999998</v>
      </c>
      <c r="AA608" s="846">
        <f t="shared" si="109"/>
        <v>1.5272207875079769E-2</v>
      </c>
      <c r="AB608" s="843"/>
      <c r="AC608" s="832"/>
    </row>
    <row r="609" spans="1:29" ht="14.4" x14ac:dyDescent="0.55000000000000004">
      <c r="A609" s="857" t="s">
        <v>5768</v>
      </c>
      <c r="B609" s="842">
        <v>117.95</v>
      </c>
      <c r="C609" s="843">
        <f t="shared" si="100"/>
        <v>2.6351581094865573E-3</v>
      </c>
      <c r="D609" s="842">
        <v>45.64</v>
      </c>
      <c r="E609" s="843">
        <f t="shared" si="101"/>
        <v>-7.6103500761035558E-3</v>
      </c>
      <c r="F609" s="842">
        <v>30.24</v>
      </c>
      <c r="G609" s="843">
        <f t="shared" si="101"/>
        <v>-6.5703022339028694E-3</v>
      </c>
      <c r="H609" s="842">
        <v>48.3</v>
      </c>
      <c r="I609" s="843">
        <f t="shared" si="101"/>
        <v>-2.2465088038858494E-2</v>
      </c>
      <c r="J609" s="842">
        <v>80.08</v>
      </c>
      <c r="K609" s="843">
        <f t="shared" si="102"/>
        <v>-9.2787331436348097E-3</v>
      </c>
      <c r="L609" s="842">
        <v>82.43</v>
      </c>
      <c r="M609" s="843">
        <f t="shared" si="103"/>
        <v>8.1947162426614373E-3</v>
      </c>
      <c r="N609" s="842">
        <v>69.59</v>
      </c>
      <c r="O609" s="843">
        <f t="shared" si="104"/>
        <v>-6.7085355409648439E-3</v>
      </c>
      <c r="P609" s="844">
        <f t="shared" si="110"/>
        <v>-5.9718763830452258E-3</v>
      </c>
      <c r="Q609" s="830"/>
      <c r="R609" s="845">
        <v>1046.29</v>
      </c>
      <c r="S609" s="846">
        <f t="shared" si="105"/>
        <v>-9.548453627934439E-4</v>
      </c>
      <c r="T609" s="845">
        <v>77.069999999999993</v>
      </c>
      <c r="U609" s="846">
        <f t="shared" si="106"/>
        <v>-7.77907429015956E-4</v>
      </c>
      <c r="V609" s="845">
        <v>122.9158</v>
      </c>
      <c r="W609" s="846">
        <f t="shared" si="107"/>
        <v>2.6355566032889577E-3</v>
      </c>
      <c r="X609" s="845">
        <v>31774.52</v>
      </c>
      <c r="Y609" s="846">
        <f t="shared" si="108"/>
        <v>6.1188146902215745E-3</v>
      </c>
      <c r="Z609" s="845">
        <v>4006.1790999999998</v>
      </c>
      <c r="AA609" s="846">
        <f t="shared" si="109"/>
        <v>6.6093032220686521E-3</v>
      </c>
      <c r="AB609" s="843"/>
      <c r="AC609" s="832"/>
    </row>
    <row r="610" spans="1:29" ht="14.4" x14ac:dyDescent="0.55000000000000004">
      <c r="A610" s="857" t="s">
        <v>5769</v>
      </c>
      <c r="B610" s="842">
        <v>117.64</v>
      </c>
      <c r="C610" s="843">
        <f t="shared" si="100"/>
        <v>3.0032396462656541E-2</v>
      </c>
      <c r="D610" s="842">
        <v>45.99</v>
      </c>
      <c r="E610" s="843">
        <f t="shared" si="101"/>
        <v>3.0011198208286682E-2</v>
      </c>
      <c r="F610" s="842">
        <v>30.44</v>
      </c>
      <c r="G610" s="843">
        <f t="shared" si="101"/>
        <v>3.1165311653116534E-2</v>
      </c>
      <c r="H610" s="842">
        <v>49.41</v>
      </c>
      <c r="I610" s="843">
        <f t="shared" si="101"/>
        <v>2.319320770345823E-2</v>
      </c>
      <c r="J610" s="842">
        <v>80.83</v>
      </c>
      <c r="K610" s="843">
        <f t="shared" si="102"/>
        <v>2.0838595604950605E-2</v>
      </c>
      <c r="L610" s="842">
        <v>81.760000000000005</v>
      </c>
      <c r="M610" s="843">
        <f t="shared" si="103"/>
        <v>2.1234074444166806E-2</v>
      </c>
      <c r="N610" s="842">
        <v>70.06</v>
      </c>
      <c r="O610" s="843">
        <f t="shared" si="104"/>
        <v>1.9351083951695047E-2</v>
      </c>
      <c r="P610" s="844">
        <f t="shared" si="110"/>
        <v>2.5117981146904351E-2</v>
      </c>
      <c r="Q610" s="830"/>
      <c r="R610" s="845">
        <v>1047.29</v>
      </c>
      <c r="S610" s="846">
        <f t="shared" si="105"/>
        <v>3.3207383364738607E-2</v>
      </c>
      <c r="T610" s="845">
        <v>77.13</v>
      </c>
      <c r="U610" s="846">
        <f t="shared" si="106"/>
        <v>3.1287605294825438E-2</v>
      </c>
      <c r="V610" s="845">
        <v>122.59269999999999</v>
      </c>
      <c r="W610" s="846">
        <f t="shared" si="107"/>
        <v>3.0032356368726365E-2</v>
      </c>
      <c r="X610" s="845">
        <v>31581.279999999999</v>
      </c>
      <c r="Y610" s="846">
        <f t="shared" si="108"/>
        <v>1.399825976953184E-2</v>
      </c>
      <c r="Z610" s="845">
        <v>3979.8748999999998</v>
      </c>
      <c r="AA610" s="846">
        <f t="shared" si="109"/>
        <v>1.8342224917416994E-2</v>
      </c>
      <c r="AB610" s="843"/>
      <c r="AC610" s="832"/>
    </row>
    <row r="611" spans="1:29" ht="14.4" x14ac:dyDescent="0.55000000000000004">
      <c r="A611" s="857" t="s">
        <v>5770</v>
      </c>
      <c r="B611" s="842">
        <v>114.21</v>
      </c>
      <c r="C611" s="843">
        <f t="shared" si="100"/>
        <v>-2.9681361850720789E-3</v>
      </c>
      <c r="D611" s="842">
        <v>44.65</v>
      </c>
      <c r="E611" s="843">
        <f t="shared" si="101"/>
        <v>3.370786516853963E-3</v>
      </c>
      <c r="F611" s="842">
        <v>29.52</v>
      </c>
      <c r="G611" s="843">
        <f t="shared" si="101"/>
        <v>-1.0152284263960087E-3</v>
      </c>
      <c r="H611" s="842">
        <v>48.29</v>
      </c>
      <c r="I611" s="843">
        <f t="shared" si="101"/>
        <v>1.68456517161506E-2</v>
      </c>
      <c r="J611" s="842">
        <v>79.180000000000007</v>
      </c>
      <c r="K611" s="843">
        <f t="shared" si="102"/>
        <v>7.5834175935285408E-4</v>
      </c>
      <c r="L611" s="842">
        <v>80.06</v>
      </c>
      <c r="M611" s="843">
        <f t="shared" si="103"/>
        <v>-3.3611353168180313E-3</v>
      </c>
      <c r="N611" s="842">
        <v>68.73</v>
      </c>
      <c r="O611" s="843">
        <f t="shared" si="104"/>
        <v>-4.0573829879727574E-3</v>
      </c>
      <c r="P611" s="844">
        <f t="shared" si="110"/>
        <v>1.3675567251569345E-3</v>
      </c>
      <c r="Q611" s="830"/>
      <c r="R611" s="845">
        <v>1013.63</v>
      </c>
      <c r="S611" s="846">
        <f t="shared" si="105"/>
        <v>-5.324551110760245E-4</v>
      </c>
      <c r="T611" s="845">
        <v>74.790000000000006</v>
      </c>
      <c r="U611" s="846">
        <f t="shared" si="106"/>
        <v>2.546916890080686E-3</v>
      </c>
      <c r="V611" s="845">
        <v>119.0183</v>
      </c>
      <c r="W611" s="846">
        <f t="shared" si="107"/>
        <v>-2.9688530124559742E-3</v>
      </c>
      <c r="X611" s="845">
        <v>31145.3</v>
      </c>
      <c r="Y611" s="846">
        <f t="shared" si="108"/>
        <v>-5.5283724221257824E-3</v>
      </c>
      <c r="Z611" s="845">
        <v>3908.19</v>
      </c>
      <c r="AA611" s="846">
        <f t="shared" si="109"/>
        <v>-4.0949380616919218E-3</v>
      </c>
      <c r="AB611" s="843"/>
      <c r="AC611" s="832"/>
    </row>
    <row r="612" spans="1:29" ht="14.4" x14ac:dyDescent="0.55000000000000004">
      <c r="A612" s="857" t="s">
        <v>5771</v>
      </c>
      <c r="B612" s="842">
        <v>114.55</v>
      </c>
      <c r="C612" s="843">
        <f t="shared" si="100"/>
        <v>-2.0038334204565134E-3</v>
      </c>
      <c r="D612" s="842">
        <v>44.5</v>
      </c>
      <c r="E612" s="843">
        <f t="shared" si="101"/>
        <v>-5.3643272239607409E-3</v>
      </c>
      <c r="F612" s="842">
        <v>29.55</v>
      </c>
      <c r="G612" s="843">
        <f t="shared" si="101"/>
        <v>-6.0544904137235234E-3</v>
      </c>
      <c r="H612" s="842">
        <v>47.49</v>
      </c>
      <c r="I612" s="843">
        <f t="shared" si="101"/>
        <v>-3.7759597230963005E-3</v>
      </c>
      <c r="J612" s="842">
        <v>79.12</v>
      </c>
      <c r="K612" s="843">
        <f t="shared" si="102"/>
        <v>-2.8985507246375164E-3</v>
      </c>
      <c r="L612" s="842">
        <v>80.33</v>
      </c>
      <c r="M612" s="843">
        <f t="shared" si="103"/>
        <v>1.1585442639466148E-2</v>
      </c>
      <c r="N612" s="842">
        <v>69.010000000000005</v>
      </c>
      <c r="O612" s="843">
        <f t="shared" si="104"/>
        <v>-1.1884306987399729E-2</v>
      </c>
      <c r="P612" s="844">
        <f t="shared" si="110"/>
        <v>-2.9137179791154538E-3</v>
      </c>
      <c r="Q612" s="830"/>
      <c r="R612" s="845">
        <v>1014.17</v>
      </c>
      <c r="S612" s="846">
        <f t="shared" si="105"/>
        <v>-1.0131277146064099E-2</v>
      </c>
      <c r="T612" s="845">
        <v>74.599999999999994</v>
      </c>
      <c r="U612" s="846">
        <f t="shared" si="106"/>
        <v>-1.0741280997215275E-2</v>
      </c>
      <c r="V612" s="845">
        <v>119.37269999999999</v>
      </c>
      <c r="W612" s="846">
        <f t="shared" si="107"/>
        <v>-2.0031384732173141E-3</v>
      </c>
      <c r="X612" s="845">
        <v>31318.44</v>
      </c>
      <c r="Y612" s="846">
        <f t="shared" si="108"/>
        <v>-1.0676507324580586E-2</v>
      </c>
      <c r="Z612" s="845">
        <v>3924.2595999999999</v>
      </c>
      <c r="AA612" s="846">
        <f t="shared" si="109"/>
        <v>-1.0736654216570773E-2</v>
      </c>
      <c r="AB612" s="843"/>
      <c r="AC612" s="832"/>
    </row>
    <row r="613" spans="1:29" ht="14.4" x14ac:dyDescent="0.55000000000000004">
      <c r="A613" s="857" t="s">
        <v>5772</v>
      </c>
      <c r="B613" s="842">
        <v>114.78</v>
      </c>
      <c r="C613" s="843">
        <f t="shared" si="100"/>
        <v>1.2347856764861609E-2</v>
      </c>
      <c r="D613" s="842">
        <v>44.74</v>
      </c>
      <c r="E613" s="843">
        <f t="shared" si="101"/>
        <v>1.3593112822836373E-2</v>
      </c>
      <c r="F613" s="842">
        <v>29.73</v>
      </c>
      <c r="G613" s="843">
        <f t="shared" si="101"/>
        <v>7.4550999661131545E-3</v>
      </c>
      <c r="H613" s="842">
        <v>47.67</v>
      </c>
      <c r="I613" s="843">
        <f t="shared" si="101"/>
        <v>1.260239445494582E-3</v>
      </c>
      <c r="J613" s="842">
        <v>79.349999999999994</v>
      </c>
      <c r="K613" s="843">
        <f t="shared" si="102"/>
        <v>1.3798390187811371E-2</v>
      </c>
      <c r="L613" s="842">
        <v>79.41</v>
      </c>
      <c r="M613" s="843">
        <f t="shared" si="103"/>
        <v>2.00385356454722E-2</v>
      </c>
      <c r="N613" s="842">
        <v>69.84</v>
      </c>
      <c r="O613" s="843">
        <f t="shared" si="104"/>
        <v>-7.1540992988983199E-4</v>
      </c>
      <c r="P613" s="844">
        <f t="shared" si="110"/>
        <v>9.6825464146713513E-3</v>
      </c>
      <c r="Q613" s="830"/>
      <c r="R613" s="845">
        <v>1024.55</v>
      </c>
      <c r="S613" s="846">
        <f t="shared" si="105"/>
        <v>1.5330796368969724E-2</v>
      </c>
      <c r="T613" s="845">
        <v>75.41</v>
      </c>
      <c r="U613" s="846">
        <f t="shared" si="106"/>
        <v>1.4393327952649804E-2</v>
      </c>
      <c r="V613" s="845">
        <v>119.6123</v>
      </c>
      <c r="W613" s="846">
        <f t="shared" si="107"/>
        <v>1.2347507562203042E-2</v>
      </c>
      <c r="X613" s="845">
        <v>31656.42</v>
      </c>
      <c r="Y613" s="846">
        <f t="shared" si="108"/>
        <v>4.6330691139409019E-3</v>
      </c>
      <c r="Z613" s="845">
        <v>3966.8503000000001</v>
      </c>
      <c r="AA613" s="846">
        <f t="shared" si="109"/>
        <v>2.99653678799916E-3</v>
      </c>
      <c r="AB613" s="843"/>
      <c r="AC613" s="832"/>
    </row>
    <row r="614" spans="1:29" ht="14.4" x14ac:dyDescent="0.55000000000000004">
      <c r="A614" s="857" t="s">
        <v>5773</v>
      </c>
      <c r="B614" s="842">
        <v>113.38</v>
      </c>
      <c r="C614" s="843">
        <f t="shared" si="100"/>
        <v>-9.1759154067989623E-3</v>
      </c>
      <c r="D614" s="842">
        <v>44.14</v>
      </c>
      <c r="E614" s="843">
        <f t="shared" si="101"/>
        <v>-1.2748825766047855E-2</v>
      </c>
      <c r="F614" s="842">
        <v>29.51</v>
      </c>
      <c r="G614" s="843">
        <f t="shared" si="101"/>
        <v>-7.7336919973098883E-3</v>
      </c>
      <c r="H614" s="842">
        <v>47.61</v>
      </c>
      <c r="I614" s="843">
        <f t="shared" si="101"/>
        <v>-1.0804072304176238E-2</v>
      </c>
      <c r="J614" s="842">
        <v>78.27</v>
      </c>
      <c r="K614" s="843">
        <f t="shared" si="102"/>
        <v>-9.2405063291139955E-3</v>
      </c>
      <c r="L614" s="842">
        <v>77.849999999999994</v>
      </c>
      <c r="M614" s="843">
        <f t="shared" si="103"/>
        <v>-5.1118210862620694E-3</v>
      </c>
      <c r="N614" s="842">
        <v>69.89</v>
      </c>
      <c r="O614" s="843">
        <f t="shared" si="104"/>
        <v>-1.0617214043035061E-2</v>
      </c>
      <c r="P614" s="844">
        <f t="shared" si="110"/>
        <v>-9.3474352761062952E-3</v>
      </c>
      <c r="Q614" s="830"/>
      <c r="R614" s="845">
        <v>1009.08</v>
      </c>
      <c r="S614" s="846">
        <f t="shared" si="105"/>
        <v>-8.4603366447543182E-3</v>
      </c>
      <c r="T614" s="845">
        <v>74.34</v>
      </c>
      <c r="U614" s="846">
        <f t="shared" si="106"/>
        <v>-6.5481758652945476E-3</v>
      </c>
      <c r="V614" s="845">
        <v>118.1534</v>
      </c>
      <c r="W614" s="846">
        <f t="shared" si="107"/>
        <v>-9.1758660132362779E-3</v>
      </c>
      <c r="X614" s="845">
        <v>31510.43</v>
      </c>
      <c r="Y614" s="846">
        <f t="shared" si="108"/>
        <v>-8.8214006096718478E-3</v>
      </c>
      <c r="Z614" s="845">
        <v>3954.9989999999998</v>
      </c>
      <c r="AA614" s="846">
        <f t="shared" si="109"/>
        <v>-7.8177707734350399E-3</v>
      </c>
      <c r="AB614" s="843"/>
      <c r="AC614" s="832"/>
    </row>
    <row r="615" spans="1:29" ht="14.4" x14ac:dyDescent="0.55000000000000004">
      <c r="A615" s="857" t="s">
        <v>5774</v>
      </c>
      <c r="B615" s="842">
        <v>114.43</v>
      </c>
      <c r="C615" s="843">
        <f t="shared" si="100"/>
        <v>-1.6586455826744562E-2</v>
      </c>
      <c r="D615" s="842">
        <v>44.71</v>
      </c>
      <c r="E615" s="843">
        <f t="shared" si="101"/>
        <v>-1.8225735617039884E-2</v>
      </c>
      <c r="F615" s="842">
        <v>29.74</v>
      </c>
      <c r="G615" s="843">
        <f t="shared" si="101"/>
        <v>-1.9775873434410118E-2</v>
      </c>
      <c r="H615" s="842">
        <v>48.13</v>
      </c>
      <c r="I615" s="843">
        <f t="shared" si="101"/>
        <v>-3.1589537223340014E-2</v>
      </c>
      <c r="J615" s="842">
        <v>79</v>
      </c>
      <c r="K615" s="843">
        <f t="shared" si="102"/>
        <v>-2.2761009401286558E-2</v>
      </c>
      <c r="L615" s="842">
        <v>78.25</v>
      </c>
      <c r="M615" s="843">
        <f t="shared" si="103"/>
        <v>-1.8562648940173121E-2</v>
      </c>
      <c r="N615" s="842">
        <v>70.64</v>
      </c>
      <c r="O615" s="843">
        <f t="shared" si="104"/>
        <v>-2.4982746721877169E-2</v>
      </c>
      <c r="P615" s="844">
        <f t="shared" si="110"/>
        <v>-2.1783429594981633E-2</v>
      </c>
      <c r="Q615" s="830"/>
      <c r="R615" s="845">
        <v>1017.69</v>
      </c>
      <c r="S615" s="846">
        <f t="shared" si="105"/>
        <v>-1.3196935906137797E-2</v>
      </c>
      <c r="T615" s="845">
        <v>74.83</v>
      </c>
      <c r="U615" s="846">
        <f t="shared" si="106"/>
        <v>-1.4616802739004453E-2</v>
      </c>
      <c r="V615" s="845">
        <v>119.24760000000001</v>
      </c>
      <c r="W615" s="846">
        <f t="shared" si="107"/>
        <v>-1.6586823730051936E-2</v>
      </c>
      <c r="X615" s="845">
        <v>31790.87</v>
      </c>
      <c r="Y615" s="846">
        <f t="shared" si="108"/>
        <v>-9.5990559204511827E-3</v>
      </c>
      <c r="Z615" s="845">
        <v>3986.1619000000001</v>
      </c>
      <c r="AA615" s="846">
        <f t="shared" si="109"/>
        <v>-1.1028372111140383E-2</v>
      </c>
      <c r="AB615" s="843"/>
      <c r="AC615" s="832"/>
    </row>
    <row r="616" spans="1:29" ht="14.4" x14ac:dyDescent="0.55000000000000004">
      <c r="A616" s="857" t="s">
        <v>5775</v>
      </c>
      <c r="B616" s="842">
        <v>116.36</v>
      </c>
      <c r="C616" s="843">
        <f t="shared" si="100"/>
        <v>3.1899301663937951E-3</v>
      </c>
      <c r="D616" s="842">
        <v>45.54</v>
      </c>
      <c r="E616" s="843">
        <f t="shared" si="101"/>
        <v>-2.6281208935610145E-3</v>
      </c>
      <c r="F616" s="842">
        <v>30.34</v>
      </c>
      <c r="G616" s="843">
        <f t="shared" si="101"/>
        <v>5.3015241882041764E-3</v>
      </c>
      <c r="H616" s="842">
        <v>49.7</v>
      </c>
      <c r="I616" s="843">
        <f t="shared" si="101"/>
        <v>-3.8083784325515513E-3</v>
      </c>
      <c r="J616" s="842">
        <v>80.84</v>
      </c>
      <c r="K616" s="843">
        <f t="shared" si="102"/>
        <v>8.6665841277722144E-4</v>
      </c>
      <c r="L616" s="842">
        <v>79.73</v>
      </c>
      <c r="M616" s="843">
        <f t="shared" si="103"/>
        <v>4.0297191789449016E-3</v>
      </c>
      <c r="N616" s="842">
        <v>72.45</v>
      </c>
      <c r="O616" s="843">
        <f t="shared" si="104"/>
        <v>-7.262263633872279E-3</v>
      </c>
      <c r="P616" s="844">
        <f t="shared" si="110"/>
        <v>-4.4418716237821467E-5</v>
      </c>
      <c r="Q616" s="830"/>
      <c r="R616" s="845">
        <v>1031.3</v>
      </c>
      <c r="S616" s="846">
        <f t="shared" si="105"/>
        <v>4.4412412100434118E-3</v>
      </c>
      <c r="T616" s="845">
        <v>75.94</v>
      </c>
      <c r="U616" s="846">
        <f t="shared" si="106"/>
        <v>3.0379078061022469E-3</v>
      </c>
      <c r="V616" s="845">
        <v>121.2589</v>
      </c>
      <c r="W616" s="846">
        <f t="shared" si="107"/>
        <v>3.1901172550099499E-3</v>
      </c>
      <c r="X616" s="845">
        <v>32098.99</v>
      </c>
      <c r="Y616" s="846">
        <f t="shared" si="108"/>
        <v>-5.7122236195691345E-3</v>
      </c>
      <c r="Z616" s="845">
        <v>4030.6129999999998</v>
      </c>
      <c r="AA616" s="846">
        <f t="shared" si="109"/>
        <v>-6.6664233410606011E-3</v>
      </c>
      <c r="AB616" s="843"/>
      <c r="AC616" s="832"/>
    </row>
    <row r="617" spans="1:29" ht="14.4" x14ac:dyDescent="0.55000000000000004">
      <c r="A617" s="857" t="s">
        <v>5776</v>
      </c>
      <c r="B617" s="842">
        <v>115.99</v>
      </c>
      <c r="C617" s="843">
        <f t="shared" si="100"/>
        <v>-1.3522707943527834E-2</v>
      </c>
      <c r="D617" s="842">
        <v>45.66</v>
      </c>
      <c r="E617" s="843">
        <f t="shared" si="101"/>
        <v>-1.2970168612192023E-2</v>
      </c>
      <c r="F617" s="842">
        <v>30.18</v>
      </c>
      <c r="G617" s="843">
        <f t="shared" si="101"/>
        <v>-1.789781972014326E-2</v>
      </c>
      <c r="H617" s="842">
        <v>49.89</v>
      </c>
      <c r="I617" s="843">
        <f t="shared" si="101"/>
        <v>-5.1844466600199368E-3</v>
      </c>
      <c r="J617" s="842">
        <v>80.77</v>
      </c>
      <c r="K617" s="843">
        <f t="shared" si="102"/>
        <v>-9.2001962708537777E-3</v>
      </c>
      <c r="L617" s="842">
        <v>79.41</v>
      </c>
      <c r="M617" s="843">
        <f t="shared" si="103"/>
        <v>-1.9266394961096722E-2</v>
      </c>
      <c r="N617" s="842">
        <v>72.98</v>
      </c>
      <c r="O617" s="843">
        <f t="shared" si="104"/>
        <v>-1.9876443728176096E-2</v>
      </c>
      <c r="P617" s="844">
        <f t="shared" si="110"/>
        <v>-1.3988311128001378E-2</v>
      </c>
      <c r="Q617" s="830"/>
      <c r="R617" s="845">
        <v>1026.74</v>
      </c>
      <c r="S617" s="846">
        <f t="shared" si="105"/>
        <v>-1.6070761181014026E-2</v>
      </c>
      <c r="T617" s="845">
        <v>75.709999999999994</v>
      </c>
      <c r="U617" s="846">
        <f t="shared" si="106"/>
        <v>-1.5346599037586284E-2</v>
      </c>
      <c r="V617" s="845">
        <v>120.8733</v>
      </c>
      <c r="W617" s="846">
        <f t="shared" si="107"/>
        <v>-1.3522380604944706E-2</v>
      </c>
      <c r="X617" s="845">
        <v>32283.4</v>
      </c>
      <c r="Y617" s="846">
        <f t="shared" si="108"/>
        <v>-3.028915846494229E-2</v>
      </c>
      <c r="Z617" s="845">
        <v>4057.6631000000002</v>
      </c>
      <c r="AA617" s="846">
        <f t="shared" si="109"/>
        <v>-3.3687180522317006E-2</v>
      </c>
      <c r="AB617" s="843"/>
      <c r="AC617" s="832"/>
    </row>
    <row r="618" spans="1:29" ht="14.4" x14ac:dyDescent="0.55000000000000004">
      <c r="A618" s="857" t="s">
        <v>5777</v>
      </c>
      <c r="B618" s="842">
        <v>117.58</v>
      </c>
      <c r="C618" s="843">
        <f t="shared" si="100"/>
        <v>7.3680603152843638E-3</v>
      </c>
      <c r="D618" s="842">
        <v>46.26</v>
      </c>
      <c r="E618" s="843">
        <f t="shared" si="101"/>
        <v>1.6926797098263169E-2</v>
      </c>
      <c r="F618" s="842">
        <v>30.73</v>
      </c>
      <c r="G618" s="843">
        <f t="shared" si="101"/>
        <v>-6.7873303167420573E-3</v>
      </c>
      <c r="H618" s="842">
        <v>50.15</v>
      </c>
      <c r="I618" s="843">
        <f t="shared" si="101"/>
        <v>1.0681176944780324E-2</v>
      </c>
      <c r="J618" s="842">
        <v>81.52</v>
      </c>
      <c r="K618" s="843">
        <f t="shared" si="102"/>
        <v>7.5392411321220099E-3</v>
      </c>
      <c r="L618" s="842">
        <v>80.97</v>
      </c>
      <c r="M618" s="843">
        <f t="shared" si="103"/>
        <v>1.0230817217716792E-2</v>
      </c>
      <c r="N618" s="842">
        <v>74.459999999999994</v>
      </c>
      <c r="O618" s="843">
        <f t="shared" si="104"/>
        <v>1.2785636561479796E-2</v>
      </c>
      <c r="P618" s="844">
        <f t="shared" si="110"/>
        <v>8.3920569932720568E-3</v>
      </c>
      <c r="Q618" s="830"/>
      <c r="R618" s="845">
        <v>1043.51</v>
      </c>
      <c r="S618" s="846">
        <f t="shared" si="105"/>
        <v>5.5698495755158728E-3</v>
      </c>
      <c r="T618" s="845">
        <v>76.89</v>
      </c>
      <c r="U618" s="846">
        <f t="shared" si="106"/>
        <v>6.1502224548546369E-3</v>
      </c>
      <c r="V618" s="845">
        <v>122.53019999999999</v>
      </c>
      <c r="W618" s="846">
        <f t="shared" si="107"/>
        <v>7.3680056563132368E-3</v>
      </c>
      <c r="X618" s="845">
        <v>33291.78</v>
      </c>
      <c r="Y618" s="846">
        <f t="shared" si="108"/>
        <v>9.7833646706335653E-3</v>
      </c>
      <c r="Z618" s="845">
        <v>4199.1196</v>
      </c>
      <c r="AA618" s="846">
        <f t="shared" si="109"/>
        <v>1.4091877246744877E-2</v>
      </c>
      <c r="AB618" s="843"/>
      <c r="AC618" s="832"/>
    </row>
    <row r="619" spans="1:29" ht="14.4" x14ac:dyDescent="0.55000000000000004">
      <c r="A619" s="857" t="s">
        <v>5778</v>
      </c>
      <c r="B619" s="842">
        <v>116.72</v>
      </c>
      <c r="C619" s="843">
        <f t="shared" si="100"/>
        <v>4.3021855102391982E-3</v>
      </c>
      <c r="D619" s="842">
        <v>45.49</v>
      </c>
      <c r="E619" s="843">
        <f t="shared" si="101"/>
        <v>-8.7164959686205634E-3</v>
      </c>
      <c r="F619" s="842">
        <v>30.94</v>
      </c>
      <c r="G619" s="843">
        <f t="shared" si="101"/>
        <v>5.5248618784531356E-3</v>
      </c>
      <c r="H619" s="842">
        <v>49.62</v>
      </c>
      <c r="I619" s="843">
        <f t="shared" si="101"/>
        <v>-1.5671493751239773E-2</v>
      </c>
      <c r="J619" s="842">
        <v>80.91</v>
      </c>
      <c r="K619" s="843">
        <f t="shared" si="102"/>
        <v>-8.0912100036777401E-3</v>
      </c>
      <c r="L619" s="842">
        <v>80.150000000000006</v>
      </c>
      <c r="M619" s="843">
        <f t="shared" si="103"/>
        <v>1.8036326686142523E-2</v>
      </c>
      <c r="N619" s="842">
        <v>73.52</v>
      </c>
      <c r="O619" s="843">
        <f t="shared" si="104"/>
        <v>-8.0949811117108084E-3</v>
      </c>
      <c r="P619" s="844">
        <f t="shared" si="110"/>
        <v>-1.8158295372020042E-3</v>
      </c>
      <c r="Q619" s="830"/>
      <c r="R619" s="845">
        <v>1037.73</v>
      </c>
      <c r="S619" s="846">
        <f t="shared" si="105"/>
        <v>3.442374077762711E-3</v>
      </c>
      <c r="T619" s="845">
        <v>76.42</v>
      </c>
      <c r="U619" s="846">
        <f t="shared" si="106"/>
        <v>3.150433184562873E-3</v>
      </c>
      <c r="V619" s="845">
        <v>121.634</v>
      </c>
      <c r="W619" s="846">
        <f t="shared" si="107"/>
        <v>4.3017677705943225E-3</v>
      </c>
      <c r="X619" s="845">
        <v>32969.230000000003</v>
      </c>
      <c r="Y619" s="846">
        <f t="shared" si="108"/>
        <v>1.8122377094338393E-3</v>
      </c>
      <c r="Z619" s="845">
        <v>4140.7683999999999</v>
      </c>
      <c r="AA619" s="846">
        <f t="shared" si="109"/>
        <v>2.9161035191316298E-3</v>
      </c>
      <c r="AB619" s="843"/>
      <c r="AC619" s="832"/>
    </row>
    <row r="620" spans="1:29" ht="14.4" x14ac:dyDescent="0.55000000000000004">
      <c r="A620" s="857" t="s">
        <v>5779</v>
      </c>
      <c r="B620" s="842">
        <v>116.22</v>
      </c>
      <c r="C620" s="843">
        <f t="shared" si="100"/>
        <v>6.0266896254845825E-4</v>
      </c>
      <c r="D620" s="842">
        <v>45.89</v>
      </c>
      <c r="E620" s="843">
        <f t="shared" si="101"/>
        <v>-7.5692041522491538E-3</v>
      </c>
      <c r="F620" s="842">
        <v>30.77</v>
      </c>
      <c r="G620" s="843">
        <f t="shared" si="101"/>
        <v>-1.4098045498237788E-2</v>
      </c>
      <c r="H620" s="842">
        <v>50.41</v>
      </c>
      <c r="I620" s="843">
        <f t="shared" si="101"/>
        <v>-1.8878941222265633E-2</v>
      </c>
      <c r="J620" s="842">
        <v>81.569999999999993</v>
      </c>
      <c r="K620" s="843">
        <f t="shared" si="102"/>
        <v>-5.971240555691093E-3</v>
      </c>
      <c r="L620" s="842">
        <v>78.73</v>
      </c>
      <c r="M620" s="843">
        <f t="shared" si="103"/>
        <v>7.6267954747688549E-4</v>
      </c>
      <c r="N620" s="842">
        <v>74.12</v>
      </c>
      <c r="O620" s="843">
        <f t="shared" si="104"/>
        <v>-6.0345983639531475E-3</v>
      </c>
      <c r="P620" s="844">
        <f t="shared" si="110"/>
        <v>-7.3123830403387814E-3</v>
      </c>
      <c r="Q620" s="830"/>
      <c r="R620" s="845">
        <v>1034.17</v>
      </c>
      <c r="S620" s="846">
        <f t="shared" si="105"/>
        <v>-6.5132811374225552E-3</v>
      </c>
      <c r="T620" s="845">
        <v>76.180000000000007</v>
      </c>
      <c r="U620" s="846">
        <f t="shared" si="106"/>
        <v>-6.0020876826721858E-3</v>
      </c>
      <c r="V620" s="845">
        <v>121.113</v>
      </c>
      <c r="W620" s="846">
        <f t="shared" si="107"/>
        <v>6.0310641110361551E-4</v>
      </c>
      <c r="X620" s="845">
        <v>32909.589999999997</v>
      </c>
      <c r="Y620" s="846">
        <f t="shared" si="108"/>
        <v>-4.6582935136243453E-3</v>
      </c>
      <c r="Z620" s="845">
        <v>4128.7286000000004</v>
      </c>
      <c r="AA620" s="846">
        <f t="shared" si="109"/>
        <v>-2.2370306091460401E-3</v>
      </c>
      <c r="AB620" s="843"/>
      <c r="AC620" s="832"/>
    </row>
    <row r="621" spans="1:29" ht="14.4" x14ac:dyDescent="0.55000000000000004">
      <c r="A621" s="857" t="s">
        <v>5780</v>
      </c>
      <c r="B621" s="842">
        <v>116.15</v>
      </c>
      <c r="C621" s="843">
        <f t="shared" si="100"/>
        <v>-1.5761376154563189E-2</v>
      </c>
      <c r="D621" s="842">
        <v>46.24</v>
      </c>
      <c r="E621" s="843">
        <f t="shared" si="101"/>
        <v>-2.0131383767747368E-2</v>
      </c>
      <c r="F621" s="842">
        <v>31.21</v>
      </c>
      <c r="G621" s="843">
        <f t="shared" si="101"/>
        <v>-1.0462904248573213E-2</v>
      </c>
      <c r="H621" s="842">
        <v>51.38</v>
      </c>
      <c r="I621" s="843">
        <f t="shared" si="101"/>
        <v>-2.6156178923426698E-2</v>
      </c>
      <c r="J621" s="842">
        <v>82.06</v>
      </c>
      <c r="K621" s="843">
        <f t="shared" si="102"/>
        <v>-1.9710906701708164E-2</v>
      </c>
      <c r="L621" s="842">
        <v>78.67</v>
      </c>
      <c r="M621" s="843">
        <f t="shared" si="103"/>
        <v>-2.1152171208162263E-2</v>
      </c>
      <c r="N621" s="842">
        <v>74.569999999999993</v>
      </c>
      <c r="O621" s="843">
        <f t="shared" si="104"/>
        <v>-2.4846344971884426E-2</v>
      </c>
      <c r="P621" s="844">
        <f t="shared" si="110"/>
        <v>-1.9745895139437902E-2</v>
      </c>
      <c r="Q621" s="830"/>
      <c r="R621" s="845">
        <v>1040.95</v>
      </c>
      <c r="S621" s="846">
        <f t="shared" si="105"/>
        <v>-1.4307899172395389E-2</v>
      </c>
      <c r="T621" s="845">
        <v>76.64</v>
      </c>
      <c r="U621" s="846">
        <f t="shared" si="106"/>
        <v>-1.364221364221363E-2</v>
      </c>
      <c r="V621" s="845">
        <v>121.04</v>
      </c>
      <c r="W621" s="846">
        <f t="shared" si="107"/>
        <v>-1.5761317240521322E-2</v>
      </c>
      <c r="X621" s="845">
        <v>33063.61</v>
      </c>
      <c r="Y621" s="846">
        <f t="shared" si="108"/>
        <v>-1.9080160229081655E-2</v>
      </c>
      <c r="Z621" s="845">
        <v>4137.9853999999996</v>
      </c>
      <c r="AA621" s="846">
        <f t="shared" si="109"/>
        <v>-2.1400865583211637E-2</v>
      </c>
      <c r="AB621" s="843"/>
      <c r="AC621" s="832"/>
    </row>
    <row r="622" spans="1:29" ht="14.4" x14ac:dyDescent="0.55000000000000004">
      <c r="A622" s="857" t="s">
        <v>5781</v>
      </c>
      <c r="B622" s="842">
        <v>118.01</v>
      </c>
      <c r="C622" s="843">
        <f t="shared" si="100"/>
        <v>-5.9281842818426078E-4</v>
      </c>
      <c r="D622" s="842">
        <v>47.19</v>
      </c>
      <c r="E622" s="843">
        <f t="shared" si="101"/>
        <v>4.0425531914893842E-3</v>
      </c>
      <c r="F622" s="842">
        <v>31.54</v>
      </c>
      <c r="G622" s="843">
        <f t="shared" si="101"/>
        <v>-5.3610848312836135E-3</v>
      </c>
      <c r="H622" s="842">
        <v>52.76</v>
      </c>
      <c r="I622" s="843">
        <f t="shared" si="101"/>
        <v>-1.8917896329928574E-3</v>
      </c>
      <c r="J622" s="842">
        <v>83.71</v>
      </c>
      <c r="K622" s="843">
        <f t="shared" si="102"/>
        <v>3.4763845600573884E-3</v>
      </c>
      <c r="L622" s="842">
        <v>80.37</v>
      </c>
      <c r="M622" s="843">
        <f t="shared" si="103"/>
        <v>1.1325028312570762E-2</v>
      </c>
      <c r="N622" s="842">
        <v>76.47</v>
      </c>
      <c r="O622" s="843">
        <f t="shared" si="104"/>
        <v>-2.9986962190352573E-3</v>
      </c>
      <c r="P622" s="844">
        <f t="shared" si="110"/>
        <v>1.1427967075173637E-3</v>
      </c>
      <c r="Q622" s="830"/>
      <c r="R622" s="845">
        <v>1056.06</v>
      </c>
      <c r="S622" s="846">
        <f t="shared" si="105"/>
        <v>-1.0972172300941496E-3</v>
      </c>
      <c r="T622" s="845">
        <v>77.7</v>
      </c>
      <c r="U622" s="846">
        <f t="shared" si="106"/>
        <v>-5.1453563159242766E-4</v>
      </c>
      <c r="V622" s="845">
        <v>122.9783</v>
      </c>
      <c r="W622" s="846">
        <f t="shared" si="107"/>
        <v>-5.9324850692343833E-4</v>
      </c>
      <c r="X622" s="845">
        <v>33706.74</v>
      </c>
      <c r="Y622" s="846">
        <f t="shared" si="108"/>
        <v>-8.5973015708680212E-3</v>
      </c>
      <c r="Z622" s="845">
        <v>4228.4785000000002</v>
      </c>
      <c r="AA622" s="846">
        <f t="shared" si="109"/>
        <v>-1.2900937936796697E-2</v>
      </c>
      <c r="AB622" s="843"/>
      <c r="AC622" s="832"/>
    </row>
    <row r="623" spans="1:29" ht="14.4" x14ac:dyDescent="0.55000000000000004">
      <c r="A623" s="857" t="s">
        <v>5782</v>
      </c>
      <c r="B623" s="842">
        <v>118.08</v>
      </c>
      <c r="C623" s="843">
        <f t="shared" si="100"/>
        <v>3.5696073431923381E-3</v>
      </c>
      <c r="D623" s="842">
        <v>47</v>
      </c>
      <c r="E623" s="843">
        <f t="shared" si="101"/>
        <v>-1.4871468026343981E-3</v>
      </c>
      <c r="F623" s="842">
        <v>31.71</v>
      </c>
      <c r="G623" s="843">
        <f t="shared" si="101"/>
        <v>6.3111391606174294E-4</v>
      </c>
      <c r="H623" s="842">
        <v>52.86</v>
      </c>
      <c r="I623" s="843">
        <f t="shared" si="101"/>
        <v>-5.6433408577877264E-3</v>
      </c>
      <c r="J623" s="842">
        <v>83.42</v>
      </c>
      <c r="K623" s="843">
        <f t="shared" si="102"/>
        <v>6.3940161660032135E-3</v>
      </c>
      <c r="L623" s="842">
        <v>79.47</v>
      </c>
      <c r="M623" s="843">
        <f t="shared" si="103"/>
        <v>1.0076835873535916E-3</v>
      </c>
      <c r="N623" s="842">
        <v>76.7</v>
      </c>
      <c r="O623" s="843">
        <f t="shared" si="104"/>
        <v>1.6977928692700761E-3</v>
      </c>
      <c r="P623" s="844">
        <f t="shared" si="110"/>
        <v>8.8138946020840535E-4</v>
      </c>
      <c r="Q623" s="830"/>
      <c r="R623" s="845">
        <v>1057.22</v>
      </c>
      <c r="S623" s="846">
        <f t="shared" si="105"/>
        <v>3.1882792780826286E-3</v>
      </c>
      <c r="T623" s="845">
        <v>77.739999999999995</v>
      </c>
      <c r="U623" s="846">
        <f t="shared" si="106"/>
        <v>3.7443511943187069E-3</v>
      </c>
      <c r="V623" s="845">
        <v>123.0513</v>
      </c>
      <c r="W623" s="846">
        <f t="shared" si="107"/>
        <v>3.5697508269880718E-3</v>
      </c>
      <c r="X623" s="845">
        <v>33999.040000000001</v>
      </c>
      <c r="Y623" s="846">
        <f t="shared" si="108"/>
        <v>5.5090711329386366E-4</v>
      </c>
      <c r="Z623" s="845">
        <v>4283.7428</v>
      </c>
      <c r="AA623" s="846">
        <f t="shared" si="109"/>
        <v>2.2704754638744884E-3</v>
      </c>
      <c r="AB623" s="843"/>
      <c r="AC623" s="832"/>
    </row>
    <row r="624" spans="1:29" ht="14.4" x14ac:dyDescent="0.55000000000000004">
      <c r="A624" s="857" t="s">
        <v>5783</v>
      </c>
      <c r="B624" s="842">
        <v>117.66</v>
      </c>
      <c r="C624" s="843">
        <f t="shared" si="100"/>
        <v>6.8038782105794837E-4</v>
      </c>
      <c r="D624" s="842">
        <v>47.07</v>
      </c>
      <c r="E624" s="843">
        <f t="shared" si="101"/>
        <v>-1.9083969465648609E-3</v>
      </c>
      <c r="F624" s="842">
        <v>31.69</v>
      </c>
      <c r="G624" s="843">
        <f t="shared" si="101"/>
        <v>3.483217226092572E-3</v>
      </c>
      <c r="H624" s="842">
        <v>53.16</v>
      </c>
      <c r="I624" s="843">
        <f t="shared" si="101"/>
        <v>-9.5025153717160915E-3</v>
      </c>
      <c r="J624" s="842">
        <v>82.89</v>
      </c>
      <c r="K624" s="843">
        <f t="shared" si="102"/>
        <v>-3.3665985331249315E-3</v>
      </c>
      <c r="L624" s="842">
        <v>79.39</v>
      </c>
      <c r="M624" s="843">
        <f t="shared" si="103"/>
        <v>-7.7490313710786296E-3</v>
      </c>
      <c r="N624" s="842">
        <v>76.569999999999993</v>
      </c>
      <c r="O624" s="843">
        <f t="shared" si="104"/>
        <v>-1.0723514211886442E-2</v>
      </c>
      <c r="P624" s="844">
        <f t="shared" si="110"/>
        <v>-4.1552073410314905E-3</v>
      </c>
      <c r="Q624" s="830"/>
      <c r="R624" s="845">
        <v>1053.8599999999999</v>
      </c>
      <c r="S624" s="846">
        <f t="shared" si="105"/>
        <v>0</v>
      </c>
      <c r="T624" s="845">
        <v>77.45</v>
      </c>
      <c r="U624" s="846">
        <f t="shared" si="106"/>
        <v>-1.6756896107243957E-3</v>
      </c>
      <c r="V624" s="845">
        <v>122.61360000000001</v>
      </c>
      <c r="W624" s="846">
        <f t="shared" si="107"/>
        <v>6.8064852583282764E-4</v>
      </c>
      <c r="X624" s="845">
        <v>33980.32</v>
      </c>
      <c r="Y624" s="846">
        <f t="shared" si="108"/>
        <v>-5.0272297296704016E-3</v>
      </c>
      <c r="Z624" s="845">
        <v>4274.0387000000001</v>
      </c>
      <c r="AA624" s="846">
        <f t="shared" si="109"/>
        <v>-7.2378995323166828E-3</v>
      </c>
      <c r="AB624" s="843"/>
      <c r="AC624" s="832"/>
    </row>
    <row r="625" spans="1:29" ht="14.4" x14ac:dyDescent="0.55000000000000004">
      <c r="A625" s="857" t="s">
        <v>5784</v>
      </c>
      <c r="B625" s="842">
        <v>117.58</v>
      </c>
      <c r="C625" s="843">
        <f t="shared" si="100"/>
        <v>1.6185365022574061E-3</v>
      </c>
      <c r="D625" s="842">
        <v>47.16</v>
      </c>
      <c r="E625" s="843">
        <f t="shared" si="101"/>
        <v>7.0467648942984518E-3</v>
      </c>
      <c r="F625" s="842">
        <v>31.58</v>
      </c>
      <c r="G625" s="843">
        <f t="shared" si="101"/>
        <v>7.0153061224489388E-3</v>
      </c>
      <c r="H625" s="842">
        <v>53.67</v>
      </c>
      <c r="I625" s="843">
        <f t="shared" si="101"/>
        <v>1.0544153643381682E-2</v>
      </c>
      <c r="J625" s="842">
        <v>83.17</v>
      </c>
      <c r="K625" s="843">
        <f t="shared" si="102"/>
        <v>3.6083714216994522E-4</v>
      </c>
      <c r="L625" s="842">
        <v>80.010000000000005</v>
      </c>
      <c r="M625" s="843">
        <f t="shared" si="103"/>
        <v>1.7162471395881118E-2</v>
      </c>
      <c r="N625" s="842">
        <v>77.400000000000006</v>
      </c>
      <c r="O625" s="843">
        <f t="shared" si="104"/>
        <v>1.4682747771368687E-2</v>
      </c>
      <c r="P625" s="844">
        <f t="shared" si="110"/>
        <v>8.3472596388294608E-3</v>
      </c>
      <c r="Q625" s="830"/>
      <c r="R625" s="845">
        <v>1053.8599999999999</v>
      </c>
      <c r="S625" s="846">
        <f t="shared" si="105"/>
        <v>3.0838933201347007E-3</v>
      </c>
      <c r="T625" s="845">
        <v>77.58</v>
      </c>
      <c r="U625" s="846">
        <f t="shared" si="106"/>
        <v>2.8438469493277108E-3</v>
      </c>
      <c r="V625" s="845">
        <v>122.53019999999999</v>
      </c>
      <c r="W625" s="846">
        <f t="shared" si="107"/>
        <v>1.6185436050359936E-3</v>
      </c>
      <c r="X625" s="845">
        <v>34152.01</v>
      </c>
      <c r="Y625" s="846">
        <f t="shared" si="108"/>
        <v>7.0643692992895524E-3</v>
      </c>
      <c r="Z625" s="845">
        <v>4305.1993000000002</v>
      </c>
      <c r="AA625" s="846">
        <f t="shared" si="109"/>
        <v>1.8746872195447573E-3</v>
      </c>
      <c r="AB625" s="843"/>
      <c r="AC625" s="832"/>
    </row>
    <row r="626" spans="1:29" ht="14.4" x14ac:dyDescent="0.55000000000000004">
      <c r="A626" s="857" t="s">
        <v>5785</v>
      </c>
      <c r="B626" s="842">
        <v>117.39</v>
      </c>
      <c r="C626" s="843">
        <f t="shared" si="100"/>
        <v>3.762291577597221E-3</v>
      </c>
      <c r="D626" s="842">
        <v>46.83</v>
      </c>
      <c r="E626" s="843">
        <f t="shared" si="101"/>
        <v>7.0967741935483719E-3</v>
      </c>
      <c r="F626" s="842">
        <v>31.36</v>
      </c>
      <c r="G626" s="843">
        <f t="shared" si="101"/>
        <v>7.0648683365446274E-3</v>
      </c>
      <c r="H626" s="842">
        <v>53.11</v>
      </c>
      <c r="I626" s="843">
        <f t="shared" si="101"/>
        <v>8.7369420702754219E-3</v>
      </c>
      <c r="J626" s="842">
        <v>83.14</v>
      </c>
      <c r="K626" s="843">
        <f t="shared" si="102"/>
        <v>6.4156881733445914E-3</v>
      </c>
      <c r="L626" s="842">
        <v>78.66</v>
      </c>
      <c r="M626" s="843">
        <f t="shared" si="103"/>
        <v>1.6541742052209818E-2</v>
      </c>
      <c r="N626" s="842">
        <v>76.28</v>
      </c>
      <c r="O626" s="843">
        <f t="shared" si="104"/>
        <v>8.5944730926881263E-3</v>
      </c>
      <c r="P626" s="844">
        <f t="shared" si="110"/>
        <v>8.316111356601168E-3</v>
      </c>
      <c r="Q626" s="830"/>
      <c r="R626" s="845">
        <v>1050.6199999999999</v>
      </c>
      <c r="S626" s="846">
        <f t="shared" si="105"/>
        <v>8.6984907254501476E-3</v>
      </c>
      <c r="T626" s="845">
        <v>77.36</v>
      </c>
      <c r="U626" s="846">
        <f t="shared" si="106"/>
        <v>8.3420229405630764E-3</v>
      </c>
      <c r="V626" s="845">
        <v>122.3322</v>
      </c>
      <c r="W626" s="846">
        <f t="shared" si="107"/>
        <v>3.762091411026347E-3</v>
      </c>
      <c r="X626" s="845">
        <v>33912.44</v>
      </c>
      <c r="Y626" s="846">
        <f t="shared" si="108"/>
        <v>4.4841614819444153E-3</v>
      </c>
      <c r="Z626" s="845">
        <v>4297.1435000000001</v>
      </c>
      <c r="AA626" s="846">
        <f t="shared" si="109"/>
        <v>3.9701874969118034E-3</v>
      </c>
      <c r="AB626" s="843"/>
      <c r="AC626" s="832"/>
    </row>
    <row r="627" spans="1:29" ht="14.4" x14ac:dyDescent="0.55000000000000004">
      <c r="A627" s="857" t="s">
        <v>5786</v>
      </c>
      <c r="B627" s="842">
        <v>116.95</v>
      </c>
      <c r="C627" s="843">
        <f t="shared" si="100"/>
        <v>1.4574477314132084E-2</v>
      </c>
      <c r="D627" s="842">
        <v>46.5</v>
      </c>
      <c r="E627" s="843">
        <f t="shared" si="101"/>
        <v>2.1753460777851119E-2</v>
      </c>
      <c r="F627" s="842">
        <v>31.14</v>
      </c>
      <c r="G627" s="843">
        <f t="shared" si="101"/>
        <v>2.3668639053254337E-2</v>
      </c>
      <c r="H627" s="842">
        <v>52.65</v>
      </c>
      <c r="I627" s="843">
        <f t="shared" si="101"/>
        <v>2.0151133501259411E-2</v>
      </c>
      <c r="J627" s="842">
        <v>82.61</v>
      </c>
      <c r="K627" s="843">
        <f t="shared" si="102"/>
        <v>8.5459650836283707E-3</v>
      </c>
      <c r="L627" s="842">
        <v>77.38</v>
      </c>
      <c r="M627" s="843">
        <f t="shared" si="103"/>
        <v>2.4629237288135597E-2</v>
      </c>
      <c r="N627" s="842">
        <v>75.63</v>
      </c>
      <c r="O627" s="843">
        <f t="shared" si="104"/>
        <v>1.9822006472491882E-2</v>
      </c>
      <c r="P627" s="844">
        <f t="shared" si="110"/>
        <v>1.9020702784393256E-2</v>
      </c>
      <c r="Q627" s="830"/>
      <c r="R627" s="845">
        <v>1041.56</v>
      </c>
      <c r="S627" s="846">
        <f t="shared" si="105"/>
        <v>1.551211426900001E-2</v>
      </c>
      <c r="T627" s="845">
        <v>76.72</v>
      </c>
      <c r="U627" s="846">
        <f t="shared" si="106"/>
        <v>1.6293548814412473E-2</v>
      </c>
      <c r="V627" s="845">
        <v>121.8737</v>
      </c>
      <c r="W627" s="846">
        <f t="shared" si="107"/>
        <v>1.4574228082881779E-2</v>
      </c>
      <c r="X627" s="845">
        <v>33761.050000000003</v>
      </c>
      <c r="Y627" s="846">
        <f t="shared" si="108"/>
        <v>1.2730125714416118E-2</v>
      </c>
      <c r="Z627" s="845">
        <v>4280.1504999999997</v>
      </c>
      <c r="AA627" s="846">
        <f t="shared" si="109"/>
        <v>1.7321451626734818E-2</v>
      </c>
      <c r="AB627" s="843"/>
      <c r="AC627" s="832"/>
    </row>
    <row r="628" spans="1:29" ht="14.4" x14ac:dyDescent="0.55000000000000004">
      <c r="A628" s="857" t="s">
        <v>5787</v>
      </c>
      <c r="B628" s="842">
        <v>115.27</v>
      </c>
      <c r="C628" s="843">
        <f t="shared" si="100"/>
        <v>6.9887306717917319E-3</v>
      </c>
      <c r="D628" s="842">
        <v>45.51</v>
      </c>
      <c r="E628" s="843">
        <f t="shared" si="101"/>
        <v>1.0998680158380569E-3</v>
      </c>
      <c r="F628" s="842">
        <v>30.42</v>
      </c>
      <c r="G628" s="843">
        <f t="shared" si="101"/>
        <v>-3.2862306933945096E-4</v>
      </c>
      <c r="H628" s="842">
        <v>51.61</v>
      </c>
      <c r="I628" s="843">
        <f t="shared" si="101"/>
        <v>-2.1268368136116989E-3</v>
      </c>
      <c r="J628" s="842">
        <v>81.91</v>
      </c>
      <c r="K628" s="843">
        <f t="shared" si="102"/>
        <v>-2.4357569114602518E-3</v>
      </c>
      <c r="L628" s="842">
        <v>75.52</v>
      </c>
      <c r="M628" s="843">
        <f t="shared" si="103"/>
        <v>-2.2460034350640923E-3</v>
      </c>
      <c r="N628" s="842">
        <v>74.16</v>
      </c>
      <c r="O628" s="843">
        <f t="shared" si="104"/>
        <v>-6.697026520224969E-3</v>
      </c>
      <c r="P628" s="844">
        <f t="shared" si="110"/>
        <v>-8.208068660100963E-4</v>
      </c>
      <c r="Q628" s="830"/>
      <c r="R628" s="845">
        <v>1025.6500000000001</v>
      </c>
      <c r="S628" s="846">
        <f t="shared" si="105"/>
        <v>-1.9461879044421204E-3</v>
      </c>
      <c r="T628" s="845">
        <v>75.489999999999995</v>
      </c>
      <c r="U628" s="846">
        <f t="shared" si="106"/>
        <v>-1.3245033112585514E-4</v>
      </c>
      <c r="V628" s="845">
        <v>120.123</v>
      </c>
      <c r="W628" s="846">
        <f t="shared" si="107"/>
        <v>6.9888917111593507E-3</v>
      </c>
      <c r="X628" s="845">
        <v>33336.67</v>
      </c>
      <c r="Y628" s="846">
        <f t="shared" si="108"/>
        <v>8.153827540542391E-4</v>
      </c>
      <c r="Z628" s="845">
        <v>4207.2744000000002</v>
      </c>
      <c r="AA628" s="846">
        <f t="shared" si="109"/>
        <v>-7.0449657210780448E-4</v>
      </c>
      <c r="AB628" s="843"/>
      <c r="AC628" s="832"/>
    </row>
    <row r="629" spans="1:29" ht="14.4" x14ac:dyDescent="0.55000000000000004">
      <c r="A629" s="857" t="s">
        <v>5788</v>
      </c>
      <c r="B629" s="842">
        <v>114.47</v>
      </c>
      <c r="C629" s="843">
        <f t="shared" si="100"/>
        <v>-7.0263705759888717E-3</v>
      </c>
      <c r="D629" s="842">
        <v>45.46</v>
      </c>
      <c r="E629" s="843">
        <f t="shared" si="101"/>
        <v>6.643046944198483E-3</v>
      </c>
      <c r="F629" s="842">
        <v>30.43</v>
      </c>
      <c r="G629" s="843">
        <f t="shared" si="101"/>
        <v>2.9663810151614456E-3</v>
      </c>
      <c r="H629" s="842">
        <v>51.72</v>
      </c>
      <c r="I629" s="843">
        <f t="shared" si="101"/>
        <v>-1.1089866156787753E-2</v>
      </c>
      <c r="J629" s="842">
        <v>82.11</v>
      </c>
      <c r="K629" s="843">
        <f t="shared" si="102"/>
        <v>-1.7021276595744483E-3</v>
      </c>
      <c r="L629" s="842">
        <v>75.69</v>
      </c>
      <c r="M629" s="843">
        <f t="shared" si="103"/>
        <v>-3.4812547819433881E-2</v>
      </c>
      <c r="N629" s="842">
        <v>74.66</v>
      </c>
      <c r="O629" s="843">
        <f t="shared" si="104"/>
        <v>-1.0703773080010803E-3</v>
      </c>
      <c r="P629" s="844">
        <f t="shared" si="110"/>
        <v>-6.5845516514894441E-3</v>
      </c>
      <c r="Q629" s="830"/>
      <c r="R629" s="845">
        <v>1027.6500000000001</v>
      </c>
      <c r="S629" s="846">
        <f t="shared" si="105"/>
        <v>4.1430120870424858E-3</v>
      </c>
      <c r="T629" s="845">
        <v>75.5</v>
      </c>
      <c r="U629" s="846">
        <f t="shared" si="106"/>
        <v>4.390049221763892E-3</v>
      </c>
      <c r="V629" s="845">
        <v>119.2893</v>
      </c>
      <c r="W629" s="846">
        <f t="shared" si="107"/>
        <v>-7.0263557012454347E-3</v>
      </c>
      <c r="X629" s="845">
        <v>33309.51</v>
      </c>
      <c r="Y629" s="846">
        <f t="shared" si="108"/>
        <v>1.6326762251402727E-2</v>
      </c>
      <c r="Z629" s="845">
        <v>4210.2404999999999</v>
      </c>
      <c r="AA629" s="846">
        <f t="shared" si="109"/>
        <v>2.1291771024716022E-2</v>
      </c>
      <c r="AB629" s="843"/>
      <c r="AC629" s="832"/>
    </row>
    <row r="630" spans="1:29" ht="14.4" x14ac:dyDescent="0.55000000000000004">
      <c r="A630" s="857" t="s">
        <v>5789</v>
      </c>
      <c r="B630" s="842">
        <v>115.28</v>
      </c>
      <c r="C630" s="843">
        <f t="shared" si="100"/>
        <v>5.933682373473026E-3</v>
      </c>
      <c r="D630" s="842">
        <v>45.16</v>
      </c>
      <c r="E630" s="843">
        <f t="shared" si="101"/>
        <v>6.2388591800355275E-3</v>
      </c>
      <c r="F630" s="842">
        <v>30.34</v>
      </c>
      <c r="G630" s="843">
        <f t="shared" si="101"/>
        <v>1.4715719063545185E-2</v>
      </c>
      <c r="H630" s="842">
        <v>52.3</v>
      </c>
      <c r="I630" s="843">
        <f t="shared" si="101"/>
        <v>-5.7328492260655395E-4</v>
      </c>
      <c r="J630" s="842">
        <v>82.25</v>
      </c>
      <c r="K630" s="843">
        <f t="shared" si="102"/>
        <v>1.5181436682300653E-2</v>
      </c>
      <c r="L630" s="842">
        <v>78.42</v>
      </c>
      <c r="M630" s="843">
        <f t="shared" si="103"/>
        <v>9.9162910495813605E-3</v>
      </c>
      <c r="N630" s="842">
        <v>74.739999999999995</v>
      </c>
      <c r="O630" s="843">
        <f t="shared" si="104"/>
        <v>1.7978752383546626E-2</v>
      </c>
      <c r="P630" s="844">
        <f t="shared" si="110"/>
        <v>9.9130651156965465E-3</v>
      </c>
      <c r="Q630" s="830"/>
      <c r="R630" s="845">
        <v>1023.41</v>
      </c>
      <c r="S630" s="846">
        <f t="shared" si="105"/>
        <v>8.1665221845692582E-3</v>
      </c>
      <c r="T630" s="845">
        <v>75.17</v>
      </c>
      <c r="U630" s="846">
        <f t="shared" si="106"/>
        <v>1.1164917944578967E-2</v>
      </c>
      <c r="V630" s="845">
        <v>120.13339999999999</v>
      </c>
      <c r="W630" s="846">
        <f t="shared" si="107"/>
        <v>5.9334409603364335E-3</v>
      </c>
      <c r="X630" s="845">
        <v>32774.410000000003</v>
      </c>
      <c r="Y630" s="846">
        <f t="shared" si="108"/>
        <v>-1.770499632376854E-3</v>
      </c>
      <c r="Z630" s="845">
        <v>4122.4659000000001</v>
      </c>
      <c r="AA630" s="846">
        <f t="shared" si="109"/>
        <v>-4.2493361929386575E-3</v>
      </c>
      <c r="AB630" s="843"/>
      <c r="AC630" s="832"/>
    </row>
    <row r="631" spans="1:29" ht="14.4" x14ac:dyDescent="0.55000000000000004">
      <c r="A631" s="857" t="s">
        <v>5790</v>
      </c>
      <c r="B631" s="842">
        <v>114.6</v>
      </c>
      <c r="C631" s="843">
        <f t="shared" si="100"/>
        <v>6.2340855211167057E-3</v>
      </c>
      <c r="D631" s="842">
        <v>44.88</v>
      </c>
      <c r="E631" s="843">
        <f t="shared" si="101"/>
        <v>4.2515104050124819E-3</v>
      </c>
      <c r="F631" s="842">
        <v>29.9</v>
      </c>
      <c r="G631" s="843">
        <f t="shared" si="101"/>
        <v>1.4591109602986041E-2</v>
      </c>
      <c r="H631" s="842">
        <v>52.33</v>
      </c>
      <c r="I631" s="843">
        <f t="shared" si="101"/>
        <v>-4.3759512937595613E-3</v>
      </c>
      <c r="J631" s="842">
        <v>81.02</v>
      </c>
      <c r="K631" s="843">
        <f t="shared" si="102"/>
        <v>5.5852054114435834E-3</v>
      </c>
      <c r="L631" s="842">
        <v>77.650000000000006</v>
      </c>
      <c r="M631" s="843">
        <f t="shared" si="103"/>
        <v>1.7426624737945762E-2</v>
      </c>
      <c r="N631" s="842">
        <v>73.42</v>
      </c>
      <c r="O631" s="843">
        <f t="shared" si="104"/>
        <v>1.535057391785366E-2</v>
      </c>
      <c r="P631" s="844">
        <f t="shared" si="110"/>
        <v>8.4375940432283823E-3</v>
      </c>
      <c r="Q631" s="830"/>
      <c r="R631" s="845">
        <v>1015.12</v>
      </c>
      <c r="S631" s="846">
        <f t="shared" si="105"/>
        <v>1.1440293502702481E-3</v>
      </c>
      <c r="T631" s="845">
        <v>74.34</v>
      </c>
      <c r="U631" s="846">
        <f t="shared" si="106"/>
        <v>1.4818806412502106E-3</v>
      </c>
      <c r="V631" s="845">
        <v>119.4248</v>
      </c>
      <c r="W631" s="846">
        <f t="shared" si="107"/>
        <v>6.234154471209008E-3</v>
      </c>
      <c r="X631" s="845">
        <v>32832.54</v>
      </c>
      <c r="Y631" s="846">
        <f t="shared" si="108"/>
        <v>8.8618673573259699E-4</v>
      </c>
      <c r="Z631" s="845">
        <v>4140.0583999999999</v>
      </c>
      <c r="AA631" s="846">
        <f t="shared" si="109"/>
        <v>-1.2377481162438864E-3</v>
      </c>
      <c r="AB631" s="843"/>
      <c r="AC631" s="832"/>
    </row>
    <row r="632" spans="1:29" ht="14.4" x14ac:dyDescent="0.55000000000000004">
      <c r="A632" s="857" t="s">
        <v>5791</v>
      </c>
      <c r="B632" s="842">
        <v>113.89</v>
      </c>
      <c r="C632" s="843">
        <f t="shared" si="100"/>
        <v>-1.6748683415350074E-2</v>
      </c>
      <c r="D632" s="842">
        <v>44.69</v>
      </c>
      <c r="E632" s="843">
        <f t="shared" si="101"/>
        <v>-2.3382867132867191E-2</v>
      </c>
      <c r="F632" s="842">
        <v>29.47</v>
      </c>
      <c r="G632" s="843">
        <f t="shared" si="101"/>
        <v>-1.2730318257956563E-2</v>
      </c>
      <c r="H632" s="842">
        <v>52.56</v>
      </c>
      <c r="I632" s="843">
        <f t="shared" si="101"/>
        <v>-1.59146227298258E-2</v>
      </c>
      <c r="J632" s="842">
        <v>80.569999999999993</v>
      </c>
      <c r="K632" s="843">
        <f t="shared" si="102"/>
        <v>-4.325259515571056E-3</v>
      </c>
      <c r="L632" s="842">
        <v>76.319999999999993</v>
      </c>
      <c r="M632" s="843">
        <f t="shared" si="103"/>
        <v>7.2588095552328369E-3</v>
      </c>
      <c r="N632" s="842">
        <v>72.31</v>
      </c>
      <c r="O632" s="843">
        <f t="shared" si="104"/>
        <v>-1.1618370694368441E-2</v>
      </c>
      <c r="P632" s="844">
        <f t="shared" si="110"/>
        <v>-1.1065901741529469E-2</v>
      </c>
      <c r="Q632" s="830"/>
      <c r="R632" s="845">
        <v>1013.96</v>
      </c>
      <c r="S632" s="846">
        <f t="shared" si="105"/>
        <v>-7.4978954993050184E-3</v>
      </c>
      <c r="T632" s="845">
        <v>74.23</v>
      </c>
      <c r="U632" s="846">
        <f t="shared" si="106"/>
        <v>-3.6241610738254604E-3</v>
      </c>
      <c r="V632" s="845">
        <v>118.6849</v>
      </c>
      <c r="W632" s="846">
        <f t="shared" si="107"/>
        <v>-1.6748062448998291E-2</v>
      </c>
      <c r="X632" s="845">
        <v>32803.47</v>
      </c>
      <c r="Y632" s="846">
        <f t="shared" si="108"/>
        <v>2.3421157326009023E-3</v>
      </c>
      <c r="Z632" s="845">
        <v>4145.1890999999996</v>
      </c>
      <c r="AA632" s="846">
        <f t="shared" si="109"/>
        <v>-1.6269727324370598E-3</v>
      </c>
      <c r="AB632" s="843"/>
      <c r="AC632" s="832"/>
    </row>
    <row r="633" spans="1:29" ht="14.4" x14ac:dyDescent="0.55000000000000004">
      <c r="A633" s="857" t="s">
        <v>5792</v>
      </c>
      <c r="B633" s="842">
        <v>115.83</v>
      </c>
      <c r="C633" s="843">
        <f t="shared" si="100"/>
        <v>-2.8923541247484974E-2</v>
      </c>
      <c r="D633" s="842">
        <v>45.76</v>
      </c>
      <c r="E633" s="843">
        <f t="shared" si="101"/>
        <v>1.2389380530973382E-2</v>
      </c>
      <c r="F633" s="842">
        <v>29.85</v>
      </c>
      <c r="G633" s="843">
        <f t="shared" si="101"/>
        <v>-1.3875123885034646E-2</v>
      </c>
      <c r="H633" s="842">
        <v>53.41</v>
      </c>
      <c r="I633" s="843">
        <f t="shared" si="101"/>
        <v>1.6879219804950552E-3</v>
      </c>
      <c r="J633" s="842">
        <v>80.92</v>
      </c>
      <c r="K633" s="843">
        <f t="shared" si="102"/>
        <v>-1.4852690528366241E-2</v>
      </c>
      <c r="L633" s="842">
        <v>75.77</v>
      </c>
      <c r="M633" s="843">
        <f t="shared" si="103"/>
        <v>-1.054713249835193E-3</v>
      </c>
      <c r="N633" s="842">
        <v>73.16</v>
      </c>
      <c r="O633" s="843">
        <f t="shared" si="104"/>
        <v>-7.1922920341973562E-3</v>
      </c>
      <c r="P633" s="844">
        <f t="shared" si="110"/>
        <v>-7.4030083476357101E-3</v>
      </c>
      <c r="Q633" s="830"/>
      <c r="R633" s="845">
        <v>1021.62</v>
      </c>
      <c r="S633" s="846">
        <f t="shared" si="105"/>
        <v>-4.0166123969036516E-3</v>
      </c>
      <c r="T633" s="845">
        <v>74.5</v>
      </c>
      <c r="U633" s="846">
        <f t="shared" si="106"/>
        <v>2.1522733387140391E-3</v>
      </c>
      <c r="V633" s="845">
        <v>120.70650000000001</v>
      </c>
      <c r="W633" s="846">
        <f t="shared" si="107"/>
        <v>-2.8923957657893906E-2</v>
      </c>
      <c r="X633" s="845">
        <v>32726.82</v>
      </c>
      <c r="Y633" s="846">
        <f t="shared" si="108"/>
        <v>-2.6112000000000357E-3</v>
      </c>
      <c r="Z633" s="845">
        <v>4151.9441999999999</v>
      </c>
      <c r="AA633" s="846">
        <f t="shared" si="109"/>
        <v>-7.7698334897136068E-4</v>
      </c>
      <c r="AB633" s="843"/>
      <c r="AC633" s="832"/>
    </row>
    <row r="634" spans="1:29" ht="14.4" x14ac:dyDescent="0.55000000000000004">
      <c r="A634" s="857" t="s">
        <v>5793</v>
      </c>
      <c r="B634" s="842">
        <v>119.28</v>
      </c>
      <c r="C634" s="843">
        <f t="shared" si="100"/>
        <v>-6.8276436303079668E-3</v>
      </c>
      <c r="D634" s="842">
        <v>45.2</v>
      </c>
      <c r="E634" s="843">
        <f t="shared" si="101"/>
        <v>-1.1157295996499617E-2</v>
      </c>
      <c r="F634" s="842">
        <v>30.27</v>
      </c>
      <c r="G634" s="843">
        <f t="shared" si="101"/>
        <v>5.6478405315614211E-3</v>
      </c>
      <c r="H634" s="842">
        <v>53.32</v>
      </c>
      <c r="I634" s="843">
        <f t="shared" si="101"/>
        <v>-5.4094385375862419E-3</v>
      </c>
      <c r="J634" s="842">
        <v>82.14</v>
      </c>
      <c r="K634" s="843">
        <f t="shared" si="102"/>
        <v>-1.0003615764734186E-2</v>
      </c>
      <c r="L634" s="842">
        <v>75.849999999999994</v>
      </c>
      <c r="M634" s="843">
        <f t="shared" si="103"/>
        <v>-0.13135593220338981</v>
      </c>
      <c r="N634" s="842">
        <v>73.69</v>
      </c>
      <c r="O634" s="843">
        <f t="shared" si="104"/>
        <v>-5.9355186833940365E-3</v>
      </c>
      <c r="P634" s="844">
        <f t="shared" si="110"/>
        <v>-2.3577372040621492E-2</v>
      </c>
      <c r="Q634" s="830"/>
      <c r="R634" s="845">
        <v>1025.74</v>
      </c>
      <c r="S634" s="846">
        <f t="shared" si="105"/>
        <v>6.1703884135124731E-3</v>
      </c>
      <c r="T634" s="845">
        <v>74.34</v>
      </c>
      <c r="U634" s="846">
        <f t="shared" si="106"/>
        <v>6.2263129399027228E-3</v>
      </c>
      <c r="V634" s="845">
        <v>124.3018</v>
      </c>
      <c r="W634" s="846">
        <f t="shared" si="107"/>
        <v>-6.8274629403394238E-3</v>
      </c>
      <c r="X634" s="845">
        <v>32812.5</v>
      </c>
      <c r="Y634" s="846">
        <f t="shared" si="108"/>
        <v>1.285136056782421E-2</v>
      </c>
      <c r="Z634" s="845">
        <v>4155.1727000000001</v>
      </c>
      <c r="AA634" s="846">
        <f t="shared" si="109"/>
        <v>1.5640358095750706E-2</v>
      </c>
      <c r="AB634" s="843"/>
      <c r="AC634" s="832"/>
    </row>
    <row r="635" spans="1:29" ht="14.4" x14ac:dyDescent="0.55000000000000004">
      <c r="A635" s="857" t="s">
        <v>5794</v>
      </c>
      <c r="B635" s="842">
        <v>120.1</v>
      </c>
      <c r="C635" s="843">
        <f t="shared" si="100"/>
        <v>-8.8305686225964575E-3</v>
      </c>
      <c r="D635" s="842">
        <v>45.71</v>
      </c>
      <c r="E635" s="843">
        <f t="shared" si="101"/>
        <v>-1.0926573426572883E-3</v>
      </c>
      <c r="F635" s="842">
        <v>30.1</v>
      </c>
      <c r="G635" s="843">
        <f t="shared" si="101"/>
        <v>-7.9103493737640029E-3</v>
      </c>
      <c r="H635" s="842">
        <v>53.61</v>
      </c>
      <c r="I635" s="843">
        <f t="shared" si="101"/>
        <v>9.3353248693039959E-4</v>
      </c>
      <c r="J635" s="842">
        <v>82.97</v>
      </c>
      <c r="K635" s="843">
        <f t="shared" si="102"/>
        <v>-1.3436385255647942E-2</v>
      </c>
      <c r="L635" s="842">
        <v>87.32</v>
      </c>
      <c r="M635" s="843">
        <f t="shared" si="103"/>
        <v>-8.0654322390095734E-3</v>
      </c>
      <c r="N635" s="842">
        <v>74.13</v>
      </c>
      <c r="O635" s="843">
        <f t="shared" si="104"/>
        <v>-1.3178913738019271E-2</v>
      </c>
      <c r="P635" s="844">
        <f t="shared" si="110"/>
        <v>-7.3686820121091623E-3</v>
      </c>
      <c r="Q635" s="830"/>
      <c r="R635" s="845">
        <v>1019.4496</v>
      </c>
      <c r="S635" s="846">
        <f t="shared" si="105"/>
        <v>-4.3562422478538032E-3</v>
      </c>
      <c r="T635" s="845">
        <v>73.88</v>
      </c>
      <c r="U635" s="846">
        <f t="shared" si="106"/>
        <v>-2.026205592327468E-3</v>
      </c>
      <c r="V635" s="845">
        <v>125.1563</v>
      </c>
      <c r="W635" s="846">
        <f t="shared" si="107"/>
        <v>-8.8309783529761932E-3</v>
      </c>
      <c r="X635" s="845">
        <v>32396.165199999999</v>
      </c>
      <c r="Y635" s="846">
        <f t="shared" si="108"/>
        <v>-1.2263854334357838E-2</v>
      </c>
      <c r="Z635" s="845">
        <v>4091.1851000000001</v>
      </c>
      <c r="AA635" s="846">
        <f t="shared" si="109"/>
        <v>-6.6635028311359257E-3</v>
      </c>
      <c r="AB635" s="843"/>
      <c r="AC635" s="832"/>
    </row>
    <row r="636" spans="1:29" ht="14.4" x14ac:dyDescent="0.55000000000000004">
      <c r="A636" s="857" t="s">
        <v>5795</v>
      </c>
      <c r="B636" s="842">
        <v>121.17</v>
      </c>
      <c r="C636" s="843">
        <f t="shared" si="100"/>
        <v>-1.8123403904769519E-3</v>
      </c>
      <c r="D636" s="842">
        <v>45.76</v>
      </c>
      <c r="E636" s="843">
        <f t="shared" si="101"/>
        <v>-9.3093743234465842E-3</v>
      </c>
      <c r="F636" s="842">
        <v>30.34</v>
      </c>
      <c r="G636" s="843">
        <f t="shared" si="101"/>
        <v>-1.9736842105262387E-3</v>
      </c>
      <c r="H636" s="842">
        <v>53.56</v>
      </c>
      <c r="I636" s="843">
        <f t="shared" si="101"/>
        <v>-2.0495621389975405E-3</v>
      </c>
      <c r="J636" s="842">
        <v>84.1</v>
      </c>
      <c r="K636" s="843">
        <f t="shared" si="102"/>
        <v>-9.8893336472805071E-3</v>
      </c>
      <c r="L636" s="842">
        <v>88.03</v>
      </c>
      <c r="M636" s="843">
        <f t="shared" si="103"/>
        <v>1.2304507819687283E-2</v>
      </c>
      <c r="N636" s="842">
        <v>75.12</v>
      </c>
      <c r="O636" s="843">
        <f t="shared" si="104"/>
        <v>-1.5948963317382603E-3</v>
      </c>
      <c r="P636" s="844">
        <f t="shared" si="110"/>
        <v>-2.0463833175398288E-3</v>
      </c>
      <c r="Q636" s="830"/>
      <c r="R636" s="845">
        <v>1023.91</v>
      </c>
      <c r="S636" s="846">
        <f t="shared" si="105"/>
        <v>-2.6362553457404125E-4</v>
      </c>
      <c r="T636" s="845">
        <v>74.03</v>
      </c>
      <c r="U636" s="846">
        <f t="shared" si="106"/>
        <v>1.0818120351587801E-3</v>
      </c>
      <c r="V636" s="845">
        <v>126.2714</v>
      </c>
      <c r="W636" s="846">
        <f t="shared" si="107"/>
        <v>-1.8118491137592008E-3</v>
      </c>
      <c r="X636" s="845">
        <v>32798.400000000001</v>
      </c>
      <c r="Y636" s="846">
        <f t="shared" si="108"/>
        <v>-1.4227375565265543E-3</v>
      </c>
      <c r="Z636" s="845">
        <v>4118.6296000000002</v>
      </c>
      <c r="AA636" s="846">
        <f t="shared" si="109"/>
        <v>-2.8221291611344457E-3</v>
      </c>
      <c r="AB636" s="843"/>
      <c r="AC636" s="832"/>
    </row>
    <row r="637" spans="1:29" ht="14.4" x14ac:dyDescent="0.55000000000000004">
      <c r="A637" s="857" t="s">
        <v>5796</v>
      </c>
      <c r="B637" s="842">
        <v>121.39</v>
      </c>
      <c r="C637" s="843">
        <f t="shared" si="100"/>
        <v>1.2173768031351617E-2</v>
      </c>
      <c r="D637" s="842">
        <v>46.19</v>
      </c>
      <c r="E637" s="843">
        <f t="shared" si="101"/>
        <v>-3.4519956850054268E-3</v>
      </c>
      <c r="F637" s="842">
        <v>30.4</v>
      </c>
      <c r="G637" s="843">
        <f t="shared" si="101"/>
        <v>1.5703307718008652E-2</v>
      </c>
      <c r="H637" s="842">
        <v>53.67</v>
      </c>
      <c r="I637" s="843">
        <f t="shared" si="101"/>
        <v>3.7278657968320417E-4</v>
      </c>
      <c r="J637" s="842">
        <v>84.94</v>
      </c>
      <c r="K637" s="843">
        <f t="shared" si="102"/>
        <v>1.4147606696535142E-3</v>
      </c>
      <c r="L637" s="842">
        <v>86.96</v>
      </c>
      <c r="M637" s="843">
        <f t="shared" si="103"/>
        <v>-9.2286658311496739E-3</v>
      </c>
      <c r="N637" s="842">
        <v>75.239999999999995</v>
      </c>
      <c r="O637" s="843">
        <f t="shared" si="104"/>
        <v>1.1290322580645107E-2</v>
      </c>
      <c r="P637" s="844">
        <f t="shared" si="110"/>
        <v>4.0391834375981418E-3</v>
      </c>
      <c r="Q637" s="830"/>
      <c r="R637" s="845">
        <v>1024.18</v>
      </c>
      <c r="S637" s="846">
        <f t="shared" si="105"/>
        <v>9.6958125986905674E-3</v>
      </c>
      <c r="T637" s="845">
        <v>73.95</v>
      </c>
      <c r="U637" s="846">
        <f t="shared" si="106"/>
        <v>8.5924713584288881E-3</v>
      </c>
      <c r="V637" s="845">
        <v>126.50060000000001</v>
      </c>
      <c r="W637" s="846">
        <f t="shared" si="107"/>
        <v>1.2173225624743989E-2</v>
      </c>
      <c r="X637" s="845">
        <v>32845.129999999997</v>
      </c>
      <c r="Y637" s="846">
        <f t="shared" si="108"/>
        <v>9.6989058116563331E-3</v>
      </c>
      <c r="Z637" s="845">
        <v>4130.2857999999997</v>
      </c>
      <c r="AA637" s="846">
        <f t="shared" si="109"/>
        <v>1.4205631260889806E-2</v>
      </c>
      <c r="AB637" s="843"/>
      <c r="AC637" s="832"/>
    </row>
    <row r="638" spans="1:29" ht="14.4" x14ac:dyDescent="0.55000000000000004">
      <c r="A638" s="857" t="s">
        <v>5797</v>
      </c>
      <c r="B638" s="842">
        <v>119.93</v>
      </c>
      <c r="C638" s="843">
        <f t="shared" si="100"/>
        <v>2.953043179672088E-2</v>
      </c>
      <c r="D638" s="842">
        <v>46.35</v>
      </c>
      <c r="E638" s="843">
        <f t="shared" si="101"/>
        <v>2.5669395884045265E-2</v>
      </c>
      <c r="F638" s="842">
        <v>29.93</v>
      </c>
      <c r="G638" s="843">
        <f t="shared" si="101"/>
        <v>2.1153190037529912E-2</v>
      </c>
      <c r="H638" s="842">
        <v>53.65</v>
      </c>
      <c r="I638" s="843">
        <f t="shared" si="101"/>
        <v>9.4073377234242805E-3</v>
      </c>
      <c r="J638" s="842">
        <v>84.82</v>
      </c>
      <c r="K638" s="843">
        <f t="shared" si="102"/>
        <v>3.024413943884352E-2</v>
      </c>
      <c r="L638" s="842">
        <v>87.77</v>
      </c>
      <c r="M638" s="843">
        <f t="shared" si="103"/>
        <v>2.5709945074208207E-2</v>
      </c>
      <c r="N638" s="842">
        <v>74.400000000000006</v>
      </c>
      <c r="O638" s="843">
        <f t="shared" si="104"/>
        <v>3.089926562283507E-2</v>
      </c>
      <c r="P638" s="844">
        <f t="shared" si="110"/>
        <v>2.4659100796801021E-2</v>
      </c>
      <c r="Q638" s="830"/>
      <c r="R638" s="845">
        <v>1014.3451</v>
      </c>
      <c r="S638" s="846">
        <f t="shared" si="105"/>
        <v>3.0880421968372707E-2</v>
      </c>
      <c r="T638" s="845">
        <v>73.319999999999993</v>
      </c>
      <c r="U638" s="846">
        <f t="shared" si="106"/>
        <v>3.5885843458604016E-2</v>
      </c>
      <c r="V638" s="845">
        <v>124.97920000000001</v>
      </c>
      <c r="W638" s="846">
        <f t="shared" si="107"/>
        <v>2.9531040584277912E-2</v>
      </c>
      <c r="X638" s="845">
        <v>32529.628199999999</v>
      </c>
      <c r="Y638" s="846">
        <f t="shared" si="108"/>
        <v>1.0312517179080771E-2</v>
      </c>
      <c r="Z638" s="845">
        <v>4072.4342999999999</v>
      </c>
      <c r="AA638" s="846">
        <f t="shared" si="109"/>
        <v>1.2133847683738042E-2</v>
      </c>
      <c r="AB638" s="843"/>
      <c r="AC638" s="832"/>
    </row>
    <row r="639" spans="1:29" ht="14.4" x14ac:dyDescent="0.55000000000000004">
      <c r="A639" s="857" t="s">
        <v>5798</v>
      </c>
      <c r="B639" s="842">
        <v>116.49</v>
      </c>
      <c r="C639" s="843">
        <f t="shared" si="100"/>
        <v>2.0645161290322456E-3</v>
      </c>
      <c r="D639" s="842">
        <v>45.19</v>
      </c>
      <c r="E639" s="843">
        <f t="shared" si="101"/>
        <v>1.0509838998211007E-2</v>
      </c>
      <c r="F639" s="842">
        <v>29.31</v>
      </c>
      <c r="G639" s="843">
        <f t="shared" si="101"/>
        <v>3.767123287671259E-3</v>
      </c>
      <c r="H639" s="842">
        <v>53.15</v>
      </c>
      <c r="I639" s="843">
        <f t="shared" si="101"/>
        <v>1.5074429998116479E-3</v>
      </c>
      <c r="J639" s="842">
        <v>82.33</v>
      </c>
      <c r="K639" s="843">
        <f t="shared" si="102"/>
        <v>-7.2824371889790296E-4</v>
      </c>
      <c r="L639" s="842">
        <v>85.57</v>
      </c>
      <c r="M639" s="843">
        <f t="shared" si="103"/>
        <v>-6.0401904983158339E-3</v>
      </c>
      <c r="N639" s="842">
        <v>72.17</v>
      </c>
      <c r="O639" s="843">
        <f t="shared" si="104"/>
        <v>4.0345019476906163E-3</v>
      </c>
      <c r="P639" s="844">
        <f t="shared" si="110"/>
        <v>2.159284163600434E-3</v>
      </c>
      <c r="Q639" s="830"/>
      <c r="R639" s="845">
        <v>983.96</v>
      </c>
      <c r="S639" s="846">
        <f t="shared" si="105"/>
        <v>1.5573628655478622E-3</v>
      </c>
      <c r="T639" s="845">
        <v>70.78</v>
      </c>
      <c r="U639" s="846">
        <f t="shared" si="106"/>
        <v>8.4841628959275717E-4</v>
      </c>
      <c r="V639" s="845">
        <v>121.3943</v>
      </c>
      <c r="W639" s="846">
        <f t="shared" si="107"/>
        <v>2.0644818323947156E-3</v>
      </c>
      <c r="X639" s="845">
        <v>32197.59</v>
      </c>
      <c r="Y639" s="846">
        <f t="shared" si="108"/>
        <v>1.3728868310541653E-2</v>
      </c>
      <c r="Z639" s="845">
        <v>4023.6124</v>
      </c>
      <c r="AA639" s="846">
        <f t="shared" si="109"/>
        <v>2.6156975928077975E-2</v>
      </c>
      <c r="AB639" s="843"/>
      <c r="AC639" s="832"/>
    </row>
    <row r="640" spans="1:29" ht="14.4" x14ac:dyDescent="0.55000000000000004">
      <c r="A640" s="857" t="s">
        <v>5799</v>
      </c>
      <c r="B640" s="842">
        <v>116.25</v>
      </c>
      <c r="C640" s="843">
        <f t="shared" si="100"/>
        <v>1.289535592924973E-2</v>
      </c>
      <c r="D640" s="842">
        <v>44.72</v>
      </c>
      <c r="E640" s="843">
        <f t="shared" si="101"/>
        <v>8.570139828597112E-3</v>
      </c>
      <c r="F640" s="842">
        <v>29.2</v>
      </c>
      <c r="G640" s="843">
        <f t="shared" si="101"/>
        <v>5.8560110230794216E-3</v>
      </c>
      <c r="H640" s="842">
        <v>53.07</v>
      </c>
      <c r="I640" s="843">
        <f t="shared" si="101"/>
        <v>3.9727582292850006E-3</v>
      </c>
      <c r="J640" s="842">
        <v>82.39</v>
      </c>
      <c r="K640" s="843">
        <f t="shared" si="102"/>
        <v>8.8159666952369875E-3</v>
      </c>
      <c r="L640" s="842">
        <v>86.09</v>
      </c>
      <c r="M640" s="843">
        <f t="shared" si="103"/>
        <v>1.4374926357959117E-2</v>
      </c>
      <c r="N640" s="842">
        <v>71.88</v>
      </c>
      <c r="O640" s="843">
        <f t="shared" si="104"/>
        <v>7.0047632390024539E-3</v>
      </c>
      <c r="P640" s="844">
        <f t="shared" si="110"/>
        <v>8.7842744717728325E-3</v>
      </c>
      <c r="Q640" s="830"/>
      <c r="R640" s="845">
        <v>982.43</v>
      </c>
      <c r="S640" s="846">
        <f t="shared" si="105"/>
        <v>7.877392340509326E-3</v>
      </c>
      <c r="T640" s="845">
        <v>70.72</v>
      </c>
      <c r="U640" s="846">
        <f t="shared" si="106"/>
        <v>5.9743954480797612E-3</v>
      </c>
      <c r="V640" s="845">
        <v>121.1442</v>
      </c>
      <c r="W640" s="846">
        <f t="shared" si="107"/>
        <v>1.2895280091704153E-2</v>
      </c>
      <c r="X640" s="845">
        <v>31761.54</v>
      </c>
      <c r="Y640" s="846">
        <f t="shared" si="108"/>
        <v>-7.1429258026149967E-3</v>
      </c>
      <c r="Z640" s="845">
        <v>3921.0495999999998</v>
      </c>
      <c r="AA640" s="846">
        <f t="shared" si="109"/>
        <v>-1.1544539804302922E-2</v>
      </c>
      <c r="AB640" s="843"/>
      <c r="AC640" s="832"/>
    </row>
    <row r="641" spans="1:29" ht="14.4" x14ac:dyDescent="0.55000000000000004">
      <c r="A641" s="857" t="s">
        <v>5800</v>
      </c>
      <c r="B641" s="842">
        <v>114.77</v>
      </c>
      <c r="C641" s="843">
        <f t="shared" si="100"/>
        <v>1.2527569475077271E-2</v>
      </c>
      <c r="D641" s="842">
        <v>44.34</v>
      </c>
      <c r="E641" s="843">
        <f t="shared" si="101"/>
        <v>2.6626533919889006E-2</v>
      </c>
      <c r="F641" s="842">
        <v>29.03</v>
      </c>
      <c r="G641" s="843">
        <f t="shared" si="101"/>
        <v>2.0745428973277136E-2</v>
      </c>
      <c r="H641" s="842">
        <v>52.86</v>
      </c>
      <c r="I641" s="843">
        <f t="shared" si="101"/>
        <v>1.264367816091938E-2</v>
      </c>
      <c r="J641" s="842">
        <v>81.67</v>
      </c>
      <c r="K641" s="843">
        <f t="shared" si="102"/>
        <v>1.7061021170610369E-2</v>
      </c>
      <c r="L641" s="842">
        <v>84.87</v>
      </c>
      <c r="M641" s="843">
        <f t="shared" si="103"/>
        <v>-2.9370300751879741E-3</v>
      </c>
      <c r="N641" s="842">
        <v>71.38</v>
      </c>
      <c r="O641" s="843">
        <f t="shared" si="104"/>
        <v>1.8404907975460016E-2</v>
      </c>
      <c r="P641" s="844">
        <f t="shared" si="110"/>
        <v>1.5010301371435029E-2</v>
      </c>
      <c r="Q641" s="830"/>
      <c r="R641" s="845">
        <v>974.75149999999996</v>
      </c>
      <c r="S641" s="846">
        <f t="shared" si="105"/>
        <v>1.436234975805184E-2</v>
      </c>
      <c r="T641" s="845">
        <v>70.3</v>
      </c>
      <c r="U641" s="846">
        <f t="shared" si="106"/>
        <v>1.2530606366123909E-2</v>
      </c>
      <c r="V641" s="845">
        <v>119.6019</v>
      </c>
      <c r="W641" s="846">
        <f t="shared" si="107"/>
        <v>1.2527714966124037E-2</v>
      </c>
      <c r="X641" s="845">
        <v>31990.0425</v>
      </c>
      <c r="Y641" s="846">
        <f t="shared" si="108"/>
        <v>2.8449692767456014E-3</v>
      </c>
      <c r="Z641" s="845">
        <v>3966.8449999999998</v>
      </c>
      <c r="AA641" s="846">
        <f t="shared" si="109"/>
        <v>1.3151388584544677E-3</v>
      </c>
      <c r="AB641" s="843"/>
      <c r="AC641" s="832"/>
    </row>
    <row r="642" spans="1:29" ht="14.4" x14ac:dyDescent="0.55000000000000004">
      <c r="A642" s="857" t="s">
        <v>5801</v>
      </c>
      <c r="B642" s="842">
        <v>113.35</v>
      </c>
      <c r="C642" s="843">
        <f t="shared" si="100"/>
        <v>6.4819747824542695E-3</v>
      </c>
      <c r="D642" s="842">
        <v>43.19</v>
      </c>
      <c r="E642" s="843">
        <f t="shared" si="101"/>
        <v>6.5252854812398731E-3</v>
      </c>
      <c r="F642" s="842">
        <v>28.44</v>
      </c>
      <c r="G642" s="843">
        <f t="shared" si="101"/>
        <v>1.2459950160199407E-2</v>
      </c>
      <c r="H642" s="842">
        <v>52.2</v>
      </c>
      <c r="I642" s="843">
        <f t="shared" si="101"/>
        <v>5.5865921787709993E-3</v>
      </c>
      <c r="J642" s="842">
        <v>80.3</v>
      </c>
      <c r="K642" s="843">
        <f t="shared" si="102"/>
        <v>7.5282308657464991E-3</v>
      </c>
      <c r="L642" s="842">
        <v>85.12</v>
      </c>
      <c r="M642" s="843">
        <f t="shared" si="103"/>
        <v>1.0446343779677125E-2</v>
      </c>
      <c r="N642" s="842">
        <v>70.09</v>
      </c>
      <c r="O642" s="843">
        <f t="shared" si="104"/>
        <v>7.4744861290787501E-3</v>
      </c>
      <c r="P642" s="844">
        <f t="shared" si="110"/>
        <v>8.0718376253095612E-3</v>
      </c>
      <c r="Q642" s="830"/>
      <c r="R642" s="845">
        <v>960.95</v>
      </c>
      <c r="S642" s="846">
        <f t="shared" si="105"/>
        <v>1.2645555614099857E-2</v>
      </c>
      <c r="T642" s="845">
        <v>69.430000000000007</v>
      </c>
      <c r="U642" s="846">
        <f t="shared" si="106"/>
        <v>1.372463133304147E-2</v>
      </c>
      <c r="V642" s="845">
        <v>118.1221</v>
      </c>
      <c r="W642" s="846">
        <f t="shared" si="107"/>
        <v>6.4816881870870535E-3</v>
      </c>
      <c r="X642" s="845">
        <v>31899.29</v>
      </c>
      <c r="Y642" s="846">
        <f t="shared" si="108"/>
        <v>-4.295359413676092E-3</v>
      </c>
      <c r="Z642" s="845">
        <v>3961.6349</v>
      </c>
      <c r="AA642" s="846">
        <f t="shared" si="109"/>
        <v>-9.3315712714088228E-3</v>
      </c>
      <c r="AB642" s="843"/>
      <c r="AC642" s="832"/>
    </row>
    <row r="643" spans="1:29" ht="14.4" x14ac:dyDescent="0.55000000000000004">
      <c r="A643" s="857" t="s">
        <v>5802</v>
      </c>
      <c r="B643" s="842">
        <v>112.62</v>
      </c>
      <c r="C643" s="843">
        <f t="shared" si="100"/>
        <v>8.2363473589972536E-3</v>
      </c>
      <c r="D643" s="842">
        <v>42.91</v>
      </c>
      <c r="E643" s="843">
        <f t="shared" si="101"/>
        <v>-7.402266944251723E-3</v>
      </c>
      <c r="F643" s="842">
        <v>28.09</v>
      </c>
      <c r="G643" s="843">
        <f t="shared" si="101"/>
        <v>-7.0696359137504272E-3</v>
      </c>
      <c r="H643" s="842">
        <v>51.91</v>
      </c>
      <c r="I643" s="843">
        <f t="shared" si="101"/>
        <v>-1.8714555765595553E-2</v>
      </c>
      <c r="J643" s="842">
        <v>79.7</v>
      </c>
      <c r="K643" s="843">
        <f t="shared" si="102"/>
        <v>-1.7141447774078222E-2</v>
      </c>
      <c r="L643" s="842">
        <v>84.24</v>
      </c>
      <c r="M643" s="843">
        <f t="shared" si="103"/>
        <v>4.4115893644924853E-3</v>
      </c>
      <c r="N643" s="842">
        <v>69.569999999999993</v>
      </c>
      <c r="O643" s="843">
        <f t="shared" si="104"/>
        <v>-4.4361763022324752E-3</v>
      </c>
      <c r="P643" s="844">
        <f t="shared" si="110"/>
        <v>-6.0165922823455231E-3</v>
      </c>
      <c r="Q643" s="830"/>
      <c r="R643" s="845">
        <v>948.95</v>
      </c>
      <c r="S643" s="846">
        <f t="shared" si="105"/>
        <v>3.7444071884156216E-3</v>
      </c>
      <c r="T643" s="845">
        <v>68.489999999999995</v>
      </c>
      <c r="U643" s="846">
        <f t="shared" si="106"/>
        <v>2.6350461133068936E-3</v>
      </c>
      <c r="V643" s="845">
        <v>117.3614</v>
      </c>
      <c r="W643" s="846">
        <f t="shared" si="107"/>
        <v>8.2360632528284405E-3</v>
      </c>
      <c r="X643" s="845">
        <v>32036.9</v>
      </c>
      <c r="Y643" s="846">
        <f t="shared" si="108"/>
        <v>5.0842608151131508E-3</v>
      </c>
      <c r="Z643" s="845">
        <v>3998.9513999999999</v>
      </c>
      <c r="AA643" s="846">
        <f t="shared" si="109"/>
        <v>9.8620452083786336E-3</v>
      </c>
      <c r="AB643" s="843"/>
      <c r="AC643" s="832"/>
    </row>
    <row r="644" spans="1:29" ht="14.4" x14ac:dyDescent="0.55000000000000004">
      <c r="A644" s="857" t="s">
        <v>5803</v>
      </c>
      <c r="B644" s="842">
        <v>111.7</v>
      </c>
      <c r="C644" s="843">
        <f t="shared" si="100"/>
        <v>-1.5598836696924301E-2</v>
      </c>
      <c r="D644" s="842">
        <v>43.23</v>
      </c>
      <c r="E644" s="843">
        <f t="shared" si="101"/>
        <v>-1.9505556815604619E-2</v>
      </c>
      <c r="F644" s="842">
        <v>28.29</v>
      </c>
      <c r="G644" s="843">
        <f t="shared" si="101"/>
        <v>-7.3684210526315796E-3</v>
      </c>
      <c r="H644" s="842">
        <v>52.9</v>
      </c>
      <c r="I644" s="843">
        <f t="shared" si="101"/>
        <v>-1.3611784449002462E-2</v>
      </c>
      <c r="J644" s="842">
        <v>81.09</v>
      </c>
      <c r="K644" s="843">
        <f t="shared" si="102"/>
        <v>-1.4223194748358869E-2</v>
      </c>
      <c r="L644" s="842">
        <v>83.87</v>
      </c>
      <c r="M644" s="843">
        <f t="shared" si="103"/>
        <v>-1.6649079610739803E-2</v>
      </c>
      <c r="N644" s="842">
        <v>69.88</v>
      </c>
      <c r="O644" s="843">
        <f t="shared" si="104"/>
        <v>-1.4664410603496991E-2</v>
      </c>
      <c r="P644" s="844">
        <f t="shared" si="110"/>
        <v>-1.451732628239409E-2</v>
      </c>
      <c r="Q644" s="830"/>
      <c r="R644" s="845">
        <v>945.41</v>
      </c>
      <c r="S644" s="846">
        <f t="shared" si="105"/>
        <v>-1.253381518889507E-2</v>
      </c>
      <c r="T644" s="845">
        <v>68.31</v>
      </c>
      <c r="U644" s="846">
        <f t="shared" si="106"/>
        <v>-1.3289036544850474E-2</v>
      </c>
      <c r="V644" s="845">
        <v>116.4027</v>
      </c>
      <c r="W644" s="846">
        <f t="shared" si="107"/>
        <v>-1.5598678023665768E-2</v>
      </c>
      <c r="X644" s="845">
        <v>31874.84</v>
      </c>
      <c r="Y644" s="846">
        <f t="shared" si="108"/>
        <v>1.5015529243207482E-3</v>
      </c>
      <c r="Z644" s="845">
        <v>3959.8987000000002</v>
      </c>
      <c r="AA644" s="846">
        <f t="shared" si="109"/>
        <v>5.8956135605818805E-3</v>
      </c>
      <c r="AB644" s="843"/>
      <c r="AC644" s="832"/>
    </row>
    <row r="645" spans="1:29" ht="14.4" x14ac:dyDescent="0.55000000000000004">
      <c r="A645" s="857" t="s">
        <v>5804</v>
      </c>
      <c r="B645" s="842">
        <v>113.47</v>
      </c>
      <c r="C645" s="843">
        <f t="shared" si="100"/>
        <v>1.4030384271671137E-2</v>
      </c>
      <c r="D645" s="842">
        <v>44.09</v>
      </c>
      <c r="E645" s="843">
        <f t="shared" si="101"/>
        <v>1.7070357554786586E-2</v>
      </c>
      <c r="F645" s="842">
        <v>28.5</v>
      </c>
      <c r="G645" s="843">
        <f t="shared" si="101"/>
        <v>3.8746037337089589E-3</v>
      </c>
      <c r="H645" s="842">
        <v>53.63</v>
      </c>
      <c r="I645" s="843">
        <f t="shared" si="101"/>
        <v>8.8412340105343823E-3</v>
      </c>
      <c r="J645" s="842">
        <v>82.26</v>
      </c>
      <c r="K645" s="843">
        <f t="shared" si="102"/>
        <v>1.2430769230769245E-2</v>
      </c>
      <c r="L645" s="842">
        <v>85.29</v>
      </c>
      <c r="M645" s="843">
        <f t="shared" si="103"/>
        <v>6.2529495044831851E-3</v>
      </c>
      <c r="N645" s="842">
        <v>70.92</v>
      </c>
      <c r="O645" s="843">
        <f t="shared" si="104"/>
        <v>1.0832383124287359E-2</v>
      </c>
      <c r="P645" s="844">
        <f t="shared" si="110"/>
        <v>1.0476097347177265E-2</v>
      </c>
      <c r="Q645" s="830"/>
      <c r="R645" s="845">
        <v>957.41</v>
      </c>
      <c r="S645" s="846">
        <f t="shared" si="105"/>
        <v>8.0440527706708842E-3</v>
      </c>
      <c r="T645" s="845">
        <v>69.23</v>
      </c>
      <c r="U645" s="846">
        <f t="shared" si="106"/>
        <v>6.3962785288558255E-3</v>
      </c>
      <c r="V645" s="845">
        <v>118.24720000000001</v>
      </c>
      <c r="W645" s="846">
        <f t="shared" si="107"/>
        <v>1.4030396763258457E-2</v>
      </c>
      <c r="X645" s="845">
        <v>31827.05</v>
      </c>
      <c r="Y645" s="846">
        <f t="shared" si="108"/>
        <v>2.4279904391681262E-2</v>
      </c>
      <c r="Z645" s="845">
        <v>3936.6895</v>
      </c>
      <c r="AA645" s="846">
        <f t="shared" si="109"/>
        <v>2.7627424691770264E-2</v>
      </c>
      <c r="AB645" s="843"/>
      <c r="AC645" s="832"/>
    </row>
    <row r="646" spans="1:29" ht="14.4" x14ac:dyDescent="0.55000000000000004">
      <c r="A646" s="857" t="s">
        <v>5805</v>
      </c>
      <c r="B646" s="842">
        <v>111.9</v>
      </c>
      <c r="C646" s="843">
        <f t="shared" si="100"/>
        <v>0</v>
      </c>
      <c r="D646" s="842">
        <v>43.35</v>
      </c>
      <c r="E646" s="843">
        <f t="shared" si="101"/>
        <v>-1.6114389468906087E-2</v>
      </c>
      <c r="F646" s="842">
        <v>28.39</v>
      </c>
      <c r="G646" s="843">
        <f t="shared" si="101"/>
        <v>-1.3551077136900624E-2</v>
      </c>
      <c r="H646" s="842">
        <v>53.16</v>
      </c>
      <c r="I646" s="843">
        <f t="shared" si="101"/>
        <v>-1.6466234967622562E-2</v>
      </c>
      <c r="J646" s="842">
        <v>81.25</v>
      </c>
      <c r="K646" s="843">
        <f t="shared" si="102"/>
        <v>-7.4517468849254476E-3</v>
      </c>
      <c r="L646" s="842">
        <v>84.76</v>
      </c>
      <c r="M646" s="843">
        <f t="shared" si="103"/>
        <v>-8.0748976009361595E-3</v>
      </c>
      <c r="N646" s="842">
        <v>70.16</v>
      </c>
      <c r="O646" s="843">
        <f t="shared" si="104"/>
        <v>-7.7782491868193526E-3</v>
      </c>
      <c r="P646" s="844">
        <f t="shared" si="110"/>
        <v>-9.9195136065871759E-3</v>
      </c>
      <c r="Q646" s="830"/>
      <c r="R646" s="845">
        <v>949.77</v>
      </c>
      <c r="S646" s="846">
        <f t="shared" si="105"/>
        <v>-1.3902155405124739E-2</v>
      </c>
      <c r="T646" s="845">
        <v>68.790000000000006</v>
      </c>
      <c r="U646" s="846">
        <f t="shared" si="106"/>
        <v>-1.3904816513761409E-2</v>
      </c>
      <c r="V646" s="845">
        <v>116.61109999999999</v>
      </c>
      <c r="W646" s="846">
        <f t="shared" si="107"/>
        <v>0</v>
      </c>
      <c r="X646" s="845">
        <v>31072.61</v>
      </c>
      <c r="Y646" s="846">
        <f t="shared" si="108"/>
        <v>-6.8923615439144825E-3</v>
      </c>
      <c r="Z646" s="845">
        <v>3830.8528999999999</v>
      </c>
      <c r="AA646" s="846">
        <f t="shared" si="109"/>
        <v>-8.3635874729380832E-3</v>
      </c>
      <c r="AB646" s="843"/>
      <c r="AC646" s="832"/>
    </row>
    <row r="647" spans="1:29" ht="14.4" x14ac:dyDescent="0.55000000000000004">
      <c r="A647" s="857" t="s">
        <v>5806</v>
      </c>
      <c r="B647" s="842">
        <v>111.9</v>
      </c>
      <c r="C647" s="843">
        <f t="shared" si="100"/>
        <v>8.8351965380455422E-3</v>
      </c>
      <c r="D647" s="842">
        <v>44.06</v>
      </c>
      <c r="E647" s="843">
        <f t="shared" si="101"/>
        <v>1.2640772236267583E-2</v>
      </c>
      <c r="F647" s="842">
        <v>28.78</v>
      </c>
      <c r="G647" s="843">
        <f t="shared" si="101"/>
        <v>2.4381748519679558E-3</v>
      </c>
      <c r="H647" s="842">
        <v>54.05</v>
      </c>
      <c r="I647" s="843">
        <f t="shared" si="101"/>
        <v>1.5404846890850976E-2</v>
      </c>
      <c r="J647" s="842">
        <v>81.86</v>
      </c>
      <c r="K647" s="843">
        <f t="shared" si="102"/>
        <v>1.8159203980099514E-2</v>
      </c>
      <c r="L647" s="842">
        <v>85.45</v>
      </c>
      <c r="M647" s="843">
        <f t="shared" si="103"/>
        <v>-1.9855174024761002E-3</v>
      </c>
      <c r="N647" s="842">
        <v>70.709999999999994</v>
      </c>
      <c r="O647" s="843">
        <f t="shared" si="104"/>
        <v>1.289213579716364E-2</v>
      </c>
      <c r="P647" s="844">
        <f t="shared" si="110"/>
        <v>9.7692589845598723E-3</v>
      </c>
      <c r="Q647" s="830"/>
      <c r="R647" s="845">
        <v>963.16</v>
      </c>
      <c r="S647" s="846">
        <f t="shared" si="105"/>
        <v>7.2366769848573043E-3</v>
      </c>
      <c r="T647" s="845">
        <v>69.760000000000005</v>
      </c>
      <c r="U647" s="846">
        <f t="shared" si="106"/>
        <v>1.867011345684455E-3</v>
      </c>
      <c r="V647" s="845">
        <v>116.61109999999999</v>
      </c>
      <c r="W647" s="846">
        <f t="shared" si="107"/>
        <v>8.8355546942722185E-3</v>
      </c>
      <c r="X647" s="845">
        <v>31288.26</v>
      </c>
      <c r="Y647" s="846">
        <f t="shared" si="108"/>
        <v>2.1485026038053245E-2</v>
      </c>
      <c r="Z647" s="845">
        <v>3863.1628000000001</v>
      </c>
      <c r="AA647" s="846">
        <f t="shared" si="109"/>
        <v>1.9202678867808798E-2</v>
      </c>
      <c r="AB647" s="843"/>
      <c r="AC647" s="832"/>
    </row>
    <row r="648" spans="1:29" ht="14.4" x14ac:dyDescent="0.55000000000000004">
      <c r="A648" s="857" t="s">
        <v>5807</v>
      </c>
      <c r="B648" s="842">
        <v>110.92</v>
      </c>
      <c r="C648" s="843">
        <f t="shared" ref="C648:C711" si="111">IFERROR(((B648/B649)-1), "NA")</f>
        <v>-1.4404033129276073E-3</v>
      </c>
      <c r="D648" s="842">
        <v>43.51</v>
      </c>
      <c r="E648" s="843">
        <f t="shared" ref="E648:I711" si="112">IFERROR(((D648/D649)-1), "NA")</f>
        <v>-4.5945325063179165E-4</v>
      </c>
      <c r="F648" s="842">
        <v>28.71</v>
      </c>
      <c r="G648" s="843">
        <f t="shared" si="112"/>
        <v>3.495281370150316E-3</v>
      </c>
      <c r="H648" s="842">
        <v>53.23</v>
      </c>
      <c r="I648" s="843">
        <f t="shared" si="112"/>
        <v>1.2362114872574992E-2</v>
      </c>
      <c r="J648" s="842">
        <v>80.400000000000006</v>
      </c>
      <c r="K648" s="843">
        <f t="shared" ref="K648:K711" si="113">IFERROR(((J648/J649)-1), "NA")</f>
        <v>4.7488127968009497E-3</v>
      </c>
      <c r="L648" s="842">
        <v>85.62</v>
      </c>
      <c r="M648" s="843">
        <f t="shared" ref="M648:M711" si="114">IFERROR(((L648/L649)-1), "NA")</f>
        <v>-6.1520603598375079E-3</v>
      </c>
      <c r="N648" s="842">
        <v>69.81</v>
      </c>
      <c r="O648" s="843">
        <f t="shared" ref="O648:O711" si="115">IFERROR(((N648/N649)-1), "NA")</f>
        <v>-2.2866942975560134E-3</v>
      </c>
      <c r="P648" s="844">
        <f t="shared" si="110"/>
        <v>1.4667996883676196E-3</v>
      </c>
      <c r="Q648" s="830"/>
      <c r="R648" s="845">
        <v>956.24</v>
      </c>
      <c r="S648" s="846">
        <f t="shared" ref="S648:S711" si="116">IFERROR(((R648/R649)-1), "NA")</f>
        <v>-3.6588298016915211E-4</v>
      </c>
      <c r="T648" s="845">
        <v>69.63</v>
      </c>
      <c r="U648" s="846">
        <f t="shared" ref="U648:U711" si="117">IFERROR(((T648/T649)-1), "NA")</f>
        <v>0</v>
      </c>
      <c r="V648" s="845">
        <v>115.5898</v>
      </c>
      <c r="W648" s="846">
        <f t="shared" ref="W648:W711" si="118">IFERROR(((V648/V649)-1), "NA")</f>
        <v>-1.4409545546432145E-3</v>
      </c>
      <c r="X648" s="845">
        <v>30630.17</v>
      </c>
      <c r="Y648" s="846">
        <f t="shared" ref="Y648:Y711" si="119">IFERROR(((X648/X649)-1), "NA")</f>
        <v>-4.6346138910382528E-3</v>
      </c>
      <c r="Z648" s="845">
        <v>3790.3773999999999</v>
      </c>
      <c r="AA648" s="846">
        <f t="shared" ref="AA648:AA711" si="120">IFERROR(((Z648/Z649)-1), "NA")</f>
        <v>-2.9994366324033184E-3</v>
      </c>
      <c r="AB648" s="843"/>
      <c r="AC648" s="832"/>
    </row>
    <row r="649" spans="1:29" ht="14.4" x14ac:dyDescent="0.55000000000000004">
      <c r="A649" s="857" t="s">
        <v>5808</v>
      </c>
      <c r="B649" s="842">
        <v>111.08</v>
      </c>
      <c r="C649" s="843">
        <f t="shared" si="111"/>
        <v>-6.8842199374161694E-3</v>
      </c>
      <c r="D649" s="842">
        <v>43.53</v>
      </c>
      <c r="E649" s="843">
        <f t="shared" si="112"/>
        <v>1.1499540018400367E-3</v>
      </c>
      <c r="F649" s="842">
        <v>28.61</v>
      </c>
      <c r="G649" s="843">
        <f t="shared" si="112"/>
        <v>-2.4407252440725724E-3</v>
      </c>
      <c r="H649" s="842">
        <v>52.58</v>
      </c>
      <c r="I649" s="843">
        <f t="shared" si="112"/>
        <v>8.2454458293383937E-3</v>
      </c>
      <c r="J649" s="842">
        <v>80.02</v>
      </c>
      <c r="K649" s="843">
        <f t="shared" si="113"/>
        <v>2.8825667376863873E-3</v>
      </c>
      <c r="L649" s="842">
        <v>86.15</v>
      </c>
      <c r="M649" s="843">
        <f t="shared" si="114"/>
        <v>9.8464423865900486E-3</v>
      </c>
      <c r="N649" s="842">
        <v>69.97</v>
      </c>
      <c r="O649" s="843">
        <f t="shared" si="115"/>
        <v>-5.6842404433707916E-3</v>
      </c>
      <c r="P649" s="844">
        <f t="shared" ref="P649:P712" si="121">IFERROR(AVERAGE(C649,E649,G649,I649,M649,K649,O649),"NA")</f>
        <v>1.0164604757993332E-3</v>
      </c>
      <c r="Q649" s="830"/>
      <c r="R649" s="845">
        <v>956.59</v>
      </c>
      <c r="S649" s="846">
        <f t="shared" si="116"/>
        <v>-4.2988591889415728E-3</v>
      </c>
      <c r="T649" s="845">
        <v>69.63</v>
      </c>
      <c r="U649" s="846">
        <f t="shared" si="117"/>
        <v>-4.147597254004709E-3</v>
      </c>
      <c r="V649" s="845">
        <v>115.75660000000001</v>
      </c>
      <c r="W649" s="846">
        <f t="shared" si="118"/>
        <v>-6.8840672963905725E-3</v>
      </c>
      <c r="X649" s="845">
        <v>30772.79</v>
      </c>
      <c r="Y649" s="846">
        <f t="shared" si="119"/>
        <v>-6.731150663964458E-3</v>
      </c>
      <c r="Z649" s="845">
        <v>3801.7806</v>
      </c>
      <c r="AA649" s="846">
        <f t="shared" si="120"/>
        <v>-4.4561668072605753E-3</v>
      </c>
      <c r="AB649" s="843"/>
      <c r="AC649" s="832"/>
    </row>
    <row r="650" spans="1:29" ht="14.4" x14ac:dyDescent="0.55000000000000004">
      <c r="A650" s="857" t="s">
        <v>5809</v>
      </c>
      <c r="B650" s="842">
        <v>111.85</v>
      </c>
      <c r="C650" s="843">
        <f t="shared" si="111"/>
        <v>-2.4081341419908142E-3</v>
      </c>
      <c r="D650" s="842">
        <v>43.48</v>
      </c>
      <c r="E650" s="843">
        <f t="shared" si="112"/>
        <v>-7.079241836035699E-3</v>
      </c>
      <c r="F650" s="842">
        <v>28.68</v>
      </c>
      <c r="G650" s="843">
        <f t="shared" si="112"/>
        <v>-4.1666666666666519E-3</v>
      </c>
      <c r="H650" s="842">
        <v>52.15</v>
      </c>
      <c r="I650" s="843">
        <f t="shared" si="112"/>
        <v>-5.5301296720060567E-3</v>
      </c>
      <c r="J650" s="842">
        <v>79.790000000000006</v>
      </c>
      <c r="K650" s="843">
        <f t="shared" si="113"/>
        <v>-3.7584565271842063E-4</v>
      </c>
      <c r="L650" s="842">
        <v>85.31</v>
      </c>
      <c r="M650" s="843">
        <f t="shared" si="114"/>
        <v>-1.5237215745122823E-2</v>
      </c>
      <c r="N650" s="842">
        <v>70.37</v>
      </c>
      <c r="O650" s="843">
        <f t="shared" si="115"/>
        <v>-8.5939701324316831E-3</v>
      </c>
      <c r="P650" s="844">
        <f t="shared" si="121"/>
        <v>-6.1987434067103065E-3</v>
      </c>
      <c r="Q650" s="830"/>
      <c r="R650" s="845">
        <v>960.72</v>
      </c>
      <c r="S650" s="846">
        <f t="shared" si="116"/>
        <v>-6.4429391385283363E-3</v>
      </c>
      <c r="T650" s="845">
        <v>69.92</v>
      </c>
      <c r="U650" s="846">
        <f t="shared" si="117"/>
        <v>-4.8391688015940737E-3</v>
      </c>
      <c r="V650" s="845">
        <v>116.559</v>
      </c>
      <c r="W650" s="846">
        <f t="shared" si="118"/>
        <v>-2.4084135281974284E-3</v>
      </c>
      <c r="X650" s="845">
        <v>30981.33</v>
      </c>
      <c r="Y650" s="846">
        <f t="shared" si="119"/>
        <v>-6.1753701180219389E-3</v>
      </c>
      <c r="Z650" s="845">
        <v>3818.7977999999998</v>
      </c>
      <c r="AA650" s="846">
        <f t="shared" si="120"/>
        <v>-9.2453279707811475E-3</v>
      </c>
      <c r="AB650" s="843"/>
      <c r="AC650" s="832"/>
    </row>
    <row r="651" spans="1:29" ht="14.4" x14ac:dyDescent="0.55000000000000004">
      <c r="A651" s="857" t="s">
        <v>5810</v>
      </c>
      <c r="B651" s="842">
        <v>112.12</v>
      </c>
      <c r="C651" s="843">
        <f t="shared" si="111"/>
        <v>6.2472110664879565E-4</v>
      </c>
      <c r="D651" s="842">
        <v>43.79</v>
      </c>
      <c r="E651" s="843">
        <f t="shared" si="112"/>
        <v>2.0594965675055921E-3</v>
      </c>
      <c r="F651" s="842">
        <v>28.8</v>
      </c>
      <c r="G651" s="843">
        <f t="shared" si="112"/>
        <v>1.1591148577450028E-2</v>
      </c>
      <c r="H651" s="842">
        <v>52.44</v>
      </c>
      <c r="I651" s="843">
        <f t="shared" si="112"/>
        <v>7.2992700729925808E-3</v>
      </c>
      <c r="J651" s="842">
        <v>79.819999999999993</v>
      </c>
      <c r="K651" s="843">
        <f t="shared" si="113"/>
        <v>1.8827664114471343E-3</v>
      </c>
      <c r="L651" s="842">
        <v>86.63</v>
      </c>
      <c r="M651" s="843">
        <f t="shared" si="114"/>
        <v>3.358813991197529E-3</v>
      </c>
      <c r="N651" s="842">
        <v>70.98</v>
      </c>
      <c r="O651" s="843">
        <f t="shared" si="115"/>
        <v>-5.7431012746882448E-3</v>
      </c>
      <c r="P651" s="844">
        <f t="shared" si="121"/>
        <v>3.0104450646504877E-3</v>
      </c>
      <c r="Q651" s="830"/>
      <c r="R651" s="845">
        <v>966.95</v>
      </c>
      <c r="S651" s="846">
        <f t="shared" si="116"/>
        <v>5.1141856283067888E-3</v>
      </c>
      <c r="T651" s="845">
        <v>70.260000000000005</v>
      </c>
      <c r="U651" s="846">
        <f t="shared" si="117"/>
        <v>6.3019192208537689E-3</v>
      </c>
      <c r="V651" s="845">
        <v>116.8404</v>
      </c>
      <c r="W651" s="846">
        <f t="shared" si="118"/>
        <v>6.2517449219567922E-4</v>
      </c>
      <c r="X651" s="845">
        <v>31173.84</v>
      </c>
      <c r="Y651" s="846">
        <f t="shared" si="119"/>
        <v>-5.2431301783928408E-3</v>
      </c>
      <c r="Z651" s="845">
        <v>3854.4333000000001</v>
      </c>
      <c r="AA651" s="846">
        <f t="shared" si="120"/>
        <v>-1.1525892173906427E-2</v>
      </c>
      <c r="AB651" s="843"/>
      <c r="AC651" s="832"/>
    </row>
    <row r="652" spans="1:29" ht="14.4" x14ac:dyDescent="0.55000000000000004">
      <c r="A652" s="857" t="s">
        <v>5811</v>
      </c>
      <c r="B652" s="842">
        <v>112.05</v>
      </c>
      <c r="C652" s="843">
        <f t="shared" si="111"/>
        <v>-2.5814491721559696E-3</v>
      </c>
      <c r="D652" s="842">
        <v>43.7</v>
      </c>
      <c r="E652" s="843">
        <f t="shared" si="112"/>
        <v>-3.6479708162333591E-3</v>
      </c>
      <c r="F652" s="842">
        <v>28.47</v>
      </c>
      <c r="G652" s="843">
        <f t="shared" si="112"/>
        <v>-1.0526315789474161E-3</v>
      </c>
      <c r="H652" s="842">
        <v>52.06</v>
      </c>
      <c r="I652" s="843">
        <f t="shared" si="112"/>
        <v>-1.2518968133535591E-2</v>
      </c>
      <c r="J652" s="842">
        <v>79.67</v>
      </c>
      <c r="K652" s="843">
        <f t="shared" si="113"/>
        <v>-7.9691196613124182E-3</v>
      </c>
      <c r="L652" s="842">
        <v>86.34</v>
      </c>
      <c r="M652" s="843">
        <f t="shared" si="114"/>
        <v>-5.7877069105216616E-4</v>
      </c>
      <c r="N652" s="842">
        <v>71.39</v>
      </c>
      <c r="O652" s="843">
        <f t="shared" si="115"/>
        <v>-7.093184979137801E-3</v>
      </c>
      <c r="P652" s="844">
        <f t="shared" si="121"/>
        <v>-5.0631564331963886E-3</v>
      </c>
      <c r="Q652" s="830"/>
      <c r="R652" s="845">
        <v>962.03</v>
      </c>
      <c r="S652" s="846">
        <f t="shared" si="116"/>
        <v>-4.7279122698117293E-3</v>
      </c>
      <c r="T652" s="845">
        <v>69.819999999999993</v>
      </c>
      <c r="U652" s="846">
        <f t="shared" si="117"/>
        <v>-3.2833690221271139E-3</v>
      </c>
      <c r="V652" s="845">
        <v>116.76739999999999</v>
      </c>
      <c r="W652" s="846">
        <f t="shared" si="118"/>
        <v>-2.5813703984638448E-3</v>
      </c>
      <c r="X652" s="845">
        <v>31338.15</v>
      </c>
      <c r="Y652" s="846">
        <f t="shared" si="119"/>
        <v>-1.4784344526207471E-3</v>
      </c>
      <c r="Z652" s="845">
        <v>3899.3771000000002</v>
      </c>
      <c r="AA652" s="846">
        <f t="shared" si="120"/>
        <v>-8.3159465205762118E-4</v>
      </c>
      <c r="AB652" s="843"/>
      <c r="AC652" s="832"/>
    </row>
    <row r="653" spans="1:29" ht="14.4" x14ac:dyDescent="0.55000000000000004">
      <c r="A653" s="857" t="s">
        <v>5812</v>
      </c>
      <c r="B653" s="842">
        <v>112.34</v>
      </c>
      <c r="C653" s="843">
        <f t="shared" si="111"/>
        <v>-5.8407079646017879E-3</v>
      </c>
      <c r="D653" s="842">
        <v>43.86</v>
      </c>
      <c r="E653" s="843">
        <f t="shared" si="112"/>
        <v>-2.2747952684258888E-3</v>
      </c>
      <c r="F653" s="842">
        <v>28.5</v>
      </c>
      <c r="G653" s="843">
        <f t="shared" si="112"/>
        <v>-1.9607843137254943E-2</v>
      </c>
      <c r="H653" s="842">
        <v>52.72</v>
      </c>
      <c r="I653" s="843">
        <f t="shared" si="112"/>
        <v>-4.5317220543806824E-3</v>
      </c>
      <c r="J653" s="842">
        <v>80.31</v>
      </c>
      <c r="K653" s="843">
        <f t="shared" si="113"/>
        <v>-6.6790352504637607E-3</v>
      </c>
      <c r="L653" s="842">
        <v>86.39</v>
      </c>
      <c r="M653" s="843">
        <f t="shared" si="114"/>
        <v>-9.2517636174394013E-4</v>
      </c>
      <c r="N653" s="842">
        <v>71.900000000000006</v>
      </c>
      <c r="O653" s="843">
        <f t="shared" si="115"/>
        <v>-1.249828320285673E-2</v>
      </c>
      <c r="P653" s="844">
        <f t="shared" si="121"/>
        <v>-7.479651891389676E-3</v>
      </c>
      <c r="Q653" s="830"/>
      <c r="R653" s="845">
        <v>966.6</v>
      </c>
      <c r="S653" s="846">
        <f t="shared" si="116"/>
        <v>-1.384383329545269E-3</v>
      </c>
      <c r="T653" s="845">
        <v>70.05</v>
      </c>
      <c r="U653" s="846">
        <f t="shared" si="117"/>
        <v>-9.9828864803208628E-4</v>
      </c>
      <c r="V653" s="845">
        <v>117.06959999999999</v>
      </c>
      <c r="W653" s="846">
        <f t="shared" si="118"/>
        <v>-5.8408218931464972E-3</v>
      </c>
      <c r="X653" s="845">
        <v>31384.55</v>
      </c>
      <c r="Y653" s="846">
        <f t="shared" si="119"/>
        <v>1.117577086947219E-2</v>
      </c>
      <c r="Z653" s="845">
        <v>3902.6224999999999</v>
      </c>
      <c r="AA653" s="846">
        <f t="shared" si="120"/>
        <v>1.4964911534247838E-2</v>
      </c>
      <c r="AB653" s="843"/>
      <c r="AC653" s="832"/>
    </row>
    <row r="654" spans="1:29" ht="14.4" x14ac:dyDescent="0.55000000000000004">
      <c r="A654" s="857" t="s">
        <v>5813</v>
      </c>
      <c r="B654" s="842">
        <v>113</v>
      </c>
      <c r="C654" s="843">
        <f t="shared" si="111"/>
        <v>2.1607449597685457E-2</v>
      </c>
      <c r="D654" s="842">
        <v>43.96</v>
      </c>
      <c r="E654" s="843">
        <f t="shared" si="112"/>
        <v>1.9480519480519654E-2</v>
      </c>
      <c r="F654" s="842">
        <v>29.07</v>
      </c>
      <c r="G654" s="843">
        <f t="shared" si="112"/>
        <v>1.8213660245183894E-2</v>
      </c>
      <c r="H654" s="842">
        <v>52.96</v>
      </c>
      <c r="I654" s="843">
        <f t="shared" si="112"/>
        <v>2.1407907425265105E-2</v>
      </c>
      <c r="J654" s="842">
        <v>80.849999999999994</v>
      </c>
      <c r="K654" s="843">
        <f t="shared" si="113"/>
        <v>1.954602774274905E-2</v>
      </c>
      <c r="L654" s="842">
        <v>86.47</v>
      </c>
      <c r="M654" s="843">
        <f t="shared" si="114"/>
        <v>8.0438330613197273E-3</v>
      </c>
      <c r="N654" s="842">
        <v>72.81</v>
      </c>
      <c r="O654" s="843">
        <f t="shared" si="115"/>
        <v>6.2189054726369264E-3</v>
      </c>
      <c r="P654" s="844">
        <f t="shared" si="121"/>
        <v>1.6359757575051401E-2</v>
      </c>
      <c r="Q654" s="830"/>
      <c r="R654" s="845">
        <v>967.94</v>
      </c>
      <c r="S654" s="846">
        <f t="shared" si="116"/>
        <v>1.0154350298994919E-2</v>
      </c>
      <c r="T654" s="845">
        <v>70.12</v>
      </c>
      <c r="U654" s="846">
        <f t="shared" si="117"/>
        <v>1.037463976945241E-2</v>
      </c>
      <c r="V654" s="845">
        <v>117.7574</v>
      </c>
      <c r="W654" s="846">
        <f t="shared" si="118"/>
        <v>2.1607262455451082E-2</v>
      </c>
      <c r="X654" s="845">
        <v>31037.68</v>
      </c>
      <c r="Y654" s="846">
        <f t="shared" si="119"/>
        <v>2.2558901466103176E-3</v>
      </c>
      <c r="Z654" s="845">
        <v>3845.0812000000001</v>
      </c>
      <c r="AA654" s="846">
        <f t="shared" si="120"/>
        <v>3.5733241906124036E-3</v>
      </c>
      <c r="AB654" s="843"/>
      <c r="AC654" s="832"/>
    </row>
    <row r="655" spans="1:29" ht="14.4" x14ac:dyDescent="0.55000000000000004">
      <c r="A655" s="857" t="s">
        <v>5814</v>
      </c>
      <c r="B655" s="842">
        <v>110.61</v>
      </c>
      <c r="C655" s="843">
        <f t="shared" si="111"/>
        <v>-3.9426834563612734E-2</v>
      </c>
      <c r="D655" s="842">
        <v>43.12</v>
      </c>
      <c r="E655" s="843">
        <f t="shared" si="112"/>
        <v>-5.2099362497252222E-2</v>
      </c>
      <c r="F655" s="842">
        <v>28.55</v>
      </c>
      <c r="G655" s="843">
        <f t="shared" si="112"/>
        <v>-4.991680532445919E-2</v>
      </c>
      <c r="H655" s="842">
        <v>51.85</v>
      </c>
      <c r="I655" s="843">
        <f t="shared" si="112"/>
        <v>-5.0018321729571213E-2</v>
      </c>
      <c r="J655" s="842">
        <v>79.3</v>
      </c>
      <c r="K655" s="843">
        <f t="shared" si="113"/>
        <v>-5.7635175282234163E-2</v>
      </c>
      <c r="L655" s="842">
        <v>85.78</v>
      </c>
      <c r="M655" s="843">
        <f t="shared" si="114"/>
        <v>-2.5227272727272765E-2</v>
      </c>
      <c r="N655" s="842">
        <v>72.36</v>
      </c>
      <c r="O655" s="843">
        <f t="shared" si="115"/>
        <v>-5.1886792452830122E-2</v>
      </c>
      <c r="P655" s="844">
        <f t="shared" si="121"/>
        <v>-4.6601509225318916E-2</v>
      </c>
      <c r="Q655" s="830"/>
      <c r="R655" s="845">
        <v>958.21</v>
      </c>
      <c r="S655" s="846">
        <f t="shared" si="116"/>
        <v>-3.4675558868863532E-2</v>
      </c>
      <c r="T655" s="845">
        <v>69.400000000000006</v>
      </c>
      <c r="U655" s="846">
        <f t="shared" si="117"/>
        <v>-3.4098816979818869E-2</v>
      </c>
      <c r="V655" s="845">
        <v>115.2668</v>
      </c>
      <c r="W655" s="846">
        <f t="shared" si="118"/>
        <v>-3.9426523297490967E-2</v>
      </c>
      <c r="X655" s="845">
        <v>30967.82</v>
      </c>
      <c r="Y655" s="846">
        <f t="shared" si="119"/>
        <v>-4.1624245994662523E-3</v>
      </c>
      <c r="Z655" s="845">
        <v>3831.3904000000002</v>
      </c>
      <c r="AA655" s="846">
        <f t="shared" si="120"/>
        <v>1.5853027536658626E-3</v>
      </c>
      <c r="AB655" s="843"/>
      <c r="AC655" s="832"/>
    </row>
    <row r="656" spans="1:29" ht="14.4" x14ac:dyDescent="0.55000000000000004">
      <c r="A656" s="857" t="s">
        <v>5815</v>
      </c>
      <c r="B656" s="842">
        <v>115.15</v>
      </c>
      <c r="C656" s="843">
        <f t="shared" si="111"/>
        <v>2.7207850133809108E-2</v>
      </c>
      <c r="D656" s="842">
        <v>45.49</v>
      </c>
      <c r="E656" s="843">
        <f t="shared" si="112"/>
        <v>2.1558499887716076E-2</v>
      </c>
      <c r="F656" s="842">
        <v>30.05</v>
      </c>
      <c r="G656" s="843">
        <f t="shared" si="112"/>
        <v>1.8989487962021157E-2</v>
      </c>
      <c r="H656" s="842">
        <v>54.58</v>
      </c>
      <c r="I656" s="843">
        <f t="shared" si="112"/>
        <v>2.7871939736346496E-2</v>
      </c>
      <c r="J656" s="842">
        <v>84.15</v>
      </c>
      <c r="K656" s="843">
        <f t="shared" si="113"/>
        <v>3.6457691833969852E-2</v>
      </c>
      <c r="L656" s="842">
        <v>88</v>
      </c>
      <c r="M656" s="843">
        <f t="shared" si="114"/>
        <v>1.0564997703261358E-2</v>
      </c>
      <c r="N656" s="842">
        <v>76.319999999999993</v>
      </c>
      <c r="O656" s="843">
        <f t="shared" si="115"/>
        <v>2.6220250100847053E-2</v>
      </c>
      <c r="P656" s="844">
        <f t="shared" si="121"/>
        <v>2.4124388193995872E-2</v>
      </c>
      <c r="Q656" s="830"/>
      <c r="R656" s="845">
        <v>992.63</v>
      </c>
      <c r="S656" s="846">
        <f t="shared" si="116"/>
        <v>2.4068915712369687E-2</v>
      </c>
      <c r="T656" s="845">
        <v>71.849999999999994</v>
      </c>
      <c r="U656" s="846">
        <f t="shared" si="117"/>
        <v>2.4525880507628717E-2</v>
      </c>
      <c r="V656" s="845">
        <v>119.9979</v>
      </c>
      <c r="W656" s="846">
        <f t="shared" si="118"/>
        <v>2.7207786371282072E-2</v>
      </c>
      <c r="X656" s="845">
        <v>31097.26</v>
      </c>
      <c r="Y656" s="846">
        <f t="shared" si="119"/>
        <v>1.0457368101761677E-2</v>
      </c>
      <c r="Z656" s="845">
        <v>3825.3261000000002</v>
      </c>
      <c r="AA656" s="846">
        <f t="shared" si="120"/>
        <v>1.05514504100086E-2</v>
      </c>
      <c r="AB656" s="843"/>
      <c r="AC656" s="832"/>
    </row>
    <row r="657" spans="1:29" ht="14.4" x14ac:dyDescent="0.55000000000000004">
      <c r="A657" s="857" t="s">
        <v>5816</v>
      </c>
      <c r="B657" s="842">
        <v>112.1</v>
      </c>
      <c r="C657" s="843">
        <f t="shared" si="111"/>
        <v>1.0820559062218127E-2</v>
      </c>
      <c r="D657" s="842">
        <v>44.53</v>
      </c>
      <c r="E657" s="843">
        <f t="shared" si="112"/>
        <v>7.4660633484162631E-3</v>
      </c>
      <c r="F657" s="842">
        <v>29.49</v>
      </c>
      <c r="G657" s="843">
        <f t="shared" si="112"/>
        <v>1.0183299389001643E-3</v>
      </c>
      <c r="H657" s="842">
        <v>53.1</v>
      </c>
      <c r="I657" s="843">
        <f t="shared" si="112"/>
        <v>2.8328611898016387E-3</v>
      </c>
      <c r="J657" s="842">
        <v>81.19</v>
      </c>
      <c r="K657" s="843">
        <f t="shared" si="113"/>
        <v>4.7023883182772952E-3</v>
      </c>
      <c r="L657" s="842">
        <v>87.08</v>
      </c>
      <c r="M657" s="843">
        <f t="shared" si="114"/>
        <v>1.0912468075226389E-2</v>
      </c>
      <c r="N657" s="842">
        <v>74.37</v>
      </c>
      <c r="O657" s="843">
        <f t="shared" si="115"/>
        <v>2.4262029923172168E-3</v>
      </c>
      <c r="P657" s="844">
        <f t="shared" si="121"/>
        <v>5.7398389893081559E-3</v>
      </c>
      <c r="Q657" s="830"/>
      <c r="R657" s="845">
        <v>969.3</v>
      </c>
      <c r="S657" s="846">
        <f t="shared" si="116"/>
        <v>1.0224181596472981E-2</v>
      </c>
      <c r="T657" s="845">
        <v>70.13</v>
      </c>
      <c r="U657" s="846">
        <f t="shared" si="117"/>
        <v>1.1101499423298744E-2</v>
      </c>
      <c r="V657" s="845">
        <v>116.81950000000001</v>
      </c>
      <c r="W657" s="846">
        <f t="shared" si="118"/>
        <v>1.0820375706288132E-2</v>
      </c>
      <c r="X657" s="845">
        <v>30775.43</v>
      </c>
      <c r="Y657" s="846">
        <f t="shared" si="119"/>
        <v>-8.1819415256092487E-3</v>
      </c>
      <c r="Z657" s="845">
        <v>3785.3847999999998</v>
      </c>
      <c r="AA657" s="846">
        <f t="shared" si="120"/>
        <v>-8.7586712033759229E-3</v>
      </c>
      <c r="AB657" s="843"/>
      <c r="AC657" s="832"/>
    </row>
    <row r="658" spans="1:29" ht="14.4" x14ac:dyDescent="0.55000000000000004">
      <c r="A658" s="857" t="s">
        <v>5817</v>
      </c>
      <c r="B658" s="842">
        <v>110.9</v>
      </c>
      <c r="C658" s="843">
        <f t="shared" si="111"/>
        <v>2.2593764121101589E-3</v>
      </c>
      <c r="D658" s="842">
        <v>44.2</v>
      </c>
      <c r="E658" s="843">
        <f t="shared" si="112"/>
        <v>-1.1627906976744096E-2</v>
      </c>
      <c r="F658" s="842">
        <v>29.46</v>
      </c>
      <c r="G658" s="843">
        <f t="shared" si="112"/>
        <v>3.7478705281090985E-3</v>
      </c>
      <c r="H658" s="842">
        <v>52.95</v>
      </c>
      <c r="I658" s="843">
        <f t="shared" si="112"/>
        <v>-3.5754610462928049E-3</v>
      </c>
      <c r="J658" s="842">
        <v>80.81</v>
      </c>
      <c r="K658" s="843">
        <f t="shared" si="113"/>
        <v>-1.4827628815026195E-3</v>
      </c>
      <c r="L658" s="842">
        <v>86.14</v>
      </c>
      <c r="M658" s="843">
        <f t="shared" si="114"/>
        <v>-1.5092613766293117E-2</v>
      </c>
      <c r="N658" s="842">
        <v>74.19</v>
      </c>
      <c r="O658" s="843">
        <f t="shared" si="115"/>
        <v>-2.6885334050276155E-3</v>
      </c>
      <c r="P658" s="844">
        <f t="shared" si="121"/>
        <v>-4.0657187336629996E-3</v>
      </c>
      <c r="Q658" s="830"/>
      <c r="R658" s="845">
        <v>959.49</v>
      </c>
      <c r="S658" s="846">
        <f t="shared" si="116"/>
        <v>1.7226259082936402E-3</v>
      </c>
      <c r="T658" s="845">
        <v>69.36</v>
      </c>
      <c r="U658" s="846">
        <f t="shared" si="117"/>
        <v>7.2139662386372372E-4</v>
      </c>
      <c r="V658" s="845">
        <v>115.569</v>
      </c>
      <c r="W658" s="846">
        <f t="shared" si="118"/>
        <v>2.2591569572061321E-3</v>
      </c>
      <c r="X658" s="845">
        <v>31029.31</v>
      </c>
      <c r="Y658" s="846">
        <f t="shared" si="119"/>
        <v>2.6600325265881963E-3</v>
      </c>
      <c r="Z658" s="845">
        <v>3818.8326999999999</v>
      </c>
      <c r="AA658" s="846">
        <f t="shared" si="120"/>
        <v>-7.0997446347564885E-4</v>
      </c>
      <c r="AB658" s="843"/>
      <c r="AC658" s="832"/>
    </row>
    <row r="659" spans="1:29" ht="14.4" x14ac:dyDescent="0.55000000000000004">
      <c r="A659" s="857" t="s">
        <v>5818</v>
      </c>
      <c r="B659" s="842">
        <v>110.65</v>
      </c>
      <c r="C659" s="843">
        <f t="shared" si="111"/>
        <v>-9.0293453724599182E-4</v>
      </c>
      <c r="D659" s="842">
        <v>44.72</v>
      </c>
      <c r="E659" s="843">
        <f t="shared" si="112"/>
        <v>3.5906642728904536E-3</v>
      </c>
      <c r="F659" s="842">
        <v>29.35</v>
      </c>
      <c r="G659" s="843">
        <f t="shared" si="112"/>
        <v>6.5157750342936804E-3</v>
      </c>
      <c r="H659" s="842">
        <v>53.14</v>
      </c>
      <c r="I659" s="843">
        <f t="shared" si="112"/>
        <v>-6.3575168287209882E-3</v>
      </c>
      <c r="J659" s="842">
        <v>80.930000000000007</v>
      </c>
      <c r="K659" s="843">
        <f t="shared" si="113"/>
        <v>-2.0961775585695008E-3</v>
      </c>
      <c r="L659" s="842">
        <v>87.46</v>
      </c>
      <c r="M659" s="843">
        <f t="shared" si="114"/>
        <v>-2.301161751563896E-2</v>
      </c>
      <c r="N659" s="842">
        <v>74.39</v>
      </c>
      <c r="O659" s="843">
        <f t="shared" si="115"/>
        <v>-8.0010668089077752E-3</v>
      </c>
      <c r="P659" s="844">
        <f t="shared" si="121"/>
        <v>-4.3232677059855829E-3</v>
      </c>
      <c r="Q659" s="830"/>
      <c r="R659" s="845">
        <v>957.84</v>
      </c>
      <c r="S659" s="846">
        <f t="shared" si="116"/>
        <v>-3.7340211975910309E-3</v>
      </c>
      <c r="T659" s="845">
        <v>69.31</v>
      </c>
      <c r="U659" s="846">
        <f t="shared" si="117"/>
        <v>-3.737243064539153E-3</v>
      </c>
      <c r="V659" s="845">
        <v>115.3085</v>
      </c>
      <c r="W659" s="846">
        <f t="shared" si="118"/>
        <v>-9.0284691372788384E-4</v>
      </c>
      <c r="X659" s="845">
        <v>30946.99</v>
      </c>
      <c r="Y659" s="846">
        <f t="shared" si="119"/>
        <v>-1.5626500957750089E-2</v>
      </c>
      <c r="Z659" s="845">
        <v>3821.5459000000001</v>
      </c>
      <c r="AA659" s="846">
        <f t="shared" si="120"/>
        <v>-2.0145102934296166E-2</v>
      </c>
      <c r="AB659" s="843"/>
      <c r="AC659" s="832"/>
    </row>
    <row r="660" spans="1:29" ht="14.4" x14ac:dyDescent="0.55000000000000004">
      <c r="A660" s="857" t="s">
        <v>5819</v>
      </c>
      <c r="B660" s="842">
        <v>110.75</v>
      </c>
      <c r="C660" s="843">
        <f t="shared" si="111"/>
        <v>1.3822775540095256E-2</v>
      </c>
      <c r="D660" s="842">
        <v>44.56</v>
      </c>
      <c r="E660" s="843">
        <f t="shared" si="112"/>
        <v>1.9446350949439584E-2</v>
      </c>
      <c r="F660" s="842">
        <v>29.16</v>
      </c>
      <c r="G660" s="843">
        <f t="shared" si="112"/>
        <v>1.8867924528301883E-2</v>
      </c>
      <c r="H660" s="842">
        <v>53.48</v>
      </c>
      <c r="I660" s="843">
        <f t="shared" si="112"/>
        <v>2.0805497232296188E-2</v>
      </c>
      <c r="J660" s="842">
        <v>81.099999999999994</v>
      </c>
      <c r="K660" s="843">
        <f t="shared" si="113"/>
        <v>3.3647718582717312E-2</v>
      </c>
      <c r="L660" s="842">
        <v>89.52</v>
      </c>
      <c r="M660" s="843">
        <f t="shared" si="114"/>
        <v>1.6464176223458749E-2</v>
      </c>
      <c r="N660" s="842">
        <v>74.989999999999995</v>
      </c>
      <c r="O660" s="843">
        <f t="shared" si="115"/>
        <v>2.3754266211603925E-2</v>
      </c>
      <c r="P660" s="844">
        <f t="shared" si="121"/>
        <v>2.0972672752558985E-2</v>
      </c>
      <c r="Q660" s="830"/>
      <c r="R660" s="845">
        <v>961.43</v>
      </c>
      <c r="S660" s="846">
        <f t="shared" si="116"/>
        <v>8.1792728836131978E-3</v>
      </c>
      <c r="T660" s="845">
        <v>69.569999999999993</v>
      </c>
      <c r="U660" s="846">
        <f t="shared" si="117"/>
        <v>8.1147659759452928E-3</v>
      </c>
      <c r="V660" s="845">
        <v>115.4127</v>
      </c>
      <c r="W660" s="846">
        <f t="shared" si="118"/>
        <v>1.3823018628924544E-2</v>
      </c>
      <c r="X660" s="845">
        <v>31438.26</v>
      </c>
      <c r="Y660" s="846">
        <f t="shared" si="119"/>
        <v>-1.9815445253881236E-3</v>
      </c>
      <c r="Z660" s="845">
        <v>3900.1140999999998</v>
      </c>
      <c r="AA660" s="846">
        <f t="shared" si="120"/>
        <v>-2.973047391982897E-3</v>
      </c>
      <c r="AB660" s="843"/>
      <c r="AC660" s="832"/>
    </row>
    <row r="661" spans="1:29" ht="14.4" x14ac:dyDescent="0.55000000000000004">
      <c r="A661" s="857" t="s">
        <v>5820</v>
      </c>
      <c r="B661" s="842">
        <v>109.24</v>
      </c>
      <c r="C661" s="843">
        <f t="shared" si="111"/>
        <v>2.0553064275037336E-2</v>
      </c>
      <c r="D661" s="842">
        <v>43.71</v>
      </c>
      <c r="E661" s="843">
        <f t="shared" si="112"/>
        <v>2.4373095851886628E-2</v>
      </c>
      <c r="F661" s="842">
        <v>28.62</v>
      </c>
      <c r="G661" s="843">
        <f t="shared" si="112"/>
        <v>2.9126213592232997E-2</v>
      </c>
      <c r="H661" s="842">
        <v>52.39</v>
      </c>
      <c r="I661" s="843">
        <f t="shared" si="112"/>
        <v>5.1803530314658008E-3</v>
      </c>
      <c r="J661" s="842">
        <v>78.459999999999994</v>
      </c>
      <c r="K661" s="843">
        <f t="shared" si="113"/>
        <v>3.4531269983373303E-3</v>
      </c>
      <c r="L661" s="842">
        <v>88.07</v>
      </c>
      <c r="M661" s="843">
        <f t="shared" si="114"/>
        <v>1.5801614763552463E-2</v>
      </c>
      <c r="N661" s="842">
        <v>73.25</v>
      </c>
      <c r="O661" s="843">
        <f t="shared" si="115"/>
        <v>1.5527519755996089E-2</v>
      </c>
      <c r="P661" s="844">
        <f t="shared" si="121"/>
        <v>1.6287855466929808E-2</v>
      </c>
      <c r="Q661" s="830"/>
      <c r="R661" s="845">
        <v>953.63</v>
      </c>
      <c r="S661" s="846">
        <f t="shared" si="116"/>
        <v>1.9118558573962829E-2</v>
      </c>
      <c r="T661" s="845">
        <v>69.010000000000005</v>
      </c>
      <c r="U661" s="846">
        <f t="shared" si="117"/>
        <v>1.7396432257113403E-2</v>
      </c>
      <c r="V661" s="845">
        <v>113.8391</v>
      </c>
      <c r="W661" s="846">
        <f t="shared" si="118"/>
        <v>2.0552863603968019E-2</v>
      </c>
      <c r="X661" s="845">
        <v>31500.68</v>
      </c>
      <c r="Y661" s="846">
        <f t="shared" si="119"/>
        <v>2.6838032998928174E-2</v>
      </c>
      <c r="Z661" s="845">
        <v>3911.7438999999999</v>
      </c>
      <c r="AA661" s="846">
        <f t="shared" si="120"/>
        <v>3.0565024242783956E-2</v>
      </c>
      <c r="AB661" s="843"/>
      <c r="AC661" s="832"/>
    </row>
    <row r="662" spans="1:29" ht="14.4" x14ac:dyDescent="0.55000000000000004">
      <c r="A662" s="857" t="s">
        <v>5821</v>
      </c>
      <c r="B662" s="842">
        <v>107.04</v>
      </c>
      <c r="C662" s="843">
        <f t="shared" si="111"/>
        <v>1.3060760931289161E-2</v>
      </c>
      <c r="D662" s="842">
        <v>42.67</v>
      </c>
      <c r="E662" s="843">
        <f t="shared" si="112"/>
        <v>-4.6849379245716971E-4</v>
      </c>
      <c r="F662" s="842">
        <v>27.81</v>
      </c>
      <c r="G662" s="843">
        <f t="shared" si="112"/>
        <v>1.533406352683464E-2</v>
      </c>
      <c r="H662" s="842">
        <v>52.12</v>
      </c>
      <c r="I662" s="843">
        <f t="shared" si="112"/>
        <v>7.680491551458335E-4</v>
      </c>
      <c r="J662" s="842">
        <v>78.19</v>
      </c>
      <c r="K662" s="843">
        <f t="shared" si="113"/>
        <v>-2.4240877774942549E-3</v>
      </c>
      <c r="L662" s="842">
        <v>86.7</v>
      </c>
      <c r="M662" s="843">
        <f t="shared" si="114"/>
        <v>2.0840692334863853E-2</v>
      </c>
      <c r="N662" s="842">
        <v>72.13</v>
      </c>
      <c r="O662" s="843">
        <f t="shared" si="115"/>
        <v>2.7804810232168187E-3</v>
      </c>
      <c r="P662" s="844">
        <f t="shared" si="121"/>
        <v>7.1273522001998402E-3</v>
      </c>
      <c r="Q662" s="830"/>
      <c r="R662" s="845">
        <v>935.74</v>
      </c>
      <c r="S662" s="846">
        <f t="shared" si="116"/>
        <v>2.5603367018128376E-2</v>
      </c>
      <c r="T662" s="845">
        <v>67.83</v>
      </c>
      <c r="U662" s="846">
        <f t="shared" si="117"/>
        <v>2.354006337709369E-2</v>
      </c>
      <c r="V662" s="845">
        <v>111.54649999999999</v>
      </c>
      <c r="W662" s="846">
        <f t="shared" si="118"/>
        <v>1.306076557283542E-2</v>
      </c>
      <c r="X662" s="845">
        <v>30677.360000000001</v>
      </c>
      <c r="Y662" s="846">
        <f t="shared" si="119"/>
        <v>6.3717210142133496E-3</v>
      </c>
      <c r="Z662" s="845">
        <v>3795.7274000000002</v>
      </c>
      <c r="AA662" s="846">
        <f t="shared" si="120"/>
        <v>9.5306699012267515E-3</v>
      </c>
      <c r="AB662" s="843"/>
      <c r="AC662" s="832"/>
    </row>
    <row r="663" spans="1:29" ht="14.4" x14ac:dyDescent="0.55000000000000004">
      <c r="A663" s="857" t="s">
        <v>5822</v>
      </c>
      <c r="B663" s="842">
        <v>105.66</v>
      </c>
      <c r="C663" s="843">
        <f t="shared" si="111"/>
        <v>1.8014601308429246E-3</v>
      </c>
      <c r="D663" s="842">
        <v>42.69</v>
      </c>
      <c r="E663" s="843">
        <f t="shared" si="112"/>
        <v>1.1371712864250094E-2</v>
      </c>
      <c r="F663" s="842">
        <v>27.39</v>
      </c>
      <c r="G663" s="843">
        <f t="shared" si="112"/>
        <v>1.519644180874713E-2</v>
      </c>
      <c r="H663" s="842">
        <v>52.08</v>
      </c>
      <c r="I663" s="843">
        <f t="shared" si="112"/>
        <v>6.1823802163833985E-3</v>
      </c>
      <c r="J663" s="842">
        <v>78.38</v>
      </c>
      <c r="K663" s="843">
        <f t="shared" si="113"/>
        <v>-5.100739607243332E-4</v>
      </c>
      <c r="L663" s="842">
        <v>84.93</v>
      </c>
      <c r="M663" s="843">
        <f t="shared" si="114"/>
        <v>4.9698260560879781E-3</v>
      </c>
      <c r="N663" s="842">
        <v>71.930000000000007</v>
      </c>
      <c r="O663" s="843">
        <f t="shared" si="115"/>
        <v>5.5640561969694247E-4</v>
      </c>
      <c r="P663" s="844">
        <f t="shared" si="121"/>
        <v>5.6525932478977336E-3</v>
      </c>
      <c r="Q663" s="830"/>
      <c r="R663" s="845">
        <v>912.38</v>
      </c>
      <c r="S663" s="846">
        <f t="shared" si="116"/>
        <v>9.0243524805910802E-3</v>
      </c>
      <c r="T663" s="845">
        <v>66.27</v>
      </c>
      <c r="U663" s="846">
        <f t="shared" si="117"/>
        <v>1.052150045745659E-2</v>
      </c>
      <c r="V663" s="845">
        <v>110.1084</v>
      </c>
      <c r="W663" s="846">
        <f t="shared" si="118"/>
        <v>1.8014673770636591E-3</v>
      </c>
      <c r="X663" s="845">
        <v>30483.13</v>
      </c>
      <c r="Y663" s="846">
        <f t="shared" si="119"/>
        <v>-1.5433872962061779E-3</v>
      </c>
      <c r="Z663" s="845">
        <v>3759.8930999999998</v>
      </c>
      <c r="AA663" s="846">
        <f t="shared" si="120"/>
        <v>-1.3001794523357368E-3</v>
      </c>
      <c r="AB663" s="843"/>
      <c r="AC663" s="832"/>
    </row>
    <row r="664" spans="1:29" ht="14.4" x14ac:dyDescent="0.55000000000000004">
      <c r="A664" s="857" t="s">
        <v>5823</v>
      </c>
      <c r="B664" s="842">
        <v>105.47</v>
      </c>
      <c r="C664" s="843">
        <f t="shared" si="111"/>
        <v>1.8935368563423705E-2</v>
      </c>
      <c r="D664" s="842">
        <v>42.21</v>
      </c>
      <c r="E664" s="843">
        <f t="shared" si="112"/>
        <v>2.1292039680619546E-2</v>
      </c>
      <c r="F664" s="842">
        <v>26.98</v>
      </c>
      <c r="G664" s="843">
        <f t="shared" si="112"/>
        <v>1.2003000750187454E-2</v>
      </c>
      <c r="H664" s="842">
        <v>51.76</v>
      </c>
      <c r="I664" s="843">
        <f t="shared" si="112"/>
        <v>1.3542271232347414E-3</v>
      </c>
      <c r="J664" s="842">
        <v>78.42</v>
      </c>
      <c r="K664" s="843">
        <f t="shared" si="113"/>
        <v>1.2654958677686068E-2</v>
      </c>
      <c r="L664" s="842">
        <v>84.51</v>
      </c>
      <c r="M664" s="843">
        <f t="shared" si="114"/>
        <v>2.4487816705055288E-2</v>
      </c>
      <c r="N664" s="842">
        <v>71.89</v>
      </c>
      <c r="O664" s="843">
        <f t="shared" si="115"/>
        <v>1.7263336635064297E-2</v>
      </c>
      <c r="P664" s="844">
        <f t="shared" si="121"/>
        <v>1.5427249733610158E-2</v>
      </c>
      <c r="Q664" s="830"/>
      <c r="R664" s="845">
        <v>904.22</v>
      </c>
      <c r="S664" s="846">
        <f t="shared" si="116"/>
        <v>1.8586941828504511E-2</v>
      </c>
      <c r="T664" s="845">
        <v>65.58</v>
      </c>
      <c r="U664" s="846">
        <f t="shared" si="117"/>
        <v>1.0944966856790472E-2</v>
      </c>
      <c r="V664" s="845">
        <v>109.9104</v>
      </c>
      <c r="W664" s="846">
        <f t="shared" si="118"/>
        <v>1.8935197588902719E-2</v>
      </c>
      <c r="X664" s="845">
        <v>30530.25</v>
      </c>
      <c r="Y664" s="846">
        <f t="shared" si="119"/>
        <v>2.1461899749672053E-2</v>
      </c>
      <c r="Z664" s="845">
        <v>3764.788</v>
      </c>
      <c r="AA664" s="846">
        <f t="shared" si="120"/>
        <v>2.447632161758051E-2</v>
      </c>
      <c r="AB664" s="843"/>
      <c r="AC664" s="832"/>
    </row>
    <row r="665" spans="1:29" ht="14.4" x14ac:dyDescent="0.55000000000000004">
      <c r="A665" s="857" t="s">
        <v>5824</v>
      </c>
      <c r="B665" s="842">
        <v>103.51</v>
      </c>
      <c r="C665" s="843">
        <f t="shared" si="111"/>
        <v>-1.0231401797666795E-2</v>
      </c>
      <c r="D665" s="842">
        <v>41.33</v>
      </c>
      <c r="E665" s="843">
        <f t="shared" si="112"/>
        <v>-2.4085005903187739E-2</v>
      </c>
      <c r="F665" s="842">
        <v>26.66</v>
      </c>
      <c r="G665" s="843">
        <f t="shared" si="112"/>
        <v>-1.8770702981229404E-2</v>
      </c>
      <c r="H665" s="842">
        <v>51.69</v>
      </c>
      <c r="I665" s="843">
        <f t="shared" si="112"/>
        <v>1.6319307904050229E-2</v>
      </c>
      <c r="J665" s="842">
        <v>77.44</v>
      </c>
      <c r="K665" s="843">
        <f t="shared" si="113"/>
        <v>-8.1967213114754189E-3</v>
      </c>
      <c r="L665" s="842">
        <v>82.49</v>
      </c>
      <c r="M665" s="843">
        <f t="shared" si="114"/>
        <v>-1.797619047619059E-2</v>
      </c>
      <c r="N665" s="842">
        <v>70.67</v>
      </c>
      <c r="O665" s="843">
        <f t="shared" si="115"/>
        <v>-1.4227925791602702E-2</v>
      </c>
      <c r="P665" s="844">
        <f t="shared" si="121"/>
        <v>-1.1024091479614631E-2</v>
      </c>
      <c r="Q665" s="830"/>
      <c r="R665" s="845">
        <v>887.72</v>
      </c>
      <c r="S665" s="846">
        <f t="shared" si="116"/>
        <v>-9.1636623396916805E-3</v>
      </c>
      <c r="T665" s="845">
        <v>64.87</v>
      </c>
      <c r="U665" s="846">
        <f t="shared" si="117"/>
        <v>-9.3158216249236148E-3</v>
      </c>
      <c r="V665" s="845">
        <v>107.86790000000001</v>
      </c>
      <c r="W665" s="846">
        <f t="shared" si="118"/>
        <v>-1.023096283912428E-2</v>
      </c>
      <c r="X665" s="845">
        <v>29888.78</v>
      </c>
      <c r="Y665" s="846">
        <f t="shared" si="119"/>
        <v>-1.2794436608729587E-3</v>
      </c>
      <c r="Z665" s="845">
        <v>3674.8413999999998</v>
      </c>
      <c r="AA665" s="846">
        <f t="shared" si="120"/>
        <v>2.2019121746879033E-3</v>
      </c>
      <c r="AB665" s="843"/>
      <c r="AC665" s="832"/>
    </row>
    <row r="666" spans="1:29" ht="14.4" x14ac:dyDescent="0.55000000000000004">
      <c r="A666" s="857" t="s">
        <v>5825</v>
      </c>
      <c r="B666" s="842">
        <v>104.58</v>
      </c>
      <c r="C666" s="843">
        <f t="shared" si="111"/>
        <v>-1.4233198227919686E-2</v>
      </c>
      <c r="D666" s="842">
        <v>42.35</v>
      </c>
      <c r="E666" s="843">
        <f t="shared" si="112"/>
        <v>-1.3280521901211539E-2</v>
      </c>
      <c r="F666" s="842">
        <v>27.17</v>
      </c>
      <c r="G666" s="843">
        <f t="shared" si="112"/>
        <v>-1.9841269841269771E-2</v>
      </c>
      <c r="H666" s="842">
        <v>50.86</v>
      </c>
      <c r="I666" s="843">
        <f t="shared" si="112"/>
        <v>9.8405825624880983E-4</v>
      </c>
      <c r="J666" s="842">
        <v>78.08</v>
      </c>
      <c r="K666" s="843">
        <f t="shared" si="113"/>
        <v>-1.1645569620253204E-2</v>
      </c>
      <c r="L666" s="842">
        <v>84</v>
      </c>
      <c r="M666" s="843">
        <f t="shared" si="114"/>
        <v>-2.6763990267639981E-2</v>
      </c>
      <c r="N666" s="842">
        <v>71.69</v>
      </c>
      <c r="O666" s="843">
        <f t="shared" si="115"/>
        <v>-7.8881815665652333E-3</v>
      </c>
      <c r="P666" s="844">
        <f t="shared" si="121"/>
        <v>-1.3238381881230086E-2</v>
      </c>
      <c r="Q666" s="830"/>
      <c r="R666" s="845">
        <v>895.93</v>
      </c>
      <c r="S666" s="846">
        <f t="shared" si="116"/>
        <v>-1.7997479037650144E-2</v>
      </c>
      <c r="T666" s="845">
        <v>65.48</v>
      </c>
      <c r="U666" s="846">
        <f t="shared" si="117"/>
        <v>-1.9320053916429436E-2</v>
      </c>
      <c r="V666" s="845">
        <v>108.9829</v>
      </c>
      <c r="W666" s="846">
        <f t="shared" si="118"/>
        <v>-1.4233446246941561E-2</v>
      </c>
      <c r="X666" s="845">
        <v>29927.07</v>
      </c>
      <c r="Y666" s="846">
        <f t="shared" si="119"/>
        <v>-2.41765744885718E-2</v>
      </c>
      <c r="Z666" s="845">
        <v>3666.7674999999999</v>
      </c>
      <c r="AA666" s="846">
        <f t="shared" si="120"/>
        <v>-3.2511674250643052E-2</v>
      </c>
      <c r="AB666" s="843"/>
      <c r="AC666" s="832"/>
    </row>
    <row r="667" spans="1:29" ht="14.4" x14ac:dyDescent="0.55000000000000004">
      <c r="A667" s="857" t="s">
        <v>5826</v>
      </c>
      <c r="B667" s="842">
        <v>106.09</v>
      </c>
      <c r="C667" s="843">
        <f t="shared" si="111"/>
        <v>5.211294296001423E-3</v>
      </c>
      <c r="D667" s="842">
        <v>42.92</v>
      </c>
      <c r="E667" s="843">
        <f t="shared" si="112"/>
        <v>7.2752874911992116E-3</v>
      </c>
      <c r="F667" s="842">
        <v>27.72</v>
      </c>
      <c r="G667" s="843">
        <f t="shared" si="112"/>
        <v>4.3478260869564966E-3</v>
      </c>
      <c r="H667" s="842">
        <v>50.81</v>
      </c>
      <c r="I667" s="843">
        <f t="shared" si="112"/>
        <v>0</v>
      </c>
      <c r="J667" s="842">
        <v>79</v>
      </c>
      <c r="K667" s="843">
        <f t="shared" si="113"/>
        <v>2.2836843440752208E-3</v>
      </c>
      <c r="L667" s="842">
        <v>86.31</v>
      </c>
      <c r="M667" s="843">
        <f t="shared" si="114"/>
        <v>-8.3869485294117974E-3</v>
      </c>
      <c r="N667" s="842">
        <v>72.260000000000005</v>
      </c>
      <c r="O667" s="843">
        <f t="shared" si="115"/>
        <v>-9.7300260380978054E-3</v>
      </c>
      <c r="P667" s="844">
        <f t="shared" si="121"/>
        <v>1.4301680724610705E-4</v>
      </c>
      <c r="Q667" s="830"/>
      <c r="R667" s="845">
        <v>912.35</v>
      </c>
      <c r="S667" s="846">
        <f t="shared" si="116"/>
        <v>2.4281978596700782E-3</v>
      </c>
      <c r="T667" s="845">
        <v>66.77</v>
      </c>
      <c r="U667" s="846">
        <f t="shared" si="117"/>
        <v>6.4817606270726191E-3</v>
      </c>
      <c r="V667" s="845">
        <v>110.5565</v>
      </c>
      <c r="W667" s="846">
        <f t="shared" si="118"/>
        <v>5.2117003217762026E-3</v>
      </c>
      <c r="X667" s="845">
        <v>30668.53</v>
      </c>
      <c r="Y667" s="846">
        <f t="shared" si="119"/>
        <v>1.0001702627677966E-2</v>
      </c>
      <c r="Z667" s="845">
        <v>3789.9863</v>
      </c>
      <c r="AA667" s="846">
        <f t="shared" si="120"/>
        <v>1.4590669678039792E-2</v>
      </c>
      <c r="AB667" s="843"/>
      <c r="AC667" s="832"/>
    </row>
    <row r="668" spans="1:29" ht="14.4" x14ac:dyDescent="0.55000000000000004">
      <c r="A668" s="857" t="s">
        <v>5827</v>
      </c>
      <c r="B668" s="842">
        <v>105.54</v>
      </c>
      <c r="C668" s="843">
        <f t="shared" si="111"/>
        <v>-1.373703392206338E-2</v>
      </c>
      <c r="D668" s="842">
        <v>42.61</v>
      </c>
      <c r="E668" s="843">
        <f t="shared" si="112"/>
        <v>-3.2250738133091095E-2</v>
      </c>
      <c r="F668" s="842">
        <v>27.6</v>
      </c>
      <c r="G668" s="843">
        <f t="shared" si="112"/>
        <v>-3.2936229852838061E-2</v>
      </c>
      <c r="H668" s="842">
        <v>50.81</v>
      </c>
      <c r="I668" s="843">
        <f t="shared" si="112"/>
        <v>-1.3589594253542892E-2</v>
      </c>
      <c r="J668" s="842">
        <v>78.819999999999993</v>
      </c>
      <c r="K668" s="843">
        <f t="shared" si="113"/>
        <v>-1.6716566866267546E-2</v>
      </c>
      <c r="L668" s="842">
        <v>87.04</v>
      </c>
      <c r="M668" s="843">
        <f t="shared" si="114"/>
        <v>-1.2928101610342524E-2</v>
      </c>
      <c r="N668" s="842">
        <v>72.97</v>
      </c>
      <c r="O668" s="843">
        <f t="shared" si="115"/>
        <v>-9.3673635623132689E-3</v>
      </c>
      <c r="P668" s="844">
        <f t="shared" si="121"/>
        <v>-1.8789375457208397E-2</v>
      </c>
      <c r="Q668" s="830"/>
      <c r="R668" s="845">
        <v>910.14</v>
      </c>
      <c r="S668" s="846">
        <f t="shared" si="116"/>
        <v>-2.6272476807452483E-2</v>
      </c>
      <c r="T668" s="845">
        <v>66.34</v>
      </c>
      <c r="U668" s="846">
        <f t="shared" si="117"/>
        <v>-2.5271818983250038E-2</v>
      </c>
      <c r="V668" s="845">
        <v>109.9833</v>
      </c>
      <c r="W668" s="846">
        <f t="shared" si="118"/>
        <v>-1.3737140766460487E-2</v>
      </c>
      <c r="X668" s="845">
        <v>30364.83</v>
      </c>
      <c r="Y668" s="846">
        <f t="shared" si="119"/>
        <v>-4.9780409728906738E-3</v>
      </c>
      <c r="Z668" s="845">
        <v>3735.4830999999999</v>
      </c>
      <c r="AA668" s="846">
        <f t="shared" si="120"/>
        <v>-3.7721615692312138E-3</v>
      </c>
      <c r="AB668" s="843"/>
      <c r="AC668" s="832"/>
    </row>
    <row r="669" spans="1:29" ht="14.4" x14ac:dyDescent="0.55000000000000004">
      <c r="A669" s="857" t="s">
        <v>5828</v>
      </c>
      <c r="B669" s="842">
        <v>107.01</v>
      </c>
      <c r="C669" s="843">
        <f t="shared" si="111"/>
        <v>-4.429757970885051E-2</v>
      </c>
      <c r="D669" s="842">
        <v>44.03</v>
      </c>
      <c r="E669" s="843">
        <f t="shared" si="112"/>
        <v>-4.3657688966116326E-2</v>
      </c>
      <c r="F669" s="842">
        <v>28.54</v>
      </c>
      <c r="G669" s="843">
        <f t="shared" si="112"/>
        <v>-5.0249584026622385E-2</v>
      </c>
      <c r="H669" s="842">
        <v>51.51</v>
      </c>
      <c r="I669" s="843">
        <f t="shared" si="112"/>
        <v>-4.7698280643372226E-2</v>
      </c>
      <c r="J669" s="842">
        <v>80.16</v>
      </c>
      <c r="K669" s="843">
        <f t="shared" si="113"/>
        <v>-5.8160028198801617E-2</v>
      </c>
      <c r="L669" s="842">
        <v>88.18</v>
      </c>
      <c r="M669" s="843">
        <f t="shared" si="114"/>
        <v>-4.0374360648601559E-2</v>
      </c>
      <c r="N669" s="842">
        <v>73.66</v>
      </c>
      <c r="O669" s="843">
        <f t="shared" si="115"/>
        <v>-4.2879417879417847E-2</v>
      </c>
      <c r="P669" s="844">
        <f t="shared" si="121"/>
        <v>-4.6759562867397499E-2</v>
      </c>
      <c r="Q669" s="830"/>
      <c r="R669" s="845">
        <v>934.69680000000005</v>
      </c>
      <c r="S669" s="846">
        <f t="shared" si="116"/>
        <v>-4.6636339527957316E-2</v>
      </c>
      <c r="T669" s="845">
        <v>68.06</v>
      </c>
      <c r="U669" s="846">
        <f t="shared" si="117"/>
        <v>-4.5977011494252928E-2</v>
      </c>
      <c r="V669" s="845">
        <v>111.51519999999999</v>
      </c>
      <c r="W669" s="846">
        <f t="shared" si="118"/>
        <v>-4.4297418669226318E-2</v>
      </c>
      <c r="X669" s="845">
        <v>30516.743600000002</v>
      </c>
      <c r="Y669" s="846">
        <f t="shared" si="119"/>
        <v>-2.790597458843258E-2</v>
      </c>
      <c r="Z669" s="845">
        <v>3749.6273000000001</v>
      </c>
      <c r="AA669" s="846">
        <f t="shared" si="120"/>
        <v>-3.8770175175272037E-2</v>
      </c>
      <c r="AB669" s="843"/>
      <c r="AC669" s="832"/>
    </row>
    <row r="670" spans="1:29" ht="14.4" x14ac:dyDescent="0.55000000000000004">
      <c r="A670" s="857" t="s">
        <v>5829</v>
      </c>
      <c r="B670" s="842">
        <v>111.97</v>
      </c>
      <c r="C670" s="843">
        <f t="shared" si="111"/>
        <v>-8.6764054891544928E-3</v>
      </c>
      <c r="D670" s="842">
        <v>46.04</v>
      </c>
      <c r="E670" s="843">
        <f t="shared" si="112"/>
        <v>0</v>
      </c>
      <c r="F670" s="842">
        <v>30.05</v>
      </c>
      <c r="G670" s="843">
        <f t="shared" si="112"/>
        <v>-5.9543499834601166E-3</v>
      </c>
      <c r="H670" s="842">
        <v>54.09</v>
      </c>
      <c r="I670" s="843">
        <f t="shared" si="112"/>
        <v>1.254211905653313E-2</v>
      </c>
      <c r="J670" s="842">
        <v>85.11</v>
      </c>
      <c r="K670" s="843">
        <f t="shared" si="113"/>
        <v>1.29411764705889E-3</v>
      </c>
      <c r="L670" s="842">
        <v>91.89</v>
      </c>
      <c r="M670" s="843">
        <f t="shared" si="114"/>
        <v>2.6186579378069119E-3</v>
      </c>
      <c r="N670" s="842">
        <v>76.959999999999994</v>
      </c>
      <c r="O670" s="843">
        <f t="shared" si="115"/>
        <v>1.2764837478615565E-2</v>
      </c>
      <c r="P670" s="844">
        <f t="shared" si="121"/>
        <v>2.0841395210571267E-3</v>
      </c>
      <c r="Q670" s="830"/>
      <c r="R670" s="845">
        <v>980.42</v>
      </c>
      <c r="S670" s="846">
        <f t="shared" si="116"/>
        <v>-5.3162348071342791E-3</v>
      </c>
      <c r="T670" s="845">
        <v>71.34</v>
      </c>
      <c r="U670" s="846">
        <f t="shared" si="117"/>
        <v>-7.6505772708304054E-3</v>
      </c>
      <c r="V670" s="845">
        <v>116.684</v>
      </c>
      <c r="W670" s="846">
        <f t="shared" si="118"/>
        <v>-8.676754572648826E-3</v>
      </c>
      <c r="X670" s="845">
        <v>31392.79</v>
      </c>
      <c r="Y670" s="846">
        <f t="shared" si="119"/>
        <v>-2.7267552634897663E-2</v>
      </c>
      <c r="Z670" s="845">
        <v>3900.8645000000001</v>
      </c>
      <c r="AA670" s="846">
        <f t="shared" si="120"/>
        <v>-2.9108831073379693E-2</v>
      </c>
      <c r="AB670" s="843"/>
      <c r="AC670" s="832"/>
    </row>
    <row r="671" spans="1:29" ht="14.4" x14ac:dyDescent="0.55000000000000004">
      <c r="A671" s="857" t="s">
        <v>5830</v>
      </c>
      <c r="B671" s="842">
        <v>112.95</v>
      </c>
      <c r="C671" s="843">
        <f t="shared" si="111"/>
        <v>-1.9701440722096786E-2</v>
      </c>
      <c r="D671" s="842">
        <v>46.04</v>
      </c>
      <c r="E671" s="843">
        <f t="shared" si="112"/>
        <v>-8.6132644272178815E-3</v>
      </c>
      <c r="F671" s="842">
        <v>30.23</v>
      </c>
      <c r="G671" s="843">
        <f t="shared" si="112"/>
        <v>-2.5781501772478288E-2</v>
      </c>
      <c r="H671" s="842">
        <v>53.42</v>
      </c>
      <c r="I671" s="843">
        <f t="shared" si="112"/>
        <v>-2.3400365630713016E-2</v>
      </c>
      <c r="J671" s="842">
        <v>85</v>
      </c>
      <c r="K671" s="843">
        <f t="shared" si="113"/>
        <v>-1.7681728880157177E-2</v>
      </c>
      <c r="L671" s="842">
        <v>91.65</v>
      </c>
      <c r="M671" s="843">
        <f t="shared" si="114"/>
        <v>-6.0730940245091736E-3</v>
      </c>
      <c r="N671" s="842">
        <v>75.989999999999995</v>
      </c>
      <c r="O671" s="843">
        <f t="shared" si="115"/>
        <v>-2.2007722007722164E-2</v>
      </c>
      <c r="P671" s="844">
        <f t="shared" si="121"/>
        <v>-1.7608445352127782E-2</v>
      </c>
      <c r="Q671" s="830"/>
      <c r="R671" s="845">
        <v>985.66</v>
      </c>
      <c r="S671" s="846">
        <f t="shared" si="116"/>
        <v>-2.3944387229660191E-2</v>
      </c>
      <c r="T671" s="845">
        <v>71.89</v>
      </c>
      <c r="U671" s="846">
        <f t="shared" si="117"/>
        <v>-2.4029323920716772E-2</v>
      </c>
      <c r="V671" s="845">
        <v>117.70529999999999</v>
      </c>
      <c r="W671" s="846">
        <f t="shared" si="118"/>
        <v>-1.9701692916435198E-2</v>
      </c>
      <c r="X671" s="845">
        <v>32272.79</v>
      </c>
      <c r="Y671" s="846">
        <f t="shared" si="119"/>
        <v>-1.9389017012600651E-2</v>
      </c>
      <c r="Z671" s="845">
        <v>4017.8184999999999</v>
      </c>
      <c r="AA671" s="846">
        <f t="shared" si="120"/>
        <v>-2.379966336817696E-2</v>
      </c>
      <c r="AB671" s="843"/>
      <c r="AC671" s="832"/>
    </row>
    <row r="672" spans="1:29" ht="14.4" x14ac:dyDescent="0.55000000000000004">
      <c r="A672" s="857" t="s">
        <v>5831</v>
      </c>
      <c r="B672" s="842">
        <v>115.22</v>
      </c>
      <c r="C672" s="843">
        <f t="shared" si="111"/>
        <v>-1.8819722387805604E-2</v>
      </c>
      <c r="D672" s="842">
        <v>46.44</v>
      </c>
      <c r="E672" s="843">
        <f t="shared" si="112"/>
        <v>-9.1743119266054496E-3</v>
      </c>
      <c r="F672" s="842">
        <v>31.03</v>
      </c>
      <c r="G672" s="843">
        <f t="shared" si="112"/>
        <v>-2.3292414227258362E-2</v>
      </c>
      <c r="H672" s="842">
        <v>54.7</v>
      </c>
      <c r="I672" s="843">
        <f t="shared" si="112"/>
        <v>-1.1207519884309458E-2</v>
      </c>
      <c r="J672" s="842">
        <v>86.53</v>
      </c>
      <c r="K672" s="843">
        <f t="shared" si="113"/>
        <v>-1.8489110707803902E-2</v>
      </c>
      <c r="L672" s="842">
        <v>92.21</v>
      </c>
      <c r="M672" s="843">
        <f t="shared" si="114"/>
        <v>-1.3796791443850376E-2</v>
      </c>
      <c r="N672" s="842">
        <v>77.7</v>
      </c>
      <c r="O672" s="843">
        <f t="shared" si="115"/>
        <v>-1.232998601754165E-2</v>
      </c>
      <c r="P672" s="844">
        <f t="shared" si="121"/>
        <v>-1.5301408085024972E-2</v>
      </c>
      <c r="Q672" s="830"/>
      <c r="R672" s="845">
        <v>1009.84</v>
      </c>
      <c r="S672" s="846">
        <f t="shared" si="116"/>
        <v>-1.9981949283308986E-2</v>
      </c>
      <c r="T672" s="845">
        <v>73.66</v>
      </c>
      <c r="U672" s="846">
        <f t="shared" si="117"/>
        <v>-1.956608545188343E-2</v>
      </c>
      <c r="V672" s="845">
        <v>120.07089999999999</v>
      </c>
      <c r="W672" s="846">
        <f t="shared" si="118"/>
        <v>-1.881937243153986E-2</v>
      </c>
      <c r="X672" s="845">
        <v>32910.9</v>
      </c>
      <c r="Y672" s="846">
        <f t="shared" si="119"/>
        <v>-8.1144925850221705E-3</v>
      </c>
      <c r="Z672" s="845">
        <v>4115.7725</v>
      </c>
      <c r="AA672" s="846">
        <f t="shared" si="120"/>
        <v>-1.0794092403043409E-2</v>
      </c>
      <c r="AB672" s="843"/>
      <c r="AC672" s="832"/>
    </row>
    <row r="673" spans="1:29" ht="14.4" x14ac:dyDescent="0.55000000000000004">
      <c r="A673" s="857" t="s">
        <v>5832</v>
      </c>
      <c r="B673" s="842">
        <v>117.43</v>
      </c>
      <c r="C673" s="843">
        <f t="shared" si="111"/>
        <v>5.7382665296334956E-3</v>
      </c>
      <c r="D673" s="842">
        <v>46.87</v>
      </c>
      <c r="E673" s="843">
        <f t="shared" si="112"/>
        <v>3.8552152495181513E-3</v>
      </c>
      <c r="F673" s="842">
        <v>31.77</v>
      </c>
      <c r="G673" s="843">
        <f t="shared" si="112"/>
        <v>3.1486146095716094E-4</v>
      </c>
      <c r="H673" s="842">
        <v>55.32</v>
      </c>
      <c r="I673" s="843">
        <f t="shared" si="112"/>
        <v>-2.3444544634806386E-3</v>
      </c>
      <c r="J673" s="842">
        <v>88.16</v>
      </c>
      <c r="K673" s="843">
        <f t="shared" si="113"/>
        <v>8.2342177493137658E-3</v>
      </c>
      <c r="L673" s="842">
        <v>93.5</v>
      </c>
      <c r="M673" s="843">
        <f t="shared" si="114"/>
        <v>2.6809651474530849E-3</v>
      </c>
      <c r="N673" s="842">
        <v>78.67</v>
      </c>
      <c r="O673" s="843">
        <f t="shared" si="115"/>
        <v>4.9821154828819658E-3</v>
      </c>
      <c r="P673" s="844">
        <f t="shared" si="121"/>
        <v>3.3515981651824267E-3</v>
      </c>
      <c r="Q673" s="830"/>
      <c r="R673" s="845">
        <v>1030.43</v>
      </c>
      <c r="S673" s="846">
        <f t="shared" si="116"/>
        <v>7.656952865245481E-3</v>
      </c>
      <c r="T673" s="845">
        <v>75.13</v>
      </c>
      <c r="U673" s="846">
        <f t="shared" si="117"/>
        <v>6.0257096946971789E-3</v>
      </c>
      <c r="V673" s="845">
        <v>122.37390000000001</v>
      </c>
      <c r="W673" s="846">
        <f t="shared" si="118"/>
        <v>5.7382040949836011E-3</v>
      </c>
      <c r="X673" s="845">
        <v>33180.14</v>
      </c>
      <c r="Y673" s="846">
        <f t="shared" si="119"/>
        <v>8.031406213068637E-3</v>
      </c>
      <c r="Z673" s="845">
        <v>4160.6832999999997</v>
      </c>
      <c r="AA673" s="846">
        <f t="shared" si="120"/>
        <v>9.5243412394738769E-3</v>
      </c>
      <c r="AB673" s="843"/>
      <c r="AC673" s="832"/>
    </row>
    <row r="674" spans="1:29" ht="14.4" x14ac:dyDescent="0.55000000000000004">
      <c r="A674" s="857" t="s">
        <v>5833</v>
      </c>
      <c r="B674" s="842">
        <v>116.76</v>
      </c>
      <c r="C674" s="843">
        <f t="shared" si="111"/>
        <v>5.5981396951167994E-3</v>
      </c>
      <c r="D674" s="842">
        <v>46.69</v>
      </c>
      <c r="E674" s="843">
        <f t="shared" si="112"/>
        <v>1.192024273948844E-2</v>
      </c>
      <c r="F674" s="842">
        <v>31.76</v>
      </c>
      <c r="G674" s="843">
        <f t="shared" si="112"/>
        <v>1.0821133036282626E-2</v>
      </c>
      <c r="H674" s="842">
        <v>55.45</v>
      </c>
      <c r="I674" s="843">
        <f t="shared" si="112"/>
        <v>4.8930772018846991E-3</v>
      </c>
      <c r="J674" s="842">
        <v>87.44</v>
      </c>
      <c r="K674" s="843">
        <f t="shared" si="113"/>
        <v>3.3275960986802744E-3</v>
      </c>
      <c r="L674" s="842">
        <v>93.25</v>
      </c>
      <c r="M674" s="843">
        <f t="shared" si="114"/>
        <v>-6.0754636538050688E-3</v>
      </c>
      <c r="N674" s="842">
        <v>78.28</v>
      </c>
      <c r="O674" s="843">
        <f t="shared" si="115"/>
        <v>8.6329081303955224E-3</v>
      </c>
      <c r="P674" s="844">
        <f t="shared" si="121"/>
        <v>5.588233321149042E-3</v>
      </c>
      <c r="Q674" s="830"/>
      <c r="R674" s="845">
        <v>1022.6</v>
      </c>
      <c r="S674" s="846">
        <f t="shared" si="116"/>
        <v>2.2444159128109931E-3</v>
      </c>
      <c r="T674" s="845">
        <v>74.680000000000007</v>
      </c>
      <c r="U674" s="846">
        <f t="shared" si="117"/>
        <v>4.4384667114998333E-3</v>
      </c>
      <c r="V674" s="845">
        <v>121.67570000000001</v>
      </c>
      <c r="W674" s="846">
        <f t="shared" si="118"/>
        <v>5.5984257630066203E-3</v>
      </c>
      <c r="X674" s="845">
        <v>32915.78</v>
      </c>
      <c r="Y674" s="846">
        <f t="shared" si="119"/>
        <v>4.8875825615435353E-4</v>
      </c>
      <c r="Z674" s="845">
        <v>4121.4294</v>
      </c>
      <c r="AA674" s="846">
        <f t="shared" si="120"/>
        <v>3.1383446276258553E-3</v>
      </c>
      <c r="AB674" s="843"/>
      <c r="AC674" s="832"/>
    </row>
    <row r="675" spans="1:29" ht="14.4" x14ac:dyDescent="0.55000000000000004">
      <c r="A675" s="857" t="s">
        <v>5834</v>
      </c>
      <c r="B675" s="842">
        <v>116.11</v>
      </c>
      <c r="C675" s="843">
        <f t="shared" si="111"/>
        <v>-4.2024013722126163E-3</v>
      </c>
      <c r="D675" s="842">
        <v>46.14</v>
      </c>
      <c r="E675" s="843">
        <f t="shared" si="112"/>
        <v>-9.2334120678548848E-3</v>
      </c>
      <c r="F675" s="842">
        <v>31.42</v>
      </c>
      <c r="G675" s="843">
        <f t="shared" si="112"/>
        <v>3.1836994587708389E-4</v>
      </c>
      <c r="H675" s="842">
        <v>55.18</v>
      </c>
      <c r="I675" s="843">
        <f t="shared" si="112"/>
        <v>-9.6913137114141845E-3</v>
      </c>
      <c r="J675" s="842">
        <v>87.15</v>
      </c>
      <c r="K675" s="843">
        <f t="shared" si="113"/>
        <v>4.7267696564445849E-3</v>
      </c>
      <c r="L675" s="842">
        <v>93.82</v>
      </c>
      <c r="M675" s="843">
        <f t="shared" si="114"/>
        <v>-6.3911376224967675E-4</v>
      </c>
      <c r="N675" s="842">
        <v>77.61</v>
      </c>
      <c r="O675" s="843">
        <f t="shared" si="115"/>
        <v>-7.544757033248084E-3</v>
      </c>
      <c r="P675" s="844">
        <f t="shared" si="121"/>
        <v>-3.7522654778082538E-3</v>
      </c>
      <c r="Q675" s="830"/>
      <c r="R675" s="845">
        <v>1020.31</v>
      </c>
      <c r="S675" s="846">
        <f t="shared" si="116"/>
        <v>-5.9139889709466376E-3</v>
      </c>
      <c r="T675" s="845">
        <v>74.349999999999994</v>
      </c>
      <c r="U675" s="846">
        <f t="shared" si="117"/>
        <v>-4.8186320439030927E-3</v>
      </c>
      <c r="V675" s="845">
        <v>120.9983</v>
      </c>
      <c r="W675" s="846">
        <f t="shared" si="118"/>
        <v>-4.2029808491551579E-3</v>
      </c>
      <c r="X675" s="845">
        <v>32899.699999999997</v>
      </c>
      <c r="Y675" s="846">
        <f t="shared" si="119"/>
        <v>-1.048415136061176E-2</v>
      </c>
      <c r="Z675" s="845">
        <v>4108.5353999999998</v>
      </c>
      <c r="AA675" s="846">
        <f t="shared" si="120"/>
        <v>-1.6347971502420622E-2</v>
      </c>
      <c r="AB675" s="843"/>
      <c r="AC675" s="832"/>
    </row>
    <row r="676" spans="1:29" ht="14.4" x14ac:dyDescent="0.55000000000000004">
      <c r="A676" s="857" t="s">
        <v>5835</v>
      </c>
      <c r="B676" s="842">
        <v>116.6</v>
      </c>
      <c r="C676" s="843">
        <f t="shared" si="111"/>
        <v>1.4601047839901682E-3</v>
      </c>
      <c r="D676" s="842">
        <v>46.57</v>
      </c>
      <c r="E676" s="843">
        <f t="shared" si="112"/>
        <v>1.4596949891067634E-2</v>
      </c>
      <c r="F676" s="842">
        <v>31.41</v>
      </c>
      <c r="G676" s="843">
        <f t="shared" si="112"/>
        <v>2.2335673261009159E-3</v>
      </c>
      <c r="H676" s="842">
        <v>55.72</v>
      </c>
      <c r="I676" s="843">
        <f t="shared" si="112"/>
        <v>2.0139143170999629E-2</v>
      </c>
      <c r="J676" s="842">
        <v>86.74</v>
      </c>
      <c r="K676" s="843">
        <f t="shared" si="113"/>
        <v>-2.3052097740905442E-4</v>
      </c>
      <c r="L676" s="842">
        <v>93.88</v>
      </c>
      <c r="M676" s="843">
        <f t="shared" si="114"/>
        <v>8.3780880773363098E-3</v>
      </c>
      <c r="N676" s="842">
        <v>78.2</v>
      </c>
      <c r="O676" s="843">
        <f t="shared" si="115"/>
        <v>5.1413881748072487E-3</v>
      </c>
      <c r="P676" s="844">
        <f t="shared" si="121"/>
        <v>7.3883886352704075E-3</v>
      </c>
      <c r="Q676" s="830"/>
      <c r="R676" s="845">
        <v>1026.3800000000001</v>
      </c>
      <c r="S676" s="846">
        <f t="shared" si="116"/>
        <v>5.1905825204685563E-3</v>
      </c>
      <c r="T676" s="845">
        <v>74.709999999999994</v>
      </c>
      <c r="U676" s="846">
        <f t="shared" si="117"/>
        <v>6.7376364371378727E-3</v>
      </c>
      <c r="V676" s="845">
        <v>121.509</v>
      </c>
      <c r="W676" s="846">
        <f t="shared" si="118"/>
        <v>1.4604580167771886E-3</v>
      </c>
      <c r="X676" s="845">
        <v>33248.28</v>
      </c>
      <c r="Y676" s="846">
        <f t="shared" si="119"/>
        <v>1.3258371699463867E-2</v>
      </c>
      <c r="Z676" s="845">
        <v>4176.8179</v>
      </c>
      <c r="AA676" s="846">
        <f t="shared" si="120"/>
        <v>1.8430593672171147E-2</v>
      </c>
      <c r="AB676" s="843"/>
      <c r="AC676" s="832"/>
    </row>
    <row r="677" spans="1:29" ht="14.4" x14ac:dyDescent="0.55000000000000004">
      <c r="A677" s="857" t="s">
        <v>5836</v>
      </c>
      <c r="B677" s="842">
        <v>116.43</v>
      </c>
      <c r="C677" s="843">
        <f t="shared" si="111"/>
        <v>1.0317255610008402E-3</v>
      </c>
      <c r="D677" s="842">
        <v>45.9</v>
      </c>
      <c r="E677" s="843">
        <f t="shared" si="112"/>
        <v>-4.3554006968649084E-4</v>
      </c>
      <c r="F677" s="842">
        <v>31.34</v>
      </c>
      <c r="G677" s="843">
        <f t="shared" si="112"/>
        <v>-3.4976152623211743E-3</v>
      </c>
      <c r="H677" s="842">
        <v>54.62</v>
      </c>
      <c r="I677" s="843">
        <f t="shared" si="112"/>
        <v>6.0784674894087676E-3</v>
      </c>
      <c r="J677" s="842">
        <v>86.76</v>
      </c>
      <c r="K677" s="843">
        <f t="shared" si="113"/>
        <v>-2.9878188922085602E-3</v>
      </c>
      <c r="L677" s="842">
        <v>93.1</v>
      </c>
      <c r="M677" s="843">
        <f t="shared" si="114"/>
        <v>-3.2213035541717172E-4</v>
      </c>
      <c r="N677" s="842">
        <v>77.8</v>
      </c>
      <c r="O677" s="843">
        <f t="shared" si="115"/>
        <v>-6.3856960408684715E-3</v>
      </c>
      <c r="P677" s="844">
        <f t="shared" si="121"/>
        <v>-9.3122965287032301E-4</v>
      </c>
      <c r="Q677" s="830"/>
      <c r="R677" s="845">
        <v>1021.08</v>
      </c>
      <c r="S677" s="846">
        <f t="shared" si="116"/>
        <v>-1.9256145838423278E-3</v>
      </c>
      <c r="T677" s="845">
        <v>74.209999999999994</v>
      </c>
      <c r="U677" s="846">
        <f t="shared" si="117"/>
        <v>-1.6144221713978446E-3</v>
      </c>
      <c r="V677" s="845">
        <v>121.3318</v>
      </c>
      <c r="W677" s="846">
        <f t="shared" si="118"/>
        <v>1.0312952738624759E-3</v>
      </c>
      <c r="X677" s="845">
        <v>32813.230000000003</v>
      </c>
      <c r="Y677" s="846">
        <f t="shared" si="119"/>
        <v>-5.3619083531675216E-3</v>
      </c>
      <c r="Z677" s="845">
        <v>4101.2298000000001</v>
      </c>
      <c r="AA677" s="846">
        <f t="shared" si="120"/>
        <v>-7.4823073850358579E-3</v>
      </c>
      <c r="AB677" s="843"/>
      <c r="AC677" s="832"/>
    </row>
    <row r="678" spans="1:29" ht="14.4" x14ac:dyDescent="0.55000000000000004">
      <c r="A678" s="857" t="s">
        <v>5837</v>
      </c>
      <c r="B678" s="842">
        <v>116.31</v>
      </c>
      <c r="C678" s="843">
        <f t="shared" si="111"/>
        <v>-1.1305678340700398E-2</v>
      </c>
      <c r="D678" s="842">
        <v>45.92</v>
      </c>
      <c r="E678" s="843">
        <f t="shared" si="112"/>
        <v>-7.7787381158167523E-3</v>
      </c>
      <c r="F678" s="842">
        <v>31.45</v>
      </c>
      <c r="G678" s="843">
        <f t="shared" si="112"/>
        <v>-9.7607052896726554E-3</v>
      </c>
      <c r="H678" s="842">
        <v>54.29</v>
      </c>
      <c r="I678" s="843">
        <f t="shared" si="112"/>
        <v>7.3732718894015115E-4</v>
      </c>
      <c r="J678" s="842">
        <v>87.02</v>
      </c>
      <c r="K678" s="843">
        <f t="shared" si="113"/>
        <v>-1.1136363636363722E-2</v>
      </c>
      <c r="L678" s="842">
        <v>93.13</v>
      </c>
      <c r="M678" s="843">
        <f t="shared" si="114"/>
        <v>-1.0518487037824098E-2</v>
      </c>
      <c r="N678" s="842">
        <v>78.3</v>
      </c>
      <c r="O678" s="843">
        <f t="shared" si="115"/>
        <v>-6.8493150684931781E-3</v>
      </c>
      <c r="P678" s="844">
        <f t="shared" si="121"/>
        <v>-8.0874228999900932E-3</v>
      </c>
      <c r="Q678" s="830"/>
      <c r="R678" s="845">
        <v>1023.05</v>
      </c>
      <c r="S678" s="846">
        <f t="shared" si="116"/>
        <v>-1.1832319134550406E-2</v>
      </c>
      <c r="T678" s="845">
        <v>74.33</v>
      </c>
      <c r="U678" s="846">
        <f t="shared" si="117"/>
        <v>-1.379859360488267E-2</v>
      </c>
      <c r="V678" s="845">
        <v>121.2068</v>
      </c>
      <c r="W678" s="846">
        <f t="shared" si="118"/>
        <v>-1.1304914566691138E-2</v>
      </c>
      <c r="X678" s="845">
        <v>32990.120000000003</v>
      </c>
      <c r="Y678" s="846">
        <f t="shared" si="119"/>
        <v>-6.7094290903308984E-3</v>
      </c>
      <c r="Z678" s="845">
        <v>4132.1477999999997</v>
      </c>
      <c r="AA678" s="846">
        <f t="shared" si="120"/>
        <v>-6.2744358284028134E-3</v>
      </c>
      <c r="AB678" s="843"/>
      <c r="AC678" s="832"/>
    </row>
    <row r="679" spans="1:29" ht="14.4" x14ac:dyDescent="0.55000000000000004">
      <c r="A679" s="857" t="s">
        <v>5838</v>
      </c>
      <c r="B679" s="842">
        <v>117.64</v>
      </c>
      <c r="C679" s="843">
        <f t="shared" si="111"/>
        <v>7.7094397807093706E-3</v>
      </c>
      <c r="D679" s="842">
        <v>46.28</v>
      </c>
      <c r="E679" s="843">
        <f t="shared" si="112"/>
        <v>1.9484736956052462E-3</v>
      </c>
      <c r="F679" s="842">
        <v>31.76</v>
      </c>
      <c r="G679" s="843">
        <f t="shared" si="112"/>
        <v>6.9752694990488084E-3</v>
      </c>
      <c r="H679" s="842">
        <v>54.25</v>
      </c>
      <c r="I679" s="843">
        <f t="shared" si="112"/>
        <v>-8.7703270601132699E-3</v>
      </c>
      <c r="J679" s="842">
        <v>88</v>
      </c>
      <c r="K679" s="843">
        <f t="shared" si="113"/>
        <v>-2.3806824623058276E-3</v>
      </c>
      <c r="L679" s="842">
        <v>94.12</v>
      </c>
      <c r="M679" s="843">
        <f t="shared" si="114"/>
        <v>7.8166827283434603E-3</v>
      </c>
      <c r="N679" s="842">
        <v>78.84</v>
      </c>
      <c r="O679" s="843">
        <f t="shared" si="115"/>
        <v>6.639427987742641E-3</v>
      </c>
      <c r="P679" s="844">
        <f t="shared" si="121"/>
        <v>2.8483263098614897E-3</v>
      </c>
      <c r="Q679" s="830"/>
      <c r="R679" s="845">
        <v>1035.3</v>
      </c>
      <c r="S679" s="846">
        <f t="shared" si="116"/>
        <v>1.2974051896207595E-2</v>
      </c>
      <c r="T679" s="845">
        <v>75.37</v>
      </c>
      <c r="U679" s="846">
        <f t="shared" si="117"/>
        <v>1.5631316534159945E-2</v>
      </c>
      <c r="V679" s="845">
        <v>122.59269999999999</v>
      </c>
      <c r="W679" s="846">
        <f t="shared" si="118"/>
        <v>7.7086907309118491E-3</v>
      </c>
      <c r="X679" s="845">
        <v>33212.959999999999</v>
      </c>
      <c r="Y679" s="846">
        <f t="shared" si="119"/>
        <v>1.764153102641508E-2</v>
      </c>
      <c r="Z679" s="845">
        <v>4158.2384000000002</v>
      </c>
      <c r="AA679" s="846">
        <f t="shared" si="120"/>
        <v>2.4741631066452996E-2</v>
      </c>
      <c r="AB679" s="843"/>
      <c r="AC679" s="832"/>
    </row>
    <row r="680" spans="1:29" ht="14.4" x14ac:dyDescent="0.55000000000000004">
      <c r="A680" s="857" t="s">
        <v>5839</v>
      </c>
      <c r="B680" s="842">
        <v>116.74</v>
      </c>
      <c r="C680" s="843">
        <f t="shared" si="111"/>
        <v>7.0738440303657057E-3</v>
      </c>
      <c r="D680" s="842">
        <v>46.19</v>
      </c>
      <c r="E680" s="843">
        <f t="shared" si="112"/>
        <v>2.1654395842340968E-4</v>
      </c>
      <c r="F680" s="842">
        <v>31.54</v>
      </c>
      <c r="G680" s="843">
        <f t="shared" si="112"/>
        <v>3.1806615776079905E-3</v>
      </c>
      <c r="H680" s="842">
        <v>54.73</v>
      </c>
      <c r="I680" s="843">
        <f t="shared" si="112"/>
        <v>3.4836817015033716E-3</v>
      </c>
      <c r="J680" s="842">
        <v>88.21</v>
      </c>
      <c r="K680" s="843">
        <f t="shared" si="113"/>
        <v>6.8065796937033518E-4</v>
      </c>
      <c r="L680" s="842">
        <v>93.39</v>
      </c>
      <c r="M680" s="843">
        <f t="shared" si="114"/>
        <v>3.1149301825994513E-3</v>
      </c>
      <c r="N680" s="842">
        <v>78.319999999999993</v>
      </c>
      <c r="O680" s="843">
        <f t="shared" si="115"/>
        <v>1.790739319518897E-3</v>
      </c>
      <c r="P680" s="844">
        <f t="shared" si="121"/>
        <v>2.7915798199127373E-3</v>
      </c>
      <c r="Q680" s="830"/>
      <c r="R680" s="845">
        <v>1022.04</v>
      </c>
      <c r="S680" s="846">
        <f t="shared" si="116"/>
        <v>1.2932047966141003E-3</v>
      </c>
      <c r="T680" s="845">
        <v>74.209999999999994</v>
      </c>
      <c r="U680" s="846">
        <f t="shared" si="117"/>
        <v>2.8378378378377533E-3</v>
      </c>
      <c r="V680" s="845">
        <v>121.6549</v>
      </c>
      <c r="W680" s="846">
        <f t="shared" si="118"/>
        <v>7.0744857421711771E-3</v>
      </c>
      <c r="X680" s="845">
        <v>32637.19</v>
      </c>
      <c r="Y680" s="846">
        <f t="shared" si="119"/>
        <v>1.6092948131211759E-2</v>
      </c>
      <c r="Z680" s="845">
        <v>4057.8407999999999</v>
      </c>
      <c r="AA680" s="846">
        <f t="shared" si="120"/>
        <v>1.9882738038672354E-2</v>
      </c>
      <c r="AB680" s="843"/>
      <c r="AC680" s="832"/>
    </row>
    <row r="681" spans="1:29" ht="14.4" x14ac:dyDescent="0.55000000000000004">
      <c r="A681" s="857" t="s">
        <v>5840</v>
      </c>
      <c r="B681" s="842">
        <v>115.92</v>
      </c>
      <c r="C681" s="843">
        <f t="shared" si="111"/>
        <v>-9.4803068172022442E-4</v>
      </c>
      <c r="D681" s="842">
        <v>46.18</v>
      </c>
      <c r="E681" s="843">
        <f t="shared" si="112"/>
        <v>3.2587442971974134E-3</v>
      </c>
      <c r="F681" s="842">
        <v>31.44</v>
      </c>
      <c r="G681" s="843">
        <f t="shared" si="112"/>
        <v>6.4020486555698142E-3</v>
      </c>
      <c r="H681" s="842">
        <v>54.54</v>
      </c>
      <c r="I681" s="843">
        <f t="shared" si="112"/>
        <v>-1.0342950462710943E-2</v>
      </c>
      <c r="J681" s="842">
        <v>88.15</v>
      </c>
      <c r="K681" s="843">
        <f t="shared" si="113"/>
        <v>-5.4157734401443225E-3</v>
      </c>
      <c r="L681" s="842">
        <v>93.1</v>
      </c>
      <c r="M681" s="843">
        <f t="shared" si="114"/>
        <v>-1.1047376248141116E-2</v>
      </c>
      <c r="N681" s="842">
        <v>78.180000000000007</v>
      </c>
      <c r="O681" s="843">
        <f t="shared" si="115"/>
        <v>3.2080071859361681E-3</v>
      </c>
      <c r="P681" s="844">
        <f t="shared" si="121"/>
        <v>-2.1264758134304585E-3</v>
      </c>
      <c r="Q681" s="830"/>
      <c r="R681" s="845">
        <v>1020.72</v>
      </c>
      <c r="S681" s="846">
        <f t="shared" si="116"/>
        <v>-1.6041316170428699E-3</v>
      </c>
      <c r="T681" s="845">
        <v>74</v>
      </c>
      <c r="U681" s="846">
        <f t="shared" si="117"/>
        <v>-6.7521944631998565E-4</v>
      </c>
      <c r="V681" s="845">
        <v>120.80029999999999</v>
      </c>
      <c r="W681" s="846">
        <f t="shared" si="118"/>
        <v>-9.4860025637855117E-4</v>
      </c>
      <c r="X681" s="845">
        <v>32120.28</v>
      </c>
      <c r="Y681" s="846">
        <f t="shared" si="119"/>
        <v>6.0027649174940745E-3</v>
      </c>
      <c r="Z681" s="845">
        <v>3978.7327</v>
      </c>
      <c r="AA681" s="846">
        <f t="shared" si="120"/>
        <v>9.4522436500896756E-3</v>
      </c>
      <c r="AB681" s="843"/>
      <c r="AC681" s="832"/>
    </row>
    <row r="682" spans="1:29" ht="14.4" x14ac:dyDescent="0.55000000000000004">
      <c r="A682" s="857" t="s">
        <v>5841</v>
      </c>
      <c r="B682" s="842">
        <v>116.03</v>
      </c>
      <c r="C682" s="843">
        <f t="shared" si="111"/>
        <v>2.0761854491070597E-2</v>
      </c>
      <c r="D682" s="842">
        <v>46.03</v>
      </c>
      <c r="E682" s="843">
        <f t="shared" si="112"/>
        <v>1.4770723104056582E-2</v>
      </c>
      <c r="F682" s="842">
        <v>31.24</v>
      </c>
      <c r="G682" s="843">
        <f t="shared" si="112"/>
        <v>1.5934959349593436E-2</v>
      </c>
      <c r="H682" s="842">
        <v>55.11</v>
      </c>
      <c r="I682" s="843">
        <f t="shared" si="112"/>
        <v>5.0114329268292845E-2</v>
      </c>
      <c r="J682" s="842">
        <v>88.63</v>
      </c>
      <c r="K682" s="843">
        <f t="shared" si="113"/>
        <v>2.2850548182342667E-2</v>
      </c>
      <c r="L682" s="842">
        <v>94.14</v>
      </c>
      <c r="M682" s="843">
        <f t="shared" si="114"/>
        <v>1.34567768328131E-2</v>
      </c>
      <c r="N682" s="842">
        <v>77.930000000000007</v>
      </c>
      <c r="O682" s="843">
        <f t="shared" si="115"/>
        <v>3.2048735266852146E-2</v>
      </c>
      <c r="P682" s="844">
        <f t="shared" si="121"/>
        <v>2.4276846642145911E-2</v>
      </c>
      <c r="Q682" s="830"/>
      <c r="R682" s="845">
        <v>1022.36</v>
      </c>
      <c r="S682" s="846">
        <f t="shared" si="116"/>
        <v>1.7253387992278713E-2</v>
      </c>
      <c r="T682" s="845">
        <v>74.05</v>
      </c>
      <c r="U682" s="846">
        <f t="shared" si="117"/>
        <v>1.9972451790633672E-2</v>
      </c>
      <c r="V682" s="845">
        <v>120.91500000000001</v>
      </c>
      <c r="W682" s="846">
        <f t="shared" si="118"/>
        <v>2.076220963804154E-2</v>
      </c>
      <c r="X682" s="845">
        <v>31928.62</v>
      </c>
      <c r="Y682" s="846">
        <f t="shared" si="119"/>
        <v>1.5175544475196645E-3</v>
      </c>
      <c r="Z682" s="845">
        <v>3941.4769000000001</v>
      </c>
      <c r="AA682" s="846">
        <f t="shared" si="120"/>
        <v>-8.1219721937324518E-3</v>
      </c>
      <c r="AB682" s="843"/>
      <c r="AC682" s="832"/>
    </row>
    <row r="683" spans="1:29" ht="14.4" x14ac:dyDescent="0.55000000000000004">
      <c r="A683" s="857" t="s">
        <v>5842</v>
      </c>
      <c r="B683" s="842">
        <v>113.67</v>
      </c>
      <c r="C683" s="843">
        <f t="shared" si="111"/>
        <v>1.7636526410026887E-2</v>
      </c>
      <c r="D683" s="842">
        <v>45.36</v>
      </c>
      <c r="E683" s="843">
        <f t="shared" si="112"/>
        <v>1.0020040080160442E-2</v>
      </c>
      <c r="F683" s="842">
        <v>30.75</v>
      </c>
      <c r="G683" s="843">
        <f t="shared" si="112"/>
        <v>1.5521796565389767E-2</v>
      </c>
      <c r="H683" s="842">
        <v>52.48</v>
      </c>
      <c r="I683" s="843">
        <f t="shared" si="112"/>
        <v>1.351873310158358E-2</v>
      </c>
      <c r="J683" s="842">
        <v>86.65</v>
      </c>
      <c r="K683" s="843">
        <f t="shared" si="113"/>
        <v>1.1203174232699453E-2</v>
      </c>
      <c r="L683" s="842">
        <v>92.89</v>
      </c>
      <c r="M683" s="843">
        <f t="shared" si="114"/>
        <v>-1.1493029690326728E-2</v>
      </c>
      <c r="N683" s="842">
        <v>75.510000000000005</v>
      </c>
      <c r="O683" s="843">
        <f t="shared" si="115"/>
        <v>1.9904458598727359E-3</v>
      </c>
      <c r="P683" s="844">
        <f t="shared" si="121"/>
        <v>8.3425266513437336E-3</v>
      </c>
      <c r="Q683" s="830"/>
      <c r="R683" s="845">
        <v>1005.02</v>
      </c>
      <c r="S683" s="846">
        <f t="shared" si="116"/>
        <v>1.4290616232363718E-2</v>
      </c>
      <c r="T683" s="845">
        <v>72.599999999999994</v>
      </c>
      <c r="U683" s="846">
        <f t="shared" si="117"/>
        <v>1.1987733482018426E-2</v>
      </c>
      <c r="V683" s="845">
        <v>118.4556</v>
      </c>
      <c r="W683" s="846">
        <f t="shared" si="118"/>
        <v>1.7636188851289702E-2</v>
      </c>
      <c r="X683" s="845">
        <v>31880.240000000002</v>
      </c>
      <c r="Y683" s="846">
        <f t="shared" si="119"/>
        <v>1.9779348024272281E-2</v>
      </c>
      <c r="Z683" s="845">
        <v>3973.7516000000001</v>
      </c>
      <c r="AA683" s="846">
        <f t="shared" si="120"/>
        <v>1.8555321443498585E-2</v>
      </c>
      <c r="AB683" s="843"/>
      <c r="AC683" s="832"/>
    </row>
    <row r="684" spans="1:29" ht="14.4" x14ac:dyDescent="0.55000000000000004">
      <c r="A684" s="857" t="s">
        <v>5843</v>
      </c>
      <c r="B684" s="842">
        <v>111.7</v>
      </c>
      <c r="C684" s="843">
        <f t="shared" si="111"/>
        <v>2.9630959863518047E-3</v>
      </c>
      <c r="D684" s="842">
        <v>44.91</v>
      </c>
      <c r="E684" s="843">
        <f t="shared" si="112"/>
        <v>-1.3183915622940079E-2</v>
      </c>
      <c r="F684" s="842">
        <v>30.28</v>
      </c>
      <c r="G684" s="843">
        <f t="shared" si="112"/>
        <v>-9.8977235235886418E-4</v>
      </c>
      <c r="H684" s="842">
        <v>51.78</v>
      </c>
      <c r="I684" s="843">
        <f t="shared" si="112"/>
        <v>5.0465838509317074E-3</v>
      </c>
      <c r="J684" s="842">
        <v>85.69</v>
      </c>
      <c r="K684" s="843">
        <f t="shared" si="113"/>
        <v>-5.224053865799938E-3</v>
      </c>
      <c r="L684" s="842">
        <v>93.97</v>
      </c>
      <c r="M684" s="843">
        <f t="shared" si="114"/>
        <v>2.0636472249375482E-2</v>
      </c>
      <c r="N684" s="842">
        <v>75.36</v>
      </c>
      <c r="O684" s="843">
        <f t="shared" si="115"/>
        <v>-6.3291139240506666E-3</v>
      </c>
      <c r="P684" s="844">
        <f t="shared" si="121"/>
        <v>4.1704233164420657E-4</v>
      </c>
      <c r="Q684" s="830"/>
      <c r="R684" s="845">
        <v>990.86</v>
      </c>
      <c r="S684" s="846">
        <f t="shared" si="116"/>
        <v>1.4756418031129925E-3</v>
      </c>
      <c r="T684" s="845">
        <v>71.739999999999995</v>
      </c>
      <c r="U684" s="846">
        <f t="shared" si="117"/>
        <v>2.7956388034664492E-3</v>
      </c>
      <c r="V684" s="845">
        <v>116.4027</v>
      </c>
      <c r="W684" s="846">
        <f t="shared" si="118"/>
        <v>2.963153160294496E-3</v>
      </c>
      <c r="X684" s="845">
        <v>31261.9</v>
      </c>
      <c r="Y684" s="846">
        <f t="shared" si="119"/>
        <v>2.806118939127078E-4</v>
      </c>
      <c r="Z684" s="845">
        <v>3901.3606</v>
      </c>
      <c r="AA684" s="846">
        <f t="shared" si="120"/>
        <v>1.4707288931870011E-4</v>
      </c>
      <c r="AB684" s="843"/>
      <c r="AC684" s="832"/>
    </row>
    <row r="685" spans="1:29" ht="14.4" x14ac:dyDescent="0.55000000000000004">
      <c r="A685" s="857" t="s">
        <v>5844</v>
      </c>
      <c r="B685" s="842">
        <v>111.37</v>
      </c>
      <c r="C685" s="843">
        <f t="shared" si="111"/>
        <v>-4.2914617791683929E-3</v>
      </c>
      <c r="D685" s="842">
        <v>45.51</v>
      </c>
      <c r="E685" s="843">
        <f t="shared" si="112"/>
        <v>-6.5876152832677892E-4</v>
      </c>
      <c r="F685" s="842">
        <v>30.31</v>
      </c>
      <c r="G685" s="843">
        <f t="shared" si="112"/>
        <v>-8.1806282722513002E-3</v>
      </c>
      <c r="H685" s="842">
        <v>51.52</v>
      </c>
      <c r="I685" s="843">
        <f t="shared" si="112"/>
        <v>8.8114352849031352E-3</v>
      </c>
      <c r="J685" s="842">
        <v>86.14</v>
      </c>
      <c r="K685" s="843">
        <f t="shared" si="113"/>
        <v>-1.4078058830262141E-2</v>
      </c>
      <c r="L685" s="842">
        <v>92.07</v>
      </c>
      <c r="M685" s="843">
        <f t="shared" si="114"/>
        <v>4.0348964013086075E-3</v>
      </c>
      <c r="N685" s="842">
        <v>75.84</v>
      </c>
      <c r="O685" s="843">
        <f t="shared" si="115"/>
        <v>-1.147028154327423E-2</v>
      </c>
      <c r="P685" s="844">
        <f t="shared" si="121"/>
        <v>-3.6904086095815858E-3</v>
      </c>
      <c r="Q685" s="830"/>
      <c r="R685" s="845">
        <v>989.4</v>
      </c>
      <c r="S685" s="846">
        <f t="shared" si="116"/>
        <v>-2.2991287512100778E-3</v>
      </c>
      <c r="T685" s="845">
        <v>71.540000000000006</v>
      </c>
      <c r="U685" s="846">
        <f t="shared" si="117"/>
        <v>-2.0923420281767635E-3</v>
      </c>
      <c r="V685" s="845">
        <v>116.05880000000001</v>
      </c>
      <c r="W685" s="846">
        <f t="shared" si="118"/>
        <v>-4.2913889103372016E-3</v>
      </c>
      <c r="X685" s="845">
        <v>31253.13</v>
      </c>
      <c r="Y685" s="846">
        <f t="shared" si="119"/>
        <v>-7.5242767005598843E-3</v>
      </c>
      <c r="Z685" s="845">
        <v>3900.7869000000001</v>
      </c>
      <c r="AA685" s="846">
        <f t="shared" si="120"/>
        <v>-5.8345484766620936E-3</v>
      </c>
      <c r="AB685" s="843"/>
      <c r="AC685" s="832"/>
    </row>
    <row r="686" spans="1:29" ht="14.4" x14ac:dyDescent="0.55000000000000004">
      <c r="A686" s="857" t="s">
        <v>5845</v>
      </c>
      <c r="B686" s="842">
        <v>111.85</v>
      </c>
      <c r="C686" s="843">
        <f t="shared" si="111"/>
        <v>-1.6703296703296733E-2</v>
      </c>
      <c r="D686" s="842">
        <v>45.54</v>
      </c>
      <c r="E686" s="843">
        <f t="shared" si="112"/>
        <v>3.0837004405286361E-3</v>
      </c>
      <c r="F686" s="842">
        <v>30.56</v>
      </c>
      <c r="G686" s="843">
        <f t="shared" si="112"/>
        <v>-6.1788617886179287E-3</v>
      </c>
      <c r="H686" s="842">
        <v>51.07</v>
      </c>
      <c r="I686" s="843">
        <f t="shared" si="112"/>
        <v>-5.8708414872798986E-4</v>
      </c>
      <c r="J686" s="842">
        <v>87.37</v>
      </c>
      <c r="K686" s="843">
        <f t="shared" si="113"/>
        <v>-2.0559680182752338E-3</v>
      </c>
      <c r="L686" s="842">
        <v>91.7</v>
      </c>
      <c r="M686" s="843">
        <f t="shared" si="114"/>
        <v>-1.6516516516516422E-2</v>
      </c>
      <c r="N686" s="842">
        <v>76.72</v>
      </c>
      <c r="O686" s="843">
        <f t="shared" si="115"/>
        <v>-3.8950921838483143E-3</v>
      </c>
      <c r="P686" s="844">
        <f t="shared" si="121"/>
        <v>-6.1218741312505697E-3</v>
      </c>
      <c r="Q686" s="830"/>
      <c r="R686" s="845">
        <v>991.68</v>
      </c>
      <c r="S686" s="846">
        <f t="shared" si="116"/>
        <v>-9.9239232443442127E-3</v>
      </c>
      <c r="T686" s="845">
        <v>71.69</v>
      </c>
      <c r="U686" s="846">
        <f t="shared" si="117"/>
        <v>-9.6698439010913795E-3</v>
      </c>
      <c r="V686" s="845">
        <v>116.559</v>
      </c>
      <c r="W686" s="846">
        <f t="shared" si="118"/>
        <v>-1.6703363450003783E-2</v>
      </c>
      <c r="X686" s="845">
        <v>31490.07</v>
      </c>
      <c r="Y686" s="846">
        <f t="shared" si="119"/>
        <v>-3.5661755361191205E-2</v>
      </c>
      <c r="Z686" s="845">
        <v>3923.6797999999999</v>
      </c>
      <c r="AA686" s="846">
        <f t="shared" si="120"/>
        <v>-4.0395363938969253E-2</v>
      </c>
      <c r="AB686" s="843"/>
      <c r="AC686" s="832"/>
    </row>
    <row r="687" spans="1:29" ht="14.4" x14ac:dyDescent="0.55000000000000004">
      <c r="A687" s="857" t="s">
        <v>5846</v>
      </c>
      <c r="B687" s="842">
        <v>113.75</v>
      </c>
      <c r="C687" s="843">
        <f t="shared" si="111"/>
        <v>5.2138564863910553E-3</v>
      </c>
      <c r="D687" s="842">
        <v>45.4</v>
      </c>
      <c r="E687" s="843">
        <f t="shared" si="112"/>
        <v>1.7252968855030248E-2</v>
      </c>
      <c r="F687" s="842">
        <v>30.75</v>
      </c>
      <c r="G687" s="843">
        <f t="shared" si="112"/>
        <v>1.0515938218862875E-2</v>
      </c>
      <c r="H687" s="842">
        <v>51.1</v>
      </c>
      <c r="I687" s="843">
        <f t="shared" si="112"/>
        <v>6.3016935801496476E-3</v>
      </c>
      <c r="J687" s="842">
        <v>87.55</v>
      </c>
      <c r="K687" s="843">
        <f t="shared" si="113"/>
        <v>1.8496975337366273E-2</v>
      </c>
      <c r="L687" s="842">
        <v>93.24</v>
      </c>
      <c r="M687" s="843">
        <f t="shared" si="114"/>
        <v>1.5133369624387605E-2</v>
      </c>
      <c r="N687" s="842">
        <v>77.02</v>
      </c>
      <c r="O687" s="843">
        <f t="shared" si="115"/>
        <v>2.1620904629261029E-2</v>
      </c>
      <c r="P687" s="844">
        <f t="shared" si="121"/>
        <v>1.3505100961635532E-2</v>
      </c>
      <c r="Q687" s="830"/>
      <c r="R687" s="845">
        <v>1001.62</v>
      </c>
      <c r="S687" s="846">
        <f t="shared" si="116"/>
        <v>7.8669609976558252E-3</v>
      </c>
      <c r="T687" s="845">
        <v>72.39</v>
      </c>
      <c r="U687" s="846">
        <f t="shared" si="117"/>
        <v>1.0327983251918971E-2</v>
      </c>
      <c r="V687" s="845">
        <v>118.539</v>
      </c>
      <c r="W687" s="846">
        <f t="shared" si="118"/>
        <v>5.2143709385952253E-3</v>
      </c>
      <c r="X687" s="845">
        <v>32654.59</v>
      </c>
      <c r="Y687" s="846">
        <f t="shared" si="119"/>
        <v>1.3380596512324372E-2</v>
      </c>
      <c r="Z687" s="845">
        <v>4088.8503999999998</v>
      </c>
      <c r="AA687" s="846">
        <f t="shared" si="120"/>
        <v>2.0169582889066673E-2</v>
      </c>
      <c r="AB687" s="843"/>
      <c r="AC687" s="832"/>
    </row>
    <row r="688" spans="1:29" ht="14.4" x14ac:dyDescent="0.55000000000000004">
      <c r="A688" s="857" t="s">
        <v>5847</v>
      </c>
      <c r="B688" s="842">
        <v>113.16</v>
      </c>
      <c r="C688" s="843">
        <f t="shared" si="111"/>
        <v>1.770538243626163E-3</v>
      </c>
      <c r="D688" s="842">
        <v>44.63</v>
      </c>
      <c r="E688" s="843">
        <f t="shared" si="112"/>
        <v>1.3857337573830009E-2</v>
      </c>
      <c r="F688" s="842">
        <v>30.43</v>
      </c>
      <c r="G688" s="843">
        <f t="shared" si="112"/>
        <v>3.6279683377309357E-3</v>
      </c>
      <c r="H688" s="842">
        <v>50.78</v>
      </c>
      <c r="I688" s="843">
        <f t="shared" si="112"/>
        <v>2.9626703535452492E-3</v>
      </c>
      <c r="J688" s="842">
        <v>85.96</v>
      </c>
      <c r="K688" s="843">
        <f t="shared" si="113"/>
        <v>1.2485276796230682E-2</v>
      </c>
      <c r="L688" s="842">
        <v>91.85</v>
      </c>
      <c r="M688" s="843">
        <f t="shared" si="114"/>
        <v>7.5691092584466713E-3</v>
      </c>
      <c r="N688" s="842">
        <v>75.39</v>
      </c>
      <c r="O688" s="843">
        <f t="shared" si="115"/>
        <v>1.1946308724832155E-2</v>
      </c>
      <c r="P688" s="844">
        <f t="shared" si="121"/>
        <v>7.7456013268916947E-3</v>
      </c>
      <c r="Q688" s="830"/>
      <c r="R688" s="845">
        <v>993.80179999999996</v>
      </c>
      <c r="S688" s="846">
        <f t="shared" si="116"/>
        <v>1.0695650422063441E-3</v>
      </c>
      <c r="T688" s="845">
        <v>71.650000000000006</v>
      </c>
      <c r="U688" s="846">
        <f t="shared" si="117"/>
        <v>3.0799384012318853E-3</v>
      </c>
      <c r="V688" s="845">
        <v>117.9241</v>
      </c>
      <c r="W688" s="846">
        <f t="shared" si="118"/>
        <v>1.7703670793276505E-3</v>
      </c>
      <c r="X688" s="845">
        <v>32223.421399999999</v>
      </c>
      <c r="Y688" s="846">
        <f t="shared" si="119"/>
        <v>8.3118559502759481E-4</v>
      </c>
      <c r="Z688" s="845">
        <v>4008.0104999999999</v>
      </c>
      <c r="AA688" s="846">
        <f t="shared" si="120"/>
        <v>-3.9466274846937655E-3</v>
      </c>
      <c r="AB688" s="843"/>
      <c r="AC688" s="832"/>
    </row>
    <row r="689" spans="1:29" ht="14.4" x14ac:dyDescent="0.55000000000000004">
      <c r="A689" s="857" t="s">
        <v>5848</v>
      </c>
      <c r="B689" s="842">
        <v>112.96</v>
      </c>
      <c r="C689" s="843">
        <f t="shared" si="111"/>
        <v>7.7616201266839102E-3</v>
      </c>
      <c r="D689" s="842">
        <v>44.02</v>
      </c>
      <c r="E689" s="843">
        <f t="shared" si="112"/>
        <v>8.2455336692626169E-3</v>
      </c>
      <c r="F689" s="842">
        <v>30.32</v>
      </c>
      <c r="G689" s="843">
        <f t="shared" si="112"/>
        <v>2.3978385680513359E-2</v>
      </c>
      <c r="H689" s="842">
        <v>50.63</v>
      </c>
      <c r="I689" s="843">
        <f t="shared" si="112"/>
        <v>9.7726366174710755E-3</v>
      </c>
      <c r="J689" s="842">
        <v>84.9</v>
      </c>
      <c r="K689" s="843">
        <f t="shared" si="113"/>
        <v>-5.1558471994375132E-3</v>
      </c>
      <c r="L689" s="842">
        <v>91.16</v>
      </c>
      <c r="M689" s="843">
        <f t="shared" si="114"/>
        <v>-1.085069444444442E-2</v>
      </c>
      <c r="N689" s="842">
        <v>74.5</v>
      </c>
      <c r="O689" s="843">
        <f t="shared" si="115"/>
        <v>-3.3444816053511683E-3</v>
      </c>
      <c r="P689" s="844">
        <f t="shared" si="121"/>
        <v>4.3438789778139798E-3</v>
      </c>
      <c r="Q689" s="830"/>
      <c r="R689" s="845">
        <v>992.74</v>
      </c>
      <c r="S689" s="846">
        <f t="shared" si="116"/>
        <v>1.0072850107850639E-2</v>
      </c>
      <c r="T689" s="845">
        <v>71.430000000000007</v>
      </c>
      <c r="U689" s="846">
        <f t="shared" si="117"/>
        <v>1.1899702507437437E-2</v>
      </c>
      <c r="V689" s="845">
        <v>117.7157</v>
      </c>
      <c r="W689" s="846">
        <f t="shared" si="118"/>
        <v>7.7613816046866457E-3</v>
      </c>
      <c r="X689" s="845">
        <v>32196.66</v>
      </c>
      <c r="Y689" s="846">
        <f t="shared" si="119"/>
        <v>1.4697623407279536E-2</v>
      </c>
      <c r="Z689" s="845">
        <v>4023.8912999999998</v>
      </c>
      <c r="AA689" s="846">
        <f t="shared" si="120"/>
        <v>2.386957890114183E-2</v>
      </c>
      <c r="AB689" s="843"/>
      <c r="AC689" s="832"/>
    </row>
    <row r="690" spans="1:29" ht="14.4" x14ac:dyDescent="0.55000000000000004">
      <c r="A690" s="857" t="s">
        <v>5849</v>
      </c>
      <c r="B690" s="842">
        <v>112.09</v>
      </c>
      <c r="C690" s="843">
        <f t="shared" si="111"/>
        <v>-4.7060912804119948E-3</v>
      </c>
      <c r="D690" s="842">
        <v>43.66</v>
      </c>
      <c r="E690" s="843">
        <f t="shared" si="112"/>
        <v>-2.5131368517250507E-3</v>
      </c>
      <c r="F690" s="842">
        <v>29.61</v>
      </c>
      <c r="G690" s="843">
        <f t="shared" si="112"/>
        <v>-2.0222446916077219E-3</v>
      </c>
      <c r="H690" s="842">
        <v>50.14</v>
      </c>
      <c r="I690" s="843">
        <f t="shared" si="112"/>
        <v>6.4231232436773311E-3</v>
      </c>
      <c r="J690" s="842">
        <v>85.34</v>
      </c>
      <c r="K690" s="843">
        <f t="shared" si="113"/>
        <v>8.8662962525121181E-3</v>
      </c>
      <c r="L690" s="842">
        <v>92.16</v>
      </c>
      <c r="M690" s="843">
        <f t="shared" si="114"/>
        <v>1.6097023153252454E-2</v>
      </c>
      <c r="N690" s="842">
        <v>74.75</v>
      </c>
      <c r="O690" s="843">
        <f t="shared" si="115"/>
        <v>8.3636854175097586E-3</v>
      </c>
      <c r="P690" s="844">
        <f t="shared" si="121"/>
        <v>4.3583793204581278E-3</v>
      </c>
      <c r="Q690" s="830"/>
      <c r="R690" s="845">
        <v>982.84</v>
      </c>
      <c r="S690" s="846">
        <f t="shared" si="116"/>
        <v>-8.3842001715178638E-3</v>
      </c>
      <c r="T690" s="845">
        <v>70.59</v>
      </c>
      <c r="U690" s="846">
        <f t="shared" si="117"/>
        <v>-1.0096760622633538E-2</v>
      </c>
      <c r="V690" s="845">
        <v>116.8091</v>
      </c>
      <c r="W690" s="846">
        <f t="shared" si="118"/>
        <v>-4.7059765817381027E-3</v>
      </c>
      <c r="X690" s="845">
        <v>31730.3</v>
      </c>
      <c r="Y690" s="846">
        <f t="shared" si="119"/>
        <v>-3.2609675596396714E-3</v>
      </c>
      <c r="Z690" s="845">
        <v>3930.0819000000001</v>
      </c>
      <c r="AA690" s="846">
        <f t="shared" si="120"/>
        <v>-1.2966863104719728E-3</v>
      </c>
      <c r="AB690" s="843"/>
      <c r="AC690" s="832"/>
    </row>
    <row r="691" spans="1:29" ht="14.4" x14ac:dyDescent="0.55000000000000004">
      <c r="A691" s="857" t="s">
        <v>5850</v>
      </c>
      <c r="B691" s="842">
        <v>112.62</v>
      </c>
      <c r="C691" s="843">
        <f t="shared" si="111"/>
        <v>-4.3320661303155594E-3</v>
      </c>
      <c r="D691" s="842">
        <v>43.77</v>
      </c>
      <c r="E691" s="843">
        <f t="shared" si="112"/>
        <v>-1.8244013683009763E-3</v>
      </c>
      <c r="F691" s="842">
        <v>29.67</v>
      </c>
      <c r="G691" s="843">
        <f t="shared" si="112"/>
        <v>1.1937244201910113E-2</v>
      </c>
      <c r="H691" s="842">
        <v>49.82</v>
      </c>
      <c r="I691" s="843">
        <f t="shared" si="112"/>
        <v>1.1779041429731851E-2</v>
      </c>
      <c r="J691" s="842">
        <v>84.59</v>
      </c>
      <c r="K691" s="843">
        <f t="shared" si="113"/>
        <v>-1.0628247520075851E-3</v>
      </c>
      <c r="L691" s="842">
        <v>90.7</v>
      </c>
      <c r="M691" s="843">
        <f t="shared" si="114"/>
        <v>9.5725734639358073E-3</v>
      </c>
      <c r="N691" s="842">
        <v>74.13</v>
      </c>
      <c r="O691" s="843">
        <f t="shared" si="115"/>
        <v>-4.2981867024849407E-3</v>
      </c>
      <c r="P691" s="844">
        <f t="shared" si="121"/>
        <v>3.1101971632098158E-3</v>
      </c>
      <c r="Q691" s="830"/>
      <c r="R691" s="845">
        <v>991.15</v>
      </c>
      <c r="S691" s="846">
        <f t="shared" si="116"/>
        <v>7.0308769291729245E-3</v>
      </c>
      <c r="T691" s="845">
        <v>71.31</v>
      </c>
      <c r="U691" s="846">
        <f t="shared" si="117"/>
        <v>7.2033898305086108E-3</v>
      </c>
      <c r="V691" s="845">
        <v>117.3614</v>
      </c>
      <c r="W691" s="846">
        <f t="shared" si="118"/>
        <v>-4.3318175648160429E-3</v>
      </c>
      <c r="X691" s="845">
        <v>31834.11</v>
      </c>
      <c r="Y691" s="846">
        <f t="shared" si="119"/>
        <v>-1.0156171779629464E-2</v>
      </c>
      <c r="Z691" s="845">
        <v>3935.1846</v>
      </c>
      <c r="AA691" s="846">
        <f t="shared" si="120"/>
        <v>-1.6463184069940406E-2</v>
      </c>
      <c r="AB691" s="843"/>
      <c r="AC691" s="832"/>
    </row>
    <row r="692" spans="1:29" ht="14.4" x14ac:dyDescent="0.55000000000000004">
      <c r="A692" s="857" t="s">
        <v>5851</v>
      </c>
      <c r="B692" s="842">
        <v>113.11</v>
      </c>
      <c r="C692" s="843">
        <f t="shared" si="111"/>
        <v>-4.5762562703510756E-3</v>
      </c>
      <c r="D692" s="842">
        <v>43.85</v>
      </c>
      <c r="E692" s="843">
        <f t="shared" si="112"/>
        <v>-8.1429540827866465E-3</v>
      </c>
      <c r="F692" s="842">
        <v>29.32</v>
      </c>
      <c r="G692" s="843">
        <f t="shared" si="112"/>
        <v>-4.0760869565217295E-3</v>
      </c>
      <c r="H692" s="842">
        <v>49.24</v>
      </c>
      <c r="I692" s="843">
        <f t="shared" si="112"/>
        <v>-6.0557125555106284E-3</v>
      </c>
      <c r="J692" s="842">
        <v>84.68</v>
      </c>
      <c r="K692" s="843">
        <f t="shared" si="113"/>
        <v>-8.6630765628658013E-3</v>
      </c>
      <c r="L692" s="842">
        <v>89.84</v>
      </c>
      <c r="M692" s="843">
        <f t="shared" si="114"/>
        <v>-9.5910042994156175E-3</v>
      </c>
      <c r="N692" s="842">
        <v>74.45</v>
      </c>
      <c r="O692" s="843">
        <f t="shared" si="115"/>
        <v>-1.4559894109860916E-2</v>
      </c>
      <c r="P692" s="844">
        <f t="shared" si="121"/>
        <v>-7.9521406910446311E-3</v>
      </c>
      <c r="Q692" s="830"/>
      <c r="R692" s="845">
        <v>984.23</v>
      </c>
      <c r="S692" s="846">
        <f t="shared" si="116"/>
        <v>-1.3847001653223723E-2</v>
      </c>
      <c r="T692" s="845">
        <v>70.8</v>
      </c>
      <c r="U692" s="846">
        <f t="shared" si="117"/>
        <v>-1.2138970280452188E-2</v>
      </c>
      <c r="V692" s="845">
        <v>117.872</v>
      </c>
      <c r="W692" s="846">
        <f t="shared" si="118"/>
        <v>-4.5763208542239919E-3</v>
      </c>
      <c r="X692" s="845">
        <v>32160.74</v>
      </c>
      <c r="Y692" s="846">
        <f t="shared" si="119"/>
        <v>-2.6347699073054898E-3</v>
      </c>
      <c r="Z692" s="845">
        <v>4001.0547000000001</v>
      </c>
      <c r="AA692" s="846">
        <f t="shared" si="120"/>
        <v>2.4597133710964059E-3</v>
      </c>
      <c r="AB692" s="843"/>
      <c r="AC692" s="832"/>
    </row>
    <row r="693" spans="1:29" ht="14.4" x14ac:dyDescent="0.55000000000000004">
      <c r="A693" s="857" t="s">
        <v>5852</v>
      </c>
      <c r="B693" s="842">
        <v>113.63</v>
      </c>
      <c r="C693" s="843">
        <f t="shared" si="111"/>
        <v>-1.105308964316809E-2</v>
      </c>
      <c r="D693" s="842">
        <v>44.21</v>
      </c>
      <c r="E693" s="843">
        <f t="shared" si="112"/>
        <v>1.0283363802559453E-2</v>
      </c>
      <c r="F693" s="842">
        <v>29.44</v>
      </c>
      <c r="G693" s="843">
        <f t="shared" si="112"/>
        <v>-1.6954899966089565E-3</v>
      </c>
      <c r="H693" s="842">
        <v>49.54</v>
      </c>
      <c r="I693" s="843">
        <f t="shared" si="112"/>
        <v>4.0535062829345492E-3</v>
      </c>
      <c r="J693" s="842">
        <v>85.42</v>
      </c>
      <c r="K693" s="843">
        <f t="shared" si="113"/>
        <v>3.4065546810759795E-3</v>
      </c>
      <c r="L693" s="842">
        <v>90.71</v>
      </c>
      <c r="M693" s="843">
        <f t="shared" si="114"/>
        <v>3.479352041980377E-2</v>
      </c>
      <c r="N693" s="842">
        <v>75.55</v>
      </c>
      <c r="O693" s="843">
        <f t="shared" si="115"/>
        <v>2.1636240703177823E-2</v>
      </c>
      <c r="P693" s="844">
        <f t="shared" si="121"/>
        <v>8.7749437499677896E-3</v>
      </c>
      <c r="Q693" s="830"/>
      <c r="R693" s="845">
        <v>998.05</v>
      </c>
      <c r="S693" s="846">
        <f t="shared" si="116"/>
        <v>-9.0452361094562894E-3</v>
      </c>
      <c r="T693" s="845">
        <v>71.67</v>
      </c>
      <c r="U693" s="846">
        <f t="shared" si="117"/>
        <v>-7.478188616535042E-3</v>
      </c>
      <c r="V693" s="845">
        <v>118.4139</v>
      </c>
      <c r="W693" s="846">
        <f t="shared" si="118"/>
        <v>-1.1053355092059736E-2</v>
      </c>
      <c r="X693" s="845">
        <v>32245.7</v>
      </c>
      <c r="Y693" s="846">
        <f t="shared" si="119"/>
        <v>-1.9868769523550212E-2</v>
      </c>
      <c r="Z693" s="845">
        <v>3991.2374</v>
      </c>
      <c r="AA693" s="846">
        <f t="shared" si="120"/>
        <v>-3.2036756066211036E-2</v>
      </c>
      <c r="AB693" s="843"/>
      <c r="AC693" s="832"/>
    </row>
    <row r="694" spans="1:29" ht="14.4" x14ac:dyDescent="0.55000000000000004">
      <c r="A694" s="857" t="s">
        <v>5853</v>
      </c>
      <c r="B694" s="842">
        <v>114.9</v>
      </c>
      <c r="C694" s="843">
        <f t="shared" si="111"/>
        <v>-1.2169680111265846E-3</v>
      </c>
      <c r="D694" s="842">
        <v>43.76</v>
      </c>
      <c r="E694" s="843">
        <f t="shared" si="112"/>
        <v>1.3197499421162329E-2</v>
      </c>
      <c r="F694" s="842">
        <v>29.49</v>
      </c>
      <c r="G694" s="843">
        <f t="shared" si="112"/>
        <v>6.1412487205732003E-3</v>
      </c>
      <c r="H694" s="842">
        <v>49.34</v>
      </c>
      <c r="I694" s="843">
        <f t="shared" si="112"/>
        <v>6.5279477764177418E-3</v>
      </c>
      <c r="J694" s="842">
        <v>85.13</v>
      </c>
      <c r="K694" s="843">
        <f t="shared" si="113"/>
        <v>4.0099068286352235E-3</v>
      </c>
      <c r="L694" s="842">
        <v>87.66</v>
      </c>
      <c r="M694" s="843">
        <f t="shared" si="114"/>
        <v>3.4340659340659219E-3</v>
      </c>
      <c r="N694" s="842">
        <v>73.95</v>
      </c>
      <c r="O694" s="843">
        <f t="shared" si="115"/>
        <v>5.8487486398259847E-3</v>
      </c>
      <c r="P694" s="844">
        <f t="shared" si="121"/>
        <v>5.4203499013648305E-3</v>
      </c>
      <c r="Q694" s="830"/>
      <c r="R694" s="845">
        <v>1007.16</v>
      </c>
      <c r="S694" s="846">
        <f t="shared" si="116"/>
        <v>8.9054063529907523E-3</v>
      </c>
      <c r="T694" s="845">
        <v>72.209999999999994</v>
      </c>
      <c r="U694" s="846">
        <f t="shared" si="117"/>
        <v>7.9564489112227132E-3</v>
      </c>
      <c r="V694" s="845">
        <v>119.73739999999999</v>
      </c>
      <c r="W694" s="846">
        <f t="shared" si="118"/>
        <v>-1.2170168822513983E-3</v>
      </c>
      <c r="X694" s="845">
        <v>32899.370000000003</v>
      </c>
      <c r="Y694" s="846">
        <f t="shared" si="119"/>
        <v>-2.9880625990023058E-3</v>
      </c>
      <c r="Z694" s="845">
        <v>4123.3356999999996</v>
      </c>
      <c r="AA694" s="846">
        <f t="shared" si="120"/>
        <v>-5.6746205256227311E-3</v>
      </c>
      <c r="AB694" s="843"/>
      <c r="AC694" s="832"/>
    </row>
    <row r="695" spans="1:29" ht="14.4" x14ac:dyDescent="0.55000000000000004">
      <c r="A695" s="857" t="s">
        <v>5854</v>
      </c>
      <c r="B695" s="842">
        <v>115.04</v>
      </c>
      <c r="C695" s="843">
        <f t="shared" si="111"/>
        <v>-2.3415141791691685E-3</v>
      </c>
      <c r="D695" s="842">
        <v>43.19</v>
      </c>
      <c r="E695" s="843">
        <f t="shared" si="112"/>
        <v>-3.1614349775784811E-2</v>
      </c>
      <c r="F695" s="842">
        <v>29.31</v>
      </c>
      <c r="G695" s="843">
        <f t="shared" si="112"/>
        <v>-1.213346814964622E-2</v>
      </c>
      <c r="H695" s="842">
        <v>49.02</v>
      </c>
      <c r="I695" s="843">
        <f t="shared" si="112"/>
        <v>-2.8478437754270169E-3</v>
      </c>
      <c r="J695" s="842">
        <v>84.79</v>
      </c>
      <c r="K695" s="843">
        <f t="shared" si="113"/>
        <v>-1.2001864367280235E-2</v>
      </c>
      <c r="L695" s="842">
        <v>87.36</v>
      </c>
      <c r="M695" s="843">
        <f t="shared" si="114"/>
        <v>-1.5551048005408963E-2</v>
      </c>
      <c r="N695" s="842">
        <v>73.52</v>
      </c>
      <c r="O695" s="843">
        <f t="shared" si="115"/>
        <v>-1.1163416274377891E-2</v>
      </c>
      <c r="P695" s="844">
        <f t="shared" si="121"/>
        <v>-1.2521929218156329E-2</v>
      </c>
      <c r="Q695" s="830"/>
      <c r="R695" s="845">
        <v>998.27</v>
      </c>
      <c r="S695" s="846">
        <f t="shared" si="116"/>
        <v>-1.2884406209828891E-2</v>
      </c>
      <c r="T695" s="845">
        <v>71.64</v>
      </c>
      <c r="U695" s="846">
        <f t="shared" si="117"/>
        <v>-1.0223818734456991E-2</v>
      </c>
      <c r="V695" s="845">
        <v>119.88330000000001</v>
      </c>
      <c r="W695" s="846">
        <f t="shared" si="118"/>
        <v>-2.3417858988536988E-3</v>
      </c>
      <c r="X695" s="845">
        <v>32997.97</v>
      </c>
      <c r="Y695" s="846">
        <f t="shared" si="119"/>
        <v>-3.1211301116289336E-2</v>
      </c>
      <c r="Z695" s="845">
        <v>4146.8675999999996</v>
      </c>
      <c r="AA695" s="846">
        <f t="shared" si="120"/>
        <v>-3.5651163680872622E-2</v>
      </c>
      <c r="AB695" s="843"/>
      <c r="AC695" s="832"/>
    </row>
    <row r="696" spans="1:29" ht="14.4" x14ac:dyDescent="0.55000000000000004">
      <c r="A696" s="857" t="s">
        <v>5855</v>
      </c>
      <c r="B696" s="842">
        <v>115.31</v>
      </c>
      <c r="C696" s="843">
        <f t="shared" si="111"/>
        <v>2.3976556256105175E-2</v>
      </c>
      <c r="D696" s="842">
        <v>44.6</v>
      </c>
      <c r="E696" s="843">
        <f t="shared" si="112"/>
        <v>1.7567875884097806E-2</v>
      </c>
      <c r="F696" s="842">
        <v>29.67</v>
      </c>
      <c r="G696" s="843">
        <f t="shared" si="112"/>
        <v>2.4516574585635498E-2</v>
      </c>
      <c r="H696" s="842">
        <v>49.16</v>
      </c>
      <c r="I696" s="843">
        <f t="shared" si="112"/>
        <v>3.998307594668904E-2</v>
      </c>
      <c r="J696" s="842">
        <v>85.82</v>
      </c>
      <c r="K696" s="843">
        <f t="shared" si="113"/>
        <v>3.4100494035425921E-2</v>
      </c>
      <c r="L696" s="842">
        <v>88.74</v>
      </c>
      <c r="M696" s="843">
        <f t="shared" si="114"/>
        <v>1.9882772095161316E-2</v>
      </c>
      <c r="N696" s="842">
        <v>74.349999999999994</v>
      </c>
      <c r="O696" s="843">
        <f t="shared" si="115"/>
        <v>3.0634876628777397E-2</v>
      </c>
      <c r="P696" s="844">
        <f t="shared" si="121"/>
        <v>2.7237460775984594E-2</v>
      </c>
      <c r="Q696" s="830"/>
      <c r="R696" s="845">
        <v>1011.3</v>
      </c>
      <c r="S696" s="846">
        <f t="shared" si="116"/>
        <v>2.1195383263826528E-2</v>
      </c>
      <c r="T696" s="845">
        <v>72.38</v>
      </c>
      <c r="U696" s="846">
        <f t="shared" si="117"/>
        <v>2.231638418079096E-2</v>
      </c>
      <c r="V696" s="845">
        <v>120.1647</v>
      </c>
      <c r="W696" s="846">
        <f t="shared" si="118"/>
        <v>2.3976787585960002E-2</v>
      </c>
      <c r="X696" s="845">
        <v>34061.06</v>
      </c>
      <c r="Y696" s="846">
        <f t="shared" si="119"/>
        <v>2.8140780269970467E-2</v>
      </c>
      <c r="Z696" s="845">
        <v>4300.1737999999996</v>
      </c>
      <c r="AA696" s="846">
        <f t="shared" si="120"/>
        <v>2.9864405629279389E-2</v>
      </c>
      <c r="AB696" s="843"/>
      <c r="AC696" s="832"/>
    </row>
    <row r="697" spans="1:29" ht="14.4" x14ac:dyDescent="0.55000000000000004">
      <c r="A697" s="857" t="s">
        <v>5856</v>
      </c>
      <c r="B697" s="842">
        <v>112.61</v>
      </c>
      <c r="C697" s="843">
        <f t="shared" si="111"/>
        <v>7.6055833929848937E-3</v>
      </c>
      <c r="D697" s="842">
        <v>43.83</v>
      </c>
      <c r="E697" s="843">
        <f t="shared" si="112"/>
        <v>2.4304744099088449E-2</v>
      </c>
      <c r="F697" s="842">
        <v>28.96</v>
      </c>
      <c r="G697" s="843">
        <f t="shared" si="112"/>
        <v>8.0055690915419309E-3</v>
      </c>
      <c r="H697" s="842">
        <v>47.27</v>
      </c>
      <c r="I697" s="843">
        <f t="shared" si="112"/>
        <v>-4.2292239374064344E-4</v>
      </c>
      <c r="J697" s="842">
        <v>82.99</v>
      </c>
      <c r="K697" s="843">
        <f t="shared" si="113"/>
        <v>4.3567711484933103E-3</v>
      </c>
      <c r="L697" s="842">
        <v>87.01</v>
      </c>
      <c r="M697" s="843">
        <f t="shared" si="114"/>
        <v>-1.3772523814987725E-3</v>
      </c>
      <c r="N697" s="842">
        <v>72.14</v>
      </c>
      <c r="O697" s="843">
        <f t="shared" si="115"/>
        <v>-8.9297980491827023E-3</v>
      </c>
      <c r="P697" s="844">
        <f t="shared" si="121"/>
        <v>4.7918135582409238E-3</v>
      </c>
      <c r="Q697" s="830"/>
      <c r="R697" s="845">
        <v>990.31</v>
      </c>
      <c r="S697" s="846">
        <f t="shared" si="116"/>
        <v>3.1808097896006693E-3</v>
      </c>
      <c r="T697" s="845">
        <v>70.8</v>
      </c>
      <c r="U697" s="846">
        <f t="shared" si="117"/>
        <v>3.8281582305401685E-3</v>
      </c>
      <c r="V697" s="845">
        <v>117.351</v>
      </c>
      <c r="W697" s="846">
        <f t="shared" si="118"/>
        <v>7.605705395259621E-3</v>
      </c>
      <c r="X697" s="845">
        <v>33128.79</v>
      </c>
      <c r="Y697" s="846">
        <f t="shared" si="119"/>
        <v>2.0352978539994737E-3</v>
      </c>
      <c r="Z697" s="845">
        <v>4175.4757</v>
      </c>
      <c r="AA697" s="846">
        <f t="shared" si="120"/>
        <v>4.8366482988213555E-3</v>
      </c>
      <c r="AB697" s="843"/>
      <c r="AC697" s="832"/>
    </row>
    <row r="698" spans="1:29" ht="14.4" x14ac:dyDescent="0.55000000000000004">
      <c r="A698" s="857" t="s">
        <v>5857</v>
      </c>
      <c r="B698" s="842">
        <v>111.76</v>
      </c>
      <c r="C698" s="843">
        <f t="shared" si="111"/>
        <v>-1.4462081128747806E-2</v>
      </c>
      <c r="D698" s="842">
        <v>42.79</v>
      </c>
      <c r="E698" s="843">
        <f t="shared" si="112"/>
        <v>-8.5727525486560818E-3</v>
      </c>
      <c r="F698" s="842">
        <v>28.73</v>
      </c>
      <c r="G698" s="843">
        <f t="shared" si="112"/>
        <v>-1.3392857142857206E-2</v>
      </c>
      <c r="H698" s="842">
        <v>47.29</v>
      </c>
      <c r="I698" s="843">
        <f t="shared" si="112"/>
        <v>-1.1289985364833721E-2</v>
      </c>
      <c r="J698" s="842">
        <v>82.63</v>
      </c>
      <c r="K698" s="843">
        <f t="shared" si="113"/>
        <v>-2.0623444352258047E-2</v>
      </c>
      <c r="L698" s="842">
        <v>87.13</v>
      </c>
      <c r="M698" s="843">
        <f t="shared" si="114"/>
        <v>-1.1122460560662906E-2</v>
      </c>
      <c r="N698" s="842">
        <v>72.790000000000006</v>
      </c>
      <c r="O698" s="843">
        <f t="shared" si="115"/>
        <v>5.4982817869420053E-4</v>
      </c>
      <c r="P698" s="844">
        <f t="shared" si="121"/>
        <v>-1.1273393274188795E-2</v>
      </c>
      <c r="Q698" s="830"/>
      <c r="R698" s="845">
        <v>987.17</v>
      </c>
      <c r="S698" s="846">
        <f t="shared" si="116"/>
        <v>-1.2731273127312703E-2</v>
      </c>
      <c r="T698" s="845">
        <v>70.53</v>
      </c>
      <c r="U698" s="846">
        <f t="shared" si="117"/>
        <v>-1.0244176255964077E-2</v>
      </c>
      <c r="V698" s="845">
        <v>116.4652</v>
      </c>
      <c r="W698" s="846">
        <f t="shared" si="118"/>
        <v>-1.4461701454293818E-2</v>
      </c>
      <c r="X698" s="845">
        <v>33061.5</v>
      </c>
      <c r="Y698" s="846">
        <f t="shared" si="119"/>
        <v>2.5560076185948688E-3</v>
      </c>
      <c r="Z698" s="845">
        <v>4155.3775999999998</v>
      </c>
      <c r="AA698" s="846">
        <f t="shared" si="120"/>
        <v>5.6756093235348359E-3</v>
      </c>
      <c r="AB698" s="843"/>
      <c r="AC698" s="832"/>
    </row>
    <row r="699" spans="1:29" ht="14.4" x14ac:dyDescent="0.55000000000000004">
      <c r="A699" s="857" t="s">
        <v>5858</v>
      </c>
      <c r="B699" s="842">
        <v>113.4</v>
      </c>
      <c r="C699" s="843">
        <f t="shared" si="111"/>
        <v>-2.9192706103929433E-2</v>
      </c>
      <c r="D699" s="842">
        <v>43.16</v>
      </c>
      <c r="E699" s="843">
        <f t="shared" si="112"/>
        <v>-2.2644927536231929E-2</v>
      </c>
      <c r="F699" s="842">
        <v>29.12</v>
      </c>
      <c r="G699" s="843">
        <f t="shared" si="112"/>
        <v>-3.1270791749833604E-2</v>
      </c>
      <c r="H699" s="842">
        <v>47.83</v>
      </c>
      <c r="I699" s="843">
        <f t="shared" si="112"/>
        <v>-1.8670496512105172E-2</v>
      </c>
      <c r="J699" s="842">
        <v>84.37</v>
      </c>
      <c r="K699" s="843">
        <f t="shared" si="113"/>
        <v>-3.6542194815575968E-2</v>
      </c>
      <c r="L699" s="842">
        <v>88.11</v>
      </c>
      <c r="M699" s="843">
        <f t="shared" si="114"/>
        <v>-2.0387359836901986E-3</v>
      </c>
      <c r="N699" s="842">
        <v>72.75</v>
      </c>
      <c r="O699" s="843">
        <f t="shared" si="115"/>
        <v>-2.5713137806347985E-2</v>
      </c>
      <c r="P699" s="844">
        <f t="shared" si="121"/>
        <v>-2.3724712929673469E-2</v>
      </c>
      <c r="Q699" s="830"/>
      <c r="R699" s="845">
        <v>999.9</v>
      </c>
      <c r="S699" s="846">
        <f t="shared" si="116"/>
        <v>-2.9901428127910634E-2</v>
      </c>
      <c r="T699" s="845">
        <v>71.260000000000005</v>
      </c>
      <c r="U699" s="846">
        <f t="shared" si="117"/>
        <v>-2.9948271167982377E-2</v>
      </c>
      <c r="V699" s="845">
        <v>118.1742</v>
      </c>
      <c r="W699" s="846">
        <f t="shared" si="118"/>
        <v>-2.9193002748755803E-2</v>
      </c>
      <c r="X699" s="845">
        <v>32977.21</v>
      </c>
      <c r="Y699" s="846">
        <f t="shared" si="119"/>
        <v>-2.769103669346884E-2</v>
      </c>
      <c r="Z699" s="845">
        <v>4131.9264000000003</v>
      </c>
      <c r="AA699" s="846">
        <f t="shared" si="120"/>
        <v>-3.6285635005434802E-2</v>
      </c>
      <c r="AB699" s="843"/>
      <c r="AC699" s="832"/>
    </row>
    <row r="700" spans="1:29" ht="14.4" x14ac:dyDescent="0.55000000000000004">
      <c r="A700" s="857" t="s">
        <v>5859</v>
      </c>
      <c r="B700" s="842">
        <v>116.81</v>
      </c>
      <c r="C700" s="843">
        <f t="shared" si="111"/>
        <v>6.4621747372048954E-3</v>
      </c>
      <c r="D700" s="842">
        <v>44.16</v>
      </c>
      <c r="E700" s="843">
        <f t="shared" si="112"/>
        <v>1.5876616012699962E-3</v>
      </c>
      <c r="F700" s="842">
        <v>30.06</v>
      </c>
      <c r="G700" s="843">
        <f t="shared" si="112"/>
        <v>-1.6605778811026317E-3</v>
      </c>
      <c r="H700" s="842">
        <v>48.74</v>
      </c>
      <c r="I700" s="843">
        <f t="shared" si="112"/>
        <v>-8.7451698189953131E-3</v>
      </c>
      <c r="J700" s="842">
        <v>87.57</v>
      </c>
      <c r="K700" s="843">
        <f t="shared" si="113"/>
        <v>2.5186033199771085E-3</v>
      </c>
      <c r="L700" s="842">
        <v>88.29</v>
      </c>
      <c r="M700" s="843">
        <f t="shared" si="114"/>
        <v>-3.6113305495992787E-3</v>
      </c>
      <c r="N700" s="842">
        <v>74.67</v>
      </c>
      <c r="O700" s="843">
        <f t="shared" si="115"/>
        <v>5.35977488945516E-4</v>
      </c>
      <c r="P700" s="844">
        <f t="shared" si="121"/>
        <v>-4.1609444318567245E-4</v>
      </c>
      <c r="Q700" s="830"/>
      <c r="R700" s="845">
        <v>1030.72</v>
      </c>
      <c r="S700" s="846">
        <f t="shared" si="116"/>
        <v>1.3540488716259347E-2</v>
      </c>
      <c r="T700" s="845">
        <v>73.459999999999994</v>
      </c>
      <c r="U700" s="846">
        <f t="shared" si="117"/>
        <v>1.1149346180316488E-2</v>
      </c>
      <c r="V700" s="845">
        <v>121.7278</v>
      </c>
      <c r="W700" s="846">
        <f t="shared" si="118"/>
        <v>6.4623774868495243E-3</v>
      </c>
      <c r="X700" s="845">
        <v>33916.39</v>
      </c>
      <c r="Y700" s="846">
        <f t="shared" si="119"/>
        <v>1.8451182859371862E-2</v>
      </c>
      <c r="Z700" s="845">
        <v>4287.5011000000004</v>
      </c>
      <c r="AA700" s="846">
        <f t="shared" si="120"/>
        <v>2.4748304552871581E-2</v>
      </c>
      <c r="AB700" s="843"/>
      <c r="AC700" s="832"/>
    </row>
    <row r="701" spans="1:29" ht="14.4" x14ac:dyDescent="0.55000000000000004">
      <c r="A701" s="857" t="s">
        <v>5860</v>
      </c>
      <c r="B701" s="842">
        <v>116.06</v>
      </c>
      <c r="C701" s="843">
        <f t="shared" si="111"/>
        <v>-8.4579239641178194E-3</v>
      </c>
      <c r="D701" s="842">
        <v>44.09</v>
      </c>
      <c r="E701" s="843">
        <f t="shared" si="112"/>
        <v>-1.2099484651579617E-2</v>
      </c>
      <c r="F701" s="842">
        <v>30.11</v>
      </c>
      <c r="G701" s="843">
        <f t="shared" si="112"/>
        <v>-2.9801324503311299E-3</v>
      </c>
      <c r="H701" s="842">
        <v>49.17</v>
      </c>
      <c r="I701" s="843">
        <f t="shared" si="112"/>
        <v>-9.4681708299757528E-3</v>
      </c>
      <c r="J701" s="842">
        <v>87.35</v>
      </c>
      <c r="K701" s="843">
        <f t="shared" si="113"/>
        <v>-4.7852341346701355E-3</v>
      </c>
      <c r="L701" s="842">
        <v>88.61</v>
      </c>
      <c r="M701" s="843">
        <f t="shared" si="114"/>
        <v>4.0793201133144663E-3</v>
      </c>
      <c r="N701" s="842">
        <v>74.63</v>
      </c>
      <c r="O701" s="843">
        <f t="shared" si="115"/>
        <v>-7.9755416722053774E-3</v>
      </c>
      <c r="P701" s="844">
        <f t="shared" si="121"/>
        <v>-5.9553096556521955E-3</v>
      </c>
      <c r="Q701" s="830"/>
      <c r="R701" s="845">
        <v>1016.95</v>
      </c>
      <c r="S701" s="846">
        <f t="shared" si="116"/>
        <v>-5.5056817070546771E-3</v>
      </c>
      <c r="T701" s="845">
        <v>72.650000000000006</v>
      </c>
      <c r="U701" s="846">
        <f t="shared" si="117"/>
        <v>-4.794520547945158E-3</v>
      </c>
      <c r="V701" s="845">
        <v>120.9462</v>
      </c>
      <c r="W701" s="846">
        <f t="shared" si="118"/>
        <v>-8.458089539170599E-3</v>
      </c>
      <c r="X701" s="845">
        <v>33301.93</v>
      </c>
      <c r="Y701" s="846">
        <f t="shared" si="119"/>
        <v>1.857691504679071E-3</v>
      </c>
      <c r="Z701" s="845">
        <v>4183.9552999999996</v>
      </c>
      <c r="AA701" s="846">
        <f t="shared" si="120"/>
        <v>2.0976254223961099E-3</v>
      </c>
      <c r="AB701" s="843"/>
      <c r="AC701" s="832"/>
    </row>
    <row r="702" spans="1:29" ht="14.4" x14ac:dyDescent="0.55000000000000004">
      <c r="A702" s="857" t="s">
        <v>5861</v>
      </c>
      <c r="B702" s="842">
        <v>117.05</v>
      </c>
      <c r="C702" s="843">
        <f t="shared" si="111"/>
        <v>-5.5225148683093472E-3</v>
      </c>
      <c r="D702" s="842">
        <v>44.63</v>
      </c>
      <c r="E702" s="843">
        <f t="shared" si="112"/>
        <v>-6.7174205105224871E-4</v>
      </c>
      <c r="F702" s="842">
        <v>30.2</v>
      </c>
      <c r="G702" s="843">
        <f t="shared" si="112"/>
        <v>-1.2426422498364897E-2</v>
      </c>
      <c r="H702" s="842">
        <v>49.64</v>
      </c>
      <c r="I702" s="843">
        <f t="shared" si="112"/>
        <v>-4.8115477145148633E-3</v>
      </c>
      <c r="J702" s="842">
        <v>87.77</v>
      </c>
      <c r="K702" s="843">
        <f t="shared" si="113"/>
        <v>4.559443747862435E-4</v>
      </c>
      <c r="L702" s="842">
        <v>88.25</v>
      </c>
      <c r="M702" s="843">
        <f t="shared" si="114"/>
        <v>-1.5616285554935883E-2</v>
      </c>
      <c r="N702" s="842">
        <v>75.23</v>
      </c>
      <c r="O702" s="843">
        <f t="shared" si="115"/>
        <v>-9.2961487383791397E-4</v>
      </c>
      <c r="P702" s="844">
        <f t="shared" si="121"/>
        <v>-5.6460261694612724E-3</v>
      </c>
      <c r="Q702" s="830"/>
      <c r="R702" s="845">
        <v>1022.58</v>
      </c>
      <c r="S702" s="846">
        <f t="shared" si="116"/>
        <v>-1.0250007259211991E-2</v>
      </c>
      <c r="T702" s="845">
        <v>73</v>
      </c>
      <c r="U702" s="846">
        <f t="shared" si="117"/>
        <v>-1.0035259018171927E-2</v>
      </c>
      <c r="V702" s="845">
        <v>121.97790000000001</v>
      </c>
      <c r="W702" s="846">
        <f t="shared" si="118"/>
        <v>-5.5227943676301461E-3</v>
      </c>
      <c r="X702" s="845">
        <v>33240.18</v>
      </c>
      <c r="Y702" s="846">
        <f t="shared" si="119"/>
        <v>-2.3767777814978519E-2</v>
      </c>
      <c r="Z702" s="845">
        <v>4175.1972999999998</v>
      </c>
      <c r="AA702" s="846">
        <f t="shared" si="120"/>
        <v>-2.8146164099600246E-2</v>
      </c>
      <c r="AB702" s="843"/>
      <c r="AC702" s="832"/>
    </row>
    <row r="703" spans="1:29" ht="14.4" x14ac:dyDescent="0.55000000000000004">
      <c r="A703" s="857" t="s">
        <v>5862</v>
      </c>
      <c r="B703" s="842">
        <v>117.7</v>
      </c>
      <c r="C703" s="843">
        <f t="shared" si="111"/>
        <v>-8.4245998315080062E-3</v>
      </c>
      <c r="D703" s="842">
        <v>44.66</v>
      </c>
      <c r="E703" s="843">
        <f t="shared" si="112"/>
        <v>-2.5954198473282508E-2</v>
      </c>
      <c r="F703" s="842">
        <v>30.58</v>
      </c>
      <c r="G703" s="843">
        <f t="shared" si="112"/>
        <v>-9.3942338840299344E-3</v>
      </c>
      <c r="H703" s="842">
        <v>49.88</v>
      </c>
      <c r="I703" s="843">
        <f t="shared" si="112"/>
        <v>-2.3492560689114983E-2</v>
      </c>
      <c r="J703" s="842">
        <v>87.73</v>
      </c>
      <c r="K703" s="843">
        <f t="shared" si="113"/>
        <v>-7.4669080212693695E-3</v>
      </c>
      <c r="L703" s="842">
        <v>89.65</v>
      </c>
      <c r="M703" s="843">
        <f t="shared" si="114"/>
        <v>-6.7582539330821589E-3</v>
      </c>
      <c r="N703" s="842">
        <v>75.3</v>
      </c>
      <c r="O703" s="843">
        <f t="shared" si="115"/>
        <v>-2.2077922077922141E-2</v>
      </c>
      <c r="P703" s="844">
        <f t="shared" si="121"/>
        <v>-1.4795525272887014E-2</v>
      </c>
      <c r="Q703" s="830"/>
      <c r="R703" s="845">
        <v>1033.17</v>
      </c>
      <c r="S703" s="846">
        <f t="shared" si="116"/>
        <v>-9.1302304615945573E-3</v>
      </c>
      <c r="T703" s="845">
        <v>73.739999999999995</v>
      </c>
      <c r="U703" s="846">
        <f t="shared" si="117"/>
        <v>-6.8686868686869129E-3</v>
      </c>
      <c r="V703" s="845">
        <v>122.6553</v>
      </c>
      <c r="W703" s="846">
        <f t="shared" si="118"/>
        <v>-8.4245909776600181E-3</v>
      </c>
      <c r="X703" s="845">
        <v>34049.46</v>
      </c>
      <c r="Y703" s="846">
        <f t="shared" si="119"/>
        <v>7.0408205516481193E-3</v>
      </c>
      <c r="Z703" s="845">
        <v>4296.1165000000001</v>
      </c>
      <c r="AA703" s="846">
        <f t="shared" si="120"/>
        <v>5.6980755262519001E-3</v>
      </c>
      <c r="AB703" s="843"/>
      <c r="AC703" s="832"/>
    </row>
    <row r="704" spans="1:29" ht="14.4" x14ac:dyDescent="0.55000000000000004">
      <c r="A704" s="857" t="s">
        <v>5863</v>
      </c>
      <c r="B704" s="842">
        <v>118.7</v>
      </c>
      <c r="C704" s="843">
        <f t="shared" si="111"/>
        <v>-2.0303730604159687E-2</v>
      </c>
      <c r="D704" s="842">
        <v>45.85</v>
      </c>
      <c r="E704" s="843">
        <f t="shared" si="112"/>
        <v>-4.9913194444444198E-3</v>
      </c>
      <c r="F704" s="842">
        <v>30.87</v>
      </c>
      <c r="G704" s="843">
        <f t="shared" si="112"/>
        <v>-1.6565785281936862E-2</v>
      </c>
      <c r="H704" s="842">
        <v>51.08</v>
      </c>
      <c r="I704" s="843">
        <f t="shared" si="112"/>
        <v>-9.1173617846750377E-3</v>
      </c>
      <c r="J704" s="842">
        <v>88.39</v>
      </c>
      <c r="K704" s="843">
        <f t="shared" si="113"/>
        <v>-6.0721916113798402E-3</v>
      </c>
      <c r="L704" s="842">
        <v>90.26</v>
      </c>
      <c r="M704" s="843">
        <f t="shared" si="114"/>
        <v>1.9887005649717571E-2</v>
      </c>
      <c r="N704" s="842">
        <v>77</v>
      </c>
      <c r="O704" s="843">
        <f t="shared" si="115"/>
        <v>-1.2693935119887145E-2</v>
      </c>
      <c r="P704" s="844">
        <f t="shared" si="121"/>
        <v>-7.1224740281093457E-3</v>
      </c>
      <c r="Q704" s="830"/>
      <c r="R704" s="845">
        <v>1042.69</v>
      </c>
      <c r="S704" s="846">
        <f t="shared" si="116"/>
        <v>-1.5763788595323791E-2</v>
      </c>
      <c r="T704" s="845">
        <v>74.25</v>
      </c>
      <c r="U704" s="846">
        <f t="shared" si="117"/>
        <v>-1.6816737288135486E-2</v>
      </c>
      <c r="V704" s="845">
        <v>123.6974</v>
      </c>
      <c r="W704" s="846">
        <f t="shared" si="118"/>
        <v>-2.0303197585317401E-2</v>
      </c>
      <c r="X704" s="845">
        <v>33811.4</v>
      </c>
      <c r="Y704" s="846">
        <f t="shared" si="119"/>
        <v>-2.8205868117390009E-2</v>
      </c>
      <c r="Z704" s="845">
        <v>4271.7755999999999</v>
      </c>
      <c r="AA704" s="846">
        <f t="shared" si="120"/>
        <v>-2.7741746722296678E-2</v>
      </c>
      <c r="AB704" s="843"/>
      <c r="AC704" s="832"/>
    </row>
    <row r="705" spans="1:29" ht="14.4" x14ac:dyDescent="0.55000000000000004">
      <c r="A705" s="857" t="s">
        <v>5864</v>
      </c>
      <c r="B705" s="842">
        <v>121.16</v>
      </c>
      <c r="C705" s="843">
        <f t="shared" si="111"/>
        <v>-1.2470453989730235E-2</v>
      </c>
      <c r="D705" s="842">
        <v>46.08</v>
      </c>
      <c r="E705" s="843">
        <f t="shared" si="112"/>
        <v>-1.5174182517632029E-2</v>
      </c>
      <c r="F705" s="842">
        <v>31.39</v>
      </c>
      <c r="G705" s="843">
        <f t="shared" si="112"/>
        <v>-2.2118380062305376E-2</v>
      </c>
      <c r="H705" s="842">
        <v>51.55</v>
      </c>
      <c r="I705" s="843">
        <f t="shared" si="112"/>
        <v>9.7087378640781097E-4</v>
      </c>
      <c r="J705" s="842">
        <v>88.93</v>
      </c>
      <c r="K705" s="843">
        <f t="shared" si="113"/>
        <v>-3.0269058295964157E-3</v>
      </c>
      <c r="L705" s="842">
        <v>88.5</v>
      </c>
      <c r="M705" s="843">
        <f t="shared" si="114"/>
        <v>-1.3927576601671321E-2</v>
      </c>
      <c r="N705" s="842">
        <v>77.989999999999995</v>
      </c>
      <c r="O705" s="843">
        <f t="shared" si="115"/>
        <v>-1.0247214038683339E-3</v>
      </c>
      <c r="P705" s="844">
        <f t="shared" si="121"/>
        <v>-9.5387638026279854E-3</v>
      </c>
      <c r="Q705" s="830"/>
      <c r="R705" s="845">
        <v>1059.3900000000001</v>
      </c>
      <c r="S705" s="846">
        <f t="shared" si="116"/>
        <v>-1.153254023792849E-2</v>
      </c>
      <c r="T705" s="845">
        <v>75.52</v>
      </c>
      <c r="U705" s="846">
        <f t="shared" si="117"/>
        <v>-1.6538611798411429E-2</v>
      </c>
      <c r="V705" s="845">
        <v>126.26090000000001</v>
      </c>
      <c r="W705" s="846">
        <f t="shared" si="118"/>
        <v>-1.2471119718056478E-2</v>
      </c>
      <c r="X705" s="845">
        <v>34792.76</v>
      </c>
      <c r="Y705" s="846">
        <f t="shared" si="119"/>
        <v>-1.0467057196382634E-2</v>
      </c>
      <c r="Z705" s="845">
        <v>4393.6634999999997</v>
      </c>
      <c r="AA705" s="846">
        <f t="shared" si="120"/>
        <v>-1.4752221815321209E-2</v>
      </c>
      <c r="AB705" s="843"/>
      <c r="AC705" s="832"/>
    </row>
    <row r="706" spans="1:29" ht="14.4" x14ac:dyDescent="0.55000000000000004">
      <c r="A706" s="857" t="s">
        <v>5865</v>
      </c>
      <c r="B706" s="842">
        <v>122.69</v>
      </c>
      <c r="C706" s="843">
        <f t="shared" si="111"/>
        <v>1.724566785507009E-2</v>
      </c>
      <c r="D706" s="842">
        <v>46.79</v>
      </c>
      <c r="E706" s="843">
        <f t="shared" si="112"/>
        <v>9.7108329736728116E-3</v>
      </c>
      <c r="F706" s="842">
        <v>32.1</v>
      </c>
      <c r="G706" s="843">
        <f t="shared" si="112"/>
        <v>1.0387157695939564E-2</v>
      </c>
      <c r="H706" s="842">
        <v>51.5</v>
      </c>
      <c r="I706" s="843">
        <f t="shared" si="112"/>
        <v>1.3380558835104361E-2</v>
      </c>
      <c r="J706" s="842">
        <v>89.2</v>
      </c>
      <c r="K706" s="843">
        <f t="shared" si="113"/>
        <v>5.0704225352113941E-3</v>
      </c>
      <c r="L706" s="842">
        <v>89.75</v>
      </c>
      <c r="M706" s="843">
        <f t="shared" si="114"/>
        <v>1.4124293785310771E-2</v>
      </c>
      <c r="N706" s="842">
        <v>78.069999999999993</v>
      </c>
      <c r="O706" s="843">
        <f t="shared" si="115"/>
        <v>-2.5611473940334584E-4</v>
      </c>
      <c r="P706" s="844">
        <f t="shared" si="121"/>
        <v>9.9518312772722359E-3</v>
      </c>
      <c r="Q706" s="830"/>
      <c r="R706" s="845">
        <v>1071.75</v>
      </c>
      <c r="S706" s="846">
        <f t="shared" si="116"/>
        <v>1.0798830519664238E-2</v>
      </c>
      <c r="T706" s="845">
        <v>76.790000000000006</v>
      </c>
      <c r="U706" s="846">
        <f t="shared" si="117"/>
        <v>8.1396875410266745E-3</v>
      </c>
      <c r="V706" s="845">
        <v>127.8554</v>
      </c>
      <c r="W706" s="846">
        <f t="shared" si="118"/>
        <v>1.7245906126131638E-2</v>
      </c>
      <c r="X706" s="845">
        <v>35160.79</v>
      </c>
      <c r="Y706" s="846">
        <f t="shared" si="119"/>
        <v>7.1492816059031128E-3</v>
      </c>
      <c r="Z706" s="845">
        <v>4459.4503000000004</v>
      </c>
      <c r="AA706" s="846">
        <f t="shared" si="120"/>
        <v>-6.1848275588816115E-4</v>
      </c>
      <c r="AB706" s="843"/>
      <c r="AC706" s="832"/>
    </row>
    <row r="707" spans="1:29" ht="14.4" x14ac:dyDescent="0.55000000000000004">
      <c r="A707" s="857" t="s">
        <v>5866</v>
      </c>
      <c r="B707" s="842">
        <v>120.61</v>
      </c>
      <c r="C707" s="843">
        <f t="shared" si="111"/>
        <v>8.4448160535117722E-3</v>
      </c>
      <c r="D707" s="842">
        <v>46.34</v>
      </c>
      <c r="E707" s="843">
        <f t="shared" si="112"/>
        <v>1.1348756001746008E-2</v>
      </c>
      <c r="F707" s="842">
        <v>31.77</v>
      </c>
      <c r="G707" s="843">
        <f t="shared" si="112"/>
        <v>9.4517958412110303E-4</v>
      </c>
      <c r="H707" s="842">
        <v>50.82</v>
      </c>
      <c r="I707" s="843">
        <f t="shared" si="112"/>
        <v>1.2552301255230214E-2</v>
      </c>
      <c r="J707" s="842">
        <v>88.75</v>
      </c>
      <c r="K707" s="843">
        <f t="shared" si="113"/>
        <v>3.6186814429490788E-3</v>
      </c>
      <c r="L707" s="842">
        <v>88.5</v>
      </c>
      <c r="M707" s="843">
        <f t="shared" si="114"/>
        <v>3.1738834731354082E-3</v>
      </c>
      <c r="N707" s="842">
        <v>78.09</v>
      </c>
      <c r="O707" s="843">
        <f t="shared" si="115"/>
        <v>2.0117570215545388E-2</v>
      </c>
      <c r="P707" s="844">
        <f t="shared" si="121"/>
        <v>8.6001697180341386E-3</v>
      </c>
      <c r="Q707" s="830"/>
      <c r="R707" s="845">
        <v>1060.3</v>
      </c>
      <c r="S707" s="846">
        <f t="shared" si="116"/>
        <v>5.2047288137200276E-3</v>
      </c>
      <c r="T707" s="845">
        <v>76.17</v>
      </c>
      <c r="U707" s="846">
        <f t="shared" si="117"/>
        <v>6.4746300211415697E-3</v>
      </c>
      <c r="V707" s="845">
        <v>125.6878</v>
      </c>
      <c r="W707" s="846">
        <f t="shared" si="118"/>
        <v>8.4446380760505591E-3</v>
      </c>
      <c r="X707" s="845">
        <v>34911.199999999997</v>
      </c>
      <c r="Y707" s="846">
        <f t="shared" si="119"/>
        <v>1.4515706726405897E-2</v>
      </c>
      <c r="Z707" s="845">
        <v>4462.2101000000002</v>
      </c>
      <c r="AA707" s="846">
        <f t="shared" si="120"/>
        <v>1.6057529920597169E-2</v>
      </c>
      <c r="AB707" s="843"/>
      <c r="AC707" s="832"/>
    </row>
    <row r="708" spans="1:29" ht="14.4" x14ac:dyDescent="0.55000000000000004">
      <c r="A708" s="857" t="s">
        <v>5867</v>
      </c>
      <c r="B708" s="842">
        <v>119.6</v>
      </c>
      <c r="C708" s="843">
        <f t="shared" si="111"/>
        <v>-1.1691999331885361E-3</v>
      </c>
      <c r="D708" s="842">
        <v>45.82</v>
      </c>
      <c r="E708" s="843">
        <f t="shared" si="112"/>
        <v>6.5516488316230692E-4</v>
      </c>
      <c r="F708" s="842">
        <v>31.74</v>
      </c>
      <c r="G708" s="843">
        <f t="shared" si="112"/>
        <v>-3.1496062992131257E-4</v>
      </c>
      <c r="H708" s="842">
        <v>50.19</v>
      </c>
      <c r="I708" s="843">
        <f t="shared" si="112"/>
        <v>6.2149157979149994E-3</v>
      </c>
      <c r="J708" s="842">
        <v>88.43</v>
      </c>
      <c r="K708" s="843">
        <f t="shared" si="113"/>
        <v>-6.6277241069421233E-3</v>
      </c>
      <c r="L708" s="842">
        <v>88.22</v>
      </c>
      <c r="M708" s="843">
        <f t="shared" si="114"/>
        <v>5.6526946107784415E-2</v>
      </c>
      <c r="N708" s="842">
        <v>76.55</v>
      </c>
      <c r="O708" s="843">
        <f t="shared" si="115"/>
        <v>1.4041594913233535E-2</v>
      </c>
      <c r="P708" s="844">
        <f t="shared" si="121"/>
        <v>9.9038195760061832E-3</v>
      </c>
      <c r="Q708" s="830"/>
      <c r="R708" s="845">
        <v>1054.81</v>
      </c>
      <c r="S708" s="846">
        <f t="shared" si="116"/>
        <v>-6.4240837203169976E-3</v>
      </c>
      <c r="T708" s="845">
        <v>75.680000000000007</v>
      </c>
      <c r="U708" s="846">
        <f t="shared" si="117"/>
        <v>-5.3883558943356169E-3</v>
      </c>
      <c r="V708" s="845">
        <v>124.6353</v>
      </c>
      <c r="W708" s="846">
        <f t="shared" si="118"/>
        <v>-1.1692466493349318E-3</v>
      </c>
      <c r="X708" s="845">
        <v>34411.69</v>
      </c>
      <c r="Y708" s="846">
        <f t="shared" si="119"/>
        <v>-1.1477093851220976E-3</v>
      </c>
      <c r="Z708" s="845">
        <v>4391.6904000000004</v>
      </c>
      <c r="AA708" s="846">
        <f t="shared" si="120"/>
        <v>-2.0427594422289808E-4</v>
      </c>
      <c r="AB708" s="843"/>
      <c r="AC708" s="832"/>
    </row>
    <row r="709" spans="1:29" ht="14.4" x14ac:dyDescent="0.55000000000000004">
      <c r="A709" s="857" t="s">
        <v>5868</v>
      </c>
      <c r="B709" s="842">
        <v>119.74</v>
      </c>
      <c r="C709" s="843">
        <f t="shared" si="111"/>
        <v>-1.3344453711426896E-3</v>
      </c>
      <c r="D709" s="842">
        <v>45.79</v>
      </c>
      <c r="E709" s="843">
        <f t="shared" si="112"/>
        <v>1.1710119310649691E-2</v>
      </c>
      <c r="F709" s="842">
        <v>31.75</v>
      </c>
      <c r="G709" s="843">
        <f t="shared" si="112"/>
        <v>2.2095959595960224E-3</v>
      </c>
      <c r="H709" s="842">
        <v>49.88</v>
      </c>
      <c r="I709" s="843">
        <f t="shared" si="112"/>
        <v>2.2101667671288183E-3</v>
      </c>
      <c r="J709" s="842">
        <v>89.02</v>
      </c>
      <c r="K709" s="843">
        <f t="shared" si="113"/>
        <v>-5.3631284916201283E-3</v>
      </c>
      <c r="L709" s="842">
        <v>83.5</v>
      </c>
      <c r="M709" s="843">
        <f t="shared" si="114"/>
        <v>1.2121212121212199E-2</v>
      </c>
      <c r="N709" s="842">
        <v>75.489999999999995</v>
      </c>
      <c r="O709" s="843">
        <f t="shared" si="115"/>
        <v>8.9548249131248259E-3</v>
      </c>
      <c r="P709" s="844">
        <f t="shared" si="121"/>
        <v>4.3583350298498202E-3</v>
      </c>
      <c r="Q709" s="830"/>
      <c r="R709" s="845">
        <v>1061.6300000000001</v>
      </c>
      <c r="S709" s="846">
        <f t="shared" si="116"/>
        <v>4.5233944305711482E-4</v>
      </c>
      <c r="T709" s="845">
        <v>76.09</v>
      </c>
      <c r="U709" s="846">
        <f t="shared" si="117"/>
        <v>5.259697567390198E-4</v>
      </c>
      <c r="V709" s="845">
        <v>124.7812</v>
      </c>
      <c r="W709" s="846">
        <f t="shared" si="118"/>
        <v>-1.3341560762526461E-3</v>
      </c>
      <c r="X709" s="845">
        <v>34451.230000000003</v>
      </c>
      <c r="Y709" s="846">
        <f t="shared" si="119"/>
        <v>-3.2796570131453651E-3</v>
      </c>
      <c r="Z709" s="845">
        <v>4392.5877</v>
      </c>
      <c r="AA709" s="846">
        <f t="shared" si="120"/>
        <v>-1.2145054556165991E-2</v>
      </c>
      <c r="AB709" s="843"/>
      <c r="AC709" s="832"/>
    </row>
    <row r="710" spans="1:29" ht="14.4" x14ac:dyDescent="0.55000000000000004">
      <c r="A710" s="857" t="s">
        <v>5869</v>
      </c>
      <c r="B710" s="842">
        <v>119.9</v>
      </c>
      <c r="C710" s="843">
        <f t="shared" si="111"/>
        <v>-2.4958402662229595E-3</v>
      </c>
      <c r="D710" s="842">
        <v>45.26</v>
      </c>
      <c r="E710" s="843">
        <f t="shared" si="112"/>
        <v>-9.8446729380879949E-3</v>
      </c>
      <c r="F710" s="842">
        <v>31.68</v>
      </c>
      <c r="G710" s="843">
        <f t="shared" si="112"/>
        <v>-1.3391466832762378E-2</v>
      </c>
      <c r="H710" s="842">
        <v>49.77</v>
      </c>
      <c r="I710" s="843">
        <f t="shared" si="112"/>
        <v>-1.1911852293031489E-2</v>
      </c>
      <c r="J710" s="842">
        <v>89.5</v>
      </c>
      <c r="K710" s="843">
        <f t="shared" si="113"/>
        <v>-1.5401540154015514E-2</v>
      </c>
      <c r="L710" s="842">
        <v>82.5</v>
      </c>
      <c r="M710" s="843">
        <f t="shared" si="114"/>
        <v>1.8518518518518601E-2</v>
      </c>
      <c r="N710" s="842">
        <v>74.819999999999993</v>
      </c>
      <c r="O710" s="843">
        <f t="shared" si="115"/>
        <v>-1.3579433091628235E-2</v>
      </c>
      <c r="P710" s="844">
        <f t="shared" si="121"/>
        <v>-6.8723267224614238E-3</v>
      </c>
      <c r="Q710" s="830"/>
      <c r="R710" s="845">
        <v>1061.1500000000001</v>
      </c>
      <c r="S710" s="846">
        <f t="shared" si="116"/>
        <v>-1.048515444092013E-3</v>
      </c>
      <c r="T710" s="845">
        <v>76.05</v>
      </c>
      <c r="U710" s="846">
        <f t="shared" si="117"/>
        <v>-1.9685039370079815E-3</v>
      </c>
      <c r="V710" s="845">
        <v>124.9479</v>
      </c>
      <c r="W710" s="846">
        <f t="shared" si="118"/>
        <v>-2.4955991713269121E-3</v>
      </c>
      <c r="X710" s="845">
        <v>34564.589999999997</v>
      </c>
      <c r="Y710" s="846">
        <f t="shared" si="119"/>
        <v>1.0059325419706333E-2</v>
      </c>
      <c r="Z710" s="845">
        <v>4446.5918000000001</v>
      </c>
      <c r="AA710" s="846">
        <f t="shared" si="120"/>
        <v>1.1175711217180861E-2</v>
      </c>
      <c r="AB710" s="843"/>
      <c r="AC710" s="832"/>
    </row>
    <row r="711" spans="1:29" ht="14.4" x14ac:dyDescent="0.55000000000000004">
      <c r="A711" s="857" t="s">
        <v>5870</v>
      </c>
      <c r="B711" s="842">
        <v>120.2</v>
      </c>
      <c r="C711" s="843">
        <f t="shared" si="111"/>
        <v>-2.5724006306531155E-3</v>
      </c>
      <c r="D711" s="842">
        <v>45.71</v>
      </c>
      <c r="E711" s="843">
        <f t="shared" si="112"/>
        <v>-2.6183722452541858E-3</v>
      </c>
      <c r="F711" s="842">
        <v>32.11</v>
      </c>
      <c r="G711" s="843">
        <f t="shared" si="112"/>
        <v>6.8987143305110354E-3</v>
      </c>
      <c r="H711" s="842">
        <v>50.37</v>
      </c>
      <c r="I711" s="843">
        <f t="shared" si="112"/>
        <v>-6.900630914826511E-3</v>
      </c>
      <c r="J711" s="842">
        <v>90.9</v>
      </c>
      <c r="K711" s="843">
        <f t="shared" si="113"/>
        <v>3.6435905929117496E-3</v>
      </c>
      <c r="L711" s="842">
        <v>81</v>
      </c>
      <c r="M711" s="843">
        <f t="shared" si="114"/>
        <v>2.9355699580632999E-2</v>
      </c>
      <c r="N711" s="842">
        <v>75.849999999999994</v>
      </c>
      <c r="O711" s="843">
        <f t="shared" si="115"/>
        <v>6.5963060686002883E-4</v>
      </c>
      <c r="P711" s="844">
        <f t="shared" si="121"/>
        <v>4.0666044743117146E-3</v>
      </c>
      <c r="Q711" s="830"/>
      <c r="R711" s="845">
        <v>1062.2637999999999</v>
      </c>
      <c r="S711" s="846">
        <f t="shared" si="116"/>
        <v>4.0015878566770358E-3</v>
      </c>
      <c r="T711" s="845">
        <v>76.2</v>
      </c>
      <c r="U711" s="846">
        <f t="shared" si="117"/>
        <v>3.8203135291794421E-3</v>
      </c>
      <c r="V711" s="845">
        <v>125.26049999999999</v>
      </c>
      <c r="W711" s="846">
        <f t="shared" si="118"/>
        <v>-2.5727881666077757E-3</v>
      </c>
      <c r="X711" s="845">
        <v>34220.356299999999</v>
      </c>
      <c r="Y711" s="846">
        <f t="shared" si="119"/>
        <v>-2.5569195883256013E-3</v>
      </c>
      <c r="Z711" s="845">
        <v>4397.4471999999996</v>
      </c>
      <c r="AA711" s="846">
        <f t="shared" si="120"/>
        <v>-3.4179040372496194E-3</v>
      </c>
      <c r="AB711" s="843"/>
      <c r="AC711" s="832"/>
    </row>
    <row r="712" spans="1:29" ht="14.4" x14ac:dyDescent="0.55000000000000004">
      <c r="A712" s="857" t="s">
        <v>5871</v>
      </c>
      <c r="B712" s="842">
        <v>120.51</v>
      </c>
      <c r="C712" s="843">
        <f t="shared" ref="C712:C775" si="122">IFERROR(((B712/B713)-1), "NA")</f>
        <v>-9.8595020951440793E-3</v>
      </c>
      <c r="D712" s="842">
        <v>45.83</v>
      </c>
      <c r="E712" s="843">
        <f t="shared" ref="E712:I775" si="123">IFERROR(((D712/D713)-1), "NA")</f>
        <v>-7.3640892354343013E-3</v>
      </c>
      <c r="F712" s="842">
        <v>31.89</v>
      </c>
      <c r="G712" s="843">
        <f t="shared" si="123"/>
        <v>-4.9921996879873642E-3</v>
      </c>
      <c r="H712" s="842">
        <v>50.72</v>
      </c>
      <c r="I712" s="843">
        <f t="shared" si="123"/>
        <v>-1.3421513324255896E-2</v>
      </c>
      <c r="J712" s="842">
        <v>90.57</v>
      </c>
      <c r="K712" s="843">
        <f t="shared" ref="K712:K775" si="124">IFERROR(((J712/J713)-1), "NA")</f>
        <v>-1.4257727470613824E-2</v>
      </c>
      <c r="L712" s="842">
        <v>78.69</v>
      </c>
      <c r="M712" s="843">
        <f t="shared" ref="M712:M775" si="125">IFERROR(((L712/L713)-1), "NA")</f>
        <v>9.4932649134060743E-3</v>
      </c>
      <c r="N712" s="842">
        <v>75.8</v>
      </c>
      <c r="O712" s="843">
        <f t="shared" ref="O712:O775" si="126">IFERROR(((N712/N713)-1), "NA")</f>
        <v>-3.2873109796186517E-3</v>
      </c>
      <c r="P712" s="844">
        <f t="shared" si="121"/>
        <v>-6.2412968399497204E-3</v>
      </c>
      <c r="Q712" s="830"/>
      <c r="R712" s="845">
        <v>1058.03</v>
      </c>
      <c r="S712" s="846">
        <f t="shared" ref="S712:S775" si="127">IFERROR(((R712/R713)-1), "NA")</f>
        <v>-1.1961833298594127E-2</v>
      </c>
      <c r="T712" s="845">
        <v>75.91</v>
      </c>
      <c r="U712" s="846">
        <f t="shared" ref="U712:U775" si="128">IFERROR(((T712/T713)-1), "NA")</f>
        <v>-1.3643451143451113E-2</v>
      </c>
      <c r="V712" s="845">
        <v>125.5836</v>
      </c>
      <c r="W712" s="846">
        <f t="shared" ref="W712:W775" si="129">IFERROR(((V712/V713)-1), "NA")</f>
        <v>-9.8593359356828891E-3</v>
      </c>
      <c r="X712" s="845">
        <v>34308.079299999998</v>
      </c>
      <c r="Y712" s="846">
        <f t="shared" ref="Y712:Y775" si="130">IFERROR(((X712/X713)-1), "NA")</f>
        <v>-1.1895949785030169E-2</v>
      </c>
      <c r="Z712" s="845">
        <v>4412.5288</v>
      </c>
      <c r="AA712" s="846">
        <f t="shared" ref="AA712:AA775" si="131">IFERROR(((Z712/Z713)-1), "NA")</f>
        <v>-1.6877950934364172E-2</v>
      </c>
      <c r="AB712" s="843"/>
      <c r="AC712" s="832"/>
    </row>
    <row r="713" spans="1:29" ht="14.4" x14ac:dyDescent="0.55000000000000004">
      <c r="A713" s="857" t="s">
        <v>5872</v>
      </c>
      <c r="B713" s="842">
        <v>121.71</v>
      </c>
      <c r="C713" s="843">
        <f t="shared" si="122"/>
        <v>7.0329306635776856E-3</v>
      </c>
      <c r="D713" s="842">
        <v>46.17</v>
      </c>
      <c r="E713" s="843">
        <f t="shared" si="123"/>
        <v>3.4775048902413452E-3</v>
      </c>
      <c r="F713" s="842">
        <v>32.049999999999997</v>
      </c>
      <c r="G713" s="843">
        <f t="shared" si="123"/>
        <v>-1.8685767673622955E-3</v>
      </c>
      <c r="H713" s="842">
        <v>51.41</v>
      </c>
      <c r="I713" s="843">
        <f t="shared" si="123"/>
        <v>-3.1025790188095037E-3</v>
      </c>
      <c r="J713" s="842">
        <v>91.88</v>
      </c>
      <c r="K713" s="843">
        <f t="shared" si="124"/>
        <v>1.5697545876630636E-2</v>
      </c>
      <c r="L713" s="842">
        <v>77.95</v>
      </c>
      <c r="M713" s="843">
        <f t="shared" si="125"/>
        <v>-4.9782997191728517E-3</v>
      </c>
      <c r="N713" s="842">
        <v>76.05</v>
      </c>
      <c r="O713" s="843">
        <f t="shared" si="126"/>
        <v>1.9163763066202044E-2</v>
      </c>
      <c r="P713" s="844">
        <f t="shared" ref="P713:P776" si="132">IFERROR(AVERAGE(C713,E713,G713,I713,M713,K713,O713),"NA")</f>
        <v>5.0603269987581512E-3</v>
      </c>
      <c r="Q713" s="830"/>
      <c r="R713" s="845">
        <v>1070.8391999999999</v>
      </c>
      <c r="S713" s="846">
        <f t="shared" si="127"/>
        <v>2.8744017906476849E-3</v>
      </c>
      <c r="T713" s="845">
        <v>76.959999999999994</v>
      </c>
      <c r="U713" s="846">
        <f t="shared" si="128"/>
        <v>3.3898305084745228E-3</v>
      </c>
      <c r="V713" s="845">
        <v>126.83410000000001</v>
      </c>
      <c r="W713" s="846">
        <f t="shared" si="129"/>
        <v>7.0330445111208562E-3</v>
      </c>
      <c r="X713" s="845">
        <v>34721.120000000003</v>
      </c>
      <c r="Y713" s="846">
        <f t="shared" si="130"/>
        <v>3.9773221792893665E-3</v>
      </c>
      <c r="Z713" s="845">
        <v>4488.2817999999997</v>
      </c>
      <c r="AA713" s="846">
        <f t="shared" si="131"/>
        <v>-2.6504544432977006E-3</v>
      </c>
      <c r="AB713" s="843"/>
      <c r="AC713" s="832"/>
    </row>
    <row r="714" spans="1:29" ht="14.4" x14ac:dyDescent="0.55000000000000004">
      <c r="A714" s="857" t="s">
        <v>5873</v>
      </c>
      <c r="B714" s="842">
        <v>120.86</v>
      </c>
      <c r="C714" s="843">
        <f t="shared" si="122"/>
        <v>-9.7501024170422168E-3</v>
      </c>
      <c r="D714" s="842">
        <v>46.01</v>
      </c>
      <c r="E714" s="843">
        <f t="shared" si="123"/>
        <v>-1.4775160599571846E-2</v>
      </c>
      <c r="F714" s="842">
        <v>32.11</v>
      </c>
      <c r="G714" s="843">
        <f t="shared" si="123"/>
        <v>-1.0782501540357425E-2</v>
      </c>
      <c r="H714" s="842">
        <v>51.57</v>
      </c>
      <c r="I714" s="843">
        <f t="shared" si="123"/>
        <v>-2.9002320185614883E-3</v>
      </c>
      <c r="J714" s="842">
        <v>90.46</v>
      </c>
      <c r="K714" s="843">
        <f t="shared" si="124"/>
        <v>-9.9595053080880902E-3</v>
      </c>
      <c r="L714" s="842">
        <v>78.34</v>
      </c>
      <c r="M714" s="843">
        <f t="shared" si="125"/>
        <v>-1.6199924651513098E-2</v>
      </c>
      <c r="N714" s="842">
        <v>74.62</v>
      </c>
      <c r="O714" s="843">
        <f t="shared" si="126"/>
        <v>9.3896713615038152E-4</v>
      </c>
      <c r="P714" s="844">
        <f t="shared" si="132"/>
        <v>-9.0612084855691121E-3</v>
      </c>
      <c r="Q714" s="830"/>
      <c r="R714" s="845">
        <v>1067.77</v>
      </c>
      <c r="S714" s="846">
        <f t="shared" si="127"/>
        <v>-2.9507063953760904E-3</v>
      </c>
      <c r="T714" s="845">
        <v>76.7</v>
      </c>
      <c r="U714" s="846">
        <f t="shared" si="128"/>
        <v>-2.4710625568994393E-3</v>
      </c>
      <c r="V714" s="845">
        <v>125.9483</v>
      </c>
      <c r="W714" s="846">
        <f t="shared" si="129"/>
        <v>-9.750102996814114E-3</v>
      </c>
      <c r="X714" s="845">
        <v>34583.57</v>
      </c>
      <c r="Y714" s="846">
        <f t="shared" si="130"/>
        <v>2.5237335602934508E-3</v>
      </c>
      <c r="Z714" s="845">
        <v>4500.2093999999997</v>
      </c>
      <c r="AA714" s="846">
        <f t="shared" si="131"/>
        <v>4.2524990162688958E-3</v>
      </c>
      <c r="AB714" s="843"/>
      <c r="AC714" s="832"/>
    </row>
    <row r="715" spans="1:29" ht="14.4" x14ac:dyDescent="0.55000000000000004">
      <c r="A715" s="857" t="s">
        <v>5874</v>
      </c>
      <c r="B715" s="842">
        <v>122.05</v>
      </c>
      <c r="C715" s="843">
        <f t="shared" si="122"/>
        <v>1.5137652832071913E-2</v>
      </c>
      <c r="D715" s="842">
        <v>46.7</v>
      </c>
      <c r="E715" s="843">
        <f t="shared" si="123"/>
        <v>1.7872711421098586E-2</v>
      </c>
      <c r="F715" s="842">
        <v>32.46</v>
      </c>
      <c r="G715" s="843">
        <f t="shared" si="123"/>
        <v>1.883239171374762E-2</v>
      </c>
      <c r="H715" s="842">
        <v>51.72</v>
      </c>
      <c r="I715" s="843">
        <f t="shared" si="123"/>
        <v>8.3837005264184583E-3</v>
      </c>
      <c r="J715" s="842">
        <v>91.37</v>
      </c>
      <c r="K715" s="843">
        <f t="shared" si="124"/>
        <v>2.5361912243294871E-2</v>
      </c>
      <c r="L715" s="842">
        <v>79.63</v>
      </c>
      <c r="M715" s="843">
        <f t="shared" si="125"/>
        <v>4.9217566885411124E-3</v>
      </c>
      <c r="N715" s="842">
        <v>74.55</v>
      </c>
      <c r="O715" s="843">
        <f t="shared" si="126"/>
        <v>1.8442622950819665E-2</v>
      </c>
      <c r="P715" s="844">
        <f t="shared" si="132"/>
        <v>1.556467833942746E-2</v>
      </c>
      <c r="Q715" s="830"/>
      <c r="R715" s="845">
        <v>1070.93</v>
      </c>
      <c r="S715" s="846">
        <f t="shared" si="127"/>
        <v>1.9370252622361139E-2</v>
      </c>
      <c r="T715" s="845">
        <v>76.89</v>
      </c>
      <c r="U715" s="846">
        <f t="shared" si="128"/>
        <v>1.9896538002387665E-2</v>
      </c>
      <c r="V715" s="845">
        <v>127.1884</v>
      </c>
      <c r="W715" s="846">
        <f t="shared" si="129"/>
        <v>1.5137463106125182E-2</v>
      </c>
      <c r="X715" s="845">
        <v>34496.51</v>
      </c>
      <c r="Y715" s="846">
        <f t="shared" si="130"/>
        <v>-4.1762434189597242E-3</v>
      </c>
      <c r="Z715" s="845">
        <v>4481.1532999999999</v>
      </c>
      <c r="AA715" s="846">
        <f t="shared" si="131"/>
        <v>-9.7165996913098907E-3</v>
      </c>
      <c r="AB715" s="843"/>
      <c r="AC715" s="832"/>
    </row>
    <row r="716" spans="1:29" ht="14.4" x14ac:dyDescent="0.55000000000000004">
      <c r="A716" s="857" t="s">
        <v>5875</v>
      </c>
      <c r="B716" s="842">
        <v>120.23</v>
      </c>
      <c r="C716" s="843">
        <f t="shared" si="122"/>
        <v>8.810203054203658E-3</v>
      </c>
      <c r="D716" s="842">
        <v>45.88</v>
      </c>
      <c r="E716" s="843">
        <f t="shared" si="123"/>
        <v>-4.3402777777776791E-3</v>
      </c>
      <c r="F716" s="842">
        <v>31.86</v>
      </c>
      <c r="G716" s="843">
        <f t="shared" si="123"/>
        <v>4.4136191677175418E-3</v>
      </c>
      <c r="H716" s="842">
        <v>51.29</v>
      </c>
      <c r="I716" s="843">
        <f t="shared" si="123"/>
        <v>-8.5057026870287711E-3</v>
      </c>
      <c r="J716" s="842">
        <v>89.11</v>
      </c>
      <c r="K716" s="843">
        <f t="shared" si="124"/>
        <v>8.2597872821905671E-3</v>
      </c>
      <c r="L716" s="842">
        <v>79.239999999999995</v>
      </c>
      <c r="M716" s="843">
        <f t="shared" si="125"/>
        <v>-1.8456583673975069E-2</v>
      </c>
      <c r="N716" s="842">
        <v>73.2</v>
      </c>
      <c r="O716" s="843">
        <f t="shared" si="126"/>
        <v>1.4693651233712357E-2</v>
      </c>
      <c r="P716" s="844">
        <f t="shared" si="132"/>
        <v>6.963852284346579E-4</v>
      </c>
      <c r="Q716" s="830"/>
      <c r="R716" s="845">
        <v>1050.58</v>
      </c>
      <c r="S716" s="846">
        <f t="shared" si="127"/>
        <v>4.618694716710392E-3</v>
      </c>
      <c r="T716" s="845">
        <v>75.39</v>
      </c>
      <c r="U716" s="846">
        <f t="shared" si="128"/>
        <v>6.2733582487985995E-3</v>
      </c>
      <c r="V716" s="845">
        <v>125.29179999999999</v>
      </c>
      <c r="W716" s="846">
        <f t="shared" si="129"/>
        <v>8.8101541414649098E-3</v>
      </c>
      <c r="X716" s="845">
        <v>34641.18</v>
      </c>
      <c r="Y716" s="846">
        <f t="shared" si="130"/>
        <v>-8.0379406836057488E-3</v>
      </c>
      <c r="Z716" s="845">
        <v>4525.1220999999996</v>
      </c>
      <c r="AA716" s="846">
        <f t="shared" si="131"/>
        <v>-1.2550418306179756E-2</v>
      </c>
      <c r="AB716" s="843"/>
      <c r="AC716" s="832"/>
    </row>
    <row r="717" spans="1:29" ht="14.4" x14ac:dyDescent="0.55000000000000004">
      <c r="A717" s="857" t="s">
        <v>5876</v>
      </c>
      <c r="B717" s="842">
        <v>119.18</v>
      </c>
      <c r="C717" s="843">
        <f t="shared" si="122"/>
        <v>-1.8367515031710635E-2</v>
      </c>
      <c r="D717" s="842">
        <v>46.08</v>
      </c>
      <c r="E717" s="843">
        <f t="shared" si="123"/>
        <v>-2.3107907568369779E-2</v>
      </c>
      <c r="F717" s="842">
        <v>31.72</v>
      </c>
      <c r="G717" s="843">
        <f t="shared" si="123"/>
        <v>-1.122194513715713E-2</v>
      </c>
      <c r="H717" s="842">
        <v>51.73</v>
      </c>
      <c r="I717" s="843">
        <f t="shared" si="123"/>
        <v>-3.4675399730302869E-3</v>
      </c>
      <c r="J717" s="842">
        <v>88.38</v>
      </c>
      <c r="K717" s="843">
        <f t="shared" si="124"/>
        <v>-1.2844856472690735E-2</v>
      </c>
      <c r="L717" s="842">
        <v>80.73</v>
      </c>
      <c r="M717" s="843">
        <f t="shared" si="125"/>
        <v>8.6206896551723755E-3</v>
      </c>
      <c r="N717" s="842">
        <v>72.14</v>
      </c>
      <c r="O717" s="843">
        <f t="shared" si="126"/>
        <v>-6.7465234751479253E-3</v>
      </c>
      <c r="P717" s="844">
        <f t="shared" si="132"/>
        <v>-9.590799714704874E-3</v>
      </c>
      <c r="Q717" s="830"/>
      <c r="R717" s="845">
        <v>1045.75</v>
      </c>
      <c r="S717" s="846">
        <f t="shared" si="127"/>
        <v>-1.0895986834015936E-2</v>
      </c>
      <c r="T717" s="845">
        <v>74.92</v>
      </c>
      <c r="U717" s="846">
        <f t="shared" si="128"/>
        <v>-7.6821192052980436E-3</v>
      </c>
      <c r="V717" s="845">
        <v>124.19759999999999</v>
      </c>
      <c r="W717" s="846">
        <f t="shared" si="129"/>
        <v>-1.8367629217168724E-2</v>
      </c>
      <c r="X717" s="845">
        <v>34921.879999999997</v>
      </c>
      <c r="Y717" s="846">
        <f t="shared" si="130"/>
        <v>2.9757365888656295E-3</v>
      </c>
      <c r="Z717" s="845">
        <v>4582.6360999999997</v>
      </c>
      <c r="AA717" s="846">
        <f t="shared" si="131"/>
        <v>8.0910182912765638E-3</v>
      </c>
      <c r="AB717" s="843"/>
      <c r="AC717" s="832"/>
    </row>
    <row r="718" spans="1:29" ht="14.4" x14ac:dyDescent="0.55000000000000004">
      <c r="A718" s="857" t="s">
        <v>5877</v>
      </c>
      <c r="B718" s="842">
        <v>121.41</v>
      </c>
      <c r="C718" s="843">
        <f t="shared" si="122"/>
        <v>1.6068290233492322E-2</v>
      </c>
      <c r="D718" s="842">
        <v>47.17</v>
      </c>
      <c r="E718" s="843">
        <f t="shared" si="123"/>
        <v>2.8565198430004379E-2</v>
      </c>
      <c r="F718" s="842">
        <v>32.08</v>
      </c>
      <c r="G718" s="843">
        <f t="shared" si="123"/>
        <v>8.8050314465408785E-3</v>
      </c>
      <c r="H718" s="842">
        <v>51.91</v>
      </c>
      <c r="I718" s="843">
        <f t="shared" si="123"/>
        <v>3.6736272235111667E-3</v>
      </c>
      <c r="J718" s="842">
        <v>89.53</v>
      </c>
      <c r="K718" s="843">
        <f t="shared" si="124"/>
        <v>1.4619220308250247E-2</v>
      </c>
      <c r="L718" s="842">
        <v>80.040000000000006</v>
      </c>
      <c r="M718" s="843">
        <f t="shared" si="125"/>
        <v>2.2352790905607378E-2</v>
      </c>
      <c r="N718" s="842">
        <v>72.63</v>
      </c>
      <c r="O718" s="843">
        <f t="shared" si="126"/>
        <v>1.2123745819397902E-2</v>
      </c>
      <c r="P718" s="844">
        <f t="shared" si="132"/>
        <v>1.5172557766686325E-2</v>
      </c>
      <c r="Q718" s="830"/>
      <c r="R718" s="845">
        <v>1057.27</v>
      </c>
      <c r="S718" s="846">
        <f t="shared" si="127"/>
        <v>1.4693462321010431E-2</v>
      </c>
      <c r="T718" s="845">
        <v>75.5</v>
      </c>
      <c r="U718" s="846">
        <f t="shared" si="128"/>
        <v>1.3967230727907731E-2</v>
      </c>
      <c r="V718" s="845">
        <v>126.5215</v>
      </c>
      <c r="W718" s="846">
        <f t="shared" si="129"/>
        <v>1.606882716594682E-2</v>
      </c>
      <c r="X718" s="845">
        <v>34818.269999999997</v>
      </c>
      <c r="Y718" s="846">
        <f t="shared" si="130"/>
        <v>4.0347940429690254E-3</v>
      </c>
      <c r="Z718" s="845">
        <v>4545.8554999999997</v>
      </c>
      <c r="AA718" s="846">
        <f t="shared" si="131"/>
        <v>3.4085188912666986E-3</v>
      </c>
      <c r="AB718" s="843"/>
      <c r="AC718" s="832"/>
    </row>
    <row r="719" spans="1:29" ht="14.4" x14ac:dyDescent="0.55000000000000004">
      <c r="A719" s="857" t="s">
        <v>5878</v>
      </c>
      <c r="B719" s="842">
        <v>119.49</v>
      </c>
      <c r="C719" s="843">
        <f t="shared" si="122"/>
        <v>-7.3107917255130772E-3</v>
      </c>
      <c r="D719" s="842">
        <v>45.86</v>
      </c>
      <c r="E719" s="843">
        <f t="shared" si="123"/>
        <v>-1.0785159620362417E-2</v>
      </c>
      <c r="F719" s="842">
        <v>31.8</v>
      </c>
      <c r="G719" s="843">
        <f t="shared" si="123"/>
        <v>6.0107560898450263E-3</v>
      </c>
      <c r="H719" s="842">
        <v>51.72</v>
      </c>
      <c r="I719" s="843">
        <f t="shared" si="123"/>
        <v>7.4016361511490825E-3</v>
      </c>
      <c r="J719" s="842">
        <v>88.24</v>
      </c>
      <c r="K719" s="843">
        <f t="shared" si="124"/>
        <v>-2.9378531073447345E-3</v>
      </c>
      <c r="L719" s="842">
        <v>78.290000000000006</v>
      </c>
      <c r="M719" s="843">
        <f t="shared" si="125"/>
        <v>-9.1127705353752919E-3</v>
      </c>
      <c r="N719" s="842">
        <v>71.760000000000005</v>
      </c>
      <c r="O719" s="843">
        <f t="shared" si="126"/>
        <v>0</v>
      </c>
      <c r="P719" s="844">
        <f t="shared" si="132"/>
        <v>-2.3905975353716302E-3</v>
      </c>
      <c r="Q719" s="830"/>
      <c r="R719" s="845">
        <v>1041.96</v>
      </c>
      <c r="S719" s="846">
        <f t="shared" si="127"/>
        <v>-1.3434411284896086E-4</v>
      </c>
      <c r="T719" s="845">
        <v>74.459999999999994</v>
      </c>
      <c r="U719" s="846">
        <f t="shared" si="128"/>
        <v>-1.0732492621412515E-3</v>
      </c>
      <c r="V719" s="845">
        <v>124.5206</v>
      </c>
      <c r="W719" s="846">
        <f t="shared" si="129"/>
        <v>-7.311199105213273E-3</v>
      </c>
      <c r="X719" s="845">
        <v>34678.35</v>
      </c>
      <c r="Y719" s="846">
        <f t="shared" si="130"/>
        <v>-1.5625279423290173E-2</v>
      </c>
      <c r="Z719" s="845">
        <v>4530.4134999999997</v>
      </c>
      <c r="AA719" s="846">
        <f t="shared" si="131"/>
        <v>-1.5651473000697913E-2</v>
      </c>
      <c r="AB719" s="843"/>
      <c r="AC719" s="832"/>
    </row>
    <row r="720" spans="1:29" ht="14.4" x14ac:dyDescent="0.55000000000000004">
      <c r="A720" s="857" t="s">
        <v>5879</v>
      </c>
      <c r="B720" s="842">
        <v>120.37</v>
      </c>
      <c r="C720" s="843">
        <f t="shared" si="122"/>
        <v>9.9848967947642198E-3</v>
      </c>
      <c r="D720" s="842">
        <v>46.36</v>
      </c>
      <c r="E720" s="843">
        <f t="shared" si="123"/>
        <v>-4.3122035360076971E-4</v>
      </c>
      <c r="F720" s="842">
        <v>31.61</v>
      </c>
      <c r="G720" s="843">
        <f t="shared" si="123"/>
        <v>5.7270124085269103E-3</v>
      </c>
      <c r="H720" s="842">
        <v>51.34</v>
      </c>
      <c r="I720" s="843">
        <f t="shared" si="123"/>
        <v>-7.4621485219898975E-2</v>
      </c>
      <c r="J720" s="842">
        <v>88.5</v>
      </c>
      <c r="K720" s="843">
        <f t="shared" si="124"/>
        <v>9.0069547372022551E-3</v>
      </c>
      <c r="L720" s="842">
        <v>79.010000000000005</v>
      </c>
      <c r="M720" s="843">
        <f t="shared" si="125"/>
        <v>6.496815286624269E-3</v>
      </c>
      <c r="N720" s="842">
        <v>71.760000000000005</v>
      </c>
      <c r="O720" s="843">
        <f t="shared" si="126"/>
        <v>1.098901098901095E-2</v>
      </c>
      <c r="P720" s="844">
        <f t="shared" si="132"/>
        <v>-4.6925736224815917E-3</v>
      </c>
      <c r="Q720" s="830"/>
      <c r="R720" s="845">
        <v>1042.0999999999999</v>
      </c>
      <c r="S720" s="846">
        <f t="shared" si="127"/>
        <v>8.4996165746586971E-3</v>
      </c>
      <c r="T720" s="845">
        <v>74.540000000000006</v>
      </c>
      <c r="U720" s="846">
        <f t="shared" si="128"/>
        <v>8.2510482889219805E-3</v>
      </c>
      <c r="V720" s="845">
        <v>125.43770000000001</v>
      </c>
      <c r="W720" s="846">
        <f t="shared" si="129"/>
        <v>9.9848950382295243E-3</v>
      </c>
      <c r="X720" s="845">
        <v>35228.81</v>
      </c>
      <c r="Y720" s="846">
        <f t="shared" si="130"/>
        <v>-1.8524040831414679E-3</v>
      </c>
      <c r="Z720" s="845">
        <v>4602.4485999999997</v>
      </c>
      <c r="AA720" s="846">
        <f t="shared" si="131"/>
        <v>-6.2950749533926542E-3</v>
      </c>
      <c r="AB720" s="843"/>
      <c r="AC720" s="832"/>
    </row>
    <row r="721" spans="1:29" ht="14.4" x14ac:dyDescent="0.55000000000000004">
      <c r="A721" s="857" t="s">
        <v>5880</v>
      </c>
      <c r="B721" s="842">
        <v>119.18</v>
      </c>
      <c r="C721" s="843">
        <f t="shared" si="122"/>
        <v>1.1800662195432521E-2</v>
      </c>
      <c r="D721" s="842">
        <v>46.38</v>
      </c>
      <c r="E721" s="843">
        <f t="shared" si="123"/>
        <v>1.0677707561560279E-2</v>
      </c>
      <c r="F721" s="842">
        <v>31.43</v>
      </c>
      <c r="G721" s="843">
        <f t="shared" si="123"/>
        <v>1.2238325281803464E-2</v>
      </c>
      <c r="H721" s="842">
        <v>55.48</v>
      </c>
      <c r="I721" s="843">
        <f t="shared" si="123"/>
        <v>1.6303352262319049E-2</v>
      </c>
      <c r="J721" s="842">
        <v>87.71</v>
      </c>
      <c r="K721" s="843">
        <f t="shared" si="124"/>
        <v>5.8486238532109436E-3</v>
      </c>
      <c r="L721" s="842">
        <v>78.5</v>
      </c>
      <c r="M721" s="843">
        <f t="shared" si="125"/>
        <v>-1.0213087882990801E-2</v>
      </c>
      <c r="N721" s="842">
        <v>70.98</v>
      </c>
      <c r="O721" s="843">
        <f t="shared" si="126"/>
        <v>2.1736001151576367E-2</v>
      </c>
      <c r="P721" s="844">
        <f t="shared" si="132"/>
        <v>9.7702263461302598E-3</v>
      </c>
      <c r="Q721" s="830"/>
      <c r="R721" s="845">
        <v>1033.3172</v>
      </c>
      <c r="S721" s="846">
        <f t="shared" si="127"/>
        <v>1.1044595296827442E-2</v>
      </c>
      <c r="T721" s="845">
        <v>73.930000000000007</v>
      </c>
      <c r="U721" s="846">
        <f t="shared" si="128"/>
        <v>9.283276450511968E-3</v>
      </c>
      <c r="V721" s="845">
        <v>124.19759999999999</v>
      </c>
      <c r="W721" s="846">
        <f t="shared" si="129"/>
        <v>1.1800493852908156E-2</v>
      </c>
      <c r="X721" s="845">
        <v>35294.189100000003</v>
      </c>
      <c r="Y721" s="846">
        <f t="shared" si="130"/>
        <v>9.6780212286600165E-3</v>
      </c>
      <c r="Z721" s="845">
        <v>4631.6049000000003</v>
      </c>
      <c r="AA721" s="846">
        <f t="shared" si="131"/>
        <v>1.225841988586085E-2</v>
      </c>
      <c r="AB721" s="843"/>
      <c r="AC721" s="832"/>
    </row>
    <row r="722" spans="1:29" ht="14.4" x14ac:dyDescent="0.55000000000000004">
      <c r="A722" s="857" t="s">
        <v>5881</v>
      </c>
      <c r="B722" s="842">
        <v>117.79</v>
      </c>
      <c r="C722" s="843">
        <f t="shared" si="122"/>
        <v>-6.1592980087747939E-3</v>
      </c>
      <c r="D722" s="842">
        <v>45.89</v>
      </c>
      <c r="E722" s="843">
        <f t="shared" si="123"/>
        <v>8.1282952548329401E-3</v>
      </c>
      <c r="F722" s="842">
        <v>31.05</v>
      </c>
      <c r="G722" s="843">
        <f t="shared" si="123"/>
        <v>-2.8901734104046506E-3</v>
      </c>
      <c r="H722" s="842">
        <v>54.59</v>
      </c>
      <c r="I722" s="843">
        <f t="shared" si="123"/>
        <v>-8.3560399636692928E-3</v>
      </c>
      <c r="J722" s="842">
        <v>87.2</v>
      </c>
      <c r="K722" s="843">
        <f t="shared" si="124"/>
        <v>4.1455550437585753E-3</v>
      </c>
      <c r="L722" s="842">
        <v>79.31</v>
      </c>
      <c r="M722" s="843">
        <f t="shared" si="125"/>
        <v>2.7816411682892728E-3</v>
      </c>
      <c r="N722" s="842">
        <v>69.47</v>
      </c>
      <c r="O722" s="843">
        <f t="shared" si="126"/>
        <v>3.9017341040461506E-3</v>
      </c>
      <c r="P722" s="844">
        <f t="shared" si="132"/>
        <v>2.2167345543974308E-4</v>
      </c>
      <c r="Q722" s="830"/>
      <c r="R722" s="845">
        <v>1022.0293</v>
      </c>
      <c r="S722" s="846">
        <f t="shared" si="127"/>
        <v>5.3010898646521643E-3</v>
      </c>
      <c r="T722" s="845">
        <v>73.25</v>
      </c>
      <c r="U722" s="846">
        <f t="shared" si="128"/>
        <v>6.4578180818906095E-3</v>
      </c>
      <c r="V722" s="845">
        <v>122.7491</v>
      </c>
      <c r="W722" s="846">
        <f t="shared" si="129"/>
        <v>-6.1590254376575615E-3</v>
      </c>
      <c r="X722" s="845">
        <v>34955.885300000002</v>
      </c>
      <c r="Y722" s="846">
        <f t="shared" si="130"/>
        <v>2.7149149026255426E-3</v>
      </c>
      <c r="Z722" s="845">
        <v>4575.5163000000002</v>
      </c>
      <c r="AA722" s="846">
        <f t="shared" si="131"/>
        <v>7.14494761720319E-3</v>
      </c>
      <c r="AB722" s="843"/>
      <c r="AC722" s="832"/>
    </row>
    <row r="723" spans="1:29" ht="14.4" x14ac:dyDescent="0.55000000000000004">
      <c r="A723" s="857" t="s">
        <v>5882</v>
      </c>
      <c r="B723" s="842">
        <v>118.52</v>
      </c>
      <c r="C723" s="843">
        <f t="shared" si="122"/>
        <v>2.4639059393100959E-2</v>
      </c>
      <c r="D723" s="842">
        <v>45.52</v>
      </c>
      <c r="E723" s="843">
        <f t="shared" si="123"/>
        <v>2.8468142792589468E-2</v>
      </c>
      <c r="F723" s="842">
        <v>31.14</v>
      </c>
      <c r="G723" s="843">
        <f t="shared" si="123"/>
        <v>1.9646365422396839E-2</v>
      </c>
      <c r="H723" s="842">
        <v>55.05</v>
      </c>
      <c r="I723" s="843">
        <f t="shared" si="123"/>
        <v>3.5942792623259168E-2</v>
      </c>
      <c r="J723" s="842">
        <v>86.84</v>
      </c>
      <c r="K723" s="843">
        <f t="shared" si="124"/>
        <v>3.1353919239905048E-2</v>
      </c>
      <c r="L723" s="842">
        <v>79.09</v>
      </c>
      <c r="M723" s="843">
        <f t="shared" si="125"/>
        <v>1.3194978221880538E-2</v>
      </c>
      <c r="N723" s="842">
        <v>69.2</v>
      </c>
      <c r="O723" s="843">
        <f t="shared" si="126"/>
        <v>3.0835691941009991E-2</v>
      </c>
      <c r="P723" s="844">
        <f t="shared" si="132"/>
        <v>2.6297278519163143E-2</v>
      </c>
      <c r="Q723" s="830"/>
      <c r="R723" s="845">
        <v>1016.64</v>
      </c>
      <c r="S723" s="846">
        <f t="shared" si="127"/>
        <v>1.580703822865237E-2</v>
      </c>
      <c r="T723" s="845">
        <v>72.78</v>
      </c>
      <c r="U723" s="846">
        <f t="shared" si="128"/>
        <v>1.4496793978254985E-2</v>
      </c>
      <c r="V723" s="845">
        <v>123.5098</v>
      </c>
      <c r="W723" s="846">
        <f t="shared" si="129"/>
        <v>2.4639164823568649E-2</v>
      </c>
      <c r="X723" s="845">
        <v>34861.24</v>
      </c>
      <c r="Y723" s="846">
        <f t="shared" si="130"/>
        <v>4.4168567768640976E-3</v>
      </c>
      <c r="Z723" s="845">
        <v>4543.0564000000004</v>
      </c>
      <c r="AA723" s="846">
        <f t="shared" si="131"/>
        <v>5.0650623877046552E-3</v>
      </c>
      <c r="AB723" s="843"/>
      <c r="AC723" s="832"/>
    </row>
    <row r="724" spans="1:29" ht="14.4" x14ac:dyDescent="0.55000000000000004">
      <c r="A724" s="857" t="s">
        <v>5883</v>
      </c>
      <c r="B724" s="842">
        <v>115.67</v>
      </c>
      <c r="C724" s="843">
        <f t="shared" si="122"/>
        <v>1.1897471787245095E-2</v>
      </c>
      <c r="D724" s="842">
        <v>44.26</v>
      </c>
      <c r="E724" s="843">
        <f t="shared" si="123"/>
        <v>1.0733044073989451E-2</v>
      </c>
      <c r="F724" s="842">
        <v>30.54</v>
      </c>
      <c r="G724" s="843">
        <f t="shared" si="123"/>
        <v>9.5867768595041536E-3</v>
      </c>
      <c r="H724" s="842">
        <v>53.14</v>
      </c>
      <c r="I724" s="843">
        <f t="shared" si="123"/>
        <v>9.1150778579567326E-3</v>
      </c>
      <c r="J724" s="842">
        <v>84.2</v>
      </c>
      <c r="K724" s="843">
        <f t="shared" si="124"/>
        <v>1.1168488050918857E-2</v>
      </c>
      <c r="L724" s="842">
        <v>78.06</v>
      </c>
      <c r="M724" s="843">
        <f t="shared" si="125"/>
        <v>2.1460350693535801E-2</v>
      </c>
      <c r="N724" s="842">
        <v>67.13</v>
      </c>
      <c r="O724" s="843">
        <f t="shared" si="126"/>
        <v>3.738038277512068E-3</v>
      </c>
      <c r="P724" s="844">
        <f t="shared" si="132"/>
        <v>1.1099892514380308E-2</v>
      </c>
      <c r="Q724" s="830"/>
      <c r="R724" s="845">
        <v>1000.82</v>
      </c>
      <c r="S724" s="846">
        <f t="shared" si="127"/>
        <v>9.3693584662088991E-3</v>
      </c>
      <c r="T724" s="845">
        <v>71.739999999999995</v>
      </c>
      <c r="U724" s="846">
        <f t="shared" si="128"/>
        <v>1.0280242219405489E-2</v>
      </c>
      <c r="V724" s="845">
        <v>120.5398</v>
      </c>
      <c r="W724" s="846">
        <f t="shared" si="129"/>
        <v>1.1896986801832599E-2</v>
      </c>
      <c r="X724" s="845">
        <v>34707.94</v>
      </c>
      <c r="Y724" s="846">
        <f t="shared" si="130"/>
        <v>1.0170409069080399E-2</v>
      </c>
      <c r="Z724" s="845">
        <v>4520.1615000000002</v>
      </c>
      <c r="AA724" s="846">
        <f t="shared" si="131"/>
        <v>1.4345178307432649E-2</v>
      </c>
      <c r="AB724" s="843"/>
      <c r="AC724" s="832"/>
    </row>
    <row r="725" spans="1:29" ht="14.4" x14ac:dyDescent="0.55000000000000004">
      <c r="A725" s="857" t="s">
        <v>5884</v>
      </c>
      <c r="B725" s="842">
        <v>114.31</v>
      </c>
      <c r="C725" s="843">
        <f t="shared" si="122"/>
        <v>1.3139453398738343E-3</v>
      </c>
      <c r="D725" s="842">
        <v>43.79</v>
      </c>
      <c r="E725" s="843">
        <f t="shared" si="123"/>
        <v>-8.8275237664101613E-3</v>
      </c>
      <c r="F725" s="842">
        <v>30.25</v>
      </c>
      <c r="G725" s="843">
        <f t="shared" si="123"/>
        <v>9.9272005294515075E-4</v>
      </c>
      <c r="H725" s="842">
        <v>52.66</v>
      </c>
      <c r="I725" s="843">
        <f t="shared" si="123"/>
        <v>3.7993920972634321E-4</v>
      </c>
      <c r="J725" s="842">
        <v>83.27</v>
      </c>
      <c r="K725" s="843">
        <f t="shared" si="124"/>
        <v>-3.4705600765917444E-3</v>
      </c>
      <c r="L725" s="842">
        <v>76.42</v>
      </c>
      <c r="M725" s="843">
        <f t="shared" si="125"/>
        <v>2.7555438918778208E-3</v>
      </c>
      <c r="N725" s="842">
        <v>66.88</v>
      </c>
      <c r="O725" s="843">
        <f t="shared" si="126"/>
        <v>-5.7975323323918859E-3</v>
      </c>
      <c r="P725" s="844">
        <f t="shared" si="132"/>
        <v>-1.8076382401386632E-3</v>
      </c>
      <c r="Q725" s="830"/>
      <c r="R725" s="845">
        <v>991.53</v>
      </c>
      <c r="S725" s="846">
        <f t="shared" si="127"/>
        <v>1.8389225126551612E-3</v>
      </c>
      <c r="T725" s="845">
        <v>71.010000000000005</v>
      </c>
      <c r="U725" s="846">
        <f t="shared" si="128"/>
        <v>1.4102383302778687E-3</v>
      </c>
      <c r="V725" s="845">
        <v>119.12260000000001</v>
      </c>
      <c r="W725" s="846">
        <f t="shared" si="129"/>
        <v>1.314659121666617E-3</v>
      </c>
      <c r="X725" s="845">
        <v>34358.5</v>
      </c>
      <c r="Y725" s="846">
        <f t="shared" si="130"/>
        <v>-1.2898384426786702E-2</v>
      </c>
      <c r="Z725" s="845">
        <v>4456.2359999999999</v>
      </c>
      <c r="AA725" s="846">
        <f t="shared" si="131"/>
        <v>-1.2272835337445942E-2</v>
      </c>
      <c r="AB725" s="843"/>
      <c r="AC725" s="832"/>
    </row>
    <row r="726" spans="1:29" ht="14.4" x14ac:dyDescent="0.55000000000000004">
      <c r="A726" s="857" t="s">
        <v>5885</v>
      </c>
      <c r="B726" s="842">
        <v>114.16</v>
      </c>
      <c r="C726" s="843">
        <f t="shared" si="122"/>
        <v>-9.3717459215549859E-3</v>
      </c>
      <c r="D726" s="842">
        <v>44.18</v>
      </c>
      <c r="E726" s="843">
        <f t="shared" si="123"/>
        <v>-2.0329794443190163E-3</v>
      </c>
      <c r="F726" s="842">
        <v>30.22</v>
      </c>
      <c r="G726" s="843">
        <f t="shared" si="123"/>
        <v>-4.6113306982872304E-3</v>
      </c>
      <c r="H726" s="842">
        <v>52.64</v>
      </c>
      <c r="I726" s="843">
        <f t="shared" si="123"/>
        <v>-1.3123359580052507E-2</v>
      </c>
      <c r="J726" s="842">
        <v>83.56</v>
      </c>
      <c r="K726" s="843">
        <f t="shared" si="124"/>
        <v>-1.0890151515151492E-2</v>
      </c>
      <c r="L726" s="842">
        <v>76.209999999999994</v>
      </c>
      <c r="M726" s="843">
        <f t="shared" si="125"/>
        <v>-2.4824056301983477E-2</v>
      </c>
      <c r="N726" s="842">
        <v>67.27</v>
      </c>
      <c r="O726" s="843">
        <f t="shared" si="126"/>
        <v>-5.9110388650805978E-3</v>
      </c>
      <c r="P726" s="844">
        <f t="shared" si="132"/>
        <v>-1.0109237475204187E-2</v>
      </c>
      <c r="Q726" s="830"/>
      <c r="R726" s="845">
        <v>989.71</v>
      </c>
      <c r="S726" s="846">
        <f t="shared" si="127"/>
        <v>-1.0295438716905192E-3</v>
      </c>
      <c r="T726" s="845">
        <v>70.91</v>
      </c>
      <c r="U726" s="846">
        <f t="shared" si="128"/>
        <v>1.4122299110295167E-3</v>
      </c>
      <c r="V726" s="845">
        <v>118.9662</v>
      </c>
      <c r="W726" s="846">
        <f t="shared" si="129"/>
        <v>-9.3720048929276656E-3</v>
      </c>
      <c r="X726" s="845">
        <v>34807.46</v>
      </c>
      <c r="Y726" s="846">
        <f t="shared" si="130"/>
        <v>7.3646303836514271E-3</v>
      </c>
      <c r="Z726" s="845">
        <v>4511.6062000000002</v>
      </c>
      <c r="AA726" s="846">
        <f t="shared" si="131"/>
        <v>1.1303309633251768E-2</v>
      </c>
      <c r="AB726" s="843"/>
      <c r="AC726" s="832"/>
    </row>
    <row r="727" spans="1:29" ht="14.4" x14ac:dyDescent="0.55000000000000004">
      <c r="A727" s="857" t="s">
        <v>5886</v>
      </c>
      <c r="B727" s="842">
        <v>115.24</v>
      </c>
      <c r="C727" s="843">
        <f t="shared" si="122"/>
        <v>2.2265590348620412E-2</v>
      </c>
      <c r="D727" s="842">
        <v>44.27</v>
      </c>
      <c r="E727" s="843">
        <f t="shared" si="123"/>
        <v>1.8637827887712843E-2</v>
      </c>
      <c r="F727" s="842">
        <v>30.36</v>
      </c>
      <c r="G727" s="843">
        <f t="shared" si="123"/>
        <v>8.9730807577268479E-3</v>
      </c>
      <c r="H727" s="842">
        <v>53.34</v>
      </c>
      <c r="I727" s="843">
        <f t="shared" si="123"/>
        <v>1.2528473804100271E-2</v>
      </c>
      <c r="J727" s="842">
        <v>84.48</v>
      </c>
      <c r="K727" s="843">
        <f t="shared" si="124"/>
        <v>2.4000000000000021E-2</v>
      </c>
      <c r="L727" s="842">
        <v>78.150000000000006</v>
      </c>
      <c r="M727" s="843">
        <f t="shared" si="125"/>
        <v>-5.8516728151634112E-3</v>
      </c>
      <c r="N727" s="842">
        <v>67.67</v>
      </c>
      <c r="O727" s="843">
        <f t="shared" si="126"/>
        <v>1.9894498869630795E-2</v>
      </c>
      <c r="P727" s="844">
        <f t="shared" si="132"/>
        <v>1.4349685550375397E-2</v>
      </c>
      <c r="Q727" s="830"/>
      <c r="R727" s="845">
        <v>990.73</v>
      </c>
      <c r="S727" s="846">
        <f t="shared" si="127"/>
        <v>7.8226725260417407E-3</v>
      </c>
      <c r="T727" s="845">
        <v>70.81</v>
      </c>
      <c r="U727" s="846">
        <f t="shared" si="128"/>
        <v>0</v>
      </c>
      <c r="V727" s="845">
        <v>120.0917</v>
      </c>
      <c r="W727" s="846">
        <f t="shared" si="129"/>
        <v>2.2265824508835852E-2</v>
      </c>
      <c r="X727" s="845">
        <v>34552.99</v>
      </c>
      <c r="Y727" s="846">
        <f t="shared" si="130"/>
        <v>-5.8103986973935262E-3</v>
      </c>
      <c r="Z727" s="845">
        <v>4461.1800999999996</v>
      </c>
      <c r="AA727" s="846">
        <f t="shared" si="131"/>
        <v>-4.3411358911982223E-4</v>
      </c>
      <c r="AB727" s="843"/>
      <c r="AC727" s="832"/>
    </row>
    <row r="728" spans="1:29" ht="14.4" x14ac:dyDescent="0.55000000000000004">
      <c r="A728" s="857" t="s">
        <v>5887</v>
      </c>
      <c r="B728" s="842">
        <v>112.73</v>
      </c>
      <c r="C728" s="843">
        <f t="shared" si="122"/>
        <v>-1.5200489211147028E-2</v>
      </c>
      <c r="D728" s="842">
        <v>43.46</v>
      </c>
      <c r="E728" s="843">
        <f t="shared" si="123"/>
        <v>-6.8981375028742686E-4</v>
      </c>
      <c r="F728" s="842">
        <v>30.09</v>
      </c>
      <c r="G728" s="843">
        <f t="shared" si="123"/>
        <v>-1.6589250165892633E-3</v>
      </c>
      <c r="H728" s="842">
        <v>52.68</v>
      </c>
      <c r="I728" s="843">
        <f t="shared" si="123"/>
        <v>-1.3270142180095146E-3</v>
      </c>
      <c r="J728" s="842">
        <v>82.5</v>
      </c>
      <c r="K728" s="843">
        <f t="shared" si="124"/>
        <v>-1.6334803863121583E-2</v>
      </c>
      <c r="L728" s="842">
        <v>78.61</v>
      </c>
      <c r="M728" s="843">
        <f t="shared" si="125"/>
        <v>2.7447392497712553E-2</v>
      </c>
      <c r="N728" s="842">
        <v>66.349999999999994</v>
      </c>
      <c r="O728" s="843">
        <f t="shared" si="126"/>
        <v>-1.4994061757719779E-2</v>
      </c>
      <c r="P728" s="844">
        <f t="shared" si="132"/>
        <v>-3.2511021884517204E-3</v>
      </c>
      <c r="Q728" s="830"/>
      <c r="R728" s="845">
        <v>983.04</v>
      </c>
      <c r="S728" s="846">
        <f t="shared" si="127"/>
        <v>-7.8620954149551947E-3</v>
      </c>
      <c r="T728" s="845">
        <v>70.81</v>
      </c>
      <c r="U728" s="846">
        <f t="shared" si="128"/>
        <v>-8.5410249229908031E-3</v>
      </c>
      <c r="V728" s="845">
        <v>117.476</v>
      </c>
      <c r="W728" s="846">
        <f t="shared" si="129"/>
        <v>-1.5200860429225416E-2</v>
      </c>
      <c r="X728" s="845">
        <v>34754.93</v>
      </c>
      <c r="Y728" s="846">
        <f t="shared" si="130"/>
        <v>7.9513908626143159E-3</v>
      </c>
      <c r="Z728" s="845">
        <v>4463.1175999999996</v>
      </c>
      <c r="AA728" s="846">
        <f t="shared" si="131"/>
        <v>1.1662256694044526E-2</v>
      </c>
      <c r="AB728" s="843"/>
      <c r="AC728" s="832"/>
    </row>
    <row r="729" spans="1:29" ht="14.4" x14ac:dyDescent="0.55000000000000004">
      <c r="A729" s="857" t="s">
        <v>5888</v>
      </c>
      <c r="B729" s="842">
        <v>114.47</v>
      </c>
      <c r="C729" s="843">
        <f t="shared" si="122"/>
        <v>1.0494097070399278E-3</v>
      </c>
      <c r="D729" s="842">
        <v>43.49</v>
      </c>
      <c r="E729" s="843">
        <f t="shared" si="123"/>
        <v>-1.8361257746155601E-3</v>
      </c>
      <c r="F729" s="842">
        <v>30.14</v>
      </c>
      <c r="G729" s="843">
        <f t="shared" si="123"/>
        <v>1.6616816218013586E-3</v>
      </c>
      <c r="H729" s="842">
        <v>52.75</v>
      </c>
      <c r="I729" s="843">
        <f t="shared" si="123"/>
        <v>-8.0857465212486046E-3</v>
      </c>
      <c r="J729" s="842">
        <v>83.87</v>
      </c>
      <c r="K729" s="843">
        <f t="shared" si="124"/>
        <v>5.0329538645896843E-3</v>
      </c>
      <c r="L729" s="842">
        <v>76.510000000000005</v>
      </c>
      <c r="M729" s="843">
        <f t="shared" si="125"/>
        <v>-1.8347446753913199E-2</v>
      </c>
      <c r="N729" s="842">
        <v>67.36</v>
      </c>
      <c r="O729" s="843">
        <f t="shared" si="126"/>
        <v>4.0244447756743185E-3</v>
      </c>
      <c r="P729" s="844">
        <f t="shared" si="132"/>
        <v>-2.3572612972388679E-3</v>
      </c>
      <c r="Q729" s="830"/>
      <c r="R729" s="845">
        <v>990.83</v>
      </c>
      <c r="S729" s="846">
        <f t="shared" si="127"/>
        <v>5.5002486274748907E-3</v>
      </c>
      <c r="T729" s="845">
        <v>71.42</v>
      </c>
      <c r="U729" s="846">
        <f t="shared" si="128"/>
        <v>4.2182227221596591E-3</v>
      </c>
      <c r="V729" s="845">
        <v>119.2893</v>
      </c>
      <c r="W729" s="846">
        <f t="shared" si="129"/>
        <v>1.0498119401631811E-3</v>
      </c>
      <c r="X729" s="845">
        <v>34480.76</v>
      </c>
      <c r="Y729" s="846">
        <f t="shared" si="130"/>
        <v>1.2261362001696918E-2</v>
      </c>
      <c r="Z729" s="845">
        <v>4411.6675999999998</v>
      </c>
      <c r="AA729" s="846">
        <f t="shared" si="131"/>
        <v>1.2347926690849942E-2</v>
      </c>
      <c r="AB729" s="843"/>
      <c r="AC729" s="832"/>
    </row>
    <row r="730" spans="1:29" ht="14.4" x14ac:dyDescent="0.55000000000000004">
      <c r="A730" s="857" t="s">
        <v>5889</v>
      </c>
      <c r="B730" s="842">
        <v>114.35</v>
      </c>
      <c r="C730" s="843">
        <f t="shared" si="122"/>
        <v>2.1032337218473973E-3</v>
      </c>
      <c r="D730" s="842">
        <v>43.57</v>
      </c>
      <c r="E730" s="843">
        <f t="shared" si="123"/>
        <v>3.223578171770658E-3</v>
      </c>
      <c r="F730" s="842">
        <v>30.09</v>
      </c>
      <c r="G730" s="843">
        <f t="shared" si="123"/>
        <v>8.040201005025116E-3</v>
      </c>
      <c r="H730" s="842">
        <v>53.18</v>
      </c>
      <c r="I730" s="843">
        <f t="shared" si="123"/>
        <v>1.5065913370997386E-3</v>
      </c>
      <c r="J730" s="842">
        <v>83.45</v>
      </c>
      <c r="K730" s="843">
        <f t="shared" si="124"/>
        <v>-1.9388954171562722E-2</v>
      </c>
      <c r="L730" s="842">
        <v>77.94</v>
      </c>
      <c r="M730" s="843">
        <f t="shared" si="125"/>
        <v>1.2733887733887839E-2</v>
      </c>
      <c r="N730" s="842">
        <v>67.09</v>
      </c>
      <c r="O730" s="843">
        <f t="shared" si="126"/>
        <v>-1.0326006785661646E-2</v>
      </c>
      <c r="P730" s="844">
        <f t="shared" si="132"/>
        <v>-3.0106699822765988E-4</v>
      </c>
      <c r="Q730" s="830"/>
      <c r="R730" s="845">
        <v>985.41</v>
      </c>
      <c r="S730" s="846">
        <f t="shared" si="127"/>
        <v>-2.7930416831112304E-3</v>
      </c>
      <c r="T730" s="845">
        <v>71.12</v>
      </c>
      <c r="U730" s="846">
        <f t="shared" si="128"/>
        <v>-1.8245614035087288E-3</v>
      </c>
      <c r="V730" s="845">
        <v>119.16419999999999</v>
      </c>
      <c r="W730" s="846">
        <f t="shared" si="129"/>
        <v>2.1031988637174592E-3</v>
      </c>
      <c r="X730" s="845">
        <v>34063.1</v>
      </c>
      <c r="Y730" s="846">
        <f t="shared" si="130"/>
        <v>1.546490406429224E-2</v>
      </c>
      <c r="Z730" s="845">
        <v>4357.8571000000002</v>
      </c>
      <c r="AA730" s="846">
        <f t="shared" si="131"/>
        <v>2.238421529649548E-2</v>
      </c>
      <c r="AB730" s="843"/>
      <c r="AC730" s="832"/>
    </row>
    <row r="731" spans="1:29" ht="14.4" x14ac:dyDescent="0.55000000000000004">
      <c r="A731" s="857" t="s">
        <v>5890</v>
      </c>
      <c r="B731" s="842">
        <v>114.11</v>
      </c>
      <c r="C731" s="843">
        <f t="shared" si="122"/>
        <v>1.1075668970405905E-2</v>
      </c>
      <c r="D731" s="842">
        <v>43.43</v>
      </c>
      <c r="E731" s="843">
        <f t="shared" si="123"/>
        <v>-2.5264124942581123E-3</v>
      </c>
      <c r="F731" s="842">
        <v>29.85</v>
      </c>
      <c r="G731" s="843">
        <f t="shared" si="123"/>
        <v>8.1053698074975422E-3</v>
      </c>
      <c r="H731" s="842">
        <v>53.1</v>
      </c>
      <c r="I731" s="843">
        <f t="shared" si="123"/>
        <v>-2.6759530791788833E-2</v>
      </c>
      <c r="J731" s="842">
        <v>85.1</v>
      </c>
      <c r="K731" s="843">
        <f t="shared" si="124"/>
        <v>-8.5051846673657172E-3</v>
      </c>
      <c r="L731" s="842">
        <v>76.959999999999994</v>
      </c>
      <c r="M731" s="843">
        <f t="shared" si="125"/>
        <v>-5.813202428626818E-3</v>
      </c>
      <c r="N731" s="842">
        <v>67.790000000000006</v>
      </c>
      <c r="O731" s="843">
        <f t="shared" si="126"/>
        <v>-2.0609450905343385E-3</v>
      </c>
      <c r="P731" s="844">
        <f t="shared" si="132"/>
        <v>-3.7834623849529103E-3</v>
      </c>
      <c r="Q731" s="830"/>
      <c r="R731" s="845">
        <v>988.17</v>
      </c>
      <c r="S731" s="846">
        <f t="shared" si="127"/>
        <v>1.171255106324165E-2</v>
      </c>
      <c r="T731" s="845">
        <v>71.25</v>
      </c>
      <c r="U731" s="846">
        <f t="shared" si="128"/>
        <v>1.279317697228155E-2</v>
      </c>
      <c r="V731" s="845">
        <v>118.9141</v>
      </c>
      <c r="W731" s="846">
        <f t="shared" si="129"/>
        <v>1.1075447554023121E-2</v>
      </c>
      <c r="X731" s="845">
        <v>33544.339999999997</v>
      </c>
      <c r="Y731" s="846">
        <f t="shared" si="130"/>
        <v>1.8184721070479304E-2</v>
      </c>
      <c r="Z731" s="845">
        <v>4262.4456</v>
      </c>
      <c r="AA731" s="846">
        <f t="shared" si="131"/>
        <v>2.1407023444879103E-2</v>
      </c>
      <c r="AB731" s="843"/>
      <c r="AC731" s="832"/>
    </row>
    <row r="732" spans="1:29" ht="14.4" x14ac:dyDescent="0.55000000000000004">
      <c r="A732" s="857" t="s">
        <v>5891</v>
      </c>
      <c r="B732" s="842">
        <v>112.86</v>
      </c>
      <c r="C732" s="843">
        <f t="shared" si="122"/>
        <v>-7.7369439071566237E-3</v>
      </c>
      <c r="D732" s="842">
        <v>43.54</v>
      </c>
      <c r="E732" s="843">
        <f t="shared" si="123"/>
        <v>-1.1128775834658211E-2</v>
      </c>
      <c r="F732" s="842">
        <v>29.61</v>
      </c>
      <c r="G732" s="843">
        <f t="shared" si="123"/>
        <v>-6.0422960725075026E-3</v>
      </c>
      <c r="H732" s="842">
        <v>54.56</v>
      </c>
      <c r="I732" s="843">
        <f t="shared" si="123"/>
        <v>-8.0000000000000071E-3</v>
      </c>
      <c r="J732" s="842">
        <v>85.83</v>
      </c>
      <c r="K732" s="843">
        <f t="shared" si="124"/>
        <v>-3.7144515380151955E-3</v>
      </c>
      <c r="L732" s="842">
        <v>77.41</v>
      </c>
      <c r="M732" s="843">
        <f t="shared" si="125"/>
        <v>6.6400330624052817E-2</v>
      </c>
      <c r="N732" s="842">
        <v>67.930000000000007</v>
      </c>
      <c r="O732" s="843">
        <f t="shared" si="126"/>
        <v>-1.0199621156928296E-2</v>
      </c>
      <c r="P732" s="844">
        <f t="shared" si="132"/>
        <v>2.7968917306838543E-3</v>
      </c>
      <c r="Q732" s="830"/>
      <c r="R732" s="845">
        <v>976.73</v>
      </c>
      <c r="S732" s="846">
        <f t="shared" si="127"/>
        <v>-1.9924796664895217E-3</v>
      </c>
      <c r="T732" s="845">
        <v>70.349999999999994</v>
      </c>
      <c r="U732" s="846">
        <f t="shared" si="128"/>
        <v>-1.1358795967628676E-3</v>
      </c>
      <c r="V732" s="845">
        <v>117.61150000000001</v>
      </c>
      <c r="W732" s="846">
        <f t="shared" si="129"/>
        <v>-7.7373730897014603E-3</v>
      </c>
      <c r="X732" s="845">
        <v>32945.24</v>
      </c>
      <c r="Y732" s="846">
        <f t="shared" si="130"/>
        <v>3.1872084273354417E-5</v>
      </c>
      <c r="Z732" s="845">
        <v>4173.1117000000004</v>
      </c>
      <c r="AA732" s="846">
        <f t="shared" si="131"/>
        <v>-7.4210003306365291E-3</v>
      </c>
      <c r="AB732" s="843"/>
      <c r="AC732" s="832"/>
    </row>
    <row r="733" spans="1:29" ht="14.4" x14ac:dyDescent="0.55000000000000004">
      <c r="A733" s="857" t="s">
        <v>5892</v>
      </c>
      <c r="B733" s="842">
        <v>113.74</v>
      </c>
      <c r="C733" s="843">
        <f t="shared" si="122"/>
        <v>3.9721069820812804E-3</v>
      </c>
      <c r="D733" s="842">
        <v>44.03</v>
      </c>
      <c r="E733" s="843">
        <f t="shared" si="123"/>
        <v>-1.3222770058269773E-2</v>
      </c>
      <c r="F733" s="842">
        <v>29.79</v>
      </c>
      <c r="G733" s="843">
        <f t="shared" si="123"/>
        <v>-4.3449197860963018E-3</v>
      </c>
      <c r="H733" s="842">
        <v>55</v>
      </c>
      <c r="I733" s="843">
        <f t="shared" si="123"/>
        <v>-2.4822695035460973E-2</v>
      </c>
      <c r="J733" s="842">
        <v>86.15</v>
      </c>
      <c r="K733" s="843">
        <f t="shared" si="124"/>
        <v>9.2947600790060925E-4</v>
      </c>
      <c r="L733" s="842">
        <v>72.59</v>
      </c>
      <c r="M733" s="843">
        <f t="shared" si="125"/>
        <v>3.8722168441431837E-3</v>
      </c>
      <c r="N733" s="842">
        <v>68.63</v>
      </c>
      <c r="O733" s="843">
        <f t="shared" si="126"/>
        <v>5.8625238165028737E-3</v>
      </c>
      <c r="P733" s="844">
        <f t="shared" si="132"/>
        <v>-3.9648658898855859E-3</v>
      </c>
      <c r="Q733" s="830"/>
      <c r="R733" s="845">
        <v>978.68</v>
      </c>
      <c r="S733" s="846">
        <f t="shared" si="127"/>
        <v>-2.9137885363815785E-3</v>
      </c>
      <c r="T733" s="845">
        <v>70.430000000000007</v>
      </c>
      <c r="U733" s="846">
        <f t="shared" si="128"/>
        <v>-3.3960662232912497E-3</v>
      </c>
      <c r="V733" s="845">
        <v>118.5286</v>
      </c>
      <c r="W733" s="846">
        <f t="shared" si="129"/>
        <v>3.972569786785618E-3</v>
      </c>
      <c r="X733" s="845">
        <v>32944.19</v>
      </c>
      <c r="Y733" s="846">
        <f t="shared" si="130"/>
        <v>-6.929508498655701E-3</v>
      </c>
      <c r="Z733" s="845">
        <v>4204.3118999999997</v>
      </c>
      <c r="AA733" s="846">
        <f t="shared" si="131"/>
        <v>-1.2962266919433474E-2</v>
      </c>
      <c r="AB733" s="843"/>
      <c r="AC733" s="832"/>
    </row>
    <row r="734" spans="1:29" ht="14.4" x14ac:dyDescent="0.55000000000000004">
      <c r="A734" s="857" t="s">
        <v>5893</v>
      </c>
      <c r="B734" s="842">
        <v>113.29</v>
      </c>
      <c r="C734" s="843">
        <f t="shared" si="122"/>
        <v>9.8948119094313114E-3</v>
      </c>
      <c r="D734" s="842">
        <v>44.62</v>
      </c>
      <c r="E734" s="843">
        <f t="shared" si="123"/>
        <v>1.3860486253124193E-2</v>
      </c>
      <c r="F734" s="842">
        <v>29.92</v>
      </c>
      <c r="G734" s="843">
        <f t="shared" si="123"/>
        <v>9.1062394603711461E-3</v>
      </c>
      <c r="H734" s="842">
        <v>56.4</v>
      </c>
      <c r="I734" s="843">
        <f t="shared" si="123"/>
        <v>1.8234338328217969E-2</v>
      </c>
      <c r="J734" s="842">
        <v>86.07</v>
      </c>
      <c r="K734" s="843">
        <f t="shared" si="124"/>
        <v>2.6598282442747978E-2</v>
      </c>
      <c r="L734" s="842">
        <v>72.31</v>
      </c>
      <c r="M734" s="843">
        <f t="shared" si="125"/>
        <v>2.2049469964664281E-2</v>
      </c>
      <c r="N734" s="842">
        <v>68.23</v>
      </c>
      <c r="O734" s="843">
        <f t="shared" si="126"/>
        <v>-5.3935860058307306E-3</v>
      </c>
      <c r="P734" s="844">
        <f t="shared" si="132"/>
        <v>1.3478577478960878E-2</v>
      </c>
      <c r="Q734" s="830"/>
      <c r="R734" s="845">
        <v>981.54</v>
      </c>
      <c r="S734" s="846">
        <f t="shared" si="127"/>
        <v>7.610718200578015E-3</v>
      </c>
      <c r="T734" s="845">
        <v>70.67</v>
      </c>
      <c r="U734" s="846">
        <f t="shared" si="128"/>
        <v>6.6951566951567454E-3</v>
      </c>
      <c r="V734" s="845">
        <v>118.0596</v>
      </c>
      <c r="W734" s="846">
        <f t="shared" si="129"/>
        <v>9.8945364058546925E-3</v>
      </c>
      <c r="X734" s="845">
        <v>33174.07</v>
      </c>
      <c r="Y734" s="846">
        <f t="shared" si="130"/>
        <v>-3.3700884926423091E-3</v>
      </c>
      <c r="Z734" s="845">
        <v>4259.5249999999996</v>
      </c>
      <c r="AA734" s="846">
        <f t="shared" si="131"/>
        <v>-4.2906999660885514E-3</v>
      </c>
      <c r="AB734" s="843"/>
      <c r="AC734" s="832"/>
    </row>
    <row r="735" spans="1:29" ht="14.4" x14ac:dyDescent="0.55000000000000004">
      <c r="A735" s="857" t="s">
        <v>5894</v>
      </c>
      <c r="B735" s="842">
        <v>112.18</v>
      </c>
      <c r="C735" s="843">
        <f t="shared" si="122"/>
        <v>-1.0758377425044041E-2</v>
      </c>
      <c r="D735" s="842">
        <v>44.01</v>
      </c>
      <c r="E735" s="843">
        <f t="shared" si="123"/>
        <v>-3.3809001097694802E-2</v>
      </c>
      <c r="F735" s="842">
        <v>29.65</v>
      </c>
      <c r="G735" s="843">
        <f t="shared" si="123"/>
        <v>1.350894967916183E-3</v>
      </c>
      <c r="H735" s="842">
        <v>55.39</v>
      </c>
      <c r="I735" s="843">
        <f t="shared" si="123"/>
        <v>-1.5638883952372562E-2</v>
      </c>
      <c r="J735" s="842">
        <v>83.84</v>
      </c>
      <c r="K735" s="843">
        <f t="shared" si="124"/>
        <v>-5.2334124561998374E-2</v>
      </c>
      <c r="L735" s="842">
        <v>70.75</v>
      </c>
      <c r="M735" s="843">
        <f t="shared" si="125"/>
        <v>-2.2790055248618879E-2</v>
      </c>
      <c r="N735" s="842">
        <v>68.599999999999994</v>
      </c>
      <c r="O735" s="843">
        <f t="shared" si="126"/>
        <v>-2.2931206380857438E-2</v>
      </c>
      <c r="P735" s="844">
        <f t="shared" si="132"/>
        <v>-2.2415821956952846E-2</v>
      </c>
      <c r="Q735" s="830"/>
      <c r="R735" s="845">
        <v>974.12620000000004</v>
      </c>
      <c r="S735" s="846">
        <f t="shared" si="127"/>
        <v>-5.6588443047147496E-3</v>
      </c>
      <c r="T735" s="845">
        <v>70.2</v>
      </c>
      <c r="U735" s="846">
        <f t="shared" si="128"/>
        <v>-7.0721357850070943E-3</v>
      </c>
      <c r="V735" s="845">
        <v>116.9029</v>
      </c>
      <c r="W735" s="846">
        <f t="shared" si="129"/>
        <v>-1.0757847313542235E-2</v>
      </c>
      <c r="X735" s="845">
        <v>33286.247600000002</v>
      </c>
      <c r="Y735" s="846">
        <f t="shared" si="130"/>
        <v>2.0029259048609083E-2</v>
      </c>
      <c r="Z735" s="845">
        <v>4277.8801000000003</v>
      </c>
      <c r="AA735" s="846">
        <f t="shared" si="131"/>
        <v>2.5697339688998788E-2</v>
      </c>
      <c r="AB735" s="843"/>
      <c r="AC735" s="832"/>
    </row>
    <row r="736" spans="1:29" ht="14.4" x14ac:dyDescent="0.55000000000000004">
      <c r="A736" s="857" t="s">
        <v>5895</v>
      </c>
      <c r="B736" s="842">
        <v>113.4</v>
      </c>
      <c r="C736" s="843">
        <f t="shared" si="122"/>
        <v>-2.2498060512024853E-2</v>
      </c>
      <c r="D736" s="842">
        <v>45.55</v>
      </c>
      <c r="E736" s="843">
        <f t="shared" si="123"/>
        <v>2.4207746478872583E-3</v>
      </c>
      <c r="F736" s="842">
        <v>29.61</v>
      </c>
      <c r="G736" s="843">
        <f t="shared" si="123"/>
        <v>-1.6605778811026206E-2</v>
      </c>
      <c r="H736" s="842">
        <v>56.27</v>
      </c>
      <c r="I736" s="843">
        <f t="shared" si="123"/>
        <v>8.2422504927432971E-3</v>
      </c>
      <c r="J736" s="842">
        <v>88.47</v>
      </c>
      <c r="K736" s="843">
        <f t="shared" si="124"/>
        <v>-4.5009564532463298E-3</v>
      </c>
      <c r="L736" s="842">
        <v>72.400000000000006</v>
      </c>
      <c r="M736" s="843">
        <f t="shared" si="125"/>
        <v>-2.5572005383579954E-2</v>
      </c>
      <c r="N736" s="842">
        <v>70.209999999999994</v>
      </c>
      <c r="O736" s="843">
        <f t="shared" si="126"/>
        <v>-1.8728162124388548E-2</v>
      </c>
      <c r="P736" s="844">
        <f t="shared" si="132"/>
        <v>-1.1034562591947905E-2</v>
      </c>
      <c r="Q736" s="830"/>
      <c r="R736" s="845">
        <v>979.67</v>
      </c>
      <c r="S736" s="846">
        <f t="shared" si="127"/>
        <v>-1.6790445604175086E-2</v>
      </c>
      <c r="T736" s="845">
        <v>70.7</v>
      </c>
      <c r="U736" s="846">
        <f t="shared" si="128"/>
        <v>-1.5457457178665868E-2</v>
      </c>
      <c r="V736" s="845">
        <v>118.1742</v>
      </c>
      <c r="W736" s="846">
        <f t="shared" si="129"/>
        <v>-2.2498202972684345E-2</v>
      </c>
      <c r="X736" s="845">
        <v>32632.639999999999</v>
      </c>
      <c r="Y736" s="846">
        <f t="shared" si="130"/>
        <v>-5.6293342125421919E-3</v>
      </c>
      <c r="Z736" s="845">
        <v>4170.7040999999999</v>
      </c>
      <c r="AA736" s="846">
        <f t="shared" si="131"/>
        <v>-7.2323411093669909E-3</v>
      </c>
      <c r="AB736" s="843"/>
      <c r="AC736" s="832"/>
    </row>
    <row r="737" spans="1:29" ht="14.4" x14ac:dyDescent="0.55000000000000004">
      <c r="A737" s="857" t="s">
        <v>5896</v>
      </c>
      <c r="B737" s="842">
        <v>116.01</v>
      </c>
      <c r="C737" s="843">
        <f t="shared" si="122"/>
        <v>-1.2053379250969165E-3</v>
      </c>
      <c r="D737" s="842">
        <v>45.44</v>
      </c>
      <c r="E737" s="843">
        <f t="shared" si="123"/>
        <v>4.198895027624161E-3</v>
      </c>
      <c r="F737" s="842">
        <v>30.11</v>
      </c>
      <c r="G737" s="843">
        <f t="shared" si="123"/>
        <v>-1.2139107611548572E-2</v>
      </c>
      <c r="H737" s="842">
        <v>55.81</v>
      </c>
      <c r="I737" s="843">
        <f t="shared" si="123"/>
        <v>-3.0367988567344684E-3</v>
      </c>
      <c r="J737" s="842">
        <v>88.87</v>
      </c>
      <c r="K737" s="843">
        <f t="shared" si="124"/>
        <v>1.7284798534798584E-2</v>
      </c>
      <c r="L737" s="842">
        <v>74.3</v>
      </c>
      <c r="M737" s="843">
        <f t="shared" si="125"/>
        <v>9.0995518131196107E-3</v>
      </c>
      <c r="N737" s="842">
        <v>71.55</v>
      </c>
      <c r="O737" s="843">
        <f t="shared" si="126"/>
        <v>1.0735979658143657E-2</v>
      </c>
      <c r="P737" s="844">
        <f t="shared" si="132"/>
        <v>3.5625686629008652E-3</v>
      </c>
      <c r="Q737" s="830"/>
      <c r="R737" s="845">
        <v>996.4</v>
      </c>
      <c r="S737" s="846">
        <f t="shared" si="127"/>
        <v>8.0224994182929166E-3</v>
      </c>
      <c r="T737" s="845">
        <v>71.81</v>
      </c>
      <c r="U737" s="846">
        <f t="shared" si="128"/>
        <v>1.2977853011708396E-2</v>
      </c>
      <c r="V737" s="845">
        <v>120.89409999999999</v>
      </c>
      <c r="W737" s="846">
        <f t="shared" si="129"/>
        <v>-1.2053866490416842E-3</v>
      </c>
      <c r="X737" s="845">
        <v>32817.379999999997</v>
      </c>
      <c r="Y737" s="846">
        <f t="shared" si="130"/>
        <v>-2.372228899175377E-2</v>
      </c>
      <c r="Z737" s="845">
        <v>4201.0878000000002</v>
      </c>
      <c r="AA737" s="846">
        <f t="shared" si="131"/>
        <v>-2.9519254307512677E-2</v>
      </c>
      <c r="AB737" s="843"/>
      <c r="AC737" s="832"/>
    </row>
    <row r="738" spans="1:29" ht="14.4" x14ac:dyDescent="0.55000000000000004">
      <c r="A738" s="857" t="s">
        <v>5897</v>
      </c>
      <c r="B738" s="842">
        <v>116.15</v>
      </c>
      <c r="C738" s="843">
        <f t="shared" si="122"/>
        <v>2.1188675927554135E-2</v>
      </c>
      <c r="D738" s="842">
        <v>45.25</v>
      </c>
      <c r="E738" s="843">
        <f t="shared" si="123"/>
        <v>1.0947274352100189E-2</v>
      </c>
      <c r="F738" s="842">
        <v>30.48</v>
      </c>
      <c r="G738" s="843">
        <f t="shared" si="123"/>
        <v>2.7300303336703635E-2</v>
      </c>
      <c r="H738" s="842">
        <v>55.98</v>
      </c>
      <c r="I738" s="843">
        <f t="shared" si="123"/>
        <v>2.0043731778425444E-2</v>
      </c>
      <c r="J738" s="842">
        <v>87.36</v>
      </c>
      <c r="K738" s="843">
        <f t="shared" si="124"/>
        <v>1.8419211937514612E-2</v>
      </c>
      <c r="L738" s="842">
        <v>73.63</v>
      </c>
      <c r="M738" s="843">
        <f t="shared" si="125"/>
        <v>2.5773195876288568E-2</v>
      </c>
      <c r="N738" s="842">
        <v>70.790000000000006</v>
      </c>
      <c r="O738" s="843">
        <f t="shared" si="126"/>
        <v>2.6239489707161612E-2</v>
      </c>
      <c r="P738" s="844">
        <f t="shared" si="132"/>
        <v>2.1415983273678312E-2</v>
      </c>
      <c r="Q738" s="830"/>
      <c r="R738" s="845">
        <v>988.47</v>
      </c>
      <c r="S738" s="846">
        <f t="shared" si="127"/>
        <v>2.2403574642380741E-2</v>
      </c>
      <c r="T738" s="845">
        <v>70.89</v>
      </c>
      <c r="U738" s="846">
        <f t="shared" si="128"/>
        <v>2.2058823529411686E-2</v>
      </c>
      <c r="V738" s="845">
        <v>121.04</v>
      </c>
      <c r="W738" s="846">
        <f t="shared" si="129"/>
        <v>2.1188135184250889E-2</v>
      </c>
      <c r="X738" s="845">
        <v>33614.800000000003</v>
      </c>
      <c r="Y738" s="846">
        <f t="shared" si="130"/>
        <v>-5.3221426106965231E-3</v>
      </c>
      <c r="Z738" s="845">
        <v>4328.8729000000003</v>
      </c>
      <c r="AA738" s="846">
        <f t="shared" si="131"/>
        <v>-7.9326012383629241E-3</v>
      </c>
      <c r="AB738" s="843"/>
      <c r="AC738" s="832"/>
    </row>
    <row r="739" spans="1:29" ht="14.4" x14ac:dyDescent="0.55000000000000004">
      <c r="A739" s="857" t="s">
        <v>5898</v>
      </c>
      <c r="B739" s="842">
        <v>113.74</v>
      </c>
      <c r="C739" s="843">
        <f t="shared" si="122"/>
        <v>2.3393917581428836E-2</v>
      </c>
      <c r="D739" s="842">
        <v>44.76</v>
      </c>
      <c r="E739" s="843">
        <f t="shared" si="123"/>
        <v>2.8256374913852467E-2</v>
      </c>
      <c r="F739" s="842">
        <v>29.67</v>
      </c>
      <c r="G739" s="843">
        <f t="shared" si="123"/>
        <v>1.6443987667009274E-2</v>
      </c>
      <c r="H739" s="842">
        <v>54.88</v>
      </c>
      <c r="I739" s="843">
        <f t="shared" si="123"/>
        <v>1.837075524215992E-2</v>
      </c>
      <c r="J739" s="842">
        <v>85.78</v>
      </c>
      <c r="K739" s="843">
        <f t="shared" si="124"/>
        <v>1.9491323983836573E-2</v>
      </c>
      <c r="L739" s="842">
        <v>71.78</v>
      </c>
      <c r="M739" s="843">
        <f t="shared" si="125"/>
        <v>-1.1158561785369892E-2</v>
      </c>
      <c r="N739" s="842">
        <v>68.98</v>
      </c>
      <c r="O739" s="843">
        <f t="shared" si="126"/>
        <v>2.7558468642931766E-2</v>
      </c>
      <c r="P739" s="844">
        <f t="shared" si="132"/>
        <v>1.7479466606549848E-2</v>
      </c>
      <c r="Q739" s="830"/>
      <c r="R739" s="845">
        <v>966.81</v>
      </c>
      <c r="S739" s="846">
        <f t="shared" si="127"/>
        <v>1.7009593536985612E-2</v>
      </c>
      <c r="T739" s="845">
        <v>69.36</v>
      </c>
      <c r="U739" s="846">
        <f t="shared" si="128"/>
        <v>1.7605633802816989E-2</v>
      </c>
      <c r="V739" s="845">
        <v>118.5286</v>
      </c>
      <c r="W739" s="846">
        <f t="shared" si="129"/>
        <v>2.3394241537017635E-2</v>
      </c>
      <c r="X739" s="845">
        <v>33794.660000000003</v>
      </c>
      <c r="Y739" s="846">
        <f t="shared" si="130"/>
        <v>-2.8529403520365371E-3</v>
      </c>
      <c r="Z739" s="845">
        <v>4363.4867000000004</v>
      </c>
      <c r="AA739" s="846">
        <f t="shared" si="131"/>
        <v>-5.2563930680645798E-3</v>
      </c>
      <c r="AB739" s="843"/>
      <c r="AC739" s="832"/>
    </row>
    <row r="740" spans="1:29" ht="14.4" x14ac:dyDescent="0.55000000000000004">
      <c r="A740" s="857" t="s">
        <v>5899</v>
      </c>
      <c r="B740" s="842">
        <v>111.14</v>
      </c>
      <c r="C740" s="843">
        <f t="shared" si="122"/>
        <v>1.1007004457382008E-2</v>
      </c>
      <c r="D740" s="842">
        <v>43.53</v>
      </c>
      <c r="E740" s="843">
        <f t="shared" si="123"/>
        <v>2.183098591549304E-2</v>
      </c>
      <c r="F740" s="842">
        <v>29.19</v>
      </c>
      <c r="G740" s="843">
        <f t="shared" si="123"/>
        <v>1.8848167539267102E-2</v>
      </c>
      <c r="H740" s="842">
        <v>53.89</v>
      </c>
      <c r="I740" s="843">
        <f t="shared" si="123"/>
        <v>3.198008425890464E-2</v>
      </c>
      <c r="J740" s="842">
        <v>84.14</v>
      </c>
      <c r="K740" s="843">
        <f t="shared" si="124"/>
        <v>2.1736490588949664E-2</v>
      </c>
      <c r="L740" s="842">
        <v>72.59</v>
      </c>
      <c r="M740" s="843">
        <f t="shared" si="125"/>
        <v>4.310964218996971E-2</v>
      </c>
      <c r="N740" s="842">
        <v>67.13</v>
      </c>
      <c r="O740" s="843">
        <f t="shared" si="126"/>
        <v>1.6967126193000892E-2</v>
      </c>
      <c r="P740" s="844">
        <f t="shared" si="132"/>
        <v>2.3639928734709579E-2</v>
      </c>
      <c r="Q740" s="830"/>
      <c r="R740" s="845">
        <v>950.64</v>
      </c>
      <c r="S740" s="846">
        <f t="shared" si="127"/>
        <v>1.2396166134185371E-2</v>
      </c>
      <c r="T740" s="845">
        <v>68.16</v>
      </c>
      <c r="U740" s="846">
        <f t="shared" si="128"/>
        <v>1.217701217701217E-2</v>
      </c>
      <c r="V740" s="845">
        <v>115.81910000000001</v>
      </c>
      <c r="W740" s="846">
        <f t="shared" si="129"/>
        <v>1.1007514964022747E-2</v>
      </c>
      <c r="X740" s="845">
        <v>33891.35</v>
      </c>
      <c r="Y740" s="846">
        <f t="shared" si="130"/>
        <v>1.7912626389287256E-2</v>
      </c>
      <c r="Z740" s="845">
        <v>4386.5441000000001</v>
      </c>
      <c r="AA740" s="846">
        <f t="shared" si="131"/>
        <v>1.8643839551774288E-2</v>
      </c>
      <c r="AB740" s="843"/>
      <c r="AC740" s="832"/>
    </row>
    <row r="741" spans="1:29" ht="14.4" x14ac:dyDescent="0.55000000000000004">
      <c r="A741" s="857" t="s">
        <v>5900</v>
      </c>
      <c r="B741" s="842">
        <v>109.93</v>
      </c>
      <c r="C741" s="843">
        <f t="shared" si="122"/>
        <v>1.0927966487570551E-3</v>
      </c>
      <c r="D741" s="842">
        <v>42.6</v>
      </c>
      <c r="E741" s="843">
        <f t="shared" si="123"/>
        <v>-2.3383768913342373E-2</v>
      </c>
      <c r="F741" s="842">
        <v>28.65</v>
      </c>
      <c r="G741" s="843">
        <f t="shared" si="123"/>
        <v>-9.6785343933633028E-3</v>
      </c>
      <c r="H741" s="842">
        <v>52.22</v>
      </c>
      <c r="I741" s="843">
        <f t="shared" si="123"/>
        <v>4.0376850605652326E-3</v>
      </c>
      <c r="J741" s="842">
        <v>82.35</v>
      </c>
      <c r="K741" s="843">
        <f t="shared" si="124"/>
        <v>-8.9060055361657176E-3</v>
      </c>
      <c r="L741" s="842">
        <v>69.59</v>
      </c>
      <c r="M741" s="843">
        <f t="shared" si="125"/>
        <v>-1.9030166337750121E-2</v>
      </c>
      <c r="N741" s="842">
        <v>66.010000000000005</v>
      </c>
      <c r="O741" s="843">
        <f t="shared" si="126"/>
        <v>-1.6390999850990795E-2</v>
      </c>
      <c r="P741" s="844">
        <f t="shared" si="132"/>
        <v>-1.0322713331755717E-2</v>
      </c>
      <c r="Q741" s="830"/>
      <c r="R741" s="845">
        <v>939</v>
      </c>
      <c r="S741" s="846">
        <f t="shared" si="127"/>
        <v>-3.7558087720415134E-3</v>
      </c>
      <c r="T741" s="845">
        <v>67.34</v>
      </c>
      <c r="U741" s="846">
        <f t="shared" si="128"/>
        <v>-8.6854114529663073E-3</v>
      </c>
      <c r="V741" s="845">
        <v>114.5581</v>
      </c>
      <c r="W741" s="846">
        <f t="shared" si="129"/>
        <v>1.09234128936464E-3</v>
      </c>
      <c r="X741" s="845">
        <v>33294.949999999997</v>
      </c>
      <c r="Y741" s="846">
        <f t="shared" si="130"/>
        <v>-1.7633642742073574E-2</v>
      </c>
      <c r="Z741" s="845">
        <v>4306.2588999999998</v>
      </c>
      <c r="AA741" s="846">
        <f t="shared" si="131"/>
        <v>-1.5473512194076888E-2</v>
      </c>
      <c r="AB741" s="843"/>
      <c r="AC741" s="832"/>
    </row>
    <row r="742" spans="1:29" ht="14.4" x14ac:dyDescent="0.55000000000000004">
      <c r="A742" s="857" t="s">
        <v>5901</v>
      </c>
      <c r="B742" s="842">
        <v>109.81</v>
      </c>
      <c r="C742" s="843">
        <f t="shared" si="122"/>
        <v>6.6000550004583491E-3</v>
      </c>
      <c r="D742" s="842">
        <v>43.62</v>
      </c>
      <c r="E742" s="843">
        <f t="shared" si="123"/>
        <v>2.989192917911998E-3</v>
      </c>
      <c r="F742" s="842">
        <v>28.93</v>
      </c>
      <c r="G742" s="843">
        <f t="shared" si="123"/>
        <v>-1.7253278122844051E-3</v>
      </c>
      <c r="H742" s="842">
        <v>52.01</v>
      </c>
      <c r="I742" s="843">
        <f t="shared" si="123"/>
        <v>4.6478873239436558E-2</v>
      </c>
      <c r="J742" s="842">
        <v>83.09</v>
      </c>
      <c r="K742" s="843">
        <f t="shared" si="124"/>
        <v>2.3149858391823708E-2</v>
      </c>
      <c r="L742" s="842">
        <v>70.94</v>
      </c>
      <c r="M742" s="843">
        <f t="shared" si="125"/>
        <v>2.8115942028985375E-2</v>
      </c>
      <c r="N742" s="842">
        <v>67.11</v>
      </c>
      <c r="O742" s="843">
        <f t="shared" si="126"/>
        <v>1.4205833459271622E-2</v>
      </c>
      <c r="P742" s="844">
        <f t="shared" si="132"/>
        <v>1.7116346746514743E-2</v>
      </c>
      <c r="Q742" s="830"/>
      <c r="R742" s="845">
        <v>942.54</v>
      </c>
      <c r="S742" s="846">
        <f t="shared" si="127"/>
        <v>4.5768390330123143E-3</v>
      </c>
      <c r="T742" s="845">
        <v>67.930000000000007</v>
      </c>
      <c r="U742" s="846">
        <f t="shared" si="128"/>
        <v>5.1790470553418899E-3</v>
      </c>
      <c r="V742" s="845">
        <v>114.4331</v>
      </c>
      <c r="W742" s="846">
        <f t="shared" si="129"/>
        <v>6.5999429992926739E-3</v>
      </c>
      <c r="X742" s="845">
        <v>33892.6</v>
      </c>
      <c r="Y742" s="846">
        <f t="shared" si="130"/>
        <v>-4.8783586038041449E-3</v>
      </c>
      <c r="Z742" s="845">
        <v>4373.9390999999996</v>
      </c>
      <c r="AA742" s="846">
        <f t="shared" si="131"/>
        <v>-2.4438413562574146E-3</v>
      </c>
      <c r="AB742" s="843"/>
      <c r="AC742" s="832"/>
    </row>
    <row r="743" spans="1:29" ht="14.4" x14ac:dyDescent="0.55000000000000004">
      <c r="A743" s="857" t="s">
        <v>5902</v>
      </c>
      <c r="B743" s="842">
        <v>109.09</v>
      </c>
      <c r="C743" s="843">
        <f t="shared" si="122"/>
        <v>4.143198090692124E-2</v>
      </c>
      <c r="D743" s="842">
        <v>43.49</v>
      </c>
      <c r="E743" s="843">
        <f t="shared" si="123"/>
        <v>4.9215922798552469E-2</v>
      </c>
      <c r="F743" s="842">
        <v>28.98</v>
      </c>
      <c r="G743" s="843">
        <f t="shared" si="123"/>
        <v>2.2943875750088383E-2</v>
      </c>
      <c r="H743" s="842">
        <v>49.7</v>
      </c>
      <c r="I743" s="843">
        <f t="shared" si="123"/>
        <v>5.8122205663189375E-2</v>
      </c>
      <c r="J743" s="842">
        <v>81.209999999999994</v>
      </c>
      <c r="K743" s="843">
        <f t="shared" si="124"/>
        <v>4.6385775028991105E-2</v>
      </c>
      <c r="L743" s="842">
        <v>69</v>
      </c>
      <c r="M743" s="843">
        <f t="shared" si="125"/>
        <v>2.4651024651024533E-2</v>
      </c>
      <c r="N743" s="842">
        <v>66.17</v>
      </c>
      <c r="O743" s="843">
        <f t="shared" si="126"/>
        <v>2.5096824167312182E-2</v>
      </c>
      <c r="P743" s="844">
        <f t="shared" si="132"/>
        <v>3.8263944138011326E-2</v>
      </c>
      <c r="Q743" s="830"/>
      <c r="R743" s="845">
        <v>938.24580000000003</v>
      </c>
      <c r="S743" s="846">
        <f t="shared" si="127"/>
        <v>3.6172150350936239E-2</v>
      </c>
      <c r="T743" s="845">
        <v>67.58</v>
      </c>
      <c r="U743" s="846">
        <f t="shared" si="128"/>
        <v>3.0968726163234095E-2</v>
      </c>
      <c r="V743" s="845">
        <v>113.6828</v>
      </c>
      <c r="W743" s="846">
        <f t="shared" si="129"/>
        <v>4.1431805210878414E-2</v>
      </c>
      <c r="X743" s="845">
        <v>34058.750800000002</v>
      </c>
      <c r="Y743" s="846">
        <f t="shared" si="130"/>
        <v>2.5130083500208622E-2</v>
      </c>
      <c r="Z743" s="845">
        <v>4384.6544999999996</v>
      </c>
      <c r="AA743" s="846">
        <f t="shared" si="131"/>
        <v>2.2374749807400507E-2</v>
      </c>
      <c r="AB743" s="843"/>
      <c r="AC743" s="832"/>
    </row>
    <row r="744" spans="1:29" ht="14.4" x14ac:dyDescent="0.55000000000000004">
      <c r="A744" s="857" t="s">
        <v>5903</v>
      </c>
      <c r="B744" s="842">
        <v>104.75</v>
      </c>
      <c r="C744" s="843">
        <f t="shared" si="122"/>
        <v>-6.072682417686659E-3</v>
      </c>
      <c r="D744" s="842">
        <v>41.45</v>
      </c>
      <c r="E744" s="843">
        <f t="shared" si="123"/>
        <v>3.2121513944223246E-2</v>
      </c>
      <c r="F744" s="842">
        <v>28.33</v>
      </c>
      <c r="G744" s="843">
        <f t="shared" si="123"/>
        <v>4.2538107054235219E-3</v>
      </c>
      <c r="H744" s="842">
        <v>46.97</v>
      </c>
      <c r="I744" s="843">
        <f t="shared" si="123"/>
        <v>7.9399141630900338E-3</v>
      </c>
      <c r="J744" s="842">
        <v>77.61</v>
      </c>
      <c r="K744" s="843">
        <f t="shared" si="124"/>
        <v>2.02445116340213E-2</v>
      </c>
      <c r="L744" s="842">
        <v>67.34</v>
      </c>
      <c r="M744" s="843">
        <f t="shared" si="125"/>
        <v>3.0293757649938913E-2</v>
      </c>
      <c r="N744" s="842">
        <v>64.55</v>
      </c>
      <c r="O744" s="843">
        <f t="shared" si="126"/>
        <v>2.704852824184556E-2</v>
      </c>
      <c r="P744" s="844">
        <f t="shared" si="132"/>
        <v>1.6547050560122272E-2</v>
      </c>
      <c r="Q744" s="830"/>
      <c r="R744" s="845">
        <v>905.49220000000003</v>
      </c>
      <c r="S744" s="846">
        <f t="shared" si="127"/>
        <v>3.8271030109531257E-3</v>
      </c>
      <c r="T744" s="845">
        <v>65.55</v>
      </c>
      <c r="U744" s="846">
        <f t="shared" si="128"/>
        <v>7.9963093956634257E-3</v>
      </c>
      <c r="V744" s="845">
        <v>109.1601</v>
      </c>
      <c r="W744" s="846">
        <f t="shared" si="129"/>
        <v>-6.0722773088585091E-3</v>
      </c>
      <c r="X744" s="845">
        <v>33223.833100000003</v>
      </c>
      <c r="Y744" s="846">
        <f t="shared" si="130"/>
        <v>2.7789981576591405E-3</v>
      </c>
      <c r="Z744" s="845">
        <v>4288.6959999999999</v>
      </c>
      <c r="AA744" s="846">
        <f t="shared" si="131"/>
        <v>1.4954686243530357E-2</v>
      </c>
      <c r="AB744" s="843"/>
      <c r="AC744" s="832"/>
    </row>
    <row r="745" spans="1:29" ht="14.4" x14ac:dyDescent="0.55000000000000004">
      <c r="A745" s="857" t="s">
        <v>5904</v>
      </c>
      <c r="B745" s="842">
        <v>105.39</v>
      </c>
      <c r="C745" s="843">
        <f t="shared" si="122"/>
        <v>-8.18746470920384E-3</v>
      </c>
      <c r="D745" s="842">
        <v>40.159999999999997</v>
      </c>
      <c r="E745" s="843">
        <f t="shared" si="123"/>
        <v>-8.6398420143174448E-3</v>
      </c>
      <c r="F745" s="842">
        <v>28.21</v>
      </c>
      <c r="G745" s="843">
        <f t="shared" si="123"/>
        <v>-5.289139633286255E-3</v>
      </c>
      <c r="H745" s="842">
        <v>46.6</v>
      </c>
      <c r="I745" s="843">
        <f t="shared" si="123"/>
        <v>-1.0195412064570863E-2</v>
      </c>
      <c r="J745" s="842">
        <v>76.069999999999993</v>
      </c>
      <c r="K745" s="843">
        <f t="shared" si="124"/>
        <v>-1.6675284384695011E-2</v>
      </c>
      <c r="L745" s="842">
        <v>65.36</v>
      </c>
      <c r="M745" s="843">
        <f t="shared" si="125"/>
        <v>-4.4173648134044896E-3</v>
      </c>
      <c r="N745" s="842">
        <v>62.85</v>
      </c>
      <c r="O745" s="843">
        <f t="shared" si="126"/>
        <v>-1.5507518796992525E-2</v>
      </c>
      <c r="P745" s="844">
        <f t="shared" si="132"/>
        <v>-9.8445752023529186E-3</v>
      </c>
      <c r="Q745" s="830"/>
      <c r="R745" s="845">
        <v>902.04</v>
      </c>
      <c r="S745" s="846">
        <f t="shared" si="127"/>
        <v>-1.5025114653854588E-2</v>
      </c>
      <c r="T745" s="845">
        <v>65.03</v>
      </c>
      <c r="U745" s="846">
        <f t="shared" si="128"/>
        <v>-1.6931216931217019E-2</v>
      </c>
      <c r="V745" s="845">
        <v>109.827</v>
      </c>
      <c r="W745" s="846">
        <f t="shared" si="129"/>
        <v>-8.1872168880989804E-3</v>
      </c>
      <c r="X745" s="845">
        <v>33131.760000000002</v>
      </c>
      <c r="Y745" s="846">
        <f t="shared" si="130"/>
        <v>-1.3836217404077367E-2</v>
      </c>
      <c r="Z745" s="845">
        <v>4225.5048999999999</v>
      </c>
      <c r="AA745" s="846">
        <f t="shared" si="131"/>
        <v>-1.841049075562351E-2</v>
      </c>
      <c r="AB745" s="843"/>
      <c r="AC745" s="832"/>
    </row>
    <row r="746" spans="1:29" ht="14.4" x14ac:dyDescent="0.55000000000000004">
      <c r="A746" s="857" t="s">
        <v>5905</v>
      </c>
      <c r="B746" s="842">
        <v>106.26</v>
      </c>
      <c r="C746" s="843">
        <f t="shared" si="122"/>
        <v>2.0746887966804906E-3</v>
      </c>
      <c r="D746" s="842">
        <v>40.51</v>
      </c>
      <c r="E746" s="843">
        <f t="shared" si="123"/>
        <v>1.3003250812703149E-2</v>
      </c>
      <c r="F746" s="842">
        <v>28.36</v>
      </c>
      <c r="G746" s="843">
        <f t="shared" si="123"/>
        <v>-3.1634446397188487E-3</v>
      </c>
      <c r="H746" s="842">
        <v>47.08</v>
      </c>
      <c r="I746" s="843">
        <f t="shared" si="123"/>
        <v>1.6846652267818563E-2</v>
      </c>
      <c r="J746" s="842">
        <v>77.36</v>
      </c>
      <c r="K746" s="843">
        <f t="shared" si="124"/>
        <v>5.1975051975052811E-3</v>
      </c>
      <c r="L746" s="842">
        <v>65.650000000000006</v>
      </c>
      <c r="M746" s="843">
        <f t="shared" si="125"/>
        <v>-6.0892068808027222E-4</v>
      </c>
      <c r="N746" s="842">
        <v>63.84</v>
      </c>
      <c r="O746" s="843">
        <f t="shared" si="126"/>
        <v>1.5105740181268867E-2</v>
      </c>
      <c r="P746" s="844">
        <f t="shared" si="132"/>
        <v>6.9222102754538896E-3</v>
      </c>
      <c r="Q746" s="830"/>
      <c r="R746" s="845">
        <v>915.8</v>
      </c>
      <c r="S746" s="846">
        <f t="shared" si="127"/>
        <v>3.2759317295738555E-5</v>
      </c>
      <c r="T746" s="845">
        <v>66.150000000000006</v>
      </c>
      <c r="U746" s="846">
        <f t="shared" si="128"/>
        <v>-1.0570824524311906E-3</v>
      </c>
      <c r="V746" s="845">
        <v>110.7336</v>
      </c>
      <c r="W746" s="846">
        <f t="shared" si="129"/>
        <v>2.0741255551814941E-3</v>
      </c>
      <c r="X746" s="845">
        <v>33596.61</v>
      </c>
      <c r="Y746" s="846">
        <f t="shared" si="130"/>
        <v>-1.4160258550821925E-2</v>
      </c>
      <c r="Z746" s="845">
        <v>4304.7575999999999</v>
      </c>
      <c r="AA746" s="846">
        <f t="shared" si="131"/>
        <v>-1.0143234475757601E-2</v>
      </c>
      <c r="AB746" s="843"/>
      <c r="AC746" s="832"/>
    </row>
    <row r="747" spans="1:29" ht="14.4" x14ac:dyDescent="0.55000000000000004">
      <c r="A747" s="857" t="s">
        <v>5906</v>
      </c>
      <c r="B747" s="842">
        <v>106.04</v>
      </c>
      <c r="C747" s="843">
        <f t="shared" si="122"/>
        <v>-5.8128633039563615E-3</v>
      </c>
      <c r="D747" s="842">
        <v>39.99</v>
      </c>
      <c r="E747" s="843">
        <f t="shared" si="123"/>
        <v>-1.0393466963622755E-2</v>
      </c>
      <c r="F747" s="842">
        <v>28.45</v>
      </c>
      <c r="G747" s="843">
        <f t="shared" si="123"/>
        <v>-4.2002100105005269E-3</v>
      </c>
      <c r="H747" s="842">
        <v>46.3</v>
      </c>
      <c r="I747" s="843">
        <f t="shared" si="123"/>
        <v>-1.9898391193903575E-2</v>
      </c>
      <c r="J747" s="842">
        <v>76.959999999999994</v>
      </c>
      <c r="K747" s="843">
        <f t="shared" si="124"/>
        <v>-2.5980774227085668E-4</v>
      </c>
      <c r="L747" s="842">
        <v>65.69</v>
      </c>
      <c r="M747" s="843">
        <f t="shared" si="125"/>
        <v>-9.2006033182503444E-3</v>
      </c>
      <c r="N747" s="842">
        <v>62.89</v>
      </c>
      <c r="O747" s="843">
        <f t="shared" si="126"/>
        <v>-1.4880952380952439E-2</v>
      </c>
      <c r="P747" s="844">
        <f t="shared" si="132"/>
        <v>-9.2351849876366934E-3</v>
      </c>
      <c r="Q747" s="830"/>
      <c r="R747" s="845">
        <v>915.77</v>
      </c>
      <c r="S747" s="846">
        <f t="shared" si="127"/>
        <v>8.4153005464471242E-4</v>
      </c>
      <c r="T747" s="845">
        <v>66.22</v>
      </c>
      <c r="U747" s="846">
        <f t="shared" si="128"/>
        <v>-1.8088634308109919E-3</v>
      </c>
      <c r="V747" s="845">
        <v>110.5044</v>
      </c>
      <c r="W747" s="846">
        <f t="shared" si="129"/>
        <v>-5.8128393484508933E-3</v>
      </c>
      <c r="X747" s="845">
        <v>34079.18</v>
      </c>
      <c r="Y747" s="846">
        <f t="shared" si="130"/>
        <v>-6.7862496040018705E-3</v>
      </c>
      <c r="Z747" s="845">
        <v>4348.8692000000001</v>
      </c>
      <c r="AA747" s="846">
        <f t="shared" si="131"/>
        <v>-7.1661065855792572E-3</v>
      </c>
      <c r="AB747" s="843"/>
      <c r="AC747" s="832"/>
    </row>
    <row r="748" spans="1:29" ht="14.4" x14ac:dyDescent="0.55000000000000004">
      <c r="A748" s="857" t="s">
        <v>5907</v>
      </c>
      <c r="B748" s="842">
        <v>106.66</v>
      </c>
      <c r="C748" s="843">
        <f t="shared" si="122"/>
        <v>5.372796682062253E-3</v>
      </c>
      <c r="D748" s="842">
        <v>40.409999999999997</v>
      </c>
      <c r="E748" s="843">
        <f t="shared" si="123"/>
        <v>0</v>
      </c>
      <c r="F748" s="842">
        <v>28.57</v>
      </c>
      <c r="G748" s="843">
        <f t="shared" si="123"/>
        <v>5.985915492957794E-3</v>
      </c>
      <c r="H748" s="842">
        <v>47.24</v>
      </c>
      <c r="I748" s="843">
        <f t="shared" si="123"/>
        <v>1.0697475395806677E-2</v>
      </c>
      <c r="J748" s="842">
        <v>76.98</v>
      </c>
      <c r="K748" s="843">
        <f t="shared" si="124"/>
        <v>2.3942537909018347E-2</v>
      </c>
      <c r="L748" s="842">
        <v>66.3</v>
      </c>
      <c r="M748" s="843">
        <f t="shared" si="125"/>
        <v>2.5706940874037354E-3</v>
      </c>
      <c r="N748" s="842">
        <v>63.84</v>
      </c>
      <c r="O748" s="843">
        <f t="shared" si="126"/>
        <v>-1.3444598980064781E-2</v>
      </c>
      <c r="P748" s="844">
        <f t="shared" si="132"/>
        <v>5.017831512454861E-3</v>
      </c>
      <c r="Q748" s="830"/>
      <c r="R748" s="845">
        <v>915</v>
      </c>
      <c r="S748" s="846">
        <f t="shared" si="127"/>
        <v>2.1466748444756156E-3</v>
      </c>
      <c r="T748" s="845">
        <v>66.34</v>
      </c>
      <c r="U748" s="846">
        <f t="shared" si="128"/>
        <v>6.0331825037707176E-4</v>
      </c>
      <c r="V748" s="845">
        <v>111.15049999999999</v>
      </c>
      <c r="W748" s="846">
        <f t="shared" si="129"/>
        <v>5.3728184231591758E-3</v>
      </c>
      <c r="X748" s="845">
        <v>34312.03</v>
      </c>
      <c r="Y748" s="846">
        <f t="shared" si="130"/>
        <v>-1.7811736154784374E-2</v>
      </c>
      <c r="Z748" s="845">
        <v>4380.2586000000001</v>
      </c>
      <c r="AA748" s="846">
        <f t="shared" si="131"/>
        <v>-2.1173690496544162E-2</v>
      </c>
      <c r="AB748" s="843"/>
      <c r="AC748" s="832"/>
    </row>
    <row r="749" spans="1:29" ht="14.4" x14ac:dyDescent="0.55000000000000004">
      <c r="A749" s="857" t="s">
        <v>5908</v>
      </c>
      <c r="B749" s="842">
        <v>106.09</v>
      </c>
      <c r="C749" s="843">
        <f t="shared" si="122"/>
        <v>5.3065479010707683E-3</v>
      </c>
      <c r="D749" s="842">
        <v>40.409999999999997</v>
      </c>
      <c r="E749" s="843">
        <f t="shared" si="123"/>
        <v>1.4869888475834703E-3</v>
      </c>
      <c r="F749" s="842">
        <v>28.4</v>
      </c>
      <c r="G749" s="843">
        <f t="shared" si="123"/>
        <v>4.9539985845716838E-3</v>
      </c>
      <c r="H749" s="842">
        <v>46.74</v>
      </c>
      <c r="I749" s="843">
        <f t="shared" si="123"/>
        <v>6.6767176394573191E-3</v>
      </c>
      <c r="J749" s="842">
        <v>75.180000000000007</v>
      </c>
      <c r="K749" s="843">
        <f t="shared" si="124"/>
        <v>1.1707710940654037E-2</v>
      </c>
      <c r="L749" s="842">
        <v>66.13</v>
      </c>
      <c r="M749" s="843">
        <f t="shared" si="125"/>
        <v>1.3952775222324298E-2</v>
      </c>
      <c r="N749" s="842">
        <v>64.709999999999994</v>
      </c>
      <c r="O749" s="843">
        <f t="shared" si="126"/>
        <v>1.0935791282612017E-2</v>
      </c>
      <c r="P749" s="844">
        <f t="shared" si="132"/>
        <v>7.8600757740390857E-3</v>
      </c>
      <c r="Q749" s="830"/>
      <c r="R749" s="845">
        <v>913.04</v>
      </c>
      <c r="S749" s="846">
        <f t="shared" si="127"/>
        <v>2.2282960670025886E-3</v>
      </c>
      <c r="T749" s="845">
        <v>66.3</v>
      </c>
      <c r="U749" s="846">
        <f t="shared" si="128"/>
        <v>2.2675736961450532E-3</v>
      </c>
      <c r="V749" s="845">
        <v>110.5565</v>
      </c>
      <c r="W749" s="846">
        <f t="shared" si="129"/>
        <v>5.3067619386231168E-3</v>
      </c>
      <c r="X749" s="845">
        <v>34934.269999999997</v>
      </c>
      <c r="Y749" s="846">
        <f t="shared" si="130"/>
        <v>-1.5596401595480147E-3</v>
      </c>
      <c r="Z749" s="845">
        <v>4475.0110999999997</v>
      </c>
      <c r="AA749" s="846">
        <f t="shared" si="131"/>
        <v>8.8052665285665022E-4</v>
      </c>
      <c r="AB749" s="843"/>
      <c r="AC749" s="832"/>
    </row>
    <row r="750" spans="1:29" ht="14.4" x14ac:dyDescent="0.55000000000000004">
      <c r="A750" s="857" t="s">
        <v>5909</v>
      </c>
      <c r="B750" s="842">
        <v>105.53</v>
      </c>
      <c r="C750" s="843">
        <f t="shared" si="122"/>
        <v>-4.2460841668239269E-3</v>
      </c>
      <c r="D750" s="842">
        <v>40.35</v>
      </c>
      <c r="E750" s="843">
        <f t="shared" si="123"/>
        <v>1.2406947890819531E-3</v>
      </c>
      <c r="F750" s="842">
        <v>28.26</v>
      </c>
      <c r="G750" s="843">
        <f t="shared" si="123"/>
        <v>-5.2798310454065245E-3</v>
      </c>
      <c r="H750" s="842">
        <v>46.43</v>
      </c>
      <c r="I750" s="843">
        <f t="shared" si="123"/>
        <v>-4.2890842805062279E-3</v>
      </c>
      <c r="J750" s="842">
        <v>74.31</v>
      </c>
      <c r="K750" s="843">
        <f t="shared" si="124"/>
        <v>-8.9357161909843219E-3</v>
      </c>
      <c r="L750" s="842">
        <v>65.22</v>
      </c>
      <c r="M750" s="843">
        <f t="shared" si="125"/>
        <v>-4.5787545787545625E-3</v>
      </c>
      <c r="N750" s="842">
        <v>64.010000000000005</v>
      </c>
      <c r="O750" s="843">
        <f t="shared" si="126"/>
        <v>-8.2119615742175522E-3</v>
      </c>
      <c r="P750" s="844">
        <f t="shared" si="132"/>
        <v>-4.9001052925158805E-3</v>
      </c>
      <c r="Q750" s="830"/>
      <c r="R750" s="845">
        <v>911.01</v>
      </c>
      <c r="S750" s="846">
        <f t="shared" si="127"/>
        <v>-6.8441964961717394E-3</v>
      </c>
      <c r="T750" s="845">
        <v>66.150000000000006</v>
      </c>
      <c r="U750" s="846">
        <f t="shared" si="128"/>
        <v>-4.6644598254587111E-3</v>
      </c>
      <c r="V750" s="845">
        <v>109.9729</v>
      </c>
      <c r="W750" s="846">
        <f t="shared" si="129"/>
        <v>-4.2465767068476934E-3</v>
      </c>
      <c r="X750" s="845">
        <v>34988.839999999997</v>
      </c>
      <c r="Y750" s="846">
        <f t="shared" si="130"/>
        <v>1.2227746261159522E-2</v>
      </c>
      <c r="Z750" s="845">
        <v>4471.0742</v>
      </c>
      <c r="AA750" s="846">
        <f t="shared" si="131"/>
        <v>1.5768389566952701E-2</v>
      </c>
      <c r="AB750" s="843"/>
      <c r="AC750" s="832"/>
    </row>
    <row r="751" spans="1:29" ht="14.4" x14ac:dyDescent="0.55000000000000004">
      <c r="A751" s="857" t="s">
        <v>5910</v>
      </c>
      <c r="B751" s="842">
        <v>105.98</v>
      </c>
      <c r="C751" s="843">
        <f t="shared" si="122"/>
        <v>-6.5616797900263091E-3</v>
      </c>
      <c r="D751" s="842">
        <v>40.299999999999997</v>
      </c>
      <c r="E751" s="843">
        <f t="shared" si="123"/>
        <v>3.4860557768925382E-3</v>
      </c>
      <c r="F751" s="842">
        <v>28.41</v>
      </c>
      <c r="G751" s="843">
        <f t="shared" si="123"/>
        <v>-1.2169680111265735E-2</v>
      </c>
      <c r="H751" s="842">
        <v>46.63</v>
      </c>
      <c r="I751" s="843">
        <f t="shared" si="123"/>
        <v>-4.2707666026050584E-3</v>
      </c>
      <c r="J751" s="842">
        <v>74.98</v>
      </c>
      <c r="K751" s="843">
        <f t="shared" si="124"/>
        <v>-4.2496679946878446E-3</v>
      </c>
      <c r="L751" s="842">
        <v>65.52</v>
      </c>
      <c r="M751" s="843">
        <f t="shared" si="125"/>
        <v>-2.179755150791296E-2</v>
      </c>
      <c r="N751" s="842">
        <v>64.540000000000006</v>
      </c>
      <c r="O751" s="843">
        <f t="shared" si="126"/>
        <v>-9.210930303960585E-3</v>
      </c>
      <c r="P751" s="844">
        <f t="shared" si="132"/>
        <v>-7.8248886476522794E-3</v>
      </c>
      <c r="Q751" s="830"/>
      <c r="R751" s="845">
        <v>917.28809999999999</v>
      </c>
      <c r="S751" s="846">
        <f t="shared" si="127"/>
        <v>-8.0895869033685841E-3</v>
      </c>
      <c r="T751" s="845">
        <v>66.459999999999994</v>
      </c>
      <c r="U751" s="846">
        <f t="shared" si="128"/>
        <v>-8.5036550798150978E-3</v>
      </c>
      <c r="V751" s="845">
        <v>110.4419</v>
      </c>
      <c r="W751" s="846">
        <f t="shared" si="129"/>
        <v>-6.5610458814460149E-3</v>
      </c>
      <c r="X751" s="845">
        <v>34566.173600000002</v>
      </c>
      <c r="Y751" s="846">
        <f t="shared" si="130"/>
        <v>-4.9480914172045365E-3</v>
      </c>
      <c r="Z751" s="845">
        <v>4401.6670000000004</v>
      </c>
      <c r="AA751" s="846">
        <f t="shared" si="131"/>
        <v>-3.8404381079998329E-3</v>
      </c>
      <c r="AB751" s="843"/>
      <c r="AC751" s="832"/>
    </row>
    <row r="752" spans="1:29" ht="14.4" x14ac:dyDescent="0.55000000000000004">
      <c r="A752" s="857" t="s">
        <v>5911</v>
      </c>
      <c r="B752" s="842">
        <v>106.68</v>
      </c>
      <c r="C752" s="843">
        <f t="shared" si="122"/>
        <v>6.8900424728646215E-3</v>
      </c>
      <c r="D752" s="842">
        <v>40.159999999999997</v>
      </c>
      <c r="E752" s="843">
        <f t="shared" si="123"/>
        <v>1.1841773746535722E-2</v>
      </c>
      <c r="F752" s="842">
        <v>28.76</v>
      </c>
      <c r="G752" s="843">
        <f t="shared" si="123"/>
        <v>9.1228070175439768E-3</v>
      </c>
      <c r="H752" s="842">
        <v>46.83</v>
      </c>
      <c r="I752" s="843">
        <f t="shared" si="123"/>
        <v>1.5835140997830788E-2</v>
      </c>
      <c r="J752" s="842">
        <v>75.3</v>
      </c>
      <c r="K752" s="843">
        <f t="shared" si="124"/>
        <v>1.1960757962639512E-2</v>
      </c>
      <c r="L752" s="842">
        <v>66.98</v>
      </c>
      <c r="M752" s="843">
        <f t="shared" si="125"/>
        <v>5.9755004481631957E-4</v>
      </c>
      <c r="N752" s="842">
        <v>65.14</v>
      </c>
      <c r="O752" s="843">
        <f t="shared" si="126"/>
        <v>2.0843128036357905E-2</v>
      </c>
      <c r="P752" s="844">
        <f t="shared" si="132"/>
        <v>1.1013028611226978E-2</v>
      </c>
      <c r="Q752" s="830"/>
      <c r="R752" s="845">
        <v>924.76909999999998</v>
      </c>
      <c r="S752" s="846">
        <f t="shared" si="127"/>
        <v>7.7831294608654567E-4</v>
      </c>
      <c r="T752" s="845">
        <v>67.03</v>
      </c>
      <c r="U752" s="846">
        <f t="shared" si="128"/>
        <v>5.9710404538004802E-4</v>
      </c>
      <c r="V752" s="845">
        <v>111.1713</v>
      </c>
      <c r="W752" s="846">
        <f t="shared" si="129"/>
        <v>6.8897370361178378E-3</v>
      </c>
      <c r="X752" s="845">
        <v>34738.060700000002</v>
      </c>
      <c r="Y752" s="846">
        <f t="shared" si="130"/>
        <v>-1.4288065038736253E-2</v>
      </c>
      <c r="Z752" s="845">
        <v>4418.6364999999996</v>
      </c>
      <c r="AA752" s="846">
        <f t="shared" si="131"/>
        <v>-1.8971290238585237E-2</v>
      </c>
      <c r="AB752" s="843"/>
      <c r="AC752" s="832"/>
    </row>
    <row r="753" spans="1:29" ht="14.4" x14ac:dyDescent="0.55000000000000004">
      <c r="A753" s="857" t="s">
        <v>5912</v>
      </c>
      <c r="B753" s="842">
        <v>105.95</v>
      </c>
      <c r="C753" s="843">
        <f t="shared" si="122"/>
        <v>-2.664216812126774E-2</v>
      </c>
      <c r="D753" s="842">
        <v>39.69</v>
      </c>
      <c r="E753" s="843">
        <f t="shared" si="123"/>
        <v>-1.9757964929612348E-2</v>
      </c>
      <c r="F753" s="842">
        <v>28.5</v>
      </c>
      <c r="G753" s="843">
        <f t="shared" si="123"/>
        <v>-1.7918676774638209E-2</v>
      </c>
      <c r="H753" s="842">
        <v>46.1</v>
      </c>
      <c r="I753" s="843">
        <f t="shared" si="123"/>
        <v>-2.8246205733558072E-2</v>
      </c>
      <c r="J753" s="842">
        <v>74.41</v>
      </c>
      <c r="K753" s="843">
        <f t="shared" si="124"/>
        <v>-2.4003147953829962E-2</v>
      </c>
      <c r="L753" s="842">
        <v>66.94</v>
      </c>
      <c r="M753" s="843">
        <f t="shared" si="125"/>
        <v>-4.1654269562629853E-3</v>
      </c>
      <c r="N753" s="842">
        <v>63.81</v>
      </c>
      <c r="O753" s="843">
        <f t="shared" si="126"/>
        <v>-4.9898643380632546E-3</v>
      </c>
      <c r="P753" s="844">
        <f t="shared" si="132"/>
        <v>-1.7960493543890368E-2</v>
      </c>
      <c r="Q753" s="830"/>
      <c r="R753" s="845">
        <v>924.04989999999998</v>
      </c>
      <c r="S753" s="846">
        <f t="shared" si="127"/>
        <v>-2.6317101068411786E-2</v>
      </c>
      <c r="T753" s="845">
        <v>66.989999999999995</v>
      </c>
      <c r="U753" s="846">
        <f t="shared" si="128"/>
        <v>-2.5316455696202667E-2</v>
      </c>
      <c r="V753" s="845">
        <v>110.4106</v>
      </c>
      <c r="W753" s="846">
        <f t="shared" si="129"/>
        <v>-2.6642229268984963E-2</v>
      </c>
      <c r="X753" s="845">
        <v>35241.594899999996</v>
      </c>
      <c r="Y753" s="846">
        <f t="shared" si="130"/>
        <v>-1.4718995882832986E-2</v>
      </c>
      <c r="Z753" s="845">
        <v>4504.0847999999996</v>
      </c>
      <c r="AA753" s="846">
        <f t="shared" si="131"/>
        <v>-1.8114423224261045E-2</v>
      </c>
      <c r="AB753" s="843"/>
      <c r="AC753" s="832"/>
    </row>
    <row r="754" spans="1:29" ht="14.4" x14ac:dyDescent="0.55000000000000004">
      <c r="A754" s="857" t="s">
        <v>5913</v>
      </c>
      <c r="B754" s="842">
        <v>108.85</v>
      </c>
      <c r="C754" s="843">
        <f t="shared" si="122"/>
        <v>2.1394388664727426E-2</v>
      </c>
      <c r="D754" s="842">
        <v>40.49</v>
      </c>
      <c r="E754" s="843">
        <f t="shared" si="123"/>
        <v>1.4024542950162866E-2</v>
      </c>
      <c r="F754" s="842">
        <v>29.02</v>
      </c>
      <c r="G754" s="843">
        <f t="shared" si="123"/>
        <v>4.1522491349481605E-3</v>
      </c>
      <c r="H754" s="842">
        <v>47.44</v>
      </c>
      <c r="I754" s="843">
        <f t="shared" si="123"/>
        <v>7.0048821906176784E-3</v>
      </c>
      <c r="J754" s="842">
        <v>76.239999999999995</v>
      </c>
      <c r="K754" s="843">
        <f t="shared" si="124"/>
        <v>-6.126971711641227E-3</v>
      </c>
      <c r="L754" s="842">
        <v>67.22</v>
      </c>
      <c r="M754" s="843">
        <f t="shared" si="125"/>
        <v>6.2874251497007094E-3</v>
      </c>
      <c r="N754" s="842">
        <v>64.13</v>
      </c>
      <c r="O754" s="843">
        <f t="shared" si="126"/>
        <v>4.6999843333854763E-3</v>
      </c>
      <c r="P754" s="844">
        <f t="shared" si="132"/>
        <v>7.3480715302715839E-3</v>
      </c>
      <c r="Q754" s="830"/>
      <c r="R754" s="845">
        <v>949.02549999999997</v>
      </c>
      <c r="S754" s="846">
        <f t="shared" si="127"/>
        <v>3.3803175481215142E-3</v>
      </c>
      <c r="T754" s="845">
        <v>68.73</v>
      </c>
      <c r="U754" s="846">
        <f t="shared" si="128"/>
        <v>4.3840420868039853E-3</v>
      </c>
      <c r="V754" s="845">
        <v>113.4327</v>
      </c>
      <c r="W754" s="846">
        <f t="shared" si="129"/>
        <v>2.1394476875325807E-2</v>
      </c>
      <c r="X754" s="845">
        <v>35768.064899999998</v>
      </c>
      <c r="Y754" s="846">
        <f t="shared" si="130"/>
        <v>8.6085775879143345E-3</v>
      </c>
      <c r="Z754" s="845">
        <v>4587.1788999999999</v>
      </c>
      <c r="AA754" s="846">
        <f t="shared" si="131"/>
        <v>1.451718130745272E-2</v>
      </c>
      <c r="AB754" s="843"/>
      <c r="AC754" s="832"/>
    </row>
    <row r="755" spans="1:29" ht="14.4" x14ac:dyDescent="0.55000000000000004">
      <c r="A755" s="857" t="s">
        <v>5914</v>
      </c>
      <c r="B755" s="842">
        <v>106.57</v>
      </c>
      <c r="C755" s="843">
        <f t="shared" si="122"/>
        <v>5.946762318293386E-3</v>
      </c>
      <c r="D755" s="842">
        <v>39.93</v>
      </c>
      <c r="E755" s="843">
        <f t="shared" si="123"/>
        <v>-7.7037773359841522E-3</v>
      </c>
      <c r="F755" s="842">
        <v>28.9</v>
      </c>
      <c r="G755" s="843">
        <f t="shared" si="123"/>
        <v>3.8207711010767031E-3</v>
      </c>
      <c r="H755" s="842">
        <v>47.11</v>
      </c>
      <c r="I755" s="843">
        <f t="shared" si="123"/>
        <v>3.6216446527481683E-3</v>
      </c>
      <c r="J755" s="842">
        <v>76.709999999999994</v>
      </c>
      <c r="K755" s="843">
        <f t="shared" si="124"/>
        <v>1.4360313315926465E-3</v>
      </c>
      <c r="L755" s="842">
        <v>66.8</v>
      </c>
      <c r="M755" s="843">
        <f t="shared" si="125"/>
        <v>1.150817686250738E-2</v>
      </c>
      <c r="N755" s="842">
        <v>63.83</v>
      </c>
      <c r="O755" s="843">
        <f t="shared" si="126"/>
        <v>2.6704366949419356E-3</v>
      </c>
      <c r="P755" s="844">
        <f t="shared" si="132"/>
        <v>3.0428636607394382E-3</v>
      </c>
      <c r="Q755" s="830"/>
      <c r="R755" s="845">
        <v>945.82830000000001</v>
      </c>
      <c r="S755" s="846">
        <f t="shared" si="127"/>
        <v>2.7846638969517556E-3</v>
      </c>
      <c r="T755" s="845">
        <v>68.430000000000007</v>
      </c>
      <c r="U755" s="846">
        <f t="shared" si="128"/>
        <v>7.3120795554282303E-4</v>
      </c>
      <c r="V755" s="845">
        <v>111.05670000000001</v>
      </c>
      <c r="W755" s="846">
        <f t="shared" si="129"/>
        <v>5.9465471982842466E-3</v>
      </c>
      <c r="X755" s="845">
        <v>35462.7808</v>
      </c>
      <c r="Y755" s="846">
        <f t="shared" si="130"/>
        <v>1.0591081657968182E-2</v>
      </c>
      <c r="Z755" s="845">
        <v>4521.5388999999996</v>
      </c>
      <c r="AA755" s="846">
        <f t="shared" si="131"/>
        <v>8.4020365196963986E-3</v>
      </c>
      <c r="AB755" s="843"/>
      <c r="AC755" s="832"/>
    </row>
    <row r="756" spans="1:29" ht="14.4" x14ac:dyDescent="0.55000000000000004">
      <c r="A756" s="857" t="s">
        <v>5915</v>
      </c>
      <c r="B756" s="842">
        <v>105.94</v>
      </c>
      <c r="C756" s="843">
        <f t="shared" si="122"/>
        <v>1.7019667170952157E-3</v>
      </c>
      <c r="D756" s="842">
        <v>40.24</v>
      </c>
      <c r="E756" s="843">
        <f t="shared" si="123"/>
        <v>6.2515628907227061E-3</v>
      </c>
      <c r="F756" s="842">
        <v>28.79</v>
      </c>
      <c r="G756" s="843">
        <f t="shared" si="123"/>
        <v>-1.9080068143100593E-2</v>
      </c>
      <c r="H756" s="842">
        <v>46.94</v>
      </c>
      <c r="I756" s="843">
        <f t="shared" si="123"/>
        <v>-6.387055567383948E-4</v>
      </c>
      <c r="J756" s="842">
        <v>76.599999999999994</v>
      </c>
      <c r="K756" s="843">
        <f t="shared" si="124"/>
        <v>-5.9693745133663212E-3</v>
      </c>
      <c r="L756" s="842">
        <v>66.040000000000006</v>
      </c>
      <c r="M756" s="843">
        <f t="shared" si="125"/>
        <v>-1.0043471743366617E-2</v>
      </c>
      <c r="N756" s="842">
        <v>63.66</v>
      </c>
      <c r="O756" s="843">
        <f t="shared" si="126"/>
        <v>-7.8480615288034627E-4</v>
      </c>
      <c r="P756" s="844">
        <f t="shared" si="132"/>
        <v>-4.0804137859477641E-3</v>
      </c>
      <c r="Q756" s="830"/>
      <c r="R756" s="845">
        <v>943.20180000000005</v>
      </c>
      <c r="S756" s="846">
        <f t="shared" si="127"/>
        <v>1.0785560721793264E-3</v>
      </c>
      <c r="T756" s="845">
        <v>68.38</v>
      </c>
      <c r="U756" s="846">
        <f t="shared" si="128"/>
        <v>-1.4602803738319459E-3</v>
      </c>
      <c r="V756" s="845">
        <v>110.4002</v>
      </c>
      <c r="W756" s="846">
        <f t="shared" si="129"/>
        <v>1.7021647252672967E-3</v>
      </c>
      <c r="X756" s="845">
        <v>35091.127800000002</v>
      </c>
      <c r="Y756" s="846">
        <f t="shared" si="130"/>
        <v>3.9444574227553986E-5</v>
      </c>
      <c r="Z756" s="845">
        <v>4483.8653000000004</v>
      </c>
      <c r="AA756" s="846">
        <f t="shared" si="131"/>
        <v>-3.703162615348754E-3</v>
      </c>
      <c r="AB756" s="843"/>
      <c r="AC756" s="832"/>
    </row>
    <row r="757" spans="1:29" ht="14.4" x14ac:dyDescent="0.55000000000000004">
      <c r="A757" s="857" t="s">
        <v>5916</v>
      </c>
      <c r="B757" s="842">
        <v>105.76</v>
      </c>
      <c r="C757" s="843">
        <f t="shared" si="122"/>
        <v>-9.5523506274582948E-3</v>
      </c>
      <c r="D757" s="842">
        <v>39.99</v>
      </c>
      <c r="E757" s="843">
        <f t="shared" si="123"/>
        <v>-5.9656972408649311E-3</v>
      </c>
      <c r="F757" s="842">
        <v>29.35</v>
      </c>
      <c r="G757" s="843">
        <f t="shared" si="123"/>
        <v>-1.3113651647612579E-2</v>
      </c>
      <c r="H757" s="842">
        <v>46.97</v>
      </c>
      <c r="I757" s="843">
        <f t="shared" si="123"/>
        <v>-1.2405382674516519E-2</v>
      </c>
      <c r="J757" s="842">
        <v>77.06</v>
      </c>
      <c r="K757" s="843">
        <f t="shared" si="124"/>
        <v>-1.5710818750798383E-2</v>
      </c>
      <c r="L757" s="842">
        <v>66.709999999999994</v>
      </c>
      <c r="M757" s="843">
        <f t="shared" si="125"/>
        <v>-3.4359127576935045E-3</v>
      </c>
      <c r="N757" s="842">
        <v>63.71</v>
      </c>
      <c r="O757" s="843">
        <f t="shared" si="126"/>
        <v>-1.4996907854050834E-2</v>
      </c>
      <c r="P757" s="844">
        <f t="shared" si="132"/>
        <v>-1.0740103078999292E-2</v>
      </c>
      <c r="Q757" s="830"/>
      <c r="R757" s="845">
        <v>942.18560000000002</v>
      </c>
      <c r="S757" s="846">
        <f t="shared" si="127"/>
        <v>-8.8516726278140556E-3</v>
      </c>
      <c r="T757" s="845">
        <v>68.48</v>
      </c>
      <c r="U757" s="846">
        <f t="shared" si="128"/>
        <v>-7.9675503404316173E-3</v>
      </c>
      <c r="V757" s="845">
        <v>110.21259999999999</v>
      </c>
      <c r="W757" s="846">
        <f t="shared" si="129"/>
        <v>-9.5519678635458405E-3</v>
      </c>
      <c r="X757" s="845">
        <v>35089.743699999999</v>
      </c>
      <c r="Y757" s="846">
        <f t="shared" si="130"/>
        <v>-6.0995706208522016E-4</v>
      </c>
      <c r="Z757" s="845">
        <v>4500.5315000000001</v>
      </c>
      <c r="AA757" s="846">
        <f t="shared" si="131"/>
        <v>5.1568507196744218E-3</v>
      </c>
      <c r="AB757" s="843"/>
      <c r="AC757" s="832"/>
    </row>
    <row r="758" spans="1:29" ht="14.4" x14ac:dyDescent="0.55000000000000004">
      <c r="A758" s="857" t="s">
        <v>5917</v>
      </c>
      <c r="B758" s="842">
        <v>106.78</v>
      </c>
      <c r="C758" s="843">
        <f t="shared" si="122"/>
        <v>-9.3641726753523891E-5</v>
      </c>
      <c r="D758" s="842">
        <v>40.229999999999997</v>
      </c>
      <c r="E758" s="843">
        <f t="shared" si="123"/>
        <v>8.0180405913305997E-3</v>
      </c>
      <c r="F758" s="842">
        <v>29.74</v>
      </c>
      <c r="G758" s="843">
        <f t="shared" si="123"/>
        <v>4.7297297297297369E-3</v>
      </c>
      <c r="H758" s="842">
        <v>47.56</v>
      </c>
      <c r="I758" s="843">
        <f t="shared" si="123"/>
        <v>-1.8887722980062138E-3</v>
      </c>
      <c r="J758" s="842">
        <v>78.290000000000006</v>
      </c>
      <c r="K758" s="843">
        <f t="shared" si="124"/>
        <v>5.393604725825174E-3</v>
      </c>
      <c r="L758" s="842">
        <v>66.94</v>
      </c>
      <c r="M758" s="843">
        <f t="shared" si="125"/>
        <v>-2.0870602265951055E-3</v>
      </c>
      <c r="N758" s="842">
        <v>64.680000000000007</v>
      </c>
      <c r="O758" s="843">
        <f t="shared" si="126"/>
        <v>7.9476390836841215E-3</v>
      </c>
      <c r="P758" s="844">
        <f t="shared" si="132"/>
        <v>3.1456485541735413E-3</v>
      </c>
      <c r="Q758" s="830"/>
      <c r="R758" s="845">
        <v>950.6</v>
      </c>
      <c r="S758" s="846">
        <f t="shared" si="127"/>
        <v>-4.8493963196177825E-3</v>
      </c>
      <c r="T758" s="845">
        <v>69.03</v>
      </c>
      <c r="U758" s="846">
        <f t="shared" si="128"/>
        <v>-4.4707239688491773E-3</v>
      </c>
      <c r="V758" s="845">
        <v>111.27549999999999</v>
      </c>
      <c r="W758" s="846">
        <f t="shared" si="129"/>
        <v>-9.4351490753652456E-5</v>
      </c>
      <c r="X758" s="845">
        <v>35111.160000000003</v>
      </c>
      <c r="Y758" s="846">
        <f t="shared" si="130"/>
        <v>-1.454333855635237E-2</v>
      </c>
      <c r="Z758" s="845">
        <v>4477.442</v>
      </c>
      <c r="AA758" s="846">
        <f t="shared" si="131"/>
        <v>-2.4389935661414119E-2</v>
      </c>
      <c r="AB758" s="843"/>
      <c r="AC758" s="832"/>
    </row>
    <row r="759" spans="1:29" ht="14.4" x14ac:dyDescent="0.55000000000000004">
      <c r="A759" s="857" t="s">
        <v>5918</v>
      </c>
      <c r="B759" s="842">
        <v>106.79</v>
      </c>
      <c r="C759" s="843">
        <f t="shared" si="122"/>
        <v>4.79864508844563E-3</v>
      </c>
      <c r="D759" s="842">
        <v>39.909999999999997</v>
      </c>
      <c r="E759" s="843">
        <f t="shared" si="123"/>
        <v>-3.4956304619225831E-3</v>
      </c>
      <c r="F759" s="842">
        <v>29.6</v>
      </c>
      <c r="G759" s="843">
        <f t="shared" si="123"/>
        <v>2.6708289975719834E-2</v>
      </c>
      <c r="H759" s="842">
        <v>47.65</v>
      </c>
      <c r="I759" s="843">
        <f t="shared" si="123"/>
        <v>8.4015963032979535E-4</v>
      </c>
      <c r="J759" s="842">
        <v>77.87</v>
      </c>
      <c r="K759" s="843">
        <f t="shared" si="124"/>
        <v>2.3169005019951783E-3</v>
      </c>
      <c r="L759" s="842">
        <v>67.08</v>
      </c>
      <c r="M759" s="843">
        <f t="shared" si="125"/>
        <v>-1.5556207807455258E-2</v>
      </c>
      <c r="N759" s="842">
        <v>64.17</v>
      </c>
      <c r="O759" s="843">
        <f t="shared" si="126"/>
        <v>-3.2272658724174286E-2</v>
      </c>
      <c r="P759" s="844">
        <f t="shared" si="132"/>
        <v>-2.380071685294527E-3</v>
      </c>
      <c r="Q759" s="830"/>
      <c r="R759" s="845">
        <v>955.23230000000001</v>
      </c>
      <c r="S759" s="846">
        <f t="shared" si="127"/>
        <v>1.3387680138899016E-2</v>
      </c>
      <c r="T759" s="845">
        <v>69.34</v>
      </c>
      <c r="U759" s="846">
        <f t="shared" si="128"/>
        <v>1.4781208839455662E-2</v>
      </c>
      <c r="V759" s="845">
        <v>111.286</v>
      </c>
      <c r="W759" s="846">
        <f t="shared" si="129"/>
        <v>4.7989020762135848E-3</v>
      </c>
      <c r="X759" s="845">
        <v>35629.329400000002</v>
      </c>
      <c r="Y759" s="846">
        <f t="shared" si="130"/>
        <v>6.3291726831367079E-3</v>
      </c>
      <c r="Z759" s="845">
        <v>4589.3765999999996</v>
      </c>
      <c r="AA759" s="846">
        <f t="shared" si="131"/>
        <v>9.4220240934916877E-3</v>
      </c>
      <c r="AB759" s="843"/>
      <c r="AC759" s="832"/>
    </row>
    <row r="760" spans="1:29" ht="14.4" x14ac:dyDescent="0.55000000000000004">
      <c r="A760" s="857" t="s">
        <v>5919</v>
      </c>
      <c r="B760" s="842">
        <v>106.28</v>
      </c>
      <c r="C760" s="843">
        <f t="shared" si="122"/>
        <v>-8.7670210781570779E-3</v>
      </c>
      <c r="D760" s="842">
        <v>40.049999999999997</v>
      </c>
      <c r="E760" s="843">
        <f t="shared" si="123"/>
        <v>-3.9791096742104459E-3</v>
      </c>
      <c r="F760" s="842">
        <v>28.83</v>
      </c>
      <c r="G760" s="843">
        <f t="shared" si="123"/>
        <v>-1.1994516792323551E-2</v>
      </c>
      <c r="H760" s="842">
        <v>47.61</v>
      </c>
      <c r="I760" s="843">
        <f t="shared" si="123"/>
        <v>5.7034220532319324E-3</v>
      </c>
      <c r="J760" s="842">
        <v>77.69</v>
      </c>
      <c r="K760" s="843">
        <f t="shared" si="124"/>
        <v>-2.5677237129285713E-3</v>
      </c>
      <c r="L760" s="842">
        <v>68.14</v>
      </c>
      <c r="M760" s="843">
        <f t="shared" si="125"/>
        <v>-5.866823115283637E-4</v>
      </c>
      <c r="N760" s="842">
        <v>66.31</v>
      </c>
      <c r="O760" s="843">
        <f t="shared" si="126"/>
        <v>5.9162621359223344E-3</v>
      </c>
      <c r="P760" s="844">
        <f t="shared" si="132"/>
        <v>-2.3250527685705347E-3</v>
      </c>
      <c r="Q760" s="830"/>
      <c r="R760" s="845">
        <v>942.61289999999997</v>
      </c>
      <c r="S760" s="846">
        <f t="shared" si="127"/>
        <v>-1.2121934302920412E-2</v>
      </c>
      <c r="T760" s="845">
        <v>68.33</v>
      </c>
      <c r="U760" s="846">
        <f t="shared" si="128"/>
        <v>-1.3285198555956668E-2</v>
      </c>
      <c r="V760" s="845">
        <v>110.75449999999999</v>
      </c>
      <c r="W760" s="846">
        <f t="shared" si="129"/>
        <v>-8.7672429455287748E-3</v>
      </c>
      <c r="X760" s="845">
        <v>35405.243499999997</v>
      </c>
      <c r="Y760" s="846">
        <f t="shared" si="130"/>
        <v>7.7816776599981541E-3</v>
      </c>
      <c r="Z760" s="845">
        <v>4546.5389999999998</v>
      </c>
      <c r="AA760" s="846">
        <f t="shared" si="131"/>
        <v>6.863265044531941E-3</v>
      </c>
      <c r="AB760" s="843"/>
      <c r="AC760" s="832"/>
    </row>
    <row r="761" spans="1:29" ht="14.4" x14ac:dyDescent="0.55000000000000004">
      <c r="A761" s="857" t="s">
        <v>5920</v>
      </c>
      <c r="B761" s="842">
        <v>107.22</v>
      </c>
      <c r="C761" s="843">
        <f t="shared" si="122"/>
        <v>1.0460842521911262E-2</v>
      </c>
      <c r="D761" s="842">
        <v>40.21</v>
      </c>
      <c r="E761" s="843">
        <f t="shared" si="123"/>
        <v>7.2645290581161426E-3</v>
      </c>
      <c r="F761" s="842">
        <v>29.18</v>
      </c>
      <c r="G761" s="843">
        <f t="shared" si="123"/>
        <v>-3.0748206354629382E-3</v>
      </c>
      <c r="H761" s="842">
        <v>47.34</v>
      </c>
      <c r="I761" s="843">
        <f t="shared" si="123"/>
        <v>-3.5781940644074028E-3</v>
      </c>
      <c r="J761" s="842">
        <v>77.89</v>
      </c>
      <c r="K761" s="843">
        <f t="shared" si="124"/>
        <v>5.0322580645161263E-3</v>
      </c>
      <c r="L761" s="842">
        <v>68.180000000000007</v>
      </c>
      <c r="M761" s="843">
        <f t="shared" si="125"/>
        <v>7.8344419807834242E-3</v>
      </c>
      <c r="N761" s="842">
        <v>65.92</v>
      </c>
      <c r="O761" s="843">
        <f t="shared" si="126"/>
        <v>3.6540803897684437E-3</v>
      </c>
      <c r="P761" s="844">
        <f t="shared" si="132"/>
        <v>3.9418767593178651E-3</v>
      </c>
      <c r="Q761" s="830"/>
      <c r="R761" s="845">
        <v>954.17939999999999</v>
      </c>
      <c r="S761" s="846">
        <f t="shared" si="127"/>
        <v>1.3971149336988509E-2</v>
      </c>
      <c r="T761" s="845">
        <v>69.25</v>
      </c>
      <c r="U761" s="846">
        <f t="shared" si="128"/>
        <v>1.8981753972925342E-2</v>
      </c>
      <c r="V761" s="845">
        <v>111.7341</v>
      </c>
      <c r="W761" s="846">
        <f t="shared" si="129"/>
        <v>1.0461459992240796E-2</v>
      </c>
      <c r="X761" s="845">
        <v>35131.858699999997</v>
      </c>
      <c r="Y761" s="846">
        <f t="shared" si="130"/>
        <v>1.1702832908625282E-2</v>
      </c>
      <c r="Z761" s="845">
        <v>4515.5475999999999</v>
      </c>
      <c r="AA761" s="846">
        <f t="shared" si="131"/>
        <v>1.8885683630338379E-2</v>
      </c>
      <c r="AB761" s="843"/>
      <c r="AC761" s="832"/>
    </row>
    <row r="762" spans="1:29" ht="14.4" x14ac:dyDescent="0.55000000000000004">
      <c r="A762" s="857" t="s">
        <v>5921</v>
      </c>
      <c r="B762" s="842">
        <v>106.11</v>
      </c>
      <c r="C762" s="843">
        <f t="shared" si="122"/>
        <v>1.2210245158828625E-2</v>
      </c>
      <c r="D762" s="842">
        <v>39.92</v>
      </c>
      <c r="E762" s="843">
        <f t="shared" si="123"/>
        <v>1.3970027940056085E-2</v>
      </c>
      <c r="F762" s="842">
        <v>29.27</v>
      </c>
      <c r="G762" s="843">
        <f t="shared" si="123"/>
        <v>4.6478369681801857E-2</v>
      </c>
      <c r="H762" s="842">
        <v>47.51</v>
      </c>
      <c r="I762" s="843">
        <f t="shared" si="123"/>
        <v>4.2274360600293992E-3</v>
      </c>
      <c r="J762" s="842">
        <v>77.5</v>
      </c>
      <c r="K762" s="843">
        <f t="shared" si="124"/>
        <v>9.6404377279832865E-3</v>
      </c>
      <c r="L762" s="842">
        <v>67.650000000000006</v>
      </c>
      <c r="M762" s="843">
        <f t="shared" si="125"/>
        <v>1.8671886764041634E-2</v>
      </c>
      <c r="N762" s="842">
        <v>65.680000000000007</v>
      </c>
      <c r="O762" s="843">
        <f t="shared" si="126"/>
        <v>1.3736687760456778E-2</v>
      </c>
      <c r="P762" s="844">
        <f t="shared" si="132"/>
        <v>1.6990727299028237E-2</v>
      </c>
      <c r="Q762" s="830"/>
      <c r="R762" s="845">
        <v>941.03210000000001</v>
      </c>
      <c r="S762" s="846">
        <f t="shared" si="127"/>
        <v>1.1588147816258942E-2</v>
      </c>
      <c r="T762" s="845">
        <v>67.959999999999994</v>
      </c>
      <c r="U762" s="846">
        <f t="shared" si="128"/>
        <v>1.2062546537602303E-2</v>
      </c>
      <c r="V762" s="845">
        <v>110.57729999999999</v>
      </c>
      <c r="W762" s="846">
        <f t="shared" si="129"/>
        <v>1.2210348634333901E-2</v>
      </c>
      <c r="X762" s="845">
        <v>34725.472300000001</v>
      </c>
      <c r="Y762" s="846">
        <f t="shared" si="130"/>
        <v>1.653055256432423E-2</v>
      </c>
      <c r="Z762" s="845">
        <v>4431.8491000000004</v>
      </c>
      <c r="AA762" s="846">
        <f t="shared" si="131"/>
        <v>2.4346484792131751E-2</v>
      </c>
      <c r="AB762" s="843"/>
      <c r="AC762" s="832"/>
    </row>
    <row r="763" spans="1:29" ht="14.4" x14ac:dyDescent="0.55000000000000004">
      <c r="A763" s="857" t="s">
        <v>5922</v>
      </c>
      <c r="B763" s="842">
        <v>104.83</v>
      </c>
      <c r="C763" s="843">
        <f t="shared" si="122"/>
        <v>1.138446695610229E-2</v>
      </c>
      <c r="D763" s="842">
        <v>39.369999999999997</v>
      </c>
      <c r="E763" s="843">
        <f t="shared" si="123"/>
        <v>7.162957278076032E-3</v>
      </c>
      <c r="F763" s="842">
        <v>27.97</v>
      </c>
      <c r="G763" s="843">
        <f t="shared" si="123"/>
        <v>2.3417489937797242E-2</v>
      </c>
      <c r="H763" s="842">
        <v>47.31</v>
      </c>
      <c r="I763" s="843">
        <f t="shared" si="123"/>
        <v>-2.1132713440397133E-4</v>
      </c>
      <c r="J763" s="842">
        <v>76.760000000000005</v>
      </c>
      <c r="K763" s="843">
        <f t="shared" si="124"/>
        <v>6.6885245901640022E-3</v>
      </c>
      <c r="L763" s="842">
        <v>66.41</v>
      </c>
      <c r="M763" s="843">
        <f t="shared" si="125"/>
        <v>1.3570566948131191E-3</v>
      </c>
      <c r="N763" s="842">
        <v>64.790000000000006</v>
      </c>
      <c r="O763" s="843">
        <f t="shared" si="126"/>
        <v>1.8070395977372922E-2</v>
      </c>
      <c r="P763" s="844">
        <f t="shared" si="132"/>
        <v>9.6956520428459481E-3</v>
      </c>
      <c r="Q763" s="830"/>
      <c r="R763" s="845">
        <v>930.25220000000002</v>
      </c>
      <c r="S763" s="846">
        <f t="shared" si="127"/>
        <v>8.0045285058456539E-3</v>
      </c>
      <c r="T763" s="845">
        <v>67.150000000000006</v>
      </c>
      <c r="U763" s="846">
        <f t="shared" si="128"/>
        <v>8.8641826923077094E-3</v>
      </c>
      <c r="V763" s="845">
        <v>109.24339999999999</v>
      </c>
      <c r="W763" s="846">
        <f t="shared" si="129"/>
        <v>1.138373059738651E-2</v>
      </c>
      <c r="X763" s="845">
        <v>34160.775800000003</v>
      </c>
      <c r="Y763" s="846">
        <f t="shared" si="130"/>
        <v>-2.1411204598842382E-4</v>
      </c>
      <c r="Z763" s="845">
        <v>4326.5137000000004</v>
      </c>
      <c r="AA763" s="846">
        <f t="shared" si="131"/>
        <v>-5.3828239847431014E-3</v>
      </c>
      <c r="AB763" s="843"/>
      <c r="AC763" s="832"/>
    </row>
    <row r="764" spans="1:29" ht="14.4" x14ac:dyDescent="0.55000000000000004">
      <c r="A764" s="857" t="s">
        <v>5923</v>
      </c>
      <c r="B764" s="842">
        <v>103.65</v>
      </c>
      <c r="C764" s="843">
        <f t="shared" si="122"/>
        <v>-2.5981524249422128E-3</v>
      </c>
      <c r="D764" s="842">
        <v>39.090000000000003</v>
      </c>
      <c r="E764" s="843">
        <f t="shared" si="123"/>
        <v>1.0077519379845024E-2</v>
      </c>
      <c r="F764" s="842">
        <v>27.33</v>
      </c>
      <c r="G764" s="843">
        <f t="shared" si="123"/>
        <v>7.0007369196756208E-3</v>
      </c>
      <c r="H764" s="842">
        <v>47.32</v>
      </c>
      <c r="I764" s="843">
        <f t="shared" si="123"/>
        <v>-6.3357972544886287E-4</v>
      </c>
      <c r="J764" s="842">
        <v>76.25</v>
      </c>
      <c r="K764" s="843">
        <f t="shared" si="124"/>
        <v>4.6113306982871194E-3</v>
      </c>
      <c r="L764" s="842">
        <v>66.319999999999993</v>
      </c>
      <c r="M764" s="843">
        <f t="shared" si="125"/>
        <v>1.7490027615832959E-2</v>
      </c>
      <c r="N764" s="842">
        <v>63.64</v>
      </c>
      <c r="O764" s="843">
        <f t="shared" si="126"/>
        <v>-7.4859638178416121E-3</v>
      </c>
      <c r="P764" s="844">
        <f t="shared" si="132"/>
        <v>4.0659883779154337E-3</v>
      </c>
      <c r="Q764" s="830"/>
      <c r="R764" s="845">
        <v>922.86509999999998</v>
      </c>
      <c r="S764" s="846">
        <f t="shared" si="127"/>
        <v>-3.961424036100003E-3</v>
      </c>
      <c r="T764" s="845">
        <v>66.56</v>
      </c>
      <c r="U764" s="846">
        <f t="shared" si="128"/>
        <v>-8.1954999254953975E-3</v>
      </c>
      <c r="V764" s="845">
        <v>108.0138</v>
      </c>
      <c r="W764" s="846">
        <f t="shared" si="129"/>
        <v>-2.5975321136413321E-3</v>
      </c>
      <c r="X764" s="845">
        <v>34168.0916</v>
      </c>
      <c r="Y764" s="846">
        <f t="shared" si="130"/>
        <v>-3.7798505270839611E-3</v>
      </c>
      <c r="Z764" s="845">
        <v>4349.9286000000002</v>
      </c>
      <c r="AA764" s="846">
        <f t="shared" si="131"/>
        <v>-1.4978466775467103E-3</v>
      </c>
      <c r="AB764" s="843"/>
      <c r="AC764" s="832"/>
    </row>
    <row r="765" spans="1:29" ht="14.4" x14ac:dyDescent="0.55000000000000004">
      <c r="A765" s="857" t="s">
        <v>5924</v>
      </c>
      <c r="B765" s="842">
        <v>103.92</v>
      </c>
      <c r="C765" s="843">
        <f t="shared" si="122"/>
        <v>1.5637216575449697E-2</v>
      </c>
      <c r="D765" s="842">
        <v>38.700000000000003</v>
      </c>
      <c r="E765" s="843">
        <f t="shared" si="123"/>
        <v>-4.1173443129181031E-3</v>
      </c>
      <c r="F765" s="842">
        <v>27.14</v>
      </c>
      <c r="G765" s="843">
        <f t="shared" si="123"/>
        <v>3.6982248520711636E-3</v>
      </c>
      <c r="H765" s="842">
        <v>47.35</v>
      </c>
      <c r="I765" s="843">
        <f t="shared" si="123"/>
        <v>5.0944597749946752E-3</v>
      </c>
      <c r="J765" s="842">
        <v>75.900000000000006</v>
      </c>
      <c r="K765" s="843">
        <f t="shared" si="124"/>
        <v>1.0787055533360013E-2</v>
      </c>
      <c r="L765" s="842">
        <v>65.180000000000007</v>
      </c>
      <c r="M765" s="843">
        <f t="shared" si="125"/>
        <v>4.1596056077648491E-3</v>
      </c>
      <c r="N765" s="842">
        <v>64.12</v>
      </c>
      <c r="O765" s="843">
        <f t="shared" si="126"/>
        <v>1.3434487118697769E-2</v>
      </c>
      <c r="P765" s="844">
        <f t="shared" si="132"/>
        <v>6.9562435927742949E-3</v>
      </c>
      <c r="Q765" s="830"/>
      <c r="R765" s="845">
        <v>926.53549999999996</v>
      </c>
      <c r="S765" s="846">
        <f t="shared" si="127"/>
        <v>-6.364279815972762E-3</v>
      </c>
      <c r="T765" s="845">
        <v>67.11</v>
      </c>
      <c r="U765" s="846">
        <f t="shared" si="128"/>
        <v>-1.5693751833382286E-2</v>
      </c>
      <c r="V765" s="845">
        <v>108.29510000000001</v>
      </c>
      <c r="W765" s="846">
        <f t="shared" si="129"/>
        <v>1.5636635098914331E-2</v>
      </c>
      <c r="X765" s="845">
        <v>34297.731899999999</v>
      </c>
      <c r="Y765" s="846">
        <f t="shared" si="130"/>
        <v>-1.9429382065795364E-3</v>
      </c>
      <c r="Z765" s="845">
        <v>4356.4539000000004</v>
      </c>
      <c r="AA765" s="846">
        <f t="shared" si="131"/>
        <v>-1.2170510085490971E-2</v>
      </c>
      <c r="AB765" s="843"/>
      <c r="AC765" s="832"/>
    </row>
    <row r="766" spans="1:29" ht="14.4" x14ac:dyDescent="0.55000000000000004">
      <c r="A766" s="857" t="s">
        <v>5925</v>
      </c>
      <c r="B766" s="842">
        <v>102.32</v>
      </c>
      <c r="C766" s="843">
        <f t="shared" si="122"/>
        <v>-2.1703795773974632E-2</v>
      </c>
      <c r="D766" s="842">
        <v>38.86</v>
      </c>
      <c r="E766" s="843">
        <f t="shared" si="123"/>
        <v>1.4886393314181179E-2</v>
      </c>
      <c r="F766" s="842">
        <v>27.04</v>
      </c>
      <c r="G766" s="843">
        <f t="shared" si="123"/>
        <v>-1.7798764983654292E-2</v>
      </c>
      <c r="H766" s="842">
        <v>47.11</v>
      </c>
      <c r="I766" s="843">
        <f t="shared" si="123"/>
        <v>-9.0450147244425239E-3</v>
      </c>
      <c r="J766" s="842">
        <v>75.09</v>
      </c>
      <c r="K766" s="843">
        <f t="shared" si="124"/>
        <v>-2.8841179513709125E-2</v>
      </c>
      <c r="L766" s="842">
        <v>64.91</v>
      </c>
      <c r="M766" s="843">
        <f t="shared" si="125"/>
        <v>1.7557610910801102E-2</v>
      </c>
      <c r="N766" s="842">
        <v>63.27</v>
      </c>
      <c r="O766" s="843">
        <f t="shared" si="126"/>
        <v>-1.5406162464986051E-2</v>
      </c>
      <c r="P766" s="844">
        <f t="shared" si="132"/>
        <v>-8.621559033683477E-3</v>
      </c>
      <c r="Q766" s="830"/>
      <c r="R766" s="845">
        <v>932.47</v>
      </c>
      <c r="S766" s="846">
        <f t="shared" si="127"/>
        <v>-1.195231788079465E-2</v>
      </c>
      <c r="T766" s="845">
        <v>68.180000000000007</v>
      </c>
      <c r="U766" s="846">
        <f t="shared" si="128"/>
        <v>-9.5874491574665655E-3</v>
      </c>
      <c r="V766" s="845">
        <v>106.62779999999999</v>
      </c>
      <c r="W766" s="846">
        <f t="shared" si="129"/>
        <v>-2.1703168910382709E-2</v>
      </c>
      <c r="X766" s="845">
        <v>34364.5</v>
      </c>
      <c r="Y766" s="846">
        <f t="shared" si="130"/>
        <v>2.8930083054699018E-3</v>
      </c>
      <c r="Z766" s="845">
        <v>4410.1274000000003</v>
      </c>
      <c r="AA766" s="846">
        <f t="shared" si="131"/>
        <v>2.7713434510419077E-3</v>
      </c>
      <c r="AB766" s="843"/>
      <c r="AC766" s="832"/>
    </row>
    <row r="767" spans="1:29" ht="14.4" x14ac:dyDescent="0.55000000000000004">
      <c r="A767" s="857" t="s">
        <v>5926</v>
      </c>
      <c r="B767" s="842">
        <v>104.59</v>
      </c>
      <c r="C767" s="843">
        <f t="shared" si="122"/>
        <v>-4.0944581984383444E-3</v>
      </c>
      <c r="D767" s="842">
        <v>38.29</v>
      </c>
      <c r="E767" s="843">
        <f t="shared" si="123"/>
        <v>-1.0338588782631164E-2</v>
      </c>
      <c r="F767" s="842">
        <v>27.53</v>
      </c>
      <c r="G767" s="843">
        <f t="shared" si="123"/>
        <v>-1.1135057471264309E-2</v>
      </c>
      <c r="H767" s="842">
        <v>47.54</v>
      </c>
      <c r="I767" s="843">
        <f t="shared" si="123"/>
        <v>-1.5531165872851527E-2</v>
      </c>
      <c r="J767" s="842">
        <v>77.319999999999993</v>
      </c>
      <c r="K767" s="843">
        <f t="shared" si="124"/>
        <v>-8.0821039127647598E-3</v>
      </c>
      <c r="L767" s="842">
        <v>63.79</v>
      </c>
      <c r="M767" s="843">
        <f t="shared" si="125"/>
        <v>-2.1175387448212457E-2</v>
      </c>
      <c r="N767" s="842">
        <v>64.260000000000005</v>
      </c>
      <c r="O767" s="843">
        <f t="shared" si="126"/>
        <v>-3.4119106699751489E-3</v>
      </c>
      <c r="P767" s="844">
        <f t="shared" si="132"/>
        <v>-1.053838176516253E-2</v>
      </c>
      <c r="Q767" s="830"/>
      <c r="R767" s="845">
        <v>943.75</v>
      </c>
      <c r="S767" s="846">
        <f t="shared" si="127"/>
        <v>-1.9564297800338526E-3</v>
      </c>
      <c r="T767" s="845">
        <v>68.84</v>
      </c>
      <c r="U767" s="846">
        <f t="shared" si="128"/>
        <v>-1.8848774829635095E-3</v>
      </c>
      <c r="V767" s="845">
        <v>108.9933</v>
      </c>
      <c r="W767" s="846">
        <f t="shared" si="129"/>
        <v>-4.0944286165929267E-3</v>
      </c>
      <c r="X767" s="845">
        <v>34265.370000000003</v>
      </c>
      <c r="Y767" s="846">
        <f t="shared" si="130"/>
        <v>-1.2963126728520069E-2</v>
      </c>
      <c r="Z767" s="845">
        <v>4397.9391999999998</v>
      </c>
      <c r="AA767" s="846">
        <f t="shared" si="131"/>
        <v>-1.8914466272722086E-2</v>
      </c>
      <c r="AB767" s="843"/>
      <c r="AC767" s="832"/>
    </row>
    <row r="768" spans="1:29" ht="14.4" x14ac:dyDescent="0.55000000000000004">
      <c r="A768" s="857" t="s">
        <v>5927</v>
      </c>
      <c r="B768" s="842">
        <v>105.02</v>
      </c>
      <c r="C768" s="843">
        <f t="shared" si="122"/>
        <v>-3.037782418834345E-3</v>
      </c>
      <c r="D768" s="842">
        <v>38.69</v>
      </c>
      <c r="E768" s="843">
        <f t="shared" si="123"/>
        <v>3.1112263417163444E-3</v>
      </c>
      <c r="F768" s="842">
        <v>27.84</v>
      </c>
      <c r="G768" s="843">
        <f t="shared" si="123"/>
        <v>-3.5790980672870676E-3</v>
      </c>
      <c r="H768" s="842">
        <v>48.29</v>
      </c>
      <c r="I768" s="843">
        <f t="shared" si="123"/>
        <v>-5.150391429748713E-3</v>
      </c>
      <c r="J768" s="842">
        <v>77.95</v>
      </c>
      <c r="K768" s="843">
        <f t="shared" si="124"/>
        <v>-2.1220492214967357E-2</v>
      </c>
      <c r="L768" s="842">
        <v>65.17</v>
      </c>
      <c r="M768" s="843">
        <f t="shared" si="125"/>
        <v>3.6962883104880717E-3</v>
      </c>
      <c r="N768" s="842">
        <v>64.48</v>
      </c>
      <c r="O768" s="843">
        <f t="shared" si="126"/>
        <v>-2.0209694575292536E-2</v>
      </c>
      <c r="P768" s="844">
        <f t="shared" si="132"/>
        <v>-6.6271348648465145E-3</v>
      </c>
      <c r="Q768" s="830"/>
      <c r="R768" s="845">
        <v>945.6</v>
      </c>
      <c r="S768" s="846">
        <f t="shared" si="127"/>
        <v>1.1010417548913409E-3</v>
      </c>
      <c r="T768" s="845">
        <v>68.97</v>
      </c>
      <c r="U768" s="846">
        <f t="shared" si="128"/>
        <v>1.3066202090592505E-3</v>
      </c>
      <c r="V768" s="845">
        <v>109.4414</v>
      </c>
      <c r="W768" s="846">
        <f t="shared" si="129"/>
        <v>-3.0380351063858946E-3</v>
      </c>
      <c r="X768" s="845">
        <v>34715.39</v>
      </c>
      <c r="Y768" s="846">
        <f t="shared" si="130"/>
        <v>-8.9429652584385178E-3</v>
      </c>
      <c r="Z768" s="845">
        <v>4482.7276000000002</v>
      </c>
      <c r="AA768" s="846">
        <f t="shared" si="131"/>
        <v>-1.1037867527763923E-2</v>
      </c>
      <c r="AB768" s="843"/>
      <c r="AC768" s="832"/>
    </row>
    <row r="769" spans="1:29" ht="14.4" x14ac:dyDescent="0.55000000000000004">
      <c r="A769" s="857" t="s">
        <v>5928</v>
      </c>
      <c r="B769" s="842">
        <v>105.34</v>
      </c>
      <c r="C769" s="843">
        <f t="shared" si="122"/>
        <v>-6.6407361730380643E-4</v>
      </c>
      <c r="D769" s="842">
        <v>38.57</v>
      </c>
      <c r="E769" s="843">
        <f t="shared" si="123"/>
        <v>-1.4563106796116498E-2</v>
      </c>
      <c r="F769" s="842">
        <v>27.94</v>
      </c>
      <c r="G769" s="843">
        <f t="shared" si="123"/>
        <v>-7.8125E-3</v>
      </c>
      <c r="H769" s="842">
        <v>48.54</v>
      </c>
      <c r="I769" s="843">
        <f t="shared" si="123"/>
        <v>-6.3459570112589514E-3</v>
      </c>
      <c r="J769" s="842">
        <v>79.64</v>
      </c>
      <c r="K769" s="843">
        <f t="shared" si="124"/>
        <v>-7.1063458421641856E-3</v>
      </c>
      <c r="L769" s="842">
        <v>64.930000000000007</v>
      </c>
      <c r="M769" s="843">
        <f t="shared" si="125"/>
        <v>-1.2771780447012104E-2</v>
      </c>
      <c r="N769" s="842">
        <v>65.81</v>
      </c>
      <c r="O769" s="843">
        <f t="shared" si="126"/>
        <v>-1.1861861861861778E-2</v>
      </c>
      <c r="P769" s="844">
        <f t="shared" si="132"/>
        <v>-8.7322322251024743E-3</v>
      </c>
      <c r="Q769" s="830"/>
      <c r="R769" s="845">
        <v>944.56</v>
      </c>
      <c r="S769" s="846">
        <f t="shared" si="127"/>
        <v>1.9092876235733414E-3</v>
      </c>
      <c r="T769" s="845">
        <v>68.88</v>
      </c>
      <c r="U769" s="846">
        <f t="shared" si="128"/>
        <v>4.5209275193234255E-3</v>
      </c>
      <c r="V769" s="845">
        <v>109.7749</v>
      </c>
      <c r="W769" s="846">
        <f t="shared" si="129"/>
        <v>-6.6455526232178652E-4</v>
      </c>
      <c r="X769" s="845">
        <v>35028.65</v>
      </c>
      <c r="Y769" s="846">
        <f t="shared" si="130"/>
        <v>-9.6079926556054129E-3</v>
      </c>
      <c r="Z769" s="845">
        <v>4532.7596000000003</v>
      </c>
      <c r="AA769" s="846">
        <f t="shared" si="131"/>
        <v>-9.6892614559881407E-3</v>
      </c>
      <c r="AB769" s="843"/>
      <c r="AC769" s="832"/>
    </row>
    <row r="770" spans="1:29" ht="14.4" x14ac:dyDescent="0.55000000000000004">
      <c r="A770" s="857" t="s">
        <v>5929</v>
      </c>
      <c r="B770" s="842">
        <v>105.41</v>
      </c>
      <c r="C770" s="843">
        <f t="shared" si="122"/>
        <v>-6.0348892032060508E-3</v>
      </c>
      <c r="D770" s="842">
        <v>39.14</v>
      </c>
      <c r="E770" s="843">
        <f t="shared" si="123"/>
        <v>-1.7852588625351107E-3</v>
      </c>
      <c r="F770" s="842">
        <v>28.16</v>
      </c>
      <c r="G770" s="843">
        <f t="shared" si="123"/>
        <v>-6.0007059654075823E-3</v>
      </c>
      <c r="H770" s="842">
        <v>48.85</v>
      </c>
      <c r="I770" s="843">
        <f t="shared" si="123"/>
        <v>-1.9470092332396605E-2</v>
      </c>
      <c r="J770" s="842">
        <v>80.209999999999994</v>
      </c>
      <c r="K770" s="843">
        <f t="shared" si="124"/>
        <v>-2.735297774462464E-3</v>
      </c>
      <c r="L770" s="842">
        <v>65.77</v>
      </c>
      <c r="M770" s="843">
        <f t="shared" si="125"/>
        <v>6.0855012931670949E-4</v>
      </c>
      <c r="N770" s="842">
        <v>66.599999999999994</v>
      </c>
      <c r="O770" s="843">
        <f t="shared" si="126"/>
        <v>-1.9481492582048565E-3</v>
      </c>
      <c r="P770" s="844">
        <f t="shared" si="132"/>
        <v>-5.3379776095565656E-3</v>
      </c>
      <c r="Q770" s="830"/>
      <c r="R770" s="845">
        <v>942.76</v>
      </c>
      <c r="S770" s="846">
        <f t="shared" si="127"/>
        <v>-1.0816635521667339E-2</v>
      </c>
      <c r="T770" s="845">
        <v>68.569999999999993</v>
      </c>
      <c r="U770" s="846">
        <f t="shared" si="128"/>
        <v>-1.1959654178674506E-2</v>
      </c>
      <c r="V770" s="845">
        <v>109.8479</v>
      </c>
      <c r="W770" s="846">
        <f t="shared" si="129"/>
        <v>-6.0344858788143885E-3</v>
      </c>
      <c r="X770" s="845">
        <v>35368.47</v>
      </c>
      <c r="Y770" s="846">
        <f t="shared" si="130"/>
        <v>-1.5129825232364835E-2</v>
      </c>
      <c r="Z770" s="845">
        <v>4577.1084000000001</v>
      </c>
      <c r="AA770" s="846">
        <f t="shared" si="131"/>
        <v>-1.8389102073770536E-2</v>
      </c>
      <c r="AB770" s="843"/>
      <c r="AC770" s="832"/>
    </row>
    <row r="771" spans="1:29" ht="14.4" x14ac:dyDescent="0.55000000000000004">
      <c r="A771" s="857" t="s">
        <v>5930</v>
      </c>
      <c r="B771" s="842">
        <v>106.05</v>
      </c>
      <c r="C771" s="843">
        <f t="shared" si="122"/>
        <v>5.6609114067374122E-4</v>
      </c>
      <c r="D771" s="842">
        <v>39.21</v>
      </c>
      <c r="E771" s="843">
        <f t="shared" si="123"/>
        <v>1.2654958677686068E-2</v>
      </c>
      <c r="F771" s="842">
        <v>28.33</v>
      </c>
      <c r="G771" s="843">
        <f t="shared" si="123"/>
        <v>0</v>
      </c>
      <c r="H771" s="842">
        <v>49.82</v>
      </c>
      <c r="I771" s="843">
        <f t="shared" si="123"/>
        <v>2.8913672036348537E-2</v>
      </c>
      <c r="J771" s="842">
        <v>80.430000000000007</v>
      </c>
      <c r="K771" s="843">
        <f t="shared" si="124"/>
        <v>1.3993948562783798E-2</v>
      </c>
      <c r="L771" s="842">
        <v>65.73</v>
      </c>
      <c r="M771" s="843">
        <f t="shared" si="125"/>
        <v>-3.3358605003790398E-3</v>
      </c>
      <c r="N771" s="842">
        <v>66.73</v>
      </c>
      <c r="O771" s="843">
        <f t="shared" si="126"/>
        <v>1.0448213204118595E-2</v>
      </c>
      <c r="P771" s="844">
        <f t="shared" si="132"/>
        <v>9.0344318744616705E-3</v>
      </c>
      <c r="Q771" s="830"/>
      <c r="R771" s="845">
        <v>953.06899999999996</v>
      </c>
      <c r="S771" s="846">
        <f t="shared" si="127"/>
        <v>-6.1638407474609025E-3</v>
      </c>
      <c r="T771" s="845">
        <v>69.400000000000006</v>
      </c>
      <c r="U771" s="846">
        <f t="shared" si="128"/>
        <v>-6.8689181453919224E-3</v>
      </c>
      <c r="V771" s="845">
        <v>110.51479999999999</v>
      </c>
      <c r="W771" s="846">
        <f t="shared" si="129"/>
        <v>5.6585512479134792E-4</v>
      </c>
      <c r="X771" s="845">
        <v>35911.809399999998</v>
      </c>
      <c r="Y771" s="846">
        <f t="shared" si="130"/>
        <v>-5.5882129789260881E-3</v>
      </c>
      <c r="Z771" s="845">
        <v>4662.8540999999996</v>
      </c>
      <c r="AA771" s="846">
        <f t="shared" si="131"/>
        <v>8.2175982938914593E-4</v>
      </c>
      <c r="AB771" s="843"/>
      <c r="AC771" s="832"/>
    </row>
    <row r="772" spans="1:29" ht="14.4" x14ac:dyDescent="0.55000000000000004">
      <c r="A772" s="857" t="s">
        <v>5931</v>
      </c>
      <c r="B772" s="842">
        <v>105.99</v>
      </c>
      <c r="C772" s="843">
        <f t="shared" si="122"/>
        <v>1.7178502879078517E-2</v>
      </c>
      <c r="D772" s="842">
        <v>38.72</v>
      </c>
      <c r="E772" s="843">
        <f t="shared" si="123"/>
        <v>2.3297954957286482E-3</v>
      </c>
      <c r="F772" s="842">
        <v>28.33</v>
      </c>
      <c r="G772" s="843">
        <f t="shared" si="123"/>
        <v>1.3595706618962478E-2</v>
      </c>
      <c r="H772" s="842">
        <v>48.42</v>
      </c>
      <c r="I772" s="843">
        <f t="shared" si="123"/>
        <v>1.2547051442910906E-2</v>
      </c>
      <c r="J772" s="842">
        <v>79.319999999999993</v>
      </c>
      <c r="K772" s="843">
        <f t="shared" si="124"/>
        <v>1.367412140575075E-2</v>
      </c>
      <c r="L772" s="842">
        <v>65.95</v>
      </c>
      <c r="M772" s="843">
        <f t="shared" si="125"/>
        <v>-7.9723225030083888E-3</v>
      </c>
      <c r="N772" s="842">
        <v>66.040000000000006</v>
      </c>
      <c r="O772" s="843">
        <f t="shared" si="126"/>
        <v>1.7408719765829694E-2</v>
      </c>
      <c r="P772" s="844">
        <f t="shared" si="132"/>
        <v>9.8230821578932283E-3</v>
      </c>
      <c r="Q772" s="830"/>
      <c r="R772" s="845">
        <v>958.98</v>
      </c>
      <c r="S772" s="846">
        <f t="shared" si="127"/>
        <v>3.9362659910806563E-3</v>
      </c>
      <c r="T772" s="845">
        <v>69.88</v>
      </c>
      <c r="U772" s="846">
        <f t="shared" si="128"/>
        <v>4.8892723612308231E-3</v>
      </c>
      <c r="V772" s="845">
        <v>110.45229999999999</v>
      </c>
      <c r="W772" s="846">
        <f t="shared" si="129"/>
        <v>1.7178867800812014E-2</v>
      </c>
      <c r="X772" s="845">
        <v>36113.620000000003</v>
      </c>
      <c r="Y772" s="846">
        <f t="shared" si="130"/>
        <v>-4.8690670129113434E-3</v>
      </c>
      <c r="Z772" s="845">
        <v>4659.0254999999997</v>
      </c>
      <c r="AA772" s="846">
        <f t="shared" si="131"/>
        <v>-1.4243604736742022E-2</v>
      </c>
      <c r="AB772" s="843"/>
      <c r="AC772" s="832"/>
    </row>
    <row r="773" spans="1:29" ht="14.4" x14ac:dyDescent="0.55000000000000004">
      <c r="A773" s="857" t="s">
        <v>5932</v>
      </c>
      <c r="B773" s="842">
        <v>104.2</v>
      </c>
      <c r="C773" s="843">
        <f t="shared" si="122"/>
        <v>-4.2048929663608403E-3</v>
      </c>
      <c r="D773" s="842">
        <v>38.630000000000003</v>
      </c>
      <c r="E773" s="843">
        <f t="shared" si="123"/>
        <v>-1.0343935867597187E-3</v>
      </c>
      <c r="F773" s="842">
        <v>27.95</v>
      </c>
      <c r="G773" s="843">
        <f t="shared" si="123"/>
        <v>5.0341603739663121E-3</v>
      </c>
      <c r="H773" s="842">
        <v>47.82</v>
      </c>
      <c r="I773" s="843">
        <f t="shared" si="123"/>
        <v>-8.911917098445632E-3</v>
      </c>
      <c r="J773" s="842">
        <v>78.25</v>
      </c>
      <c r="K773" s="843">
        <f t="shared" si="124"/>
        <v>-1.2369052126719682E-2</v>
      </c>
      <c r="L773" s="842">
        <v>66.48</v>
      </c>
      <c r="M773" s="843">
        <f t="shared" si="125"/>
        <v>-6.1294662879353146E-3</v>
      </c>
      <c r="N773" s="842">
        <v>64.91</v>
      </c>
      <c r="O773" s="843">
        <f t="shared" si="126"/>
        <v>-1.5022761760242975E-2</v>
      </c>
      <c r="P773" s="844">
        <f t="shared" si="132"/>
        <v>-6.0911890646425503E-3</v>
      </c>
      <c r="Q773" s="830"/>
      <c r="R773" s="845">
        <v>955.22</v>
      </c>
      <c r="S773" s="846">
        <f t="shared" si="127"/>
        <v>2.6030186619645512E-3</v>
      </c>
      <c r="T773" s="845">
        <v>69.540000000000006</v>
      </c>
      <c r="U773" s="846">
        <f t="shared" si="128"/>
        <v>3.1736872475478517E-3</v>
      </c>
      <c r="V773" s="845">
        <v>108.5869</v>
      </c>
      <c r="W773" s="846">
        <f t="shared" si="129"/>
        <v>-4.2046707151333074E-3</v>
      </c>
      <c r="X773" s="845">
        <v>36290.32</v>
      </c>
      <c r="Y773" s="846">
        <f t="shared" si="130"/>
        <v>1.0564928519845029E-3</v>
      </c>
      <c r="Z773" s="845">
        <v>4726.3456999999999</v>
      </c>
      <c r="AA773" s="846">
        <f t="shared" si="131"/>
        <v>2.8173584535913232E-3</v>
      </c>
      <c r="AB773" s="843"/>
      <c r="AC773" s="832"/>
    </row>
    <row r="774" spans="1:29" ht="14.4" x14ac:dyDescent="0.55000000000000004">
      <c r="A774" s="857" t="s">
        <v>5933</v>
      </c>
      <c r="B774" s="842">
        <v>104.64</v>
      </c>
      <c r="C774" s="843">
        <f t="shared" si="122"/>
        <v>-4.8502139800286059E-3</v>
      </c>
      <c r="D774" s="842">
        <v>38.67</v>
      </c>
      <c r="E774" s="843">
        <f t="shared" si="123"/>
        <v>-2.3238191462490621E-2</v>
      </c>
      <c r="F774" s="842">
        <v>27.81</v>
      </c>
      <c r="G774" s="843">
        <f t="shared" si="123"/>
        <v>1.4404033129276073E-3</v>
      </c>
      <c r="H774" s="842">
        <v>48.25</v>
      </c>
      <c r="I774" s="843">
        <f t="shared" si="123"/>
        <v>-2.2883758606723426E-2</v>
      </c>
      <c r="J774" s="842">
        <v>79.23</v>
      </c>
      <c r="K774" s="843">
        <f t="shared" si="124"/>
        <v>-1.0087000378262712E-3</v>
      </c>
      <c r="L774" s="842">
        <v>66.89</v>
      </c>
      <c r="M774" s="843">
        <f t="shared" si="125"/>
        <v>-1.3858174848886851E-2</v>
      </c>
      <c r="N774" s="842">
        <v>65.900000000000006</v>
      </c>
      <c r="O774" s="843">
        <f t="shared" si="126"/>
        <v>-9.9158653846153078E-3</v>
      </c>
      <c r="P774" s="844">
        <f t="shared" si="132"/>
        <v>-1.0616357286806211E-2</v>
      </c>
      <c r="Q774" s="830"/>
      <c r="R774" s="845">
        <v>952.74</v>
      </c>
      <c r="S774" s="846">
        <f t="shared" si="127"/>
        <v>-1.0304780504020061E-2</v>
      </c>
      <c r="T774" s="845">
        <v>69.319999999999993</v>
      </c>
      <c r="U774" s="846">
        <f t="shared" si="128"/>
        <v>-9.0064331665477004E-3</v>
      </c>
      <c r="V774" s="845">
        <v>109.0454</v>
      </c>
      <c r="W774" s="846">
        <f t="shared" si="129"/>
        <v>-4.8504748719848667E-3</v>
      </c>
      <c r="X774" s="845">
        <v>36252.019999999997</v>
      </c>
      <c r="Y774" s="846">
        <f t="shared" si="130"/>
        <v>5.0777859134480963E-3</v>
      </c>
      <c r="Z774" s="845">
        <v>4713.0672999999997</v>
      </c>
      <c r="AA774" s="846">
        <f t="shared" si="131"/>
        <v>9.1593661927318326E-3</v>
      </c>
      <c r="AB774" s="843"/>
      <c r="AC774" s="832"/>
    </row>
    <row r="775" spans="1:29" ht="14.4" x14ac:dyDescent="0.55000000000000004">
      <c r="A775" s="857" t="s">
        <v>5934</v>
      </c>
      <c r="B775" s="842">
        <v>105.15</v>
      </c>
      <c r="C775" s="843">
        <f t="shared" si="122"/>
        <v>-1.3296609364612522E-3</v>
      </c>
      <c r="D775" s="842">
        <v>39.590000000000003</v>
      </c>
      <c r="E775" s="843">
        <f t="shared" si="123"/>
        <v>-1.1238761238761108E-2</v>
      </c>
      <c r="F775" s="842">
        <v>27.77</v>
      </c>
      <c r="G775" s="843">
        <f t="shared" si="123"/>
        <v>-3.5880875493362607E-3</v>
      </c>
      <c r="H775" s="842">
        <v>49.38</v>
      </c>
      <c r="I775" s="843">
        <f t="shared" si="123"/>
        <v>-8.4337349397589634E-3</v>
      </c>
      <c r="J775" s="842">
        <v>79.31</v>
      </c>
      <c r="K775" s="843">
        <f t="shared" si="124"/>
        <v>4.3054324426998747E-3</v>
      </c>
      <c r="L775" s="842">
        <v>67.83</v>
      </c>
      <c r="M775" s="843">
        <f t="shared" si="125"/>
        <v>-5.8625238165030957E-3</v>
      </c>
      <c r="N775" s="842">
        <v>66.56</v>
      </c>
      <c r="O775" s="843">
        <f t="shared" si="126"/>
        <v>1.0527898932171098E-3</v>
      </c>
      <c r="P775" s="844">
        <f t="shared" si="132"/>
        <v>-3.5849351635576709E-3</v>
      </c>
      <c r="Q775" s="830"/>
      <c r="R775" s="845">
        <v>962.66</v>
      </c>
      <c r="S775" s="846">
        <f t="shared" si="127"/>
        <v>-5.6192542092760034E-3</v>
      </c>
      <c r="T775" s="845">
        <v>69.95</v>
      </c>
      <c r="U775" s="846">
        <f t="shared" si="128"/>
        <v>-6.5331629029966587E-3</v>
      </c>
      <c r="V775" s="845">
        <v>109.57689999999999</v>
      </c>
      <c r="W775" s="846">
        <f t="shared" si="129"/>
        <v>-1.329714516946412E-3</v>
      </c>
      <c r="X775" s="845">
        <v>36068.870000000003</v>
      </c>
      <c r="Y775" s="846">
        <f t="shared" si="130"/>
        <v>-4.4930317849085633E-3</v>
      </c>
      <c r="Z775" s="845">
        <v>4670.2903999999999</v>
      </c>
      <c r="AA775" s="846">
        <f t="shared" si="131"/>
        <v>-1.4405088941422672E-3</v>
      </c>
      <c r="AB775" s="843"/>
      <c r="AC775" s="832"/>
    </row>
    <row r="776" spans="1:29" ht="14.4" x14ac:dyDescent="0.55000000000000004">
      <c r="A776" s="857" t="s">
        <v>5935</v>
      </c>
      <c r="B776" s="842">
        <v>105.29</v>
      </c>
      <c r="C776" s="843">
        <f t="shared" ref="C776:C839" si="133">IFERROR(((B776/B777)-1), "NA")</f>
        <v>-4.5381488134630388E-3</v>
      </c>
      <c r="D776" s="842">
        <v>40.04</v>
      </c>
      <c r="E776" s="843">
        <f t="shared" ref="E776:I839" si="134">IFERROR(((D776/D777)-1), "NA")</f>
        <v>9.3269473153516635E-3</v>
      </c>
      <c r="F776" s="842">
        <v>27.87</v>
      </c>
      <c r="G776" s="843">
        <f t="shared" si="134"/>
        <v>7.9566003616637904E-3</v>
      </c>
      <c r="H776" s="842">
        <v>49.8</v>
      </c>
      <c r="I776" s="843">
        <f t="shared" si="134"/>
        <v>5.2482842147758557E-3</v>
      </c>
      <c r="J776" s="842">
        <v>78.97</v>
      </c>
      <c r="K776" s="843">
        <f t="shared" ref="K776:K839" si="135">IFERROR(((J776/J777)-1), "NA")</f>
        <v>1.1409736308316543E-3</v>
      </c>
      <c r="L776" s="842">
        <v>68.23</v>
      </c>
      <c r="M776" s="843">
        <f t="shared" ref="M776:M839" si="136">IFERROR(((L776/L777)-1), "NA")</f>
        <v>6.0454143320556319E-3</v>
      </c>
      <c r="N776" s="842">
        <v>66.489999999999995</v>
      </c>
      <c r="O776" s="843">
        <f t="shared" ref="O776:O839" si="137">IFERROR(((N776/N777)-1), "NA")</f>
        <v>6.0523528521712056E-3</v>
      </c>
      <c r="P776" s="844">
        <f t="shared" si="132"/>
        <v>4.4617748419123948E-3</v>
      </c>
      <c r="Q776" s="830"/>
      <c r="R776" s="845">
        <v>968.1</v>
      </c>
      <c r="S776" s="846">
        <f t="shared" ref="S776:S839" si="138">IFERROR(((R776/R777)-1), "NA")</f>
        <v>5.8599837915340736E-3</v>
      </c>
      <c r="T776" s="845">
        <v>70.41</v>
      </c>
      <c r="U776" s="846">
        <f t="shared" ref="U776:U839" si="139">IFERROR(((T776/T777)-1), "NA")</f>
        <v>7.5844304522036943E-3</v>
      </c>
      <c r="V776" s="845">
        <v>109.72280000000001</v>
      </c>
      <c r="W776" s="846">
        <f t="shared" ref="W776:W839" si="140">IFERROR(((V776/V777)-1), "NA")</f>
        <v>-4.5380728160183681E-3</v>
      </c>
      <c r="X776" s="845">
        <v>36231.660000000003</v>
      </c>
      <c r="Y776" s="846">
        <f t="shared" ref="Y776:Y839" si="141">IFERROR(((X776/X777)-1), "NA")</f>
        <v>-1.3273919893408426E-4</v>
      </c>
      <c r="Z776" s="845">
        <v>4677.0276999999996</v>
      </c>
      <c r="AA776" s="846">
        <f t="shared" ref="AA776:AA839" si="142">IFERROR(((Z776/Z777)-1), "NA")</f>
        <v>-4.0515080981398111E-3</v>
      </c>
      <c r="AB776" s="843"/>
      <c r="AC776" s="832"/>
    </row>
    <row r="777" spans="1:29" ht="14.4" x14ac:dyDescent="0.55000000000000004">
      <c r="A777" s="857" t="s">
        <v>5936</v>
      </c>
      <c r="B777" s="842">
        <v>105.77</v>
      </c>
      <c r="C777" s="843">
        <f t="shared" si="133"/>
        <v>-7.7861163227016528E-3</v>
      </c>
      <c r="D777" s="842">
        <v>39.67</v>
      </c>
      <c r="E777" s="843">
        <f t="shared" si="134"/>
        <v>5.5766793409379734E-3</v>
      </c>
      <c r="F777" s="842">
        <v>27.65</v>
      </c>
      <c r="G777" s="843">
        <f t="shared" si="134"/>
        <v>-4.3212099387829328E-3</v>
      </c>
      <c r="H777" s="842">
        <v>49.54</v>
      </c>
      <c r="I777" s="843">
        <f t="shared" si="134"/>
        <v>-6.0520476094416686E-4</v>
      </c>
      <c r="J777" s="842">
        <v>78.88</v>
      </c>
      <c r="K777" s="843">
        <f t="shared" si="135"/>
        <v>7.5360837910332101E-3</v>
      </c>
      <c r="L777" s="842">
        <v>67.819999999999993</v>
      </c>
      <c r="M777" s="843">
        <f t="shared" si="136"/>
        <v>-7.173181086224667E-3</v>
      </c>
      <c r="N777" s="842">
        <v>66.09</v>
      </c>
      <c r="O777" s="843">
        <f t="shared" si="137"/>
        <v>7.1624504724170368E-3</v>
      </c>
      <c r="P777" s="844">
        <f t="shared" ref="P777:P840" si="143">IFERROR(AVERAGE(C777,E777,G777,I777,M777,K777,O777),"NA")</f>
        <v>5.5643070819257267E-5</v>
      </c>
      <c r="Q777" s="830"/>
      <c r="R777" s="845">
        <v>962.46</v>
      </c>
      <c r="S777" s="846">
        <f t="shared" si="138"/>
        <v>-6.9541890218737246E-3</v>
      </c>
      <c r="T777" s="845">
        <v>69.88</v>
      </c>
      <c r="U777" s="846">
        <f t="shared" si="139"/>
        <v>-1.0338478968984655E-2</v>
      </c>
      <c r="V777" s="845">
        <v>110.223</v>
      </c>
      <c r="W777" s="846">
        <f t="shared" si="140"/>
        <v>-7.7866196168803192E-3</v>
      </c>
      <c r="X777" s="845">
        <v>36236.47</v>
      </c>
      <c r="Y777" s="846">
        <f t="shared" si="141"/>
        <v>-4.6869965784155365E-3</v>
      </c>
      <c r="Z777" s="845">
        <v>4696.0537999999997</v>
      </c>
      <c r="AA777" s="846">
        <f t="shared" si="142"/>
        <v>-9.6256239444925118E-4</v>
      </c>
      <c r="AB777" s="843"/>
      <c r="AC777" s="832"/>
    </row>
    <row r="778" spans="1:29" ht="14.4" x14ac:dyDescent="0.55000000000000004">
      <c r="A778" s="857" t="s">
        <v>5937</v>
      </c>
      <c r="B778" s="842">
        <v>106.6</v>
      </c>
      <c r="C778" s="843">
        <f t="shared" si="133"/>
        <v>3.1996988518727676E-3</v>
      </c>
      <c r="D778" s="842">
        <v>39.450000000000003</v>
      </c>
      <c r="E778" s="843">
        <f t="shared" si="134"/>
        <v>-2.975897688145579E-2</v>
      </c>
      <c r="F778" s="842">
        <v>27.77</v>
      </c>
      <c r="G778" s="843">
        <f t="shared" si="134"/>
        <v>5.4308472121651352E-3</v>
      </c>
      <c r="H778" s="842">
        <v>49.57</v>
      </c>
      <c r="I778" s="843">
        <f t="shared" si="134"/>
        <v>4.4579533941235816E-3</v>
      </c>
      <c r="J778" s="842">
        <v>78.290000000000006</v>
      </c>
      <c r="K778" s="843">
        <f t="shared" si="135"/>
        <v>8.6317959288844115E-3</v>
      </c>
      <c r="L778" s="842">
        <v>68.31</v>
      </c>
      <c r="M778" s="843">
        <f t="shared" si="136"/>
        <v>-1.0000000000000009E-2</v>
      </c>
      <c r="N778" s="842">
        <v>65.62</v>
      </c>
      <c r="O778" s="843">
        <f t="shared" si="137"/>
        <v>3.3639143730885834E-3</v>
      </c>
      <c r="P778" s="844">
        <f t="shared" si="143"/>
        <v>-2.0963953030459026E-3</v>
      </c>
      <c r="Q778" s="830"/>
      <c r="R778" s="845">
        <v>969.2</v>
      </c>
      <c r="S778" s="846">
        <f t="shared" si="138"/>
        <v>-5.4901744027524568E-4</v>
      </c>
      <c r="T778" s="845">
        <v>70.61</v>
      </c>
      <c r="U778" s="846">
        <f t="shared" si="139"/>
        <v>-5.6617126680824637E-4</v>
      </c>
      <c r="V778" s="845">
        <v>111.08799999999999</v>
      </c>
      <c r="W778" s="846">
        <f t="shared" si="140"/>
        <v>3.2004739302253782E-3</v>
      </c>
      <c r="X778" s="845">
        <v>36407.11</v>
      </c>
      <c r="Y778" s="846">
        <f t="shared" si="141"/>
        <v>-1.0666976162355346E-2</v>
      </c>
      <c r="Z778" s="845">
        <v>4700.5784000000003</v>
      </c>
      <c r="AA778" s="846">
        <f t="shared" si="142"/>
        <v>-1.9392527088347045E-2</v>
      </c>
      <c r="AB778" s="843"/>
      <c r="AC778" s="832"/>
    </row>
    <row r="779" spans="1:29" ht="14.4" x14ac:dyDescent="0.55000000000000004">
      <c r="A779" s="857" t="s">
        <v>5938</v>
      </c>
      <c r="B779" s="842">
        <v>106.26</v>
      </c>
      <c r="C779" s="843">
        <f t="shared" si="133"/>
        <v>1.1903628225883311E-2</v>
      </c>
      <c r="D779" s="842">
        <v>40.659999999999997</v>
      </c>
      <c r="E779" s="843">
        <f t="shared" si="134"/>
        <v>-5.1382432101786391E-3</v>
      </c>
      <c r="F779" s="842">
        <v>27.62</v>
      </c>
      <c r="G779" s="843">
        <f t="shared" si="134"/>
        <v>3.6337209302326201E-3</v>
      </c>
      <c r="H779" s="842">
        <v>49.35</v>
      </c>
      <c r="I779" s="843">
        <f t="shared" si="134"/>
        <v>1.1892556899733453E-2</v>
      </c>
      <c r="J779" s="842">
        <v>77.62</v>
      </c>
      <c r="K779" s="843">
        <f t="shared" si="135"/>
        <v>6.352910670297085E-3</v>
      </c>
      <c r="L779" s="842">
        <v>69</v>
      </c>
      <c r="M779" s="843">
        <f t="shared" si="136"/>
        <v>2.4698532616591606E-3</v>
      </c>
      <c r="N779" s="842">
        <v>65.400000000000006</v>
      </c>
      <c r="O779" s="843">
        <f t="shared" si="137"/>
        <v>2.6061628085236599E-3</v>
      </c>
      <c r="P779" s="844">
        <f t="shared" si="143"/>
        <v>4.8172270837358077E-3</v>
      </c>
      <c r="Q779" s="830"/>
      <c r="R779" s="845">
        <v>969.73239999999998</v>
      </c>
      <c r="S779" s="846">
        <f t="shared" si="138"/>
        <v>-2.5791985517978899E-3</v>
      </c>
      <c r="T779" s="845">
        <v>70.650000000000006</v>
      </c>
      <c r="U779" s="846">
        <f t="shared" si="139"/>
        <v>-3.1042754338930223E-3</v>
      </c>
      <c r="V779" s="845">
        <v>110.7336</v>
      </c>
      <c r="W779" s="846">
        <f t="shared" si="140"/>
        <v>1.1903391178002654E-2</v>
      </c>
      <c r="X779" s="845">
        <v>36799.650999999998</v>
      </c>
      <c r="Y779" s="846">
        <f t="shared" si="141"/>
        <v>5.8655363692174944E-3</v>
      </c>
      <c r="Z779" s="845">
        <v>4793.5371999999998</v>
      </c>
      <c r="AA779" s="846">
        <f t="shared" si="142"/>
        <v>-6.3045166608122205E-4</v>
      </c>
      <c r="AB779" s="843"/>
      <c r="AC779" s="832"/>
    </row>
    <row r="780" spans="1:29" ht="14.4" x14ac:dyDescent="0.55000000000000004">
      <c r="A780" s="857" t="s">
        <v>5939</v>
      </c>
      <c r="B780" s="842">
        <v>105.01</v>
      </c>
      <c r="C780" s="843">
        <f t="shared" si="133"/>
        <v>2.2907320797940223E-3</v>
      </c>
      <c r="D780" s="842">
        <v>40.869999999999997</v>
      </c>
      <c r="E780" s="843">
        <f t="shared" si="134"/>
        <v>-4.6273745737945848E-3</v>
      </c>
      <c r="F780" s="842">
        <v>27.52</v>
      </c>
      <c r="G780" s="843">
        <f t="shared" si="134"/>
        <v>-3.2596885186526592E-3</v>
      </c>
      <c r="H780" s="842">
        <v>48.77</v>
      </c>
      <c r="I780" s="843">
        <f t="shared" si="134"/>
        <v>-2.0500205002049743E-4</v>
      </c>
      <c r="J780" s="842">
        <v>77.13</v>
      </c>
      <c r="K780" s="843">
        <f t="shared" si="135"/>
        <v>-5.9285990462689675E-3</v>
      </c>
      <c r="L780" s="842">
        <v>68.83</v>
      </c>
      <c r="M780" s="843">
        <f t="shared" si="136"/>
        <v>-1.7416131334760832E-2</v>
      </c>
      <c r="N780" s="842">
        <v>65.23</v>
      </c>
      <c r="O780" s="843">
        <f t="shared" si="137"/>
        <v>1.5332720024541224E-4</v>
      </c>
      <c r="P780" s="844">
        <f t="shared" si="143"/>
        <v>-4.1418194633511584E-3</v>
      </c>
      <c r="Q780" s="830"/>
      <c r="R780" s="845">
        <v>972.24</v>
      </c>
      <c r="S780" s="846">
        <f t="shared" si="138"/>
        <v>-8.7073553702154971E-3</v>
      </c>
      <c r="T780" s="845">
        <v>70.87</v>
      </c>
      <c r="U780" s="846">
        <f t="shared" si="139"/>
        <v>-9.9189717798267019E-3</v>
      </c>
      <c r="V780" s="845">
        <v>109.431</v>
      </c>
      <c r="W780" s="846">
        <f t="shared" si="140"/>
        <v>2.2906937019204765E-3</v>
      </c>
      <c r="X780" s="845">
        <v>36585.06</v>
      </c>
      <c r="Y780" s="846">
        <f t="shared" si="141"/>
        <v>6.7906313724086509E-3</v>
      </c>
      <c r="Z780" s="845">
        <v>4796.5612000000001</v>
      </c>
      <c r="AA780" s="846">
        <f t="shared" si="142"/>
        <v>6.3736956805897638E-3</v>
      </c>
      <c r="AB780" s="843"/>
      <c r="AC780" s="832"/>
    </row>
    <row r="781" spans="1:29" ht="14.4" x14ac:dyDescent="0.55000000000000004">
      <c r="A781" s="857" t="s">
        <v>5940</v>
      </c>
      <c r="B781" s="842">
        <v>104.77</v>
      </c>
      <c r="C781" s="843">
        <f t="shared" si="133"/>
        <v>2.6796822662455977E-3</v>
      </c>
      <c r="D781" s="842">
        <v>41.06</v>
      </c>
      <c r="E781" s="843">
        <f t="shared" si="134"/>
        <v>2.1967293141322841E-3</v>
      </c>
      <c r="F781" s="842">
        <v>27.61</v>
      </c>
      <c r="G781" s="843">
        <f t="shared" si="134"/>
        <v>2.1778584392013745E-3</v>
      </c>
      <c r="H781" s="842">
        <v>48.78</v>
      </c>
      <c r="I781" s="843">
        <f t="shared" si="134"/>
        <v>6.1538461538468425E-4</v>
      </c>
      <c r="J781" s="842">
        <v>77.59</v>
      </c>
      <c r="K781" s="843">
        <f t="shared" si="135"/>
        <v>1.6782855667443197E-3</v>
      </c>
      <c r="L781" s="842">
        <v>70.05</v>
      </c>
      <c r="M781" s="843">
        <f t="shared" si="136"/>
        <v>1.4295925661185205E-3</v>
      </c>
      <c r="N781" s="842">
        <v>65.22</v>
      </c>
      <c r="O781" s="843">
        <f t="shared" si="137"/>
        <v>3.8479298137601425E-3</v>
      </c>
      <c r="P781" s="844">
        <f t="shared" si="143"/>
        <v>2.0893517973695603E-3</v>
      </c>
      <c r="Q781" s="830"/>
      <c r="R781" s="845">
        <v>980.78</v>
      </c>
      <c r="S781" s="846">
        <f t="shared" si="138"/>
        <v>3.4068238784592531E-3</v>
      </c>
      <c r="T781" s="845">
        <v>71.58</v>
      </c>
      <c r="U781" s="846">
        <f t="shared" si="139"/>
        <v>3.5048366746108783E-3</v>
      </c>
      <c r="V781" s="845">
        <v>109.18089999999999</v>
      </c>
      <c r="W781" s="846">
        <f t="shared" si="140"/>
        <v>2.6797907228546247E-3</v>
      </c>
      <c r="X781" s="845">
        <v>36338.300000000003</v>
      </c>
      <c r="Y781" s="846">
        <f t="shared" si="141"/>
        <v>-1.6423943240961858E-3</v>
      </c>
      <c r="Z781" s="845">
        <v>4766.183</v>
      </c>
      <c r="AA781" s="846">
        <f t="shared" si="142"/>
        <v>-2.6249459871832137E-3</v>
      </c>
      <c r="AB781" s="843"/>
      <c r="AC781" s="832"/>
    </row>
    <row r="782" spans="1:29" ht="14.4" x14ac:dyDescent="0.55000000000000004">
      <c r="A782" s="857" t="s">
        <v>5941</v>
      </c>
      <c r="B782" s="842">
        <v>104.49</v>
      </c>
      <c r="C782" s="843">
        <f t="shared" si="133"/>
        <v>-3.243346370313871E-3</v>
      </c>
      <c r="D782" s="842">
        <v>40.97</v>
      </c>
      <c r="E782" s="843">
        <f t="shared" si="134"/>
        <v>-4.8579062424095598E-3</v>
      </c>
      <c r="F782" s="842">
        <v>27.55</v>
      </c>
      <c r="G782" s="843">
        <f t="shared" si="134"/>
        <v>-5.4151624548736121E-3</v>
      </c>
      <c r="H782" s="842">
        <v>48.75</v>
      </c>
      <c r="I782" s="843">
        <f t="shared" si="134"/>
        <v>2.0517029134170528E-4</v>
      </c>
      <c r="J782" s="842">
        <v>77.459999999999994</v>
      </c>
      <c r="K782" s="843">
        <f t="shared" si="135"/>
        <v>8.3311637594376542E-3</v>
      </c>
      <c r="L782" s="842">
        <v>69.95</v>
      </c>
      <c r="M782" s="843">
        <f t="shared" si="136"/>
        <v>5.0287356321840893E-3</v>
      </c>
      <c r="N782" s="842">
        <v>64.97</v>
      </c>
      <c r="O782" s="843">
        <f t="shared" si="137"/>
        <v>1.3871763255239866E-3</v>
      </c>
      <c r="P782" s="844">
        <f t="shared" si="143"/>
        <v>2.0511870584148464E-4</v>
      </c>
      <c r="Q782" s="830"/>
      <c r="R782" s="845">
        <v>977.45</v>
      </c>
      <c r="S782" s="846">
        <f t="shared" si="138"/>
        <v>2.3997292613140431E-3</v>
      </c>
      <c r="T782" s="845">
        <v>71.33</v>
      </c>
      <c r="U782" s="846">
        <f t="shared" si="139"/>
        <v>3.6583649922612427E-3</v>
      </c>
      <c r="V782" s="845">
        <v>108.8891</v>
      </c>
      <c r="W782" s="846">
        <f t="shared" si="140"/>
        <v>-3.2432165238357458E-3</v>
      </c>
      <c r="X782" s="845">
        <v>36398.080000000002</v>
      </c>
      <c r="Y782" s="846">
        <f t="shared" si="141"/>
        <v>-2.481594951632804E-3</v>
      </c>
      <c r="Z782" s="845">
        <v>4778.7268999999997</v>
      </c>
      <c r="AA782" s="846">
        <f t="shared" si="142"/>
        <v>-2.9899908786835683E-3</v>
      </c>
      <c r="AB782" s="843"/>
      <c r="AC782" s="832"/>
    </row>
    <row r="783" spans="1:29" ht="14.4" x14ac:dyDescent="0.55000000000000004">
      <c r="A783" s="857" t="s">
        <v>5942</v>
      </c>
      <c r="B783" s="842">
        <v>104.83</v>
      </c>
      <c r="C783" s="843">
        <f t="shared" si="133"/>
        <v>1.3535724644687219E-2</v>
      </c>
      <c r="D783" s="842">
        <v>41.17</v>
      </c>
      <c r="E783" s="843">
        <f t="shared" si="134"/>
        <v>1.3540128015755881E-2</v>
      </c>
      <c r="F783" s="842">
        <v>27.7</v>
      </c>
      <c r="G783" s="843">
        <f t="shared" si="134"/>
        <v>1.2426900584795231E-2</v>
      </c>
      <c r="H783" s="842">
        <v>48.74</v>
      </c>
      <c r="I783" s="843">
        <f t="shared" si="134"/>
        <v>8.2747207281754775E-3</v>
      </c>
      <c r="J783" s="842">
        <v>76.819999999999993</v>
      </c>
      <c r="K783" s="843">
        <f t="shared" si="135"/>
        <v>1.4259308159493056E-2</v>
      </c>
      <c r="L783" s="842">
        <v>69.599999999999994</v>
      </c>
      <c r="M783" s="843">
        <f t="shared" si="136"/>
        <v>-3.0081650193383158E-3</v>
      </c>
      <c r="N783" s="842">
        <v>64.88</v>
      </c>
      <c r="O783" s="843">
        <f t="shared" si="137"/>
        <v>6.5156686317096035E-3</v>
      </c>
      <c r="P783" s="844">
        <f t="shared" si="143"/>
        <v>9.363469392182593E-3</v>
      </c>
      <c r="Q783" s="830"/>
      <c r="R783" s="845">
        <v>975.11</v>
      </c>
      <c r="S783" s="846">
        <f t="shared" si="138"/>
        <v>6.1808651147432503E-3</v>
      </c>
      <c r="T783" s="845">
        <v>71.069999999999993</v>
      </c>
      <c r="U783" s="846">
        <f t="shared" si="139"/>
        <v>5.3755835337387925E-3</v>
      </c>
      <c r="V783" s="845">
        <v>109.24339999999999</v>
      </c>
      <c r="W783" s="846">
        <f t="shared" si="140"/>
        <v>1.3535341352420849E-2</v>
      </c>
      <c r="X783" s="845">
        <v>36488.629999999997</v>
      </c>
      <c r="Y783" s="846">
        <f t="shared" si="141"/>
        <v>2.4841880960628782E-3</v>
      </c>
      <c r="Z783" s="845">
        <v>4793.0581000000002</v>
      </c>
      <c r="AA783" s="846">
        <f t="shared" si="142"/>
        <v>1.4006485646351763E-3</v>
      </c>
      <c r="AB783" s="843"/>
      <c r="AC783" s="832"/>
    </row>
    <row r="784" spans="1:29" ht="14.4" x14ac:dyDescent="0.55000000000000004">
      <c r="A784" s="857" t="s">
        <v>5943</v>
      </c>
      <c r="B784" s="842">
        <v>103.43</v>
      </c>
      <c r="C784" s="843">
        <f t="shared" si="133"/>
        <v>-6.0541995002882931E-3</v>
      </c>
      <c r="D784" s="842">
        <v>40.619999999999997</v>
      </c>
      <c r="E784" s="843">
        <f t="shared" si="134"/>
        <v>-5.143277002204294E-3</v>
      </c>
      <c r="F784" s="842">
        <v>27.36</v>
      </c>
      <c r="G784" s="843">
        <f t="shared" si="134"/>
        <v>1.0712966383450206E-2</v>
      </c>
      <c r="H784" s="842">
        <v>48.34</v>
      </c>
      <c r="I784" s="843">
        <f t="shared" si="134"/>
        <v>-2.0682523267834263E-4</v>
      </c>
      <c r="J784" s="842">
        <v>75.739999999999995</v>
      </c>
      <c r="K784" s="843">
        <f t="shared" si="135"/>
        <v>-6.8187778651981334E-3</v>
      </c>
      <c r="L784" s="842">
        <v>69.81</v>
      </c>
      <c r="M784" s="843">
        <f t="shared" si="136"/>
        <v>-5.5555555555555358E-3</v>
      </c>
      <c r="N784" s="842">
        <v>64.459999999999994</v>
      </c>
      <c r="O784" s="843">
        <f t="shared" si="137"/>
        <v>-9.2994420334779893E-4</v>
      </c>
      <c r="P784" s="844">
        <f t="shared" si="143"/>
        <v>-1.9993732822603132E-3</v>
      </c>
      <c r="Q784" s="830"/>
      <c r="R784" s="845">
        <v>969.12</v>
      </c>
      <c r="S784" s="846">
        <f t="shared" si="138"/>
        <v>8.6384546533169182E-3</v>
      </c>
      <c r="T784" s="845">
        <v>70.69</v>
      </c>
      <c r="U784" s="846">
        <f t="shared" si="139"/>
        <v>8.9922923208678451E-3</v>
      </c>
      <c r="V784" s="845">
        <v>107.78449999999999</v>
      </c>
      <c r="W784" s="846">
        <f t="shared" si="140"/>
        <v>-6.0539832720097886E-3</v>
      </c>
      <c r="X784" s="845">
        <v>36398.21</v>
      </c>
      <c r="Y784" s="846">
        <f t="shared" si="141"/>
        <v>2.639771827632309E-3</v>
      </c>
      <c r="Z784" s="845">
        <v>4786.3540999999996</v>
      </c>
      <c r="AA784" s="846">
        <f t="shared" si="142"/>
        <v>-1.0097487222386903E-3</v>
      </c>
      <c r="AB784" s="843"/>
      <c r="AC784" s="832"/>
    </row>
    <row r="785" spans="1:29" ht="14.4" x14ac:dyDescent="0.55000000000000004">
      <c r="A785" s="857" t="s">
        <v>5944</v>
      </c>
      <c r="B785" s="842">
        <v>104.06</v>
      </c>
      <c r="C785" s="843">
        <f t="shared" si="133"/>
        <v>1.2946558940913011E-2</v>
      </c>
      <c r="D785" s="842">
        <v>40.83</v>
      </c>
      <c r="E785" s="843">
        <f t="shared" si="134"/>
        <v>8.8954781319496856E-3</v>
      </c>
      <c r="F785" s="842">
        <v>27.07</v>
      </c>
      <c r="G785" s="843">
        <f t="shared" si="134"/>
        <v>7.443245254931119E-3</v>
      </c>
      <c r="H785" s="842">
        <v>48.35</v>
      </c>
      <c r="I785" s="843">
        <f t="shared" si="134"/>
        <v>1.4498757249379324E-3</v>
      </c>
      <c r="J785" s="842">
        <v>76.260000000000005</v>
      </c>
      <c r="K785" s="843">
        <f t="shared" si="135"/>
        <v>7.2645621450271314E-3</v>
      </c>
      <c r="L785" s="842">
        <v>70.2</v>
      </c>
      <c r="M785" s="843">
        <f t="shared" si="136"/>
        <v>-1.5151515151515138E-2</v>
      </c>
      <c r="N785" s="842">
        <v>64.52</v>
      </c>
      <c r="O785" s="843">
        <f t="shared" si="137"/>
        <v>4.6714419184055167E-3</v>
      </c>
      <c r="P785" s="844">
        <f t="shared" si="143"/>
        <v>3.9313781378070367E-3</v>
      </c>
      <c r="Q785" s="830"/>
      <c r="R785" s="845">
        <v>960.82</v>
      </c>
      <c r="S785" s="846">
        <f t="shared" si="138"/>
        <v>5.2836979608066326E-3</v>
      </c>
      <c r="T785" s="845">
        <v>70.06</v>
      </c>
      <c r="U785" s="846">
        <f t="shared" si="139"/>
        <v>4.8766494549628003E-3</v>
      </c>
      <c r="V785" s="845">
        <v>108.441</v>
      </c>
      <c r="W785" s="846">
        <f t="shared" si="140"/>
        <v>1.2946616225304686E-2</v>
      </c>
      <c r="X785" s="845">
        <v>36302.379999999997</v>
      </c>
      <c r="Y785" s="846">
        <f t="shared" si="141"/>
        <v>9.7862175165004395E-3</v>
      </c>
      <c r="Z785" s="845">
        <v>4791.192</v>
      </c>
      <c r="AA785" s="846">
        <f t="shared" si="142"/>
        <v>1.3839765396172377E-2</v>
      </c>
      <c r="AB785" s="843"/>
      <c r="AC785" s="832"/>
    </row>
    <row r="786" spans="1:29" ht="14.4" x14ac:dyDescent="0.55000000000000004">
      <c r="A786" s="857" t="s">
        <v>5945</v>
      </c>
      <c r="B786" s="842">
        <v>102.73</v>
      </c>
      <c r="C786" s="843">
        <f t="shared" si="133"/>
        <v>5.9733646690167674E-3</v>
      </c>
      <c r="D786" s="842">
        <v>40.47</v>
      </c>
      <c r="E786" s="843">
        <f t="shared" si="134"/>
        <v>9.8936433341578756E-4</v>
      </c>
      <c r="F786" s="842">
        <v>26.87</v>
      </c>
      <c r="G786" s="843">
        <f t="shared" si="134"/>
        <v>-1.857355126300142E-3</v>
      </c>
      <c r="H786" s="842">
        <v>48.28</v>
      </c>
      <c r="I786" s="843">
        <f t="shared" si="134"/>
        <v>-1.0345541071797859E-3</v>
      </c>
      <c r="J786" s="842">
        <v>75.709999999999994</v>
      </c>
      <c r="K786" s="843">
        <f t="shared" si="135"/>
        <v>1.0544580886278521E-2</v>
      </c>
      <c r="L786" s="842">
        <v>71.28</v>
      </c>
      <c r="M786" s="843">
        <f t="shared" si="136"/>
        <v>-2.7979854504757151E-3</v>
      </c>
      <c r="N786" s="842">
        <v>64.22</v>
      </c>
      <c r="O786" s="843">
        <f t="shared" si="137"/>
        <v>1.559575795383461E-3</v>
      </c>
      <c r="P786" s="844">
        <f t="shared" si="143"/>
        <v>1.9109987143055562E-3</v>
      </c>
      <c r="Q786" s="830"/>
      <c r="R786" s="845">
        <v>955.77</v>
      </c>
      <c r="S786" s="846">
        <f t="shared" si="138"/>
        <v>-6.3782178631921482E-4</v>
      </c>
      <c r="T786" s="845">
        <v>69.72</v>
      </c>
      <c r="U786" s="846">
        <f t="shared" si="139"/>
        <v>-1.4341029685938089E-4</v>
      </c>
      <c r="V786" s="845">
        <v>107.05500000000001</v>
      </c>
      <c r="W786" s="846">
        <f t="shared" si="140"/>
        <v>5.973540513797726E-3</v>
      </c>
      <c r="X786" s="845">
        <v>35950.559999999998</v>
      </c>
      <c r="Y786" s="846">
        <f t="shared" si="141"/>
        <v>5.500660207882202E-3</v>
      </c>
      <c r="Z786" s="845">
        <v>4725.7882</v>
      </c>
      <c r="AA786" s="846">
        <f t="shared" si="142"/>
        <v>6.2229781038110055E-3</v>
      </c>
      <c r="AB786" s="843"/>
      <c r="AC786" s="832"/>
    </row>
    <row r="787" spans="1:29" ht="14.4" x14ac:dyDescent="0.55000000000000004">
      <c r="A787" s="857" t="s">
        <v>5946</v>
      </c>
      <c r="B787" s="842">
        <v>102.12</v>
      </c>
      <c r="C787" s="843">
        <f t="shared" si="133"/>
        <v>2.6744419867283487E-2</v>
      </c>
      <c r="D787" s="842">
        <v>40.43</v>
      </c>
      <c r="E787" s="843">
        <f t="shared" si="134"/>
        <v>7.2247135027403431E-3</v>
      </c>
      <c r="F787" s="842">
        <v>26.92</v>
      </c>
      <c r="G787" s="843">
        <f t="shared" si="134"/>
        <v>3.7285607755406236E-3</v>
      </c>
      <c r="H787" s="842">
        <v>48.33</v>
      </c>
      <c r="I787" s="843">
        <f t="shared" si="134"/>
        <v>1.0242474916387856E-2</v>
      </c>
      <c r="J787" s="842">
        <v>74.92</v>
      </c>
      <c r="K787" s="843">
        <f t="shared" si="135"/>
        <v>6.5833669219399482E-3</v>
      </c>
      <c r="L787" s="842">
        <v>71.48</v>
      </c>
      <c r="M787" s="843">
        <f t="shared" si="136"/>
        <v>-7.0843172662868881E-3</v>
      </c>
      <c r="N787" s="842">
        <v>64.12</v>
      </c>
      <c r="O787" s="843">
        <f t="shared" si="137"/>
        <v>9.604786647772201E-3</v>
      </c>
      <c r="P787" s="844">
        <f t="shared" si="143"/>
        <v>8.1491436236253677E-3</v>
      </c>
      <c r="Q787" s="830"/>
      <c r="R787" s="845">
        <v>956.38</v>
      </c>
      <c r="S787" s="846">
        <f t="shared" si="138"/>
        <v>6.6098305441533167E-3</v>
      </c>
      <c r="T787" s="845">
        <v>69.73</v>
      </c>
      <c r="U787" s="846">
        <f t="shared" si="139"/>
        <v>4.3208987469394167E-3</v>
      </c>
      <c r="V787" s="845">
        <v>106.41930000000001</v>
      </c>
      <c r="W787" s="846">
        <f t="shared" si="140"/>
        <v>2.6743555554697984E-2</v>
      </c>
      <c r="X787" s="845">
        <v>35753.89</v>
      </c>
      <c r="Y787" s="846">
        <f t="shared" si="141"/>
        <v>7.3589780433722662E-3</v>
      </c>
      <c r="Z787" s="845">
        <v>4696.5616</v>
      </c>
      <c r="AA787" s="846">
        <f t="shared" si="142"/>
        <v>1.0181263266453744E-2</v>
      </c>
      <c r="AB787" s="843"/>
      <c r="AC787" s="832"/>
    </row>
    <row r="788" spans="1:29" ht="14.4" x14ac:dyDescent="0.55000000000000004">
      <c r="A788" s="857" t="s">
        <v>5947</v>
      </c>
      <c r="B788" s="842">
        <v>99.46</v>
      </c>
      <c r="C788" s="843">
        <f t="shared" si="133"/>
        <v>1.3087687506292411E-3</v>
      </c>
      <c r="D788" s="842">
        <v>40.14</v>
      </c>
      <c r="E788" s="843">
        <f t="shared" si="134"/>
        <v>-4.7111331515000687E-3</v>
      </c>
      <c r="F788" s="842">
        <v>26.82</v>
      </c>
      <c r="G788" s="843">
        <f t="shared" si="134"/>
        <v>-7.769145394006638E-3</v>
      </c>
      <c r="H788" s="842">
        <v>47.84</v>
      </c>
      <c r="I788" s="843">
        <f t="shared" si="134"/>
        <v>-4.3704474505722457E-3</v>
      </c>
      <c r="J788" s="842">
        <v>74.430000000000007</v>
      </c>
      <c r="K788" s="843">
        <f t="shared" si="135"/>
        <v>-1.3126491646777927E-2</v>
      </c>
      <c r="L788" s="842">
        <v>71.989999999999995</v>
      </c>
      <c r="M788" s="843">
        <f t="shared" si="136"/>
        <v>6.9502363080342633E-4</v>
      </c>
      <c r="N788" s="842">
        <v>63.51</v>
      </c>
      <c r="O788" s="843">
        <f t="shared" si="137"/>
        <v>-1.4737821905057347E-2</v>
      </c>
      <c r="P788" s="844">
        <f t="shared" si="143"/>
        <v>-6.1016067380687943E-3</v>
      </c>
      <c r="Q788" s="830"/>
      <c r="R788" s="845">
        <v>950.1</v>
      </c>
      <c r="S788" s="846">
        <f t="shared" si="138"/>
        <v>-2.0796571716662493E-3</v>
      </c>
      <c r="T788" s="845">
        <v>69.430000000000007</v>
      </c>
      <c r="U788" s="846">
        <f t="shared" si="139"/>
        <v>-1.4382281029770017E-3</v>
      </c>
      <c r="V788" s="845">
        <v>103.6474</v>
      </c>
      <c r="W788" s="846">
        <f t="shared" si="140"/>
        <v>1.309028237333143E-3</v>
      </c>
      <c r="X788" s="845">
        <v>35492.699999999997</v>
      </c>
      <c r="Y788" s="846">
        <f t="shared" si="141"/>
        <v>1.6046531333876679E-2</v>
      </c>
      <c r="Z788" s="845">
        <v>4649.2266</v>
      </c>
      <c r="AA788" s="846">
        <f t="shared" si="142"/>
        <v>1.7777822727987891E-2</v>
      </c>
      <c r="AB788" s="843"/>
      <c r="AC788" s="832"/>
    </row>
    <row r="789" spans="1:29" ht="14.4" x14ac:dyDescent="0.55000000000000004">
      <c r="A789" s="857" t="s">
        <v>5948</v>
      </c>
      <c r="B789" s="842">
        <v>99.33</v>
      </c>
      <c r="C789" s="843">
        <f t="shared" si="133"/>
        <v>5.0591925528684634E-3</v>
      </c>
      <c r="D789" s="842">
        <v>40.33</v>
      </c>
      <c r="E789" s="843">
        <f t="shared" si="134"/>
        <v>-4.9566294919467513E-4</v>
      </c>
      <c r="F789" s="842">
        <v>27.03</v>
      </c>
      <c r="G789" s="843">
        <f t="shared" si="134"/>
        <v>5.5803571428572063E-3</v>
      </c>
      <c r="H789" s="842">
        <v>48.05</v>
      </c>
      <c r="I789" s="843">
        <f t="shared" si="134"/>
        <v>7.5487523589850003E-3</v>
      </c>
      <c r="J789" s="842">
        <v>75.42</v>
      </c>
      <c r="K789" s="843">
        <f t="shared" si="135"/>
        <v>-5.3008216273509046E-4</v>
      </c>
      <c r="L789" s="842">
        <v>71.94</v>
      </c>
      <c r="M789" s="843">
        <f t="shared" si="136"/>
        <v>2.0859940400170363E-2</v>
      </c>
      <c r="N789" s="842">
        <v>64.459999999999994</v>
      </c>
      <c r="O789" s="843">
        <f t="shared" si="137"/>
        <v>8.1326243353143646E-3</v>
      </c>
      <c r="P789" s="844">
        <f t="shared" si="143"/>
        <v>6.5935888111808049E-3</v>
      </c>
      <c r="Q789" s="830"/>
      <c r="R789" s="845">
        <v>952.08</v>
      </c>
      <c r="S789" s="846">
        <f t="shared" si="138"/>
        <v>2.1156335848937502E-3</v>
      </c>
      <c r="T789" s="845">
        <v>69.53</v>
      </c>
      <c r="U789" s="846">
        <f t="shared" si="139"/>
        <v>-6.8561634052278775E-3</v>
      </c>
      <c r="V789" s="845">
        <v>103.5119</v>
      </c>
      <c r="W789" s="846">
        <f t="shared" si="140"/>
        <v>5.0596752331275585E-3</v>
      </c>
      <c r="X789" s="845">
        <v>34932.160000000003</v>
      </c>
      <c r="Y789" s="846">
        <f t="shared" si="141"/>
        <v>-1.2251508817647916E-2</v>
      </c>
      <c r="Z789" s="845">
        <v>4568.0172000000002</v>
      </c>
      <c r="AA789" s="846">
        <f t="shared" si="142"/>
        <v>-1.1388424847732059E-2</v>
      </c>
      <c r="AB789" s="843"/>
      <c r="AC789" s="832"/>
    </row>
    <row r="790" spans="1:29" ht="14.4" x14ac:dyDescent="0.55000000000000004">
      <c r="A790" s="857" t="s">
        <v>5949</v>
      </c>
      <c r="B790" s="842">
        <v>98.83</v>
      </c>
      <c r="C790" s="843">
        <f t="shared" si="133"/>
        <v>-1.5146985550572922E-2</v>
      </c>
      <c r="D790" s="842">
        <v>40.35</v>
      </c>
      <c r="E790" s="843">
        <f t="shared" si="134"/>
        <v>1.3819095477387133E-2</v>
      </c>
      <c r="F790" s="842">
        <v>26.88</v>
      </c>
      <c r="G790" s="843">
        <f t="shared" si="134"/>
        <v>-1.1148272017837968E-3</v>
      </c>
      <c r="H790" s="842">
        <v>47.69</v>
      </c>
      <c r="I790" s="843">
        <f t="shared" si="134"/>
        <v>-1.5279785257072076E-2</v>
      </c>
      <c r="J790" s="842">
        <v>75.459999999999994</v>
      </c>
      <c r="K790" s="843">
        <f t="shared" si="135"/>
        <v>3.3240260603644156E-3</v>
      </c>
      <c r="L790" s="842">
        <v>70.47</v>
      </c>
      <c r="M790" s="843">
        <f t="shared" si="136"/>
        <v>1.0467450530541988E-2</v>
      </c>
      <c r="N790" s="842">
        <v>63.94</v>
      </c>
      <c r="O790" s="843">
        <f t="shared" si="137"/>
        <v>8.9947924885591668E-3</v>
      </c>
      <c r="P790" s="844">
        <f t="shared" si="143"/>
        <v>7.2339522106055847E-4</v>
      </c>
      <c r="Q790" s="830"/>
      <c r="R790" s="845">
        <v>950.07</v>
      </c>
      <c r="S790" s="846">
        <f t="shared" si="138"/>
        <v>-1.32935910351345E-2</v>
      </c>
      <c r="T790" s="845">
        <v>70.010000000000005</v>
      </c>
      <c r="U790" s="846">
        <f t="shared" si="139"/>
        <v>-1.5053460889138948E-2</v>
      </c>
      <c r="V790" s="845">
        <v>102.99079999999999</v>
      </c>
      <c r="W790" s="846">
        <f t="shared" si="140"/>
        <v>-1.5147052636007907E-2</v>
      </c>
      <c r="X790" s="845">
        <v>35365.440000000002</v>
      </c>
      <c r="Y790" s="846">
        <f t="shared" si="141"/>
        <v>-1.4825487135087356E-2</v>
      </c>
      <c r="Z790" s="845">
        <v>4620.6390000000001</v>
      </c>
      <c r="AA790" s="846">
        <f t="shared" si="142"/>
        <v>-1.0288195065011108E-2</v>
      </c>
      <c r="AB790" s="843"/>
      <c r="AC790" s="832"/>
    </row>
    <row r="791" spans="1:29" ht="14.4" x14ac:dyDescent="0.55000000000000004">
      <c r="A791" s="857" t="s">
        <v>5950</v>
      </c>
      <c r="B791" s="842">
        <v>100.35</v>
      </c>
      <c r="C791" s="843">
        <f t="shared" si="133"/>
        <v>1.8574908647990274E-2</v>
      </c>
      <c r="D791" s="842">
        <v>39.799999999999997</v>
      </c>
      <c r="E791" s="843">
        <f t="shared" si="134"/>
        <v>-1.3386217154189528E-2</v>
      </c>
      <c r="F791" s="842">
        <v>26.91</v>
      </c>
      <c r="G791" s="843">
        <f t="shared" si="134"/>
        <v>1.1654135338345917E-2</v>
      </c>
      <c r="H791" s="842">
        <v>48.43</v>
      </c>
      <c r="I791" s="843">
        <f t="shared" si="134"/>
        <v>1.6582703610411365E-2</v>
      </c>
      <c r="J791" s="842">
        <v>75.209999999999994</v>
      </c>
      <c r="K791" s="843">
        <f t="shared" si="135"/>
        <v>1.1294876966518652E-2</v>
      </c>
      <c r="L791" s="842">
        <v>69.739999999999995</v>
      </c>
      <c r="M791" s="843">
        <f t="shared" si="136"/>
        <v>6.4944436426610519E-3</v>
      </c>
      <c r="N791" s="842">
        <v>63.37</v>
      </c>
      <c r="O791" s="843">
        <f t="shared" si="137"/>
        <v>-2.51849519911862E-3</v>
      </c>
      <c r="P791" s="844">
        <f t="shared" si="143"/>
        <v>6.956622264659873E-3</v>
      </c>
      <c r="Q791" s="830"/>
      <c r="R791" s="845">
        <v>962.87</v>
      </c>
      <c r="S791" s="846">
        <f t="shared" si="138"/>
        <v>5.8604767774690369E-3</v>
      </c>
      <c r="T791" s="845">
        <v>71.08</v>
      </c>
      <c r="U791" s="846">
        <f t="shared" si="139"/>
        <v>5.090497737556543E-3</v>
      </c>
      <c r="V791" s="845">
        <v>104.5748</v>
      </c>
      <c r="W791" s="846">
        <f t="shared" si="140"/>
        <v>1.8574470281821576E-2</v>
      </c>
      <c r="X791" s="845">
        <v>35897.64</v>
      </c>
      <c r="Y791" s="846">
        <f t="shared" si="141"/>
        <v>-8.2917147149130788E-4</v>
      </c>
      <c r="Z791" s="845">
        <v>4668.6711999999998</v>
      </c>
      <c r="AA791" s="846">
        <f t="shared" si="142"/>
        <v>-8.7439442654474453E-3</v>
      </c>
      <c r="AB791" s="843"/>
      <c r="AC791" s="832"/>
    </row>
    <row r="792" spans="1:29" ht="14.4" x14ac:dyDescent="0.55000000000000004">
      <c r="A792" s="857" t="s">
        <v>5951</v>
      </c>
      <c r="B792" s="842">
        <v>98.52</v>
      </c>
      <c r="C792" s="843">
        <f t="shared" si="133"/>
        <v>1.4206300185299447E-2</v>
      </c>
      <c r="D792" s="842">
        <v>40.340000000000003</v>
      </c>
      <c r="E792" s="843">
        <f t="shared" si="134"/>
        <v>2.6985743380855354E-2</v>
      </c>
      <c r="F792" s="842">
        <v>26.6</v>
      </c>
      <c r="G792" s="843">
        <f t="shared" si="134"/>
        <v>1.4879816863792472E-2</v>
      </c>
      <c r="H792" s="842">
        <v>47.64</v>
      </c>
      <c r="I792" s="843">
        <f t="shared" si="134"/>
        <v>2.7831715210355989E-2</v>
      </c>
      <c r="J792" s="842">
        <v>74.37</v>
      </c>
      <c r="K792" s="843">
        <f t="shared" si="135"/>
        <v>2.5086147484493448E-2</v>
      </c>
      <c r="L792" s="842">
        <v>69.290000000000006</v>
      </c>
      <c r="M792" s="843">
        <f t="shared" si="136"/>
        <v>1.3011695906432807E-2</v>
      </c>
      <c r="N792" s="842">
        <v>63.53</v>
      </c>
      <c r="O792" s="843">
        <f t="shared" si="137"/>
        <v>1.9743178170144482E-2</v>
      </c>
      <c r="P792" s="844">
        <f t="shared" si="143"/>
        <v>2.0249228171624858E-2</v>
      </c>
      <c r="Q792" s="830"/>
      <c r="R792" s="845">
        <v>957.26</v>
      </c>
      <c r="S792" s="846">
        <f t="shared" si="138"/>
        <v>1.5919173052023838E-2</v>
      </c>
      <c r="T792" s="845">
        <v>70.72</v>
      </c>
      <c r="U792" s="846">
        <f t="shared" si="139"/>
        <v>1.6384018396090827E-2</v>
      </c>
      <c r="V792" s="845">
        <v>102.6678</v>
      </c>
      <c r="W792" s="846">
        <f t="shared" si="140"/>
        <v>1.4206305066596148E-2</v>
      </c>
      <c r="X792" s="845">
        <v>35927.43</v>
      </c>
      <c r="Y792" s="846">
        <f t="shared" si="141"/>
        <v>1.0782355930000431E-2</v>
      </c>
      <c r="Z792" s="845">
        <v>4709.8539000000001</v>
      </c>
      <c r="AA792" s="846">
        <f t="shared" si="142"/>
        <v>1.6349777246334352E-2</v>
      </c>
      <c r="AB792" s="843"/>
      <c r="AC792" s="832"/>
    </row>
    <row r="793" spans="1:29" ht="14.4" x14ac:dyDescent="0.55000000000000004">
      <c r="A793" s="857" t="s">
        <v>5952</v>
      </c>
      <c r="B793" s="842">
        <v>97.14</v>
      </c>
      <c r="C793" s="843">
        <f t="shared" si="133"/>
        <v>-2.1571648690291712E-3</v>
      </c>
      <c r="D793" s="842">
        <v>39.28</v>
      </c>
      <c r="E793" s="843">
        <f t="shared" si="134"/>
        <v>-1.9470793809286069E-2</v>
      </c>
      <c r="F793" s="842">
        <v>26.21</v>
      </c>
      <c r="G793" s="843">
        <f t="shared" si="134"/>
        <v>-2.2839741149599524E-3</v>
      </c>
      <c r="H793" s="842">
        <v>46.35</v>
      </c>
      <c r="I793" s="843">
        <f t="shared" si="134"/>
        <v>-1.6967126193001003E-2</v>
      </c>
      <c r="J793" s="842">
        <v>72.55</v>
      </c>
      <c r="K793" s="843">
        <f t="shared" si="135"/>
        <v>-8.60890953812532E-3</v>
      </c>
      <c r="L793" s="842">
        <v>68.400000000000006</v>
      </c>
      <c r="M793" s="843">
        <f t="shared" si="136"/>
        <v>5.143277002204405E-3</v>
      </c>
      <c r="N793" s="842">
        <v>62.3</v>
      </c>
      <c r="O793" s="843">
        <f t="shared" si="137"/>
        <v>-1.1738578680203116E-2</v>
      </c>
      <c r="P793" s="844">
        <f t="shared" si="143"/>
        <v>-8.0118957432000325E-3</v>
      </c>
      <c r="Q793" s="830"/>
      <c r="R793" s="845">
        <v>942.26</v>
      </c>
      <c r="S793" s="846">
        <f t="shared" si="138"/>
        <v>-5.2811121224463076E-3</v>
      </c>
      <c r="T793" s="845">
        <v>69.58</v>
      </c>
      <c r="U793" s="846">
        <f t="shared" si="139"/>
        <v>-6.0000000000000053E-3</v>
      </c>
      <c r="V793" s="845">
        <v>101.22969999999999</v>
      </c>
      <c r="W793" s="846">
        <f t="shared" si="140"/>
        <v>-2.1567593409463903E-3</v>
      </c>
      <c r="X793" s="845">
        <v>35544.18</v>
      </c>
      <c r="Y793" s="846">
        <f t="shared" si="141"/>
        <v>-2.9947900037695652E-3</v>
      </c>
      <c r="Z793" s="845">
        <v>4634.0875999999998</v>
      </c>
      <c r="AA793" s="846">
        <f t="shared" si="142"/>
        <v>-7.4715588898036644E-3</v>
      </c>
      <c r="AB793" s="843"/>
      <c r="AC793" s="832"/>
    </row>
    <row r="794" spans="1:29" ht="14.4" x14ac:dyDescent="0.55000000000000004">
      <c r="A794" s="857" t="s">
        <v>5953</v>
      </c>
      <c r="B794" s="842">
        <v>97.35</v>
      </c>
      <c r="C794" s="843">
        <f t="shared" si="133"/>
        <v>1.6816377689576001E-2</v>
      </c>
      <c r="D794" s="842">
        <v>40.06</v>
      </c>
      <c r="E794" s="843">
        <f t="shared" si="134"/>
        <v>6.7856245287760686E-3</v>
      </c>
      <c r="F794" s="842">
        <v>26.27</v>
      </c>
      <c r="G794" s="843">
        <f t="shared" si="134"/>
        <v>1.3112225221750817E-2</v>
      </c>
      <c r="H794" s="842">
        <v>47.15</v>
      </c>
      <c r="I794" s="843">
        <f t="shared" si="134"/>
        <v>4.0459965928449915E-3</v>
      </c>
      <c r="J794" s="842">
        <v>73.180000000000007</v>
      </c>
      <c r="K794" s="843">
        <f t="shared" si="135"/>
        <v>9.2401048131292018E-3</v>
      </c>
      <c r="L794" s="842">
        <v>68.05</v>
      </c>
      <c r="M794" s="843">
        <f t="shared" si="136"/>
        <v>-9.8937872835734852E-3</v>
      </c>
      <c r="N794" s="842">
        <v>63.04</v>
      </c>
      <c r="O794" s="843">
        <f t="shared" si="137"/>
        <v>-1.7418844022168978E-3</v>
      </c>
      <c r="P794" s="844">
        <f t="shared" si="143"/>
        <v>5.4806653086123857E-3</v>
      </c>
      <c r="Q794" s="830"/>
      <c r="R794" s="845">
        <v>947.26260000000002</v>
      </c>
      <c r="S794" s="846">
        <f t="shared" si="138"/>
        <v>1.2389624547116007E-2</v>
      </c>
      <c r="T794" s="845">
        <v>70</v>
      </c>
      <c r="U794" s="846">
        <f t="shared" si="139"/>
        <v>1.229211858279089E-2</v>
      </c>
      <c r="V794" s="845">
        <v>101.4485</v>
      </c>
      <c r="W794" s="846">
        <f t="shared" si="140"/>
        <v>1.6816560372935108E-2</v>
      </c>
      <c r="X794" s="845">
        <v>35650.947099999998</v>
      </c>
      <c r="Y794" s="846">
        <f t="shared" si="141"/>
        <v>-8.8972502563872125E-3</v>
      </c>
      <c r="Z794" s="845">
        <v>4668.9721</v>
      </c>
      <c r="AA794" s="846">
        <f t="shared" si="142"/>
        <v>-9.1366255957815445E-3</v>
      </c>
      <c r="AB794" s="843"/>
      <c r="AC794" s="832"/>
    </row>
    <row r="795" spans="1:29" ht="14.4" x14ac:dyDescent="0.55000000000000004">
      <c r="A795" s="857" t="s">
        <v>5954</v>
      </c>
      <c r="B795" s="842">
        <v>95.74</v>
      </c>
      <c r="C795" s="843">
        <f t="shared" si="133"/>
        <v>5.3554552136929612E-3</v>
      </c>
      <c r="D795" s="842">
        <v>39.79</v>
      </c>
      <c r="E795" s="843">
        <f t="shared" si="134"/>
        <v>1.0062893081761448E-3</v>
      </c>
      <c r="F795" s="842">
        <v>25.93</v>
      </c>
      <c r="G795" s="843">
        <f t="shared" si="134"/>
        <v>3.0947775628626939E-3</v>
      </c>
      <c r="H795" s="842">
        <v>46.96</v>
      </c>
      <c r="I795" s="843">
        <f t="shared" si="134"/>
        <v>9.6753386368524374E-3</v>
      </c>
      <c r="J795" s="842">
        <v>72.510000000000005</v>
      </c>
      <c r="K795" s="843">
        <f t="shared" si="135"/>
        <v>2.5601131541725719E-2</v>
      </c>
      <c r="L795" s="842">
        <v>68.73</v>
      </c>
      <c r="M795" s="843">
        <f t="shared" si="136"/>
        <v>3.3576642335766405E-3</v>
      </c>
      <c r="N795" s="842">
        <v>63.15</v>
      </c>
      <c r="O795" s="843">
        <f t="shared" si="137"/>
        <v>7.6591670655816735E-3</v>
      </c>
      <c r="P795" s="844">
        <f t="shared" si="143"/>
        <v>7.9642605089240391E-3</v>
      </c>
      <c r="Q795" s="830"/>
      <c r="R795" s="845">
        <v>935.67</v>
      </c>
      <c r="S795" s="846">
        <f t="shared" si="138"/>
        <v>4.8757960757359609E-3</v>
      </c>
      <c r="T795" s="845">
        <v>69.150000000000006</v>
      </c>
      <c r="U795" s="846">
        <f t="shared" si="139"/>
        <v>5.3794707763885619E-3</v>
      </c>
      <c r="V795" s="845">
        <v>99.770700000000005</v>
      </c>
      <c r="W795" s="846">
        <f t="shared" si="140"/>
        <v>5.3547334574106653E-3</v>
      </c>
      <c r="X795" s="845">
        <v>35970.99</v>
      </c>
      <c r="Y795" s="846">
        <f t="shared" si="141"/>
        <v>6.0495560162874273E-3</v>
      </c>
      <c r="Z795" s="845">
        <v>4712.0240999999996</v>
      </c>
      <c r="AA795" s="846">
        <f t="shared" si="142"/>
        <v>9.5491246405428054E-3</v>
      </c>
      <c r="AB795" s="843"/>
      <c r="AC795" s="832"/>
    </row>
    <row r="796" spans="1:29" ht="14.4" x14ac:dyDescent="0.55000000000000004">
      <c r="A796" s="857" t="s">
        <v>5955</v>
      </c>
      <c r="B796" s="842">
        <v>95.23</v>
      </c>
      <c r="C796" s="843">
        <f t="shared" si="133"/>
        <v>8.6855206016311914E-3</v>
      </c>
      <c r="D796" s="842">
        <v>39.75</v>
      </c>
      <c r="E796" s="843">
        <f t="shared" si="134"/>
        <v>-1.2912838341197053E-2</v>
      </c>
      <c r="F796" s="842">
        <v>25.85</v>
      </c>
      <c r="G796" s="843">
        <f t="shared" si="134"/>
        <v>1.5497869043008539E-3</v>
      </c>
      <c r="H796" s="842">
        <v>46.51</v>
      </c>
      <c r="I796" s="843">
        <f t="shared" si="134"/>
        <v>2.802932298404448E-3</v>
      </c>
      <c r="J796" s="842">
        <v>70.7</v>
      </c>
      <c r="K796" s="843">
        <f t="shared" si="135"/>
        <v>2.268216614686569E-3</v>
      </c>
      <c r="L796" s="842">
        <v>68.5</v>
      </c>
      <c r="M796" s="843">
        <f t="shared" si="136"/>
        <v>-2.310325156873938E-2</v>
      </c>
      <c r="N796" s="842">
        <v>62.67</v>
      </c>
      <c r="O796" s="843">
        <f t="shared" si="137"/>
        <v>-1.4932411191449169E-2</v>
      </c>
      <c r="P796" s="844">
        <f t="shared" si="143"/>
        <v>-5.0917206689089344E-3</v>
      </c>
      <c r="Q796" s="830"/>
      <c r="R796" s="845">
        <v>931.13</v>
      </c>
      <c r="S796" s="846">
        <f t="shared" si="138"/>
        <v>-1.6083548674179493E-3</v>
      </c>
      <c r="T796" s="845">
        <v>68.78</v>
      </c>
      <c r="U796" s="846">
        <f t="shared" si="139"/>
        <v>-1.3068099317555815E-3</v>
      </c>
      <c r="V796" s="845">
        <v>99.2393</v>
      </c>
      <c r="W796" s="846">
        <f t="shared" si="140"/>
        <v>8.6863099648624154E-3</v>
      </c>
      <c r="X796" s="845">
        <v>35754.69</v>
      </c>
      <c r="Y796" s="846">
        <f t="shared" si="141"/>
        <v>-1.6780987140974091E-6</v>
      </c>
      <c r="Z796" s="845">
        <v>4667.4539999999997</v>
      </c>
      <c r="AA796" s="846">
        <f t="shared" si="142"/>
        <v>-7.179835633306153E-3</v>
      </c>
      <c r="AB796" s="843"/>
      <c r="AC796" s="832"/>
    </row>
    <row r="797" spans="1:29" ht="14.4" x14ac:dyDescent="0.55000000000000004">
      <c r="A797" s="857" t="s">
        <v>5956</v>
      </c>
      <c r="B797" s="842">
        <v>94.41</v>
      </c>
      <c r="C797" s="843">
        <f t="shared" si="133"/>
        <v>-4.9536256323777783E-3</v>
      </c>
      <c r="D797" s="842">
        <v>40.270000000000003</v>
      </c>
      <c r="E797" s="843">
        <f t="shared" si="134"/>
        <v>1.6149381781478622E-2</v>
      </c>
      <c r="F797" s="842">
        <v>25.81</v>
      </c>
      <c r="G797" s="843">
        <f t="shared" si="134"/>
        <v>-7.7429345722024312E-4</v>
      </c>
      <c r="H797" s="842">
        <v>46.38</v>
      </c>
      <c r="I797" s="843">
        <f t="shared" si="134"/>
        <v>6.9474598349978933E-3</v>
      </c>
      <c r="J797" s="842">
        <v>70.540000000000006</v>
      </c>
      <c r="K797" s="843">
        <f t="shared" si="135"/>
        <v>1.248744079230657E-2</v>
      </c>
      <c r="L797" s="842">
        <v>70.12</v>
      </c>
      <c r="M797" s="843">
        <f t="shared" si="136"/>
        <v>2.2306458667444184E-2</v>
      </c>
      <c r="N797" s="842">
        <v>63.62</v>
      </c>
      <c r="O797" s="843">
        <f t="shared" si="137"/>
        <v>9.6810030153944293E-3</v>
      </c>
      <c r="P797" s="844">
        <f t="shared" si="143"/>
        <v>8.8348321431462404E-3</v>
      </c>
      <c r="Q797" s="830"/>
      <c r="R797" s="845">
        <v>932.63</v>
      </c>
      <c r="S797" s="846">
        <f t="shared" si="138"/>
        <v>-1.5901675531738713E-3</v>
      </c>
      <c r="T797" s="845">
        <v>68.87</v>
      </c>
      <c r="U797" s="846">
        <f t="shared" si="139"/>
        <v>-1.0153756890047827E-3</v>
      </c>
      <c r="V797" s="845">
        <v>98.384699999999995</v>
      </c>
      <c r="W797" s="846">
        <f t="shared" si="140"/>
        <v>-4.9537545069759936E-3</v>
      </c>
      <c r="X797" s="845">
        <v>35754.75</v>
      </c>
      <c r="Y797" s="846">
        <f t="shared" si="141"/>
        <v>9.8895488662265052E-4</v>
      </c>
      <c r="Z797" s="845">
        <v>4701.2079000000003</v>
      </c>
      <c r="AA797" s="846">
        <f t="shared" si="142"/>
        <v>3.0858086917671113E-3</v>
      </c>
      <c r="AB797" s="843"/>
      <c r="AC797" s="832"/>
    </row>
    <row r="798" spans="1:29" ht="14.4" x14ac:dyDescent="0.55000000000000004">
      <c r="A798" s="857" t="s">
        <v>5957</v>
      </c>
      <c r="B798" s="842">
        <v>94.88</v>
      </c>
      <c r="C798" s="843">
        <f t="shared" si="133"/>
        <v>3.3840947546530664E-3</v>
      </c>
      <c r="D798" s="842">
        <v>39.630000000000003</v>
      </c>
      <c r="E798" s="843">
        <f t="shared" si="134"/>
        <v>-1.7632241813602123E-3</v>
      </c>
      <c r="F798" s="842">
        <v>25.83</v>
      </c>
      <c r="G798" s="843">
        <f t="shared" si="134"/>
        <v>5.8411214953271173E-3</v>
      </c>
      <c r="H798" s="842">
        <v>46.06</v>
      </c>
      <c r="I798" s="843">
        <f t="shared" si="134"/>
        <v>4.3440486533463663E-4</v>
      </c>
      <c r="J798" s="842">
        <v>69.67</v>
      </c>
      <c r="K798" s="843">
        <f t="shared" si="135"/>
        <v>1.0057471264368623E-3</v>
      </c>
      <c r="L798" s="842">
        <v>68.59</v>
      </c>
      <c r="M798" s="843">
        <f t="shared" si="136"/>
        <v>-3.0940943769426354E-2</v>
      </c>
      <c r="N798" s="842">
        <v>63.01</v>
      </c>
      <c r="O798" s="843">
        <f t="shared" si="137"/>
        <v>-1.331036642655814E-2</v>
      </c>
      <c r="P798" s="844">
        <f t="shared" si="143"/>
        <v>-5.0498808765132895E-3</v>
      </c>
      <c r="Q798" s="830"/>
      <c r="R798" s="845">
        <v>934.11540000000002</v>
      </c>
      <c r="S798" s="846">
        <f t="shared" si="138"/>
        <v>7.5779050577613472E-3</v>
      </c>
      <c r="T798" s="845">
        <v>68.94</v>
      </c>
      <c r="U798" s="846">
        <f t="shared" si="139"/>
        <v>7.4528715475667973E-3</v>
      </c>
      <c r="V798" s="845">
        <v>98.874499999999998</v>
      </c>
      <c r="W798" s="846">
        <f t="shared" si="140"/>
        <v>3.3833598366570516E-3</v>
      </c>
      <c r="X798" s="845">
        <v>35719.4251</v>
      </c>
      <c r="Y798" s="846">
        <f t="shared" si="141"/>
        <v>1.3977763666139342E-2</v>
      </c>
      <c r="Z798" s="845">
        <v>4686.7455</v>
      </c>
      <c r="AA798" s="846">
        <f t="shared" si="142"/>
        <v>2.0705682840833628E-2</v>
      </c>
      <c r="AB798" s="843"/>
      <c r="AC798" s="832"/>
    </row>
    <row r="799" spans="1:29" ht="14.4" x14ac:dyDescent="0.55000000000000004">
      <c r="A799" s="857" t="s">
        <v>5958</v>
      </c>
      <c r="B799" s="842">
        <v>94.56</v>
      </c>
      <c r="C799" s="843">
        <f t="shared" si="133"/>
        <v>1.9404915912031084E-2</v>
      </c>
      <c r="D799" s="842">
        <v>39.700000000000003</v>
      </c>
      <c r="E799" s="843">
        <f t="shared" si="134"/>
        <v>3.2778355879292453E-2</v>
      </c>
      <c r="F799" s="842">
        <v>25.68</v>
      </c>
      <c r="G799" s="843">
        <f t="shared" si="134"/>
        <v>2.3107569721115384E-2</v>
      </c>
      <c r="H799" s="842">
        <v>46.04</v>
      </c>
      <c r="I799" s="843">
        <f t="shared" si="134"/>
        <v>3.4374297910581886E-2</v>
      </c>
      <c r="J799" s="842">
        <v>69.599999999999994</v>
      </c>
      <c r="K799" s="843">
        <f t="shared" si="135"/>
        <v>4.5201982279621467E-2</v>
      </c>
      <c r="L799" s="842">
        <v>70.78</v>
      </c>
      <c r="M799" s="843">
        <f t="shared" si="136"/>
        <v>6.1169415292353868E-2</v>
      </c>
      <c r="N799" s="842">
        <v>63.86</v>
      </c>
      <c r="O799" s="843">
        <f t="shared" si="137"/>
        <v>3.4337544541626075E-2</v>
      </c>
      <c r="P799" s="844">
        <f t="shared" si="143"/>
        <v>3.5767725933803174E-2</v>
      </c>
      <c r="Q799" s="830"/>
      <c r="R799" s="845">
        <v>927.09</v>
      </c>
      <c r="S799" s="846">
        <f t="shared" si="138"/>
        <v>1.4288371278842193E-2</v>
      </c>
      <c r="T799" s="845">
        <v>68.430000000000007</v>
      </c>
      <c r="U799" s="846">
        <f t="shared" si="139"/>
        <v>1.5281899109792274E-2</v>
      </c>
      <c r="V799" s="845">
        <v>98.5411</v>
      </c>
      <c r="W799" s="846">
        <f t="shared" si="140"/>
        <v>1.9405101934199642E-2</v>
      </c>
      <c r="X799" s="845">
        <v>35227.03</v>
      </c>
      <c r="Y799" s="846">
        <f t="shared" si="141"/>
        <v>1.870874792655175E-2</v>
      </c>
      <c r="Z799" s="845">
        <v>4591.6718000000001</v>
      </c>
      <c r="AA799" s="846">
        <f t="shared" si="142"/>
        <v>1.1731793734125473E-2</v>
      </c>
      <c r="AB799" s="843"/>
      <c r="AC799" s="832"/>
    </row>
    <row r="800" spans="1:29" ht="14.4" x14ac:dyDescent="0.55000000000000004">
      <c r="A800" s="857" t="s">
        <v>5959</v>
      </c>
      <c r="B800" s="842">
        <v>92.76</v>
      </c>
      <c r="C800" s="843">
        <f t="shared" si="133"/>
        <v>2.2937803264225787E-2</v>
      </c>
      <c r="D800" s="842">
        <v>38.44</v>
      </c>
      <c r="E800" s="843">
        <f t="shared" si="134"/>
        <v>6.8098480880041112E-3</v>
      </c>
      <c r="F800" s="842">
        <v>25.1</v>
      </c>
      <c r="G800" s="843">
        <f t="shared" si="134"/>
        <v>1.1281224818694646E-2</v>
      </c>
      <c r="H800" s="842">
        <v>44.51</v>
      </c>
      <c r="I800" s="843">
        <f t="shared" si="134"/>
        <v>1.6674280493375937E-2</v>
      </c>
      <c r="J800" s="842">
        <v>66.59</v>
      </c>
      <c r="K800" s="843">
        <f t="shared" si="135"/>
        <v>5.2838164251209907E-3</v>
      </c>
      <c r="L800" s="842">
        <v>66.7</v>
      </c>
      <c r="M800" s="843">
        <f t="shared" si="136"/>
        <v>1.1832524271844669E-2</v>
      </c>
      <c r="N800" s="842">
        <v>61.74</v>
      </c>
      <c r="O800" s="843">
        <f t="shared" si="137"/>
        <v>1.696590347553939E-2</v>
      </c>
      <c r="P800" s="844">
        <f t="shared" si="143"/>
        <v>1.3112200119543647E-2</v>
      </c>
      <c r="Q800" s="830"/>
      <c r="R800" s="845">
        <v>914.03</v>
      </c>
      <c r="S800" s="846">
        <f t="shared" si="138"/>
        <v>1.0983298307709166E-2</v>
      </c>
      <c r="T800" s="845">
        <v>67.400000000000006</v>
      </c>
      <c r="U800" s="846">
        <f t="shared" si="139"/>
        <v>1.0040461561516612E-2</v>
      </c>
      <c r="V800" s="845">
        <v>96.665300000000002</v>
      </c>
      <c r="W800" s="846">
        <f t="shared" si="140"/>
        <v>2.2938124419959571E-2</v>
      </c>
      <c r="X800" s="845">
        <v>34580.080000000002</v>
      </c>
      <c r="Y800" s="846">
        <f t="shared" si="141"/>
        <v>-1.7237402420742232E-3</v>
      </c>
      <c r="Z800" s="845">
        <v>4538.4278999999997</v>
      </c>
      <c r="AA800" s="846">
        <f t="shared" si="142"/>
        <v>-8.4491481015109837E-3</v>
      </c>
      <c r="AB800" s="843"/>
      <c r="AC800" s="832"/>
    </row>
    <row r="801" spans="1:30" ht="14.4" x14ac:dyDescent="0.55000000000000004">
      <c r="A801" s="857" t="s">
        <v>5960</v>
      </c>
      <c r="B801" s="842">
        <v>90.68</v>
      </c>
      <c r="C801" s="843">
        <f t="shared" si="133"/>
        <v>1.3977412501397835E-2</v>
      </c>
      <c r="D801" s="842">
        <v>38.18</v>
      </c>
      <c r="E801" s="843">
        <f t="shared" si="134"/>
        <v>2.1675140487021682E-2</v>
      </c>
      <c r="F801" s="842">
        <v>24.82</v>
      </c>
      <c r="G801" s="843">
        <f t="shared" si="134"/>
        <v>1.7213114754098369E-2</v>
      </c>
      <c r="H801" s="842">
        <v>43.78</v>
      </c>
      <c r="I801" s="843">
        <f t="shared" si="134"/>
        <v>1.2488436632747346E-2</v>
      </c>
      <c r="J801" s="842">
        <v>66.239999999999995</v>
      </c>
      <c r="K801" s="843">
        <f t="shared" si="135"/>
        <v>2.6976744186046453E-2</v>
      </c>
      <c r="L801" s="842">
        <v>65.92</v>
      </c>
      <c r="M801" s="843">
        <f t="shared" si="136"/>
        <v>1.4309893829820064E-2</v>
      </c>
      <c r="N801" s="842">
        <v>60.71</v>
      </c>
      <c r="O801" s="843">
        <f t="shared" si="137"/>
        <v>1.7940979208584951E-2</v>
      </c>
      <c r="P801" s="844">
        <f t="shared" si="143"/>
        <v>1.779738879995953E-2</v>
      </c>
      <c r="Q801" s="830"/>
      <c r="R801" s="845">
        <v>904.1</v>
      </c>
      <c r="S801" s="846">
        <f t="shared" si="138"/>
        <v>1.3006733060568987E-2</v>
      </c>
      <c r="T801" s="845">
        <v>66.73</v>
      </c>
      <c r="U801" s="846">
        <f t="shared" si="139"/>
        <v>1.2748520261041119E-2</v>
      </c>
      <c r="V801" s="845">
        <v>94.497699999999995</v>
      </c>
      <c r="W801" s="846">
        <f t="shared" si="140"/>
        <v>1.3977129698879098E-2</v>
      </c>
      <c r="X801" s="845">
        <v>34639.79</v>
      </c>
      <c r="Y801" s="846">
        <f t="shared" si="141"/>
        <v>1.8157347413617853E-2</v>
      </c>
      <c r="Z801" s="845">
        <v>4577.1004999999996</v>
      </c>
      <c r="AA801" s="846">
        <f t="shared" si="142"/>
        <v>1.4195388018381161E-2</v>
      </c>
      <c r="AB801" s="843"/>
      <c r="AC801" s="832"/>
    </row>
    <row r="802" spans="1:30" ht="14.4" x14ac:dyDescent="0.55000000000000004">
      <c r="A802" s="857" t="s">
        <v>5961</v>
      </c>
      <c r="B802" s="842">
        <v>89.43</v>
      </c>
      <c r="C802" s="843">
        <f t="shared" si="133"/>
        <v>-9.8538529672275166E-3</v>
      </c>
      <c r="D802" s="842">
        <v>37.369999999999997</v>
      </c>
      <c r="E802" s="843">
        <f t="shared" si="134"/>
        <v>1.6041326808047707E-2</v>
      </c>
      <c r="F802" s="842">
        <v>24.4</v>
      </c>
      <c r="G802" s="843">
        <f t="shared" si="134"/>
        <v>-4.4879640962873779E-3</v>
      </c>
      <c r="H802" s="842">
        <v>43.24</v>
      </c>
      <c r="I802" s="843">
        <f t="shared" si="134"/>
        <v>2.7829313543601408E-3</v>
      </c>
      <c r="J802" s="842">
        <v>64.5</v>
      </c>
      <c r="K802" s="843">
        <f t="shared" si="135"/>
        <v>-5.2436767427513908E-3</v>
      </c>
      <c r="L802" s="842">
        <v>64.989999999999995</v>
      </c>
      <c r="M802" s="843">
        <f t="shared" si="136"/>
        <v>-1.2460112444917293E-2</v>
      </c>
      <c r="N802" s="842">
        <v>59.64</v>
      </c>
      <c r="O802" s="843">
        <f t="shared" si="137"/>
        <v>-3.5087719298245723E-3</v>
      </c>
      <c r="P802" s="844">
        <f t="shared" si="143"/>
        <v>-2.3900171455143288E-3</v>
      </c>
      <c r="Q802" s="830"/>
      <c r="R802" s="845">
        <v>892.49159999999995</v>
      </c>
      <c r="S802" s="846">
        <f t="shared" si="138"/>
        <v>-1.1956667711178204E-3</v>
      </c>
      <c r="T802" s="845">
        <v>65.89</v>
      </c>
      <c r="U802" s="846">
        <f t="shared" si="139"/>
        <v>1.8245400638590148E-3</v>
      </c>
      <c r="V802" s="845">
        <v>93.195099999999996</v>
      </c>
      <c r="W802" s="846">
        <f t="shared" si="140"/>
        <v>-9.854168924360418E-3</v>
      </c>
      <c r="X802" s="845">
        <v>34022.04</v>
      </c>
      <c r="Y802" s="846">
        <f t="shared" si="141"/>
        <v>-1.338834673289313E-2</v>
      </c>
      <c r="Z802" s="845">
        <v>4513.0361999999996</v>
      </c>
      <c r="AA802" s="846">
        <f t="shared" si="142"/>
        <v>-1.1816352589330337E-2</v>
      </c>
      <c r="AB802" s="843"/>
      <c r="AC802" s="832"/>
    </row>
    <row r="803" spans="1:30" ht="14.4" x14ac:dyDescent="0.55000000000000004">
      <c r="A803" s="857" t="s">
        <v>5962</v>
      </c>
      <c r="B803" s="842">
        <v>90.32</v>
      </c>
      <c r="C803" s="843">
        <f t="shared" si="133"/>
        <v>-3.7100213219616207E-2</v>
      </c>
      <c r="D803" s="842">
        <v>36.78</v>
      </c>
      <c r="E803" s="843">
        <f t="shared" si="134"/>
        <v>-2.4920466595970248E-2</v>
      </c>
      <c r="F803" s="842">
        <v>24.51</v>
      </c>
      <c r="G803" s="843">
        <f t="shared" si="134"/>
        <v>-2.9306930693069222E-2</v>
      </c>
      <c r="H803" s="842">
        <v>43.12</v>
      </c>
      <c r="I803" s="843">
        <f t="shared" si="134"/>
        <v>-3.0575539568345356E-2</v>
      </c>
      <c r="J803" s="842">
        <v>64.84</v>
      </c>
      <c r="K803" s="843">
        <f t="shared" si="135"/>
        <v>-2.788605697151425E-2</v>
      </c>
      <c r="L803" s="842">
        <v>65.81</v>
      </c>
      <c r="M803" s="843">
        <f t="shared" si="136"/>
        <v>-4.4708956307156322E-2</v>
      </c>
      <c r="N803" s="842">
        <v>59.85</v>
      </c>
      <c r="O803" s="843">
        <f t="shared" si="137"/>
        <v>-3.4054228534538433E-2</v>
      </c>
      <c r="P803" s="844">
        <f t="shared" si="143"/>
        <v>-3.2650341698601433E-2</v>
      </c>
      <c r="Q803" s="830"/>
      <c r="R803" s="845">
        <v>893.56</v>
      </c>
      <c r="S803" s="846">
        <f t="shared" si="138"/>
        <v>-2.9340517288201973E-2</v>
      </c>
      <c r="T803" s="845">
        <v>65.77</v>
      </c>
      <c r="U803" s="846">
        <f t="shared" si="139"/>
        <v>-2.9225092250922513E-2</v>
      </c>
      <c r="V803" s="845">
        <v>94.122600000000006</v>
      </c>
      <c r="W803" s="846">
        <f t="shared" si="140"/>
        <v>-3.7100085831992202E-2</v>
      </c>
      <c r="X803" s="845">
        <v>34483.72</v>
      </c>
      <c r="Y803" s="846">
        <f t="shared" si="141"/>
        <v>-1.8562759385404304E-2</v>
      </c>
      <c r="Z803" s="845">
        <v>4567.0015000000003</v>
      </c>
      <c r="AA803" s="846">
        <f t="shared" si="142"/>
        <v>-1.8961026150533522E-2</v>
      </c>
      <c r="AB803" s="843"/>
      <c r="AC803" s="832"/>
    </row>
    <row r="804" spans="1:30" ht="14.4" x14ac:dyDescent="0.55000000000000004">
      <c r="A804" s="857" t="s">
        <v>5963</v>
      </c>
      <c r="B804" s="842">
        <v>93.8</v>
      </c>
      <c r="C804" s="843">
        <f t="shared" si="133"/>
        <v>4.4977511244377322E-3</v>
      </c>
      <c r="D804" s="842">
        <v>37.72</v>
      </c>
      <c r="E804" s="843">
        <f t="shared" si="134"/>
        <v>4.2598509052182987E-3</v>
      </c>
      <c r="F804" s="842">
        <v>25.25</v>
      </c>
      <c r="G804" s="843">
        <f t="shared" si="134"/>
        <v>1.0404161664665956E-2</v>
      </c>
      <c r="H804" s="842">
        <v>44.48</v>
      </c>
      <c r="I804" s="843">
        <f t="shared" si="134"/>
        <v>5.1977401129943424E-3</v>
      </c>
      <c r="J804" s="842">
        <v>66.7</v>
      </c>
      <c r="K804" s="843">
        <f t="shared" si="135"/>
        <v>1.0146902922913759E-2</v>
      </c>
      <c r="L804" s="842">
        <v>68.89</v>
      </c>
      <c r="M804" s="843">
        <f t="shared" si="136"/>
        <v>-5.1985559566787298E-3</v>
      </c>
      <c r="N804" s="842">
        <v>61.96</v>
      </c>
      <c r="O804" s="843">
        <f t="shared" si="137"/>
        <v>7.6435192714261468E-3</v>
      </c>
      <c r="P804" s="844">
        <f t="shared" si="143"/>
        <v>5.2787671492825006E-3</v>
      </c>
      <c r="Q804" s="830"/>
      <c r="R804" s="845">
        <v>920.57</v>
      </c>
      <c r="S804" s="846">
        <f t="shared" si="138"/>
        <v>1.5017365896686785E-2</v>
      </c>
      <c r="T804" s="845">
        <v>67.75</v>
      </c>
      <c r="U804" s="846">
        <f t="shared" si="139"/>
        <v>1.4829239065308419E-2</v>
      </c>
      <c r="V804" s="845">
        <v>97.749099999999999</v>
      </c>
      <c r="W804" s="846">
        <f t="shared" si="140"/>
        <v>4.4979313831676748E-3</v>
      </c>
      <c r="X804" s="845">
        <v>35135.94</v>
      </c>
      <c r="Y804" s="846">
        <f t="shared" si="141"/>
        <v>6.7794978357758051E-3</v>
      </c>
      <c r="Z804" s="845">
        <v>4655.2701999999999</v>
      </c>
      <c r="AA804" s="846">
        <f t="shared" si="142"/>
        <v>1.3200639539523884E-2</v>
      </c>
      <c r="AB804" s="843"/>
      <c r="AC804" s="832"/>
    </row>
    <row r="805" spans="1:30" ht="14.4" x14ac:dyDescent="0.55000000000000004">
      <c r="A805" s="857" t="s">
        <v>5964</v>
      </c>
      <c r="B805" s="842">
        <v>93.38</v>
      </c>
      <c r="C805" s="843">
        <f t="shared" si="133"/>
        <v>-1.705263157894743E-2</v>
      </c>
      <c r="D805" s="842">
        <v>37.56</v>
      </c>
      <c r="E805" s="843">
        <f t="shared" si="134"/>
        <v>-4.1836734693877609E-2</v>
      </c>
      <c r="F805" s="842">
        <v>24.99</v>
      </c>
      <c r="G805" s="843">
        <f t="shared" si="134"/>
        <v>-1.8845700824499434E-2</v>
      </c>
      <c r="H805" s="842">
        <v>44.25</v>
      </c>
      <c r="I805" s="843">
        <f t="shared" si="134"/>
        <v>-3.0030688294607533E-2</v>
      </c>
      <c r="J805" s="842">
        <v>66.03</v>
      </c>
      <c r="K805" s="843">
        <f t="shared" si="135"/>
        <v>-3.7042438384132903E-2</v>
      </c>
      <c r="L805" s="842">
        <v>69.25</v>
      </c>
      <c r="M805" s="843">
        <f t="shared" si="136"/>
        <v>-1.3954150647871311E-2</v>
      </c>
      <c r="N805" s="842">
        <v>61.49</v>
      </c>
      <c r="O805" s="843">
        <f t="shared" si="137"/>
        <v>-2.1327391373547555E-2</v>
      </c>
      <c r="P805" s="844">
        <f t="shared" si="143"/>
        <v>-2.5727105113926254E-2</v>
      </c>
      <c r="Q805" s="830"/>
      <c r="R805" s="845">
        <v>906.95</v>
      </c>
      <c r="S805" s="846">
        <f t="shared" si="138"/>
        <v>-1.7229235520398789E-2</v>
      </c>
      <c r="T805" s="845">
        <v>66.760000000000005</v>
      </c>
      <c r="U805" s="846">
        <f t="shared" si="139"/>
        <v>-1.5629607785313859E-2</v>
      </c>
      <c r="V805" s="845">
        <v>97.311400000000006</v>
      </c>
      <c r="W805" s="846">
        <f t="shared" si="140"/>
        <v>-1.7052594151895528E-2</v>
      </c>
      <c r="X805" s="845">
        <v>34899.339999999997</v>
      </c>
      <c r="Y805" s="846">
        <f t="shared" si="141"/>
        <v>-2.527735433486078E-2</v>
      </c>
      <c r="Z805" s="845">
        <v>4594.6183000000001</v>
      </c>
      <c r="AA805" s="846">
        <f t="shared" si="142"/>
        <v>-2.2726235816415419E-2</v>
      </c>
      <c r="AB805" s="843"/>
      <c r="AC805" s="832"/>
    </row>
    <row r="806" spans="1:30" ht="14.4" x14ac:dyDescent="0.55000000000000004">
      <c r="A806" s="857" t="s">
        <v>5965</v>
      </c>
      <c r="B806" s="842">
        <v>95</v>
      </c>
      <c r="C806" s="843">
        <f t="shared" si="133"/>
        <v>-3.2525443290316591E-3</v>
      </c>
      <c r="D806" s="842">
        <v>39.200000000000003</v>
      </c>
      <c r="E806" s="843">
        <f t="shared" si="134"/>
        <v>9.2687950566425759E-3</v>
      </c>
      <c r="F806" s="842">
        <v>25.47</v>
      </c>
      <c r="G806" s="843">
        <f t="shared" si="134"/>
        <v>-2.7407987470634554E-3</v>
      </c>
      <c r="H806" s="842">
        <v>45.62</v>
      </c>
      <c r="I806" s="843">
        <f t="shared" si="134"/>
        <v>1.0972130787798573E-3</v>
      </c>
      <c r="J806" s="842">
        <v>68.569999999999993</v>
      </c>
      <c r="K806" s="843">
        <f t="shared" si="135"/>
        <v>8.8274238634691304E-3</v>
      </c>
      <c r="L806" s="842">
        <v>70.23</v>
      </c>
      <c r="M806" s="843">
        <f t="shared" si="136"/>
        <v>5.5841924398625231E-3</v>
      </c>
      <c r="N806" s="842">
        <v>62.83</v>
      </c>
      <c r="O806" s="843">
        <f t="shared" si="137"/>
        <v>2.2332110384430948E-3</v>
      </c>
      <c r="P806" s="844">
        <f t="shared" si="143"/>
        <v>3.0024989144431524E-3</v>
      </c>
      <c r="Q806" s="830"/>
      <c r="R806" s="845">
        <v>922.85</v>
      </c>
      <c r="S806" s="846">
        <f t="shared" si="138"/>
        <v>2.0592634339844373E-4</v>
      </c>
      <c r="T806" s="845">
        <v>67.819999999999993</v>
      </c>
      <c r="U806" s="846">
        <f t="shared" si="139"/>
        <v>5.9014458542328008E-4</v>
      </c>
      <c r="V806" s="845">
        <v>98.999600000000001</v>
      </c>
      <c r="W806" s="846">
        <f t="shared" si="140"/>
        <v>-3.2520292461131195E-3</v>
      </c>
      <c r="X806" s="845">
        <v>35804.379999999997</v>
      </c>
      <c r="Y806" s="846">
        <f t="shared" si="141"/>
        <v>-2.6302710128511819E-4</v>
      </c>
      <c r="Z806" s="845">
        <v>4701.4648999999999</v>
      </c>
      <c r="AA806" s="846">
        <f t="shared" si="142"/>
        <v>2.2953513038923568E-3</v>
      </c>
      <c r="AB806" s="843"/>
      <c r="AC806" s="832"/>
    </row>
    <row r="807" spans="1:30" ht="14.4" x14ac:dyDescent="0.55000000000000004">
      <c r="A807" s="857" t="s">
        <v>5966</v>
      </c>
      <c r="B807" s="842">
        <v>95.31</v>
      </c>
      <c r="C807" s="843">
        <f t="shared" si="133"/>
        <v>-3.2419995816774794E-3</v>
      </c>
      <c r="D807" s="842">
        <v>38.840000000000003</v>
      </c>
      <c r="E807" s="843">
        <f t="shared" si="134"/>
        <v>-4.3578569597537697E-3</v>
      </c>
      <c r="F807" s="842">
        <v>25.54</v>
      </c>
      <c r="G807" s="843">
        <f t="shared" si="134"/>
        <v>2.748331370239443E-3</v>
      </c>
      <c r="H807" s="842">
        <v>45.57</v>
      </c>
      <c r="I807" s="843">
        <f t="shared" si="134"/>
        <v>-6.1068702290076882E-3</v>
      </c>
      <c r="J807" s="842">
        <v>67.97</v>
      </c>
      <c r="K807" s="843">
        <f t="shared" si="135"/>
        <v>5.8884145443838243E-4</v>
      </c>
      <c r="L807" s="842">
        <v>69.84</v>
      </c>
      <c r="M807" s="843">
        <f t="shared" si="136"/>
        <v>6.4850843060959562E-3</v>
      </c>
      <c r="N807" s="842">
        <v>62.69</v>
      </c>
      <c r="O807" s="843">
        <f t="shared" si="137"/>
        <v>3.1913196106581054E-4</v>
      </c>
      <c r="P807" s="844">
        <f t="shared" si="143"/>
        <v>-5.0933395408562078E-4</v>
      </c>
      <c r="Q807" s="830"/>
      <c r="R807" s="845">
        <v>922.66</v>
      </c>
      <c r="S807" s="846">
        <f t="shared" si="138"/>
        <v>1.258817145957547E-3</v>
      </c>
      <c r="T807" s="845">
        <v>67.78</v>
      </c>
      <c r="U807" s="846">
        <f t="shared" si="139"/>
        <v>1.0338207059519267E-3</v>
      </c>
      <c r="V807" s="845">
        <v>99.322599999999994</v>
      </c>
      <c r="W807" s="846">
        <f t="shared" si="140"/>
        <v>-3.2424881354640167E-3</v>
      </c>
      <c r="X807" s="845">
        <v>35813.800000000003</v>
      </c>
      <c r="Y807" s="846">
        <f t="shared" si="141"/>
        <v>5.4619342069246457E-3</v>
      </c>
      <c r="Z807" s="845">
        <v>4690.6980999999996</v>
      </c>
      <c r="AA807" s="846">
        <f t="shared" si="142"/>
        <v>1.655838755616923E-3</v>
      </c>
      <c r="AB807" s="843"/>
      <c r="AC807" s="832"/>
    </row>
    <row r="808" spans="1:30" ht="14.4" x14ac:dyDescent="0.55000000000000004">
      <c r="A808" s="857" t="s">
        <v>5967</v>
      </c>
      <c r="B808" s="842">
        <v>95.62</v>
      </c>
      <c r="C808" s="843">
        <f t="shared" si="133"/>
        <v>7.5869336143308264E-3</v>
      </c>
      <c r="D808" s="842">
        <v>39.01</v>
      </c>
      <c r="E808" s="843">
        <f t="shared" si="134"/>
        <v>2.0669806384091993E-2</v>
      </c>
      <c r="F808" s="842">
        <v>25.47</v>
      </c>
      <c r="G808" s="843">
        <f t="shared" si="134"/>
        <v>9.9127676447263724E-3</v>
      </c>
      <c r="H808" s="842">
        <v>45.85</v>
      </c>
      <c r="I808" s="843">
        <f t="shared" si="134"/>
        <v>5.2620039465030022E-3</v>
      </c>
      <c r="J808" s="842">
        <v>67.930000000000007</v>
      </c>
      <c r="K808" s="843">
        <f t="shared" si="135"/>
        <v>-2.9433406916845595E-4</v>
      </c>
      <c r="L808" s="842">
        <v>69.39</v>
      </c>
      <c r="M808" s="843">
        <f t="shared" si="136"/>
        <v>-7.8638833285673559E-3</v>
      </c>
      <c r="N808" s="842">
        <v>62.67</v>
      </c>
      <c r="O808" s="843">
        <f t="shared" si="137"/>
        <v>1.6709928617780756E-2</v>
      </c>
      <c r="P808" s="844">
        <f t="shared" si="143"/>
        <v>7.4261746870995914E-3</v>
      </c>
      <c r="Q808" s="830"/>
      <c r="R808" s="845">
        <v>921.5</v>
      </c>
      <c r="S808" s="846">
        <f t="shared" si="138"/>
        <v>7.7756755870033167E-3</v>
      </c>
      <c r="T808" s="845">
        <v>67.709999999999994</v>
      </c>
      <c r="U808" s="846">
        <f t="shared" si="139"/>
        <v>6.0921248142644657E-3</v>
      </c>
      <c r="V808" s="845">
        <v>99.645700000000005</v>
      </c>
      <c r="W808" s="846">
        <f t="shared" si="140"/>
        <v>7.5868038351634137E-3</v>
      </c>
      <c r="X808" s="845">
        <v>35619.25</v>
      </c>
      <c r="Y808" s="846">
        <f t="shared" si="141"/>
        <v>4.8508538008262825E-4</v>
      </c>
      <c r="Z808" s="845">
        <v>4682.9439000000002</v>
      </c>
      <c r="AA808" s="846">
        <f t="shared" si="142"/>
        <v>-3.1952625515726529E-3</v>
      </c>
      <c r="AB808" s="843"/>
      <c r="AC808" s="832"/>
    </row>
    <row r="809" spans="1:30" ht="14.4" x14ac:dyDescent="0.55000000000000004">
      <c r="A809" s="857" t="s">
        <v>5968</v>
      </c>
      <c r="B809" s="842">
        <v>94.9</v>
      </c>
      <c r="C809" s="843">
        <f t="shared" si="133"/>
        <v>2.4727351257963548E-2</v>
      </c>
      <c r="D809" s="842">
        <v>38.22</v>
      </c>
      <c r="E809" s="843">
        <f t="shared" si="134"/>
        <v>2.0975353959098442E-3</v>
      </c>
      <c r="F809" s="842">
        <v>25.22</v>
      </c>
      <c r="G809" s="843">
        <f t="shared" si="134"/>
        <v>3.9808917197450278E-3</v>
      </c>
      <c r="H809" s="842">
        <v>45.61</v>
      </c>
      <c r="I809" s="843">
        <f t="shared" si="134"/>
        <v>-3.7134119702927348E-3</v>
      </c>
      <c r="J809" s="842">
        <v>67.95</v>
      </c>
      <c r="K809" s="843">
        <f t="shared" si="135"/>
        <v>1.1010266329415375E-2</v>
      </c>
      <c r="L809" s="842">
        <v>69.94</v>
      </c>
      <c r="M809" s="843">
        <f t="shared" si="136"/>
        <v>1.5536518077537309E-2</v>
      </c>
      <c r="N809" s="842">
        <v>61.64</v>
      </c>
      <c r="O809" s="843">
        <f t="shared" si="137"/>
        <v>5.7105563713493179E-3</v>
      </c>
      <c r="P809" s="844">
        <f t="shared" si="143"/>
        <v>8.4785295973753838E-3</v>
      </c>
      <c r="Q809" s="830"/>
      <c r="R809" s="845">
        <v>914.39</v>
      </c>
      <c r="S809" s="846">
        <f t="shared" si="138"/>
        <v>6.594011448701087E-3</v>
      </c>
      <c r="T809" s="845">
        <v>67.3</v>
      </c>
      <c r="U809" s="846">
        <f t="shared" si="139"/>
        <v>5.6784219964136629E-3</v>
      </c>
      <c r="V809" s="845">
        <v>98.895399999999995</v>
      </c>
      <c r="W809" s="846">
        <f t="shared" si="140"/>
        <v>2.4727227512459926E-2</v>
      </c>
      <c r="X809" s="845">
        <v>35601.980000000003</v>
      </c>
      <c r="Y809" s="846">
        <f t="shared" si="141"/>
        <v>-7.4982680971648064E-3</v>
      </c>
      <c r="Z809" s="845">
        <v>4697.9551000000001</v>
      </c>
      <c r="AA809" s="846">
        <f t="shared" si="142"/>
        <v>-1.4000938114718808E-3</v>
      </c>
      <c r="AB809" s="843"/>
      <c r="AC809" s="832"/>
    </row>
    <row r="810" spans="1:30" ht="14.4" x14ac:dyDescent="0.55000000000000004">
      <c r="A810" s="857" t="s">
        <v>5969</v>
      </c>
      <c r="B810" s="842">
        <v>92.61</v>
      </c>
      <c r="C810" s="843">
        <f t="shared" si="133"/>
        <v>-1.3212573255194426E-2</v>
      </c>
      <c r="D810" s="842">
        <v>38.14</v>
      </c>
      <c r="E810" s="843">
        <f t="shared" si="134"/>
        <v>4.7418335089568497E-3</v>
      </c>
      <c r="F810" s="842">
        <v>25.12</v>
      </c>
      <c r="G810" s="843">
        <f t="shared" si="134"/>
        <v>-6.722024515618763E-3</v>
      </c>
      <c r="H810" s="842">
        <v>45.78</v>
      </c>
      <c r="I810" s="843">
        <f t="shared" si="134"/>
        <v>-4.1331303023710575E-3</v>
      </c>
      <c r="J810" s="842">
        <v>67.209999999999994</v>
      </c>
      <c r="K810" s="843">
        <f t="shared" si="135"/>
        <v>-1.4371608740284536E-2</v>
      </c>
      <c r="L810" s="842">
        <v>68.87</v>
      </c>
      <c r="M810" s="843">
        <f t="shared" si="136"/>
        <v>1.4522218995072222E-4</v>
      </c>
      <c r="N810" s="842">
        <v>61.29</v>
      </c>
      <c r="O810" s="843">
        <f t="shared" si="137"/>
        <v>-9.854604200323136E-3</v>
      </c>
      <c r="P810" s="844">
        <f t="shared" si="143"/>
        <v>-6.2009836164120492E-3</v>
      </c>
      <c r="Q810" s="830"/>
      <c r="R810" s="845">
        <v>908.4</v>
      </c>
      <c r="S810" s="846">
        <f t="shared" si="138"/>
        <v>-4.318565447092193E-3</v>
      </c>
      <c r="T810" s="845">
        <v>66.92</v>
      </c>
      <c r="U810" s="846">
        <f t="shared" si="139"/>
        <v>-5.20291363163361E-3</v>
      </c>
      <c r="V810" s="845">
        <v>96.509</v>
      </c>
      <c r="W810" s="846">
        <f t="shared" si="140"/>
        <v>-1.3212516819834486E-2</v>
      </c>
      <c r="X810" s="845">
        <v>35870.949999999997</v>
      </c>
      <c r="Y810" s="846">
        <f t="shared" si="141"/>
        <v>-1.6726480300466307E-3</v>
      </c>
      <c r="Z810" s="845">
        <v>4704.5419000000002</v>
      </c>
      <c r="AA810" s="846">
        <f t="shared" si="142"/>
        <v>3.3850105958603827E-3</v>
      </c>
      <c r="AB810" s="843"/>
      <c r="AC810" s="832"/>
    </row>
    <row r="811" spans="1:30" ht="14.4" x14ac:dyDescent="0.55000000000000004">
      <c r="A811" s="857" t="s">
        <v>5970</v>
      </c>
      <c r="B811" s="842">
        <v>93.85</v>
      </c>
      <c r="C811" s="843">
        <f t="shared" si="133"/>
        <v>-7.6134080575235297E-3</v>
      </c>
      <c r="D811" s="842">
        <v>37.96</v>
      </c>
      <c r="E811" s="843">
        <f t="shared" si="134"/>
        <v>2.3765513599156574E-3</v>
      </c>
      <c r="F811" s="842">
        <v>25.29</v>
      </c>
      <c r="G811" s="843">
        <f t="shared" si="134"/>
        <v>3.9556962025311115E-4</v>
      </c>
      <c r="H811" s="842">
        <v>45.97</v>
      </c>
      <c r="I811" s="843">
        <f t="shared" si="134"/>
        <v>-5.6240536448193268E-3</v>
      </c>
      <c r="J811" s="842">
        <v>68.19</v>
      </c>
      <c r="K811" s="843">
        <f t="shared" si="135"/>
        <v>1.6157461809636064E-3</v>
      </c>
      <c r="L811" s="842">
        <v>68.86</v>
      </c>
      <c r="M811" s="843">
        <f t="shared" si="136"/>
        <v>-7.4949553185355011E-3</v>
      </c>
      <c r="N811" s="842">
        <v>61.9</v>
      </c>
      <c r="O811" s="843">
        <f t="shared" si="137"/>
        <v>-6.8987646398203095E-3</v>
      </c>
      <c r="P811" s="844">
        <f t="shared" si="143"/>
        <v>-3.3204734999380419E-3</v>
      </c>
      <c r="Q811" s="830"/>
      <c r="R811" s="845">
        <v>912.34</v>
      </c>
      <c r="S811" s="846">
        <f t="shared" si="138"/>
        <v>-9.9644128113873798E-4</v>
      </c>
      <c r="T811" s="845">
        <v>67.27</v>
      </c>
      <c r="U811" s="846">
        <f t="shared" si="139"/>
        <v>8.9272429697961897E-4</v>
      </c>
      <c r="V811" s="845">
        <v>97.801199999999994</v>
      </c>
      <c r="W811" s="846">
        <f t="shared" si="140"/>
        <v>-7.6132783367073298E-3</v>
      </c>
      <c r="X811" s="845">
        <v>35931.050000000003</v>
      </c>
      <c r="Y811" s="846">
        <f t="shared" si="141"/>
        <v>-5.8427512200411869E-3</v>
      </c>
      <c r="Z811" s="845">
        <v>4688.6706999999997</v>
      </c>
      <c r="AA811" s="846">
        <f t="shared" si="142"/>
        <v>-2.6008652688868095E-3</v>
      </c>
      <c r="AB811" s="843"/>
      <c r="AC811" s="832"/>
    </row>
    <row r="812" spans="1:30" ht="14.4" x14ac:dyDescent="0.55000000000000004">
      <c r="A812" s="857" t="s">
        <v>5971</v>
      </c>
      <c r="B812" s="842">
        <v>94.57</v>
      </c>
      <c r="C812" s="843">
        <f t="shared" si="133"/>
        <v>-1.7046045109656016E-2</v>
      </c>
      <c r="D812" s="842">
        <v>37.869999999999997</v>
      </c>
      <c r="E812" s="843">
        <f t="shared" si="134"/>
        <v>-3.3435426237876542E-2</v>
      </c>
      <c r="F812" s="842">
        <v>25.28</v>
      </c>
      <c r="G812" s="843">
        <f t="shared" si="134"/>
        <v>-1.0180109631949819E-2</v>
      </c>
      <c r="H812" s="842">
        <v>46.23</v>
      </c>
      <c r="I812" s="843">
        <f t="shared" si="134"/>
        <v>-1.3654789844250059E-2</v>
      </c>
      <c r="J812" s="842">
        <v>68.08</v>
      </c>
      <c r="K812" s="843">
        <f t="shared" si="135"/>
        <v>-1.2904161229520095E-2</v>
      </c>
      <c r="L812" s="842">
        <v>69.38</v>
      </c>
      <c r="M812" s="843">
        <f t="shared" si="136"/>
        <v>-2.6655443322110117E-2</v>
      </c>
      <c r="N812" s="842">
        <v>62.33</v>
      </c>
      <c r="O812" s="843">
        <f t="shared" si="137"/>
        <v>-2.0122622229209242E-2</v>
      </c>
      <c r="P812" s="844">
        <f t="shared" si="143"/>
        <v>-1.9142656800653128E-2</v>
      </c>
      <c r="Q812" s="830"/>
      <c r="R812" s="845">
        <v>913.25</v>
      </c>
      <c r="S812" s="846">
        <f t="shared" si="138"/>
        <v>-6.9159752503779037E-3</v>
      </c>
      <c r="T812" s="845">
        <v>67.209999999999994</v>
      </c>
      <c r="U812" s="846">
        <f t="shared" si="139"/>
        <v>-4.7386346808826474E-3</v>
      </c>
      <c r="V812" s="845">
        <v>98.551500000000004</v>
      </c>
      <c r="W812" s="846">
        <f t="shared" si="140"/>
        <v>-1.7045596221841985E-2</v>
      </c>
      <c r="X812" s="845">
        <v>36142.22</v>
      </c>
      <c r="Y812" s="846">
        <f t="shared" si="141"/>
        <v>1.5177021374468413E-3</v>
      </c>
      <c r="Z812" s="845">
        <v>4700.8971000000001</v>
      </c>
      <c r="AA812" s="846">
        <f t="shared" si="142"/>
        <v>3.8638392578291825E-3</v>
      </c>
      <c r="AB812" s="843"/>
      <c r="AC812" s="832"/>
    </row>
    <row r="813" spans="1:30" ht="14.4" x14ac:dyDescent="0.55000000000000004">
      <c r="A813" s="857" t="s">
        <v>5972</v>
      </c>
      <c r="B813" s="842">
        <v>96.21</v>
      </c>
      <c r="C813" s="843">
        <f t="shared" si="133"/>
        <v>8.1735303363721368E-3</v>
      </c>
      <c r="D813" s="842">
        <v>39.18</v>
      </c>
      <c r="E813" s="843">
        <f t="shared" si="134"/>
        <v>8.7538619979401489E-3</v>
      </c>
      <c r="F813" s="842">
        <v>25.54</v>
      </c>
      <c r="G813" s="843">
        <f t="shared" si="134"/>
        <v>1.8341307814992103E-2</v>
      </c>
      <c r="H813" s="842">
        <v>46.87</v>
      </c>
      <c r="I813" s="843">
        <f t="shared" si="134"/>
        <v>1.7364879531148292E-2</v>
      </c>
      <c r="J813" s="842">
        <v>68.97</v>
      </c>
      <c r="K813" s="843">
        <f t="shared" si="135"/>
        <v>3.1095828972940609E-2</v>
      </c>
      <c r="L813" s="842">
        <v>71.28</v>
      </c>
      <c r="M813" s="843">
        <f t="shared" si="136"/>
        <v>2.4579560155239433E-2</v>
      </c>
      <c r="N813" s="842">
        <v>63.61</v>
      </c>
      <c r="O813" s="843">
        <f t="shared" si="137"/>
        <v>2.563689132537883E-2</v>
      </c>
      <c r="P813" s="844">
        <f t="shared" si="143"/>
        <v>1.9135122876287363E-2</v>
      </c>
      <c r="Q813" s="830"/>
      <c r="R813" s="845">
        <v>919.61</v>
      </c>
      <c r="S813" s="846">
        <f t="shared" si="138"/>
        <v>1.2462979885278891E-2</v>
      </c>
      <c r="T813" s="845">
        <v>67.53</v>
      </c>
      <c r="U813" s="846">
        <f t="shared" si="139"/>
        <v>1.3203300825206155E-2</v>
      </c>
      <c r="V813" s="845">
        <v>100.26049999999999</v>
      </c>
      <c r="W813" s="846">
        <f t="shared" si="140"/>
        <v>8.1731402536207032E-3</v>
      </c>
      <c r="X813" s="845">
        <v>36087.449999999997</v>
      </c>
      <c r="Y813" s="846">
        <f t="shared" si="141"/>
        <v>-3.56229627945015E-4</v>
      </c>
      <c r="Z813" s="845">
        <v>4682.8035</v>
      </c>
      <c r="AA813" s="846">
        <f t="shared" si="142"/>
        <v>-9.374638174075578E-6</v>
      </c>
      <c r="AB813" s="843"/>
      <c r="AC813" s="832"/>
    </row>
    <row r="814" spans="1:30" ht="14.4" x14ac:dyDescent="0.55000000000000004">
      <c r="A814" s="857" t="s">
        <v>5973</v>
      </c>
      <c r="B814" s="842">
        <v>95.43</v>
      </c>
      <c r="C814" s="843">
        <f t="shared" si="133"/>
        <v>6.9642291864515649E-3</v>
      </c>
      <c r="D814" s="842">
        <v>38.840000000000003</v>
      </c>
      <c r="E814" s="843">
        <f t="shared" si="134"/>
        <v>-4.3578569597537697E-3</v>
      </c>
      <c r="F814" s="842">
        <v>25.08</v>
      </c>
      <c r="G814" s="843">
        <f t="shared" si="134"/>
        <v>-3.985651654045963E-4</v>
      </c>
      <c r="H814" s="842">
        <v>46.07</v>
      </c>
      <c r="I814" s="843">
        <f t="shared" si="134"/>
        <v>8.97941305300054E-3</v>
      </c>
      <c r="J814" s="842">
        <v>66.89</v>
      </c>
      <c r="K814" s="843">
        <f t="shared" si="135"/>
        <v>-1.1526525786907049E-2</v>
      </c>
      <c r="L814" s="842">
        <v>69.569999999999993</v>
      </c>
      <c r="M814" s="843">
        <f t="shared" si="136"/>
        <v>-9.1155106110241135E-3</v>
      </c>
      <c r="N814" s="842">
        <v>62.02</v>
      </c>
      <c r="O814" s="843">
        <f t="shared" si="137"/>
        <v>-1.4460511679644017E-2</v>
      </c>
      <c r="P814" s="844">
        <f t="shared" si="143"/>
        <v>-3.4164754233259203E-3</v>
      </c>
      <c r="Q814" s="830"/>
      <c r="R814" s="845">
        <v>908.29</v>
      </c>
      <c r="S814" s="846">
        <f t="shared" si="138"/>
        <v>-2.1642168171731591E-3</v>
      </c>
      <c r="T814" s="845">
        <v>66.650000000000006</v>
      </c>
      <c r="U814" s="846">
        <f t="shared" si="139"/>
        <v>-5.9979007347421565E-4</v>
      </c>
      <c r="V814" s="845">
        <v>99.447699999999998</v>
      </c>
      <c r="W814" s="846">
        <f t="shared" si="140"/>
        <v>6.9643650914996691E-3</v>
      </c>
      <c r="X814" s="845">
        <v>36100.31</v>
      </c>
      <c r="Y814" s="846">
        <f t="shared" si="141"/>
        <v>4.9853526730569975E-3</v>
      </c>
      <c r="Z814" s="845">
        <v>4682.8473999999997</v>
      </c>
      <c r="AA814" s="846">
        <f t="shared" si="142"/>
        <v>7.2222533382235721E-3</v>
      </c>
      <c r="AB814" s="843"/>
      <c r="AC814" s="832"/>
    </row>
    <row r="815" spans="1:30" ht="14.4" x14ac:dyDescent="0.55000000000000004">
      <c r="A815" s="857" t="s">
        <v>5974</v>
      </c>
      <c r="B815" s="842">
        <v>94.77</v>
      </c>
      <c r="C815" s="843">
        <f t="shared" si="133"/>
        <v>7.4412671414905152E-3</v>
      </c>
      <c r="D815" s="842">
        <v>39.01</v>
      </c>
      <c r="E815" s="843">
        <f t="shared" si="134"/>
        <v>4.3769309989700744E-3</v>
      </c>
      <c r="F815" s="842">
        <v>25.09</v>
      </c>
      <c r="G815" s="843">
        <f t="shared" si="134"/>
        <v>-8.6922165152113484E-3</v>
      </c>
      <c r="H815" s="842">
        <v>45.66</v>
      </c>
      <c r="I815" s="843">
        <f t="shared" si="134"/>
        <v>-1.312335958005284E-3</v>
      </c>
      <c r="J815" s="842">
        <v>67.67</v>
      </c>
      <c r="K815" s="843">
        <f t="shared" si="135"/>
        <v>-1.5852239674229218E-2</v>
      </c>
      <c r="L815" s="842">
        <v>70.209999999999994</v>
      </c>
      <c r="M815" s="843">
        <f t="shared" si="136"/>
        <v>-7.7727529677785734E-3</v>
      </c>
      <c r="N815" s="842">
        <v>62.93</v>
      </c>
      <c r="O815" s="843">
        <f t="shared" si="137"/>
        <v>-3.7992718062371811E-3</v>
      </c>
      <c r="P815" s="844">
        <f t="shared" si="143"/>
        <v>-3.6586598258572878E-3</v>
      </c>
      <c r="Q815" s="830"/>
      <c r="R815" s="845">
        <v>910.26</v>
      </c>
      <c r="S815" s="846">
        <f t="shared" si="138"/>
        <v>-7.3933525255168719E-3</v>
      </c>
      <c r="T815" s="845">
        <v>66.69</v>
      </c>
      <c r="U815" s="846">
        <f t="shared" si="139"/>
        <v>-6.1102831594634921E-3</v>
      </c>
      <c r="V815" s="845">
        <v>98.759900000000002</v>
      </c>
      <c r="W815" s="846">
        <f t="shared" si="140"/>
        <v>7.441569145897553E-3</v>
      </c>
      <c r="X815" s="845">
        <v>35921.230000000003</v>
      </c>
      <c r="Y815" s="846">
        <f t="shared" si="141"/>
        <v>-4.3988432353269102E-3</v>
      </c>
      <c r="Z815" s="845">
        <v>4649.2691999999997</v>
      </c>
      <c r="AA815" s="846">
        <f t="shared" si="142"/>
        <v>5.5125051227133959E-4</v>
      </c>
      <c r="AB815" s="843"/>
      <c r="AD815" s="832"/>
    </row>
    <row r="816" spans="1:30" ht="14.4" x14ac:dyDescent="0.55000000000000004">
      <c r="A816" s="857" t="s">
        <v>5975</v>
      </c>
      <c r="B816" s="842">
        <v>94.07</v>
      </c>
      <c r="C816" s="843">
        <f t="shared" si="133"/>
        <v>9.9849688640754053E-3</v>
      </c>
      <c r="D816" s="842">
        <v>38.840000000000003</v>
      </c>
      <c r="E816" s="843">
        <f t="shared" si="134"/>
        <v>3.3583053474555147E-3</v>
      </c>
      <c r="F816" s="842">
        <v>25.31</v>
      </c>
      <c r="G816" s="843">
        <f t="shared" si="134"/>
        <v>1.1186576108669577E-2</v>
      </c>
      <c r="H816" s="842">
        <v>45.72</v>
      </c>
      <c r="I816" s="843">
        <f t="shared" si="134"/>
        <v>1.1728258464261954E-2</v>
      </c>
      <c r="J816" s="842">
        <v>68.760000000000005</v>
      </c>
      <c r="K816" s="843">
        <f t="shared" si="135"/>
        <v>3.9421813403417438E-3</v>
      </c>
      <c r="L816" s="842">
        <v>70.760000000000005</v>
      </c>
      <c r="M816" s="843">
        <f t="shared" si="136"/>
        <v>4.0741285483159473E-2</v>
      </c>
      <c r="N816" s="842">
        <v>63.17</v>
      </c>
      <c r="O816" s="843">
        <f t="shared" si="137"/>
        <v>2.498783060197951E-2</v>
      </c>
      <c r="P816" s="844">
        <f t="shared" si="143"/>
        <v>1.5132772315706169E-2</v>
      </c>
      <c r="Q816" s="830"/>
      <c r="R816" s="845">
        <v>917.04</v>
      </c>
      <c r="S816" s="846">
        <f t="shared" si="138"/>
        <v>7.802712266742784E-3</v>
      </c>
      <c r="T816" s="845">
        <v>67.099999999999994</v>
      </c>
      <c r="U816" s="846">
        <f t="shared" si="139"/>
        <v>8.1129807692306155E-3</v>
      </c>
      <c r="V816" s="845">
        <v>98.0304</v>
      </c>
      <c r="W816" s="846">
        <f t="shared" si="140"/>
        <v>9.9844119128837949E-3</v>
      </c>
      <c r="X816" s="845">
        <v>36079.94</v>
      </c>
      <c r="Y816" s="846">
        <f t="shared" si="141"/>
        <v>-6.6090344763406472E-3</v>
      </c>
      <c r="Z816" s="845">
        <v>4646.7076999999999</v>
      </c>
      <c r="AA816" s="846">
        <f t="shared" si="142"/>
        <v>-8.2265599761224273E-3</v>
      </c>
      <c r="AB816" s="843"/>
    </row>
    <row r="817" spans="1:28" ht="14.4" x14ac:dyDescent="0.55000000000000004">
      <c r="A817" s="857" t="s">
        <v>5976</v>
      </c>
      <c r="B817" s="842">
        <v>93.14</v>
      </c>
      <c r="C817" s="843">
        <f t="shared" si="133"/>
        <v>1.8285468430676577E-3</v>
      </c>
      <c r="D817" s="842">
        <v>38.71</v>
      </c>
      <c r="E817" s="843">
        <f t="shared" si="134"/>
        <v>0</v>
      </c>
      <c r="F817" s="842">
        <v>25.03</v>
      </c>
      <c r="G817" s="843">
        <f t="shared" si="134"/>
        <v>-1.5955325089748174E-3</v>
      </c>
      <c r="H817" s="842">
        <v>45.19</v>
      </c>
      <c r="I817" s="843">
        <f t="shared" si="134"/>
        <v>-1.1808440848458335E-2</v>
      </c>
      <c r="J817" s="842">
        <v>68.489999999999995</v>
      </c>
      <c r="K817" s="843">
        <f t="shared" si="135"/>
        <v>-6.5274151436032213E-3</v>
      </c>
      <c r="L817" s="842">
        <v>67.989999999999995</v>
      </c>
      <c r="M817" s="843">
        <f t="shared" si="136"/>
        <v>-1.2777697110498143E-2</v>
      </c>
      <c r="N817" s="842">
        <v>61.63</v>
      </c>
      <c r="O817" s="843">
        <f t="shared" si="137"/>
        <v>3.7459283387621944E-3</v>
      </c>
      <c r="P817" s="844">
        <f t="shared" si="143"/>
        <v>-3.8763729185292378E-3</v>
      </c>
      <c r="Q817" s="830"/>
      <c r="R817" s="845">
        <v>909.94</v>
      </c>
      <c r="S817" s="846">
        <f t="shared" si="138"/>
        <v>3.241455347298805E-3</v>
      </c>
      <c r="T817" s="845">
        <v>66.56</v>
      </c>
      <c r="U817" s="846">
        <f t="shared" si="139"/>
        <v>5.1344004832376555E-3</v>
      </c>
      <c r="V817" s="845">
        <v>97.061300000000003</v>
      </c>
      <c r="W817" s="846">
        <f t="shared" si="140"/>
        <v>1.8289894833105613E-3</v>
      </c>
      <c r="X817" s="845">
        <v>36319.980000000003</v>
      </c>
      <c r="Y817" s="846">
        <f t="shared" si="141"/>
        <v>-3.0807894770068511E-3</v>
      </c>
      <c r="Z817" s="845">
        <v>4685.2511999999997</v>
      </c>
      <c r="AA817" s="846">
        <f t="shared" si="142"/>
        <v>-3.4989031631524892E-3</v>
      </c>
      <c r="AB817" s="843"/>
    </row>
    <row r="818" spans="1:28" ht="14.4" x14ac:dyDescent="0.55000000000000004">
      <c r="A818" s="857" t="s">
        <v>5977</v>
      </c>
      <c r="B818" s="842">
        <v>92.97</v>
      </c>
      <c r="C818" s="843">
        <f t="shared" si="133"/>
        <v>-1.0852218321097951E-2</v>
      </c>
      <c r="D818" s="842">
        <v>38.71</v>
      </c>
      <c r="E818" s="843">
        <f t="shared" si="134"/>
        <v>-1.0480572597136972E-2</v>
      </c>
      <c r="F818" s="842">
        <v>25.07</v>
      </c>
      <c r="G818" s="843">
        <f t="shared" si="134"/>
        <v>-9.4824180165942185E-3</v>
      </c>
      <c r="H818" s="842">
        <v>45.73</v>
      </c>
      <c r="I818" s="843">
        <f t="shared" si="134"/>
        <v>-2.764193068254317E-2</v>
      </c>
      <c r="J818" s="842">
        <v>68.94</v>
      </c>
      <c r="K818" s="843">
        <f t="shared" si="135"/>
        <v>-4.7639670853183436E-3</v>
      </c>
      <c r="L818" s="842">
        <v>68.87</v>
      </c>
      <c r="M818" s="843">
        <f t="shared" si="136"/>
        <v>-3.2181000562113482E-2</v>
      </c>
      <c r="N818" s="842">
        <v>61.4</v>
      </c>
      <c r="O818" s="843">
        <f t="shared" si="137"/>
        <v>-3.0781373322809835E-2</v>
      </c>
      <c r="P818" s="844">
        <f t="shared" si="143"/>
        <v>-1.8026211512516283E-2</v>
      </c>
      <c r="Q818" s="830"/>
      <c r="R818" s="845">
        <v>907</v>
      </c>
      <c r="S818" s="846">
        <f t="shared" si="138"/>
        <v>-1.2662091601880143E-2</v>
      </c>
      <c r="T818" s="845">
        <v>66.22</v>
      </c>
      <c r="U818" s="846">
        <f t="shared" si="139"/>
        <v>-1.4876524843796535E-2</v>
      </c>
      <c r="V818" s="845">
        <v>96.884100000000004</v>
      </c>
      <c r="W818" s="846">
        <f t="shared" si="140"/>
        <v>-1.0852797071072007E-2</v>
      </c>
      <c r="X818" s="845">
        <v>36432.22</v>
      </c>
      <c r="Y818" s="846">
        <f t="shared" si="141"/>
        <v>2.8702362623256317E-3</v>
      </c>
      <c r="Z818" s="845">
        <v>4701.7020000000002</v>
      </c>
      <c r="AA818" s="846">
        <f t="shared" si="142"/>
        <v>8.8880812771541251E-4</v>
      </c>
      <c r="AB818" s="843"/>
    </row>
    <row r="819" spans="1:28" ht="14.4" x14ac:dyDescent="0.55000000000000004">
      <c r="A819" s="857" t="s">
        <v>5978</v>
      </c>
      <c r="B819" s="842">
        <v>93.99</v>
      </c>
      <c r="C819" s="843">
        <f t="shared" si="133"/>
        <v>3.8449214995193159E-3</v>
      </c>
      <c r="D819" s="842">
        <v>39.119999999999997</v>
      </c>
      <c r="E819" s="843">
        <f t="shared" si="134"/>
        <v>1.5049299429164442E-2</v>
      </c>
      <c r="F819" s="842">
        <v>25.31</v>
      </c>
      <c r="G819" s="843">
        <f t="shared" si="134"/>
        <v>9.5731950538491262E-3</v>
      </c>
      <c r="H819" s="842">
        <v>47.03</v>
      </c>
      <c r="I819" s="843">
        <f t="shared" si="134"/>
        <v>1.8185754492314521E-2</v>
      </c>
      <c r="J819" s="842">
        <v>69.27</v>
      </c>
      <c r="K819" s="843">
        <f t="shared" si="135"/>
        <v>-4.3290043290045155E-4</v>
      </c>
      <c r="L819" s="842">
        <v>71.16</v>
      </c>
      <c r="M819" s="843">
        <f t="shared" si="136"/>
        <v>5.3687482339643822E-3</v>
      </c>
      <c r="N819" s="842">
        <v>63.35</v>
      </c>
      <c r="O819" s="843">
        <f t="shared" si="137"/>
        <v>8.2763011300335254E-3</v>
      </c>
      <c r="P819" s="844">
        <f t="shared" si="143"/>
        <v>8.5521884865635521E-3</v>
      </c>
      <c r="Q819" s="830"/>
      <c r="R819" s="845">
        <v>918.6318</v>
      </c>
      <c r="S819" s="846">
        <f t="shared" si="138"/>
        <v>8.2556442142003306E-3</v>
      </c>
      <c r="T819" s="845">
        <v>67.22</v>
      </c>
      <c r="U819" s="846">
        <f t="shared" si="139"/>
        <v>9.4608800120137282E-3</v>
      </c>
      <c r="V819" s="845">
        <v>97.947100000000006</v>
      </c>
      <c r="W819" s="846">
        <f t="shared" si="140"/>
        <v>3.8453694147597695E-3</v>
      </c>
      <c r="X819" s="845">
        <v>36327.950199999999</v>
      </c>
      <c r="Y819" s="846">
        <f t="shared" si="141"/>
        <v>5.6394336986558269E-3</v>
      </c>
      <c r="Z819" s="845">
        <v>4697.5267999999996</v>
      </c>
      <c r="AA819" s="846">
        <f t="shared" si="142"/>
        <v>3.7330751483775071E-3</v>
      </c>
      <c r="AB819" s="843"/>
    </row>
    <row r="820" spans="1:28" ht="14.4" x14ac:dyDescent="0.55000000000000004">
      <c r="A820" s="857" t="s">
        <v>5979</v>
      </c>
      <c r="B820" s="842">
        <v>93.63</v>
      </c>
      <c r="C820" s="843">
        <f t="shared" si="133"/>
        <v>2.892030848328897E-3</v>
      </c>
      <c r="D820" s="842">
        <v>38.54</v>
      </c>
      <c r="E820" s="843">
        <f t="shared" si="134"/>
        <v>-8.7448559670783022E-3</v>
      </c>
      <c r="F820" s="842">
        <v>25.07</v>
      </c>
      <c r="G820" s="843">
        <f t="shared" si="134"/>
        <v>-8.6990905496243665E-3</v>
      </c>
      <c r="H820" s="842">
        <v>46.19</v>
      </c>
      <c r="I820" s="843">
        <f t="shared" si="134"/>
        <v>-3.8818201423334031E-3</v>
      </c>
      <c r="J820" s="842">
        <v>69.3</v>
      </c>
      <c r="K820" s="843">
        <f t="shared" si="135"/>
        <v>4.3478260869564966E-3</v>
      </c>
      <c r="L820" s="842">
        <v>70.78</v>
      </c>
      <c r="M820" s="843">
        <f t="shared" si="136"/>
        <v>-1.0346756152125214E-2</v>
      </c>
      <c r="N820" s="842">
        <v>62.83</v>
      </c>
      <c r="O820" s="843">
        <f t="shared" si="137"/>
        <v>-5.5397277619499974E-3</v>
      </c>
      <c r="P820" s="844">
        <f t="shared" si="143"/>
        <v>-4.2817705196894129E-3</v>
      </c>
      <c r="Q820" s="830"/>
      <c r="R820" s="845">
        <v>911.11</v>
      </c>
      <c r="S820" s="846">
        <f t="shared" si="138"/>
        <v>-3.3472986424843976E-3</v>
      </c>
      <c r="T820" s="845">
        <v>66.59</v>
      </c>
      <c r="U820" s="846">
        <f t="shared" si="139"/>
        <v>-5.5256869772997153E-3</v>
      </c>
      <c r="V820" s="845">
        <v>97.571899999999999</v>
      </c>
      <c r="W820" s="846">
        <f t="shared" si="140"/>
        <v>2.8923687307600421E-3</v>
      </c>
      <c r="X820" s="845">
        <v>36124.230000000003</v>
      </c>
      <c r="Y820" s="846">
        <f t="shared" si="141"/>
        <v>-9.2235155118236545E-4</v>
      </c>
      <c r="Z820" s="845">
        <v>4680.0558000000001</v>
      </c>
      <c r="AA820" s="846">
        <f t="shared" si="142"/>
        <v>4.1810769224432942E-3</v>
      </c>
      <c r="AB820" s="843"/>
    </row>
    <row r="821" spans="1:28" ht="14.4" x14ac:dyDescent="0.55000000000000004">
      <c r="A821" s="857" t="s">
        <v>5980</v>
      </c>
      <c r="B821" s="842">
        <v>93.36</v>
      </c>
      <c r="C821" s="843">
        <f t="shared" si="133"/>
        <v>-4.5847105235100605E-3</v>
      </c>
      <c r="D821" s="842">
        <v>38.880000000000003</v>
      </c>
      <c r="E821" s="843">
        <f t="shared" si="134"/>
        <v>1.6204913748039784E-2</v>
      </c>
      <c r="F821" s="842">
        <v>25.29</v>
      </c>
      <c r="G821" s="843">
        <f t="shared" si="134"/>
        <v>2.2231204527081605E-2</v>
      </c>
      <c r="H821" s="842">
        <v>46.37</v>
      </c>
      <c r="I821" s="843">
        <f t="shared" si="134"/>
        <v>1.5994741454864014E-2</v>
      </c>
      <c r="J821" s="842">
        <v>69</v>
      </c>
      <c r="K821" s="843">
        <f t="shared" si="135"/>
        <v>5.0983248361251565E-3</v>
      </c>
      <c r="L821" s="842">
        <v>71.52</v>
      </c>
      <c r="M821" s="843">
        <f t="shared" si="136"/>
        <v>2.0256776034236923E-2</v>
      </c>
      <c r="N821" s="842">
        <v>63.18</v>
      </c>
      <c r="O821" s="843">
        <f t="shared" si="137"/>
        <v>-1.8957345971563067E-3</v>
      </c>
      <c r="P821" s="844">
        <f t="shared" si="143"/>
        <v>1.0472216497097302E-2</v>
      </c>
      <c r="Q821" s="830"/>
      <c r="R821" s="845">
        <v>914.17</v>
      </c>
      <c r="S821" s="846">
        <f t="shared" si="138"/>
        <v>-9.4485800041175239E-3</v>
      </c>
      <c r="T821" s="845">
        <v>66.959999999999994</v>
      </c>
      <c r="U821" s="846">
        <f t="shared" si="139"/>
        <v>-3.7196845707484494E-3</v>
      </c>
      <c r="V821" s="845">
        <v>97.290499999999994</v>
      </c>
      <c r="W821" s="846">
        <f t="shared" si="140"/>
        <v>-4.5846779061702314E-3</v>
      </c>
      <c r="X821" s="845">
        <v>36157.58</v>
      </c>
      <c r="Y821" s="846">
        <f t="shared" si="141"/>
        <v>2.9110220253003583E-3</v>
      </c>
      <c r="Z821" s="845">
        <v>4660.5695999999998</v>
      </c>
      <c r="AA821" s="846">
        <f t="shared" si="142"/>
        <v>6.460470567717147E-3</v>
      </c>
      <c r="AB821" s="843"/>
    </row>
    <row r="822" spans="1:28" ht="14.4" x14ac:dyDescent="0.55000000000000004">
      <c r="A822" s="857" t="s">
        <v>5981</v>
      </c>
      <c r="B822" s="842">
        <v>93.79</v>
      </c>
      <c r="C822" s="843">
        <f t="shared" si="133"/>
        <v>8.0610490111778788E-3</v>
      </c>
      <c r="D822" s="842">
        <v>38.26</v>
      </c>
      <c r="E822" s="843">
        <f t="shared" si="134"/>
        <v>-1.3917525773195827E-2</v>
      </c>
      <c r="F822" s="842">
        <v>24.74</v>
      </c>
      <c r="G822" s="843">
        <f t="shared" si="134"/>
        <v>-3.6246476037051778E-3</v>
      </c>
      <c r="H822" s="842">
        <v>45.64</v>
      </c>
      <c r="I822" s="843">
        <f t="shared" si="134"/>
        <v>-9.7635061835539272E-3</v>
      </c>
      <c r="J822" s="842">
        <v>68.650000000000006</v>
      </c>
      <c r="K822" s="843">
        <f t="shared" si="135"/>
        <v>-1.0806916426512991E-2</v>
      </c>
      <c r="L822" s="842">
        <v>70.099999999999994</v>
      </c>
      <c r="M822" s="843">
        <f t="shared" si="136"/>
        <v>3.7227949599081267E-3</v>
      </c>
      <c r="N822" s="842">
        <v>63.3</v>
      </c>
      <c r="O822" s="843">
        <f t="shared" si="137"/>
        <v>-1.2172284644194731E-2</v>
      </c>
      <c r="P822" s="844">
        <f t="shared" si="143"/>
        <v>-5.5001480942966641E-3</v>
      </c>
      <c r="Q822" s="830"/>
      <c r="R822" s="845">
        <v>922.89</v>
      </c>
      <c r="S822" s="846">
        <f t="shared" si="138"/>
        <v>3.3376095322996679E-3</v>
      </c>
      <c r="T822" s="845">
        <v>67.209999999999994</v>
      </c>
      <c r="U822" s="846">
        <f t="shared" si="139"/>
        <v>8.9352196574821185E-4</v>
      </c>
      <c r="V822" s="845">
        <v>97.738600000000005</v>
      </c>
      <c r="W822" s="846">
        <f t="shared" si="140"/>
        <v>8.0602658289079532E-3</v>
      </c>
      <c r="X822" s="845">
        <v>36052.629999999997</v>
      </c>
      <c r="Y822" s="846">
        <f t="shared" si="141"/>
        <v>3.8645268787742548E-3</v>
      </c>
      <c r="Z822" s="845">
        <v>4630.6534000000001</v>
      </c>
      <c r="AA822" s="846">
        <f t="shared" si="142"/>
        <v>3.6804515621284839E-3</v>
      </c>
      <c r="AB822" s="843"/>
    </row>
    <row r="823" spans="1:28" ht="14.4" x14ac:dyDescent="0.55000000000000004">
      <c r="A823" s="857" t="s">
        <v>5982</v>
      </c>
      <c r="B823" s="842">
        <v>93.04</v>
      </c>
      <c r="C823" s="843">
        <f t="shared" si="133"/>
        <v>9.9869735128093051E-3</v>
      </c>
      <c r="D823" s="842">
        <v>38.799999999999997</v>
      </c>
      <c r="E823" s="843">
        <f t="shared" si="134"/>
        <v>2.6183549325575095E-2</v>
      </c>
      <c r="F823" s="842">
        <v>24.83</v>
      </c>
      <c r="G823" s="843">
        <f t="shared" si="134"/>
        <v>6.4856100526955451E-3</v>
      </c>
      <c r="H823" s="842">
        <v>46.09</v>
      </c>
      <c r="I823" s="843">
        <f t="shared" si="134"/>
        <v>2.2177866489243803E-2</v>
      </c>
      <c r="J823" s="842">
        <v>69.400000000000006</v>
      </c>
      <c r="K823" s="843">
        <f t="shared" si="135"/>
        <v>3.1203566121842607E-2</v>
      </c>
      <c r="L823" s="842">
        <v>69.84</v>
      </c>
      <c r="M823" s="843">
        <f t="shared" si="136"/>
        <v>8.5198555956678135E-3</v>
      </c>
      <c r="N823" s="842">
        <v>64.08</v>
      </c>
      <c r="O823" s="843">
        <f t="shared" si="137"/>
        <v>2.1032504780114758E-2</v>
      </c>
      <c r="P823" s="844">
        <f t="shared" si="143"/>
        <v>1.7941417982564132E-2</v>
      </c>
      <c r="Q823" s="830"/>
      <c r="R823" s="845">
        <v>919.82</v>
      </c>
      <c r="S823" s="846">
        <f t="shared" si="138"/>
        <v>4.2691976873705517E-3</v>
      </c>
      <c r="T823" s="845">
        <v>67.150000000000006</v>
      </c>
      <c r="U823" s="846">
        <f t="shared" si="139"/>
        <v>3.5869077865791077E-3</v>
      </c>
      <c r="V823" s="845">
        <v>96.957099999999997</v>
      </c>
      <c r="W823" s="846">
        <f t="shared" si="140"/>
        <v>9.9876768651110392E-3</v>
      </c>
      <c r="X823" s="845">
        <v>35913.839999999997</v>
      </c>
      <c r="Y823" s="846">
        <f t="shared" si="141"/>
        <v>2.632070269628306E-3</v>
      </c>
      <c r="Z823" s="845">
        <v>4613.6729999999998</v>
      </c>
      <c r="AA823" s="846">
        <f t="shared" si="142"/>
        <v>1.8014596243878245E-3</v>
      </c>
      <c r="AB823" s="843"/>
    </row>
    <row r="824" spans="1:28" ht="14.4" x14ac:dyDescent="0.55000000000000004">
      <c r="A824" s="857" t="s">
        <v>5983</v>
      </c>
      <c r="B824" s="842">
        <v>92.12</v>
      </c>
      <c r="C824" s="843">
        <f t="shared" si="133"/>
        <v>-8.289374529012794E-3</v>
      </c>
      <c r="D824" s="842">
        <v>37.81</v>
      </c>
      <c r="E824" s="843">
        <f t="shared" si="134"/>
        <v>2.917771883289122E-3</v>
      </c>
      <c r="F824" s="842">
        <v>24.67</v>
      </c>
      <c r="G824" s="843">
        <f t="shared" si="134"/>
        <v>-4.051863857373883E-4</v>
      </c>
      <c r="H824" s="842">
        <v>45.09</v>
      </c>
      <c r="I824" s="843">
        <f t="shared" si="134"/>
        <v>-5.7331863285556839E-3</v>
      </c>
      <c r="J824" s="842">
        <v>67.3</v>
      </c>
      <c r="K824" s="843">
        <f t="shared" si="135"/>
        <v>-1.0390381475435806E-3</v>
      </c>
      <c r="L824" s="842">
        <v>69.25</v>
      </c>
      <c r="M824" s="843">
        <f t="shared" si="136"/>
        <v>7.2727272727273196E-3</v>
      </c>
      <c r="N824" s="842">
        <v>62.76</v>
      </c>
      <c r="O824" s="843">
        <f t="shared" si="137"/>
        <v>-1.0250749093202893E-2</v>
      </c>
      <c r="P824" s="844">
        <f t="shared" si="143"/>
        <v>-2.2181479040051283E-3</v>
      </c>
      <c r="Q824" s="830"/>
      <c r="R824" s="845">
        <v>915.90980000000002</v>
      </c>
      <c r="S824" s="846">
        <f t="shared" si="138"/>
        <v>-5.6887586169461768E-3</v>
      </c>
      <c r="T824" s="845">
        <v>66.91</v>
      </c>
      <c r="U824" s="846">
        <f t="shared" si="139"/>
        <v>-5.9426533947408711E-3</v>
      </c>
      <c r="V824" s="845">
        <v>95.9983</v>
      </c>
      <c r="W824" s="846">
        <f t="shared" si="140"/>
        <v>-8.2902207419772722E-3</v>
      </c>
      <c r="X824" s="845">
        <v>35819.560400000002</v>
      </c>
      <c r="Y824" s="846">
        <f t="shared" si="141"/>
        <v>2.4931207193410465E-3</v>
      </c>
      <c r="Z824" s="845">
        <v>4605.3765999999996</v>
      </c>
      <c r="AA824" s="846">
        <f t="shared" si="142"/>
        <v>1.9496716038547302E-3</v>
      </c>
      <c r="AB824" s="843"/>
    </row>
    <row r="825" spans="1:28" ht="14.4" x14ac:dyDescent="0.55000000000000004">
      <c r="A825" s="857" t="s">
        <v>5984</v>
      </c>
      <c r="B825" s="842">
        <v>92.89</v>
      </c>
      <c r="C825" s="843">
        <f t="shared" si="133"/>
        <v>1.2094138156460987E-2</v>
      </c>
      <c r="D825" s="842">
        <v>37.700000000000003</v>
      </c>
      <c r="E825" s="843">
        <f t="shared" si="134"/>
        <v>6.1382439284762835E-3</v>
      </c>
      <c r="F825" s="842">
        <v>24.68</v>
      </c>
      <c r="G825" s="843">
        <f t="shared" si="134"/>
        <v>-6.441223832528209E-3</v>
      </c>
      <c r="H825" s="842">
        <v>45.35</v>
      </c>
      <c r="I825" s="843">
        <f t="shared" si="134"/>
        <v>-1.9035258490157858E-2</v>
      </c>
      <c r="J825" s="842">
        <v>67.37</v>
      </c>
      <c r="K825" s="843">
        <f t="shared" si="135"/>
        <v>1.933372992266591E-3</v>
      </c>
      <c r="L825" s="842">
        <v>68.75</v>
      </c>
      <c r="M825" s="843">
        <f t="shared" si="136"/>
        <v>2.1865889212828726E-3</v>
      </c>
      <c r="N825" s="842">
        <v>63.41</v>
      </c>
      <c r="O825" s="843">
        <f t="shared" si="137"/>
        <v>-6.2686099357468494E-3</v>
      </c>
      <c r="P825" s="844">
        <f t="shared" si="143"/>
        <v>-1.3418211799923116E-3</v>
      </c>
      <c r="Q825" s="830"/>
      <c r="R825" s="845">
        <v>921.15</v>
      </c>
      <c r="S825" s="846">
        <f t="shared" si="138"/>
        <v>6.9304008482635737E-3</v>
      </c>
      <c r="T825" s="845">
        <v>67.31</v>
      </c>
      <c r="U825" s="846">
        <f t="shared" si="139"/>
        <v>6.5799312098100415E-3</v>
      </c>
      <c r="V825" s="845">
        <v>96.800799999999995</v>
      </c>
      <c r="W825" s="846">
        <f t="shared" si="140"/>
        <v>1.2094851741875967E-2</v>
      </c>
      <c r="X825" s="845">
        <v>35730.480000000003</v>
      </c>
      <c r="Y825" s="846">
        <f t="shared" si="141"/>
        <v>6.7564197822020944E-3</v>
      </c>
      <c r="Z825" s="845">
        <v>4596.4151000000002</v>
      </c>
      <c r="AA825" s="846">
        <f t="shared" si="142"/>
        <v>9.8280171693048146E-3</v>
      </c>
      <c r="AB825" s="843"/>
    </row>
    <row r="826" spans="1:28" ht="14.4" x14ac:dyDescent="0.55000000000000004">
      <c r="A826" s="857" t="s">
        <v>5985</v>
      </c>
      <c r="B826" s="842">
        <v>91.78</v>
      </c>
      <c r="C826" s="843">
        <f t="shared" si="133"/>
        <v>-2.392853344677226E-2</v>
      </c>
      <c r="D826" s="842">
        <v>37.47</v>
      </c>
      <c r="E826" s="843">
        <f t="shared" si="134"/>
        <v>-2.3455824863174324E-2</v>
      </c>
      <c r="F826" s="842">
        <v>24.84</v>
      </c>
      <c r="G826" s="843">
        <f t="shared" si="134"/>
        <v>-4.8076923076924016E-3</v>
      </c>
      <c r="H826" s="842">
        <v>46.23</v>
      </c>
      <c r="I826" s="843">
        <f t="shared" si="134"/>
        <v>-1.2812299807815508E-2</v>
      </c>
      <c r="J826" s="842">
        <v>67.239999999999995</v>
      </c>
      <c r="K826" s="843">
        <f t="shared" si="135"/>
        <v>-1.8107476635514153E-2</v>
      </c>
      <c r="L826" s="842">
        <v>68.599999999999994</v>
      </c>
      <c r="M826" s="843">
        <f t="shared" si="136"/>
        <v>-8.0971659919029104E-3</v>
      </c>
      <c r="N826" s="842">
        <v>63.81</v>
      </c>
      <c r="O826" s="843">
        <f t="shared" si="137"/>
        <v>-2.1769124635903747E-2</v>
      </c>
      <c r="P826" s="844">
        <f t="shared" si="143"/>
        <v>-1.6139731098396472E-2</v>
      </c>
      <c r="Q826" s="830"/>
      <c r="R826" s="845">
        <v>914.81</v>
      </c>
      <c r="S826" s="846">
        <f t="shared" si="138"/>
        <v>-7.5507981870968077E-3</v>
      </c>
      <c r="T826" s="845">
        <v>66.87</v>
      </c>
      <c r="U826" s="846">
        <f t="shared" si="139"/>
        <v>-6.6844919786094303E-3</v>
      </c>
      <c r="V826" s="845">
        <v>95.644000000000005</v>
      </c>
      <c r="W826" s="846">
        <f t="shared" si="140"/>
        <v>-2.3928269280029113E-2</v>
      </c>
      <c r="X826" s="845">
        <v>35490.69</v>
      </c>
      <c r="Y826" s="846">
        <f t="shared" si="141"/>
        <v>-7.4444830990085809E-3</v>
      </c>
      <c r="Z826" s="845">
        <v>4551.6810999999998</v>
      </c>
      <c r="AA826" s="846">
        <f t="shared" si="142"/>
        <v>-5.05109656646896E-3</v>
      </c>
      <c r="AB826" s="843"/>
    </row>
    <row r="827" spans="1:28" ht="14.4" x14ac:dyDescent="0.55000000000000004">
      <c r="A827" s="857" t="s">
        <v>5986</v>
      </c>
      <c r="B827" s="842">
        <v>94.03</v>
      </c>
      <c r="C827" s="843">
        <f t="shared" si="133"/>
        <v>-1.8046709129512228E-3</v>
      </c>
      <c r="D827" s="842">
        <v>38.369999999999997</v>
      </c>
      <c r="E827" s="843">
        <f t="shared" si="134"/>
        <v>7.8802206461781044E-3</v>
      </c>
      <c r="F827" s="842">
        <v>24.96</v>
      </c>
      <c r="G827" s="843">
        <f t="shared" si="134"/>
        <v>-4.0048057669195281E-4</v>
      </c>
      <c r="H827" s="842">
        <v>46.83</v>
      </c>
      <c r="I827" s="843">
        <f t="shared" si="134"/>
        <v>-6.5761561306746374E-3</v>
      </c>
      <c r="J827" s="842">
        <v>68.48</v>
      </c>
      <c r="K827" s="843">
        <f t="shared" si="135"/>
        <v>-7.9675503404316173E-3</v>
      </c>
      <c r="L827" s="842">
        <v>69.16</v>
      </c>
      <c r="M827" s="843">
        <f t="shared" si="136"/>
        <v>-3.7453183520600453E-3</v>
      </c>
      <c r="N827" s="842">
        <v>65.23</v>
      </c>
      <c r="O827" s="843">
        <f t="shared" si="137"/>
        <v>1.8430348640763317E-3</v>
      </c>
      <c r="P827" s="844">
        <f t="shared" si="143"/>
        <v>-1.5387029717935771E-3</v>
      </c>
      <c r="Q827" s="830"/>
      <c r="R827" s="845">
        <v>921.77009999999996</v>
      </c>
      <c r="S827" s="846">
        <f t="shared" si="138"/>
        <v>4.3475560591863527E-3</v>
      </c>
      <c r="T827" s="845">
        <v>67.319999999999993</v>
      </c>
      <c r="U827" s="846">
        <f t="shared" si="139"/>
        <v>5.3763440860215006E-3</v>
      </c>
      <c r="V827" s="845">
        <v>97.988699999999994</v>
      </c>
      <c r="W827" s="846">
        <f t="shared" si="140"/>
        <v>-1.8051074762213126E-3</v>
      </c>
      <c r="X827" s="845">
        <v>35756.881500000003</v>
      </c>
      <c r="Y827" s="846">
        <f t="shared" si="141"/>
        <v>4.4015091847926513E-4</v>
      </c>
      <c r="Z827" s="845">
        <v>4574.7888000000003</v>
      </c>
      <c r="AA827" s="846">
        <f t="shared" si="142"/>
        <v>1.8199584012010828E-3</v>
      </c>
      <c r="AB827" s="843"/>
    </row>
    <row r="828" spans="1:28" ht="14.4" x14ac:dyDescent="0.55000000000000004">
      <c r="A828" s="857" t="s">
        <v>5987</v>
      </c>
      <c r="B828" s="842">
        <v>94.2</v>
      </c>
      <c r="C828" s="843">
        <f t="shared" si="133"/>
        <v>1.7014036580178526E-3</v>
      </c>
      <c r="D828" s="842">
        <v>38.07</v>
      </c>
      <c r="E828" s="843">
        <f t="shared" si="134"/>
        <v>3.4264628360569649E-3</v>
      </c>
      <c r="F828" s="842">
        <v>24.97</v>
      </c>
      <c r="G828" s="843">
        <f t="shared" si="134"/>
        <v>-3.1936127744511822E-3</v>
      </c>
      <c r="H828" s="842">
        <v>47.14</v>
      </c>
      <c r="I828" s="843">
        <f t="shared" si="134"/>
        <v>7.6955964087217499E-3</v>
      </c>
      <c r="J828" s="842">
        <v>69.03</v>
      </c>
      <c r="K828" s="843">
        <f t="shared" si="135"/>
        <v>1.5894039735099286E-2</v>
      </c>
      <c r="L828" s="842">
        <v>69.42</v>
      </c>
      <c r="M828" s="843">
        <f t="shared" si="136"/>
        <v>3.4692107545533091E-3</v>
      </c>
      <c r="N828" s="842">
        <v>65.11</v>
      </c>
      <c r="O828" s="843">
        <f t="shared" si="137"/>
        <v>1.3385214007782142E-2</v>
      </c>
      <c r="P828" s="844">
        <f t="shared" si="143"/>
        <v>6.0540449465400171E-3</v>
      </c>
      <c r="Q828" s="830"/>
      <c r="R828" s="845">
        <v>917.78</v>
      </c>
      <c r="S828" s="846">
        <f t="shared" si="138"/>
        <v>-3.9612341686291463E-3</v>
      </c>
      <c r="T828" s="845">
        <v>66.959999999999994</v>
      </c>
      <c r="U828" s="846">
        <f t="shared" si="139"/>
        <v>-4.3122676579926411E-3</v>
      </c>
      <c r="V828" s="845">
        <v>98.165899999999993</v>
      </c>
      <c r="W828" s="846">
        <f t="shared" si="140"/>
        <v>1.7010342941574663E-3</v>
      </c>
      <c r="X828" s="845">
        <v>35741.15</v>
      </c>
      <c r="Y828" s="846">
        <f t="shared" si="141"/>
        <v>1.7975155996774461E-3</v>
      </c>
      <c r="Z828" s="845">
        <v>4566.4780000000001</v>
      </c>
      <c r="AA828" s="846">
        <f t="shared" si="142"/>
        <v>4.7481150458306143E-3</v>
      </c>
      <c r="AB828" s="843"/>
    </row>
    <row r="829" spans="1:28" ht="14.4" x14ac:dyDescent="0.55000000000000004">
      <c r="A829" s="857" t="s">
        <v>5988</v>
      </c>
      <c r="B829" s="842">
        <v>94.04</v>
      </c>
      <c r="C829" s="843">
        <f t="shared" si="133"/>
        <v>6.3135366506152923E-3</v>
      </c>
      <c r="D829" s="842">
        <v>37.94</v>
      </c>
      <c r="E829" s="843">
        <f t="shared" si="134"/>
        <v>3.9693040486901143E-3</v>
      </c>
      <c r="F829" s="842">
        <v>25.05</v>
      </c>
      <c r="G829" s="843">
        <f t="shared" si="134"/>
        <v>6.0240963855422436E-3</v>
      </c>
      <c r="H829" s="842">
        <v>46.78</v>
      </c>
      <c r="I829" s="843">
        <f t="shared" si="134"/>
        <v>-5.7385759829967631E-3</v>
      </c>
      <c r="J829" s="842">
        <v>67.95</v>
      </c>
      <c r="K829" s="843">
        <f t="shared" si="135"/>
        <v>6.3684834123223233E-3</v>
      </c>
      <c r="L829" s="842">
        <v>69.180000000000007</v>
      </c>
      <c r="M829" s="843">
        <f t="shared" si="136"/>
        <v>1.3032654854297832E-2</v>
      </c>
      <c r="N829" s="842">
        <v>64.25</v>
      </c>
      <c r="O829" s="843">
        <f t="shared" si="137"/>
        <v>2.496489311905048E-3</v>
      </c>
      <c r="P829" s="844">
        <f t="shared" si="143"/>
        <v>4.6379983829108696E-3</v>
      </c>
      <c r="Q829" s="830"/>
      <c r="R829" s="845">
        <v>921.43</v>
      </c>
      <c r="S829" s="846">
        <f t="shared" si="138"/>
        <v>6.4883286546002505E-3</v>
      </c>
      <c r="T829" s="845">
        <v>67.25</v>
      </c>
      <c r="U829" s="846">
        <f t="shared" si="139"/>
        <v>5.0814526976536989E-3</v>
      </c>
      <c r="V829" s="845">
        <v>97.999200000000002</v>
      </c>
      <c r="W829" s="846">
        <f t="shared" si="140"/>
        <v>6.3141594692368574E-3</v>
      </c>
      <c r="X829" s="845">
        <v>35677.019999999997</v>
      </c>
      <c r="Y829" s="846">
        <f t="shared" si="141"/>
        <v>2.0767866150903647E-3</v>
      </c>
      <c r="Z829" s="845">
        <v>4544.8982999999998</v>
      </c>
      <c r="AA829" s="846">
        <f t="shared" si="142"/>
        <v>-1.073238399392884E-3</v>
      </c>
      <c r="AB829" s="843"/>
    </row>
    <row r="830" spans="1:28" ht="14.4" x14ac:dyDescent="0.55000000000000004">
      <c r="A830" s="857" t="s">
        <v>5989</v>
      </c>
      <c r="B830" s="842">
        <v>93.45</v>
      </c>
      <c r="C830" s="843">
        <f t="shared" si="133"/>
        <v>-1.1320355480321509E-2</v>
      </c>
      <c r="D830" s="842">
        <v>37.79</v>
      </c>
      <c r="E830" s="843">
        <f t="shared" si="134"/>
        <v>-6.8331143232588376E-3</v>
      </c>
      <c r="F830" s="842">
        <v>24.9</v>
      </c>
      <c r="G830" s="843">
        <f t="shared" si="134"/>
        <v>-4.0144520272988871E-4</v>
      </c>
      <c r="H830" s="842">
        <v>47.05</v>
      </c>
      <c r="I830" s="843">
        <f t="shared" si="134"/>
        <v>-9.0564448188711344E-3</v>
      </c>
      <c r="J830" s="842">
        <v>67.52</v>
      </c>
      <c r="K830" s="843">
        <f t="shared" si="135"/>
        <v>-8.9534713048583514E-3</v>
      </c>
      <c r="L830" s="842">
        <v>68.290000000000006</v>
      </c>
      <c r="M830" s="843">
        <f t="shared" si="136"/>
        <v>1.3956941351150887E-2</v>
      </c>
      <c r="N830" s="842">
        <v>64.09</v>
      </c>
      <c r="O830" s="843">
        <f t="shared" si="137"/>
        <v>-6.3565891472867619E-3</v>
      </c>
      <c r="P830" s="844">
        <f t="shared" si="143"/>
        <v>-4.137782703739371E-3</v>
      </c>
      <c r="Q830" s="830"/>
      <c r="R830" s="845">
        <v>915.49</v>
      </c>
      <c r="S830" s="846">
        <f t="shared" si="138"/>
        <v>-7.3131330771913916E-4</v>
      </c>
      <c r="T830" s="845">
        <v>66.91</v>
      </c>
      <c r="U830" s="846">
        <f t="shared" si="139"/>
        <v>0</v>
      </c>
      <c r="V830" s="845">
        <v>97.384299999999996</v>
      </c>
      <c r="W830" s="846">
        <f t="shared" si="140"/>
        <v>-1.1320881142423134E-2</v>
      </c>
      <c r="X830" s="845">
        <v>35603.08</v>
      </c>
      <c r="Y830" s="846">
        <f t="shared" si="141"/>
        <v>-1.7579657471877841E-4</v>
      </c>
      <c r="Z830" s="845">
        <v>4549.7812999999996</v>
      </c>
      <c r="AA830" s="846">
        <f t="shared" si="142"/>
        <v>2.9957285098221043E-3</v>
      </c>
      <c r="AB830" s="843"/>
    </row>
    <row r="831" spans="1:28" ht="14.4" x14ac:dyDescent="0.55000000000000004">
      <c r="A831" s="857" t="s">
        <v>5990</v>
      </c>
      <c r="B831" s="842">
        <v>94.52</v>
      </c>
      <c r="C831" s="843">
        <f t="shared" si="133"/>
        <v>1.7657192075796635E-2</v>
      </c>
      <c r="D831" s="842">
        <v>38.049999999999997</v>
      </c>
      <c r="E831" s="843">
        <f t="shared" si="134"/>
        <v>1.1968085106382809E-2</v>
      </c>
      <c r="F831" s="842">
        <v>24.91</v>
      </c>
      <c r="G831" s="843">
        <f t="shared" si="134"/>
        <v>1.0957792207792139E-2</v>
      </c>
      <c r="H831" s="842">
        <v>47.48</v>
      </c>
      <c r="I831" s="843">
        <f t="shared" si="134"/>
        <v>1.1935208866155067E-2</v>
      </c>
      <c r="J831" s="842">
        <v>68.13</v>
      </c>
      <c r="K831" s="843">
        <f t="shared" si="135"/>
        <v>1.6410562434730602E-2</v>
      </c>
      <c r="L831" s="842">
        <v>67.349999999999994</v>
      </c>
      <c r="M831" s="843">
        <f t="shared" si="136"/>
        <v>-1.4053579270970729E-2</v>
      </c>
      <c r="N831" s="842">
        <v>64.5</v>
      </c>
      <c r="O831" s="843">
        <f t="shared" si="137"/>
        <v>2.0246757355267375E-2</v>
      </c>
      <c r="P831" s="844">
        <f t="shared" si="143"/>
        <v>1.0731716967879128E-2</v>
      </c>
      <c r="Q831" s="830"/>
      <c r="R831" s="845">
        <v>916.16</v>
      </c>
      <c r="S831" s="846">
        <f t="shared" si="138"/>
        <v>1.5417013022998027E-2</v>
      </c>
      <c r="T831" s="845">
        <v>66.91</v>
      </c>
      <c r="U831" s="846">
        <f t="shared" si="139"/>
        <v>1.5788674662213342E-2</v>
      </c>
      <c r="V831" s="845">
        <v>98.499399999999994</v>
      </c>
      <c r="W831" s="846">
        <f t="shared" si="140"/>
        <v>1.765776115995088E-2</v>
      </c>
      <c r="X831" s="845">
        <v>35609.339999999997</v>
      </c>
      <c r="Y831" s="846">
        <f t="shared" si="141"/>
        <v>4.2876913110441173E-3</v>
      </c>
      <c r="Z831" s="845">
        <v>4536.1921000000002</v>
      </c>
      <c r="AA831" s="846">
        <f t="shared" si="142"/>
        <v>3.6643481438505265E-3</v>
      </c>
      <c r="AB831" s="843"/>
    </row>
    <row r="832" spans="1:28" ht="14.4" x14ac:dyDescent="0.55000000000000004">
      <c r="A832" s="857" t="s">
        <v>5991</v>
      </c>
      <c r="B832" s="842">
        <v>92.88</v>
      </c>
      <c r="C832" s="843">
        <f t="shared" si="133"/>
        <v>1.9538968166849635E-2</v>
      </c>
      <c r="D832" s="842">
        <v>37.6</v>
      </c>
      <c r="E832" s="843">
        <f t="shared" si="134"/>
        <v>1.4844804318488558E-2</v>
      </c>
      <c r="F832" s="842">
        <v>24.64</v>
      </c>
      <c r="G832" s="843">
        <f t="shared" si="134"/>
        <v>5.3039575683393458E-3</v>
      </c>
      <c r="H832" s="842">
        <v>46.92</v>
      </c>
      <c r="I832" s="843">
        <f t="shared" si="134"/>
        <v>6.4350064350064962E-3</v>
      </c>
      <c r="J832" s="842">
        <v>67.03</v>
      </c>
      <c r="K832" s="843">
        <f t="shared" si="135"/>
        <v>1.0096443640747355E-2</v>
      </c>
      <c r="L832" s="842">
        <v>68.31</v>
      </c>
      <c r="M832" s="843">
        <f t="shared" si="136"/>
        <v>-1.3146489453915056E-2</v>
      </c>
      <c r="N832" s="842">
        <v>63.22</v>
      </c>
      <c r="O832" s="843">
        <f t="shared" si="137"/>
        <v>2.0605484228879423E-3</v>
      </c>
      <c r="P832" s="844">
        <f t="shared" si="143"/>
        <v>6.4476055854863256E-3</v>
      </c>
      <c r="Q832" s="830"/>
      <c r="R832" s="845">
        <v>902.25</v>
      </c>
      <c r="S832" s="846">
        <f t="shared" si="138"/>
        <v>1.4351799126752551E-2</v>
      </c>
      <c r="T832" s="845">
        <v>65.87</v>
      </c>
      <c r="U832" s="846">
        <f t="shared" si="139"/>
        <v>1.2605687932359944E-2</v>
      </c>
      <c r="V832" s="845">
        <v>96.790300000000002</v>
      </c>
      <c r="W832" s="846">
        <f t="shared" si="140"/>
        <v>1.9538549371467262E-2</v>
      </c>
      <c r="X832" s="845">
        <v>35457.31</v>
      </c>
      <c r="Y832" s="846">
        <f t="shared" si="141"/>
        <v>5.6355029310570792E-3</v>
      </c>
      <c r="Z832" s="845">
        <v>4519.6306000000004</v>
      </c>
      <c r="AA832" s="846">
        <f t="shared" si="142"/>
        <v>7.3933783658632901E-3</v>
      </c>
      <c r="AB832" s="843"/>
    </row>
    <row r="833" spans="1:30" ht="14.4" x14ac:dyDescent="0.55000000000000004">
      <c r="A833" s="857" t="s">
        <v>5992</v>
      </c>
      <c r="B833" s="842">
        <v>91.1</v>
      </c>
      <c r="C833" s="843">
        <f t="shared" si="133"/>
        <v>-2.0430107526881791E-2</v>
      </c>
      <c r="D833" s="842">
        <v>37.049999999999997</v>
      </c>
      <c r="E833" s="843">
        <f t="shared" si="134"/>
        <v>-1.7241379310344973E-2</v>
      </c>
      <c r="F833" s="842">
        <v>24.51</v>
      </c>
      <c r="G833" s="843">
        <f t="shared" si="134"/>
        <v>-1.4871382636655883E-2</v>
      </c>
      <c r="H833" s="842">
        <v>46.62</v>
      </c>
      <c r="I833" s="843">
        <f t="shared" si="134"/>
        <v>-1.6455696202531622E-2</v>
      </c>
      <c r="J833" s="842">
        <v>66.36</v>
      </c>
      <c r="K833" s="843">
        <f t="shared" si="135"/>
        <v>-2.2392457277548572E-2</v>
      </c>
      <c r="L833" s="842">
        <v>69.22</v>
      </c>
      <c r="M833" s="843">
        <f t="shared" si="136"/>
        <v>6.5435509669915515E-3</v>
      </c>
      <c r="N833" s="842">
        <v>63.09</v>
      </c>
      <c r="O833" s="843">
        <f t="shared" si="137"/>
        <v>-1.9123134328358105E-2</v>
      </c>
      <c r="P833" s="844">
        <f t="shared" si="143"/>
        <v>-1.4852943759332771E-2</v>
      </c>
      <c r="Q833" s="830"/>
      <c r="R833" s="845">
        <v>889.48429999999996</v>
      </c>
      <c r="S833" s="846">
        <f t="shared" si="138"/>
        <v>-1.0078238030582942E-2</v>
      </c>
      <c r="T833" s="845">
        <v>65.05</v>
      </c>
      <c r="U833" s="846">
        <f t="shared" si="139"/>
        <v>-9.5919610231426367E-3</v>
      </c>
      <c r="V833" s="845">
        <v>94.935400000000001</v>
      </c>
      <c r="W833" s="846">
        <f t="shared" si="140"/>
        <v>-2.0430189629305651E-2</v>
      </c>
      <c r="X833" s="845">
        <v>35258.61</v>
      </c>
      <c r="Y833" s="846">
        <f t="shared" si="141"/>
        <v>-1.0242313589893248E-3</v>
      </c>
      <c r="Z833" s="845">
        <v>4486.4605000000001</v>
      </c>
      <c r="AA833" s="846">
        <f t="shared" si="142"/>
        <v>3.375253012584567E-3</v>
      </c>
      <c r="AB833" s="843"/>
    </row>
    <row r="834" spans="1:30" ht="14.4" x14ac:dyDescent="0.55000000000000004">
      <c r="A834" s="857" t="s">
        <v>5993</v>
      </c>
      <c r="B834" s="842">
        <v>93</v>
      </c>
      <c r="C834" s="843">
        <f t="shared" si="133"/>
        <v>-1.0006387055567334E-2</v>
      </c>
      <c r="D834" s="842">
        <v>37.700000000000003</v>
      </c>
      <c r="E834" s="843">
        <f t="shared" si="134"/>
        <v>-2.5839793281653756E-2</v>
      </c>
      <c r="F834" s="842">
        <v>24.88</v>
      </c>
      <c r="G834" s="843">
        <f t="shared" si="134"/>
        <v>-8.0321285140561027E-4</v>
      </c>
      <c r="H834" s="842">
        <v>47.4</v>
      </c>
      <c r="I834" s="843">
        <f t="shared" si="134"/>
        <v>-1.2642225031606058E-3</v>
      </c>
      <c r="J834" s="842">
        <v>67.88</v>
      </c>
      <c r="K834" s="843">
        <f t="shared" si="135"/>
        <v>-1.5661252900232014E-2</v>
      </c>
      <c r="L834" s="842">
        <v>68.77</v>
      </c>
      <c r="M834" s="843">
        <f t="shared" si="136"/>
        <v>-1.0361203050798684E-2</v>
      </c>
      <c r="N834" s="842">
        <v>64.319999999999993</v>
      </c>
      <c r="O834" s="843">
        <f t="shared" si="137"/>
        <v>-2.5159139133070774E-2</v>
      </c>
      <c r="P834" s="844">
        <f t="shared" si="143"/>
        <v>-1.2727887253698398E-2</v>
      </c>
      <c r="Q834" s="830"/>
      <c r="R834" s="845">
        <v>898.54</v>
      </c>
      <c r="S834" s="846">
        <f t="shared" si="138"/>
        <v>-1.7220500172205888E-3</v>
      </c>
      <c r="T834" s="845">
        <v>65.680000000000007</v>
      </c>
      <c r="U834" s="846">
        <f t="shared" si="139"/>
        <v>-2.8844694094427581E-3</v>
      </c>
      <c r="V834" s="845">
        <v>96.915400000000005</v>
      </c>
      <c r="W834" s="846">
        <f t="shared" si="140"/>
        <v>-1.0006639767097258E-2</v>
      </c>
      <c r="X834" s="845">
        <v>35294.76</v>
      </c>
      <c r="Y834" s="846">
        <f t="shared" si="141"/>
        <v>1.0947349607132839E-2</v>
      </c>
      <c r="Z834" s="845">
        <v>4471.3684999999996</v>
      </c>
      <c r="AA834" s="846">
        <f t="shared" si="142"/>
        <v>7.4587940276833464E-3</v>
      </c>
      <c r="AB834" s="843"/>
    </row>
    <row r="835" spans="1:30" ht="14.4" x14ac:dyDescent="0.55000000000000004">
      <c r="A835" s="857" t="s">
        <v>5994</v>
      </c>
      <c r="B835" s="842">
        <v>93.94</v>
      </c>
      <c r="C835" s="843">
        <f t="shared" si="133"/>
        <v>1.8872017353579018E-2</v>
      </c>
      <c r="D835" s="842">
        <v>38.700000000000003</v>
      </c>
      <c r="E835" s="843">
        <f t="shared" si="134"/>
        <v>1.7350157728706739E-2</v>
      </c>
      <c r="F835" s="842">
        <v>24.9</v>
      </c>
      <c r="G835" s="843">
        <f t="shared" si="134"/>
        <v>8.5054678007290274E-3</v>
      </c>
      <c r="H835" s="842">
        <v>47.46</v>
      </c>
      <c r="I835" s="843">
        <f t="shared" si="134"/>
        <v>8.0713678844519521E-3</v>
      </c>
      <c r="J835" s="842">
        <v>68.959999999999994</v>
      </c>
      <c r="K835" s="843">
        <f t="shared" si="135"/>
        <v>4.3693562481794679E-3</v>
      </c>
      <c r="L835" s="842">
        <v>69.489999999999995</v>
      </c>
      <c r="M835" s="843">
        <f t="shared" si="136"/>
        <v>7.0394331484904482E-2</v>
      </c>
      <c r="N835" s="842">
        <v>65.98</v>
      </c>
      <c r="O835" s="843">
        <f t="shared" si="137"/>
        <v>9.9494872187357863E-3</v>
      </c>
      <c r="P835" s="844">
        <f t="shared" si="143"/>
        <v>1.9644597959898067E-2</v>
      </c>
      <c r="Q835" s="830"/>
      <c r="R835" s="845">
        <v>900.09</v>
      </c>
      <c r="S835" s="846">
        <f t="shared" si="138"/>
        <v>1.1178016941155278E-2</v>
      </c>
      <c r="T835" s="845">
        <v>65.87</v>
      </c>
      <c r="U835" s="846">
        <f t="shared" si="139"/>
        <v>1.2294452128477129E-2</v>
      </c>
      <c r="V835" s="845">
        <v>97.894999999999996</v>
      </c>
      <c r="W835" s="846">
        <f t="shared" si="140"/>
        <v>1.8872480399493297E-2</v>
      </c>
      <c r="X835" s="845">
        <v>34912.559999999998</v>
      </c>
      <c r="Y835" s="846">
        <f t="shared" si="141"/>
        <v>1.5555092078291199E-2</v>
      </c>
      <c r="Z835" s="845">
        <v>4438.2644</v>
      </c>
      <c r="AA835" s="846">
        <f t="shared" si="142"/>
        <v>1.7063069621931826E-2</v>
      </c>
      <c r="AB835" s="843"/>
    </row>
    <row r="836" spans="1:30" ht="14.4" x14ac:dyDescent="0.55000000000000004">
      <c r="A836" s="857" t="s">
        <v>5995</v>
      </c>
      <c r="B836" s="842">
        <v>92.2</v>
      </c>
      <c r="C836" s="843">
        <f t="shared" si="133"/>
        <v>3.6187907394920282E-2</v>
      </c>
      <c r="D836" s="842">
        <v>38.04</v>
      </c>
      <c r="E836" s="843">
        <f t="shared" si="134"/>
        <v>8.216273522396067E-3</v>
      </c>
      <c r="F836" s="842">
        <v>24.69</v>
      </c>
      <c r="G836" s="843">
        <f t="shared" si="134"/>
        <v>1.3546798029556717E-2</v>
      </c>
      <c r="H836" s="842">
        <v>47.08</v>
      </c>
      <c r="I836" s="843">
        <f t="shared" si="134"/>
        <v>7.4898352236250076E-3</v>
      </c>
      <c r="J836" s="842">
        <v>68.66</v>
      </c>
      <c r="K836" s="843">
        <f t="shared" si="135"/>
        <v>1.6046681254557882E-3</v>
      </c>
      <c r="L836" s="842">
        <v>64.92</v>
      </c>
      <c r="M836" s="843">
        <f t="shared" si="136"/>
        <v>2.3490461926533257E-2</v>
      </c>
      <c r="N836" s="842">
        <v>65.33</v>
      </c>
      <c r="O836" s="843">
        <f t="shared" si="137"/>
        <v>1.9347792167264677E-2</v>
      </c>
      <c r="P836" s="844">
        <f t="shared" si="143"/>
        <v>1.5697676627107398E-2</v>
      </c>
      <c r="Q836" s="830"/>
      <c r="R836" s="845">
        <v>890.14</v>
      </c>
      <c r="S836" s="846">
        <f t="shared" si="138"/>
        <v>1.2212872413008835E-2</v>
      </c>
      <c r="T836" s="845">
        <v>65.069999999999993</v>
      </c>
      <c r="U836" s="846">
        <f t="shared" si="139"/>
        <v>1.1660447761194126E-2</v>
      </c>
      <c r="V836" s="845">
        <v>96.081699999999998</v>
      </c>
      <c r="W836" s="846">
        <f t="shared" si="140"/>
        <v>3.618830081282387E-2</v>
      </c>
      <c r="X836" s="845">
        <v>34377.81</v>
      </c>
      <c r="Y836" s="846">
        <f t="shared" si="141"/>
        <v>-1.5416683877056414E-5</v>
      </c>
      <c r="Z836" s="845">
        <v>4363.8045000000002</v>
      </c>
      <c r="AA836" s="846">
        <f t="shared" si="142"/>
        <v>3.0244933740875002E-3</v>
      </c>
      <c r="AB836" s="843"/>
    </row>
    <row r="837" spans="1:30" ht="14.4" x14ac:dyDescent="0.55000000000000004">
      <c r="A837" s="857" t="s">
        <v>5996</v>
      </c>
      <c r="B837" s="842">
        <v>88.98</v>
      </c>
      <c r="C837" s="843">
        <f t="shared" si="133"/>
        <v>-1.4588710582426057E-3</v>
      </c>
      <c r="D837" s="842">
        <v>37.729999999999997</v>
      </c>
      <c r="E837" s="843">
        <f t="shared" si="134"/>
        <v>1.588583737210536E-2</v>
      </c>
      <c r="F837" s="842">
        <v>24.36</v>
      </c>
      <c r="G837" s="843">
        <f t="shared" si="134"/>
        <v>8.2169268693510489E-4</v>
      </c>
      <c r="H837" s="842">
        <v>46.73</v>
      </c>
      <c r="I837" s="843">
        <f t="shared" si="134"/>
        <v>2.5745548165629906E-3</v>
      </c>
      <c r="J837" s="842">
        <v>68.55</v>
      </c>
      <c r="K837" s="843">
        <f t="shared" si="135"/>
        <v>3.9543057996485054E-3</v>
      </c>
      <c r="L837" s="842">
        <v>63.43</v>
      </c>
      <c r="M837" s="843">
        <f t="shared" si="136"/>
        <v>-1.1685883452789092E-2</v>
      </c>
      <c r="N837" s="842">
        <v>64.09</v>
      </c>
      <c r="O837" s="843">
        <f t="shared" si="137"/>
        <v>9.7683945170947695E-3</v>
      </c>
      <c r="P837" s="844">
        <f t="shared" si="143"/>
        <v>2.8371472401878617E-3</v>
      </c>
      <c r="Q837" s="830"/>
      <c r="R837" s="845">
        <v>879.4</v>
      </c>
      <c r="S837" s="846">
        <f t="shared" si="138"/>
        <v>5.453734722111081E-3</v>
      </c>
      <c r="T837" s="845">
        <v>64.319999999999993</v>
      </c>
      <c r="U837" s="846">
        <f t="shared" si="139"/>
        <v>6.7303177336044406E-3</v>
      </c>
      <c r="V837" s="845">
        <v>92.726100000000002</v>
      </c>
      <c r="W837" s="846">
        <f t="shared" si="140"/>
        <v>-1.459160729515685E-3</v>
      </c>
      <c r="X837" s="845">
        <v>34378.339999999997</v>
      </c>
      <c r="Y837" s="846">
        <f t="shared" si="141"/>
        <v>-3.4125636377024815E-3</v>
      </c>
      <c r="Z837" s="845">
        <v>4350.6459999999997</v>
      </c>
      <c r="AA837" s="846">
        <f t="shared" si="142"/>
        <v>-2.4178031205011052E-3</v>
      </c>
      <c r="AB837" s="843"/>
    </row>
    <row r="838" spans="1:30" ht="14.4" x14ac:dyDescent="0.55000000000000004">
      <c r="A838" s="857" t="s">
        <v>5997</v>
      </c>
      <c r="B838" s="842">
        <v>89.11</v>
      </c>
      <c r="C838" s="843">
        <f t="shared" si="133"/>
        <v>-9.4486438417074048E-3</v>
      </c>
      <c r="D838" s="842">
        <v>37.14</v>
      </c>
      <c r="E838" s="843">
        <f t="shared" si="134"/>
        <v>3.7837837837837451E-3</v>
      </c>
      <c r="F838" s="842">
        <v>24.34</v>
      </c>
      <c r="G838" s="843">
        <f t="shared" si="134"/>
        <v>-3.683995088006542E-3</v>
      </c>
      <c r="H838" s="842">
        <v>46.61</v>
      </c>
      <c r="I838" s="843">
        <f t="shared" si="134"/>
        <v>-4.6978432628657085E-3</v>
      </c>
      <c r="J838" s="842">
        <v>68.28</v>
      </c>
      <c r="K838" s="843">
        <f t="shared" si="135"/>
        <v>8.4182543198938475E-3</v>
      </c>
      <c r="L838" s="842">
        <v>64.180000000000007</v>
      </c>
      <c r="M838" s="843">
        <f t="shared" si="136"/>
        <v>-2.4867889337891746E-3</v>
      </c>
      <c r="N838" s="842">
        <v>63.47</v>
      </c>
      <c r="O838" s="843">
        <f t="shared" si="137"/>
        <v>-4.392156862745078E-3</v>
      </c>
      <c r="P838" s="844">
        <f t="shared" si="143"/>
        <v>-1.7867699836337594E-3</v>
      </c>
      <c r="Q838" s="830"/>
      <c r="R838" s="845">
        <v>874.63</v>
      </c>
      <c r="S838" s="846">
        <f t="shared" si="138"/>
        <v>-1.138238951056858E-2</v>
      </c>
      <c r="T838" s="845">
        <v>63.89</v>
      </c>
      <c r="U838" s="846">
        <f t="shared" si="139"/>
        <v>-1.3586536976995411E-2</v>
      </c>
      <c r="V838" s="845">
        <v>92.861599999999996</v>
      </c>
      <c r="W838" s="846">
        <f t="shared" si="140"/>
        <v>-9.4487953799252677E-3</v>
      </c>
      <c r="X838" s="845">
        <v>34496.06</v>
      </c>
      <c r="Y838" s="846">
        <f t="shared" si="141"/>
        <v>-7.2004892614311311E-3</v>
      </c>
      <c r="Z838" s="845">
        <v>4361.1904999999997</v>
      </c>
      <c r="AA838" s="846">
        <f t="shared" si="142"/>
        <v>-6.8652422823012316E-3</v>
      </c>
      <c r="AB838" s="843"/>
    </row>
    <row r="839" spans="1:30" ht="14.4" x14ac:dyDescent="0.55000000000000004">
      <c r="A839" s="857" t="s">
        <v>5998</v>
      </c>
      <c r="B839" s="842">
        <v>89.96</v>
      </c>
      <c r="C839" s="843">
        <f t="shared" si="133"/>
        <v>2.2281639928698471E-3</v>
      </c>
      <c r="D839" s="842">
        <v>37</v>
      </c>
      <c r="E839" s="843">
        <f t="shared" si="134"/>
        <v>-4.0376850605652326E-3</v>
      </c>
      <c r="F839" s="842">
        <v>24.43</v>
      </c>
      <c r="G839" s="843">
        <f t="shared" si="134"/>
        <v>-5.293159609120468E-3</v>
      </c>
      <c r="H839" s="842">
        <v>46.83</v>
      </c>
      <c r="I839" s="843">
        <f t="shared" si="134"/>
        <v>-3.8289725590300305E-3</v>
      </c>
      <c r="J839" s="842">
        <v>67.709999999999994</v>
      </c>
      <c r="K839" s="843">
        <f t="shared" si="135"/>
        <v>3.4084173088320124E-3</v>
      </c>
      <c r="L839" s="842">
        <v>64.34</v>
      </c>
      <c r="M839" s="843">
        <f t="shared" si="136"/>
        <v>-2.662632375189089E-2</v>
      </c>
      <c r="N839" s="842">
        <v>63.75</v>
      </c>
      <c r="O839" s="843">
        <f t="shared" si="137"/>
        <v>-2.3474178403755097E-3</v>
      </c>
      <c r="P839" s="844">
        <f t="shared" si="143"/>
        <v>-5.2138539313257527E-3</v>
      </c>
      <c r="Q839" s="830"/>
      <c r="R839" s="845">
        <v>884.7</v>
      </c>
      <c r="S839" s="846">
        <f t="shared" si="138"/>
        <v>-7.0929945455768806E-3</v>
      </c>
      <c r="T839" s="845">
        <v>64.77</v>
      </c>
      <c r="U839" s="846">
        <f t="shared" si="139"/>
        <v>-7.3563218390805263E-3</v>
      </c>
      <c r="V839" s="845">
        <v>93.747399999999999</v>
      </c>
      <c r="W839" s="846">
        <f t="shared" si="140"/>
        <v>2.2279477009590209E-3</v>
      </c>
      <c r="X839" s="845">
        <v>34746.25</v>
      </c>
      <c r="Y839" s="846">
        <f t="shared" si="141"/>
        <v>-2.5003639770349029E-4</v>
      </c>
      <c r="Z839" s="845">
        <v>4391.3380999999999</v>
      </c>
      <c r="AA839" s="846">
        <f t="shared" si="142"/>
        <v>-1.9149211958742196E-3</v>
      </c>
      <c r="AB839" s="843"/>
    </row>
    <row r="840" spans="1:30" ht="14.4" x14ac:dyDescent="0.55000000000000004">
      <c r="A840" s="857" t="s">
        <v>5999</v>
      </c>
      <c r="B840" s="842">
        <v>89.76</v>
      </c>
      <c r="C840" s="843">
        <f t="shared" ref="C840:C903" si="144">IFERROR(((B840/B841)-1), "NA")</f>
        <v>-4.4365572315882007E-3</v>
      </c>
      <c r="D840" s="842">
        <v>37.15</v>
      </c>
      <c r="E840" s="843">
        <f t="shared" ref="E840:I903" si="145">IFERROR(((D840/D841)-1), "NA")</f>
        <v>4.3254933765881631E-3</v>
      </c>
      <c r="F840" s="842">
        <v>24.56</v>
      </c>
      <c r="G840" s="843">
        <f t="shared" si="145"/>
        <v>-3.6511156186612714E-3</v>
      </c>
      <c r="H840" s="842">
        <v>47.01</v>
      </c>
      <c r="I840" s="843">
        <f t="shared" si="145"/>
        <v>-6.1310782241014161E-3</v>
      </c>
      <c r="J840" s="842">
        <v>67.48</v>
      </c>
      <c r="K840" s="843">
        <f t="shared" ref="K840:K903" si="146">IFERROR(((J840/J841)-1), "NA")</f>
        <v>1.9302152932443306E-3</v>
      </c>
      <c r="L840" s="842">
        <v>66.099999999999994</v>
      </c>
      <c r="M840" s="843">
        <f t="shared" ref="M840:M903" si="147">IFERROR(((L840/L841)-1), "NA")</f>
        <v>-2.7941176470588358E-2</v>
      </c>
      <c r="N840" s="842">
        <v>63.9</v>
      </c>
      <c r="O840" s="843">
        <f t="shared" ref="O840:O903" si="148">IFERROR(((N840/N841)-1), "NA")</f>
        <v>6.2992125984251413E-3</v>
      </c>
      <c r="P840" s="844">
        <f t="shared" si="143"/>
        <v>-4.2292866109545158E-3</v>
      </c>
      <c r="Q840" s="830"/>
      <c r="R840" s="845">
        <v>891.02</v>
      </c>
      <c r="S840" s="846">
        <f t="shared" ref="S840:S903" si="149">IFERROR(((R840/R841)-1), "NA")</f>
        <v>-5.8404169797753314E-3</v>
      </c>
      <c r="T840" s="845">
        <v>65.25</v>
      </c>
      <c r="U840" s="846">
        <f t="shared" ref="U840:U903" si="150">IFERROR(((T840/T841)-1), "NA")</f>
        <v>-5.3353658536584581E-3</v>
      </c>
      <c r="V840" s="845">
        <v>93.539000000000001</v>
      </c>
      <c r="W840" s="846">
        <f t="shared" ref="W840:W903" si="151">IFERROR(((V840/V841)-1), "NA")</f>
        <v>-4.4361284774329102E-3</v>
      </c>
      <c r="X840" s="845">
        <v>34754.94</v>
      </c>
      <c r="Y840" s="846">
        <f t="shared" ref="Y840:Y903" si="152">IFERROR(((X840/X841)-1), "NA")</f>
        <v>9.8193456948008073E-3</v>
      </c>
      <c r="Z840" s="845">
        <v>4399.7632999999996</v>
      </c>
      <c r="AA840" s="846">
        <f t="shared" ref="AA840:AA903" si="153">IFERROR(((Z840/Z841)-1), "NA")</f>
        <v>8.3001546540644178E-3</v>
      </c>
      <c r="AB840" s="843"/>
    </row>
    <row r="841" spans="1:30" ht="14.4" x14ac:dyDescent="0.55000000000000004">
      <c r="A841" s="857" t="s">
        <v>6000</v>
      </c>
      <c r="B841" s="842">
        <v>90.16</v>
      </c>
      <c r="C841" s="843">
        <f t="shared" si="144"/>
        <v>1.6664815020552837E-3</v>
      </c>
      <c r="D841" s="842">
        <v>36.99</v>
      </c>
      <c r="E841" s="843">
        <f t="shared" si="145"/>
        <v>1.0655737704918122E-2</v>
      </c>
      <c r="F841" s="842">
        <v>24.65</v>
      </c>
      <c r="G841" s="843">
        <f t="shared" si="145"/>
        <v>1.0660106601065866E-2</v>
      </c>
      <c r="H841" s="842">
        <v>47.3</v>
      </c>
      <c r="I841" s="843">
        <f t="shared" si="145"/>
        <v>4.2462845010615702E-3</v>
      </c>
      <c r="J841" s="842">
        <v>67.349999999999994</v>
      </c>
      <c r="K841" s="843">
        <f t="shared" si="146"/>
        <v>1.0404280618310224E-3</v>
      </c>
      <c r="L841" s="842">
        <v>68</v>
      </c>
      <c r="M841" s="843">
        <f t="shared" si="147"/>
        <v>-3.4365237148537342E-2</v>
      </c>
      <c r="N841" s="842">
        <v>63.5</v>
      </c>
      <c r="O841" s="843">
        <f t="shared" si="148"/>
        <v>2.684351807989982E-3</v>
      </c>
      <c r="P841" s="844">
        <f t="shared" ref="P841:P904" si="154">IFERROR(AVERAGE(C841,E841,G841,I841,M841,K841,O841),"NA")</f>
        <v>-4.8740670994507074E-4</v>
      </c>
      <c r="Q841" s="830"/>
      <c r="R841" s="845">
        <v>896.25450000000001</v>
      </c>
      <c r="S841" s="846">
        <f t="shared" si="149"/>
        <v>1.3724946839795527E-2</v>
      </c>
      <c r="T841" s="845">
        <v>65.599999999999994</v>
      </c>
      <c r="U841" s="846">
        <f t="shared" si="150"/>
        <v>1.5479876160990669E-2</v>
      </c>
      <c r="V841" s="845">
        <v>93.955799999999996</v>
      </c>
      <c r="W841" s="846">
        <f t="shared" si="151"/>
        <v>1.6663201829434371E-3</v>
      </c>
      <c r="X841" s="845">
        <v>34416.987699999998</v>
      </c>
      <c r="Y841" s="846">
        <f t="shared" si="152"/>
        <v>2.9817480395410989E-3</v>
      </c>
      <c r="Z841" s="845">
        <v>4363.5451999999996</v>
      </c>
      <c r="AA841" s="846">
        <f t="shared" si="153"/>
        <v>4.1026609146725956E-3</v>
      </c>
      <c r="AB841" s="843"/>
    </row>
    <row r="842" spans="1:30" ht="14.4" x14ac:dyDescent="0.55000000000000004">
      <c r="A842" s="857" t="s">
        <v>6001</v>
      </c>
      <c r="B842" s="842">
        <v>90.01</v>
      </c>
      <c r="C842" s="843">
        <f t="shared" si="144"/>
        <v>-5.9635560463831006E-3</v>
      </c>
      <c r="D842" s="842">
        <v>36.6</v>
      </c>
      <c r="E842" s="843">
        <f t="shared" si="145"/>
        <v>5.4674685620570429E-4</v>
      </c>
      <c r="F842" s="842">
        <v>24.39</v>
      </c>
      <c r="G842" s="843">
        <f t="shared" si="145"/>
        <v>-8.133387555916971E-3</v>
      </c>
      <c r="H842" s="842">
        <v>47.1</v>
      </c>
      <c r="I842" s="843">
        <f t="shared" si="145"/>
        <v>-2.3300148273670551E-3</v>
      </c>
      <c r="J842" s="842">
        <v>67.28</v>
      </c>
      <c r="K842" s="843">
        <f t="shared" si="146"/>
        <v>-1.335906189698699E-3</v>
      </c>
      <c r="L842" s="842">
        <v>70.42</v>
      </c>
      <c r="M842" s="843">
        <f t="shared" si="147"/>
        <v>6.5839261389435633E-2</v>
      </c>
      <c r="N842" s="842">
        <v>63.33</v>
      </c>
      <c r="O842" s="843">
        <f t="shared" si="148"/>
        <v>2.3741690408356497E-3</v>
      </c>
      <c r="P842" s="844">
        <f t="shared" si="154"/>
        <v>7.2853303810158799E-3</v>
      </c>
      <c r="Q842" s="830"/>
      <c r="R842" s="845">
        <v>884.12</v>
      </c>
      <c r="S842" s="846">
        <f t="shared" si="149"/>
        <v>-1.7818710707553365E-3</v>
      </c>
      <c r="T842" s="845">
        <v>64.599999999999994</v>
      </c>
      <c r="U842" s="846">
        <f t="shared" si="150"/>
        <v>-2.4706609017913772E-3</v>
      </c>
      <c r="V842" s="845">
        <v>93.799499999999995</v>
      </c>
      <c r="W842" s="846">
        <f t="shared" si="151"/>
        <v>-5.9631928886779706E-3</v>
      </c>
      <c r="X842" s="845">
        <v>34314.67</v>
      </c>
      <c r="Y842" s="846">
        <f t="shared" si="152"/>
        <v>9.1681848228297724E-3</v>
      </c>
      <c r="Z842" s="845">
        <v>4345.7161999999998</v>
      </c>
      <c r="AA842" s="846">
        <f t="shared" si="153"/>
        <v>1.0523806877358988E-2</v>
      </c>
      <c r="AB842" s="843"/>
    </row>
    <row r="843" spans="1:30" ht="14.4" x14ac:dyDescent="0.55000000000000004">
      <c r="A843" s="857" t="s">
        <v>6002</v>
      </c>
      <c r="B843" s="842">
        <v>90.55</v>
      </c>
      <c r="C843" s="843">
        <f t="shared" si="144"/>
        <v>1.9936922730344531E-2</v>
      </c>
      <c r="D843" s="842">
        <v>36.58</v>
      </c>
      <c r="E843" s="843">
        <f t="shared" si="145"/>
        <v>2.7528089887640439E-2</v>
      </c>
      <c r="F843" s="842">
        <v>24.59</v>
      </c>
      <c r="G843" s="843">
        <f t="shared" si="145"/>
        <v>1.1934156378600846E-2</v>
      </c>
      <c r="H843" s="842">
        <v>47.21</v>
      </c>
      <c r="I843" s="843">
        <f t="shared" si="145"/>
        <v>1.8774277082434176E-2</v>
      </c>
      <c r="J843" s="842">
        <v>67.37</v>
      </c>
      <c r="K843" s="843">
        <f t="shared" si="146"/>
        <v>3.6302107368097136E-2</v>
      </c>
      <c r="L843" s="842">
        <v>66.069999999999993</v>
      </c>
      <c r="M843" s="843">
        <f t="shared" si="147"/>
        <v>-2.4653085326247437E-2</v>
      </c>
      <c r="N843" s="842">
        <v>63.18</v>
      </c>
      <c r="O843" s="843">
        <f t="shared" si="148"/>
        <v>1.7555161861813495E-2</v>
      </c>
      <c r="P843" s="844">
        <f t="shared" si="154"/>
        <v>1.5339661426097597E-2</v>
      </c>
      <c r="Q843" s="830"/>
      <c r="R843" s="845">
        <v>885.69820000000004</v>
      </c>
      <c r="S843" s="846">
        <f t="shared" si="149"/>
        <v>1.4754703146124148E-2</v>
      </c>
      <c r="T843" s="845">
        <v>64.760000000000005</v>
      </c>
      <c r="U843" s="846">
        <f t="shared" si="150"/>
        <v>1.3775829680651164E-2</v>
      </c>
      <c r="V843" s="845">
        <v>94.362200000000001</v>
      </c>
      <c r="W843" s="846">
        <f t="shared" si="151"/>
        <v>1.9936725621151341E-2</v>
      </c>
      <c r="X843" s="845">
        <v>34002.924899999998</v>
      </c>
      <c r="Y843" s="846">
        <f t="shared" si="152"/>
        <v>-9.4252393051891259E-3</v>
      </c>
      <c r="Z843" s="845">
        <v>4300.4589999999998</v>
      </c>
      <c r="AA843" s="846">
        <f t="shared" si="153"/>
        <v>-1.298586064953422E-2</v>
      </c>
      <c r="AB843" s="843"/>
    </row>
    <row r="844" spans="1:30" ht="14.4" x14ac:dyDescent="0.55000000000000004">
      <c r="A844" s="857" t="s">
        <v>6003</v>
      </c>
      <c r="B844" s="842">
        <v>88.78</v>
      </c>
      <c r="C844" s="843">
        <f t="shared" si="144"/>
        <v>6.5759637188207432E-3</v>
      </c>
      <c r="D844" s="842">
        <v>35.6</v>
      </c>
      <c r="E844" s="843">
        <f t="shared" si="145"/>
        <v>2.2694627980465398E-2</v>
      </c>
      <c r="F844" s="842">
        <v>24.3</v>
      </c>
      <c r="G844" s="843">
        <f t="shared" si="145"/>
        <v>2.8889806025589326E-3</v>
      </c>
      <c r="H844" s="842">
        <v>46.34</v>
      </c>
      <c r="I844" s="843">
        <f t="shared" si="145"/>
        <v>7.6103500761035558E-3</v>
      </c>
      <c r="J844" s="842">
        <v>65.010000000000005</v>
      </c>
      <c r="K844" s="843">
        <f t="shared" si="146"/>
        <v>2.587975382673191E-2</v>
      </c>
      <c r="L844" s="842">
        <v>67.739999999999995</v>
      </c>
      <c r="M844" s="843">
        <f t="shared" si="147"/>
        <v>1.285885167464107E-2</v>
      </c>
      <c r="N844" s="842">
        <v>62.09</v>
      </c>
      <c r="O844" s="843">
        <f t="shared" si="148"/>
        <v>1.4874141876430214E-2</v>
      </c>
      <c r="P844" s="844">
        <f t="shared" si="154"/>
        <v>1.3340381393678833E-2</v>
      </c>
      <c r="Q844" s="830"/>
      <c r="R844" s="845">
        <v>872.82</v>
      </c>
      <c r="S844" s="846">
        <f t="shared" si="149"/>
        <v>-2.0694465088093583E-3</v>
      </c>
      <c r="T844" s="845">
        <v>63.88</v>
      </c>
      <c r="U844" s="846">
        <f t="shared" si="150"/>
        <v>0</v>
      </c>
      <c r="V844" s="845">
        <v>92.517700000000005</v>
      </c>
      <c r="W844" s="846">
        <f t="shared" si="151"/>
        <v>6.5757621584687787E-3</v>
      </c>
      <c r="X844" s="845">
        <v>34326.46</v>
      </c>
      <c r="Y844" s="846">
        <f t="shared" si="152"/>
        <v>1.4257804651470751E-2</v>
      </c>
      <c r="Z844" s="845">
        <v>4357.0388999999996</v>
      </c>
      <c r="AA844" s="846">
        <f t="shared" si="153"/>
        <v>1.1491504150815679E-2</v>
      </c>
      <c r="AB844" s="843"/>
    </row>
    <row r="845" spans="1:30" ht="14.4" x14ac:dyDescent="0.55000000000000004">
      <c r="A845" s="857" t="s">
        <v>6004</v>
      </c>
      <c r="B845" s="842">
        <v>88.2</v>
      </c>
      <c r="C845" s="843">
        <f t="shared" si="144"/>
        <v>-7.9856034191878589E-3</v>
      </c>
      <c r="D845" s="842">
        <v>34.81</v>
      </c>
      <c r="E845" s="843">
        <f t="shared" si="145"/>
        <v>-1.9436619718309789E-2</v>
      </c>
      <c r="F845" s="842">
        <v>24.23</v>
      </c>
      <c r="G845" s="843">
        <f t="shared" si="145"/>
        <v>0</v>
      </c>
      <c r="H845" s="842">
        <v>45.99</v>
      </c>
      <c r="I845" s="843">
        <f t="shared" si="145"/>
        <v>-1.3725069697619552E-2</v>
      </c>
      <c r="J845" s="842">
        <v>63.37</v>
      </c>
      <c r="K845" s="843">
        <f t="shared" si="146"/>
        <v>-1.7214640198511266E-2</v>
      </c>
      <c r="L845" s="842">
        <v>66.88</v>
      </c>
      <c r="M845" s="843">
        <f t="shared" si="147"/>
        <v>-1.5457088179007927E-2</v>
      </c>
      <c r="N845" s="842">
        <v>61.18</v>
      </c>
      <c r="O845" s="843">
        <f t="shared" si="148"/>
        <v>-1.4020950846091784E-2</v>
      </c>
      <c r="P845" s="844">
        <f t="shared" si="154"/>
        <v>-1.2548567436961169E-2</v>
      </c>
      <c r="Q845" s="830"/>
      <c r="R845" s="845">
        <v>874.63</v>
      </c>
      <c r="S845" s="846">
        <f t="shared" si="149"/>
        <v>-8.6819526459553931E-3</v>
      </c>
      <c r="T845" s="845">
        <v>63.88</v>
      </c>
      <c r="U845" s="846">
        <f t="shared" si="150"/>
        <v>-7.9204845472898855E-3</v>
      </c>
      <c r="V845" s="845">
        <v>91.913300000000007</v>
      </c>
      <c r="W845" s="846">
        <f t="shared" si="151"/>
        <v>-7.9856928848651698E-3</v>
      </c>
      <c r="X845" s="845">
        <v>33843.919999999998</v>
      </c>
      <c r="Y845" s="846">
        <f t="shared" si="152"/>
        <v>-1.5899638041890429E-2</v>
      </c>
      <c r="Z845" s="845">
        <v>4307.5388000000003</v>
      </c>
      <c r="AA845" s="846">
        <f t="shared" si="153"/>
        <v>-1.1910256522302709E-2</v>
      </c>
      <c r="AB845" s="843"/>
      <c r="AD845" s="858"/>
    </row>
    <row r="846" spans="1:30" ht="14.4" x14ac:dyDescent="0.55000000000000004">
      <c r="A846" s="857" t="s">
        <v>6005</v>
      </c>
      <c r="B846" s="842">
        <v>88.91</v>
      </c>
      <c r="C846" s="843">
        <f t="shared" si="144"/>
        <v>2.5608490021917119E-2</v>
      </c>
      <c r="D846" s="842">
        <v>35.5</v>
      </c>
      <c r="E846" s="843">
        <f t="shared" si="145"/>
        <v>1.9236290554120128E-2</v>
      </c>
      <c r="F846" s="842">
        <v>24.23</v>
      </c>
      <c r="G846" s="843">
        <f t="shared" si="145"/>
        <v>1.6359060402684644E-2</v>
      </c>
      <c r="H846" s="842">
        <v>46.63</v>
      </c>
      <c r="I846" s="843">
        <f t="shared" si="145"/>
        <v>1.9680734747430595E-2</v>
      </c>
      <c r="J846" s="842">
        <v>64.48</v>
      </c>
      <c r="K846" s="843">
        <f t="shared" si="146"/>
        <v>1.8641390205371255E-2</v>
      </c>
      <c r="L846" s="842">
        <v>67.930000000000007</v>
      </c>
      <c r="M846" s="843">
        <f t="shared" si="147"/>
        <v>1.8440779610194857E-2</v>
      </c>
      <c r="N846" s="842">
        <v>62.05</v>
      </c>
      <c r="O846" s="843">
        <f t="shared" si="148"/>
        <v>1.9720624486442073E-2</v>
      </c>
      <c r="P846" s="844">
        <f t="shared" si="154"/>
        <v>1.9669624289737238E-2</v>
      </c>
      <c r="Q846" s="830"/>
      <c r="R846" s="845">
        <v>882.29</v>
      </c>
      <c r="S846" s="846">
        <f t="shared" si="149"/>
        <v>1.4429599650470193E-2</v>
      </c>
      <c r="T846" s="845">
        <v>64.39</v>
      </c>
      <c r="U846" s="846">
        <f t="shared" si="150"/>
        <v>1.3058527375708007E-2</v>
      </c>
      <c r="V846" s="845">
        <v>92.653199999999998</v>
      </c>
      <c r="W846" s="846">
        <f t="shared" si="151"/>
        <v>2.5608896199566855E-2</v>
      </c>
      <c r="X846" s="845">
        <v>34390.720000000001</v>
      </c>
      <c r="Y846" s="846">
        <f t="shared" si="152"/>
        <v>2.6451902755657564E-3</v>
      </c>
      <c r="Z846" s="845">
        <v>4359.4611000000004</v>
      </c>
      <c r="AA846" s="846">
        <f t="shared" si="153"/>
        <v>1.5684294910787155E-3</v>
      </c>
      <c r="AB846" s="843"/>
      <c r="AD846" s="858"/>
    </row>
    <row r="847" spans="1:30" ht="14.4" x14ac:dyDescent="0.55000000000000004">
      <c r="A847" s="857" t="s">
        <v>6006</v>
      </c>
      <c r="B847" s="842">
        <v>86.69</v>
      </c>
      <c r="C847" s="843">
        <f t="shared" si="144"/>
        <v>-1.0162137474309163E-2</v>
      </c>
      <c r="D847" s="842">
        <v>34.83</v>
      </c>
      <c r="E847" s="843">
        <f t="shared" si="145"/>
        <v>-2.5773195876289678E-3</v>
      </c>
      <c r="F847" s="842">
        <v>23.84</v>
      </c>
      <c r="G847" s="843">
        <f t="shared" si="145"/>
        <v>-1.6750418760468344E-3</v>
      </c>
      <c r="H847" s="842">
        <v>45.73</v>
      </c>
      <c r="I847" s="843">
        <f t="shared" si="145"/>
        <v>-6.9489685124863865E-3</v>
      </c>
      <c r="J847" s="842">
        <v>63.3</v>
      </c>
      <c r="K847" s="843">
        <f t="shared" si="146"/>
        <v>-7.9924776680772025E-3</v>
      </c>
      <c r="L847" s="842">
        <v>66.7</v>
      </c>
      <c r="M847" s="843">
        <f t="shared" si="147"/>
        <v>-1.3313609467455523E-2</v>
      </c>
      <c r="N847" s="842">
        <v>60.85</v>
      </c>
      <c r="O847" s="843">
        <f t="shared" si="148"/>
        <v>-1.3136555303275954E-2</v>
      </c>
      <c r="P847" s="844">
        <f t="shared" si="154"/>
        <v>-7.9723014127542902E-3</v>
      </c>
      <c r="Q847" s="830"/>
      <c r="R847" s="845">
        <v>869.74</v>
      </c>
      <c r="S847" s="846">
        <f t="shared" si="149"/>
        <v>-1.3974346372829238E-2</v>
      </c>
      <c r="T847" s="845">
        <v>63.56</v>
      </c>
      <c r="U847" s="846">
        <f t="shared" si="150"/>
        <v>-1.2583501631194705E-2</v>
      </c>
      <c r="V847" s="845">
        <v>90.339699999999993</v>
      </c>
      <c r="W847" s="846">
        <f t="shared" si="151"/>
        <v>-1.0162468006030712E-2</v>
      </c>
      <c r="X847" s="845">
        <v>34299.99</v>
      </c>
      <c r="Y847" s="846">
        <f t="shared" si="152"/>
        <v>-1.6328944285486258E-2</v>
      </c>
      <c r="Z847" s="845">
        <v>4352.6342999999997</v>
      </c>
      <c r="AA847" s="846">
        <f t="shared" si="153"/>
        <v>-2.0363234728536073E-2</v>
      </c>
      <c r="AB847" s="843"/>
      <c r="AD847" s="858"/>
    </row>
    <row r="848" spans="1:30" ht="14.4" x14ac:dyDescent="0.55000000000000004">
      <c r="A848" s="857" t="s">
        <v>6007</v>
      </c>
      <c r="B848" s="842">
        <v>87.58</v>
      </c>
      <c r="C848" s="843">
        <f t="shared" si="144"/>
        <v>-7.2545907957379807E-3</v>
      </c>
      <c r="D848" s="842">
        <v>34.92</v>
      </c>
      <c r="E848" s="843">
        <f t="shared" si="145"/>
        <v>6.9204152249136008E-3</v>
      </c>
      <c r="F848" s="842">
        <v>23.88</v>
      </c>
      <c r="G848" s="843">
        <f t="shared" si="145"/>
        <v>-5.414410662224145E-3</v>
      </c>
      <c r="H848" s="842">
        <v>46.05</v>
      </c>
      <c r="I848" s="843">
        <f t="shared" si="145"/>
        <v>-4.5395590142671693E-3</v>
      </c>
      <c r="J848" s="842">
        <v>63.81</v>
      </c>
      <c r="K848" s="843">
        <f t="shared" si="146"/>
        <v>-4.6992481203012026E-4</v>
      </c>
      <c r="L848" s="842">
        <v>67.599999999999994</v>
      </c>
      <c r="M848" s="843">
        <f t="shared" si="147"/>
        <v>2.5211330268424259E-3</v>
      </c>
      <c r="N848" s="842">
        <v>61.66</v>
      </c>
      <c r="O848" s="843">
        <f t="shared" si="148"/>
        <v>9.4957432874918091E-3</v>
      </c>
      <c r="P848" s="844">
        <f t="shared" si="154"/>
        <v>1.7982946499834579E-4</v>
      </c>
      <c r="Q848" s="830"/>
      <c r="R848" s="845">
        <v>882.06629999999996</v>
      </c>
      <c r="S848" s="846">
        <f t="shared" si="149"/>
        <v>-1.202251344086025E-2</v>
      </c>
      <c r="T848" s="845">
        <v>64.37</v>
      </c>
      <c r="U848" s="846">
        <f t="shared" si="150"/>
        <v>-1.182069389008289E-2</v>
      </c>
      <c r="V848" s="845">
        <v>91.267200000000003</v>
      </c>
      <c r="W848" s="846">
        <f t="shared" si="151"/>
        <v>-7.2541091934330559E-3</v>
      </c>
      <c r="X848" s="845">
        <v>34869.370000000003</v>
      </c>
      <c r="Y848" s="846">
        <f t="shared" si="152"/>
        <v>2.05097994137593E-3</v>
      </c>
      <c r="Z848" s="845">
        <v>4443.1103999999996</v>
      </c>
      <c r="AA848" s="846">
        <f t="shared" si="153"/>
        <v>-2.7757965088325287E-3</v>
      </c>
      <c r="AB848" s="843"/>
      <c r="AC848" s="858"/>
      <c r="AD848" s="858"/>
    </row>
    <row r="849" spans="1:30" ht="14.4" x14ac:dyDescent="0.55000000000000004">
      <c r="A849" s="857" t="s">
        <v>6008</v>
      </c>
      <c r="B849" s="842">
        <v>88.22</v>
      </c>
      <c r="C849" s="843">
        <f t="shared" si="144"/>
        <v>1.0212186542608581E-3</v>
      </c>
      <c r="D849" s="842">
        <v>34.68</v>
      </c>
      <c r="E849" s="843">
        <f t="shared" si="145"/>
        <v>-9.7087378640777766E-3</v>
      </c>
      <c r="F849" s="842">
        <v>24.01</v>
      </c>
      <c r="G849" s="843">
        <f t="shared" si="145"/>
        <v>4.182350480970376E-3</v>
      </c>
      <c r="H849" s="842">
        <v>46.26</v>
      </c>
      <c r="I849" s="843">
        <f t="shared" si="145"/>
        <v>-1.364605543710018E-2</v>
      </c>
      <c r="J849" s="842">
        <v>63.84</v>
      </c>
      <c r="K849" s="843">
        <f t="shared" si="146"/>
        <v>-1.268171976492416E-2</v>
      </c>
      <c r="L849" s="842">
        <v>67.430000000000007</v>
      </c>
      <c r="M849" s="843">
        <f t="shared" si="147"/>
        <v>-1.7764618800887311E-3</v>
      </c>
      <c r="N849" s="842">
        <v>61.08</v>
      </c>
      <c r="O849" s="843">
        <f t="shared" si="148"/>
        <v>2.1328958162427636E-3</v>
      </c>
      <c r="P849" s="844">
        <f t="shared" si="154"/>
        <v>-4.3537871421024067E-3</v>
      </c>
      <c r="Q849" s="830"/>
      <c r="R849" s="845">
        <v>892.8</v>
      </c>
      <c r="S849" s="846">
        <f t="shared" si="149"/>
        <v>-9.0598847639955515E-4</v>
      </c>
      <c r="T849" s="845">
        <v>65.14</v>
      </c>
      <c r="U849" s="846">
        <f t="shared" si="150"/>
        <v>-1.0734549915656366E-3</v>
      </c>
      <c r="V849" s="845">
        <v>91.934100000000001</v>
      </c>
      <c r="W849" s="846">
        <f t="shared" si="151"/>
        <v>1.0202481696508503E-3</v>
      </c>
      <c r="X849" s="845">
        <v>34798</v>
      </c>
      <c r="Y849" s="846">
        <f t="shared" si="152"/>
        <v>9.545225209617314E-4</v>
      </c>
      <c r="Z849" s="845">
        <v>4455.4778999999999</v>
      </c>
      <c r="AA849" s="846">
        <f t="shared" si="153"/>
        <v>1.4596141172993349E-3</v>
      </c>
      <c r="AB849" s="843"/>
      <c r="AC849" s="858"/>
      <c r="AD849" s="858"/>
    </row>
    <row r="850" spans="1:30" ht="14.4" x14ac:dyDescent="0.55000000000000004">
      <c r="A850" s="857" t="s">
        <v>6009</v>
      </c>
      <c r="B850" s="842">
        <v>88.13</v>
      </c>
      <c r="C850" s="843">
        <f t="shared" si="144"/>
        <v>-6.9859154929577949E-3</v>
      </c>
      <c r="D850" s="842">
        <v>35.020000000000003</v>
      </c>
      <c r="E850" s="843">
        <f t="shared" si="145"/>
        <v>-1.4257199885941985E-3</v>
      </c>
      <c r="F850" s="842">
        <v>23.91</v>
      </c>
      <c r="G850" s="843">
        <f t="shared" si="145"/>
        <v>-9.117281392457488E-3</v>
      </c>
      <c r="H850" s="842">
        <v>46.9</v>
      </c>
      <c r="I850" s="843">
        <f t="shared" si="145"/>
        <v>-7.1972904318374775E-3</v>
      </c>
      <c r="J850" s="842">
        <v>64.66</v>
      </c>
      <c r="K850" s="843">
        <f t="shared" si="146"/>
        <v>1.8593120545395969E-3</v>
      </c>
      <c r="L850" s="842">
        <v>67.55</v>
      </c>
      <c r="M850" s="843">
        <f t="shared" si="147"/>
        <v>2.9695619896066283E-3</v>
      </c>
      <c r="N850" s="842">
        <v>60.95</v>
      </c>
      <c r="O850" s="843">
        <f t="shared" si="148"/>
        <v>-8.4594110948429391E-3</v>
      </c>
      <c r="P850" s="844">
        <f t="shared" si="154"/>
        <v>-4.0509634795062388E-3</v>
      </c>
      <c r="Q850" s="830"/>
      <c r="R850" s="845">
        <v>893.6096</v>
      </c>
      <c r="S850" s="846">
        <f t="shared" si="149"/>
        <v>-4.9458204610159928E-3</v>
      </c>
      <c r="T850" s="845">
        <v>65.209999999999994</v>
      </c>
      <c r="U850" s="846">
        <f t="shared" si="150"/>
        <v>-5.3386211104333725E-3</v>
      </c>
      <c r="V850" s="845">
        <v>91.840400000000002</v>
      </c>
      <c r="W850" s="846">
        <f t="shared" si="151"/>
        <v>-6.9858844263758213E-3</v>
      </c>
      <c r="X850" s="845">
        <v>34764.816200000001</v>
      </c>
      <c r="Y850" s="846">
        <f t="shared" si="152"/>
        <v>1.4784760927180729E-2</v>
      </c>
      <c r="Z850" s="845">
        <v>4448.9840999999997</v>
      </c>
      <c r="AA850" s="846">
        <f t="shared" si="153"/>
        <v>1.2136352202505529E-2</v>
      </c>
      <c r="AB850" s="843"/>
      <c r="AC850" s="858"/>
    </row>
    <row r="851" spans="1:30" ht="14.4" x14ac:dyDescent="0.55000000000000004">
      <c r="A851" s="857" t="s">
        <v>6010</v>
      </c>
      <c r="B851" s="842">
        <v>88.75</v>
      </c>
      <c r="C851" s="843">
        <f t="shared" si="144"/>
        <v>-3.3791394458215773E-4</v>
      </c>
      <c r="D851" s="842">
        <v>35.07</v>
      </c>
      <c r="E851" s="843">
        <f t="shared" si="145"/>
        <v>8.9182968929804041E-3</v>
      </c>
      <c r="F851" s="842">
        <v>24.13</v>
      </c>
      <c r="G851" s="843">
        <f t="shared" si="145"/>
        <v>5.4166666666666252E-3</v>
      </c>
      <c r="H851" s="842">
        <v>47.24</v>
      </c>
      <c r="I851" s="843">
        <f t="shared" si="145"/>
        <v>2.3339698705706624E-3</v>
      </c>
      <c r="J851" s="842">
        <v>64.540000000000006</v>
      </c>
      <c r="K851" s="843">
        <f t="shared" si="146"/>
        <v>5.765934237182524E-3</v>
      </c>
      <c r="L851" s="842">
        <v>67.349999999999994</v>
      </c>
      <c r="M851" s="843">
        <f t="shared" si="147"/>
        <v>1.0805943268797913E-2</v>
      </c>
      <c r="N851" s="842">
        <v>61.47</v>
      </c>
      <c r="O851" s="843">
        <f t="shared" si="148"/>
        <v>-4.3731778425656342E-3</v>
      </c>
      <c r="P851" s="844">
        <f t="shared" si="154"/>
        <v>4.0756741641500482E-3</v>
      </c>
      <c r="Q851" s="830"/>
      <c r="R851" s="845">
        <v>898.05119999999999</v>
      </c>
      <c r="S851" s="846">
        <f t="shared" si="149"/>
        <v>-4.8915364399426675E-4</v>
      </c>
      <c r="T851" s="845">
        <v>65.56</v>
      </c>
      <c r="U851" s="846">
        <f t="shared" si="150"/>
        <v>-6.0975609756086513E-4</v>
      </c>
      <c r="V851" s="845">
        <v>92.486500000000007</v>
      </c>
      <c r="W851" s="846">
        <f t="shared" si="151"/>
        <v>-3.3723276735153629E-4</v>
      </c>
      <c r="X851" s="845">
        <v>34258.315199999997</v>
      </c>
      <c r="Y851" s="846">
        <f t="shared" si="152"/>
        <v>9.9788042016404344E-3</v>
      </c>
      <c r="Z851" s="845">
        <v>4395.6370999999999</v>
      </c>
      <c r="AA851" s="846">
        <f t="shared" si="153"/>
        <v>9.5191552208495622E-3</v>
      </c>
      <c r="AB851" s="843"/>
      <c r="AC851" s="858"/>
    </row>
    <row r="852" spans="1:30" ht="14.4" x14ac:dyDescent="0.55000000000000004">
      <c r="A852" s="857" t="s">
        <v>6011</v>
      </c>
      <c r="B852" s="842">
        <v>88.78</v>
      </c>
      <c r="C852" s="843">
        <f t="shared" si="144"/>
        <v>-3.9268484236507639E-3</v>
      </c>
      <c r="D852" s="842">
        <v>34.76</v>
      </c>
      <c r="E852" s="843">
        <f t="shared" si="145"/>
        <v>-4.5819014891180787E-3</v>
      </c>
      <c r="F852" s="842">
        <v>24</v>
      </c>
      <c r="G852" s="843">
        <f t="shared" si="145"/>
        <v>2.9251984956122357E-3</v>
      </c>
      <c r="H852" s="842">
        <v>47.13</v>
      </c>
      <c r="I852" s="843">
        <f t="shared" si="145"/>
        <v>-1.1742503669532334E-2</v>
      </c>
      <c r="J852" s="842">
        <v>64.17</v>
      </c>
      <c r="K852" s="843">
        <f t="shared" si="146"/>
        <v>2.9696780243826382E-3</v>
      </c>
      <c r="L852" s="842">
        <v>66.63</v>
      </c>
      <c r="M852" s="843">
        <f t="shared" si="147"/>
        <v>-4.6310128473260326E-3</v>
      </c>
      <c r="N852" s="842">
        <v>61.74</v>
      </c>
      <c r="O852" s="843">
        <f t="shared" si="148"/>
        <v>-3.3898305084746339E-3</v>
      </c>
      <c r="P852" s="844">
        <f t="shared" si="154"/>
        <v>-3.1967457740152811E-3</v>
      </c>
      <c r="Q852" s="830"/>
      <c r="R852" s="845">
        <v>898.49069999999995</v>
      </c>
      <c r="S852" s="846">
        <f t="shared" si="149"/>
        <v>-3.3784544497090785E-3</v>
      </c>
      <c r="T852" s="845">
        <v>65.599999999999994</v>
      </c>
      <c r="U852" s="846">
        <f t="shared" si="150"/>
        <v>-2.7363940407419962E-3</v>
      </c>
      <c r="V852" s="845">
        <v>92.517700000000005</v>
      </c>
      <c r="W852" s="846">
        <f t="shared" si="151"/>
        <v>-3.9275428632948861E-3</v>
      </c>
      <c r="X852" s="845">
        <v>33919.835800000001</v>
      </c>
      <c r="Y852" s="846">
        <f t="shared" si="152"/>
        <v>-1.490535750609312E-3</v>
      </c>
      <c r="Z852" s="845">
        <v>4354.1889000000001</v>
      </c>
      <c r="AA852" s="846">
        <f t="shared" si="153"/>
        <v>-8.1212046305134677E-4</v>
      </c>
      <c r="AB852" s="843"/>
    </row>
    <row r="853" spans="1:30" ht="14.4" x14ac:dyDescent="0.55000000000000004">
      <c r="A853" s="857" t="s">
        <v>6012</v>
      </c>
      <c r="B853" s="842">
        <v>89.13</v>
      </c>
      <c r="C853" s="843">
        <f t="shared" si="144"/>
        <v>4.4898417330774265E-4</v>
      </c>
      <c r="D853" s="842">
        <v>34.92</v>
      </c>
      <c r="E853" s="843">
        <f t="shared" si="145"/>
        <v>0</v>
      </c>
      <c r="F853" s="842">
        <v>23.93</v>
      </c>
      <c r="G853" s="843">
        <f t="shared" si="145"/>
        <v>-4.1614648356221862E-3</v>
      </c>
      <c r="H853" s="842">
        <v>47.69</v>
      </c>
      <c r="I853" s="843">
        <f t="shared" si="145"/>
        <v>-5.6296914095079753E-3</v>
      </c>
      <c r="J853" s="842">
        <v>63.98</v>
      </c>
      <c r="K853" s="843">
        <f t="shared" si="146"/>
        <v>-4.2023346303502462E-3</v>
      </c>
      <c r="L853" s="842">
        <v>66.94</v>
      </c>
      <c r="M853" s="843">
        <f t="shared" si="147"/>
        <v>-1.5877683034401624E-2</v>
      </c>
      <c r="N853" s="842">
        <v>61.95</v>
      </c>
      <c r="O853" s="843">
        <f t="shared" si="148"/>
        <v>-9.4339622641508303E-3</v>
      </c>
      <c r="P853" s="844">
        <f t="shared" si="154"/>
        <v>-5.5508788572464452E-3</v>
      </c>
      <c r="Q853" s="830"/>
      <c r="R853" s="845">
        <v>901.53650000000005</v>
      </c>
      <c r="S853" s="846">
        <f t="shared" si="149"/>
        <v>-2.5083989486210934E-3</v>
      </c>
      <c r="T853" s="845">
        <v>65.78</v>
      </c>
      <c r="U853" s="846">
        <f t="shared" si="150"/>
        <v>-9.3373493975904553E-3</v>
      </c>
      <c r="V853" s="845">
        <v>92.882499999999993</v>
      </c>
      <c r="W853" s="846">
        <f t="shared" si="151"/>
        <v>4.4915597452832579E-4</v>
      </c>
      <c r="X853" s="845">
        <v>33970.47</v>
      </c>
      <c r="Y853" s="846">
        <f t="shared" si="152"/>
        <v>-1.7765277774564936E-2</v>
      </c>
      <c r="Z853" s="845">
        <v>4357.7278999999999</v>
      </c>
      <c r="AA853" s="846">
        <f t="shared" si="153"/>
        <v>-1.6977173971277959E-2</v>
      </c>
      <c r="AB853" s="843"/>
    </row>
    <row r="854" spans="1:30" ht="14.4" x14ac:dyDescent="0.55000000000000004">
      <c r="A854" s="857" t="s">
        <v>6013</v>
      </c>
      <c r="B854" s="842">
        <v>89.09</v>
      </c>
      <c r="C854" s="843">
        <f t="shared" si="144"/>
        <v>-7.4643493761140656E-3</v>
      </c>
      <c r="D854" s="842">
        <v>34.92</v>
      </c>
      <c r="E854" s="843">
        <f t="shared" si="145"/>
        <v>-2.0476858345020998E-2</v>
      </c>
      <c r="F854" s="842">
        <v>24.03</v>
      </c>
      <c r="G854" s="843">
        <f t="shared" si="145"/>
        <v>-8.3160083160083165E-4</v>
      </c>
      <c r="H854" s="842">
        <v>47.96</v>
      </c>
      <c r="I854" s="843">
        <f t="shared" si="145"/>
        <v>1.8800919156047868E-3</v>
      </c>
      <c r="J854" s="842">
        <v>64.25</v>
      </c>
      <c r="K854" s="843">
        <f t="shared" si="146"/>
        <v>-7.8752316244595777E-3</v>
      </c>
      <c r="L854" s="842">
        <v>68.02</v>
      </c>
      <c r="M854" s="843">
        <f t="shared" si="147"/>
        <v>-1.0905918278318993E-2</v>
      </c>
      <c r="N854" s="842">
        <v>62.54</v>
      </c>
      <c r="O854" s="843">
        <f t="shared" si="148"/>
        <v>-6.8286485628076266E-3</v>
      </c>
      <c r="P854" s="844">
        <f t="shared" si="154"/>
        <v>-7.5003593003881864E-3</v>
      </c>
      <c r="Q854" s="830"/>
      <c r="R854" s="845">
        <v>903.80359999999996</v>
      </c>
      <c r="S854" s="846">
        <f t="shared" si="149"/>
        <v>-1.4097541776877609E-2</v>
      </c>
      <c r="T854" s="845">
        <v>66.400000000000006</v>
      </c>
      <c r="U854" s="846">
        <f t="shared" si="150"/>
        <v>-1.5421115065243018E-2</v>
      </c>
      <c r="V854" s="845">
        <v>92.840800000000002</v>
      </c>
      <c r="W854" s="846">
        <f t="shared" si="151"/>
        <v>-7.4642662418884509E-3</v>
      </c>
      <c r="X854" s="845">
        <v>34584.879999999997</v>
      </c>
      <c r="Y854" s="846">
        <f t="shared" si="152"/>
        <v>-4.7894583572652971E-3</v>
      </c>
      <c r="Z854" s="845">
        <v>4432.9875000000002</v>
      </c>
      <c r="AA854" s="846">
        <f t="shared" si="153"/>
        <v>-9.1121038247800046E-3</v>
      </c>
      <c r="AB854" s="843"/>
    </row>
    <row r="855" spans="1:30" ht="14.4" x14ac:dyDescent="0.55000000000000004">
      <c r="A855" s="857" t="s">
        <v>6014</v>
      </c>
      <c r="B855" s="842">
        <v>89.76</v>
      </c>
      <c r="C855" s="843">
        <f t="shared" si="144"/>
        <v>2.2331397945511977E-3</v>
      </c>
      <c r="D855" s="842">
        <v>35.65</v>
      </c>
      <c r="E855" s="843">
        <f t="shared" si="145"/>
        <v>-1.8176810795924037E-2</v>
      </c>
      <c r="F855" s="842">
        <v>24.05</v>
      </c>
      <c r="G855" s="843">
        <f t="shared" si="145"/>
        <v>-5.7875155022737435E-3</v>
      </c>
      <c r="H855" s="842">
        <v>47.87</v>
      </c>
      <c r="I855" s="843">
        <f t="shared" si="145"/>
        <v>-5.8151609553478423E-3</v>
      </c>
      <c r="J855" s="842">
        <v>64.760000000000005</v>
      </c>
      <c r="K855" s="843">
        <f t="shared" si="146"/>
        <v>-9.3314976288817464E-3</v>
      </c>
      <c r="L855" s="842">
        <v>68.77</v>
      </c>
      <c r="M855" s="843">
        <f t="shared" si="147"/>
        <v>-3.622138510576689E-3</v>
      </c>
      <c r="N855" s="842">
        <v>62.97</v>
      </c>
      <c r="O855" s="843">
        <f t="shared" si="148"/>
        <v>1.5809001451847049E-2</v>
      </c>
      <c r="P855" s="844">
        <f t="shared" si="154"/>
        <v>-3.5272831638008301E-3</v>
      </c>
      <c r="Q855" s="830"/>
      <c r="R855" s="845">
        <v>916.72720000000004</v>
      </c>
      <c r="S855" s="846">
        <f t="shared" si="149"/>
        <v>-8.9033879751880818E-3</v>
      </c>
      <c r="T855" s="845">
        <v>67.44</v>
      </c>
      <c r="U855" s="846">
        <f t="shared" si="150"/>
        <v>-8.3811204234672809E-3</v>
      </c>
      <c r="V855" s="845">
        <v>93.539000000000001</v>
      </c>
      <c r="W855" s="846">
        <f t="shared" si="151"/>
        <v>2.2329225355885995E-3</v>
      </c>
      <c r="X855" s="845">
        <v>34751.32</v>
      </c>
      <c r="Y855" s="846">
        <f t="shared" si="152"/>
        <v>-1.8116072118454785E-3</v>
      </c>
      <c r="Z855" s="845">
        <v>4473.7528000000002</v>
      </c>
      <c r="AA855" s="846">
        <f t="shared" si="153"/>
        <v>-1.5508062744192808E-3</v>
      </c>
      <c r="AB855" s="843"/>
    </row>
    <row r="856" spans="1:30" ht="14.4" x14ac:dyDescent="0.55000000000000004">
      <c r="A856" s="857" t="s">
        <v>6015</v>
      </c>
      <c r="B856" s="842">
        <v>89.56</v>
      </c>
      <c r="C856" s="843">
        <f t="shared" si="144"/>
        <v>-1.8843120070113906E-2</v>
      </c>
      <c r="D856" s="842">
        <v>36.31</v>
      </c>
      <c r="E856" s="843">
        <f t="shared" si="145"/>
        <v>6.6537288605490463E-3</v>
      </c>
      <c r="F856" s="842">
        <v>24.19</v>
      </c>
      <c r="G856" s="843">
        <f t="shared" si="145"/>
        <v>-4.936240230357769E-3</v>
      </c>
      <c r="H856" s="842">
        <v>48.15</v>
      </c>
      <c r="I856" s="843">
        <f t="shared" si="145"/>
        <v>2.0772746157038391E-4</v>
      </c>
      <c r="J856" s="842">
        <v>65.37</v>
      </c>
      <c r="K856" s="843">
        <f t="shared" si="146"/>
        <v>-2.1700089793474819E-2</v>
      </c>
      <c r="L856" s="842">
        <v>69.02</v>
      </c>
      <c r="M856" s="843">
        <f t="shared" si="147"/>
        <v>-5.4755043227666667E-3</v>
      </c>
      <c r="N856" s="842">
        <v>61.99</v>
      </c>
      <c r="O856" s="843">
        <f t="shared" si="148"/>
        <v>-1.3997136949260303E-2</v>
      </c>
      <c r="P856" s="844">
        <f t="shared" si="154"/>
        <v>-8.2986621491220047E-3</v>
      </c>
      <c r="Q856" s="830"/>
      <c r="R856" s="845">
        <v>924.96249999999998</v>
      </c>
      <c r="S856" s="846">
        <f t="shared" si="149"/>
        <v>2.9188078286779273E-4</v>
      </c>
      <c r="T856" s="845">
        <v>68.010000000000005</v>
      </c>
      <c r="U856" s="846">
        <f t="shared" si="150"/>
        <v>-1.3215859030835109E-3</v>
      </c>
      <c r="V856" s="845">
        <v>93.330600000000004</v>
      </c>
      <c r="W856" s="846">
        <f t="shared" si="151"/>
        <v>-1.884297173133731E-2</v>
      </c>
      <c r="X856" s="845">
        <v>34814.39</v>
      </c>
      <c r="Y856" s="846">
        <f t="shared" si="152"/>
        <v>6.8489486103273656E-3</v>
      </c>
      <c r="Z856" s="845">
        <v>4480.7015000000001</v>
      </c>
      <c r="AA856" s="846">
        <f t="shared" si="153"/>
        <v>8.4742689925674242E-3</v>
      </c>
      <c r="AB856" s="843"/>
    </row>
    <row r="857" spans="1:30" ht="14.4" x14ac:dyDescent="0.55000000000000004">
      <c r="A857" s="857" t="s">
        <v>6016</v>
      </c>
      <c r="B857" s="842">
        <v>91.28</v>
      </c>
      <c r="C857" s="843">
        <f t="shared" si="144"/>
        <v>-9.7635061835539272E-3</v>
      </c>
      <c r="D857" s="842">
        <v>36.07</v>
      </c>
      <c r="E857" s="843">
        <f t="shared" si="145"/>
        <v>-1.232201533406363E-2</v>
      </c>
      <c r="F857" s="842">
        <v>24.31</v>
      </c>
      <c r="G857" s="843">
        <f t="shared" si="145"/>
        <v>-1.6187778227438332E-2</v>
      </c>
      <c r="H857" s="842">
        <v>48.14</v>
      </c>
      <c r="I857" s="843">
        <f t="shared" si="145"/>
        <v>-1.895251681271648E-2</v>
      </c>
      <c r="J857" s="842">
        <v>66.819999999999993</v>
      </c>
      <c r="K857" s="843">
        <f t="shared" si="146"/>
        <v>-1.8795888399412597E-2</v>
      </c>
      <c r="L857" s="842">
        <v>69.400000000000006</v>
      </c>
      <c r="M857" s="843">
        <f t="shared" si="147"/>
        <v>8.653014133257475E-4</v>
      </c>
      <c r="N857" s="842">
        <v>62.87</v>
      </c>
      <c r="O857" s="843">
        <f t="shared" si="148"/>
        <v>-1.3649199874490203E-2</v>
      </c>
      <c r="P857" s="844">
        <f t="shared" si="154"/>
        <v>-1.2686514774049917E-2</v>
      </c>
      <c r="Q857" s="830"/>
      <c r="R857" s="845">
        <v>924.69259999999997</v>
      </c>
      <c r="S857" s="846">
        <f t="shared" si="149"/>
        <v>-2.7903114485376967E-3</v>
      </c>
      <c r="T857" s="845">
        <v>68.099999999999994</v>
      </c>
      <c r="U857" s="846">
        <f t="shared" si="150"/>
        <v>-3.3660178545295016E-3</v>
      </c>
      <c r="V857" s="845">
        <v>95.123000000000005</v>
      </c>
      <c r="W857" s="846">
        <f t="shared" si="151"/>
        <v>-9.7635978842588456E-3</v>
      </c>
      <c r="X857" s="845">
        <v>34577.57</v>
      </c>
      <c r="Y857" s="846">
        <f t="shared" si="152"/>
        <v>-8.3757699751904058E-3</v>
      </c>
      <c r="Z857" s="845">
        <v>4443.0499</v>
      </c>
      <c r="AA857" s="846">
        <f t="shared" si="153"/>
        <v>-5.7457983049891137E-3</v>
      </c>
      <c r="AB857" s="843"/>
    </row>
    <row r="858" spans="1:30" ht="14.4" x14ac:dyDescent="0.55000000000000004">
      <c r="A858" s="857" t="s">
        <v>6017</v>
      </c>
      <c r="B858" s="842">
        <v>92.18</v>
      </c>
      <c r="C858" s="843">
        <f t="shared" si="144"/>
        <v>-1.0094501718213023E-2</v>
      </c>
      <c r="D858" s="842">
        <v>36.520000000000003</v>
      </c>
      <c r="E858" s="843">
        <f t="shared" si="145"/>
        <v>2.7457440966502933E-3</v>
      </c>
      <c r="F858" s="842">
        <v>24.71</v>
      </c>
      <c r="G858" s="843">
        <f t="shared" si="145"/>
        <v>4.0633888663146323E-3</v>
      </c>
      <c r="H858" s="842">
        <v>49.07</v>
      </c>
      <c r="I858" s="843">
        <f t="shared" si="145"/>
        <v>-3.2500507820434343E-3</v>
      </c>
      <c r="J858" s="842">
        <v>68.099999999999994</v>
      </c>
      <c r="K858" s="843">
        <f t="shared" si="146"/>
        <v>-5.8394160583942201E-3</v>
      </c>
      <c r="L858" s="842">
        <v>69.34</v>
      </c>
      <c r="M858" s="843">
        <f t="shared" si="147"/>
        <v>9.3158660844250285E-3</v>
      </c>
      <c r="N858" s="842">
        <v>63.74</v>
      </c>
      <c r="O858" s="843">
        <f t="shared" si="148"/>
        <v>5.204226462703021E-3</v>
      </c>
      <c r="P858" s="844">
        <f t="shared" si="154"/>
        <v>3.0646527877747117E-4</v>
      </c>
      <c r="Q858" s="830"/>
      <c r="R858" s="845">
        <v>927.28</v>
      </c>
      <c r="S858" s="846">
        <f t="shared" si="149"/>
        <v>-2.00185117420415E-3</v>
      </c>
      <c r="T858" s="845">
        <v>68.33</v>
      </c>
      <c r="U858" s="846">
        <f t="shared" si="150"/>
        <v>-1.7531044558072306E-3</v>
      </c>
      <c r="V858" s="845">
        <v>96.060900000000004</v>
      </c>
      <c r="W858" s="846">
        <f t="shared" si="151"/>
        <v>-1.00937341560835E-2</v>
      </c>
      <c r="X858" s="845">
        <v>34869.629999999997</v>
      </c>
      <c r="Y858" s="846">
        <f t="shared" si="152"/>
        <v>7.5679646044291005E-3</v>
      </c>
      <c r="Z858" s="845">
        <v>4468.7263000000003</v>
      </c>
      <c r="AA858" s="846">
        <f t="shared" si="153"/>
        <v>2.275702180418504E-3</v>
      </c>
      <c r="AB858" s="843"/>
    </row>
    <row r="859" spans="1:30" ht="14.4" x14ac:dyDescent="0.55000000000000004">
      <c r="A859" s="857" t="s">
        <v>6018</v>
      </c>
      <c r="B859" s="842">
        <v>93.12</v>
      </c>
      <c r="C859" s="843">
        <f t="shared" si="144"/>
        <v>-3.1915999584156252E-2</v>
      </c>
      <c r="D859" s="842">
        <v>36.42</v>
      </c>
      <c r="E859" s="843">
        <f t="shared" si="145"/>
        <v>-1.1132229161009977E-2</v>
      </c>
      <c r="F859" s="842">
        <v>24.61</v>
      </c>
      <c r="G859" s="843">
        <f t="shared" si="145"/>
        <v>-1.7172523961661357E-2</v>
      </c>
      <c r="H859" s="842">
        <v>49.23</v>
      </c>
      <c r="I859" s="843">
        <f t="shared" si="145"/>
        <v>-1.5793682526989317E-2</v>
      </c>
      <c r="J859" s="842">
        <v>68.5</v>
      </c>
      <c r="K859" s="843">
        <f t="shared" si="146"/>
        <v>-3.1117397454031193E-2</v>
      </c>
      <c r="L859" s="842">
        <v>68.7</v>
      </c>
      <c r="M859" s="843">
        <f t="shared" si="147"/>
        <v>-2.4840312278211485E-2</v>
      </c>
      <c r="N859" s="842">
        <v>63.41</v>
      </c>
      <c r="O859" s="843">
        <f t="shared" si="148"/>
        <v>-2.864583333333337E-2</v>
      </c>
      <c r="P859" s="844">
        <f t="shared" si="154"/>
        <v>-2.2945425471341849E-2</v>
      </c>
      <c r="Q859" s="830"/>
      <c r="R859" s="845">
        <v>929.14</v>
      </c>
      <c r="S859" s="846">
        <f t="shared" si="149"/>
        <v>-1.5824930090670319E-2</v>
      </c>
      <c r="T859" s="845">
        <v>68.45</v>
      </c>
      <c r="U859" s="846">
        <f t="shared" si="150"/>
        <v>-1.3972918467300421E-2</v>
      </c>
      <c r="V859" s="845">
        <v>97.040400000000005</v>
      </c>
      <c r="W859" s="846">
        <f t="shared" si="151"/>
        <v>-3.1916496158707508E-2</v>
      </c>
      <c r="X859" s="845">
        <v>34607.72</v>
      </c>
      <c r="Y859" s="846">
        <f t="shared" si="152"/>
        <v>-7.7885558745596217E-3</v>
      </c>
      <c r="Z859" s="845">
        <v>4458.5798999999997</v>
      </c>
      <c r="AA859" s="846">
        <f t="shared" si="153"/>
        <v>-7.7236154409371371E-3</v>
      </c>
      <c r="AB859" s="843"/>
    </row>
    <row r="860" spans="1:30" ht="14.4" x14ac:dyDescent="0.55000000000000004">
      <c r="A860" s="857" t="s">
        <v>6019</v>
      </c>
      <c r="B860" s="842">
        <v>96.19</v>
      </c>
      <c r="C860" s="843">
        <f t="shared" si="144"/>
        <v>-1.4951356886840794E-2</v>
      </c>
      <c r="D860" s="842">
        <v>36.83</v>
      </c>
      <c r="E860" s="843">
        <f t="shared" si="145"/>
        <v>-1.8913159296750193E-2</v>
      </c>
      <c r="F860" s="842">
        <v>25.04</v>
      </c>
      <c r="G860" s="843">
        <f t="shared" si="145"/>
        <v>-2.3904382470120167E-3</v>
      </c>
      <c r="H860" s="842">
        <v>50.02</v>
      </c>
      <c r="I860" s="843">
        <f t="shared" si="145"/>
        <v>-2.1326550577186354E-2</v>
      </c>
      <c r="J860" s="842">
        <v>70.7</v>
      </c>
      <c r="K860" s="843">
        <f t="shared" si="146"/>
        <v>-1.435940331799801E-2</v>
      </c>
      <c r="L860" s="842">
        <v>70.45</v>
      </c>
      <c r="M860" s="843">
        <f t="shared" si="147"/>
        <v>-1.8392085829733729E-2</v>
      </c>
      <c r="N860" s="842">
        <v>65.28</v>
      </c>
      <c r="O860" s="843">
        <f t="shared" si="148"/>
        <v>-4.1189931350114062E-3</v>
      </c>
      <c r="P860" s="844">
        <f t="shared" si="154"/>
        <v>-1.3493141041504644E-2</v>
      </c>
      <c r="Q860" s="830"/>
      <c r="R860" s="845">
        <v>944.08</v>
      </c>
      <c r="S860" s="846">
        <f t="shared" si="149"/>
        <v>-5.3112300749851293E-3</v>
      </c>
      <c r="T860" s="845">
        <v>69.42</v>
      </c>
      <c r="U860" s="846">
        <f t="shared" si="150"/>
        <v>-5.444126074498512E-3</v>
      </c>
      <c r="V860" s="845">
        <v>100.2397</v>
      </c>
      <c r="W860" s="846">
        <f t="shared" si="151"/>
        <v>-1.4951671167399816E-2</v>
      </c>
      <c r="X860" s="845">
        <v>34879.379999999997</v>
      </c>
      <c r="Y860" s="846">
        <f t="shared" si="152"/>
        <v>-4.3301560586074261E-3</v>
      </c>
      <c r="Z860" s="845">
        <v>4493.2843000000003</v>
      </c>
      <c r="AA860" s="846">
        <f t="shared" si="153"/>
        <v>-4.6043164830130712E-3</v>
      </c>
      <c r="AB860" s="843"/>
    </row>
    <row r="861" spans="1:30" ht="14.4" x14ac:dyDescent="0.55000000000000004">
      <c r="A861" s="857" t="s">
        <v>6020</v>
      </c>
      <c r="B861" s="842">
        <v>97.65</v>
      </c>
      <c r="C861" s="843">
        <f t="shared" si="144"/>
        <v>1.581192135649645E-2</v>
      </c>
      <c r="D861" s="842">
        <v>37.54</v>
      </c>
      <c r="E861" s="843">
        <f t="shared" si="145"/>
        <v>1.5417906410603255E-2</v>
      </c>
      <c r="F861" s="842">
        <v>25.1</v>
      </c>
      <c r="G861" s="843">
        <f t="shared" si="145"/>
        <v>1.5372168284789822E-2</v>
      </c>
      <c r="H861" s="842">
        <v>51.11</v>
      </c>
      <c r="I861" s="843">
        <f t="shared" si="145"/>
        <v>1.288149028933816E-2</v>
      </c>
      <c r="J861" s="842">
        <v>71.73</v>
      </c>
      <c r="K861" s="843">
        <f t="shared" si="146"/>
        <v>2.077700298847307E-2</v>
      </c>
      <c r="L861" s="842">
        <v>71.77</v>
      </c>
      <c r="M861" s="843">
        <f t="shared" si="147"/>
        <v>1.7004392801473811E-2</v>
      </c>
      <c r="N861" s="842">
        <v>65.55</v>
      </c>
      <c r="O861" s="843">
        <f t="shared" si="148"/>
        <v>2.262090483619339E-2</v>
      </c>
      <c r="P861" s="844">
        <f t="shared" si="154"/>
        <v>1.712654099533828E-2</v>
      </c>
      <c r="Q861" s="830"/>
      <c r="R861" s="845">
        <v>949.12099999999998</v>
      </c>
      <c r="S861" s="846">
        <f t="shared" si="149"/>
        <v>1.8086156222512972E-2</v>
      </c>
      <c r="T861" s="845">
        <v>69.8</v>
      </c>
      <c r="U861" s="846">
        <f t="shared" si="150"/>
        <v>1.7937873705702323E-2</v>
      </c>
      <c r="V861" s="845">
        <v>101.7612</v>
      </c>
      <c r="W861" s="846">
        <f t="shared" si="151"/>
        <v>1.5811981169367995E-2</v>
      </c>
      <c r="X861" s="845">
        <v>35031.07</v>
      </c>
      <c r="Y861" s="846">
        <f t="shared" si="152"/>
        <v>-1.9638176638177018E-3</v>
      </c>
      <c r="Z861" s="845">
        <v>4514.0685000000003</v>
      </c>
      <c r="AA861" s="846">
        <f t="shared" si="153"/>
        <v>-1.3184210946666219E-3</v>
      </c>
      <c r="AB861" s="843"/>
    </row>
    <row r="862" spans="1:30" ht="14.4" x14ac:dyDescent="0.55000000000000004">
      <c r="A862" s="857" t="s">
        <v>6021</v>
      </c>
      <c r="B862" s="842">
        <v>96.13</v>
      </c>
      <c r="C862" s="843">
        <f t="shared" si="144"/>
        <v>-1.4051282051282143E-2</v>
      </c>
      <c r="D862" s="842">
        <v>36.97</v>
      </c>
      <c r="E862" s="843">
        <f t="shared" si="145"/>
        <v>-1.6755319148936243E-2</v>
      </c>
      <c r="F862" s="842">
        <v>24.72</v>
      </c>
      <c r="G862" s="843">
        <f t="shared" si="145"/>
        <v>-1.3567438148443745E-2</v>
      </c>
      <c r="H862" s="842">
        <v>50.46</v>
      </c>
      <c r="I862" s="843">
        <f t="shared" si="145"/>
        <v>-1.0588235294117676E-2</v>
      </c>
      <c r="J862" s="842">
        <v>70.27</v>
      </c>
      <c r="K862" s="843">
        <f t="shared" si="146"/>
        <v>-2.4434263501318942E-2</v>
      </c>
      <c r="L862" s="842">
        <v>70.569999999999993</v>
      </c>
      <c r="M862" s="843">
        <f t="shared" si="147"/>
        <v>-1.452311129730488E-2</v>
      </c>
      <c r="N862" s="842">
        <v>64.099999999999994</v>
      </c>
      <c r="O862" s="843">
        <f t="shared" si="148"/>
        <v>-3.1283058787970441E-2</v>
      </c>
      <c r="P862" s="844">
        <f t="shared" si="154"/>
        <v>-1.7886101175624867E-2</v>
      </c>
      <c r="Q862" s="830"/>
      <c r="R862" s="845">
        <v>932.26</v>
      </c>
      <c r="S862" s="846">
        <f t="shared" si="149"/>
        <v>-1.3404433065778099E-2</v>
      </c>
      <c r="T862" s="845">
        <v>68.569999999999993</v>
      </c>
      <c r="U862" s="846">
        <f t="shared" si="150"/>
        <v>-1.3239315009353936E-2</v>
      </c>
      <c r="V862" s="845">
        <v>100.1772</v>
      </c>
      <c r="W862" s="846">
        <f t="shared" si="151"/>
        <v>-1.4050517298395349E-2</v>
      </c>
      <c r="X862" s="845">
        <v>35100</v>
      </c>
      <c r="Y862" s="846">
        <f t="shared" si="152"/>
        <v>-7.6080555083547496E-3</v>
      </c>
      <c r="Z862" s="845">
        <v>4520.0277999999998</v>
      </c>
      <c r="AA862" s="846">
        <f t="shared" si="153"/>
        <v>-3.3965447970718543E-3</v>
      </c>
      <c r="AB862" s="843"/>
    </row>
    <row r="863" spans="1:30" ht="14.4" x14ac:dyDescent="0.55000000000000004">
      <c r="A863" s="857" t="s">
        <v>6022</v>
      </c>
      <c r="B863" s="842">
        <v>97.5</v>
      </c>
      <c r="C863" s="843">
        <f t="shared" si="144"/>
        <v>-8.1383519837232576E-3</v>
      </c>
      <c r="D863" s="842">
        <v>37.6</v>
      </c>
      <c r="E863" s="843">
        <f t="shared" si="145"/>
        <v>-1.7507185785210377E-2</v>
      </c>
      <c r="F863" s="842">
        <v>25.06</v>
      </c>
      <c r="G863" s="843">
        <f t="shared" si="145"/>
        <v>-1.2608353033884967E-2</v>
      </c>
      <c r="H863" s="842">
        <v>51</v>
      </c>
      <c r="I863" s="843">
        <f t="shared" si="145"/>
        <v>-1.1436324869160797E-2</v>
      </c>
      <c r="J863" s="842">
        <v>72.03</v>
      </c>
      <c r="K863" s="843">
        <f t="shared" si="146"/>
        <v>-1.9065776930410006E-2</v>
      </c>
      <c r="L863" s="842">
        <v>71.61</v>
      </c>
      <c r="M863" s="843">
        <f t="shared" si="147"/>
        <v>-4.3103448275861878E-3</v>
      </c>
      <c r="N863" s="842">
        <v>66.17</v>
      </c>
      <c r="O863" s="843">
        <f t="shared" si="148"/>
        <v>-1.7374517374517451E-2</v>
      </c>
      <c r="P863" s="844">
        <f t="shared" si="154"/>
        <v>-1.2920122114927577E-2</v>
      </c>
      <c r="Q863" s="830"/>
      <c r="R863" s="845">
        <v>944.92619999999999</v>
      </c>
      <c r="S863" s="846">
        <f t="shared" si="149"/>
        <v>-8.0764628078352496E-3</v>
      </c>
      <c r="T863" s="845">
        <v>69.489999999999995</v>
      </c>
      <c r="U863" s="846">
        <f t="shared" si="150"/>
        <v>-8.2774368488653938E-3</v>
      </c>
      <c r="V863" s="845">
        <v>101.6048</v>
      </c>
      <c r="W863" s="846">
        <f t="shared" si="151"/>
        <v>-8.1385416615823436E-3</v>
      </c>
      <c r="X863" s="845">
        <v>35369.089999999997</v>
      </c>
      <c r="Y863" s="846">
        <f t="shared" si="152"/>
        <v>-2.1084070509330699E-3</v>
      </c>
      <c r="Z863" s="845">
        <v>4535.4326000000001</v>
      </c>
      <c r="AA863" s="846">
        <f t="shared" si="153"/>
        <v>-3.3361647532881289E-4</v>
      </c>
      <c r="AB863" s="843"/>
    </row>
    <row r="864" spans="1:30" ht="14.4" x14ac:dyDescent="0.55000000000000004">
      <c r="A864" s="857" t="s">
        <v>6023</v>
      </c>
      <c r="B864" s="842">
        <v>98.3</v>
      </c>
      <c r="C864" s="843">
        <f t="shared" si="144"/>
        <v>5.0890585241725184E-4</v>
      </c>
      <c r="D864" s="842">
        <v>38.270000000000003</v>
      </c>
      <c r="E864" s="843">
        <f t="shared" si="145"/>
        <v>7.1052631578947256E-3</v>
      </c>
      <c r="F864" s="842">
        <v>25.38</v>
      </c>
      <c r="G864" s="843">
        <f t="shared" si="145"/>
        <v>6.7433558111860137E-3</v>
      </c>
      <c r="H864" s="842">
        <v>51.59</v>
      </c>
      <c r="I864" s="843">
        <f t="shared" si="145"/>
        <v>-7.1208622016936118E-3</v>
      </c>
      <c r="J864" s="842">
        <v>73.430000000000007</v>
      </c>
      <c r="K864" s="843">
        <f t="shared" si="146"/>
        <v>8.6538461538463451E-3</v>
      </c>
      <c r="L864" s="842">
        <v>71.92</v>
      </c>
      <c r="M864" s="843">
        <f t="shared" si="147"/>
        <v>2.9284618602707368E-3</v>
      </c>
      <c r="N864" s="842">
        <v>67.34</v>
      </c>
      <c r="O864" s="843">
        <f t="shared" si="148"/>
        <v>-2.2225514891093257E-3</v>
      </c>
      <c r="P864" s="844">
        <f t="shared" si="154"/>
        <v>2.370917020687448E-3</v>
      </c>
      <c r="Q864" s="830"/>
      <c r="R864" s="845">
        <v>952.62</v>
      </c>
      <c r="S864" s="846">
        <f t="shared" si="149"/>
        <v>7.6735383989499084E-3</v>
      </c>
      <c r="T864" s="845">
        <v>70.069999999999993</v>
      </c>
      <c r="U864" s="846">
        <f t="shared" si="150"/>
        <v>9.0725806451612545E-3</v>
      </c>
      <c r="V864" s="845">
        <v>102.4385</v>
      </c>
      <c r="W864" s="846">
        <f t="shared" si="151"/>
        <v>5.0885664502331451E-4</v>
      </c>
      <c r="X864" s="845">
        <v>35443.82</v>
      </c>
      <c r="Y864" s="846">
        <f t="shared" si="152"/>
        <v>3.7179437440477692E-3</v>
      </c>
      <c r="Z864" s="845">
        <v>4536.9462000000003</v>
      </c>
      <c r="AA864" s="846">
        <f t="shared" si="153"/>
        <v>2.8412108214503906E-3</v>
      </c>
      <c r="AB864" s="843"/>
    </row>
    <row r="865" spans="1:28" ht="14.4" x14ac:dyDescent="0.55000000000000004">
      <c r="A865" s="857" t="s">
        <v>6024</v>
      </c>
      <c r="B865" s="842">
        <v>98.25</v>
      </c>
      <c r="C865" s="843">
        <f t="shared" si="144"/>
        <v>7.5889652343348324E-3</v>
      </c>
      <c r="D865" s="842">
        <v>38</v>
      </c>
      <c r="E865" s="843">
        <f t="shared" si="145"/>
        <v>1.7675415104445591E-2</v>
      </c>
      <c r="F865" s="842">
        <v>25.21</v>
      </c>
      <c r="G865" s="843">
        <f t="shared" si="145"/>
        <v>2.2718052738336825E-2</v>
      </c>
      <c r="H865" s="842">
        <v>51.96</v>
      </c>
      <c r="I865" s="843">
        <f t="shared" si="145"/>
        <v>9.9125364431487117E-3</v>
      </c>
      <c r="J865" s="842">
        <v>72.8</v>
      </c>
      <c r="K865" s="843">
        <f t="shared" si="146"/>
        <v>1.3645224171540127E-2</v>
      </c>
      <c r="L865" s="842">
        <v>71.709999999999994</v>
      </c>
      <c r="M865" s="843">
        <f t="shared" si="147"/>
        <v>1.9911819086900762E-2</v>
      </c>
      <c r="N865" s="842">
        <v>67.489999999999995</v>
      </c>
      <c r="O865" s="843">
        <f t="shared" si="148"/>
        <v>1.1844077961019384E-2</v>
      </c>
      <c r="P865" s="844">
        <f t="shared" si="154"/>
        <v>1.4756584391389462E-2</v>
      </c>
      <c r="Q865" s="830"/>
      <c r="R865" s="845">
        <v>945.36569999999995</v>
      </c>
      <c r="S865" s="846">
        <f t="shared" si="149"/>
        <v>1.184384030825214E-2</v>
      </c>
      <c r="T865" s="845">
        <v>69.44</v>
      </c>
      <c r="U865" s="846">
        <f t="shared" si="150"/>
        <v>1.3131018383425674E-2</v>
      </c>
      <c r="V865" s="845">
        <v>102.38639999999999</v>
      </c>
      <c r="W865" s="846">
        <f t="shared" si="151"/>
        <v>7.5884241841532862E-3</v>
      </c>
      <c r="X865" s="845">
        <v>35312.53</v>
      </c>
      <c r="Y865" s="846">
        <f t="shared" si="152"/>
        <v>-1.363094031147094E-3</v>
      </c>
      <c r="Z865" s="845">
        <v>4524.0923000000003</v>
      </c>
      <c r="AA865" s="846">
        <f t="shared" si="153"/>
        <v>3.1224848292965568E-4</v>
      </c>
      <c r="AB865" s="843"/>
    </row>
    <row r="866" spans="1:28" ht="14.4" x14ac:dyDescent="0.55000000000000004">
      <c r="A866" s="857" t="s">
        <v>6025</v>
      </c>
      <c r="B866" s="842">
        <v>97.51</v>
      </c>
      <c r="C866" s="843">
        <f t="shared" si="144"/>
        <v>4.1038268185089599E-4</v>
      </c>
      <c r="D866" s="842">
        <v>37.340000000000003</v>
      </c>
      <c r="E866" s="843">
        <f t="shared" si="145"/>
        <v>5.385029617662962E-3</v>
      </c>
      <c r="F866" s="842">
        <v>24.65</v>
      </c>
      <c r="G866" s="843">
        <f t="shared" si="145"/>
        <v>-4.4426494345720657E-3</v>
      </c>
      <c r="H866" s="842">
        <v>51.45</v>
      </c>
      <c r="I866" s="843">
        <f t="shared" si="145"/>
        <v>1.1675423234092097E-3</v>
      </c>
      <c r="J866" s="842">
        <v>71.819999999999993</v>
      </c>
      <c r="K866" s="843">
        <f t="shared" si="146"/>
        <v>1.5339562125227246E-3</v>
      </c>
      <c r="L866" s="842">
        <v>70.31</v>
      </c>
      <c r="M866" s="843">
        <f t="shared" si="147"/>
        <v>3.8549400342660078E-3</v>
      </c>
      <c r="N866" s="842">
        <v>66.7</v>
      </c>
      <c r="O866" s="843">
        <f t="shared" si="148"/>
        <v>1.4994751836860942E-4</v>
      </c>
      <c r="P866" s="844">
        <f t="shared" si="154"/>
        <v>1.1513069933583348E-3</v>
      </c>
      <c r="Q866" s="830"/>
      <c r="R866" s="845">
        <v>934.3</v>
      </c>
      <c r="S866" s="846">
        <f t="shared" si="149"/>
        <v>-9.1962872663498008E-4</v>
      </c>
      <c r="T866" s="845">
        <v>68.540000000000006</v>
      </c>
      <c r="U866" s="846">
        <f t="shared" si="150"/>
        <v>-1.1658408627222006E-3</v>
      </c>
      <c r="V866" s="845">
        <v>101.6153</v>
      </c>
      <c r="W866" s="846">
        <f t="shared" si="151"/>
        <v>4.1053974654836622E-4</v>
      </c>
      <c r="X866" s="845">
        <v>35360.730000000003</v>
      </c>
      <c r="Y866" s="846">
        <f t="shared" si="152"/>
        <v>-1.1048072533659248E-3</v>
      </c>
      <c r="Z866" s="845">
        <v>4522.6800999999996</v>
      </c>
      <c r="AA866" s="846">
        <f t="shared" si="153"/>
        <v>-1.3499400513652393E-3</v>
      </c>
      <c r="AB866" s="843"/>
    </row>
    <row r="867" spans="1:28" ht="14.4" x14ac:dyDescent="0.55000000000000004">
      <c r="A867" s="857" t="s">
        <v>6026</v>
      </c>
      <c r="B867" s="842">
        <v>97.47</v>
      </c>
      <c r="C867" s="843">
        <f t="shared" si="144"/>
        <v>9.2421441774503954E-4</v>
      </c>
      <c r="D867" s="842">
        <v>37.14</v>
      </c>
      <c r="E867" s="843">
        <f t="shared" si="145"/>
        <v>-1.3444474321053779E-3</v>
      </c>
      <c r="F867" s="842">
        <v>24.76</v>
      </c>
      <c r="G867" s="843">
        <f t="shared" si="145"/>
        <v>-2.4174053182915989E-3</v>
      </c>
      <c r="H867" s="842">
        <v>51.39</v>
      </c>
      <c r="I867" s="843">
        <f t="shared" si="145"/>
        <v>6.068911511354802E-3</v>
      </c>
      <c r="J867" s="842">
        <v>71.709999999999994</v>
      </c>
      <c r="K867" s="843">
        <f t="shared" si="146"/>
        <v>-5.5749128919868607E-4</v>
      </c>
      <c r="L867" s="842">
        <v>70.040000000000006</v>
      </c>
      <c r="M867" s="843">
        <f t="shared" si="147"/>
        <v>1.2138728323699555E-2</v>
      </c>
      <c r="N867" s="842">
        <v>66.69</v>
      </c>
      <c r="O867" s="843">
        <f t="shared" si="148"/>
        <v>9.0049527239988159E-4</v>
      </c>
      <c r="P867" s="844">
        <f t="shared" si="154"/>
        <v>2.2447150693719448E-3</v>
      </c>
      <c r="Q867" s="830"/>
      <c r="R867" s="845">
        <v>935.16</v>
      </c>
      <c r="S867" s="846">
        <f t="shared" si="149"/>
        <v>3.1214802896217808E-3</v>
      </c>
      <c r="T867" s="845">
        <v>68.62</v>
      </c>
      <c r="U867" s="846">
        <f t="shared" si="150"/>
        <v>1.4594279042616787E-3</v>
      </c>
      <c r="V867" s="845">
        <v>101.5736</v>
      </c>
      <c r="W867" s="846">
        <f t="shared" si="151"/>
        <v>9.243218847494461E-4</v>
      </c>
      <c r="X867" s="845">
        <v>35399.839999999997</v>
      </c>
      <c r="Y867" s="846">
        <f t="shared" si="152"/>
        <v>-1.5783031267100345E-3</v>
      </c>
      <c r="Z867" s="845">
        <v>4528.7937000000002</v>
      </c>
      <c r="AA867" s="846">
        <f t="shared" si="153"/>
        <v>4.3076092396163723E-3</v>
      </c>
      <c r="AB867" s="843"/>
    </row>
    <row r="868" spans="1:28" ht="14.4" x14ac:dyDescent="0.55000000000000004">
      <c r="A868" s="857" t="s">
        <v>6027</v>
      </c>
      <c r="B868" s="842">
        <v>97.38</v>
      </c>
      <c r="C868" s="843">
        <f t="shared" si="144"/>
        <v>7.0320579110649817E-3</v>
      </c>
      <c r="D868" s="842">
        <v>37.19</v>
      </c>
      <c r="E868" s="843">
        <f t="shared" si="145"/>
        <v>1.3351498637601988E-2</v>
      </c>
      <c r="F868" s="842">
        <v>24.82</v>
      </c>
      <c r="G868" s="843">
        <f t="shared" si="145"/>
        <v>2.0185708518369871E-3</v>
      </c>
      <c r="H868" s="842">
        <v>51.08</v>
      </c>
      <c r="I868" s="843">
        <f t="shared" si="145"/>
        <v>1.2086387953239575E-2</v>
      </c>
      <c r="J868" s="842">
        <v>71.75</v>
      </c>
      <c r="K868" s="843">
        <f t="shared" si="146"/>
        <v>1.3131883648686893E-2</v>
      </c>
      <c r="L868" s="842">
        <v>69.2</v>
      </c>
      <c r="M868" s="843">
        <f t="shared" si="147"/>
        <v>1.5258215962441479E-2</v>
      </c>
      <c r="N868" s="842">
        <v>66.63</v>
      </c>
      <c r="O868" s="843">
        <f t="shared" si="148"/>
        <v>6.7996373526744147E-3</v>
      </c>
      <c r="P868" s="844">
        <f t="shared" si="154"/>
        <v>9.9540360453637591E-3</v>
      </c>
      <c r="Q868" s="830"/>
      <c r="R868" s="845">
        <v>932.25</v>
      </c>
      <c r="S868" s="846">
        <f t="shared" si="149"/>
        <v>5.1514858817092168E-4</v>
      </c>
      <c r="T868" s="845">
        <v>68.52</v>
      </c>
      <c r="U868" s="846">
        <f t="shared" si="150"/>
        <v>-2.9180040852072597E-4</v>
      </c>
      <c r="V868" s="845">
        <v>101.4798</v>
      </c>
      <c r="W868" s="846">
        <f t="shared" si="151"/>
        <v>7.0317709821854368E-3</v>
      </c>
      <c r="X868" s="845">
        <v>35455.800000000003</v>
      </c>
      <c r="Y868" s="846">
        <f t="shared" si="152"/>
        <v>6.8917494388456291E-3</v>
      </c>
      <c r="Z868" s="845">
        <v>4509.3690999999999</v>
      </c>
      <c r="AA868" s="846">
        <f t="shared" si="153"/>
        <v>8.8082173846941725E-3</v>
      </c>
      <c r="AB868" s="843"/>
    </row>
    <row r="869" spans="1:28" ht="14.4" x14ac:dyDescent="0.55000000000000004">
      <c r="A869" s="857" t="s">
        <v>6028</v>
      </c>
      <c r="B869" s="842">
        <v>96.7</v>
      </c>
      <c r="C869" s="843">
        <f t="shared" si="144"/>
        <v>-8.1033952200224579E-3</v>
      </c>
      <c r="D869" s="842">
        <v>36.700000000000003</v>
      </c>
      <c r="E869" s="843">
        <f t="shared" si="145"/>
        <v>-2.1594241535590419E-2</v>
      </c>
      <c r="F869" s="842">
        <v>24.77</v>
      </c>
      <c r="G869" s="843">
        <f t="shared" si="145"/>
        <v>-1.0387534958050448E-2</v>
      </c>
      <c r="H869" s="842">
        <v>50.47</v>
      </c>
      <c r="I869" s="843">
        <f t="shared" si="145"/>
        <v>-2.1709633649932281E-2</v>
      </c>
      <c r="J869" s="842">
        <v>70.819999999999993</v>
      </c>
      <c r="K869" s="843">
        <f t="shared" si="146"/>
        <v>-1.9113573407202322E-2</v>
      </c>
      <c r="L869" s="842">
        <v>68.16</v>
      </c>
      <c r="M869" s="843">
        <f t="shared" si="147"/>
        <v>-1.4459224985540753E-2</v>
      </c>
      <c r="N869" s="842">
        <v>66.180000000000007</v>
      </c>
      <c r="O869" s="843">
        <f t="shared" si="148"/>
        <v>-2.3317591499409707E-2</v>
      </c>
      <c r="P869" s="844">
        <f t="shared" si="154"/>
        <v>-1.6955027893678341E-2</v>
      </c>
      <c r="Q869" s="830"/>
      <c r="R869" s="845">
        <v>931.77</v>
      </c>
      <c r="S869" s="846">
        <f t="shared" si="149"/>
        <v>-2.8679972176146595E-3</v>
      </c>
      <c r="T869" s="845">
        <v>68.540000000000006</v>
      </c>
      <c r="U869" s="846">
        <f t="shared" si="150"/>
        <v>-2.4741667879492057E-3</v>
      </c>
      <c r="V869" s="845">
        <v>100.77119999999999</v>
      </c>
      <c r="W869" s="846">
        <f t="shared" si="151"/>
        <v>-8.1028088162339307E-3</v>
      </c>
      <c r="X869" s="845">
        <v>35213.120000000003</v>
      </c>
      <c r="Y869" s="846">
        <f t="shared" si="152"/>
        <v>-5.433619070483342E-3</v>
      </c>
      <c r="Z869" s="845">
        <v>4469.9964</v>
      </c>
      <c r="AA869" s="846">
        <f t="shared" si="153"/>
        <v>-5.8259314567803422E-3</v>
      </c>
      <c r="AB869" s="843"/>
    </row>
    <row r="870" spans="1:28" ht="14.4" x14ac:dyDescent="0.55000000000000004">
      <c r="A870" s="857" t="s">
        <v>6029</v>
      </c>
      <c r="B870" s="842">
        <v>97.49</v>
      </c>
      <c r="C870" s="843">
        <f t="shared" si="144"/>
        <v>-6.4207093355076461E-3</v>
      </c>
      <c r="D870" s="842">
        <v>37.51</v>
      </c>
      <c r="E870" s="843">
        <f t="shared" si="145"/>
        <v>2.4051309460180192E-3</v>
      </c>
      <c r="F870" s="842">
        <v>25.03</v>
      </c>
      <c r="G870" s="843">
        <f t="shared" si="145"/>
        <v>-5.9571088165210062E-3</v>
      </c>
      <c r="H870" s="842">
        <v>51.59</v>
      </c>
      <c r="I870" s="843">
        <f t="shared" si="145"/>
        <v>-6.9297401347448995E-3</v>
      </c>
      <c r="J870" s="842">
        <v>72.2</v>
      </c>
      <c r="K870" s="843">
        <f t="shared" si="146"/>
        <v>-6.0572687224669242E-3</v>
      </c>
      <c r="L870" s="842">
        <v>69.16</v>
      </c>
      <c r="M870" s="843">
        <f t="shared" si="147"/>
        <v>-8.6680150245599386E-4</v>
      </c>
      <c r="N870" s="842">
        <v>67.760000000000005</v>
      </c>
      <c r="O870" s="843">
        <f t="shared" si="148"/>
        <v>-1.2676672009325207E-2</v>
      </c>
      <c r="P870" s="844">
        <f t="shared" si="154"/>
        <v>-5.2147385107148081E-3</v>
      </c>
      <c r="Q870" s="830"/>
      <c r="R870" s="845">
        <v>934.45</v>
      </c>
      <c r="S870" s="846">
        <f t="shared" si="149"/>
        <v>1.2858290918833504E-3</v>
      </c>
      <c r="T870" s="845">
        <v>68.709999999999994</v>
      </c>
      <c r="U870" s="846">
        <f t="shared" si="150"/>
        <v>1.8955963837852252E-3</v>
      </c>
      <c r="V870" s="845">
        <v>101.59439999999999</v>
      </c>
      <c r="W870" s="846">
        <f t="shared" si="151"/>
        <v>-6.420481384516008E-3</v>
      </c>
      <c r="X870" s="845">
        <v>35405.5</v>
      </c>
      <c r="Y870" s="846">
        <f t="shared" si="152"/>
        <v>1.1095320794451968E-3</v>
      </c>
      <c r="Z870" s="845">
        <v>4496.1908999999996</v>
      </c>
      <c r="AA870" s="846">
        <f t="shared" si="153"/>
        <v>2.219411599586385E-3</v>
      </c>
      <c r="AB870" s="843"/>
    </row>
    <row r="871" spans="1:28" ht="14.4" x14ac:dyDescent="0.55000000000000004">
      <c r="A871" s="857" t="s">
        <v>6030</v>
      </c>
      <c r="B871" s="842">
        <v>98.12</v>
      </c>
      <c r="C871" s="843">
        <f t="shared" si="144"/>
        <v>3.066857493355224E-3</v>
      </c>
      <c r="D871" s="842">
        <v>37.42</v>
      </c>
      <c r="E871" s="843">
        <f t="shared" si="145"/>
        <v>-5.3163211057947191E-3</v>
      </c>
      <c r="F871" s="842">
        <v>25.18</v>
      </c>
      <c r="G871" s="843">
        <f t="shared" si="145"/>
        <v>-6.3141278610892027E-3</v>
      </c>
      <c r="H871" s="842">
        <v>51.95</v>
      </c>
      <c r="I871" s="843">
        <f t="shared" si="145"/>
        <v>0</v>
      </c>
      <c r="J871" s="842">
        <v>72.64</v>
      </c>
      <c r="K871" s="843">
        <f t="shared" si="146"/>
        <v>4.9806308799114074E-3</v>
      </c>
      <c r="L871" s="842">
        <v>69.22</v>
      </c>
      <c r="M871" s="843">
        <f t="shared" si="147"/>
        <v>-2.1763708309779584E-2</v>
      </c>
      <c r="N871" s="842">
        <v>68.63</v>
      </c>
      <c r="O871" s="843">
        <f t="shared" si="148"/>
        <v>-7.6633892423366712E-3</v>
      </c>
      <c r="P871" s="844">
        <f t="shared" si="154"/>
        <v>-4.7157225922476497E-3</v>
      </c>
      <c r="Q871" s="830"/>
      <c r="R871" s="845">
        <v>933.25</v>
      </c>
      <c r="S871" s="846">
        <f t="shared" si="149"/>
        <v>-6.5890317636039253E-3</v>
      </c>
      <c r="T871" s="845">
        <v>68.58</v>
      </c>
      <c r="U871" s="846">
        <f t="shared" si="150"/>
        <v>-6.5189048239896463E-3</v>
      </c>
      <c r="V871" s="845">
        <v>102.2509</v>
      </c>
      <c r="W871" s="846">
        <f t="shared" si="151"/>
        <v>3.0665608510245246E-3</v>
      </c>
      <c r="X871" s="845">
        <v>35366.26</v>
      </c>
      <c r="Y871" s="846">
        <f t="shared" si="152"/>
        <v>8.6456448731331292E-4</v>
      </c>
      <c r="Z871" s="845">
        <v>4486.2340999999997</v>
      </c>
      <c r="AA871" s="846">
        <f t="shared" si="153"/>
        <v>1.4964961171710645E-3</v>
      </c>
      <c r="AB871" s="843"/>
    </row>
    <row r="872" spans="1:28" ht="14.4" x14ac:dyDescent="0.55000000000000004">
      <c r="A872" s="857" t="s">
        <v>6031</v>
      </c>
      <c r="B872" s="842">
        <v>97.82</v>
      </c>
      <c r="C872" s="843">
        <f t="shared" si="144"/>
        <v>-9.6183051533866859E-3</v>
      </c>
      <c r="D872" s="842">
        <v>37.619999999999997</v>
      </c>
      <c r="E872" s="843">
        <f t="shared" si="145"/>
        <v>-7.9681274900400556E-4</v>
      </c>
      <c r="F872" s="842">
        <v>25.34</v>
      </c>
      <c r="G872" s="843">
        <f t="shared" si="145"/>
        <v>-1.4391287436795075E-2</v>
      </c>
      <c r="H872" s="842">
        <v>51.95</v>
      </c>
      <c r="I872" s="843">
        <f t="shared" si="145"/>
        <v>-7.0718654434249739E-3</v>
      </c>
      <c r="J872" s="842">
        <v>72.28</v>
      </c>
      <c r="K872" s="843">
        <f t="shared" si="146"/>
        <v>-3.9961416563316643E-3</v>
      </c>
      <c r="L872" s="842">
        <v>70.760000000000005</v>
      </c>
      <c r="M872" s="843">
        <f t="shared" si="147"/>
        <v>-1.8993483987245097E-2</v>
      </c>
      <c r="N872" s="842">
        <v>69.16</v>
      </c>
      <c r="O872" s="843">
        <f t="shared" si="148"/>
        <v>-6.3218390804596902E-3</v>
      </c>
      <c r="P872" s="844">
        <f t="shared" si="154"/>
        <v>-8.741390786663885E-3</v>
      </c>
      <c r="Q872" s="830"/>
      <c r="R872" s="845">
        <v>939.44</v>
      </c>
      <c r="S872" s="846">
        <f t="shared" si="149"/>
        <v>-1.1895871680252412E-2</v>
      </c>
      <c r="T872" s="845">
        <v>69.03</v>
      </c>
      <c r="U872" s="846">
        <f t="shared" si="150"/>
        <v>-1.2870012870012992E-2</v>
      </c>
      <c r="V872" s="845">
        <v>101.9383</v>
      </c>
      <c r="W872" s="846">
        <f t="shared" si="151"/>
        <v>-9.6183459748193645E-3</v>
      </c>
      <c r="X872" s="845">
        <v>35335.71</v>
      </c>
      <c r="Y872" s="846">
        <f t="shared" si="152"/>
        <v>6.1397923922723585E-3</v>
      </c>
      <c r="Z872" s="845">
        <v>4479.5304999999998</v>
      </c>
      <c r="AA872" s="846">
        <f t="shared" si="153"/>
        <v>8.5250234529157254E-3</v>
      </c>
      <c r="AB872" s="843"/>
    </row>
    <row r="873" spans="1:28" ht="14.4" x14ac:dyDescent="0.55000000000000004">
      <c r="A873" s="857" t="s">
        <v>6032</v>
      </c>
      <c r="B873" s="842">
        <v>98.77</v>
      </c>
      <c r="C873" s="843">
        <f t="shared" si="144"/>
        <v>1.3179237631792962E-3</v>
      </c>
      <c r="D873" s="842">
        <v>37.65</v>
      </c>
      <c r="E873" s="843">
        <f t="shared" si="145"/>
        <v>1.5961691939343492E-3</v>
      </c>
      <c r="F873" s="842">
        <v>25.71</v>
      </c>
      <c r="G873" s="843">
        <f t="shared" si="145"/>
        <v>8.2352941176471184E-3</v>
      </c>
      <c r="H873" s="842">
        <v>52.32</v>
      </c>
      <c r="I873" s="843">
        <f t="shared" si="145"/>
        <v>1.0428736964078755E-2</v>
      </c>
      <c r="J873" s="842">
        <v>72.569999999999993</v>
      </c>
      <c r="K873" s="843">
        <f t="shared" si="146"/>
        <v>6.9376994588594698E-3</v>
      </c>
      <c r="L873" s="842">
        <v>72.13</v>
      </c>
      <c r="M873" s="843">
        <f t="shared" si="147"/>
        <v>3.8970076548365817E-3</v>
      </c>
      <c r="N873" s="842">
        <v>69.599999999999994</v>
      </c>
      <c r="O873" s="843">
        <f t="shared" si="148"/>
        <v>4.3290043290042934E-3</v>
      </c>
      <c r="P873" s="844">
        <f t="shared" si="154"/>
        <v>5.2488336402199808E-3</v>
      </c>
      <c r="Q873" s="830"/>
      <c r="R873" s="845">
        <v>950.75</v>
      </c>
      <c r="S873" s="846">
        <f t="shared" si="149"/>
        <v>1.0404267981635629E-2</v>
      </c>
      <c r="T873" s="845">
        <v>69.930000000000007</v>
      </c>
      <c r="U873" s="846">
        <f t="shared" si="150"/>
        <v>1.2451136528160101E-2</v>
      </c>
      <c r="V873" s="845">
        <v>102.92829999999999</v>
      </c>
      <c r="W873" s="846">
        <f t="shared" si="151"/>
        <v>1.3181857095048155E-3</v>
      </c>
      <c r="X873" s="845">
        <v>35120.080000000002</v>
      </c>
      <c r="Y873" s="846">
        <f t="shared" si="152"/>
        <v>6.4755895835744148E-3</v>
      </c>
      <c r="Z873" s="845">
        <v>4441.6652000000004</v>
      </c>
      <c r="AA873" s="846">
        <f t="shared" si="153"/>
        <v>8.1397876423388027E-3</v>
      </c>
      <c r="AB873" s="843"/>
    </row>
    <row r="874" spans="1:28" ht="14.4" x14ac:dyDescent="0.55000000000000004">
      <c r="A874" s="857" t="s">
        <v>6033</v>
      </c>
      <c r="B874" s="842">
        <v>98.64</v>
      </c>
      <c r="C874" s="843">
        <f t="shared" si="144"/>
        <v>-3.5357106778461933E-3</v>
      </c>
      <c r="D874" s="842">
        <v>37.590000000000003</v>
      </c>
      <c r="E874" s="843">
        <f t="shared" si="145"/>
        <v>6.6952329941081246E-3</v>
      </c>
      <c r="F874" s="842">
        <v>25.5</v>
      </c>
      <c r="G874" s="843">
        <f t="shared" si="145"/>
        <v>1.1778563015312216E-3</v>
      </c>
      <c r="H874" s="842">
        <v>51.78</v>
      </c>
      <c r="I874" s="843">
        <f t="shared" si="145"/>
        <v>-2.5043344249662258E-3</v>
      </c>
      <c r="J874" s="842">
        <v>72.069999999999993</v>
      </c>
      <c r="K874" s="843">
        <f t="shared" si="146"/>
        <v>-1.1088011088012939E-3</v>
      </c>
      <c r="L874" s="842">
        <v>71.849999999999994</v>
      </c>
      <c r="M874" s="843">
        <f t="shared" si="147"/>
        <v>4.8951048951049181E-3</v>
      </c>
      <c r="N874" s="842">
        <v>69.3</v>
      </c>
      <c r="O874" s="843">
        <f t="shared" si="148"/>
        <v>-1.5065378055713508E-2</v>
      </c>
      <c r="P874" s="844">
        <f t="shared" si="154"/>
        <v>-1.3494328680832795E-3</v>
      </c>
      <c r="Q874" s="830"/>
      <c r="R874" s="845">
        <v>940.96</v>
      </c>
      <c r="S874" s="846">
        <f t="shared" si="149"/>
        <v>4.0440901864122747E-3</v>
      </c>
      <c r="T874" s="845">
        <v>69.069999999999993</v>
      </c>
      <c r="U874" s="846">
        <f t="shared" si="150"/>
        <v>4.0703590638171416E-3</v>
      </c>
      <c r="V874" s="845">
        <v>102.7928</v>
      </c>
      <c r="W874" s="846">
        <f t="shared" si="151"/>
        <v>-3.5363366344312031E-3</v>
      </c>
      <c r="X874" s="845">
        <v>34894.120000000003</v>
      </c>
      <c r="Y874" s="846">
        <f t="shared" si="152"/>
        <v>-1.9041386196897436E-3</v>
      </c>
      <c r="Z874" s="845">
        <v>4405.8028999999997</v>
      </c>
      <c r="AA874" s="846">
        <f t="shared" si="153"/>
        <v>1.2582420295788044E-3</v>
      </c>
      <c r="AB874" s="843"/>
    </row>
    <row r="875" spans="1:28" ht="14.4" x14ac:dyDescent="0.55000000000000004">
      <c r="A875" s="857" t="s">
        <v>6034</v>
      </c>
      <c r="B875" s="842">
        <v>98.99</v>
      </c>
      <c r="C875" s="843">
        <f t="shared" si="144"/>
        <v>-1.9415552253590929E-2</v>
      </c>
      <c r="D875" s="842">
        <v>37.340000000000003</v>
      </c>
      <c r="E875" s="843">
        <f t="shared" si="145"/>
        <v>-6.1219057758848949E-3</v>
      </c>
      <c r="F875" s="842">
        <v>25.47</v>
      </c>
      <c r="G875" s="843">
        <f t="shared" si="145"/>
        <v>-8.5636434410277795E-3</v>
      </c>
      <c r="H875" s="842">
        <v>51.91</v>
      </c>
      <c r="I875" s="843">
        <f t="shared" si="145"/>
        <v>-1.8714555765595553E-2</v>
      </c>
      <c r="J875" s="842">
        <v>72.150000000000006</v>
      </c>
      <c r="K875" s="843">
        <f t="shared" si="146"/>
        <v>-1.3535684987694752E-2</v>
      </c>
      <c r="L875" s="842">
        <v>71.5</v>
      </c>
      <c r="M875" s="843">
        <f t="shared" si="147"/>
        <v>-1.5558309238606571E-2</v>
      </c>
      <c r="N875" s="842">
        <v>70.36</v>
      </c>
      <c r="O875" s="843">
        <f t="shared" si="148"/>
        <v>-2.1146355036171349E-2</v>
      </c>
      <c r="P875" s="844">
        <f t="shared" si="154"/>
        <v>-1.4722286642653118E-2</v>
      </c>
      <c r="Q875" s="830"/>
      <c r="R875" s="845">
        <v>937.17</v>
      </c>
      <c r="S875" s="846">
        <f t="shared" si="149"/>
        <v>-7.1510297482837437E-3</v>
      </c>
      <c r="T875" s="845">
        <v>68.790000000000006</v>
      </c>
      <c r="U875" s="846">
        <f t="shared" si="150"/>
        <v>-5.0621926525888927E-3</v>
      </c>
      <c r="V875" s="845">
        <v>103.1576</v>
      </c>
      <c r="W875" s="846">
        <f t="shared" si="151"/>
        <v>-1.9415380783858627E-2</v>
      </c>
      <c r="X875" s="845">
        <v>34960.69</v>
      </c>
      <c r="Y875" s="846">
        <f t="shared" si="152"/>
        <v>-1.0824971536314565E-2</v>
      </c>
      <c r="Z875" s="845">
        <v>4400.2663000000002</v>
      </c>
      <c r="AA875" s="846">
        <f t="shared" si="153"/>
        <v>-1.0748266542424001E-2</v>
      </c>
      <c r="AB875" s="843"/>
    </row>
    <row r="876" spans="1:28" ht="14.4" x14ac:dyDescent="0.55000000000000004">
      <c r="A876" s="857" t="s">
        <v>6035</v>
      </c>
      <c r="B876" s="842">
        <v>100.95</v>
      </c>
      <c r="C876" s="843">
        <f t="shared" si="144"/>
        <v>-1.1872959335113009E-3</v>
      </c>
      <c r="D876" s="842">
        <v>37.57</v>
      </c>
      <c r="E876" s="843">
        <f t="shared" si="145"/>
        <v>-8.1837381203802018E-3</v>
      </c>
      <c r="F876" s="842">
        <v>25.69</v>
      </c>
      <c r="G876" s="843">
        <f t="shared" si="145"/>
        <v>1.9500780031200815E-3</v>
      </c>
      <c r="H876" s="842">
        <v>52.9</v>
      </c>
      <c r="I876" s="843">
        <f t="shared" si="145"/>
        <v>-2.639517345399689E-3</v>
      </c>
      <c r="J876" s="842">
        <v>73.14</v>
      </c>
      <c r="K876" s="843">
        <f t="shared" si="146"/>
        <v>2.7419797093501952E-3</v>
      </c>
      <c r="L876" s="842">
        <v>72.63</v>
      </c>
      <c r="M876" s="843">
        <f t="shared" si="147"/>
        <v>6.3738395455175123E-3</v>
      </c>
      <c r="N876" s="842">
        <v>71.88</v>
      </c>
      <c r="O876" s="843">
        <f t="shared" si="148"/>
        <v>-5.5340343110128476E-3</v>
      </c>
      <c r="P876" s="844">
        <f t="shared" si="154"/>
        <v>-9.255269217594643E-4</v>
      </c>
      <c r="Q876" s="830"/>
      <c r="R876" s="845">
        <v>943.92</v>
      </c>
      <c r="S876" s="846">
        <f t="shared" si="149"/>
        <v>-6.5640417557755182E-4</v>
      </c>
      <c r="T876" s="845">
        <v>69.14</v>
      </c>
      <c r="U876" s="846">
        <f t="shared" si="150"/>
        <v>5.7887120115784896E-4</v>
      </c>
      <c r="V876" s="845">
        <v>105.20010000000001</v>
      </c>
      <c r="W876" s="846">
        <f t="shared" si="151"/>
        <v>-1.1868016265828008E-3</v>
      </c>
      <c r="X876" s="845">
        <v>35343.279999999999</v>
      </c>
      <c r="Y876" s="846">
        <f t="shared" si="152"/>
        <v>-7.9190689788747326E-3</v>
      </c>
      <c r="Z876" s="845">
        <v>4448.0753999999997</v>
      </c>
      <c r="AA876" s="846">
        <f t="shared" si="153"/>
        <v>-7.0614636170428513E-3</v>
      </c>
      <c r="AB876" s="843"/>
    </row>
    <row r="877" spans="1:28" ht="14.4" x14ac:dyDescent="0.55000000000000004">
      <c r="A877" s="857" t="s">
        <v>6036</v>
      </c>
      <c r="B877" s="842">
        <v>101.07</v>
      </c>
      <c r="C877" s="843">
        <f t="shared" si="144"/>
        <v>-3.942051837981686E-3</v>
      </c>
      <c r="D877" s="842">
        <v>37.880000000000003</v>
      </c>
      <c r="E877" s="843">
        <f t="shared" si="145"/>
        <v>-1.8398548846851548E-2</v>
      </c>
      <c r="F877" s="842">
        <v>25.64</v>
      </c>
      <c r="G877" s="843">
        <f t="shared" si="145"/>
        <v>6.6745190420103295E-3</v>
      </c>
      <c r="H877" s="842">
        <v>53.04</v>
      </c>
      <c r="I877" s="843">
        <f t="shared" si="145"/>
        <v>-9.1537455632355602E-3</v>
      </c>
      <c r="J877" s="842">
        <v>72.94</v>
      </c>
      <c r="K877" s="843">
        <f t="shared" si="146"/>
        <v>-3.68802076219088E-3</v>
      </c>
      <c r="L877" s="842">
        <v>72.17</v>
      </c>
      <c r="M877" s="843">
        <f t="shared" si="147"/>
        <v>9.6530498041409452E-3</v>
      </c>
      <c r="N877" s="842">
        <v>72.28</v>
      </c>
      <c r="O877" s="843">
        <f t="shared" si="148"/>
        <v>2.7677830058125963E-4</v>
      </c>
      <c r="P877" s="844">
        <f t="shared" si="154"/>
        <v>-2.6540028376467345E-3</v>
      </c>
      <c r="Q877" s="830"/>
      <c r="R877" s="845">
        <v>944.54</v>
      </c>
      <c r="S877" s="846">
        <f t="shared" si="149"/>
        <v>6.6642722322700632E-3</v>
      </c>
      <c r="T877" s="845">
        <v>69.099999999999994</v>
      </c>
      <c r="U877" s="846">
        <f t="shared" si="150"/>
        <v>6.1153174140942124E-3</v>
      </c>
      <c r="V877" s="845">
        <v>105.32510000000001</v>
      </c>
      <c r="W877" s="846">
        <f t="shared" si="151"/>
        <v>-3.942615044164044E-3</v>
      </c>
      <c r="X877" s="845">
        <v>35625.4</v>
      </c>
      <c r="Y877" s="846">
        <f t="shared" si="152"/>
        <v>3.0978128348901901E-3</v>
      </c>
      <c r="Z877" s="845">
        <v>4479.7087000000001</v>
      </c>
      <c r="AA877" s="846">
        <f t="shared" si="153"/>
        <v>2.6198504065528816E-3</v>
      </c>
      <c r="AB877" s="843"/>
    </row>
    <row r="878" spans="1:28" ht="14.4" x14ac:dyDescent="0.55000000000000004">
      <c r="A878" s="857" t="s">
        <v>6037</v>
      </c>
      <c r="B878" s="842">
        <v>101.47</v>
      </c>
      <c r="C878" s="843">
        <f t="shared" si="144"/>
        <v>8.9489907527096069E-3</v>
      </c>
      <c r="D878" s="842">
        <v>38.590000000000003</v>
      </c>
      <c r="E878" s="843">
        <f t="shared" si="145"/>
        <v>2.8586278586280045E-3</v>
      </c>
      <c r="F878" s="842">
        <v>25.47</v>
      </c>
      <c r="G878" s="843">
        <f t="shared" si="145"/>
        <v>7.1174377224199059E-3</v>
      </c>
      <c r="H878" s="842">
        <v>53.53</v>
      </c>
      <c r="I878" s="843">
        <f t="shared" si="145"/>
        <v>1.6907294832826825E-2</v>
      </c>
      <c r="J878" s="842">
        <v>73.209999999999994</v>
      </c>
      <c r="K878" s="843">
        <f t="shared" si="146"/>
        <v>4.5279912184412741E-3</v>
      </c>
      <c r="L878" s="842">
        <v>71.48</v>
      </c>
      <c r="M878" s="843">
        <f t="shared" si="147"/>
        <v>-1.2575101299425739E-3</v>
      </c>
      <c r="N878" s="842">
        <v>72.260000000000005</v>
      </c>
      <c r="O878" s="843">
        <f t="shared" si="148"/>
        <v>9.4998602961722245E-3</v>
      </c>
      <c r="P878" s="844">
        <f t="shared" si="154"/>
        <v>6.9432417930364665E-3</v>
      </c>
      <c r="Q878" s="830"/>
      <c r="R878" s="845">
        <v>938.28700000000003</v>
      </c>
      <c r="S878" s="846">
        <f t="shared" si="149"/>
        <v>6.0224945586329071E-3</v>
      </c>
      <c r="T878" s="845">
        <v>68.680000000000007</v>
      </c>
      <c r="U878" s="846">
        <f t="shared" si="150"/>
        <v>7.0381231671554634E-3</v>
      </c>
      <c r="V878" s="845">
        <v>105.742</v>
      </c>
      <c r="W878" s="846">
        <f t="shared" si="151"/>
        <v>8.9490773738813978E-3</v>
      </c>
      <c r="X878" s="845">
        <v>35515.379999999997</v>
      </c>
      <c r="Y878" s="846">
        <f t="shared" si="152"/>
        <v>4.3746663718291501E-4</v>
      </c>
      <c r="Z878" s="845">
        <v>4468.0032000000001</v>
      </c>
      <c r="AA878" s="846">
        <f t="shared" si="153"/>
        <v>1.6076149383705829E-3</v>
      </c>
      <c r="AB878" s="843"/>
    </row>
    <row r="879" spans="1:28" ht="14.4" x14ac:dyDescent="0.55000000000000004">
      <c r="A879" s="857" t="s">
        <v>6038</v>
      </c>
      <c r="B879" s="842">
        <v>100.57</v>
      </c>
      <c r="C879" s="843">
        <f t="shared" si="144"/>
        <v>-5.6357524223848987E-3</v>
      </c>
      <c r="D879" s="842">
        <v>38.479999999999997</v>
      </c>
      <c r="E879" s="843">
        <f t="shared" si="145"/>
        <v>-9.0136492402781432E-3</v>
      </c>
      <c r="F879" s="842">
        <v>25.29</v>
      </c>
      <c r="G879" s="843">
        <f t="shared" si="145"/>
        <v>-2.7602523659305822E-3</v>
      </c>
      <c r="H879" s="842">
        <v>52.64</v>
      </c>
      <c r="I879" s="843">
        <f t="shared" si="145"/>
        <v>-1.164100638377763E-2</v>
      </c>
      <c r="J879" s="842">
        <v>72.88</v>
      </c>
      <c r="K879" s="843">
        <f t="shared" si="146"/>
        <v>-1.7657366221862869E-2</v>
      </c>
      <c r="L879" s="842">
        <v>71.569999999999993</v>
      </c>
      <c r="M879" s="843">
        <f t="shared" si="147"/>
        <v>-3.6196575247111618E-3</v>
      </c>
      <c r="N879" s="842">
        <v>71.58</v>
      </c>
      <c r="O879" s="843">
        <f t="shared" si="148"/>
        <v>-8.5872576177286053E-3</v>
      </c>
      <c r="P879" s="844">
        <f t="shared" si="154"/>
        <v>-8.416420253810555E-3</v>
      </c>
      <c r="Q879" s="830"/>
      <c r="R879" s="845">
        <v>932.67</v>
      </c>
      <c r="S879" s="846">
        <f t="shared" si="149"/>
        <v>1.2297046400819855E-3</v>
      </c>
      <c r="T879" s="845">
        <v>68.2</v>
      </c>
      <c r="U879" s="846">
        <f t="shared" si="150"/>
        <v>1.0274475267870731E-3</v>
      </c>
      <c r="V879" s="845">
        <v>104.80410000000001</v>
      </c>
      <c r="W879" s="846">
        <f t="shared" si="151"/>
        <v>-5.6357752179593268E-3</v>
      </c>
      <c r="X879" s="845">
        <v>35499.85</v>
      </c>
      <c r="Y879" s="846">
        <f t="shared" si="152"/>
        <v>4.1933246667524848E-4</v>
      </c>
      <c r="Z879" s="845">
        <v>4460.8319000000001</v>
      </c>
      <c r="AA879" s="846">
        <f t="shared" si="153"/>
        <v>2.9517029866830136E-3</v>
      </c>
      <c r="AB879" s="843"/>
    </row>
    <row r="880" spans="1:28" ht="14.4" x14ac:dyDescent="0.55000000000000004">
      <c r="A880" s="857" t="s">
        <v>6039</v>
      </c>
      <c r="B880" s="842">
        <v>101.14</v>
      </c>
      <c r="C880" s="843">
        <f t="shared" si="144"/>
        <v>2.4779462781245876E-3</v>
      </c>
      <c r="D880" s="842">
        <v>38.83</v>
      </c>
      <c r="E880" s="843">
        <f t="shared" si="145"/>
        <v>2.323180175529016E-3</v>
      </c>
      <c r="F880" s="842">
        <v>25.36</v>
      </c>
      <c r="G880" s="843">
        <f t="shared" si="145"/>
        <v>1.1567610690067731E-2</v>
      </c>
      <c r="H880" s="842">
        <v>53.26</v>
      </c>
      <c r="I880" s="843">
        <f t="shared" si="145"/>
        <v>7.9485238455714313E-3</v>
      </c>
      <c r="J880" s="842">
        <v>74.19</v>
      </c>
      <c r="K880" s="843">
        <f t="shared" si="146"/>
        <v>3.924221921515425E-3</v>
      </c>
      <c r="L880" s="842">
        <v>71.83</v>
      </c>
      <c r="M880" s="843">
        <f t="shared" si="147"/>
        <v>1.6702052370842102E-2</v>
      </c>
      <c r="N880" s="842">
        <v>72.2</v>
      </c>
      <c r="O880" s="843">
        <f t="shared" si="148"/>
        <v>8.5207431205476247E-3</v>
      </c>
      <c r="P880" s="844">
        <f t="shared" si="154"/>
        <v>7.6377540574568458E-3</v>
      </c>
      <c r="Q880" s="830"/>
      <c r="R880" s="845">
        <v>931.52449999999999</v>
      </c>
      <c r="S880" s="846">
        <f t="shared" si="149"/>
        <v>6.5964643080980156E-3</v>
      </c>
      <c r="T880" s="845">
        <v>68.13</v>
      </c>
      <c r="U880" s="846">
        <f t="shared" si="150"/>
        <v>9.3333333333331936E-3</v>
      </c>
      <c r="V880" s="845">
        <v>105.3981</v>
      </c>
      <c r="W880" s="846">
        <f t="shared" si="151"/>
        <v>2.4777054070093119E-3</v>
      </c>
      <c r="X880" s="845">
        <v>35484.97</v>
      </c>
      <c r="Y880" s="846">
        <f t="shared" si="152"/>
        <v>6.2470455557928073E-3</v>
      </c>
      <c r="Z880" s="845">
        <v>4447.7035999999998</v>
      </c>
      <c r="AA880" s="846">
        <f t="shared" si="153"/>
        <v>2.4681789242757546E-3</v>
      </c>
      <c r="AB880" s="843"/>
    </row>
    <row r="881" spans="1:28" ht="14.4" x14ac:dyDescent="0.55000000000000004">
      <c r="A881" s="857" t="s">
        <v>6040</v>
      </c>
      <c r="B881" s="842">
        <v>100.89</v>
      </c>
      <c r="C881" s="843">
        <f t="shared" si="144"/>
        <v>-2.2745253164557777E-3</v>
      </c>
      <c r="D881" s="842">
        <v>38.74</v>
      </c>
      <c r="E881" s="843">
        <f t="shared" si="145"/>
        <v>5.4502984687256895E-3</v>
      </c>
      <c r="F881" s="842">
        <v>25.07</v>
      </c>
      <c r="G881" s="843">
        <f t="shared" si="145"/>
        <v>-6.7353407290015044E-3</v>
      </c>
      <c r="H881" s="842">
        <v>52.84</v>
      </c>
      <c r="I881" s="843">
        <f t="shared" si="145"/>
        <v>-3.7835792659846046E-4</v>
      </c>
      <c r="J881" s="842">
        <v>73.900000000000006</v>
      </c>
      <c r="K881" s="843">
        <f t="shared" si="146"/>
        <v>-2.9681597409605409E-3</v>
      </c>
      <c r="L881" s="842">
        <v>70.650000000000006</v>
      </c>
      <c r="M881" s="843">
        <f t="shared" si="147"/>
        <v>-6.8878268203541593E-3</v>
      </c>
      <c r="N881" s="842">
        <v>71.59</v>
      </c>
      <c r="O881" s="843">
        <f t="shared" si="148"/>
        <v>-3.7573058725298702E-3</v>
      </c>
      <c r="P881" s="844">
        <f t="shared" si="154"/>
        <v>-2.5073168481678032E-3</v>
      </c>
      <c r="Q881" s="830"/>
      <c r="R881" s="845">
        <v>925.42</v>
      </c>
      <c r="S881" s="846">
        <f t="shared" si="149"/>
        <v>3.2428225527492138E-4</v>
      </c>
      <c r="T881" s="845">
        <v>67.5</v>
      </c>
      <c r="U881" s="846">
        <f t="shared" si="150"/>
        <v>1.0381135992880708E-3</v>
      </c>
      <c r="V881" s="845">
        <v>105.13760000000001</v>
      </c>
      <c r="W881" s="846">
        <f t="shared" si="151"/>
        <v>-2.2737366337309828E-3</v>
      </c>
      <c r="X881" s="845">
        <v>35264.67</v>
      </c>
      <c r="Y881" s="846">
        <f t="shared" si="152"/>
        <v>4.6385019592984911E-3</v>
      </c>
      <c r="Z881" s="845">
        <v>4436.7529000000004</v>
      </c>
      <c r="AA881" s="846">
        <f t="shared" si="153"/>
        <v>9.9267815537262827E-4</v>
      </c>
      <c r="AB881" s="843"/>
    </row>
    <row r="882" spans="1:28" ht="14.4" x14ac:dyDescent="0.55000000000000004">
      <c r="A882" s="857" t="s">
        <v>6041</v>
      </c>
      <c r="B882" s="842">
        <v>101.12</v>
      </c>
      <c r="C882" s="843">
        <f t="shared" si="144"/>
        <v>2.2797105758747271E-3</v>
      </c>
      <c r="D882" s="842">
        <v>38.53</v>
      </c>
      <c r="E882" s="843">
        <f t="shared" si="145"/>
        <v>-1.3568868407578094E-2</v>
      </c>
      <c r="F882" s="842">
        <v>25.24</v>
      </c>
      <c r="G882" s="843">
        <f t="shared" si="145"/>
        <v>-6.2992125984252523E-3</v>
      </c>
      <c r="H882" s="842">
        <v>52.86</v>
      </c>
      <c r="I882" s="843">
        <f t="shared" si="145"/>
        <v>-1.0668163952835541E-2</v>
      </c>
      <c r="J882" s="842">
        <v>74.12</v>
      </c>
      <c r="K882" s="843">
        <f t="shared" si="146"/>
        <v>-1.7508417508417251E-3</v>
      </c>
      <c r="L882" s="842">
        <v>71.14</v>
      </c>
      <c r="M882" s="843">
        <f t="shared" si="147"/>
        <v>-1.3314840499306424E-2</v>
      </c>
      <c r="N882" s="842">
        <v>71.86</v>
      </c>
      <c r="O882" s="843">
        <f t="shared" si="148"/>
        <v>-1.005648160903716E-2</v>
      </c>
      <c r="P882" s="844">
        <f t="shared" si="154"/>
        <v>-7.6255283203070668E-3</v>
      </c>
      <c r="Q882" s="830"/>
      <c r="R882" s="845">
        <v>925.12</v>
      </c>
      <c r="S882" s="846">
        <f t="shared" si="149"/>
        <v>-1.7480631029199722E-3</v>
      </c>
      <c r="T882" s="845">
        <v>67.430000000000007</v>
      </c>
      <c r="U882" s="846">
        <f t="shared" si="150"/>
        <v>-2.9651593773161178E-4</v>
      </c>
      <c r="V882" s="845">
        <v>105.3772</v>
      </c>
      <c r="W882" s="846">
        <f t="shared" si="151"/>
        <v>2.2789182937408281E-3</v>
      </c>
      <c r="X882" s="845">
        <v>35101.85</v>
      </c>
      <c r="Y882" s="846">
        <f t="shared" si="152"/>
        <v>-3.0293812490219674E-3</v>
      </c>
      <c r="Z882" s="845">
        <v>4432.3530000000001</v>
      </c>
      <c r="AA882" s="846">
        <f t="shared" si="153"/>
        <v>-9.3875426353517977E-4</v>
      </c>
      <c r="AB882" s="843"/>
    </row>
    <row r="883" spans="1:28" ht="14.4" x14ac:dyDescent="0.55000000000000004">
      <c r="A883" s="857" t="s">
        <v>6042</v>
      </c>
      <c r="B883" s="842">
        <v>100.89</v>
      </c>
      <c r="C883" s="843">
        <f t="shared" si="144"/>
        <v>-4.1456914421084123E-3</v>
      </c>
      <c r="D883" s="842">
        <v>39.06</v>
      </c>
      <c r="E883" s="843">
        <f t="shared" si="145"/>
        <v>6.4416387528987151E-3</v>
      </c>
      <c r="F883" s="842">
        <v>25.4</v>
      </c>
      <c r="G883" s="843">
        <f t="shared" si="145"/>
        <v>-1.5723270440252124E-3</v>
      </c>
      <c r="H883" s="842">
        <v>53.43</v>
      </c>
      <c r="I883" s="843">
        <f t="shared" si="145"/>
        <v>-9.3492894540014859E-4</v>
      </c>
      <c r="J883" s="842">
        <v>74.25</v>
      </c>
      <c r="K883" s="843">
        <f t="shared" si="146"/>
        <v>-3.6231884057970065E-3</v>
      </c>
      <c r="L883" s="842">
        <v>72.099999999999994</v>
      </c>
      <c r="M883" s="843">
        <f t="shared" si="147"/>
        <v>9.7181729834772135E-4</v>
      </c>
      <c r="N883" s="842">
        <v>72.59</v>
      </c>
      <c r="O883" s="843">
        <f t="shared" si="148"/>
        <v>-8.4687884168828109E-3</v>
      </c>
      <c r="P883" s="844">
        <f t="shared" si="154"/>
        <v>-1.6187811718524506E-3</v>
      </c>
      <c r="Q883" s="830"/>
      <c r="R883" s="845">
        <v>926.74</v>
      </c>
      <c r="S883" s="846">
        <f t="shared" si="149"/>
        <v>-4.3083534783776578E-3</v>
      </c>
      <c r="T883" s="845">
        <v>67.45</v>
      </c>
      <c r="U883" s="846">
        <f t="shared" si="150"/>
        <v>-5.9268039709570175E-4</v>
      </c>
      <c r="V883" s="845">
        <v>105.13760000000001</v>
      </c>
      <c r="W883" s="846">
        <f t="shared" si="151"/>
        <v>-4.1449128204350538E-3</v>
      </c>
      <c r="X883" s="845">
        <v>35208.51</v>
      </c>
      <c r="Y883" s="846">
        <f t="shared" si="152"/>
        <v>4.1141618600142316E-3</v>
      </c>
      <c r="Z883" s="845">
        <v>4436.5177999999996</v>
      </c>
      <c r="AA883" s="846">
        <f t="shared" si="153"/>
        <v>1.6741087303679958E-3</v>
      </c>
      <c r="AB883" s="843"/>
    </row>
    <row r="884" spans="1:28" ht="14.4" x14ac:dyDescent="0.55000000000000004">
      <c r="A884" s="857" t="s">
        <v>6043</v>
      </c>
      <c r="B884" s="842">
        <v>101.31</v>
      </c>
      <c r="C884" s="843">
        <f t="shared" si="144"/>
        <v>1.9317838816782285E-2</v>
      </c>
      <c r="D884" s="842">
        <v>38.81</v>
      </c>
      <c r="E884" s="843">
        <f t="shared" si="145"/>
        <v>1.2522828072006442E-2</v>
      </c>
      <c r="F884" s="842">
        <v>25.44</v>
      </c>
      <c r="G884" s="843">
        <f t="shared" si="145"/>
        <v>7.5247524752475314E-3</v>
      </c>
      <c r="H884" s="842">
        <v>53.48</v>
      </c>
      <c r="I884" s="843">
        <f t="shared" si="145"/>
        <v>-5.7631530024168098E-3</v>
      </c>
      <c r="J884" s="842">
        <v>74.52</v>
      </c>
      <c r="K884" s="843">
        <f t="shared" si="146"/>
        <v>9.482525060959146E-3</v>
      </c>
      <c r="L884" s="842">
        <v>72.03</v>
      </c>
      <c r="M884" s="843">
        <f t="shared" si="147"/>
        <v>6.9463739927755341E-4</v>
      </c>
      <c r="N884" s="842">
        <v>73.209999999999994</v>
      </c>
      <c r="O884" s="843">
        <f t="shared" si="148"/>
        <v>3.9769610532089938E-3</v>
      </c>
      <c r="P884" s="844">
        <f t="shared" si="154"/>
        <v>6.8223414107235914E-3</v>
      </c>
      <c r="Q884" s="830"/>
      <c r="R884" s="845">
        <v>930.75</v>
      </c>
      <c r="S884" s="846">
        <f t="shared" si="149"/>
        <v>1.2576289994451484E-2</v>
      </c>
      <c r="T884" s="845">
        <v>67.489999999999995</v>
      </c>
      <c r="U884" s="846">
        <f t="shared" si="150"/>
        <v>1.0934691431994992E-2</v>
      </c>
      <c r="V884" s="845">
        <v>105.5752</v>
      </c>
      <c r="W884" s="846">
        <f t="shared" si="151"/>
        <v>1.9317514752680287E-2</v>
      </c>
      <c r="X884" s="845">
        <v>35064.25</v>
      </c>
      <c r="Y884" s="846">
        <f t="shared" si="152"/>
        <v>7.8056671132167299E-3</v>
      </c>
      <c r="Z884" s="845">
        <v>4429.1030000000001</v>
      </c>
      <c r="AA884" s="846">
        <f t="shared" si="153"/>
        <v>6.0059132420142713E-3</v>
      </c>
      <c r="AB884" s="843"/>
    </row>
    <row r="885" spans="1:28" ht="14.4" x14ac:dyDescent="0.55000000000000004">
      <c r="A885" s="857" t="s">
        <v>6044</v>
      </c>
      <c r="B885" s="842">
        <v>99.39</v>
      </c>
      <c r="C885" s="843">
        <f t="shared" si="144"/>
        <v>-2.9093097913323041E-3</v>
      </c>
      <c r="D885" s="842">
        <v>38.33</v>
      </c>
      <c r="E885" s="843">
        <f t="shared" si="145"/>
        <v>-2.3190621814475065E-2</v>
      </c>
      <c r="F885" s="842">
        <v>25.25</v>
      </c>
      <c r="G885" s="843">
        <f t="shared" si="145"/>
        <v>-2.3706045041484991E-3</v>
      </c>
      <c r="H885" s="842">
        <v>53.79</v>
      </c>
      <c r="I885" s="843">
        <f t="shared" si="145"/>
        <v>-4.9944506104329101E-3</v>
      </c>
      <c r="J885" s="842">
        <v>73.819999999999993</v>
      </c>
      <c r="K885" s="843">
        <f t="shared" si="146"/>
        <v>-1.4155982905982967E-2</v>
      </c>
      <c r="L885" s="842">
        <v>71.98</v>
      </c>
      <c r="M885" s="843">
        <f t="shared" si="147"/>
        <v>-1.2890839275918831E-2</v>
      </c>
      <c r="N885" s="842">
        <v>72.92</v>
      </c>
      <c r="O885" s="843">
        <f t="shared" si="148"/>
        <v>-3.1442241968557827E-3</v>
      </c>
      <c r="P885" s="844">
        <f t="shared" si="154"/>
        <v>-9.0937190141637658E-3</v>
      </c>
      <c r="Q885" s="830"/>
      <c r="R885" s="845">
        <v>919.19</v>
      </c>
      <c r="S885" s="846">
        <f t="shared" si="149"/>
        <v>-1.6292128729540334E-3</v>
      </c>
      <c r="T885" s="845">
        <v>66.760000000000005</v>
      </c>
      <c r="U885" s="846">
        <f t="shared" si="150"/>
        <v>-1.4956625785221833E-3</v>
      </c>
      <c r="V885" s="845">
        <v>103.5744</v>
      </c>
      <c r="W885" s="846">
        <f t="shared" si="151"/>
        <v>-2.9092211335373097E-3</v>
      </c>
      <c r="X885" s="845">
        <v>34792.67</v>
      </c>
      <c r="Y885" s="846">
        <f t="shared" si="152"/>
        <v>-9.2187695777472545E-3</v>
      </c>
      <c r="Z885" s="845">
        <v>4402.6610000000001</v>
      </c>
      <c r="AA885" s="846">
        <f t="shared" si="153"/>
        <v>-4.6330292486337354E-3</v>
      </c>
      <c r="AB885" s="843"/>
    </row>
    <row r="886" spans="1:28" ht="14.4" x14ac:dyDescent="0.55000000000000004">
      <c r="A886" s="857" t="s">
        <v>6045</v>
      </c>
      <c r="B886" s="842">
        <v>99.68</v>
      </c>
      <c r="C886" s="843">
        <f t="shared" si="144"/>
        <v>1.4064697609001975E-3</v>
      </c>
      <c r="D886" s="842">
        <v>39.24</v>
      </c>
      <c r="E886" s="843">
        <f t="shared" si="145"/>
        <v>1.2906556530717594E-2</v>
      </c>
      <c r="F886" s="842">
        <v>25.31</v>
      </c>
      <c r="G886" s="843">
        <f t="shared" si="145"/>
        <v>7.1627536808596126E-3</v>
      </c>
      <c r="H886" s="842">
        <v>54.06</v>
      </c>
      <c r="I886" s="843">
        <f t="shared" si="145"/>
        <v>1.9422968131246554E-2</v>
      </c>
      <c r="J886" s="842">
        <v>74.88</v>
      </c>
      <c r="K886" s="843">
        <f t="shared" si="146"/>
        <v>7.6705692369800627E-3</v>
      </c>
      <c r="L886" s="842">
        <v>72.92</v>
      </c>
      <c r="M886" s="843">
        <f t="shared" si="147"/>
        <v>2.6463963963963888E-2</v>
      </c>
      <c r="N886" s="842">
        <v>73.150000000000006</v>
      </c>
      <c r="O886" s="843">
        <f t="shared" si="148"/>
        <v>2.0935101186322358E-2</v>
      </c>
      <c r="P886" s="844">
        <f t="shared" si="154"/>
        <v>1.3709768927284325E-2</v>
      </c>
      <c r="Q886" s="830"/>
      <c r="R886" s="845">
        <v>920.69</v>
      </c>
      <c r="S886" s="846">
        <f t="shared" si="149"/>
        <v>6.8347841301781287E-3</v>
      </c>
      <c r="T886" s="845">
        <v>66.86</v>
      </c>
      <c r="U886" s="846">
        <f t="shared" si="150"/>
        <v>5.7160048134776709E-3</v>
      </c>
      <c r="V886" s="845">
        <v>103.8766</v>
      </c>
      <c r="W886" s="846">
        <f t="shared" si="151"/>
        <v>1.4065267081009303E-3</v>
      </c>
      <c r="X886" s="845">
        <v>35116.400000000001</v>
      </c>
      <c r="Y886" s="846">
        <f t="shared" si="152"/>
        <v>7.9866445300209588E-3</v>
      </c>
      <c r="Z886" s="845">
        <v>4423.1535999999996</v>
      </c>
      <c r="AA886" s="846">
        <f t="shared" si="153"/>
        <v>8.2052475044254169E-3</v>
      </c>
      <c r="AB886" s="843"/>
    </row>
    <row r="887" spans="1:28" ht="14.4" x14ac:dyDescent="0.55000000000000004">
      <c r="A887" s="857" t="s">
        <v>6046</v>
      </c>
      <c r="B887" s="842">
        <v>99.54</v>
      </c>
      <c r="C887" s="843">
        <f t="shared" si="144"/>
        <v>9.635865706461022E-3</v>
      </c>
      <c r="D887" s="842">
        <v>38.74</v>
      </c>
      <c r="E887" s="843">
        <f t="shared" si="145"/>
        <v>5.7113187954309641E-3</v>
      </c>
      <c r="F887" s="842">
        <v>25.13</v>
      </c>
      <c r="G887" s="843">
        <f t="shared" si="145"/>
        <v>1.4533710133225686E-2</v>
      </c>
      <c r="H887" s="842">
        <v>53.03</v>
      </c>
      <c r="I887" s="843">
        <f t="shared" si="145"/>
        <v>1.4151845477146763E-2</v>
      </c>
      <c r="J887" s="842">
        <v>74.31</v>
      </c>
      <c r="K887" s="843">
        <f t="shared" si="146"/>
        <v>7.1835185687179059E-3</v>
      </c>
      <c r="L887" s="842">
        <v>71.040000000000006</v>
      </c>
      <c r="M887" s="843">
        <f t="shared" si="147"/>
        <v>1.5873015873015817E-2</v>
      </c>
      <c r="N887" s="842">
        <v>71.650000000000006</v>
      </c>
      <c r="O887" s="843">
        <f t="shared" si="148"/>
        <v>9.866102889358741E-3</v>
      </c>
      <c r="P887" s="844">
        <f t="shared" si="154"/>
        <v>1.0993625349050986E-2</v>
      </c>
      <c r="Q887" s="830"/>
      <c r="R887" s="845">
        <v>914.44</v>
      </c>
      <c r="S887" s="846">
        <f t="shared" si="149"/>
        <v>7.7362191708361117E-3</v>
      </c>
      <c r="T887" s="845">
        <v>66.48</v>
      </c>
      <c r="U887" s="846">
        <f t="shared" si="150"/>
        <v>7.7307867212370596E-3</v>
      </c>
      <c r="V887" s="845">
        <v>103.7307</v>
      </c>
      <c r="W887" s="846">
        <f t="shared" si="151"/>
        <v>9.6359086515860337E-3</v>
      </c>
      <c r="X887" s="845">
        <v>34838.160000000003</v>
      </c>
      <c r="Y887" s="846">
        <f t="shared" si="152"/>
        <v>-2.7854212352087515E-3</v>
      </c>
      <c r="Z887" s="845">
        <v>4387.1558999999997</v>
      </c>
      <c r="AA887" s="846">
        <f t="shared" si="153"/>
        <v>-1.8447356063254761E-3</v>
      </c>
      <c r="AB887" s="843"/>
    </row>
    <row r="888" spans="1:28" ht="14.4" x14ac:dyDescent="0.55000000000000004">
      <c r="A888" s="857" t="s">
        <v>6047</v>
      </c>
      <c r="B888" s="842">
        <v>98.59</v>
      </c>
      <c r="C888" s="843">
        <f t="shared" si="144"/>
        <v>-1.5969657650464097E-2</v>
      </c>
      <c r="D888" s="842">
        <v>38.520000000000003</v>
      </c>
      <c r="E888" s="843">
        <f t="shared" si="145"/>
        <v>-1.6594332397242728E-2</v>
      </c>
      <c r="F888" s="842">
        <v>24.77</v>
      </c>
      <c r="G888" s="843">
        <f t="shared" si="145"/>
        <v>-1.7063492063492003E-2</v>
      </c>
      <c r="H888" s="842">
        <v>52.29</v>
      </c>
      <c r="I888" s="843">
        <f t="shared" si="145"/>
        <v>-1.5254237288135686E-2</v>
      </c>
      <c r="J888" s="842">
        <v>73.78</v>
      </c>
      <c r="K888" s="843">
        <f t="shared" si="146"/>
        <v>-1.0726736390453184E-2</v>
      </c>
      <c r="L888" s="842">
        <v>69.930000000000007</v>
      </c>
      <c r="M888" s="843">
        <f t="shared" si="147"/>
        <v>-8.5070182900892632E-3</v>
      </c>
      <c r="N888" s="842">
        <v>70.95</v>
      </c>
      <c r="O888" s="843">
        <f t="shared" si="148"/>
        <v>-1.19760479041916E-2</v>
      </c>
      <c r="P888" s="844">
        <f t="shared" si="154"/>
        <v>-1.3727360283438366E-2</v>
      </c>
      <c r="Q888" s="830"/>
      <c r="R888" s="845">
        <v>907.42</v>
      </c>
      <c r="S888" s="846">
        <f t="shared" si="149"/>
        <v>-1.071681657127288E-2</v>
      </c>
      <c r="T888" s="845">
        <v>65.97</v>
      </c>
      <c r="U888" s="846">
        <f t="shared" si="150"/>
        <v>-8.4172553735157862E-3</v>
      </c>
      <c r="V888" s="845">
        <v>102.7407</v>
      </c>
      <c r="W888" s="846">
        <f t="shared" si="151"/>
        <v>-1.5970025314127945E-2</v>
      </c>
      <c r="X888" s="845">
        <v>34935.47</v>
      </c>
      <c r="Y888" s="846">
        <f t="shared" si="152"/>
        <v>-4.2485961761493662E-3</v>
      </c>
      <c r="Z888" s="845">
        <v>4395.2640000000001</v>
      </c>
      <c r="AA888" s="846">
        <f t="shared" si="153"/>
        <v>-5.4048417650023328E-3</v>
      </c>
      <c r="AB888" s="843"/>
    </row>
    <row r="889" spans="1:28" ht="14.4" x14ac:dyDescent="0.55000000000000004">
      <c r="A889" s="857" t="s">
        <v>6048</v>
      </c>
      <c r="B889" s="842">
        <v>100.19</v>
      </c>
      <c r="C889" s="843">
        <f t="shared" si="144"/>
        <v>-1.5944195316391907E-3</v>
      </c>
      <c r="D889" s="842">
        <v>39.17</v>
      </c>
      <c r="E889" s="843">
        <f t="shared" si="145"/>
        <v>-8.1033172955178312E-3</v>
      </c>
      <c r="F889" s="842">
        <v>25.2</v>
      </c>
      <c r="G889" s="843">
        <f t="shared" si="145"/>
        <v>-1.176470588235301E-2</v>
      </c>
      <c r="H889" s="842">
        <v>53.1</v>
      </c>
      <c r="I889" s="843">
        <f t="shared" si="145"/>
        <v>-1.2276785714285698E-2</v>
      </c>
      <c r="J889" s="842">
        <v>74.58</v>
      </c>
      <c r="K889" s="843">
        <f t="shared" si="146"/>
        <v>-7.1884984025559762E-3</v>
      </c>
      <c r="L889" s="842">
        <v>70.53</v>
      </c>
      <c r="M889" s="843">
        <f t="shared" si="147"/>
        <v>1.419849495953418E-3</v>
      </c>
      <c r="N889" s="842">
        <v>71.81</v>
      </c>
      <c r="O889" s="843">
        <f t="shared" si="148"/>
        <v>1.8136160714286031E-3</v>
      </c>
      <c r="P889" s="844">
        <f t="shared" si="154"/>
        <v>-5.3848944655670982E-3</v>
      </c>
      <c r="Q889" s="830"/>
      <c r="R889" s="845">
        <v>917.25</v>
      </c>
      <c r="S889" s="846">
        <f t="shared" si="149"/>
        <v>1.5942519573264313E-3</v>
      </c>
      <c r="T889" s="845">
        <v>66.53</v>
      </c>
      <c r="U889" s="846">
        <f t="shared" si="150"/>
        <v>2.7128862094951689E-3</v>
      </c>
      <c r="V889" s="845">
        <v>104.4081</v>
      </c>
      <c r="W889" s="846">
        <f t="shared" si="151"/>
        <v>-1.594074289408054E-3</v>
      </c>
      <c r="X889" s="845">
        <v>35084.53</v>
      </c>
      <c r="Y889" s="846">
        <f t="shared" si="152"/>
        <v>4.3972490855526125E-3</v>
      </c>
      <c r="Z889" s="845">
        <v>4419.1487999999999</v>
      </c>
      <c r="AA889" s="846">
        <f t="shared" si="153"/>
        <v>4.2069605628549667E-3</v>
      </c>
      <c r="AB889" s="843"/>
    </row>
    <row r="890" spans="1:28" ht="14.4" x14ac:dyDescent="0.55000000000000004">
      <c r="A890" s="857" t="s">
        <v>6049</v>
      </c>
      <c r="B890" s="842">
        <v>100.35</v>
      </c>
      <c r="C890" s="843">
        <f t="shared" si="144"/>
        <v>-7.4183976261127382E-3</v>
      </c>
      <c r="D890" s="842">
        <v>39.49</v>
      </c>
      <c r="E890" s="843">
        <f t="shared" si="145"/>
        <v>-5.5401662049860967E-3</v>
      </c>
      <c r="F890" s="842">
        <v>25.5</v>
      </c>
      <c r="G890" s="843">
        <f t="shared" si="145"/>
        <v>-3.90625E-3</v>
      </c>
      <c r="H890" s="842">
        <v>53.76</v>
      </c>
      <c r="I890" s="843">
        <f t="shared" si="145"/>
        <v>-1.4858841010402246E-3</v>
      </c>
      <c r="J890" s="842">
        <v>75.12</v>
      </c>
      <c r="K890" s="843">
        <f t="shared" si="146"/>
        <v>-7.7928939373925754E-3</v>
      </c>
      <c r="L890" s="842">
        <v>70.430000000000007</v>
      </c>
      <c r="M890" s="843">
        <f t="shared" si="147"/>
        <v>-1.0397639454826413E-2</v>
      </c>
      <c r="N890" s="842">
        <v>71.680000000000007</v>
      </c>
      <c r="O890" s="843">
        <f t="shared" si="148"/>
        <v>-2.6436621678029848E-3</v>
      </c>
      <c r="P890" s="844">
        <f t="shared" si="154"/>
        <v>-5.5978419274515757E-3</v>
      </c>
      <c r="Q890" s="830"/>
      <c r="R890" s="845">
        <v>915.79</v>
      </c>
      <c r="S890" s="846">
        <f t="shared" si="149"/>
        <v>-5.5921124068887273E-3</v>
      </c>
      <c r="T890" s="845">
        <v>66.349999999999994</v>
      </c>
      <c r="U890" s="846">
        <f t="shared" si="150"/>
        <v>-7.6278791504637011E-3</v>
      </c>
      <c r="V890" s="845">
        <v>104.5748</v>
      </c>
      <c r="W890" s="846">
        <f t="shared" si="151"/>
        <v>-7.4186285788048201E-3</v>
      </c>
      <c r="X890" s="845">
        <v>34930.93</v>
      </c>
      <c r="Y890" s="846">
        <f t="shared" si="152"/>
        <v>-3.6393435889477965E-3</v>
      </c>
      <c r="Z890" s="845">
        <v>4400.6355000000003</v>
      </c>
      <c r="AA890" s="846">
        <f t="shared" si="153"/>
        <v>-1.880283853793463E-4</v>
      </c>
      <c r="AB890" s="843"/>
    </row>
    <row r="891" spans="1:28" ht="14.4" x14ac:dyDescent="0.55000000000000004">
      <c r="A891" s="857" t="s">
        <v>6050</v>
      </c>
      <c r="B891" s="842">
        <v>101.1</v>
      </c>
      <c r="C891" s="843">
        <f t="shared" si="144"/>
        <v>1.5876205787781261E-2</v>
      </c>
      <c r="D891" s="842">
        <v>39.71</v>
      </c>
      <c r="E891" s="843">
        <f t="shared" si="145"/>
        <v>5.8257345491388168E-3</v>
      </c>
      <c r="F891" s="842">
        <v>25.6</v>
      </c>
      <c r="G891" s="843">
        <f t="shared" si="145"/>
        <v>1.4263074484944571E-2</v>
      </c>
      <c r="H891" s="842">
        <v>53.84</v>
      </c>
      <c r="I891" s="843">
        <f t="shared" si="145"/>
        <v>1.9503881840560622E-2</v>
      </c>
      <c r="J891" s="842">
        <v>75.709999999999994</v>
      </c>
      <c r="K891" s="843">
        <f t="shared" si="146"/>
        <v>2.5047386948280348E-2</v>
      </c>
      <c r="L891" s="842">
        <v>71.17</v>
      </c>
      <c r="M891" s="843">
        <f t="shared" si="147"/>
        <v>1.2951892968972256E-2</v>
      </c>
      <c r="N891" s="842">
        <v>71.87</v>
      </c>
      <c r="O891" s="843">
        <f t="shared" si="148"/>
        <v>1.4110342881332061E-2</v>
      </c>
      <c r="P891" s="844">
        <f t="shared" si="154"/>
        <v>1.536835992300142E-2</v>
      </c>
      <c r="Q891" s="830"/>
      <c r="R891" s="845">
        <v>920.94</v>
      </c>
      <c r="S891" s="846">
        <f t="shared" si="149"/>
        <v>1.8288367978770648E-2</v>
      </c>
      <c r="T891" s="845">
        <v>66.86</v>
      </c>
      <c r="U891" s="846">
        <f t="shared" si="150"/>
        <v>1.7191541153202428E-2</v>
      </c>
      <c r="V891" s="845">
        <v>105.35639999999999</v>
      </c>
      <c r="W891" s="846">
        <f t="shared" si="151"/>
        <v>1.5876015693776502E-2</v>
      </c>
      <c r="X891" s="845">
        <v>35058.519999999997</v>
      </c>
      <c r="Y891" s="846">
        <f t="shared" si="152"/>
        <v>-2.4410779440541264E-3</v>
      </c>
      <c r="Z891" s="845">
        <v>4401.4630999999999</v>
      </c>
      <c r="AA891" s="846">
        <f t="shared" si="153"/>
        <v>-4.7125666521983245E-3</v>
      </c>
      <c r="AB891" s="843"/>
    </row>
    <row r="892" spans="1:28" ht="14.4" x14ac:dyDescent="0.55000000000000004">
      <c r="A892" s="857" t="s">
        <v>6051</v>
      </c>
      <c r="B892" s="842">
        <v>99.52</v>
      </c>
      <c r="C892" s="843">
        <f t="shared" si="144"/>
        <v>7.0387129210658372E-4</v>
      </c>
      <c r="D892" s="842">
        <v>39.479999999999997</v>
      </c>
      <c r="E892" s="843">
        <f t="shared" si="145"/>
        <v>5.0916496945008216E-3</v>
      </c>
      <c r="F892" s="842">
        <v>25.24</v>
      </c>
      <c r="G892" s="843">
        <f t="shared" si="145"/>
        <v>1.1900039666798978E-3</v>
      </c>
      <c r="H892" s="842">
        <v>52.81</v>
      </c>
      <c r="I892" s="843">
        <f t="shared" si="145"/>
        <v>1.6554379210779624E-2</v>
      </c>
      <c r="J892" s="842">
        <v>73.86</v>
      </c>
      <c r="K892" s="843">
        <f t="shared" si="146"/>
        <v>-9.4684160692559693E-4</v>
      </c>
      <c r="L892" s="842">
        <v>70.260000000000005</v>
      </c>
      <c r="M892" s="843">
        <f t="shared" si="147"/>
        <v>-6.5045248868776939E-3</v>
      </c>
      <c r="N892" s="842">
        <v>70.87</v>
      </c>
      <c r="O892" s="843">
        <f t="shared" si="148"/>
        <v>7.5348308217231263E-3</v>
      </c>
      <c r="P892" s="844">
        <f t="shared" si="154"/>
        <v>3.3747669274266806E-3</v>
      </c>
      <c r="Q892" s="830"/>
      <c r="R892" s="845">
        <v>904.4</v>
      </c>
      <c r="S892" s="846">
        <f t="shared" si="149"/>
        <v>-1.5477480266212762E-4</v>
      </c>
      <c r="T892" s="845">
        <v>65.73</v>
      </c>
      <c r="U892" s="846">
        <f t="shared" si="150"/>
        <v>3.0436767615293903E-4</v>
      </c>
      <c r="V892" s="845">
        <v>103.7099</v>
      </c>
      <c r="W892" s="846">
        <f t="shared" si="151"/>
        <v>7.0438231942482332E-4</v>
      </c>
      <c r="X892" s="845">
        <v>35144.31</v>
      </c>
      <c r="Y892" s="846">
        <f t="shared" si="152"/>
        <v>2.3604204605898182E-3</v>
      </c>
      <c r="Z892" s="845">
        <v>4422.3035</v>
      </c>
      <c r="AA892" s="846">
        <f t="shared" si="153"/>
        <v>2.3825010442466432E-3</v>
      </c>
      <c r="AB892" s="843"/>
    </row>
    <row r="893" spans="1:28" ht="14.4" x14ac:dyDescent="0.55000000000000004">
      <c r="A893" s="857" t="s">
        <v>6052</v>
      </c>
      <c r="B893" s="842">
        <v>99.45</v>
      </c>
      <c r="C893" s="843">
        <f t="shared" si="144"/>
        <v>1.8328896170387132E-2</v>
      </c>
      <c r="D893" s="842">
        <v>39.28</v>
      </c>
      <c r="E893" s="843">
        <f t="shared" si="145"/>
        <v>1.7353017353017419E-2</v>
      </c>
      <c r="F893" s="842">
        <v>25.21</v>
      </c>
      <c r="G893" s="843">
        <f t="shared" si="145"/>
        <v>1.3263665594855478E-2</v>
      </c>
      <c r="H893" s="842">
        <v>51.95</v>
      </c>
      <c r="I893" s="843">
        <f t="shared" si="145"/>
        <v>1.7629774730656411E-2</v>
      </c>
      <c r="J893" s="842">
        <v>73.930000000000007</v>
      </c>
      <c r="K893" s="843">
        <f t="shared" si="146"/>
        <v>2.1132596685082827E-2</v>
      </c>
      <c r="L893" s="842">
        <v>70.72</v>
      </c>
      <c r="M893" s="843">
        <f t="shared" si="147"/>
        <v>1.8873361187148774E-2</v>
      </c>
      <c r="N893" s="842">
        <v>70.34</v>
      </c>
      <c r="O893" s="843">
        <f t="shared" si="148"/>
        <v>2.2829722262614593E-2</v>
      </c>
      <c r="P893" s="844">
        <f t="shared" si="154"/>
        <v>1.8487290569108947E-2</v>
      </c>
      <c r="Q893" s="830"/>
      <c r="R893" s="845">
        <v>904.54</v>
      </c>
      <c r="S893" s="846">
        <f t="shared" si="149"/>
        <v>1.2945418710385459E-2</v>
      </c>
      <c r="T893" s="845">
        <v>65.709999999999994</v>
      </c>
      <c r="U893" s="846">
        <f t="shared" si="150"/>
        <v>1.2792848335388296E-2</v>
      </c>
      <c r="V893" s="845">
        <v>103.6369</v>
      </c>
      <c r="W893" s="846">
        <f t="shared" si="151"/>
        <v>1.8328295909664227E-2</v>
      </c>
      <c r="X893" s="845">
        <v>35061.550000000003</v>
      </c>
      <c r="Y893" s="846">
        <f t="shared" si="152"/>
        <v>6.8402379437935146E-3</v>
      </c>
      <c r="Z893" s="845">
        <v>4411.7924000000003</v>
      </c>
      <c r="AA893" s="846">
        <f t="shared" si="153"/>
        <v>1.0147121388282443E-2</v>
      </c>
      <c r="AB893" s="843"/>
    </row>
    <row r="894" spans="1:28" ht="14.4" x14ac:dyDescent="0.55000000000000004">
      <c r="A894" s="857" t="s">
        <v>6053</v>
      </c>
      <c r="B894" s="842">
        <v>97.66</v>
      </c>
      <c r="C894" s="843">
        <f t="shared" si="144"/>
        <v>-6.00508905852426E-3</v>
      </c>
      <c r="D894" s="842">
        <v>38.61</v>
      </c>
      <c r="E894" s="843">
        <f t="shared" si="145"/>
        <v>-7.9650565262077144E-3</v>
      </c>
      <c r="F894" s="842">
        <v>24.88</v>
      </c>
      <c r="G894" s="843">
        <f t="shared" si="145"/>
        <v>3.6304961678095271E-3</v>
      </c>
      <c r="H894" s="842">
        <v>51.05</v>
      </c>
      <c r="I894" s="843">
        <f t="shared" si="145"/>
        <v>-1.5618974161203281E-2</v>
      </c>
      <c r="J894" s="842">
        <v>72.400000000000006</v>
      </c>
      <c r="K894" s="843">
        <f t="shared" si="146"/>
        <v>-1.3220662396074667E-2</v>
      </c>
      <c r="L894" s="842">
        <v>69.41</v>
      </c>
      <c r="M894" s="843">
        <f t="shared" si="147"/>
        <v>-1.4342516330588029E-2</v>
      </c>
      <c r="N894" s="842">
        <v>68.77</v>
      </c>
      <c r="O894" s="843">
        <f t="shared" si="148"/>
        <v>-2.5092146299971807E-2</v>
      </c>
      <c r="P894" s="844">
        <f t="shared" si="154"/>
        <v>-1.1230564086394319E-2</v>
      </c>
      <c r="Q894" s="830"/>
      <c r="R894" s="845">
        <v>892.98</v>
      </c>
      <c r="S894" s="846">
        <f t="shared" si="149"/>
        <v>7.7329119456681639E-4</v>
      </c>
      <c r="T894" s="845">
        <v>64.88</v>
      </c>
      <c r="U894" s="846">
        <f t="shared" si="150"/>
        <v>1.5436863229389974E-3</v>
      </c>
      <c r="V894" s="845">
        <v>101.77160000000001</v>
      </c>
      <c r="W894" s="846">
        <f t="shared" si="151"/>
        <v>-6.0047037497166222E-3</v>
      </c>
      <c r="X894" s="845">
        <v>34823.35</v>
      </c>
      <c r="Y894" s="846">
        <f t="shared" si="152"/>
        <v>7.2849014311171523E-4</v>
      </c>
      <c r="Z894" s="845">
        <v>4367.4750999999997</v>
      </c>
      <c r="AA894" s="846">
        <f t="shared" si="153"/>
        <v>2.0147781446333557E-3</v>
      </c>
      <c r="AB894" s="843"/>
    </row>
    <row r="895" spans="1:28" ht="14.4" x14ac:dyDescent="0.55000000000000004">
      <c r="A895" s="857" t="s">
        <v>6054</v>
      </c>
      <c r="B895" s="842">
        <v>98.25</v>
      </c>
      <c r="C895" s="843">
        <f t="shared" si="144"/>
        <v>-1.2463564177304209E-2</v>
      </c>
      <c r="D895" s="842">
        <v>38.92</v>
      </c>
      <c r="E895" s="843">
        <f t="shared" si="145"/>
        <v>-7.6491585925547723E-3</v>
      </c>
      <c r="F895" s="842">
        <v>24.79</v>
      </c>
      <c r="G895" s="843">
        <f t="shared" si="145"/>
        <v>-1.5097338100913849E-2</v>
      </c>
      <c r="H895" s="842">
        <v>51.86</v>
      </c>
      <c r="I895" s="843">
        <f t="shared" si="145"/>
        <v>-8.2233696691528246E-3</v>
      </c>
      <c r="J895" s="842">
        <v>73.37</v>
      </c>
      <c r="K895" s="843">
        <f t="shared" si="146"/>
        <v>-3.6664856056490835E-3</v>
      </c>
      <c r="L895" s="842">
        <v>70.42</v>
      </c>
      <c r="M895" s="843">
        <f t="shared" si="147"/>
        <v>-8.0292999013944488E-3</v>
      </c>
      <c r="N895" s="842">
        <v>70.540000000000006</v>
      </c>
      <c r="O895" s="843">
        <f t="shared" si="148"/>
        <v>-6.4788732394365223E-3</v>
      </c>
      <c r="P895" s="844">
        <f t="shared" si="154"/>
        <v>-8.801155612343672E-3</v>
      </c>
      <c r="Q895" s="830"/>
      <c r="R895" s="845">
        <v>892.29</v>
      </c>
      <c r="S895" s="846">
        <f t="shared" si="149"/>
        <v>-1.1313019390581713E-2</v>
      </c>
      <c r="T895" s="845">
        <v>64.78</v>
      </c>
      <c r="U895" s="846">
        <f t="shared" si="150"/>
        <v>-1.0992366412213683E-2</v>
      </c>
      <c r="V895" s="845">
        <v>102.38639999999999</v>
      </c>
      <c r="W895" s="846">
        <f t="shared" si="151"/>
        <v>-1.2463517061380158E-2</v>
      </c>
      <c r="X895" s="845">
        <v>34798</v>
      </c>
      <c r="Y895" s="846">
        <f t="shared" si="152"/>
        <v>8.2872648027541018E-3</v>
      </c>
      <c r="Z895" s="845">
        <v>4358.6932999999999</v>
      </c>
      <c r="AA895" s="846">
        <f t="shared" si="153"/>
        <v>8.2429370723773321E-3</v>
      </c>
      <c r="AB895" s="843"/>
    </row>
    <row r="896" spans="1:28" ht="14.4" x14ac:dyDescent="0.55000000000000004">
      <c r="A896" s="857" t="s">
        <v>6055</v>
      </c>
      <c r="B896" s="842">
        <v>99.49</v>
      </c>
      <c r="C896" s="843">
        <f t="shared" si="144"/>
        <v>5.457301667508796E-3</v>
      </c>
      <c r="D896" s="842">
        <v>39.22</v>
      </c>
      <c r="E896" s="843">
        <f t="shared" si="145"/>
        <v>3.3465085638998637E-2</v>
      </c>
      <c r="F896" s="842">
        <v>25.17</v>
      </c>
      <c r="G896" s="843">
        <f t="shared" si="145"/>
        <v>8.4134615384616751E-3</v>
      </c>
      <c r="H896" s="842">
        <v>52.29</v>
      </c>
      <c r="I896" s="843">
        <f t="shared" si="145"/>
        <v>1.2391093901258587E-2</v>
      </c>
      <c r="J896" s="842">
        <v>73.64</v>
      </c>
      <c r="K896" s="843">
        <f t="shared" si="146"/>
        <v>8.3527317540736945E-3</v>
      </c>
      <c r="L896" s="842">
        <v>70.989999999999995</v>
      </c>
      <c r="M896" s="843">
        <f t="shared" si="147"/>
        <v>2.2615960818207936E-2</v>
      </c>
      <c r="N896" s="842">
        <v>71</v>
      </c>
      <c r="O896" s="843">
        <f t="shared" si="148"/>
        <v>3.6754311563471642E-3</v>
      </c>
      <c r="P896" s="844">
        <f t="shared" si="154"/>
        <v>1.3481580924979499E-2</v>
      </c>
      <c r="Q896" s="830"/>
      <c r="R896" s="845">
        <v>902.5</v>
      </c>
      <c r="S896" s="846">
        <f t="shared" si="149"/>
        <v>3.6922529415690519E-3</v>
      </c>
      <c r="T896" s="845">
        <v>65.5</v>
      </c>
      <c r="U896" s="846">
        <f t="shared" si="150"/>
        <v>4.2931616068691003E-3</v>
      </c>
      <c r="V896" s="845">
        <v>103.6786</v>
      </c>
      <c r="W896" s="846">
        <f t="shared" si="151"/>
        <v>5.4569663844277194E-3</v>
      </c>
      <c r="X896" s="845">
        <v>34511.99</v>
      </c>
      <c r="Y896" s="846">
        <f t="shared" si="152"/>
        <v>1.6193079096544105E-2</v>
      </c>
      <c r="Z896" s="845">
        <v>4323.0586000000003</v>
      </c>
      <c r="AA896" s="846">
        <f t="shared" si="153"/>
        <v>1.5161702993214288E-2</v>
      </c>
      <c r="AB896" s="843"/>
    </row>
    <row r="897" spans="1:28" ht="14.4" x14ac:dyDescent="0.55000000000000004">
      <c r="A897" s="857" t="s">
        <v>6056</v>
      </c>
      <c r="B897" s="842">
        <v>98.95</v>
      </c>
      <c r="C897" s="843">
        <f t="shared" si="144"/>
        <v>-2.2619517977084058E-2</v>
      </c>
      <c r="D897" s="842">
        <v>37.950000000000003</v>
      </c>
      <c r="E897" s="843">
        <f t="shared" si="145"/>
        <v>-3.385947046843174E-2</v>
      </c>
      <c r="F897" s="842">
        <v>24.96</v>
      </c>
      <c r="G897" s="843">
        <f t="shared" si="145"/>
        <v>-3.0679611650485383E-2</v>
      </c>
      <c r="H897" s="842">
        <v>51.65</v>
      </c>
      <c r="I897" s="843">
        <f t="shared" si="145"/>
        <v>-2.3444885611646815E-2</v>
      </c>
      <c r="J897" s="842">
        <v>73.03</v>
      </c>
      <c r="K897" s="843">
        <f t="shared" si="146"/>
        <v>-2.1439099557818531E-2</v>
      </c>
      <c r="L897" s="842">
        <v>69.42</v>
      </c>
      <c r="M897" s="843">
        <f t="shared" si="147"/>
        <v>-2.3216547066272519E-2</v>
      </c>
      <c r="N897" s="842">
        <v>70.739999999999995</v>
      </c>
      <c r="O897" s="843">
        <f t="shared" si="148"/>
        <v>-3.7158023683136032E-2</v>
      </c>
      <c r="P897" s="844">
        <f t="shared" si="154"/>
        <v>-2.7488165144982153E-2</v>
      </c>
      <c r="Q897" s="830"/>
      <c r="R897" s="845">
        <v>899.18</v>
      </c>
      <c r="S897" s="846">
        <f t="shared" si="149"/>
        <v>-1.6870578716611573E-2</v>
      </c>
      <c r="T897" s="845">
        <v>65.22</v>
      </c>
      <c r="U897" s="846">
        <f t="shared" si="150"/>
        <v>-1.5844273426889988E-2</v>
      </c>
      <c r="V897" s="845">
        <v>103.1159</v>
      </c>
      <c r="W897" s="846">
        <f t="shared" si="151"/>
        <v>-2.2619412088646484E-2</v>
      </c>
      <c r="X897" s="845">
        <v>33962.04</v>
      </c>
      <c r="Y897" s="846">
        <f t="shared" si="152"/>
        <v>-2.0924041126792137E-2</v>
      </c>
      <c r="Z897" s="845">
        <v>4258.4925999999996</v>
      </c>
      <c r="AA897" s="846">
        <f t="shared" si="153"/>
        <v>-1.5868520822742371E-2</v>
      </c>
      <c r="AB897" s="843"/>
    </row>
    <row r="898" spans="1:28" ht="14.4" x14ac:dyDescent="0.55000000000000004">
      <c r="A898" s="857" t="s">
        <v>6057</v>
      </c>
      <c r="B898" s="842">
        <v>101.24</v>
      </c>
      <c r="C898" s="843">
        <f t="shared" si="144"/>
        <v>4.1658401110891141E-3</v>
      </c>
      <c r="D898" s="842">
        <v>39.28</v>
      </c>
      <c r="E898" s="843">
        <f t="shared" si="145"/>
        <v>-1.0579345088161274E-2</v>
      </c>
      <c r="F898" s="842">
        <v>25.75</v>
      </c>
      <c r="G898" s="843">
        <f t="shared" si="145"/>
        <v>7.4334898278560768E-3</v>
      </c>
      <c r="H898" s="842">
        <v>52.89</v>
      </c>
      <c r="I898" s="843">
        <f t="shared" si="145"/>
        <v>-9.4446543256510029E-4</v>
      </c>
      <c r="J898" s="842">
        <v>74.63</v>
      </c>
      <c r="K898" s="843">
        <f t="shared" si="146"/>
        <v>5.7951482479783323E-3</v>
      </c>
      <c r="L898" s="842">
        <v>71.069999999999993</v>
      </c>
      <c r="M898" s="843">
        <f t="shared" si="147"/>
        <v>6.3721325403567342E-3</v>
      </c>
      <c r="N898" s="842">
        <v>73.47</v>
      </c>
      <c r="O898" s="843">
        <f t="shared" si="148"/>
        <v>-2.4439918533605276E-3</v>
      </c>
      <c r="P898" s="844">
        <f t="shared" si="154"/>
        <v>1.399829764741908E-3</v>
      </c>
      <c r="Q898" s="830"/>
      <c r="R898" s="845">
        <v>914.61</v>
      </c>
      <c r="S898" s="846">
        <f t="shared" si="149"/>
        <v>8.690569408754456E-3</v>
      </c>
      <c r="T898" s="845">
        <v>66.27</v>
      </c>
      <c r="U898" s="846">
        <f t="shared" si="150"/>
        <v>1.0059442158207643E-2</v>
      </c>
      <c r="V898" s="845">
        <v>105.50230000000001</v>
      </c>
      <c r="W898" s="846">
        <f t="shared" si="151"/>
        <v>4.1660083415346882E-3</v>
      </c>
      <c r="X898" s="845">
        <v>34687.85</v>
      </c>
      <c r="Y898" s="846">
        <f t="shared" si="152"/>
        <v>-8.5508854426583625E-3</v>
      </c>
      <c r="Z898" s="845">
        <v>4327.1581999999999</v>
      </c>
      <c r="AA898" s="846">
        <f t="shared" si="153"/>
        <v>-7.5386006237072589E-3</v>
      </c>
      <c r="AB898" s="843"/>
    </row>
    <row r="899" spans="1:28" ht="14.4" x14ac:dyDescent="0.55000000000000004">
      <c r="A899" s="857" t="s">
        <v>6058</v>
      </c>
      <c r="B899" s="842">
        <v>100.82</v>
      </c>
      <c r="C899" s="843">
        <f t="shared" si="144"/>
        <v>1.3775766716943139E-2</v>
      </c>
      <c r="D899" s="842">
        <v>39.700000000000003</v>
      </c>
      <c r="E899" s="843">
        <f t="shared" si="145"/>
        <v>4.8089091369274417E-3</v>
      </c>
      <c r="F899" s="842">
        <v>25.56</v>
      </c>
      <c r="G899" s="843">
        <f t="shared" si="145"/>
        <v>1.5091342335186608E-2</v>
      </c>
      <c r="H899" s="842">
        <v>52.94</v>
      </c>
      <c r="I899" s="843">
        <f t="shared" si="145"/>
        <v>1.4953987730061291E-2</v>
      </c>
      <c r="J899" s="842">
        <v>74.2</v>
      </c>
      <c r="K899" s="843">
        <f t="shared" si="146"/>
        <v>8.9747076420993999E-3</v>
      </c>
      <c r="L899" s="842">
        <v>70.62</v>
      </c>
      <c r="M899" s="843">
        <f t="shared" si="147"/>
        <v>1.5092712376024275E-2</v>
      </c>
      <c r="N899" s="842">
        <v>73.650000000000006</v>
      </c>
      <c r="O899" s="843">
        <f t="shared" si="148"/>
        <v>2.2916666666666696E-2</v>
      </c>
      <c r="P899" s="844">
        <f t="shared" si="154"/>
        <v>1.3659156086272693E-2</v>
      </c>
      <c r="Q899" s="830"/>
      <c r="R899" s="845">
        <v>906.73</v>
      </c>
      <c r="S899" s="846">
        <f t="shared" si="149"/>
        <v>1.1422324844672094E-2</v>
      </c>
      <c r="T899" s="845">
        <v>65.61</v>
      </c>
      <c r="U899" s="846">
        <f t="shared" si="150"/>
        <v>1.1251541307028434E-2</v>
      </c>
      <c r="V899" s="845">
        <v>105.0646</v>
      </c>
      <c r="W899" s="846">
        <f t="shared" si="151"/>
        <v>1.3775981334833487E-2</v>
      </c>
      <c r="X899" s="845">
        <v>34987.019999999997</v>
      </c>
      <c r="Y899" s="846">
        <f t="shared" si="152"/>
        <v>1.5397946310717892E-3</v>
      </c>
      <c r="Z899" s="845">
        <v>4360.0267000000003</v>
      </c>
      <c r="AA899" s="846">
        <f t="shared" si="153"/>
        <v>-3.2622159183259836E-3</v>
      </c>
      <c r="AB899" s="843"/>
    </row>
    <row r="900" spans="1:28" ht="14.4" x14ac:dyDescent="0.55000000000000004">
      <c r="A900" s="857" t="s">
        <v>6059</v>
      </c>
      <c r="B900" s="842">
        <v>99.45</v>
      </c>
      <c r="C900" s="843">
        <f t="shared" si="144"/>
        <v>6.5789473684210176E-3</v>
      </c>
      <c r="D900" s="842">
        <v>39.51</v>
      </c>
      <c r="E900" s="843">
        <f t="shared" si="145"/>
        <v>-3.5308953341740557E-3</v>
      </c>
      <c r="F900" s="842">
        <v>25.18</v>
      </c>
      <c r="G900" s="843">
        <f t="shared" si="145"/>
        <v>8.4100921105325632E-3</v>
      </c>
      <c r="H900" s="842">
        <v>52.16</v>
      </c>
      <c r="I900" s="843">
        <f t="shared" si="145"/>
        <v>3.8491147036181506E-3</v>
      </c>
      <c r="J900" s="842">
        <v>73.540000000000006</v>
      </c>
      <c r="K900" s="843">
        <f t="shared" si="146"/>
        <v>3.8220038220038166E-3</v>
      </c>
      <c r="L900" s="842">
        <v>69.569999999999993</v>
      </c>
      <c r="M900" s="843">
        <f t="shared" si="147"/>
        <v>1.1927272727272564E-2</v>
      </c>
      <c r="N900" s="842">
        <v>72</v>
      </c>
      <c r="O900" s="843">
        <f t="shared" si="148"/>
        <v>-1.3869625520109841E-3</v>
      </c>
      <c r="P900" s="844">
        <f t="shared" si="154"/>
        <v>4.2385104065232959E-3</v>
      </c>
      <c r="Q900" s="830"/>
      <c r="R900" s="845">
        <v>896.49</v>
      </c>
      <c r="S900" s="846">
        <f t="shared" si="149"/>
        <v>6.8396226415095018E-3</v>
      </c>
      <c r="T900" s="845">
        <v>64.88</v>
      </c>
      <c r="U900" s="846">
        <f t="shared" si="150"/>
        <v>8.7064676616914749E-3</v>
      </c>
      <c r="V900" s="845">
        <v>103.6369</v>
      </c>
      <c r="W900" s="846">
        <f t="shared" si="151"/>
        <v>6.5783083850365909E-3</v>
      </c>
      <c r="X900" s="845">
        <v>34933.230000000003</v>
      </c>
      <c r="Y900" s="846">
        <f t="shared" si="152"/>
        <v>1.2737615721267748E-3</v>
      </c>
      <c r="Z900" s="845">
        <v>4374.2965999999997</v>
      </c>
      <c r="AA900" s="846">
        <f t="shared" si="153"/>
        <v>1.1642379818885829E-3</v>
      </c>
      <c r="AB900" s="843"/>
    </row>
    <row r="901" spans="1:28" ht="14.4" x14ac:dyDescent="0.55000000000000004">
      <c r="A901" s="857" t="s">
        <v>6060</v>
      </c>
      <c r="B901" s="842">
        <v>98.8</v>
      </c>
      <c r="C901" s="843">
        <f t="shared" si="144"/>
        <v>-6.4360418342719328E-3</v>
      </c>
      <c r="D901" s="842">
        <v>39.65</v>
      </c>
      <c r="E901" s="843">
        <f t="shared" si="145"/>
        <v>-2.0261922411662914E-2</v>
      </c>
      <c r="F901" s="842">
        <v>24.97</v>
      </c>
      <c r="G901" s="843">
        <f t="shared" si="145"/>
        <v>-1.0697305863708428E-2</v>
      </c>
      <c r="H901" s="842">
        <v>51.96</v>
      </c>
      <c r="I901" s="843">
        <f t="shared" si="145"/>
        <v>-6.8807339449541427E-3</v>
      </c>
      <c r="J901" s="842">
        <v>73.260000000000005</v>
      </c>
      <c r="K901" s="843">
        <f t="shared" si="146"/>
        <v>-5.5653590335278391E-3</v>
      </c>
      <c r="L901" s="842">
        <v>68.75</v>
      </c>
      <c r="M901" s="843">
        <f t="shared" si="147"/>
        <v>-6.9334103712264117E-3</v>
      </c>
      <c r="N901" s="842">
        <v>72.099999999999994</v>
      </c>
      <c r="O901" s="843">
        <f t="shared" si="148"/>
        <v>-7.7071290944124016E-3</v>
      </c>
      <c r="P901" s="844">
        <f t="shared" si="154"/>
        <v>-9.2117003648234386E-3</v>
      </c>
      <c r="Q901" s="830"/>
      <c r="R901" s="845">
        <v>890.4</v>
      </c>
      <c r="S901" s="846">
        <f t="shared" si="149"/>
        <v>-8.0213903743315829E-3</v>
      </c>
      <c r="T901" s="845">
        <v>64.319999999999993</v>
      </c>
      <c r="U901" s="846">
        <f t="shared" si="150"/>
        <v>-7.5605616417221411E-3</v>
      </c>
      <c r="V901" s="845">
        <v>102.95959999999999</v>
      </c>
      <c r="W901" s="846">
        <f t="shared" si="151"/>
        <v>-6.4356125122434493E-3</v>
      </c>
      <c r="X901" s="845">
        <v>34888.79</v>
      </c>
      <c r="Y901" s="846">
        <f t="shared" si="152"/>
        <v>-3.0686206323089493E-3</v>
      </c>
      <c r="Z901" s="845">
        <v>4369.2097999999996</v>
      </c>
      <c r="AA901" s="846">
        <f t="shared" si="153"/>
        <v>-3.5158987459293911E-3</v>
      </c>
      <c r="AB901" s="843"/>
    </row>
    <row r="902" spans="1:28" ht="14.4" x14ac:dyDescent="0.55000000000000004">
      <c r="A902" s="857" t="s">
        <v>6061</v>
      </c>
      <c r="B902" s="842">
        <v>99.44</v>
      </c>
      <c r="C902" s="843">
        <f t="shared" si="144"/>
        <v>9.2357657566222162E-3</v>
      </c>
      <c r="D902" s="842">
        <v>40.47</v>
      </c>
      <c r="E902" s="843">
        <f t="shared" si="145"/>
        <v>7.2175211548033413E-3</v>
      </c>
      <c r="F902" s="842">
        <v>25.24</v>
      </c>
      <c r="G902" s="843">
        <f t="shared" si="145"/>
        <v>3.9777247414478634E-3</v>
      </c>
      <c r="H902" s="842">
        <v>52.32</v>
      </c>
      <c r="I902" s="843">
        <f t="shared" si="145"/>
        <v>6.1538461538461764E-3</v>
      </c>
      <c r="J902" s="842">
        <v>73.67</v>
      </c>
      <c r="K902" s="843">
        <f t="shared" si="146"/>
        <v>1.000822593912809E-2</v>
      </c>
      <c r="L902" s="842">
        <v>69.23</v>
      </c>
      <c r="M902" s="843">
        <f t="shared" si="147"/>
        <v>1.1395178962746444E-2</v>
      </c>
      <c r="N902" s="842">
        <v>72.66</v>
      </c>
      <c r="O902" s="843">
        <f t="shared" si="148"/>
        <v>6.92904656319282E-3</v>
      </c>
      <c r="P902" s="844">
        <f t="shared" si="154"/>
        <v>7.845329895969564E-3</v>
      </c>
      <c r="Q902" s="830"/>
      <c r="R902" s="845">
        <v>897.6</v>
      </c>
      <c r="S902" s="846">
        <f t="shared" si="149"/>
        <v>3.8022813688212143E-3</v>
      </c>
      <c r="T902" s="845">
        <v>64.81</v>
      </c>
      <c r="U902" s="846">
        <f t="shared" si="150"/>
        <v>3.2507739938081315E-3</v>
      </c>
      <c r="V902" s="845">
        <v>103.62649999999999</v>
      </c>
      <c r="W902" s="846">
        <f t="shared" si="151"/>
        <v>9.2356508002671145E-3</v>
      </c>
      <c r="X902" s="845">
        <v>34996.18</v>
      </c>
      <c r="Y902" s="846">
        <f t="shared" si="152"/>
        <v>3.6139782553334943E-3</v>
      </c>
      <c r="Z902" s="845">
        <v>4384.6256999999996</v>
      </c>
      <c r="AA902" s="846">
        <f t="shared" si="153"/>
        <v>3.4499425684697549E-3</v>
      </c>
      <c r="AB902" s="843"/>
    </row>
    <row r="903" spans="1:28" ht="14.4" x14ac:dyDescent="0.55000000000000004">
      <c r="A903" s="857" t="s">
        <v>6062</v>
      </c>
      <c r="B903" s="842">
        <v>98.53</v>
      </c>
      <c r="C903" s="843">
        <f t="shared" si="144"/>
        <v>8.9084579152161059E-3</v>
      </c>
      <c r="D903" s="842">
        <v>40.18</v>
      </c>
      <c r="E903" s="843">
        <f t="shared" si="145"/>
        <v>8.534136546184623E-3</v>
      </c>
      <c r="F903" s="842">
        <v>25.14</v>
      </c>
      <c r="G903" s="843">
        <f t="shared" si="145"/>
        <v>7.6152304609218291E-3</v>
      </c>
      <c r="H903" s="842">
        <v>52</v>
      </c>
      <c r="I903" s="843">
        <f t="shared" si="145"/>
        <v>1.3250194855806807E-2</v>
      </c>
      <c r="J903" s="842">
        <v>72.94</v>
      </c>
      <c r="K903" s="843">
        <f t="shared" si="146"/>
        <v>-1.3691128148960452E-3</v>
      </c>
      <c r="L903" s="842">
        <v>68.45</v>
      </c>
      <c r="M903" s="843">
        <f t="shared" si="147"/>
        <v>1.7843866171003864E-2</v>
      </c>
      <c r="N903" s="842">
        <v>72.16</v>
      </c>
      <c r="O903" s="843">
        <f t="shared" si="148"/>
        <v>9.3719401314869E-3</v>
      </c>
      <c r="P903" s="844">
        <f t="shared" si="154"/>
        <v>9.1649590379605829E-3</v>
      </c>
      <c r="Q903" s="830"/>
      <c r="R903" s="845">
        <v>894.2</v>
      </c>
      <c r="S903" s="846">
        <f t="shared" si="149"/>
        <v>2.7811420625307726E-3</v>
      </c>
      <c r="T903" s="845">
        <v>64.599999999999994</v>
      </c>
      <c r="U903" s="846">
        <f t="shared" si="150"/>
        <v>1.2399256044637319E-3</v>
      </c>
      <c r="V903" s="845">
        <v>102.6782</v>
      </c>
      <c r="W903" s="846">
        <f t="shared" si="151"/>
        <v>8.9081826364132422E-3</v>
      </c>
      <c r="X903" s="845">
        <v>34870.160000000003</v>
      </c>
      <c r="Y903" s="846">
        <f t="shared" si="152"/>
        <v>1.3021640564605308E-2</v>
      </c>
      <c r="Z903" s="845">
        <v>4369.5510000000004</v>
      </c>
      <c r="AA903" s="846">
        <f t="shared" si="153"/>
        <v>1.1278745022701209E-2</v>
      </c>
      <c r="AB903" s="843"/>
    </row>
    <row r="904" spans="1:28" ht="14.4" x14ac:dyDescent="0.55000000000000004">
      <c r="A904" s="857" t="s">
        <v>6063</v>
      </c>
      <c r="B904" s="842">
        <v>97.66</v>
      </c>
      <c r="C904" s="843">
        <f t="shared" ref="C904:C967" si="155">IFERROR(((B904/B905)-1), "NA")</f>
        <v>-2.9606942317509377E-3</v>
      </c>
      <c r="D904" s="842">
        <v>39.840000000000003</v>
      </c>
      <c r="E904" s="843">
        <f t="shared" ref="E904:I967" si="156">IFERROR(((D904/D905)-1), "NA")</f>
        <v>-8.4619213539073312E-3</v>
      </c>
      <c r="F904" s="842">
        <v>24.95</v>
      </c>
      <c r="G904" s="843">
        <f t="shared" si="156"/>
        <v>-3.1961646024770696E-3</v>
      </c>
      <c r="H904" s="842">
        <v>51.32</v>
      </c>
      <c r="I904" s="843">
        <f t="shared" si="156"/>
        <v>-1.8362662586074996E-2</v>
      </c>
      <c r="J904" s="842">
        <v>73.040000000000006</v>
      </c>
      <c r="K904" s="843">
        <f t="shared" ref="K904:K967" si="157">IFERROR(((J904/J905)-1), "NA")</f>
        <v>-1.297297297297284E-2</v>
      </c>
      <c r="L904" s="842">
        <v>67.25</v>
      </c>
      <c r="M904" s="843">
        <f t="shared" ref="M904:M967" si="158">IFERROR(((L904/L905)-1), "NA")</f>
        <v>-5.1775147928992959E-3</v>
      </c>
      <c r="N904" s="842">
        <v>71.489999999999995</v>
      </c>
      <c r="O904" s="843">
        <f t="shared" ref="O904:O967" si="159">IFERROR(((N904/N905)-1), "NA")</f>
        <v>-1.0108003323179182E-2</v>
      </c>
      <c r="P904" s="844">
        <f t="shared" si="154"/>
        <v>-8.7485619804659499E-3</v>
      </c>
      <c r="Q904" s="830"/>
      <c r="R904" s="845">
        <v>891.72</v>
      </c>
      <c r="S904" s="846">
        <f t="shared" ref="S904:S967" si="160">IFERROR(((R904/R905)-1), "NA")</f>
        <v>-4.7434623927140596E-3</v>
      </c>
      <c r="T904" s="845">
        <v>64.52</v>
      </c>
      <c r="U904" s="846">
        <f t="shared" ref="U904:U967" si="161">IFERROR(((T904/T905)-1), "NA")</f>
        <v>-2.9361767887498003E-3</v>
      </c>
      <c r="V904" s="845">
        <v>101.77160000000001</v>
      </c>
      <c r="W904" s="846">
        <f t="shared" ref="W904:W967" si="162">IFERROR(((V904/V905)-1), "NA")</f>
        <v>-2.9606030146814843E-3</v>
      </c>
      <c r="X904" s="845">
        <v>34421.93</v>
      </c>
      <c r="Y904" s="846">
        <f t="shared" ref="Y904:Y967" si="163">IFERROR(((X904/X905)-1), "NA")</f>
        <v>-7.4926928512052404E-3</v>
      </c>
      <c r="Z904" s="845">
        <v>4320.8176000000003</v>
      </c>
      <c r="AA904" s="846">
        <f t="shared" ref="AA904:AA967" si="164">IFERROR(((Z904/Z905)-1), "NA")</f>
        <v>-8.5622899272559394E-3</v>
      </c>
      <c r="AB904" s="843"/>
    </row>
    <row r="905" spans="1:28" ht="14.4" x14ac:dyDescent="0.55000000000000004">
      <c r="A905" s="857" t="s">
        <v>6064</v>
      </c>
      <c r="B905" s="842">
        <v>97.95</v>
      </c>
      <c r="C905" s="843">
        <f t="shared" si="155"/>
        <v>8.9616810877626296E-3</v>
      </c>
      <c r="D905" s="842">
        <v>40.18</v>
      </c>
      <c r="E905" s="843">
        <f t="shared" si="156"/>
        <v>1.2600806451612989E-2</v>
      </c>
      <c r="F905" s="842">
        <v>25.03</v>
      </c>
      <c r="G905" s="843">
        <f t="shared" si="156"/>
        <v>6.4334539605950258E-3</v>
      </c>
      <c r="H905" s="842">
        <v>52.28</v>
      </c>
      <c r="I905" s="843">
        <f t="shared" si="156"/>
        <v>2.8774218300402499E-3</v>
      </c>
      <c r="J905" s="842">
        <v>74</v>
      </c>
      <c r="K905" s="843">
        <f t="shared" si="157"/>
        <v>4.2068123218890197E-3</v>
      </c>
      <c r="L905" s="842">
        <v>67.599999999999994</v>
      </c>
      <c r="M905" s="843">
        <f t="shared" si="158"/>
        <v>2.3622047244094224E-2</v>
      </c>
      <c r="N905" s="842">
        <v>72.22</v>
      </c>
      <c r="O905" s="843">
        <f t="shared" si="159"/>
        <v>1.5254472333934288E-3</v>
      </c>
      <c r="P905" s="844">
        <f t="shared" ref="P905:P968" si="165">IFERROR(AVERAGE(C905,E905,G905,I905,M905,K905,O905),"NA")</f>
        <v>8.6039528756267948E-3</v>
      </c>
      <c r="Q905" s="830"/>
      <c r="R905" s="845">
        <v>895.97</v>
      </c>
      <c r="S905" s="846">
        <f t="shared" si="160"/>
        <v>7.0699577376136524E-3</v>
      </c>
      <c r="T905" s="845">
        <v>64.709999999999994</v>
      </c>
      <c r="U905" s="846">
        <f t="shared" si="161"/>
        <v>6.5328978068126542E-3</v>
      </c>
      <c r="V905" s="845">
        <v>102.07380000000001</v>
      </c>
      <c r="W905" s="846">
        <f t="shared" si="162"/>
        <v>8.9614025099045147E-3</v>
      </c>
      <c r="X905" s="845">
        <v>34681.79</v>
      </c>
      <c r="Y905" s="846">
        <f t="shared" si="163"/>
        <v>3.0198942256163264E-3</v>
      </c>
      <c r="Z905" s="845">
        <v>4358.1332000000002</v>
      </c>
      <c r="AA905" s="846">
        <f t="shared" si="164"/>
        <v>3.359031938695578E-3</v>
      </c>
      <c r="AB905" s="843"/>
    </row>
    <row r="906" spans="1:28" ht="14.4" x14ac:dyDescent="0.55000000000000004">
      <c r="A906" s="857" t="s">
        <v>6065</v>
      </c>
      <c r="B906" s="842">
        <v>97.08</v>
      </c>
      <c r="C906" s="843">
        <f t="shared" si="155"/>
        <v>-3.0892801977144835E-4</v>
      </c>
      <c r="D906" s="842">
        <v>39.68</v>
      </c>
      <c r="E906" s="843">
        <f t="shared" si="156"/>
        <v>-9.4857713429855606E-3</v>
      </c>
      <c r="F906" s="842">
        <v>24.87</v>
      </c>
      <c r="G906" s="843">
        <f t="shared" si="156"/>
        <v>1.610954490535832E-3</v>
      </c>
      <c r="H906" s="842">
        <v>52.13</v>
      </c>
      <c r="I906" s="843">
        <f t="shared" si="156"/>
        <v>-7.6146963639824872E-3</v>
      </c>
      <c r="J906" s="842">
        <v>73.69</v>
      </c>
      <c r="K906" s="843">
        <f t="shared" si="157"/>
        <v>-1.0872483221476492E-2</v>
      </c>
      <c r="L906" s="842">
        <v>66.040000000000006</v>
      </c>
      <c r="M906" s="843">
        <f t="shared" si="158"/>
        <v>-1.3739545997610292E-2</v>
      </c>
      <c r="N906" s="842">
        <v>72.11</v>
      </c>
      <c r="O906" s="843">
        <f t="shared" si="159"/>
        <v>-9.4780219780219443E-3</v>
      </c>
      <c r="P906" s="844">
        <f t="shared" si="165"/>
        <v>-7.1269274904731993E-3</v>
      </c>
      <c r="Q906" s="830"/>
      <c r="R906" s="845">
        <v>889.68</v>
      </c>
      <c r="S906" s="846">
        <f t="shared" si="160"/>
        <v>4.4028991397411232E-3</v>
      </c>
      <c r="T906" s="845">
        <v>64.290000000000006</v>
      </c>
      <c r="U906" s="846">
        <f t="shared" si="161"/>
        <v>4.217432052483705E-3</v>
      </c>
      <c r="V906" s="845">
        <v>101.16719999999999</v>
      </c>
      <c r="W906" s="846">
        <f t="shared" si="162"/>
        <v>-3.0830526964864546E-4</v>
      </c>
      <c r="X906" s="845">
        <v>34577.370000000003</v>
      </c>
      <c r="Y906" s="846">
        <f t="shared" si="163"/>
        <v>-6.0075288151817396E-3</v>
      </c>
      <c r="Z906" s="845">
        <v>4343.5430999999999</v>
      </c>
      <c r="AA906" s="846">
        <f t="shared" si="164"/>
        <v>-2.0209363751522158E-3</v>
      </c>
      <c r="AB906" s="843"/>
    </row>
    <row r="907" spans="1:28" ht="14.4" x14ac:dyDescent="0.55000000000000004">
      <c r="A907" s="857" t="s">
        <v>6066</v>
      </c>
      <c r="B907" s="842">
        <v>97.11</v>
      </c>
      <c r="C907" s="843">
        <f t="shared" si="155"/>
        <v>1.3404825737264314E-3</v>
      </c>
      <c r="D907" s="842">
        <v>40.06</v>
      </c>
      <c r="E907" s="843">
        <f t="shared" si="156"/>
        <v>-1.1352418558736477E-2</v>
      </c>
      <c r="F907" s="842">
        <v>24.83</v>
      </c>
      <c r="G907" s="843">
        <f t="shared" si="156"/>
        <v>1.2096774193548487E-3</v>
      </c>
      <c r="H907" s="842">
        <v>52.53</v>
      </c>
      <c r="I907" s="843">
        <f t="shared" si="156"/>
        <v>-6.4308681672025081E-3</v>
      </c>
      <c r="J907" s="842">
        <v>74.5</v>
      </c>
      <c r="K907" s="843">
        <f t="shared" si="157"/>
        <v>-2.4102838778790048E-3</v>
      </c>
      <c r="L907" s="842">
        <v>66.959999999999994</v>
      </c>
      <c r="M907" s="843">
        <f t="shared" si="158"/>
        <v>1.0464942442816039E-3</v>
      </c>
      <c r="N907" s="842">
        <v>72.8</v>
      </c>
      <c r="O907" s="843">
        <f t="shared" si="159"/>
        <v>-3.1493906613720979E-3</v>
      </c>
      <c r="P907" s="844">
        <f t="shared" si="165"/>
        <v>-2.8209010039753147E-3</v>
      </c>
      <c r="Q907" s="830"/>
      <c r="R907" s="845">
        <v>885.78</v>
      </c>
      <c r="S907" s="846">
        <f t="shared" si="160"/>
        <v>7.0043833883137729E-4</v>
      </c>
      <c r="T907" s="845">
        <v>64.02</v>
      </c>
      <c r="U907" s="846">
        <f t="shared" si="161"/>
        <v>1.5644555694618312E-3</v>
      </c>
      <c r="V907" s="845">
        <v>101.19840000000001</v>
      </c>
      <c r="W907" s="846">
        <f t="shared" si="162"/>
        <v>1.3407491769976687E-3</v>
      </c>
      <c r="X907" s="845">
        <v>34786.35</v>
      </c>
      <c r="Y907" s="846">
        <f t="shared" si="163"/>
        <v>4.4124869743280559E-3</v>
      </c>
      <c r="Z907" s="845">
        <v>4352.3388999999997</v>
      </c>
      <c r="AA907" s="846">
        <f t="shared" si="164"/>
        <v>7.4998262128680437E-3</v>
      </c>
      <c r="AB907" s="843"/>
    </row>
    <row r="908" spans="1:28" ht="14.4" x14ac:dyDescent="0.55000000000000004">
      <c r="A908" s="857" t="s">
        <v>6067</v>
      </c>
      <c r="B908" s="842">
        <v>96.98</v>
      </c>
      <c r="C908" s="843">
        <f t="shared" si="155"/>
        <v>9.0521277702633185E-3</v>
      </c>
      <c r="D908" s="842">
        <v>40.520000000000003</v>
      </c>
      <c r="E908" s="843">
        <f t="shared" si="156"/>
        <v>2.400808693454648E-2</v>
      </c>
      <c r="F908" s="842">
        <v>24.8</v>
      </c>
      <c r="G908" s="843">
        <f t="shared" si="156"/>
        <v>1.2244897959183598E-2</v>
      </c>
      <c r="H908" s="842">
        <v>52.87</v>
      </c>
      <c r="I908" s="843">
        <f t="shared" si="156"/>
        <v>6.6641279512564822E-3</v>
      </c>
      <c r="J908" s="842">
        <v>74.680000000000007</v>
      </c>
      <c r="K908" s="843">
        <f t="shared" si="157"/>
        <v>7.5553157042633767E-3</v>
      </c>
      <c r="L908" s="842">
        <v>66.89</v>
      </c>
      <c r="M908" s="843">
        <f t="shared" si="158"/>
        <v>1.057561565191123E-2</v>
      </c>
      <c r="N908" s="842">
        <v>73.03</v>
      </c>
      <c r="O908" s="843">
        <f t="shared" si="159"/>
        <v>1.0516120105161342E-2</v>
      </c>
      <c r="P908" s="844">
        <f t="shared" si="165"/>
        <v>1.1516613153797975E-2</v>
      </c>
      <c r="Q908" s="830"/>
      <c r="R908" s="845">
        <v>885.16</v>
      </c>
      <c r="S908" s="846">
        <f t="shared" si="160"/>
        <v>1.0375883205679726E-2</v>
      </c>
      <c r="T908" s="845">
        <v>63.92</v>
      </c>
      <c r="U908" s="846">
        <f t="shared" si="161"/>
        <v>1.091254151510368E-2</v>
      </c>
      <c r="V908" s="845">
        <v>101.0629</v>
      </c>
      <c r="W908" s="846">
        <f t="shared" si="162"/>
        <v>9.0518519553937082E-3</v>
      </c>
      <c r="X908" s="845">
        <v>34633.53</v>
      </c>
      <c r="Y908" s="846">
        <f t="shared" si="163"/>
        <v>3.7974048844562347E-3</v>
      </c>
      <c r="Z908" s="845">
        <v>4319.9400999999998</v>
      </c>
      <c r="AA908" s="846">
        <f t="shared" si="164"/>
        <v>5.2224590474370114E-3</v>
      </c>
      <c r="AB908" s="843"/>
    </row>
    <row r="909" spans="1:28" ht="14.4" x14ac:dyDescent="0.55000000000000004">
      <c r="A909" s="857" t="s">
        <v>6068</v>
      </c>
      <c r="B909" s="842">
        <v>96.11</v>
      </c>
      <c r="C909" s="843">
        <f t="shared" si="155"/>
        <v>-3.111710403485124E-3</v>
      </c>
      <c r="D909" s="842">
        <v>39.57</v>
      </c>
      <c r="E909" s="843">
        <f t="shared" si="156"/>
        <v>2.5278058645095136E-4</v>
      </c>
      <c r="F909" s="842">
        <v>24.5</v>
      </c>
      <c r="G909" s="843">
        <f t="shared" si="156"/>
        <v>-5.6818181818182323E-3</v>
      </c>
      <c r="H909" s="842">
        <v>52.52</v>
      </c>
      <c r="I909" s="843">
        <f t="shared" si="156"/>
        <v>-1.7107013875687915E-3</v>
      </c>
      <c r="J909" s="842">
        <v>74.12</v>
      </c>
      <c r="K909" s="843">
        <f t="shared" si="157"/>
        <v>-1.1601546872916257E-2</v>
      </c>
      <c r="L909" s="842">
        <v>66.19</v>
      </c>
      <c r="M909" s="843">
        <f t="shared" si="158"/>
        <v>1.6899677369795585E-2</v>
      </c>
      <c r="N909" s="842">
        <v>72.27</v>
      </c>
      <c r="O909" s="843">
        <f t="shared" si="159"/>
        <v>-6.9137168141586436E-4</v>
      </c>
      <c r="P909" s="844">
        <f t="shared" si="165"/>
        <v>-8.0638436727967623E-4</v>
      </c>
      <c r="Q909" s="830"/>
      <c r="R909" s="845">
        <v>876.07</v>
      </c>
      <c r="S909" s="846">
        <f t="shared" si="160"/>
        <v>-2.3799763141112429E-3</v>
      </c>
      <c r="T909" s="845">
        <v>63.23</v>
      </c>
      <c r="U909" s="846">
        <f t="shared" si="161"/>
        <v>-1.8942383583268052E-3</v>
      </c>
      <c r="V909" s="845">
        <v>100.1563</v>
      </c>
      <c r="W909" s="846">
        <f t="shared" si="162"/>
        <v>-3.1114105957167348E-3</v>
      </c>
      <c r="X909" s="845">
        <v>34502.51</v>
      </c>
      <c r="Y909" s="846">
        <f t="shared" si="163"/>
        <v>6.1302409375403322E-3</v>
      </c>
      <c r="Z909" s="845">
        <v>4297.4966000000004</v>
      </c>
      <c r="AA909" s="846">
        <f t="shared" si="164"/>
        <v>1.326925239812482E-3</v>
      </c>
      <c r="AB909" s="843"/>
    </row>
    <row r="910" spans="1:28" ht="14.4" x14ac:dyDescent="0.55000000000000004">
      <c r="A910" s="857" t="s">
        <v>6069</v>
      </c>
      <c r="B910" s="842">
        <v>96.41</v>
      </c>
      <c r="C910" s="843">
        <f t="shared" si="155"/>
        <v>-2.3696202531645616E-2</v>
      </c>
      <c r="D910" s="842">
        <v>39.56</v>
      </c>
      <c r="E910" s="843">
        <f t="shared" si="156"/>
        <v>-3.7773860488541366E-3</v>
      </c>
      <c r="F910" s="842">
        <v>24.64</v>
      </c>
      <c r="G910" s="843">
        <f t="shared" si="156"/>
        <v>-2.0667726550079424E-2</v>
      </c>
      <c r="H910" s="842">
        <v>52.61</v>
      </c>
      <c r="I910" s="843">
        <f t="shared" si="156"/>
        <v>-9.6009036144577564E-3</v>
      </c>
      <c r="J910" s="842">
        <v>74.989999999999995</v>
      </c>
      <c r="K910" s="843">
        <f t="shared" si="157"/>
        <v>-1.263989466754456E-2</v>
      </c>
      <c r="L910" s="842">
        <v>65.09</v>
      </c>
      <c r="M910" s="843">
        <f t="shared" si="158"/>
        <v>-6.2595419847327749E-3</v>
      </c>
      <c r="N910" s="842">
        <v>72.319999999999993</v>
      </c>
      <c r="O910" s="843">
        <f t="shared" si="159"/>
        <v>-8.7719298245614308E-3</v>
      </c>
      <c r="P910" s="844">
        <f t="shared" si="165"/>
        <v>-1.2201940745982243E-2</v>
      </c>
      <c r="Q910" s="830"/>
      <c r="R910" s="845">
        <v>878.16</v>
      </c>
      <c r="S910" s="846">
        <f t="shared" si="160"/>
        <v>-1.6849341140381391E-2</v>
      </c>
      <c r="T910" s="845">
        <v>63.35</v>
      </c>
      <c r="U910" s="846">
        <f t="shared" si="161"/>
        <v>-1.6151576331728479E-2</v>
      </c>
      <c r="V910" s="845">
        <v>100.4689</v>
      </c>
      <c r="W910" s="846">
        <f t="shared" si="162"/>
        <v>-2.3697009450234341E-2</v>
      </c>
      <c r="X910" s="845">
        <v>34292.29</v>
      </c>
      <c r="Y910" s="846">
        <f t="shared" si="163"/>
        <v>2.6310209031987775E-4</v>
      </c>
      <c r="Z910" s="845">
        <v>4291.8017</v>
      </c>
      <c r="AA910" s="846">
        <f t="shared" si="164"/>
        <v>2.7825894503807902E-4</v>
      </c>
      <c r="AB910" s="843"/>
    </row>
    <row r="911" spans="1:28" ht="14.4" x14ac:dyDescent="0.55000000000000004">
      <c r="A911" s="857" t="s">
        <v>6070</v>
      </c>
      <c r="B911" s="842">
        <v>98.75</v>
      </c>
      <c r="C911" s="843">
        <f t="shared" si="155"/>
        <v>-1.8194683109269416E-3</v>
      </c>
      <c r="D911" s="842">
        <v>39.71</v>
      </c>
      <c r="E911" s="843">
        <f t="shared" si="156"/>
        <v>-1.1697361871577883E-2</v>
      </c>
      <c r="F911" s="842">
        <v>25.16</v>
      </c>
      <c r="G911" s="843">
        <f t="shared" si="156"/>
        <v>2.3904382470119057E-3</v>
      </c>
      <c r="H911" s="842">
        <v>53.12</v>
      </c>
      <c r="I911" s="843">
        <f t="shared" si="156"/>
        <v>-4.3111527647611281E-3</v>
      </c>
      <c r="J911" s="842">
        <v>75.95</v>
      </c>
      <c r="K911" s="843">
        <f t="shared" si="157"/>
        <v>6.0935223208373746E-3</v>
      </c>
      <c r="L911" s="842">
        <v>65.5</v>
      </c>
      <c r="M911" s="843">
        <f t="shared" si="158"/>
        <v>1.4874496436318552E-2</v>
      </c>
      <c r="N911" s="842">
        <v>72.959999999999994</v>
      </c>
      <c r="O911" s="843">
        <f t="shared" si="159"/>
        <v>-2.870028700287075E-3</v>
      </c>
      <c r="P911" s="844">
        <f t="shared" si="165"/>
        <v>3.8006362237354353E-4</v>
      </c>
      <c r="Q911" s="830"/>
      <c r="R911" s="845">
        <v>893.21</v>
      </c>
      <c r="S911" s="846">
        <f t="shared" si="160"/>
        <v>4.6565512276872667E-3</v>
      </c>
      <c r="T911" s="845">
        <v>64.39</v>
      </c>
      <c r="U911" s="846">
        <f t="shared" si="161"/>
        <v>6.4082525789310729E-3</v>
      </c>
      <c r="V911" s="845">
        <v>102.9075</v>
      </c>
      <c r="W911" s="846">
        <f t="shared" si="162"/>
        <v>-1.8187108977156807E-3</v>
      </c>
      <c r="X911" s="845">
        <v>34283.269999999997</v>
      </c>
      <c r="Y911" s="846">
        <f t="shared" si="163"/>
        <v>-4.3727333344175667E-3</v>
      </c>
      <c r="Z911" s="845">
        <v>4290.6077999999998</v>
      </c>
      <c r="AA911" s="846">
        <f t="shared" si="164"/>
        <v>2.313966044450888E-3</v>
      </c>
      <c r="AB911" s="843"/>
    </row>
    <row r="912" spans="1:28" ht="14.4" x14ac:dyDescent="0.55000000000000004">
      <c r="A912" s="857" t="s">
        <v>6071</v>
      </c>
      <c r="B912" s="842">
        <v>98.93</v>
      </c>
      <c r="C912" s="843">
        <f t="shared" si="155"/>
        <v>1.5083111019905671E-2</v>
      </c>
      <c r="D912" s="842">
        <v>40.18</v>
      </c>
      <c r="E912" s="843">
        <f t="shared" si="156"/>
        <v>-3.0171373400917245E-2</v>
      </c>
      <c r="F912" s="842">
        <v>25.1</v>
      </c>
      <c r="G912" s="843">
        <f t="shared" si="156"/>
        <v>1.046698872785834E-2</v>
      </c>
      <c r="H912" s="842">
        <v>53.35</v>
      </c>
      <c r="I912" s="843">
        <f t="shared" si="156"/>
        <v>2.5764276100749939E-2</v>
      </c>
      <c r="J912" s="842">
        <v>75.489999999999995</v>
      </c>
      <c r="K912" s="843">
        <f t="shared" si="157"/>
        <v>2.2068778770647057E-2</v>
      </c>
      <c r="L912" s="842">
        <v>64.540000000000006</v>
      </c>
      <c r="M912" s="843">
        <f t="shared" si="158"/>
        <v>1.318681318681314E-2</v>
      </c>
      <c r="N912" s="842">
        <v>73.17</v>
      </c>
      <c r="O912" s="843">
        <f t="shared" si="159"/>
        <v>2.9548332629801832E-2</v>
      </c>
      <c r="P912" s="844">
        <f t="shared" si="165"/>
        <v>1.2278132433551248E-2</v>
      </c>
      <c r="Q912" s="830"/>
      <c r="R912" s="845">
        <v>889.07</v>
      </c>
      <c r="S912" s="846">
        <f t="shared" si="160"/>
        <v>1.1490722095179651E-2</v>
      </c>
      <c r="T912" s="845">
        <v>63.98</v>
      </c>
      <c r="U912" s="846">
        <f t="shared" si="161"/>
        <v>1.0742496050552885E-2</v>
      </c>
      <c r="V912" s="845">
        <v>103.095</v>
      </c>
      <c r="W912" s="846">
        <f t="shared" si="162"/>
        <v>1.5082234510137571E-2</v>
      </c>
      <c r="X912" s="845">
        <v>34433.839999999997</v>
      </c>
      <c r="Y912" s="846">
        <f t="shared" si="163"/>
        <v>6.931053823133082E-3</v>
      </c>
      <c r="Z912" s="845">
        <v>4280.7024000000001</v>
      </c>
      <c r="AA912" s="846">
        <f t="shared" si="164"/>
        <v>3.3321568772126664E-3</v>
      </c>
      <c r="AB912" s="843"/>
    </row>
    <row r="913" spans="1:28" ht="14.4" x14ac:dyDescent="0.55000000000000004">
      <c r="A913" s="857" t="s">
        <v>6072</v>
      </c>
      <c r="B913" s="842">
        <v>97.46</v>
      </c>
      <c r="C913" s="843">
        <f t="shared" si="155"/>
        <v>1.129943502824915E-3</v>
      </c>
      <c r="D913" s="842">
        <v>41.43</v>
      </c>
      <c r="E913" s="843">
        <f t="shared" si="156"/>
        <v>8.0291970802919277E-3</v>
      </c>
      <c r="F913" s="842">
        <v>24.84</v>
      </c>
      <c r="G913" s="843">
        <f t="shared" si="156"/>
        <v>-8.045052292839916E-4</v>
      </c>
      <c r="H913" s="842">
        <v>52.01</v>
      </c>
      <c r="I913" s="843">
        <f t="shared" si="156"/>
        <v>5.8015857667761406E-3</v>
      </c>
      <c r="J913" s="842">
        <v>73.86</v>
      </c>
      <c r="K913" s="843">
        <f t="shared" si="157"/>
        <v>3.668976763147036E-3</v>
      </c>
      <c r="L913" s="842">
        <v>63.7</v>
      </c>
      <c r="M913" s="843">
        <f t="shared" si="158"/>
        <v>6.7962699541646021E-3</v>
      </c>
      <c r="N913" s="842">
        <v>71.069999999999993</v>
      </c>
      <c r="O913" s="843">
        <f t="shared" si="159"/>
        <v>1.0521825678942109E-2</v>
      </c>
      <c r="P913" s="844">
        <f t="shared" si="165"/>
        <v>5.0204705024089625E-3</v>
      </c>
      <c r="Q913" s="830"/>
      <c r="R913" s="845">
        <v>878.97</v>
      </c>
      <c r="S913" s="846">
        <f t="shared" si="160"/>
        <v>-1.3066400036358949E-3</v>
      </c>
      <c r="T913" s="845">
        <v>63.3</v>
      </c>
      <c r="U913" s="846">
        <f t="shared" si="161"/>
        <v>-9.4696969696972388E-4</v>
      </c>
      <c r="V913" s="845">
        <v>101.56319999999999</v>
      </c>
      <c r="W913" s="846">
        <f t="shared" si="162"/>
        <v>1.1306229269036905E-3</v>
      </c>
      <c r="X913" s="845">
        <v>34196.82</v>
      </c>
      <c r="Y913" s="846">
        <f t="shared" si="163"/>
        <v>9.5228704762084782E-3</v>
      </c>
      <c r="Z913" s="845">
        <v>4266.4858000000004</v>
      </c>
      <c r="AA913" s="846">
        <f t="shared" si="164"/>
        <v>5.8111157527072077E-3</v>
      </c>
      <c r="AB913" s="843"/>
    </row>
    <row r="914" spans="1:28" ht="14.4" x14ac:dyDescent="0.55000000000000004">
      <c r="A914" s="857" t="s">
        <v>6073</v>
      </c>
      <c r="B914" s="842">
        <v>97.35</v>
      </c>
      <c r="C914" s="843">
        <f t="shared" si="155"/>
        <v>-1.0771263083020011E-2</v>
      </c>
      <c r="D914" s="842">
        <v>41.1</v>
      </c>
      <c r="E914" s="843">
        <f t="shared" si="156"/>
        <v>-9.3998553868401835E-3</v>
      </c>
      <c r="F914" s="842">
        <v>24.86</v>
      </c>
      <c r="G914" s="843">
        <f t="shared" si="156"/>
        <v>-1.153081510934395E-2</v>
      </c>
      <c r="H914" s="842">
        <v>51.71</v>
      </c>
      <c r="I914" s="843">
        <f t="shared" si="156"/>
        <v>-1.9901440485216026E-2</v>
      </c>
      <c r="J914" s="842">
        <v>73.59</v>
      </c>
      <c r="K914" s="843">
        <f t="shared" si="157"/>
        <v>-1.5386673802515238E-2</v>
      </c>
      <c r="L914" s="842">
        <v>63.27</v>
      </c>
      <c r="M914" s="843">
        <f t="shared" si="158"/>
        <v>-2.8368794326241176E-3</v>
      </c>
      <c r="N914" s="842">
        <v>70.33</v>
      </c>
      <c r="O914" s="843">
        <f t="shared" si="159"/>
        <v>-1.1941556617027338E-2</v>
      </c>
      <c r="P914" s="844">
        <f t="shared" si="165"/>
        <v>-1.1681211988083837E-2</v>
      </c>
      <c r="Q914" s="830"/>
      <c r="R914" s="845">
        <v>880.12</v>
      </c>
      <c r="S914" s="846">
        <f t="shared" si="160"/>
        <v>-1.1456554946536079E-2</v>
      </c>
      <c r="T914" s="845">
        <v>63.36</v>
      </c>
      <c r="U914" s="846">
        <f t="shared" si="161"/>
        <v>-1.0618363522798324E-2</v>
      </c>
      <c r="V914" s="845">
        <v>101.4485</v>
      </c>
      <c r="W914" s="846">
        <f t="shared" si="162"/>
        <v>-1.0771005459610739E-2</v>
      </c>
      <c r="X914" s="845">
        <v>33874.239999999998</v>
      </c>
      <c r="Y914" s="846">
        <f t="shared" si="163"/>
        <v>-2.1015990888947345E-3</v>
      </c>
      <c r="Z914" s="845">
        <v>4241.8360000000002</v>
      </c>
      <c r="AA914" s="846">
        <f t="shared" si="164"/>
        <v>-1.0830261148470077E-3</v>
      </c>
      <c r="AB914" s="843"/>
    </row>
    <row r="915" spans="1:28" ht="14.4" x14ac:dyDescent="0.55000000000000004">
      <c r="A915" s="857" t="s">
        <v>6074</v>
      </c>
      <c r="B915" s="842">
        <v>98.41</v>
      </c>
      <c r="C915" s="843">
        <f t="shared" si="155"/>
        <v>-6.3610662358644099E-3</v>
      </c>
      <c r="D915" s="842">
        <v>41.49</v>
      </c>
      <c r="E915" s="843">
        <f t="shared" si="156"/>
        <v>-1.6591609386110373E-2</v>
      </c>
      <c r="F915" s="842">
        <v>25.15</v>
      </c>
      <c r="G915" s="843">
        <f t="shared" si="156"/>
        <v>-9.4525403702245825E-3</v>
      </c>
      <c r="H915" s="842">
        <v>52.76</v>
      </c>
      <c r="I915" s="843">
        <f t="shared" si="156"/>
        <v>-1.0873640794900719E-2</v>
      </c>
      <c r="J915" s="842">
        <v>74.739999999999995</v>
      </c>
      <c r="K915" s="843">
        <f t="shared" si="157"/>
        <v>-1.2942419440042263E-2</v>
      </c>
      <c r="L915" s="842">
        <v>63.45</v>
      </c>
      <c r="M915" s="843">
        <f t="shared" si="158"/>
        <v>-1.6888751162070115E-2</v>
      </c>
      <c r="N915" s="842">
        <v>71.180000000000007</v>
      </c>
      <c r="O915" s="843">
        <f t="shared" si="159"/>
        <v>-4.6738984866746991E-2</v>
      </c>
      <c r="P915" s="844">
        <f t="shared" si="165"/>
        <v>-1.7121287465137063E-2</v>
      </c>
      <c r="Q915" s="830"/>
      <c r="R915" s="845">
        <v>890.32</v>
      </c>
      <c r="S915" s="846">
        <f t="shared" si="160"/>
        <v>-7.358515809659627E-3</v>
      </c>
      <c r="T915" s="845">
        <v>64.040000000000006</v>
      </c>
      <c r="U915" s="846">
        <f t="shared" si="161"/>
        <v>-6.0530808629520871E-3</v>
      </c>
      <c r="V915" s="845">
        <v>102.5531</v>
      </c>
      <c r="W915" s="846">
        <f t="shared" si="162"/>
        <v>-6.3618051404082943E-3</v>
      </c>
      <c r="X915" s="845">
        <v>33945.58</v>
      </c>
      <c r="Y915" s="846">
        <f t="shared" si="163"/>
        <v>2.0252696743539023E-3</v>
      </c>
      <c r="Z915" s="845">
        <v>4246.4350000000004</v>
      </c>
      <c r="AA915" s="846">
        <f t="shared" si="164"/>
        <v>5.1238549779943909E-3</v>
      </c>
      <c r="AB915" s="843"/>
    </row>
    <row r="916" spans="1:28" ht="14.4" x14ac:dyDescent="0.55000000000000004">
      <c r="A916" s="857" t="s">
        <v>6075</v>
      </c>
      <c r="B916" s="842">
        <v>99.04</v>
      </c>
      <c r="C916" s="843">
        <f t="shared" si="155"/>
        <v>1.1851246424193107E-2</v>
      </c>
      <c r="D916" s="842">
        <v>42.19</v>
      </c>
      <c r="E916" s="843">
        <f t="shared" si="156"/>
        <v>3.0280830280830173E-2</v>
      </c>
      <c r="F916" s="842">
        <v>25.39</v>
      </c>
      <c r="G916" s="843">
        <f t="shared" si="156"/>
        <v>1.4788169464428513E-2</v>
      </c>
      <c r="H916" s="842">
        <v>53.34</v>
      </c>
      <c r="I916" s="843">
        <f t="shared" si="156"/>
        <v>2.2426682001150056E-2</v>
      </c>
      <c r="J916" s="842">
        <v>75.72</v>
      </c>
      <c r="K916" s="843">
        <f t="shared" si="157"/>
        <v>1.4469453376205754E-2</v>
      </c>
      <c r="L916" s="842">
        <v>64.540000000000006</v>
      </c>
      <c r="M916" s="843">
        <f t="shared" si="158"/>
        <v>2.1364139895553302E-2</v>
      </c>
      <c r="N916" s="842">
        <v>74.67</v>
      </c>
      <c r="O916" s="843">
        <f t="shared" si="159"/>
        <v>2.9646993932708199E-2</v>
      </c>
      <c r="P916" s="844">
        <f t="shared" si="165"/>
        <v>2.0689645053581302E-2</v>
      </c>
      <c r="Q916" s="830"/>
      <c r="R916" s="845">
        <v>896.92</v>
      </c>
      <c r="S916" s="846">
        <f t="shared" si="160"/>
        <v>1.3629274687521065E-2</v>
      </c>
      <c r="T916" s="845">
        <v>64.430000000000007</v>
      </c>
      <c r="U916" s="846">
        <f t="shared" si="161"/>
        <v>5.1482059282372816E-3</v>
      </c>
      <c r="V916" s="845">
        <v>103.2097</v>
      </c>
      <c r="W916" s="846">
        <f t="shared" si="162"/>
        <v>1.1851867828487572E-2</v>
      </c>
      <c r="X916" s="845">
        <v>33876.97</v>
      </c>
      <c r="Y916" s="846">
        <f t="shared" si="163"/>
        <v>1.7629576137996539E-2</v>
      </c>
      <c r="Z916" s="845">
        <v>4224.7878000000001</v>
      </c>
      <c r="AA916" s="846">
        <f t="shared" si="164"/>
        <v>1.4001021300323213E-2</v>
      </c>
      <c r="AB916" s="843"/>
    </row>
    <row r="917" spans="1:28" ht="14.4" x14ac:dyDescent="0.55000000000000004">
      <c r="A917" s="857" t="s">
        <v>6076</v>
      </c>
      <c r="B917" s="842">
        <v>97.88</v>
      </c>
      <c r="C917" s="843">
        <f t="shared" si="155"/>
        <v>-2.4127617148554381E-2</v>
      </c>
      <c r="D917" s="842">
        <v>40.950000000000003</v>
      </c>
      <c r="E917" s="843">
        <f t="shared" si="156"/>
        <v>-4.0534208059981203E-2</v>
      </c>
      <c r="F917" s="842">
        <v>25.02</v>
      </c>
      <c r="G917" s="843">
        <f t="shared" si="156"/>
        <v>-3.3230293663060295E-2</v>
      </c>
      <c r="H917" s="842">
        <v>52.17</v>
      </c>
      <c r="I917" s="843">
        <f t="shared" si="156"/>
        <v>-4.6426613050630561E-2</v>
      </c>
      <c r="J917" s="842">
        <v>74.64</v>
      </c>
      <c r="K917" s="843">
        <f t="shared" si="157"/>
        <v>-4.417979254706117E-2</v>
      </c>
      <c r="L917" s="842">
        <v>63.19</v>
      </c>
      <c r="M917" s="843">
        <f t="shared" si="158"/>
        <v>-3.9373669808452472E-2</v>
      </c>
      <c r="N917" s="842">
        <v>72.52</v>
      </c>
      <c r="O917" s="843">
        <f t="shared" si="159"/>
        <v>-4.5915011182739218E-2</v>
      </c>
      <c r="P917" s="844">
        <f t="shared" si="165"/>
        <v>-3.9112457922925614E-2</v>
      </c>
      <c r="Q917" s="830"/>
      <c r="R917" s="845">
        <v>884.86</v>
      </c>
      <c r="S917" s="846">
        <f t="shared" si="160"/>
        <v>-2.5205455306585578E-2</v>
      </c>
      <c r="T917" s="845">
        <v>64.099999999999994</v>
      </c>
      <c r="U917" s="846">
        <f t="shared" si="161"/>
        <v>-2.5983893025376181E-2</v>
      </c>
      <c r="V917" s="845">
        <v>102.0008</v>
      </c>
      <c r="W917" s="846">
        <f t="shared" si="162"/>
        <v>-2.4127773201419456E-2</v>
      </c>
      <c r="X917" s="845">
        <v>33290.080000000002</v>
      </c>
      <c r="Y917" s="846">
        <f t="shared" si="163"/>
        <v>-1.5769237023425919E-2</v>
      </c>
      <c r="Z917" s="845">
        <v>4166.4531999999999</v>
      </c>
      <c r="AA917" s="846">
        <f t="shared" si="164"/>
        <v>-1.312339165907106E-2</v>
      </c>
      <c r="AB917" s="843"/>
    </row>
    <row r="918" spans="1:28" ht="14.4" x14ac:dyDescent="0.55000000000000004">
      <c r="A918" s="857" t="s">
        <v>6077</v>
      </c>
      <c r="B918" s="842">
        <v>100.3</v>
      </c>
      <c r="C918" s="843">
        <f t="shared" si="155"/>
        <v>-2.6846972258128821E-3</v>
      </c>
      <c r="D918" s="842">
        <v>42.68</v>
      </c>
      <c r="E918" s="843">
        <f t="shared" si="156"/>
        <v>-5.3600559310182927E-3</v>
      </c>
      <c r="F918" s="842">
        <v>25.88</v>
      </c>
      <c r="G918" s="843">
        <f t="shared" si="156"/>
        <v>2.7121270825261057E-3</v>
      </c>
      <c r="H918" s="842">
        <v>54.71</v>
      </c>
      <c r="I918" s="843">
        <f t="shared" si="156"/>
        <v>-5.4535538992910304E-3</v>
      </c>
      <c r="J918" s="842">
        <v>78.09</v>
      </c>
      <c r="K918" s="843">
        <f t="shared" si="157"/>
        <v>3.082851637765005E-3</v>
      </c>
      <c r="L918" s="842">
        <v>65.78</v>
      </c>
      <c r="M918" s="843">
        <f t="shared" si="158"/>
        <v>-7.094339622641499E-3</v>
      </c>
      <c r="N918" s="842">
        <v>76.010000000000005</v>
      </c>
      <c r="O918" s="843">
        <f t="shared" si="159"/>
        <v>-3.8007863695935784E-3</v>
      </c>
      <c r="P918" s="844">
        <f t="shared" si="165"/>
        <v>-2.656922046866596E-3</v>
      </c>
      <c r="Q918" s="830"/>
      <c r="R918" s="845">
        <v>907.74</v>
      </c>
      <c r="S918" s="846">
        <f t="shared" si="160"/>
        <v>4.2149281470911237E-3</v>
      </c>
      <c r="T918" s="845">
        <v>65.81</v>
      </c>
      <c r="U918" s="846">
        <f t="shared" si="161"/>
        <v>5.5003819709702473E-3</v>
      </c>
      <c r="V918" s="845">
        <v>104.5227</v>
      </c>
      <c r="W918" s="846">
        <f t="shared" si="162"/>
        <v>-2.685009460507759E-3</v>
      </c>
      <c r="X918" s="845">
        <v>33823.449999999997</v>
      </c>
      <c r="Y918" s="846">
        <f t="shared" si="163"/>
        <v>-6.1768243036969261E-3</v>
      </c>
      <c r="Z918" s="845">
        <v>4221.8582999999999</v>
      </c>
      <c r="AA918" s="846">
        <f t="shared" si="164"/>
        <v>-4.3703344566603519E-4</v>
      </c>
      <c r="AB918" s="843"/>
    </row>
    <row r="919" spans="1:28" ht="14.4" x14ac:dyDescent="0.55000000000000004">
      <c r="A919" s="857" t="s">
        <v>6078</v>
      </c>
      <c r="B919" s="842">
        <v>100.57</v>
      </c>
      <c r="C919" s="843">
        <f t="shared" si="155"/>
        <v>-3.8629160063391454E-3</v>
      </c>
      <c r="D919" s="842">
        <v>42.91</v>
      </c>
      <c r="E919" s="843">
        <f t="shared" si="156"/>
        <v>-1.151808339092375E-2</v>
      </c>
      <c r="F919" s="842">
        <v>25.81</v>
      </c>
      <c r="G919" s="843">
        <f t="shared" si="156"/>
        <v>-1.3379204892966401E-2</v>
      </c>
      <c r="H919" s="842">
        <v>55.01</v>
      </c>
      <c r="I919" s="843">
        <f t="shared" si="156"/>
        <v>-5.064206909025204E-3</v>
      </c>
      <c r="J919" s="842">
        <v>77.849999999999994</v>
      </c>
      <c r="K919" s="843">
        <f t="shared" si="157"/>
        <v>3.4802784222738303E-3</v>
      </c>
      <c r="L919" s="842">
        <v>66.25</v>
      </c>
      <c r="M919" s="843">
        <f t="shared" si="158"/>
        <v>-1.0307738273080291E-2</v>
      </c>
      <c r="N919" s="842">
        <v>76.3</v>
      </c>
      <c r="O919" s="843">
        <f t="shared" si="159"/>
        <v>8.9923300714096488E-3</v>
      </c>
      <c r="P919" s="844">
        <f t="shared" si="165"/>
        <v>-4.522791568378759E-3</v>
      </c>
      <c r="Q919" s="830"/>
      <c r="R919" s="845">
        <v>903.93</v>
      </c>
      <c r="S919" s="846">
        <f t="shared" si="160"/>
        <v>-1.5787811809283236E-2</v>
      </c>
      <c r="T919" s="845">
        <v>65.45</v>
      </c>
      <c r="U919" s="846">
        <f t="shared" si="161"/>
        <v>-1.5048908954100826E-2</v>
      </c>
      <c r="V919" s="845">
        <v>104.80410000000001</v>
      </c>
      <c r="W919" s="846">
        <f t="shared" si="162"/>
        <v>-3.8627323318489726E-3</v>
      </c>
      <c r="X919" s="845">
        <v>34033.67</v>
      </c>
      <c r="Y919" s="846">
        <f t="shared" si="163"/>
        <v>-7.745340798202327E-3</v>
      </c>
      <c r="Z919" s="845">
        <v>4223.7042000000001</v>
      </c>
      <c r="AA919" s="846">
        <f t="shared" si="164"/>
        <v>-5.3901550277705157E-3</v>
      </c>
      <c r="AB919" s="843"/>
    </row>
    <row r="920" spans="1:28" ht="14.4" x14ac:dyDescent="0.55000000000000004">
      <c r="A920" s="857" t="s">
        <v>6079</v>
      </c>
      <c r="B920" s="842">
        <v>100.96</v>
      </c>
      <c r="C920" s="843">
        <f t="shared" si="155"/>
        <v>-1.3847675568743334E-3</v>
      </c>
      <c r="D920" s="842">
        <v>43.41</v>
      </c>
      <c r="E920" s="843">
        <f t="shared" si="156"/>
        <v>-3.6722515492312313E-3</v>
      </c>
      <c r="F920" s="842">
        <v>26.16</v>
      </c>
      <c r="G920" s="843">
        <f t="shared" si="156"/>
        <v>4.9942374183633564E-3</v>
      </c>
      <c r="H920" s="842">
        <v>55.29</v>
      </c>
      <c r="I920" s="843">
        <f t="shared" si="156"/>
        <v>3.4482758620688614E-3</v>
      </c>
      <c r="J920" s="842">
        <v>77.58</v>
      </c>
      <c r="K920" s="843">
        <f t="shared" si="157"/>
        <v>4.6620046620047262E-3</v>
      </c>
      <c r="L920" s="842">
        <v>66.94</v>
      </c>
      <c r="M920" s="843">
        <f t="shared" si="158"/>
        <v>2.3959269242288528E-3</v>
      </c>
      <c r="N920" s="842">
        <v>75.62</v>
      </c>
      <c r="O920" s="843">
        <f t="shared" si="159"/>
        <v>2.917771883289122E-3</v>
      </c>
      <c r="P920" s="844">
        <f t="shared" si="165"/>
        <v>1.9087425205499078E-3</v>
      </c>
      <c r="Q920" s="830"/>
      <c r="R920" s="845">
        <v>918.43</v>
      </c>
      <c r="S920" s="846">
        <f t="shared" si="160"/>
        <v>3.5512139688367306E-3</v>
      </c>
      <c r="T920" s="845">
        <v>66.45</v>
      </c>
      <c r="U920" s="846">
        <f t="shared" si="161"/>
        <v>3.0188679245284344E-3</v>
      </c>
      <c r="V920" s="845">
        <v>105.2105</v>
      </c>
      <c r="W920" s="846">
        <f t="shared" si="162"/>
        <v>-1.384823323499984E-3</v>
      </c>
      <c r="X920" s="845">
        <v>34299.33</v>
      </c>
      <c r="Y920" s="846">
        <f t="shared" si="163"/>
        <v>-2.745266218426301E-3</v>
      </c>
      <c r="Z920" s="845">
        <v>4246.5940000000001</v>
      </c>
      <c r="AA920" s="846">
        <f t="shared" si="164"/>
        <v>-2.0108102879469181E-3</v>
      </c>
      <c r="AB920" s="843"/>
    </row>
    <row r="921" spans="1:28" ht="14.4" x14ac:dyDescent="0.55000000000000004">
      <c r="A921" s="857" t="s">
        <v>6080</v>
      </c>
      <c r="B921" s="842">
        <v>101.1</v>
      </c>
      <c r="C921" s="843">
        <f t="shared" si="155"/>
        <v>-6.7786619510759039E-3</v>
      </c>
      <c r="D921" s="842">
        <v>43.57</v>
      </c>
      <c r="E921" s="843">
        <f t="shared" si="156"/>
        <v>-1.3137032842582053E-2</v>
      </c>
      <c r="F921" s="842">
        <v>26.03</v>
      </c>
      <c r="G921" s="843">
        <f t="shared" si="156"/>
        <v>7.6893502499042476E-4</v>
      </c>
      <c r="H921" s="842">
        <v>55.1</v>
      </c>
      <c r="I921" s="843">
        <f t="shared" si="156"/>
        <v>-2.3537932283178575E-3</v>
      </c>
      <c r="J921" s="842">
        <v>77.22</v>
      </c>
      <c r="K921" s="843">
        <f t="shared" si="157"/>
        <v>-3.8699690402476117E-3</v>
      </c>
      <c r="L921" s="842">
        <v>66.78</v>
      </c>
      <c r="M921" s="843">
        <f t="shared" si="158"/>
        <v>-1.3152061474804189E-2</v>
      </c>
      <c r="N921" s="842">
        <v>75.400000000000006</v>
      </c>
      <c r="O921" s="843">
        <f t="shared" si="159"/>
        <v>-3.8314176245209941E-3</v>
      </c>
      <c r="P921" s="844">
        <f t="shared" si="165"/>
        <v>-6.050571590936883E-3</v>
      </c>
      <c r="Q921" s="830"/>
      <c r="R921" s="845">
        <v>915.18</v>
      </c>
      <c r="S921" s="846">
        <f t="shared" si="160"/>
        <v>2.5524456372896243E-3</v>
      </c>
      <c r="T921" s="845">
        <v>66.25</v>
      </c>
      <c r="U921" s="846">
        <f t="shared" si="161"/>
        <v>2.1176826501285717E-3</v>
      </c>
      <c r="V921" s="845">
        <v>105.35639999999999</v>
      </c>
      <c r="W921" s="846">
        <f t="shared" si="162"/>
        <v>-6.7781973954376129E-3</v>
      </c>
      <c r="X921" s="845">
        <v>34393.75</v>
      </c>
      <c r="Y921" s="846">
        <f t="shared" si="163"/>
        <v>-2.4898780728314085E-3</v>
      </c>
      <c r="Z921" s="845">
        <v>4255.1503000000002</v>
      </c>
      <c r="AA921" s="846">
        <f t="shared" si="164"/>
        <v>1.8153288482158914E-3</v>
      </c>
      <c r="AB921" s="843"/>
    </row>
    <row r="922" spans="1:28" ht="14.4" x14ac:dyDescent="0.55000000000000004">
      <c r="A922" s="857" t="s">
        <v>6081</v>
      </c>
      <c r="B922" s="842">
        <v>101.79</v>
      </c>
      <c r="C922" s="843">
        <f t="shared" si="155"/>
        <v>5.6312981624184744E-3</v>
      </c>
      <c r="D922" s="842">
        <v>44.15</v>
      </c>
      <c r="E922" s="843">
        <f t="shared" si="156"/>
        <v>1.1223087494274031E-2</v>
      </c>
      <c r="F922" s="842">
        <v>26.01</v>
      </c>
      <c r="G922" s="843">
        <f t="shared" si="156"/>
        <v>1.009708737864079E-2</v>
      </c>
      <c r="H922" s="842">
        <v>55.23</v>
      </c>
      <c r="I922" s="843">
        <f t="shared" si="156"/>
        <v>8.7671232876711525E-3</v>
      </c>
      <c r="J922" s="842">
        <v>77.52</v>
      </c>
      <c r="K922" s="843">
        <f t="shared" si="157"/>
        <v>-1.288327750579854E-3</v>
      </c>
      <c r="L922" s="842">
        <v>67.67</v>
      </c>
      <c r="M922" s="843">
        <f t="shared" si="158"/>
        <v>1.045244139166801E-2</v>
      </c>
      <c r="N922" s="842">
        <v>75.69</v>
      </c>
      <c r="O922" s="843">
        <f t="shared" si="159"/>
        <v>1.3931681178834365E-2</v>
      </c>
      <c r="P922" s="844">
        <f t="shared" si="165"/>
        <v>8.4020558775609964E-3</v>
      </c>
      <c r="Q922" s="830"/>
      <c r="R922" s="845">
        <v>912.85</v>
      </c>
      <c r="S922" s="846">
        <f t="shared" si="160"/>
        <v>4.589074261566406E-3</v>
      </c>
      <c r="T922" s="845">
        <v>66.11</v>
      </c>
      <c r="U922" s="846">
        <f t="shared" si="161"/>
        <v>2.2741055184960501E-3</v>
      </c>
      <c r="V922" s="845">
        <v>106.0754</v>
      </c>
      <c r="W922" s="846">
        <f t="shared" si="162"/>
        <v>5.6303712025331798E-3</v>
      </c>
      <c r="X922" s="845">
        <v>34479.599999999999</v>
      </c>
      <c r="Y922" s="846">
        <f t="shared" si="163"/>
        <v>3.8762568820960297E-4</v>
      </c>
      <c r="Z922" s="845">
        <v>4247.4398000000001</v>
      </c>
      <c r="AA922" s="846">
        <f t="shared" si="164"/>
        <v>1.9474501721346016E-3</v>
      </c>
      <c r="AB922" s="843"/>
    </row>
    <row r="923" spans="1:28" ht="14.4" x14ac:dyDescent="0.55000000000000004">
      <c r="A923" s="857" t="s">
        <v>6082</v>
      </c>
      <c r="B923" s="842">
        <v>101.22</v>
      </c>
      <c r="C923" s="843">
        <f t="shared" si="155"/>
        <v>6.9204152249136008E-4</v>
      </c>
      <c r="D923" s="842">
        <v>43.66</v>
      </c>
      <c r="E923" s="843">
        <f t="shared" si="156"/>
        <v>-2.7409776153495269E-3</v>
      </c>
      <c r="F923" s="842">
        <v>25.75</v>
      </c>
      <c r="G923" s="843">
        <f t="shared" si="156"/>
        <v>5.0741608118656245E-3</v>
      </c>
      <c r="H923" s="842">
        <v>54.75</v>
      </c>
      <c r="I923" s="843">
        <f t="shared" si="156"/>
        <v>-2.732240437158473E-3</v>
      </c>
      <c r="J923" s="842">
        <v>77.62</v>
      </c>
      <c r="K923" s="843">
        <f t="shared" si="157"/>
        <v>1.2522828072006442E-2</v>
      </c>
      <c r="L923" s="842">
        <v>66.97</v>
      </c>
      <c r="M923" s="843">
        <f t="shared" si="158"/>
        <v>-3.5708971879183649E-3</v>
      </c>
      <c r="N923" s="842">
        <v>74.650000000000006</v>
      </c>
      <c r="O923" s="843">
        <f t="shared" si="159"/>
        <v>1.0012176971993192E-2</v>
      </c>
      <c r="P923" s="844">
        <f t="shared" si="165"/>
        <v>2.7510131625614648E-3</v>
      </c>
      <c r="Q923" s="830"/>
      <c r="R923" s="845">
        <v>908.68</v>
      </c>
      <c r="S923" s="846">
        <f t="shared" si="160"/>
        <v>6.4127413084649199E-3</v>
      </c>
      <c r="T923" s="845">
        <v>65.959999999999994</v>
      </c>
      <c r="U923" s="846">
        <f t="shared" si="161"/>
        <v>6.5618800549365197E-3</v>
      </c>
      <c r="V923" s="845">
        <v>105.4815</v>
      </c>
      <c r="W923" s="846">
        <f t="shared" si="162"/>
        <v>6.9254377018923563E-4</v>
      </c>
      <c r="X923" s="845">
        <v>34466.239999999998</v>
      </c>
      <c r="Y923" s="846">
        <f t="shared" si="163"/>
        <v>5.5447273706898947E-4</v>
      </c>
      <c r="Z923" s="845">
        <v>4239.1841999999997</v>
      </c>
      <c r="AA923" s="846">
        <f t="shared" si="164"/>
        <v>4.6539121215576351E-3</v>
      </c>
      <c r="AB923" s="843"/>
    </row>
    <row r="924" spans="1:28" ht="14.4" x14ac:dyDescent="0.55000000000000004">
      <c r="A924" s="857" t="s">
        <v>6083</v>
      </c>
      <c r="B924" s="842">
        <v>101.15</v>
      </c>
      <c r="C924" s="843">
        <f t="shared" si="155"/>
        <v>8.5751321168610062E-3</v>
      </c>
      <c r="D924" s="842">
        <v>43.78</v>
      </c>
      <c r="E924" s="843">
        <f t="shared" si="156"/>
        <v>3.6680421824852871E-3</v>
      </c>
      <c r="F924" s="842">
        <v>25.62</v>
      </c>
      <c r="G924" s="843">
        <f t="shared" si="156"/>
        <v>7.8678206136899576E-3</v>
      </c>
      <c r="H924" s="842">
        <v>54.9</v>
      </c>
      <c r="I924" s="843">
        <f t="shared" si="156"/>
        <v>1.0677466863033835E-2</v>
      </c>
      <c r="J924" s="842">
        <v>76.66</v>
      </c>
      <c r="K924" s="843">
        <f t="shared" si="157"/>
        <v>1.4155311549146621E-2</v>
      </c>
      <c r="L924" s="842">
        <v>67.209999999999994</v>
      </c>
      <c r="M924" s="843">
        <f t="shared" si="158"/>
        <v>1.4184397163120588E-2</v>
      </c>
      <c r="N924" s="842">
        <v>73.91</v>
      </c>
      <c r="O924" s="843">
        <f t="shared" si="159"/>
        <v>1.1357416529830244E-2</v>
      </c>
      <c r="P924" s="844">
        <f t="shared" si="165"/>
        <v>1.0069369574023934E-2</v>
      </c>
      <c r="Q924" s="830"/>
      <c r="R924" s="845">
        <v>902.89</v>
      </c>
      <c r="S924" s="846">
        <f t="shared" si="160"/>
        <v>9.6504372330195043E-3</v>
      </c>
      <c r="T924" s="845">
        <v>65.53</v>
      </c>
      <c r="U924" s="846">
        <f t="shared" si="161"/>
        <v>8.9299461123941715E-3</v>
      </c>
      <c r="V924" s="845">
        <v>105.4085</v>
      </c>
      <c r="W924" s="846">
        <f t="shared" si="162"/>
        <v>8.5750672408895223E-3</v>
      </c>
      <c r="X924" s="845">
        <v>34447.14</v>
      </c>
      <c r="Y924" s="846">
        <f t="shared" si="163"/>
        <v>-4.4127397194552165E-3</v>
      </c>
      <c r="Z924" s="845">
        <v>4219.5468000000001</v>
      </c>
      <c r="AA924" s="846">
        <f t="shared" si="164"/>
        <v>-1.82345280802787E-3</v>
      </c>
      <c r="AB924" s="843"/>
    </row>
    <row r="925" spans="1:28" ht="14.4" x14ac:dyDescent="0.55000000000000004">
      <c r="A925" s="857" t="s">
        <v>6084</v>
      </c>
      <c r="B925" s="842">
        <v>100.29</v>
      </c>
      <c r="C925" s="843">
        <f t="shared" si="155"/>
        <v>-6.7346736654451123E-3</v>
      </c>
      <c r="D925" s="842">
        <v>43.62</v>
      </c>
      <c r="E925" s="843">
        <f t="shared" si="156"/>
        <v>-6.8728522336769515E-4</v>
      </c>
      <c r="F925" s="842">
        <v>25.42</v>
      </c>
      <c r="G925" s="843">
        <f t="shared" si="156"/>
        <v>-3.528028224225821E-3</v>
      </c>
      <c r="H925" s="842">
        <v>54.32</v>
      </c>
      <c r="I925" s="843">
        <f t="shared" si="156"/>
        <v>-2.936857562408135E-3</v>
      </c>
      <c r="J925" s="842">
        <v>75.59</v>
      </c>
      <c r="K925" s="843">
        <f t="shared" si="157"/>
        <v>-5.28890651857572E-4</v>
      </c>
      <c r="L925" s="842">
        <v>66.27</v>
      </c>
      <c r="M925" s="843">
        <f t="shared" si="158"/>
        <v>-1.0551703346398655E-3</v>
      </c>
      <c r="N925" s="842">
        <v>73.08</v>
      </c>
      <c r="O925" s="843">
        <f t="shared" si="159"/>
        <v>8.0000000000000071E-3</v>
      </c>
      <c r="P925" s="844">
        <f t="shared" si="165"/>
        <v>-1.0672722374205992E-3</v>
      </c>
      <c r="Q925" s="830"/>
      <c r="R925" s="845">
        <v>894.26</v>
      </c>
      <c r="S925" s="846">
        <f t="shared" si="160"/>
        <v>-8.6798434745979369E-3</v>
      </c>
      <c r="T925" s="845">
        <v>64.95</v>
      </c>
      <c r="U925" s="846">
        <f t="shared" si="161"/>
        <v>-8.5483132346206858E-3</v>
      </c>
      <c r="V925" s="845">
        <v>104.5123</v>
      </c>
      <c r="W925" s="846">
        <f t="shared" si="162"/>
        <v>-6.7344035262956181E-3</v>
      </c>
      <c r="X925" s="845">
        <v>34599.82</v>
      </c>
      <c r="Y925" s="846">
        <f t="shared" si="163"/>
        <v>-8.7842301988083626E-4</v>
      </c>
      <c r="Z925" s="845">
        <v>4227.2550000000001</v>
      </c>
      <c r="AA925" s="846">
        <f t="shared" si="164"/>
        <v>1.7385460502472583E-4</v>
      </c>
      <c r="AB925" s="843"/>
    </row>
    <row r="926" spans="1:28" ht="14.4" x14ac:dyDescent="0.55000000000000004">
      <c r="A926" s="857" t="s">
        <v>6085</v>
      </c>
      <c r="B926" s="842">
        <v>100.97</v>
      </c>
      <c r="C926" s="843">
        <f t="shared" si="155"/>
        <v>2.5816701419918431E-3</v>
      </c>
      <c r="D926" s="842">
        <v>43.65</v>
      </c>
      <c r="E926" s="843">
        <f t="shared" si="156"/>
        <v>-4.579803068468502E-4</v>
      </c>
      <c r="F926" s="842">
        <v>25.51</v>
      </c>
      <c r="G926" s="843">
        <f t="shared" si="156"/>
        <v>7.8462142016499925E-4</v>
      </c>
      <c r="H926" s="842">
        <v>54.48</v>
      </c>
      <c r="I926" s="843">
        <f t="shared" si="156"/>
        <v>1.3204389064533917E-2</v>
      </c>
      <c r="J926" s="842">
        <v>75.63</v>
      </c>
      <c r="K926" s="843">
        <f t="shared" si="157"/>
        <v>5.5843637814121383E-3</v>
      </c>
      <c r="L926" s="842">
        <v>66.34</v>
      </c>
      <c r="M926" s="843">
        <f t="shared" si="158"/>
        <v>-2.1058965102286331E-3</v>
      </c>
      <c r="N926" s="842">
        <v>72.5</v>
      </c>
      <c r="O926" s="843">
        <f t="shared" si="159"/>
        <v>5.9664215346191263E-3</v>
      </c>
      <c r="P926" s="844">
        <f t="shared" si="165"/>
        <v>3.6510841608066486E-3</v>
      </c>
      <c r="Q926" s="830"/>
      <c r="R926" s="845">
        <v>902.09</v>
      </c>
      <c r="S926" s="846">
        <f t="shared" si="160"/>
        <v>1.409826602428943E-3</v>
      </c>
      <c r="T926" s="845">
        <v>65.510000000000005</v>
      </c>
      <c r="U926" s="846">
        <f t="shared" si="161"/>
        <v>1.8351429882246251E-3</v>
      </c>
      <c r="V926" s="845">
        <v>105.2209</v>
      </c>
      <c r="W926" s="846">
        <f t="shared" si="162"/>
        <v>2.5812291567413048E-3</v>
      </c>
      <c r="X926" s="845">
        <v>34630.239999999998</v>
      </c>
      <c r="Y926" s="846">
        <f t="shared" si="163"/>
        <v>-3.6295484082208285E-3</v>
      </c>
      <c r="Z926" s="845">
        <v>4226.5201999999999</v>
      </c>
      <c r="AA926" s="846">
        <f t="shared" si="164"/>
        <v>-7.9680547766403098E-4</v>
      </c>
      <c r="AB926" s="843"/>
    </row>
    <row r="927" spans="1:28" ht="14.4" x14ac:dyDescent="0.55000000000000004">
      <c r="A927" s="857" t="s">
        <v>6086</v>
      </c>
      <c r="B927" s="842">
        <v>100.71</v>
      </c>
      <c r="C927" s="843">
        <f t="shared" si="155"/>
        <v>-4.74355173436114E-3</v>
      </c>
      <c r="D927" s="842">
        <v>43.67</v>
      </c>
      <c r="E927" s="843">
        <f t="shared" si="156"/>
        <v>-1.1436413540713009E-3</v>
      </c>
      <c r="F927" s="842">
        <v>25.49</v>
      </c>
      <c r="G927" s="843">
        <f t="shared" si="156"/>
        <v>3.9246467817899422E-4</v>
      </c>
      <c r="H927" s="842">
        <v>53.77</v>
      </c>
      <c r="I927" s="843">
        <f t="shared" si="156"/>
        <v>-4.6279155868197419E-3</v>
      </c>
      <c r="J927" s="842">
        <v>75.209999999999994</v>
      </c>
      <c r="K927" s="843">
        <f t="shared" si="157"/>
        <v>-3.4450775142441659E-3</v>
      </c>
      <c r="L927" s="842">
        <v>66.48</v>
      </c>
      <c r="M927" s="843">
        <f t="shared" si="158"/>
        <v>-8.9445438282647061E-3</v>
      </c>
      <c r="N927" s="842">
        <v>72.069999999999993</v>
      </c>
      <c r="O927" s="843">
        <f t="shared" si="159"/>
        <v>-1.0571114772103374E-2</v>
      </c>
      <c r="P927" s="844">
        <f t="shared" si="165"/>
        <v>-4.7261971588122053E-3</v>
      </c>
      <c r="Q927" s="830"/>
      <c r="R927" s="845">
        <v>900.82</v>
      </c>
      <c r="S927" s="846">
        <f t="shared" si="160"/>
        <v>-1.8504360159115052E-3</v>
      </c>
      <c r="T927" s="845">
        <v>65.39</v>
      </c>
      <c r="U927" s="846">
        <f t="shared" si="161"/>
        <v>-1.5269506794929333E-3</v>
      </c>
      <c r="V927" s="845">
        <v>104.95</v>
      </c>
      <c r="W927" s="846">
        <f t="shared" si="162"/>
        <v>-4.7434713258011074E-3</v>
      </c>
      <c r="X927" s="845">
        <v>34756.39</v>
      </c>
      <c r="Y927" s="846">
        <f t="shared" si="163"/>
        <v>5.186967999574188E-3</v>
      </c>
      <c r="Z927" s="845">
        <v>4229.8905999999997</v>
      </c>
      <c r="AA927" s="846">
        <f t="shared" si="164"/>
        <v>8.83307478236528E-3</v>
      </c>
      <c r="AB927" s="843"/>
    </row>
    <row r="928" spans="1:28" ht="14.4" x14ac:dyDescent="0.55000000000000004">
      <c r="A928" s="857" t="s">
        <v>6087</v>
      </c>
      <c r="B928" s="842">
        <v>101.19</v>
      </c>
      <c r="C928" s="843">
        <f t="shared" si="155"/>
        <v>7.1663183039714085E-3</v>
      </c>
      <c r="D928" s="842">
        <v>43.72</v>
      </c>
      <c r="E928" s="843">
        <f t="shared" si="156"/>
        <v>9.2336103416434945E-3</v>
      </c>
      <c r="F928" s="842">
        <v>25.48</v>
      </c>
      <c r="G928" s="843">
        <f t="shared" si="156"/>
        <v>-2.739726027397249E-3</v>
      </c>
      <c r="H928" s="842">
        <v>54.02</v>
      </c>
      <c r="I928" s="843">
        <f t="shared" si="156"/>
        <v>8.2120194102277555E-3</v>
      </c>
      <c r="J928" s="842">
        <v>75.47</v>
      </c>
      <c r="K928" s="843">
        <f t="shared" si="157"/>
        <v>8.4179583110635114E-3</v>
      </c>
      <c r="L928" s="842">
        <v>67.08</v>
      </c>
      <c r="M928" s="843">
        <f t="shared" si="158"/>
        <v>4.6428036543357809E-3</v>
      </c>
      <c r="N928" s="842">
        <v>72.84</v>
      </c>
      <c r="O928" s="843">
        <f t="shared" si="159"/>
        <v>3.582254064480539E-3</v>
      </c>
      <c r="P928" s="844">
        <f t="shared" si="165"/>
        <v>5.5021768654750346E-3</v>
      </c>
      <c r="Q928" s="830"/>
      <c r="R928" s="845">
        <v>902.49</v>
      </c>
      <c r="S928" s="846">
        <f t="shared" si="160"/>
        <v>5.1567059452475306E-3</v>
      </c>
      <c r="T928" s="845">
        <v>65.489999999999995</v>
      </c>
      <c r="U928" s="846">
        <f t="shared" si="161"/>
        <v>5.9907834101382562E-3</v>
      </c>
      <c r="V928" s="845">
        <v>105.4502</v>
      </c>
      <c r="W928" s="846">
        <f t="shared" si="162"/>
        <v>7.1661959562521194E-3</v>
      </c>
      <c r="X928" s="845">
        <v>34577.040000000001</v>
      </c>
      <c r="Y928" s="846">
        <f t="shared" si="163"/>
        <v>-6.7455906553615108E-4</v>
      </c>
      <c r="Z928" s="845">
        <v>4192.8548000000001</v>
      </c>
      <c r="AA928" s="846">
        <f t="shared" si="164"/>
        <v>-3.6273687304294588E-3</v>
      </c>
      <c r="AB928" s="843"/>
    </row>
    <row r="929" spans="1:28" ht="14.4" x14ac:dyDescent="0.55000000000000004">
      <c r="A929" s="857" t="s">
        <v>6088</v>
      </c>
      <c r="B929" s="842">
        <v>100.47</v>
      </c>
      <c r="C929" s="843">
        <f t="shared" si="155"/>
        <v>1.0358004827031309E-2</v>
      </c>
      <c r="D929" s="842">
        <v>43.32</v>
      </c>
      <c r="E929" s="843">
        <f t="shared" si="156"/>
        <v>5.5710306406686616E-3</v>
      </c>
      <c r="F929" s="842">
        <v>25.55</v>
      </c>
      <c r="G929" s="843">
        <f t="shared" si="156"/>
        <v>4.7188360204484248E-3</v>
      </c>
      <c r="H929" s="842">
        <v>53.58</v>
      </c>
      <c r="I929" s="843">
        <f t="shared" si="156"/>
        <v>7.3322053017483846E-3</v>
      </c>
      <c r="J929" s="842">
        <v>74.84</v>
      </c>
      <c r="K929" s="843">
        <f t="shared" si="157"/>
        <v>4.5637583892617073E-3</v>
      </c>
      <c r="L929" s="842">
        <v>66.77</v>
      </c>
      <c r="M929" s="843">
        <f t="shared" si="158"/>
        <v>-5.9550394521364902E-3</v>
      </c>
      <c r="N929" s="842">
        <v>72.58</v>
      </c>
      <c r="O929" s="843">
        <f t="shared" si="159"/>
        <v>5.2631578947368585E-3</v>
      </c>
      <c r="P929" s="844">
        <f t="shared" si="165"/>
        <v>4.5502790888226939E-3</v>
      </c>
      <c r="Q929" s="830"/>
      <c r="R929" s="845">
        <v>897.86</v>
      </c>
      <c r="S929" s="846">
        <f t="shared" si="160"/>
        <v>4.8459480935167942E-3</v>
      </c>
      <c r="T929" s="845">
        <v>65.099999999999994</v>
      </c>
      <c r="U929" s="846">
        <f t="shared" si="161"/>
        <v>5.2501544163061631E-3</v>
      </c>
      <c r="V929" s="845">
        <v>104.6999</v>
      </c>
      <c r="W929" s="846">
        <f t="shared" si="162"/>
        <v>1.0358354281964521E-2</v>
      </c>
      <c r="X929" s="845">
        <v>34600.379999999997</v>
      </c>
      <c r="Y929" s="846">
        <f t="shared" si="163"/>
        <v>7.2508388211134367E-4</v>
      </c>
      <c r="Z929" s="845">
        <v>4208.1192000000001</v>
      </c>
      <c r="AA929" s="846">
        <f t="shared" si="164"/>
        <v>1.4463445578454248E-3</v>
      </c>
      <c r="AB929" s="843"/>
    </row>
    <row r="930" spans="1:28" ht="14.4" x14ac:dyDescent="0.55000000000000004">
      <c r="A930" s="857" t="s">
        <v>6089</v>
      </c>
      <c r="B930" s="842">
        <v>99.44</v>
      </c>
      <c r="C930" s="843">
        <f t="shared" si="155"/>
        <v>2.7225975597457985E-3</v>
      </c>
      <c r="D930" s="842">
        <v>43.08</v>
      </c>
      <c r="E930" s="843">
        <f t="shared" si="156"/>
        <v>8.4269662921347965E-3</v>
      </c>
      <c r="F930" s="842">
        <v>25.43</v>
      </c>
      <c r="G930" s="843">
        <f t="shared" si="156"/>
        <v>-2.7450980392157431E-3</v>
      </c>
      <c r="H930" s="842">
        <v>53.19</v>
      </c>
      <c r="I930" s="843">
        <f t="shared" si="156"/>
        <v>5.8623298033282367E-3</v>
      </c>
      <c r="J930" s="842">
        <v>74.5</v>
      </c>
      <c r="K930" s="843">
        <f t="shared" si="157"/>
        <v>2.4219590958021175E-3</v>
      </c>
      <c r="L930" s="842">
        <v>67.17</v>
      </c>
      <c r="M930" s="843">
        <f t="shared" si="158"/>
        <v>1.7573094985608106E-2</v>
      </c>
      <c r="N930" s="842">
        <v>72.2</v>
      </c>
      <c r="O930" s="843">
        <f t="shared" si="159"/>
        <v>7.5355847055540437E-3</v>
      </c>
      <c r="P930" s="844">
        <f t="shared" si="165"/>
        <v>5.9710620575653362E-3</v>
      </c>
      <c r="Q930" s="830"/>
      <c r="R930" s="845">
        <v>893.53</v>
      </c>
      <c r="S930" s="846">
        <f t="shared" si="160"/>
        <v>-4.256978882264506E-3</v>
      </c>
      <c r="T930" s="845">
        <v>64.760000000000005</v>
      </c>
      <c r="U930" s="846">
        <f t="shared" si="161"/>
        <v>-6.1387354205032496E-3</v>
      </c>
      <c r="V930" s="845">
        <v>103.62649999999999</v>
      </c>
      <c r="W930" s="846">
        <f t="shared" si="162"/>
        <v>2.7229157454005115E-3</v>
      </c>
      <c r="X930" s="845">
        <v>34575.31</v>
      </c>
      <c r="Y930" s="846">
        <f t="shared" si="163"/>
        <v>1.3281416298260851E-3</v>
      </c>
      <c r="Z930" s="845">
        <v>4202.0415999999996</v>
      </c>
      <c r="AA930" s="846">
        <f t="shared" si="164"/>
        <v>-4.9211361119083641E-4</v>
      </c>
      <c r="AB930" s="843"/>
    </row>
    <row r="931" spans="1:28" ht="14.4" x14ac:dyDescent="0.55000000000000004">
      <c r="A931" s="857" t="s">
        <v>6090</v>
      </c>
      <c r="B931" s="842">
        <v>99.17</v>
      </c>
      <c r="C931" s="843">
        <f t="shared" si="155"/>
        <v>1.0084711577262873E-4</v>
      </c>
      <c r="D931" s="842">
        <v>42.72</v>
      </c>
      <c r="E931" s="843">
        <f t="shared" si="156"/>
        <v>3.9952996474736935E-3</v>
      </c>
      <c r="F931" s="842">
        <v>25.5</v>
      </c>
      <c r="G931" s="843">
        <f t="shared" si="156"/>
        <v>-3.9200313602516523E-4</v>
      </c>
      <c r="H931" s="842">
        <v>52.88</v>
      </c>
      <c r="I931" s="843">
        <f t="shared" si="156"/>
        <v>-1.3220018885741203E-3</v>
      </c>
      <c r="J931" s="842">
        <v>74.319999999999993</v>
      </c>
      <c r="K931" s="843">
        <f t="shared" si="157"/>
        <v>-5.7525083612041117E-3</v>
      </c>
      <c r="L931" s="842">
        <v>66.010000000000005</v>
      </c>
      <c r="M931" s="843">
        <f t="shared" si="158"/>
        <v>1.2134081601697932E-3</v>
      </c>
      <c r="N931" s="842">
        <v>71.66</v>
      </c>
      <c r="O931" s="843">
        <f t="shared" si="159"/>
        <v>-1.5326738191444589E-3</v>
      </c>
      <c r="P931" s="844">
        <f t="shared" si="165"/>
        <v>-5.2709032593310583E-4</v>
      </c>
      <c r="Q931" s="830"/>
      <c r="R931" s="845">
        <v>897.35</v>
      </c>
      <c r="S931" s="846">
        <f t="shared" si="160"/>
        <v>4.9612507279488405E-3</v>
      </c>
      <c r="T931" s="845">
        <v>65.16</v>
      </c>
      <c r="U931" s="846">
        <f t="shared" si="161"/>
        <v>5.4004011726584977E-3</v>
      </c>
      <c r="V931" s="845">
        <v>103.3451</v>
      </c>
      <c r="W931" s="846">
        <f t="shared" si="162"/>
        <v>1.0064383019448009E-4</v>
      </c>
      <c r="X931" s="845">
        <v>34529.449999999997</v>
      </c>
      <c r="Y931" s="846">
        <f t="shared" si="163"/>
        <v>1.8804780784014152E-3</v>
      </c>
      <c r="Z931" s="845">
        <v>4204.1104999999998</v>
      </c>
      <c r="AA931" s="846">
        <f t="shared" si="164"/>
        <v>7.7000610206079401E-4</v>
      </c>
      <c r="AB931" s="843"/>
    </row>
    <row r="932" spans="1:28" ht="14.4" x14ac:dyDescent="0.55000000000000004">
      <c r="A932" s="857" t="s">
        <v>6091</v>
      </c>
      <c r="B932" s="842">
        <v>99.16</v>
      </c>
      <c r="C932" s="843">
        <f t="shared" si="155"/>
        <v>5.4755627661731143E-3</v>
      </c>
      <c r="D932" s="842">
        <v>42.55</v>
      </c>
      <c r="E932" s="843">
        <f t="shared" si="156"/>
        <v>-2.1106941838650028E-3</v>
      </c>
      <c r="F932" s="842">
        <v>25.51</v>
      </c>
      <c r="G932" s="843">
        <f t="shared" si="156"/>
        <v>1.9638648860957897E-3</v>
      </c>
      <c r="H932" s="842">
        <v>52.95</v>
      </c>
      <c r="I932" s="843">
        <f t="shared" si="156"/>
        <v>-6.7529544175576328E-3</v>
      </c>
      <c r="J932" s="842">
        <v>74.75</v>
      </c>
      <c r="K932" s="843">
        <f t="shared" si="157"/>
        <v>-2.5353616226314601E-3</v>
      </c>
      <c r="L932" s="842">
        <v>65.930000000000007</v>
      </c>
      <c r="M932" s="843">
        <f t="shared" si="158"/>
        <v>-9.6139402133090801E-3</v>
      </c>
      <c r="N932" s="842">
        <v>71.77</v>
      </c>
      <c r="O932" s="843">
        <f t="shared" si="159"/>
        <v>-8.0165860400829292E-3</v>
      </c>
      <c r="P932" s="844">
        <f t="shared" si="165"/>
        <v>-3.0843012607396003E-3</v>
      </c>
      <c r="Q932" s="830"/>
      <c r="R932" s="845">
        <v>892.92</v>
      </c>
      <c r="S932" s="846">
        <f t="shared" si="160"/>
        <v>-7.0833657663267324E-3</v>
      </c>
      <c r="T932" s="845">
        <v>64.81</v>
      </c>
      <c r="U932" s="846">
        <f t="shared" si="161"/>
        <v>-6.7432950191570473E-3</v>
      </c>
      <c r="V932" s="845">
        <v>103.3347</v>
      </c>
      <c r="W932" s="846">
        <f t="shared" si="162"/>
        <v>5.4752267154476453E-3</v>
      </c>
      <c r="X932" s="845">
        <v>34464.639999999999</v>
      </c>
      <c r="Y932" s="846">
        <f t="shared" si="163"/>
        <v>4.1252161448355196E-3</v>
      </c>
      <c r="Z932" s="845">
        <v>4200.8757999999998</v>
      </c>
      <c r="AA932" s="846">
        <f t="shared" si="164"/>
        <v>1.1635384763217793E-3</v>
      </c>
      <c r="AB932" s="843"/>
    </row>
    <row r="933" spans="1:28" ht="14.4" x14ac:dyDescent="0.55000000000000004">
      <c r="A933" s="857" t="s">
        <v>6092</v>
      </c>
      <c r="B933" s="842">
        <v>98.62</v>
      </c>
      <c r="C933" s="843">
        <f t="shared" si="155"/>
        <v>3.3574117407670911E-3</v>
      </c>
      <c r="D933" s="842">
        <v>42.64</v>
      </c>
      <c r="E933" s="843">
        <f t="shared" si="156"/>
        <v>7.7995745686598728E-3</v>
      </c>
      <c r="F933" s="842">
        <v>25.46</v>
      </c>
      <c r="G933" s="843">
        <f t="shared" si="156"/>
        <v>5.1322542439795615E-3</v>
      </c>
      <c r="H933" s="842">
        <v>53.31</v>
      </c>
      <c r="I933" s="843">
        <f t="shared" si="156"/>
        <v>9.0857467348097742E-3</v>
      </c>
      <c r="J933" s="842">
        <v>74.94</v>
      </c>
      <c r="K933" s="843">
        <f t="shared" si="157"/>
        <v>8.8852988691436874E-3</v>
      </c>
      <c r="L933" s="842">
        <v>66.569999999999993</v>
      </c>
      <c r="M933" s="843">
        <f t="shared" si="158"/>
        <v>-6.0051043386888381E-4</v>
      </c>
      <c r="N933" s="842">
        <v>72.349999999999994</v>
      </c>
      <c r="O933" s="843">
        <f t="shared" si="159"/>
        <v>6.3986646265126179E-3</v>
      </c>
      <c r="P933" s="844">
        <f t="shared" si="165"/>
        <v>5.7226343357148169E-3</v>
      </c>
      <c r="Q933" s="830"/>
      <c r="R933" s="845">
        <v>899.29</v>
      </c>
      <c r="S933" s="846">
        <f t="shared" si="160"/>
        <v>1.7377162398493073E-3</v>
      </c>
      <c r="T933" s="845">
        <v>65.25</v>
      </c>
      <c r="U933" s="846">
        <f t="shared" si="161"/>
        <v>1.5328019619875732E-4</v>
      </c>
      <c r="V933" s="845">
        <v>102.77200000000001</v>
      </c>
      <c r="W933" s="846">
        <f t="shared" si="162"/>
        <v>3.3574770985695945E-3</v>
      </c>
      <c r="X933" s="845">
        <v>34323.050000000003</v>
      </c>
      <c r="Y933" s="846">
        <f t="shared" si="163"/>
        <v>3.0863423957372405E-4</v>
      </c>
      <c r="Z933" s="845">
        <v>4195.9935999999998</v>
      </c>
      <c r="AA933" s="846">
        <f t="shared" si="164"/>
        <v>1.8766113530126471E-3</v>
      </c>
      <c r="AB933" s="843"/>
    </row>
    <row r="934" spans="1:28" ht="14.4" x14ac:dyDescent="0.55000000000000004">
      <c r="A934" s="857" t="s">
        <v>6093</v>
      </c>
      <c r="B934" s="842">
        <v>98.29</v>
      </c>
      <c r="C934" s="843">
        <f t="shared" si="155"/>
        <v>-1.4223305902671957E-3</v>
      </c>
      <c r="D934" s="842">
        <v>42.31</v>
      </c>
      <c r="E934" s="843">
        <f t="shared" si="156"/>
        <v>-2.2638022638022615E-2</v>
      </c>
      <c r="F934" s="842">
        <v>25.33</v>
      </c>
      <c r="G934" s="843">
        <f t="shared" si="156"/>
        <v>-8.9984350547730463E-3</v>
      </c>
      <c r="H934" s="842">
        <v>52.83</v>
      </c>
      <c r="I934" s="843">
        <f t="shared" si="156"/>
        <v>-1.2154076290201932E-2</v>
      </c>
      <c r="J934" s="842">
        <v>74.28</v>
      </c>
      <c r="K934" s="843">
        <f t="shared" si="157"/>
        <v>-2.6917900403766737E-4</v>
      </c>
      <c r="L934" s="842">
        <v>66.61</v>
      </c>
      <c r="M934" s="843">
        <f t="shared" si="158"/>
        <v>7.5120192307687184E-4</v>
      </c>
      <c r="N934" s="842">
        <v>71.89</v>
      </c>
      <c r="O934" s="843">
        <f t="shared" si="159"/>
        <v>-1.6956105565431367E-2</v>
      </c>
      <c r="P934" s="844">
        <f t="shared" si="165"/>
        <v>-8.8124210313795647E-3</v>
      </c>
      <c r="Q934" s="830"/>
      <c r="R934" s="845">
        <v>897.73</v>
      </c>
      <c r="S934" s="846">
        <f t="shared" si="160"/>
        <v>-1.0842138898377041E-2</v>
      </c>
      <c r="T934" s="845">
        <v>65.239999999999995</v>
      </c>
      <c r="U934" s="846">
        <f t="shared" si="161"/>
        <v>-1.2113870381587066E-2</v>
      </c>
      <c r="V934" s="845">
        <v>102.4281</v>
      </c>
      <c r="W934" s="846">
        <f t="shared" si="162"/>
        <v>-1.4223877395831419E-3</v>
      </c>
      <c r="X934" s="845">
        <v>34312.46</v>
      </c>
      <c r="Y934" s="846">
        <f t="shared" si="163"/>
        <v>-2.3701822237497394E-3</v>
      </c>
      <c r="Z934" s="845">
        <v>4188.1341000000002</v>
      </c>
      <c r="AA934" s="846">
        <f t="shared" si="164"/>
        <v>-2.1236834762381473E-3</v>
      </c>
      <c r="AB934" s="843"/>
    </row>
    <row r="935" spans="1:28" ht="14.4" x14ac:dyDescent="0.55000000000000004">
      <c r="A935" s="857" t="s">
        <v>6094</v>
      </c>
      <c r="B935" s="842">
        <v>98.43</v>
      </c>
      <c r="C935" s="843">
        <f t="shared" si="155"/>
        <v>2.5463434508046223E-3</v>
      </c>
      <c r="D935" s="842">
        <v>43.29</v>
      </c>
      <c r="E935" s="843">
        <f t="shared" si="156"/>
        <v>1.3105546454481587E-2</v>
      </c>
      <c r="F935" s="842">
        <v>25.56</v>
      </c>
      <c r="G935" s="843">
        <f t="shared" si="156"/>
        <v>5.5074744295828815E-3</v>
      </c>
      <c r="H935" s="842">
        <v>53.48</v>
      </c>
      <c r="I935" s="843">
        <f t="shared" si="156"/>
        <v>7.7256453740341957E-3</v>
      </c>
      <c r="J935" s="842">
        <v>74.3</v>
      </c>
      <c r="K935" s="843">
        <f t="shared" si="157"/>
        <v>3.9183894068368641E-3</v>
      </c>
      <c r="L935" s="842">
        <v>66.56</v>
      </c>
      <c r="M935" s="843">
        <f t="shared" si="158"/>
        <v>4.6792452830188846E-3</v>
      </c>
      <c r="N935" s="842">
        <v>73.13</v>
      </c>
      <c r="O935" s="843">
        <f t="shared" si="159"/>
        <v>5.3615617266977722E-3</v>
      </c>
      <c r="P935" s="844">
        <f t="shared" si="165"/>
        <v>6.1206008750652584E-3</v>
      </c>
      <c r="Q935" s="830"/>
      <c r="R935" s="845">
        <v>907.57</v>
      </c>
      <c r="S935" s="846">
        <f t="shared" si="160"/>
        <v>-1.0566519542556385E-3</v>
      </c>
      <c r="T935" s="845">
        <v>66.040000000000006</v>
      </c>
      <c r="U935" s="846">
        <f t="shared" si="161"/>
        <v>-1.8137847642077931E-3</v>
      </c>
      <c r="V935" s="845">
        <v>102.574</v>
      </c>
      <c r="W935" s="846">
        <f t="shared" si="162"/>
        <v>2.546096067478798E-3</v>
      </c>
      <c r="X935" s="845">
        <v>34393.980000000003</v>
      </c>
      <c r="Y935" s="846">
        <f t="shared" si="163"/>
        <v>5.4414426634363799E-3</v>
      </c>
      <c r="Z935" s="845">
        <v>4197.0473000000002</v>
      </c>
      <c r="AA935" s="846">
        <f t="shared" si="164"/>
        <v>9.9111908978215535E-3</v>
      </c>
      <c r="AB935" s="843"/>
    </row>
    <row r="936" spans="1:28" ht="14.4" x14ac:dyDescent="0.55000000000000004">
      <c r="A936" s="857" t="s">
        <v>6095</v>
      </c>
      <c r="B936" s="842">
        <v>98.18</v>
      </c>
      <c r="C936" s="843">
        <f t="shared" si="155"/>
        <v>-1.423921887713453E-3</v>
      </c>
      <c r="D936" s="842">
        <v>42.73</v>
      </c>
      <c r="E936" s="843">
        <f t="shared" si="156"/>
        <v>5.6483878559658862E-3</v>
      </c>
      <c r="F936" s="842">
        <v>25.42</v>
      </c>
      <c r="G936" s="843">
        <f t="shared" si="156"/>
        <v>3.949447077409296E-3</v>
      </c>
      <c r="H936" s="842">
        <v>53.07</v>
      </c>
      <c r="I936" s="843">
        <f t="shared" si="156"/>
        <v>-1.0626398210290877E-2</v>
      </c>
      <c r="J936" s="842">
        <v>74.010000000000005</v>
      </c>
      <c r="K936" s="843">
        <f t="shared" si="157"/>
        <v>5.4340442874609707E-3</v>
      </c>
      <c r="L936" s="842">
        <v>66.25</v>
      </c>
      <c r="M936" s="843">
        <f t="shared" si="158"/>
        <v>-1.075108257428703E-2</v>
      </c>
      <c r="N936" s="842">
        <v>72.739999999999995</v>
      </c>
      <c r="O936" s="843">
        <f t="shared" si="159"/>
        <v>-2.4684585847505325E-3</v>
      </c>
      <c r="P936" s="844">
        <f t="shared" si="165"/>
        <v>-1.4625688623151056E-3</v>
      </c>
      <c r="Q936" s="830"/>
      <c r="R936" s="845">
        <v>908.53</v>
      </c>
      <c r="S936" s="846">
        <f t="shared" si="160"/>
        <v>5.6228900326524833E-3</v>
      </c>
      <c r="T936" s="845">
        <v>66.16</v>
      </c>
      <c r="U936" s="846">
        <f t="shared" si="161"/>
        <v>5.1656031601337027E-3</v>
      </c>
      <c r="V936" s="845">
        <v>102.3135</v>
      </c>
      <c r="W936" s="846">
        <f t="shared" si="162"/>
        <v>-1.4239786686238709E-3</v>
      </c>
      <c r="X936" s="845">
        <v>34207.839999999997</v>
      </c>
      <c r="Y936" s="846">
        <f t="shared" si="163"/>
        <v>3.6289595017038323E-3</v>
      </c>
      <c r="Z936" s="845">
        <v>4155.8577999999998</v>
      </c>
      <c r="AA936" s="846">
        <f t="shared" si="164"/>
        <v>-7.8540569741070154E-4</v>
      </c>
      <c r="AB936" s="843"/>
    </row>
    <row r="937" spans="1:28" ht="14.4" x14ac:dyDescent="0.55000000000000004">
      <c r="A937" s="857" t="s">
        <v>6096</v>
      </c>
      <c r="B937" s="842">
        <v>98.32</v>
      </c>
      <c r="C937" s="843">
        <f t="shared" si="155"/>
        <v>2.1404545917846907E-3</v>
      </c>
      <c r="D937" s="842">
        <v>42.49</v>
      </c>
      <c r="E937" s="843">
        <f t="shared" si="156"/>
        <v>-4.704775346976442E-4</v>
      </c>
      <c r="F937" s="842">
        <v>25.32</v>
      </c>
      <c r="G937" s="843">
        <f t="shared" si="156"/>
        <v>5.5599682287530428E-3</v>
      </c>
      <c r="H937" s="842">
        <v>53.64</v>
      </c>
      <c r="I937" s="843">
        <f t="shared" si="156"/>
        <v>-2.4177050399851741E-3</v>
      </c>
      <c r="J937" s="842">
        <v>73.61</v>
      </c>
      <c r="K937" s="843">
        <f t="shared" si="157"/>
        <v>7.9419416678077059E-3</v>
      </c>
      <c r="L937" s="842">
        <v>66.97</v>
      </c>
      <c r="M937" s="843">
        <f t="shared" si="158"/>
        <v>7.2191306963453883E-3</v>
      </c>
      <c r="N937" s="842">
        <v>72.92</v>
      </c>
      <c r="O937" s="843">
        <f t="shared" si="159"/>
        <v>1.6483516483516425E-3</v>
      </c>
      <c r="P937" s="844">
        <f t="shared" si="165"/>
        <v>3.0888091797656647E-3</v>
      </c>
      <c r="Q937" s="830"/>
      <c r="R937" s="845">
        <v>903.45</v>
      </c>
      <c r="S937" s="846">
        <f t="shared" si="160"/>
        <v>7.5388372793272485E-3</v>
      </c>
      <c r="T937" s="845">
        <v>65.819999999999993</v>
      </c>
      <c r="U937" s="846">
        <f t="shared" si="161"/>
        <v>8.7356321839080486E-3</v>
      </c>
      <c r="V937" s="845">
        <v>102.4594</v>
      </c>
      <c r="W937" s="846">
        <f t="shared" si="162"/>
        <v>2.1410302179665219E-3</v>
      </c>
      <c r="X937" s="845">
        <v>34084.15</v>
      </c>
      <c r="Y937" s="846">
        <f t="shared" si="163"/>
        <v>5.5496158253294237E-3</v>
      </c>
      <c r="Z937" s="845">
        <v>4159.1243999999997</v>
      </c>
      <c r="AA937" s="846">
        <f t="shared" si="164"/>
        <v>1.0556611247996894E-2</v>
      </c>
      <c r="AB937" s="843"/>
    </row>
    <row r="938" spans="1:28" ht="14.4" x14ac:dyDescent="0.55000000000000004">
      <c r="A938" s="857" t="s">
        <v>6097</v>
      </c>
      <c r="B938" s="842">
        <v>98.11</v>
      </c>
      <c r="C938" s="843">
        <f t="shared" si="155"/>
        <v>-1.0389348396207421E-2</v>
      </c>
      <c r="D938" s="842">
        <v>42.51</v>
      </c>
      <c r="E938" s="843">
        <f t="shared" si="156"/>
        <v>4.0151157298062845E-3</v>
      </c>
      <c r="F938" s="842">
        <v>25.18</v>
      </c>
      <c r="G938" s="843">
        <f t="shared" si="156"/>
        <v>-2.7722772277227747E-3</v>
      </c>
      <c r="H938" s="842">
        <v>53.77</v>
      </c>
      <c r="I938" s="843">
        <f t="shared" si="156"/>
        <v>-1.3213433657551787E-2</v>
      </c>
      <c r="J938" s="842">
        <v>73.03</v>
      </c>
      <c r="K938" s="843">
        <f t="shared" si="157"/>
        <v>-1.1103588354773097E-2</v>
      </c>
      <c r="L938" s="842">
        <v>66.489999999999995</v>
      </c>
      <c r="M938" s="843">
        <f t="shared" si="158"/>
        <v>-1.8597785977859882E-2</v>
      </c>
      <c r="N938" s="842">
        <v>72.8</v>
      </c>
      <c r="O938" s="843">
        <f t="shared" si="159"/>
        <v>-1.2479652740097658E-2</v>
      </c>
      <c r="P938" s="844">
        <f t="shared" si="165"/>
        <v>-9.2201386606294757E-3</v>
      </c>
      <c r="Q938" s="830"/>
      <c r="R938" s="845">
        <v>896.69</v>
      </c>
      <c r="S938" s="846">
        <f t="shared" si="160"/>
        <v>-2.5584266788284404E-3</v>
      </c>
      <c r="T938" s="845">
        <v>65.25</v>
      </c>
      <c r="U938" s="846">
        <f t="shared" si="161"/>
        <v>-1.6829865361076557E-3</v>
      </c>
      <c r="V938" s="845">
        <v>102.2405</v>
      </c>
      <c r="W938" s="846">
        <f t="shared" si="162"/>
        <v>-1.038969586861016E-2</v>
      </c>
      <c r="X938" s="845">
        <v>33896.04</v>
      </c>
      <c r="Y938" s="846">
        <f t="shared" si="163"/>
        <v>-4.8331418122844472E-3</v>
      </c>
      <c r="Z938" s="845">
        <v>4115.6768000000002</v>
      </c>
      <c r="AA938" s="846">
        <f t="shared" si="164"/>
        <v>-2.9441620873031926E-3</v>
      </c>
      <c r="AB938" s="843"/>
    </row>
    <row r="939" spans="1:28" ht="14.4" x14ac:dyDescent="0.55000000000000004">
      <c r="A939" s="857" t="s">
        <v>6098</v>
      </c>
      <c r="B939" s="842">
        <v>99.14</v>
      </c>
      <c r="C939" s="843">
        <f t="shared" si="155"/>
        <v>6.3952898182924045E-3</v>
      </c>
      <c r="D939" s="842">
        <v>42.34</v>
      </c>
      <c r="E939" s="843">
        <f t="shared" si="156"/>
        <v>-5.8699225170227853E-3</v>
      </c>
      <c r="F939" s="842">
        <v>25.25</v>
      </c>
      <c r="G939" s="843">
        <f t="shared" si="156"/>
        <v>-7.8585461689587577E-3</v>
      </c>
      <c r="H939" s="842">
        <v>54.49</v>
      </c>
      <c r="I939" s="843">
        <f t="shared" si="156"/>
        <v>4.9797122832904162E-3</v>
      </c>
      <c r="J939" s="842">
        <v>73.849999999999994</v>
      </c>
      <c r="K939" s="843">
        <f t="shared" si="157"/>
        <v>-4.7169811320756372E-3</v>
      </c>
      <c r="L939" s="842">
        <v>67.75</v>
      </c>
      <c r="M939" s="843">
        <f t="shared" si="158"/>
        <v>-1.6405342624854713E-2</v>
      </c>
      <c r="N939" s="842">
        <v>73.72</v>
      </c>
      <c r="O939" s="843">
        <f t="shared" si="159"/>
        <v>-1.0204081632653184E-2</v>
      </c>
      <c r="P939" s="844">
        <f t="shared" si="165"/>
        <v>-4.8114102819974648E-3</v>
      </c>
      <c r="Q939" s="830"/>
      <c r="R939" s="845">
        <v>898.99</v>
      </c>
      <c r="S939" s="846">
        <f t="shared" si="160"/>
        <v>-4.4474588332088505E-4</v>
      </c>
      <c r="T939" s="845">
        <v>65.36</v>
      </c>
      <c r="U939" s="846">
        <f t="shared" si="161"/>
        <v>-1.5297537096536917E-4</v>
      </c>
      <c r="V939" s="845">
        <v>103.3139</v>
      </c>
      <c r="W939" s="846">
        <f t="shared" si="162"/>
        <v>6.3950577357307914E-3</v>
      </c>
      <c r="X939" s="845">
        <v>34060.660000000003</v>
      </c>
      <c r="Y939" s="846">
        <f t="shared" si="163"/>
        <v>-7.7817418482225564E-3</v>
      </c>
      <c r="Z939" s="845">
        <v>4127.8298000000004</v>
      </c>
      <c r="AA939" s="846">
        <f t="shared" si="164"/>
        <v>-8.5174695352149277E-3</v>
      </c>
      <c r="AB939" s="843"/>
    </row>
    <row r="940" spans="1:28" ht="14.4" x14ac:dyDescent="0.55000000000000004">
      <c r="A940" s="857" t="s">
        <v>6099</v>
      </c>
      <c r="B940" s="842">
        <v>98.51</v>
      </c>
      <c r="C940" s="843">
        <f t="shared" si="155"/>
        <v>-1.9410710730638936E-2</v>
      </c>
      <c r="D940" s="842">
        <v>42.59</v>
      </c>
      <c r="E940" s="843">
        <f t="shared" si="156"/>
        <v>-1.3435255964790338E-2</v>
      </c>
      <c r="F940" s="842">
        <v>25.45</v>
      </c>
      <c r="G940" s="843">
        <f t="shared" si="156"/>
        <v>-1.1650485436893177E-2</v>
      </c>
      <c r="H940" s="842">
        <v>54.22</v>
      </c>
      <c r="I940" s="843">
        <f t="shared" si="156"/>
        <v>-8.2312054143041102E-3</v>
      </c>
      <c r="J940" s="842">
        <v>74.2</v>
      </c>
      <c r="K940" s="843">
        <f t="shared" si="157"/>
        <v>-2.1108179419525031E-2</v>
      </c>
      <c r="L940" s="842">
        <v>68.88</v>
      </c>
      <c r="M940" s="843">
        <f t="shared" si="158"/>
        <v>-1.4028056112224463E-2</v>
      </c>
      <c r="N940" s="842">
        <v>74.48</v>
      </c>
      <c r="O940" s="843">
        <f t="shared" si="159"/>
        <v>-1.3117795150390799E-2</v>
      </c>
      <c r="P940" s="844">
        <f t="shared" si="165"/>
        <v>-1.4425955461252407E-2</v>
      </c>
      <c r="Q940" s="830"/>
      <c r="R940" s="845">
        <v>899.39</v>
      </c>
      <c r="S940" s="846">
        <f t="shared" si="160"/>
        <v>-9.1877540678395597E-3</v>
      </c>
      <c r="T940" s="845">
        <v>65.37</v>
      </c>
      <c r="U940" s="846">
        <f t="shared" si="161"/>
        <v>-8.1929904415110055E-3</v>
      </c>
      <c r="V940" s="845">
        <v>102.6574</v>
      </c>
      <c r="W940" s="846">
        <f t="shared" si="162"/>
        <v>-1.9410733645685574E-2</v>
      </c>
      <c r="X940" s="845">
        <v>34327.79</v>
      </c>
      <c r="Y940" s="846">
        <f t="shared" si="163"/>
        <v>-1.5804721813336142E-3</v>
      </c>
      <c r="Z940" s="845">
        <v>4163.2905000000001</v>
      </c>
      <c r="AA940" s="846">
        <f t="shared" si="164"/>
        <v>-2.5308982410284786E-3</v>
      </c>
      <c r="AB940" s="843"/>
    </row>
    <row r="941" spans="1:28" ht="14.4" x14ac:dyDescent="0.55000000000000004">
      <c r="A941" s="857" t="s">
        <v>6100</v>
      </c>
      <c r="B941" s="842">
        <v>100.46</v>
      </c>
      <c r="C941" s="843">
        <f t="shared" si="155"/>
        <v>-1.4909054765928076E-3</v>
      </c>
      <c r="D941" s="842">
        <v>43.17</v>
      </c>
      <c r="E941" s="843">
        <f t="shared" si="156"/>
        <v>1.3917884481560172E-3</v>
      </c>
      <c r="F941" s="842">
        <v>25.75</v>
      </c>
      <c r="G941" s="843">
        <f t="shared" si="156"/>
        <v>-3.8819875776407997E-4</v>
      </c>
      <c r="H941" s="842">
        <v>54.67</v>
      </c>
      <c r="I941" s="843">
        <f t="shared" si="156"/>
        <v>-6.7223837209301474E-3</v>
      </c>
      <c r="J941" s="842">
        <v>75.8</v>
      </c>
      <c r="K941" s="843">
        <f t="shared" si="157"/>
        <v>-1.4304291287386306E-2</v>
      </c>
      <c r="L941" s="842">
        <v>69.86</v>
      </c>
      <c r="M941" s="843">
        <f t="shared" si="158"/>
        <v>-2.634146341463417E-2</v>
      </c>
      <c r="N941" s="842">
        <v>75.47</v>
      </c>
      <c r="O941" s="843">
        <f t="shared" si="159"/>
        <v>-3.9735099337745439E-4</v>
      </c>
      <c r="P941" s="844">
        <f t="shared" si="165"/>
        <v>-6.8932578860755643E-3</v>
      </c>
      <c r="Q941" s="830"/>
      <c r="R941" s="845">
        <v>907.73</v>
      </c>
      <c r="S941" s="846">
        <f t="shared" si="160"/>
        <v>2.8946757852637006E-3</v>
      </c>
      <c r="T941" s="845">
        <v>65.91</v>
      </c>
      <c r="U941" s="846">
        <f t="shared" si="161"/>
        <v>4.8787924988564768E-3</v>
      </c>
      <c r="V941" s="845">
        <v>104.6895</v>
      </c>
      <c r="W941" s="846">
        <f t="shared" si="162"/>
        <v>-1.4907607171674719E-3</v>
      </c>
      <c r="X941" s="845">
        <v>34382.129999999997</v>
      </c>
      <c r="Y941" s="846">
        <f t="shared" si="163"/>
        <v>1.0601546965223418E-2</v>
      </c>
      <c r="Z941" s="845">
        <v>4173.8540999999996</v>
      </c>
      <c r="AA941" s="846">
        <f t="shared" si="164"/>
        <v>1.4919917247335768E-2</v>
      </c>
      <c r="AB941" s="843"/>
    </row>
    <row r="942" spans="1:28" ht="14.4" x14ac:dyDescent="0.55000000000000004">
      <c r="A942" s="857" t="s">
        <v>6101</v>
      </c>
      <c r="B942" s="842">
        <v>100.61</v>
      </c>
      <c r="C942" s="843">
        <f t="shared" si="155"/>
        <v>1.3702770780856355E-2</v>
      </c>
      <c r="D942" s="842">
        <v>43.11</v>
      </c>
      <c r="E942" s="843">
        <f t="shared" si="156"/>
        <v>3.1339712918660334E-2</v>
      </c>
      <c r="F942" s="842">
        <v>25.76</v>
      </c>
      <c r="G942" s="843">
        <f t="shared" si="156"/>
        <v>1.4173228346456845E-2</v>
      </c>
      <c r="H942" s="842">
        <v>55.04</v>
      </c>
      <c r="I942" s="843">
        <f t="shared" si="156"/>
        <v>3.3033033033033066E-2</v>
      </c>
      <c r="J942" s="842">
        <v>76.900000000000006</v>
      </c>
      <c r="K942" s="843">
        <f t="shared" si="157"/>
        <v>1.625479053786183E-2</v>
      </c>
      <c r="L942" s="842">
        <v>71.75</v>
      </c>
      <c r="M942" s="843">
        <f t="shared" si="158"/>
        <v>4.1515459428073775E-2</v>
      </c>
      <c r="N942" s="842">
        <v>75.5</v>
      </c>
      <c r="O942" s="843">
        <f t="shared" si="159"/>
        <v>2.0408163265306145E-2</v>
      </c>
      <c r="P942" s="844">
        <f t="shared" si="165"/>
        <v>2.434673690146405E-2</v>
      </c>
      <c r="Q942" s="830"/>
      <c r="R942" s="845">
        <v>905.11</v>
      </c>
      <c r="S942" s="846">
        <f t="shared" si="160"/>
        <v>1.8006973343830834E-2</v>
      </c>
      <c r="T942" s="845">
        <v>65.59</v>
      </c>
      <c r="U942" s="846">
        <f t="shared" si="161"/>
        <v>1.9269619269619342E-2</v>
      </c>
      <c r="V942" s="845">
        <v>104.8458</v>
      </c>
      <c r="W942" s="846">
        <f t="shared" si="162"/>
        <v>1.3703186259106603E-2</v>
      </c>
      <c r="X942" s="845">
        <v>34021.449999999997</v>
      </c>
      <c r="Y942" s="846">
        <f t="shared" si="163"/>
        <v>1.291515991289649E-2</v>
      </c>
      <c r="Z942" s="845">
        <v>4112.4960000000001</v>
      </c>
      <c r="AA942" s="846">
        <f t="shared" si="164"/>
        <v>1.2172689799423209E-2</v>
      </c>
      <c r="AB942" s="843"/>
    </row>
    <row r="943" spans="1:28" ht="14.4" x14ac:dyDescent="0.55000000000000004">
      <c r="A943" s="857" t="s">
        <v>6102</v>
      </c>
      <c r="B943" s="842">
        <v>99.25</v>
      </c>
      <c r="C943" s="843">
        <f t="shared" si="155"/>
        <v>-2.0333629454150626E-2</v>
      </c>
      <c r="D943" s="842">
        <v>41.8</v>
      </c>
      <c r="E943" s="843">
        <f t="shared" si="156"/>
        <v>-3.5977859778597798E-2</v>
      </c>
      <c r="F943" s="842">
        <v>25.4</v>
      </c>
      <c r="G943" s="843">
        <f t="shared" si="156"/>
        <v>-1.5885315769081809E-2</v>
      </c>
      <c r="H943" s="842">
        <v>53.28</v>
      </c>
      <c r="I943" s="843">
        <f t="shared" si="156"/>
        <v>-2.578167855183755E-2</v>
      </c>
      <c r="J943" s="842">
        <v>75.67</v>
      </c>
      <c r="K943" s="843">
        <f t="shared" si="157"/>
        <v>-3.3218346748434824E-2</v>
      </c>
      <c r="L943" s="842">
        <v>68.89</v>
      </c>
      <c r="M943" s="843">
        <f t="shared" si="158"/>
        <v>-2.5601131541725608E-2</v>
      </c>
      <c r="N943" s="842">
        <v>73.989999999999995</v>
      </c>
      <c r="O943" s="843">
        <f t="shared" si="159"/>
        <v>-3.3946990468729732E-2</v>
      </c>
      <c r="P943" s="844">
        <f t="shared" si="165"/>
        <v>-2.7249278901793992E-2</v>
      </c>
      <c r="Q943" s="830"/>
      <c r="R943" s="845">
        <v>889.1</v>
      </c>
      <c r="S943" s="846">
        <f t="shared" si="160"/>
        <v>-2.3117322609708335E-2</v>
      </c>
      <c r="T943" s="845">
        <v>64.349999999999994</v>
      </c>
      <c r="U943" s="846">
        <f t="shared" si="161"/>
        <v>-2.3372287145242199E-2</v>
      </c>
      <c r="V943" s="845">
        <v>103.4285</v>
      </c>
      <c r="W943" s="846">
        <f t="shared" si="162"/>
        <v>-2.0333373746864725E-2</v>
      </c>
      <c r="X943" s="845">
        <v>33587.660000000003</v>
      </c>
      <c r="Y943" s="846">
        <f t="shared" si="163"/>
        <v>-1.9886685287879846E-2</v>
      </c>
      <c r="Z943" s="845">
        <v>4063.0378999999998</v>
      </c>
      <c r="AA943" s="846">
        <f t="shared" si="164"/>
        <v>-2.144878514710391E-2</v>
      </c>
      <c r="AB943" s="843"/>
    </row>
    <row r="944" spans="1:28" ht="14.4" x14ac:dyDescent="0.55000000000000004">
      <c r="A944" s="857" t="s">
        <v>6103</v>
      </c>
      <c r="B944" s="842">
        <v>101.31</v>
      </c>
      <c r="C944" s="843">
        <f t="shared" si="155"/>
        <v>-2.1253985122210439E-2</v>
      </c>
      <c r="D944" s="842">
        <v>43.36</v>
      </c>
      <c r="E944" s="843">
        <f t="shared" si="156"/>
        <v>-1.611789085885329E-3</v>
      </c>
      <c r="F944" s="842">
        <v>25.81</v>
      </c>
      <c r="G944" s="843">
        <f t="shared" si="156"/>
        <v>-2.4933887419720469E-2</v>
      </c>
      <c r="H944" s="842">
        <v>54.69</v>
      </c>
      <c r="I944" s="843">
        <f t="shared" si="156"/>
        <v>-1.0672937771345925E-2</v>
      </c>
      <c r="J944" s="842">
        <v>78.27</v>
      </c>
      <c r="K944" s="843">
        <f t="shared" si="157"/>
        <v>-1.1118130132659609E-2</v>
      </c>
      <c r="L944" s="842">
        <v>70.7</v>
      </c>
      <c r="M944" s="843">
        <f t="shared" si="158"/>
        <v>-1.6689847009735748E-2</v>
      </c>
      <c r="N944" s="842">
        <v>76.59</v>
      </c>
      <c r="O944" s="843">
        <f t="shared" si="159"/>
        <v>-9.0567990684435884E-3</v>
      </c>
      <c r="P944" s="844">
        <f t="shared" si="165"/>
        <v>-1.3619625087143015E-2</v>
      </c>
      <c r="Q944" s="830"/>
      <c r="R944" s="845">
        <v>910.14</v>
      </c>
      <c r="S944" s="846">
        <f t="shared" si="160"/>
        <v>-1.0642114073896924E-2</v>
      </c>
      <c r="T944" s="845">
        <v>65.89</v>
      </c>
      <c r="U944" s="846">
        <f t="shared" si="161"/>
        <v>-1.2292010193374225E-2</v>
      </c>
      <c r="V944" s="845">
        <v>105.5752</v>
      </c>
      <c r="W944" s="846">
        <f t="shared" si="162"/>
        <v>-2.1254701352302341E-2</v>
      </c>
      <c r="X944" s="845">
        <v>34269.160000000003</v>
      </c>
      <c r="Y944" s="846">
        <f t="shared" si="163"/>
        <v>-1.3633320496148404E-2</v>
      </c>
      <c r="Z944" s="845">
        <v>4152.0953</v>
      </c>
      <c r="AA944" s="846">
        <f t="shared" si="164"/>
        <v>-8.6743776118545224E-3</v>
      </c>
      <c r="AB944" s="843"/>
    </row>
    <row r="945" spans="1:28" ht="14.4" x14ac:dyDescent="0.55000000000000004">
      <c r="A945" s="857" t="s">
        <v>6104</v>
      </c>
      <c r="B945" s="842">
        <v>103.51</v>
      </c>
      <c r="C945" s="843">
        <f t="shared" si="155"/>
        <v>4.9514563106796139E-3</v>
      </c>
      <c r="D945" s="842">
        <v>43.43</v>
      </c>
      <c r="E945" s="843">
        <f t="shared" si="156"/>
        <v>-1.8386577798207293E-3</v>
      </c>
      <c r="F945" s="842">
        <v>26.47</v>
      </c>
      <c r="G945" s="843">
        <f t="shared" si="156"/>
        <v>1.886066204772896E-2</v>
      </c>
      <c r="H945" s="842">
        <v>55.28</v>
      </c>
      <c r="I945" s="843">
        <f t="shared" si="156"/>
        <v>3.4489017970593672E-3</v>
      </c>
      <c r="J945" s="842">
        <v>79.150000000000006</v>
      </c>
      <c r="K945" s="843">
        <f t="shared" si="157"/>
        <v>9.6951141727261714E-3</v>
      </c>
      <c r="L945" s="842">
        <v>71.900000000000006</v>
      </c>
      <c r="M945" s="843">
        <f t="shared" si="158"/>
        <v>2.1742219695893183E-2</v>
      </c>
      <c r="N945" s="842">
        <v>77.290000000000006</v>
      </c>
      <c r="O945" s="843">
        <f t="shared" si="159"/>
        <v>1.8447753327184069E-2</v>
      </c>
      <c r="P945" s="844">
        <f t="shared" si="165"/>
        <v>1.0758207081635805E-2</v>
      </c>
      <c r="Q945" s="830"/>
      <c r="R945" s="845">
        <v>919.93</v>
      </c>
      <c r="S945" s="846">
        <f t="shared" si="160"/>
        <v>1.1023189361468289E-2</v>
      </c>
      <c r="T945" s="845">
        <v>66.709999999999994</v>
      </c>
      <c r="U945" s="846">
        <f t="shared" si="161"/>
        <v>1.0145366444578752E-2</v>
      </c>
      <c r="V945" s="845">
        <v>107.86790000000001</v>
      </c>
      <c r="W945" s="846">
        <f t="shared" si="162"/>
        <v>4.9517218762693549E-3</v>
      </c>
      <c r="X945" s="845">
        <v>34742.82</v>
      </c>
      <c r="Y945" s="846">
        <f t="shared" si="163"/>
        <v>-1.0046650503080512E-3</v>
      </c>
      <c r="Z945" s="845">
        <v>4188.4273000000003</v>
      </c>
      <c r="AA945" s="846">
        <f t="shared" si="164"/>
        <v>-1.0436631240541394E-2</v>
      </c>
      <c r="AB945" s="843"/>
    </row>
    <row r="946" spans="1:28" ht="14.4" x14ac:dyDescent="0.55000000000000004">
      <c r="A946" s="857" t="s">
        <v>6105</v>
      </c>
      <c r="B946" s="842">
        <v>103</v>
      </c>
      <c r="C946" s="843">
        <f t="shared" si="155"/>
        <v>-3.3865505563618337E-3</v>
      </c>
      <c r="D946" s="842">
        <v>43.51</v>
      </c>
      <c r="E946" s="843">
        <f t="shared" si="156"/>
        <v>1.1860465116279029E-2</v>
      </c>
      <c r="F946" s="842">
        <v>25.98</v>
      </c>
      <c r="G946" s="843">
        <f t="shared" si="156"/>
        <v>8.5403726708073169E-3</v>
      </c>
      <c r="H946" s="842">
        <v>55.09</v>
      </c>
      <c r="I946" s="843">
        <f t="shared" si="156"/>
        <v>7.6824583866836882E-3</v>
      </c>
      <c r="J946" s="842">
        <v>78.39</v>
      </c>
      <c r="K946" s="843">
        <f t="shared" si="157"/>
        <v>3.7131882202305899E-3</v>
      </c>
      <c r="L946" s="842">
        <v>70.37</v>
      </c>
      <c r="M946" s="843">
        <f t="shared" si="158"/>
        <v>2.7073240239383622E-3</v>
      </c>
      <c r="N946" s="842">
        <v>75.89</v>
      </c>
      <c r="O946" s="843">
        <f t="shared" si="159"/>
        <v>-6.8053919644025518E-3</v>
      </c>
      <c r="P946" s="844">
        <f t="shared" si="165"/>
        <v>3.4731236995963716E-3</v>
      </c>
      <c r="Q946" s="830"/>
      <c r="R946" s="845">
        <v>909.9</v>
      </c>
      <c r="S946" s="846">
        <f t="shared" si="160"/>
        <v>1.1883541295305555E-3</v>
      </c>
      <c r="T946" s="845">
        <v>66.040000000000006</v>
      </c>
      <c r="U946" s="846">
        <f t="shared" si="161"/>
        <v>3.0376670716889542E-3</v>
      </c>
      <c r="V946" s="845">
        <v>107.3364</v>
      </c>
      <c r="W946" s="846">
        <f t="shared" si="162"/>
        <v>-3.3862235390353934E-3</v>
      </c>
      <c r="X946" s="845">
        <v>34777.760000000002</v>
      </c>
      <c r="Y946" s="846">
        <f t="shared" si="163"/>
        <v>6.6350145722553489E-3</v>
      </c>
      <c r="Z946" s="845">
        <v>4232.6013999999996</v>
      </c>
      <c r="AA946" s="846">
        <f t="shared" si="164"/>
        <v>7.3739673860939714E-3</v>
      </c>
      <c r="AB946" s="843"/>
    </row>
    <row r="947" spans="1:28" ht="14.4" x14ac:dyDescent="0.55000000000000004">
      <c r="A947" s="857" t="s">
        <v>6106</v>
      </c>
      <c r="B947" s="842">
        <v>103.35</v>
      </c>
      <c r="C947" s="843">
        <f t="shared" si="155"/>
        <v>7.9976592216910447E-3</v>
      </c>
      <c r="D947" s="842">
        <v>43</v>
      </c>
      <c r="E947" s="843">
        <f t="shared" si="156"/>
        <v>2.3078753271472685E-2</v>
      </c>
      <c r="F947" s="842">
        <v>25.76</v>
      </c>
      <c r="G947" s="843">
        <f t="shared" si="156"/>
        <v>-7.7579519006976128E-4</v>
      </c>
      <c r="H947" s="842">
        <v>54.67</v>
      </c>
      <c r="I947" s="843">
        <f t="shared" si="156"/>
        <v>1.2219959266802416E-2</v>
      </c>
      <c r="J947" s="842">
        <v>78.099999999999994</v>
      </c>
      <c r="K947" s="843">
        <f t="shared" si="157"/>
        <v>4.2432814710042788E-3</v>
      </c>
      <c r="L947" s="842">
        <v>70.180000000000007</v>
      </c>
      <c r="M947" s="843">
        <f t="shared" si="158"/>
        <v>1.2260204817539533E-2</v>
      </c>
      <c r="N947" s="842">
        <v>76.41</v>
      </c>
      <c r="O947" s="843">
        <f t="shared" si="159"/>
        <v>1.4741035856573603E-2</v>
      </c>
      <c r="P947" s="844">
        <f t="shared" si="165"/>
        <v>1.0537871245001971E-2</v>
      </c>
      <c r="Q947" s="830"/>
      <c r="R947" s="845">
        <v>908.82</v>
      </c>
      <c r="S947" s="846">
        <f t="shared" si="160"/>
        <v>7.2259780560790521E-3</v>
      </c>
      <c r="T947" s="845">
        <v>65.84</v>
      </c>
      <c r="U947" s="846">
        <f t="shared" si="161"/>
        <v>7.6522803795531225E-3</v>
      </c>
      <c r="V947" s="845">
        <v>107.7011</v>
      </c>
      <c r="W947" s="846">
        <f t="shared" si="162"/>
        <v>7.9974468069174964E-3</v>
      </c>
      <c r="X947" s="845">
        <v>34548.53</v>
      </c>
      <c r="Y947" s="846">
        <f t="shared" si="163"/>
        <v>9.2955547622373125E-3</v>
      </c>
      <c r="Z947" s="845">
        <v>4201.6188000000002</v>
      </c>
      <c r="AA947" s="846">
        <f t="shared" si="164"/>
        <v>8.1656348067820073E-3</v>
      </c>
      <c r="AB947" s="843"/>
    </row>
    <row r="948" spans="1:28" ht="14.4" x14ac:dyDescent="0.55000000000000004">
      <c r="A948" s="857" t="s">
        <v>6107</v>
      </c>
      <c r="B948" s="842">
        <v>102.53</v>
      </c>
      <c r="C948" s="843">
        <f t="shared" si="155"/>
        <v>-9.8503138580395833E-3</v>
      </c>
      <c r="D948" s="842">
        <v>42.03</v>
      </c>
      <c r="E948" s="843">
        <f t="shared" si="156"/>
        <v>-1.9365375641623883E-2</v>
      </c>
      <c r="F948" s="842">
        <v>25.78</v>
      </c>
      <c r="G948" s="843">
        <f t="shared" si="156"/>
        <v>-6.168080185042446E-3</v>
      </c>
      <c r="H948" s="842">
        <v>54.01</v>
      </c>
      <c r="I948" s="843">
        <f t="shared" si="156"/>
        <v>-5.5514433752779091E-4</v>
      </c>
      <c r="J948" s="842">
        <v>77.77</v>
      </c>
      <c r="K948" s="843">
        <f t="shared" si="157"/>
        <v>-2.5194284281774948E-2</v>
      </c>
      <c r="L948" s="842">
        <v>69.33</v>
      </c>
      <c r="M948" s="843">
        <f t="shared" si="158"/>
        <v>-1.3236549957301502E-2</v>
      </c>
      <c r="N948" s="842">
        <v>75.3</v>
      </c>
      <c r="O948" s="843">
        <f t="shared" si="159"/>
        <v>-7.6436478650500073E-3</v>
      </c>
      <c r="P948" s="844">
        <f t="shared" si="165"/>
        <v>-1.1716199446622879E-2</v>
      </c>
      <c r="Q948" s="830"/>
      <c r="R948" s="845">
        <v>902.3</v>
      </c>
      <c r="S948" s="846">
        <f t="shared" si="160"/>
        <v>-1.6298718997001971E-2</v>
      </c>
      <c r="T948" s="845">
        <v>65.34</v>
      </c>
      <c r="U948" s="846">
        <f t="shared" si="161"/>
        <v>-1.6852241950044977E-2</v>
      </c>
      <c r="V948" s="845">
        <v>106.8466</v>
      </c>
      <c r="W948" s="846">
        <f t="shared" si="162"/>
        <v>-9.8499205352633457E-3</v>
      </c>
      <c r="X948" s="845">
        <v>34230.339999999997</v>
      </c>
      <c r="Y948" s="846">
        <f t="shared" si="163"/>
        <v>2.8509042414341934E-3</v>
      </c>
      <c r="Z948" s="845">
        <v>4167.5878000000002</v>
      </c>
      <c r="AA948" s="846">
        <f t="shared" si="164"/>
        <v>7.0325085439182367E-4</v>
      </c>
      <c r="AB948" s="843"/>
    </row>
    <row r="949" spans="1:28" ht="14.4" x14ac:dyDescent="0.55000000000000004">
      <c r="A949" s="857" t="s">
        <v>6108</v>
      </c>
      <c r="B949" s="842">
        <v>103.55</v>
      </c>
      <c r="C949" s="843">
        <f t="shared" si="155"/>
        <v>-2.3123614991811259E-3</v>
      </c>
      <c r="D949" s="842">
        <v>42.86</v>
      </c>
      <c r="E949" s="843">
        <f t="shared" si="156"/>
        <v>-6.260143751449232E-3</v>
      </c>
      <c r="F949" s="842">
        <v>25.94</v>
      </c>
      <c r="G949" s="843">
        <f t="shared" si="156"/>
        <v>1.544401544401719E-3</v>
      </c>
      <c r="H949" s="842">
        <v>54.04</v>
      </c>
      <c r="I949" s="843">
        <f t="shared" si="156"/>
        <v>-6.6176470588235059E-3</v>
      </c>
      <c r="J949" s="842">
        <v>79.78</v>
      </c>
      <c r="K949" s="843">
        <f t="shared" si="157"/>
        <v>-9.9280218416479826E-3</v>
      </c>
      <c r="L949" s="842">
        <v>70.260000000000005</v>
      </c>
      <c r="M949" s="843">
        <f t="shared" si="158"/>
        <v>-9.1665491468057025E-3</v>
      </c>
      <c r="N949" s="842">
        <v>75.88</v>
      </c>
      <c r="O949" s="843">
        <f t="shared" si="159"/>
        <v>-2.635046113308448E-4</v>
      </c>
      <c r="P949" s="844">
        <f t="shared" si="165"/>
        <v>-4.7148323378338108E-3</v>
      </c>
      <c r="Q949" s="830"/>
      <c r="R949" s="845">
        <v>917.25</v>
      </c>
      <c r="S949" s="846">
        <f t="shared" si="160"/>
        <v>-2.7506577659874853E-3</v>
      </c>
      <c r="T949" s="845">
        <v>66.459999999999994</v>
      </c>
      <c r="U949" s="846">
        <f t="shared" si="161"/>
        <v>-3.7475640833458668E-3</v>
      </c>
      <c r="V949" s="845">
        <v>107.90949999999999</v>
      </c>
      <c r="W949" s="846">
        <f t="shared" si="162"/>
        <v>-2.3123236402501357E-3</v>
      </c>
      <c r="X949" s="845">
        <v>34133.03</v>
      </c>
      <c r="Y949" s="846">
        <f t="shared" si="163"/>
        <v>5.8041997195790174E-4</v>
      </c>
      <c r="Z949" s="845">
        <v>4164.6589999999997</v>
      </c>
      <c r="AA949" s="846">
        <f t="shared" si="164"/>
        <v>-6.6780077629043921E-3</v>
      </c>
      <c r="AB949" s="843"/>
    </row>
    <row r="950" spans="1:28" ht="14.4" x14ac:dyDescent="0.55000000000000004">
      <c r="A950" s="857" t="s">
        <v>6109</v>
      </c>
      <c r="B950" s="842">
        <v>103.79</v>
      </c>
      <c r="C950" s="843">
        <f t="shared" si="155"/>
        <v>1.9306882903755707E-3</v>
      </c>
      <c r="D950" s="842">
        <v>43.13</v>
      </c>
      <c r="E950" s="843">
        <f t="shared" si="156"/>
        <v>2.8128724672228822E-2</v>
      </c>
      <c r="F950" s="842">
        <v>25.9</v>
      </c>
      <c r="G950" s="843">
        <f t="shared" si="156"/>
        <v>-4.6118370484242721E-3</v>
      </c>
      <c r="H950" s="842">
        <v>54.4</v>
      </c>
      <c r="I950" s="843">
        <f t="shared" si="156"/>
        <v>8.9020771513352859E-3</v>
      </c>
      <c r="J950" s="842">
        <v>80.58</v>
      </c>
      <c r="K950" s="843">
        <f t="shared" si="157"/>
        <v>1.366969056791234E-3</v>
      </c>
      <c r="L950" s="842">
        <v>70.91</v>
      </c>
      <c r="M950" s="843">
        <f t="shared" si="158"/>
        <v>1.7068273092369468E-2</v>
      </c>
      <c r="N950" s="842">
        <v>75.900000000000006</v>
      </c>
      <c r="O950" s="843">
        <f t="shared" si="159"/>
        <v>7.4329705335811624E-3</v>
      </c>
      <c r="P950" s="844">
        <f t="shared" si="165"/>
        <v>8.6025522497510387E-3</v>
      </c>
      <c r="Q950" s="830"/>
      <c r="R950" s="845">
        <v>919.78</v>
      </c>
      <c r="S950" s="846">
        <f t="shared" si="160"/>
        <v>5.7655697579539478E-4</v>
      </c>
      <c r="T950" s="845">
        <v>66.709999999999994</v>
      </c>
      <c r="U950" s="846">
        <f t="shared" si="161"/>
        <v>-1.4988009592331597E-4</v>
      </c>
      <c r="V950" s="845">
        <v>108.1596</v>
      </c>
      <c r="W950" s="846">
        <f t="shared" si="162"/>
        <v>1.9305019305018156E-3</v>
      </c>
      <c r="X950" s="845">
        <v>34113.230000000003</v>
      </c>
      <c r="Y950" s="846">
        <f t="shared" si="163"/>
        <v>7.0370196746543101E-3</v>
      </c>
      <c r="Z950" s="845">
        <v>4192.6575999999995</v>
      </c>
      <c r="AA950" s="846">
        <f t="shared" si="164"/>
        <v>2.7462854998003827E-3</v>
      </c>
      <c r="AB950" s="843"/>
    </row>
    <row r="951" spans="1:28" ht="14.4" x14ac:dyDescent="0.55000000000000004">
      <c r="A951" s="857" t="s">
        <v>6110</v>
      </c>
      <c r="B951" s="842">
        <v>103.59</v>
      </c>
      <c r="C951" s="843">
        <f t="shared" si="155"/>
        <v>1.3799177921315353E-2</v>
      </c>
      <c r="D951" s="842">
        <v>41.95</v>
      </c>
      <c r="E951" s="843">
        <f t="shared" si="156"/>
        <v>-6.1596778014687548E-3</v>
      </c>
      <c r="F951" s="842">
        <v>26.02</v>
      </c>
      <c r="G951" s="843">
        <f t="shared" si="156"/>
        <v>1.0093167701863193E-2</v>
      </c>
      <c r="H951" s="842">
        <v>53.92</v>
      </c>
      <c r="I951" s="843">
        <f t="shared" si="156"/>
        <v>1.1139992573339086E-3</v>
      </c>
      <c r="J951" s="842">
        <v>80.47</v>
      </c>
      <c r="K951" s="843">
        <f t="shared" si="157"/>
        <v>4.7446622549631723E-3</v>
      </c>
      <c r="L951" s="842">
        <v>69.72</v>
      </c>
      <c r="M951" s="843">
        <f t="shared" si="158"/>
        <v>-1.7182130584193489E-3</v>
      </c>
      <c r="N951" s="842">
        <v>75.34</v>
      </c>
      <c r="O951" s="843">
        <f t="shared" si="159"/>
        <v>3.5966431330758386E-3</v>
      </c>
      <c r="P951" s="844">
        <f t="shared" si="165"/>
        <v>3.6385370583804804E-3</v>
      </c>
      <c r="Q951" s="830"/>
      <c r="R951" s="845">
        <v>919.25</v>
      </c>
      <c r="S951" s="846">
        <f t="shared" si="160"/>
        <v>8.9895286808772124E-3</v>
      </c>
      <c r="T951" s="845">
        <v>66.72</v>
      </c>
      <c r="U951" s="846">
        <f t="shared" si="161"/>
        <v>7.8549848942597311E-3</v>
      </c>
      <c r="V951" s="845">
        <v>107.9512</v>
      </c>
      <c r="W951" s="846">
        <f t="shared" si="162"/>
        <v>1.3798589243805726E-2</v>
      </c>
      <c r="X951" s="845">
        <v>33874.851999999999</v>
      </c>
      <c r="Y951" s="846">
        <f t="shared" si="163"/>
        <v>-5.4464485988992006E-3</v>
      </c>
      <c r="Z951" s="845">
        <v>4181.1749</v>
      </c>
      <c r="AA951" s="846">
        <f t="shared" si="164"/>
        <v>-7.1946291309964439E-3</v>
      </c>
      <c r="AB951" s="843"/>
    </row>
    <row r="952" spans="1:28" ht="14.4" x14ac:dyDescent="0.55000000000000004">
      <c r="A952" s="857" t="s">
        <v>6111</v>
      </c>
      <c r="B952" s="842">
        <v>102.18</v>
      </c>
      <c r="C952" s="843">
        <f t="shared" si="155"/>
        <v>1.874376869391825E-2</v>
      </c>
      <c r="D952" s="842">
        <v>42.21</v>
      </c>
      <c r="E952" s="843">
        <f t="shared" si="156"/>
        <v>1.5151515151515138E-2</v>
      </c>
      <c r="F952" s="842">
        <v>25.76</v>
      </c>
      <c r="G952" s="843">
        <f t="shared" si="156"/>
        <v>5.8570870753613669E-3</v>
      </c>
      <c r="H952" s="842">
        <v>53.86</v>
      </c>
      <c r="I952" s="843">
        <f t="shared" si="156"/>
        <v>1.6737957969126249E-3</v>
      </c>
      <c r="J952" s="842">
        <v>80.09</v>
      </c>
      <c r="K952" s="843">
        <f t="shared" si="157"/>
        <v>1.443951868271065E-2</v>
      </c>
      <c r="L952" s="842">
        <v>69.84</v>
      </c>
      <c r="M952" s="843">
        <f t="shared" si="158"/>
        <v>8.083140877598094E-3</v>
      </c>
      <c r="N952" s="842">
        <v>75.069999999999993</v>
      </c>
      <c r="O952" s="843">
        <f t="shared" si="159"/>
        <v>8.1923180230996095E-3</v>
      </c>
      <c r="P952" s="844">
        <f t="shared" si="165"/>
        <v>1.0305877757302248E-2</v>
      </c>
      <c r="Q952" s="830"/>
      <c r="R952" s="845">
        <v>911.06</v>
      </c>
      <c r="S952" s="846">
        <f t="shared" si="160"/>
        <v>9.1940272054586991E-3</v>
      </c>
      <c r="T952" s="845">
        <v>66.2</v>
      </c>
      <c r="U952" s="846">
        <f t="shared" si="161"/>
        <v>9.1463414634147533E-3</v>
      </c>
      <c r="V952" s="845">
        <v>106.4819</v>
      </c>
      <c r="W952" s="846">
        <f t="shared" si="162"/>
        <v>1.874425364059662E-2</v>
      </c>
      <c r="X952" s="845">
        <v>34060.36</v>
      </c>
      <c r="Y952" s="846">
        <f t="shared" si="163"/>
        <v>7.0957215737967871E-3</v>
      </c>
      <c r="Z952" s="845">
        <v>4211.4749000000002</v>
      </c>
      <c r="AA952" s="846">
        <f t="shared" si="164"/>
        <v>6.7632470298335523E-3</v>
      </c>
      <c r="AB952" s="843"/>
    </row>
    <row r="953" spans="1:28" ht="14.4" x14ac:dyDescent="0.55000000000000004">
      <c r="A953" s="857" t="s">
        <v>6112</v>
      </c>
      <c r="B953" s="842">
        <v>100.3</v>
      </c>
      <c r="C953" s="843">
        <f t="shared" si="155"/>
        <v>-1.1627906976744207E-2</v>
      </c>
      <c r="D953" s="842">
        <v>41.58</v>
      </c>
      <c r="E953" s="843">
        <f t="shared" si="156"/>
        <v>-3.833253473886078E-3</v>
      </c>
      <c r="F953" s="842">
        <v>25.61</v>
      </c>
      <c r="G953" s="843">
        <f t="shared" si="156"/>
        <v>1.9561815336464061E-3</v>
      </c>
      <c r="H953" s="842">
        <v>53.77</v>
      </c>
      <c r="I953" s="843">
        <f t="shared" si="156"/>
        <v>3.7334328915439308E-3</v>
      </c>
      <c r="J953" s="842">
        <v>78.95</v>
      </c>
      <c r="K953" s="843">
        <f t="shared" si="157"/>
        <v>2.2851339342389032E-3</v>
      </c>
      <c r="L953" s="842">
        <v>69.28</v>
      </c>
      <c r="M953" s="843">
        <f t="shared" si="158"/>
        <v>5.7770075101104545E-4</v>
      </c>
      <c r="N953" s="842">
        <v>74.459999999999994</v>
      </c>
      <c r="O953" s="843">
        <f t="shared" si="159"/>
        <v>-7.4646760863770201E-3</v>
      </c>
      <c r="P953" s="844">
        <f t="shared" si="165"/>
        <v>-2.0533410609381458E-3</v>
      </c>
      <c r="Q953" s="830"/>
      <c r="R953" s="845">
        <v>902.76</v>
      </c>
      <c r="S953" s="846">
        <f t="shared" si="160"/>
        <v>-2.1112670918677079E-3</v>
      </c>
      <c r="T953" s="845">
        <v>65.599999999999994</v>
      </c>
      <c r="U953" s="846">
        <f t="shared" si="161"/>
        <v>-1.3700715481809178E-3</v>
      </c>
      <c r="V953" s="845">
        <v>104.5227</v>
      </c>
      <c r="W953" s="846">
        <f t="shared" si="162"/>
        <v>-1.1628104894073288E-2</v>
      </c>
      <c r="X953" s="845">
        <v>33820.379999999997</v>
      </c>
      <c r="Y953" s="846">
        <f t="shared" si="163"/>
        <v>-4.8418519620314626E-3</v>
      </c>
      <c r="Z953" s="845">
        <v>4183.183</v>
      </c>
      <c r="AA953" s="846">
        <f t="shared" si="164"/>
        <v>-8.4438451099966283E-4</v>
      </c>
      <c r="AB953" s="843"/>
    </row>
    <row r="954" spans="1:28" ht="14.4" x14ac:dyDescent="0.55000000000000004">
      <c r="A954" s="857" t="s">
        <v>6113</v>
      </c>
      <c r="B954" s="842">
        <v>101.48</v>
      </c>
      <c r="C954" s="843">
        <f t="shared" si="155"/>
        <v>-9.0811444194902613E-3</v>
      </c>
      <c r="D954" s="842">
        <v>41.74</v>
      </c>
      <c r="E954" s="843">
        <f t="shared" si="156"/>
        <v>-1.1603125739995113E-2</v>
      </c>
      <c r="F954" s="842">
        <v>25.56</v>
      </c>
      <c r="G954" s="843">
        <f t="shared" si="156"/>
        <v>-4.2851577717181177E-3</v>
      </c>
      <c r="H954" s="842">
        <v>53.57</v>
      </c>
      <c r="I954" s="843">
        <f t="shared" si="156"/>
        <v>-1.6522856618321979E-2</v>
      </c>
      <c r="J954" s="842">
        <v>78.77</v>
      </c>
      <c r="K954" s="843">
        <f t="shared" si="157"/>
        <v>-1.5990006246096256E-2</v>
      </c>
      <c r="L954" s="842">
        <v>69.239999999999995</v>
      </c>
      <c r="M954" s="843">
        <f t="shared" si="158"/>
        <v>-2.3413258110014268E-2</v>
      </c>
      <c r="N954" s="842">
        <v>75.02</v>
      </c>
      <c r="O954" s="843">
        <f t="shared" si="159"/>
        <v>-6.2259901973771292E-3</v>
      </c>
      <c r="P954" s="844">
        <f t="shared" si="165"/>
        <v>-1.2445934157573304E-2</v>
      </c>
      <c r="Q954" s="830"/>
      <c r="R954" s="845">
        <v>904.67</v>
      </c>
      <c r="S954" s="846">
        <f t="shared" si="160"/>
        <v>-8.0372807017544678E-3</v>
      </c>
      <c r="T954" s="845">
        <v>65.69</v>
      </c>
      <c r="U954" s="846">
        <f t="shared" si="161"/>
        <v>-7.7039274924471934E-3</v>
      </c>
      <c r="V954" s="845">
        <v>105.75239999999999</v>
      </c>
      <c r="W954" s="846">
        <f t="shared" si="162"/>
        <v>-9.0815729899101916E-3</v>
      </c>
      <c r="X954" s="845">
        <v>33984.93</v>
      </c>
      <c r="Y954" s="846">
        <f t="shared" si="163"/>
        <v>9.8877126630814161E-5</v>
      </c>
      <c r="Z954" s="845">
        <v>4186.7182000000003</v>
      </c>
      <c r="AA954" s="846">
        <f t="shared" si="164"/>
        <v>-2.1475218307309696E-4</v>
      </c>
      <c r="AB954" s="843"/>
    </row>
    <row r="955" spans="1:28" ht="14.4" x14ac:dyDescent="0.55000000000000004">
      <c r="A955" s="857" t="s">
        <v>6114</v>
      </c>
      <c r="B955" s="842">
        <v>102.41</v>
      </c>
      <c r="C955" s="843">
        <f t="shared" si="155"/>
        <v>-9.0953072085147024E-3</v>
      </c>
      <c r="D955" s="842">
        <v>42.23</v>
      </c>
      <c r="E955" s="843">
        <f t="shared" si="156"/>
        <v>-1.4699020065329083E-2</v>
      </c>
      <c r="F955" s="842">
        <v>25.67</v>
      </c>
      <c r="G955" s="843">
        <f t="shared" si="156"/>
        <v>-1.9440124416795213E-3</v>
      </c>
      <c r="H955" s="842">
        <v>54.47</v>
      </c>
      <c r="I955" s="843">
        <f t="shared" si="156"/>
        <v>-1.4296055012667397E-2</v>
      </c>
      <c r="J955" s="842">
        <v>80.05</v>
      </c>
      <c r="K955" s="843">
        <f t="shared" si="157"/>
        <v>-1.4890475018459415E-2</v>
      </c>
      <c r="L955" s="842">
        <v>70.900000000000006</v>
      </c>
      <c r="M955" s="843">
        <f t="shared" si="158"/>
        <v>-1.4319477269567615E-2</v>
      </c>
      <c r="N955" s="842">
        <v>75.489999999999995</v>
      </c>
      <c r="O955" s="843">
        <f t="shared" si="159"/>
        <v>-1.1522849286369152E-2</v>
      </c>
      <c r="P955" s="844">
        <f t="shared" si="165"/>
        <v>-1.1538170900369555E-2</v>
      </c>
      <c r="Q955" s="830"/>
      <c r="R955" s="845">
        <v>912</v>
      </c>
      <c r="S955" s="846">
        <f t="shared" si="160"/>
        <v>-6.8172413042058011E-3</v>
      </c>
      <c r="T955" s="845">
        <v>66.2</v>
      </c>
      <c r="U955" s="846">
        <f t="shared" si="161"/>
        <v>-5.7074196455391135E-3</v>
      </c>
      <c r="V955" s="845">
        <v>106.7216</v>
      </c>
      <c r="W955" s="846">
        <f t="shared" si="162"/>
        <v>-9.094614632533915E-3</v>
      </c>
      <c r="X955" s="845">
        <v>33981.57</v>
      </c>
      <c r="Y955" s="846">
        <f t="shared" si="163"/>
        <v>-1.8188499475229047E-3</v>
      </c>
      <c r="Z955" s="845">
        <v>4187.6175000000003</v>
      </c>
      <c r="AA955" s="846">
        <f t="shared" si="164"/>
        <v>1.782249198919672E-3</v>
      </c>
      <c r="AB955" s="843"/>
    </row>
    <row r="956" spans="1:28" ht="14.4" x14ac:dyDescent="0.55000000000000004">
      <c r="A956" s="857" t="s">
        <v>6115</v>
      </c>
      <c r="B956" s="842">
        <v>103.35</v>
      </c>
      <c r="C956" s="843">
        <f t="shared" si="155"/>
        <v>-4.8355899419738613E-4</v>
      </c>
      <c r="D956" s="842">
        <v>42.86</v>
      </c>
      <c r="E956" s="843">
        <f t="shared" si="156"/>
        <v>1.1564786405475536E-2</v>
      </c>
      <c r="F956" s="842">
        <v>25.72</v>
      </c>
      <c r="G956" s="843">
        <f t="shared" si="156"/>
        <v>-6.9498069498069581E-3</v>
      </c>
      <c r="H956" s="842">
        <v>55.26</v>
      </c>
      <c r="I956" s="843">
        <f t="shared" si="156"/>
        <v>-8.0775444264944429E-3</v>
      </c>
      <c r="J956" s="842">
        <v>81.260000000000005</v>
      </c>
      <c r="K956" s="843">
        <f t="shared" si="157"/>
        <v>1.2321340561853855E-3</v>
      </c>
      <c r="L956" s="842">
        <v>71.930000000000007</v>
      </c>
      <c r="M956" s="843">
        <f t="shared" si="158"/>
        <v>1.3904338153514217E-4</v>
      </c>
      <c r="N956" s="842">
        <v>76.37</v>
      </c>
      <c r="O956" s="843">
        <f t="shared" si="159"/>
        <v>-4.4322774084212258E-3</v>
      </c>
      <c r="P956" s="844">
        <f t="shared" si="165"/>
        <v>-1.0010319908177071E-3</v>
      </c>
      <c r="Q956" s="830"/>
      <c r="R956" s="845">
        <v>918.26</v>
      </c>
      <c r="S956" s="846">
        <f t="shared" si="160"/>
        <v>-3.0832700032570326E-3</v>
      </c>
      <c r="T956" s="845">
        <v>66.58</v>
      </c>
      <c r="U956" s="846">
        <f t="shared" si="161"/>
        <v>-1.3499325033748955E-3</v>
      </c>
      <c r="V956" s="845">
        <v>107.7011</v>
      </c>
      <c r="W956" s="846">
        <f t="shared" si="162"/>
        <v>-4.8351232260401833E-4</v>
      </c>
      <c r="X956" s="845">
        <v>34043.49</v>
      </c>
      <c r="Y956" s="846">
        <f t="shared" si="163"/>
        <v>6.7302659399866016E-3</v>
      </c>
      <c r="Z956" s="845">
        <v>4180.1674000000003</v>
      </c>
      <c r="AA956" s="846">
        <f t="shared" si="164"/>
        <v>1.0927666257870117E-2</v>
      </c>
      <c r="AB956" s="843"/>
    </row>
    <row r="957" spans="1:28" ht="14.4" x14ac:dyDescent="0.55000000000000004">
      <c r="A957" s="857" t="s">
        <v>6116</v>
      </c>
      <c r="B957" s="842">
        <v>103.4</v>
      </c>
      <c r="C957" s="843">
        <f t="shared" si="155"/>
        <v>9.6721152916146025E-5</v>
      </c>
      <c r="D957" s="842">
        <v>42.37</v>
      </c>
      <c r="E957" s="843">
        <f t="shared" si="156"/>
        <v>-1.1201866977829766E-2</v>
      </c>
      <c r="F957" s="842">
        <v>25.9</v>
      </c>
      <c r="G957" s="843">
        <f t="shared" si="156"/>
        <v>-4.9942374183635785E-3</v>
      </c>
      <c r="H957" s="842">
        <v>55.71</v>
      </c>
      <c r="I957" s="843">
        <f t="shared" si="156"/>
        <v>-7.8361531611753632E-3</v>
      </c>
      <c r="J957" s="842">
        <v>81.16</v>
      </c>
      <c r="K957" s="843">
        <f t="shared" si="157"/>
        <v>3.9584364176150633E-3</v>
      </c>
      <c r="L957" s="842">
        <v>71.92</v>
      </c>
      <c r="M957" s="843">
        <f t="shared" si="158"/>
        <v>-1.4254385964912131E-2</v>
      </c>
      <c r="N957" s="842">
        <v>76.709999999999994</v>
      </c>
      <c r="O957" s="843">
        <f t="shared" si="159"/>
        <v>-8.6585681054536234E-3</v>
      </c>
      <c r="P957" s="844">
        <f t="shared" si="165"/>
        <v>-6.1271505796004645E-3</v>
      </c>
      <c r="Q957" s="830"/>
      <c r="R957" s="845">
        <v>921.1</v>
      </c>
      <c r="S957" s="846">
        <f t="shared" si="160"/>
        <v>-6.686077860455053E-3</v>
      </c>
      <c r="T957" s="845">
        <v>66.67</v>
      </c>
      <c r="U957" s="846">
        <f t="shared" si="161"/>
        <v>-7.148175725986694E-3</v>
      </c>
      <c r="V957" s="845">
        <v>107.75320000000001</v>
      </c>
      <c r="W957" s="846">
        <f t="shared" si="162"/>
        <v>9.6526171586397425E-5</v>
      </c>
      <c r="X957" s="845">
        <v>33815.9</v>
      </c>
      <c r="Y957" s="846">
        <f t="shared" si="163"/>
        <v>-9.4152116848104095E-3</v>
      </c>
      <c r="Z957" s="845">
        <v>4134.9817000000003</v>
      </c>
      <c r="AA957" s="846">
        <f t="shared" si="164"/>
        <v>-9.2106438515580091E-3</v>
      </c>
      <c r="AB957" s="843"/>
    </row>
    <row r="958" spans="1:28" ht="14.4" x14ac:dyDescent="0.55000000000000004">
      <c r="A958" s="857" t="s">
        <v>6117</v>
      </c>
      <c r="B958" s="842">
        <v>103.39</v>
      </c>
      <c r="C958" s="843">
        <f t="shared" si="155"/>
        <v>-1.1473372215316968E-2</v>
      </c>
      <c r="D958" s="842">
        <v>42.85</v>
      </c>
      <c r="E958" s="843">
        <f t="shared" si="156"/>
        <v>1.1682242990656011E-3</v>
      </c>
      <c r="F958" s="842">
        <v>26.03</v>
      </c>
      <c r="G958" s="843">
        <f t="shared" si="156"/>
        <v>-5.7295645530939243E-3</v>
      </c>
      <c r="H958" s="842">
        <v>56.15</v>
      </c>
      <c r="I958" s="843">
        <f t="shared" si="156"/>
        <v>-4.2560737719453678E-3</v>
      </c>
      <c r="J958" s="842">
        <v>80.84</v>
      </c>
      <c r="K958" s="843">
        <f t="shared" si="157"/>
        <v>-6.5134570480521736E-3</v>
      </c>
      <c r="L958" s="842">
        <v>72.959999999999994</v>
      </c>
      <c r="M958" s="843">
        <f t="shared" si="158"/>
        <v>8.2304526748955276E-4</v>
      </c>
      <c r="N958" s="842">
        <v>77.38</v>
      </c>
      <c r="O958" s="843">
        <f t="shared" si="159"/>
        <v>-1.2906556530718483E-3</v>
      </c>
      <c r="P958" s="844">
        <f t="shared" si="165"/>
        <v>-3.8959790964178754E-3</v>
      </c>
      <c r="Q958" s="830"/>
      <c r="R958" s="845">
        <v>927.3</v>
      </c>
      <c r="S958" s="846">
        <f t="shared" si="160"/>
        <v>-6.5033159411594932E-3</v>
      </c>
      <c r="T958" s="845">
        <v>67.150000000000006</v>
      </c>
      <c r="U958" s="846">
        <f t="shared" si="161"/>
        <v>-8.4170112226815696E-3</v>
      </c>
      <c r="V958" s="845">
        <v>107.7428</v>
      </c>
      <c r="W958" s="846">
        <f t="shared" si="162"/>
        <v>-1.1473182296526496E-2</v>
      </c>
      <c r="X958" s="845">
        <v>34137.31</v>
      </c>
      <c r="Y958" s="846">
        <f t="shared" si="163"/>
        <v>9.3435202076797008E-3</v>
      </c>
      <c r="Z958" s="845">
        <v>4173.4215999999997</v>
      </c>
      <c r="AA958" s="846">
        <f t="shared" si="164"/>
        <v>9.306593465432611E-3</v>
      </c>
      <c r="AB958" s="843"/>
    </row>
    <row r="959" spans="1:28" ht="14.4" x14ac:dyDescent="0.55000000000000004">
      <c r="A959" s="857" t="s">
        <v>6118</v>
      </c>
      <c r="B959" s="842">
        <v>104.59</v>
      </c>
      <c r="C959" s="843">
        <f t="shared" si="155"/>
        <v>2.7003142183817719E-2</v>
      </c>
      <c r="D959" s="842">
        <v>42.8</v>
      </c>
      <c r="E959" s="843">
        <f t="shared" si="156"/>
        <v>1.7593913456966037E-2</v>
      </c>
      <c r="F959" s="842">
        <v>26.18</v>
      </c>
      <c r="G959" s="843">
        <f t="shared" si="156"/>
        <v>1.7094017094017255E-2</v>
      </c>
      <c r="H959" s="842">
        <v>56.39</v>
      </c>
      <c r="I959" s="843">
        <f t="shared" si="156"/>
        <v>2.6205641492265563E-2</v>
      </c>
      <c r="J959" s="842">
        <v>81.37</v>
      </c>
      <c r="K959" s="843">
        <f t="shared" si="157"/>
        <v>1.0180012414649386E-2</v>
      </c>
      <c r="L959" s="842">
        <v>72.900000000000006</v>
      </c>
      <c r="M959" s="843">
        <f t="shared" si="158"/>
        <v>1.4331431751773982E-2</v>
      </c>
      <c r="N959" s="842">
        <v>77.48</v>
      </c>
      <c r="O959" s="843">
        <f t="shared" si="159"/>
        <v>4.147226542249971E-3</v>
      </c>
      <c r="P959" s="844">
        <f t="shared" si="165"/>
        <v>1.6650769276534274E-2</v>
      </c>
      <c r="Q959" s="830"/>
      <c r="R959" s="845">
        <v>933.37</v>
      </c>
      <c r="S959" s="846">
        <f t="shared" si="160"/>
        <v>1.3618148843977718E-2</v>
      </c>
      <c r="T959" s="845">
        <v>67.72</v>
      </c>
      <c r="U959" s="846">
        <f t="shared" si="161"/>
        <v>1.2711230746223823E-2</v>
      </c>
      <c r="V959" s="845">
        <v>108.9933</v>
      </c>
      <c r="W959" s="846">
        <f t="shared" si="162"/>
        <v>2.7002400883464839E-2</v>
      </c>
      <c r="X959" s="845">
        <v>33821.300000000003</v>
      </c>
      <c r="Y959" s="846">
        <f t="shared" si="163"/>
        <v>-7.5219432806798991E-3</v>
      </c>
      <c r="Z959" s="845">
        <v>4134.9394000000002</v>
      </c>
      <c r="AA959" s="846">
        <f t="shared" si="164"/>
        <v>-6.8020524598270127E-3</v>
      </c>
      <c r="AB959" s="843"/>
    </row>
    <row r="960" spans="1:28" ht="14.4" x14ac:dyDescent="0.55000000000000004">
      <c r="A960" s="857" t="s">
        <v>6119</v>
      </c>
      <c r="B960" s="842">
        <v>101.84</v>
      </c>
      <c r="C960" s="843">
        <f t="shared" si="155"/>
        <v>1.9642506383821257E-4</v>
      </c>
      <c r="D960" s="842">
        <v>42.06</v>
      </c>
      <c r="E960" s="843">
        <f t="shared" si="156"/>
        <v>-1.1873664212775914E-3</v>
      </c>
      <c r="F960" s="842">
        <v>25.74</v>
      </c>
      <c r="G960" s="843">
        <f t="shared" si="156"/>
        <v>4.6838407494145251E-3</v>
      </c>
      <c r="H960" s="842">
        <v>54.95</v>
      </c>
      <c r="I960" s="843">
        <f t="shared" si="156"/>
        <v>-9.5529920692140058E-3</v>
      </c>
      <c r="J960" s="842">
        <v>80.55</v>
      </c>
      <c r="K960" s="843">
        <f t="shared" si="157"/>
        <v>-8.6827090052110645E-4</v>
      </c>
      <c r="L960" s="842">
        <v>71.87</v>
      </c>
      <c r="M960" s="843">
        <f t="shared" si="158"/>
        <v>-7.0461453440175958E-3</v>
      </c>
      <c r="N960" s="842">
        <v>77.16</v>
      </c>
      <c r="O960" s="843">
        <f t="shared" si="159"/>
        <v>-1.2943308309605328E-3</v>
      </c>
      <c r="P960" s="844">
        <f t="shared" si="165"/>
        <v>-2.1526913932482994E-3</v>
      </c>
      <c r="Q960" s="830"/>
      <c r="R960" s="845">
        <v>920.83</v>
      </c>
      <c r="S960" s="846">
        <f t="shared" si="160"/>
        <v>-3.117861666540378E-3</v>
      </c>
      <c r="T960" s="845">
        <v>66.87</v>
      </c>
      <c r="U960" s="846">
        <f t="shared" si="161"/>
        <v>-5.0587710162176558E-3</v>
      </c>
      <c r="V960" s="845">
        <v>106.1276</v>
      </c>
      <c r="W960" s="846">
        <f t="shared" si="162"/>
        <v>1.9697153902620279E-4</v>
      </c>
      <c r="X960" s="845">
        <v>34077.629999999997</v>
      </c>
      <c r="Y960" s="846">
        <f t="shared" si="163"/>
        <v>-3.597590339604495E-3</v>
      </c>
      <c r="Z960" s="845">
        <v>4163.2581</v>
      </c>
      <c r="AA960" s="846">
        <f t="shared" si="164"/>
        <v>-5.3065980400236468E-3</v>
      </c>
      <c r="AB960" s="843"/>
    </row>
    <row r="961" spans="1:28" ht="14.4" x14ac:dyDescent="0.55000000000000004">
      <c r="A961" s="857" t="s">
        <v>6120</v>
      </c>
      <c r="B961" s="842">
        <v>101.82</v>
      </c>
      <c r="C961" s="843">
        <f t="shared" si="155"/>
        <v>4.934859849980322E-3</v>
      </c>
      <c r="D961" s="842">
        <v>42.11</v>
      </c>
      <c r="E961" s="843">
        <f t="shared" si="156"/>
        <v>1.0316698656430034E-2</v>
      </c>
      <c r="F961" s="842">
        <v>25.62</v>
      </c>
      <c r="G961" s="843">
        <f t="shared" si="156"/>
        <v>1.5637216575450363E-3</v>
      </c>
      <c r="H961" s="842">
        <v>55.48</v>
      </c>
      <c r="I961" s="843">
        <f t="shared" si="156"/>
        <v>2.5298156848572173E-3</v>
      </c>
      <c r="J961" s="842">
        <v>80.62</v>
      </c>
      <c r="K961" s="843">
        <f t="shared" si="157"/>
        <v>9.6430807764560367E-3</v>
      </c>
      <c r="L961" s="842">
        <v>72.38</v>
      </c>
      <c r="M961" s="843">
        <f t="shared" si="158"/>
        <v>8.2964601769908164E-4</v>
      </c>
      <c r="N961" s="842">
        <v>77.260000000000005</v>
      </c>
      <c r="O961" s="843">
        <f t="shared" si="159"/>
        <v>-1.8087855297157507E-3</v>
      </c>
      <c r="P961" s="844">
        <f t="shared" si="165"/>
        <v>4.001291016178854E-3</v>
      </c>
      <c r="Q961" s="830"/>
      <c r="R961" s="845">
        <v>923.71</v>
      </c>
      <c r="S961" s="846">
        <f t="shared" si="160"/>
        <v>7.1086688690455979E-3</v>
      </c>
      <c r="T961" s="845">
        <v>67.209999999999994</v>
      </c>
      <c r="U961" s="846">
        <f t="shared" si="161"/>
        <v>8.0995950202489286E-3</v>
      </c>
      <c r="V961" s="845">
        <v>106.1067</v>
      </c>
      <c r="W961" s="846">
        <f t="shared" si="162"/>
        <v>4.9343803185468715E-3</v>
      </c>
      <c r="X961" s="845">
        <v>34200.67</v>
      </c>
      <c r="Y961" s="846">
        <f t="shared" si="163"/>
        <v>4.8384078147867271E-3</v>
      </c>
      <c r="Z961" s="845">
        <v>4185.4687000000004</v>
      </c>
      <c r="AA961" s="846">
        <f t="shared" si="164"/>
        <v>3.6077637020399678E-3</v>
      </c>
      <c r="AB961" s="843"/>
    </row>
    <row r="962" spans="1:28" ht="14.4" x14ac:dyDescent="0.55000000000000004">
      <c r="A962" s="857" t="s">
        <v>6121</v>
      </c>
      <c r="B962" s="842">
        <v>101.32</v>
      </c>
      <c r="C962" s="843">
        <f t="shared" si="155"/>
        <v>1.1884550084889645E-2</v>
      </c>
      <c r="D962" s="842">
        <v>41.68</v>
      </c>
      <c r="E962" s="843">
        <f t="shared" si="156"/>
        <v>6.0342746801833602E-3</v>
      </c>
      <c r="F962" s="842">
        <v>25.58</v>
      </c>
      <c r="G962" s="843">
        <f t="shared" si="156"/>
        <v>1.2668250197941378E-2</v>
      </c>
      <c r="H962" s="842">
        <v>55.34</v>
      </c>
      <c r="I962" s="843">
        <f t="shared" si="156"/>
        <v>1.1700182815356452E-2</v>
      </c>
      <c r="J962" s="842">
        <v>79.849999999999994</v>
      </c>
      <c r="K962" s="843">
        <f t="shared" si="157"/>
        <v>2.0969185526147571E-2</v>
      </c>
      <c r="L962" s="842">
        <v>72.319999999999993</v>
      </c>
      <c r="M962" s="843">
        <f t="shared" si="158"/>
        <v>2.3637650389242593E-2</v>
      </c>
      <c r="N962" s="842">
        <v>77.400000000000006</v>
      </c>
      <c r="O962" s="843">
        <f t="shared" si="159"/>
        <v>1.5881349258432875E-2</v>
      </c>
      <c r="P962" s="844">
        <f t="shared" si="165"/>
        <v>1.4682206136027696E-2</v>
      </c>
      <c r="Q962" s="830"/>
      <c r="R962" s="845">
        <v>917.19</v>
      </c>
      <c r="S962" s="846">
        <f t="shared" si="160"/>
        <v>1.0855908479731946E-2</v>
      </c>
      <c r="T962" s="845">
        <v>66.67</v>
      </c>
      <c r="U962" s="846">
        <f t="shared" si="161"/>
        <v>1.1070670306339236E-2</v>
      </c>
      <c r="V962" s="845">
        <v>105.5857</v>
      </c>
      <c r="W962" s="846">
        <f t="shared" si="162"/>
        <v>1.1884545203630914E-2</v>
      </c>
      <c r="X962" s="845">
        <v>34035.99</v>
      </c>
      <c r="Y962" s="846">
        <f t="shared" si="163"/>
        <v>9.0451215488236425E-3</v>
      </c>
      <c r="Z962" s="845">
        <v>4170.4228000000003</v>
      </c>
      <c r="AA962" s="846">
        <f t="shared" si="164"/>
        <v>1.1094779531678256E-2</v>
      </c>
      <c r="AB962" s="843"/>
    </row>
    <row r="963" spans="1:28" ht="14.4" x14ac:dyDescent="0.55000000000000004">
      <c r="A963" s="857" t="s">
        <v>6122</v>
      </c>
      <c r="B963" s="842">
        <v>100.13</v>
      </c>
      <c r="C963" s="843">
        <f t="shared" si="155"/>
        <v>1.0495509133111147E-2</v>
      </c>
      <c r="D963" s="842">
        <v>41.43</v>
      </c>
      <c r="E963" s="843">
        <f t="shared" si="156"/>
        <v>1.6936671575846773E-2</v>
      </c>
      <c r="F963" s="842">
        <v>25.26</v>
      </c>
      <c r="G963" s="843">
        <f t="shared" si="156"/>
        <v>3.0599755201958345E-2</v>
      </c>
      <c r="H963" s="842">
        <v>54.7</v>
      </c>
      <c r="I963" s="843">
        <f t="shared" si="156"/>
        <v>1.4654053051382121E-2</v>
      </c>
      <c r="J963" s="842">
        <v>78.209999999999994</v>
      </c>
      <c r="K963" s="843">
        <f t="shared" si="157"/>
        <v>5.1407274129289249E-3</v>
      </c>
      <c r="L963" s="842">
        <v>70.650000000000006</v>
      </c>
      <c r="M963" s="843">
        <f t="shared" si="158"/>
        <v>1.2758027522935755E-2</v>
      </c>
      <c r="N963" s="842">
        <v>76.19</v>
      </c>
      <c r="O963" s="843">
        <f t="shared" si="159"/>
        <v>-1.3123359580058391E-4</v>
      </c>
      <c r="P963" s="844">
        <f t="shared" si="165"/>
        <v>1.292193004319464E-2</v>
      </c>
      <c r="Q963" s="830"/>
      <c r="R963" s="845">
        <v>907.34</v>
      </c>
      <c r="S963" s="846">
        <f t="shared" si="160"/>
        <v>5.262633089220925E-3</v>
      </c>
      <c r="T963" s="845">
        <v>65.94</v>
      </c>
      <c r="U963" s="846">
        <f t="shared" si="161"/>
        <v>4.4173648134042676E-3</v>
      </c>
      <c r="V963" s="845">
        <v>104.3456</v>
      </c>
      <c r="W963" s="846">
        <f t="shared" si="162"/>
        <v>1.0495652797065436E-2</v>
      </c>
      <c r="X963" s="845">
        <v>33730.89</v>
      </c>
      <c r="Y963" s="846">
        <f t="shared" si="163"/>
        <v>1.5921718120264217E-3</v>
      </c>
      <c r="Z963" s="845">
        <v>4124.6606000000002</v>
      </c>
      <c r="AA963" s="846">
        <f t="shared" si="164"/>
        <v>-4.0885709264871783E-3</v>
      </c>
      <c r="AB963" s="843"/>
    </row>
    <row r="964" spans="1:28" ht="14.4" x14ac:dyDescent="0.55000000000000004">
      <c r="A964" s="857" t="s">
        <v>6123</v>
      </c>
      <c r="B964" s="842">
        <v>99.09</v>
      </c>
      <c r="C964" s="843">
        <f t="shared" si="155"/>
        <v>-2.7173913043477826E-3</v>
      </c>
      <c r="D964" s="842">
        <v>40.74</v>
      </c>
      <c r="E964" s="843">
        <f t="shared" si="156"/>
        <v>-9.9635479951396544E-3</v>
      </c>
      <c r="F964" s="842">
        <v>24.51</v>
      </c>
      <c r="G964" s="843">
        <f t="shared" si="156"/>
        <v>-9.6969696969696484E-3</v>
      </c>
      <c r="H964" s="842">
        <v>53.91</v>
      </c>
      <c r="I964" s="843">
        <f t="shared" si="156"/>
        <v>-1.4802631578947456E-2</v>
      </c>
      <c r="J964" s="842">
        <v>77.81</v>
      </c>
      <c r="K964" s="843">
        <f t="shared" si="157"/>
        <v>-7.2722633324826536E-3</v>
      </c>
      <c r="L964" s="842">
        <v>69.760000000000005</v>
      </c>
      <c r="M964" s="843">
        <f t="shared" si="158"/>
        <v>-1.1454753722794919E-3</v>
      </c>
      <c r="N964" s="842">
        <v>76.2</v>
      </c>
      <c r="O964" s="843">
        <f t="shared" si="159"/>
        <v>-7.6832920953249229E-3</v>
      </c>
      <c r="P964" s="844">
        <f t="shared" si="165"/>
        <v>-7.6116530536416583E-3</v>
      </c>
      <c r="Q964" s="830"/>
      <c r="R964" s="845">
        <v>902.59</v>
      </c>
      <c r="S964" s="846">
        <f t="shared" si="160"/>
        <v>1.1860853577874808E-2</v>
      </c>
      <c r="T964" s="845">
        <v>65.650000000000006</v>
      </c>
      <c r="U964" s="846">
        <f t="shared" si="161"/>
        <v>1.1868064118372601E-2</v>
      </c>
      <c r="V964" s="845">
        <v>103.26179999999999</v>
      </c>
      <c r="W964" s="846">
        <f t="shared" si="162"/>
        <v>-2.7167430760717259E-3</v>
      </c>
      <c r="X964" s="845">
        <v>33677.269999999997</v>
      </c>
      <c r="Y964" s="846">
        <f t="shared" si="163"/>
        <v>-2.0189418409621851E-3</v>
      </c>
      <c r="Z964" s="845">
        <v>4141.5937999999996</v>
      </c>
      <c r="AA964" s="846">
        <f t="shared" si="164"/>
        <v>3.2947244196042114E-3</v>
      </c>
      <c r="AB964" s="843"/>
    </row>
    <row r="965" spans="1:28" ht="14.4" x14ac:dyDescent="0.55000000000000004">
      <c r="A965" s="857" t="s">
        <v>6124</v>
      </c>
      <c r="B965" s="842">
        <v>99.36</v>
      </c>
      <c r="C965" s="843">
        <f t="shared" si="155"/>
        <v>2.3201856148491462E-3</v>
      </c>
      <c r="D965" s="842">
        <v>41.15</v>
      </c>
      <c r="E965" s="843">
        <f t="shared" si="156"/>
        <v>8.3312913501591979E-3</v>
      </c>
      <c r="F965" s="842">
        <v>24.75</v>
      </c>
      <c r="G965" s="843">
        <f t="shared" si="156"/>
        <v>1.6187778227438887E-3</v>
      </c>
      <c r="H965" s="842">
        <v>54.72</v>
      </c>
      <c r="I965" s="843">
        <f t="shared" si="156"/>
        <v>5.8823529411764497E-3</v>
      </c>
      <c r="J965" s="842">
        <v>78.38</v>
      </c>
      <c r="K965" s="843">
        <f t="shared" si="157"/>
        <v>5.0006411078342694E-3</v>
      </c>
      <c r="L965" s="842">
        <v>69.84</v>
      </c>
      <c r="M965" s="843">
        <f t="shared" si="158"/>
        <v>9.2485549132947931E-3</v>
      </c>
      <c r="N965" s="842">
        <v>76.790000000000006</v>
      </c>
      <c r="O965" s="843">
        <f t="shared" si="159"/>
        <v>8.2720588235294379E-3</v>
      </c>
      <c r="P965" s="844">
        <f t="shared" si="165"/>
        <v>5.8105517962267405E-3</v>
      </c>
      <c r="Q965" s="830"/>
      <c r="R965" s="845">
        <v>892.01</v>
      </c>
      <c r="S965" s="846">
        <f t="shared" si="160"/>
        <v>3.81306985768326E-4</v>
      </c>
      <c r="T965" s="845">
        <v>64.88</v>
      </c>
      <c r="U965" s="846">
        <f t="shared" si="161"/>
        <v>9.2564023449548394E-4</v>
      </c>
      <c r="V965" s="845">
        <v>103.5431</v>
      </c>
      <c r="W965" s="846">
        <f t="shared" si="162"/>
        <v>2.3193793046700772E-3</v>
      </c>
      <c r="X965" s="845">
        <v>33745.4</v>
      </c>
      <c r="Y965" s="846">
        <f t="shared" si="163"/>
        <v>-1.6331071046075119E-3</v>
      </c>
      <c r="Z965" s="845">
        <v>4127.9931999999999</v>
      </c>
      <c r="AA965" s="846">
        <f t="shared" si="164"/>
        <v>-1.9591638940508194E-4</v>
      </c>
      <c r="AB965" s="843"/>
    </row>
    <row r="966" spans="1:28" ht="14.4" x14ac:dyDescent="0.55000000000000004">
      <c r="A966" s="857" t="s">
        <v>6125</v>
      </c>
      <c r="B966" s="842">
        <v>99.13</v>
      </c>
      <c r="C966" s="843">
        <f t="shared" si="155"/>
        <v>8.238405207485755E-3</v>
      </c>
      <c r="D966" s="842">
        <v>40.81</v>
      </c>
      <c r="E966" s="843">
        <f t="shared" si="156"/>
        <v>-1.7336864916927541E-2</v>
      </c>
      <c r="F966" s="842">
        <v>24.71</v>
      </c>
      <c r="G966" s="843">
        <f t="shared" si="156"/>
        <v>2.4340770791075883E-3</v>
      </c>
      <c r="H966" s="842">
        <v>54.4</v>
      </c>
      <c r="I966" s="843">
        <f t="shared" si="156"/>
        <v>3.3198081888601294E-3</v>
      </c>
      <c r="J966" s="842">
        <v>77.989999999999995</v>
      </c>
      <c r="K966" s="843">
        <f t="shared" si="157"/>
        <v>1.7983301220294567E-3</v>
      </c>
      <c r="L966" s="842">
        <v>69.2</v>
      </c>
      <c r="M966" s="843">
        <f t="shared" si="158"/>
        <v>-2.4506270722214341E-3</v>
      </c>
      <c r="N966" s="842">
        <v>76.16</v>
      </c>
      <c r="O966" s="843">
        <f t="shared" si="159"/>
        <v>5.6780668163209924E-3</v>
      </c>
      <c r="P966" s="844">
        <f t="shared" si="165"/>
        <v>2.4017077495070666E-4</v>
      </c>
      <c r="Q966" s="830"/>
      <c r="R966" s="845">
        <v>891.67</v>
      </c>
      <c r="S966" s="846">
        <f t="shared" si="160"/>
        <v>5.6106017931489838E-4</v>
      </c>
      <c r="T966" s="845">
        <v>64.819999999999993</v>
      </c>
      <c r="U966" s="846">
        <f t="shared" si="161"/>
        <v>-1.0787486515643208E-3</v>
      </c>
      <c r="V966" s="845">
        <v>103.3035</v>
      </c>
      <c r="W966" s="846">
        <f t="shared" si="162"/>
        <v>8.2383851554859167E-3</v>
      </c>
      <c r="X966" s="845">
        <v>33800.6</v>
      </c>
      <c r="Y966" s="846">
        <f t="shared" si="163"/>
        <v>8.865622379943261E-3</v>
      </c>
      <c r="Z966" s="845">
        <v>4128.8020999999999</v>
      </c>
      <c r="AA966" s="846">
        <f t="shared" si="164"/>
        <v>7.7209672632414517E-3</v>
      </c>
      <c r="AB966" s="843"/>
    </row>
    <row r="967" spans="1:28" ht="14.4" x14ac:dyDescent="0.55000000000000004">
      <c r="A967" s="857" t="s">
        <v>6126</v>
      </c>
      <c r="B967" s="842">
        <v>98.32</v>
      </c>
      <c r="C967" s="843">
        <f t="shared" si="155"/>
        <v>9.1621704163680207E-4</v>
      </c>
      <c r="D967" s="842">
        <v>41.53</v>
      </c>
      <c r="E967" s="843">
        <f t="shared" si="156"/>
        <v>4.3530834340992364E-3</v>
      </c>
      <c r="F967" s="842">
        <v>24.65</v>
      </c>
      <c r="G967" s="843">
        <f t="shared" si="156"/>
        <v>8.1201786439288881E-4</v>
      </c>
      <c r="H967" s="842">
        <v>54.22</v>
      </c>
      <c r="I967" s="843">
        <f t="shared" si="156"/>
        <v>1.4776505356481895E-3</v>
      </c>
      <c r="J967" s="842">
        <v>77.849999999999994</v>
      </c>
      <c r="K967" s="843">
        <f t="shared" si="157"/>
        <v>5.9439204031528359E-3</v>
      </c>
      <c r="L967" s="842">
        <v>69.37</v>
      </c>
      <c r="M967" s="843">
        <f t="shared" si="158"/>
        <v>-2.4446361806155226E-3</v>
      </c>
      <c r="N967" s="842">
        <v>75.73</v>
      </c>
      <c r="O967" s="843">
        <f t="shared" si="159"/>
        <v>1.32459191865133E-2</v>
      </c>
      <c r="P967" s="844">
        <f t="shared" si="165"/>
        <v>3.4720246121182469E-3</v>
      </c>
      <c r="Q967" s="830"/>
      <c r="R967" s="845">
        <v>891.17</v>
      </c>
      <c r="S967" s="846">
        <f t="shared" si="160"/>
        <v>-1.3223510954222251E-3</v>
      </c>
      <c r="T967" s="845">
        <v>64.89</v>
      </c>
      <c r="U967" s="846">
        <f t="shared" si="161"/>
        <v>-7.6994148444708976E-4</v>
      </c>
      <c r="V967" s="845">
        <v>102.4594</v>
      </c>
      <c r="W967" s="846">
        <f t="shared" si="162"/>
        <v>9.16323452409884E-4</v>
      </c>
      <c r="X967" s="845">
        <v>33503.57</v>
      </c>
      <c r="Y967" s="846">
        <f t="shared" si="163"/>
        <v>1.713495021565814E-3</v>
      </c>
      <c r="Z967" s="845">
        <v>4097.1679999999997</v>
      </c>
      <c r="AA967" s="846">
        <f t="shared" si="164"/>
        <v>4.2194359645670865E-3</v>
      </c>
      <c r="AB967" s="843"/>
    </row>
    <row r="968" spans="1:28" ht="14.4" x14ac:dyDescent="0.55000000000000004">
      <c r="A968" s="857" t="s">
        <v>6127</v>
      </c>
      <c r="B968" s="842">
        <v>98.23</v>
      </c>
      <c r="C968" s="843">
        <f t="shared" ref="C968:C1031" si="166">IFERROR(((B968/B969)-1), "NA")</f>
        <v>-3.0531243639320138E-4</v>
      </c>
      <c r="D968" s="842">
        <v>41.35</v>
      </c>
      <c r="E968" s="843">
        <f t="shared" ref="E968:I1031" si="167">IFERROR(((D968/D969)-1), "NA")</f>
        <v>1.5970515970515908E-2</v>
      </c>
      <c r="F968" s="842">
        <v>24.63</v>
      </c>
      <c r="G968" s="843">
        <f t="shared" si="167"/>
        <v>4.486133768352385E-3</v>
      </c>
      <c r="H968" s="842">
        <v>54.14</v>
      </c>
      <c r="I968" s="843">
        <f t="shared" si="167"/>
        <v>7.8183172002979084E-3</v>
      </c>
      <c r="J968" s="842">
        <v>77.39</v>
      </c>
      <c r="K968" s="843">
        <f t="shared" ref="K968:K1031" si="168">IFERROR(((J968/J969)-1), "NA")</f>
        <v>9.0532850491475969E-4</v>
      </c>
      <c r="L968" s="842">
        <v>69.540000000000006</v>
      </c>
      <c r="M968" s="843">
        <f t="shared" ref="M968:M1031" si="169">IFERROR(((L968/L969)-1), "NA")</f>
        <v>8.4106728538284603E-3</v>
      </c>
      <c r="N968" s="842">
        <v>74.739999999999995</v>
      </c>
      <c r="O968" s="843">
        <f t="shared" ref="O968:O1031" si="170">IFERROR(((N968/N969)-1), "NA")</f>
        <v>3.4908700322233699E-3</v>
      </c>
      <c r="P968" s="844">
        <f t="shared" si="165"/>
        <v>5.8252179848199415E-3</v>
      </c>
      <c r="Q968" s="830"/>
      <c r="R968" s="845">
        <v>892.35</v>
      </c>
      <c r="S968" s="846">
        <f t="shared" ref="S968:S1031" si="171">IFERROR(((R968/R969)-1), "NA")</f>
        <v>-1.3876610078448204E-3</v>
      </c>
      <c r="T968" s="845">
        <v>64.94</v>
      </c>
      <c r="U968" s="846">
        <f t="shared" ref="U968:U1031" si="172">IFERROR(((T968/T969)-1), "NA")</f>
        <v>-1.2303906490310768E-3</v>
      </c>
      <c r="V968" s="845">
        <v>102.3656</v>
      </c>
      <c r="W968" s="846">
        <f t="shared" ref="W968:W1031" si="173">IFERROR(((V968/V969)-1), "NA")</f>
        <v>-3.0469702178193003E-4</v>
      </c>
      <c r="X968" s="845">
        <v>33446.26</v>
      </c>
      <c r="Y968" s="846">
        <f t="shared" ref="Y968:Y1031" si="174">IFERROR(((X968/X969)-1), "NA")</f>
        <v>4.7920684984625872E-4</v>
      </c>
      <c r="Z968" s="845">
        <v>4079.9529000000002</v>
      </c>
      <c r="AA968" s="846">
        <f t="shared" ref="AA968:AA1031" si="175">IFERROR(((Z968/Z969)-1), "NA")</f>
        <v>1.4757701308711901E-3</v>
      </c>
      <c r="AB968" s="843"/>
    </row>
    <row r="969" spans="1:28" ht="14.4" x14ac:dyDescent="0.55000000000000004">
      <c r="A969" s="857" t="s">
        <v>6128</v>
      </c>
      <c r="B969" s="842">
        <v>98.26</v>
      </c>
      <c r="C969" s="843">
        <f t="shared" si="166"/>
        <v>-3.6503751774488169E-3</v>
      </c>
      <c r="D969" s="842">
        <v>40.700000000000003</v>
      </c>
      <c r="E969" s="843">
        <f t="shared" si="167"/>
        <v>1.2186023377269484E-2</v>
      </c>
      <c r="F969" s="842">
        <v>24.52</v>
      </c>
      <c r="G969" s="843">
        <f t="shared" si="167"/>
        <v>3.683995088006542E-3</v>
      </c>
      <c r="H969" s="842">
        <v>53.72</v>
      </c>
      <c r="I969" s="843">
        <f t="shared" si="167"/>
        <v>4.6755189826070964E-3</v>
      </c>
      <c r="J969" s="842">
        <v>77.319999999999993</v>
      </c>
      <c r="K969" s="843">
        <f t="shared" si="168"/>
        <v>0</v>
      </c>
      <c r="L969" s="842">
        <v>68.959999999999994</v>
      </c>
      <c r="M969" s="843">
        <f t="shared" si="169"/>
        <v>3.2004655222577227E-3</v>
      </c>
      <c r="N969" s="842">
        <v>74.48</v>
      </c>
      <c r="O969" s="843">
        <f t="shared" si="170"/>
        <v>5.128205128205332E-3</v>
      </c>
      <c r="P969" s="844">
        <f t="shared" ref="P969:P1032" si="176">IFERROR(AVERAGE(C969,E969,G969,I969,M969,K969,O969),"NA")</f>
        <v>3.6034047029853372E-3</v>
      </c>
      <c r="Q969" s="830"/>
      <c r="R969" s="845">
        <v>893.59</v>
      </c>
      <c r="S969" s="846">
        <f t="shared" si="171"/>
        <v>4.1691014518812075E-3</v>
      </c>
      <c r="T969" s="845">
        <v>65.02</v>
      </c>
      <c r="U969" s="846">
        <f t="shared" si="172"/>
        <v>5.256648113790785E-3</v>
      </c>
      <c r="V969" s="845">
        <v>102.3968</v>
      </c>
      <c r="W969" s="846">
        <f t="shared" si="173"/>
        <v>-3.6507998287471644E-3</v>
      </c>
      <c r="X969" s="845">
        <v>33430.239999999998</v>
      </c>
      <c r="Y969" s="846">
        <f t="shared" si="174"/>
        <v>-2.8916828401068795E-3</v>
      </c>
      <c r="Z969" s="845">
        <v>4073.9407000000001</v>
      </c>
      <c r="AA969" s="846">
        <f t="shared" si="175"/>
        <v>-9.742727022398201E-4</v>
      </c>
      <c r="AB969" s="843"/>
    </row>
    <row r="970" spans="1:28" ht="14.4" x14ac:dyDescent="0.55000000000000004">
      <c r="A970" s="857" t="s">
        <v>6129</v>
      </c>
      <c r="B970" s="842">
        <v>98.62</v>
      </c>
      <c r="C970" s="843">
        <f t="shared" si="166"/>
        <v>3.8680781758959615E-3</v>
      </c>
      <c r="D970" s="842">
        <v>40.21</v>
      </c>
      <c r="E970" s="843">
        <f t="shared" si="167"/>
        <v>7.012271475081322E-3</v>
      </c>
      <c r="F970" s="842">
        <v>24.43</v>
      </c>
      <c r="G970" s="843">
        <f t="shared" si="167"/>
        <v>1.4956377233070084E-2</v>
      </c>
      <c r="H970" s="842">
        <v>53.47</v>
      </c>
      <c r="I970" s="843">
        <f t="shared" si="167"/>
        <v>7.5372149990577952E-3</v>
      </c>
      <c r="J970" s="842">
        <v>77.319999999999993</v>
      </c>
      <c r="K970" s="843">
        <f t="shared" si="168"/>
        <v>6.6397604478583006E-3</v>
      </c>
      <c r="L970" s="842">
        <v>68.739999999999995</v>
      </c>
      <c r="M970" s="843">
        <f t="shared" si="169"/>
        <v>7.3270808909731144E-3</v>
      </c>
      <c r="N970" s="842">
        <v>74.099999999999994</v>
      </c>
      <c r="O970" s="843">
        <f t="shared" si="170"/>
        <v>9.9495706692107611E-3</v>
      </c>
      <c r="P970" s="844">
        <f t="shared" si="176"/>
        <v>8.1843362701639055E-3</v>
      </c>
      <c r="Q970" s="830"/>
      <c r="R970" s="845">
        <v>889.88</v>
      </c>
      <c r="S970" s="846">
        <f t="shared" si="171"/>
        <v>1.1790656160816759E-2</v>
      </c>
      <c r="T970" s="845">
        <v>64.680000000000007</v>
      </c>
      <c r="U970" s="846">
        <f t="shared" si="172"/>
        <v>1.0940919037199182E-2</v>
      </c>
      <c r="V970" s="845">
        <v>102.77200000000001</v>
      </c>
      <c r="W970" s="846">
        <f t="shared" si="173"/>
        <v>3.8680940845510214E-3</v>
      </c>
      <c r="X970" s="845">
        <v>33527.19</v>
      </c>
      <c r="Y970" s="846">
        <f t="shared" si="174"/>
        <v>1.1280355657868446E-2</v>
      </c>
      <c r="Z970" s="845">
        <v>4077.9137000000001</v>
      </c>
      <c r="AA970" s="846">
        <f t="shared" si="175"/>
        <v>1.4440359122471991E-2</v>
      </c>
      <c r="AB970" s="843"/>
    </row>
    <row r="971" spans="1:28" ht="14.4" x14ac:dyDescent="0.55000000000000004">
      <c r="A971" s="857" t="s">
        <v>6130</v>
      </c>
      <c r="B971" s="842">
        <v>98.24</v>
      </c>
      <c r="C971" s="843">
        <f t="shared" si="166"/>
        <v>-6.1709661102681279E-3</v>
      </c>
      <c r="D971" s="842">
        <v>39.93</v>
      </c>
      <c r="E971" s="843">
        <f t="shared" si="167"/>
        <v>1.5048908954100604E-3</v>
      </c>
      <c r="F971" s="842">
        <v>24.07</v>
      </c>
      <c r="G971" s="843">
        <f t="shared" si="167"/>
        <v>-1.6590626296142386E-3</v>
      </c>
      <c r="H971" s="842">
        <v>53.07</v>
      </c>
      <c r="I971" s="843">
        <f t="shared" si="167"/>
        <v>-1.6311399443929564E-2</v>
      </c>
      <c r="J971" s="842">
        <v>76.81</v>
      </c>
      <c r="K971" s="843">
        <f t="shared" si="168"/>
        <v>-1.3002210375763212E-3</v>
      </c>
      <c r="L971" s="842">
        <v>68.239999999999995</v>
      </c>
      <c r="M971" s="843">
        <f t="shared" si="169"/>
        <v>-6.8403434725657908E-3</v>
      </c>
      <c r="N971" s="842">
        <v>73.37</v>
      </c>
      <c r="O971" s="843">
        <f t="shared" si="170"/>
        <v>-7.0374881580727022E-3</v>
      </c>
      <c r="P971" s="844">
        <f t="shared" si="176"/>
        <v>-5.4020842795166691E-3</v>
      </c>
      <c r="Q971" s="830"/>
      <c r="R971" s="845">
        <v>879.51</v>
      </c>
      <c r="S971" s="846">
        <f t="shared" si="171"/>
        <v>-9.4281754776570637E-4</v>
      </c>
      <c r="T971" s="845">
        <v>63.98</v>
      </c>
      <c r="U971" s="846">
        <f t="shared" si="172"/>
        <v>-9.369144284823161E-4</v>
      </c>
      <c r="V971" s="845">
        <v>102.376</v>
      </c>
      <c r="W971" s="846">
        <f t="shared" si="173"/>
        <v>-6.1711436662048591E-3</v>
      </c>
      <c r="X971" s="845">
        <v>33153.21</v>
      </c>
      <c r="Y971" s="846">
        <f t="shared" si="174"/>
        <v>5.2047280979818922E-3</v>
      </c>
      <c r="Z971" s="845">
        <v>4019.8654000000001</v>
      </c>
      <c r="AA971" s="846">
        <f t="shared" si="175"/>
        <v>1.1823426772062939E-2</v>
      </c>
      <c r="AB971" s="843"/>
    </row>
    <row r="972" spans="1:28" ht="14.4" x14ac:dyDescent="0.55000000000000004">
      <c r="A972" s="857" t="s">
        <v>6131</v>
      </c>
      <c r="B972" s="842">
        <v>98.85</v>
      </c>
      <c r="C972" s="843">
        <f t="shared" si="166"/>
        <v>-4.0448983719287845E-4</v>
      </c>
      <c r="D972" s="842">
        <v>39.869999999999997</v>
      </c>
      <c r="E972" s="843">
        <f t="shared" si="167"/>
        <v>-1.5555555555555656E-2</v>
      </c>
      <c r="F972" s="842">
        <v>24.11</v>
      </c>
      <c r="G972" s="843">
        <f t="shared" si="167"/>
        <v>5.002084201750856E-3</v>
      </c>
      <c r="H972" s="842">
        <v>53.95</v>
      </c>
      <c r="I972" s="843">
        <f t="shared" si="167"/>
        <v>4.8426150121065881E-3</v>
      </c>
      <c r="J972" s="842">
        <v>76.91</v>
      </c>
      <c r="K972" s="843">
        <f t="shared" si="168"/>
        <v>1.1175387851696028E-2</v>
      </c>
      <c r="L972" s="842">
        <v>68.709999999999994</v>
      </c>
      <c r="M972" s="843">
        <f t="shared" si="169"/>
        <v>-5.6439942112880281E-3</v>
      </c>
      <c r="N972" s="842">
        <v>73.89</v>
      </c>
      <c r="O972" s="843">
        <f t="shared" si="170"/>
        <v>1.3535462912828145E-4</v>
      </c>
      <c r="P972" s="844">
        <f t="shared" si="176"/>
        <v>-6.4085415622115534E-5</v>
      </c>
      <c r="Q972" s="830"/>
      <c r="R972" s="845">
        <v>880.34</v>
      </c>
      <c r="S972" s="846">
        <f t="shared" si="171"/>
        <v>6.6896133746525699E-3</v>
      </c>
      <c r="T972" s="845">
        <v>64.040000000000006</v>
      </c>
      <c r="U972" s="846">
        <f t="shared" si="172"/>
        <v>7.3934245713387359E-3</v>
      </c>
      <c r="V972" s="845">
        <v>103.0117</v>
      </c>
      <c r="W972" s="846">
        <f t="shared" si="173"/>
        <v>-4.0464458232325473E-4</v>
      </c>
      <c r="X972" s="845">
        <v>32981.550000000003</v>
      </c>
      <c r="Y972" s="846">
        <f t="shared" si="174"/>
        <v>-2.5829407964927942E-3</v>
      </c>
      <c r="Z972" s="845">
        <v>3972.8921999999998</v>
      </c>
      <c r="AA972" s="846">
        <f t="shared" si="175"/>
        <v>3.6225111892547179E-3</v>
      </c>
      <c r="AB972" s="843"/>
    </row>
    <row r="973" spans="1:28" ht="14.4" x14ac:dyDescent="0.55000000000000004">
      <c r="A973" s="857" t="s">
        <v>6132</v>
      </c>
      <c r="B973" s="842">
        <v>98.89</v>
      </c>
      <c r="C973" s="843">
        <f t="shared" si="166"/>
        <v>4.0465351542740002E-4</v>
      </c>
      <c r="D973" s="842">
        <v>40.5</v>
      </c>
      <c r="E973" s="843">
        <f t="shared" si="167"/>
        <v>-3.935071323167616E-3</v>
      </c>
      <c r="F973" s="842">
        <v>23.99</v>
      </c>
      <c r="G973" s="843">
        <f t="shared" si="167"/>
        <v>-6.6252587991718626E-3</v>
      </c>
      <c r="H973" s="842">
        <v>53.69</v>
      </c>
      <c r="I973" s="843">
        <f t="shared" si="167"/>
        <v>-3.5263548626578434E-3</v>
      </c>
      <c r="J973" s="842">
        <v>76.06</v>
      </c>
      <c r="K973" s="843">
        <f t="shared" si="168"/>
        <v>-2.7533761636291398E-3</v>
      </c>
      <c r="L973" s="842">
        <v>69.099999999999994</v>
      </c>
      <c r="M973" s="843">
        <f t="shared" si="169"/>
        <v>-3.317467185922407E-3</v>
      </c>
      <c r="N973" s="842">
        <v>73.88</v>
      </c>
      <c r="O973" s="843">
        <f t="shared" si="170"/>
        <v>3.5316490084214003E-3</v>
      </c>
      <c r="P973" s="844">
        <f t="shared" si="176"/>
        <v>-2.3173179729571525E-3</v>
      </c>
      <c r="Q973" s="830"/>
      <c r="R973" s="845">
        <v>874.49</v>
      </c>
      <c r="S973" s="846">
        <f t="shared" si="171"/>
        <v>-8.7507509549881179E-3</v>
      </c>
      <c r="T973" s="845">
        <v>63.57</v>
      </c>
      <c r="U973" s="846">
        <f t="shared" si="172"/>
        <v>-9.0413094310211051E-3</v>
      </c>
      <c r="V973" s="845">
        <v>103.0534</v>
      </c>
      <c r="W973" s="846">
        <f t="shared" si="173"/>
        <v>4.0480838584344703E-4</v>
      </c>
      <c r="X973" s="845">
        <v>33066.959999999999</v>
      </c>
      <c r="Y973" s="846">
        <f t="shared" si="174"/>
        <v>-3.1475938437274253E-3</v>
      </c>
      <c r="Z973" s="845">
        <v>3958.5522999999998</v>
      </c>
      <c r="AA973" s="846">
        <f t="shared" si="175"/>
        <v>-3.1584237968438345E-3</v>
      </c>
      <c r="AB973" s="843"/>
    </row>
    <row r="974" spans="1:28" ht="14.4" x14ac:dyDescent="0.55000000000000004">
      <c r="A974" s="857" t="s">
        <v>6133</v>
      </c>
      <c r="B974" s="842">
        <v>98.85</v>
      </c>
      <c r="C974" s="843">
        <f t="shared" si="166"/>
        <v>1.6556972439325301E-2</v>
      </c>
      <c r="D974" s="842">
        <v>40.659999999999997</v>
      </c>
      <c r="E974" s="843">
        <f t="shared" si="167"/>
        <v>2.2378677395021196E-2</v>
      </c>
      <c r="F974" s="842">
        <v>24.15</v>
      </c>
      <c r="G974" s="843">
        <f t="shared" si="167"/>
        <v>1.4705882352941124E-2</v>
      </c>
      <c r="H974" s="842">
        <v>53.88</v>
      </c>
      <c r="I974" s="843">
        <f t="shared" si="167"/>
        <v>2.3750712521375617E-2</v>
      </c>
      <c r="J974" s="842">
        <v>76.27</v>
      </c>
      <c r="K974" s="843">
        <f t="shared" si="168"/>
        <v>1.7068942525670039E-2</v>
      </c>
      <c r="L974" s="842">
        <v>69.33</v>
      </c>
      <c r="M974" s="843">
        <f t="shared" si="169"/>
        <v>3.0776092774308594E-2</v>
      </c>
      <c r="N974" s="842">
        <v>73.62</v>
      </c>
      <c r="O974" s="843">
        <f t="shared" si="170"/>
        <v>-5.8068872383523207E-3</v>
      </c>
      <c r="P974" s="844">
        <f t="shared" si="176"/>
        <v>1.7061484681469934E-2</v>
      </c>
      <c r="Q974" s="830"/>
      <c r="R974" s="845">
        <v>882.21</v>
      </c>
      <c r="S974" s="846">
        <f t="shared" si="171"/>
        <v>9.9135710606148564E-3</v>
      </c>
      <c r="T974" s="845">
        <v>64.150000000000006</v>
      </c>
      <c r="U974" s="846">
        <f t="shared" si="172"/>
        <v>1.0713723018749066E-2</v>
      </c>
      <c r="V974" s="845">
        <v>103.0117</v>
      </c>
      <c r="W974" s="846">
        <f t="shared" si="173"/>
        <v>1.6557144252811851E-2</v>
      </c>
      <c r="X974" s="845">
        <v>33171.370000000003</v>
      </c>
      <c r="Y974" s="846">
        <f t="shared" si="174"/>
        <v>2.9779686558897289E-3</v>
      </c>
      <c r="Z974" s="845">
        <v>3971.0947000000001</v>
      </c>
      <c r="AA974" s="846">
        <f t="shared" si="175"/>
        <v>-8.6606316323289967E-4</v>
      </c>
      <c r="AB974" s="843"/>
    </row>
    <row r="975" spans="1:28" ht="14.4" x14ac:dyDescent="0.55000000000000004">
      <c r="A975" s="857" t="s">
        <v>6134</v>
      </c>
      <c r="B975" s="842">
        <v>97.24</v>
      </c>
      <c r="C975" s="843">
        <f t="shared" si="166"/>
        <v>1.6481252575195615E-3</v>
      </c>
      <c r="D975" s="842">
        <v>39.770000000000003</v>
      </c>
      <c r="E975" s="843">
        <f t="shared" si="167"/>
        <v>-8.723828514456522E-3</v>
      </c>
      <c r="F975" s="842">
        <v>23.8</v>
      </c>
      <c r="G975" s="843">
        <f t="shared" si="167"/>
        <v>-2.2988505747126409E-2</v>
      </c>
      <c r="H975" s="842">
        <v>52.63</v>
      </c>
      <c r="I975" s="843">
        <f t="shared" si="167"/>
        <v>-1.3282732447817969E-3</v>
      </c>
      <c r="J975" s="842">
        <v>74.989999999999995</v>
      </c>
      <c r="K975" s="843">
        <f t="shared" si="168"/>
        <v>-3.0576974208987862E-3</v>
      </c>
      <c r="L975" s="842">
        <v>67.260000000000005</v>
      </c>
      <c r="M975" s="843">
        <f t="shared" si="169"/>
        <v>-1.8245511604145337E-2</v>
      </c>
      <c r="N975" s="842">
        <v>74.05</v>
      </c>
      <c r="O975" s="843">
        <f t="shared" si="170"/>
        <v>1.4522537333881314E-2</v>
      </c>
      <c r="P975" s="844">
        <f t="shared" si="176"/>
        <v>-5.4533077057154255E-3</v>
      </c>
      <c r="Q975" s="830"/>
      <c r="R975" s="845">
        <v>873.55</v>
      </c>
      <c r="S975" s="846">
        <f t="shared" si="171"/>
        <v>4.9236715865035308E-3</v>
      </c>
      <c r="T975" s="845">
        <v>63.47</v>
      </c>
      <c r="U975" s="846">
        <f t="shared" si="172"/>
        <v>3.3196332595637479E-3</v>
      </c>
      <c r="V975" s="845">
        <v>101.3339</v>
      </c>
      <c r="W975" s="846">
        <f t="shared" si="173"/>
        <v>1.6477672605350602E-3</v>
      </c>
      <c r="X975" s="845">
        <v>33072.879999999997</v>
      </c>
      <c r="Y975" s="846">
        <f t="shared" si="174"/>
        <v>1.389966976788104E-2</v>
      </c>
      <c r="Z975" s="845">
        <v>3974.5369000000001</v>
      </c>
      <c r="AA975" s="846">
        <f t="shared" si="175"/>
        <v>1.6631574935564331E-2</v>
      </c>
      <c r="AB975" s="843"/>
    </row>
    <row r="976" spans="1:28" ht="14.4" x14ac:dyDescent="0.55000000000000004">
      <c r="A976" s="857" t="s">
        <v>6135</v>
      </c>
      <c r="B976" s="842">
        <v>97.08</v>
      </c>
      <c r="C976" s="843">
        <f t="shared" si="166"/>
        <v>1.2832550860719882E-2</v>
      </c>
      <c r="D976" s="842">
        <v>40.119999999999997</v>
      </c>
      <c r="E976" s="843">
        <f t="shared" si="167"/>
        <v>3.7528146109582217E-3</v>
      </c>
      <c r="F976" s="842">
        <v>24.36</v>
      </c>
      <c r="G976" s="843">
        <f t="shared" si="167"/>
        <v>2.0100502512562901E-2</v>
      </c>
      <c r="H976" s="842">
        <v>52.7</v>
      </c>
      <c r="I976" s="843">
        <f t="shared" si="167"/>
        <v>-7.7198267746186877E-3</v>
      </c>
      <c r="J976" s="842">
        <v>75.22</v>
      </c>
      <c r="K976" s="843">
        <f t="shared" si="168"/>
        <v>1.0071169598496077E-2</v>
      </c>
      <c r="L976" s="842">
        <v>68.510000000000005</v>
      </c>
      <c r="M976" s="843">
        <f t="shared" si="169"/>
        <v>-7.2928821470241711E-4</v>
      </c>
      <c r="N976" s="842">
        <v>72.989999999999995</v>
      </c>
      <c r="O976" s="843">
        <f t="shared" si="170"/>
        <v>1.0102407971214866E-2</v>
      </c>
      <c r="P976" s="844">
        <f t="shared" si="176"/>
        <v>6.9157615092329773E-3</v>
      </c>
      <c r="Q976" s="830"/>
      <c r="R976" s="845">
        <v>869.27</v>
      </c>
      <c r="S976" s="846">
        <f t="shared" si="171"/>
        <v>8.9137524808782231E-3</v>
      </c>
      <c r="T976" s="845">
        <v>63.26</v>
      </c>
      <c r="U976" s="846">
        <f t="shared" si="172"/>
        <v>1.0704585397028232E-2</v>
      </c>
      <c r="V976" s="845">
        <v>101.16719999999999</v>
      </c>
      <c r="W976" s="846">
        <f t="shared" si="173"/>
        <v>1.2832706281398432E-2</v>
      </c>
      <c r="X976" s="845">
        <v>32619.48</v>
      </c>
      <c r="Y976" s="846">
        <f t="shared" si="174"/>
        <v>6.1511298868663911E-3</v>
      </c>
      <c r="Z976" s="845">
        <v>3909.5155</v>
      </c>
      <c r="AA976" s="846">
        <f t="shared" si="175"/>
        <v>5.2385590446428765E-3</v>
      </c>
      <c r="AB976" s="843"/>
    </row>
    <row r="977" spans="1:28" ht="14.4" x14ac:dyDescent="0.55000000000000004">
      <c r="A977" s="857" t="s">
        <v>6136</v>
      </c>
      <c r="B977" s="842">
        <v>95.85</v>
      </c>
      <c r="C977" s="843">
        <f t="shared" si="166"/>
        <v>1.7732002548311643E-2</v>
      </c>
      <c r="D977" s="842">
        <v>39.97</v>
      </c>
      <c r="E977" s="843">
        <f t="shared" si="167"/>
        <v>1.4982224479431094E-2</v>
      </c>
      <c r="F977" s="842">
        <v>23.88</v>
      </c>
      <c r="G977" s="843">
        <f t="shared" si="167"/>
        <v>1.5306122448979664E-2</v>
      </c>
      <c r="H977" s="842">
        <v>53.11</v>
      </c>
      <c r="I977" s="843">
        <f t="shared" si="167"/>
        <v>3.669724770642202E-2</v>
      </c>
      <c r="J977" s="842">
        <v>74.47</v>
      </c>
      <c r="K977" s="843">
        <f t="shared" si="168"/>
        <v>1.5823216477970137E-2</v>
      </c>
      <c r="L977" s="842">
        <v>68.56</v>
      </c>
      <c r="M977" s="843">
        <f t="shared" si="169"/>
        <v>1.9934543290687445E-2</v>
      </c>
      <c r="N977" s="842">
        <v>72.260000000000005</v>
      </c>
      <c r="O977" s="843">
        <f t="shared" si="170"/>
        <v>9.2178770949722377E-3</v>
      </c>
      <c r="P977" s="844">
        <f t="shared" si="176"/>
        <v>1.8527604863824893E-2</v>
      </c>
      <c r="Q977" s="830"/>
      <c r="R977" s="845">
        <v>861.59</v>
      </c>
      <c r="S977" s="846">
        <f t="shared" si="171"/>
        <v>2.8633617729563188E-3</v>
      </c>
      <c r="T977" s="845">
        <v>62.59</v>
      </c>
      <c r="U977" s="846">
        <f t="shared" si="172"/>
        <v>3.1964200095901951E-4</v>
      </c>
      <c r="V977" s="845">
        <v>99.885400000000004</v>
      </c>
      <c r="W977" s="846">
        <f t="shared" si="173"/>
        <v>1.7731909183443806E-2</v>
      </c>
      <c r="X977" s="845">
        <v>32420.06</v>
      </c>
      <c r="Y977" s="846">
        <f t="shared" si="174"/>
        <v>-9.5302276305719857E-5</v>
      </c>
      <c r="Z977" s="845">
        <v>3889.1419999999998</v>
      </c>
      <c r="AA977" s="846">
        <f t="shared" si="175"/>
        <v>-5.4657239845444794E-3</v>
      </c>
      <c r="AB977" s="843"/>
    </row>
    <row r="978" spans="1:28" ht="14.4" x14ac:dyDescent="0.55000000000000004">
      <c r="A978" s="857" t="s">
        <v>6137</v>
      </c>
      <c r="B978" s="842">
        <v>94.18</v>
      </c>
      <c r="C978" s="843">
        <f t="shared" si="166"/>
        <v>6.8419927303826622E-3</v>
      </c>
      <c r="D978" s="842">
        <v>39.380000000000003</v>
      </c>
      <c r="E978" s="843">
        <f t="shared" si="167"/>
        <v>-2.7894347074796211E-2</v>
      </c>
      <c r="F978" s="842">
        <v>23.52</v>
      </c>
      <c r="G978" s="843">
        <f t="shared" si="167"/>
        <v>4.2698548249358037E-3</v>
      </c>
      <c r="H978" s="842">
        <v>51.23</v>
      </c>
      <c r="I978" s="843">
        <f t="shared" si="167"/>
        <v>2.3576423576423533E-2</v>
      </c>
      <c r="J978" s="842">
        <v>73.31</v>
      </c>
      <c r="K978" s="843">
        <f t="shared" si="168"/>
        <v>2.7356038845576247E-3</v>
      </c>
      <c r="L978" s="842">
        <v>67.22</v>
      </c>
      <c r="M978" s="843">
        <f t="shared" si="169"/>
        <v>1.0827067669172852E-2</v>
      </c>
      <c r="N978" s="842">
        <v>71.599999999999994</v>
      </c>
      <c r="O978" s="843">
        <f t="shared" si="170"/>
        <v>-1.0366275051831408E-2</v>
      </c>
      <c r="P978" s="844">
        <f t="shared" si="176"/>
        <v>1.4271886512635509E-3</v>
      </c>
      <c r="Q978" s="830"/>
      <c r="R978" s="845">
        <v>859.13</v>
      </c>
      <c r="S978" s="846">
        <f t="shared" si="171"/>
        <v>1.3519412035343903E-2</v>
      </c>
      <c r="T978" s="845">
        <v>62.57</v>
      </c>
      <c r="U978" s="846">
        <f t="shared" si="172"/>
        <v>1.4922952149229562E-2</v>
      </c>
      <c r="V978" s="845">
        <v>98.145099999999999</v>
      </c>
      <c r="W978" s="846">
        <f t="shared" si="173"/>
        <v>6.8425625858525851E-3</v>
      </c>
      <c r="X978" s="845">
        <v>32423.15</v>
      </c>
      <c r="Y978" s="846">
        <f t="shared" si="174"/>
        <v>-9.4115095077479394E-3</v>
      </c>
      <c r="Z978" s="845">
        <v>3910.5158000000001</v>
      </c>
      <c r="AA978" s="846">
        <f t="shared" si="175"/>
        <v>-7.6306940400628909E-3</v>
      </c>
      <c r="AB978" s="843"/>
    </row>
    <row r="979" spans="1:28" ht="14.4" x14ac:dyDescent="0.55000000000000004">
      <c r="A979" s="857" t="s">
        <v>6138</v>
      </c>
      <c r="B979" s="842">
        <v>93.54</v>
      </c>
      <c r="C979" s="843">
        <f t="shared" si="166"/>
        <v>-5.8454671059623431E-3</v>
      </c>
      <c r="D979" s="842">
        <v>40.51</v>
      </c>
      <c r="E979" s="843">
        <f t="shared" si="167"/>
        <v>-2.6435952895938475E-2</v>
      </c>
      <c r="F979" s="842">
        <v>23.42</v>
      </c>
      <c r="G979" s="843">
        <f t="shared" si="167"/>
        <v>-1.1397214014352008E-2</v>
      </c>
      <c r="H979" s="842">
        <v>50.05</v>
      </c>
      <c r="I979" s="843">
        <f t="shared" si="167"/>
        <v>-5.4947129909365677E-2</v>
      </c>
      <c r="J979" s="842">
        <v>73.11</v>
      </c>
      <c r="K979" s="843">
        <f t="shared" si="168"/>
        <v>-2.180893765052172E-2</v>
      </c>
      <c r="L979" s="842">
        <v>66.5</v>
      </c>
      <c r="M979" s="843">
        <f t="shared" si="169"/>
        <v>-1.9174041297935096E-2</v>
      </c>
      <c r="N979" s="842">
        <v>72.349999999999994</v>
      </c>
      <c r="O979" s="843">
        <f t="shared" si="170"/>
        <v>-1.8850013561160894E-2</v>
      </c>
      <c r="P979" s="844">
        <f t="shared" si="176"/>
        <v>-2.2636965205033745E-2</v>
      </c>
      <c r="Q979" s="830"/>
      <c r="R979" s="845">
        <v>847.67</v>
      </c>
      <c r="S979" s="846">
        <f t="shared" si="171"/>
        <v>1.2978432205401624E-4</v>
      </c>
      <c r="T979" s="845">
        <v>61.65</v>
      </c>
      <c r="U979" s="846">
        <f t="shared" si="172"/>
        <v>-8.8424437299036152E-3</v>
      </c>
      <c r="V979" s="845">
        <v>97.478099999999998</v>
      </c>
      <c r="W979" s="846">
        <f t="shared" si="173"/>
        <v>-5.8459194319707697E-3</v>
      </c>
      <c r="X979" s="845">
        <v>32731.200000000001</v>
      </c>
      <c r="Y979" s="846">
        <f t="shared" si="174"/>
        <v>3.1638499115942409E-3</v>
      </c>
      <c r="Z979" s="845">
        <v>3940.5852</v>
      </c>
      <c r="AA979" s="846">
        <f t="shared" si="175"/>
        <v>7.0240999768163004E-3</v>
      </c>
      <c r="AB979" s="843"/>
    </row>
    <row r="980" spans="1:28" ht="14.4" x14ac:dyDescent="0.55000000000000004">
      <c r="A980" s="857" t="s">
        <v>6139</v>
      </c>
      <c r="B980" s="842">
        <v>94.09</v>
      </c>
      <c r="C980" s="843">
        <f t="shared" si="166"/>
        <v>5.9873837271464669E-3</v>
      </c>
      <c r="D980" s="842">
        <v>41.61</v>
      </c>
      <c r="E980" s="843">
        <f t="shared" si="167"/>
        <v>3.378881987577631E-2</v>
      </c>
      <c r="F980" s="842">
        <v>23.69</v>
      </c>
      <c r="G980" s="843">
        <f t="shared" si="167"/>
        <v>5.091217649554558E-3</v>
      </c>
      <c r="H980" s="842">
        <v>52.96</v>
      </c>
      <c r="I980" s="843">
        <f t="shared" si="167"/>
        <v>2.9548989113530322E-2</v>
      </c>
      <c r="J980" s="842">
        <v>74.739999999999995</v>
      </c>
      <c r="K980" s="843">
        <f t="shared" si="168"/>
        <v>4.01552670325378E-4</v>
      </c>
      <c r="L980" s="842">
        <v>67.8</v>
      </c>
      <c r="M980" s="843">
        <f t="shared" si="169"/>
        <v>1.013110846245513E-2</v>
      </c>
      <c r="N980" s="842">
        <v>73.739999999999995</v>
      </c>
      <c r="O980" s="843">
        <f t="shared" si="170"/>
        <v>-4.858299595141724E-3</v>
      </c>
      <c r="P980" s="844">
        <f t="shared" si="176"/>
        <v>1.1441538843378063E-2</v>
      </c>
      <c r="Q980" s="830"/>
      <c r="R980" s="845">
        <v>847.56</v>
      </c>
      <c r="S980" s="846">
        <f t="shared" si="171"/>
        <v>1.8084465089889257E-3</v>
      </c>
      <c r="T980" s="845">
        <v>62.2</v>
      </c>
      <c r="U980" s="846">
        <f t="shared" si="172"/>
        <v>2.7406093825568245E-3</v>
      </c>
      <c r="V980" s="845">
        <v>98.051299999999998</v>
      </c>
      <c r="W980" s="846">
        <f t="shared" si="173"/>
        <v>5.9876246182068993E-3</v>
      </c>
      <c r="X980" s="845">
        <v>32627.97</v>
      </c>
      <c r="Y980" s="846">
        <f t="shared" si="174"/>
        <v>-7.1306634045700257E-3</v>
      </c>
      <c r="Z980" s="845">
        <v>3913.0992000000001</v>
      </c>
      <c r="AA980" s="846">
        <f t="shared" si="175"/>
        <v>-6.0327502151524826E-4</v>
      </c>
      <c r="AB980" s="843"/>
    </row>
    <row r="981" spans="1:28" ht="14.4" x14ac:dyDescent="0.55000000000000004">
      <c r="A981" s="857" t="s">
        <v>6140</v>
      </c>
      <c r="B981" s="842">
        <v>93.53</v>
      </c>
      <c r="C981" s="843">
        <f t="shared" si="166"/>
        <v>1.1900897976847347E-2</v>
      </c>
      <c r="D981" s="842">
        <v>40.25</v>
      </c>
      <c r="E981" s="843">
        <f t="shared" si="167"/>
        <v>1.9503546099290947E-2</v>
      </c>
      <c r="F981" s="842">
        <v>23.57</v>
      </c>
      <c r="G981" s="843">
        <f t="shared" si="167"/>
        <v>5.1172707889126645E-3</v>
      </c>
      <c r="H981" s="842">
        <v>51.44</v>
      </c>
      <c r="I981" s="843">
        <f t="shared" si="167"/>
        <v>1.7203875815700931E-2</v>
      </c>
      <c r="J981" s="842">
        <v>74.709999999999994</v>
      </c>
      <c r="K981" s="843">
        <f t="shared" si="168"/>
        <v>-8.0246088003210758E-4</v>
      </c>
      <c r="L981" s="842">
        <v>67.12</v>
      </c>
      <c r="M981" s="843">
        <f t="shared" si="169"/>
        <v>1.5892235507794839E-2</v>
      </c>
      <c r="N981" s="842">
        <v>74.099999999999994</v>
      </c>
      <c r="O981" s="843">
        <f t="shared" si="170"/>
        <v>8.437670114316731E-3</v>
      </c>
      <c r="P981" s="844">
        <f t="shared" si="176"/>
        <v>1.1036147917547336E-2</v>
      </c>
      <c r="Q981" s="830"/>
      <c r="R981" s="845">
        <v>846.03</v>
      </c>
      <c r="S981" s="846">
        <f t="shared" si="171"/>
        <v>-2.2289838664024675E-3</v>
      </c>
      <c r="T981" s="845">
        <v>62.03</v>
      </c>
      <c r="U981" s="846">
        <f t="shared" si="172"/>
        <v>-3.6941856729841849E-3</v>
      </c>
      <c r="V981" s="845">
        <v>97.467699999999994</v>
      </c>
      <c r="W981" s="846">
        <f t="shared" si="173"/>
        <v>1.19007821730166E-2</v>
      </c>
      <c r="X981" s="845">
        <v>32862.300000000003</v>
      </c>
      <c r="Y981" s="846">
        <f t="shared" si="174"/>
        <v>-4.6363254447852054E-3</v>
      </c>
      <c r="Z981" s="845">
        <v>3915.4612999999999</v>
      </c>
      <c r="AA981" s="846">
        <f t="shared" si="175"/>
        <v>-1.4759256038883506E-2</v>
      </c>
      <c r="AB981" s="843"/>
    </row>
    <row r="982" spans="1:28" ht="14.4" x14ac:dyDescent="0.55000000000000004">
      <c r="A982" s="857" t="s">
        <v>6141</v>
      </c>
      <c r="B982" s="842">
        <v>92.43</v>
      </c>
      <c r="C982" s="843">
        <f t="shared" si="166"/>
        <v>-1.4605543710021207E-2</v>
      </c>
      <c r="D982" s="842">
        <v>39.479999999999997</v>
      </c>
      <c r="E982" s="843">
        <f t="shared" si="167"/>
        <v>-6.3122923588039948E-2</v>
      </c>
      <c r="F982" s="842">
        <v>23.45</v>
      </c>
      <c r="G982" s="843">
        <f t="shared" si="167"/>
        <v>0</v>
      </c>
      <c r="H982" s="842">
        <v>50.57</v>
      </c>
      <c r="I982" s="843">
        <f t="shared" si="167"/>
        <v>-5.2286356821589219E-2</v>
      </c>
      <c r="J982" s="842">
        <v>74.77</v>
      </c>
      <c r="K982" s="843">
        <f t="shared" si="168"/>
        <v>-3.5599122920159987E-2</v>
      </c>
      <c r="L982" s="842">
        <v>66.069999999999993</v>
      </c>
      <c r="M982" s="843">
        <f t="shared" si="169"/>
        <v>-1.7692536425810479E-2</v>
      </c>
      <c r="N982" s="842">
        <v>73.48</v>
      </c>
      <c r="O982" s="843">
        <f t="shared" si="170"/>
        <v>-2.7141533165629506E-2</v>
      </c>
      <c r="P982" s="844">
        <f t="shared" si="176"/>
        <v>-3.0064002375892906E-2</v>
      </c>
      <c r="Q982" s="830"/>
      <c r="R982" s="845">
        <v>847.92</v>
      </c>
      <c r="S982" s="846">
        <f t="shared" si="171"/>
        <v>-1.2944682436207833E-2</v>
      </c>
      <c r="T982" s="845">
        <v>62.26</v>
      </c>
      <c r="U982" s="846">
        <f t="shared" si="172"/>
        <v>-1.6274292937272894E-2</v>
      </c>
      <c r="V982" s="845">
        <v>96.321399999999997</v>
      </c>
      <c r="W982" s="846">
        <f t="shared" si="173"/>
        <v>-1.4605761076061041E-2</v>
      </c>
      <c r="X982" s="845">
        <v>33015.370000000003</v>
      </c>
      <c r="Y982" s="846">
        <f t="shared" si="174"/>
        <v>5.7704346713500776E-3</v>
      </c>
      <c r="Z982" s="845">
        <v>3974.1163000000001</v>
      </c>
      <c r="AA982" s="846">
        <f t="shared" si="175"/>
        <v>2.8790416653261541E-3</v>
      </c>
      <c r="AB982" s="843"/>
    </row>
    <row r="983" spans="1:28" ht="14.4" x14ac:dyDescent="0.55000000000000004">
      <c r="A983" s="857" t="s">
        <v>6142</v>
      </c>
      <c r="B983" s="842">
        <v>93.8</v>
      </c>
      <c r="C983" s="843">
        <f t="shared" si="166"/>
        <v>6.5457667131665342E-3</v>
      </c>
      <c r="D983" s="842">
        <v>42.14</v>
      </c>
      <c r="E983" s="843">
        <f t="shared" si="167"/>
        <v>-6.6006600660066805E-3</v>
      </c>
      <c r="F983" s="842">
        <v>23.45</v>
      </c>
      <c r="G983" s="843">
        <f t="shared" si="167"/>
        <v>1.8237082066869137E-2</v>
      </c>
      <c r="H983" s="842">
        <v>53.36</v>
      </c>
      <c r="I983" s="843">
        <f t="shared" si="167"/>
        <v>-1.4589104339796877E-2</v>
      </c>
      <c r="J983" s="842">
        <v>77.53</v>
      </c>
      <c r="K983" s="843">
        <f t="shared" si="168"/>
        <v>6.4909775412176351E-3</v>
      </c>
      <c r="L983" s="842">
        <v>67.260000000000005</v>
      </c>
      <c r="M983" s="843">
        <f t="shared" si="169"/>
        <v>1.4938886373925042E-2</v>
      </c>
      <c r="N983" s="842">
        <v>75.53</v>
      </c>
      <c r="O983" s="843">
        <f t="shared" si="170"/>
        <v>1.1923901393354752E-2</v>
      </c>
      <c r="P983" s="844">
        <f t="shared" si="176"/>
        <v>5.2781213832470775E-3</v>
      </c>
      <c r="Q983" s="830"/>
      <c r="R983" s="845">
        <v>859.04</v>
      </c>
      <c r="S983" s="846">
        <f t="shared" si="171"/>
        <v>2.6494858596821658E-3</v>
      </c>
      <c r="T983" s="845">
        <v>63.29</v>
      </c>
      <c r="U983" s="846">
        <f t="shared" si="172"/>
        <v>1.2656225280809341E-3</v>
      </c>
      <c r="V983" s="845">
        <v>97.749099999999999</v>
      </c>
      <c r="W983" s="846">
        <f t="shared" si="173"/>
        <v>6.5459555529927549E-3</v>
      </c>
      <c r="X983" s="845">
        <v>32825.949999999997</v>
      </c>
      <c r="Y983" s="846">
        <f t="shared" si="174"/>
        <v>-3.8693964154296046E-3</v>
      </c>
      <c r="Z983" s="845">
        <v>3962.7075</v>
      </c>
      <c r="AA983" s="846">
        <f t="shared" si="175"/>
        <v>-1.5696141526250207E-3</v>
      </c>
      <c r="AB983" s="843"/>
    </row>
    <row r="984" spans="1:28" ht="14.4" x14ac:dyDescent="0.55000000000000004">
      <c r="A984" s="857" t="s">
        <v>6143</v>
      </c>
      <c r="B984" s="842">
        <v>93.19</v>
      </c>
      <c r="C984" s="843">
        <f t="shared" si="166"/>
        <v>1.936119011157289E-2</v>
      </c>
      <c r="D984" s="842">
        <v>42.42</v>
      </c>
      <c r="E984" s="843">
        <f t="shared" si="167"/>
        <v>2.2661523625843838E-2</v>
      </c>
      <c r="F984" s="842">
        <v>23.03</v>
      </c>
      <c r="G984" s="843">
        <f t="shared" si="167"/>
        <v>2.1286031042128561E-2</v>
      </c>
      <c r="H984" s="842">
        <v>54.15</v>
      </c>
      <c r="I984" s="843">
        <f t="shared" si="167"/>
        <v>1.7474633596392231E-2</v>
      </c>
      <c r="J984" s="842">
        <v>77.03</v>
      </c>
      <c r="K984" s="843">
        <f t="shared" si="168"/>
        <v>2.5289498203114658E-2</v>
      </c>
      <c r="L984" s="842">
        <v>66.27</v>
      </c>
      <c r="M984" s="843">
        <f t="shared" si="169"/>
        <v>1.4388489208633004E-2</v>
      </c>
      <c r="N984" s="842">
        <v>74.64</v>
      </c>
      <c r="O984" s="843">
        <f t="shared" si="170"/>
        <v>-6.5220284839611065E-3</v>
      </c>
      <c r="P984" s="844">
        <f t="shared" si="176"/>
        <v>1.6277048186246295E-2</v>
      </c>
      <c r="Q984" s="830"/>
      <c r="R984" s="845">
        <v>856.77</v>
      </c>
      <c r="S984" s="846">
        <f t="shared" si="171"/>
        <v>1.4073004450336102E-2</v>
      </c>
      <c r="T984" s="845">
        <v>63.21</v>
      </c>
      <c r="U984" s="846">
        <f t="shared" si="172"/>
        <v>1.2818458580355685E-2</v>
      </c>
      <c r="V984" s="845">
        <v>97.113399999999999</v>
      </c>
      <c r="W984" s="846" t="str">
        <f t="shared" si="173"/>
        <v>NA</v>
      </c>
      <c r="X984" s="845">
        <v>32953.46</v>
      </c>
      <c r="Y984" s="846">
        <f t="shared" si="174"/>
        <v>5.3333512311675157E-3</v>
      </c>
      <c r="Z984" s="845">
        <v>3968.9371999999998</v>
      </c>
      <c r="AA984" s="846">
        <f t="shared" si="175"/>
        <v>6.4905338688789893E-3</v>
      </c>
      <c r="AB984" s="843"/>
    </row>
    <row r="985" spans="1:28" ht="14.4" x14ac:dyDescent="0.55000000000000004">
      <c r="A985" s="857" t="s">
        <v>6144</v>
      </c>
      <c r="B985" s="842">
        <v>91.42</v>
      </c>
      <c r="C985" s="843">
        <f t="shared" si="166"/>
        <v>1.7133956386292892E-2</v>
      </c>
      <c r="D985" s="842">
        <v>41.48</v>
      </c>
      <c r="E985" s="843">
        <f t="shared" si="167"/>
        <v>1.9415089702629729E-2</v>
      </c>
      <c r="F985" s="842">
        <v>22.55</v>
      </c>
      <c r="G985" s="843">
        <f t="shared" si="167"/>
        <v>1.5765765765765938E-2</v>
      </c>
      <c r="H985" s="842">
        <v>53.22</v>
      </c>
      <c r="I985" s="843">
        <f t="shared" si="167"/>
        <v>2.1105141980046094E-2</v>
      </c>
      <c r="J985" s="842">
        <v>75.13</v>
      </c>
      <c r="K985" s="843">
        <f t="shared" si="168"/>
        <v>1.8711864406779632E-2</v>
      </c>
      <c r="L985" s="842">
        <v>65.33</v>
      </c>
      <c r="M985" s="843">
        <f t="shared" si="169"/>
        <v>-2.747672111128141E-3</v>
      </c>
      <c r="N985" s="842">
        <v>75.13</v>
      </c>
      <c r="O985" s="843">
        <f t="shared" si="170"/>
        <v>3.1014134760532386E-2</v>
      </c>
      <c r="P985" s="844">
        <f t="shared" si="176"/>
        <v>1.719975441298836E-2</v>
      </c>
      <c r="Q985" s="830"/>
      <c r="R985" s="845">
        <v>844.88</v>
      </c>
      <c r="S985" s="846">
        <f t="shared" si="171"/>
        <v>1.2717705299243764E-2</v>
      </c>
      <c r="T985" s="845">
        <v>62.41</v>
      </c>
      <c r="U985" s="846">
        <f t="shared" si="172"/>
        <v>1.3478402078596963E-2</v>
      </c>
      <c r="V985" s="845" t="s">
        <v>14</v>
      </c>
      <c r="W985" s="846" t="str">
        <f t="shared" si="173"/>
        <v>NA</v>
      </c>
      <c r="X985" s="845">
        <v>32778.639999999999</v>
      </c>
      <c r="Y985" s="846">
        <f t="shared" si="174"/>
        <v>9.0209228153159682E-3</v>
      </c>
      <c r="Z985" s="845">
        <v>3943.3427999999999</v>
      </c>
      <c r="AA985" s="846">
        <f t="shared" si="175"/>
        <v>1.0165158697714727E-3</v>
      </c>
      <c r="AB985" s="843"/>
    </row>
    <row r="986" spans="1:28" ht="14.4" x14ac:dyDescent="0.55000000000000004">
      <c r="A986" s="857" t="s">
        <v>6145</v>
      </c>
      <c r="B986" s="842">
        <v>89.88</v>
      </c>
      <c r="C986" s="843">
        <f t="shared" si="166"/>
        <v>-1.0241162867525633E-2</v>
      </c>
      <c r="D986" s="842">
        <v>40.69</v>
      </c>
      <c r="E986" s="843">
        <f t="shared" si="167"/>
        <v>-4.1605482134117189E-3</v>
      </c>
      <c r="F986" s="842">
        <v>22.2</v>
      </c>
      <c r="G986" s="843">
        <f t="shared" si="167"/>
        <v>3.1631269769543113E-3</v>
      </c>
      <c r="H986" s="842">
        <v>52.12</v>
      </c>
      <c r="I986" s="843">
        <f t="shared" si="167"/>
        <v>-1.6789285040558433E-2</v>
      </c>
      <c r="J986" s="842">
        <v>73.75</v>
      </c>
      <c r="K986" s="843">
        <f t="shared" si="168"/>
        <v>-9.2692101020955819E-3</v>
      </c>
      <c r="L986" s="842">
        <v>65.510000000000005</v>
      </c>
      <c r="M986" s="843">
        <f t="shared" si="169"/>
        <v>-3.5908756438557732E-2</v>
      </c>
      <c r="N986" s="842">
        <v>72.87</v>
      </c>
      <c r="O986" s="843">
        <f t="shared" si="170"/>
        <v>5.5195253208224493E-3</v>
      </c>
      <c r="P986" s="844">
        <f t="shared" si="176"/>
        <v>-9.6694729091960484E-3</v>
      </c>
      <c r="Q986" s="830"/>
      <c r="R986" s="845">
        <v>834.27</v>
      </c>
      <c r="S986" s="846">
        <f t="shared" si="171"/>
        <v>-3.321187503733336E-3</v>
      </c>
      <c r="T986" s="845">
        <v>61.58</v>
      </c>
      <c r="U986" s="846">
        <f t="shared" si="172"/>
        <v>-2.5915127955944417E-3</v>
      </c>
      <c r="V986" s="845">
        <v>93.664000000000001</v>
      </c>
      <c r="W986" s="846">
        <f t="shared" si="173"/>
        <v>-1.0241648808240633E-2</v>
      </c>
      <c r="X986" s="845">
        <v>32485.59</v>
      </c>
      <c r="Y986" s="846">
        <f t="shared" si="174"/>
        <v>5.8386191667219034E-3</v>
      </c>
      <c r="Z986" s="845">
        <v>3939.3384000000001</v>
      </c>
      <c r="AA986" s="846">
        <f t="shared" si="175"/>
        <v>1.0396339124517873E-2</v>
      </c>
      <c r="AB986" s="843"/>
    </row>
    <row r="987" spans="1:28" ht="14.4" x14ac:dyDescent="0.55000000000000004">
      <c r="A987" s="857" t="s">
        <v>6146</v>
      </c>
      <c r="B987" s="842">
        <v>90.81</v>
      </c>
      <c r="C987" s="843">
        <f t="shared" si="166"/>
        <v>1.6453995970449942E-2</v>
      </c>
      <c r="D987" s="842">
        <v>40.86</v>
      </c>
      <c r="E987" s="843">
        <f t="shared" si="167"/>
        <v>1.5407554671968082E-2</v>
      </c>
      <c r="F987" s="842">
        <v>22.13</v>
      </c>
      <c r="G987" s="843">
        <f t="shared" si="167"/>
        <v>4.5392646391284597E-3</v>
      </c>
      <c r="H987" s="842">
        <v>53.01</v>
      </c>
      <c r="I987" s="843">
        <f t="shared" si="167"/>
        <v>1.4545454545454417E-2</v>
      </c>
      <c r="J987" s="842">
        <v>74.44</v>
      </c>
      <c r="K987" s="843">
        <f t="shared" si="168"/>
        <v>1.4307126311486451E-2</v>
      </c>
      <c r="L987" s="842">
        <v>67.95</v>
      </c>
      <c r="M987" s="843">
        <f t="shared" si="169"/>
        <v>-1.0773038287960279E-2</v>
      </c>
      <c r="N987" s="842">
        <v>72.47</v>
      </c>
      <c r="O987" s="843">
        <f t="shared" si="170"/>
        <v>6.9473391690981767E-3</v>
      </c>
      <c r="P987" s="844">
        <f t="shared" si="176"/>
        <v>8.775385288517892E-3</v>
      </c>
      <c r="Q987" s="830"/>
      <c r="R987" s="845">
        <v>837.05</v>
      </c>
      <c r="S987" s="846">
        <f t="shared" si="171"/>
        <v>7.3652413560709729E-3</v>
      </c>
      <c r="T987" s="845">
        <v>61.74</v>
      </c>
      <c r="U987" s="846">
        <f t="shared" si="172"/>
        <v>6.8493150684931781E-3</v>
      </c>
      <c r="V987" s="845">
        <v>94.633200000000002</v>
      </c>
      <c r="W987" s="846">
        <f t="shared" si="173"/>
        <v>1.6454120404333805E-2</v>
      </c>
      <c r="X987" s="845">
        <v>32297.02</v>
      </c>
      <c r="Y987" s="846">
        <f t="shared" si="174"/>
        <v>1.4584983887657721E-2</v>
      </c>
      <c r="Z987" s="845">
        <v>3898.8051</v>
      </c>
      <c r="AA987" s="846">
        <f t="shared" si="175"/>
        <v>6.0283696635932138E-3</v>
      </c>
      <c r="AB987" s="843"/>
    </row>
    <row r="988" spans="1:28" ht="14.4" x14ac:dyDescent="0.55000000000000004">
      <c r="A988" s="857" t="s">
        <v>6147</v>
      </c>
      <c r="B988" s="842">
        <v>89.34</v>
      </c>
      <c r="C988" s="843">
        <f t="shared" si="166"/>
        <v>-2.5098210388476594E-2</v>
      </c>
      <c r="D988" s="842">
        <v>40.24</v>
      </c>
      <c r="E988" s="843">
        <f t="shared" si="167"/>
        <v>-1.9732034104750218E-2</v>
      </c>
      <c r="F988" s="842">
        <v>22.03</v>
      </c>
      <c r="G988" s="843">
        <f t="shared" si="167"/>
        <v>-4.5372050816683274E-4</v>
      </c>
      <c r="H988" s="842">
        <v>52.25</v>
      </c>
      <c r="I988" s="843">
        <f t="shared" si="167"/>
        <v>-2.7726088574618557E-2</v>
      </c>
      <c r="J988" s="842">
        <v>73.39</v>
      </c>
      <c r="K988" s="843">
        <f t="shared" si="168"/>
        <v>-2.1727539322847211E-2</v>
      </c>
      <c r="L988" s="842">
        <v>68.69</v>
      </c>
      <c r="M988" s="843">
        <f t="shared" si="169"/>
        <v>-3.3624085537422577E-2</v>
      </c>
      <c r="N988" s="842">
        <v>71.97</v>
      </c>
      <c r="O988" s="843">
        <f t="shared" si="170"/>
        <v>-1.0993541294489484E-2</v>
      </c>
      <c r="P988" s="844">
        <f t="shared" si="176"/>
        <v>-1.9907888532967353E-2</v>
      </c>
      <c r="Q988" s="830"/>
      <c r="R988" s="845">
        <v>830.93</v>
      </c>
      <c r="S988" s="846">
        <f t="shared" si="171"/>
        <v>9.0837330742605804E-3</v>
      </c>
      <c r="T988" s="845">
        <v>61.32</v>
      </c>
      <c r="U988" s="846">
        <f t="shared" si="172"/>
        <v>1.3218770654329193E-2</v>
      </c>
      <c r="V988" s="845">
        <v>93.101299999999995</v>
      </c>
      <c r="W988" s="846">
        <f t="shared" si="173"/>
        <v>-2.5097881528532984E-2</v>
      </c>
      <c r="X988" s="845">
        <v>31832.74</v>
      </c>
      <c r="Y988" s="846">
        <f t="shared" si="174"/>
        <v>9.5275708404773951E-4</v>
      </c>
      <c r="Z988" s="845">
        <v>3875.4425000000001</v>
      </c>
      <c r="AA988" s="846">
        <f t="shared" si="175"/>
        <v>1.4156213567326992E-2</v>
      </c>
      <c r="AB988" s="843"/>
    </row>
    <row r="989" spans="1:28" ht="14.4" x14ac:dyDescent="0.55000000000000004">
      <c r="A989" s="857" t="s">
        <v>6148</v>
      </c>
      <c r="B989" s="842">
        <v>91.64</v>
      </c>
      <c r="C989" s="843">
        <f t="shared" si="166"/>
        <v>-7.6327554247079821E-4</v>
      </c>
      <c r="D989" s="842">
        <v>41.05</v>
      </c>
      <c r="E989" s="843">
        <f t="shared" si="167"/>
        <v>2.0636499254102381E-2</v>
      </c>
      <c r="F989" s="842">
        <v>22.04</v>
      </c>
      <c r="G989" s="843">
        <f t="shared" si="167"/>
        <v>8.2342177493137658E-3</v>
      </c>
      <c r="H989" s="842">
        <v>53.74</v>
      </c>
      <c r="I989" s="843">
        <f t="shared" si="167"/>
        <v>3.9257397021852602E-2</v>
      </c>
      <c r="J989" s="842">
        <v>75.02</v>
      </c>
      <c r="K989" s="843">
        <f t="shared" si="168"/>
        <v>1.9293478260869579E-2</v>
      </c>
      <c r="L989" s="842">
        <v>71.08</v>
      </c>
      <c r="M989" s="843">
        <f t="shared" si="169"/>
        <v>2.5981524249422572E-2</v>
      </c>
      <c r="N989" s="842">
        <v>72.77</v>
      </c>
      <c r="O989" s="843">
        <f t="shared" si="170"/>
        <v>2.6085730400451146E-2</v>
      </c>
      <c r="P989" s="844">
        <f t="shared" si="176"/>
        <v>1.9817938770505892E-2</v>
      </c>
      <c r="Q989" s="830"/>
      <c r="R989" s="845">
        <v>823.45</v>
      </c>
      <c r="S989" s="846">
        <f t="shared" si="171"/>
        <v>1.1572055083965083E-2</v>
      </c>
      <c r="T989" s="845">
        <v>60.52</v>
      </c>
      <c r="U989" s="846">
        <f t="shared" si="172"/>
        <v>1.4075067024128751E-2</v>
      </c>
      <c r="V989" s="845">
        <v>95.498099999999994</v>
      </c>
      <c r="W989" s="846">
        <f t="shared" si="173"/>
        <v>-7.6382923289575189E-4</v>
      </c>
      <c r="X989" s="845">
        <v>31802.44</v>
      </c>
      <c r="Y989" s="846">
        <f t="shared" si="174"/>
        <v>9.7198718579643018E-3</v>
      </c>
      <c r="Z989" s="845">
        <v>3821.3467000000001</v>
      </c>
      <c r="AA989" s="846">
        <f t="shared" si="175"/>
        <v>-5.3604930049168109E-3</v>
      </c>
      <c r="AB989" s="843"/>
    </row>
    <row r="990" spans="1:28" ht="14.4" x14ac:dyDescent="0.55000000000000004">
      <c r="A990" s="857" t="s">
        <v>6149</v>
      </c>
      <c r="B990" s="842">
        <v>91.71</v>
      </c>
      <c r="C990" s="843">
        <f t="shared" si="166"/>
        <v>3.160854893138354E-2</v>
      </c>
      <c r="D990" s="842">
        <v>40.22</v>
      </c>
      <c r="E990" s="843">
        <f t="shared" si="167"/>
        <v>2.4191494779729927E-2</v>
      </c>
      <c r="F990" s="842">
        <v>21.86</v>
      </c>
      <c r="G990" s="843">
        <f t="shared" si="167"/>
        <v>1.6744186046511622E-2</v>
      </c>
      <c r="H990" s="842">
        <v>51.71</v>
      </c>
      <c r="I990" s="843">
        <f t="shared" si="167"/>
        <v>6.464896026353717E-2</v>
      </c>
      <c r="J990" s="842">
        <v>73.599999999999994</v>
      </c>
      <c r="K990" s="843">
        <f t="shared" si="168"/>
        <v>6.992295391772041E-2</v>
      </c>
      <c r="L990" s="842">
        <v>69.28</v>
      </c>
      <c r="M990" s="843">
        <f t="shared" si="169"/>
        <v>6.3065827834893451E-2</v>
      </c>
      <c r="N990" s="842">
        <v>70.92</v>
      </c>
      <c r="O990" s="843">
        <f t="shared" si="170"/>
        <v>4.3248014121800571E-2</v>
      </c>
      <c r="P990" s="844">
        <f t="shared" si="176"/>
        <v>4.4775712270796672E-2</v>
      </c>
      <c r="Q990" s="830"/>
      <c r="R990" s="845">
        <v>814.03</v>
      </c>
      <c r="S990" s="846">
        <f t="shared" si="171"/>
        <v>1.7321319219665732E-2</v>
      </c>
      <c r="T990" s="845">
        <v>59.68</v>
      </c>
      <c r="U990" s="846">
        <f t="shared" si="172"/>
        <v>1.6348773841961872E-2</v>
      </c>
      <c r="V990" s="845">
        <v>95.571100000000001</v>
      </c>
      <c r="W990" s="846">
        <f t="shared" si="173"/>
        <v>3.1608500606631118E-2</v>
      </c>
      <c r="X990" s="845">
        <v>31496.3</v>
      </c>
      <c r="Y990" s="846">
        <f t="shared" si="174"/>
        <v>1.8502050501646883E-2</v>
      </c>
      <c r="Z990" s="845">
        <v>3841.9414000000002</v>
      </c>
      <c r="AA990" s="846">
        <f t="shared" si="175"/>
        <v>1.9495346352025766E-2</v>
      </c>
      <c r="AB990" s="843"/>
    </row>
    <row r="991" spans="1:28" ht="14.4" x14ac:dyDescent="0.55000000000000004">
      <c r="A991" s="857" t="s">
        <v>6150</v>
      </c>
      <c r="B991" s="842">
        <v>88.9</v>
      </c>
      <c r="C991" s="843">
        <f t="shared" si="166"/>
        <v>5.087620124364145E-3</v>
      </c>
      <c r="D991" s="842">
        <v>39.270000000000003</v>
      </c>
      <c r="E991" s="843">
        <f t="shared" si="167"/>
        <v>-9.583858764186548E-3</v>
      </c>
      <c r="F991" s="842">
        <v>21.5</v>
      </c>
      <c r="G991" s="843">
        <f t="shared" si="167"/>
        <v>-3.2452480296708552E-3</v>
      </c>
      <c r="H991" s="842">
        <v>48.57</v>
      </c>
      <c r="I991" s="843">
        <f t="shared" si="167"/>
        <v>2.3172530018959359E-2</v>
      </c>
      <c r="J991" s="842">
        <v>68.790000000000006</v>
      </c>
      <c r="K991" s="843">
        <f t="shared" si="168"/>
        <v>2.908244874220145E-4</v>
      </c>
      <c r="L991" s="842">
        <v>65.17</v>
      </c>
      <c r="M991" s="843">
        <f t="shared" si="169"/>
        <v>2.2595324023223062E-2</v>
      </c>
      <c r="N991" s="842">
        <v>67.98</v>
      </c>
      <c r="O991" s="843">
        <f t="shared" si="170"/>
        <v>1.0404280618311557E-2</v>
      </c>
      <c r="P991" s="844">
        <f t="shared" si="176"/>
        <v>6.9602103540603909E-3</v>
      </c>
      <c r="Q991" s="830"/>
      <c r="R991" s="845">
        <v>800.17</v>
      </c>
      <c r="S991" s="846">
        <f t="shared" si="171"/>
        <v>1.9784870834844703E-3</v>
      </c>
      <c r="T991" s="845">
        <v>58.72</v>
      </c>
      <c r="U991" s="846">
        <f t="shared" si="172"/>
        <v>-8.5077420452617236E-4</v>
      </c>
      <c r="V991" s="845">
        <v>92.642799999999994</v>
      </c>
      <c r="W991" s="846">
        <f t="shared" si="173"/>
        <v>5.0882137874319611E-3</v>
      </c>
      <c r="X991" s="845">
        <v>30924.14</v>
      </c>
      <c r="Y991" s="846">
        <f t="shared" si="174"/>
        <v>-1.1063287633646057E-2</v>
      </c>
      <c r="Z991" s="845">
        <v>3768.4737</v>
      </c>
      <c r="AA991" s="846">
        <f t="shared" si="175"/>
        <v>-1.341534116471732E-2</v>
      </c>
      <c r="AB991" s="843"/>
    </row>
    <row r="992" spans="1:28" ht="14.4" x14ac:dyDescent="0.55000000000000004">
      <c r="A992" s="857" t="s">
        <v>6151</v>
      </c>
      <c r="B992" s="842">
        <v>88.45</v>
      </c>
      <c r="C992" s="843">
        <f t="shared" si="166"/>
        <v>1.3869784502521965E-2</v>
      </c>
      <c r="D992" s="842">
        <v>39.65</v>
      </c>
      <c r="E992" s="843">
        <f t="shared" si="167"/>
        <v>6.6006600660064585E-3</v>
      </c>
      <c r="F992" s="842">
        <v>21.57</v>
      </c>
      <c r="G992" s="843">
        <f t="shared" si="167"/>
        <v>-9.186954524575075E-3</v>
      </c>
      <c r="H992" s="842">
        <v>47.47</v>
      </c>
      <c r="I992" s="843">
        <f t="shared" si="167"/>
        <v>-6.9037656903765399E-3</v>
      </c>
      <c r="J992" s="842">
        <v>68.77</v>
      </c>
      <c r="K992" s="843">
        <f t="shared" si="168"/>
        <v>-1.4539110206457373E-4</v>
      </c>
      <c r="L992" s="842">
        <v>63.73</v>
      </c>
      <c r="M992" s="843">
        <f t="shared" si="169"/>
        <v>5.5222467655411389E-3</v>
      </c>
      <c r="N992" s="842">
        <v>67.28</v>
      </c>
      <c r="O992" s="843">
        <f t="shared" si="170"/>
        <v>7.0348750187096964E-3</v>
      </c>
      <c r="P992" s="844">
        <f t="shared" si="176"/>
        <v>2.3987792908232958E-3</v>
      </c>
      <c r="Q992" s="830"/>
      <c r="R992" s="845">
        <v>798.59</v>
      </c>
      <c r="S992" s="846">
        <f t="shared" si="171"/>
        <v>-9.2918816990869013E-3</v>
      </c>
      <c r="T992" s="845">
        <v>58.77</v>
      </c>
      <c r="U992" s="846">
        <f t="shared" si="172"/>
        <v>-1.1770640659155784E-2</v>
      </c>
      <c r="V992" s="845">
        <v>92.1738</v>
      </c>
      <c r="W992" s="846">
        <f t="shared" si="173"/>
        <v>1.3869318875539216E-2</v>
      </c>
      <c r="X992" s="845">
        <v>31270.09</v>
      </c>
      <c r="Y992" s="846">
        <f t="shared" si="174"/>
        <v>-3.8682421239876197E-3</v>
      </c>
      <c r="Z992" s="845">
        <v>3819.7165</v>
      </c>
      <c r="AA992" s="846">
        <f t="shared" si="175"/>
        <v>-1.3068077674103118E-2</v>
      </c>
      <c r="AB992" s="843"/>
    </row>
    <row r="993" spans="1:28" ht="14.4" x14ac:dyDescent="0.55000000000000004">
      <c r="A993" s="857" t="s">
        <v>6152</v>
      </c>
      <c r="B993" s="842">
        <v>87.24</v>
      </c>
      <c r="C993" s="843">
        <f t="shared" si="166"/>
        <v>1.7376093294460659E-2</v>
      </c>
      <c r="D993" s="842">
        <v>39.39</v>
      </c>
      <c r="E993" s="843">
        <f t="shared" si="167"/>
        <v>-2.2338049143708072E-2</v>
      </c>
      <c r="F993" s="842">
        <v>21.77</v>
      </c>
      <c r="G993" s="843">
        <f t="shared" si="167"/>
        <v>-1.0454545454545494E-2</v>
      </c>
      <c r="H993" s="842">
        <v>47.8</v>
      </c>
      <c r="I993" s="843">
        <f t="shared" si="167"/>
        <v>-9.326424870466421E-3</v>
      </c>
      <c r="J993" s="842">
        <v>68.78</v>
      </c>
      <c r="K993" s="843">
        <f t="shared" si="168"/>
        <v>-1.1071171818835324E-2</v>
      </c>
      <c r="L993" s="842">
        <v>63.38</v>
      </c>
      <c r="M993" s="843">
        <f t="shared" si="169"/>
        <v>-4.0854808296668654E-3</v>
      </c>
      <c r="N993" s="842">
        <v>66.81</v>
      </c>
      <c r="O993" s="843">
        <f t="shared" si="170"/>
        <v>-2.3891294609525993E-3</v>
      </c>
      <c r="P993" s="844">
        <f t="shared" si="176"/>
        <v>-6.0412440405305879E-3</v>
      </c>
      <c r="Q993" s="830"/>
      <c r="R993" s="845">
        <v>806.08</v>
      </c>
      <c r="S993" s="846">
        <f t="shared" si="171"/>
        <v>-5.3061526691181582E-3</v>
      </c>
      <c r="T993" s="845">
        <v>59.47</v>
      </c>
      <c r="U993" s="846">
        <f t="shared" si="172"/>
        <v>-3.0176026823134361E-3</v>
      </c>
      <c r="V993" s="845">
        <v>90.912899999999993</v>
      </c>
      <c r="W993" s="846">
        <f t="shared" si="173"/>
        <v>1.737574445894241E-2</v>
      </c>
      <c r="X993" s="845">
        <v>31391.52</v>
      </c>
      <c r="Y993" s="846">
        <f t="shared" si="174"/>
        <v>-4.5659638927671997E-3</v>
      </c>
      <c r="Z993" s="845">
        <v>3870.2937999999999</v>
      </c>
      <c r="AA993" s="846">
        <f t="shared" si="175"/>
        <v>-8.0787518508050882E-3</v>
      </c>
      <c r="AB993" s="843"/>
    </row>
    <row r="994" spans="1:28" ht="14.4" x14ac:dyDescent="0.55000000000000004">
      <c r="A994" s="857" t="s">
        <v>6153</v>
      </c>
      <c r="B994" s="842">
        <v>85.75</v>
      </c>
      <c r="C994" s="843">
        <f t="shared" si="166"/>
        <v>1.3473584682661688E-2</v>
      </c>
      <c r="D994" s="842">
        <v>40.29</v>
      </c>
      <c r="E994" s="843">
        <f t="shared" si="167"/>
        <v>2.5451768897938321E-2</v>
      </c>
      <c r="F994" s="842">
        <v>22</v>
      </c>
      <c r="G994" s="843">
        <f t="shared" si="167"/>
        <v>1.8518518518518379E-2</v>
      </c>
      <c r="H994" s="842">
        <v>48.25</v>
      </c>
      <c r="I994" s="843">
        <f t="shared" si="167"/>
        <v>5.4177953740361939E-3</v>
      </c>
      <c r="J994" s="842">
        <v>69.55</v>
      </c>
      <c r="K994" s="843">
        <f t="shared" si="168"/>
        <v>3.8524712557861607E-2</v>
      </c>
      <c r="L994" s="842">
        <v>63.64</v>
      </c>
      <c r="M994" s="843">
        <f t="shared" si="169"/>
        <v>2.0689655172413834E-2</v>
      </c>
      <c r="N994" s="842">
        <v>66.97</v>
      </c>
      <c r="O994" s="843">
        <f t="shared" si="170"/>
        <v>8.2806383619391521E-3</v>
      </c>
      <c r="P994" s="844">
        <f t="shared" si="176"/>
        <v>1.8622381937909882E-2</v>
      </c>
      <c r="Q994" s="830"/>
      <c r="R994" s="845">
        <v>810.38</v>
      </c>
      <c r="S994" s="846">
        <f t="shared" si="171"/>
        <v>1.8564371991302231E-2</v>
      </c>
      <c r="T994" s="845">
        <v>59.65</v>
      </c>
      <c r="U994" s="846">
        <f t="shared" si="172"/>
        <v>2.2104180945853313E-2</v>
      </c>
      <c r="V994" s="845">
        <v>89.360200000000006</v>
      </c>
      <c r="W994" s="846">
        <f t="shared" si="173"/>
        <v>1.3473634546943503E-2</v>
      </c>
      <c r="X994" s="845">
        <v>31535.51</v>
      </c>
      <c r="Y994" s="846">
        <f t="shared" si="174"/>
        <v>1.9498667577039885E-2</v>
      </c>
      <c r="Z994" s="845">
        <v>3901.8155999999999</v>
      </c>
      <c r="AA994" s="846">
        <f t="shared" si="175"/>
        <v>2.3789645418546446E-2</v>
      </c>
      <c r="AB994" s="843"/>
    </row>
    <row r="995" spans="1:28" ht="14.4" x14ac:dyDescent="0.55000000000000004">
      <c r="A995" s="857" t="s">
        <v>6154</v>
      </c>
      <c r="B995" s="842">
        <v>84.61</v>
      </c>
      <c r="C995" s="843">
        <f t="shared" si="166"/>
        <v>-4.1029128414371563E-2</v>
      </c>
      <c r="D995" s="842">
        <v>39.29</v>
      </c>
      <c r="E995" s="843">
        <f t="shared" si="167"/>
        <v>-4.8125633232015685E-3</v>
      </c>
      <c r="F995" s="842">
        <v>21.6</v>
      </c>
      <c r="G995" s="843">
        <f t="shared" si="167"/>
        <v>-2.3066485753052812E-2</v>
      </c>
      <c r="H995" s="842">
        <v>47.99</v>
      </c>
      <c r="I995" s="843">
        <f t="shared" si="167"/>
        <v>-1.6396802623488416E-2</v>
      </c>
      <c r="J995" s="842">
        <v>66.97</v>
      </c>
      <c r="K995" s="843">
        <f t="shared" si="168"/>
        <v>-2.956093319808728E-2</v>
      </c>
      <c r="L995" s="842">
        <v>62.35</v>
      </c>
      <c r="M995" s="843">
        <f t="shared" si="169"/>
        <v>-2.7452815473405057E-2</v>
      </c>
      <c r="N995" s="842">
        <v>66.42</v>
      </c>
      <c r="O995" s="843">
        <f t="shared" si="170"/>
        <v>-2.2372681778039416E-2</v>
      </c>
      <c r="P995" s="844">
        <f t="shared" si="176"/>
        <v>-2.3527344366235159E-2</v>
      </c>
      <c r="Q995" s="830"/>
      <c r="R995" s="845">
        <v>795.61</v>
      </c>
      <c r="S995" s="846">
        <f t="shared" si="171"/>
        <v>-2.3060204570291787E-2</v>
      </c>
      <c r="T995" s="845">
        <v>58.36</v>
      </c>
      <c r="U995" s="846">
        <f t="shared" si="172"/>
        <v>-1.849983181971071E-2</v>
      </c>
      <c r="V995" s="845">
        <v>88.172200000000004</v>
      </c>
      <c r="W995" s="846">
        <f t="shared" si="173"/>
        <v>-4.1029054452354941E-2</v>
      </c>
      <c r="X995" s="845">
        <v>30932.37</v>
      </c>
      <c r="Y995" s="846">
        <f t="shared" si="174"/>
        <v>-1.495573054081567E-2</v>
      </c>
      <c r="Z995" s="845">
        <v>3811.1496999999999</v>
      </c>
      <c r="AA995" s="846">
        <f t="shared" si="175"/>
        <v>-4.7492305520009381E-3</v>
      </c>
      <c r="AB995" s="843"/>
    </row>
    <row r="996" spans="1:28" ht="14.4" x14ac:dyDescent="0.55000000000000004">
      <c r="A996" s="857" t="s">
        <v>6155</v>
      </c>
      <c r="B996" s="842">
        <v>88.23</v>
      </c>
      <c r="C996" s="843">
        <f t="shared" si="166"/>
        <v>-4.962219465433626E-3</v>
      </c>
      <c r="D996" s="842">
        <v>39.479999999999997</v>
      </c>
      <c r="E996" s="843">
        <f t="shared" si="167"/>
        <v>8.6867654573326014E-3</v>
      </c>
      <c r="F996" s="842">
        <v>22.11</v>
      </c>
      <c r="G996" s="843">
        <f t="shared" si="167"/>
        <v>-3.1559963931470092E-3</v>
      </c>
      <c r="H996" s="842">
        <v>48.79</v>
      </c>
      <c r="I996" s="843">
        <f t="shared" si="167"/>
        <v>-7.5264442636289175E-3</v>
      </c>
      <c r="J996" s="842">
        <v>69.010000000000005</v>
      </c>
      <c r="K996" s="843">
        <f t="shared" si="168"/>
        <v>-1.2025769506084361E-2</v>
      </c>
      <c r="L996" s="842">
        <v>64.11</v>
      </c>
      <c r="M996" s="843">
        <f t="shared" si="169"/>
        <v>-1.3844023996308352E-2</v>
      </c>
      <c r="N996" s="842">
        <v>67.94</v>
      </c>
      <c r="O996" s="843">
        <f t="shared" si="170"/>
        <v>-1.7631501616222067E-3</v>
      </c>
      <c r="P996" s="844">
        <f t="shared" si="176"/>
        <v>-4.9415483326988386E-3</v>
      </c>
      <c r="Q996" s="830"/>
      <c r="R996" s="845">
        <v>814.39</v>
      </c>
      <c r="S996" s="846">
        <f t="shared" si="171"/>
        <v>-1.3637739962453765E-2</v>
      </c>
      <c r="T996" s="845">
        <v>59.46</v>
      </c>
      <c r="U996" s="846">
        <f t="shared" si="172"/>
        <v>-9.000000000000008E-3</v>
      </c>
      <c r="V996" s="845">
        <v>91.944599999999994</v>
      </c>
      <c r="W996" s="846">
        <f t="shared" si="173"/>
        <v>-4.9619547396136943E-3</v>
      </c>
      <c r="X996" s="845">
        <v>31402.01</v>
      </c>
      <c r="Y996" s="846">
        <f t="shared" si="174"/>
        <v>-1.7516189608489663E-2</v>
      </c>
      <c r="Z996" s="845">
        <v>3829.3361</v>
      </c>
      <c r="AA996" s="846">
        <f t="shared" si="175"/>
        <v>-2.447924399369894E-2</v>
      </c>
      <c r="AB996" s="843"/>
    </row>
    <row r="997" spans="1:28" ht="14.4" x14ac:dyDescent="0.55000000000000004">
      <c r="A997" s="857" t="s">
        <v>6156</v>
      </c>
      <c r="B997" s="842">
        <v>88.67</v>
      </c>
      <c r="C997" s="843">
        <f t="shared" si="166"/>
        <v>-1.0710699542563762E-2</v>
      </c>
      <c r="D997" s="842">
        <v>39.14</v>
      </c>
      <c r="E997" s="843">
        <f t="shared" si="167"/>
        <v>-4.3245993385907511E-3</v>
      </c>
      <c r="F997" s="842">
        <v>22.18</v>
      </c>
      <c r="G997" s="843">
        <f t="shared" si="167"/>
        <v>-1.9018133569217111E-2</v>
      </c>
      <c r="H997" s="842">
        <v>49.16</v>
      </c>
      <c r="I997" s="843">
        <f t="shared" si="167"/>
        <v>2.0383204239704522E-3</v>
      </c>
      <c r="J997" s="842">
        <v>69.849999999999994</v>
      </c>
      <c r="K997" s="843">
        <f t="shared" si="168"/>
        <v>-2.2853878017428109E-3</v>
      </c>
      <c r="L997" s="842">
        <v>65.010000000000005</v>
      </c>
      <c r="M997" s="843">
        <f t="shared" si="169"/>
        <v>-1.29061645915578E-2</v>
      </c>
      <c r="N997" s="842">
        <v>68.06</v>
      </c>
      <c r="O997" s="843">
        <f t="shared" si="170"/>
        <v>-9.1716407046148474E-3</v>
      </c>
      <c r="P997" s="844">
        <f t="shared" si="176"/>
        <v>-8.0540435891880893E-3</v>
      </c>
      <c r="Q997" s="830"/>
      <c r="R997" s="845">
        <v>825.65</v>
      </c>
      <c r="S997" s="846">
        <f t="shared" si="171"/>
        <v>-1.2203146497577366E-2</v>
      </c>
      <c r="T997" s="845">
        <v>60</v>
      </c>
      <c r="U997" s="846">
        <f t="shared" si="172"/>
        <v>-1.1694943172459227E-2</v>
      </c>
      <c r="V997" s="845">
        <v>92.403099999999995</v>
      </c>
      <c r="W997" s="846">
        <f t="shared" si="173"/>
        <v>-1.0710519413084096E-2</v>
      </c>
      <c r="X997" s="845">
        <v>31961.86</v>
      </c>
      <c r="Y997" s="846">
        <f t="shared" si="174"/>
        <v>1.3460547572957227E-2</v>
      </c>
      <c r="Z997" s="845">
        <v>3925.4276</v>
      </c>
      <c r="AA997" s="846">
        <f t="shared" si="175"/>
        <v>1.1351330196931242E-2</v>
      </c>
      <c r="AB997" s="843"/>
    </row>
    <row r="998" spans="1:28" ht="14.4" x14ac:dyDescent="0.55000000000000004">
      <c r="A998" s="857" t="s">
        <v>6157</v>
      </c>
      <c r="B998" s="842">
        <v>89.63</v>
      </c>
      <c r="C998" s="843">
        <f t="shared" si="166"/>
        <v>2.4605748797672522E-3</v>
      </c>
      <c r="D998" s="842">
        <v>39.31</v>
      </c>
      <c r="E998" s="843">
        <f t="shared" si="167"/>
        <v>1.2735608762100004E-3</v>
      </c>
      <c r="F998" s="842">
        <v>22.61</v>
      </c>
      <c r="G998" s="843">
        <f t="shared" si="167"/>
        <v>1.0277033065236862E-2</v>
      </c>
      <c r="H998" s="842">
        <v>49.06</v>
      </c>
      <c r="I998" s="843">
        <f t="shared" si="167"/>
        <v>2.8727196477249084E-2</v>
      </c>
      <c r="J998" s="842">
        <v>70.010000000000005</v>
      </c>
      <c r="K998" s="843">
        <f t="shared" si="168"/>
        <v>-1.4281633818891137E-4</v>
      </c>
      <c r="L998" s="842">
        <v>65.86</v>
      </c>
      <c r="M998" s="843">
        <f t="shared" si="169"/>
        <v>2.4898848428260179E-2</v>
      </c>
      <c r="N998" s="842">
        <v>68.69</v>
      </c>
      <c r="O998" s="843">
        <f t="shared" si="170"/>
        <v>2.9217860353611069E-2</v>
      </c>
      <c r="P998" s="844">
        <f t="shared" si="176"/>
        <v>1.3816036820306505E-2</v>
      </c>
      <c r="Q998" s="830"/>
      <c r="R998" s="845">
        <v>835.85</v>
      </c>
      <c r="S998" s="846">
        <f t="shared" si="171"/>
        <v>6.5873455526386238E-3</v>
      </c>
      <c r="T998" s="845">
        <v>60.71</v>
      </c>
      <c r="U998" s="846">
        <f t="shared" si="172"/>
        <v>8.3042683939544837E-3</v>
      </c>
      <c r="V998" s="845">
        <v>93.403499999999994</v>
      </c>
      <c r="W998" s="846">
        <f t="shared" si="173"/>
        <v>2.4609816880638569E-3</v>
      </c>
      <c r="X998" s="845">
        <v>31537.35</v>
      </c>
      <c r="Y998" s="846">
        <f t="shared" si="174"/>
        <v>4.9680077432401326E-4</v>
      </c>
      <c r="Z998" s="845">
        <v>3881.3688999999999</v>
      </c>
      <c r="AA998" s="846">
        <f t="shared" si="175"/>
        <v>1.2560299563015853E-3</v>
      </c>
      <c r="AB998" s="843"/>
    </row>
    <row r="999" spans="1:28" ht="14.4" x14ac:dyDescent="0.55000000000000004">
      <c r="A999" s="857" t="s">
        <v>6158</v>
      </c>
      <c r="B999" s="842">
        <v>89.41</v>
      </c>
      <c r="C999" s="843">
        <f t="shared" si="166"/>
        <v>-4.4356562633604213E-2</v>
      </c>
      <c r="D999" s="842">
        <v>39.26</v>
      </c>
      <c r="E999" s="843">
        <f t="shared" si="167"/>
        <v>-8.5858585858586967E-3</v>
      </c>
      <c r="F999" s="842">
        <v>22.38</v>
      </c>
      <c r="G999" s="843">
        <f t="shared" si="167"/>
        <v>-2.0140105078809145E-2</v>
      </c>
      <c r="H999" s="842">
        <v>47.69</v>
      </c>
      <c r="I999" s="843">
        <f t="shared" si="167"/>
        <v>-2.4345335515548405E-2</v>
      </c>
      <c r="J999" s="842">
        <v>70.02</v>
      </c>
      <c r="K999" s="843">
        <f t="shared" si="168"/>
        <v>-5.4550364569268206E-2</v>
      </c>
      <c r="L999" s="842">
        <v>64.260000000000005</v>
      </c>
      <c r="M999" s="843">
        <f t="shared" si="169"/>
        <v>-8.3333333333331927E-3</v>
      </c>
      <c r="N999" s="842">
        <v>66.739999999999995</v>
      </c>
      <c r="O999" s="843">
        <f t="shared" si="170"/>
        <v>-1.3743165361312371E-2</v>
      </c>
      <c r="P999" s="844">
        <f t="shared" si="176"/>
        <v>-2.4864960725390604E-2</v>
      </c>
      <c r="Q999" s="830"/>
      <c r="R999" s="845">
        <v>830.38</v>
      </c>
      <c r="S999" s="846">
        <f t="shared" si="171"/>
        <v>-1.9054706973337554E-2</v>
      </c>
      <c r="T999" s="845">
        <v>60.21</v>
      </c>
      <c r="U999" s="846">
        <f t="shared" si="172"/>
        <v>-1.9540791402051672E-2</v>
      </c>
      <c r="V999" s="845">
        <v>93.174199999999999</v>
      </c>
      <c r="W999" s="846">
        <f t="shared" si="173"/>
        <v>-4.4357378024389993E-2</v>
      </c>
      <c r="X999" s="845">
        <v>31521.69</v>
      </c>
      <c r="Y999" s="846">
        <f t="shared" si="174"/>
        <v>8.690455929831753E-4</v>
      </c>
      <c r="Z999" s="845">
        <v>3876.4998999999998</v>
      </c>
      <c r="AA999" s="846">
        <f t="shared" si="175"/>
        <v>-7.732316197285205E-3</v>
      </c>
      <c r="AB999" s="843"/>
    </row>
    <row r="1000" spans="1:28" ht="14.4" x14ac:dyDescent="0.55000000000000004">
      <c r="A1000" s="857" t="s">
        <v>6159</v>
      </c>
      <c r="B1000" s="842">
        <v>93.56</v>
      </c>
      <c r="C1000" s="843">
        <f t="shared" si="166"/>
        <v>-1.3875547016757306E-3</v>
      </c>
      <c r="D1000" s="842">
        <v>39.6</v>
      </c>
      <c r="E1000" s="843">
        <f t="shared" si="167"/>
        <v>1.616628175519641E-2</v>
      </c>
      <c r="F1000" s="842">
        <v>22.84</v>
      </c>
      <c r="G1000" s="843">
        <f t="shared" si="167"/>
        <v>0</v>
      </c>
      <c r="H1000" s="842">
        <v>48.88</v>
      </c>
      <c r="I1000" s="843">
        <f t="shared" si="167"/>
        <v>1.3687266694317746E-2</v>
      </c>
      <c r="J1000" s="842">
        <v>74.06</v>
      </c>
      <c r="K1000" s="843">
        <f t="shared" si="168"/>
        <v>6.5235118238651246E-3</v>
      </c>
      <c r="L1000" s="842">
        <v>64.8</v>
      </c>
      <c r="M1000" s="843">
        <f t="shared" si="169"/>
        <v>7.1495181846439326E-3</v>
      </c>
      <c r="N1000" s="842">
        <v>67.67</v>
      </c>
      <c r="O1000" s="843">
        <f t="shared" si="170"/>
        <v>8.8744268599327825E-4</v>
      </c>
      <c r="P1000" s="844">
        <f t="shared" si="176"/>
        <v>6.1466380631915373E-3</v>
      </c>
      <c r="Q1000" s="830"/>
      <c r="R1000" s="845">
        <v>846.51</v>
      </c>
      <c r="S1000" s="846">
        <f t="shared" si="171"/>
        <v>-1.3368609990908942E-2</v>
      </c>
      <c r="T1000" s="845">
        <v>61.41</v>
      </c>
      <c r="U1000" s="846">
        <f t="shared" si="172"/>
        <v>-1.4918190567853817E-2</v>
      </c>
      <c r="V1000" s="845">
        <v>97.498999999999995</v>
      </c>
      <c r="W1000" s="846">
        <f t="shared" si="173"/>
        <v>-1.3868062895865396E-3</v>
      </c>
      <c r="X1000" s="845">
        <v>31494.32</v>
      </c>
      <c r="Y1000" s="846">
        <f t="shared" si="174"/>
        <v>3.1117690279858223E-5</v>
      </c>
      <c r="Z1000" s="845">
        <v>3906.7078000000001</v>
      </c>
      <c r="AA1000" s="846">
        <f t="shared" si="175"/>
        <v>-1.8557877519439492E-3</v>
      </c>
      <c r="AB1000" s="843"/>
    </row>
    <row r="1001" spans="1:28" ht="14.4" x14ac:dyDescent="0.55000000000000004">
      <c r="A1001" s="857" t="s">
        <v>6160</v>
      </c>
      <c r="B1001" s="842">
        <v>93.69</v>
      </c>
      <c r="C1001" s="843">
        <f t="shared" si="166"/>
        <v>1.3631937682570427E-2</v>
      </c>
      <c r="D1001" s="842">
        <v>38.97</v>
      </c>
      <c r="E1001" s="843">
        <f t="shared" si="167"/>
        <v>2.5726781579624713E-3</v>
      </c>
      <c r="F1001" s="842">
        <v>22.84</v>
      </c>
      <c r="G1001" s="843">
        <f t="shared" si="167"/>
        <v>7.4988972209968363E-3</v>
      </c>
      <c r="H1001" s="842">
        <v>48.22</v>
      </c>
      <c r="I1001" s="843">
        <f t="shared" si="167"/>
        <v>8.3647009619405299E-3</v>
      </c>
      <c r="J1001" s="842">
        <v>73.58</v>
      </c>
      <c r="K1001" s="843">
        <f t="shared" si="168"/>
        <v>8.3595998355487922E-3</v>
      </c>
      <c r="L1001" s="842">
        <v>64.34</v>
      </c>
      <c r="M1001" s="843">
        <f t="shared" si="169"/>
        <v>1.068174677976752E-2</v>
      </c>
      <c r="N1001" s="842">
        <v>67.61</v>
      </c>
      <c r="O1001" s="843">
        <f t="shared" si="170"/>
        <v>1.7150594253046547E-2</v>
      </c>
      <c r="P1001" s="844">
        <f t="shared" si="176"/>
        <v>9.7514506988333038E-3</v>
      </c>
      <c r="Q1001" s="830"/>
      <c r="R1001" s="845">
        <v>857.98</v>
      </c>
      <c r="S1001" s="846">
        <f t="shared" si="171"/>
        <v>5.7674723935010608E-3</v>
      </c>
      <c r="T1001" s="845">
        <v>62.34</v>
      </c>
      <c r="U1001" s="846">
        <f t="shared" si="172"/>
        <v>5.9706309504599098E-3</v>
      </c>
      <c r="V1001" s="845">
        <v>97.634399999999999</v>
      </c>
      <c r="W1001" s="846">
        <f t="shared" si="173"/>
        <v>1.3631446386784374E-2</v>
      </c>
      <c r="X1001" s="845">
        <v>31493.34</v>
      </c>
      <c r="Y1001" s="846">
        <f t="shared" si="174"/>
        <v>-3.7857819341524657E-3</v>
      </c>
      <c r="Z1001" s="845">
        <v>3913.9713000000002</v>
      </c>
      <c r="AA1001" s="846">
        <f t="shared" si="175"/>
        <v>-4.4156043354787178E-3</v>
      </c>
      <c r="AB1001" s="843"/>
    </row>
    <row r="1002" spans="1:28" ht="14.4" x14ac:dyDescent="0.55000000000000004">
      <c r="A1002" s="857" t="s">
        <v>6161</v>
      </c>
      <c r="B1002" s="842">
        <v>92.43</v>
      </c>
      <c r="C1002" s="843">
        <f t="shared" si="166"/>
        <v>1.4265335235378096E-2</v>
      </c>
      <c r="D1002" s="842">
        <v>38.869999999999997</v>
      </c>
      <c r="E1002" s="843">
        <f t="shared" si="167"/>
        <v>2.8034911399100748E-2</v>
      </c>
      <c r="F1002" s="842">
        <v>22.67</v>
      </c>
      <c r="G1002" s="843">
        <f t="shared" si="167"/>
        <v>1.2957998212689947E-2</v>
      </c>
      <c r="H1002" s="842">
        <v>47.82</v>
      </c>
      <c r="I1002" s="843">
        <f t="shared" si="167"/>
        <v>2.1140294682895577E-2</v>
      </c>
      <c r="J1002" s="842">
        <v>72.97</v>
      </c>
      <c r="K1002" s="843">
        <f t="shared" si="168"/>
        <v>1.0245050533019384E-2</v>
      </c>
      <c r="L1002" s="842">
        <v>63.66</v>
      </c>
      <c r="M1002" s="843">
        <f t="shared" si="169"/>
        <v>2.0846696600384851E-2</v>
      </c>
      <c r="N1002" s="842">
        <v>66.47</v>
      </c>
      <c r="O1002" s="843">
        <f t="shared" si="170"/>
        <v>2.5613331276037599E-2</v>
      </c>
      <c r="P1002" s="844">
        <f t="shared" si="176"/>
        <v>1.9014802562786599E-2</v>
      </c>
      <c r="Q1002" s="830"/>
      <c r="R1002" s="845">
        <v>853.06</v>
      </c>
      <c r="S1002" s="846">
        <f t="shared" si="171"/>
        <v>2.1851503759398039E-3</v>
      </c>
      <c r="T1002" s="845">
        <v>61.97</v>
      </c>
      <c r="U1002" s="846">
        <f t="shared" si="172"/>
        <v>8.0749354005171803E-4</v>
      </c>
      <c r="V1002" s="845">
        <v>96.321399999999997</v>
      </c>
      <c r="W1002" s="846">
        <f t="shared" si="173"/>
        <v>1.4265000257985161E-2</v>
      </c>
      <c r="X1002" s="845">
        <v>31613.02</v>
      </c>
      <c r="Y1002" s="846">
        <f t="shared" si="174"/>
        <v>2.8636460968665123E-3</v>
      </c>
      <c r="Z1002" s="845">
        <v>3931.3305</v>
      </c>
      <c r="AA1002" s="846">
        <f t="shared" si="175"/>
        <v>-3.2009444769631745E-4</v>
      </c>
      <c r="AB1002" s="843"/>
    </row>
    <row r="1003" spans="1:28" ht="14.4" x14ac:dyDescent="0.55000000000000004">
      <c r="A1003" s="857" t="s">
        <v>6162</v>
      </c>
      <c r="B1003" s="842">
        <v>91.13</v>
      </c>
      <c r="C1003" s="843">
        <f t="shared" si="166"/>
        <v>8.7863811092803168E-4</v>
      </c>
      <c r="D1003" s="842">
        <v>37.81</v>
      </c>
      <c r="E1003" s="843">
        <f t="shared" si="167"/>
        <v>3.2495903877662657E-2</v>
      </c>
      <c r="F1003" s="842">
        <v>22.38</v>
      </c>
      <c r="G1003" s="843">
        <f t="shared" si="167"/>
        <v>-6.6577896138483306E-3</v>
      </c>
      <c r="H1003" s="842">
        <v>46.83</v>
      </c>
      <c r="I1003" s="843">
        <f t="shared" si="167"/>
        <v>1.1010362694300557E-2</v>
      </c>
      <c r="J1003" s="842">
        <v>72.23</v>
      </c>
      <c r="K1003" s="843">
        <f t="shared" si="168"/>
        <v>-6.32824322465253E-3</v>
      </c>
      <c r="L1003" s="842">
        <v>62.36</v>
      </c>
      <c r="M1003" s="843">
        <f t="shared" si="169"/>
        <v>8.5718906679606022E-3</v>
      </c>
      <c r="N1003" s="842">
        <v>64.81</v>
      </c>
      <c r="O1003" s="843">
        <f t="shared" si="170"/>
        <v>1.3131155229013647E-2</v>
      </c>
      <c r="P1003" s="844">
        <f t="shared" si="176"/>
        <v>7.5859882487663765E-3</v>
      </c>
      <c r="Q1003" s="830"/>
      <c r="R1003" s="845">
        <v>851.2</v>
      </c>
      <c r="S1003" s="846">
        <f t="shared" si="171"/>
        <v>-6.8836775172091968E-3</v>
      </c>
      <c r="T1003" s="845">
        <v>61.92</v>
      </c>
      <c r="U1003" s="846">
        <f t="shared" si="172"/>
        <v>-1.1178537208559547E-2</v>
      </c>
      <c r="V1003" s="845">
        <v>94.966700000000003</v>
      </c>
      <c r="W1003" s="846">
        <f t="shared" si="173"/>
        <v>8.7897448760743124E-4</v>
      </c>
      <c r="X1003" s="845">
        <v>31522.75</v>
      </c>
      <c r="Y1003" s="846">
        <f t="shared" si="174"/>
        <v>2.0455585789487252E-3</v>
      </c>
      <c r="Z1003" s="845">
        <v>3932.5893000000001</v>
      </c>
      <c r="AA1003" s="846">
        <f t="shared" si="175"/>
        <v>-5.7039259372004825E-4</v>
      </c>
      <c r="AB1003" s="843"/>
    </row>
    <row r="1004" spans="1:28" ht="14.4" x14ac:dyDescent="0.55000000000000004">
      <c r="A1004" s="857" t="s">
        <v>6163</v>
      </c>
      <c r="B1004" s="842">
        <v>91.05</v>
      </c>
      <c r="C1004" s="843">
        <f t="shared" si="166"/>
        <v>1.0984182776785367E-4</v>
      </c>
      <c r="D1004" s="842">
        <v>36.619999999999997</v>
      </c>
      <c r="E1004" s="843">
        <f t="shared" si="167"/>
        <v>-1.5061861215707406E-2</v>
      </c>
      <c r="F1004" s="842">
        <v>22.53</v>
      </c>
      <c r="G1004" s="843">
        <f t="shared" si="167"/>
        <v>-9.6703296703296582E-3</v>
      </c>
      <c r="H1004" s="842">
        <v>46.32</v>
      </c>
      <c r="I1004" s="843">
        <f t="shared" si="167"/>
        <v>-2.1132713440405793E-2</v>
      </c>
      <c r="J1004" s="842">
        <v>72.69</v>
      </c>
      <c r="K1004" s="843">
        <f t="shared" si="168"/>
        <v>-8.9979550102249339E-3</v>
      </c>
      <c r="L1004" s="842">
        <v>61.83</v>
      </c>
      <c r="M1004" s="843">
        <f t="shared" si="169"/>
        <v>-1.1194626579241973E-2</v>
      </c>
      <c r="N1004" s="842">
        <v>63.97</v>
      </c>
      <c r="O1004" s="843">
        <f t="shared" si="170"/>
        <v>2.3503603885928204E-3</v>
      </c>
      <c r="P1004" s="844">
        <f t="shared" si="176"/>
        <v>-9.0853262427927264E-3</v>
      </c>
      <c r="Q1004" s="830"/>
      <c r="R1004" s="845">
        <v>857.1</v>
      </c>
      <c r="S1004" s="846">
        <f t="shared" si="171"/>
        <v>-8.8923322425096263E-3</v>
      </c>
      <c r="T1004" s="845">
        <v>62.62</v>
      </c>
      <c r="U1004" s="846">
        <f t="shared" si="172"/>
        <v>-7.2923272035511078E-3</v>
      </c>
      <c r="V1004" s="845">
        <v>94.883300000000006</v>
      </c>
      <c r="W1004" s="846">
        <f t="shared" si="173"/>
        <v>1.096203446928623E-4</v>
      </c>
      <c r="X1004" s="845">
        <v>31458.400000000001</v>
      </c>
      <c r="Y1004" s="846">
        <f t="shared" si="174"/>
        <v>8.8130394805085999E-4</v>
      </c>
      <c r="Z1004" s="845">
        <v>3934.8337000000001</v>
      </c>
      <c r="AA1004" s="846">
        <f t="shared" si="175"/>
        <v>4.7132105582330386E-3</v>
      </c>
      <c r="AB1004" s="843"/>
    </row>
    <row r="1005" spans="1:28" ht="14.4" x14ac:dyDescent="0.55000000000000004">
      <c r="A1005" s="857" t="s">
        <v>6164</v>
      </c>
      <c r="B1005" s="842">
        <v>91.04</v>
      </c>
      <c r="C1005" s="843">
        <f t="shared" si="166"/>
        <v>-8.8187261839954845E-3</v>
      </c>
      <c r="D1005" s="842">
        <v>37.18</v>
      </c>
      <c r="E1005" s="843">
        <f t="shared" si="167"/>
        <v>-5.3504547886571441E-3</v>
      </c>
      <c r="F1005" s="842">
        <v>22.75</v>
      </c>
      <c r="G1005" s="843">
        <f t="shared" si="167"/>
        <v>1.2461059190031154E-2</v>
      </c>
      <c r="H1005" s="842">
        <v>47.32</v>
      </c>
      <c r="I1005" s="843">
        <f t="shared" si="167"/>
        <v>1.3927576601671321E-2</v>
      </c>
      <c r="J1005" s="842">
        <v>73.349999999999994</v>
      </c>
      <c r="K1005" s="843">
        <f t="shared" si="168"/>
        <v>-5.1539400515395739E-3</v>
      </c>
      <c r="L1005" s="842">
        <v>62.53</v>
      </c>
      <c r="M1005" s="843">
        <f t="shared" si="169"/>
        <v>1.2959663048760728E-2</v>
      </c>
      <c r="N1005" s="842">
        <v>63.82</v>
      </c>
      <c r="O1005" s="843">
        <f t="shared" si="170"/>
        <v>9.4906675102814919E-3</v>
      </c>
      <c r="P1005" s="844">
        <f t="shared" si="176"/>
        <v>4.2165493323646419E-3</v>
      </c>
      <c r="Q1005" s="830"/>
      <c r="R1005" s="845">
        <v>864.79</v>
      </c>
      <c r="S1005" s="846">
        <f t="shared" si="171"/>
        <v>-7.3690614203235638E-3</v>
      </c>
      <c r="T1005" s="845">
        <v>63.08</v>
      </c>
      <c r="U1005" s="846">
        <f t="shared" si="172"/>
        <v>-5.6746532156367602E-3</v>
      </c>
      <c r="V1005" s="845">
        <v>94.872900000000001</v>
      </c>
      <c r="W1005" s="846">
        <f t="shared" si="173"/>
        <v>-8.8187051411974249E-3</v>
      </c>
      <c r="X1005" s="845">
        <v>31430.7</v>
      </c>
      <c r="Y1005" s="846">
        <f t="shared" si="174"/>
        <v>-2.2584277525772301E-4</v>
      </c>
      <c r="Z1005" s="845">
        <v>3916.375</v>
      </c>
      <c r="AA1005" s="846">
        <f t="shared" si="175"/>
        <v>1.6612531582493872E-3</v>
      </c>
      <c r="AB1005" s="843"/>
    </row>
    <row r="1006" spans="1:28" ht="14.4" x14ac:dyDescent="0.55000000000000004">
      <c r="A1006" s="857" t="s">
        <v>6165</v>
      </c>
      <c r="B1006" s="842">
        <v>91.85</v>
      </c>
      <c r="C1006" s="843">
        <f t="shared" si="166"/>
        <v>2.5111607142857206E-2</v>
      </c>
      <c r="D1006" s="842">
        <v>37.380000000000003</v>
      </c>
      <c r="E1006" s="843">
        <f t="shared" si="167"/>
        <v>4.5686643375437708E-3</v>
      </c>
      <c r="F1006" s="842">
        <v>22.47</v>
      </c>
      <c r="G1006" s="843">
        <f t="shared" si="167"/>
        <v>4.9194991055456772E-3</v>
      </c>
      <c r="H1006" s="842">
        <v>46.67</v>
      </c>
      <c r="I1006" s="843">
        <f t="shared" si="167"/>
        <v>-8.5634767715692117E-4</v>
      </c>
      <c r="J1006" s="842">
        <v>73.73</v>
      </c>
      <c r="K1006" s="843">
        <f t="shared" si="168"/>
        <v>1.6404742211193701E-2</v>
      </c>
      <c r="L1006" s="842">
        <v>61.73</v>
      </c>
      <c r="M1006" s="843">
        <f t="shared" si="169"/>
        <v>7.8367346938774674E-3</v>
      </c>
      <c r="N1006" s="842">
        <v>63.22</v>
      </c>
      <c r="O1006" s="843">
        <f t="shared" si="170"/>
        <v>-1.5877957658779529E-2</v>
      </c>
      <c r="P1006" s="844">
        <f t="shared" si="176"/>
        <v>6.01527745072591E-3</v>
      </c>
      <c r="Q1006" s="830"/>
      <c r="R1006" s="845">
        <v>871.21</v>
      </c>
      <c r="S1006" s="846">
        <f t="shared" si="171"/>
        <v>5.9813170444442676E-3</v>
      </c>
      <c r="T1006" s="845">
        <v>63.44</v>
      </c>
      <c r="U1006" s="846">
        <f t="shared" si="172"/>
        <v>3.9563222028802247E-3</v>
      </c>
      <c r="V1006" s="845">
        <v>95.716999999999999</v>
      </c>
      <c r="W1006" s="846">
        <f t="shared" si="173"/>
        <v>2.5112399622157167E-2</v>
      </c>
      <c r="X1006" s="845">
        <v>31437.8</v>
      </c>
      <c r="Y1006" s="846">
        <f t="shared" si="174"/>
        <v>1.9750871929125058E-3</v>
      </c>
      <c r="Z1006" s="845">
        <v>3909.8797</v>
      </c>
      <c r="AA1006" s="846">
        <f t="shared" si="175"/>
        <v>-3.4464881704532324E-4</v>
      </c>
      <c r="AB1006" s="843"/>
    </row>
    <row r="1007" spans="1:28" ht="14.4" x14ac:dyDescent="0.55000000000000004">
      <c r="A1007" s="857" t="s">
        <v>6166</v>
      </c>
      <c r="B1007" s="842">
        <v>89.6</v>
      </c>
      <c r="C1007" s="843">
        <f t="shared" si="166"/>
        <v>5.837449483610202E-3</v>
      </c>
      <c r="D1007" s="842">
        <v>37.21</v>
      </c>
      <c r="E1007" s="843">
        <f t="shared" si="167"/>
        <v>2.5068870523416109E-2</v>
      </c>
      <c r="F1007" s="842">
        <v>22.36</v>
      </c>
      <c r="G1007" s="843">
        <f t="shared" si="167"/>
        <v>1.7921146953405742E-3</v>
      </c>
      <c r="H1007" s="842">
        <v>46.71</v>
      </c>
      <c r="I1007" s="843">
        <f t="shared" si="167"/>
        <v>2.0091723083642821E-2</v>
      </c>
      <c r="J1007" s="842">
        <v>72.540000000000006</v>
      </c>
      <c r="K1007" s="843">
        <f t="shared" si="168"/>
        <v>-1.3783597518934876E-4</v>
      </c>
      <c r="L1007" s="842">
        <v>61.25</v>
      </c>
      <c r="M1007" s="843">
        <f t="shared" si="169"/>
        <v>-2.2805017103763037E-3</v>
      </c>
      <c r="N1007" s="842">
        <v>64.239999999999995</v>
      </c>
      <c r="O1007" s="843">
        <f t="shared" si="170"/>
        <v>-7.8764478764479229E-3</v>
      </c>
      <c r="P1007" s="844">
        <f t="shared" si="176"/>
        <v>6.0707674605708761E-3</v>
      </c>
      <c r="Q1007" s="830"/>
      <c r="R1007" s="845">
        <v>866.03</v>
      </c>
      <c r="S1007" s="846">
        <f t="shared" si="171"/>
        <v>7.1642342935729353E-4</v>
      </c>
      <c r="T1007" s="845">
        <v>63.19</v>
      </c>
      <c r="U1007" s="846">
        <f t="shared" si="172"/>
        <v>1.4263074484943683E-3</v>
      </c>
      <c r="V1007" s="845">
        <v>93.372200000000007</v>
      </c>
      <c r="W1007" s="846">
        <f t="shared" si="173"/>
        <v>5.8375336501121922E-3</v>
      </c>
      <c r="X1007" s="845">
        <v>31375.83</v>
      </c>
      <c r="Y1007" s="846">
        <f t="shared" si="174"/>
        <v>-3.1638552005741616E-4</v>
      </c>
      <c r="Z1007" s="845">
        <v>3911.2276999999999</v>
      </c>
      <c r="AA1007" s="846">
        <f t="shared" si="175"/>
        <v>-1.1137278313662069E-3</v>
      </c>
      <c r="AB1007" s="843"/>
    </row>
    <row r="1008" spans="1:28" ht="14.4" x14ac:dyDescent="0.55000000000000004">
      <c r="A1008" s="857" t="s">
        <v>6167</v>
      </c>
      <c r="B1008" s="842">
        <v>89.08</v>
      </c>
      <c r="C1008" s="843">
        <f t="shared" si="166"/>
        <v>3.3688938798426271E-4</v>
      </c>
      <c r="D1008" s="842">
        <v>36.299999999999997</v>
      </c>
      <c r="E1008" s="843">
        <f t="shared" si="167"/>
        <v>-8.7383943200437519E-3</v>
      </c>
      <c r="F1008" s="842">
        <v>22.32</v>
      </c>
      <c r="G1008" s="843">
        <f t="shared" si="167"/>
        <v>-2.1052631578947434E-2</v>
      </c>
      <c r="H1008" s="842">
        <v>45.79</v>
      </c>
      <c r="I1008" s="843">
        <f t="shared" si="167"/>
        <v>-7.5856090160382195E-3</v>
      </c>
      <c r="J1008" s="842">
        <v>72.55</v>
      </c>
      <c r="K1008" s="843">
        <f t="shared" si="168"/>
        <v>-4.8010973936900569E-3</v>
      </c>
      <c r="L1008" s="842">
        <v>61.39</v>
      </c>
      <c r="M1008" s="843">
        <f t="shared" si="169"/>
        <v>-1.8545163868904813E-2</v>
      </c>
      <c r="N1008" s="842">
        <v>64.75</v>
      </c>
      <c r="O1008" s="843">
        <f t="shared" si="170"/>
        <v>-5.3763440860213896E-3</v>
      </c>
      <c r="P1008" s="844">
        <f t="shared" si="176"/>
        <v>-9.394621553665914E-3</v>
      </c>
      <c r="Q1008" s="830"/>
      <c r="R1008" s="845">
        <v>865.41</v>
      </c>
      <c r="S1008" s="846">
        <f t="shared" si="171"/>
        <v>-7.84178847807393E-3</v>
      </c>
      <c r="T1008" s="845">
        <v>63.1</v>
      </c>
      <c r="U1008" s="846">
        <f t="shared" si="172"/>
        <v>-7.7056140902658221E-3</v>
      </c>
      <c r="V1008" s="845">
        <v>92.830299999999994</v>
      </c>
      <c r="W1008" s="846">
        <f t="shared" si="173"/>
        <v>3.3621015721063685E-4</v>
      </c>
      <c r="X1008" s="845">
        <v>31385.759999999998</v>
      </c>
      <c r="Y1008" s="846">
        <f t="shared" si="174"/>
        <v>7.6254709736407467E-3</v>
      </c>
      <c r="Z1008" s="845">
        <v>3915.5886</v>
      </c>
      <c r="AA1008" s="846">
        <f t="shared" si="175"/>
        <v>7.3985451955638215E-3</v>
      </c>
      <c r="AB1008" s="843"/>
    </row>
    <row r="1009" spans="1:28" ht="14.4" x14ac:dyDescent="0.55000000000000004">
      <c r="A1009" s="857" t="s">
        <v>6168</v>
      </c>
      <c r="B1009" s="842">
        <v>89.05</v>
      </c>
      <c r="C1009" s="843">
        <f t="shared" si="166"/>
        <v>3.0412255012388645E-3</v>
      </c>
      <c r="D1009" s="842">
        <v>36.619999999999997</v>
      </c>
      <c r="E1009" s="843">
        <f t="shared" si="167"/>
        <v>1.5811373092926573E-2</v>
      </c>
      <c r="F1009" s="842">
        <v>22.8</v>
      </c>
      <c r="G1009" s="843">
        <f t="shared" si="167"/>
        <v>1.7574692442881013E-3</v>
      </c>
      <c r="H1009" s="842">
        <v>46.14</v>
      </c>
      <c r="I1009" s="843">
        <f t="shared" si="167"/>
        <v>2.3286759813705871E-2</v>
      </c>
      <c r="J1009" s="842">
        <v>72.900000000000006</v>
      </c>
      <c r="K1009" s="843">
        <f t="shared" si="168"/>
        <v>6.7670211296784188E-3</v>
      </c>
      <c r="L1009" s="842">
        <v>62.55</v>
      </c>
      <c r="M1009" s="843">
        <f t="shared" si="169"/>
        <v>1.033758681957675E-2</v>
      </c>
      <c r="N1009" s="842">
        <v>65.099999999999994</v>
      </c>
      <c r="O1009" s="843">
        <f t="shared" si="170"/>
        <v>1.6869728209934376E-2</v>
      </c>
      <c r="P1009" s="844">
        <f t="shared" si="176"/>
        <v>1.1124451973049851E-2</v>
      </c>
      <c r="Q1009" s="830"/>
      <c r="R1009" s="845">
        <v>872.25</v>
      </c>
      <c r="S1009" s="846">
        <f t="shared" si="171"/>
        <v>5.3480250342896607E-3</v>
      </c>
      <c r="T1009" s="845">
        <v>63.59</v>
      </c>
      <c r="U1009" s="846">
        <f t="shared" si="172"/>
        <v>5.3754940711463473E-3</v>
      </c>
      <c r="V1009" s="845">
        <v>92.799099999999996</v>
      </c>
      <c r="W1009" s="846">
        <f t="shared" si="173"/>
        <v>3.0415801516898711E-3</v>
      </c>
      <c r="X1009" s="845">
        <v>31148.240000000002</v>
      </c>
      <c r="Y1009" s="846">
        <f t="shared" si="174"/>
        <v>2.9746398908290228E-3</v>
      </c>
      <c r="Z1009" s="845">
        <v>3886.8317000000002</v>
      </c>
      <c r="AA1009" s="846">
        <f t="shared" si="175"/>
        <v>3.8977559602004774E-3</v>
      </c>
      <c r="AB1009" s="843"/>
    </row>
    <row r="1010" spans="1:28" ht="14.4" x14ac:dyDescent="0.55000000000000004">
      <c r="A1010" s="857" t="s">
        <v>6169</v>
      </c>
      <c r="B1010" s="842">
        <v>88.78</v>
      </c>
      <c r="C1010" s="843">
        <f t="shared" si="166"/>
        <v>1.9873635841470394E-2</v>
      </c>
      <c r="D1010" s="842">
        <v>36.049999999999997</v>
      </c>
      <c r="E1010" s="843">
        <f t="shared" si="167"/>
        <v>1.3494517852122412E-2</v>
      </c>
      <c r="F1010" s="842">
        <v>22.76</v>
      </c>
      <c r="G1010" s="843">
        <f t="shared" si="167"/>
        <v>2.2461814914645162E-2</v>
      </c>
      <c r="H1010" s="842">
        <v>45.09</v>
      </c>
      <c r="I1010" s="843">
        <f t="shared" si="167"/>
        <v>3.0628571428571449E-2</v>
      </c>
      <c r="J1010" s="842">
        <v>72.41</v>
      </c>
      <c r="K1010" s="843">
        <f t="shared" si="168"/>
        <v>6.9531358642747065E-3</v>
      </c>
      <c r="L1010" s="842">
        <v>61.91</v>
      </c>
      <c r="M1010" s="843">
        <f t="shared" si="169"/>
        <v>2.3136671624524929E-2</v>
      </c>
      <c r="N1010" s="842">
        <v>64.02</v>
      </c>
      <c r="O1010" s="843">
        <f t="shared" si="170"/>
        <v>2.8268551236749095E-2</v>
      </c>
      <c r="P1010" s="844">
        <f t="shared" si="176"/>
        <v>2.0688128394622592E-2</v>
      </c>
      <c r="Q1010" s="830"/>
      <c r="R1010" s="845">
        <v>867.61</v>
      </c>
      <c r="S1010" s="846">
        <f t="shared" si="171"/>
        <v>8.4970359177032329E-3</v>
      </c>
      <c r="T1010" s="845">
        <v>63.25</v>
      </c>
      <c r="U1010" s="846">
        <f t="shared" si="172"/>
        <v>7.8075207138303959E-3</v>
      </c>
      <c r="V1010" s="845">
        <v>92.517700000000005</v>
      </c>
      <c r="W1010" s="846">
        <f t="shared" si="173"/>
        <v>1.9873251251999458E-2</v>
      </c>
      <c r="X1010" s="845">
        <v>31055.86</v>
      </c>
      <c r="Y1010" s="846">
        <f t="shared" si="174"/>
        <v>1.0814487885534296E-2</v>
      </c>
      <c r="Z1010" s="845">
        <v>3871.7406000000001</v>
      </c>
      <c r="AA1010" s="846">
        <f t="shared" si="175"/>
        <v>1.0852801016142166E-2</v>
      </c>
      <c r="AB1010" s="843"/>
    </row>
    <row r="1011" spans="1:28" ht="14.4" x14ac:dyDescent="0.55000000000000004">
      <c r="A1011" s="857" t="s">
        <v>6170</v>
      </c>
      <c r="B1011" s="842">
        <v>87.05</v>
      </c>
      <c r="C1011" s="843">
        <f t="shared" si="166"/>
        <v>-1.8159260094744001E-2</v>
      </c>
      <c r="D1011" s="842">
        <v>35.57</v>
      </c>
      <c r="E1011" s="843">
        <f t="shared" si="167"/>
        <v>-1.0294936004451749E-2</v>
      </c>
      <c r="F1011" s="842">
        <v>22.26</v>
      </c>
      <c r="G1011" s="843">
        <f t="shared" si="167"/>
        <v>-9.3457943925232545E-3</v>
      </c>
      <c r="H1011" s="842">
        <v>43.75</v>
      </c>
      <c r="I1011" s="843">
        <f t="shared" si="167"/>
        <v>-1.4195583596214534E-2</v>
      </c>
      <c r="J1011" s="842">
        <v>71.91</v>
      </c>
      <c r="K1011" s="843">
        <f t="shared" si="168"/>
        <v>-2.1099918322896816E-2</v>
      </c>
      <c r="L1011" s="842">
        <v>60.51</v>
      </c>
      <c r="M1011" s="843">
        <f t="shared" si="169"/>
        <v>-1.814582645991436E-3</v>
      </c>
      <c r="N1011" s="842">
        <v>62.26</v>
      </c>
      <c r="O1011" s="843">
        <f t="shared" si="170"/>
        <v>-1.127521041765922E-2</v>
      </c>
      <c r="P1011" s="844">
        <f t="shared" si="176"/>
        <v>-1.2312183639211573E-2</v>
      </c>
      <c r="Q1011" s="830"/>
      <c r="R1011" s="845">
        <v>860.3</v>
      </c>
      <c r="S1011" s="846">
        <f t="shared" si="171"/>
        <v>-3.4981235231432706E-3</v>
      </c>
      <c r="T1011" s="845">
        <v>62.76</v>
      </c>
      <c r="U1011" s="846">
        <f t="shared" si="172"/>
        <v>-3.1766200762389785E-3</v>
      </c>
      <c r="V1011" s="845">
        <v>90.7149</v>
      </c>
      <c r="W1011" s="846">
        <f t="shared" si="173"/>
        <v>-1.8159443332644298E-2</v>
      </c>
      <c r="X1011" s="845">
        <v>30723.599999999999</v>
      </c>
      <c r="Y1011" s="846">
        <f t="shared" si="174"/>
        <v>1.177027243683737E-3</v>
      </c>
      <c r="Z1011" s="845">
        <v>3830.1725000000001</v>
      </c>
      <c r="AA1011" s="846">
        <f t="shared" si="175"/>
        <v>1.0086995237634788E-3</v>
      </c>
      <c r="AB1011" s="843"/>
    </row>
    <row r="1012" spans="1:28" ht="14.4" x14ac:dyDescent="0.55000000000000004">
      <c r="A1012" s="857" t="s">
        <v>6171</v>
      </c>
      <c r="B1012" s="842">
        <v>88.66</v>
      </c>
      <c r="C1012" s="843">
        <f t="shared" si="166"/>
        <v>1.1280315848827271E-4</v>
      </c>
      <c r="D1012" s="842">
        <v>35.94</v>
      </c>
      <c r="E1012" s="843">
        <f t="shared" si="167"/>
        <v>7.8519349411105832E-3</v>
      </c>
      <c r="F1012" s="842">
        <v>22.47</v>
      </c>
      <c r="G1012" s="843">
        <f t="shared" si="167"/>
        <v>1.1251125112511362E-2</v>
      </c>
      <c r="H1012" s="842">
        <v>44.38</v>
      </c>
      <c r="I1012" s="843">
        <f t="shared" si="167"/>
        <v>-1.944321696862561E-2</v>
      </c>
      <c r="J1012" s="842">
        <v>73.459999999999994</v>
      </c>
      <c r="K1012" s="843">
        <f t="shared" si="168"/>
        <v>-5.011512935121254E-3</v>
      </c>
      <c r="L1012" s="842">
        <v>60.62</v>
      </c>
      <c r="M1012" s="843">
        <f t="shared" si="169"/>
        <v>-2.3041474654378336E-3</v>
      </c>
      <c r="N1012" s="842">
        <v>62.97</v>
      </c>
      <c r="O1012" s="843">
        <f t="shared" si="170"/>
        <v>9.9438652766639102E-3</v>
      </c>
      <c r="P1012" s="844">
        <f t="shared" si="176"/>
        <v>3.4297873136991875E-4</v>
      </c>
      <c r="Q1012" s="830"/>
      <c r="R1012" s="845">
        <v>863.32</v>
      </c>
      <c r="S1012" s="846">
        <f t="shared" si="171"/>
        <v>7.8685003152070276E-3</v>
      </c>
      <c r="T1012" s="845">
        <v>62.96</v>
      </c>
      <c r="U1012" s="846">
        <f t="shared" si="172"/>
        <v>8.1665332265812296E-3</v>
      </c>
      <c r="V1012" s="845">
        <v>92.392700000000005</v>
      </c>
      <c r="W1012" s="846">
        <f t="shared" si="173"/>
        <v>1.1365825884213088E-4</v>
      </c>
      <c r="X1012" s="845">
        <v>30687.48</v>
      </c>
      <c r="Y1012" s="846">
        <f t="shared" si="174"/>
        <v>1.5741143145203251E-2</v>
      </c>
      <c r="Z1012" s="845">
        <v>3826.3128999999999</v>
      </c>
      <c r="AA1012" s="846">
        <f t="shared" si="175"/>
        <v>1.3899784387702452E-2</v>
      </c>
      <c r="AB1012" s="843"/>
    </row>
    <row r="1013" spans="1:28" ht="14.4" x14ac:dyDescent="0.55000000000000004">
      <c r="A1013" s="857" t="s">
        <v>6172</v>
      </c>
      <c r="B1013" s="842">
        <v>88.65</v>
      </c>
      <c r="C1013" s="843">
        <f t="shared" si="166"/>
        <v>-3.9325842696628088E-3</v>
      </c>
      <c r="D1013" s="842">
        <v>35.659999999999997</v>
      </c>
      <c r="E1013" s="843">
        <f t="shared" si="167"/>
        <v>1.8566123964581571E-2</v>
      </c>
      <c r="F1013" s="842">
        <v>22.22</v>
      </c>
      <c r="G1013" s="843">
        <f t="shared" si="167"/>
        <v>3.1602708803610824E-3</v>
      </c>
      <c r="H1013" s="842">
        <v>45.26</v>
      </c>
      <c r="I1013" s="843">
        <f t="shared" si="167"/>
        <v>-3.1042603296938642E-2</v>
      </c>
      <c r="J1013" s="842">
        <v>73.83</v>
      </c>
      <c r="K1013" s="843">
        <f t="shared" si="168"/>
        <v>9.5719950772596984E-3</v>
      </c>
      <c r="L1013" s="842">
        <v>60.76</v>
      </c>
      <c r="M1013" s="843">
        <f t="shared" si="169"/>
        <v>1.3342228152101399E-2</v>
      </c>
      <c r="N1013" s="842">
        <v>62.35</v>
      </c>
      <c r="O1013" s="843">
        <f t="shared" si="170"/>
        <v>1.8957345971563955E-2</v>
      </c>
      <c r="P1013" s="844">
        <f t="shared" si="176"/>
        <v>4.0889680684666075E-3</v>
      </c>
      <c r="Q1013" s="830"/>
      <c r="R1013" s="845">
        <v>856.58</v>
      </c>
      <c r="S1013" s="846">
        <f t="shared" si="171"/>
        <v>4.9038010323791958E-3</v>
      </c>
      <c r="T1013" s="845">
        <v>62.45</v>
      </c>
      <c r="U1013" s="846">
        <f t="shared" si="172"/>
        <v>4.8270313757039496E-3</v>
      </c>
      <c r="V1013" s="845">
        <v>92.382199999999997</v>
      </c>
      <c r="W1013" s="846">
        <f t="shared" si="173"/>
        <v>-3.9332808608364411E-3</v>
      </c>
      <c r="X1013" s="845">
        <v>30211.91</v>
      </c>
      <c r="Y1013" s="846">
        <f t="shared" si="174"/>
        <v>7.64743041135163E-3</v>
      </c>
      <c r="Z1013" s="845">
        <v>3773.8571000000002</v>
      </c>
      <c r="AA1013" s="846">
        <f t="shared" si="175"/>
        <v>1.6050216643085813E-2</v>
      </c>
      <c r="AB1013" s="843"/>
    </row>
    <row r="1014" spans="1:28" ht="14.4" x14ac:dyDescent="0.55000000000000004">
      <c r="A1014" s="857" t="s">
        <v>6173</v>
      </c>
      <c r="B1014" s="842">
        <v>89</v>
      </c>
      <c r="C1014" s="843">
        <f t="shared" si="166"/>
        <v>4.8549170147906828E-3</v>
      </c>
      <c r="D1014" s="842">
        <v>35.01</v>
      </c>
      <c r="E1014" s="843">
        <f t="shared" si="167"/>
        <v>2.864508736751592E-3</v>
      </c>
      <c r="F1014" s="842">
        <v>22.15</v>
      </c>
      <c r="G1014" s="843">
        <f t="shared" si="167"/>
        <v>-9.0211998195777188E-4</v>
      </c>
      <c r="H1014" s="842">
        <v>46.71</v>
      </c>
      <c r="I1014" s="843">
        <f t="shared" si="167"/>
        <v>5.7505093955173114E-2</v>
      </c>
      <c r="J1014" s="842">
        <v>73.13</v>
      </c>
      <c r="K1014" s="843">
        <f t="shared" si="168"/>
        <v>1.095140314852916E-3</v>
      </c>
      <c r="L1014" s="842">
        <v>59.96</v>
      </c>
      <c r="M1014" s="843">
        <f t="shared" si="169"/>
        <v>-6.1329355212994541E-3</v>
      </c>
      <c r="N1014" s="842">
        <v>61.19</v>
      </c>
      <c r="O1014" s="843">
        <f t="shared" si="170"/>
        <v>1.2074098577571801E-2</v>
      </c>
      <c r="P1014" s="844">
        <f t="shared" si="176"/>
        <v>1.0194100442268983E-2</v>
      </c>
      <c r="Q1014" s="830"/>
      <c r="R1014" s="845">
        <v>852.4</v>
      </c>
      <c r="S1014" s="846">
        <f t="shared" si="171"/>
        <v>-9.610651414642124E-4</v>
      </c>
      <c r="T1014" s="845">
        <v>62.15</v>
      </c>
      <c r="U1014" s="846">
        <f t="shared" si="172"/>
        <v>-5.4408705392863244E-3</v>
      </c>
      <c r="V1014" s="845">
        <v>92.747</v>
      </c>
      <c r="W1014" s="846">
        <f t="shared" si="173"/>
        <v>4.8548790939002551E-3</v>
      </c>
      <c r="X1014" s="845">
        <v>29982.62</v>
      </c>
      <c r="Y1014" s="846">
        <f t="shared" si="174"/>
        <v>-2.0283393718859677E-2</v>
      </c>
      <c r="Z1014" s="845">
        <v>3714.2426999999998</v>
      </c>
      <c r="AA1014" s="846">
        <f t="shared" si="175"/>
        <v>-1.9309987342426949E-2</v>
      </c>
      <c r="AB1014" s="843"/>
    </row>
    <row r="1015" spans="1:28" ht="14.4" x14ac:dyDescent="0.55000000000000004">
      <c r="A1015" s="857" t="s">
        <v>6174</v>
      </c>
      <c r="B1015" s="842">
        <v>88.57</v>
      </c>
      <c r="C1015" s="843">
        <f t="shared" si="166"/>
        <v>-2.488164703291873E-2</v>
      </c>
      <c r="D1015" s="842">
        <v>34.909999999999997</v>
      </c>
      <c r="E1015" s="843">
        <f t="shared" si="167"/>
        <v>-1.5510434292160258E-2</v>
      </c>
      <c r="F1015" s="842">
        <v>22.17</v>
      </c>
      <c r="G1015" s="843">
        <f t="shared" si="167"/>
        <v>4.2803386641580454E-2</v>
      </c>
      <c r="H1015" s="842">
        <v>44.17</v>
      </c>
      <c r="I1015" s="843">
        <f t="shared" si="167"/>
        <v>-5.0107526881720377E-2</v>
      </c>
      <c r="J1015" s="842">
        <v>73.05</v>
      </c>
      <c r="K1015" s="843">
        <f t="shared" si="168"/>
        <v>-2.0777479892761352E-2</v>
      </c>
      <c r="L1015" s="842">
        <v>60.33</v>
      </c>
      <c r="M1015" s="843">
        <f t="shared" si="169"/>
        <v>-1.4895729890764819E-3</v>
      </c>
      <c r="N1015" s="842">
        <v>60.46</v>
      </c>
      <c r="O1015" s="843">
        <f t="shared" si="170"/>
        <v>-7.0619149285596761E-3</v>
      </c>
      <c r="P1015" s="844">
        <f t="shared" si="176"/>
        <v>-1.1003598482230917E-2</v>
      </c>
      <c r="Q1015" s="830"/>
      <c r="R1015" s="845">
        <v>853.22</v>
      </c>
      <c r="S1015" s="846">
        <f t="shared" si="171"/>
        <v>1.0481187157288963E-2</v>
      </c>
      <c r="T1015" s="845">
        <v>62.49</v>
      </c>
      <c r="U1015" s="846">
        <f t="shared" si="172"/>
        <v>1.1983805668016156E-2</v>
      </c>
      <c r="V1015" s="845">
        <v>92.298900000000003</v>
      </c>
      <c r="W1015" s="846">
        <f t="shared" si="173"/>
        <v>-2.4881146068840176E-2</v>
      </c>
      <c r="X1015" s="845">
        <v>30603.360000000001</v>
      </c>
      <c r="Y1015" s="846">
        <f t="shared" si="174"/>
        <v>9.906224332305813E-3</v>
      </c>
      <c r="Z1015" s="845">
        <v>3787.3769000000002</v>
      </c>
      <c r="AA1015" s="846">
        <f t="shared" si="175"/>
        <v>9.7589744962451874E-3</v>
      </c>
      <c r="AB1015" s="843"/>
    </row>
    <row r="1016" spans="1:28" ht="14.4" x14ac:dyDescent="0.55000000000000004">
      <c r="A1016" s="857" t="s">
        <v>6175</v>
      </c>
      <c r="B1016" s="842">
        <v>90.83</v>
      </c>
      <c r="C1016" s="843">
        <f t="shared" si="166"/>
        <v>-1.3194062671798568E-3</v>
      </c>
      <c r="D1016" s="842">
        <v>35.46</v>
      </c>
      <c r="E1016" s="843">
        <f t="shared" si="167"/>
        <v>5.6721497447533853E-3</v>
      </c>
      <c r="F1016" s="842">
        <v>21.26</v>
      </c>
      <c r="G1016" s="843">
        <f t="shared" si="167"/>
        <v>-2.0727775218793099E-2</v>
      </c>
      <c r="H1016" s="842">
        <v>46.5</v>
      </c>
      <c r="I1016" s="843">
        <f t="shared" si="167"/>
        <v>2.9672276350752869E-2</v>
      </c>
      <c r="J1016" s="842">
        <v>74.599999999999994</v>
      </c>
      <c r="K1016" s="843">
        <f t="shared" si="168"/>
        <v>3.1669202046743061E-2</v>
      </c>
      <c r="L1016" s="842">
        <v>60.42</v>
      </c>
      <c r="M1016" s="843">
        <f t="shared" si="169"/>
        <v>-7.0665571076417022E-3</v>
      </c>
      <c r="N1016" s="842">
        <v>60.89</v>
      </c>
      <c r="O1016" s="843">
        <f t="shared" si="170"/>
        <v>9.4496021220158433E-3</v>
      </c>
      <c r="P1016" s="844">
        <f t="shared" si="176"/>
        <v>6.7642130958072144E-3</v>
      </c>
      <c r="Q1016" s="830"/>
      <c r="R1016" s="845">
        <v>844.37</v>
      </c>
      <c r="S1016" s="846">
        <f t="shared" si="171"/>
        <v>-2.3183443042074869E-2</v>
      </c>
      <c r="T1016" s="845">
        <v>61.75</v>
      </c>
      <c r="U1016" s="846">
        <f t="shared" si="172"/>
        <v>-2.6946107784431184E-2</v>
      </c>
      <c r="V1016" s="845">
        <v>94.653999999999996</v>
      </c>
      <c r="W1016" s="846">
        <f t="shared" si="173"/>
        <v>-1.319911246255856E-3</v>
      </c>
      <c r="X1016" s="845">
        <v>30303.17</v>
      </c>
      <c r="Y1016" s="846">
        <f t="shared" si="174"/>
        <v>-2.0489031917727218E-2</v>
      </c>
      <c r="Z1016" s="845">
        <v>3750.7732000000001</v>
      </c>
      <c r="AA1016" s="846">
        <f t="shared" si="175"/>
        <v>-2.5677356887026659E-2</v>
      </c>
      <c r="AB1016" s="843"/>
    </row>
    <row r="1017" spans="1:28" ht="14.4" x14ac:dyDescent="0.55000000000000004">
      <c r="A1017" s="857" t="s">
        <v>6176</v>
      </c>
      <c r="B1017" s="842">
        <v>90.95</v>
      </c>
      <c r="C1017" s="843">
        <f t="shared" si="166"/>
        <v>5.6390977443609991E-3</v>
      </c>
      <c r="D1017" s="842">
        <v>35.26</v>
      </c>
      <c r="E1017" s="843">
        <f t="shared" si="167"/>
        <v>-1.5083798882681521E-2</v>
      </c>
      <c r="F1017" s="842">
        <v>21.71</v>
      </c>
      <c r="G1017" s="843">
        <f t="shared" si="167"/>
        <v>-1.8091361374943382E-2</v>
      </c>
      <c r="H1017" s="842">
        <v>45.16</v>
      </c>
      <c r="I1017" s="843">
        <f t="shared" si="167"/>
        <v>1.7117117117117164E-2</v>
      </c>
      <c r="J1017" s="842">
        <v>72.31</v>
      </c>
      <c r="K1017" s="843">
        <f t="shared" si="168"/>
        <v>-2.3454746136865046E-3</v>
      </c>
      <c r="L1017" s="842">
        <v>60.85</v>
      </c>
      <c r="M1017" s="843">
        <f t="shared" si="169"/>
        <v>4.7886393659180015E-3</v>
      </c>
      <c r="N1017" s="842">
        <v>60.32</v>
      </c>
      <c r="O1017" s="843">
        <f t="shared" si="170"/>
        <v>-2.0620230556908647E-2</v>
      </c>
      <c r="P1017" s="844">
        <f t="shared" si="176"/>
        <v>-4.0851444572605556E-3</v>
      </c>
      <c r="Q1017" s="830"/>
      <c r="R1017" s="845">
        <v>864.41</v>
      </c>
      <c r="S1017" s="846">
        <f t="shared" si="171"/>
        <v>-8.8973479940837041E-3</v>
      </c>
      <c r="T1017" s="845">
        <v>63.46</v>
      </c>
      <c r="U1017" s="846">
        <f t="shared" si="172"/>
        <v>-9.9843993759749505E-3</v>
      </c>
      <c r="V1017" s="845">
        <v>94.7791</v>
      </c>
      <c r="W1017" s="846">
        <f t="shared" si="173"/>
        <v>5.6394008972111553E-3</v>
      </c>
      <c r="X1017" s="845">
        <v>30937.040000000001</v>
      </c>
      <c r="Y1017" s="846">
        <f t="shared" si="174"/>
        <v>-7.4160206718343336E-4</v>
      </c>
      <c r="Z1017" s="845">
        <v>3849.6212999999998</v>
      </c>
      <c r="AA1017" s="846">
        <f t="shared" si="175"/>
        <v>-1.4873854570669476E-3</v>
      </c>
      <c r="AB1017" s="843"/>
    </row>
    <row r="1018" spans="1:28" ht="14.4" x14ac:dyDescent="0.55000000000000004">
      <c r="A1018" s="857" t="s">
        <v>6177</v>
      </c>
      <c r="B1018" s="842">
        <v>90.44</v>
      </c>
      <c r="C1018" s="843">
        <f t="shared" si="166"/>
        <v>1.5153215849141199E-2</v>
      </c>
      <c r="D1018" s="842">
        <v>35.799999999999997</v>
      </c>
      <c r="E1018" s="843">
        <f t="shared" si="167"/>
        <v>1.044312729325414E-2</v>
      </c>
      <c r="F1018" s="842">
        <v>22.11</v>
      </c>
      <c r="G1018" s="843">
        <f t="shared" si="167"/>
        <v>8.2079343365253354E-3</v>
      </c>
      <c r="H1018" s="842">
        <v>44.4</v>
      </c>
      <c r="I1018" s="843">
        <f t="shared" si="167"/>
        <v>2.6827012025901764E-2</v>
      </c>
      <c r="J1018" s="842">
        <v>72.48</v>
      </c>
      <c r="K1018" s="843">
        <f t="shared" si="168"/>
        <v>2.3873428450346124E-2</v>
      </c>
      <c r="L1018" s="842">
        <v>60.56</v>
      </c>
      <c r="M1018" s="843">
        <f t="shared" si="169"/>
        <v>3.3094506994199913E-2</v>
      </c>
      <c r="N1018" s="842">
        <v>61.59</v>
      </c>
      <c r="O1018" s="843">
        <f t="shared" si="170"/>
        <v>-2.5910931174089047E-3</v>
      </c>
      <c r="P1018" s="844">
        <f t="shared" si="176"/>
        <v>1.6429733118851368E-2</v>
      </c>
      <c r="Q1018" s="830"/>
      <c r="R1018" s="845">
        <v>872.17</v>
      </c>
      <c r="S1018" s="846">
        <f t="shared" si="171"/>
        <v>1.6586241462106743E-2</v>
      </c>
      <c r="T1018" s="845">
        <v>64.099999999999994</v>
      </c>
      <c r="U1018" s="846">
        <f t="shared" si="172"/>
        <v>2.0050922978994024E-2</v>
      </c>
      <c r="V1018" s="845">
        <v>94.247600000000006</v>
      </c>
      <c r="W1018" s="846">
        <f t="shared" si="173"/>
        <v>1.51528207426046E-2</v>
      </c>
      <c r="X1018" s="845">
        <v>30960</v>
      </c>
      <c r="Y1018" s="846">
        <f t="shared" si="174"/>
        <v>-1.193019448991417E-3</v>
      </c>
      <c r="Z1018" s="845">
        <v>3855.3557000000001</v>
      </c>
      <c r="AA1018" s="846">
        <f t="shared" si="175"/>
        <v>3.6158334985481044E-3</v>
      </c>
      <c r="AB1018" s="843"/>
    </row>
    <row r="1019" spans="1:28" ht="14.4" x14ac:dyDescent="0.55000000000000004">
      <c r="A1019" s="857" t="s">
        <v>6178</v>
      </c>
      <c r="B1019" s="842">
        <v>89.09</v>
      </c>
      <c r="C1019" s="843">
        <f t="shared" si="166"/>
        <v>-4.0245947456679643E-3</v>
      </c>
      <c r="D1019" s="842">
        <v>35.43</v>
      </c>
      <c r="E1019" s="843">
        <f t="shared" si="167"/>
        <v>1.3443935926773509E-2</v>
      </c>
      <c r="F1019" s="842">
        <v>21.93</v>
      </c>
      <c r="G1019" s="843">
        <f t="shared" si="167"/>
        <v>4.5620437956195303E-4</v>
      </c>
      <c r="H1019" s="842">
        <v>43.24</v>
      </c>
      <c r="I1019" s="843">
        <f t="shared" si="167"/>
        <v>7.455731593662529E-3</v>
      </c>
      <c r="J1019" s="842">
        <v>70.790000000000006</v>
      </c>
      <c r="K1019" s="843">
        <f t="shared" si="168"/>
        <v>2.4072500708014477E-3</v>
      </c>
      <c r="L1019" s="842">
        <v>58.62</v>
      </c>
      <c r="M1019" s="843">
        <f t="shared" si="169"/>
        <v>1.8592528236316186E-2</v>
      </c>
      <c r="N1019" s="842">
        <v>61.75</v>
      </c>
      <c r="O1019" s="843">
        <f t="shared" si="170"/>
        <v>1.080373219839581E-2</v>
      </c>
      <c r="P1019" s="844">
        <f t="shared" si="176"/>
        <v>7.019255379977639E-3</v>
      </c>
      <c r="Q1019" s="830"/>
      <c r="R1019" s="845">
        <v>857.94</v>
      </c>
      <c r="S1019" s="846">
        <f t="shared" si="171"/>
        <v>4.6625480825346344E-5</v>
      </c>
      <c r="T1019" s="845">
        <v>62.84</v>
      </c>
      <c r="U1019" s="846">
        <f t="shared" si="172"/>
        <v>1.4342629482071434E-3</v>
      </c>
      <c r="V1019" s="845">
        <v>92.840800000000002</v>
      </c>
      <c r="W1019" s="846">
        <f t="shared" si="173"/>
        <v>-4.0239916151644239E-3</v>
      </c>
      <c r="X1019" s="845">
        <v>30996.98</v>
      </c>
      <c r="Y1019" s="846">
        <f t="shared" si="174"/>
        <v>-5.7425565362597686E-3</v>
      </c>
      <c r="Z1019" s="845">
        <v>3841.4656</v>
      </c>
      <c r="AA1019" s="846">
        <f t="shared" si="175"/>
        <v>-3.0125821899106286E-3</v>
      </c>
      <c r="AB1019" s="843"/>
    </row>
    <row r="1020" spans="1:28" ht="14.4" x14ac:dyDescent="0.55000000000000004">
      <c r="A1020" s="857" t="s">
        <v>6179</v>
      </c>
      <c r="B1020" s="842">
        <v>89.45</v>
      </c>
      <c r="C1020" s="843">
        <f t="shared" si="166"/>
        <v>-7.1040071040071595E-3</v>
      </c>
      <c r="D1020" s="842">
        <v>34.96</v>
      </c>
      <c r="E1020" s="843">
        <f t="shared" si="167"/>
        <v>-2.1276595744680771E-2</v>
      </c>
      <c r="F1020" s="842">
        <v>21.92</v>
      </c>
      <c r="G1020" s="843">
        <f t="shared" si="167"/>
        <v>-2.0554066130473503E-2</v>
      </c>
      <c r="H1020" s="842">
        <v>42.92</v>
      </c>
      <c r="I1020" s="843">
        <f t="shared" si="167"/>
        <v>1.1310084825636224E-2</v>
      </c>
      <c r="J1020" s="842">
        <v>70.62</v>
      </c>
      <c r="K1020" s="843">
        <f t="shared" si="168"/>
        <v>-5.3521126760562865E-3</v>
      </c>
      <c r="L1020" s="842">
        <v>57.55</v>
      </c>
      <c r="M1020" s="843">
        <f t="shared" si="169"/>
        <v>-1.2356272524455258E-2</v>
      </c>
      <c r="N1020" s="842">
        <v>61.09</v>
      </c>
      <c r="O1020" s="843">
        <f t="shared" si="170"/>
        <v>5.596707818930069E-3</v>
      </c>
      <c r="P1020" s="844">
        <f t="shared" si="176"/>
        <v>-7.105180219300955E-3</v>
      </c>
      <c r="Q1020" s="830"/>
      <c r="R1020" s="845">
        <v>857.9</v>
      </c>
      <c r="S1020" s="846">
        <f t="shared" si="171"/>
        <v>-7.8869460634657385E-3</v>
      </c>
      <c r="T1020" s="845">
        <v>62.75</v>
      </c>
      <c r="U1020" s="846">
        <f t="shared" si="172"/>
        <v>-5.8618504435994367E-3</v>
      </c>
      <c r="V1020" s="845">
        <v>93.215900000000005</v>
      </c>
      <c r="W1020" s="846">
        <f t="shared" si="173"/>
        <v>-7.1045951925217121E-3</v>
      </c>
      <c r="X1020" s="845">
        <v>31176.01</v>
      </c>
      <c r="Y1020" s="846">
        <f t="shared" si="174"/>
        <v>-3.9662207527302318E-4</v>
      </c>
      <c r="Z1020" s="845">
        <v>3853.0733</v>
      </c>
      <c r="AA1020" s="846">
        <f t="shared" si="175"/>
        <v>3.1865241545614431E-4</v>
      </c>
      <c r="AB1020" s="843"/>
    </row>
    <row r="1021" spans="1:28" ht="14.4" x14ac:dyDescent="0.55000000000000004">
      <c r="A1021" s="857" t="s">
        <v>6180</v>
      </c>
      <c r="B1021" s="842">
        <v>90.09</v>
      </c>
      <c r="C1021" s="843">
        <f t="shared" si="166"/>
        <v>1.1101243339250999E-4</v>
      </c>
      <c r="D1021" s="842">
        <v>35.72</v>
      </c>
      <c r="E1021" s="843">
        <f t="shared" si="167"/>
        <v>-2.190580503833528E-2</v>
      </c>
      <c r="F1021" s="842">
        <v>22.38</v>
      </c>
      <c r="G1021" s="843">
        <f t="shared" si="167"/>
        <v>-3.5618878005343468E-3</v>
      </c>
      <c r="H1021" s="842">
        <v>42.44</v>
      </c>
      <c r="I1021" s="843">
        <f t="shared" si="167"/>
        <v>-2.4143481260059829E-2</v>
      </c>
      <c r="J1021" s="842">
        <v>71</v>
      </c>
      <c r="K1021" s="843">
        <f t="shared" si="168"/>
        <v>-4.9053959355289667E-3</v>
      </c>
      <c r="L1021" s="842">
        <v>58.27</v>
      </c>
      <c r="M1021" s="843">
        <f t="shared" si="169"/>
        <v>-1.0528103243334974E-2</v>
      </c>
      <c r="N1021" s="842">
        <v>60.75</v>
      </c>
      <c r="O1021" s="843">
        <f t="shared" si="170"/>
        <v>-6.7037279267494476E-3</v>
      </c>
      <c r="P1021" s="844">
        <f t="shared" si="176"/>
        <v>-1.0233912681592905E-2</v>
      </c>
      <c r="Q1021" s="830"/>
      <c r="R1021" s="845">
        <v>864.72</v>
      </c>
      <c r="S1021" s="846">
        <f t="shared" si="171"/>
        <v>8.4786284914573073E-3</v>
      </c>
      <c r="T1021" s="845">
        <v>63.12</v>
      </c>
      <c r="U1021" s="846">
        <f t="shared" si="172"/>
        <v>5.8964143426294413E-3</v>
      </c>
      <c r="V1021" s="845">
        <v>93.882900000000006</v>
      </c>
      <c r="W1021" s="846">
        <f t="shared" si="173"/>
        <v>1.1185396346546916E-4</v>
      </c>
      <c r="X1021" s="845">
        <v>31188.38</v>
      </c>
      <c r="Y1021" s="846">
        <f t="shared" si="174"/>
        <v>8.3367495923121204E-3</v>
      </c>
      <c r="Z1021" s="845">
        <v>3851.8458999999998</v>
      </c>
      <c r="AA1021" s="846">
        <f t="shared" si="175"/>
        <v>1.3935164254460064E-2</v>
      </c>
      <c r="AB1021" s="843"/>
    </row>
    <row r="1022" spans="1:28" ht="14.4" x14ac:dyDescent="0.55000000000000004">
      <c r="A1022" s="857" t="s">
        <v>6181</v>
      </c>
      <c r="B1022" s="842">
        <v>90.08</v>
      </c>
      <c r="C1022" s="843">
        <f t="shared" si="166"/>
        <v>5.5537043207820602E-4</v>
      </c>
      <c r="D1022" s="842">
        <v>36.520000000000003</v>
      </c>
      <c r="E1022" s="843">
        <f t="shared" si="167"/>
        <v>-3.2069970845480911E-2</v>
      </c>
      <c r="F1022" s="842">
        <v>22.46</v>
      </c>
      <c r="G1022" s="843">
        <f t="shared" si="167"/>
        <v>-2.049716528565193E-2</v>
      </c>
      <c r="H1022" s="842">
        <v>43.49</v>
      </c>
      <c r="I1022" s="843">
        <f t="shared" si="167"/>
        <v>-2.7286960411540995E-2</v>
      </c>
      <c r="J1022" s="842">
        <v>71.349999999999994</v>
      </c>
      <c r="K1022" s="843">
        <f t="shared" si="168"/>
        <v>-8.8901236282816765E-3</v>
      </c>
      <c r="L1022" s="842">
        <v>58.89</v>
      </c>
      <c r="M1022" s="843">
        <f t="shared" si="169"/>
        <v>-2.0296123773082653E-2</v>
      </c>
      <c r="N1022" s="842">
        <v>61.16</v>
      </c>
      <c r="O1022" s="843">
        <f t="shared" si="170"/>
        <v>-7.9480940794809385E-3</v>
      </c>
      <c r="P1022" s="844">
        <f t="shared" si="176"/>
        <v>-1.6633295370205841E-2</v>
      </c>
      <c r="Q1022" s="830"/>
      <c r="R1022" s="845">
        <v>857.45</v>
      </c>
      <c r="S1022" s="846">
        <f t="shared" si="171"/>
        <v>-4.2272004087842152E-3</v>
      </c>
      <c r="T1022" s="845">
        <v>62.75</v>
      </c>
      <c r="U1022" s="846">
        <f t="shared" si="172"/>
        <v>-3.8101285918400452E-3</v>
      </c>
      <c r="V1022" s="845">
        <v>93.872399999999999</v>
      </c>
      <c r="W1022" s="846">
        <f t="shared" si="173"/>
        <v>5.5531691968568886E-4</v>
      </c>
      <c r="X1022" s="845">
        <v>30930.52</v>
      </c>
      <c r="Y1022" s="846">
        <f t="shared" si="174"/>
        <v>3.7729285077754415E-3</v>
      </c>
      <c r="Z1022" s="845">
        <v>3798.9074999999998</v>
      </c>
      <c r="AA1022" s="846">
        <f t="shared" si="175"/>
        <v>8.1367292790812673E-3</v>
      </c>
      <c r="AB1022" s="843"/>
    </row>
    <row r="1023" spans="1:28" ht="14.4" x14ac:dyDescent="0.55000000000000004">
      <c r="A1023" s="857" t="s">
        <v>6182</v>
      </c>
      <c r="B1023" s="842">
        <v>90.03</v>
      </c>
      <c r="C1023" s="843">
        <f t="shared" si="166"/>
        <v>2.7270652670013718E-2</v>
      </c>
      <c r="D1023" s="842">
        <v>37.729999999999997</v>
      </c>
      <c r="E1023" s="843">
        <f t="shared" si="167"/>
        <v>-2.6497085320631442E-4</v>
      </c>
      <c r="F1023" s="842">
        <v>22.93</v>
      </c>
      <c r="G1023" s="843">
        <f t="shared" si="167"/>
        <v>4.8947849954254385E-2</v>
      </c>
      <c r="H1023" s="842">
        <v>44.71</v>
      </c>
      <c r="I1023" s="843">
        <f t="shared" si="167"/>
        <v>6.9819819819820772E-3</v>
      </c>
      <c r="J1023" s="842">
        <v>71.989999999999995</v>
      </c>
      <c r="K1023" s="843">
        <f t="shared" si="168"/>
        <v>7.4167366358801612E-3</v>
      </c>
      <c r="L1023" s="842">
        <v>60.11</v>
      </c>
      <c r="M1023" s="843">
        <f t="shared" si="169"/>
        <v>3.6734012355985612E-3</v>
      </c>
      <c r="N1023" s="842">
        <v>61.65</v>
      </c>
      <c r="O1023" s="843">
        <f t="shared" si="170"/>
        <v>7.1883679137394463E-3</v>
      </c>
      <c r="P1023" s="844">
        <f t="shared" si="176"/>
        <v>1.4459145648323148E-2</v>
      </c>
      <c r="Q1023" s="830"/>
      <c r="R1023" s="845">
        <v>861.09</v>
      </c>
      <c r="S1023" s="846">
        <f t="shared" si="171"/>
        <v>1.15475882809013E-2</v>
      </c>
      <c r="T1023" s="845">
        <v>62.99</v>
      </c>
      <c r="U1023" s="846">
        <f t="shared" si="172"/>
        <v>9.7787752484770341E-3</v>
      </c>
      <c r="V1023" s="845">
        <v>93.820300000000003</v>
      </c>
      <c r="W1023" s="846">
        <f t="shared" si="173"/>
        <v>2.7270427911183281E-2</v>
      </c>
      <c r="X1023" s="845">
        <v>30814.26</v>
      </c>
      <c r="Y1023" s="846">
        <f t="shared" si="174"/>
        <v>-5.7196291114472997E-3</v>
      </c>
      <c r="Z1023" s="845">
        <v>3768.2462999999998</v>
      </c>
      <c r="AA1023" s="846">
        <f t="shared" si="175"/>
        <v>-7.1913587874447016E-3</v>
      </c>
      <c r="AB1023" s="843"/>
    </row>
    <row r="1024" spans="1:28" ht="14.4" x14ac:dyDescent="0.55000000000000004">
      <c r="A1024" s="857" t="s">
        <v>6183</v>
      </c>
      <c r="B1024" s="842">
        <v>87.64</v>
      </c>
      <c r="C1024" s="843">
        <f t="shared" si="166"/>
        <v>-9.2697264300247717E-3</v>
      </c>
      <c r="D1024" s="842">
        <v>37.74</v>
      </c>
      <c r="E1024" s="843">
        <f t="shared" si="167"/>
        <v>9.6308186195825929E-3</v>
      </c>
      <c r="F1024" s="842">
        <v>21.86</v>
      </c>
      <c r="G1024" s="843">
        <f t="shared" si="167"/>
        <v>-6.8150840527033685E-3</v>
      </c>
      <c r="H1024" s="842">
        <v>44.4</v>
      </c>
      <c r="I1024" s="843">
        <f t="shared" si="167"/>
        <v>-2.2471910112359383E-3</v>
      </c>
      <c r="J1024" s="842">
        <v>71.459999999999994</v>
      </c>
      <c r="K1024" s="843">
        <f t="shared" si="168"/>
        <v>-4.1963911036513313E-4</v>
      </c>
      <c r="L1024" s="842">
        <v>59.89</v>
      </c>
      <c r="M1024" s="843">
        <f t="shared" si="169"/>
        <v>4.8657718120805882E-3</v>
      </c>
      <c r="N1024" s="842">
        <v>61.21</v>
      </c>
      <c r="O1024" s="843">
        <f t="shared" si="170"/>
        <v>-5.3623659408514879E-3</v>
      </c>
      <c r="P1024" s="844">
        <f t="shared" si="176"/>
        <v>-1.3739165876453599E-3</v>
      </c>
      <c r="Q1024" s="830"/>
      <c r="R1024" s="845">
        <v>851.26</v>
      </c>
      <c r="S1024" s="846">
        <f t="shared" si="171"/>
        <v>-5.235235001285421E-3</v>
      </c>
      <c r="T1024" s="845">
        <v>62.38</v>
      </c>
      <c r="U1024" s="846">
        <f t="shared" si="172"/>
        <v>-3.8326413286489114E-3</v>
      </c>
      <c r="V1024" s="845">
        <v>91.329700000000003</v>
      </c>
      <c r="W1024" s="846">
        <f t="shared" si="173"/>
        <v>-9.2694843584909536E-3</v>
      </c>
      <c r="X1024" s="845">
        <v>30991.52</v>
      </c>
      <c r="Y1024" s="846">
        <f t="shared" si="174"/>
        <v>-2.2198633826210346E-3</v>
      </c>
      <c r="Z1024" s="845">
        <v>3795.5414000000001</v>
      </c>
      <c r="AA1024" s="846">
        <f t="shared" si="175"/>
        <v>-3.753933921639252E-3</v>
      </c>
      <c r="AB1024" s="843"/>
    </row>
    <row r="1025" spans="1:28" ht="14.4" x14ac:dyDescent="0.55000000000000004">
      <c r="A1025" s="857" t="s">
        <v>6184</v>
      </c>
      <c r="B1025" s="842">
        <v>88.46</v>
      </c>
      <c r="C1025" s="843">
        <f t="shared" si="166"/>
        <v>9.5868523168225472E-3</v>
      </c>
      <c r="D1025" s="842">
        <v>37.380000000000003</v>
      </c>
      <c r="E1025" s="843">
        <f t="shared" si="167"/>
        <v>1.4657980456026065E-2</v>
      </c>
      <c r="F1025" s="842">
        <v>22.01</v>
      </c>
      <c r="G1025" s="843">
        <f t="shared" si="167"/>
        <v>6.4014631915867426E-3</v>
      </c>
      <c r="H1025" s="842">
        <v>44.5</v>
      </c>
      <c r="I1025" s="843">
        <f t="shared" si="167"/>
        <v>1.9706691109074193E-2</v>
      </c>
      <c r="J1025" s="842">
        <v>71.489999999999995</v>
      </c>
      <c r="K1025" s="843">
        <f t="shared" si="168"/>
        <v>-9.782001117943917E-4</v>
      </c>
      <c r="L1025" s="842">
        <v>59.6</v>
      </c>
      <c r="M1025" s="843">
        <f t="shared" si="169"/>
        <v>-3.1777889279143157E-3</v>
      </c>
      <c r="N1025" s="842">
        <v>61.54</v>
      </c>
      <c r="O1025" s="843">
        <f t="shared" si="170"/>
        <v>8.6871004753319436E-3</v>
      </c>
      <c r="P1025" s="844">
        <f t="shared" si="176"/>
        <v>7.8405855013046841E-3</v>
      </c>
      <c r="Q1025" s="830"/>
      <c r="R1025" s="845">
        <v>855.74</v>
      </c>
      <c r="S1025" s="846">
        <f t="shared" si="171"/>
        <v>1.9551308782004728E-2</v>
      </c>
      <c r="T1025" s="845">
        <v>62.62</v>
      </c>
      <c r="U1025" s="846">
        <f t="shared" si="172"/>
        <v>1.9537609899055619E-2</v>
      </c>
      <c r="V1025" s="845">
        <v>92.184200000000004</v>
      </c>
      <c r="W1025" s="846">
        <f t="shared" si="173"/>
        <v>9.5861411100124361E-3</v>
      </c>
      <c r="X1025" s="845">
        <v>31060.47</v>
      </c>
      <c r="Y1025" s="846">
        <f t="shared" si="174"/>
        <v>-2.6457504323473824E-4</v>
      </c>
      <c r="Z1025" s="845">
        <v>3809.8433</v>
      </c>
      <c r="AA1025" s="846">
        <f t="shared" si="175"/>
        <v>2.2761812738116838E-3</v>
      </c>
      <c r="AB1025" s="843"/>
    </row>
    <row r="1026" spans="1:28" ht="14.4" x14ac:dyDescent="0.55000000000000004">
      <c r="A1026" s="857" t="s">
        <v>6185</v>
      </c>
      <c r="B1026" s="842">
        <v>87.62</v>
      </c>
      <c r="C1026" s="843">
        <f t="shared" si="166"/>
        <v>-5.7032052013228363E-4</v>
      </c>
      <c r="D1026" s="842">
        <v>36.840000000000003</v>
      </c>
      <c r="E1026" s="843">
        <f t="shared" si="167"/>
        <v>2.9625489100056024E-2</v>
      </c>
      <c r="F1026" s="842">
        <v>21.87</v>
      </c>
      <c r="G1026" s="843">
        <f t="shared" si="167"/>
        <v>-4.570383912247955E-4</v>
      </c>
      <c r="H1026" s="842">
        <v>43.64</v>
      </c>
      <c r="I1026" s="843">
        <f t="shared" si="167"/>
        <v>-5.2427627080008365E-3</v>
      </c>
      <c r="J1026" s="842">
        <v>71.56</v>
      </c>
      <c r="K1026" s="843">
        <f t="shared" si="168"/>
        <v>-5.0055617352613435E-3</v>
      </c>
      <c r="L1026" s="842">
        <v>59.79</v>
      </c>
      <c r="M1026" s="843">
        <f t="shared" si="169"/>
        <v>2.8910686628807358E-2</v>
      </c>
      <c r="N1026" s="842">
        <v>61.01</v>
      </c>
      <c r="O1026" s="843">
        <f t="shared" si="170"/>
        <v>9.8441345365052335E-4</v>
      </c>
      <c r="P1026" s="844">
        <f t="shared" si="176"/>
        <v>6.8921294039849491E-3</v>
      </c>
      <c r="Q1026" s="830"/>
      <c r="R1026" s="845">
        <v>839.33</v>
      </c>
      <c r="S1026" s="846">
        <f t="shared" si="171"/>
        <v>-4.7194981679333781E-3</v>
      </c>
      <c r="T1026" s="845">
        <v>61.42</v>
      </c>
      <c r="U1026" s="846">
        <f t="shared" si="172"/>
        <v>-5.3441295546557965E-3</v>
      </c>
      <c r="V1026" s="845">
        <v>91.308899999999994</v>
      </c>
      <c r="W1026" s="846">
        <f t="shared" si="173"/>
        <v>-5.7026521163305866E-4</v>
      </c>
      <c r="X1026" s="845">
        <v>31068.69</v>
      </c>
      <c r="Y1026" s="846">
        <f t="shared" si="174"/>
        <v>1.9349414631832929E-3</v>
      </c>
      <c r="Z1026" s="845">
        <v>3801.1911</v>
      </c>
      <c r="AA1026" s="846">
        <f t="shared" si="175"/>
        <v>4.1738546941672006E-4</v>
      </c>
      <c r="AB1026" s="843"/>
    </row>
    <row r="1027" spans="1:28" ht="14.4" x14ac:dyDescent="0.55000000000000004">
      <c r="A1027" s="857" t="s">
        <v>6186</v>
      </c>
      <c r="B1027" s="842">
        <v>87.67</v>
      </c>
      <c r="C1027" s="843">
        <f t="shared" si="166"/>
        <v>-1.7813130181492332E-2</v>
      </c>
      <c r="D1027" s="842">
        <v>35.78</v>
      </c>
      <c r="E1027" s="843">
        <f t="shared" si="167"/>
        <v>9.5936794582394125E-3</v>
      </c>
      <c r="F1027" s="842">
        <v>21.88</v>
      </c>
      <c r="G1027" s="843">
        <f t="shared" si="167"/>
        <v>3.2095369096745152E-3</v>
      </c>
      <c r="H1027" s="842">
        <v>43.87</v>
      </c>
      <c r="I1027" s="843">
        <f t="shared" si="167"/>
        <v>-1.3658092419759349E-3</v>
      </c>
      <c r="J1027" s="842">
        <v>71.92</v>
      </c>
      <c r="K1027" s="843">
        <f t="shared" si="168"/>
        <v>-9.5028233025753472E-3</v>
      </c>
      <c r="L1027" s="842">
        <v>58.11</v>
      </c>
      <c r="M1027" s="843">
        <f t="shared" si="169"/>
        <v>-6.8364382156895775E-3</v>
      </c>
      <c r="N1027" s="842">
        <v>60.95</v>
      </c>
      <c r="O1027" s="843">
        <f t="shared" si="170"/>
        <v>-1.8992435216481529E-2</v>
      </c>
      <c r="P1027" s="844">
        <f t="shared" si="176"/>
        <v>-5.9582028271858278E-3</v>
      </c>
      <c r="Q1027" s="830"/>
      <c r="R1027" s="845">
        <v>843.31</v>
      </c>
      <c r="S1027" s="846">
        <f t="shared" si="171"/>
        <v>-9.3623719575228748E-3</v>
      </c>
      <c r="T1027" s="845">
        <v>61.75</v>
      </c>
      <c r="U1027" s="846">
        <f t="shared" si="172"/>
        <v>-9.3053104444087431E-3</v>
      </c>
      <c r="V1027" s="845">
        <v>91.361000000000004</v>
      </c>
      <c r="W1027" s="846">
        <f t="shared" si="173"/>
        <v>-1.7812700566235073E-2</v>
      </c>
      <c r="X1027" s="845">
        <v>31008.69</v>
      </c>
      <c r="Y1027" s="846">
        <f t="shared" si="174"/>
        <v>-2.8709269447492192E-3</v>
      </c>
      <c r="Z1027" s="845">
        <v>3799.6052</v>
      </c>
      <c r="AA1027" s="846">
        <f t="shared" si="175"/>
        <v>-6.5562855191396707E-3</v>
      </c>
      <c r="AB1027" s="843"/>
    </row>
    <row r="1028" spans="1:28" ht="14.4" x14ac:dyDescent="0.55000000000000004">
      <c r="A1028" s="857" t="s">
        <v>6187</v>
      </c>
      <c r="B1028" s="842">
        <v>89.26</v>
      </c>
      <c r="C1028" s="843">
        <f t="shared" si="166"/>
        <v>-5.6811852511974292E-3</v>
      </c>
      <c r="D1028" s="842">
        <v>35.44</v>
      </c>
      <c r="E1028" s="843">
        <f t="shared" si="167"/>
        <v>2.8296547821164975E-3</v>
      </c>
      <c r="F1028" s="842">
        <v>21.81</v>
      </c>
      <c r="G1028" s="843">
        <f t="shared" si="167"/>
        <v>-1.4460009037505661E-2</v>
      </c>
      <c r="H1028" s="842">
        <v>43.93</v>
      </c>
      <c r="I1028" s="843">
        <f t="shared" si="167"/>
        <v>1.8244013683010873E-3</v>
      </c>
      <c r="J1028" s="842">
        <v>72.61</v>
      </c>
      <c r="K1028" s="843">
        <f t="shared" si="168"/>
        <v>-2.4190297003090944E-2</v>
      </c>
      <c r="L1028" s="842">
        <v>58.51</v>
      </c>
      <c r="M1028" s="843">
        <f t="shared" si="169"/>
        <v>-1.1989192840256679E-2</v>
      </c>
      <c r="N1028" s="842">
        <v>62.13</v>
      </c>
      <c r="O1028" s="843">
        <f t="shared" si="170"/>
        <v>-1.7673521850899432E-3</v>
      </c>
      <c r="P1028" s="844">
        <f t="shared" si="176"/>
        <v>-7.6334257381032956E-3</v>
      </c>
      <c r="Q1028" s="830"/>
      <c r="R1028" s="845">
        <v>851.28</v>
      </c>
      <c r="S1028" s="846">
        <f t="shared" si="171"/>
        <v>8.5897420707794492E-3</v>
      </c>
      <c r="T1028" s="845">
        <v>62.33</v>
      </c>
      <c r="U1028" s="846">
        <f t="shared" si="172"/>
        <v>8.4128781750525405E-3</v>
      </c>
      <c r="V1028" s="845">
        <v>93.017899999999997</v>
      </c>
      <c r="W1028" s="846">
        <f t="shared" si="173"/>
        <v>-5.6814902073130114E-3</v>
      </c>
      <c r="X1028" s="845">
        <v>31097.97</v>
      </c>
      <c r="Y1028" s="846">
        <f t="shared" si="174"/>
        <v>1.8311189057873545E-3</v>
      </c>
      <c r="Z1028" s="845">
        <v>3824.6808999999998</v>
      </c>
      <c r="AA1028" s="846">
        <f t="shared" si="175"/>
        <v>5.4920218527287901E-3</v>
      </c>
      <c r="AB1028" s="843"/>
    </row>
    <row r="1029" spans="1:28" ht="14.4" x14ac:dyDescent="0.55000000000000004">
      <c r="A1029" s="857" t="s">
        <v>6188</v>
      </c>
      <c r="B1029" s="842">
        <v>89.77</v>
      </c>
      <c r="C1029" s="843">
        <f t="shared" si="166"/>
        <v>-4.204460569843127E-2</v>
      </c>
      <c r="D1029" s="842">
        <v>35.340000000000003</v>
      </c>
      <c r="E1029" s="843">
        <f t="shared" si="167"/>
        <v>-8.1392085321357888E-3</v>
      </c>
      <c r="F1029" s="842">
        <v>22.13</v>
      </c>
      <c r="G1029" s="843">
        <f t="shared" si="167"/>
        <v>-3.8662033014769781E-2</v>
      </c>
      <c r="H1029" s="842">
        <v>43.85</v>
      </c>
      <c r="I1029" s="843">
        <f t="shared" si="167"/>
        <v>-3.1367351446874303E-2</v>
      </c>
      <c r="J1029" s="842">
        <v>74.41</v>
      </c>
      <c r="K1029" s="843">
        <f t="shared" si="168"/>
        <v>-3.9747064137307997E-2</v>
      </c>
      <c r="L1029" s="842">
        <v>59.22</v>
      </c>
      <c r="M1029" s="843">
        <f t="shared" si="169"/>
        <v>-2.8543307086614234E-2</v>
      </c>
      <c r="N1029" s="842">
        <v>62.24</v>
      </c>
      <c r="O1029" s="843">
        <f t="shared" si="170"/>
        <v>-2.3533103231879515E-2</v>
      </c>
      <c r="P1029" s="844">
        <f t="shared" si="176"/>
        <v>-3.0290953306858985E-2</v>
      </c>
      <c r="Q1029" s="830"/>
      <c r="R1029" s="845">
        <v>844.03</v>
      </c>
      <c r="S1029" s="846">
        <f t="shared" si="171"/>
        <v>-1.5800275192984992E-2</v>
      </c>
      <c r="T1029" s="845">
        <v>61.81</v>
      </c>
      <c r="U1029" s="846">
        <f t="shared" si="172"/>
        <v>-1.3092767044547315E-2</v>
      </c>
      <c r="V1029" s="845">
        <v>93.549400000000006</v>
      </c>
      <c r="W1029" s="846">
        <f t="shared" si="173"/>
        <v>-4.2044825012057641E-2</v>
      </c>
      <c r="X1029" s="845">
        <v>31041.13</v>
      </c>
      <c r="Y1029" s="846">
        <f t="shared" si="174"/>
        <v>6.8677950268249965E-3</v>
      </c>
      <c r="Z1029" s="845">
        <v>3803.7903999999999</v>
      </c>
      <c r="AA1029" s="846">
        <f t="shared" si="175"/>
        <v>1.4848066685275052E-2</v>
      </c>
      <c r="AB1029" s="843"/>
    </row>
    <row r="1030" spans="1:28" ht="14.4" x14ac:dyDescent="0.55000000000000004">
      <c r="A1030" s="857" t="s">
        <v>6189</v>
      </c>
      <c r="B1030" s="842">
        <v>93.71</v>
      </c>
      <c r="C1030" s="843">
        <f t="shared" si="166"/>
        <v>1.1877766979807802E-2</v>
      </c>
      <c r="D1030" s="842">
        <v>35.630000000000003</v>
      </c>
      <c r="E1030" s="843">
        <f t="shared" si="167"/>
        <v>5.8212058212058215E-2</v>
      </c>
      <c r="F1030" s="842">
        <v>23.02</v>
      </c>
      <c r="G1030" s="843">
        <f t="shared" si="167"/>
        <v>2.2202486678507993E-2</v>
      </c>
      <c r="H1030" s="842">
        <v>45.27</v>
      </c>
      <c r="I1030" s="843">
        <f t="shared" si="167"/>
        <v>2.9799818016378543E-2</v>
      </c>
      <c r="J1030" s="842">
        <v>77.489999999999995</v>
      </c>
      <c r="K1030" s="843">
        <f t="shared" si="168"/>
        <v>3.4855769230769162E-2</v>
      </c>
      <c r="L1030" s="842">
        <v>60.96</v>
      </c>
      <c r="M1030" s="843">
        <f t="shared" si="169"/>
        <v>3.4623217922606919E-2</v>
      </c>
      <c r="N1030" s="842">
        <v>63.74</v>
      </c>
      <c r="O1030" s="843">
        <f t="shared" si="170"/>
        <v>2.163808302612602E-2</v>
      </c>
      <c r="P1030" s="844">
        <f t="shared" si="176"/>
        <v>3.0458457152322094E-2</v>
      </c>
      <c r="Q1030" s="830"/>
      <c r="R1030" s="845">
        <v>857.58</v>
      </c>
      <c r="S1030" s="846">
        <f t="shared" si="171"/>
        <v>1.8249605205352681E-2</v>
      </c>
      <c r="T1030" s="845">
        <v>62.63</v>
      </c>
      <c r="U1030" s="846">
        <f t="shared" si="172"/>
        <v>2.4873179512354904E-2</v>
      </c>
      <c r="V1030" s="845">
        <v>97.655299999999997</v>
      </c>
      <c r="W1030" s="846">
        <f t="shared" si="173"/>
        <v>1.1877648716700051E-2</v>
      </c>
      <c r="X1030" s="845">
        <v>30829.4</v>
      </c>
      <c r="Y1030" s="846">
        <f t="shared" si="174"/>
        <v>1.4405296200265871E-2</v>
      </c>
      <c r="Z1030" s="845">
        <v>3748.1378</v>
      </c>
      <c r="AA1030" s="846">
        <f t="shared" si="175"/>
        <v>5.7104436399175729E-3</v>
      </c>
      <c r="AB1030" s="843"/>
    </row>
    <row r="1031" spans="1:28" ht="14.4" x14ac:dyDescent="0.55000000000000004">
      <c r="A1031" s="857" t="s">
        <v>6190</v>
      </c>
      <c r="B1031" s="842">
        <v>92.61</v>
      </c>
      <c r="C1031" s="843">
        <f t="shared" si="166"/>
        <v>-1.5101563330851886E-2</v>
      </c>
      <c r="D1031" s="842">
        <v>33.67</v>
      </c>
      <c r="E1031" s="843">
        <f t="shared" si="167"/>
        <v>-2.3491879350347911E-2</v>
      </c>
      <c r="F1031" s="842">
        <v>22.52</v>
      </c>
      <c r="G1031" s="843">
        <f t="shared" si="167"/>
        <v>-2.6572187776793266E-3</v>
      </c>
      <c r="H1031" s="842">
        <v>43.96</v>
      </c>
      <c r="I1031" s="843">
        <f t="shared" si="167"/>
        <v>-3.7231712658782223E-2</v>
      </c>
      <c r="J1031" s="842">
        <v>74.88</v>
      </c>
      <c r="K1031" s="843">
        <f t="shared" si="168"/>
        <v>-7.6861913596607545E-3</v>
      </c>
      <c r="L1031" s="842">
        <v>58.92</v>
      </c>
      <c r="M1031" s="843">
        <f t="shared" si="169"/>
        <v>-8.7483176312247446E-3</v>
      </c>
      <c r="N1031" s="842">
        <v>62.39</v>
      </c>
      <c r="O1031" s="843">
        <f t="shared" si="170"/>
        <v>-1.6085790884718398E-2</v>
      </c>
      <c r="P1031" s="844">
        <f t="shared" si="176"/>
        <v>-1.5857524856180749E-2</v>
      </c>
      <c r="Q1031" s="830"/>
      <c r="R1031" s="845">
        <v>842.21</v>
      </c>
      <c r="S1031" s="846">
        <f t="shared" si="171"/>
        <v>-9.3712930011857765E-4</v>
      </c>
      <c r="T1031" s="845">
        <v>61.11</v>
      </c>
      <c r="U1031" s="846">
        <f t="shared" si="172"/>
        <v>-1.6361256544494829E-4</v>
      </c>
      <c r="V1031" s="845">
        <v>96.509</v>
      </c>
      <c r="W1031" s="846">
        <f t="shared" si="173"/>
        <v>-1.5100720797397993E-2</v>
      </c>
      <c r="X1031" s="845">
        <v>30391.599999999999</v>
      </c>
      <c r="Y1031" s="846">
        <f t="shared" si="174"/>
        <v>5.5489217304589555E-3</v>
      </c>
      <c r="Z1031" s="845">
        <v>3726.8557999999998</v>
      </c>
      <c r="AA1031" s="846">
        <f t="shared" si="175"/>
        <v>7.0822754551986833E-3</v>
      </c>
      <c r="AB1031" s="843"/>
    </row>
    <row r="1032" spans="1:28" ht="14.4" x14ac:dyDescent="0.55000000000000004">
      <c r="A1032" s="857" t="s">
        <v>6191</v>
      </c>
      <c r="B1032" s="842">
        <v>94.03</v>
      </c>
      <c r="C1032" s="843">
        <f t="shared" ref="C1032:C1095" si="177">IFERROR(((B1032/B1033)-1), "NA")</f>
        <v>-1.4670439065283536E-2</v>
      </c>
      <c r="D1032" s="842">
        <v>34.479999999999997</v>
      </c>
      <c r="E1032" s="843">
        <f t="shared" ref="E1032:I1095" si="178">IFERROR(((D1032/D1033)-1), "NA")</f>
        <v>-3.0098452883263072E-2</v>
      </c>
      <c r="F1032" s="842">
        <v>22.58</v>
      </c>
      <c r="G1032" s="843">
        <f t="shared" si="178"/>
        <v>-1.5693112467306092E-2</v>
      </c>
      <c r="H1032" s="842">
        <v>45.66</v>
      </c>
      <c r="I1032" s="843">
        <f t="shared" si="178"/>
        <v>-7.1754729288977526E-3</v>
      </c>
      <c r="J1032" s="842">
        <v>75.459999999999994</v>
      </c>
      <c r="K1032" s="843">
        <f t="shared" ref="K1032:K1095" si="179">IFERROR(((J1032/J1033)-1), "NA")</f>
        <v>-1.7063957274977226E-2</v>
      </c>
      <c r="L1032" s="842">
        <v>59.44</v>
      </c>
      <c r="M1032" s="843">
        <f t="shared" ref="M1032:M1095" si="180">IFERROR(((L1032/L1033)-1), "NA")</f>
        <v>-2.1563786008230501E-2</v>
      </c>
      <c r="N1032" s="842">
        <v>63.41</v>
      </c>
      <c r="O1032" s="843">
        <f t="shared" ref="O1032:O1095" si="181">IFERROR(((N1032/N1033)-1), "NA")</f>
        <v>-9.8376014990632088E-3</v>
      </c>
      <c r="P1032" s="844">
        <f t="shared" si="176"/>
        <v>-1.6586117446717341E-2</v>
      </c>
      <c r="Q1032" s="830"/>
      <c r="R1032" s="845">
        <v>843</v>
      </c>
      <c r="S1032" s="846">
        <f t="shared" ref="S1032:S1095" si="182">IFERROR(((R1032/R1033)-1), "NA")</f>
        <v>-2.5027757216876334E-2</v>
      </c>
      <c r="T1032" s="845">
        <v>61.12</v>
      </c>
      <c r="U1032" s="846">
        <f t="shared" ref="U1032:U1095" si="183">IFERROR(((T1032/T1033)-1), "NA")</f>
        <v>-2.5199362041467444E-2</v>
      </c>
      <c r="V1032" s="845">
        <v>97.988699999999994</v>
      </c>
      <c r="W1032" s="846">
        <f t="shared" ref="W1032:W1095" si="184">IFERROR(((V1032/V1033)-1), "NA")</f>
        <v>-1.4671028088130811E-2</v>
      </c>
      <c r="X1032" s="845">
        <v>30223.89</v>
      </c>
      <c r="Y1032" s="846">
        <f t="shared" ref="Y1032:Y1095" si="185">IFERROR(((X1032/X1033)-1), "NA")</f>
        <v>-1.250029405537656E-2</v>
      </c>
      <c r="Z1032" s="845">
        <v>3700.6468</v>
      </c>
      <c r="AA1032" s="846">
        <f t="shared" ref="AA1032:AA1095" si="186">IFERROR(((Z1032/Z1033)-1), "NA")</f>
        <v>-1.4756029005305149E-2</v>
      </c>
      <c r="AB1032" s="843"/>
    </row>
    <row r="1033" spans="1:28" ht="14.4" x14ac:dyDescent="0.55000000000000004">
      <c r="A1033" s="857" t="s">
        <v>6192</v>
      </c>
      <c r="B1033" s="842">
        <v>95.43</v>
      </c>
      <c r="C1033" s="843">
        <f t="shared" si="177"/>
        <v>2.0532563362207323E-2</v>
      </c>
      <c r="D1033" s="842">
        <v>35.549999999999997</v>
      </c>
      <c r="E1033" s="843">
        <f t="shared" si="178"/>
        <v>1.8041237113401998E-2</v>
      </c>
      <c r="F1033" s="842">
        <v>22.94</v>
      </c>
      <c r="G1033" s="843">
        <f t="shared" si="178"/>
        <v>1.7294900221729526E-2</v>
      </c>
      <c r="H1033" s="842">
        <v>45.99</v>
      </c>
      <c r="I1033" s="843">
        <f t="shared" si="178"/>
        <v>7.227332457293123E-3</v>
      </c>
      <c r="J1033" s="842">
        <v>76.77</v>
      </c>
      <c r="K1033" s="843">
        <f t="shared" si="179"/>
        <v>1.1462450592885309E-2</v>
      </c>
      <c r="L1033" s="842">
        <v>60.75</v>
      </c>
      <c r="M1033" s="843">
        <f t="shared" si="180"/>
        <v>1.5037593984962294E-2</v>
      </c>
      <c r="N1033" s="842">
        <v>64.040000000000006</v>
      </c>
      <c r="O1033" s="843">
        <f t="shared" si="181"/>
        <v>1.0572826258482104E-2</v>
      </c>
      <c r="P1033" s="844">
        <f t="shared" ref="P1033:P1096" si="187">IFERROR(AVERAGE(C1033,E1033,G1033,I1033,M1033,K1033,O1033),"NA")</f>
        <v>1.430984342728024E-2</v>
      </c>
      <c r="Q1033" s="830"/>
      <c r="R1033" s="845">
        <v>864.64</v>
      </c>
      <c r="S1033" s="846">
        <f t="shared" si="182"/>
        <v>1.6517946366639613E-2</v>
      </c>
      <c r="T1033" s="845">
        <v>62.7</v>
      </c>
      <c r="U1033" s="846">
        <f t="shared" si="183"/>
        <v>1.4891550663645114E-2</v>
      </c>
      <c r="V1033" s="845">
        <v>99.447699999999998</v>
      </c>
      <c r="W1033" s="846">
        <f t="shared" si="184"/>
        <v>2.0532207797272051E-2</v>
      </c>
      <c r="X1033" s="845">
        <v>30606.48</v>
      </c>
      <c r="Y1033" s="846">
        <f t="shared" si="185"/>
        <v>6.4755951746753304E-3</v>
      </c>
      <c r="Z1033" s="845">
        <v>3756.0715</v>
      </c>
      <c r="AA1033" s="846">
        <f t="shared" si="186"/>
        <v>6.438700314733925E-3</v>
      </c>
      <c r="AB1033" s="843"/>
    </row>
    <row r="1034" spans="1:28" ht="14.4" x14ac:dyDescent="0.55000000000000004">
      <c r="A1034" s="857" t="s">
        <v>6193</v>
      </c>
      <c r="B1034" s="842">
        <v>93.51</v>
      </c>
      <c r="C1034" s="843">
        <f t="shared" si="177"/>
        <v>3.756977243452253E-3</v>
      </c>
      <c r="D1034" s="842">
        <v>34.92</v>
      </c>
      <c r="E1034" s="843">
        <f t="shared" si="178"/>
        <v>-3.99315459212779E-3</v>
      </c>
      <c r="F1034" s="842">
        <v>22.55</v>
      </c>
      <c r="G1034" s="843">
        <f t="shared" si="178"/>
        <v>9.4001790510296335E-3</v>
      </c>
      <c r="H1034" s="842">
        <v>45.66</v>
      </c>
      <c r="I1034" s="843">
        <f t="shared" si="178"/>
        <v>2.1949078138716605E-3</v>
      </c>
      <c r="J1034" s="842">
        <v>75.900000000000006</v>
      </c>
      <c r="K1034" s="843">
        <f t="shared" si="179"/>
        <v>1.3192612137205018E-3</v>
      </c>
      <c r="L1034" s="842">
        <v>59.85</v>
      </c>
      <c r="M1034" s="843">
        <f t="shared" si="180"/>
        <v>-1.156069364161838E-2</v>
      </c>
      <c r="N1034" s="842">
        <v>63.37</v>
      </c>
      <c r="O1034" s="843">
        <f t="shared" si="181"/>
        <v>6.0327036037466364E-3</v>
      </c>
      <c r="P1034" s="844">
        <f t="shared" si="187"/>
        <v>1.0214543845820736E-3</v>
      </c>
      <c r="Q1034" s="830"/>
      <c r="R1034" s="845">
        <v>850.59</v>
      </c>
      <c r="S1034" s="846">
        <f t="shared" si="182"/>
        <v>2.0026151798231417E-3</v>
      </c>
      <c r="T1034" s="845">
        <v>61.78</v>
      </c>
      <c r="U1034" s="846">
        <f t="shared" si="183"/>
        <v>5.0431104603871901E-3</v>
      </c>
      <c r="V1034" s="845">
        <v>97.446899999999999</v>
      </c>
      <c r="W1034" s="846">
        <f t="shared" si="184"/>
        <v>3.7576443031208662E-3</v>
      </c>
      <c r="X1034" s="845">
        <v>30409.56</v>
      </c>
      <c r="Y1034" s="846">
        <f t="shared" si="185"/>
        <v>2.4357464331594691E-3</v>
      </c>
      <c r="Z1034" s="845">
        <v>3732.0419999999999</v>
      </c>
      <c r="AA1034" s="846">
        <f t="shared" si="186"/>
        <v>1.3420569314506192E-3</v>
      </c>
      <c r="AB1034" s="843"/>
    </row>
    <row r="1035" spans="1:28" ht="14.4" x14ac:dyDescent="0.55000000000000004">
      <c r="A1035" s="857" t="s">
        <v>6194</v>
      </c>
      <c r="B1035" s="842">
        <v>93.16</v>
      </c>
      <c r="C1035" s="843">
        <f t="shared" si="177"/>
        <v>-2.6763729793384261E-3</v>
      </c>
      <c r="D1035" s="842">
        <v>35.06</v>
      </c>
      <c r="E1035" s="843">
        <f t="shared" si="178"/>
        <v>-1.5168539325842723E-2</v>
      </c>
      <c r="F1035" s="842">
        <v>22.34</v>
      </c>
      <c r="G1035" s="843">
        <f t="shared" si="178"/>
        <v>1.7937219730941312E-3</v>
      </c>
      <c r="H1035" s="842">
        <v>45.56</v>
      </c>
      <c r="I1035" s="843">
        <f t="shared" si="178"/>
        <v>-1.4918918918918833E-2</v>
      </c>
      <c r="J1035" s="842">
        <v>75.8</v>
      </c>
      <c r="K1035" s="843">
        <f t="shared" si="179"/>
        <v>-1.108936725375087E-2</v>
      </c>
      <c r="L1035" s="842">
        <v>60.55</v>
      </c>
      <c r="M1035" s="843">
        <f t="shared" si="180"/>
        <v>8.9985002499584077E-3</v>
      </c>
      <c r="N1035" s="842">
        <v>62.99</v>
      </c>
      <c r="O1035" s="843">
        <f t="shared" si="181"/>
        <v>-1.7163364019347815E-2</v>
      </c>
      <c r="P1035" s="844">
        <f t="shared" si="187"/>
        <v>-7.1749057534494466E-3</v>
      </c>
      <c r="Q1035" s="830"/>
      <c r="R1035" s="845">
        <v>848.89</v>
      </c>
      <c r="S1035" s="846">
        <f t="shared" si="182"/>
        <v>-7.7688187864155545E-4</v>
      </c>
      <c r="T1035" s="845">
        <v>61.47</v>
      </c>
      <c r="U1035" s="846">
        <f t="shared" si="183"/>
        <v>-1.6265452179564655E-4</v>
      </c>
      <c r="V1035" s="845">
        <v>97.082099999999997</v>
      </c>
      <c r="W1035" s="846">
        <f t="shared" si="184"/>
        <v>-2.6761150821943414E-3</v>
      </c>
      <c r="X1035" s="845">
        <v>30335.67</v>
      </c>
      <c r="Y1035" s="846">
        <f t="shared" si="185"/>
        <v>-2.2464171619693829E-3</v>
      </c>
      <c r="Z1035" s="845">
        <v>3727.0401000000002</v>
      </c>
      <c r="AA1035" s="846">
        <f t="shared" si="186"/>
        <v>-2.2261869197623962E-3</v>
      </c>
      <c r="AB1035" s="843"/>
    </row>
    <row r="1036" spans="1:28" ht="14.4" x14ac:dyDescent="0.55000000000000004">
      <c r="A1036" s="857" t="s">
        <v>6195</v>
      </c>
      <c r="B1036" s="842">
        <v>93.41</v>
      </c>
      <c r="C1036" s="843">
        <f t="shared" si="177"/>
        <v>6.8987819338148793E-3</v>
      </c>
      <c r="D1036" s="842">
        <v>35.6</v>
      </c>
      <c r="E1036" s="843">
        <f t="shared" si="178"/>
        <v>1.3090495162208393E-2</v>
      </c>
      <c r="F1036" s="842">
        <v>22.3</v>
      </c>
      <c r="G1036" s="843">
        <f t="shared" si="178"/>
        <v>9.506564056134037E-3</v>
      </c>
      <c r="H1036" s="842">
        <v>46.25</v>
      </c>
      <c r="I1036" s="843">
        <f t="shared" si="178"/>
        <v>1.1813607525705594E-2</v>
      </c>
      <c r="J1036" s="842">
        <v>76.650000000000006</v>
      </c>
      <c r="K1036" s="843">
        <f t="shared" si="179"/>
        <v>1.3063357282823151E-3</v>
      </c>
      <c r="L1036" s="842">
        <v>60.01</v>
      </c>
      <c r="M1036" s="843">
        <f t="shared" si="180"/>
        <v>-2.1616228799468118E-3</v>
      </c>
      <c r="N1036" s="842">
        <v>64.09</v>
      </c>
      <c r="O1036" s="843">
        <f t="shared" si="181"/>
        <v>8.3385777218376589E-3</v>
      </c>
      <c r="P1036" s="844">
        <f t="shared" si="187"/>
        <v>6.9703913211480095E-3</v>
      </c>
      <c r="Q1036" s="830"/>
      <c r="R1036" s="845">
        <v>849.55</v>
      </c>
      <c r="S1036" s="846">
        <f t="shared" si="182"/>
        <v>4.2318285518399001E-3</v>
      </c>
      <c r="T1036" s="845">
        <v>61.48</v>
      </c>
      <c r="U1036" s="846">
        <f t="shared" si="183"/>
        <v>4.4110439470674834E-3</v>
      </c>
      <c r="V1036" s="845">
        <v>97.342600000000004</v>
      </c>
      <c r="W1036" s="846">
        <f t="shared" si="184"/>
        <v>6.8983208810486918E-3</v>
      </c>
      <c r="X1036" s="845">
        <v>30403.97</v>
      </c>
      <c r="Y1036" s="846">
        <f t="shared" si="185"/>
        <v>6.7583072377463971E-3</v>
      </c>
      <c r="Z1036" s="845">
        <v>3735.3557000000001</v>
      </c>
      <c r="AA1036" s="846">
        <f t="shared" si="186"/>
        <v>8.7219540564558162E-3</v>
      </c>
      <c r="AB1036" s="843"/>
    </row>
    <row r="1037" spans="1:28" ht="14.4" x14ac:dyDescent="0.55000000000000004">
      <c r="A1037" s="857" t="s">
        <v>6196</v>
      </c>
      <c r="B1037" s="842">
        <v>92.77</v>
      </c>
      <c r="C1037" s="843">
        <f t="shared" si="177"/>
        <v>8.0408562425295926E-3</v>
      </c>
      <c r="D1037" s="842">
        <v>35.14</v>
      </c>
      <c r="E1037" s="843">
        <f t="shared" si="178"/>
        <v>8.9003732414585368E-3</v>
      </c>
      <c r="F1037" s="842">
        <v>22.09</v>
      </c>
      <c r="G1037" s="843">
        <f t="shared" si="178"/>
        <v>8.2154267457781316E-3</v>
      </c>
      <c r="H1037" s="842">
        <v>45.71</v>
      </c>
      <c r="I1037" s="843">
        <f t="shared" si="178"/>
        <v>5.2782054101605524E-3</v>
      </c>
      <c r="J1037" s="842">
        <v>76.55</v>
      </c>
      <c r="K1037" s="843">
        <f t="shared" si="179"/>
        <v>7.2368421052630971E-3</v>
      </c>
      <c r="L1037" s="842">
        <v>60.14</v>
      </c>
      <c r="M1037" s="843">
        <f t="shared" si="180"/>
        <v>1.5363835893972722E-2</v>
      </c>
      <c r="N1037" s="842">
        <v>63.56</v>
      </c>
      <c r="O1037" s="843">
        <f t="shared" si="181"/>
        <v>5.0600885515497129E-3</v>
      </c>
      <c r="P1037" s="844">
        <f t="shared" si="187"/>
        <v>8.2993754558160493E-3</v>
      </c>
      <c r="Q1037" s="830"/>
      <c r="R1037" s="845">
        <v>845.97</v>
      </c>
      <c r="S1037" s="846">
        <f t="shared" si="182"/>
        <v>6.8913804184818073E-3</v>
      </c>
      <c r="T1037" s="845">
        <v>61.21</v>
      </c>
      <c r="U1037" s="846">
        <f t="shared" si="183"/>
        <v>7.0746956235603342E-3</v>
      </c>
      <c r="V1037" s="845">
        <v>96.675700000000006</v>
      </c>
      <c r="W1037" s="846">
        <f t="shared" si="184"/>
        <v>8.0413327841759585E-3</v>
      </c>
      <c r="X1037" s="845">
        <v>30199.87</v>
      </c>
      <c r="Y1037" s="846">
        <f t="shared" si="185"/>
        <v>2.3246065444111341E-3</v>
      </c>
      <c r="Z1037" s="845">
        <v>3703.0578</v>
      </c>
      <c r="AA1037" s="846">
        <f t="shared" si="186"/>
        <v>3.534946129469807E-3</v>
      </c>
      <c r="AB1037" s="843"/>
    </row>
    <row r="1038" spans="1:28" ht="14.4" x14ac:dyDescent="0.55000000000000004">
      <c r="A1038" s="857" t="s">
        <v>6197</v>
      </c>
      <c r="B1038" s="842">
        <v>92.03</v>
      </c>
      <c r="C1038" s="843">
        <f t="shared" si="177"/>
        <v>-3.249214773096476E-3</v>
      </c>
      <c r="D1038" s="842">
        <v>34.83</v>
      </c>
      <c r="E1038" s="843">
        <f t="shared" si="178"/>
        <v>1.338376491125981E-2</v>
      </c>
      <c r="F1038" s="842">
        <v>21.91</v>
      </c>
      <c r="G1038" s="843">
        <f t="shared" si="178"/>
        <v>9.2123445416858463E-3</v>
      </c>
      <c r="H1038" s="842">
        <v>45.47</v>
      </c>
      <c r="I1038" s="843">
        <f t="shared" si="178"/>
        <v>-1.5587789564840859E-2</v>
      </c>
      <c r="J1038" s="842">
        <v>76</v>
      </c>
      <c r="K1038" s="843">
        <f t="shared" si="179"/>
        <v>1.0537407797681642E-3</v>
      </c>
      <c r="L1038" s="842">
        <v>59.23</v>
      </c>
      <c r="M1038" s="843">
        <f t="shared" si="180"/>
        <v>-2.694056238424003E-3</v>
      </c>
      <c r="N1038" s="842">
        <v>63.24</v>
      </c>
      <c r="O1038" s="843">
        <f t="shared" si="181"/>
        <v>2.0598954206940689E-3</v>
      </c>
      <c r="P1038" s="844">
        <f t="shared" si="187"/>
        <v>5.9695501100665016E-4</v>
      </c>
      <c r="Q1038" s="830"/>
      <c r="R1038" s="845">
        <v>840.18</v>
      </c>
      <c r="S1038" s="846">
        <f t="shared" si="182"/>
        <v>-2.4221699793404161E-3</v>
      </c>
      <c r="T1038" s="845">
        <v>60.78</v>
      </c>
      <c r="U1038" s="846">
        <f t="shared" si="183"/>
        <v>-1.9704433497536034E-3</v>
      </c>
      <c r="V1038" s="845">
        <v>95.904499999999999</v>
      </c>
      <c r="W1038" s="846">
        <f t="shared" si="184"/>
        <v>-3.2499386804023533E-3</v>
      </c>
      <c r="X1038" s="845">
        <v>30129.83</v>
      </c>
      <c r="Y1038" s="846">
        <f t="shared" si="185"/>
        <v>3.8086975700231118E-3</v>
      </c>
      <c r="Z1038" s="845">
        <v>3690.0138000000002</v>
      </c>
      <c r="AA1038" s="846">
        <f t="shared" si="186"/>
        <v>7.4670612504879053E-4</v>
      </c>
      <c r="AB1038" s="843"/>
    </row>
    <row r="1039" spans="1:28" ht="14.4" x14ac:dyDescent="0.55000000000000004">
      <c r="A1039" s="857" t="s">
        <v>6198</v>
      </c>
      <c r="B1039" s="842">
        <v>92.33</v>
      </c>
      <c r="C1039" s="843">
        <f t="shared" si="177"/>
        <v>3.3688328624212893E-3</v>
      </c>
      <c r="D1039" s="842">
        <v>34.369999999999997</v>
      </c>
      <c r="E1039" s="843">
        <f t="shared" si="178"/>
        <v>2.4746571258199124E-2</v>
      </c>
      <c r="F1039" s="842">
        <v>21.71</v>
      </c>
      <c r="G1039" s="843">
        <f t="shared" si="178"/>
        <v>8.3604273107291682E-3</v>
      </c>
      <c r="H1039" s="842">
        <v>46.19</v>
      </c>
      <c r="I1039" s="843">
        <f t="shared" si="178"/>
        <v>3.0796697165811127E-2</v>
      </c>
      <c r="J1039" s="842">
        <v>75.92</v>
      </c>
      <c r="K1039" s="843">
        <f t="shared" si="179"/>
        <v>3.1712473572937938E-3</v>
      </c>
      <c r="L1039" s="842">
        <v>59.39</v>
      </c>
      <c r="M1039" s="843">
        <f t="shared" si="180"/>
        <v>0</v>
      </c>
      <c r="N1039" s="842">
        <v>63.11</v>
      </c>
      <c r="O1039" s="843">
        <f t="shared" si="181"/>
        <v>3.070390331536843E-2</v>
      </c>
      <c r="P1039" s="844">
        <f t="shared" si="187"/>
        <v>1.4449668467117562E-2</v>
      </c>
      <c r="Q1039" s="830"/>
      <c r="R1039" s="845">
        <v>842.22</v>
      </c>
      <c r="S1039" s="846">
        <f t="shared" si="182"/>
        <v>-3.242757053588341E-3</v>
      </c>
      <c r="T1039" s="845">
        <v>60.9</v>
      </c>
      <c r="U1039" s="846">
        <f t="shared" si="183"/>
        <v>-1.9665683382498189E-3</v>
      </c>
      <c r="V1039" s="845">
        <v>96.217200000000005</v>
      </c>
      <c r="W1039" s="846">
        <f t="shared" si="184"/>
        <v>3.3693418051790047E-3</v>
      </c>
      <c r="X1039" s="845">
        <v>30015.51</v>
      </c>
      <c r="Y1039" s="846">
        <f t="shared" si="185"/>
        <v>-6.6500201049428664E-3</v>
      </c>
      <c r="Z1039" s="845">
        <v>3687.2604999999999</v>
      </c>
      <c r="AA1039" s="846">
        <f t="shared" si="186"/>
        <v>-2.0729002581572065E-3</v>
      </c>
      <c r="AB1039" s="843"/>
    </row>
    <row r="1040" spans="1:28" ht="14.4" x14ac:dyDescent="0.55000000000000004">
      <c r="A1040" s="857" t="s">
        <v>6199</v>
      </c>
      <c r="B1040" s="842">
        <v>92.02</v>
      </c>
      <c r="C1040" s="843">
        <f t="shared" si="177"/>
        <v>-3.2488697297865632E-2</v>
      </c>
      <c r="D1040" s="842">
        <v>33.54</v>
      </c>
      <c r="E1040" s="843">
        <f t="shared" si="178"/>
        <v>-3.2034632034631971E-2</v>
      </c>
      <c r="F1040" s="842">
        <v>21.53</v>
      </c>
      <c r="G1040" s="843">
        <f t="shared" si="178"/>
        <v>-3.8839285714285632E-2</v>
      </c>
      <c r="H1040" s="842">
        <v>44.81</v>
      </c>
      <c r="I1040" s="843">
        <f t="shared" si="178"/>
        <v>-8.9042488310632106E-2</v>
      </c>
      <c r="J1040" s="842">
        <v>75.680000000000007</v>
      </c>
      <c r="K1040" s="843">
        <f t="shared" si="179"/>
        <v>-3.2843450479233094E-2</v>
      </c>
      <c r="L1040" s="842">
        <v>59.39</v>
      </c>
      <c r="M1040" s="843">
        <f t="shared" si="180"/>
        <v>-2.8781684382665595E-2</v>
      </c>
      <c r="N1040" s="842">
        <v>61.23</v>
      </c>
      <c r="O1040" s="843">
        <f t="shared" si="181"/>
        <v>-4.6707146193367688E-2</v>
      </c>
      <c r="P1040" s="844">
        <f t="shared" si="187"/>
        <v>-4.296248348752596E-2</v>
      </c>
      <c r="Q1040" s="830"/>
      <c r="R1040" s="845">
        <v>844.96</v>
      </c>
      <c r="S1040" s="846">
        <f t="shared" si="182"/>
        <v>-1.4348039101322763E-2</v>
      </c>
      <c r="T1040" s="845">
        <v>61.02</v>
      </c>
      <c r="U1040" s="846">
        <f t="shared" si="183"/>
        <v>-2.0388505378070243E-2</v>
      </c>
      <c r="V1040" s="845">
        <v>95.894099999999995</v>
      </c>
      <c r="W1040" s="846">
        <f t="shared" si="184"/>
        <v>-3.2488785663406516E-2</v>
      </c>
      <c r="X1040" s="845">
        <v>30216.45</v>
      </c>
      <c r="Y1040" s="846">
        <f t="shared" si="185"/>
        <v>1.2392702884949092E-3</v>
      </c>
      <c r="Z1040" s="845">
        <v>3694.9196999999999</v>
      </c>
      <c r="AA1040" s="846">
        <f t="shared" si="186"/>
        <v>-3.9059328166722862E-3</v>
      </c>
      <c r="AB1040" s="843"/>
    </row>
    <row r="1041" spans="1:28" ht="14.4" x14ac:dyDescent="0.55000000000000004">
      <c r="A1041" s="857" t="s">
        <v>6200</v>
      </c>
      <c r="B1041" s="842">
        <v>95.11</v>
      </c>
      <c r="C1041" s="843">
        <f t="shared" si="177"/>
        <v>-4.0165506105560689E-2</v>
      </c>
      <c r="D1041" s="842">
        <v>34.65</v>
      </c>
      <c r="E1041" s="843">
        <f t="shared" si="178"/>
        <v>-3.3742331288343586E-2</v>
      </c>
      <c r="F1041" s="842">
        <v>22.4</v>
      </c>
      <c r="G1041" s="843">
        <f t="shared" si="178"/>
        <v>-1.7974572555896517E-2</v>
      </c>
      <c r="H1041" s="842">
        <v>49.19</v>
      </c>
      <c r="I1041" s="843">
        <f t="shared" si="178"/>
        <v>-4.7996903425585491E-2</v>
      </c>
      <c r="J1041" s="842">
        <v>78.25</v>
      </c>
      <c r="K1041" s="843">
        <f t="shared" si="179"/>
        <v>-3.8697788697788726E-2</v>
      </c>
      <c r="L1041" s="842">
        <v>61.15</v>
      </c>
      <c r="M1041" s="843">
        <f t="shared" si="180"/>
        <v>-3.350719140192826E-2</v>
      </c>
      <c r="N1041" s="842">
        <v>64.23</v>
      </c>
      <c r="O1041" s="843">
        <f t="shared" si="181"/>
        <v>-2.6670707682982187E-2</v>
      </c>
      <c r="P1041" s="844">
        <f t="shared" si="187"/>
        <v>-3.410785730829792E-2</v>
      </c>
      <c r="Q1041" s="830"/>
      <c r="R1041" s="845">
        <v>857.26</v>
      </c>
      <c r="S1041" s="846">
        <f t="shared" si="182"/>
        <v>-1.0983179122730058E-2</v>
      </c>
      <c r="T1041" s="845">
        <v>62.29</v>
      </c>
      <c r="U1041" s="846">
        <f t="shared" si="183"/>
        <v>-8.5946204042655072E-3</v>
      </c>
      <c r="V1041" s="845">
        <v>99.114199999999997</v>
      </c>
      <c r="W1041" s="846">
        <f t="shared" si="184"/>
        <v>-4.0165869663321696E-2</v>
      </c>
      <c r="X1041" s="845">
        <v>30179.05</v>
      </c>
      <c r="Y1041" s="846">
        <f t="shared" si="185"/>
        <v>-4.1025140108179592E-3</v>
      </c>
      <c r="Z1041" s="845">
        <v>3709.4083999999998</v>
      </c>
      <c r="AA1041" s="846">
        <f t="shared" si="186"/>
        <v>-3.5121188759479338E-3</v>
      </c>
      <c r="AB1041" s="843"/>
    </row>
    <row r="1042" spans="1:28" ht="14.4" x14ac:dyDescent="0.55000000000000004">
      <c r="A1042" s="857" t="s">
        <v>6201</v>
      </c>
      <c r="B1042" s="842">
        <v>99.09</v>
      </c>
      <c r="C1042" s="843">
        <f t="shared" si="177"/>
        <v>-2.617010568696454E-3</v>
      </c>
      <c r="D1042" s="842">
        <v>35.86</v>
      </c>
      <c r="E1042" s="843">
        <f t="shared" si="178"/>
        <v>2.691867124856806E-2</v>
      </c>
      <c r="F1042" s="842">
        <v>22.81</v>
      </c>
      <c r="G1042" s="843">
        <f t="shared" si="178"/>
        <v>4.3859649122790501E-4</v>
      </c>
      <c r="H1042" s="842">
        <v>51.67</v>
      </c>
      <c r="I1042" s="843">
        <f t="shared" si="178"/>
        <v>2.3573692551505543E-2</v>
      </c>
      <c r="J1042" s="842">
        <v>81.400000000000006</v>
      </c>
      <c r="K1042" s="843">
        <f t="shared" si="179"/>
        <v>1.6483516483516647E-2</v>
      </c>
      <c r="L1042" s="842">
        <v>63.27</v>
      </c>
      <c r="M1042" s="843">
        <f t="shared" si="180"/>
        <v>-4.875747090279936E-3</v>
      </c>
      <c r="N1042" s="842">
        <v>65.989999999999995</v>
      </c>
      <c r="O1042" s="843">
        <f t="shared" si="181"/>
        <v>2.1260440394836877E-3</v>
      </c>
      <c r="P1042" s="844">
        <f t="shared" si="187"/>
        <v>8.863966165046493E-3</v>
      </c>
      <c r="Q1042" s="830"/>
      <c r="R1042" s="845">
        <v>866.78</v>
      </c>
      <c r="S1042" s="846">
        <f t="shared" si="182"/>
        <v>8.3644528205306656E-3</v>
      </c>
      <c r="T1042" s="845">
        <v>62.83</v>
      </c>
      <c r="U1042" s="846">
        <f t="shared" si="183"/>
        <v>6.7296907546867679E-3</v>
      </c>
      <c r="V1042" s="845">
        <v>103.26179999999999</v>
      </c>
      <c r="W1042" s="846">
        <f t="shared" si="184"/>
        <v>-2.6165646216124161E-3</v>
      </c>
      <c r="X1042" s="845">
        <v>30303.37</v>
      </c>
      <c r="Y1042" s="846">
        <f t="shared" si="185"/>
        <v>4.935575206917342E-3</v>
      </c>
      <c r="Z1042" s="845">
        <v>3722.4821999999999</v>
      </c>
      <c r="AA1042" s="846">
        <f t="shared" si="186"/>
        <v>5.7572005940385029E-3</v>
      </c>
      <c r="AB1042" s="843"/>
    </row>
    <row r="1043" spans="1:28" ht="14.4" x14ac:dyDescent="0.55000000000000004">
      <c r="A1043" s="857" t="s">
        <v>6202</v>
      </c>
      <c r="B1043" s="842">
        <v>99.35</v>
      </c>
      <c r="C1043" s="843">
        <f t="shared" si="177"/>
        <v>-2.291502753737229E-2</v>
      </c>
      <c r="D1043" s="842">
        <v>34.92</v>
      </c>
      <c r="E1043" s="843">
        <f t="shared" si="178"/>
        <v>-9.0805902383654935E-3</v>
      </c>
      <c r="F1043" s="842">
        <v>22.8</v>
      </c>
      <c r="G1043" s="843">
        <f t="shared" si="178"/>
        <v>-1.7241379310344751E-2</v>
      </c>
      <c r="H1043" s="842">
        <v>50.48</v>
      </c>
      <c r="I1043" s="843">
        <f t="shared" si="178"/>
        <v>-2.3786501643782709E-2</v>
      </c>
      <c r="J1043" s="842">
        <v>80.08</v>
      </c>
      <c r="K1043" s="843">
        <f t="shared" si="179"/>
        <v>-2.3176384484020596E-2</v>
      </c>
      <c r="L1043" s="842">
        <v>63.58</v>
      </c>
      <c r="M1043" s="843">
        <f t="shared" si="180"/>
        <v>-2.1243842364531917E-2</v>
      </c>
      <c r="N1043" s="842">
        <v>65.849999999999994</v>
      </c>
      <c r="O1043" s="843">
        <f t="shared" si="181"/>
        <v>-2.3576512455516063E-2</v>
      </c>
      <c r="P1043" s="844">
        <f t="shared" si="187"/>
        <v>-2.0145748290561975E-2</v>
      </c>
      <c r="Q1043" s="830"/>
      <c r="R1043" s="845">
        <v>859.59</v>
      </c>
      <c r="S1043" s="846">
        <f t="shared" si="182"/>
        <v>-1.3711361498037866E-2</v>
      </c>
      <c r="T1043" s="845">
        <v>62.41</v>
      </c>
      <c r="U1043" s="846">
        <f t="shared" si="183"/>
        <v>-1.1561609122584748E-2</v>
      </c>
      <c r="V1043" s="845">
        <v>103.53270000000001</v>
      </c>
      <c r="W1043" s="846">
        <f t="shared" si="184"/>
        <v>-2.2915078028855951E-2</v>
      </c>
      <c r="X1043" s="845">
        <v>30154.54</v>
      </c>
      <c r="Y1043" s="846">
        <f t="shared" si="185"/>
        <v>-1.4824842024536711E-3</v>
      </c>
      <c r="Z1043" s="845">
        <v>3701.1738</v>
      </c>
      <c r="AA1043" s="846">
        <f t="shared" si="186"/>
        <v>1.7733072077925627E-3</v>
      </c>
      <c r="AB1043" s="843"/>
    </row>
    <row r="1044" spans="1:28" ht="14.4" x14ac:dyDescent="0.55000000000000004">
      <c r="A1044" s="857" t="s">
        <v>6203</v>
      </c>
      <c r="B1044" s="842">
        <v>101.68</v>
      </c>
      <c r="C1044" s="843">
        <f t="shared" si="177"/>
        <v>2.1806853582554631E-2</v>
      </c>
      <c r="D1044" s="842">
        <v>35.24</v>
      </c>
      <c r="E1044" s="843">
        <f t="shared" si="178"/>
        <v>2.3525994772001235E-2</v>
      </c>
      <c r="F1044" s="842">
        <v>23.2</v>
      </c>
      <c r="G1044" s="843">
        <f t="shared" si="178"/>
        <v>2.428256070640189E-2</v>
      </c>
      <c r="H1044" s="842">
        <v>51.71</v>
      </c>
      <c r="I1044" s="843">
        <f t="shared" si="178"/>
        <v>3.0284917314206128E-2</v>
      </c>
      <c r="J1044" s="842">
        <v>81.98</v>
      </c>
      <c r="K1044" s="843">
        <f t="shared" si="179"/>
        <v>2.4621922259717488E-2</v>
      </c>
      <c r="L1044" s="842">
        <v>64.959999999999994</v>
      </c>
      <c r="M1044" s="843">
        <f t="shared" si="180"/>
        <v>1.5476004377051655E-2</v>
      </c>
      <c r="N1044" s="842">
        <v>67.44</v>
      </c>
      <c r="O1044" s="843">
        <f t="shared" si="181"/>
        <v>2.8205519134014256E-2</v>
      </c>
      <c r="P1044" s="844">
        <f t="shared" si="187"/>
        <v>2.4029110306563899E-2</v>
      </c>
      <c r="Q1044" s="830"/>
      <c r="R1044" s="845">
        <v>871.54</v>
      </c>
      <c r="S1044" s="846">
        <f t="shared" si="182"/>
        <v>2.196268805478363E-2</v>
      </c>
      <c r="T1044" s="845">
        <v>63.14</v>
      </c>
      <c r="U1044" s="846">
        <f t="shared" si="183"/>
        <v>1.9702842377260943E-2</v>
      </c>
      <c r="V1044" s="845">
        <v>105.96080000000001</v>
      </c>
      <c r="W1044" s="846">
        <f t="shared" si="184"/>
        <v>2.1806276790148571E-2</v>
      </c>
      <c r="X1044" s="845">
        <v>30199.31</v>
      </c>
      <c r="Y1044" s="846">
        <f t="shared" si="185"/>
        <v>1.1310866314709012E-2</v>
      </c>
      <c r="Z1044" s="845">
        <v>3694.6221</v>
      </c>
      <c r="AA1044" s="846">
        <f t="shared" si="186"/>
        <v>1.292090140154345E-2</v>
      </c>
      <c r="AB1044" s="843"/>
    </row>
    <row r="1045" spans="1:28" ht="14.4" x14ac:dyDescent="0.55000000000000004">
      <c r="A1045" s="857" t="s">
        <v>6204</v>
      </c>
      <c r="B1045" s="842">
        <v>99.51</v>
      </c>
      <c r="C1045" s="843">
        <f t="shared" si="177"/>
        <v>4.4413041283941634E-3</v>
      </c>
      <c r="D1045" s="842">
        <v>34.43</v>
      </c>
      <c r="E1045" s="843">
        <f t="shared" si="178"/>
        <v>2.6229508196721429E-2</v>
      </c>
      <c r="F1045" s="842">
        <v>22.65</v>
      </c>
      <c r="G1045" s="843">
        <f t="shared" si="178"/>
        <v>-1.0484927916120657E-2</v>
      </c>
      <c r="H1045" s="842">
        <v>50.19</v>
      </c>
      <c r="I1045" s="843">
        <f t="shared" si="178"/>
        <v>2.7851730493549054E-2</v>
      </c>
      <c r="J1045" s="842">
        <v>80.010000000000005</v>
      </c>
      <c r="K1045" s="843">
        <f t="shared" si="179"/>
        <v>-2.4990628514298674E-4</v>
      </c>
      <c r="L1045" s="842">
        <v>63.97</v>
      </c>
      <c r="M1045" s="843">
        <f t="shared" si="180"/>
        <v>1.459159397303722E-2</v>
      </c>
      <c r="N1045" s="842">
        <v>65.59</v>
      </c>
      <c r="O1045" s="843">
        <f t="shared" si="181"/>
        <v>4.4410413476263511E-3</v>
      </c>
      <c r="P1045" s="844">
        <f t="shared" si="187"/>
        <v>9.5457634197235099E-3</v>
      </c>
      <c r="Q1045" s="830"/>
      <c r="R1045" s="845">
        <v>852.81</v>
      </c>
      <c r="S1045" s="846">
        <f t="shared" si="182"/>
        <v>-2.6780493509531711E-3</v>
      </c>
      <c r="T1045" s="845">
        <v>61.92</v>
      </c>
      <c r="U1045" s="846">
        <f t="shared" si="183"/>
        <v>-5.1413881748072487E-3</v>
      </c>
      <c r="V1045" s="845">
        <v>103.6995</v>
      </c>
      <c r="W1045" s="846">
        <f t="shared" si="184"/>
        <v>4.4420379907574858E-3</v>
      </c>
      <c r="X1045" s="845">
        <v>29861.55</v>
      </c>
      <c r="Y1045" s="846">
        <f t="shared" si="185"/>
        <v>-6.1511590252000259E-3</v>
      </c>
      <c r="Z1045" s="845">
        <v>3647.4931999999999</v>
      </c>
      <c r="AA1045" s="846">
        <f t="shared" si="186"/>
        <v>-4.3578227007876613E-3</v>
      </c>
      <c r="AB1045" s="843"/>
    </row>
    <row r="1046" spans="1:28" ht="14.4" x14ac:dyDescent="0.55000000000000004">
      <c r="A1046" s="857" t="s">
        <v>6205</v>
      </c>
      <c r="B1046" s="842">
        <v>99.07</v>
      </c>
      <c r="C1046" s="843">
        <f t="shared" si="177"/>
        <v>9.1677701945602763E-3</v>
      </c>
      <c r="D1046" s="842">
        <v>33.549999999999997</v>
      </c>
      <c r="E1046" s="843">
        <f t="shared" si="178"/>
        <v>1.4207980652962471E-2</v>
      </c>
      <c r="F1046" s="842">
        <v>22.89</v>
      </c>
      <c r="G1046" s="843">
        <f t="shared" si="178"/>
        <v>1.4178112538768328E-2</v>
      </c>
      <c r="H1046" s="842">
        <v>48.83</v>
      </c>
      <c r="I1046" s="843">
        <f t="shared" si="178"/>
        <v>2.6703111858704665E-2</v>
      </c>
      <c r="J1046" s="842">
        <v>80.03</v>
      </c>
      <c r="K1046" s="843">
        <f t="shared" si="179"/>
        <v>3.2593706907360076E-3</v>
      </c>
      <c r="L1046" s="842">
        <v>63.05</v>
      </c>
      <c r="M1046" s="843">
        <f t="shared" si="180"/>
        <v>2.8630507396214533E-3</v>
      </c>
      <c r="N1046" s="842">
        <v>65.3</v>
      </c>
      <c r="O1046" s="843">
        <f t="shared" si="181"/>
        <v>6.3183849591617047E-3</v>
      </c>
      <c r="P1046" s="844">
        <f t="shared" si="187"/>
        <v>1.0956825947787843E-2</v>
      </c>
      <c r="Q1046" s="830"/>
      <c r="R1046" s="845">
        <v>855.1</v>
      </c>
      <c r="S1046" s="846">
        <f t="shared" si="182"/>
        <v>1.2177130412385218E-3</v>
      </c>
      <c r="T1046" s="845">
        <v>62.24</v>
      </c>
      <c r="U1046" s="846">
        <f t="shared" si="183"/>
        <v>1.6092693916962553E-3</v>
      </c>
      <c r="V1046" s="845">
        <v>103.2409</v>
      </c>
      <c r="W1046" s="846">
        <f t="shared" si="184"/>
        <v>9.1678640900070274E-3</v>
      </c>
      <c r="X1046" s="845">
        <v>30046.37</v>
      </c>
      <c r="Y1046" s="846">
        <f t="shared" si="185"/>
        <v>1.5703720691777612E-3</v>
      </c>
      <c r="Z1046" s="845">
        <v>3663.4578999999999</v>
      </c>
      <c r="AA1046" s="846">
        <f t="shared" si="186"/>
        <v>-1.2665399835888325E-3</v>
      </c>
      <c r="AB1046" s="843"/>
    </row>
    <row r="1047" spans="1:28" ht="14.4" x14ac:dyDescent="0.55000000000000004">
      <c r="A1047" s="857" t="s">
        <v>6206</v>
      </c>
      <c r="B1047" s="842">
        <v>98.17</v>
      </c>
      <c r="C1047" s="843">
        <f t="shared" si="177"/>
        <v>4.2966751918158685E-3</v>
      </c>
      <c r="D1047" s="842">
        <v>33.08</v>
      </c>
      <c r="E1047" s="843">
        <f t="shared" si="178"/>
        <v>-5.112781954887291E-3</v>
      </c>
      <c r="F1047" s="842">
        <v>22.57</v>
      </c>
      <c r="G1047" s="843">
        <f t="shared" si="178"/>
        <v>-2.7155172413793061E-2</v>
      </c>
      <c r="H1047" s="842">
        <v>47.56</v>
      </c>
      <c r="I1047" s="843">
        <f t="shared" si="178"/>
        <v>-5.2290315833507517E-3</v>
      </c>
      <c r="J1047" s="842">
        <v>79.77</v>
      </c>
      <c r="K1047" s="843">
        <f t="shared" si="179"/>
        <v>4.4069503903299001E-3</v>
      </c>
      <c r="L1047" s="842">
        <v>62.87</v>
      </c>
      <c r="M1047" s="843">
        <f t="shared" si="180"/>
        <v>-2.1478599221789962E-2</v>
      </c>
      <c r="N1047" s="842">
        <v>64.89</v>
      </c>
      <c r="O1047" s="843">
        <f t="shared" si="181"/>
        <v>-7.7981651376147765E-3</v>
      </c>
      <c r="P1047" s="844">
        <f t="shared" si="187"/>
        <v>-8.2957321041842967E-3</v>
      </c>
      <c r="Q1047" s="830"/>
      <c r="R1047" s="845">
        <v>854.06</v>
      </c>
      <c r="S1047" s="846">
        <f t="shared" si="182"/>
        <v>-3.1514076287408876E-3</v>
      </c>
      <c r="T1047" s="845">
        <v>62.14</v>
      </c>
      <c r="U1047" s="846">
        <f t="shared" si="183"/>
        <v>-5.123278898495065E-3</v>
      </c>
      <c r="V1047" s="845">
        <v>102.303</v>
      </c>
      <c r="W1047" s="846">
        <f t="shared" si="184"/>
        <v>4.2958649354933875E-3</v>
      </c>
      <c r="X1047" s="845">
        <v>29999.26</v>
      </c>
      <c r="Y1047" s="846">
        <f t="shared" si="185"/>
        <v>-2.3130280180693186E-3</v>
      </c>
      <c r="Z1047" s="845">
        <v>3668.1037000000001</v>
      </c>
      <c r="AA1047" s="846">
        <f t="shared" si="186"/>
        <v>-1.2840270923181185E-3</v>
      </c>
      <c r="AB1047" s="843"/>
    </row>
    <row r="1048" spans="1:28" ht="14.4" x14ac:dyDescent="0.55000000000000004">
      <c r="A1048" s="857" t="s">
        <v>6207</v>
      </c>
      <c r="B1048" s="842">
        <v>97.75</v>
      </c>
      <c r="C1048" s="843">
        <f t="shared" si="177"/>
        <v>1.6395122451069444E-3</v>
      </c>
      <c r="D1048" s="842">
        <v>33.25</v>
      </c>
      <c r="E1048" s="843">
        <f t="shared" si="178"/>
        <v>-8.3507306889353261E-3</v>
      </c>
      <c r="F1048" s="842">
        <v>23.2</v>
      </c>
      <c r="G1048" s="843">
        <f t="shared" si="178"/>
        <v>-4.3084877208110495E-4</v>
      </c>
      <c r="H1048" s="842">
        <v>47.81</v>
      </c>
      <c r="I1048" s="843">
        <f t="shared" si="178"/>
        <v>2.5162507863285555E-3</v>
      </c>
      <c r="J1048" s="842">
        <v>79.42</v>
      </c>
      <c r="K1048" s="843">
        <f t="shared" si="179"/>
        <v>6.5906210392900899E-3</v>
      </c>
      <c r="L1048" s="842">
        <v>64.25</v>
      </c>
      <c r="M1048" s="843">
        <f t="shared" si="180"/>
        <v>-6.3408598824620244E-3</v>
      </c>
      <c r="N1048" s="842">
        <v>65.400000000000006</v>
      </c>
      <c r="O1048" s="843">
        <f t="shared" si="181"/>
        <v>1.7265515632291173E-2</v>
      </c>
      <c r="P1048" s="844">
        <f t="shared" si="187"/>
        <v>1.8413514799340439E-3</v>
      </c>
      <c r="Q1048" s="830"/>
      <c r="R1048" s="845">
        <v>856.76</v>
      </c>
      <c r="S1048" s="846">
        <f t="shared" si="182"/>
        <v>-1.8640197586095031E-3</v>
      </c>
      <c r="T1048" s="845">
        <v>62.46</v>
      </c>
      <c r="U1048" s="846">
        <f t="shared" si="183"/>
        <v>-1.7580310052740522E-3</v>
      </c>
      <c r="V1048" s="845">
        <v>101.86539999999999</v>
      </c>
      <c r="W1048" s="846">
        <f t="shared" si="184"/>
        <v>1.6401405722399343E-3</v>
      </c>
      <c r="X1048" s="845">
        <v>30068.81</v>
      </c>
      <c r="Y1048" s="846">
        <f t="shared" si="185"/>
        <v>-3.4821507873696866E-3</v>
      </c>
      <c r="Z1048" s="845">
        <v>3672.8197</v>
      </c>
      <c r="AA1048" s="846">
        <f t="shared" si="186"/>
        <v>-7.9487651826674055E-3</v>
      </c>
      <c r="AB1048" s="843"/>
    </row>
    <row r="1049" spans="1:28" ht="14.4" x14ac:dyDescent="0.55000000000000004">
      <c r="A1049" s="857" t="s">
        <v>6208</v>
      </c>
      <c r="B1049" s="842">
        <v>97.59</v>
      </c>
      <c r="C1049" s="843">
        <f t="shared" si="177"/>
        <v>3.4961439588689913E-3</v>
      </c>
      <c r="D1049" s="842">
        <v>33.53</v>
      </c>
      <c r="E1049" s="843">
        <f t="shared" si="178"/>
        <v>6.0006000600061338E-3</v>
      </c>
      <c r="F1049" s="842">
        <v>23.21</v>
      </c>
      <c r="G1049" s="843">
        <f t="shared" si="178"/>
        <v>-2.9682274247491702E-2</v>
      </c>
      <c r="H1049" s="842">
        <v>47.69</v>
      </c>
      <c r="I1049" s="843">
        <f t="shared" si="178"/>
        <v>-3.5520267446720322E-3</v>
      </c>
      <c r="J1049" s="842">
        <v>78.900000000000006</v>
      </c>
      <c r="K1049" s="843">
        <f t="shared" si="179"/>
        <v>-6.0468631897202529E-3</v>
      </c>
      <c r="L1049" s="842">
        <v>64.66</v>
      </c>
      <c r="M1049" s="843">
        <f t="shared" si="180"/>
        <v>-9.0421455938697326E-3</v>
      </c>
      <c r="N1049" s="842">
        <v>64.290000000000006</v>
      </c>
      <c r="O1049" s="843">
        <f t="shared" si="181"/>
        <v>-3.2558139534882846E-3</v>
      </c>
      <c r="P1049" s="844">
        <f t="shared" si="187"/>
        <v>-6.0117685300524115E-3</v>
      </c>
      <c r="Q1049" s="830"/>
      <c r="R1049" s="845">
        <v>858.36</v>
      </c>
      <c r="S1049" s="846">
        <f t="shared" si="182"/>
        <v>-1.732860382624879E-3</v>
      </c>
      <c r="T1049" s="845">
        <v>62.57</v>
      </c>
      <c r="U1049" s="846">
        <f t="shared" si="183"/>
        <v>-3.0274059910770923E-3</v>
      </c>
      <c r="V1049" s="845">
        <v>101.6986</v>
      </c>
      <c r="W1049" s="846">
        <f t="shared" si="184"/>
        <v>3.4960032285979992E-3</v>
      </c>
      <c r="X1049" s="845">
        <v>30173.88</v>
      </c>
      <c r="Y1049" s="846">
        <f t="shared" si="185"/>
        <v>3.4616137990985951E-3</v>
      </c>
      <c r="Z1049" s="845">
        <v>3702.248</v>
      </c>
      <c r="AA1049" s="846">
        <f t="shared" si="186"/>
        <v>2.7856450910199726E-3</v>
      </c>
      <c r="AB1049" s="843"/>
    </row>
    <row r="1050" spans="1:28" ht="14.4" x14ac:dyDescent="0.55000000000000004">
      <c r="A1050" s="857" t="s">
        <v>6209</v>
      </c>
      <c r="B1050" s="842">
        <v>97.25</v>
      </c>
      <c r="C1050" s="843">
        <f t="shared" si="177"/>
        <v>-2.056132414927081E-4</v>
      </c>
      <c r="D1050" s="842">
        <v>33.33</v>
      </c>
      <c r="E1050" s="843">
        <f t="shared" si="178"/>
        <v>-1.1565836298932375E-2</v>
      </c>
      <c r="F1050" s="842">
        <v>23.92</v>
      </c>
      <c r="G1050" s="843">
        <f t="shared" si="178"/>
        <v>-3.3333333333332993E-3</v>
      </c>
      <c r="H1050" s="842">
        <v>47.86</v>
      </c>
      <c r="I1050" s="843">
        <f t="shared" si="178"/>
        <v>-1.6238437821171625E-2</v>
      </c>
      <c r="J1050" s="842">
        <v>79.38</v>
      </c>
      <c r="K1050" s="843">
        <f t="shared" si="179"/>
        <v>-3.5149384885764245E-3</v>
      </c>
      <c r="L1050" s="842">
        <v>65.25</v>
      </c>
      <c r="M1050" s="843">
        <f t="shared" si="180"/>
        <v>1.8424689083371693E-3</v>
      </c>
      <c r="N1050" s="842">
        <v>64.5</v>
      </c>
      <c r="O1050" s="843">
        <f t="shared" si="181"/>
        <v>-7.2341080498691257E-3</v>
      </c>
      <c r="P1050" s="844">
        <f t="shared" si="187"/>
        <v>-5.7499711892911986E-3</v>
      </c>
      <c r="Q1050" s="830"/>
      <c r="R1050" s="845">
        <v>859.85</v>
      </c>
      <c r="S1050" s="846">
        <f t="shared" si="182"/>
        <v>4.3451345006015885E-3</v>
      </c>
      <c r="T1050" s="845">
        <v>62.76</v>
      </c>
      <c r="U1050" s="846">
        <f t="shared" si="183"/>
        <v>5.6080756289056399E-3</v>
      </c>
      <c r="V1050" s="845">
        <v>101.3443</v>
      </c>
      <c r="W1050" s="846">
        <f t="shared" si="184"/>
        <v>-2.0618516019299538E-4</v>
      </c>
      <c r="X1050" s="845">
        <v>30069.79</v>
      </c>
      <c r="Y1050" s="846">
        <f t="shared" si="185"/>
        <v>-4.9132544362249231E-3</v>
      </c>
      <c r="Z1050" s="845">
        <v>3691.9634999999998</v>
      </c>
      <c r="AA1050" s="846">
        <f t="shared" si="186"/>
        <v>-1.9350270580468232E-3</v>
      </c>
      <c r="AB1050" s="843"/>
    </row>
    <row r="1051" spans="1:28" ht="14.4" x14ac:dyDescent="0.55000000000000004">
      <c r="A1051" s="857" t="s">
        <v>6210</v>
      </c>
      <c r="B1051" s="842">
        <v>97.27</v>
      </c>
      <c r="C1051" s="843">
        <f t="shared" si="177"/>
        <v>7.770410277662565E-3</v>
      </c>
      <c r="D1051" s="842">
        <v>33.72</v>
      </c>
      <c r="E1051" s="843">
        <f t="shared" si="178"/>
        <v>2.1199273167777033E-2</v>
      </c>
      <c r="F1051" s="842">
        <v>24</v>
      </c>
      <c r="G1051" s="843">
        <f t="shared" si="178"/>
        <v>-1.4778325123152691E-2</v>
      </c>
      <c r="H1051" s="842">
        <v>48.65</v>
      </c>
      <c r="I1051" s="843">
        <f t="shared" si="178"/>
        <v>1.7995396526469865E-2</v>
      </c>
      <c r="J1051" s="842">
        <v>79.66</v>
      </c>
      <c r="K1051" s="843">
        <f t="shared" si="179"/>
        <v>1.9974391805377856E-2</v>
      </c>
      <c r="L1051" s="842">
        <v>65.13</v>
      </c>
      <c r="M1051" s="843">
        <f t="shared" si="180"/>
        <v>8.516568597088936E-3</v>
      </c>
      <c r="N1051" s="842">
        <v>64.97</v>
      </c>
      <c r="O1051" s="843">
        <f t="shared" si="181"/>
        <v>1.0734287492221606E-2</v>
      </c>
      <c r="P1051" s="844">
        <f t="shared" si="187"/>
        <v>1.0201714677635023E-2</v>
      </c>
      <c r="Q1051" s="830"/>
      <c r="R1051" s="845">
        <v>856.13</v>
      </c>
      <c r="S1051" s="846">
        <f t="shared" si="182"/>
        <v>-1.2412186090507427E-2</v>
      </c>
      <c r="T1051" s="845">
        <v>62.41</v>
      </c>
      <c r="U1051" s="846">
        <f t="shared" si="183"/>
        <v>-9.9936548223350519E-3</v>
      </c>
      <c r="V1051" s="845">
        <v>101.3652</v>
      </c>
      <c r="W1051" s="846">
        <f t="shared" si="184"/>
        <v>7.7706504837766754E-3</v>
      </c>
      <c r="X1051" s="845">
        <v>30218.26</v>
      </c>
      <c r="Y1051" s="846">
        <f t="shared" si="185"/>
        <v>8.2997658954830911E-3</v>
      </c>
      <c r="Z1051" s="845">
        <v>3699.1214</v>
      </c>
      <c r="AA1051" s="846">
        <f t="shared" si="186"/>
        <v>8.8376899427800026E-3</v>
      </c>
      <c r="AB1051" s="843"/>
    </row>
    <row r="1052" spans="1:28" ht="14.4" x14ac:dyDescent="0.55000000000000004">
      <c r="A1052" s="857" t="s">
        <v>6211</v>
      </c>
      <c r="B1052" s="842">
        <v>96.52</v>
      </c>
      <c r="C1052" s="843">
        <f t="shared" si="177"/>
        <v>3.4307100530199808E-3</v>
      </c>
      <c r="D1052" s="842">
        <v>33.020000000000003</v>
      </c>
      <c r="E1052" s="843">
        <f t="shared" si="178"/>
        <v>-1.6090584028605415E-2</v>
      </c>
      <c r="F1052" s="842">
        <v>24.36</v>
      </c>
      <c r="G1052" s="843">
        <f t="shared" si="178"/>
        <v>-1.0560519902518384E-2</v>
      </c>
      <c r="H1052" s="842">
        <v>47.79</v>
      </c>
      <c r="I1052" s="843">
        <f t="shared" si="178"/>
        <v>-1.4842300556586197E-2</v>
      </c>
      <c r="J1052" s="842">
        <v>78.099999999999994</v>
      </c>
      <c r="K1052" s="843">
        <f t="shared" si="179"/>
        <v>-1.2891809908999075E-2</v>
      </c>
      <c r="L1052" s="842">
        <v>64.58</v>
      </c>
      <c r="M1052" s="843">
        <f t="shared" si="180"/>
        <v>-2.3290986085904519E-2</v>
      </c>
      <c r="N1052" s="842">
        <v>64.28</v>
      </c>
      <c r="O1052" s="843">
        <f t="shared" si="181"/>
        <v>3.4342803621605356E-3</v>
      </c>
      <c r="P1052" s="844">
        <f t="shared" si="187"/>
        <v>-1.0115887152490439E-2</v>
      </c>
      <c r="Q1052" s="830"/>
      <c r="R1052" s="845">
        <v>866.89</v>
      </c>
      <c r="S1052" s="846">
        <f t="shared" si="182"/>
        <v>-8.8834518555781505E-3</v>
      </c>
      <c r="T1052" s="845">
        <v>63.04</v>
      </c>
      <c r="U1052" s="846">
        <f t="shared" si="183"/>
        <v>-1.0361067503924737E-2</v>
      </c>
      <c r="V1052" s="845">
        <v>100.5836</v>
      </c>
      <c r="W1052" s="846">
        <f t="shared" si="184"/>
        <v>3.4307764288998843E-3</v>
      </c>
      <c r="X1052" s="845">
        <v>29969.52</v>
      </c>
      <c r="Y1052" s="846">
        <f t="shared" si="185"/>
        <v>2.8687793616539725E-3</v>
      </c>
      <c r="Z1052" s="845">
        <v>3666.7161000000001</v>
      </c>
      <c r="AA1052" s="846">
        <f t="shared" si="186"/>
        <v>-6.2401103993947604E-4</v>
      </c>
      <c r="AB1052" s="843"/>
    </row>
    <row r="1053" spans="1:28" ht="14.4" x14ac:dyDescent="0.55000000000000004">
      <c r="A1053" s="857" t="s">
        <v>6212</v>
      </c>
      <c r="B1053" s="842">
        <v>96.19</v>
      </c>
      <c r="C1053" s="843">
        <f t="shared" si="177"/>
        <v>-4.6564569536423628E-3</v>
      </c>
      <c r="D1053" s="842">
        <v>33.56</v>
      </c>
      <c r="E1053" s="843">
        <f t="shared" si="178"/>
        <v>9.930785434848266E-3</v>
      </c>
      <c r="F1053" s="842">
        <v>24.62</v>
      </c>
      <c r="G1053" s="843">
        <f t="shared" si="178"/>
        <v>5.3082890975910679E-3</v>
      </c>
      <c r="H1053" s="842">
        <v>48.51</v>
      </c>
      <c r="I1053" s="843">
        <f t="shared" si="178"/>
        <v>4.1399296211963588E-3</v>
      </c>
      <c r="J1053" s="842">
        <v>79.12</v>
      </c>
      <c r="K1053" s="843">
        <f t="shared" si="179"/>
        <v>1.7726006583944631E-3</v>
      </c>
      <c r="L1053" s="842">
        <v>66.12</v>
      </c>
      <c r="M1053" s="843">
        <f t="shared" si="180"/>
        <v>1.2867647058823595E-2</v>
      </c>
      <c r="N1053" s="842">
        <v>64.06</v>
      </c>
      <c r="O1053" s="843">
        <f t="shared" si="181"/>
        <v>6.1253337521596229E-3</v>
      </c>
      <c r="P1053" s="844">
        <f t="shared" si="187"/>
        <v>5.0697326670530018E-3</v>
      </c>
      <c r="Q1053" s="830"/>
      <c r="R1053" s="845">
        <v>874.66</v>
      </c>
      <c r="S1053" s="846">
        <f t="shared" si="182"/>
        <v>7.3826662827525258E-3</v>
      </c>
      <c r="T1053" s="845">
        <v>63.7</v>
      </c>
      <c r="U1053" s="846">
        <f t="shared" si="183"/>
        <v>6.6371681415928752E-3</v>
      </c>
      <c r="V1053" s="845">
        <v>100.2397</v>
      </c>
      <c r="W1053" s="846">
        <f t="shared" si="184"/>
        <v>-4.6560075306379956E-3</v>
      </c>
      <c r="X1053" s="845">
        <v>29883.79</v>
      </c>
      <c r="Y1053" s="846">
        <f t="shared" si="185"/>
        <v>2.0074490543162682E-3</v>
      </c>
      <c r="Z1053" s="845">
        <v>3669.0056</v>
      </c>
      <c r="AA1053" s="846">
        <f t="shared" si="186"/>
        <v>1.7890467026568935E-3</v>
      </c>
      <c r="AB1053" s="843"/>
    </row>
    <row r="1054" spans="1:28" ht="14.4" x14ac:dyDescent="0.55000000000000004">
      <c r="A1054" s="857" t="s">
        <v>6213</v>
      </c>
      <c r="B1054" s="842">
        <v>96.64</v>
      </c>
      <c r="C1054" s="843">
        <f t="shared" si="177"/>
        <v>7.8214620919803135E-3</v>
      </c>
      <c r="D1054" s="842">
        <v>33.229999999999997</v>
      </c>
      <c r="E1054" s="843">
        <f t="shared" si="178"/>
        <v>6.0551014229486277E-3</v>
      </c>
      <c r="F1054" s="842">
        <v>24.49</v>
      </c>
      <c r="G1054" s="843">
        <f t="shared" si="178"/>
        <v>1.1983471074380025E-2</v>
      </c>
      <c r="H1054" s="842">
        <v>48.31</v>
      </c>
      <c r="I1054" s="843">
        <f t="shared" si="178"/>
        <v>8.1385642737896724E-3</v>
      </c>
      <c r="J1054" s="842">
        <v>78.98</v>
      </c>
      <c r="K1054" s="843">
        <f t="shared" si="179"/>
        <v>-2.5258903763577534E-3</v>
      </c>
      <c r="L1054" s="842">
        <v>65.28</v>
      </c>
      <c r="M1054" s="843">
        <f t="shared" si="180"/>
        <v>1.6031128404669248E-2</v>
      </c>
      <c r="N1054" s="842">
        <v>63.67</v>
      </c>
      <c r="O1054" s="843">
        <f t="shared" si="181"/>
        <v>-4.5340838023765206E-3</v>
      </c>
      <c r="P1054" s="844">
        <f t="shared" si="187"/>
        <v>6.1385361555762307E-3</v>
      </c>
      <c r="Q1054" s="830"/>
      <c r="R1054" s="845">
        <v>868.25</v>
      </c>
      <c r="S1054" s="846">
        <f t="shared" si="182"/>
        <v>7.554482790632866E-3</v>
      </c>
      <c r="T1054" s="845">
        <v>63.28</v>
      </c>
      <c r="U1054" s="846">
        <f t="shared" si="183"/>
        <v>7.0019096117122093E-3</v>
      </c>
      <c r="V1054" s="845">
        <v>100.7086</v>
      </c>
      <c r="W1054" s="846">
        <f t="shared" si="184"/>
        <v>7.8207012912414609E-3</v>
      </c>
      <c r="X1054" s="845">
        <v>29823.919999999998</v>
      </c>
      <c r="Y1054" s="846">
        <f t="shared" si="185"/>
        <v>6.2512989799801133E-3</v>
      </c>
      <c r="Z1054" s="845">
        <v>3662.4533000000001</v>
      </c>
      <c r="AA1054" s="846">
        <f t="shared" si="186"/>
        <v>1.1271129761504906E-2</v>
      </c>
      <c r="AB1054" s="843"/>
    </row>
    <row r="1055" spans="1:28" ht="14.4" x14ac:dyDescent="0.55000000000000004">
      <c r="A1055" s="857" t="s">
        <v>6214</v>
      </c>
      <c r="B1055" s="842">
        <v>95.89</v>
      </c>
      <c r="C1055" s="843">
        <f t="shared" si="177"/>
        <v>-9.6054534187151042E-3</v>
      </c>
      <c r="D1055" s="842">
        <v>33.03</v>
      </c>
      <c r="E1055" s="843">
        <f t="shared" si="178"/>
        <v>-9.5316351684469947E-2</v>
      </c>
      <c r="F1055" s="842">
        <v>24.2</v>
      </c>
      <c r="G1055" s="843">
        <f t="shared" si="178"/>
        <v>-1.2647898816809611E-2</v>
      </c>
      <c r="H1055" s="842">
        <v>47.92</v>
      </c>
      <c r="I1055" s="843">
        <f t="shared" si="178"/>
        <v>-3.2700847799757682E-2</v>
      </c>
      <c r="J1055" s="842">
        <v>79.180000000000007</v>
      </c>
      <c r="K1055" s="843">
        <f t="shared" si="179"/>
        <v>-7.6450683042987855E-3</v>
      </c>
      <c r="L1055" s="842">
        <v>64.25</v>
      </c>
      <c r="M1055" s="843">
        <f t="shared" si="180"/>
        <v>-3.5140411473194244E-2</v>
      </c>
      <c r="N1055" s="842">
        <v>63.96</v>
      </c>
      <c r="O1055" s="843">
        <f t="shared" si="181"/>
        <v>-2.6335819759476298E-2</v>
      </c>
      <c r="P1055" s="844">
        <f t="shared" si="187"/>
        <v>-3.1341693036674521E-2</v>
      </c>
      <c r="Q1055" s="830"/>
      <c r="R1055" s="845">
        <v>861.74</v>
      </c>
      <c r="S1055" s="846">
        <f t="shared" si="182"/>
        <v>-1.3101536911060641E-2</v>
      </c>
      <c r="T1055" s="845">
        <v>62.84</v>
      </c>
      <c r="U1055" s="846">
        <f t="shared" si="183"/>
        <v>-1.4429109159347475E-2</v>
      </c>
      <c r="V1055" s="845">
        <v>99.927099999999996</v>
      </c>
      <c r="W1055" s="846">
        <f t="shared" si="184"/>
        <v>-9.6049207006805304E-3</v>
      </c>
      <c r="X1055" s="845">
        <v>29638.639999999999</v>
      </c>
      <c r="Y1055" s="846">
        <f t="shared" si="185"/>
        <v>-9.0848090478319321E-3</v>
      </c>
      <c r="Z1055" s="845">
        <v>3621.6334000000002</v>
      </c>
      <c r="AA1055" s="846">
        <f t="shared" si="186"/>
        <v>-4.5955401366155613E-3</v>
      </c>
      <c r="AB1055" s="843"/>
    </row>
    <row r="1056" spans="1:28" ht="14.4" x14ac:dyDescent="0.55000000000000004">
      <c r="A1056" s="857" t="s">
        <v>6215</v>
      </c>
      <c r="B1056" s="842">
        <v>96.82</v>
      </c>
      <c r="C1056" s="843">
        <f t="shared" si="177"/>
        <v>-2.6053716929886339E-2</v>
      </c>
      <c r="D1056" s="842">
        <v>36.51</v>
      </c>
      <c r="E1056" s="843">
        <f t="shared" si="178"/>
        <v>-2.562049639711772E-2</v>
      </c>
      <c r="F1056" s="842">
        <v>24.51</v>
      </c>
      <c r="G1056" s="843">
        <f t="shared" si="178"/>
        <v>-1.5662650602409567E-2</v>
      </c>
      <c r="H1056" s="842">
        <v>49.54</v>
      </c>
      <c r="I1056" s="843">
        <f t="shared" si="178"/>
        <v>-2.3842364532019711E-2</v>
      </c>
      <c r="J1056" s="842">
        <v>79.790000000000006</v>
      </c>
      <c r="K1056" s="843">
        <f t="shared" si="179"/>
        <v>-2.849141604772909E-2</v>
      </c>
      <c r="L1056" s="842">
        <v>66.59</v>
      </c>
      <c r="M1056" s="843">
        <f t="shared" si="180"/>
        <v>-2.131099353321575E-2</v>
      </c>
      <c r="N1056" s="842">
        <v>65.69</v>
      </c>
      <c r="O1056" s="843">
        <f t="shared" si="181"/>
        <v>-1.0692771084337416E-2</v>
      </c>
      <c r="P1056" s="844">
        <f t="shared" si="187"/>
        <v>-2.166777273238794E-2</v>
      </c>
      <c r="Q1056" s="830"/>
      <c r="R1056" s="845">
        <v>873.18</v>
      </c>
      <c r="S1056" s="846">
        <f t="shared" si="182"/>
        <v>-8.8537764761970061E-3</v>
      </c>
      <c r="T1056" s="845">
        <v>63.76</v>
      </c>
      <c r="U1056" s="846">
        <f t="shared" si="183"/>
        <v>-9.9378881987578493E-3</v>
      </c>
      <c r="V1056" s="845">
        <v>100.89619999999999</v>
      </c>
      <c r="W1056" s="846">
        <f t="shared" si="184"/>
        <v>-2.6053330656246709E-2</v>
      </c>
      <c r="X1056" s="845">
        <v>29910.37</v>
      </c>
      <c r="Y1056" s="846">
        <f t="shared" si="185"/>
        <v>1.2687266904944927E-3</v>
      </c>
      <c r="Z1056" s="845">
        <v>3638.3535999999999</v>
      </c>
      <c r="AA1056" s="846">
        <f t="shared" si="186"/>
        <v>2.3990218329830171E-3</v>
      </c>
      <c r="AB1056" s="843"/>
    </row>
    <row r="1057" spans="1:28" ht="14.4" x14ac:dyDescent="0.55000000000000004">
      <c r="A1057" s="857" t="s">
        <v>6216</v>
      </c>
      <c r="B1057" s="842">
        <v>99.41</v>
      </c>
      <c r="C1057" s="843">
        <f t="shared" si="177"/>
        <v>-8.6757080175509094E-3</v>
      </c>
      <c r="D1057" s="842">
        <v>37.47</v>
      </c>
      <c r="E1057" s="843">
        <f t="shared" si="178"/>
        <v>-1.7309205350118151E-2</v>
      </c>
      <c r="F1057" s="842">
        <v>24.9</v>
      </c>
      <c r="G1057" s="843">
        <f t="shared" si="178"/>
        <v>-1.6038492381716951E-3</v>
      </c>
      <c r="H1057" s="842">
        <v>50.75</v>
      </c>
      <c r="I1057" s="843">
        <f t="shared" si="178"/>
        <v>-9.8425196850393526E-4</v>
      </c>
      <c r="J1057" s="842">
        <v>82.13</v>
      </c>
      <c r="K1057" s="843">
        <f t="shared" si="179"/>
        <v>3.1757664590201795E-3</v>
      </c>
      <c r="L1057" s="842">
        <v>68.040000000000006</v>
      </c>
      <c r="M1057" s="843">
        <f t="shared" si="180"/>
        <v>-1.4341590612776955E-2</v>
      </c>
      <c r="N1057" s="842">
        <v>66.400000000000006</v>
      </c>
      <c r="O1057" s="843">
        <f t="shared" si="181"/>
        <v>-1.4251781472684022E-2</v>
      </c>
      <c r="P1057" s="844">
        <f t="shared" si="187"/>
        <v>-7.7129457429693559E-3</v>
      </c>
      <c r="Q1057" s="830"/>
      <c r="R1057" s="845">
        <v>880.98</v>
      </c>
      <c r="S1057" s="846">
        <f t="shared" si="182"/>
        <v>-1.8581042804377557E-3</v>
      </c>
      <c r="T1057" s="845">
        <v>64.400000000000006</v>
      </c>
      <c r="U1057" s="846">
        <f t="shared" si="183"/>
        <v>2.6467382842909615E-3</v>
      </c>
      <c r="V1057" s="845">
        <v>103.59520000000001</v>
      </c>
      <c r="W1057" s="846">
        <f t="shared" si="184"/>
        <v>-8.676397271245806E-3</v>
      </c>
      <c r="X1057" s="845">
        <v>29872.47</v>
      </c>
      <c r="Y1057" s="846">
        <f t="shared" si="185"/>
        <v>-5.7834191566066284E-3</v>
      </c>
      <c r="Z1057" s="845">
        <v>3629.6460000000002</v>
      </c>
      <c r="AA1057" s="846">
        <f t="shared" si="186"/>
        <v>-1.5844996472608175E-3</v>
      </c>
      <c r="AB1057" s="843"/>
    </row>
    <row r="1058" spans="1:28" ht="14.4" x14ac:dyDescent="0.55000000000000004">
      <c r="A1058" s="857" t="s">
        <v>6217</v>
      </c>
      <c r="B1058" s="842">
        <v>100.28</v>
      </c>
      <c r="C1058" s="843">
        <f t="shared" si="177"/>
        <v>3.5308692958909704E-2</v>
      </c>
      <c r="D1058" s="842">
        <v>38.130000000000003</v>
      </c>
      <c r="E1058" s="843">
        <f t="shared" si="178"/>
        <v>5.0992282249173071E-2</v>
      </c>
      <c r="F1058" s="842">
        <v>24.94</v>
      </c>
      <c r="G1058" s="843">
        <f t="shared" si="178"/>
        <v>2.5915261209378926E-2</v>
      </c>
      <c r="H1058" s="842">
        <v>50.8</v>
      </c>
      <c r="I1058" s="843">
        <f t="shared" si="178"/>
        <v>3.4412543270209595E-2</v>
      </c>
      <c r="J1058" s="842">
        <v>81.87</v>
      </c>
      <c r="K1058" s="843">
        <f t="shared" si="179"/>
        <v>4.8003072196620478E-2</v>
      </c>
      <c r="L1058" s="842">
        <v>69.03</v>
      </c>
      <c r="M1058" s="843">
        <f t="shared" si="180"/>
        <v>2.4335954889449507E-2</v>
      </c>
      <c r="N1058" s="842">
        <v>67.36</v>
      </c>
      <c r="O1058" s="843">
        <f t="shared" si="181"/>
        <v>4.7100886056272273E-2</v>
      </c>
      <c r="P1058" s="844">
        <f t="shared" si="187"/>
        <v>3.8009813261430506E-2</v>
      </c>
      <c r="Q1058" s="830"/>
      <c r="R1058" s="845">
        <v>882.62</v>
      </c>
      <c r="S1058" s="846">
        <f t="shared" si="182"/>
        <v>1.1007892234911498E-2</v>
      </c>
      <c r="T1058" s="845">
        <v>64.23</v>
      </c>
      <c r="U1058" s="846">
        <f t="shared" si="183"/>
        <v>1.0700236034618449E-2</v>
      </c>
      <c r="V1058" s="845">
        <v>104.50190000000001</v>
      </c>
      <c r="W1058" s="846">
        <f t="shared" si="184"/>
        <v>3.5308838404603193E-2</v>
      </c>
      <c r="X1058" s="845">
        <v>30046.240000000002</v>
      </c>
      <c r="Y1058" s="846">
        <f t="shared" si="185"/>
        <v>1.537514273635443E-2</v>
      </c>
      <c r="Z1058" s="845">
        <v>3635.4063000000001</v>
      </c>
      <c r="AA1058" s="846">
        <f t="shared" si="186"/>
        <v>1.6160569974695838E-2</v>
      </c>
      <c r="AB1058" s="843"/>
    </row>
    <row r="1059" spans="1:28" ht="14.4" x14ac:dyDescent="0.55000000000000004">
      <c r="A1059" s="857" t="s">
        <v>6218</v>
      </c>
      <c r="B1059" s="842">
        <v>96.86</v>
      </c>
      <c r="C1059" s="843">
        <f t="shared" si="177"/>
        <v>1.2438590989860998E-2</v>
      </c>
      <c r="D1059" s="842">
        <v>36.28</v>
      </c>
      <c r="E1059" s="843">
        <f t="shared" si="178"/>
        <v>1.4541387024608499E-2</v>
      </c>
      <c r="F1059" s="842">
        <v>24.31</v>
      </c>
      <c r="G1059" s="843">
        <f t="shared" si="178"/>
        <v>1.7154811715481166E-2</v>
      </c>
      <c r="H1059" s="842">
        <v>49.11</v>
      </c>
      <c r="I1059" s="843">
        <f t="shared" si="178"/>
        <v>2.0573566084788109E-2</v>
      </c>
      <c r="J1059" s="842">
        <v>78.12</v>
      </c>
      <c r="K1059" s="843">
        <f t="shared" si="179"/>
        <v>1.7982799061767141E-2</v>
      </c>
      <c r="L1059" s="842">
        <v>67.39</v>
      </c>
      <c r="M1059" s="843">
        <f t="shared" si="180"/>
        <v>1.7838561022744948E-3</v>
      </c>
      <c r="N1059" s="842">
        <v>64.33</v>
      </c>
      <c r="O1059" s="843">
        <f t="shared" si="181"/>
        <v>1.3390044108380517E-2</v>
      </c>
      <c r="P1059" s="844">
        <f t="shared" si="187"/>
        <v>1.3980722155308703E-2</v>
      </c>
      <c r="Q1059" s="830"/>
      <c r="R1059" s="845">
        <v>873.01</v>
      </c>
      <c r="S1059" s="846">
        <f t="shared" si="182"/>
        <v>-3.2062659597609233E-4</v>
      </c>
      <c r="T1059" s="845">
        <v>63.55</v>
      </c>
      <c r="U1059" s="846">
        <f t="shared" si="183"/>
        <v>1.5738117721109113E-4</v>
      </c>
      <c r="V1059" s="845">
        <v>100.9379</v>
      </c>
      <c r="W1059" s="846">
        <f t="shared" si="184"/>
        <v>1.2438589417218759E-2</v>
      </c>
      <c r="X1059" s="845">
        <v>29591.27</v>
      </c>
      <c r="Y1059" s="846">
        <f t="shared" si="185"/>
        <v>1.1201333539278435E-2</v>
      </c>
      <c r="Z1059" s="845">
        <v>3577.5904</v>
      </c>
      <c r="AA1059" s="846">
        <f t="shared" si="186"/>
        <v>5.6349552182604068E-3</v>
      </c>
      <c r="AB1059" s="843"/>
    </row>
    <row r="1060" spans="1:28" ht="14.4" x14ac:dyDescent="0.55000000000000004">
      <c r="A1060" s="857" t="s">
        <v>6219</v>
      </c>
      <c r="B1060" s="842">
        <v>95.67</v>
      </c>
      <c r="C1060" s="843">
        <f t="shared" si="177"/>
        <v>5.9936908517350673E-3</v>
      </c>
      <c r="D1060" s="842">
        <v>35.76</v>
      </c>
      <c r="E1060" s="843">
        <f t="shared" si="178"/>
        <v>-1.3962580284837545E-3</v>
      </c>
      <c r="F1060" s="842">
        <v>23.9</v>
      </c>
      <c r="G1060" s="843">
        <f t="shared" si="178"/>
        <v>1.2711864406779627E-2</v>
      </c>
      <c r="H1060" s="842">
        <v>48.12</v>
      </c>
      <c r="I1060" s="843">
        <f t="shared" si="178"/>
        <v>5.642633228839955E-3</v>
      </c>
      <c r="J1060" s="842">
        <v>76.739999999999995</v>
      </c>
      <c r="K1060" s="843">
        <f t="shared" si="179"/>
        <v>5.8985450255601979E-3</v>
      </c>
      <c r="L1060" s="842">
        <v>67.27</v>
      </c>
      <c r="M1060" s="843">
        <f t="shared" si="180"/>
        <v>-2.2248590922575584E-3</v>
      </c>
      <c r="N1060" s="842">
        <v>63.48</v>
      </c>
      <c r="O1060" s="843">
        <f t="shared" si="181"/>
        <v>1.4197823000472454E-3</v>
      </c>
      <c r="P1060" s="844">
        <f t="shared" si="187"/>
        <v>4.0064855274601118E-3</v>
      </c>
      <c r="Q1060" s="830"/>
      <c r="R1060" s="845">
        <v>873.29</v>
      </c>
      <c r="S1060" s="846">
        <f t="shared" si="182"/>
        <v>4.0094393658196559E-4</v>
      </c>
      <c r="T1060" s="845">
        <v>63.54</v>
      </c>
      <c r="U1060" s="846">
        <f t="shared" si="183"/>
        <v>1.5740594994495538E-4</v>
      </c>
      <c r="V1060" s="845">
        <v>99.697800000000001</v>
      </c>
      <c r="W1060" s="846">
        <f t="shared" si="184"/>
        <v>5.9937156799234614E-3</v>
      </c>
      <c r="X1060" s="845">
        <v>29263.48</v>
      </c>
      <c r="Y1060" s="846">
        <f t="shared" si="185"/>
        <v>-7.4533896048702974E-3</v>
      </c>
      <c r="Z1060" s="845">
        <v>3557.5437999999999</v>
      </c>
      <c r="AA1060" s="846">
        <f t="shared" si="186"/>
        <v>-6.7906208351851127E-3</v>
      </c>
      <c r="AB1060" s="843"/>
    </row>
    <row r="1061" spans="1:28" ht="14.4" x14ac:dyDescent="0.55000000000000004">
      <c r="A1061" s="857" t="s">
        <v>6220</v>
      </c>
      <c r="B1061" s="842">
        <v>95.1</v>
      </c>
      <c r="C1061" s="843">
        <f t="shared" si="177"/>
        <v>-1.1126130810024004E-2</v>
      </c>
      <c r="D1061" s="842">
        <v>35.81</v>
      </c>
      <c r="E1061" s="843">
        <f t="shared" si="178"/>
        <v>5.334081976417826E-3</v>
      </c>
      <c r="F1061" s="842">
        <v>23.6</v>
      </c>
      <c r="G1061" s="843">
        <f t="shared" si="178"/>
        <v>-1.5025041736226985E-2</v>
      </c>
      <c r="H1061" s="842">
        <v>47.85</v>
      </c>
      <c r="I1061" s="843">
        <f t="shared" si="178"/>
        <v>-9.7268211920529257E-3</v>
      </c>
      <c r="J1061" s="842">
        <v>76.290000000000006</v>
      </c>
      <c r="K1061" s="843">
        <f t="shared" si="179"/>
        <v>6.7300079176564331E-3</v>
      </c>
      <c r="L1061" s="842">
        <v>67.42</v>
      </c>
      <c r="M1061" s="843">
        <f t="shared" si="180"/>
        <v>-2.6627218934910379E-3</v>
      </c>
      <c r="N1061" s="842">
        <v>63.39</v>
      </c>
      <c r="O1061" s="843">
        <f t="shared" si="181"/>
        <v>1.5777847901543574E-4</v>
      </c>
      <c r="P1061" s="844">
        <f t="shared" si="187"/>
        <v>-3.7598353226721798E-3</v>
      </c>
      <c r="Q1061" s="830"/>
      <c r="R1061" s="845">
        <v>872.94</v>
      </c>
      <c r="S1061" s="846">
        <f t="shared" si="182"/>
        <v>-9.5646550256985874E-3</v>
      </c>
      <c r="T1061" s="845">
        <v>63.53</v>
      </c>
      <c r="U1061" s="846">
        <f t="shared" si="183"/>
        <v>-9.9735078697210655E-3</v>
      </c>
      <c r="V1061" s="845">
        <v>99.103800000000007</v>
      </c>
      <c r="W1061" s="846">
        <f t="shared" si="184"/>
        <v>-1.1125657062347583E-2</v>
      </c>
      <c r="X1061" s="845">
        <v>29483.23</v>
      </c>
      <c r="Y1061" s="846">
        <f t="shared" si="185"/>
        <v>1.5221604963853164E-3</v>
      </c>
      <c r="Z1061" s="845">
        <v>3581.8669</v>
      </c>
      <c r="AA1061" s="846">
        <f t="shared" si="186"/>
        <v>3.9458049804570461E-3</v>
      </c>
      <c r="AB1061" s="843"/>
    </row>
    <row r="1062" spans="1:28" ht="14.4" x14ac:dyDescent="0.55000000000000004">
      <c r="A1062" s="857" t="s">
        <v>6221</v>
      </c>
      <c r="B1062" s="842">
        <v>96.17</v>
      </c>
      <c r="C1062" s="843">
        <f t="shared" si="177"/>
        <v>-3.8780609695152402E-2</v>
      </c>
      <c r="D1062" s="842">
        <v>35.619999999999997</v>
      </c>
      <c r="E1062" s="843">
        <f t="shared" si="178"/>
        <v>-3.7817396002161163E-2</v>
      </c>
      <c r="F1062" s="842">
        <v>23.96</v>
      </c>
      <c r="G1062" s="843">
        <f t="shared" si="178"/>
        <v>-3.1919191919191903E-2</v>
      </c>
      <c r="H1062" s="842">
        <v>48.32</v>
      </c>
      <c r="I1062" s="843">
        <f t="shared" si="178"/>
        <v>-2.4035548374065852E-2</v>
      </c>
      <c r="J1062" s="842">
        <v>75.78</v>
      </c>
      <c r="K1062" s="843">
        <f t="shared" si="179"/>
        <v>-2.9581252401075675E-2</v>
      </c>
      <c r="L1062" s="842">
        <v>67.599999999999994</v>
      </c>
      <c r="M1062" s="843">
        <f t="shared" si="180"/>
        <v>-3.1796046977943249E-2</v>
      </c>
      <c r="N1062" s="842">
        <v>63.38</v>
      </c>
      <c r="O1062" s="843">
        <f t="shared" si="181"/>
        <v>-1.7973349860551657E-2</v>
      </c>
      <c r="P1062" s="844">
        <f t="shared" si="187"/>
        <v>-3.0271913604305985E-2</v>
      </c>
      <c r="Q1062" s="830"/>
      <c r="R1062" s="845">
        <v>881.37</v>
      </c>
      <c r="S1062" s="846">
        <f t="shared" si="182"/>
        <v>-1.9621583742116311E-2</v>
      </c>
      <c r="T1062" s="845">
        <v>64.17</v>
      </c>
      <c r="U1062" s="846">
        <f t="shared" si="183"/>
        <v>-1.9556913674560805E-2</v>
      </c>
      <c r="V1062" s="845">
        <v>100.2188</v>
      </c>
      <c r="W1062" s="846">
        <f t="shared" si="184"/>
        <v>-3.8781073102236552E-2</v>
      </c>
      <c r="X1062" s="845">
        <v>29438.42</v>
      </c>
      <c r="Y1062" s="846">
        <f t="shared" si="185"/>
        <v>-1.1581302976327423E-2</v>
      </c>
      <c r="Z1062" s="845">
        <v>3567.7891</v>
      </c>
      <c r="AA1062" s="846">
        <f t="shared" si="186"/>
        <v>-1.1564547279083293E-2</v>
      </c>
      <c r="AB1062" s="843"/>
    </row>
    <row r="1063" spans="1:28" ht="14.4" x14ac:dyDescent="0.55000000000000004">
      <c r="A1063" s="857" t="s">
        <v>6222</v>
      </c>
      <c r="B1063" s="842">
        <v>100.05</v>
      </c>
      <c r="C1063" s="843">
        <f t="shared" si="177"/>
        <v>-1.2144549763033252E-2</v>
      </c>
      <c r="D1063" s="842">
        <v>37.020000000000003</v>
      </c>
      <c r="E1063" s="843">
        <f t="shared" si="178"/>
        <v>-1.0689470871191875E-2</v>
      </c>
      <c r="F1063" s="842">
        <v>24.75</v>
      </c>
      <c r="G1063" s="843">
        <f t="shared" si="178"/>
        <v>5.2802599512591364E-3</v>
      </c>
      <c r="H1063" s="842">
        <v>49.51</v>
      </c>
      <c r="I1063" s="843">
        <f t="shared" si="178"/>
        <v>-3.6224592473335093E-3</v>
      </c>
      <c r="J1063" s="842">
        <v>78.09</v>
      </c>
      <c r="K1063" s="843">
        <f t="shared" si="179"/>
        <v>5.2780638516991552E-3</v>
      </c>
      <c r="L1063" s="842">
        <v>69.819999999999993</v>
      </c>
      <c r="M1063" s="843">
        <f t="shared" si="180"/>
        <v>-8.8018171493470243E-3</v>
      </c>
      <c r="N1063" s="842">
        <v>64.540000000000006</v>
      </c>
      <c r="O1063" s="843">
        <f t="shared" si="181"/>
        <v>1.22333751568382E-2</v>
      </c>
      <c r="P1063" s="844">
        <f t="shared" si="187"/>
        <v>-1.7809425815870242E-3</v>
      </c>
      <c r="Q1063" s="830"/>
      <c r="R1063" s="845">
        <v>899.01</v>
      </c>
      <c r="S1063" s="846">
        <f t="shared" si="182"/>
        <v>-2.0024417362488833E-2</v>
      </c>
      <c r="T1063" s="845">
        <v>65.45</v>
      </c>
      <c r="U1063" s="846">
        <f t="shared" si="183"/>
        <v>-1.9622528460155775E-2</v>
      </c>
      <c r="V1063" s="845">
        <v>104.26220000000001</v>
      </c>
      <c r="W1063" s="846">
        <f t="shared" si="184"/>
        <v>-1.2144697945880245E-2</v>
      </c>
      <c r="X1063" s="845">
        <v>29783.35</v>
      </c>
      <c r="Y1063" s="846">
        <f t="shared" si="185"/>
        <v>-5.5788829813518959E-3</v>
      </c>
      <c r="Z1063" s="845">
        <v>3609.5317</v>
      </c>
      <c r="AA1063" s="846">
        <f t="shared" si="186"/>
        <v>-4.7908306238626519E-3</v>
      </c>
      <c r="AB1063" s="843"/>
    </row>
    <row r="1064" spans="1:28" ht="14.4" x14ac:dyDescent="0.55000000000000004">
      <c r="A1064" s="857" t="s">
        <v>6223</v>
      </c>
      <c r="B1064" s="842">
        <v>101.28</v>
      </c>
      <c r="C1064" s="843">
        <f t="shared" si="177"/>
        <v>-8.6139389193421456E-3</v>
      </c>
      <c r="D1064" s="842">
        <v>37.42</v>
      </c>
      <c r="E1064" s="843">
        <f t="shared" si="178"/>
        <v>2.6893523600439284E-2</v>
      </c>
      <c r="F1064" s="842">
        <v>24.62</v>
      </c>
      <c r="G1064" s="843">
        <f t="shared" si="178"/>
        <v>6.129955046996427E-3</v>
      </c>
      <c r="H1064" s="842">
        <v>49.69</v>
      </c>
      <c r="I1064" s="843">
        <f t="shared" si="178"/>
        <v>1.0986775178026376E-2</v>
      </c>
      <c r="J1064" s="842">
        <v>77.680000000000007</v>
      </c>
      <c r="K1064" s="843">
        <f t="shared" si="179"/>
        <v>1.6221873364730577E-2</v>
      </c>
      <c r="L1064" s="842">
        <v>70.44</v>
      </c>
      <c r="M1064" s="843">
        <f t="shared" si="180"/>
        <v>9.9474207758976085E-4</v>
      </c>
      <c r="N1064" s="842">
        <v>63.76</v>
      </c>
      <c r="O1064" s="843">
        <f t="shared" si="181"/>
        <v>7.5853350189631907E-3</v>
      </c>
      <c r="P1064" s="844">
        <f t="shared" si="187"/>
        <v>8.599752195343353E-3</v>
      </c>
      <c r="Q1064" s="830"/>
      <c r="R1064" s="845">
        <v>917.38</v>
      </c>
      <c r="S1064" s="846">
        <f t="shared" si="182"/>
        <v>7.1027873225675275E-3</v>
      </c>
      <c r="T1064" s="845">
        <v>66.760000000000005</v>
      </c>
      <c r="U1064" s="846">
        <f t="shared" si="183"/>
        <v>1.013769102738693E-2</v>
      </c>
      <c r="V1064" s="845">
        <v>105.544</v>
      </c>
      <c r="W1064" s="846">
        <f t="shared" si="184"/>
        <v>-8.6134828716619705E-3</v>
      </c>
      <c r="X1064" s="845">
        <v>29950.44</v>
      </c>
      <c r="Y1064" s="846">
        <f t="shared" si="185"/>
        <v>1.5964485524160299E-2</v>
      </c>
      <c r="Z1064" s="845">
        <v>3626.9076</v>
      </c>
      <c r="AA1064" s="846">
        <f t="shared" si="186"/>
        <v>1.1646391151731716E-2</v>
      </c>
      <c r="AB1064" s="843"/>
    </row>
    <row r="1065" spans="1:28" ht="14.4" x14ac:dyDescent="0.55000000000000004">
      <c r="A1065" s="857" t="s">
        <v>6224</v>
      </c>
      <c r="B1065" s="842">
        <v>102.16</v>
      </c>
      <c r="C1065" s="843">
        <f t="shared" si="177"/>
        <v>3.4846029173419835E-2</v>
      </c>
      <c r="D1065" s="842">
        <v>36.44</v>
      </c>
      <c r="E1065" s="843">
        <f t="shared" si="178"/>
        <v>4.0845472722079501E-2</v>
      </c>
      <c r="F1065" s="842">
        <v>24.47</v>
      </c>
      <c r="G1065" s="843">
        <f t="shared" si="178"/>
        <v>2.5136154168412084E-2</v>
      </c>
      <c r="H1065" s="842">
        <v>49.15</v>
      </c>
      <c r="I1065" s="843">
        <f t="shared" si="178"/>
        <v>2.7812630698452523E-2</v>
      </c>
      <c r="J1065" s="842">
        <v>76.44</v>
      </c>
      <c r="K1065" s="843">
        <f t="shared" si="179"/>
        <v>2.2335161160893513E-2</v>
      </c>
      <c r="L1065" s="842">
        <v>70.37</v>
      </c>
      <c r="M1065" s="843">
        <f t="shared" si="180"/>
        <v>1.0192362905541374E-2</v>
      </c>
      <c r="N1065" s="842">
        <v>63.28</v>
      </c>
      <c r="O1065" s="843">
        <f t="shared" si="181"/>
        <v>4.1646090534979363E-2</v>
      </c>
      <c r="P1065" s="844">
        <f t="shared" si="187"/>
        <v>2.8973414480539743E-2</v>
      </c>
      <c r="Q1065" s="830"/>
      <c r="R1065" s="845">
        <v>910.91</v>
      </c>
      <c r="S1065" s="846">
        <f t="shared" si="182"/>
        <v>9.766101319144127E-3</v>
      </c>
      <c r="T1065" s="845">
        <v>66.09</v>
      </c>
      <c r="U1065" s="846">
        <f t="shared" si="183"/>
        <v>9.9327628361858267E-3</v>
      </c>
      <c r="V1065" s="845">
        <v>106.461</v>
      </c>
      <c r="W1065" s="846">
        <f t="shared" si="184"/>
        <v>3.4845766076118778E-2</v>
      </c>
      <c r="X1065" s="845">
        <v>29479.81</v>
      </c>
      <c r="Y1065" s="846">
        <f t="shared" si="185"/>
        <v>1.3742698202933612E-2</v>
      </c>
      <c r="Z1065" s="845">
        <v>3585.1534999999999</v>
      </c>
      <c r="AA1065" s="846">
        <f t="shared" si="186"/>
        <v>1.3611498640306197E-2</v>
      </c>
      <c r="AB1065" s="843"/>
    </row>
    <row r="1066" spans="1:28" ht="14.4" x14ac:dyDescent="0.55000000000000004">
      <c r="A1066" s="857" t="s">
        <v>6225</v>
      </c>
      <c r="B1066" s="842">
        <v>98.72</v>
      </c>
      <c r="C1066" s="843">
        <f t="shared" si="177"/>
        <v>-2.0051618026603046E-2</v>
      </c>
      <c r="D1066" s="842">
        <v>35.01</v>
      </c>
      <c r="E1066" s="843">
        <f t="shared" si="178"/>
        <v>-2.8579356270810208E-2</v>
      </c>
      <c r="F1066" s="842">
        <v>23.87</v>
      </c>
      <c r="G1066" s="843">
        <f t="shared" si="178"/>
        <v>-3.125E-2</v>
      </c>
      <c r="H1066" s="842">
        <v>47.82</v>
      </c>
      <c r="I1066" s="843">
        <f t="shared" si="178"/>
        <v>-4.9682034976152645E-2</v>
      </c>
      <c r="J1066" s="842">
        <v>74.77</v>
      </c>
      <c r="K1066" s="843">
        <f t="shared" si="179"/>
        <v>-3.5474716202270384E-2</v>
      </c>
      <c r="L1066" s="842">
        <v>69.66</v>
      </c>
      <c r="M1066" s="843">
        <f t="shared" si="180"/>
        <v>-4.2474226804123716E-2</v>
      </c>
      <c r="N1066" s="842">
        <v>60.75</v>
      </c>
      <c r="O1066" s="843">
        <f t="shared" si="181"/>
        <v>-4.4510852469329953E-2</v>
      </c>
      <c r="P1066" s="844">
        <f t="shared" si="187"/>
        <v>-3.6003257821327135E-2</v>
      </c>
      <c r="Q1066" s="830"/>
      <c r="R1066" s="845">
        <v>902.1</v>
      </c>
      <c r="S1066" s="846">
        <f t="shared" si="182"/>
        <v>-1.645242534262259E-2</v>
      </c>
      <c r="T1066" s="845">
        <v>65.44</v>
      </c>
      <c r="U1066" s="846">
        <f t="shared" si="183"/>
        <v>-1.6087806344910693E-2</v>
      </c>
      <c r="V1066" s="845">
        <v>102.8762</v>
      </c>
      <c r="W1066" s="846">
        <f t="shared" si="184"/>
        <v>-2.0051209168879813E-2</v>
      </c>
      <c r="X1066" s="845">
        <v>29080.17</v>
      </c>
      <c r="Y1066" s="846">
        <f t="shared" si="185"/>
        <v>-1.0798829701578083E-2</v>
      </c>
      <c r="Z1066" s="845">
        <v>3537.0095000000001</v>
      </c>
      <c r="AA1066" s="846">
        <f t="shared" si="186"/>
        <v>-9.9788101886202352E-3</v>
      </c>
      <c r="AB1066" s="843"/>
    </row>
    <row r="1067" spans="1:28" ht="14.4" x14ac:dyDescent="0.55000000000000004">
      <c r="A1067" s="857" t="s">
        <v>6226</v>
      </c>
      <c r="B1067" s="842">
        <v>100.74</v>
      </c>
      <c r="C1067" s="843">
        <f t="shared" si="177"/>
        <v>-1.6691068814055687E-2</v>
      </c>
      <c r="D1067" s="842">
        <v>36.04</v>
      </c>
      <c r="E1067" s="843">
        <f t="shared" si="178"/>
        <v>-6.3413289219741431E-3</v>
      </c>
      <c r="F1067" s="842">
        <v>24.64</v>
      </c>
      <c r="G1067" s="843">
        <f t="shared" si="178"/>
        <v>-1.7151974471479869E-2</v>
      </c>
      <c r="H1067" s="842">
        <v>50.32</v>
      </c>
      <c r="I1067" s="843">
        <f t="shared" si="178"/>
        <v>-2.196307094266281E-2</v>
      </c>
      <c r="J1067" s="842">
        <v>77.52</v>
      </c>
      <c r="K1067" s="843">
        <f t="shared" si="179"/>
        <v>-6.4457908985426915E-4</v>
      </c>
      <c r="L1067" s="842">
        <v>72.75</v>
      </c>
      <c r="M1067" s="843">
        <f t="shared" si="180"/>
        <v>-2.6625635536526526E-2</v>
      </c>
      <c r="N1067" s="842">
        <v>63.58</v>
      </c>
      <c r="O1067" s="843">
        <f t="shared" si="181"/>
        <v>-1.988592569754899E-2</v>
      </c>
      <c r="P1067" s="844">
        <f t="shared" si="187"/>
        <v>-1.5614797639157471E-2</v>
      </c>
      <c r="Q1067" s="830"/>
      <c r="R1067" s="845">
        <v>917.19</v>
      </c>
      <c r="S1067" s="846">
        <f t="shared" si="182"/>
        <v>1.1024034578359654E-3</v>
      </c>
      <c r="T1067" s="845">
        <v>66.510000000000005</v>
      </c>
      <c r="U1067" s="846">
        <f t="shared" si="183"/>
        <v>3.7730153939028455E-3</v>
      </c>
      <c r="V1067" s="845">
        <v>104.9812</v>
      </c>
      <c r="W1067" s="846">
        <f t="shared" si="184"/>
        <v>-1.6691144514214606E-2</v>
      </c>
      <c r="X1067" s="845">
        <v>29397.63</v>
      </c>
      <c r="Y1067" s="846">
        <f t="shared" si="185"/>
        <v>-7.916135865226881E-4</v>
      </c>
      <c r="Z1067" s="845">
        <v>3572.6604000000002</v>
      </c>
      <c r="AA1067" s="846">
        <f t="shared" si="186"/>
        <v>7.6511202222311336E-3</v>
      </c>
      <c r="AB1067" s="843"/>
    </row>
    <row r="1068" spans="1:28" ht="14.4" x14ac:dyDescent="0.55000000000000004">
      <c r="A1068" s="857" t="s">
        <v>6227</v>
      </c>
      <c r="B1068" s="842">
        <v>102.45</v>
      </c>
      <c r="C1068" s="843">
        <f t="shared" si="177"/>
        <v>4.765313426730744E-2</v>
      </c>
      <c r="D1068" s="842">
        <v>36.270000000000003</v>
      </c>
      <c r="E1068" s="843">
        <f t="shared" si="178"/>
        <v>8.7882423515296848E-2</v>
      </c>
      <c r="F1068" s="842">
        <v>25.07</v>
      </c>
      <c r="G1068" s="843">
        <f t="shared" si="178"/>
        <v>3.9817503110742392E-2</v>
      </c>
      <c r="H1068" s="842">
        <v>51.45</v>
      </c>
      <c r="I1068" s="843">
        <f t="shared" si="178"/>
        <v>9.5380029806259481E-2</v>
      </c>
      <c r="J1068" s="842">
        <v>77.569999999999993</v>
      </c>
      <c r="K1068" s="843">
        <f t="shared" si="179"/>
        <v>5.5374149659863869E-2</v>
      </c>
      <c r="L1068" s="842">
        <v>74.739999999999995</v>
      </c>
      <c r="M1068" s="843">
        <f t="shared" si="180"/>
        <v>5.2676056338028188E-2</v>
      </c>
      <c r="N1068" s="842">
        <v>64.87</v>
      </c>
      <c r="O1068" s="843">
        <f t="shared" si="181"/>
        <v>5.0866677466385957E-2</v>
      </c>
      <c r="P1068" s="844">
        <f t="shared" si="187"/>
        <v>6.1378567737697738E-2</v>
      </c>
      <c r="Q1068" s="830"/>
      <c r="R1068" s="845">
        <v>916.18</v>
      </c>
      <c r="S1068" s="846">
        <f t="shared" si="182"/>
        <v>1.928019135562109E-2</v>
      </c>
      <c r="T1068" s="845">
        <v>66.260000000000005</v>
      </c>
      <c r="U1068" s="846">
        <f t="shared" si="183"/>
        <v>1.4390691977954839E-2</v>
      </c>
      <c r="V1068" s="845">
        <v>106.7632</v>
      </c>
      <c r="W1068" s="846">
        <f t="shared" si="184"/>
        <v>4.7653252475296171E-2</v>
      </c>
      <c r="X1068" s="845">
        <v>29420.92</v>
      </c>
      <c r="Y1068" s="846">
        <f t="shared" si="185"/>
        <v>9.0181175164114613E-3</v>
      </c>
      <c r="Z1068" s="845">
        <v>3545.5331000000001</v>
      </c>
      <c r="AA1068" s="846">
        <f t="shared" si="186"/>
        <v>-1.3987609743012497E-3</v>
      </c>
      <c r="AB1068" s="843"/>
    </row>
    <row r="1069" spans="1:28" ht="14.4" x14ac:dyDescent="0.55000000000000004">
      <c r="A1069" s="857" t="s">
        <v>6228</v>
      </c>
      <c r="B1069" s="842">
        <v>97.79</v>
      </c>
      <c r="C1069" s="843">
        <f t="shared" si="177"/>
        <v>4.4318667236223908E-2</v>
      </c>
      <c r="D1069" s="842">
        <v>33.340000000000003</v>
      </c>
      <c r="E1069" s="843">
        <f t="shared" si="178"/>
        <v>8.9898659692710048E-2</v>
      </c>
      <c r="F1069" s="842">
        <v>24.11</v>
      </c>
      <c r="G1069" s="843">
        <f t="shared" si="178"/>
        <v>3.8329026701119817E-2</v>
      </c>
      <c r="H1069" s="842">
        <v>46.97</v>
      </c>
      <c r="I1069" s="843">
        <f t="shared" si="178"/>
        <v>7.3599999999999888E-2</v>
      </c>
      <c r="J1069" s="842">
        <v>73.5</v>
      </c>
      <c r="K1069" s="843">
        <f t="shared" si="179"/>
        <v>3.5065483734685099E-2</v>
      </c>
      <c r="L1069" s="842">
        <v>71</v>
      </c>
      <c r="M1069" s="843">
        <f t="shared" si="180"/>
        <v>5.4507648893509675E-2</v>
      </c>
      <c r="N1069" s="842">
        <v>61.73</v>
      </c>
      <c r="O1069" s="843">
        <f t="shared" si="181"/>
        <v>7.9007166579269317E-2</v>
      </c>
      <c r="P1069" s="844">
        <f t="shared" si="187"/>
        <v>5.9246664691073966E-2</v>
      </c>
      <c r="Q1069" s="830"/>
      <c r="R1069" s="845">
        <v>898.85</v>
      </c>
      <c r="S1069" s="846">
        <f t="shared" si="182"/>
        <v>1.9381691163128378E-2</v>
      </c>
      <c r="T1069" s="845">
        <v>65.319999999999993</v>
      </c>
      <c r="U1069" s="846">
        <f t="shared" si="183"/>
        <v>1.855605800717286E-2</v>
      </c>
      <c r="V1069" s="845">
        <v>101.907</v>
      </c>
      <c r="W1069" s="846">
        <f t="shared" si="184"/>
        <v>4.4318488086466434E-2</v>
      </c>
      <c r="X1069" s="845">
        <v>29157.97</v>
      </c>
      <c r="Y1069" s="846">
        <f t="shared" si="185"/>
        <v>2.9465742107232851E-2</v>
      </c>
      <c r="Z1069" s="845">
        <v>3550.4994000000002</v>
      </c>
      <c r="AA1069" s="846">
        <f t="shared" si="186"/>
        <v>1.1700710356206789E-2</v>
      </c>
      <c r="AB1069" s="843"/>
    </row>
    <row r="1070" spans="1:28" ht="14.4" x14ac:dyDescent="0.55000000000000004">
      <c r="A1070" s="857" t="s">
        <v>6229</v>
      </c>
      <c r="B1070" s="842">
        <v>93.64</v>
      </c>
      <c r="C1070" s="843">
        <f t="shared" si="177"/>
        <v>-1.4523258261418648E-2</v>
      </c>
      <c r="D1070" s="842">
        <v>30.59</v>
      </c>
      <c r="E1070" s="843">
        <f t="shared" si="178"/>
        <v>-2.6726057906458767E-2</v>
      </c>
      <c r="F1070" s="842">
        <v>23.22</v>
      </c>
      <c r="G1070" s="843">
        <f t="shared" si="178"/>
        <v>-1.8181818181818188E-2</v>
      </c>
      <c r="H1070" s="842">
        <v>43.75</v>
      </c>
      <c r="I1070" s="843">
        <f t="shared" si="178"/>
        <v>-2.7561680373416331E-2</v>
      </c>
      <c r="J1070" s="842">
        <v>71.010000000000005</v>
      </c>
      <c r="K1070" s="843">
        <f t="shared" si="179"/>
        <v>-1.0175634234736441E-2</v>
      </c>
      <c r="L1070" s="842">
        <v>67.33</v>
      </c>
      <c r="M1070" s="843">
        <f t="shared" si="180"/>
        <v>-1.159718144450983E-2</v>
      </c>
      <c r="N1070" s="842">
        <v>57.21</v>
      </c>
      <c r="O1070" s="843">
        <f t="shared" si="181"/>
        <v>-2.3553507424475262E-2</v>
      </c>
      <c r="P1070" s="844">
        <f t="shared" si="187"/>
        <v>-1.8902733975261925E-2</v>
      </c>
      <c r="Q1070" s="830"/>
      <c r="R1070" s="845">
        <v>881.76</v>
      </c>
      <c r="S1070" s="846">
        <f t="shared" si="182"/>
        <v>-4.1561257679798569E-3</v>
      </c>
      <c r="T1070" s="845">
        <v>64.13</v>
      </c>
      <c r="U1070" s="846">
        <f t="shared" si="183"/>
        <v>-2.178310253617588E-3</v>
      </c>
      <c r="V1070" s="845">
        <v>97.582300000000004</v>
      </c>
      <c r="W1070" s="846">
        <f t="shared" si="184"/>
        <v>-1.4523269952454121E-2</v>
      </c>
      <c r="X1070" s="845">
        <v>28323.4</v>
      </c>
      <c r="Y1070" s="846">
        <f t="shared" si="185"/>
        <v>-2.3522217893651165E-3</v>
      </c>
      <c r="Z1070" s="845">
        <v>3509.4364999999998</v>
      </c>
      <c r="AA1070" s="846">
        <f t="shared" si="186"/>
        <v>-2.8802594859989039E-4</v>
      </c>
      <c r="AB1070" s="843"/>
    </row>
    <row r="1071" spans="1:28" ht="14.4" x14ac:dyDescent="0.55000000000000004">
      <c r="A1071" s="857" t="s">
        <v>6230</v>
      </c>
      <c r="B1071" s="842">
        <v>95.02</v>
      </c>
      <c r="C1071" s="843">
        <f t="shared" si="177"/>
        <v>-5.9629668375353884E-3</v>
      </c>
      <c r="D1071" s="842">
        <v>31.43</v>
      </c>
      <c r="E1071" s="843">
        <f t="shared" si="178"/>
        <v>3.5926170072511532E-2</v>
      </c>
      <c r="F1071" s="842">
        <v>23.65</v>
      </c>
      <c r="G1071" s="843">
        <f t="shared" si="178"/>
        <v>0</v>
      </c>
      <c r="H1071" s="842">
        <v>44.99</v>
      </c>
      <c r="I1071" s="843">
        <f t="shared" si="178"/>
        <v>1.8334087822544198E-2</v>
      </c>
      <c r="J1071" s="842">
        <v>71.739999999999995</v>
      </c>
      <c r="K1071" s="843">
        <f t="shared" si="179"/>
        <v>-1.0755653612796512E-2</v>
      </c>
      <c r="L1071" s="842">
        <v>68.12</v>
      </c>
      <c r="M1071" s="843">
        <f t="shared" si="180"/>
        <v>1.2786202795123325E-2</v>
      </c>
      <c r="N1071" s="842">
        <v>58.59</v>
      </c>
      <c r="O1071" s="843">
        <f t="shared" si="181"/>
        <v>1.1567679558011079E-2</v>
      </c>
      <c r="P1071" s="844">
        <f t="shared" si="187"/>
        <v>8.842217113979747E-3</v>
      </c>
      <c r="Q1071" s="830"/>
      <c r="R1071" s="845">
        <v>885.44</v>
      </c>
      <c r="S1071" s="846">
        <f t="shared" si="182"/>
        <v>8.8299969237430886E-3</v>
      </c>
      <c r="T1071" s="845">
        <v>64.27</v>
      </c>
      <c r="U1071" s="846">
        <f t="shared" si="183"/>
        <v>8.9481946624803133E-3</v>
      </c>
      <c r="V1071" s="845">
        <v>99.020399999999995</v>
      </c>
      <c r="W1071" s="846">
        <f t="shared" si="184"/>
        <v>-5.9629933021733139E-3</v>
      </c>
      <c r="X1071" s="845">
        <v>28390.18</v>
      </c>
      <c r="Y1071" s="846">
        <f t="shared" si="185"/>
        <v>1.9481708696529543E-2</v>
      </c>
      <c r="Z1071" s="845">
        <v>3510.4476</v>
      </c>
      <c r="AA1071" s="846">
        <f t="shared" si="186"/>
        <v>1.9460352564593109E-2</v>
      </c>
      <c r="AB1071" s="843"/>
    </row>
    <row r="1072" spans="1:28" ht="14.4" x14ac:dyDescent="0.55000000000000004">
      <c r="A1072" s="857" t="s">
        <v>6231</v>
      </c>
      <c r="B1072" s="842">
        <v>95.59</v>
      </c>
      <c r="C1072" s="843">
        <f t="shared" si="177"/>
        <v>-2.0895216634231217E-2</v>
      </c>
      <c r="D1072" s="842">
        <v>30.34</v>
      </c>
      <c r="E1072" s="843">
        <f t="shared" si="178"/>
        <v>-4.6511627906976716E-2</v>
      </c>
      <c r="F1072" s="842">
        <v>23.65</v>
      </c>
      <c r="G1072" s="843">
        <f t="shared" si="178"/>
        <v>-1.5813566375364241E-2</v>
      </c>
      <c r="H1072" s="842">
        <v>44.18</v>
      </c>
      <c r="I1072" s="843">
        <f t="shared" si="178"/>
        <v>-3.4316939890710385E-2</v>
      </c>
      <c r="J1072" s="842">
        <v>72.52</v>
      </c>
      <c r="K1072" s="843">
        <f t="shared" si="179"/>
        <v>-1.5610153386724668E-2</v>
      </c>
      <c r="L1072" s="842">
        <v>67.260000000000005</v>
      </c>
      <c r="M1072" s="843">
        <f t="shared" si="180"/>
        <v>-2.6064291920069427E-2</v>
      </c>
      <c r="N1072" s="842">
        <v>57.92</v>
      </c>
      <c r="O1072" s="843">
        <f t="shared" si="181"/>
        <v>-1.551456645405902E-3</v>
      </c>
      <c r="P1072" s="844">
        <f t="shared" si="187"/>
        <v>-2.2966178965640367E-2</v>
      </c>
      <c r="Q1072" s="830"/>
      <c r="R1072" s="845">
        <v>877.69</v>
      </c>
      <c r="S1072" s="846">
        <f t="shared" si="182"/>
        <v>-1.3587628402526364E-2</v>
      </c>
      <c r="T1072" s="845">
        <v>63.7</v>
      </c>
      <c r="U1072" s="846">
        <f t="shared" si="183"/>
        <v>-1.4999226843977143E-2</v>
      </c>
      <c r="V1072" s="845">
        <v>99.614400000000003</v>
      </c>
      <c r="W1072" s="846">
        <f t="shared" si="184"/>
        <v>-2.0895358083276694E-2</v>
      </c>
      <c r="X1072" s="845">
        <v>27847.66</v>
      </c>
      <c r="Y1072" s="846">
        <f t="shared" si="185"/>
        <v>1.33780785537716E-2</v>
      </c>
      <c r="Z1072" s="845">
        <v>3443.4371000000001</v>
      </c>
      <c r="AA1072" s="846">
        <f t="shared" si="186"/>
        <v>2.2087374735984433E-2</v>
      </c>
      <c r="AB1072" s="843"/>
    </row>
    <row r="1073" spans="1:28" ht="14.4" x14ac:dyDescent="0.55000000000000004">
      <c r="A1073" s="857" t="s">
        <v>6232</v>
      </c>
      <c r="B1073" s="842">
        <v>97.63</v>
      </c>
      <c r="C1073" s="843">
        <f t="shared" si="177"/>
        <v>2.2196628625274828E-2</v>
      </c>
      <c r="D1073" s="842">
        <v>31.82</v>
      </c>
      <c r="E1073" s="843">
        <f t="shared" si="178"/>
        <v>3.0106830689543562E-2</v>
      </c>
      <c r="F1073" s="842">
        <v>24.03</v>
      </c>
      <c r="G1073" s="843">
        <f t="shared" si="178"/>
        <v>2.4733475479744138E-2</v>
      </c>
      <c r="H1073" s="842">
        <v>45.75</v>
      </c>
      <c r="I1073" s="843">
        <f t="shared" si="178"/>
        <v>8.8202866593163343E-3</v>
      </c>
      <c r="J1073" s="842">
        <v>73.67</v>
      </c>
      <c r="K1073" s="843">
        <f t="shared" si="179"/>
        <v>3.0493775353196417E-2</v>
      </c>
      <c r="L1073" s="842">
        <v>69.06</v>
      </c>
      <c r="M1073" s="843">
        <f t="shared" si="180"/>
        <v>2.0540860056154964E-2</v>
      </c>
      <c r="N1073" s="842">
        <v>58.01</v>
      </c>
      <c r="O1073" s="843">
        <f t="shared" si="181"/>
        <v>1.7362329007365673E-2</v>
      </c>
      <c r="P1073" s="844">
        <f t="shared" si="187"/>
        <v>2.2036312267227989E-2</v>
      </c>
      <c r="Q1073" s="830"/>
      <c r="R1073" s="845">
        <v>889.78</v>
      </c>
      <c r="S1073" s="846">
        <f t="shared" si="182"/>
        <v>1.508168294241119E-2</v>
      </c>
      <c r="T1073" s="845">
        <v>64.67</v>
      </c>
      <c r="U1073" s="846">
        <f t="shared" si="183"/>
        <v>1.4431372549019716E-2</v>
      </c>
      <c r="V1073" s="845">
        <v>101.7403</v>
      </c>
      <c r="W1073" s="846">
        <f t="shared" si="184"/>
        <v>2.219607740696139E-2</v>
      </c>
      <c r="X1073" s="845">
        <v>27480.03</v>
      </c>
      <c r="Y1073" s="846">
        <f t="shared" si="185"/>
        <v>2.0612032289633708E-2</v>
      </c>
      <c r="Z1073" s="845">
        <v>3369.0241999999998</v>
      </c>
      <c r="AA1073" s="846">
        <f t="shared" si="186"/>
        <v>1.7757858988773467E-2</v>
      </c>
      <c r="AB1073" s="843"/>
    </row>
    <row r="1074" spans="1:28" ht="14.4" x14ac:dyDescent="0.55000000000000004">
      <c r="A1074" s="857" t="s">
        <v>6233</v>
      </c>
      <c r="B1074" s="842">
        <v>95.51</v>
      </c>
      <c r="C1074" s="843">
        <f t="shared" si="177"/>
        <v>4.1889385840514937E-2</v>
      </c>
      <c r="D1074" s="842">
        <v>30.89</v>
      </c>
      <c r="E1074" s="843">
        <f t="shared" si="178"/>
        <v>5.8601782042494888E-2</v>
      </c>
      <c r="F1074" s="842">
        <v>23.45</v>
      </c>
      <c r="G1074" s="843">
        <f t="shared" si="178"/>
        <v>2.089682194166298E-2</v>
      </c>
      <c r="H1074" s="842">
        <v>45.35</v>
      </c>
      <c r="I1074" s="843">
        <f t="shared" si="178"/>
        <v>2.0477047704770657E-2</v>
      </c>
      <c r="J1074" s="842">
        <v>71.489999999999995</v>
      </c>
      <c r="K1074" s="843">
        <f t="shared" si="179"/>
        <v>3.5486674391656869E-2</v>
      </c>
      <c r="L1074" s="842">
        <v>67.67</v>
      </c>
      <c r="M1074" s="843">
        <f t="shared" si="180"/>
        <v>2.9671332927571514E-2</v>
      </c>
      <c r="N1074" s="842">
        <v>57.02</v>
      </c>
      <c r="O1074" s="843">
        <f t="shared" si="181"/>
        <v>1.7487508922198414E-2</v>
      </c>
      <c r="P1074" s="844">
        <f t="shared" si="187"/>
        <v>3.2072936252981465E-2</v>
      </c>
      <c r="Q1074" s="830"/>
      <c r="R1074" s="845">
        <v>876.56</v>
      </c>
      <c r="S1074" s="846">
        <f t="shared" si="182"/>
        <v>2.1905639040768365E-2</v>
      </c>
      <c r="T1074" s="845">
        <v>63.75</v>
      </c>
      <c r="U1074" s="846">
        <f t="shared" si="183"/>
        <v>2.1962167361333718E-2</v>
      </c>
      <c r="V1074" s="845">
        <v>99.531099999999995</v>
      </c>
      <c r="W1074" s="846">
        <f t="shared" si="184"/>
        <v>4.1889721907601318E-2</v>
      </c>
      <c r="X1074" s="845">
        <v>26925.05</v>
      </c>
      <c r="Y1074" s="846">
        <f t="shared" si="185"/>
        <v>1.5978203883674658E-2</v>
      </c>
      <c r="Z1074" s="845">
        <v>3310.2413999999999</v>
      </c>
      <c r="AA1074" s="846">
        <f t="shared" si="186"/>
        <v>1.2318900257804355E-2</v>
      </c>
      <c r="AB1074" s="843"/>
    </row>
    <row r="1075" spans="1:28" ht="14.4" x14ac:dyDescent="0.55000000000000004">
      <c r="A1075" s="857" t="s">
        <v>6234</v>
      </c>
      <c r="B1075" s="842">
        <v>91.67</v>
      </c>
      <c r="C1075" s="843">
        <f t="shared" si="177"/>
        <v>-4.4526498696785266E-3</v>
      </c>
      <c r="D1075" s="842">
        <v>29.18</v>
      </c>
      <c r="E1075" s="843">
        <f t="shared" si="178"/>
        <v>7.5966850828728116E-3</v>
      </c>
      <c r="F1075" s="842">
        <v>22.97</v>
      </c>
      <c r="G1075" s="843">
        <f t="shared" si="178"/>
        <v>4.3554006968626879E-4</v>
      </c>
      <c r="H1075" s="842">
        <v>44.44</v>
      </c>
      <c r="I1075" s="843">
        <f t="shared" si="178"/>
        <v>-6.2611806797853164E-3</v>
      </c>
      <c r="J1075" s="842">
        <v>69.040000000000006</v>
      </c>
      <c r="K1075" s="843">
        <f t="shared" si="179"/>
        <v>3.1967451322292284E-3</v>
      </c>
      <c r="L1075" s="842">
        <v>65.72</v>
      </c>
      <c r="M1075" s="843">
        <f t="shared" si="180"/>
        <v>1.3571869216532972E-2</v>
      </c>
      <c r="N1075" s="842">
        <v>56.04</v>
      </c>
      <c r="O1075" s="843">
        <f t="shared" si="181"/>
        <v>-2.1367521367521292E-3</v>
      </c>
      <c r="P1075" s="844">
        <f t="shared" si="187"/>
        <v>1.7071795450150442E-3</v>
      </c>
      <c r="Q1075" s="830"/>
      <c r="R1075" s="845">
        <v>857.77</v>
      </c>
      <c r="S1075" s="846">
        <f t="shared" si="182"/>
        <v>-1.1387080043796405E-2</v>
      </c>
      <c r="T1075" s="845">
        <v>62.38</v>
      </c>
      <c r="U1075" s="846">
        <f t="shared" si="183"/>
        <v>-9.3695410512941724E-3</v>
      </c>
      <c r="V1075" s="845">
        <v>95.529399999999995</v>
      </c>
      <c r="W1075" s="846">
        <f t="shared" si="184"/>
        <v>-4.4520126807326976E-3</v>
      </c>
      <c r="X1075" s="845">
        <v>26501.601999999999</v>
      </c>
      <c r="Y1075" s="846">
        <f t="shared" si="185"/>
        <v>-5.908224243044935E-3</v>
      </c>
      <c r="Z1075" s="845">
        <v>3269.9591</v>
      </c>
      <c r="AA1075" s="846">
        <f t="shared" si="186"/>
        <v>-1.2130613796605294E-2</v>
      </c>
      <c r="AB1075" s="843"/>
    </row>
    <row r="1076" spans="1:28" ht="14.4" x14ac:dyDescent="0.55000000000000004">
      <c r="A1076" s="857" t="s">
        <v>6235</v>
      </c>
      <c r="B1076" s="842">
        <v>92.08</v>
      </c>
      <c r="C1076" s="843">
        <f t="shared" si="177"/>
        <v>-6.5810767073039012E-3</v>
      </c>
      <c r="D1076" s="842">
        <v>28.96</v>
      </c>
      <c r="E1076" s="843">
        <f t="shared" si="178"/>
        <v>0</v>
      </c>
      <c r="F1076" s="842">
        <v>22.96</v>
      </c>
      <c r="G1076" s="843">
        <f t="shared" si="178"/>
        <v>-9.4909404659188068E-3</v>
      </c>
      <c r="H1076" s="842">
        <v>44.72</v>
      </c>
      <c r="I1076" s="843">
        <f t="shared" si="178"/>
        <v>7.4341067808063599E-3</v>
      </c>
      <c r="J1076" s="842">
        <v>68.819999999999993</v>
      </c>
      <c r="K1076" s="843">
        <f t="shared" si="179"/>
        <v>-8.0714903430383345E-3</v>
      </c>
      <c r="L1076" s="842">
        <v>64.84</v>
      </c>
      <c r="M1076" s="843">
        <f t="shared" si="180"/>
        <v>-1.5420200462590294E-4</v>
      </c>
      <c r="N1076" s="842">
        <v>56.16</v>
      </c>
      <c r="O1076" s="843">
        <f t="shared" si="181"/>
        <v>1.5551537070524368E-2</v>
      </c>
      <c r="P1076" s="844">
        <f t="shared" si="187"/>
        <v>-1.8743795279374531E-4</v>
      </c>
      <c r="Q1076" s="830"/>
      <c r="R1076" s="845">
        <v>867.65</v>
      </c>
      <c r="S1076" s="846">
        <f t="shared" si="182"/>
        <v>2.6810580934439887E-3</v>
      </c>
      <c r="T1076" s="845">
        <v>62.97</v>
      </c>
      <c r="U1076" s="846">
        <f t="shared" si="183"/>
        <v>2.7070063694267787E-3</v>
      </c>
      <c r="V1076" s="845">
        <v>95.956599999999995</v>
      </c>
      <c r="W1076" s="846">
        <f t="shared" si="184"/>
        <v>-6.5812699355952686E-3</v>
      </c>
      <c r="X1076" s="845">
        <v>26659.11</v>
      </c>
      <c r="Y1076" s="846">
        <f t="shared" si="185"/>
        <v>5.2473703758868506E-3</v>
      </c>
      <c r="Z1076" s="845">
        <v>3310.1127999999999</v>
      </c>
      <c r="AA1076" s="846">
        <f t="shared" si="186"/>
        <v>1.1948967471198779E-2</v>
      </c>
      <c r="AB1076" s="843"/>
    </row>
    <row r="1077" spans="1:28" ht="14.4" x14ac:dyDescent="0.55000000000000004">
      <c r="A1077" s="857" t="s">
        <v>6236</v>
      </c>
      <c r="B1077" s="842">
        <v>92.69</v>
      </c>
      <c r="C1077" s="843">
        <f t="shared" si="177"/>
        <v>-4.5122076851756399E-2</v>
      </c>
      <c r="D1077" s="842">
        <v>28.96</v>
      </c>
      <c r="E1077" s="843">
        <f t="shared" si="178"/>
        <v>-5.0803015404785379E-2</v>
      </c>
      <c r="F1077" s="842">
        <v>23.18</v>
      </c>
      <c r="G1077" s="843">
        <f t="shared" si="178"/>
        <v>-4.4517724649629109E-2</v>
      </c>
      <c r="H1077" s="842">
        <v>44.39</v>
      </c>
      <c r="I1077" s="843">
        <f t="shared" si="178"/>
        <v>-5.85365853658536E-2</v>
      </c>
      <c r="J1077" s="842">
        <v>69.38</v>
      </c>
      <c r="K1077" s="843">
        <f t="shared" si="179"/>
        <v>-4.2770419426048645E-2</v>
      </c>
      <c r="L1077" s="842">
        <v>64.849999999999994</v>
      </c>
      <c r="M1077" s="843">
        <f t="shared" si="180"/>
        <v>-4.8701774974329037E-2</v>
      </c>
      <c r="N1077" s="842">
        <v>55.3</v>
      </c>
      <c r="O1077" s="843">
        <f t="shared" si="181"/>
        <v>-3.9763847890258885E-2</v>
      </c>
      <c r="P1077" s="844">
        <f t="shared" si="187"/>
        <v>-4.717363493752301E-2</v>
      </c>
      <c r="Q1077" s="830"/>
      <c r="R1077" s="845">
        <v>865.33</v>
      </c>
      <c r="S1077" s="846">
        <f t="shared" si="182"/>
        <v>-2.8461400278438798E-2</v>
      </c>
      <c r="T1077" s="845">
        <v>62.8</v>
      </c>
      <c r="U1077" s="846">
        <f t="shared" si="183"/>
        <v>-2.9066171923314954E-2</v>
      </c>
      <c r="V1077" s="845">
        <v>96.592299999999994</v>
      </c>
      <c r="W1077" s="846">
        <f t="shared" si="184"/>
        <v>-4.5122072981819361E-2</v>
      </c>
      <c r="X1077" s="845">
        <v>26519.95</v>
      </c>
      <c r="Y1077" s="846">
        <f t="shared" si="185"/>
        <v>-3.4345609523147136E-2</v>
      </c>
      <c r="Z1077" s="845">
        <v>3271.0273999999999</v>
      </c>
      <c r="AA1077" s="846">
        <f t="shared" si="186"/>
        <v>-3.5289925538336764E-2</v>
      </c>
      <c r="AB1077" s="859"/>
    </row>
    <row r="1078" spans="1:28" ht="14.4" x14ac:dyDescent="0.55000000000000004">
      <c r="A1078" s="857" t="s">
        <v>6237</v>
      </c>
      <c r="B1078" s="842">
        <v>97.07</v>
      </c>
      <c r="C1078" s="843">
        <f t="shared" si="177"/>
        <v>-4.2059909725072897E-3</v>
      </c>
      <c r="D1078" s="842">
        <v>30.51</v>
      </c>
      <c r="E1078" s="843">
        <f t="shared" si="178"/>
        <v>-2.9411764705882248E-3</v>
      </c>
      <c r="F1078" s="842">
        <v>24.26</v>
      </c>
      <c r="G1078" s="843">
        <f t="shared" si="178"/>
        <v>4.1237113402070591E-4</v>
      </c>
      <c r="H1078" s="842">
        <v>47.15</v>
      </c>
      <c r="I1078" s="843">
        <f t="shared" si="178"/>
        <v>-1.4217018607568521E-2</v>
      </c>
      <c r="J1078" s="842">
        <v>72.48</v>
      </c>
      <c r="K1078" s="843">
        <f t="shared" si="179"/>
        <v>-1.775308307358725E-2</v>
      </c>
      <c r="L1078" s="842">
        <v>68.17</v>
      </c>
      <c r="M1078" s="843">
        <f t="shared" si="180"/>
        <v>-1.1025678224285573E-2</v>
      </c>
      <c r="N1078" s="842">
        <v>57.59</v>
      </c>
      <c r="O1078" s="843">
        <f t="shared" si="181"/>
        <v>-1.0311050008592448E-2</v>
      </c>
      <c r="P1078" s="844">
        <f t="shared" si="187"/>
        <v>-8.5773751747298E-3</v>
      </c>
      <c r="Q1078" s="830"/>
      <c r="R1078" s="845">
        <v>890.68</v>
      </c>
      <c r="S1078" s="846">
        <f t="shared" si="182"/>
        <v>-1.4574317809816772E-3</v>
      </c>
      <c r="T1078" s="845">
        <v>64.680000000000007</v>
      </c>
      <c r="U1078" s="846">
        <f t="shared" si="183"/>
        <v>-7.724393635099025E-4</v>
      </c>
      <c r="V1078" s="845">
        <v>101.1567</v>
      </c>
      <c r="W1078" s="846">
        <f t="shared" si="184"/>
        <v>-4.206371082060234E-3</v>
      </c>
      <c r="X1078" s="845">
        <v>27463.19</v>
      </c>
      <c r="Y1078" s="846">
        <f t="shared" si="185"/>
        <v>-8.0255354992418981E-3</v>
      </c>
      <c r="Z1078" s="845">
        <v>3390.6844000000001</v>
      </c>
      <c r="AA1078" s="846">
        <f t="shared" si="186"/>
        <v>-3.0237859912949361E-3</v>
      </c>
      <c r="AB1078" s="832"/>
    </row>
    <row r="1079" spans="1:28" ht="14.4" x14ac:dyDescent="0.55000000000000004">
      <c r="A1079" s="857" t="s">
        <v>6238</v>
      </c>
      <c r="B1079" s="842">
        <v>97.48</v>
      </c>
      <c r="C1079" s="843">
        <f t="shared" si="177"/>
        <v>-2.149657078513556E-3</v>
      </c>
      <c r="D1079" s="842">
        <v>30.6</v>
      </c>
      <c r="E1079" s="843">
        <f t="shared" si="178"/>
        <v>3.5532994923857864E-2</v>
      </c>
      <c r="F1079" s="842">
        <v>24.25</v>
      </c>
      <c r="G1079" s="843">
        <f t="shared" si="178"/>
        <v>-2.46812011517894E-3</v>
      </c>
      <c r="H1079" s="842">
        <v>47.83</v>
      </c>
      <c r="I1079" s="843">
        <f t="shared" si="178"/>
        <v>1.7226712037430758E-2</v>
      </c>
      <c r="J1079" s="842">
        <v>73.790000000000006</v>
      </c>
      <c r="K1079" s="843">
        <f t="shared" si="179"/>
        <v>-1.8936832138509718E-3</v>
      </c>
      <c r="L1079" s="842">
        <v>68.930000000000007</v>
      </c>
      <c r="M1079" s="843">
        <f t="shared" si="180"/>
        <v>-3.9017341040461506E-3</v>
      </c>
      <c r="N1079" s="842">
        <v>58.19</v>
      </c>
      <c r="O1079" s="843">
        <f t="shared" si="181"/>
        <v>-8.3503749147921802E-3</v>
      </c>
      <c r="P1079" s="844">
        <f t="shared" si="187"/>
        <v>4.8565910764152608E-3</v>
      </c>
      <c r="Q1079" s="830"/>
      <c r="R1079" s="845">
        <v>891.98</v>
      </c>
      <c r="S1079" s="846">
        <f t="shared" si="182"/>
        <v>-1.9022468892667677E-3</v>
      </c>
      <c r="T1079" s="845">
        <v>64.73</v>
      </c>
      <c r="U1079" s="846">
        <f t="shared" si="183"/>
        <v>-3.0888030888021056E-4</v>
      </c>
      <c r="V1079" s="845">
        <v>101.584</v>
      </c>
      <c r="W1079" s="846">
        <f t="shared" si="184"/>
        <v>-2.1492532621892879E-3</v>
      </c>
      <c r="X1079" s="845">
        <v>27685.38</v>
      </c>
      <c r="Y1079" s="846">
        <f t="shared" si="185"/>
        <v>-2.2946070963103971E-2</v>
      </c>
      <c r="Z1079" s="845">
        <v>3400.9681999999998</v>
      </c>
      <c r="AA1079" s="846">
        <f t="shared" si="186"/>
        <v>-1.8589264714777176E-2</v>
      </c>
      <c r="AB1079" s="853"/>
    </row>
    <row r="1080" spans="1:28" ht="14.4" x14ac:dyDescent="0.55000000000000004">
      <c r="A1080" s="857" t="s">
        <v>6239</v>
      </c>
      <c r="B1080" s="842">
        <v>97.69</v>
      </c>
      <c r="C1080" s="843">
        <f t="shared" si="177"/>
        <v>1.0865066225165476E-2</v>
      </c>
      <c r="D1080" s="842">
        <v>29.55</v>
      </c>
      <c r="E1080" s="843">
        <f t="shared" si="178"/>
        <v>5.1020408163267028E-3</v>
      </c>
      <c r="F1080" s="842">
        <v>24.31</v>
      </c>
      <c r="G1080" s="843">
        <f t="shared" si="178"/>
        <v>1.1231281198003318E-2</v>
      </c>
      <c r="H1080" s="842">
        <v>47.02</v>
      </c>
      <c r="I1080" s="843">
        <f t="shared" si="178"/>
        <v>-3.3912674862228709E-3</v>
      </c>
      <c r="J1080" s="842">
        <v>73.930000000000007</v>
      </c>
      <c r="K1080" s="843">
        <f t="shared" si="179"/>
        <v>-2.7045300878969503E-4</v>
      </c>
      <c r="L1080" s="842">
        <v>69.2</v>
      </c>
      <c r="M1080" s="843">
        <f t="shared" si="180"/>
        <v>9.7767401138186827E-3</v>
      </c>
      <c r="N1080" s="842">
        <v>58.68</v>
      </c>
      <c r="O1080" s="843">
        <f t="shared" si="181"/>
        <v>7.2090628218330899E-3</v>
      </c>
      <c r="P1080" s="844">
        <f t="shared" si="187"/>
        <v>5.788924382876386E-3</v>
      </c>
      <c r="Q1080" s="830"/>
      <c r="R1080" s="845">
        <v>893.68</v>
      </c>
      <c r="S1080" s="846">
        <f t="shared" si="182"/>
        <v>2.6927564850551811E-3</v>
      </c>
      <c r="T1080" s="845">
        <v>64.75</v>
      </c>
      <c r="U1080" s="846">
        <f t="shared" si="183"/>
        <v>2.7876722936348575E-3</v>
      </c>
      <c r="V1080" s="845">
        <v>101.8028</v>
      </c>
      <c r="W1080" s="846">
        <f t="shared" si="184"/>
        <v>1.0865010535346498E-2</v>
      </c>
      <c r="X1080" s="845">
        <v>28335.57</v>
      </c>
      <c r="Y1080" s="846">
        <f t="shared" si="185"/>
        <v>-9.9035173880945848E-4</v>
      </c>
      <c r="Z1080" s="845">
        <v>3465.3872000000001</v>
      </c>
      <c r="AA1080" s="846">
        <f t="shared" si="186"/>
        <v>3.4449207355502498E-3</v>
      </c>
      <c r="AB1080" s="853"/>
    </row>
    <row r="1081" spans="1:28" ht="14.4" x14ac:dyDescent="0.55000000000000004">
      <c r="A1081" s="857" t="s">
        <v>6240</v>
      </c>
      <c r="B1081" s="842">
        <v>96.64</v>
      </c>
      <c r="C1081" s="843">
        <f t="shared" si="177"/>
        <v>1.1513502198032155E-2</v>
      </c>
      <c r="D1081" s="842">
        <v>29.4</v>
      </c>
      <c r="E1081" s="843">
        <f t="shared" si="178"/>
        <v>1.7653167185877505E-2</v>
      </c>
      <c r="F1081" s="842">
        <v>24.04</v>
      </c>
      <c r="G1081" s="843">
        <f t="shared" si="178"/>
        <v>1.9508057675996726E-2</v>
      </c>
      <c r="H1081" s="842">
        <v>47.18</v>
      </c>
      <c r="I1081" s="843">
        <f t="shared" si="178"/>
        <v>-7.1548821548822472E-3</v>
      </c>
      <c r="J1081" s="842">
        <v>73.95</v>
      </c>
      <c r="K1081" s="843">
        <f t="shared" si="179"/>
        <v>1.3708019191226883E-2</v>
      </c>
      <c r="L1081" s="842">
        <v>68.53</v>
      </c>
      <c r="M1081" s="843">
        <f t="shared" si="180"/>
        <v>1.7520415738678574E-2</v>
      </c>
      <c r="N1081" s="842">
        <v>58.26</v>
      </c>
      <c r="O1081" s="843">
        <f t="shared" si="181"/>
        <v>1.1985409067222452E-2</v>
      </c>
      <c r="P1081" s="844">
        <f t="shared" si="187"/>
        <v>1.2104812700307435E-2</v>
      </c>
      <c r="Q1081" s="830"/>
      <c r="R1081" s="845">
        <v>891.28</v>
      </c>
      <c r="S1081" s="846">
        <f t="shared" si="182"/>
        <v>1.6166913692851281E-2</v>
      </c>
      <c r="T1081" s="845">
        <v>64.569999999999993</v>
      </c>
      <c r="U1081" s="846">
        <f t="shared" si="183"/>
        <v>1.4135385581906634E-2</v>
      </c>
      <c r="V1081" s="845">
        <v>100.7086</v>
      </c>
      <c r="W1081" s="846">
        <f t="shared" si="184"/>
        <v>1.1513394126090093E-2</v>
      </c>
      <c r="X1081" s="845">
        <v>28363.66</v>
      </c>
      <c r="Y1081" s="846">
        <f t="shared" si="185"/>
        <v>5.4177794193859263E-3</v>
      </c>
      <c r="Z1081" s="845">
        <v>3453.4902000000002</v>
      </c>
      <c r="AA1081" s="846">
        <f t="shared" si="186"/>
        <v>5.2203202655292102E-3</v>
      </c>
      <c r="AB1081" s="853"/>
    </row>
    <row r="1082" spans="1:28" ht="14.4" x14ac:dyDescent="0.55000000000000004">
      <c r="A1082" s="857" t="s">
        <v>6241</v>
      </c>
      <c r="B1082" s="842">
        <v>95.54</v>
      </c>
      <c r="C1082" s="843">
        <f t="shared" si="177"/>
        <v>1.3364446330080604E-2</v>
      </c>
      <c r="D1082" s="842">
        <v>28.89</v>
      </c>
      <c r="E1082" s="843">
        <f t="shared" si="178"/>
        <v>1.8329221008107188E-2</v>
      </c>
      <c r="F1082" s="842">
        <v>23.58</v>
      </c>
      <c r="G1082" s="843">
        <f t="shared" si="178"/>
        <v>-8.4745762711879724E-4</v>
      </c>
      <c r="H1082" s="842">
        <v>47.52</v>
      </c>
      <c r="I1082" s="843">
        <f t="shared" si="178"/>
        <v>3.5068612502722862E-2</v>
      </c>
      <c r="J1082" s="842">
        <v>72.95</v>
      </c>
      <c r="K1082" s="843">
        <f t="shared" si="179"/>
        <v>8.9903181189487924E-3</v>
      </c>
      <c r="L1082" s="842">
        <v>67.349999999999994</v>
      </c>
      <c r="M1082" s="843">
        <f t="shared" si="180"/>
        <v>7.4794315632011887E-3</v>
      </c>
      <c r="N1082" s="842">
        <v>57.57</v>
      </c>
      <c r="O1082" s="843">
        <f t="shared" si="181"/>
        <v>-2.4259227170334574E-3</v>
      </c>
      <c r="P1082" s="844">
        <f t="shared" si="187"/>
        <v>1.1422664168415484E-2</v>
      </c>
      <c r="Q1082" s="830"/>
      <c r="R1082" s="845">
        <v>877.1</v>
      </c>
      <c r="S1082" s="846">
        <f t="shared" si="182"/>
        <v>-4.59626624297782E-3</v>
      </c>
      <c r="T1082" s="845">
        <v>63.67</v>
      </c>
      <c r="U1082" s="846">
        <f t="shared" si="183"/>
        <v>-2.6629072681704224E-3</v>
      </c>
      <c r="V1082" s="845">
        <v>99.562299999999993</v>
      </c>
      <c r="W1082" s="846">
        <f t="shared" si="184"/>
        <v>1.33639628984632E-2</v>
      </c>
      <c r="X1082" s="845">
        <v>28210.82</v>
      </c>
      <c r="Y1082" s="846">
        <f t="shared" si="185"/>
        <v>-3.4607625405396192E-3</v>
      </c>
      <c r="Z1082" s="845">
        <v>3435.5554999999999</v>
      </c>
      <c r="AA1082" s="846">
        <f t="shared" si="186"/>
        <v>-2.1960625907316844E-3</v>
      </c>
      <c r="AB1082" s="853"/>
    </row>
    <row r="1083" spans="1:28" ht="14.4" x14ac:dyDescent="0.55000000000000004">
      <c r="A1083" s="857" t="s">
        <v>6242</v>
      </c>
      <c r="B1083" s="842">
        <v>94.28</v>
      </c>
      <c r="C1083" s="843">
        <f t="shared" si="177"/>
        <v>4.2444821731746352E-4</v>
      </c>
      <c r="D1083" s="842">
        <v>28.37</v>
      </c>
      <c r="E1083" s="843">
        <f t="shared" si="178"/>
        <v>3.5260930888592057E-4</v>
      </c>
      <c r="F1083" s="842">
        <v>23.6</v>
      </c>
      <c r="G1083" s="843">
        <f t="shared" si="178"/>
        <v>5.5389859394974206E-3</v>
      </c>
      <c r="H1083" s="842">
        <v>45.91</v>
      </c>
      <c r="I1083" s="843">
        <f t="shared" si="178"/>
        <v>1.2348401323042824E-2</v>
      </c>
      <c r="J1083" s="842">
        <v>72.3</v>
      </c>
      <c r="K1083" s="843">
        <f t="shared" si="179"/>
        <v>-1.65700082850051E-3</v>
      </c>
      <c r="L1083" s="842">
        <v>66.849999999999994</v>
      </c>
      <c r="M1083" s="843">
        <f t="shared" si="180"/>
        <v>1.4108009708737823E-2</v>
      </c>
      <c r="N1083" s="842">
        <v>57.71</v>
      </c>
      <c r="O1083" s="843">
        <f t="shared" si="181"/>
        <v>1.4948997537812092E-2</v>
      </c>
      <c r="P1083" s="844">
        <f t="shared" si="187"/>
        <v>6.5806358866847192E-3</v>
      </c>
      <c r="Q1083" s="830"/>
      <c r="R1083" s="845">
        <v>881.15</v>
      </c>
      <c r="S1083" s="846">
        <f t="shared" si="182"/>
        <v>4.0451230628988366E-3</v>
      </c>
      <c r="T1083" s="845">
        <v>63.84</v>
      </c>
      <c r="U1083" s="846">
        <f t="shared" si="183"/>
        <v>5.9880239520957446E-3</v>
      </c>
      <c r="V1083" s="845">
        <v>98.249300000000005</v>
      </c>
      <c r="W1083" s="846">
        <f t="shared" si="184"/>
        <v>4.2461072259181165E-4</v>
      </c>
      <c r="X1083" s="845">
        <v>28308.79</v>
      </c>
      <c r="Y1083" s="846">
        <f t="shared" si="185"/>
        <v>4.020865800190343E-3</v>
      </c>
      <c r="Z1083" s="845">
        <v>3443.1167999999998</v>
      </c>
      <c r="AA1083" s="846">
        <f t="shared" si="186"/>
        <v>4.7251411258275589E-3</v>
      </c>
      <c r="AB1083" s="853"/>
    </row>
    <row r="1084" spans="1:28" ht="14.4" x14ac:dyDescent="0.55000000000000004">
      <c r="A1084" s="857" t="s">
        <v>6243</v>
      </c>
      <c r="B1084" s="842">
        <v>94.24</v>
      </c>
      <c r="C1084" s="843">
        <f t="shared" si="177"/>
        <v>-2.6457826224997039E-3</v>
      </c>
      <c r="D1084" s="842">
        <v>28.36</v>
      </c>
      <c r="E1084" s="843">
        <f t="shared" si="178"/>
        <v>-2.0041465100207434E-2</v>
      </c>
      <c r="F1084" s="842">
        <v>23.47</v>
      </c>
      <c r="G1084" s="843">
        <f t="shared" si="178"/>
        <v>-1.276595744680864E-3</v>
      </c>
      <c r="H1084" s="842">
        <v>45.35</v>
      </c>
      <c r="I1084" s="843">
        <f t="shared" si="178"/>
        <v>-2.0729863960267769E-2</v>
      </c>
      <c r="J1084" s="842">
        <v>72.42</v>
      </c>
      <c r="K1084" s="843">
        <f t="shared" si="179"/>
        <v>-9.4378334017234389E-3</v>
      </c>
      <c r="L1084" s="842">
        <v>65.92</v>
      </c>
      <c r="M1084" s="843">
        <f t="shared" si="180"/>
        <v>-1.376421304608022E-2</v>
      </c>
      <c r="N1084" s="842">
        <v>56.86</v>
      </c>
      <c r="O1084" s="843">
        <f t="shared" si="181"/>
        <v>-1.580333625987751E-3</v>
      </c>
      <c r="P1084" s="844">
        <f t="shared" si="187"/>
        <v>-9.9251553573495976E-3</v>
      </c>
      <c r="Q1084" s="830"/>
      <c r="R1084" s="845">
        <v>877.6</v>
      </c>
      <c r="S1084" s="846">
        <f t="shared" si="182"/>
        <v>-7.8234522678967133E-3</v>
      </c>
      <c r="T1084" s="845">
        <v>63.46</v>
      </c>
      <c r="U1084" s="846">
        <f t="shared" si="183"/>
        <v>-8.4374999999999867E-3</v>
      </c>
      <c r="V1084" s="845">
        <v>98.207599999999999</v>
      </c>
      <c r="W1084" s="846">
        <f t="shared" si="184"/>
        <v>-2.6455268254389486E-3</v>
      </c>
      <c r="X1084" s="845">
        <v>28195.42</v>
      </c>
      <c r="Y1084" s="846">
        <f t="shared" si="185"/>
        <v>-1.4363614181626461E-2</v>
      </c>
      <c r="Z1084" s="845">
        <v>3426.9241000000002</v>
      </c>
      <c r="AA1084" s="846">
        <f t="shared" si="186"/>
        <v>-1.6328024754982184E-2</v>
      </c>
      <c r="AB1084" s="860"/>
    </row>
    <row r="1085" spans="1:28" ht="14.4" x14ac:dyDescent="0.55000000000000004">
      <c r="A1085" s="857" t="s">
        <v>6244</v>
      </c>
      <c r="B1085" s="842">
        <v>94.49</v>
      </c>
      <c r="C1085" s="843">
        <f t="shared" si="177"/>
        <v>-1.0582010582016466E-4</v>
      </c>
      <c r="D1085" s="842">
        <v>28.94</v>
      </c>
      <c r="E1085" s="843">
        <f t="shared" si="178"/>
        <v>1.1534428521495999E-2</v>
      </c>
      <c r="F1085" s="842">
        <v>23.5</v>
      </c>
      <c r="G1085" s="843">
        <f t="shared" si="178"/>
        <v>4.7028644719966373E-3</v>
      </c>
      <c r="H1085" s="842">
        <v>46.31</v>
      </c>
      <c r="I1085" s="843">
        <f t="shared" si="178"/>
        <v>-3.8718003871800466E-3</v>
      </c>
      <c r="J1085" s="842">
        <v>73.11</v>
      </c>
      <c r="K1085" s="843">
        <f t="shared" si="179"/>
        <v>-3.815233683063135E-3</v>
      </c>
      <c r="L1085" s="842">
        <v>66.84</v>
      </c>
      <c r="M1085" s="843">
        <f t="shared" si="180"/>
        <v>7.6888285843510484E-3</v>
      </c>
      <c r="N1085" s="842">
        <v>56.95</v>
      </c>
      <c r="O1085" s="843">
        <f t="shared" si="181"/>
        <v>-4.3706293706293753E-3</v>
      </c>
      <c r="P1085" s="844">
        <f t="shared" si="187"/>
        <v>1.6803768615929946E-3</v>
      </c>
      <c r="Q1085" s="830"/>
      <c r="R1085" s="845">
        <v>884.52</v>
      </c>
      <c r="S1085" s="846">
        <f t="shared" si="182"/>
        <v>1.0625899773771152E-2</v>
      </c>
      <c r="T1085" s="845">
        <v>64</v>
      </c>
      <c r="U1085" s="846">
        <f t="shared" si="183"/>
        <v>1.073910296904601E-2</v>
      </c>
      <c r="V1085" s="845">
        <v>98.468100000000007</v>
      </c>
      <c r="W1085" s="846">
        <f t="shared" si="184"/>
        <v>-1.0560680757720764E-4</v>
      </c>
      <c r="X1085" s="845">
        <v>28606.31</v>
      </c>
      <c r="Y1085" s="846">
        <f t="shared" si="185"/>
        <v>3.9344849127191939E-3</v>
      </c>
      <c r="Z1085" s="845">
        <v>3483.8078</v>
      </c>
      <c r="AA1085" s="846">
        <f t="shared" si="186"/>
        <v>1.3389442677080865E-4</v>
      </c>
      <c r="AB1085" s="860"/>
    </row>
    <row r="1086" spans="1:28" ht="14.4" x14ac:dyDescent="0.55000000000000004">
      <c r="A1086" s="857" t="s">
        <v>6245</v>
      </c>
      <c r="B1086" s="842">
        <v>94.5</v>
      </c>
      <c r="C1086" s="843">
        <f t="shared" si="177"/>
        <v>-5.6818181818182323E-3</v>
      </c>
      <c r="D1086" s="842">
        <v>28.61</v>
      </c>
      <c r="E1086" s="843">
        <f t="shared" si="178"/>
        <v>6.9954529555782408E-4</v>
      </c>
      <c r="F1086" s="842">
        <v>23.39</v>
      </c>
      <c r="G1086" s="843">
        <f t="shared" si="178"/>
        <v>3.8626609442060644E-3</v>
      </c>
      <c r="H1086" s="842">
        <v>46.49</v>
      </c>
      <c r="I1086" s="843">
        <f t="shared" si="178"/>
        <v>6.4571674558755454E-4</v>
      </c>
      <c r="J1086" s="842">
        <v>73.39</v>
      </c>
      <c r="K1086" s="843">
        <f t="shared" si="179"/>
        <v>1.3627691469064729E-4</v>
      </c>
      <c r="L1086" s="842">
        <v>66.33</v>
      </c>
      <c r="M1086" s="843">
        <f t="shared" si="180"/>
        <v>0</v>
      </c>
      <c r="N1086" s="842">
        <v>57.2</v>
      </c>
      <c r="O1086" s="843">
        <f t="shared" si="181"/>
        <v>1.2568596211718797E-2</v>
      </c>
      <c r="P1086" s="844">
        <f t="shared" si="187"/>
        <v>1.7472825614203793E-3</v>
      </c>
      <c r="Q1086" s="830"/>
      <c r="R1086" s="845">
        <v>875.22</v>
      </c>
      <c r="S1086" s="846">
        <f t="shared" si="182"/>
        <v>3.4278271003884697E-5</v>
      </c>
      <c r="T1086" s="845">
        <v>63.32</v>
      </c>
      <c r="U1086" s="846">
        <f t="shared" si="183"/>
        <v>-6.3131313131314926E-4</v>
      </c>
      <c r="V1086" s="845">
        <v>98.478499999999997</v>
      </c>
      <c r="W1086" s="846">
        <f t="shared" si="184"/>
        <v>-5.6824779157786942E-3</v>
      </c>
      <c r="X1086" s="845">
        <v>28494.2</v>
      </c>
      <c r="Y1086" s="846">
        <f t="shared" si="185"/>
        <v>-6.9439573542817712E-4</v>
      </c>
      <c r="Z1086" s="845">
        <v>3483.3413999999998</v>
      </c>
      <c r="AA1086" s="846">
        <f t="shared" si="186"/>
        <v>-1.5262567411155059E-3</v>
      </c>
      <c r="AB1086" s="832"/>
    </row>
    <row r="1087" spans="1:28" ht="14.4" x14ac:dyDescent="0.55000000000000004">
      <c r="A1087" s="857" t="s">
        <v>6246</v>
      </c>
      <c r="B1087" s="842">
        <v>95.04</v>
      </c>
      <c r="C1087" s="843">
        <f t="shared" si="177"/>
        <v>-3.8780002096214794E-3</v>
      </c>
      <c r="D1087" s="842">
        <v>28.59</v>
      </c>
      <c r="E1087" s="843">
        <f t="shared" si="178"/>
        <v>-4.8729550991994941E-3</v>
      </c>
      <c r="F1087" s="842">
        <v>23.3</v>
      </c>
      <c r="G1087" s="843">
        <f t="shared" si="178"/>
        <v>8.2215491129382645E-3</v>
      </c>
      <c r="H1087" s="842">
        <v>46.46</v>
      </c>
      <c r="I1087" s="843">
        <f t="shared" si="178"/>
        <v>-1.2539851222104104E-2</v>
      </c>
      <c r="J1087" s="842">
        <v>73.38</v>
      </c>
      <c r="K1087" s="843">
        <f t="shared" si="179"/>
        <v>-4.3419267299865671E-3</v>
      </c>
      <c r="L1087" s="842">
        <v>66.33</v>
      </c>
      <c r="M1087" s="843">
        <f t="shared" si="180"/>
        <v>-1.4413075780089102E-2</v>
      </c>
      <c r="N1087" s="842">
        <v>56.49</v>
      </c>
      <c r="O1087" s="843">
        <f t="shared" si="181"/>
        <v>3.0184659090908283E-3</v>
      </c>
      <c r="P1087" s="844">
        <f t="shared" si="187"/>
        <v>-4.115113431281665E-3</v>
      </c>
      <c r="Q1087" s="830"/>
      <c r="R1087" s="845">
        <v>875.19</v>
      </c>
      <c r="S1087" s="846">
        <f t="shared" si="182"/>
        <v>-9.8167912790358969E-4</v>
      </c>
      <c r="T1087" s="845">
        <v>63.36</v>
      </c>
      <c r="U1087" s="846">
        <f t="shared" si="183"/>
        <v>-1.2610340479192184E-3</v>
      </c>
      <c r="V1087" s="845">
        <v>99.041300000000007</v>
      </c>
      <c r="W1087" s="846">
        <f t="shared" si="184"/>
        <v>-3.8772242493975151E-3</v>
      </c>
      <c r="X1087" s="845">
        <v>28514</v>
      </c>
      <c r="Y1087" s="846">
        <f t="shared" si="185"/>
        <v>-5.7814190540314003E-3</v>
      </c>
      <c r="Z1087" s="845">
        <v>3488.6660000000002</v>
      </c>
      <c r="AA1087" s="846">
        <f t="shared" si="186"/>
        <v>-6.6242495329988937E-3</v>
      </c>
    </row>
    <row r="1088" spans="1:28" ht="14.4" x14ac:dyDescent="0.55000000000000004">
      <c r="A1088" s="857" t="s">
        <v>6247</v>
      </c>
      <c r="B1088" s="842">
        <v>95.41</v>
      </c>
      <c r="C1088" s="843">
        <f t="shared" si="177"/>
        <v>-1.2421074422937606E-2</v>
      </c>
      <c r="D1088" s="842">
        <v>28.73</v>
      </c>
      <c r="E1088" s="843">
        <f t="shared" si="178"/>
        <v>-4.5045045045044585E-3</v>
      </c>
      <c r="F1088" s="842">
        <v>23.11</v>
      </c>
      <c r="G1088" s="843">
        <f t="shared" si="178"/>
        <v>1.2998266897747968E-3</v>
      </c>
      <c r="H1088" s="842">
        <v>47.05</v>
      </c>
      <c r="I1088" s="843">
        <f t="shared" si="178"/>
        <v>1.4899957428693433E-3</v>
      </c>
      <c r="J1088" s="842">
        <v>73.7</v>
      </c>
      <c r="K1088" s="843">
        <f t="shared" si="179"/>
        <v>-1.3550135501354532E-3</v>
      </c>
      <c r="L1088" s="842">
        <v>67.3</v>
      </c>
      <c r="M1088" s="843">
        <f t="shared" si="180"/>
        <v>-8.6905287965827194E-3</v>
      </c>
      <c r="N1088" s="842">
        <v>56.32</v>
      </c>
      <c r="O1088" s="843">
        <f t="shared" si="181"/>
        <v>1.2444444444443814E-3</v>
      </c>
      <c r="P1088" s="844">
        <f t="shared" si="187"/>
        <v>-3.2766934852959595E-3</v>
      </c>
      <c r="Q1088" s="830"/>
      <c r="R1088" s="845">
        <v>876.05</v>
      </c>
      <c r="S1088" s="846">
        <f t="shared" si="182"/>
        <v>-7.6686074171405938E-3</v>
      </c>
      <c r="T1088" s="845">
        <v>63.44</v>
      </c>
      <c r="U1088" s="846">
        <f t="shared" si="183"/>
        <v>-6.8879148403256929E-3</v>
      </c>
      <c r="V1088" s="845">
        <v>99.4268</v>
      </c>
      <c r="W1088" s="846">
        <f t="shared" si="184"/>
        <v>-1.2421854358575124E-2</v>
      </c>
      <c r="X1088" s="845">
        <v>28679.81</v>
      </c>
      <c r="Y1088" s="846">
        <f t="shared" si="185"/>
        <v>-5.4689168832825485E-3</v>
      </c>
      <c r="Z1088" s="845">
        <v>3511.9299000000001</v>
      </c>
      <c r="AA1088" s="846">
        <f t="shared" si="186"/>
        <v>-6.3058115293461725E-3</v>
      </c>
    </row>
    <row r="1089" spans="1:27" ht="14.4" x14ac:dyDescent="0.55000000000000004">
      <c r="A1089" s="857" t="s">
        <v>6248</v>
      </c>
      <c r="B1089" s="842">
        <v>96.61</v>
      </c>
      <c r="C1089" s="843">
        <f t="shared" si="177"/>
        <v>1.0361620557455264E-3</v>
      </c>
      <c r="D1089" s="842">
        <v>28.86</v>
      </c>
      <c r="E1089" s="843">
        <f t="shared" si="178"/>
        <v>6.9348127600554754E-4</v>
      </c>
      <c r="F1089" s="842">
        <v>23.08</v>
      </c>
      <c r="G1089" s="843">
        <f t="shared" si="178"/>
        <v>2.6233881725211239E-2</v>
      </c>
      <c r="H1089" s="842">
        <v>46.98</v>
      </c>
      <c r="I1089" s="843">
        <f t="shared" si="178"/>
        <v>1.4922191430397636E-3</v>
      </c>
      <c r="J1089" s="842">
        <v>73.8</v>
      </c>
      <c r="K1089" s="843">
        <f t="shared" si="179"/>
        <v>1.0851871947910041E-3</v>
      </c>
      <c r="L1089" s="842">
        <v>67.89</v>
      </c>
      <c r="M1089" s="843">
        <f t="shared" si="180"/>
        <v>1.2376975842528948E-2</v>
      </c>
      <c r="N1089" s="842">
        <v>56.25</v>
      </c>
      <c r="O1089" s="843">
        <f t="shared" si="181"/>
        <v>8.6067778375469306E-3</v>
      </c>
      <c r="P1089" s="844">
        <f t="shared" si="187"/>
        <v>7.3606692964098509E-3</v>
      </c>
      <c r="Q1089" s="830"/>
      <c r="R1089" s="845">
        <v>882.82</v>
      </c>
      <c r="S1089" s="846">
        <f t="shared" si="182"/>
        <v>8.0040191365708946E-3</v>
      </c>
      <c r="T1089" s="845">
        <v>63.88</v>
      </c>
      <c r="U1089" s="846">
        <f t="shared" si="183"/>
        <v>6.3011972274733541E-3</v>
      </c>
      <c r="V1089" s="845">
        <v>100.67740000000001</v>
      </c>
      <c r="W1089" s="846">
        <f t="shared" si="184"/>
        <v>1.0360612966475724E-3</v>
      </c>
      <c r="X1089" s="845">
        <v>28837.52</v>
      </c>
      <c r="Y1089" s="846">
        <f t="shared" si="185"/>
        <v>8.7669526951155152E-3</v>
      </c>
      <c r="Z1089" s="845">
        <v>3534.2159999999999</v>
      </c>
      <c r="AA1089" s="846">
        <f t="shared" si="186"/>
        <v>1.6416305806767229E-2</v>
      </c>
    </row>
    <row r="1090" spans="1:27" ht="14.4" x14ac:dyDescent="0.55000000000000004">
      <c r="A1090" s="857" t="s">
        <v>6249</v>
      </c>
      <c r="B1090" s="842">
        <v>96.51</v>
      </c>
      <c r="C1090" s="843">
        <f t="shared" si="177"/>
        <v>-2.8928608327306593E-3</v>
      </c>
      <c r="D1090" s="842">
        <v>28.84</v>
      </c>
      <c r="E1090" s="843">
        <f t="shared" si="178"/>
        <v>-1.0295126973232649E-2</v>
      </c>
      <c r="F1090" s="842">
        <v>22.49</v>
      </c>
      <c r="G1090" s="843">
        <f t="shared" si="178"/>
        <v>5.8139534883721034E-3</v>
      </c>
      <c r="H1090" s="842">
        <v>46.91</v>
      </c>
      <c r="I1090" s="843">
        <f t="shared" si="178"/>
        <v>4.2653017700988727E-4</v>
      </c>
      <c r="J1090" s="842">
        <v>73.72</v>
      </c>
      <c r="K1090" s="843">
        <f t="shared" si="179"/>
        <v>-2.5706940874035134E-3</v>
      </c>
      <c r="L1090" s="842">
        <v>67.06</v>
      </c>
      <c r="M1090" s="843">
        <f t="shared" si="180"/>
        <v>-8.8678687555423519E-3</v>
      </c>
      <c r="N1090" s="842">
        <v>55.77</v>
      </c>
      <c r="O1090" s="843">
        <f t="shared" si="181"/>
        <v>-5.3763440860199463E-4</v>
      </c>
      <c r="P1090" s="844">
        <f t="shared" si="187"/>
        <v>-2.7033859131613109E-3</v>
      </c>
      <c r="Q1090" s="830"/>
      <c r="R1090" s="845">
        <v>875.81</v>
      </c>
      <c r="S1090" s="846">
        <f t="shared" si="182"/>
        <v>5.826573746143815E-4</v>
      </c>
      <c r="T1090" s="845">
        <v>63.48</v>
      </c>
      <c r="U1090" s="846">
        <f t="shared" si="183"/>
        <v>-1.5750511891643448E-4</v>
      </c>
      <c r="V1090" s="845">
        <v>100.5732</v>
      </c>
      <c r="W1090" s="846">
        <f t="shared" si="184"/>
        <v>-2.891987202684021E-3</v>
      </c>
      <c r="X1090" s="845">
        <v>28586.9</v>
      </c>
      <c r="Y1090" s="846">
        <f t="shared" si="185"/>
        <v>5.6776465927965702E-3</v>
      </c>
      <c r="Z1090" s="845">
        <v>3477.1343000000002</v>
      </c>
      <c r="AA1090" s="846">
        <f t="shared" si="186"/>
        <v>8.7924017337215332E-3</v>
      </c>
    </row>
    <row r="1091" spans="1:27" ht="14.4" x14ac:dyDescent="0.55000000000000004">
      <c r="A1091" s="857" t="s">
        <v>6250</v>
      </c>
      <c r="B1091" s="842">
        <v>96.79</v>
      </c>
      <c r="C1091" s="843">
        <f t="shared" si="177"/>
        <v>4.2539946046897814E-3</v>
      </c>
      <c r="D1091" s="842">
        <v>29.14</v>
      </c>
      <c r="E1091" s="843">
        <f t="shared" si="178"/>
        <v>2.4973619416109871E-2</v>
      </c>
      <c r="F1091" s="842">
        <v>22.36</v>
      </c>
      <c r="G1091" s="843">
        <f t="shared" si="178"/>
        <v>1.4058956916099818E-2</v>
      </c>
      <c r="H1091" s="842">
        <v>46.89</v>
      </c>
      <c r="I1091" s="843">
        <f t="shared" si="178"/>
        <v>1.2742980561555095E-2</v>
      </c>
      <c r="J1091" s="842">
        <v>73.91</v>
      </c>
      <c r="K1091" s="843">
        <f t="shared" si="179"/>
        <v>2.4393624393624247E-2</v>
      </c>
      <c r="L1091" s="842">
        <v>67.66</v>
      </c>
      <c r="M1091" s="843">
        <f t="shared" si="180"/>
        <v>2.4065385197517886E-2</v>
      </c>
      <c r="N1091" s="842">
        <v>55.8</v>
      </c>
      <c r="O1091" s="843">
        <f t="shared" si="181"/>
        <v>1.6949152542372836E-2</v>
      </c>
      <c r="P1091" s="844">
        <f t="shared" si="187"/>
        <v>1.7348244804567075E-2</v>
      </c>
      <c r="Q1091" s="830"/>
      <c r="R1091" s="845">
        <v>875.3</v>
      </c>
      <c r="S1091" s="846">
        <f t="shared" si="182"/>
        <v>1.7802532587588127E-2</v>
      </c>
      <c r="T1091" s="845">
        <v>63.49</v>
      </c>
      <c r="U1091" s="846">
        <f t="shared" si="183"/>
        <v>1.8283881315156458E-2</v>
      </c>
      <c r="V1091" s="845">
        <v>100.86490000000001</v>
      </c>
      <c r="W1091" s="846">
        <f t="shared" si="184"/>
        <v>4.2533829428590408E-3</v>
      </c>
      <c r="X1091" s="845">
        <v>28425.51</v>
      </c>
      <c r="Y1091" s="846">
        <f t="shared" si="185"/>
        <v>4.3121936328631705E-3</v>
      </c>
      <c r="Z1091" s="845">
        <v>3446.8283999999999</v>
      </c>
      <c r="AA1091" s="846">
        <f t="shared" si="186"/>
        <v>8.0068740893453061E-3</v>
      </c>
    </row>
    <row r="1092" spans="1:27" ht="14.4" x14ac:dyDescent="0.55000000000000004">
      <c r="A1092" s="857" t="s">
        <v>6251</v>
      </c>
      <c r="B1092" s="842">
        <v>96.38</v>
      </c>
      <c r="C1092" s="843">
        <f t="shared" si="177"/>
        <v>-6.1868426479687599E-3</v>
      </c>
      <c r="D1092" s="842">
        <v>28.43</v>
      </c>
      <c r="E1092" s="843">
        <f t="shared" si="178"/>
        <v>1.2825080156750879E-2</v>
      </c>
      <c r="F1092" s="842">
        <v>22.05</v>
      </c>
      <c r="G1092" s="843">
        <f t="shared" si="178"/>
        <v>-1.6064257028112428E-2</v>
      </c>
      <c r="H1092" s="842">
        <v>46.3</v>
      </c>
      <c r="I1092" s="843">
        <f t="shared" si="178"/>
        <v>-3.8726333907056487E-3</v>
      </c>
      <c r="J1092" s="842">
        <v>72.150000000000006</v>
      </c>
      <c r="K1092" s="843">
        <f t="shared" si="179"/>
        <v>4.7347166132851726E-3</v>
      </c>
      <c r="L1092" s="842">
        <v>66.069999999999993</v>
      </c>
      <c r="M1092" s="843">
        <f t="shared" si="180"/>
        <v>3.1885818402670463E-3</v>
      </c>
      <c r="N1092" s="842">
        <v>54.87</v>
      </c>
      <c r="O1092" s="843">
        <f t="shared" si="181"/>
        <v>1.460798816568043E-2</v>
      </c>
      <c r="P1092" s="844">
        <f t="shared" si="187"/>
        <v>1.3189476727423846E-3</v>
      </c>
      <c r="Q1092" s="830"/>
      <c r="R1092" s="845">
        <v>859.99</v>
      </c>
      <c r="S1092" s="846">
        <f t="shared" si="182"/>
        <v>1.0694684389286557E-2</v>
      </c>
      <c r="T1092" s="845">
        <v>62.35</v>
      </c>
      <c r="U1092" s="846">
        <f t="shared" si="183"/>
        <v>6.1319993545263518E-3</v>
      </c>
      <c r="V1092" s="845">
        <v>100.43770000000001</v>
      </c>
      <c r="W1092" s="846">
        <f t="shared" si="184"/>
        <v>-6.1862463871509288E-3</v>
      </c>
      <c r="X1092" s="845">
        <v>28303.46</v>
      </c>
      <c r="Y1092" s="846">
        <f t="shared" si="185"/>
        <v>1.9108651786858832E-2</v>
      </c>
      <c r="Z1092" s="845">
        <v>3419.4493000000002</v>
      </c>
      <c r="AA1092" s="846">
        <f t="shared" si="186"/>
        <v>1.740494903215084E-2</v>
      </c>
    </row>
    <row r="1093" spans="1:27" ht="14.4" x14ac:dyDescent="0.55000000000000004">
      <c r="A1093" s="857" t="s">
        <v>6252</v>
      </c>
      <c r="B1093" s="842">
        <v>96.98</v>
      </c>
      <c r="C1093" s="843">
        <f t="shared" si="177"/>
        <v>1.8483511867254832E-2</v>
      </c>
      <c r="D1093" s="842">
        <v>28.07</v>
      </c>
      <c r="E1093" s="843">
        <f t="shared" si="178"/>
        <v>2.5575447570332477E-2</v>
      </c>
      <c r="F1093" s="842">
        <v>22.41</v>
      </c>
      <c r="G1093" s="843">
        <f t="shared" si="178"/>
        <v>1.9099590723056004E-2</v>
      </c>
      <c r="H1093" s="842">
        <v>46.48</v>
      </c>
      <c r="I1093" s="843">
        <f t="shared" si="178"/>
        <v>2.6048565121412848E-2</v>
      </c>
      <c r="J1093" s="842">
        <v>71.81</v>
      </c>
      <c r="K1093" s="843">
        <f t="shared" si="179"/>
        <v>2.1624697681035698E-2</v>
      </c>
      <c r="L1093" s="842">
        <v>65.86</v>
      </c>
      <c r="M1093" s="843">
        <f t="shared" si="180"/>
        <v>1.6358024691358164E-2</v>
      </c>
      <c r="N1093" s="842">
        <v>54.08</v>
      </c>
      <c r="O1093" s="843">
        <f t="shared" si="181"/>
        <v>1.0274612366897085E-2</v>
      </c>
      <c r="P1093" s="844">
        <f t="shared" si="187"/>
        <v>1.9637778574478158E-2</v>
      </c>
      <c r="Q1093" s="830"/>
      <c r="R1093" s="845">
        <v>850.89</v>
      </c>
      <c r="S1093" s="846">
        <f t="shared" si="182"/>
        <v>7.4830979078110982E-3</v>
      </c>
      <c r="T1093" s="845">
        <v>61.97</v>
      </c>
      <c r="U1093" s="846">
        <f t="shared" si="183"/>
        <v>8.462164361269231E-3</v>
      </c>
      <c r="V1093" s="845">
        <v>101.0629</v>
      </c>
      <c r="W1093" s="846">
        <f t="shared" si="184"/>
        <v>1.8483545099809762E-2</v>
      </c>
      <c r="X1093" s="845">
        <v>27772.76</v>
      </c>
      <c r="Y1093" s="846">
        <f t="shared" si="185"/>
        <v>-1.335339824588333E-2</v>
      </c>
      <c r="Z1093" s="845">
        <v>3360.9521</v>
      </c>
      <c r="AA1093" s="846">
        <f t="shared" si="186"/>
        <v>-1.3986482767782027E-2</v>
      </c>
    </row>
    <row r="1094" spans="1:27" ht="14.4" x14ac:dyDescent="0.55000000000000004">
      <c r="A1094" s="857" t="s">
        <v>6253</v>
      </c>
      <c r="B1094" s="842">
        <v>95.22</v>
      </c>
      <c r="C1094" s="843">
        <f t="shared" si="177"/>
        <v>-8.3315975838367251E-3</v>
      </c>
      <c r="D1094" s="842">
        <v>27.37</v>
      </c>
      <c r="E1094" s="843">
        <f t="shared" si="178"/>
        <v>-6.8940493468794273E-3</v>
      </c>
      <c r="F1094" s="842">
        <v>21.99</v>
      </c>
      <c r="G1094" s="843">
        <f t="shared" si="178"/>
        <v>-6.7750677506775991E-3</v>
      </c>
      <c r="H1094" s="842">
        <v>45.3</v>
      </c>
      <c r="I1094" s="843">
        <f t="shared" si="178"/>
        <v>-3.9577836411609502E-3</v>
      </c>
      <c r="J1094" s="842">
        <v>70.290000000000006</v>
      </c>
      <c r="K1094" s="843">
        <f t="shared" si="179"/>
        <v>8.6095566078348007E-3</v>
      </c>
      <c r="L1094" s="842">
        <v>64.8</v>
      </c>
      <c r="M1094" s="843">
        <f t="shared" si="180"/>
        <v>1.2499999999999956E-2</v>
      </c>
      <c r="N1094" s="842">
        <v>53.53</v>
      </c>
      <c r="O1094" s="843">
        <f t="shared" si="181"/>
        <v>2.6222138977336495E-3</v>
      </c>
      <c r="P1094" s="844">
        <f t="shared" si="187"/>
        <v>-3.1810397385518511E-4</v>
      </c>
      <c r="Q1094" s="830"/>
      <c r="R1094" s="845">
        <v>844.57</v>
      </c>
      <c r="S1094" s="846">
        <f t="shared" si="182"/>
        <v>1.451068481303075E-2</v>
      </c>
      <c r="T1094" s="845">
        <v>61.45</v>
      </c>
      <c r="U1094" s="846">
        <f t="shared" si="183"/>
        <v>1.2522656121272124E-2</v>
      </c>
      <c r="V1094" s="845">
        <v>99.228800000000007</v>
      </c>
      <c r="W1094" s="846">
        <f t="shared" si="184"/>
        <v>-8.3317926296064826E-3</v>
      </c>
      <c r="X1094" s="845">
        <v>28148.639999999999</v>
      </c>
      <c r="Y1094" s="846">
        <f t="shared" si="185"/>
        <v>1.6827410223167361E-2</v>
      </c>
      <c r="Z1094" s="845">
        <v>3408.6268</v>
      </c>
      <c r="AA1094" s="846">
        <f t="shared" si="186"/>
        <v>1.7973454354331952E-2</v>
      </c>
    </row>
    <row r="1095" spans="1:27" ht="14.4" x14ac:dyDescent="0.55000000000000004">
      <c r="A1095" s="857" t="s">
        <v>6254</v>
      </c>
      <c r="B1095" s="842">
        <v>96.02</v>
      </c>
      <c r="C1095" s="843">
        <f t="shared" si="177"/>
        <v>5.7609720330993319E-3</v>
      </c>
      <c r="D1095" s="842">
        <v>27.56</v>
      </c>
      <c r="E1095" s="843">
        <f t="shared" si="178"/>
        <v>2.3393984404010304E-2</v>
      </c>
      <c r="F1095" s="842">
        <v>22.14</v>
      </c>
      <c r="G1095" s="843">
        <f t="shared" si="178"/>
        <v>6.3636363636363491E-3</v>
      </c>
      <c r="H1095" s="842">
        <v>45.48</v>
      </c>
      <c r="I1095" s="843">
        <f t="shared" si="178"/>
        <v>1.5858834040652026E-2</v>
      </c>
      <c r="J1095" s="842">
        <v>69.69</v>
      </c>
      <c r="K1095" s="843">
        <f t="shared" si="179"/>
        <v>1.1759581881533032E-2</v>
      </c>
      <c r="L1095" s="842">
        <v>64</v>
      </c>
      <c r="M1095" s="843">
        <f t="shared" si="180"/>
        <v>1.8297533810660349E-2</v>
      </c>
      <c r="N1095" s="842">
        <v>53.39</v>
      </c>
      <c r="O1095" s="843">
        <f t="shared" si="181"/>
        <v>1.5791476407914784E-2</v>
      </c>
      <c r="P1095" s="844">
        <f t="shared" si="187"/>
        <v>1.3889431277358024E-2</v>
      </c>
      <c r="Q1095" s="830"/>
      <c r="R1095" s="845">
        <v>832.49</v>
      </c>
      <c r="S1095" s="846">
        <f t="shared" si="182"/>
        <v>9.9724604801825212E-3</v>
      </c>
      <c r="T1095" s="845">
        <v>60.69</v>
      </c>
      <c r="U1095" s="846">
        <f t="shared" si="183"/>
        <v>1.1837279093031006E-2</v>
      </c>
      <c r="V1095" s="845">
        <v>100.0625</v>
      </c>
      <c r="W1095" s="846">
        <f t="shared" si="184"/>
        <v>5.760412667078052E-3</v>
      </c>
      <c r="X1095" s="845">
        <v>27682.81</v>
      </c>
      <c r="Y1095" s="846">
        <f t="shared" si="185"/>
        <v>-4.8204508769849053E-3</v>
      </c>
      <c r="Z1095" s="845">
        <v>3348.4436999999998</v>
      </c>
      <c r="AA1095" s="846">
        <f t="shared" si="186"/>
        <v>-9.5701944505065528E-3</v>
      </c>
    </row>
    <row r="1096" spans="1:27" ht="14.4" x14ac:dyDescent="0.55000000000000004">
      <c r="A1096" s="857" t="s">
        <v>6255</v>
      </c>
      <c r="B1096" s="842">
        <v>95.47</v>
      </c>
      <c r="C1096" s="843">
        <f t="shared" ref="C1096" si="188">IFERROR(((B1096/B1097)-1), "NA")</f>
        <v>-1.2553614394811285E-3</v>
      </c>
      <c r="D1096" s="842">
        <v>26.93</v>
      </c>
      <c r="E1096" s="843">
        <f t="shared" ref="C1096:I1159" si="189">IFERROR(((D1096/D1097)-1), "NA")</f>
        <v>-3.3308660251665234E-3</v>
      </c>
      <c r="F1096" s="842">
        <v>22</v>
      </c>
      <c r="G1096" s="843">
        <f t="shared" si="189"/>
        <v>0</v>
      </c>
      <c r="H1096" s="842">
        <v>44.77</v>
      </c>
      <c r="I1096" s="843">
        <f t="shared" si="189"/>
        <v>-1.3659396342806773E-2</v>
      </c>
      <c r="J1096" s="842">
        <v>68.88</v>
      </c>
      <c r="K1096" s="843">
        <f t="shared" ref="K1096:K1159" si="190">IFERROR(((J1096/J1097)-1), "NA")</f>
        <v>-1.8837849587017841E-3</v>
      </c>
      <c r="L1096" s="842">
        <v>62.85</v>
      </c>
      <c r="M1096" s="843">
        <f t="shared" ref="M1096:M1159" si="191">IFERROR(((L1096/L1097)-1), "NA")</f>
        <v>-3.961965134706813E-3</v>
      </c>
      <c r="N1096" s="842">
        <v>52.56</v>
      </c>
      <c r="O1096" s="843">
        <f t="shared" ref="O1096:O1159" si="192">IFERROR(((N1096/N1097)-1), "NA")</f>
        <v>-1.2030075187969946E-2</v>
      </c>
      <c r="P1096" s="844">
        <f t="shared" si="187"/>
        <v>-5.1602070126904242E-3</v>
      </c>
      <c r="Q1096" s="830"/>
      <c r="R1096" s="845">
        <v>824.27</v>
      </c>
      <c r="S1096" s="846">
        <f t="shared" ref="S1096:S1159" si="193">IFERROR(((R1096/R1097)-1), "NA")</f>
        <v>1.1746655210506773E-2</v>
      </c>
      <c r="T1096" s="845">
        <v>59.98</v>
      </c>
      <c r="U1096" s="846">
        <f t="shared" ref="U1096:U1159" si="194">IFERROR(((T1096/T1097)-1), "NA")</f>
        <v>1.0104412260020013E-2</v>
      </c>
      <c r="V1096" s="845">
        <v>99.489400000000003</v>
      </c>
      <c r="W1096" s="846">
        <f t="shared" ref="W1096:W1159" si="195">IFERROR(((V1096/V1097)-1), "NA")</f>
        <v>-1.2548386578646875E-3</v>
      </c>
      <c r="X1096" s="845">
        <v>27816.9</v>
      </c>
      <c r="Y1096" s="846">
        <f t="shared" ref="Y1096:Y1159" si="196">IFERROR(((X1096/X1097)-1), "NA")</f>
        <v>1.2670210966212458E-3</v>
      </c>
      <c r="Z1096" s="845">
        <v>3380.7986000000001</v>
      </c>
      <c r="AA1096" s="846">
        <f t="shared" ref="AA1096:AA1159" si="197">IFERROR(((Z1096/Z1097)-1), "NA")</f>
        <v>5.2927758824787841E-3</v>
      </c>
    </row>
    <row r="1097" spans="1:27" ht="14.4" x14ac:dyDescent="0.55000000000000004">
      <c r="A1097" s="857" t="s">
        <v>6256</v>
      </c>
      <c r="B1097" s="842">
        <v>95.59</v>
      </c>
      <c r="C1097" s="843">
        <f t="shared" si="189"/>
        <v>5.1524710830705978E-3</v>
      </c>
      <c r="D1097" s="842">
        <v>27.02</v>
      </c>
      <c r="E1097" s="843">
        <f t="shared" si="189"/>
        <v>1.3503375843960885E-2</v>
      </c>
      <c r="F1097" s="842">
        <v>22</v>
      </c>
      <c r="G1097" s="843">
        <f t="shared" si="189"/>
        <v>1.8214936247722413E-3</v>
      </c>
      <c r="H1097" s="842">
        <v>45.39</v>
      </c>
      <c r="I1097" s="843">
        <f t="shared" si="189"/>
        <v>3.8910505836575959E-2</v>
      </c>
      <c r="J1097" s="842">
        <v>69.010000000000005</v>
      </c>
      <c r="K1097" s="843">
        <f t="shared" si="190"/>
        <v>8.3284628872006827E-3</v>
      </c>
      <c r="L1097" s="842">
        <v>63.1</v>
      </c>
      <c r="M1097" s="843">
        <f t="shared" si="191"/>
        <v>1.6430412371134073E-2</v>
      </c>
      <c r="N1097" s="842">
        <v>53.2</v>
      </c>
      <c r="O1097" s="843">
        <f t="shared" si="192"/>
        <v>5.2910052910053462E-3</v>
      </c>
      <c r="P1097" s="844">
        <f t="shared" ref="P1097:P1160" si="198">IFERROR(AVERAGE(C1097,E1097,G1097,I1097,M1097,K1097,O1097),"NA")</f>
        <v>1.2776818133959969E-2</v>
      </c>
      <c r="Q1097" s="830"/>
      <c r="R1097" s="845">
        <v>814.7</v>
      </c>
      <c r="S1097" s="846">
        <f t="shared" si="193"/>
        <v>7.0581836611083304E-3</v>
      </c>
      <c r="T1097" s="845">
        <v>59.38</v>
      </c>
      <c r="U1097" s="846">
        <f t="shared" si="194"/>
        <v>9.0059473237042997E-3</v>
      </c>
      <c r="V1097" s="845">
        <v>99.614400000000003</v>
      </c>
      <c r="W1097" s="846">
        <f t="shared" si="195"/>
        <v>5.1521737814290702E-3</v>
      </c>
      <c r="X1097" s="845">
        <v>27781.7</v>
      </c>
      <c r="Y1097" s="846">
        <f t="shared" si="196"/>
        <v>1.1985723787786062E-2</v>
      </c>
      <c r="Z1097" s="845">
        <v>3362.9989999999998</v>
      </c>
      <c r="AA1097" s="846">
        <f t="shared" si="197"/>
        <v>8.2519283835713608E-3</v>
      </c>
    </row>
    <row r="1098" spans="1:27" ht="14.4" x14ac:dyDescent="0.55000000000000004">
      <c r="A1098" s="857" t="s">
        <v>6257</v>
      </c>
      <c r="B1098" s="842">
        <v>95.1</v>
      </c>
      <c r="C1098" s="843">
        <f t="shared" si="189"/>
        <v>6.3131313131292721E-4</v>
      </c>
      <c r="D1098" s="842">
        <v>26.66</v>
      </c>
      <c r="E1098" s="843">
        <f t="shared" si="189"/>
        <v>0</v>
      </c>
      <c r="F1098" s="842">
        <v>21.96</v>
      </c>
      <c r="G1098" s="843">
        <f t="shared" si="189"/>
        <v>5.034324942791768E-3</v>
      </c>
      <c r="H1098" s="842">
        <v>43.69</v>
      </c>
      <c r="I1098" s="843">
        <f t="shared" si="189"/>
        <v>-5.6895766954938587E-3</v>
      </c>
      <c r="J1098" s="842">
        <v>68.44</v>
      </c>
      <c r="K1098" s="843">
        <f t="shared" si="190"/>
        <v>-7.3003358154466458E-4</v>
      </c>
      <c r="L1098" s="842">
        <v>62.08</v>
      </c>
      <c r="M1098" s="843">
        <f t="shared" si="191"/>
        <v>-5.7655349135169454E-3</v>
      </c>
      <c r="N1098" s="842">
        <v>52.92</v>
      </c>
      <c r="O1098" s="843">
        <f t="shared" si="192"/>
        <v>5.6721497447531632E-4</v>
      </c>
      <c r="P1098" s="844">
        <f t="shared" si="198"/>
        <v>-8.5032744885363677E-4</v>
      </c>
      <c r="Q1098" s="830"/>
      <c r="R1098" s="845">
        <v>808.99</v>
      </c>
      <c r="S1098" s="846">
        <f t="shared" si="193"/>
        <v>-1.4934584053321043E-3</v>
      </c>
      <c r="T1098" s="845">
        <v>58.85</v>
      </c>
      <c r="U1098" s="846">
        <f t="shared" si="194"/>
        <v>-3.397316120263838E-4</v>
      </c>
      <c r="V1098" s="845">
        <v>99.103800000000007</v>
      </c>
      <c r="W1098" s="846">
        <f t="shared" si="195"/>
        <v>6.3104987515316679E-4</v>
      </c>
      <c r="X1098" s="845">
        <v>27452.66</v>
      </c>
      <c r="Y1098" s="846">
        <f t="shared" si="196"/>
        <v>-4.7636207287832244E-3</v>
      </c>
      <c r="Z1098" s="845">
        <v>3335.4749000000002</v>
      </c>
      <c r="AA1098" s="846">
        <f t="shared" si="197"/>
        <v>-4.8110460449989345E-3</v>
      </c>
    </row>
    <row r="1099" spans="1:27" ht="14.4" x14ac:dyDescent="0.55000000000000004">
      <c r="A1099" s="857" t="s">
        <v>6258</v>
      </c>
      <c r="B1099" s="842">
        <v>95.04</v>
      </c>
      <c r="C1099" s="843">
        <f t="shared" si="189"/>
        <v>-2.2047244094487439E-3</v>
      </c>
      <c r="D1099" s="842">
        <v>26.66</v>
      </c>
      <c r="E1099" s="843">
        <f t="shared" si="189"/>
        <v>2.6325686348251942E-3</v>
      </c>
      <c r="F1099" s="842">
        <v>21.85</v>
      </c>
      <c r="G1099" s="843">
        <f t="shared" si="189"/>
        <v>-1.3098464317976455E-2</v>
      </c>
      <c r="H1099" s="842">
        <v>43.94</v>
      </c>
      <c r="I1099" s="843">
        <f t="shared" si="189"/>
        <v>-8.5740072202166173E-3</v>
      </c>
      <c r="J1099" s="842">
        <v>68.489999999999995</v>
      </c>
      <c r="K1099" s="843">
        <f t="shared" si="190"/>
        <v>-7.295010213016484E-4</v>
      </c>
      <c r="L1099" s="842">
        <v>62.44</v>
      </c>
      <c r="M1099" s="843">
        <f t="shared" si="191"/>
        <v>-1.598976654940909E-3</v>
      </c>
      <c r="N1099" s="842">
        <v>52.89</v>
      </c>
      <c r="O1099" s="843">
        <f t="shared" si="192"/>
        <v>7.0449352627570683E-3</v>
      </c>
      <c r="P1099" s="844">
        <f t="shared" si="198"/>
        <v>-2.3611671037574444E-3</v>
      </c>
      <c r="Q1099" s="830"/>
      <c r="R1099" s="845">
        <v>810.2</v>
      </c>
      <c r="S1099" s="846">
        <f t="shared" si="193"/>
        <v>2.5614690705704213E-3</v>
      </c>
      <c r="T1099" s="845">
        <v>58.87</v>
      </c>
      <c r="U1099" s="846">
        <f t="shared" si="194"/>
        <v>2.5544959128065425E-3</v>
      </c>
      <c r="V1099" s="845">
        <v>99.041300000000007</v>
      </c>
      <c r="W1099" s="846">
        <f t="shared" si="195"/>
        <v>-2.2043096873767265E-3</v>
      </c>
      <c r="X1099" s="845">
        <v>27584.06</v>
      </c>
      <c r="Y1099" s="846">
        <f t="shared" si="196"/>
        <v>1.509165392162215E-2</v>
      </c>
      <c r="Z1099" s="845">
        <v>3351.5996</v>
      </c>
      <c r="AA1099" s="846">
        <f t="shared" si="197"/>
        <v>1.6111382264840213E-2</v>
      </c>
    </row>
    <row r="1100" spans="1:27" ht="14.4" x14ac:dyDescent="0.55000000000000004">
      <c r="A1100" s="857" t="s">
        <v>6259</v>
      </c>
      <c r="B1100" s="842">
        <v>95.25</v>
      </c>
      <c r="C1100" s="843">
        <f t="shared" si="189"/>
        <v>1.7736937707020006E-2</v>
      </c>
      <c r="D1100" s="842">
        <v>26.59</v>
      </c>
      <c r="E1100" s="843">
        <f t="shared" si="189"/>
        <v>2.639517345399689E-3</v>
      </c>
      <c r="F1100" s="842">
        <v>22.14</v>
      </c>
      <c r="G1100" s="843">
        <f t="shared" si="189"/>
        <v>2.2632794457274841E-2</v>
      </c>
      <c r="H1100" s="842">
        <v>44.32</v>
      </c>
      <c r="I1100" s="843">
        <f t="shared" si="189"/>
        <v>5.672793283412858E-3</v>
      </c>
      <c r="J1100" s="842">
        <v>68.540000000000006</v>
      </c>
      <c r="K1100" s="843">
        <f t="shared" si="190"/>
        <v>2.085195114685745E-2</v>
      </c>
      <c r="L1100" s="842">
        <v>62.54</v>
      </c>
      <c r="M1100" s="843">
        <f t="shared" si="191"/>
        <v>1.4271813168991176E-2</v>
      </c>
      <c r="N1100" s="842">
        <v>52.52</v>
      </c>
      <c r="O1100" s="843">
        <f t="shared" si="192"/>
        <v>1.0388611004232606E-2</v>
      </c>
      <c r="P1100" s="844">
        <f t="shared" si="198"/>
        <v>1.3456345444741233E-2</v>
      </c>
      <c r="Q1100" s="830"/>
      <c r="R1100" s="845">
        <v>808.13</v>
      </c>
      <c r="S1100" s="846">
        <f t="shared" si="193"/>
        <v>1.5327981103866017E-2</v>
      </c>
      <c r="T1100" s="845">
        <v>58.72</v>
      </c>
      <c r="U1100" s="846">
        <f t="shared" si="194"/>
        <v>1.6444521377877663E-2</v>
      </c>
      <c r="V1100" s="845">
        <v>99.260099999999994</v>
      </c>
      <c r="W1100" s="846">
        <f t="shared" si="195"/>
        <v>1.7737070158781565E-2</v>
      </c>
      <c r="X1100" s="845">
        <v>27173.96</v>
      </c>
      <c r="Y1100" s="846">
        <f t="shared" si="196"/>
        <v>1.336990927614834E-2</v>
      </c>
      <c r="Z1100" s="845">
        <v>3298.4569000000001</v>
      </c>
      <c r="AA1100" s="846">
        <f t="shared" si="197"/>
        <v>1.5976559511285071E-2</v>
      </c>
    </row>
    <row r="1101" spans="1:27" ht="14.4" x14ac:dyDescent="0.55000000000000004">
      <c r="A1101" s="857" t="s">
        <v>6260</v>
      </c>
      <c r="B1101" s="842">
        <v>93.59</v>
      </c>
      <c r="C1101" s="843">
        <f t="shared" si="189"/>
        <v>7.752772693011778E-3</v>
      </c>
      <c r="D1101" s="842">
        <v>26.52</v>
      </c>
      <c r="E1101" s="843">
        <f t="shared" si="189"/>
        <v>9.1324200913240894E-3</v>
      </c>
      <c r="F1101" s="842">
        <v>21.65</v>
      </c>
      <c r="G1101" s="843">
        <f t="shared" si="189"/>
        <v>1.8509949097640366E-3</v>
      </c>
      <c r="H1101" s="842">
        <v>44.07</v>
      </c>
      <c r="I1101" s="843">
        <f t="shared" si="189"/>
        <v>1.5203870076019532E-2</v>
      </c>
      <c r="J1101" s="842">
        <v>67.14</v>
      </c>
      <c r="K1101" s="843">
        <f t="shared" si="190"/>
        <v>8.8655146506386728E-3</v>
      </c>
      <c r="L1101" s="842">
        <v>61.66</v>
      </c>
      <c r="M1101" s="843">
        <f t="shared" si="191"/>
        <v>2.6298268974700445E-2</v>
      </c>
      <c r="N1101" s="842">
        <v>51.98</v>
      </c>
      <c r="O1101" s="843">
        <f t="shared" si="192"/>
        <v>8.9285714285713969E-3</v>
      </c>
      <c r="P1101" s="844">
        <f t="shared" si="198"/>
        <v>1.1147487546289993E-2</v>
      </c>
      <c r="Q1101" s="830"/>
      <c r="R1101" s="845">
        <v>795.93</v>
      </c>
      <c r="S1101" s="846">
        <f t="shared" si="193"/>
        <v>1.3716949411584967E-2</v>
      </c>
      <c r="T1101" s="845">
        <v>57.77</v>
      </c>
      <c r="U1101" s="846">
        <f t="shared" si="194"/>
        <v>1.1202520567127561E-2</v>
      </c>
      <c r="V1101" s="845">
        <v>97.530199999999994</v>
      </c>
      <c r="W1101" s="846">
        <f t="shared" si="195"/>
        <v>7.7526428524929969E-3</v>
      </c>
      <c r="X1101" s="845">
        <v>26815.439999999999</v>
      </c>
      <c r="Y1101" s="846">
        <f t="shared" si="196"/>
        <v>1.9545546428985094E-3</v>
      </c>
      <c r="Z1101" s="845">
        <v>3246.5875999999998</v>
      </c>
      <c r="AA1101" s="846">
        <f t="shared" si="197"/>
        <v>2.9865423938135738E-3</v>
      </c>
    </row>
    <row r="1102" spans="1:27" ht="14.4" x14ac:dyDescent="0.55000000000000004">
      <c r="A1102" s="857" t="s">
        <v>6261</v>
      </c>
      <c r="B1102" s="842">
        <v>92.87</v>
      </c>
      <c r="C1102" s="843">
        <f t="shared" si="189"/>
        <v>-9.0695689287237924E-3</v>
      </c>
      <c r="D1102" s="842">
        <v>26.28</v>
      </c>
      <c r="E1102" s="843">
        <f t="shared" si="189"/>
        <v>-2.9542097488921559E-2</v>
      </c>
      <c r="F1102" s="842">
        <v>21.61</v>
      </c>
      <c r="G1102" s="843">
        <f t="shared" si="189"/>
        <v>-2.1286231884057871E-2</v>
      </c>
      <c r="H1102" s="842">
        <v>43.41</v>
      </c>
      <c r="I1102" s="843">
        <f t="shared" si="189"/>
        <v>-4.3621943159286247E-2</v>
      </c>
      <c r="J1102" s="842">
        <v>66.55</v>
      </c>
      <c r="K1102" s="843">
        <f t="shared" si="190"/>
        <v>-2.447962474347698E-2</v>
      </c>
      <c r="L1102" s="842">
        <v>60.08</v>
      </c>
      <c r="M1102" s="843">
        <f t="shared" si="191"/>
        <v>-3.5014455509155162E-2</v>
      </c>
      <c r="N1102" s="842">
        <v>51.52</v>
      </c>
      <c r="O1102" s="843">
        <f t="shared" si="192"/>
        <v>-1.5102274899636781E-2</v>
      </c>
      <c r="P1102" s="844">
        <f t="shared" si="198"/>
        <v>-2.54451709447512E-2</v>
      </c>
      <c r="Q1102" s="830"/>
      <c r="R1102" s="845">
        <v>785.16</v>
      </c>
      <c r="S1102" s="846">
        <f t="shared" si="193"/>
        <v>-1.7776498992956968E-2</v>
      </c>
      <c r="T1102" s="845">
        <v>57.13</v>
      </c>
      <c r="U1102" s="846">
        <f t="shared" si="194"/>
        <v>-1.5339538090313742E-2</v>
      </c>
      <c r="V1102" s="845">
        <v>96.779899999999998</v>
      </c>
      <c r="W1102" s="846">
        <f t="shared" si="195"/>
        <v>-9.0697143418826398E-3</v>
      </c>
      <c r="X1102" s="845">
        <v>26763.13</v>
      </c>
      <c r="Y1102" s="846">
        <f t="shared" si="196"/>
        <v>-1.924093142158978E-2</v>
      </c>
      <c r="Z1102" s="845">
        <v>3236.9204</v>
      </c>
      <c r="AA1102" s="846">
        <f t="shared" si="197"/>
        <v>-2.3720201282055542E-2</v>
      </c>
    </row>
    <row r="1103" spans="1:27" ht="14.4" x14ac:dyDescent="0.55000000000000004">
      <c r="A1103" s="857" t="s">
        <v>6262</v>
      </c>
      <c r="B1103" s="842">
        <v>93.72</v>
      </c>
      <c r="C1103" s="843">
        <f t="shared" si="189"/>
        <v>1.5714750189660842E-2</v>
      </c>
      <c r="D1103" s="842">
        <v>27.08</v>
      </c>
      <c r="E1103" s="843">
        <f t="shared" si="189"/>
        <v>-2.2107590272660849E-3</v>
      </c>
      <c r="F1103" s="842">
        <v>22.08</v>
      </c>
      <c r="G1103" s="843">
        <f t="shared" si="189"/>
        <v>-5.4054054054054612E-3</v>
      </c>
      <c r="H1103" s="842">
        <v>45.39</v>
      </c>
      <c r="I1103" s="843">
        <f t="shared" si="189"/>
        <v>7.3235685752330859E-3</v>
      </c>
      <c r="J1103" s="842">
        <v>68.22</v>
      </c>
      <c r="K1103" s="843">
        <f t="shared" si="190"/>
        <v>2.1257485029940071E-2</v>
      </c>
      <c r="L1103" s="842">
        <v>62.26</v>
      </c>
      <c r="M1103" s="843">
        <f t="shared" si="191"/>
        <v>-9.6277278562262314E-4</v>
      </c>
      <c r="N1103" s="842">
        <v>52.31</v>
      </c>
      <c r="O1103" s="843">
        <f t="shared" si="192"/>
        <v>1.2778315585672884E-2</v>
      </c>
      <c r="P1103" s="844">
        <f t="shared" si="198"/>
        <v>6.9278831660303875E-3</v>
      </c>
      <c r="Q1103" s="830"/>
      <c r="R1103" s="845">
        <v>799.37</v>
      </c>
      <c r="S1103" s="846">
        <f t="shared" si="193"/>
        <v>7.1183792773270582E-3</v>
      </c>
      <c r="T1103" s="845">
        <v>58.02</v>
      </c>
      <c r="U1103" s="846">
        <f t="shared" si="194"/>
        <v>6.2434963579605096E-3</v>
      </c>
      <c r="V1103" s="845">
        <v>97.665700000000001</v>
      </c>
      <c r="W1103" s="846">
        <f t="shared" si="195"/>
        <v>1.5715316791916401E-2</v>
      </c>
      <c r="X1103" s="845">
        <v>27288.18</v>
      </c>
      <c r="Y1103" s="846">
        <f t="shared" si="196"/>
        <v>5.1746556798550891E-3</v>
      </c>
      <c r="Z1103" s="845">
        <v>3315.5663</v>
      </c>
      <c r="AA1103" s="846">
        <f t="shared" si="197"/>
        <v>1.0517122672893064E-2</v>
      </c>
    </row>
    <row r="1104" spans="1:27" ht="14.4" x14ac:dyDescent="0.55000000000000004">
      <c r="A1104" s="857" t="s">
        <v>6263</v>
      </c>
      <c r="B1104" s="842">
        <v>92.27</v>
      </c>
      <c r="C1104" s="843">
        <f t="shared" si="189"/>
        <v>2.9347826086956186E-3</v>
      </c>
      <c r="D1104" s="842">
        <v>27.14</v>
      </c>
      <c r="E1104" s="843">
        <f t="shared" si="189"/>
        <v>-2.2058823529411686E-3</v>
      </c>
      <c r="F1104" s="842">
        <v>22.2</v>
      </c>
      <c r="G1104" s="843">
        <f t="shared" si="189"/>
        <v>1.0009099181073733E-2</v>
      </c>
      <c r="H1104" s="842">
        <v>45.06</v>
      </c>
      <c r="I1104" s="843">
        <f t="shared" si="189"/>
        <v>2.2241992882563455E-3</v>
      </c>
      <c r="J1104" s="842">
        <v>66.8</v>
      </c>
      <c r="K1104" s="843">
        <f t="shared" si="190"/>
        <v>-1.0516960450303814E-2</v>
      </c>
      <c r="L1104" s="842">
        <v>62.32</v>
      </c>
      <c r="M1104" s="843">
        <f t="shared" si="191"/>
        <v>5.1612903225806139E-3</v>
      </c>
      <c r="N1104" s="842">
        <v>51.65</v>
      </c>
      <c r="O1104" s="843">
        <f t="shared" si="192"/>
        <v>-9.7776073619632031E-3</v>
      </c>
      <c r="P1104" s="844">
        <f t="shared" si="198"/>
        <v>-3.1015410922883923E-4</v>
      </c>
      <c r="Q1104" s="830"/>
      <c r="R1104" s="845">
        <v>793.72</v>
      </c>
      <c r="S1104" s="846">
        <f t="shared" si="193"/>
        <v>-5.3010840278213678E-3</v>
      </c>
      <c r="T1104" s="845">
        <v>57.66</v>
      </c>
      <c r="U1104" s="846">
        <f t="shared" si="194"/>
        <v>-1.4695830485304318E-2</v>
      </c>
      <c r="V1104" s="845">
        <v>96.154600000000002</v>
      </c>
      <c r="W1104" s="846">
        <f t="shared" si="195"/>
        <v>2.9340807086017939E-3</v>
      </c>
      <c r="X1104" s="845">
        <v>27147.7</v>
      </c>
      <c r="Y1104" s="846">
        <f t="shared" si="196"/>
        <v>-1.8429773999165455E-2</v>
      </c>
      <c r="Z1104" s="845">
        <v>3281.0590000000002</v>
      </c>
      <c r="AA1104" s="846">
        <f t="shared" si="197"/>
        <v>-1.1570174935979116E-2</v>
      </c>
    </row>
    <row r="1105" spans="1:27" ht="14.4" x14ac:dyDescent="0.55000000000000004">
      <c r="A1105" s="857" t="s">
        <v>6264</v>
      </c>
      <c r="B1105" s="842">
        <v>92</v>
      </c>
      <c r="C1105" s="843">
        <f t="shared" si="189"/>
        <v>-1.5200171269535434E-2</v>
      </c>
      <c r="D1105" s="842">
        <v>27.2</v>
      </c>
      <c r="E1105" s="843">
        <f t="shared" si="189"/>
        <v>-2.4740050197203378E-2</v>
      </c>
      <c r="F1105" s="842">
        <v>21.98</v>
      </c>
      <c r="G1105" s="843">
        <f t="shared" si="189"/>
        <v>-1.9625334522747617E-2</v>
      </c>
      <c r="H1105" s="842">
        <v>44.96</v>
      </c>
      <c r="I1105" s="843">
        <f t="shared" si="189"/>
        <v>-1.4899211218229569E-2</v>
      </c>
      <c r="J1105" s="842">
        <v>67.510000000000005</v>
      </c>
      <c r="K1105" s="843">
        <f t="shared" si="190"/>
        <v>-2.0884699057287848E-2</v>
      </c>
      <c r="L1105" s="842">
        <v>62</v>
      </c>
      <c r="M1105" s="843">
        <f t="shared" si="191"/>
        <v>4.0485829959513442E-3</v>
      </c>
      <c r="N1105" s="842">
        <v>52.16</v>
      </c>
      <c r="O1105" s="843">
        <f t="shared" si="192"/>
        <v>-2.0653398422831426E-2</v>
      </c>
      <c r="P1105" s="844">
        <f t="shared" si="198"/>
        <v>-1.5993468813126275E-2</v>
      </c>
      <c r="Q1105" s="830"/>
      <c r="R1105" s="845">
        <v>797.95</v>
      </c>
      <c r="S1105" s="846">
        <f t="shared" si="193"/>
        <v>-1.5860682527349068E-2</v>
      </c>
      <c r="T1105" s="845">
        <v>58.52</v>
      </c>
      <c r="U1105" s="846">
        <f t="shared" si="194"/>
        <v>-1.762632197414804E-2</v>
      </c>
      <c r="V1105" s="845">
        <v>95.8733</v>
      </c>
      <c r="W1105" s="846">
        <f t="shared" si="195"/>
        <v>-1.5200337739630254E-2</v>
      </c>
      <c r="X1105" s="845">
        <v>27657.42</v>
      </c>
      <c r="Y1105" s="846">
        <f t="shared" si="196"/>
        <v>-8.764969367765385E-3</v>
      </c>
      <c r="Z1105" s="845">
        <v>3319.4657999999999</v>
      </c>
      <c r="AA1105" s="846">
        <f t="shared" si="197"/>
        <v>-1.1183821317184095E-2</v>
      </c>
    </row>
    <row r="1106" spans="1:27" ht="14.4" x14ac:dyDescent="0.55000000000000004">
      <c r="A1106" s="857" t="s">
        <v>6265</v>
      </c>
      <c r="B1106" s="842">
        <v>93.42</v>
      </c>
      <c r="C1106" s="843">
        <f t="shared" si="189"/>
        <v>-5.0058579188412278E-3</v>
      </c>
      <c r="D1106" s="842">
        <v>27.89</v>
      </c>
      <c r="E1106" s="843">
        <f t="shared" si="189"/>
        <v>-1.2743362831858396E-2</v>
      </c>
      <c r="F1106" s="842">
        <v>22.42</v>
      </c>
      <c r="G1106" s="843">
        <f t="shared" si="189"/>
        <v>7.1877807726863363E-3</v>
      </c>
      <c r="H1106" s="842">
        <v>45.64</v>
      </c>
      <c r="I1106" s="843">
        <f t="shared" si="189"/>
        <v>-7.6103500761035558E-3</v>
      </c>
      <c r="J1106" s="842">
        <v>68.95</v>
      </c>
      <c r="K1106" s="843">
        <f t="shared" si="190"/>
        <v>-1.2602033509952704E-2</v>
      </c>
      <c r="L1106" s="842">
        <v>61.75</v>
      </c>
      <c r="M1106" s="843">
        <f t="shared" si="191"/>
        <v>-6.4360418342719328E-3</v>
      </c>
      <c r="N1106" s="842">
        <v>53.26</v>
      </c>
      <c r="O1106" s="843">
        <f t="shared" si="192"/>
        <v>5.635919594213501E-4</v>
      </c>
      <c r="P1106" s="844">
        <f t="shared" si="198"/>
        <v>-5.2351819198457328E-3</v>
      </c>
      <c r="Q1106" s="830"/>
      <c r="R1106" s="845">
        <v>810.81</v>
      </c>
      <c r="S1106" s="846">
        <f t="shared" si="193"/>
        <v>-4.5426084394298849E-3</v>
      </c>
      <c r="T1106" s="845">
        <v>59.57</v>
      </c>
      <c r="U1106" s="846">
        <f t="shared" si="194"/>
        <v>-8.1585081585081598E-3</v>
      </c>
      <c r="V1106" s="845">
        <v>97.353099999999998</v>
      </c>
      <c r="W1106" s="846">
        <f t="shared" si="195"/>
        <v>-5.0059840826468527E-3</v>
      </c>
      <c r="X1106" s="845">
        <v>27901.98</v>
      </c>
      <c r="Y1106" s="846">
        <f t="shared" si="196"/>
        <v>-4.6517634250107243E-3</v>
      </c>
      <c r="Z1106" s="845">
        <v>3357.01</v>
      </c>
      <c r="AA1106" s="846">
        <f t="shared" si="197"/>
        <v>-8.4126645145415901E-3</v>
      </c>
    </row>
    <row r="1107" spans="1:27" ht="14.4" x14ac:dyDescent="0.55000000000000004">
      <c r="A1107" s="857" t="s">
        <v>6266</v>
      </c>
      <c r="B1107" s="842">
        <v>93.89</v>
      </c>
      <c r="C1107" s="843">
        <f t="shared" si="189"/>
        <v>1.6675690308608715E-2</v>
      </c>
      <c r="D1107" s="842">
        <v>28.25</v>
      </c>
      <c r="E1107" s="843">
        <f t="shared" si="189"/>
        <v>8.9285714285713969E-3</v>
      </c>
      <c r="F1107" s="842">
        <v>22.26</v>
      </c>
      <c r="G1107" s="843">
        <f t="shared" si="189"/>
        <v>6.7842605156038793E-3</v>
      </c>
      <c r="H1107" s="842">
        <v>45.99</v>
      </c>
      <c r="I1107" s="843">
        <f t="shared" si="189"/>
        <v>1.2326656394453073E-2</v>
      </c>
      <c r="J1107" s="842">
        <v>69.83</v>
      </c>
      <c r="K1107" s="843">
        <f t="shared" si="190"/>
        <v>7.3571840738604344E-3</v>
      </c>
      <c r="L1107" s="842">
        <v>62.15</v>
      </c>
      <c r="M1107" s="843">
        <f t="shared" si="191"/>
        <v>-2.7278562259307471E-3</v>
      </c>
      <c r="N1107" s="842">
        <v>53.23</v>
      </c>
      <c r="O1107" s="843">
        <f t="shared" si="192"/>
        <v>8.1439393939393145E-3</v>
      </c>
      <c r="P1107" s="844">
        <f t="shared" si="198"/>
        <v>8.212635127015153E-3</v>
      </c>
      <c r="Q1107" s="830"/>
      <c r="R1107" s="845">
        <v>814.51</v>
      </c>
      <c r="S1107" s="846">
        <f t="shared" si="193"/>
        <v>-5.0935652513802721E-3</v>
      </c>
      <c r="T1107" s="845">
        <v>60.06</v>
      </c>
      <c r="U1107" s="846">
        <f t="shared" si="194"/>
        <v>-1.3302294645826107E-3</v>
      </c>
      <c r="V1107" s="845">
        <v>97.8429</v>
      </c>
      <c r="W1107" s="846">
        <f t="shared" si="195"/>
        <v>1.667636484548729E-2</v>
      </c>
      <c r="X1107" s="845">
        <v>28032.38</v>
      </c>
      <c r="Y1107" s="846">
        <f t="shared" si="196"/>
        <v>1.3137778793810284E-3</v>
      </c>
      <c r="Z1107" s="845">
        <v>3385.491</v>
      </c>
      <c r="AA1107" s="846">
        <f t="shared" si="197"/>
        <v>-4.6189566567809148E-3</v>
      </c>
    </row>
    <row r="1108" spans="1:27" ht="14.4" x14ac:dyDescent="0.55000000000000004">
      <c r="A1108" s="857" t="s">
        <v>6267</v>
      </c>
      <c r="B1108" s="842">
        <v>92.35</v>
      </c>
      <c r="C1108" s="843">
        <f t="shared" si="189"/>
        <v>-1.0394342048864136E-2</v>
      </c>
      <c r="D1108" s="842">
        <v>28</v>
      </c>
      <c r="E1108" s="843">
        <f t="shared" si="189"/>
        <v>-1.4778325123152802E-2</v>
      </c>
      <c r="F1108" s="842">
        <v>22.11</v>
      </c>
      <c r="G1108" s="843">
        <f t="shared" si="189"/>
        <v>-1.2064343163538882E-2</v>
      </c>
      <c r="H1108" s="842">
        <v>45.43</v>
      </c>
      <c r="I1108" s="843">
        <f t="shared" si="189"/>
        <v>-1.9637462235649661E-2</v>
      </c>
      <c r="J1108" s="842">
        <v>69.319999999999993</v>
      </c>
      <c r="K1108" s="843">
        <f t="shared" si="190"/>
        <v>-9.1480846197827814E-3</v>
      </c>
      <c r="L1108" s="842">
        <v>62.32</v>
      </c>
      <c r="M1108" s="843">
        <f t="shared" si="191"/>
        <v>-8.5905186127903654E-3</v>
      </c>
      <c r="N1108" s="842">
        <v>52.8</v>
      </c>
      <c r="O1108" s="843">
        <f t="shared" si="192"/>
        <v>-1.6942841184137136E-2</v>
      </c>
      <c r="P1108" s="844">
        <f t="shared" si="198"/>
        <v>-1.3079416712559395E-2</v>
      </c>
      <c r="Q1108" s="830"/>
      <c r="R1108" s="845">
        <v>818.68</v>
      </c>
      <c r="S1108" s="846">
        <f t="shared" si="193"/>
        <v>9.5444792463066364E-3</v>
      </c>
      <c r="T1108" s="845">
        <v>60.14</v>
      </c>
      <c r="U1108" s="846">
        <f t="shared" si="194"/>
        <v>6.6956812855707426E-3</v>
      </c>
      <c r="V1108" s="845">
        <v>96.238</v>
      </c>
      <c r="W1108" s="846">
        <f t="shared" si="195"/>
        <v>-1.0394976189962102E-2</v>
      </c>
      <c r="X1108" s="845">
        <v>27995.599999999999</v>
      </c>
      <c r="Y1108" s="846">
        <f t="shared" si="196"/>
        <v>8.1090745545298049E-5</v>
      </c>
      <c r="Z1108" s="845">
        <v>3401.201</v>
      </c>
      <c r="AA1108" s="846">
        <f t="shared" si="197"/>
        <v>5.2192058167690458E-3</v>
      </c>
    </row>
    <row r="1109" spans="1:27" ht="14.4" x14ac:dyDescent="0.55000000000000004">
      <c r="A1109" s="857" t="s">
        <v>6268</v>
      </c>
      <c r="B1109" s="842">
        <v>93.32</v>
      </c>
      <c r="C1109" s="843">
        <f t="shared" si="189"/>
        <v>1.1801308872438909E-3</v>
      </c>
      <c r="D1109" s="842">
        <v>28.42</v>
      </c>
      <c r="E1109" s="843">
        <f t="shared" si="189"/>
        <v>4.5952633439378943E-3</v>
      </c>
      <c r="F1109" s="842">
        <v>22.38</v>
      </c>
      <c r="G1109" s="843">
        <f t="shared" si="189"/>
        <v>1.5426497277676976E-2</v>
      </c>
      <c r="H1109" s="842">
        <v>46.34</v>
      </c>
      <c r="I1109" s="843">
        <f t="shared" si="189"/>
        <v>2.3794073112699543E-3</v>
      </c>
      <c r="J1109" s="842">
        <v>69.959999999999994</v>
      </c>
      <c r="K1109" s="843">
        <f t="shared" si="190"/>
        <v>8.65051903114189E-3</v>
      </c>
      <c r="L1109" s="842">
        <v>62.86</v>
      </c>
      <c r="M1109" s="843">
        <f t="shared" si="191"/>
        <v>6.7264573991032695E-3</v>
      </c>
      <c r="N1109" s="842">
        <v>53.71</v>
      </c>
      <c r="O1109" s="843">
        <f t="shared" si="192"/>
        <v>2.6134030240807515E-3</v>
      </c>
      <c r="P1109" s="844">
        <f t="shared" si="198"/>
        <v>5.9388111820649469E-3</v>
      </c>
      <c r="Q1109" s="830"/>
      <c r="R1109" s="845">
        <v>810.94</v>
      </c>
      <c r="S1109" s="846">
        <f t="shared" si="193"/>
        <v>1.3763704324128545E-2</v>
      </c>
      <c r="T1109" s="845">
        <v>59.74</v>
      </c>
      <c r="U1109" s="846">
        <f t="shared" si="194"/>
        <v>1.3745121330392074E-2</v>
      </c>
      <c r="V1109" s="845">
        <v>97.248900000000006</v>
      </c>
      <c r="W1109" s="846">
        <f t="shared" si="195"/>
        <v>1.1808405278470602E-3</v>
      </c>
      <c r="X1109" s="845">
        <v>27993.33</v>
      </c>
      <c r="Y1109" s="846">
        <f t="shared" si="196"/>
        <v>1.1844656404117249E-2</v>
      </c>
      <c r="Z1109" s="845">
        <v>3383.5416</v>
      </c>
      <c r="AA1109" s="846">
        <f t="shared" si="197"/>
        <v>1.2743439308066096E-2</v>
      </c>
    </row>
    <row r="1110" spans="1:27" ht="14.4" x14ac:dyDescent="0.55000000000000004">
      <c r="A1110" s="857" t="s">
        <v>6269</v>
      </c>
      <c r="B1110" s="842">
        <v>93.21</v>
      </c>
      <c r="C1110" s="843">
        <f t="shared" si="189"/>
        <v>-1.1244298292139576E-2</v>
      </c>
      <c r="D1110" s="842">
        <v>28.29</v>
      </c>
      <c r="E1110" s="843">
        <f t="shared" si="189"/>
        <v>-1.3942140118508251E-2</v>
      </c>
      <c r="F1110" s="842">
        <v>22.04</v>
      </c>
      <c r="G1110" s="843">
        <f t="shared" si="189"/>
        <v>7.3126142595978383E-3</v>
      </c>
      <c r="H1110" s="842">
        <v>46.23</v>
      </c>
      <c r="I1110" s="843">
        <f t="shared" si="189"/>
        <v>-1.4915832090347414E-2</v>
      </c>
      <c r="J1110" s="842">
        <v>69.36</v>
      </c>
      <c r="K1110" s="843">
        <f t="shared" si="190"/>
        <v>-4.0206777713958086E-3</v>
      </c>
      <c r="L1110" s="842">
        <v>62.44</v>
      </c>
      <c r="M1110" s="843">
        <f t="shared" si="191"/>
        <v>-7.3131955484896372E-3</v>
      </c>
      <c r="N1110" s="842">
        <v>53.57</v>
      </c>
      <c r="O1110" s="843">
        <f t="shared" si="192"/>
        <v>-1.0162601626016232E-2</v>
      </c>
      <c r="P1110" s="844">
        <f t="shared" si="198"/>
        <v>-7.7551615981855827E-3</v>
      </c>
      <c r="Q1110" s="830"/>
      <c r="R1110" s="845">
        <v>799.93</v>
      </c>
      <c r="S1110" s="846">
        <f t="shared" si="193"/>
        <v>4.5081246703668754E-3</v>
      </c>
      <c r="T1110" s="845">
        <v>58.93</v>
      </c>
      <c r="U1110" s="846">
        <f t="shared" si="194"/>
        <v>2.3813573737030413E-3</v>
      </c>
      <c r="V1110" s="845">
        <v>97.134200000000007</v>
      </c>
      <c r="W1110" s="846">
        <f t="shared" si="195"/>
        <v>-1.1244029853784809E-2</v>
      </c>
      <c r="X1110" s="845">
        <v>27665.64</v>
      </c>
      <c r="Y1110" s="846">
        <f t="shared" si="196"/>
        <v>4.7598329082920721E-3</v>
      </c>
      <c r="Z1110" s="845">
        <v>3340.9661999999998</v>
      </c>
      <c r="AA1110" s="846">
        <f t="shared" si="197"/>
        <v>5.3339361151305553E-4</v>
      </c>
    </row>
    <row r="1111" spans="1:27" ht="14.4" x14ac:dyDescent="0.55000000000000004">
      <c r="A1111" s="857" t="s">
        <v>6270</v>
      </c>
      <c r="B1111" s="842">
        <v>94.27</v>
      </c>
      <c r="C1111" s="843">
        <f t="shared" si="189"/>
        <v>-2.4624935333678266E-2</v>
      </c>
      <c r="D1111" s="842">
        <v>28.69</v>
      </c>
      <c r="E1111" s="843">
        <f t="shared" si="189"/>
        <v>-1.2732278045423207E-2</v>
      </c>
      <c r="F1111" s="842">
        <v>21.88</v>
      </c>
      <c r="G1111" s="843">
        <f t="shared" si="189"/>
        <v>-1.0402532790592556E-2</v>
      </c>
      <c r="H1111" s="842">
        <v>46.93</v>
      </c>
      <c r="I1111" s="843">
        <f t="shared" si="189"/>
        <v>-2.3105745212323003E-2</v>
      </c>
      <c r="J1111" s="842">
        <v>69.64</v>
      </c>
      <c r="K1111" s="843">
        <f t="shared" si="190"/>
        <v>-2.259649122807017E-2</v>
      </c>
      <c r="L1111" s="842">
        <v>62.9</v>
      </c>
      <c r="M1111" s="843">
        <f t="shared" si="191"/>
        <v>-8.5119798234551958E-3</v>
      </c>
      <c r="N1111" s="842">
        <v>54.12</v>
      </c>
      <c r="O1111" s="843">
        <f t="shared" si="192"/>
        <v>-2.5742574257425765E-2</v>
      </c>
      <c r="P1111" s="844">
        <f t="shared" si="198"/>
        <v>-1.8245219527281167E-2</v>
      </c>
      <c r="Q1111" s="830"/>
      <c r="R1111" s="845">
        <v>796.34</v>
      </c>
      <c r="S1111" s="846">
        <f t="shared" si="193"/>
        <v>-1.626910106113566E-2</v>
      </c>
      <c r="T1111" s="845">
        <v>58.79</v>
      </c>
      <c r="U1111" s="846">
        <f t="shared" si="194"/>
        <v>-1.721832163156134E-2</v>
      </c>
      <c r="V1111" s="845">
        <v>98.238799999999998</v>
      </c>
      <c r="W1111" s="846">
        <f t="shared" si="195"/>
        <v>-2.4624946633703626E-2</v>
      </c>
      <c r="X1111" s="845">
        <v>27534.58</v>
      </c>
      <c r="Y1111" s="846">
        <f t="shared" si="196"/>
        <v>-1.4526956776317657E-2</v>
      </c>
      <c r="Z1111" s="845">
        <v>3339.1851000000001</v>
      </c>
      <c r="AA1111" s="846">
        <f t="shared" si="197"/>
        <v>-1.758602993569236E-2</v>
      </c>
    </row>
    <row r="1112" spans="1:27" ht="14.4" x14ac:dyDescent="0.55000000000000004">
      <c r="A1112" s="857" t="s">
        <v>6271</v>
      </c>
      <c r="B1112" s="842">
        <v>96.65</v>
      </c>
      <c r="C1112" s="843">
        <f t="shared" si="189"/>
        <v>5.5139409071993661E-3</v>
      </c>
      <c r="D1112" s="842">
        <v>29.06</v>
      </c>
      <c r="E1112" s="843">
        <f t="shared" si="189"/>
        <v>-1.0554988083078087E-2</v>
      </c>
      <c r="F1112" s="842">
        <v>22.11</v>
      </c>
      <c r="G1112" s="843">
        <f t="shared" si="189"/>
        <v>6.3723258989532017E-3</v>
      </c>
      <c r="H1112" s="842">
        <v>48.04</v>
      </c>
      <c r="I1112" s="843">
        <f t="shared" si="189"/>
        <v>3.3416875522138678E-3</v>
      </c>
      <c r="J1112" s="842">
        <v>71.25</v>
      </c>
      <c r="K1112" s="843">
        <f t="shared" si="190"/>
        <v>6.6402938683243207E-3</v>
      </c>
      <c r="L1112" s="842">
        <v>63.44</v>
      </c>
      <c r="M1112" s="843">
        <f t="shared" si="191"/>
        <v>4.4331855604813342E-3</v>
      </c>
      <c r="N1112" s="842">
        <v>55.55</v>
      </c>
      <c r="O1112" s="843">
        <f t="shared" si="192"/>
        <v>-8.0357142857143682E-3</v>
      </c>
      <c r="P1112" s="844">
        <f t="shared" si="198"/>
        <v>1.1015330597685194E-3</v>
      </c>
      <c r="Q1112" s="830"/>
      <c r="R1112" s="845">
        <v>809.51</v>
      </c>
      <c r="S1112" s="846">
        <f t="shared" si="193"/>
        <v>1.3623329952543672E-2</v>
      </c>
      <c r="T1112" s="845">
        <v>59.82</v>
      </c>
      <c r="U1112" s="846">
        <f t="shared" si="194"/>
        <v>1.3211382113821113E-2</v>
      </c>
      <c r="V1112" s="845">
        <v>100.71899999999999</v>
      </c>
      <c r="W1112" s="846">
        <f t="shared" si="195"/>
        <v>5.5138084812615951E-3</v>
      </c>
      <c r="X1112" s="845">
        <v>27940.47</v>
      </c>
      <c r="Y1112" s="846">
        <f t="shared" si="196"/>
        <v>1.5984209965568486E-2</v>
      </c>
      <c r="Z1112" s="845">
        <v>3398.9593</v>
      </c>
      <c r="AA1112" s="846">
        <f t="shared" si="197"/>
        <v>2.0143957572067883E-2</v>
      </c>
    </row>
    <row r="1113" spans="1:27" ht="14.4" x14ac:dyDescent="0.55000000000000004">
      <c r="A1113" s="857" t="s">
        <v>6272</v>
      </c>
      <c r="B1113" s="842">
        <v>96.12</v>
      </c>
      <c r="C1113" s="843">
        <f t="shared" si="189"/>
        <v>-1.1314544332441834E-2</v>
      </c>
      <c r="D1113" s="842">
        <v>29.37</v>
      </c>
      <c r="E1113" s="843">
        <f t="shared" si="189"/>
        <v>-1.4098690835850913E-2</v>
      </c>
      <c r="F1113" s="842">
        <v>21.97</v>
      </c>
      <c r="G1113" s="843">
        <f t="shared" si="189"/>
        <v>-1.3913824057450674E-2</v>
      </c>
      <c r="H1113" s="842">
        <v>47.88</v>
      </c>
      <c r="I1113" s="843">
        <f t="shared" si="189"/>
        <v>-4.2399999999999993E-2</v>
      </c>
      <c r="J1113" s="842">
        <v>70.78</v>
      </c>
      <c r="K1113" s="843">
        <f t="shared" si="190"/>
        <v>-3.2663659969933034E-2</v>
      </c>
      <c r="L1113" s="842">
        <v>63.16</v>
      </c>
      <c r="M1113" s="843">
        <f t="shared" si="191"/>
        <v>-8.6328676816826988E-3</v>
      </c>
      <c r="N1113" s="842">
        <v>56</v>
      </c>
      <c r="O1113" s="843">
        <f t="shared" si="192"/>
        <v>-2.5408980160111394E-2</v>
      </c>
      <c r="P1113" s="844">
        <f t="shared" si="198"/>
        <v>-2.1204652433924363E-2</v>
      </c>
      <c r="Q1113" s="830"/>
      <c r="R1113" s="845">
        <v>798.63</v>
      </c>
      <c r="S1113" s="846">
        <f t="shared" si="193"/>
        <v>-6.3083240014931707E-3</v>
      </c>
      <c r="T1113" s="845">
        <v>59.04</v>
      </c>
      <c r="U1113" s="846">
        <f t="shared" si="194"/>
        <v>-5.5583628094997284E-3</v>
      </c>
      <c r="V1113" s="845">
        <v>100.16670000000001</v>
      </c>
      <c r="W1113" s="846">
        <f t="shared" si="195"/>
        <v>-1.13144413846199E-2</v>
      </c>
      <c r="X1113" s="845">
        <v>27500.89</v>
      </c>
      <c r="Y1113" s="846">
        <f t="shared" si="196"/>
        <v>-2.2479402530310222E-2</v>
      </c>
      <c r="Z1113" s="845">
        <v>3331.8427999999999</v>
      </c>
      <c r="AA1113" s="846">
        <f t="shared" si="197"/>
        <v>-2.775666822752354E-2</v>
      </c>
    </row>
    <row r="1114" spans="1:27" ht="14.4" x14ac:dyDescent="0.55000000000000004">
      <c r="A1114" s="857" t="s">
        <v>6273</v>
      </c>
      <c r="B1114" s="842">
        <v>97.22</v>
      </c>
      <c r="C1114" s="843">
        <f t="shared" si="189"/>
        <v>-8.8694056478744177E-3</v>
      </c>
      <c r="D1114" s="842">
        <v>29.79</v>
      </c>
      <c r="E1114" s="843">
        <f t="shared" si="189"/>
        <v>-1.2595293337752778E-2</v>
      </c>
      <c r="F1114" s="842">
        <v>22.28</v>
      </c>
      <c r="G1114" s="843">
        <f t="shared" si="189"/>
        <v>-6.2444246208742671E-3</v>
      </c>
      <c r="H1114" s="842">
        <v>50</v>
      </c>
      <c r="I1114" s="843">
        <f t="shared" si="189"/>
        <v>-2.1526418786692814E-2</v>
      </c>
      <c r="J1114" s="842">
        <v>73.17</v>
      </c>
      <c r="K1114" s="843">
        <f t="shared" si="190"/>
        <v>-1.2550607287449278E-2</v>
      </c>
      <c r="L1114" s="842">
        <v>63.71</v>
      </c>
      <c r="M1114" s="843">
        <f t="shared" si="191"/>
        <v>-6.8589243959470414E-3</v>
      </c>
      <c r="N1114" s="842">
        <v>57.46</v>
      </c>
      <c r="O1114" s="843">
        <f t="shared" si="192"/>
        <v>-3.9868261397122406E-3</v>
      </c>
      <c r="P1114" s="844">
        <f t="shared" si="198"/>
        <v>-1.037598574518612E-2</v>
      </c>
      <c r="Q1114" s="830"/>
      <c r="R1114" s="845">
        <v>803.7</v>
      </c>
      <c r="S1114" s="846">
        <f t="shared" si="193"/>
        <v>-5.4694847299905369E-3</v>
      </c>
      <c r="T1114" s="845">
        <v>59.37</v>
      </c>
      <c r="U1114" s="846">
        <f t="shared" si="194"/>
        <v>-5.6941885781276458E-3</v>
      </c>
      <c r="V1114" s="845">
        <v>101.313</v>
      </c>
      <c r="W1114" s="846">
        <f t="shared" si="195"/>
        <v>-8.8701101646747604E-3</v>
      </c>
      <c r="X1114" s="845">
        <v>28133.31</v>
      </c>
      <c r="Y1114" s="846">
        <f t="shared" si="196"/>
        <v>-5.6346630388794949E-3</v>
      </c>
      <c r="Z1114" s="845">
        <v>3426.9639000000002</v>
      </c>
      <c r="AA1114" s="846">
        <f t="shared" si="197"/>
        <v>-8.1332770333777393E-3</v>
      </c>
    </row>
    <row r="1115" spans="1:27" ht="14.4" x14ac:dyDescent="0.55000000000000004">
      <c r="A1115" s="857" t="s">
        <v>6274</v>
      </c>
      <c r="B1115" s="842">
        <v>98.09</v>
      </c>
      <c r="C1115" s="843">
        <f t="shared" si="189"/>
        <v>-3.4542314335060942E-3</v>
      </c>
      <c r="D1115" s="842">
        <v>30.17</v>
      </c>
      <c r="E1115" s="843">
        <f t="shared" si="189"/>
        <v>3.3156498673747592E-4</v>
      </c>
      <c r="F1115" s="842">
        <v>22.42</v>
      </c>
      <c r="G1115" s="843">
        <f t="shared" si="189"/>
        <v>6.7355186349349339E-3</v>
      </c>
      <c r="H1115" s="842">
        <v>51.1</v>
      </c>
      <c r="I1115" s="843">
        <f t="shared" si="189"/>
        <v>1.1280427468830512E-2</v>
      </c>
      <c r="J1115" s="842">
        <v>74.099999999999994</v>
      </c>
      <c r="K1115" s="843">
        <f t="shared" si="190"/>
        <v>-4.0322580645162365E-3</v>
      </c>
      <c r="L1115" s="842">
        <v>64.150000000000006</v>
      </c>
      <c r="M1115" s="843">
        <f t="shared" si="191"/>
        <v>2.2636696955204982E-2</v>
      </c>
      <c r="N1115" s="842">
        <v>57.69</v>
      </c>
      <c r="O1115" s="843">
        <f t="shared" si="192"/>
        <v>1.5624999999999112E-3</v>
      </c>
      <c r="P1115" s="844">
        <f t="shared" si="198"/>
        <v>5.0086026496693548E-3</v>
      </c>
      <c r="Q1115" s="830"/>
      <c r="R1115" s="845">
        <v>808.12</v>
      </c>
      <c r="S1115" s="846">
        <f t="shared" si="193"/>
        <v>-1.2898812722919706E-2</v>
      </c>
      <c r="T1115" s="845">
        <v>59.71</v>
      </c>
      <c r="U1115" s="846">
        <f t="shared" si="194"/>
        <v>-1.126014240768336E-2</v>
      </c>
      <c r="V1115" s="845">
        <v>102.2197</v>
      </c>
      <c r="W1115" s="846">
        <f t="shared" si="195"/>
        <v>-3.4540916801528709E-3</v>
      </c>
      <c r="X1115" s="845">
        <v>28292.73</v>
      </c>
      <c r="Y1115" s="846">
        <f t="shared" si="196"/>
        <v>-2.7757942303396899E-2</v>
      </c>
      <c r="Z1115" s="845">
        <v>3455.0648999999999</v>
      </c>
      <c r="AA1115" s="846">
        <f t="shared" si="197"/>
        <v>-3.5125626657378062E-2</v>
      </c>
    </row>
    <row r="1116" spans="1:27" ht="14.4" x14ac:dyDescent="0.55000000000000004">
      <c r="A1116" s="857" t="s">
        <v>6275</v>
      </c>
      <c r="B1116" s="842">
        <v>98.43</v>
      </c>
      <c r="C1116" s="843">
        <f t="shared" si="189"/>
        <v>1.0263779123473205E-2</v>
      </c>
      <c r="D1116" s="842">
        <v>30.16</v>
      </c>
      <c r="E1116" s="843">
        <f t="shared" si="189"/>
        <v>1.2080536912751683E-2</v>
      </c>
      <c r="F1116" s="842">
        <v>22.27</v>
      </c>
      <c r="G1116" s="843">
        <f t="shared" si="189"/>
        <v>4.114071996259927E-2</v>
      </c>
      <c r="H1116" s="842">
        <v>50.53</v>
      </c>
      <c r="I1116" s="843">
        <f t="shared" si="189"/>
        <v>1.3437625350982696E-2</v>
      </c>
      <c r="J1116" s="842">
        <v>74.400000000000006</v>
      </c>
      <c r="K1116" s="843">
        <f t="shared" si="190"/>
        <v>2.6065370293752554E-2</v>
      </c>
      <c r="L1116" s="842">
        <v>62.73</v>
      </c>
      <c r="M1116" s="843">
        <f t="shared" si="191"/>
        <v>1.9171405361494642E-2</v>
      </c>
      <c r="N1116" s="842">
        <v>57.6</v>
      </c>
      <c r="O1116" s="843">
        <f t="shared" si="192"/>
        <v>8.5799334617404632E-3</v>
      </c>
      <c r="P1116" s="844">
        <f t="shared" si="198"/>
        <v>1.8677052923827788E-2</v>
      </c>
      <c r="Q1116" s="830"/>
      <c r="R1116" s="845">
        <v>818.68</v>
      </c>
      <c r="S1116" s="846">
        <f t="shared" si="193"/>
        <v>3.0979246423534113E-2</v>
      </c>
      <c r="T1116" s="845">
        <v>60.39</v>
      </c>
      <c r="U1116" s="846">
        <f t="shared" si="194"/>
        <v>3.1073928632405767E-2</v>
      </c>
      <c r="V1116" s="845">
        <v>102.574</v>
      </c>
      <c r="W1116" s="846">
        <f t="shared" si="195"/>
        <v>1.026376931782047E-2</v>
      </c>
      <c r="X1116" s="845">
        <v>29100.5</v>
      </c>
      <c r="Y1116" s="846">
        <f t="shared" si="196"/>
        <v>1.5878146986314956E-2</v>
      </c>
      <c r="Z1116" s="845">
        <v>3580.8443000000002</v>
      </c>
      <c r="AA1116" s="846">
        <f t="shared" si="197"/>
        <v>1.5366702117671771E-2</v>
      </c>
    </row>
    <row r="1117" spans="1:27" ht="14.4" x14ac:dyDescent="0.55000000000000004">
      <c r="A1117" s="857" t="s">
        <v>6276</v>
      </c>
      <c r="B1117" s="842">
        <v>97.43</v>
      </c>
      <c r="C1117" s="843">
        <f t="shared" si="189"/>
        <v>-2.3943097575636063E-2</v>
      </c>
      <c r="D1117" s="842">
        <v>29.8</v>
      </c>
      <c r="E1117" s="843">
        <f t="shared" si="189"/>
        <v>-1.1280690112806857E-2</v>
      </c>
      <c r="F1117" s="842">
        <v>21.39</v>
      </c>
      <c r="G1117" s="843">
        <f t="shared" si="189"/>
        <v>-3.4747292418772502E-2</v>
      </c>
      <c r="H1117" s="842">
        <v>49.86</v>
      </c>
      <c r="I1117" s="843">
        <f t="shared" si="189"/>
        <v>-2.4457053414204677E-2</v>
      </c>
      <c r="J1117" s="842">
        <v>72.510000000000005</v>
      </c>
      <c r="K1117" s="843">
        <f t="shared" si="190"/>
        <v>-2.172153264975718E-2</v>
      </c>
      <c r="L1117" s="842">
        <v>61.55</v>
      </c>
      <c r="M1117" s="843">
        <f t="shared" si="191"/>
        <v>-2.099570542389062E-2</v>
      </c>
      <c r="N1117" s="842">
        <v>57.11</v>
      </c>
      <c r="O1117" s="843">
        <f t="shared" si="192"/>
        <v>-1.8897096718776818E-2</v>
      </c>
      <c r="P1117" s="844">
        <f t="shared" si="198"/>
        <v>-2.2291781187692102E-2</v>
      </c>
      <c r="Q1117" s="830"/>
      <c r="R1117" s="845">
        <v>794.08</v>
      </c>
      <c r="S1117" s="846">
        <f t="shared" si="193"/>
        <v>-1.1379198725131379E-2</v>
      </c>
      <c r="T1117" s="845">
        <v>58.57</v>
      </c>
      <c r="U1117" s="846">
        <f t="shared" si="194"/>
        <v>-1.1476793248945127E-2</v>
      </c>
      <c r="V1117" s="845">
        <v>101.53189999999999</v>
      </c>
      <c r="W1117" s="846">
        <f t="shared" si="195"/>
        <v>-2.3942896969405658E-2</v>
      </c>
      <c r="X1117" s="845">
        <v>28645.66</v>
      </c>
      <c r="Y1117" s="846">
        <f t="shared" si="196"/>
        <v>7.5838769189642274E-3</v>
      </c>
      <c r="Z1117" s="845">
        <v>3526.6513</v>
      </c>
      <c r="AA1117" s="846">
        <f t="shared" si="197"/>
        <v>7.5258509357103431E-3</v>
      </c>
    </row>
    <row r="1118" spans="1:27" ht="14.4" x14ac:dyDescent="0.55000000000000004">
      <c r="A1118" s="857" t="s">
        <v>6277</v>
      </c>
      <c r="B1118" s="842">
        <v>99.82</v>
      </c>
      <c r="C1118" s="843">
        <f t="shared" si="189"/>
        <v>2.410122514561186E-3</v>
      </c>
      <c r="D1118" s="842">
        <v>30.14</v>
      </c>
      <c r="E1118" s="843">
        <f t="shared" si="189"/>
        <v>-8.5526315789472562E-3</v>
      </c>
      <c r="F1118" s="842">
        <v>22.16</v>
      </c>
      <c r="G1118" s="843">
        <f t="shared" si="189"/>
        <v>-8.5011185682327683E-3</v>
      </c>
      <c r="H1118" s="842">
        <v>51.11</v>
      </c>
      <c r="I1118" s="843">
        <f t="shared" si="189"/>
        <v>-1.0838010450938684E-2</v>
      </c>
      <c r="J1118" s="842">
        <v>74.12</v>
      </c>
      <c r="K1118" s="843">
        <f t="shared" si="190"/>
        <v>-3.6295200967871866E-3</v>
      </c>
      <c r="L1118" s="842">
        <v>62.87</v>
      </c>
      <c r="M1118" s="843">
        <f t="shared" si="191"/>
        <v>7.6935406315115085E-3</v>
      </c>
      <c r="N1118" s="842">
        <v>58.21</v>
      </c>
      <c r="O1118" s="843">
        <f t="shared" si="192"/>
        <v>-1.7176228100301838E-4</v>
      </c>
      <c r="P1118" s="844">
        <f t="shared" si="198"/>
        <v>-3.0841971185480315E-3</v>
      </c>
      <c r="Q1118" s="830"/>
      <c r="R1118" s="845">
        <v>803.22</v>
      </c>
      <c r="S1118" s="846">
        <f t="shared" si="193"/>
        <v>3.1096624330297917E-3</v>
      </c>
      <c r="T1118" s="845">
        <v>59.25</v>
      </c>
      <c r="U1118" s="846">
        <f t="shared" si="194"/>
        <v>3.0472320975114542E-3</v>
      </c>
      <c r="V1118" s="845">
        <v>104.02249999999999</v>
      </c>
      <c r="W1118" s="846">
        <f t="shared" si="195"/>
        <v>2.4100820642096732E-3</v>
      </c>
      <c r="X1118" s="845">
        <v>28430.05</v>
      </c>
      <c r="Y1118" s="846">
        <f t="shared" si="196"/>
        <v>-7.8111612846711864E-3</v>
      </c>
      <c r="Z1118" s="845">
        <v>3500.3085000000001</v>
      </c>
      <c r="AA1118" s="846">
        <f t="shared" si="197"/>
        <v>-2.1967410797908427E-3</v>
      </c>
    </row>
    <row r="1119" spans="1:27" ht="14.4" x14ac:dyDescent="0.55000000000000004">
      <c r="A1119" s="857" t="s">
        <v>6278</v>
      </c>
      <c r="B1119" s="842">
        <v>99.58</v>
      </c>
      <c r="C1119" s="843">
        <f t="shared" si="189"/>
        <v>6.0618306728632554E-3</v>
      </c>
      <c r="D1119" s="842">
        <v>30.4</v>
      </c>
      <c r="E1119" s="843">
        <f t="shared" si="189"/>
        <v>1.4686248331108098E-2</v>
      </c>
      <c r="F1119" s="842">
        <v>22.35</v>
      </c>
      <c r="G1119" s="843">
        <f t="shared" si="189"/>
        <v>7.6645626690712287E-3</v>
      </c>
      <c r="H1119" s="842">
        <v>51.67</v>
      </c>
      <c r="I1119" s="843">
        <f t="shared" si="189"/>
        <v>9.5740523642047215E-3</v>
      </c>
      <c r="J1119" s="842">
        <v>74.39</v>
      </c>
      <c r="K1119" s="843">
        <f t="shared" si="190"/>
        <v>6.2221019883672568E-3</v>
      </c>
      <c r="L1119" s="842">
        <v>62.39</v>
      </c>
      <c r="M1119" s="843">
        <f t="shared" si="191"/>
        <v>9.2203170494984388E-3</v>
      </c>
      <c r="N1119" s="842">
        <v>58.22</v>
      </c>
      <c r="O1119" s="843">
        <f t="shared" si="192"/>
        <v>1.2521739130434861E-2</v>
      </c>
      <c r="P1119" s="844">
        <f t="shared" si="198"/>
        <v>9.4215503150782663E-3</v>
      </c>
      <c r="Q1119" s="830"/>
      <c r="R1119" s="845">
        <v>800.73</v>
      </c>
      <c r="S1119" s="846">
        <f t="shared" si="193"/>
        <v>4.9956912163251488E-5</v>
      </c>
      <c r="T1119" s="845">
        <v>59.07</v>
      </c>
      <c r="U1119" s="846">
        <f t="shared" si="194"/>
        <v>2.8862478777589295E-3</v>
      </c>
      <c r="V1119" s="845">
        <v>103.7724</v>
      </c>
      <c r="W1119" s="846">
        <f t="shared" si="195"/>
        <v>6.0622160002561376E-3</v>
      </c>
      <c r="X1119" s="845">
        <v>28653.87</v>
      </c>
      <c r="Y1119" s="846">
        <f t="shared" si="196"/>
        <v>5.6717137665758255E-3</v>
      </c>
      <c r="Z1119" s="845">
        <v>3508.0147000000002</v>
      </c>
      <c r="AA1119" s="846">
        <f t="shared" si="197"/>
        <v>6.7338387969317903E-3</v>
      </c>
    </row>
    <row r="1120" spans="1:27" ht="14.4" x14ac:dyDescent="0.55000000000000004">
      <c r="A1120" s="857" t="s">
        <v>6279</v>
      </c>
      <c r="B1120" s="842">
        <v>98.98</v>
      </c>
      <c r="C1120" s="843">
        <f t="shared" si="189"/>
        <v>-3.2225579053373199E-3</v>
      </c>
      <c r="D1120" s="842">
        <v>29.96</v>
      </c>
      <c r="E1120" s="843">
        <f t="shared" si="189"/>
        <v>-1.6661112962346181E-3</v>
      </c>
      <c r="F1120" s="842">
        <v>22.18</v>
      </c>
      <c r="G1120" s="843">
        <f t="shared" si="189"/>
        <v>-4.5065344749894987E-4</v>
      </c>
      <c r="H1120" s="842">
        <v>51.18</v>
      </c>
      <c r="I1120" s="843">
        <f t="shared" si="189"/>
        <v>3.529411764705781E-3</v>
      </c>
      <c r="J1120" s="842">
        <v>73.930000000000007</v>
      </c>
      <c r="K1120" s="843">
        <f t="shared" si="190"/>
        <v>3.938077131993456E-3</v>
      </c>
      <c r="L1120" s="842">
        <v>61.82</v>
      </c>
      <c r="M1120" s="843">
        <f t="shared" si="191"/>
        <v>-3.3854586490408289E-3</v>
      </c>
      <c r="N1120" s="842">
        <v>57.5</v>
      </c>
      <c r="O1120" s="843">
        <f t="shared" si="192"/>
        <v>2.7903732124170411E-3</v>
      </c>
      <c r="P1120" s="844">
        <f t="shared" si="198"/>
        <v>2.1901154442922305E-4</v>
      </c>
      <c r="Q1120" s="830"/>
      <c r="R1120" s="845">
        <v>800.69</v>
      </c>
      <c r="S1120" s="846">
        <f t="shared" si="193"/>
        <v>2.2531262126201934E-3</v>
      </c>
      <c r="T1120" s="845">
        <v>58.9</v>
      </c>
      <c r="U1120" s="846">
        <f t="shared" si="194"/>
        <v>3.2362459546924072E-3</v>
      </c>
      <c r="V1120" s="845">
        <v>103.14709999999999</v>
      </c>
      <c r="W1120" s="846">
        <f t="shared" si="195"/>
        <v>-3.2228263075397834E-3</v>
      </c>
      <c r="X1120" s="845">
        <v>28492.27</v>
      </c>
      <c r="Y1120" s="846">
        <f t="shared" si="196"/>
        <v>5.6596940835638154E-3</v>
      </c>
      <c r="Z1120" s="845">
        <v>3484.5502999999999</v>
      </c>
      <c r="AA1120" s="846">
        <f t="shared" si="197"/>
        <v>1.67244832262603E-3</v>
      </c>
    </row>
    <row r="1121" spans="1:27" ht="14.4" x14ac:dyDescent="0.55000000000000004">
      <c r="A1121" s="857" t="s">
        <v>6280</v>
      </c>
      <c r="B1121" s="842">
        <v>99.3</v>
      </c>
      <c r="C1121" s="843">
        <f t="shared" si="189"/>
        <v>-1.1350059737156526E-2</v>
      </c>
      <c r="D1121" s="842">
        <v>30.01</v>
      </c>
      <c r="E1121" s="843">
        <f t="shared" si="189"/>
        <v>-3.1623104227169962E-2</v>
      </c>
      <c r="F1121" s="842">
        <v>22.19</v>
      </c>
      <c r="G1121" s="843">
        <f t="shared" si="189"/>
        <v>-2.4186455584872313E-2</v>
      </c>
      <c r="H1121" s="842">
        <v>51</v>
      </c>
      <c r="I1121" s="843">
        <f t="shared" si="189"/>
        <v>-2.9864941982119086E-2</v>
      </c>
      <c r="J1121" s="842">
        <v>73.64</v>
      </c>
      <c r="K1121" s="843">
        <f t="shared" si="190"/>
        <v>-1.4058106841611906E-2</v>
      </c>
      <c r="L1121" s="842">
        <v>62.03</v>
      </c>
      <c r="M1121" s="843">
        <f t="shared" si="191"/>
        <v>-3.6352338045673505E-2</v>
      </c>
      <c r="N1121" s="842">
        <v>57.34</v>
      </c>
      <c r="O1121" s="843">
        <f t="shared" si="192"/>
        <v>-2.7806035944387797E-2</v>
      </c>
      <c r="P1121" s="844">
        <f t="shared" si="198"/>
        <v>-2.5034434623284443E-2</v>
      </c>
      <c r="Q1121" s="830"/>
      <c r="R1121" s="845">
        <v>798.89</v>
      </c>
      <c r="S1121" s="846">
        <f t="shared" si="193"/>
        <v>-1.4689195855944748E-2</v>
      </c>
      <c r="T1121" s="845">
        <v>58.71</v>
      </c>
      <c r="U1121" s="846">
        <f t="shared" si="194"/>
        <v>-1.1116725618999457E-2</v>
      </c>
      <c r="V1121" s="845">
        <v>103.4806</v>
      </c>
      <c r="W1121" s="846">
        <f t="shared" si="195"/>
        <v>-1.1350108819646043E-2</v>
      </c>
      <c r="X1121" s="845">
        <v>28331.919999999998</v>
      </c>
      <c r="Y1121" s="846">
        <f t="shared" si="196"/>
        <v>2.9552074380037041E-3</v>
      </c>
      <c r="Z1121" s="845">
        <v>3478.7323000000001</v>
      </c>
      <c r="AA1121" s="846">
        <f t="shared" si="197"/>
        <v>1.0195718049317959E-2</v>
      </c>
    </row>
    <row r="1122" spans="1:27" ht="14.4" x14ac:dyDescent="0.55000000000000004">
      <c r="A1122" s="857" t="s">
        <v>6281</v>
      </c>
      <c r="B1122" s="842">
        <v>100.44</v>
      </c>
      <c r="C1122" s="843">
        <f t="shared" si="189"/>
        <v>-1.4424492198999106E-2</v>
      </c>
      <c r="D1122" s="842">
        <v>30.99</v>
      </c>
      <c r="E1122" s="843">
        <f t="shared" si="189"/>
        <v>-2.3937007874015759E-2</v>
      </c>
      <c r="F1122" s="842">
        <v>22.74</v>
      </c>
      <c r="G1122" s="843">
        <f t="shared" si="189"/>
        <v>-1.2592270950933626E-2</v>
      </c>
      <c r="H1122" s="842">
        <v>52.57</v>
      </c>
      <c r="I1122" s="843">
        <f t="shared" si="189"/>
        <v>-9.0480678605089349E-3</v>
      </c>
      <c r="J1122" s="842">
        <v>74.69</v>
      </c>
      <c r="K1122" s="843">
        <f t="shared" si="190"/>
        <v>-7.8374070138151897E-3</v>
      </c>
      <c r="L1122" s="842">
        <v>64.37</v>
      </c>
      <c r="M1122" s="843">
        <f t="shared" si="191"/>
        <v>-2.1435086652477953E-2</v>
      </c>
      <c r="N1122" s="842">
        <v>58.98</v>
      </c>
      <c r="O1122" s="843">
        <f t="shared" si="192"/>
        <v>-9.2390391399295169E-3</v>
      </c>
      <c r="P1122" s="844">
        <f t="shared" si="198"/>
        <v>-1.4073338812954297E-2</v>
      </c>
      <c r="Q1122" s="830"/>
      <c r="R1122" s="845">
        <v>810.8</v>
      </c>
      <c r="S1122" s="846">
        <f t="shared" si="193"/>
        <v>-8.4504286360691516E-3</v>
      </c>
      <c r="T1122" s="845">
        <v>59.37</v>
      </c>
      <c r="U1122" s="846">
        <f t="shared" si="194"/>
        <v>-9.5095095095094617E-3</v>
      </c>
      <c r="V1122" s="845">
        <v>104.6686</v>
      </c>
      <c r="W1122" s="846">
        <f t="shared" si="195"/>
        <v>-1.4424602520703877E-2</v>
      </c>
      <c r="X1122" s="845">
        <v>28248.44</v>
      </c>
      <c r="Y1122" s="846">
        <f t="shared" si="196"/>
        <v>-2.1202142398420998E-3</v>
      </c>
      <c r="Z1122" s="845">
        <v>3443.6221</v>
      </c>
      <c r="AA1122" s="846">
        <f t="shared" si="197"/>
        <v>3.5963233684574991E-3</v>
      </c>
    </row>
    <row r="1123" spans="1:27" ht="14.4" x14ac:dyDescent="0.55000000000000004">
      <c r="A1123" s="857" t="s">
        <v>6282</v>
      </c>
      <c r="B1123" s="842">
        <v>101.91</v>
      </c>
      <c r="C1123" s="843">
        <f t="shared" si="189"/>
        <v>1.0610868702895626E-2</v>
      </c>
      <c r="D1123" s="842">
        <v>31.75</v>
      </c>
      <c r="E1123" s="843">
        <f t="shared" si="189"/>
        <v>1.7628205128205066E-2</v>
      </c>
      <c r="F1123" s="842">
        <v>23.03</v>
      </c>
      <c r="G1123" s="843">
        <f t="shared" si="189"/>
        <v>1.3644366197183233E-2</v>
      </c>
      <c r="H1123" s="842">
        <v>53.05</v>
      </c>
      <c r="I1123" s="843">
        <f t="shared" si="189"/>
        <v>1.2791141657120919E-2</v>
      </c>
      <c r="J1123" s="842">
        <v>75.28</v>
      </c>
      <c r="K1123" s="843">
        <f t="shared" si="190"/>
        <v>1.8631887143998327E-3</v>
      </c>
      <c r="L1123" s="842">
        <v>65.78</v>
      </c>
      <c r="M1123" s="843">
        <f t="shared" si="191"/>
        <v>8.8957055214724523E-3</v>
      </c>
      <c r="N1123" s="842">
        <v>59.53</v>
      </c>
      <c r="O1123" s="843">
        <f t="shared" si="192"/>
        <v>1.4485344239945519E-2</v>
      </c>
      <c r="P1123" s="844">
        <f t="shared" si="198"/>
        <v>1.1416974308746093E-2</v>
      </c>
      <c r="Q1123" s="830"/>
      <c r="R1123" s="845">
        <v>817.71</v>
      </c>
      <c r="S1123" s="846">
        <f t="shared" si="193"/>
        <v>1.0004817134175781E-2</v>
      </c>
      <c r="T1123" s="845">
        <v>59.94</v>
      </c>
      <c r="U1123" s="846">
        <f t="shared" si="194"/>
        <v>8.7512622012788643E-3</v>
      </c>
      <c r="V1123" s="845">
        <v>106.20050000000001</v>
      </c>
      <c r="W1123" s="846">
        <f t="shared" si="195"/>
        <v>1.0610407715622161E-2</v>
      </c>
      <c r="X1123" s="845">
        <v>28308.46</v>
      </c>
      <c r="Y1123" s="846">
        <f t="shared" si="196"/>
        <v>1.353832912106645E-2</v>
      </c>
      <c r="Z1123" s="845">
        <v>3431.2820999999999</v>
      </c>
      <c r="AA1123" s="846">
        <f t="shared" si="197"/>
        <v>1.0044985547771113E-2</v>
      </c>
    </row>
    <row r="1124" spans="1:27" ht="14.4" x14ac:dyDescent="0.55000000000000004">
      <c r="A1124" s="857" t="s">
        <v>6283</v>
      </c>
      <c r="B1124" s="842">
        <v>100.84</v>
      </c>
      <c r="C1124" s="843">
        <f t="shared" si="189"/>
        <v>-8.456243854473966E-3</v>
      </c>
      <c r="D1124" s="842">
        <v>31.2</v>
      </c>
      <c r="E1124" s="843">
        <f t="shared" si="189"/>
        <v>-7.9491255961844365E-3</v>
      </c>
      <c r="F1124" s="842">
        <v>22.72</v>
      </c>
      <c r="G1124" s="843">
        <f t="shared" si="189"/>
        <v>-1.0883761427949445E-2</v>
      </c>
      <c r="H1124" s="842">
        <v>52.38</v>
      </c>
      <c r="I1124" s="843">
        <f t="shared" si="189"/>
        <v>-8.3301779628928152E-3</v>
      </c>
      <c r="J1124" s="842">
        <v>75.14</v>
      </c>
      <c r="K1124" s="843">
        <f t="shared" si="190"/>
        <v>1.8666666666666831E-3</v>
      </c>
      <c r="L1124" s="842">
        <v>65.2</v>
      </c>
      <c r="M1124" s="843">
        <f t="shared" si="191"/>
        <v>-8.9679282565739982E-3</v>
      </c>
      <c r="N1124" s="842">
        <v>58.68</v>
      </c>
      <c r="O1124" s="843">
        <f t="shared" si="192"/>
        <v>-1.0121457489878583E-2</v>
      </c>
      <c r="P1124" s="844">
        <f t="shared" si="198"/>
        <v>-7.5488611316123656E-3</v>
      </c>
      <c r="Q1124" s="830"/>
      <c r="R1124" s="845">
        <v>809.61</v>
      </c>
      <c r="S1124" s="846">
        <f t="shared" si="193"/>
        <v>-1.208995916554656E-3</v>
      </c>
      <c r="T1124" s="845">
        <v>59.42</v>
      </c>
      <c r="U1124" s="846">
        <f t="shared" si="194"/>
        <v>1.685772083614312E-3</v>
      </c>
      <c r="V1124" s="845">
        <v>105.0855</v>
      </c>
      <c r="W1124" s="846">
        <f t="shared" si="195"/>
        <v>-8.456176868270715E-3</v>
      </c>
      <c r="X1124" s="845">
        <v>27930.33</v>
      </c>
      <c r="Y1124" s="846">
        <f t="shared" si="196"/>
        <v>6.8710113616823332E-3</v>
      </c>
      <c r="Z1124" s="845">
        <v>3397.1577000000002</v>
      </c>
      <c r="AA1124" s="846">
        <f t="shared" si="197"/>
        <v>3.4394191604907309E-3</v>
      </c>
    </row>
    <row r="1125" spans="1:27" ht="14.4" x14ac:dyDescent="0.55000000000000004">
      <c r="A1125" s="857" t="s">
        <v>6284</v>
      </c>
      <c r="B1125" s="842">
        <v>101.7</v>
      </c>
      <c r="C1125" s="843">
        <f t="shared" si="189"/>
        <v>-9.1582229150428685E-3</v>
      </c>
      <c r="D1125" s="842">
        <v>31.45</v>
      </c>
      <c r="E1125" s="843">
        <f t="shared" si="189"/>
        <v>-2.2988505747126409E-2</v>
      </c>
      <c r="F1125" s="842">
        <v>22.97</v>
      </c>
      <c r="G1125" s="843">
        <f t="shared" si="189"/>
        <v>-2.0051194539249195E-2</v>
      </c>
      <c r="H1125" s="842">
        <v>52.82</v>
      </c>
      <c r="I1125" s="843">
        <f t="shared" si="189"/>
        <v>-6.5826593943953959E-3</v>
      </c>
      <c r="J1125" s="842">
        <v>75</v>
      </c>
      <c r="K1125" s="843">
        <f t="shared" si="190"/>
        <v>8.8781275221951894E-3</v>
      </c>
      <c r="L1125" s="842">
        <v>65.790000000000006</v>
      </c>
      <c r="M1125" s="843">
        <f t="shared" si="191"/>
        <v>-2.8499704666272829E-2</v>
      </c>
      <c r="N1125" s="842">
        <v>59.28</v>
      </c>
      <c r="O1125" s="843">
        <f t="shared" si="192"/>
        <v>-1.2493753123438256E-2</v>
      </c>
      <c r="P1125" s="844">
        <f t="shared" si="198"/>
        <v>-1.298513040904711E-2</v>
      </c>
      <c r="Q1125" s="830"/>
      <c r="R1125" s="845">
        <v>810.59</v>
      </c>
      <c r="S1125" s="846">
        <f t="shared" si="193"/>
        <v>-8.0400411180183706E-3</v>
      </c>
      <c r="T1125" s="845">
        <v>59.32</v>
      </c>
      <c r="U1125" s="846">
        <f t="shared" si="194"/>
        <v>-8.855472013366783E-3</v>
      </c>
      <c r="V1125" s="845">
        <v>105.9817</v>
      </c>
      <c r="W1125" s="846">
        <f t="shared" si="195"/>
        <v>-9.1575262805577706E-3</v>
      </c>
      <c r="X1125" s="845">
        <v>27739.73</v>
      </c>
      <c r="Y1125" s="846">
        <f t="shared" si="196"/>
        <v>1.6917705922965265E-3</v>
      </c>
      <c r="Z1125" s="845">
        <v>3385.5135</v>
      </c>
      <c r="AA1125" s="846">
        <f t="shared" si="197"/>
        <v>3.1596068127821564E-3</v>
      </c>
    </row>
    <row r="1126" spans="1:27" ht="14.4" x14ac:dyDescent="0.55000000000000004">
      <c r="A1126" s="857" t="s">
        <v>6285</v>
      </c>
      <c r="B1126" s="842">
        <v>102.64</v>
      </c>
      <c r="C1126" s="843">
        <f t="shared" si="189"/>
        <v>-3.4951456310680085E-3</v>
      </c>
      <c r="D1126" s="842">
        <v>32.19</v>
      </c>
      <c r="E1126" s="843">
        <f t="shared" si="189"/>
        <v>4.0548970679974428E-3</v>
      </c>
      <c r="F1126" s="842">
        <v>23.44</v>
      </c>
      <c r="G1126" s="843">
        <f t="shared" si="189"/>
        <v>-5.9372349448684192E-3</v>
      </c>
      <c r="H1126" s="842">
        <v>53.17</v>
      </c>
      <c r="I1126" s="843">
        <f t="shared" si="189"/>
        <v>5.864547862277858E-3</v>
      </c>
      <c r="J1126" s="842">
        <v>74.34</v>
      </c>
      <c r="K1126" s="843">
        <f t="shared" si="190"/>
        <v>-5.218787635487776E-3</v>
      </c>
      <c r="L1126" s="842">
        <v>67.72</v>
      </c>
      <c r="M1126" s="843">
        <f t="shared" si="191"/>
        <v>-5.2878965922443788E-3</v>
      </c>
      <c r="N1126" s="842">
        <v>60.03</v>
      </c>
      <c r="O1126" s="843">
        <f t="shared" si="192"/>
        <v>7.3837892263801663E-3</v>
      </c>
      <c r="P1126" s="844">
        <f t="shared" si="198"/>
        <v>-3.7654723528758794E-4</v>
      </c>
      <c r="Q1126" s="830"/>
      <c r="R1126" s="845">
        <v>817.16</v>
      </c>
      <c r="S1126" s="846">
        <f t="shared" si="193"/>
        <v>-3.9128685836878896E-3</v>
      </c>
      <c r="T1126" s="845">
        <v>59.85</v>
      </c>
      <c r="U1126" s="846">
        <f t="shared" si="194"/>
        <v>-2.9985007496251548E-3</v>
      </c>
      <c r="V1126" s="845">
        <v>106.96120000000001</v>
      </c>
      <c r="W1126" s="846">
        <f t="shared" si="195"/>
        <v>-3.4955523009900791E-3</v>
      </c>
      <c r="X1126" s="845">
        <v>27692.880000000001</v>
      </c>
      <c r="Y1126" s="846">
        <f t="shared" si="196"/>
        <v>-3.0668077371825975E-3</v>
      </c>
      <c r="Z1126" s="845">
        <v>3374.8503000000001</v>
      </c>
      <c r="AA1126" s="846">
        <f t="shared" si="197"/>
        <v>-4.4028585968095557E-3</v>
      </c>
    </row>
    <row r="1127" spans="1:27" ht="14.4" x14ac:dyDescent="0.55000000000000004">
      <c r="A1127" s="857" t="s">
        <v>6286</v>
      </c>
      <c r="B1127" s="842">
        <v>103</v>
      </c>
      <c r="C1127" s="843">
        <f t="shared" si="189"/>
        <v>-1.0756819054936639E-2</v>
      </c>
      <c r="D1127" s="842">
        <v>32.06</v>
      </c>
      <c r="E1127" s="843">
        <f t="shared" si="189"/>
        <v>-1.2931034482758452E-2</v>
      </c>
      <c r="F1127" s="842">
        <v>23.58</v>
      </c>
      <c r="G1127" s="843">
        <f t="shared" si="189"/>
        <v>-1.5859766277128706E-2</v>
      </c>
      <c r="H1127" s="842">
        <v>52.86</v>
      </c>
      <c r="I1127" s="843">
        <f t="shared" si="189"/>
        <v>-6.7643742953776842E-3</v>
      </c>
      <c r="J1127" s="842">
        <v>74.73</v>
      </c>
      <c r="K1127" s="843">
        <f t="shared" si="190"/>
        <v>-5.9856344772546421E-3</v>
      </c>
      <c r="L1127" s="842">
        <v>68.08</v>
      </c>
      <c r="M1127" s="843">
        <f t="shared" si="191"/>
        <v>-1.9726421886249179E-2</v>
      </c>
      <c r="N1127" s="842">
        <v>59.59</v>
      </c>
      <c r="O1127" s="843">
        <f t="shared" si="192"/>
        <v>-1.5692104393789208E-2</v>
      </c>
      <c r="P1127" s="844">
        <f t="shared" si="198"/>
        <v>-1.2530879266784931E-2</v>
      </c>
      <c r="Q1127" s="830"/>
      <c r="R1127" s="845">
        <v>820.37</v>
      </c>
      <c r="S1127" s="846">
        <f t="shared" si="193"/>
        <v>-4.357007621729303E-3</v>
      </c>
      <c r="T1127" s="845">
        <v>60.03</v>
      </c>
      <c r="U1127" s="846">
        <f t="shared" si="194"/>
        <v>-4.4776119402983872E-3</v>
      </c>
      <c r="V1127" s="845">
        <v>107.3364</v>
      </c>
      <c r="W1127" s="846">
        <f t="shared" si="195"/>
        <v>-1.0756335049099897E-2</v>
      </c>
      <c r="X1127" s="845">
        <v>27778.07</v>
      </c>
      <c r="Y1127" s="846">
        <f t="shared" si="196"/>
        <v>-2.4004387157293694E-3</v>
      </c>
      <c r="Z1127" s="845">
        <v>3389.7750000000001</v>
      </c>
      <c r="AA1127" s="846">
        <f t="shared" si="197"/>
        <v>2.30041735721076E-3</v>
      </c>
    </row>
    <row r="1128" spans="1:27" ht="14.4" x14ac:dyDescent="0.55000000000000004">
      <c r="A1128" s="857" t="s">
        <v>6287</v>
      </c>
      <c r="B1128" s="842">
        <v>104.12</v>
      </c>
      <c r="C1128" s="843">
        <f t="shared" si="189"/>
        <v>-3.6363636363635488E-3</v>
      </c>
      <c r="D1128" s="842">
        <v>32.479999999999997</v>
      </c>
      <c r="E1128" s="843">
        <f t="shared" si="189"/>
        <v>-9.4541018603233606E-3</v>
      </c>
      <c r="F1128" s="842">
        <v>23.96</v>
      </c>
      <c r="G1128" s="843">
        <f t="shared" si="189"/>
        <v>-6.6334991708125735E-3</v>
      </c>
      <c r="H1128" s="842">
        <v>53.22</v>
      </c>
      <c r="I1128" s="843">
        <f t="shared" si="189"/>
        <v>-5.2336448598131469E-3</v>
      </c>
      <c r="J1128" s="842">
        <v>75.180000000000007</v>
      </c>
      <c r="K1128" s="843">
        <f t="shared" si="190"/>
        <v>-3.7105751391464104E-3</v>
      </c>
      <c r="L1128" s="842">
        <v>69.45</v>
      </c>
      <c r="M1128" s="843">
        <f t="shared" si="191"/>
        <v>-1.5312632922160785E-2</v>
      </c>
      <c r="N1128" s="842">
        <v>60.54</v>
      </c>
      <c r="O1128" s="843">
        <f t="shared" si="192"/>
        <v>-3.6208031599735957E-3</v>
      </c>
      <c r="P1128" s="844">
        <f t="shared" si="198"/>
        <v>-6.8002315355133458E-3</v>
      </c>
      <c r="Q1128" s="830"/>
      <c r="R1128" s="845">
        <v>823.96</v>
      </c>
      <c r="S1128" s="846">
        <f t="shared" si="193"/>
        <v>-1.1032041412585292E-3</v>
      </c>
      <c r="T1128" s="845">
        <v>60.3</v>
      </c>
      <c r="U1128" s="846">
        <f t="shared" si="194"/>
        <v>-1.3249420337860807E-3</v>
      </c>
      <c r="V1128" s="845">
        <v>108.5035</v>
      </c>
      <c r="W1128" s="846">
        <f t="shared" si="195"/>
        <v>-3.6363803323247179E-3</v>
      </c>
      <c r="X1128" s="845">
        <v>27844.91</v>
      </c>
      <c r="Y1128" s="846">
        <f t="shared" si="196"/>
        <v>-3.0829522158517531E-3</v>
      </c>
      <c r="Z1128" s="845">
        <v>3381.9949999999999</v>
      </c>
      <c r="AA1128" s="846">
        <f t="shared" si="197"/>
        <v>2.7123081902207247E-3</v>
      </c>
    </row>
    <row r="1129" spans="1:27" ht="14.4" x14ac:dyDescent="0.55000000000000004">
      <c r="A1129" s="857" t="s">
        <v>6288</v>
      </c>
      <c r="B1129" s="842">
        <v>104.5</v>
      </c>
      <c r="C1129" s="843">
        <f t="shared" si="189"/>
        <v>-1.1470082202256204E-3</v>
      </c>
      <c r="D1129" s="842">
        <v>32.79</v>
      </c>
      <c r="E1129" s="843">
        <f t="shared" si="189"/>
        <v>-1.8264840182649067E-3</v>
      </c>
      <c r="F1129" s="842">
        <v>24.12</v>
      </c>
      <c r="G1129" s="843">
        <f t="shared" si="189"/>
        <v>-9.4455852156057896E-3</v>
      </c>
      <c r="H1129" s="842">
        <v>53.5</v>
      </c>
      <c r="I1129" s="843">
        <f t="shared" si="189"/>
        <v>-2.2379709063781172E-3</v>
      </c>
      <c r="J1129" s="842">
        <v>75.459999999999994</v>
      </c>
      <c r="K1129" s="843">
        <f t="shared" si="190"/>
        <v>-2.7752081406106077E-3</v>
      </c>
      <c r="L1129" s="842">
        <v>70.53</v>
      </c>
      <c r="M1129" s="843">
        <f t="shared" si="191"/>
        <v>-2.191096935237824E-2</v>
      </c>
      <c r="N1129" s="842">
        <v>60.76</v>
      </c>
      <c r="O1129" s="843">
        <f t="shared" si="192"/>
        <v>-7.0272920411832418E-3</v>
      </c>
      <c r="P1129" s="844">
        <f t="shared" si="198"/>
        <v>-6.6243596992352173E-3</v>
      </c>
      <c r="Q1129" s="830"/>
      <c r="R1129" s="845">
        <v>824.87</v>
      </c>
      <c r="S1129" s="846">
        <f t="shared" si="193"/>
        <v>-1.1409532712520543E-2</v>
      </c>
      <c r="T1129" s="845">
        <v>60.38</v>
      </c>
      <c r="U1129" s="846">
        <f t="shared" si="194"/>
        <v>-8.7013626662287846E-3</v>
      </c>
      <c r="V1129" s="845">
        <v>108.8995</v>
      </c>
      <c r="W1129" s="846">
        <f t="shared" si="195"/>
        <v>-1.1474474568125004E-3</v>
      </c>
      <c r="X1129" s="845">
        <v>27931.02</v>
      </c>
      <c r="Y1129" s="846">
        <f t="shared" si="196"/>
        <v>1.2295352285143224E-3</v>
      </c>
      <c r="Z1129" s="845">
        <v>3372.8467999999998</v>
      </c>
      <c r="AA1129" s="846">
        <f t="shared" si="197"/>
        <v>-1.7160597312104731E-4</v>
      </c>
    </row>
    <row r="1130" spans="1:27" ht="14.4" x14ac:dyDescent="0.55000000000000004">
      <c r="A1130" s="857" t="s">
        <v>6289</v>
      </c>
      <c r="B1130" s="842">
        <v>104.62</v>
      </c>
      <c r="C1130" s="843">
        <f t="shared" si="189"/>
        <v>-3.2393292682926234E-3</v>
      </c>
      <c r="D1130" s="842">
        <v>32.85</v>
      </c>
      <c r="E1130" s="843">
        <f t="shared" si="189"/>
        <v>-1.9110182143923571E-2</v>
      </c>
      <c r="F1130" s="842">
        <v>24.35</v>
      </c>
      <c r="G1130" s="843">
        <f t="shared" si="189"/>
        <v>-1.6161616161616155E-2</v>
      </c>
      <c r="H1130" s="842">
        <v>53.62</v>
      </c>
      <c r="I1130" s="843">
        <f t="shared" si="189"/>
        <v>-2.3848534498452589E-2</v>
      </c>
      <c r="J1130" s="842">
        <v>75.67</v>
      </c>
      <c r="K1130" s="843">
        <f t="shared" si="190"/>
        <v>-2.2982569399612629E-2</v>
      </c>
      <c r="L1130" s="842">
        <v>72.11</v>
      </c>
      <c r="M1130" s="843">
        <f t="shared" si="191"/>
        <v>-2.751180040458534E-2</v>
      </c>
      <c r="N1130" s="842">
        <v>61.19</v>
      </c>
      <c r="O1130" s="843">
        <f t="shared" si="192"/>
        <v>-1.6870179948586195E-2</v>
      </c>
      <c r="P1130" s="844">
        <f t="shared" si="198"/>
        <v>-1.8532030260724159E-2</v>
      </c>
      <c r="Q1130" s="830"/>
      <c r="R1130" s="845">
        <v>834.39</v>
      </c>
      <c r="S1130" s="846">
        <f t="shared" si="193"/>
        <v>-2.8085187752467933E-3</v>
      </c>
      <c r="T1130" s="845">
        <v>60.91</v>
      </c>
      <c r="U1130" s="846">
        <f t="shared" si="194"/>
        <v>-1.6390755613834296E-3</v>
      </c>
      <c r="V1130" s="845">
        <v>109.02460000000001</v>
      </c>
      <c r="W1130" s="846">
        <f t="shared" si="195"/>
        <v>-3.2391987851404513E-3</v>
      </c>
      <c r="X1130" s="845">
        <v>27896.720000000001</v>
      </c>
      <c r="Y1130" s="846">
        <f t="shared" si="196"/>
        <v>-2.8637973409434414E-3</v>
      </c>
      <c r="Z1130" s="845">
        <v>3373.4256999999998</v>
      </c>
      <c r="AA1130" s="846">
        <f t="shared" si="197"/>
        <v>-2.0483383110233566E-3</v>
      </c>
    </row>
    <row r="1131" spans="1:27" ht="14.4" x14ac:dyDescent="0.55000000000000004">
      <c r="A1131" s="857" t="s">
        <v>6290</v>
      </c>
      <c r="B1131" s="842">
        <v>104.96</v>
      </c>
      <c r="C1131" s="843">
        <f t="shared" si="189"/>
        <v>1.381242152033213E-2</v>
      </c>
      <c r="D1131" s="842">
        <v>33.49</v>
      </c>
      <c r="E1131" s="843">
        <f t="shared" si="189"/>
        <v>3.0144570901261325E-2</v>
      </c>
      <c r="F1131" s="842">
        <v>24.75</v>
      </c>
      <c r="G1131" s="843">
        <f t="shared" si="189"/>
        <v>1.8937834499794137E-2</v>
      </c>
      <c r="H1131" s="842">
        <v>54.93</v>
      </c>
      <c r="I1131" s="843">
        <f t="shared" si="189"/>
        <v>1.6281221091581921E-2</v>
      </c>
      <c r="J1131" s="842">
        <v>77.45</v>
      </c>
      <c r="K1131" s="843">
        <f t="shared" si="190"/>
        <v>8.9890568004169502E-3</v>
      </c>
      <c r="L1131" s="842">
        <v>74.150000000000006</v>
      </c>
      <c r="M1131" s="843">
        <f t="shared" si="191"/>
        <v>1.9804703617109176E-2</v>
      </c>
      <c r="N1131" s="842">
        <v>62.24</v>
      </c>
      <c r="O1131" s="843">
        <f t="shared" si="192"/>
        <v>-3.5222542427153503E-3</v>
      </c>
      <c r="P1131" s="844">
        <f t="shared" si="198"/>
        <v>1.4921079169682898E-2</v>
      </c>
      <c r="Q1131" s="830"/>
      <c r="R1131" s="845">
        <v>836.74</v>
      </c>
      <c r="S1131" s="846">
        <f t="shared" si="193"/>
        <v>1.7944257229406624E-2</v>
      </c>
      <c r="T1131" s="845">
        <v>61.01</v>
      </c>
      <c r="U1131" s="846">
        <f t="shared" si="194"/>
        <v>1.44662454273361E-2</v>
      </c>
      <c r="V1131" s="845">
        <v>109.3789</v>
      </c>
      <c r="W1131" s="846">
        <f t="shared" si="195"/>
        <v>1.3812382575747018E-2</v>
      </c>
      <c r="X1131" s="845">
        <v>27976.84</v>
      </c>
      <c r="Y1131" s="846">
        <f t="shared" si="196"/>
        <v>1.0471735560234174E-2</v>
      </c>
      <c r="Z1131" s="845">
        <v>3380.3498</v>
      </c>
      <c r="AA1131" s="846">
        <f t="shared" si="197"/>
        <v>1.3996716130487474E-2</v>
      </c>
    </row>
    <row r="1132" spans="1:27" ht="14.4" x14ac:dyDescent="0.55000000000000004">
      <c r="A1132" s="857" t="s">
        <v>6291</v>
      </c>
      <c r="B1132" s="842">
        <v>103.53</v>
      </c>
      <c r="C1132" s="843">
        <f t="shared" si="189"/>
        <v>-2.3670313089400263E-2</v>
      </c>
      <c r="D1132" s="842">
        <v>32.51</v>
      </c>
      <c r="E1132" s="843">
        <f t="shared" si="189"/>
        <v>-1.3952077646345207E-2</v>
      </c>
      <c r="F1132" s="842">
        <v>24.29</v>
      </c>
      <c r="G1132" s="843">
        <f t="shared" si="189"/>
        <v>-2.0959290608625558E-2</v>
      </c>
      <c r="H1132" s="842">
        <v>54.05</v>
      </c>
      <c r="I1132" s="843">
        <f t="shared" si="189"/>
        <v>-5.7027225901398193E-3</v>
      </c>
      <c r="J1132" s="842">
        <v>76.760000000000005</v>
      </c>
      <c r="K1132" s="843">
        <f t="shared" si="190"/>
        <v>-2.7283357152136922E-3</v>
      </c>
      <c r="L1132" s="842">
        <v>72.709999999999994</v>
      </c>
      <c r="M1132" s="843">
        <f t="shared" si="191"/>
        <v>-6.0150375939851397E-3</v>
      </c>
      <c r="N1132" s="842">
        <v>62.46</v>
      </c>
      <c r="O1132" s="843">
        <f t="shared" si="192"/>
        <v>2.407318247472201E-3</v>
      </c>
      <c r="P1132" s="844">
        <f t="shared" si="198"/>
        <v>-1.0088636999462497E-2</v>
      </c>
      <c r="Q1132" s="830"/>
      <c r="R1132" s="845">
        <v>821.99</v>
      </c>
      <c r="S1132" s="846">
        <f t="shared" si="193"/>
        <v>-2.2638907054445156E-2</v>
      </c>
      <c r="T1132" s="845">
        <v>60.14</v>
      </c>
      <c r="U1132" s="846">
        <f t="shared" si="194"/>
        <v>-2.1636570684886891E-2</v>
      </c>
      <c r="V1132" s="845">
        <v>107.8887</v>
      </c>
      <c r="W1132" s="846">
        <f t="shared" si="195"/>
        <v>-2.3670550674905311E-2</v>
      </c>
      <c r="X1132" s="845">
        <v>27686.91</v>
      </c>
      <c r="Y1132" s="846">
        <f t="shared" si="196"/>
        <v>-3.7612300765991202E-3</v>
      </c>
      <c r="Z1132" s="845">
        <v>3333.6891000000001</v>
      </c>
      <c r="AA1132" s="846">
        <f t="shared" si="197"/>
        <v>-7.9701882416719494E-3</v>
      </c>
    </row>
    <row r="1133" spans="1:27" ht="14.4" x14ac:dyDescent="0.55000000000000004">
      <c r="A1133" s="857" t="s">
        <v>6292</v>
      </c>
      <c r="B1133" s="842">
        <v>106.04</v>
      </c>
      <c r="C1133" s="843">
        <f t="shared" si="189"/>
        <v>3.1217481789802548E-3</v>
      </c>
      <c r="D1133" s="842">
        <v>32.97</v>
      </c>
      <c r="E1133" s="843">
        <f t="shared" si="189"/>
        <v>1.853568118628357E-2</v>
      </c>
      <c r="F1133" s="842">
        <v>24.81</v>
      </c>
      <c r="G1133" s="843">
        <f t="shared" si="189"/>
        <v>2.4242424242424399E-3</v>
      </c>
      <c r="H1133" s="842">
        <v>54.36</v>
      </c>
      <c r="I1133" s="843">
        <f t="shared" si="189"/>
        <v>-1.091703056768567E-2</v>
      </c>
      <c r="J1133" s="842">
        <v>76.97</v>
      </c>
      <c r="K1133" s="843">
        <f t="shared" si="190"/>
        <v>0</v>
      </c>
      <c r="L1133" s="842">
        <v>73.150000000000006</v>
      </c>
      <c r="M1133" s="843">
        <f t="shared" si="191"/>
        <v>3.4293552812070249E-3</v>
      </c>
      <c r="N1133" s="842">
        <v>62.31</v>
      </c>
      <c r="O1133" s="843">
        <f t="shared" si="192"/>
        <v>3.7048969072166482E-3</v>
      </c>
      <c r="P1133" s="844">
        <f t="shared" si="198"/>
        <v>2.8998419157491811E-3</v>
      </c>
      <c r="Q1133" s="830"/>
      <c r="R1133" s="845">
        <v>841.03</v>
      </c>
      <c r="S1133" s="846">
        <f t="shared" si="193"/>
        <v>-2.609015333894682E-3</v>
      </c>
      <c r="T1133" s="845">
        <v>61.47</v>
      </c>
      <c r="U1133" s="846">
        <f t="shared" si="194"/>
        <v>-3.2525613920963981E-4</v>
      </c>
      <c r="V1133" s="845">
        <v>110.5044</v>
      </c>
      <c r="W1133" s="846">
        <f t="shared" si="195"/>
        <v>3.1218086337663209E-3</v>
      </c>
      <c r="X1133" s="845">
        <v>27791.439999999999</v>
      </c>
      <c r="Y1133" s="846">
        <f t="shared" si="196"/>
        <v>1.3048289899786569E-2</v>
      </c>
      <c r="Z1133" s="845">
        <v>3360.4726999999998</v>
      </c>
      <c r="AA1133" s="846">
        <f t="shared" si="197"/>
        <v>2.7420839874110481E-3</v>
      </c>
    </row>
    <row r="1134" spans="1:27" ht="14.4" x14ac:dyDescent="0.55000000000000004">
      <c r="A1134" s="857" t="s">
        <v>6293</v>
      </c>
      <c r="B1134" s="842">
        <v>105.71</v>
      </c>
      <c r="C1134" s="843">
        <f t="shared" si="189"/>
        <v>9.6466093600762193E-3</v>
      </c>
      <c r="D1134" s="842">
        <v>32.369999999999997</v>
      </c>
      <c r="E1134" s="843">
        <f t="shared" si="189"/>
        <v>1.824473104749913E-2</v>
      </c>
      <c r="F1134" s="842">
        <v>24.75</v>
      </c>
      <c r="G1134" s="843">
        <f t="shared" si="189"/>
        <v>1.6844700082169206E-2</v>
      </c>
      <c r="H1134" s="842">
        <v>54.96</v>
      </c>
      <c r="I1134" s="843">
        <f t="shared" si="189"/>
        <v>2.4226612001490899E-2</v>
      </c>
      <c r="J1134" s="842">
        <v>76.97</v>
      </c>
      <c r="K1134" s="843">
        <f t="shared" si="190"/>
        <v>2.7362520021356085E-2</v>
      </c>
      <c r="L1134" s="842">
        <v>72.900000000000006</v>
      </c>
      <c r="M1134" s="843">
        <f t="shared" si="191"/>
        <v>3.6247334754797578E-2</v>
      </c>
      <c r="N1134" s="842">
        <v>62.08</v>
      </c>
      <c r="O1134" s="843">
        <f t="shared" si="192"/>
        <v>2.340916584240027E-2</v>
      </c>
      <c r="P1134" s="844">
        <f t="shared" si="198"/>
        <v>2.2283096158541342E-2</v>
      </c>
      <c r="Q1134" s="830"/>
      <c r="R1134" s="845">
        <v>843.23</v>
      </c>
      <c r="S1134" s="846">
        <f t="shared" si="193"/>
        <v>1.7324791583722465E-2</v>
      </c>
      <c r="T1134" s="845">
        <v>61.49</v>
      </c>
      <c r="U1134" s="846">
        <f t="shared" si="194"/>
        <v>1.8046357615894015E-2</v>
      </c>
      <c r="V1134" s="845">
        <v>110.1605</v>
      </c>
      <c r="W1134" s="846">
        <f t="shared" si="195"/>
        <v>9.6464053964877561E-3</v>
      </c>
      <c r="X1134" s="845">
        <v>27433.48</v>
      </c>
      <c r="Y1134" s="846">
        <f t="shared" si="196"/>
        <v>1.6978870981758654E-3</v>
      </c>
      <c r="Z1134" s="845">
        <v>3351.2831999999999</v>
      </c>
      <c r="AA1134" s="846">
        <f t="shared" si="197"/>
        <v>6.3514509327133872E-4</v>
      </c>
    </row>
    <row r="1135" spans="1:27" ht="14.4" x14ac:dyDescent="0.55000000000000004">
      <c r="A1135" s="857" t="s">
        <v>6294</v>
      </c>
      <c r="B1135" s="842">
        <v>104.7</v>
      </c>
      <c r="C1135" s="843">
        <f t="shared" si="189"/>
        <v>9.7405728614139431E-3</v>
      </c>
      <c r="D1135" s="842">
        <v>31.79</v>
      </c>
      <c r="E1135" s="843">
        <f t="shared" si="189"/>
        <v>2.1201413427561766E-2</v>
      </c>
      <c r="F1135" s="842">
        <v>24.34</v>
      </c>
      <c r="G1135" s="843">
        <f t="shared" si="189"/>
        <v>-8.2101806239731623E-4</v>
      </c>
      <c r="H1135" s="842">
        <v>53.66</v>
      </c>
      <c r="I1135" s="843">
        <f t="shared" si="189"/>
        <v>7.6995305164317962E-3</v>
      </c>
      <c r="J1135" s="842">
        <v>74.92</v>
      </c>
      <c r="K1135" s="843">
        <f t="shared" si="190"/>
        <v>1.0248112189859881E-2</v>
      </c>
      <c r="L1135" s="842">
        <v>70.349999999999994</v>
      </c>
      <c r="M1135" s="843">
        <f t="shared" si="191"/>
        <v>2.0304568527918621E-2</v>
      </c>
      <c r="N1135" s="842">
        <v>60.66</v>
      </c>
      <c r="O1135" s="843">
        <f t="shared" si="192"/>
        <v>-5.5737704918032982E-3</v>
      </c>
      <c r="P1135" s="844">
        <f t="shared" si="198"/>
        <v>8.9713441384264847E-3</v>
      </c>
      <c r="Q1135" s="830"/>
      <c r="R1135" s="845">
        <v>828.87</v>
      </c>
      <c r="S1135" s="846">
        <f t="shared" si="193"/>
        <v>4.2405224323636137E-3</v>
      </c>
      <c r="T1135" s="845">
        <v>60.4</v>
      </c>
      <c r="U1135" s="846">
        <f t="shared" si="194"/>
        <v>5.828476269775118E-3</v>
      </c>
      <c r="V1135" s="845">
        <v>109.108</v>
      </c>
      <c r="W1135" s="846">
        <f t="shared" si="195"/>
        <v>9.7412993705081607E-3</v>
      </c>
      <c r="X1135" s="845">
        <v>27386.98</v>
      </c>
      <c r="Y1135" s="846">
        <f t="shared" si="196"/>
        <v>6.8180013469836265E-3</v>
      </c>
      <c r="Z1135" s="845">
        <v>3349.1559999999999</v>
      </c>
      <c r="AA1135" s="846">
        <f t="shared" si="197"/>
        <v>6.4261931958000673E-3</v>
      </c>
    </row>
    <row r="1136" spans="1:27" ht="14.4" x14ac:dyDescent="0.55000000000000004">
      <c r="A1136" s="857" t="s">
        <v>6295</v>
      </c>
      <c r="B1136" s="842">
        <v>103.69</v>
      </c>
      <c r="C1136" s="843">
        <f t="shared" si="189"/>
        <v>-1.0686003243965292E-2</v>
      </c>
      <c r="D1136" s="842">
        <v>31.13</v>
      </c>
      <c r="E1136" s="843">
        <f t="shared" si="189"/>
        <v>-4.795396419437381E-3</v>
      </c>
      <c r="F1136" s="842">
        <v>24.36</v>
      </c>
      <c r="G1136" s="843">
        <f t="shared" si="189"/>
        <v>8.6956521739129933E-3</v>
      </c>
      <c r="H1136" s="842">
        <v>53.25</v>
      </c>
      <c r="I1136" s="843">
        <f t="shared" si="189"/>
        <v>-5.7879014189694544E-3</v>
      </c>
      <c r="J1136" s="842">
        <v>74.16</v>
      </c>
      <c r="K1136" s="843">
        <f t="shared" si="190"/>
        <v>-5.3648068669528426E-3</v>
      </c>
      <c r="L1136" s="842">
        <v>68.95</v>
      </c>
      <c r="M1136" s="843">
        <f t="shared" si="191"/>
        <v>-7.7709022880988465E-3</v>
      </c>
      <c r="N1136" s="842">
        <v>61</v>
      </c>
      <c r="O1136" s="843">
        <f t="shared" si="192"/>
        <v>-1.6604868611961976E-2</v>
      </c>
      <c r="P1136" s="844">
        <f t="shared" si="198"/>
        <v>-6.0448895250675427E-3</v>
      </c>
      <c r="Q1136" s="830"/>
      <c r="R1136" s="845">
        <v>825.37</v>
      </c>
      <c r="S1136" s="846">
        <f t="shared" si="193"/>
        <v>-8.5526552871506567E-3</v>
      </c>
      <c r="T1136" s="845">
        <v>60.05</v>
      </c>
      <c r="U1136" s="846">
        <f t="shared" si="194"/>
        <v>-1.2822620417557107E-2</v>
      </c>
      <c r="V1136" s="845">
        <v>108.05540000000001</v>
      </c>
      <c r="W1136" s="846">
        <f t="shared" si="195"/>
        <v>-1.0686433027596753E-2</v>
      </c>
      <c r="X1136" s="845">
        <v>27201.52</v>
      </c>
      <c r="Y1136" s="846">
        <f t="shared" si="196"/>
        <v>1.3905004646183716E-2</v>
      </c>
      <c r="Z1136" s="845">
        <v>3327.7710999999999</v>
      </c>
      <c r="AA1136" s="846">
        <f t="shared" si="197"/>
        <v>6.4308033043687374E-3</v>
      </c>
    </row>
    <row r="1137" spans="1:27" ht="14.4" x14ac:dyDescent="0.55000000000000004">
      <c r="A1137" s="857" t="s">
        <v>6296</v>
      </c>
      <c r="B1137" s="842">
        <v>104.81</v>
      </c>
      <c r="C1137" s="843">
        <f t="shared" si="189"/>
        <v>-4.7478871902003617E-3</v>
      </c>
      <c r="D1137" s="842">
        <v>31.28</v>
      </c>
      <c r="E1137" s="843">
        <f t="shared" si="189"/>
        <v>1.558441558441559E-2</v>
      </c>
      <c r="F1137" s="842">
        <v>24.15</v>
      </c>
      <c r="G1137" s="843">
        <f t="shared" si="189"/>
        <v>7.0892410341951706E-3</v>
      </c>
      <c r="H1137" s="842">
        <v>53.56</v>
      </c>
      <c r="I1137" s="843">
        <f t="shared" si="189"/>
        <v>1.2476370510396961E-2</v>
      </c>
      <c r="J1137" s="842">
        <v>74.56</v>
      </c>
      <c r="K1137" s="843">
        <f t="shared" si="190"/>
        <v>1.3413816230722908E-4</v>
      </c>
      <c r="L1137" s="842">
        <v>69.489999999999995</v>
      </c>
      <c r="M1137" s="843">
        <f t="shared" si="191"/>
        <v>2.7417027417027118E-3</v>
      </c>
      <c r="N1137" s="842">
        <v>62.03</v>
      </c>
      <c r="O1137" s="843">
        <f t="shared" si="192"/>
        <v>-1.6118633139905469E-4</v>
      </c>
      <c r="P1137" s="844">
        <f t="shared" si="198"/>
        <v>4.7309706444883205E-3</v>
      </c>
      <c r="Q1137" s="830"/>
      <c r="R1137" s="845">
        <v>832.49</v>
      </c>
      <c r="S1137" s="846">
        <f t="shared" si="193"/>
        <v>1.2342826568086274E-2</v>
      </c>
      <c r="T1137" s="845">
        <v>60.83</v>
      </c>
      <c r="U1137" s="846">
        <f t="shared" si="194"/>
        <v>1.0968921389396646E-2</v>
      </c>
      <c r="V1137" s="845">
        <v>109.2226</v>
      </c>
      <c r="W1137" s="846">
        <f t="shared" si="195"/>
        <v>-4.7474294628571112E-3</v>
      </c>
      <c r="X1137" s="845">
        <v>26828.47</v>
      </c>
      <c r="Y1137" s="846">
        <f t="shared" si="196"/>
        <v>6.153148017581378E-3</v>
      </c>
      <c r="Z1137" s="845">
        <v>3306.5075999999999</v>
      </c>
      <c r="AA1137" s="846">
        <f t="shared" si="197"/>
        <v>3.6101959641152703E-3</v>
      </c>
    </row>
    <row r="1138" spans="1:27" ht="14.4" x14ac:dyDescent="0.55000000000000004">
      <c r="A1138" s="857" t="s">
        <v>6297</v>
      </c>
      <c r="B1138" s="842">
        <v>105.31</v>
      </c>
      <c r="C1138" s="843">
        <f t="shared" si="189"/>
        <v>-6.4156995943013273E-3</v>
      </c>
      <c r="D1138" s="842">
        <v>30.8</v>
      </c>
      <c r="E1138" s="843">
        <f t="shared" si="189"/>
        <v>-8.3708950418543981E-3</v>
      </c>
      <c r="F1138" s="842">
        <v>23.98</v>
      </c>
      <c r="G1138" s="843">
        <f t="shared" si="189"/>
        <v>-1.9222903885480536E-2</v>
      </c>
      <c r="H1138" s="842">
        <v>52.9</v>
      </c>
      <c r="I1138" s="843">
        <f t="shared" si="189"/>
        <v>-1.1030099083941036E-2</v>
      </c>
      <c r="J1138" s="842">
        <v>74.55</v>
      </c>
      <c r="K1138" s="843">
        <f t="shared" si="190"/>
        <v>-1.5191545574636756E-2</v>
      </c>
      <c r="L1138" s="842">
        <v>69.3</v>
      </c>
      <c r="M1138" s="843">
        <f t="shared" si="191"/>
        <v>-4.8822515795520216E-3</v>
      </c>
      <c r="N1138" s="842">
        <v>62.04</v>
      </c>
      <c r="O1138" s="843">
        <f t="shared" si="192"/>
        <v>6.1628284138826039E-3</v>
      </c>
      <c r="P1138" s="844">
        <f t="shared" si="198"/>
        <v>-8.4215094779833532E-3</v>
      </c>
      <c r="Q1138" s="830"/>
      <c r="R1138" s="845">
        <v>822.34</v>
      </c>
      <c r="S1138" s="846">
        <f t="shared" si="193"/>
        <v>-1.0147212826654761E-2</v>
      </c>
      <c r="T1138" s="845">
        <v>60.17</v>
      </c>
      <c r="U1138" s="846">
        <f t="shared" si="194"/>
        <v>-1.0849909584086714E-2</v>
      </c>
      <c r="V1138" s="845">
        <v>109.7436</v>
      </c>
      <c r="W1138" s="846">
        <f t="shared" si="195"/>
        <v>-6.4163444310348927E-3</v>
      </c>
      <c r="X1138" s="845">
        <v>26664.400000000001</v>
      </c>
      <c r="Y1138" s="846">
        <f t="shared" si="196"/>
        <v>8.9328417394674009E-3</v>
      </c>
      <c r="Z1138" s="845">
        <v>3294.6134000000002</v>
      </c>
      <c r="AA1138" s="846">
        <f t="shared" si="197"/>
        <v>7.1805573672838463E-3</v>
      </c>
    </row>
    <row r="1139" spans="1:27" ht="14.4" x14ac:dyDescent="0.55000000000000004">
      <c r="A1139" s="857" t="s">
        <v>6298</v>
      </c>
      <c r="B1139" s="842">
        <v>105.99</v>
      </c>
      <c r="C1139" s="843">
        <f t="shared" si="189"/>
        <v>5.4069436539554427E-3</v>
      </c>
      <c r="D1139" s="842">
        <v>31.06</v>
      </c>
      <c r="E1139" s="843">
        <f t="shared" si="189"/>
        <v>-1.0197578075207159E-2</v>
      </c>
      <c r="F1139" s="842">
        <v>24.45</v>
      </c>
      <c r="G1139" s="843">
        <f t="shared" si="189"/>
        <v>-1.6333197223356022E-3</v>
      </c>
      <c r="H1139" s="842">
        <v>53.49</v>
      </c>
      <c r="I1139" s="843">
        <f t="shared" si="189"/>
        <v>-2.4244684819096918E-3</v>
      </c>
      <c r="J1139" s="842">
        <v>75.7</v>
      </c>
      <c r="K1139" s="843">
        <f t="shared" si="190"/>
        <v>-1.0974653775803533E-2</v>
      </c>
      <c r="L1139" s="842">
        <v>69.64</v>
      </c>
      <c r="M1139" s="843">
        <f t="shared" si="191"/>
        <v>-3.0064423765210346E-3</v>
      </c>
      <c r="N1139" s="842">
        <v>61.66</v>
      </c>
      <c r="O1139" s="843">
        <f t="shared" si="192"/>
        <v>-1.7840076457470655E-2</v>
      </c>
      <c r="P1139" s="844">
        <f t="shared" si="198"/>
        <v>-5.8099421764703186E-3</v>
      </c>
      <c r="Q1139" s="830"/>
      <c r="R1139" s="845">
        <v>830.77</v>
      </c>
      <c r="S1139" s="846">
        <f t="shared" si="193"/>
        <v>3.1879052805718899E-3</v>
      </c>
      <c r="T1139" s="845">
        <v>60.83</v>
      </c>
      <c r="U1139" s="846">
        <f t="shared" si="194"/>
        <v>1.6466326362589712E-3</v>
      </c>
      <c r="V1139" s="845">
        <v>110.45229999999999</v>
      </c>
      <c r="W1139" s="846">
        <f t="shared" si="195"/>
        <v>5.406965154203025E-3</v>
      </c>
      <c r="X1139" s="845">
        <v>26428.32</v>
      </c>
      <c r="Y1139" s="846">
        <f t="shared" si="196"/>
        <v>4.357814290301798E-3</v>
      </c>
      <c r="Z1139" s="845">
        <v>3271.1248999999998</v>
      </c>
      <c r="AA1139" s="846">
        <f t="shared" si="197"/>
        <v>7.6705413420870006E-3</v>
      </c>
    </row>
    <row r="1140" spans="1:27" ht="14.4" x14ac:dyDescent="0.55000000000000004">
      <c r="A1140" s="857" t="s">
        <v>6299</v>
      </c>
      <c r="B1140" s="842">
        <v>105.42</v>
      </c>
      <c r="C1140" s="843">
        <f t="shared" si="189"/>
        <v>-2.2714366837024436E-3</v>
      </c>
      <c r="D1140" s="842">
        <v>31.38</v>
      </c>
      <c r="E1140" s="843">
        <f t="shared" si="189"/>
        <v>-2.0293474867311923E-2</v>
      </c>
      <c r="F1140" s="842">
        <v>24.49</v>
      </c>
      <c r="G1140" s="843">
        <f t="shared" si="189"/>
        <v>-1.0904684975767465E-2</v>
      </c>
      <c r="H1140" s="842">
        <v>53.62</v>
      </c>
      <c r="I1140" s="843">
        <f t="shared" si="189"/>
        <v>-3.4395822078156058E-2</v>
      </c>
      <c r="J1140" s="842">
        <v>76.540000000000006</v>
      </c>
      <c r="K1140" s="843">
        <f t="shared" si="190"/>
        <v>-1.4167954662545057E-2</v>
      </c>
      <c r="L1140" s="842">
        <v>69.849999999999994</v>
      </c>
      <c r="M1140" s="843">
        <f t="shared" si="191"/>
        <v>-8.2351270765300688E-3</v>
      </c>
      <c r="N1140" s="842">
        <v>62.78</v>
      </c>
      <c r="O1140" s="843">
        <f t="shared" si="192"/>
        <v>-1.9828259172521401E-2</v>
      </c>
      <c r="P1140" s="844">
        <f t="shared" si="198"/>
        <v>-1.5728108502362059E-2</v>
      </c>
      <c r="Q1140" s="830"/>
      <c r="R1140" s="845">
        <v>828.13</v>
      </c>
      <c r="S1140" s="846">
        <f t="shared" si="193"/>
        <v>-1.0012545840571985E-3</v>
      </c>
      <c r="T1140" s="845">
        <v>60.73</v>
      </c>
      <c r="U1140" s="846">
        <f t="shared" si="194"/>
        <v>0</v>
      </c>
      <c r="V1140" s="845">
        <v>109.8583</v>
      </c>
      <c r="W1140" s="846">
        <f t="shared" si="195"/>
        <v>-2.2713980041486614E-3</v>
      </c>
      <c r="X1140" s="845">
        <v>26313.65</v>
      </c>
      <c r="Y1140" s="846">
        <f t="shared" si="196"/>
        <v>-8.5125719821382839E-3</v>
      </c>
      <c r="Z1140" s="845">
        <v>3246.2246</v>
      </c>
      <c r="AA1140" s="846">
        <f t="shared" si="197"/>
        <v>-3.7485433976207627E-3</v>
      </c>
    </row>
    <row r="1141" spans="1:27" ht="14.4" x14ac:dyDescent="0.55000000000000004">
      <c r="A1141" s="857" t="s">
        <v>6300</v>
      </c>
      <c r="B1141" s="842">
        <v>105.66</v>
      </c>
      <c r="C1141" s="843">
        <f t="shared" si="189"/>
        <v>1.0133843212237093E-2</v>
      </c>
      <c r="D1141" s="842">
        <v>32.03</v>
      </c>
      <c r="E1141" s="843">
        <f t="shared" si="189"/>
        <v>1.2326169405815435E-2</v>
      </c>
      <c r="F1141" s="842">
        <v>24.76</v>
      </c>
      <c r="G1141" s="843">
        <f t="shared" si="189"/>
        <v>3.6481556546412719E-3</v>
      </c>
      <c r="H1141" s="842">
        <v>55.53</v>
      </c>
      <c r="I1141" s="843">
        <f t="shared" si="189"/>
        <v>8.7193460490464503E-3</v>
      </c>
      <c r="J1141" s="842">
        <v>77.64</v>
      </c>
      <c r="K1141" s="843">
        <f t="shared" si="190"/>
        <v>3.3600413543553032E-3</v>
      </c>
      <c r="L1141" s="842">
        <v>70.430000000000007</v>
      </c>
      <c r="M1141" s="843">
        <f t="shared" si="191"/>
        <v>1.308975834292303E-2</v>
      </c>
      <c r="N1141" s="842">
        <v>64.05</v>
      </c>
      <c r="O1141" s="843">
        <f t="shared" si="192"/>
        <v>4.2333019755409484E-3</v>
      </c>
      <c r="P1141" s="844">
        <f t="shared" si="198"/>
        <v>7.9300879992227902E-3</v>
      </c>
      <c r="Q1141" s="830"/>
      <c r="R1141" s="845">
        <v>828.96</v>
      </c>
      <c r="S1141" s="846">
        <f t="shared" si="193"/>
        <v>4.2278944116684869E-3</v>
      </c>
      <c r="T1141" s="845">
        <v>60.73</v>
      </c>
      <c r="U1141" s="846">
        <f t="shared" si="194"/>
        <v>4.6319272125723288E-3</v>
      </c>
      <c r="V1141" s="845">
        <v>110.1084</v>
      </c>
      <c r="W1141" s="846">
        <f t="shared" si="195"/>
        <v>1.0133591672950804E-2</v>
      </c>
      <c r="X1141" s="845">
        <v>26539.57</v>
      </c>
      <c r="Y1141" s="846">
        <f t="shared" si="196"/>
        <v>6.0763599309761052E-3</v>
      </c>
      <c r="Z1141" s="845">
        <v>3258.4389999999999</v>
      </c>
      <c r="AA1141" s="846">
        <f t="shared" si="197"/>
        <v>1.2429580685669794E-2</v>
      </c>
    </row>
    <row r="1142" spans="1:27" ht="14.4" x14ac:dyDescent="0.55000000000000004">
      <c r="A1142" s="857" t="s">
        <v>6301</v>
      </c>
      <c r="B1142" s="842">
        <v>104.6</v>
      </c>
      <c r="C1142" s="843">
        <f t="shared" si="189"/>
        <v>1.9791361996685186E-2</v>
      </c>
      <c r="D1142" s="842">
        <v>31.64</v>
      </c>
      <c r="E1142" s="843">
        <f t="shared" si="189"/>
        <v>1.5404364569961526E-2</v>
      </c>
      <c r="F1142" s="842">
        <v>24.67</v>
      </c>
      <c r="G1142" s="843">
        <f t="shared" si="189"/>
        <v>1.6062602965403627E-2</v>
      </c>
      <c r="H1142" s="842">
        <v>55.05</v>
      </c>
      <c r="I1142" s="843">
        <f t="shared" si="189"/>
        <v>3.4968979131415612E-2</v>
      </c>
      <c r="J1142" s="842">
        <v>77.38</v>
      </c>
      <c r="K1142" s="843">
        <f t="shared" si="190"/>
        <v>1.2959811493650886E-2</v>
      </c>
      <c r="L1142" s="842">
        <v>69.52</v>
      </c>
      <c r="M1142" s="843">
        <f t="shared" si="191"/>
        <v>3.9784624588692807E-2</v>
      </c>
      <c r="N1142" s="842">
        <v>63.78</v>
      </c>
      <c r="O1142" s="843">
        <f t="shared" si="192"/>
        <v>4.2838456507521272E-2</v>
      </c>
      <c r="P1142" s="844">
        <f t="shared" si="198"/>
        <v>2.5972885893332989E-2</v>
      </c>
      <c r="Q1142" s="830"/>
      <c r="R1142" s="845">
        <v>825.47</v>
      </c>
      <c r="S1142" s="846">
        <f t="shared" si="193"/>
        <v>1.5313276426164313E-2</v>
      </c>
      <c r="T1142" s="845">
        <v>60.45</v>
      </c>
      <c r="U1142" s="846">
        <f t="shared" si="194"/>
        <v>1.5113350125944613E-2</v>
      </c>
      <c r="V1142" s="845">
        <v>109.0038</v>
      </c>
      <c r="W1142" s="846">
        <f t="shared" si="195"/>
        <v>1.9791689081031238E-2</v>
      </c>
      <c r="X1142" s="845">
        <v>26379.279999999999</v>
      </c>
      <c r="Y1142" s="846">
        <f t="shared" si="196"/>
        <v>-7.729613609596786E-3</v>
      </c>
      <c r="Z1142" s="845">
        <v>3218.4351999999999</v>
      </c>
      <c r="AA1142" s="846">
        <f t="shared" si="197"/>
        <v>-6.4737479827708944E-3</v>
      </c>
    </row>
    <row r="1143" spans="1:27" ht="14.4" x14ac:dyDescent="0.55000000000000004">
      <c r="A1143" s="857" t="s">
        <v>6302</v>
      </c>
      <c r="B1143" s="842">
        <v>102.57</v>
      </c>
      <c r="C1143" s="843">
        <f t="shared" si="189"/>
        <v>-4.1747572815534761E-3</v>
      </c>
      <c r="D1143" s="842">
        <v>31.16</v>
      </c>
      <c r="E1143" s="843">
        <f t="shared" si="189"/>
        <v>-1.1107584893684574E-2</v>
      </c>
      <c r="F1143" s="842">
        <v>24.28</v>
      </c>
      <c r="G1143" s="843">
        <f t="shared" si="189"/>
        <v>-1.0594947025264756E-2</v>
      </c>
      <c r="H1143" s="842">
        <v>53.19</v>
      </c>
      <c r="I1143" s="843">
        <f t="shared" si="189"/>
        <v>-6.5371684721703405E-3</v>
      </c>
      <c r="J1143" s="842">
        <v>76.39</v>
      </c>
      <c r="K1143" s="843">
        <f t="shared" si="190"/>
        <v>-1.1132686084142418E-2</v>
      </c>
      <c r="L1143" s="842">
        <v>66.86</v>
      </c>
      <c r="M1143" s="843">
        <f t="shared" si="191"/>
        <v>-4.7985191513598258E-2</v>
      </c>
      <c r="N1143" s="842">
        <v>61.16</v>
      </c>
      <c r="O1143" s="843">
        <f t="shared" si="192"/>
        <v>-3.4874546315291188E-2</v>
      </c>
      <c r="P1143" s="844">
        <f t="shared" si="198"/>
        <v>-1.8058125940815E-2</v>
      </c>
      <c r="Q1143" s="830"/>
      <c r="R1143" s="845">
        <v>813.02</v>
      </c>
      <c r="S1143" s="846">
        <f t="shared" si="193"/>
        <v>-1.5404364569961526E-2</v>
      </c>
      <c r="T1143" s="845">
        <v>59.55</v>
      </c>
      <c r="U1143" s="846">
        <f t="shared" si="194"/>
        <v>-1.21101526211016E-2</v>
      </c>
      <c r="V1143" s="845">
        <v>106.8883</v>
      </c>
      <c r="W1143" s="846">
        <f t="shared" si="195"/>
        <v>-4.1747254426270919E-3</v>
      </c>
      <c r="X1143" s="845">
        <v>26584.77</v>
      </c>
      <c r="Y1143" s="846">
        <f t="shared" si="196"/>
        <v>4.3399876486081013E-3</v>
      </c>
      <c r="Z1143" s="845">
        <v>3239.4063000000001</v>
      </c>
      <c r="AA1143" s="846">
        <f t="shared" si="197"/>
        <v>7.3940414409643385E-3</v>
      </c>
    </row>
    <row r="1144" spans="1:27" ht="14.4" x14ac:dyDescent="0.55000000000000004">
      <c r="A1144" s="857" t="s">
        <v>6303</v>
      </c>
      <c r="B1144" s="842">
        <v>103</v>
      </c>
      <c r="C1144" s="843">
        <f t="shared" si="189"/>
        <v>-6.7502410800386325E-3</v>
      </c>
      <c r="D1144" s="842">
        <v>31.51</v>
      </c>
      <c r="E1144" s="843">
        <f t="shared" si="189"/>
        <v>-2.7168879283729463E-2</v>
      </c>
      <c r="F1144" s="842">
        <v>24.54</v>
      </c>
      <c r="G1144" s="843">
        <f t="shared" si="189"/>
        <v>-8.0840743734842402E-3</v>
      </c>
      <c r="H1144" s="842">
        <v>53.54</v>
      </c>
      <c r="I1144" s="843">
        <f t="shared" si="189"/>
        <v>-2.4061246810061943E-2</v>
      </c>
      <c r="J1144" s="842">
        <v>77.25</v>
      </c>
      <c r="K1144" s="843">
        <f t="shared" si="190"/>
        <v>-2.264676113360331E-2</v>
      </c>
      <c r="L1144" s="842">
        <v>70.23</v>
      </c>
      <c r="M1144" s="843">
        <f t="shared" si="191"/>
        <v>-2.3634088697344624E-2</v>
      </c>
      <c r="N1144" s="842">
        <v>63.37</v>
      </c>
      <c r="O1144" s="843">
        <f t="shared" si="192"/>
        <v>-2.5076923076923108E-2</v>
      </c>
      <c r="P1144" s="844">
        <f t="shared" si="198"/>
        <v>-1.963174492216933E-2</v>
      </c>
      <c r="Q1144" s="830"/>
      <c r="R1144" s="845">
        <v>825.74</v>
      </c>
      <c r="S1144" s="846">
        <f t="shared" si="193"/>
        <v>-5.9708679426989653E-3</v>
      </c>
      <c r="T1144" s="845">
        <v>60.28</v>
      </c>
      <c r="U1144" s="846">
        <f t="shared" si="194"/>
        <v>-6.5919578114699284E-3</v>
      </c>
      <c r="V1144" s="845">
        <v>107.3364</v>
      </c>
      <c r="W1144" s="846">
        <f t="shared" si="195"/>
        <v>-6.750510568088508E-3</v>
      </c>
      <c r="X1144" s="845">
        <v>26469.891</v>
      </c>
      <c r="Y1144" s="846">
        <f t="shared" si="196"/>
        <v>-6.8451426198010701E-3</v>
      </c>
      <c r="Z1144" s="845">
        <v>3215.6298000000002</v>
      </c>
      <c r="AA1144" s="846">
        <f t="shared" si="197"/>
        <v>-6.1914354992199661E-3</v>
      </c>
    </row>
    <row r="1145" spans="1:27" ht="14.4" x14ac:dyDescent="0.55000000000000004">
      <c r="A1145" s="857" t="s">
        <v>6304</v>
      </c>
      <c r="B1145" s="842">
        <v>103.7</v>
      </c>
      <c r="C1145" s="843">
        <f t="shared" si="189"/>
        <v>-3.1721618763818071E-3</v>
      </c>
      <c r="D1145" s="842">
        <v>32.39</v>
      </c>
      <c r="E1145" s="843">
        <f t="shared" si="189"/>
        <v>1.0923845193508086E-2</v>
      </c>
      <c r="F1145" s="842">
        <v>24.74</v>
      </c>
      <c r="G1145" s="843">
        <f t="shared" si="189"/>
        <v>4.0584415584414835E-3</v>
      </c>
      <c r="H1145" s="842">
        <v>54.86</v>
      </c>
      <c r="I1145" s="843">
        <f t="shared" si="189"/>
        <v>5.8672533920058889E-3</v>
      </c>
      <c r="J1145" s="842">
        <v>79.040000000000006</v>
      </c>
      <c r="K1145" s="843">
        <f t="shared" si="190"/>
        <v>1.7245817245817197E-2</v>
      </c>
      <c r="L1145" s="842">
        <v>71.930000000000007</v>
      </c>
      <c r="M1145" s="843">
        <f t="shared" si="191"/>
        <v>-3.1873614190686128E-3</v>
      </c>
      <c r="N1145" s="842">
        <v>65</v>
      </c>
      <c r="O1145" s="843">
        <f t="shared" si="192"/>
        <v>-3.5259849762380169E-3</v>
      </c>
      <c r="P1145" s="844">
        <f t="shared" si="198"/>
        <v>4.0299784454406028E-3</v>
      </c>
      <c r="Q1145" s="830"/>
      <c r="R1145" s="845">
        <v>830.7</v>
      </c>
      <c r="S1145" s="846">
        <f t="shared" si="193"/>
        <v>1.4466546112115175E-3</v>
      </c>
      <c r="T1145" s="845">
        <v>60.68</v>
      </c>
      <c r="U1145" s="846">
        <f t="shared" si="194"/>
        <v>1.1549249298794528E-3</v>
      </c>
      <c r="V1145" s="845">
        <v>108.0659</v>
      </c>
      <c r="W1145" s="846">
        <f t="shared" si="195"/>
        <v>-3.1722224374549635E-3</v>
      </c>
      <c r="X1145" s="845">
        <v>26652.33</v>
      </c>
      <c r="Y1145" s="846">
        <f t="shared" si="196"/>
        <v>-1.3090131615976386E-2</v>
      </c>
      <c r="Z1145" s="845">
        <v>3235.6632</v>
      </c>
      <c r="AA1145" s="846">
        <f t="shared" si="197"/>
        <v>-1.231764435826932E-2</v>
      </c>
    </row>
    <row r="1146" spans="1:27" ht="14.4" x14ac:dyDescent="0.55000000000000004">
      <c r="A1146" s="857" t="s">
        <v>6305</v>
      </c>
      <c r="B1146" s="842">
        <v>104.03</v>
      </c>
      <c r="C1146" s="843">
        <f t="shared" si="189"/>
        <v>1.8404307391091557E-2</v>
      </c>
      <c r="D1146" s="842">
        <v>32.04</v>
      </c>
      <c r="E1146" s="843">
        <f t="shared" si="189"/>
        <v>1.8112488083889433E-2</v>
      </c>
      <c r="F1146" s="842">
        <v>24.64</v>
      </c>
      <c r="G1146" s="843">
        <f t="shared" si="189"/>
        <v>3.4859302813943893E-2</v>
      </c>
      <c r="H1146" s="842">
        <v>54.54</v>
      </c>
      <c r="I1146" s="843">
        <f t="shared" si="189"/>
        <v>2.1539614159955089E-2</v>
      </c>
      <c r="J1146" s="842">
        <v>77.7</v>
      </c>
      <c r="K1146" s="843">
        <f t="shared" si="190"/>
        <v>2.3985239852398532E-2</v>
      </c>
      <c r="L1146" s="842">
        <v>72.16</v>
      </c>
      <c r="M1146" s="843">
        <f t="shared" si="191"/>
        <v>1.1210762331838486E-2</v>
      </c>
      <c r="N1146" s="842">
        <v>65.23</v>
      </c>
      <c r="O1146" s="843">
        <f t="shared" si="192"/>
        <v>1.8264127380580808E-2</v>
      </c>
      <c r="P1146" s="844">
        <f t="shared" si="198"/>
        <v>2.0910834573385401E-2</v>
      </c>
      <c r="Q1146" s="830"/>
      <c r="R1146" s="845">
        <v>829.5</v>
      </c>
      <c r="S1146" s="846">
        <f t="shared" si="193"/>
        <v>1.1005886869720927E-2</v>
      </c>
      <c r="T1146" s="845">
        <v>60.61</v>
      </c>
      <c r="U1146" s="846">
        <f t="shared" si="194"/>
        <v>1.5412966996146693E-2</v>
      </c>
      <c r="V1146" s="845">
        <v>108.4098</v>
      </c>
      <c r="W1146" s="846">
        <f t="shared" si="195"/>
        <v>1.8404781184887753E-2</v>
      </c>
      <c r="X1146" s="845">
        <v>27005.84</v>
      </c>
      <c r="Y1146" s="846">
        <f t="shared" si="196"/>
        <v>6.1638425656844742E-3</v>
      </c>
      <c r="Z1146" s="845">
        <v>3276.0160000000001</v>
      </c>
      <c r="AA1146" s="846">
        <f t="shared" si="197"/>
        <v>5.7464806720171069E-3</v>
      </c>
    </row>
    <row r="1147" spans="1:27" ht="14.4" x14ac:dyDescent="0.55000000000000004">
      <c r="A1147" s="857" t="s">
        <v>6306</v>
      </c>
      <c r="B1147" s="842">
        <v>102.15</v>
      </c>
      <c r="C1147" s="843">
        <f t="shared" si="189"/>
        <v>2.3444544634806164E-2</v>
      </c>
      <c r="D1147" s="842">
        <v>31.47</v>
      </c>
      <c r="E1147" s="843">
        <f t="shared" si="189"/>
        <v>2.7759634225996033E-2</v>
      </c>
      <c r="F1147" s="842">
        <v>23.81</v>
      </c>
      <c r="G1147" s="843">
        <f t="shared" si="189"/>
        <v>2.5263157894737098E-3</v>
      </c>
      <c r="H1147" s="842">
        <v>53.39</v>
      </c>
      <c r="I1147" s="843">
        <f t="shared" si="189"/>
        <v>2.1818181818181737E-2</v>
      </c>
      <c r="J1147" s="842">
        <v>75.88</v>
      </c>
      <c r="K1147" s="843">
        <f t="shared" si="190"/>
        <v>2.6931925835701698E-2</v>
      </c>
      <c r="L1147" s="842">
        <v>71.36</v>
      </c>
      <c r="M1147" s="843">
        <f t="shared" si="191"/>
        <v>1.1194558594303627E-2</v>
      </c>
      <c r="N1147" s="842">
        <v>64.06</v>
      </c>
      <c r="O1147" s="843">
        <f t="shared" si="192"/>
        <v>2.1201976725649718E-2</v>
      </c>
      <c r="P1147" s="844">
        <f t="shared" si="198"/>
        <v>1.9268162517730385E-2</v>
      </c>
      <c r="Q1147" s="830"/>
      <c r="R1147" s="845">
        <v>820.47</v>
      </c>
      <c r="S1147" s="846">
        <f t="shared" si="193"/>
        <v>4.198080877313215E-3</v>
      </c>
      <c r="T1147" s="845">
        <v>59.69</v>
      </c>
      <c r="U1147" s="846">
        <f t="shared" si="194"/>
        <v>4.5439246045102522E-3</v>
      </c>
      <c r="V1147" s="845">
        <v>106.45059999999999</v>
      </c>
      <c r="W1147" s="846">
        <f t="shared" si="195"/>
        <v>2.3444387720274795E-2</v>
      </c>
      <c r="X1147" s="845">
        <v>26840.400000000001</v>
      </c>
      <c r="Y1147" s="846">
        <f t="shared" si="196"/>
        <v>5.9791903337484964E-3</v>
      </c>
      <c r="Z1147" s="845">
        <v>3257.2979999999998</v>
      </c>
      <c r="AA1147" s="846">
        <f t="shared" si="197"/>
        <v>1.6777874915883118E-3</v>
      </c>
    </row>
    <row r="1148" spans="1:27" ht="14.4" x14ac:dyDescent="0.55000000000000004">
      <c r="A1148" s="857" t="s">
        <v>6307</v>
      </c>
      <c r="B1148" s="842">
        <v>99.81</v>
      </c>
      <c r="C1148" s="843">
        <f t="shared" si="189"/>
        <v>-1.2368889768454405E-2</v>
      </c>
      <c r="D1148" s="842">
        <v>30.62</v>
      </c>
      <c r="E1148" s="843">
        <f t="shared" si="189"/>
        <v>-4.07268170426065E-2</v>
      </c>
      <c r="F1148" s="842">
        <v>23.75</v>
      </c>
      <c r="G1148" s="843">
        <f t="shared" si="189"/>
        <v>-2.4239934264585039E-2</v>
      </c>
      <c r="H1148" s="842">
        <v>52.25</v>
      </c>
      <c r="I1148" s="843">
        <f t="shared" si="189"/>
        <v>-2.2267964071856272E-2</v>
      </c>
      <c r="J1148" s="842">
        <v>73.89</v>
      </c>
      <c r="K1148" s="843">
        <f t="shared" si="190"/>
        <v>-1.5456362425049885E-2</v>
      </c>
      <c r="L1148" s="842">
        <v>70.569999999999993</v>
      </c>
      <c r="M1148" s="843">
        <f t="shared" si="191"/>
        <v>-2.0813098376578298E-2</v>
      </c>
      <c r="N1148" s="842">
        <v>62.73</v>
      </c>
      <c r="O1148" s="843">
        <f t="shared" si="192"/>
        <v>-2.7743335399875946E-2</v>
      </c>
      <c r="P1148" s="844">
        <f t="shared" si="198"/>
        <v>-2.3373771621286621E-2</v>
      </c>
      <c r="Q1148" s="830"/>
      <c r="R1148" s="845">
        <v>817.04</v>
      </c>
      <c r="S1148" s="846">
        <f t="shared" si="193"/>
        <v>-1.3951243060584151E-2</v>
      </c>
      <c r="T1148" s="845">
        <v>59.42</v>
      </c>
      <c r="U1148" s="846">
        <f t="shared" si="194"/>
        <v>-1.312074406244812E-2</v>
      </c>
      <c r="V1148" s="845">
        <v>104.0121</v>
      </c>
      <c r="W1148" s="846">
        <f t="shared" si="195"/>
        <v>-1.2368643693615455E-2</v>
      </c>
      <c r="X1148" s="845">
        <v>26680.87</v>
      </c>
      <c r="Y1148" s="846">
        <f t="shared" si="196"/>
        <v>3.3443374031505435E-4</v>
      </c>
      <c r="Z1148" s="845">
        <v>3251.8420999999998</v>
      </c>
      <c r="AA1148" s="846">
        <f t="shared" si="197"/>
        <v>8.4073377041995467E-3</v>
      </c>
    </row>
    <row r="1149" spans="1:27" ht="14.4" x14ac:dyDescent="0.55000000000000004">
      <c r="A1149" s="857" t="s">
        <v>6308</v>
      </c>
      <c r="B1149" s="842">
        <v>101.06</v>
      </c>
      <c r="C1149" s="843">
        <f t="shared" si="189"/>
        <v>5.0721034311287383E-3</v>
      </c>
      <c r="D1149" s="842">
        <v>31.92</v>
      </c>
      <c r="E1149" s="843">
        <f t="shared" si="189"/>
        <v>1.5267175572519109E-2</v>
      </c>
      <c r="F1149" s="842">
        <v>24.34</v>
      </c>
      <c r="G1149" s="843">
        <f t="shared" si="189"/>
        <v>2.0545073375261902E-2</v>
      </c>
      <c r="H1149" s="842">
        <v>53.44</v>
      </c>
      <c r="I1149" s="843">
        <f t="shared" si="189"/>
        <v>1.6549362754422647E-2</v>
      </c>
      <c r="J1149" s="842">
        <v>75.05</v>
      </c>
      <c r="K1149" s="843">
        <f t="shared" si="190"/>
        <v>3.6105910671302421E-3</v>
      </c>
      <c r="L1149" s="842">
        <v>72.069999999999993</v>
      </c>
      <c r="M1149" s="843">
        <f t="shared" si="191"/>
        <v>1.321523970195404E-2</v>
      </c>
      <c r="N1149" s="842">
        <v>64.52</v>
      </c>
      <c r="O1149" s="843">
        <f t="shared" si="192"/>
        <v>7.7555452148292403E-4</v>
      </c>
      <c r="P1149" s="844">
        <f t="shared" si="198"/>
        <v>1.0719300060557086E-2</v>
      </c>
      <c r="Q1149" s="830"/>
      <c r="R1149" s="845">
        <v>828.6</v>
      </c>
      <c r="S1149" s="846">
        <f t="shared" si="193"/>
        <v>2.3569522680106703E-2</v>
      </c>
      <c r="T1149" s="845">
        <v>60.21</v>
      </c>
      <c r="U1149" s="846">
        <f t="shared" si="194"/>
        <v>2.2588315217391353E-2</v>
      </c>
      <c r="V1149" s="845">
        <v>105.3147</v>
      </c>
      <c r="W1149" s="846">
        <f t="shared" si="195"/>
        <v>5.0723780147963193E-3</v>
      </c>
      <c r="X1149" s="845">
        <v>26671.95</v>
      </c>
      <c r="Y1149" s="846">
        <f t="shared" si="196"/>
        <v>-2.3475100347076783E-3</v>
      </c>
      <c r="Z1149" s="845">
        <v>3224.7307000000001</v>
      </c>
      <c r="AA1149" s="846">
        <f t="shared" si="197"/>
        <v>2.8476097891076968E-3</v>
      </c>
    </row>
    <row r="1150" spans="1:27" ht="14.4" x14ac:dyDescent="0.55000000000000004">
      <c r="A1150" s="857" t="s">
        <v>6309</v>
      </c>
      <c r="B1150" s="842">
        <v>100.55</v>
      </c>
      <c r="C1150" s="843">
        <f t="shared" si="189"/>
        <v>-8.9427662957075604E-4</v>
      </c>
      <c r="D1150" s="842">
        <v>31.44</v>
      </c>
      <c r="E1150" s="843">
        <f t="shared" si="189"/>
        <v>-1.9338739862757359E-2</v>
      </c>
      <c r="F1150" s="842">
        <v>23.85</v>
      </c>
      <c r="G1150" s="843">
        <f t="shared" si="189"/>
        <v>5.4806070826307618E-3</v>
      </c>
      <c r="H1150" s="842">
        <v>52.57</v>
      </c>
      <c r="I1150" s="843">
        <f t="shared" si="189"/>
        <v>-3.4123222748815296E-3</v>
      </c>
      <c r="J1150" s="842">
        <v>74.78</v>
      </c>
      <c r="K1150" s="843">
        <f t="shared" si="190"/>
        <v>-8.7486744432661023E-3</v>
      </c>
      <c r="L1150" s="842">
        <v>71.13</v>
      </c>
      <c r="M1150" s="843">
        <f t="shared" si="191"/>
        <v>-9.4694332265702341E-3</v>
      </c>
      <c r="N1150" s="842">
        <v>64.47</v>
      </c>
      <c r="O1150" s="843">
        <f t="shared" si="192"/>
        <v>-6.7786165459867709E-3</v>
      </c>
      <c r="P1150" s="844">
        <f t="shared" si="198"/>
        <v>-6.1659222714859985E-3</v>
      </c>
      <c r="Q1150" s="830"/>
      <c r="R1150" s="845">
        <v>809.52</v>
      </c>
      <c r="S1150" s="846">
        <f t="shared" si="193"/>
        <v>1.6384797920825589E-2</v>
      </c>
      <c r="T1150" s="845">
        <v>58.88</v>
      </c>
      <c r="U1150" s="846">
        <f t="shared" si="194"/>
        <v>1.2727898176814634E-2</v>
      </c>
      <c r="V1150" s="845">
        <v>104.78319999999999</v>
      </c>
      <c r="W1150" s="846">
        <f t="shared" si="195"/>
        <v>-8.9438103683359138E-4</v>
      </c>
      <c r="X1150" s="845">
        <v>26734.71</v>
      </c>
      <c r="Y1150" s="846">
        <f t="shared" si="196"/>
        <v>-5.0386861232373237E-3</v>
      </c>
      <c r="Z1150" s="845">
        <v>3215.5740000000001</v>
      </c>
      <c r="AA1150" s="846">
        <f t="shared" si="197"/>
        <v>-3.404648412939415E-3</v>
      </c>
    </row>
    <row r="1151" spans="1:27" ht="14.4" x14ac:dyDescent="0.55000000000000004">
      <c r="A1151" s="857" t="s">
        <v>6310</v>
      </c>
      <c r="B1151" s="842">
        <v>100.64</v>
      </c>
      <c r="C1151" s="843">
        <f t="shared" si="189"/>
        <v>2.0910086627501379E-3</v>
      </c>
      <c r="D1151" s="842">
        <v>32.06</v>
      </c>
      <c r="E1151" s="843">
        <f t="shared" si="189"/>
        <v>2.0369191597708447E-2</v>
      </c>
      <c r="F1151" s="842">
        <v>23.72</v>
      </c>
      <c r="G1151" s="843">
        <f t="shared" si="189"/>
        <v>-1.2631578947368549E-3</v>
      </c>
      <c r="H1151" s="842">
        <v>52.75</v>
      </c>
      <c r="I1151" s="843">
        <f t="shared" si="189"/>
        <v>8.2186544342508494E-3</v>
      </c>
      <c r="J1151" s="842">
        <v>75.44</v>
      </c>
      <c r="K1151" s="843">
        <f t="shared" si="190"/>
        <v>1.85922974767605E-3</v>
      </c>
      <c r="L1151" s="842">
        <v>71.81</v>
      </c>
      <c r="M1151" s="843">
        <f t="shared" si="191"/>
        <v>1.0412269593358836E-2</v>
      </c>
      <c r="N1151" s="842">
        <v>64.91</v>
      </c>
      <c r="O1151" s="843">
        <f t="shared" si="192"/>
        <v>-3.0802402587415401E-4</v>
      </c>
      <c r="P1151" s="844">
        <f t="shared" si="198"/>
        <v>5.9113103021619018E-3</v>
      </c>
      <c r="Q1151" s="830"/>
      <c r="R1151" s="845">
        <v>796.47</v>
      </c>
      <c r="S1151" s="846">
        <f t="shared" si="193"/>
        <v>-4.3004838044279348E-3</v>
      </c>
      <c r="T1151" s="845">
        <v>58.14</v>
      </c>
      <c r="U1151" s="846">
        <f t="shared" si="194"/>
        <v>-3.9403803323624365E-3</v>
      </c>
      <c r="V1151" s="845">
        <v>104.877</v>
      </c>
      <c r="W1151" s="846">
        <f t="shared" si="195"/>
        <v>2.0906149733130874E-3</v>
      </c>
      <c r="X1151" s="845">
        <v>26870.1</v>
      </c>
      <c r="Y1151" s="846">
        <f t="shared" si="196"/>
        <v>8.5393349520448414E-3</v>
      </c>
      <c r="Z1151" s="845">
        <v>3226.5592999999999</v>
      </c>
      <c r="AA1151" s="846">
        <f t="shared" si="197"/>
        <v>9.0810622624566406E-3</v>
      </c>
    </row>
    <row r="1152" spans="1:27" ht="14.4" x14ac:dyDescent="0.55000000000000004">
      <c r="A1152" s="857" t="s">
        <v>6311</v>
      </c>
      <c r="B1152" s="842">
        <v>100.43</v>
      </c>
      <c r="C1152" s="843">
        <f t="shared" si="189"/>
        <v>7.423011335139007E-3</v>
      </c>
      <c r="D1152" s="842">
        <v>31.42</v>
      </c>
      <c r="E1152" s="843">
        <f t="shared" si="189"/>
        <v>4.1546820070310631E-3</v>
      </c>
      <c r="F1152" s="842">
        <v>23.75</v>
      </c>
      <c r="G1152" s="843">
        <f t="shared" si="189"/>
        <v>-1.1240632805994966E-2</v>
      </c>
      <c r="H1152" s="842">
        <v>52.32</v>
      </c>
      <c r="I1152" s="843">
        <f t="shared" si="189"/>
        <v>-5.7306590257877321E-4</v>
      </c>
      <c r="J1152" s="842">
        <v>75.3</v>
      </c>
      <c r="K1152" s="843">
        <f t="shared" si="190"/>
        <v>-5.152596115735264E-3</v>
      </c>
      <c r="L1152" s="842">
        <v>71.069999999999993</v>
      </c>
      <c r="M1152" s="843">
        <f t="shared" si="191"/>
        <v>1.9363166953528355E-2</v>
      </c>
      <c r="N1152" s="842">
        <v>64.930000000000007</v>
      </c>
      <c r="O1152" s="843">
        <f t="shared" si="192"/>
        <v>-5.0566962917559799E-3</v>
      </c>
      <c r="P1152" s="844">
        <f t="shared" si="198"/>
        <v>1.2739813113762061E-3</v>
      </c>
      <c r="Q1152" s="830"/>
      <c r="R1152" s="845">
        <v>799.91</v>
      </c>
      <c r="S1152" s="846">
        <f t="shared" si="193"/>
        <v>1.0957484454779731E-2</v>
      </c>
      <c r="T1152" s="845">
        <v>58.37</v>
      </c>
      <c r="U1152" s="846">
        <f t="shared" si="194"/>
        <v>9.3377139892789618E-3</v>
      </c>
      <c r="V1152" s="845">
        <v>104.65819999999999</v>
      </c>
      <c r="W1152" s="846">
        <f t="shared" si="195"/>
        <v>7.4234504798482703E-3</v>
      </c>
      <c r="X1152" s="845">
        <v>26642.59</v>
      </c>
      <c r="Y1152" s="846">
        <f t="shared" si="196"/>
        <v>2.1344562942290368E-2</v>
      </c>
      <c r="Z1152" s="845">
        <v>3197.5223999999998</v>
      </c>
      <c r="AA1152" s="846">
        <f t="shared" si="197"/>
        <v>1.3405959564957604E-2</v>
      </c>
    </row>
    <row r="1153" spans="1:27" ht="14.4" x14ac:dyDescent="0.55000000000000004">
      <c r="A1153" s="857" t="s">
        <v>6312</v>
      </c>
      <c r="B1153" s="842">
        <v>99.69</v>
      </c>
      <c r="C1153" s="843">
        <f t="shared" si="189"/>
        <v>6.0551014229488498E-3</v>
      </c>
      <c r="D1153" s="842">
        <v>31.29</v>
      </c>
      <c r="E1153" s="843">
        <f t="shared" si="189"/>
        <v>8.3789880760554158E-3</v>
      </c>
      <c r="F1153" s="842">
        <v>24.02</v>
      </c>
      <c r="G1153" s="843">
        <f t="shared" si="189"/>
        <v>1.9092066185829371E-2</v>
      </c>
      <c r="H1153" s="842">
        <v>52.35</v>
      </c>
      <c r="I1153" s="843">
        <f t="shared" si="189"/>
        <v>-9.2732778198334476E-3</v>
      </c>
      <c r="J1153" s="842">
        <v>75.69</v>
      </c>
      <c r="K1153" s="843">
        <f t="shared" si="190"/>
        <v>7.3196699494277873E-3</v>
      </c>
      <c r="L1153" s="842">
        <v>69.72</v>
      </c>
      <c r="M1153" s="843">
        <f t="shared" si="191"/>
        <v>1.0581243658501327E-2</v>
      </c>
      <c r="N1153" s="842">
        <v>65.260000000000005</v>
      </c>
      <c r="O1153" s="843">
        <f t="shared" si="192"/>
        <v>-4.4241037376047121E-3</v>
      </c>
      <c r="P1153" s="844">
        <f t="shared" si="198"/>
        <v>5.3899553907606557E-3</v>
      </c>
      <c r="Q1153" s="830"/>
      <c r="R1153" s="845">
        <v>791.24</v>
      </c>
      <c r="S1153" s="846">
        <f t="shared" si="193"/>
        <v>-1.3900296960889236E-4</v>
      </c>
      <c r="T1153" s="845">
        <v>57.83</v>
      </c>
      <c r="U1153" s="846">
        <f t="shared" si="194"/>
        <v>1.0386013501817448E-3</v>
      </c>
      <c r="V1153" s="845">
        <v>103.887</v>
      </c>
      <c r="W1153" s="846">
        <f t="shared" si="195"/>
        <v>6.0545138666960874E-3</v>
      </c>
      <c r="X1153" s="845">
        <v>26085.8</v>
      </c>
      <c r="Y1153" s="846">
        <f t="shared" si="196"/>
        <v>4.0267993081566367E-4</v>
      </c>
      <c r="Z1153" s="845">
        <v>3155.2235999999998</v>
      </c>
      <c r="AA1153" s="846">
        <f t="shared" si="197"/>
        <v>-9.3621048612133606E-3</v>
      </c>
    </row>
    <row r="1154" spans="1:27" ht="14.4" x14ac:dyDescent="0.55000000000000004">
      <c r="A1154" s="857" t="s">
        <v>6313</v>
      </c>
      <c r="B1154" s="842">
        <v>99.09</v>
      </c>
      <c r="C1154" s="843">
        <f t="shared" si="189"/>
        <v>1.4331047190091262E-2</v>
      </c>
      <c r="D1154" s="842">
        <v>31.03</v>
      </c>
      <c r="E1154" s="843">
        <f t="shared" si="189"/>
        <v>2.8505137553861415E-2</v>
      </c>
      <c r="F1154" s="842">
        <v>23.57</v>
      </c>
      <c r="G1154" s="843">
        <f t="shared" si="189"/>
        <v>2.7015250544662361E-2</v>
      </c>
      <c r="H1154" s="842">
        <v>52.84</v>
      </c>
      <c r="I1154" s="843">
        <f t="shared" si="189"/>
        <v>3.5672285378282931E-2</v>
      </c>
      <c r="J1154" s="842">
        <v>75.14</v>
      </c>
      <c r="K1154" s="843">
        <f t="shared" si="190"/>
        <v>1.4445794518698651E-2</v>
      </c>
      <c r="L1154" s="842">
        <v>68.989999999999995</v>
      </c>
      <c r="M1154" s="843">
        <f t="shared" si="191"/>
        <v>3.0470500373412923E-2</v>
      </c>
      <c r="N1154" s="842">
        <v>65.55</v>
      </c>
      <c r="O1154" s="843">
        <f t="shared" si="192"/>
        <v>3.6855425498260042E-2</v>
      </c>
      <c r="P1154" s="844">
        <f t="shared" si="198"/>
        <v>2.675649157960994E-2</v>
      </c>
      <c r="Q1154" s="830"/>
      <c r="R1154" s="845">
        <v>791.35</v>
      </c>
      <c r="S1154" s="846">
        <f t="shared" si="193"/>
        <v>2.2112292212908224E-2</v>
      </c>
      <c r="T1154" s="845">
        <v>57.77</v>
      </c>
      <c r="U1154" s="846">
        <f t="shared" si="194"/>
        <v>1.887125220458552E-2</v>
      </c>
      <c r="V1154" s="845">
        <v>103.26179999999999</v>
      </c>
      <c r="W1154" s="846">
        <f t="shared" si="195"/>
        <v>1.4331629385439193E-2</v>
      </c>
      <c r="X1154" s="845">
        <v>26075.3</v>
      </c>
      <c r="Y1154" s="846">
        <f t="shared" si="196"/>
        <v>1.4362744392476534E-2</v>
      </c>
      <c r="Z1154" s="845">
        <v>3185.0423000000001</v>
      </c>
      <c r="AA1154" s="846">
        <f t="shared" si="197"/>
        <v>1.0467383021949495E-2</v>
      </c>
    </row>
    <row r="1155" spans="1:27" ht="14.4" x14ac:dyDescent="0.55000000000000004">
      <c r="A1155" s="857" t="s">
        <v>6314</v>
      </c>
      <c r="B1155" s="842">
        <v>97.69</v>
      </c>
      <c r="C1155" s="843">
        <f t="shared" si="189"/>
        <v>-1.7005433688870975E-2</v>
      </c>
      <c r="D1155" s="842">
        <v>30.17</v>
      </c>
      <c r="E1155" s="843">
        <f t="shared" si="189"/>
        <v>-3.4559999999999924E-2</v>
      </c>
      <c r="F1155" s="842">
        <v>22.95</v>
      </c>
      <c r="G1155" s="843">
        <f t="shared" si="189"/>
        <v>-1.839178785286566E-2</v>
      </c>
      <c r="H1155" s="842">
        <v>51.02</v>
      </c>
      <c r="I1155" s="843">
        <f t="shared" si="189"/>
        <v>-3.0222391180383834E-2</v>
      </c>
      <c r="J1155" s="842">
        <v>74.069999999999993</v>
      </c>
      <c r="K1155" s="843">
        <f t="shared" si="190"/>
        <v>-1.7899761336515607E-2</v>
      </c>
      <c r="L1155" s="842">
        <v>66.95</v>
      </c>
      <c r="M1155" s="843">
        <f t="shared" si="191"/>
        <v>-1.9334993408524848E-2</v>
      </c>
      <c r="N1155" s="842">
        <v>63.22</v>
      </c>
      <c r="O1155" s="843">
        <f t="shared" si="192"/>
        <v>-3.2149418248622053E-2</v>
      </c>
      <c r="P1155" s="844">
        <f t="shared" si="198"/>
        <v>-2.4223397959397559E-2</v>
      </c>
      <c r="Q1155" s="830"/>
      <c r="R1155" s="845">
        <v>774.23</v>
      </c>
      <c r="S1155" s="846">
        <f t="shared" si="193"/>
        <v>-1.1389899763774469E-2</v>
      </c>
      <c r="T1155" s="845">
        <v>56.7</v>
      </c>
      <c r="U1155" s="846">
        <f t="shared" si="194"/>
        <v>-1.3398294762484664E-2</v>
      </c>
      <c r="V1155" s="845">
        <v>101.8028</v>
      </c>
      <c r="W1155" s="846">
        <f t="shared" si="195"/>
        <v>-1.7005909389362972E-2</v>
      </c>
      <c r="X1155" s="845">
        <v>25706.09</v>
      </c>
      <c r="Y1155" s="846">
        <f t="shared" si="196"/>
        <v>-1.3856067836766961E-2</v>
      </c>
      <c r="Z1155" s="845">
        <v>3152.0486000000001</v>
      </c>
      <c r="AA1155" s="846">
        <f t="shared" si="197"/>
        <v>-5.6450853756623287E-3</v>
      </c>
    </row>
    <row r="1156" spans="1:27" ht="14.4" x14ac:dyDescent="0.55000000000000004">
      <c r="A1156" s="857" t="s">
        <v>6315</v>
      </c>
      <c r="B1156" s="842">
        <v>99.38</v>
      </c>
      <c r="C1156" s="843">
        <f t="shared" si="189"/>
        <v>-6.8951733786348779E-3</v>
      </c>
      <c r="D1156" s="842">
        <v>31.25</v>
      </c>
      <c r="E1156" s="843">
        <f t="shared" si="189"/>
        <v>-2.0376175548589281E-2</v>
      </c>
      <c r="F1156" s="842">
        <v>23.38</v>
      </c>
      <c r="G1156" s="843">
        <f t="shared" si="189"/>
        <v>2.1431633090440716E-3</v>
      </c>
      <c r="H1156" s="842">
        <v>52.61</v>
      </c>
      <c r="I1156" s="843">
        <f t="shared" si="189"/>
        <v>-1.4055472263868052E-2</v>
      </c>
      <c r="J1156" s="842">
        <v>75.42</v>
      </c>
      <c r="K1156" s="843">
        <f t="shared" si="190"/>
        <v>6.6339392331160596E-4</v>
      </c>
      <c r="L1156" s="842">
        <v>68.27</v>
      </c>
      <c r="M1156" s="843">
        <f t="shared" si="191"/>
        <v>-8.7120662117032843E-3</v>
      </c>
      <c r="N1156" s="842">
        <v>65.319999999999993</v>
      </c>
      <c r="O1156" s="843">
        <f t="shared" si="192"/>
        <v>-1.5523737754333133E-2</v>
      </c>
      <c r="P1156" s="844">
        <f t="shared" si="198"/>
        <v>-8.9651525606818504E-3</v>
      </c>
      <c r="Q1156" s="830"/>
      <c r="R1156" s="845">
        <v>783.15</v>
      </c>
      <c r="S1156" s="846">
        <f t="shared" si="193"/>
        <v>9.7474180946117706E-3</v>
      </c>
      <c r="T1156" s="845">
        <v>57.47</v>
      </c>
      <c r="U1156" s="846">
        <f t="shared" si="194"/>
        <v>8.9536516853931936E-3</v>
      </c>
      <c r="V1156" s="845">
        <v>103.56399999999999</v>
      </c>
      <c r="W1156" s="846">
        <f t="shared" si="195"/>
        <v>-6.8946999990411317E-3</v>
      </c>
      <c r="X1156" s="845">
        <v>26067.279999999999</v>
      </c>
      <c r="Y1156" s="846">
        <f t="shared" si="196"/>
        <v>6.8404313913614789E-3</v>
      </c>
      <c r="Z1156" s="845">
        <v>3169.9432000000002</v>
      </c>
      <c r="AA1156" s="846">
        <f t="shared" si="197"/>
        <v>7.8291606762812549E-3</v>
      </c>
    </row>
    <row r="1157" spans="1:27" ht="14.4" x14ac:dyDescent="0.55000000000000004">
      <c r="A1157" s="857" t="s">
        <v>6316</v>
      </c>
      <c r="B1157" s="842">
        <v>100.07</v>
      </c>
      <c r="C1157" s="843">
        <f t="shared" si="189"/>
        <v>-1.1556696957724211E-2</v>
      </c>
      <c r="D1157" s="842">
        <v>31.9</v>
      </c>
      <c r="E1157" s="843">
        <f t="shared" si="189"/>
        <v>-1.6949152542373058E-2</v>
      </c>
      <c r="F1157" s="842">
        <v>23.33</v>
      </c>
      <c r="G1157" s="843">
        <f t="shared" si="189"/>
        <v>1.7174753112922936E-3</v>
      </c>
      <c r="H1157" s="842">
        <v>53.36</v>
      </c>
      <c r="I1157" s="843">
        <f t="shared" si="189"/>
        <v>-2.3068473086781394E-2</v>
      </c>
      <c r="J1157" s="842">
        <v>75.37</v>
      </c>
      <c r="K1157" s="843">
        <f t="shared" si="190"/>
        <v>-1.3352533054064586E-2</v>
      </c>
      <c r="L1157" s="842">
        <v>68.87</v>
      </c>
      <c r="M1157" s="843">
        <f t="shared" si="191"/>
        <v>-8.4940973221996341E-3</v>
      </c>
      <c r="N1157" s="842">
        <v>66.349999999999994</v>
      </c>
      <c r="O1157" s="843">
        <f t="shared" si="192"/>
        <v>-1.0735052929774835E-2</v>
      </c>
      <c r="P1157" s="844">
        <f t="shared" si="198"/>
        <v>-1.1776932940232203E-2</v>
      </c>
      <c r="Q1157" s="830"/>
      <c r="R1157" s="845">
        <v>775.59</v>
      </c>
      <c r="S1157" s="846">
        <f t="shared" si="193"/>
        <v>-4.4157477889169572E-3</v>
      </c>
      <c r="T1157" s="845">
        <v>56.96</v>
      </c>
      <c r="U1157" s="846">
        <f t="shared" si="194"/>
        <v>-4.0216821122572854E-3</v>
      </c>
      <c r="V1157" s="845">
        <v>104.283</v>
      </c>
      <c r="W1157" s="846">
        <f t="shared" si="195"/>
        <v>-1.1557094015959835E-2</v>
      </c>
      <c r="X1157" s="845">
        <v>25890.18</v>
      </c>
      <c r="Y1157" s="846">
        <f t="shared" si="196"/>
        <v>-1.5096798687413426E-2</v>
      </c>
      <c r="Z1157" s="845">
        <v>3145.3180000000002</v>
      </c>
      <c r="AA1157" s="846">
        <f t="shared" si="197"/>
        <v>-1.0818818318148127E-2</v>
      </c>
    </row>
    <row r="1158" spans="1:27" ht="14.4" x14ac:dyDescent="0.55000000000000004">
      <c r="A1158" s="857" t="s">
        <v>6317</v>
      </c>
      <c r="B1158" s="842">
        <v>101.24</v>
      </c>
      <c r="C1158" s="843">
        <f t="shared" si="189"/>
        <v>5.9300256967764753E-4</v>
      </c>
      <c r="D1158" s="842">
        <v>32.450000000000003</v>
      </c>
      <c r="E1158" s="843">
        <f t="shared" si="189"/>
        <v>1.5432098765433278E-3</v>
      </c>
      <c r="F1158" s="842">
        <v>23.29</v>
      </c>
      <c r="G1158" s="843">
        <f t="shared" si="189"/>
        <v>-2.9965753424657793E-3</v>
      </c>
      <c r="H1158" s="842">
        <v>54.62</v>
      </c>
      <c r="I1158" s="843">
        <f t="shared" si="189"/>
        <v>-1.9037356321839116E-2</v>
      </c>
      <c r="J1158" s="842">
        <v>76.39</v>
      </c>
      <c r="K1158" s="843">
        <f t="shared" si="190"/>
        <v>-1.2411118293471191E-2</v>
      </c>
      <c r="L1158" s="842">
        <v>69.459999999999994</v>
      </c>
      <c r="M1158" s="843">
        <f t="shared" si="191"/>
        <v>1.4607069821793717E-2</v>
      </c>
      <c r="N1158" s="842">
        <v>67.069999999999993</v>
      </c>
      <c r="O1158" s="843">
        <f t="shared" si="192"/>
        <v>-1.4887598630342058E-3</v>
      </c>
      <c r="P1158" s="844">
        <f t="shared" si="198"/>
        <v>-2.7415039361136572E-3</v>
      </c>
      <c r="Q1158" s="830"/>
      <c r="R1158" s="845">
        <v>779.03</v>
      </c>
      <c r="S1158" s="846">
        <f t="shared" si="193"/>
        <v>-9.9886896516666601E-3</v>
      </c>
      <c r="T1158" s="845">
        <v>57.19</v>
      </c>
      <c r="U1158" s="846">
        <f t="shared" si="194"/>
        <v>-1.2262521588946473E-2</v>
      </c>
      <c r="V1158" s="845">
        <v>105.50230000000001</v>
      </c>
      <c r="W1158" s="846">
        <f t="shared" si="195"/>
        <v>5.9275529733548993E-4</v>
      </c>
      <c r="X1158" s="845">
        <v>26287.03</v>
      </c>
      <c r="Y1158" s="846">
        <f t="shared" si="196"/>
        <v>1.7797792728331485E-2</v>
      </c>
      <c r="Z1158" s="845">
        <v>3179.7188000000001</v>
      </c>
      <c r="AA1158" s="846">
        <f t="shared" si="197"/>
        <v>1.5880478695821321E-2</v>
      </c>
    </row>
    <row r="1159" spans="1:27" ht="14.4" x14ac:dyDescent="0.55000000000000004">
      <c r="A1159" s="857" t="s">
        <v>6318</v>
      </c>
      <c r="B1159" s="842">
        <v>101.18</v>
      </c>
      <c r="C1159" s="843">
        <f t="shared" si="189"/>
        <v>4.8664216903366864E-3</v>
      </c>
      <c r="D1159" s="842">
        <v>32.4</v>
      </c>
      <c r="E1159" s="843">
        <f t="shared" si="189"/>
        <v>5.5865921787709993E-3</v>
      </c>
      <c r="F1159" s="842">
        <v>23.36</v>
      </c>
      <c r="G1159" s="843">
        <f t="shared" si="189"/>
        <v>-4.2625745950555238E-3</v>
      </c>
      <c r="H1159" s="842">
        <v>55.68</v>
      </c>
      <c r="I1159" s="843">
        <f t="shared" si="189"/>
        <v>-1.2556053811658696E-3</v>
      </c>
      <c r="J1159" s="842">
        <v>77.349999999999994</v>
      </c>
      <c r="K1159" s="843">
        <f t="shared" si="190"/>
        <v>4.5454545454544082E-3</v>
      </c>
      <c r="L1159" s="842">
        <v>68.459999999999994</v>
      </c>
      <c r="M1159" s="843">
        <f t="shared" si="191"/>
        <v>9.7345132743362761E-3</v>
      </c>
      <c r="N1159" s="842">
        <v>67.17</v>
      </c>
      <c r="O1159" s="843">
        <f t="shared" si="192"/>
        <v>8.7100165189968326E-3</v>
      </c>
      <c r="P1159" s="844">
        <f t="shared" si="198"/>
        <v>3.9892597473819725E-3</v>
      </c>
      <c r="Q1159" s="830"/>
      <c r="R1159" s="845">
        <v>786.89</v>
      </c>
      <c r="S1159" s="846">
        <f t="shared" si="193"/>
        <v>2.216137043876909E-3</v>
      </c>
      <c r="T1159" s="845">
        <v>57.9</v>
      </c>
      <c r="U1159" s="846">
        <f t="shared" si="194"/>
        <v>2.5974025974024872E-3</v>
      </c>
      <c r="V1159" s="845">
        <v>105.43980000000001</v>
      </c>
      <c r="W1159" s="846">
        <f t="shared" si="195"/>
        <v>4.8670959724232965E-3</v>
      </c>
      <c r="X1159" s="845">
        <v>25827.360000000001</v>
      </c>
      <c r="Y1159" s="846">
        <f t="shared" si="196"/>
        <v>3.5900566427704561E-3</v>
      </c>
      <c r="Z1159" s="845">
        <v>3130.0127000000002</v>
      </c>
      <c r="AA1159" s="846">
        <f t="shared" si="197"/>
        <v>4.5426647115929253E-3</v>
      </c>
    </row>
    <row r="1160" spans="1:27" ht="14.4" x14ac:dyDescent="0.55000000000000004">
      <c r="A1160" s="857" t="s">
        <v>6319</v>
      </c>
      <c r="B1160" s="842">
        <v>100.69</v>
      </c>
      <c r="C1160" s="843">
        <f t="shared" ref="C1160:I1223" si="199">IFERROR(((B1160/B1161)-1), "NA")</f>
        <v>1.1146816629845402E-2</v>
      </c>
      <c r="D1160" s="842">
        <v>32.22</v>
      </c>
      <c r="E1160" s="843">
        <f t="shared" si="199"/>
        <v>-1.316998468606434E-2</v>
      </c>
      <c r="F1160" s="842">
        <v>23.46</v>
      </c>
      <c r="G1160" s="843">
        <f t="shared" si="199"/>
        <v>3.1662269129287601E-2</v>
      </c>
      <c r="H1160" s="842">
        <v>55.75</v>
      </c>
      <c r="I1160" s="843">
        <f t="shared" si="199"/>
        <v>-7.169743681663121E-4</v>
      </c>
      <c r="J1160" s="842">
        <v>77</v>
      </c>
      <c r="K1160" s="843">
        <f t="shared" ref="K1160:K1223" si="200">IFERROR(((J1160/J1161)-1), "NA")</f>
        <v>-6.489292667098967E-4</v>
      </c>
      <c r="L1160" s="842">
        <v>67.8</v>
      </c>
      <c r="M1160" s="843">
        <f t="shared" ref="M1160:M1223" si="201">IFERROR(((L1160/L1161)-1), "NA")</f>
        <v>-1.8102824040550303E-2</v>
      </c>
      <c r="N1160" s="842">
        <v>66.59</v>
      </c>
      <c r="O1160" s="843">
        <f t="shared" ref="O1160:O1223" si="202">IFERROR(((N1160/N1161)-1), "NA")</f>
        <v>1.33921777507231E-2</v>
      </c>
      <c r="P1160" s="844">
        <f t="shared" si="198"/>
        <v>3.3660787354807503E-3</v>
      </c>
      <c r="Q1160" s="830"/>
      <c r="R1160" s="845">
        <v>785.15</v>
      </c>
      <c r="S1160" s="846">
        <f t="shared" ref="S1160:S1223" si="203">IFERROR(((R1160/R1161)-1), "NA")</f>
        <v>2.2996742671009818E-2</v>
      </c>
      <c r="T1160" s="845">
        <v>57.75</v>
      </c>
      <c r="U1160" s="846">
        <f t="shared" ref="U1160:U1223" si="204">IFERROR(((T1160/T1161)-1), "NA")</f>
        <v>2.3391812865497075E-2</v>
      </c>
      <c r="V1160" s="845">
        <v>104.92910000000001</v>
      </c>
      <c r="W1160" s="846">
        <f t="shared" ref="W1160:W1223" si="205">IFERROR(((V1160/V1161)-1), "NA")</f>
        <v>1.1146509091049195E-2</v>
      </c>
      <c r="X1160" s="845">
        <v>25734.97</v>
      </c>
      <c r="Y1160" s="846">
        <f t="shared" ref="Y1160:Y1223" si="206">IFERROR(((X1160/X1161)-1), "NA")</f>
        <v>-3.0182606512717536E-3</v>
      </c>
      <c r="Z1160" s="845">
        <v>3115.8584000000001</v>
      </c>
      <c r="AA1160" s="846">
        <f t="shared" ref="AA1160:AA1223" si="207">IFERROR(((Z1160/Z1161)-1), "NA")</f>
        <v>5.0231831904750113E-3</v>
      </c>
    </row>
    <row r="1161" spans="1:27" ht="14.4" x14ac:dyDescent="0.55000000000000004">
      <c r="A1161" s="857" t="s">
        <v>6320</v>
      </c>
      <c r="B1161" s="842">
        <v>99.58</v>
      </c>
      <c r="C1161" s="843">
        <f t="shared" si="199"/>
        <v>1.2197601138442815E-2</v>
      </c>
      <c r="D1161" s="842">
        <v>32.65</v>
      </c>
      <c r="E1161" s="843">
        <f t="shared" si="199"/>
        <v>1.3031337263419207E-2</v>
      </c>
      <c r="F1161" s="842">
        <v>22.74</v>
      </c>
      <c r="G1161" s="843">
        <f t="shared" si="199"/>
        <v>2.2036139268399868E-3</v>
      </c>
      <c r="H1161" s="842">
        <v>55.79</v>
      </c>
      <c r="I1161" s="843">
        <f t="shared" si="199"/>
        <v>1.4363636363636356E-2</v>
      </c>
      <c r="J1161" s="842">
        <v>77.05</v>
      </c>
      <c r="K1161" s="843">
        <f t="shared" si="200"/>
        <v>2.9392117568470377E-2</v>
      </c>
      <c r="L1161" s="842">
        <v>69.05</v>
      </c>
      <c r="M1161" s="843">
        <f t="shared" si="201"/>
        <v>2.2659952606635114E-2</v>
      </c>
      <c r="N1161" s="842">
        <v>65.709999999999994</v>
      </c>
      <c r="O1161" s="843">
        <f t="shared" si="202"/>
        <v>2.0500077651809168E-2</v>
      </c>
      <c r="P1161" s="844">
        <f t="shared" ref="P1161:P1224" si="208">IFERROR(AVERAGE(C1161,E1161,G1161,I1161,M1161,K1161,O1161),"NA")</f>
        <v>1.6335476645607576E-2</v>
      </c>
      <c r="Q1161" s="830"/>
      <c r="R1161" s="845">
        <v>767.5</v>
      </c>
      <c r="S1161" s="846">
        <f t="shared" si="203"/>
        <v>4.0686037232302574E-3</v>
      </c>
      <c r="T1161" s="845">
        <v>56.43</v>
      </c>
      <c r="U1161" s="846">
        <f t="shared" si="204"/>
        <v>3.7353255069370039E-3</v>
      </c>
      <c r="V1161" s="845">
        <v>103.7724</v>
      </c>
      <c r="W1161" s="846">
        <f t="shared" si="205"/>
        <v>1.2197393922664279E-2</v>
      </c>
      <c r="X1161" s="845">
        <v>25812.880000000001</v>
      </c>
      <c r="Y1161" s="846">
        <f t="shared" si="206"/>
        <v>8.4810789270115539E-3</v>
      </c>
      <c r="Z1161" s="845">
        <v>3100.2851000000001</v>
      </c>
      <c r="AA1161" s="846">
        <f t="shared" si="207"/>
        <v>1.540862066181603E-2</v>
      </c>
    </row>
    <row r="1162" spans="1:27" ht="14.4" x14ac:dyDescent="0.55000000000000004">
      <c r="A1162" s="857" t="s">
        <v>6321</v>
      </c>
      <c r="B1162" s="842">
        <v>98.38</v>
      </c>
      <c r="C1162" s="843">
        <f t="shared" si="199"/>
        <v>9.4397701621178332E-3</v>
      </c>
      <c r="D1162" s="842">
        <v>32.229999999999997</v>
      </c>
      <c r="E1162" s="843">
        <f t="shared" si="199"/>
        <v>3.1030070377479069E-2</v>
      </c>
      <c r="F1162" s="842">
        <v>22.69</v>
      </c>
      <c r="G1162" s="843">
        <f t="shared" si="199"/>
        <v>1.5212527964205913E-2</v>
      </c>
      <c r="H1162" s="842">
        <v>55</v>
      </c>
      <c r="I1162" s="843">
        <f t="shared" si="199"/>
        <v>3.8519637462235634E-2</v>
      </c>
      <c r="J1162" s="842">
        <v>74.849999999999994</v>
      </c>
      <c r="K1162" s="843">
        <f t="shared" si="200"/>
        <v>1.8228812406475114E-2</v>
      </c>
      <c r="L1162" s="842">
        <v>67.52</v>
      </c>
      <c r="M1162" s="843">
        <f t="shared" si="201"/>
        <v>3.0525030525030417E-2</v>
      </c>
      <c r="N1162" s="842">
        <v>64.39</v>
      </c>
      <c r="O1162" s="843">
        <f t="shared" si="202"/>
        <v>3.5708541096992175E-2</v>
      </c>
      <c r="P1162" s="844">
        <f t="shared" si="208"/>
        <v>2.5523484284933735E-2</v>
      </c>
      <c r="Q1162" s="830"/>
      <c r="R1162" s="845">
        <v>764.39</v>
      </c>
      <c r="S1162" s="846">
        <f t="shared" si="203"/>
        <v>2.000266880170809E-2</v>
      </c>
      <c r="T1162" s="845">
        <v>56.22</v>
      </c>
      <c r="U1162" s="846">
        <f t="shared" si="204"/>
        <v>1.8847408481333705E-2</v>
      </c>
      <c r="V1162" s="845">
        <v>102.5219</v>
      </c>
      <c r="W1162" s="846">
        <f t="shared" si="205"/>
        <v>9.4394426327646386E-3</v>
      </c>
      <c r="X1162" s="845">
        <v>25595.8</v>
      </c>
      <c r="Y1162" s="846">
        <f t="shared" si="206"/>
        <v>2.319557235399583E-2</v>
      </c>
      <c r="Z1162" s="845">
        <v>3053.2388999999998</v>
      </c>
      <c r="AA1162" s="846">
        <f t="shared" si="207"/>
        <v>1.4684523273838623E-2</v>
      </c>
    </row>
    <row r="1163" spans="1:27" ht="14.4" x14ac:dyDescent="0.55000000000000004">
      <c r="A1163" s="857" t="s">
        <v>6322</v>
      </c>
      <c r="B1163" s="842">
        <v>97.46</v>
      </c>
      <c r="C1163" s="843">
        <f t="shared" si="199"/>
        <v>4.0177191717316596E-3</v>
      </c>
      <c r="D1163" s="842">
        <v>31.26</v>
      </c>
      <c r="E1163" s="843">
        <f t="shared" si="199"/>
        <v>7.4121817595875772E-3</v>
      </c>
      <c r="F1163" s="842">
        <v>22.35</v>
      </c>
      <c r="G1163" s="843">
        <f t="shared" si="199"/>
        <v>8.9565606806996101E-4</v>
      </c>
      <c r="H1163" s="842">
        <v>52.96</v>
      </c>
      <c r="I1163" s="843">
        <f t="shared" si="199"/>
        <v>-1.725737613657452E-2</v>
      </c>
      <c r="J1163" s="842">
        <v>73.510000000000005</v>
      </c>
      <c r="K1163" s="843">
        <f t="shared" si="200"/>
        <v>-7.2923700202565112E-3</v>
      </c>
      <c r="L1163" s="842">
        <v>65.52</v>
      </c>
      <c r="M1163" s="843">
        <f t="shared" si="201"/>
        <v>2.2946305644790943E-3</v>
      </c>
      <c r="N1163" s="842">
        <v>62.17</v>
      </c>
      <c r="O1163" s="843">
        <f t="shared" si="202"/>
        <v>-2.7986241400875578E-2</v>
      </c>
      <c r="P1163" s="844">
        <f t="shared" si="208"/>
        <v>-5.4165428562626171E-3</v>
      </c>
      <c r="Q1163" s="830"/>
      <c r="R1163" s="845">
        <v>749.4</v>
      </c>
      <c r="S1163" s="846">
        <f t="shared" si="203"/>
        <v>-1.0484062640293779E-2</v>
      </c>
      <c r="T1163" s="845">
        <v>55.18</v>
      </c>
      <c r="U1163" s="846">
        <f t="shared" si="204"/>
        <v>-1.0579164425318366E-2</v>
      </c>
      <c r="V1163" s="845">
        <v>101.56319999999999</v>
      </c>
      <c r="W1163" s="846">
        <f t="shared" si="205"/>
        <v>4.0185178045546444E-3</v>
      </c>
      <c r="X1163" s="845">
        <v>25015.55</v>
      </c>
      <c r="Y1163" s="846">
        <f t="shared" si="206"/>
        <v>-2.8356301659312577E-2</v>
      </c>
      <c r="Z1163" s="845">
        <v>3009.0524</v>
      </c>
      <c r="AA1163" s="846">
        <f t="shared" si="207"/>
        <v>-2.4225411743601044E-2</v>
      </c>
    </row>
    <row r="1164" spans="1:27" ht="14.4" x14ac:dyDescent="0.55000000000000004">
      <c r="A1164" s="857" t="s">
        <v>6323</v>
      </c>
      <c r="B1164" s="842">
        <v>97.07</v>
      </c>
      <c r="C1164" s="843">
        <f t="shared" si="199"/>
        <v>-1.9098625707356542E-2</v>
      </c>
      <c r="D1164" s="842">
        <v>31.03</v>
      </c>
      <c r="E1164" s="843">
        <f t="shared" si="199"/>
        <v>2.9088558500323103E-3</v>
      </c>
      <c r="F1164" s="842">
        <v>22.33</v>
      </c>
      <c r="G1164" s="843">
        <f t="shared" si="199"/>
        <v>-3.1250000000000444E-3</v>
      </c>
      <c r="H1164" s="842">
        <v>53.89</v>
      </c>
      <c r="I1164" s="843">
        <f t="shared" si="199"/>
        <v>-9.9209994488334008E-3</v>
      </c>
      <c r="J1164" s="842">
        <v>74.05</v>
      </c>
      <c r="K1164" s="843">
        <f t="shared" si="200"/>
        <v>-1.2139807897545318E-2</v>
      </c>
      <c r="L1164" s="842">
        <v>65.37</v>
      </c>
      <c r="M1164" s="843">
        <f t="shared" si="201"/>
        <v>-4.8713655046429549E-3</v>
      </c>
      <c r="N1164" s="842">
        <v>63.96</v>
      </c>
      <c r="O1164" s="843">
        <f t="shared" si="202"/>
        <v>-7.2947384758653699E-3</v>
      </c>
      <c r="P1164" s="844">
        <f t="shared" si="208"/>
        <v>-7.6488115977444747E-3</v>
      </c>
      <c r="Q1164" s="830"/>
      <c r="R1164" s="845">
        <v>757.34</v>
      </c>
      <c r="S1164" s="846">
        <f t="shared" si="203"/>
        <v>-1.3366336633663378E-2</v>
      </c>
      <c r="T1164" s="845">
        <v>55.77</v>
      </c>
      <c r="U1164" s="846">
        <f t="shared" si="204"/>
        <v>-1.2395962457942167E-2</v>
      </c>
      <c r="V1164" s="845">
        <v>101.1567</v>
      </c>
      <c r="W1164" s="846">
        <f t="shared" si="205"/>
        <v>-1.9098910753125087E-2</v>
      </c>
      <c r="X1164" s="845">
        <v>25745.599999999999</v>
      </c>
      <c r="Y1164" s="846">
        <f t="shared" si="206"/>
        <v>1.1776338386398688E-2</v>
      </c>
      <c r="Z1164" s="845">
        <v>3083.7577000000001</v>
      </c>
      <c r="AA1164" s="846">
        <f t="shared" si="207"/>
        <v>1.0957158242339782E-2</v>
      </c>
    </row>
    <row r="1165" spans="1:27" ht="14.4" x14ac:dyDescent="0.55000000000000004">
      <c r="A1165" s="857" t="s">
        <v>6324</v>
      </c>
      <c r="B1165" s="842">
        <v>98.96</v>
      </c>
      <c r="C1165" s="843">
        <f t="shared" si="199"/>
        <v>1.21408336705775E-3</v>
      </c>
      <c r="D1165" s="842">
        <v>30.94</v>
      </c>
      <c r="E1165" s="843">
        <f t="shared" si="199"/>
        <v>-8.015389547932017E-3</v>
      </c>
      <c r="F1165" s="842">
        <v>22.4</v>
      </c>
      <c r="G1165" s="843">
        <f t="shared" si="199"/>
        <v>-1.9693654266958571E-2</v>
      </c>
      <c r="H1165" s="842">
        <v>54.43</v>
      </c>
      <c r="I1165" s="843">
        <f t="shared" si="199"/>
        <v>-2.5076123947698314E-2</v>
      </c>
      <c r="J1165" s="842">
        <v>74.959999999999994</v>
      </c>
      <c r="K1165" s="843">
        <f t="shared" si="200"/>
        <v>-6.0991779368868571E-3</v>
      </c>
      <c r="L1165" s="842">
        <v>65.69</v>
      </c>
      <c r="M1165" s="843">
        <f t="shared" si="201"/>
        <v>-8.7520748453296937E-3</v>
      </c>
      <c r="N1165" s="842">
        <v>64.430000000000007</v>
      </c>
      <c r="O1165" s="843">
        <f t="shared" si="202"/>
        <v>-1.8583396801218566E-2</v>
      </c>
      <c r="P1165" s="844">
        <f t="shared" si="208"/>
        <v>-1.2143676282709468E-2</v>
      </c>
      <c r="Q1165" s="830"/>
      <c r="R1165" s="845">
        <v>767.6</v>
      </c>
      <c r="S1165" s="846">
        <f t="shared" si="203"/>
        <v>-7.5891760507841299E-3</v>
      </c>
      <c r="T1165" s="845">
        <v>56.47</v>
      </c>
      <c r="U1165" s="846">
        <f t="shared" si="204"/>
        <v>-9.1244077908405608E-3</v>
      </c>
      <c r="V1165" s="845">
        <v>103.1263</v>
      </c>
      <c r="W1165" s="846">
        <f t="shared" si="205"/>
        <v>1.213576916019532E-3</v>
      </c>
      <c r="X1165" s="845">
        <v>25445.94</v>
      </c>
      <c r="Y1165" s="846">
        <f t="shared" si="206"/>
        <v>-2.7150836707307224E-2</v>
      </c>
      <c r="Z1165" s="845">
        <v>3050.3346999999999</v>
      </c>
      <c r="AA1165" s="846">
        <f t="shared" si="207"/>
        <v>-2.5852288912899035E-2</v>
      </c>
    </row>
    <row r="1166" spans="1:27" ht="14.4" x14ac:dyDescent="0.55000000000000004">
      <c r="A1166" s="857" t="s">
        <v>6325</v>
      </c>
      <c r="B1166" s="842">
        <v>98.84</v>
      </c>
      <c r="C1166" s="843">
        <f t="shared" si="199"/>
        <v>-1.2784658409908167E-2</v>
      </c>
      <c r="D1166" s="842">
        <v>31.19</v>
      </c>
      <c r="E1166" s="843">
        <f t="shared" si="199"/>
        <v>-1.3598987982289645E-2</v>
      </c>
      <c r="F1166" s="842">
        <v>22.85</v>
      </c>
      <c r="G1166" s="843">
        <f t="shared" si="199"/>
        <v>-1.6358157554885899E-2</v>
      </c>
      <c r="H1166" s="842">
        <v>55.83</v>
      </c>
      <c r="I1166" s="843">
        <f t="shared" si="199"/>
        <v>3.5835871707567968E-4</v>
      </c>
      <c r="J1166" s="842">
        <v>75.42</v>
      </c>
      <c r="K1166" s="843">
        <f t="shared" si="200"/>
        <v>-4.2249801954052923E-3</v>
      </c>
      <c r="L1166" s="842">
        <v>66.27</v>
      </c>
      <c r="M1166" s="843">
        <f t="shared" si="201"/>
        <v>-6.2977957714800414E-3</v>
      </c>
      <c r="N1166" s="842">
        <v>65.650000000000006</v>
      </c>
      <c r="O1166" s="843">
        <f t="shared" si="202"/>
        <v>-6.5072639225181028E-3</v>
      </c>
      <c r="P1166" s="844">
        <f t="shared" si="208"/>
        <v>-8.4876407313444948E-3</v>
      </c>
      <c r="Q1166" s="830"/>
      <c r="R1166" s="845">
        <v>773.47</v>
      </c>
      <c r="S1166" s="846">
        <f t="shared" si="203"/>
        <v>-8.905461161938355E-3</v>
      </c>
      <c r="T1166" s="845">
        <v>56.99</v>
      </c>
      <c r="U1166" s="846">
        <f t="shared" si="204"/>
        <v>-1.0074691679694214E-2</v>
      </c>
      <c r="V1166" s="845">
        <v>103.0013</v>
      </c>
      <c r="W1166" s="846">
        <f t="shared" si="205"/>
        <v>-1.2783809092050458E-2</v>
      </c>
      <c r="X1166" s="845">
        <v>26156.1</v>
      </c>
      <c r="Y1166" s="846">
        <f t="shared" si="206"/>
        <v>5.03900870548879E-3</v>
      </c>
      <c r="Z1166" s="845">
        <v>3131.2856000000002</v>
      </c>
      <c r="AA1166" s="846">
        <f t="shared" si="207"/>
        <v>4.3057727272495239E-3</v>
      </c>
    </row>
    <row r="1167" spans="1:27" ht="14.4" x14ac:dyDescent="0.55000000000000004">
      <c r="A1167" s="857" t="s">
        <v>6326</v>
      </c>
      <c r="B1167" s="842">
        <v>100.12</v>
      </c>
      <c r="C1167" s="843">
        <f t="shared" si="199"/>
        <v>4.0112314480547084E-3</v>
      </c>
      <c r="D1167" s="842">
        <v>31.62</v>
      </c>
      <c r="E1167" s="843">
        <f t="shared" si="199"/>
        <v>-3.1615554852981731E-4</v>
      </c>
      <c r="F1167" s="842">
        <v>23.23</v>
      </c>
      <c r="G1167" s="843">
        <f t="shared" si="199"/>
        <v>1.1319111885067512E-2</v>
      </c>
      <c r="H1167" s="842">
        <v>55.81</v>
      </c>
      <c r="I1167" s="843">
        <f t="shared" si="199"/>
        <v>1.7502278942570726E-2</v>
      </c>
      <c r="J1167" s="842">
        <v>75.739999999999995</v>
      </c>
      <c r="K1167" s="843">
        <f t="shared" si="200"/>
        <v>1.6507851295127995E-2</v>
      </c>
      <c r="L1167" s="842">
        <v>66.69</v>
      </c>
      <c r="M1167" s="843">
        <f t="shared" si="201"/>
        <v>9.5367847411442774E-3</v>
      </c>
      <c r="N1167" s="842">
        <v>66.08</v>
      </c>
      <c r="O1167" s="843">
        <f t="shared" si="202"/>
        <v>9.4714329361442751E-3</v>
      </c>
      <c r="P1167" s="844">
        <f t="shared" si="208"/>
        <v>9.7189336713685258E-3</v>
      </c>
      <c r="Q1167" s="830"/>
      <c r="R1167" s="845">
        <v>780.42</v>
      </c>
      <c r="S1167" s="846">
        <f t="shared" si="203"/>
        <v>1.2730174796589555E-2</v>
      </c>
      <c r="T1167" s="845">
        <v>57.57</v>
      </c>
      <c r="U1167" s="846">
        <f t="shared" si="204"/>
        <v>1.391546355888007E-3</v>
      </c>
      <c r="V1167" s="845">
        <v>104.3351</v>
      </c>
      <c r="W1167" s="846">
        <f t="shared" si="205"/>
        <v>4.010843133499975E-3</v>
      </c>
      <c r="X1167" s="845">
        <v>26024.959999999999</v>
      </c>
      <c r="Y1167" s="846">
        <f t="shared" si="206"/>
        <v>5.9331788774192873E-3</v>
      </c>
      <c r="Z1167" s="845">
        <v>3117.8607999999999</v>
      </c>
      <c r="AA1167" s="846">
        <f t="shared" si="207"/>
        <v>6.4945036587127358E-3</v>
      </c>
    </row>
    <row r="1168" spans="1:27" ht="14.4" x14ac:dyDescent="0.55000000000000004">
      <c r="A1168" s="857" t="s">
        <v>6327</v>
      </c>
      <c r="B1168" s="842">
        <v>99.72</v>
      </c>
      <c r="C1168" s="843">
        <f t="shared" si="199"/>
        <v>-1.7052735337604763E-2</v>
      </c>
      <c r="D1168" s="842">
        <v>31.63</v>
      </c>
      <c r="E1168" s="843">
        <f t="shared" si="199"/>
        <v>-6.3191153238539854E-4</v>
      </c>
      <c r="F1168" s="842">
        <v>22.97</v>
      </c>
      <c r="G1168" s="843">
        <f t="shared" si="199"/>
        <v>-3.2026970080067496E-2</v>
      </c>
      <c r="H1168" s="842">
        <v>54.85</v>
      </c>
      <c r="I1168" s="843">
        <f t="shared" si="199"/>
        <v>-3.8899596986157303E-2</v>
      </c>
      <c r="J1168" s="842">
        <v>74.510000000000005</v>
      </c>
      <c r="K1168" s="843">
        <f t="shared" si="200"/>
        <v>-2.409954158480665E-2</v>
      </c>
      <c r="L1168" s="842">
        <v>66.06</v>
      </c>
      <c r="M1168" s="843">
        <f t="shared" si="201"/>
        <v>-3.7166593790992519E-2</v>
      </c>
      <c r="N1168" s="842">
        <v>65.459999999999994</v>
      </c>
      <c r="O1168" s="843">
        <f t="shared" si="202"/>
        <v>-1.755965781179647E-2</v>
      </c>
      <c r="P1168" s="844">
        <f t="shared" si="208"/>
        <v>-2.3919572446258659E-2</v>
      </c>
      <c r="Q1168" s="830"/>
      <c r="R1168" s="845">
        <v>770.61</v>
      </c>
      <c r="S1168" s="846">
        <f t="shared" si="203"/>
        <v>-3.5217968300072622E-2</v>
      </c>
      <c r="T1168" s="845">
        <v>57.49</v>
      </c>
      <c r="U1168" s="846">
        <f t="shared" si="204"/>
        <v>-2.8064243448858828E-2</v>
      </c>
      <c r="V1168" s="845">
        <v>103.9183</v>
      </c>
      <c r="W1168" s="846">
        <f t="shared" si="205"/>
        <v>-1.705241432410376E-2</v>
      </c>
      <c r="X1168" s="845">
        <v>25871.46</v>
      </c>
      <c r="Y1168" s="846">
        <f t="shared" si="206"/>
        <v>-7.999969325270917E-3</v>
      </c>
      <c r="Z1168" s="845">
        <v>3097.7424999999998</v>
      </c>
      <c r="AA1168" s="846">
        <f t="shared" si="207"/>
        <v>-5.6501931985185605E-3</v>
      </c>
    </row>
    <row r="1169" spans="1:27" ht="14.4" x14ac:dyDescent="0.55000000000000004">
      <c r="A1169" s="857" t="s">
        <v>6328</v>
      </c>
      <c r="B1169" s="842">
        <v>101.45</v>
      </c>
      <c r="C1169" s="843">
        <f t="shared" si="199"/>
        <v>2.66851156355008E-3</v>
      </c>
      <c r="D1169" s="842">
        <v>31.65</v>
      </c>
      <c r="E1169" s="843">
        <f t="shared" si="199"/>
        <v>2.2165927802406671E-3</v>
      </c>
      <c r="F1169" s="842">
        <v>23.73</v>
      </c>
      <c r="G1169" s="843">
        <f t="shared" si="199"/>
        <v>7.6433121019108263E-3</v>
      </c>
      <c r="H1169" s="842">
        <v>57.07</v>
      </c>
      <c r="I1169" s="843">
        <f t="shared" si="199"/>
        <v>1.2280701754385781E-3</v>
      </c>
      <c r="J1169" s="842">
        <v>76.349999999999994</v>
      </c>
      <c r="K1169" s="843">
        <f t="shared" si="200"/>
        <v>1.7055890842299082E-3</v>
      </c>
      <c r="L1169" s="842">
        <v>68.61</v>
      </c>
      <c r="M1169" s="843">
        <f t="shared" si="201"/>
        <v>2.0678369532877161E-2</v>
      </c>
      <c r="N1169" s="842">
        <v>66.63</v>
      </c>
      <c r="O1169" s="843">
        <f t="shared" si="202"/>
        <v>-9.8082924654482317E-3</v>
      </c>
      <c r="P1169" s="844">
        <f t="shared" si="208"/>
        <v>3.7617361103998554E-3</v>
      </c>
      <c r="Q1169" s="830"/>
      <c r="R1169" s="845">
        <v>798.74</v>
      </c>
      <c r="S1169" s="846">
        <f t="shared" si="203"/>
        <v>-2.0240891598780619E-3</v>
      </c>
      <c r="T1169" s="845">
        <v>59.15</v>
      </c>
      <c r="U1169" s="846">
        <f t="shared" si="204"/>
        <v>-1.6903313049354551E-4</v>
      </c>
      <c r="V1169" s="845">
        <v>105.72110000000001</v>
      </c>
      <c r="W1169" s="846">
        <f t="shared" si="205"/>
        <v>2.6678730422478036E-3</v>
      </c>
      <c r="X1169" s="845">
        <v>26080.1</v>
      </c>
      <c r="Y1169" s="846">
        <f t="shared" si="206"/>
        <v>-1.5126565825447358E-3</v>
      </c>
      <c r="Z1169" s="845">
        <v>3115.3447999999999</v>
      </c>
      <c r="AA1169" s="846">
        <f t="shared" si="207"/>
        <v>5.9601943041975858E-4</v>
      </c>
    </row>
    <row r="1170" spans="1:27" ht="14.4" x14ac:dyDescent="0.55000000000000004">
      <c r="A1170" s="857" t="s">
        <v>6329</v>
      </c>
      <c r="B1170" s="842">
        <v>101.18</v>
      </c>
      <c r="C1170" s="843">
        <f t="shared" si="199"/>
        <v>-1.0561314296890223E-2</v>
      </c>
      <c r="D1170" s="842">
        <v>31.58</v>
      </c>
      <c r="E1170" s="843">
        <f t="shared" si="199"/>
        <v>-3.128834355828225E-2</v>
      </c>
      <c r="F1170" s="842">
        <v>23.55</v>
      </c>
      <c r="G1170" s="843">
        <f t="shared" si="199"/>
        <v>-3.8071065989847552E-3</v>
      </c>
      <c r="H1170" s="842">
        <v>57</v>
      </c>
      <c r="I1170" s="843">
        <f t="shared" si="199"/>
        <v>-3.0612244897959107E-2</v>
      </c>
      <c r="J1170" s="842">
        <v>76.22</v>
      </c>
      <c r="K1170" s="843">
        <f t="shared" si="200"/>
        <v>-2.8425748884640001E-2</v>
      </c>
      <c r="L1170" s="842">
        <v>67.22</v>
      </c>
      <c r="M1170" s="843">
        <f t="shared" si="201"/>
        <v>-2.6079397276151828E-2</v>
      </c>
      <c r="N1170" s="842">
        <v>67.290000000000006</v>
      </c>
      <c r="O1170" s="843">
        <f t="shared" si="202"/>
        <v>-3.4022394487510654E-2</v>
      </c>
      <c r="P1170" s="844">
        <f t="shared" si="208"/>
        <v>-2.3542364285774116E-2</v>
      </c>
      <c r="Q1170" s="830"/>
      <c r="R1170" s="845">
        <v>800.36</v>
      </c>
      <c r="S1170" s="846">
        <f t="shared" si="203"/>
        <v>-2.5050787043383593E-3</v>
      </c>
      <c r="T1170" s="845">
        <v>59.16</v>
      </c>
      <c r="U1170" s="846">
        <f t="shared" si="204"/>
        <v>-3.0333670374116384E-3</v>
      </c>
      <c r="V1170" s="845">
        <v>105.43980000000001</v>
      </c>
      <c r="W1170" s="846">
        <f t="shared" si="205"/>
        <v>-1.0560670838134723E-2</v>
      </c>
      <c r="X1170" s="845">
        <v>26119.61</v>
      </c>
      <c r="Y1170" s="846">
        <f t="shared" si="206"/>
        <v>-6.480415732533773E-3</v>
      </c>
      <c r="Z1170" s="845">
        <v>3113.4890999999998</v>
      </c>
      <c r="AA1170" s="846">
        <f t="shared" si="207"/>
        <v>-3.6005556814505679E-3</v>
      </c>
    </row>
    <row r="1171" spans="1:27" ht="14.4" x14ac:dyDescent="0.55000000000000004">
      <c r="A1171" s="857" t="s">
        <v>6330</v>
      </c>
      <c r="B1171" s="842">
        <v>102.26</v>
      </c>
      <c r="C1171" s="843">
        <f t="shared" si="199"/>
        <v>1.1673921646220942E-2</v>
      </c>
      <c r="D1171" s="842">
        <v>32.6</v>
      </c>
      <c r="E1171" s="843">
        <f t="shared" si="199"/>
        <v>3.2953105196451338E-2</v>
      </c>
      <c r="F1171" s="842">
        <v>23.64</v>
      </c>
      <c r="G1171" s="843">
        <f t="shared" si="199"/>
        <v>6.8143100511073307E-3</v>
      </c>
      <c r="H1171" s="842">
        <v>58.8</v>
      </c>
      <c r="I1171" s="843">
        <f t="shared" si="199"/>
        <v>5.4719562243501496E-3</v>
      </c>
      <c r="J1171" s="842">
        <v>78.45</v>
      </c>
      <c r="K1171" s="843">
        <f t="shared" si="200"/>
        <v>1.0693120329811956E-2</v>
      </c>
      <c r="L1171" s="842">
        <v>69.02</v>
      </c>
      <c r="M1171" s="843">
        <f t="shared" si="201"/>
        <v>5.0968399592252744E-3</v>
      </c>
      <c r="N1171" s="842">
        <v>69.66</v>
      </c>
      <c r="O1171" s="843">
        <f t="shared" si="202"/>
        <v>1.1911679256246366E-2</v>
      </c>
      <c r="P1171" s="844">
        <f t="shared" si="208"/>
        <v>1.2087847523344766E-2</v>
      </c>
      <c r="Q1171" s="830"/>
      <c r="R1171" s="845">
        <v>802.37</v>
      </c>
      <c r="S1171" s="846">
        <f t="shared" si="203"/>
        <v>3.2634790437131578E-3</v>
      </c>
      <c r="T1171" s="845">
        <v>59.34</v>
      </c>
      <c r="U1171" s="846">
        <f t="shared" si="204"/>
        <v>4.5708481462671813E-3</v>
      </c>
      <c r="V1171" s="845">
        <v>106.5652</v>
      </c>
      <c r="W1171" s="846">
        <f t="shared" si="205"/>
        <v>1.1673166526796397E-2</v>
      </c>
      <c r="X1171" s="845">
        <v>26289.98</v>
      </c>
      <c r="Y1171" s="846">
        <f t="shared" si="206"/>
        <v>2.0448578512884286E-2</v>
      </c>
      <c r="Z1171" s="845">
        <v>3124.7399</v>
      </c>
      <c r="AA1171" s="846">
        <f t="shared" si="207"/>
        <v>1.8962796707533869E-2</v>
      </c>
    </row>
    <row r="1172" spans="1:27" ht="14.4" x14ac:dyDescent="0.55000000000000004">
      <c r="A1172" s="857" t="s">
        <v>6331</v>
      </c>
      <c r="B1172" s="842">
        <v>101.08</v>
      </c>
      <c r="C1172" s="843">
        <f t="shared" si="199"/>
        <v>6.4721696704170828E-3</v>
      </c>
      <c r="D1172" s="842">
        <v>31.56</v>
      </c>
      <c r="E1172" s="843">
        <f t="shared" si="199"/>
        <v>-1.5817779183803227E-3</v>
      </c>
      <c r="F1172" s="842">
        <v>23.48</v>
      </c>
      <c r="G1172" s="843">
        <f t="shared" si="199"/>
        <v>9.4582975064487762E-3</v>
      </c>
      <c r="H1172" s="842">
        <v>58.48</v>
      </c>
      <c r="I1172" s="843">
        <f t="shared" si="199"/>
        <v>2.363031682128458E-2</v>
      </c>
      <c r="J1172" s="842">
        <v>77.62</v>
      </c>
      <c r="K1172" s="843">
        <f t="shared" si="200"/>
        <v>8.9691927726505138E-3</v>
      </c>
      <c r="L1172" s="842">
        <v>68.67</v>
      </c>
      <c r="M1172" s="843">
        <f t="shared" si="201"/>
        <v>2.8301886792452935E-2</v>
      </c>
      <c r="N1172" s="842">
        <v>68.84</v>
      </c>
      <c r="O1172" s="843">
        <f t="shared" si="202"/>
        <v>1.7891468283306233E-2</v>
      </c>
      <c r="P1172" s="844">
        <f t="shared" si="208"/>
        <v>1.3305936275454257E-2</v>
      </c>
      <c r="Q1172" s="830"/>
      <c r="R1172" s="845">
        <v>799.76</v>
      </c>
      <c r="S1172" s="846">
        <f t="shared" si="203"/>
        <v>8.5245901639343646E-3</v>
      </c>
      <c r="T1172" s="845">
        <v>59.07</v>
      </c>
      <c r="U1172" s="846">
        <f t="shared" si="204"/>
        <v>6.8177944434975046E-3</v>
      </c>
      <c r="V1172" s="845">
        <v>105.3356</v>
      </c>
      <c r="W1172" s="846">
        <f t="shared" si="205"/>
        <v>6.4724980937949095E-3</v>
      </c>
      <c r="X1172" s="845">
        <v>25763.16</v>
      </c>
      <c r="Y1172" s="846">
        <f t="shared" si="206"/>
        <v>6.1557384126926795E-3</v>
      </c>
      <c r="Z1172" s="845">
        <v>3066.5888</v>
      </c>
      <c r="AA1172" s="846">
        <f t="shared" si="207"/>
        <v>8.3110504633148174E-3</v>
      </c>
    </row>
    <row r="1173" spans="1:27" ht="14.4" x14ac:dyDescent="0.55000000000000004">
      <c r="A1173" s="857" t="s">
        <v>6332</v>
      </c>
      <c r="B1173" s="842">
        <v>100.43</v>
      </c>
      <c r="C1173" s="843">
        <f t="shared" si="199"/>
        <v>1.1685302709781409E-2</v>
      </c>
      <c r="D1173" s="842">
        <v>31.61</v>
      </c>
      <c r="E1173" s="843">
        <f t="shared" si="199"/>
        <v>-1.7407522536524778E-2</v>
      </c>
      <c r="F1173" s="842">
        <v>23.26</v>
      </c>
      <c r="G1173" s="843">
        <f t="shared" si="199"/>
        <v>6.0553633217992342E-3</v>
      </c>
      <c r="H1173" s="842">
        <v>57.13</v>
      </c>
      <c r="I1173" s="843">
        <f t="shared" si="199"/>
        <v>-8.5039916695590634E-3</v>
      </c>
      <c r="J1173" s="842">
        <v>76.930000000000007</v>
      </c>
      <c r="K1173" s="843">
        <f t="shared" si="200"/>
        <v>2.8679442054493354E-3</v>
      </c>
      <c r="L1173" s="842">
        <v>66.78</v>
      </c>
      <c r="M1173" s="843">
        <f t="shared" si="201"/>
        <v>-4.7690014903128963E-3</v>
      </c>
      <c r="N1173" s="842">
        <v>67.63</v>
      </c>
      <c r="O1173" s="843">
        <f t="shared" si="202"/>
        <v>-8.8639385433597617E-4</v>
      </c>
      <c r="P1173" s="844">
        <f t="shared" si="208"/>
        <v>-1.5654713305289622E-3</v>
      </c>
      <c r="Q1173" s="830"/>
      <c r="R1173" s="845">
        <v>793</v>
      </c>
      <c r="S1173" s="846">
        <f t="shared" si="203"/>
        <v>-2.8995373346951681E-4</v>
      </c>
      <c r="T1173" s="845">
        <v>58.67</v>
      </c>
      <c r="U1173" s="846">
        <f t="shared" si="204"/>
        <v>-2.5501530091804891E-3</v>
      </c>
      <c r="V1173" s="845">
        <v>104.65819999999999</v>
      </c>
      <c r="W1173" s="846">
        <f t="shared" si="205"/>
        <v>1.1684939690322027E-2</v>
      </c>
      <c r="X1173" s="845">
        <v>25605.539000000001</v>
      </c>
      <c r="Y1173" s="846">
        <f t="shared" si="206"/>
        <v>1.8997364312641984E-2</v>
      </c>
      <c r="Z1173" s="845">
        <v>3041.3123000000001</v>
      </c>
      <c r="AA1173" s="846">
        <f t="shared" si="207"/>
        <v>1.3063175807137783E-2</v>
      </c>
    </row>
    <row r="1174" spans="1:27" ht="14.4" x14ac:dyDescent="0.55000000000000004">
      <c r="A1174" s="857" t="s">
        <v>6333</v>
      </c>
      <c r="B1174" s="842">
        <v>99.27</v>
      </c>
      <c r="C1174" s="843">
        <f t="shared" si="199"/>
        <v>-4.3088490456911543E-2</v>
      </c>
      <c r="D1174" s="842">
        <v>32.17</v>
      </c>
      <c r="E1174" s="843">
        <f t="shared" si="199"/>
        <v>-6.915509259259256E-2</v>
      </c>
      <c r="F1174" s="842">
        <v>23.12</v>
      </c>
      <c r="G1174" s="843">
        <f t="shared" si="199"/>
        <v>-5.284719377304381E-2</v>
      </c>
      <c r="H1174" s="842">
        <v>57.62</v>
      </c>
      <c r="I1174" s="843">
        <f t="shared" si="199"/>
        <v>-7.0495241167930378E-2</v>
      </c>
      <c r="J1174" s="842">
        <v>76.709999999999994</v>
      </c>
      <c r="K1174" s="843">
        <f t="shared" si="200"/>
        <v>-6.9956353055286247E-2</v>
      </c>
      <c r="L1174" s="842">
        <v>67.099999999999994</v>
      </c>
      <c r="M1174" s="843">
        <f t="shared" si="201"/>
        <v>-5.5727554179566652E-2</v>
      </c>
      <c r="N1174" s="842">
        <v>67.69</v>
      </c>
      <c r="O1174" s="843">
        <f t="shared" si="202"/>
        <v>-6.7630853994490314E-2</v>
      </c>
      <c r="P1174" s="844">
        <f t="shared" si="208"/>
        <v>-6.1271539888545931E-2</v>
      </c>
      <c r="Q1174" s="830"/>
      <c r="R1174" s="845">
        <v>793.23</v>
      </c>
      <c r="S1174" s="846">
        <f t="shared" si="203"/>
        <v>-3.8182655931710219E-2</v>
      </c>
      <c r="T1174" s="845">
        <v>58.82</v>
      </c>
      <c r="U1174" s="846">
        <f t="shared" si="204"/>
        <v>-3.9045907531449098E-2</v>
      </c>
      <c r="V1174" s="845">
        <v>103.4494</v>
      </c>
      <c r="W1174" s="846">
        <f t="shared" si="205"/>
        <v>-4.3087667368128968E-2</v>
      </c>
      <c r="X1174" s="845">
        <v>25128.17</v>
      </c>
      <c r="Y1174" s="846">
        <f t="shared" si="206"/>
        <v>-6.8981870686132263E-2</v>
      </c>
      <c r="Z1174" s="845">
        <v>3002.0954000000002</v>
      </c>
      <c r="AA1174" s="846">
        <f t="shared" si="207"/>
        <v>-5.8944383562330782E-2</v>
      </c>
    </row>
    <row r="1175" spans="1:27" ht="14.4" x14ac:dyDescent="0.55000000000000004">
      <c r="A1175" s="857" t="s">
        <v>6334</v>
      </c>
      <c r="B1175" s="842">
        <v>103.74</v>
      </c>
      <c r="C1175" s="843">
        <f t="shared" si="199"/>
        <v>-5.5598159509202549E-3</v>
      </c>
      <c r="D1175" s="842">
        <v>34.56</v>
      </c>
      <c r="E1175" s="843">
        <f t="shared" si="199"/>
        <v>-4.1331484049930478E-2</v>
      </c>
      <c r="F1175" s="842">
        <v>24.41</v>
      </c>
      <c r="G1175" s="843">
        <f t="shared" si="199"/>
        <v>-1.6915022150624126E-2</v>
      </c>
      <c r="H1175" s="842">
        <v>61.99</v>
      </c>
      <c r="I1175" s="843">
        <f t="shared" si="199"/>
        <v>-3.201124297314184E-2</v>
      </c>
      <c r="J1175" s="842">
        <v>82.48</v>
      </c>
      <c r="K1175" s="843">
        <f t="shared" si="200"/>
        <v>-1.7510422870756437E-2</v>
      </c>
      <c r="L1175" s="842">
        <v>71.06</v>
      </c>
      <c r="M1175" s="843">
        <f t="shared" si="201"/>
        <v>-4.630250973023764E-2</v>
      </c>
      <c r="N1175" s="842">
        <v>72.599999999999994</v>
      </c>
      <c r="O1175" s="843">
        <f t="shared" si="202"/>
        <v>-3.3031433137986177E-2</v>
      </c>
      <c r="P1175" s="844">
        <f t="shared" si="208"/>
        <v>-2.7523132980513849E-2</v>
      </c>
      <c r="Q1175" s="830"/>
      <c r="R1175" s="845">
        <v>824.72</v>
      </c>
      <c r="S1175" s="846">
        <f t="shared" si="203"/>
        <v>-6.768311775898983E-3</v>
      </c>
      <c r="T1175" s="845">
        <v>61.21</v>
      </c>
      <c r="U1175" s="846">
        <f t="shared" si="204"/>
        <v>-5.8470034107519497E-3</v>
      </c>
      <c r="V1175" s="845">
        <v>108.1075</v>
      </c>
      <c r="W1175" s="846">
        <f t="shared" si="205"/>
        <v>-5.5605636912208212E-3</v>
      </c>
      <c r="X1175" s="845">
        <v>26989.99</v>
      </c>
      <c r="Y1175" s="846">
        <f t="shared" si="206"/>
        <v>-1.0351528840618407E-2</v>
      </c>
      <c r="Z1175" s="845">
        <v>3190.136</v>
      </c>
      <c r="AA1175" s="846">
        <f t="shared" si="207"/>
        <v>-5.3137367082919384E-3</v>
      </c>
    </row>
    <row r="1176" spans="1:27" ht="14.4" x14ac:dyDescent="0.55000000000000004">
      <c r="A1176" s="857" t="s">
        <v>6335</v>
      </c>
      <c r="B1176" s="842">
        <v>104.32</v>
      </c>
      <c r="C1176" s="843">
        <f t="shared" si="199"/>
        <v>-1.6127511081769352E-2</v>
      </c>
      <c r="D1176" s="842">
        <v>36.049999999999997</v>
      </c>
      <c r="E1176" s="843">
        <f t="shared" si="199"/>
        <v>-3.2734102495304729E-2</v>
      </c>
      <c r="F1176" s="842">
        <v>24.83</v>
      </c>
      <c r="G1176" s="843">
        <f t="shared" si="199"/>
        <v>-3.0456852791878264E-2</v>
      </c>
      <c r="H1176" s="842">
        <v>64.040000000000006</v>
      </c>
      <c r="I1176" s="843">
        <f t="shared" si="199"/>
        <v>-1.507228545063044E-2</v>
      </c>
      <c r="J1176" s="842">
        <v>83.95</v>
      </c>
      <c r="K1176" s="843">
        <f t="shared" si="200"/>
        <v>-6.5088757396449815E-3</v>
      </c>
      <c r="L1176" s="842">
        <v>74.510000000000005</v>
      </c>
      <c r="M1176" s="843">
        <f t="shared" si="201"/>
        <v>-2.3460026212319685E-2</v>
      </c>
      <c r="N1176" s="842">
        <v>75.08</v>
      </c>
      <c r="O1176" s="843">
        <f t="shared" si="202"/>
        <v>-1.5085924176833299E-2</v>
      </c>
      <c r="P1176" s="844">
        <f t="shared" si="208"/>
        <v>-1.992079684976868E-2</v>
      </c>
      <c r="Q1176" s="830"/>
      <c r="R1176" s="845">
        <v>830.34</v>
      </c>
      <c r="S1176" s="846">
        <f t="shared" si="203"/>
        <v>-1.9970257063947283E-2</v>
      </c>
      <c r="T1176" s="845">
        <v>61.57</v>
      </c>
      <c r="U1176" s="846">
        <f t="shared" si="204"/>
        <v>-2.0054114276619406E-2</v>
      </c>
      <c r="V1176" s="845">
        <v>108.712</v>
      </c>
      <c r="W1176" s="846">
        <f t="shared" si="205"/>
        <v>-1.6127572537875334E-2</v>
      </c>
      <c r="X1176" s="845">
        <v>27272.3</v>
      </c>
      <c r="Y1176" s="846">
        <f t="shared" si="206"/>
        <v>-1.0885507412474182E-2</v>
      </c>
      <c r="Z1176" s="845">
        <v>3207.1781000000001</v>
      </c>
      <c r="AA1176" s="846">
        <f t="shared" si="207"/>
        <v>-7.7984505376322844E-3</v>
      </c>
    </row>
    <row r="1177" spans="1:27" ht="14.4" x14ac:dyDescent="0.55000000000000004">
      <c r="A1177" s="857" t="s">
        <v>6336</v>
      </c>
      <c r="B1177" s="842">
        <v>106.03</v>
      </c>
      <c r="C1177" s="843">
        <f t="shared" si="199"/>
        <v>1.434994738352624E-2</v>
      </c>
      <c r="D1177" s="842">
        <v>37.270000000000003</v>
      </c>
      <c r="E1177" s="843">
        <f t="shared" si="199"/>
        <v>3.0127142067440715E-2</v>
      </c>
      <c r="F1177" s="842">
        <v>25.61</v>
      </c>
      <c r="G1177" s="843">
        <f t="shared" si="199"/>
        <v>2.1132376395534447E-2</v>
      </c>
      <c r="H1177" s="842">
        <v>65.02</v>
      </c>
      <c r="I1177" s="843">
        <f t="shared" si="199"/>
        <v>1.4036182158452704E-2</v>
      </c>
      <c r="J1177" s="842">
        <v>84.5</v>
      </c>
      <c r="K1177" s="843">
        <f t="shared" si="200"/>
        <v>1.8194963248584273E-2</v>
      </c>
      <c r="L1177" s="842">
        <v>76.3</v>
      </c>
      <c r="M1177" s="843">
        <f t="shared" si="201"/>
        <v>1.1667992574913688E-2</v>
      </c>
      <c r="N1177" s="842">
        <v>76.23</v>
      </c>
      <c r="O1177" s="843">
        <f t="shared" si="202"/>
        <v>2.6252019386106662E-2</v>
      </c>
      <c r="P1177" s="844">
        <f t="shared" si="208"/>
        <v>1.9394374744936962E-2</v>
      </c>
      <c r="Q1177" s="830"/>
      <c r="R1177" s="845">
        <v>847.26</v>
      </c>
      <c r="S1177" s="846">
        <f t="shared" si="203"/>
        <v>2.5093161689977217E-2</v>
      </c>
      <c r="T1177" s="845">
        <v>62.83</v>
      </c>
      <c r="U1177" s="846">
        <f t="shared" si="204"/>
        <v>2.6801764994280219E-2</v>
      </c>
      <c r="V1177" s="845">
        <v>110.494</v>
      </c>
      <c r="W1177" s="846">
        <f t="shared" si="205"/>
        <v>1.4350394929625088E-2</v>
      </c>
      <c r="X1177" s="845">
        <v>27572.44</v>
      </c>
      <c r="Y1177" s="846">
        <f t="shared" si="206"/>
        <v>1.7021147889157762E-2</v>
      </c>
      <c r="Z1177" s="845">
        <v>3232.3856999999998</v>
      </c>
      <c r="AA1177" s="846">
        <f t="shared" si="207"/>
        <v>1.2040942190365111E-2</v>
      </c>
    </row>
    <row r="1178" spans="1:27" ht="14.4" x14ac:dyDescent="0.55000000000000004">
      <c r="A1178" s="857" t="s">
        <v>6337</v>
      </c>
      <c r="B1178" s="842">
        <v>104.53</v>
      </c>
      <c r="C1178" s="843">
        <f t="shared" si="199"/>
        <v>2.9744770677413435E-3</v>
      </c>
      <c r="D1178" s="842">
        <v>36.18</v>
      </c>
      <c r="E1178" s="843">
        <f t="shared" si="199"/>
        <v>3.8461538461538325E-2</v>
      </c>
      <c r="F1178" s="842">
        <v>25.08</v>
      </c>
      <c r="G1178" s="843">
        <f t="shared" si="199"/>
        <v>1.8683996750609166E-2</v>
      </c>
      <c r="H1178" s="842">
        <v>64.12</v>
      </c>
      <c r="I1178" s="843">
        <f t="shared" si="199"/>
        <v>2.1181716833890807E-2</v>
      </c>
      <c r="J1178" s="842">
        <v>82.99</v>
      </c>
      <c r="K1178" s="843">
        <f t="shared" si="200"/>
        <v>8.751671326121313E-3</v>
      </c>
      <c r="L1178" s="842">
        <v>75.42</v>
      </c>
      <c r="M1178" s="843">
        <f t="shared" si="201"/>
        <v>2.2921470229214647E-2</v>
      </c>
      <c r="N1178" s="842">
        <v>74.28</v>
      </c>
      <c r="O1178" s="843">
        <f t="shared" si="202"/>
        <v>2.7670171555063572E-2</v>
      </c>
      <c r="P1178" s="844">
        <f t="shared" si="208"/>
        <v>2.0092148889168455E-2</v>
      </c>
      <c r="Q1178" s="830"/>
      <c r="R1178" s="845">
        <v>826.52</v>
      </c>
      <c r="S1178" s="846">
        <f t="shared" si="203"/>
        <v>1.5305997100950819E-2</v>
      </c>
      <c r="T1178" s="845">
        <v>61.19</v>
      </c>
      <c r="U1178" s="846">
        <f t="shared" si="204"/>
        <v>1.2744124462098494E-2</v>
      </c>
      <c r="V1178" s="845">
        <v>108.9308</v>
      </c>
      <c r="W1178" s="846">
        <f t="shared" si="205"/>
        <v>2.9740037087575555E-3</v>
      </c>
      <c r="X1178" s="845">
        <v>27110.98</v>
      </c>
      <c r="Y1178" s="846">
        <f t="shared" si="206"/>
        <v>3.1548804458747526E-2</v>
      </c>
      <c r="Z1178" s="845">
        <v>3193.9277999999999</v>
      </c>
      <c r="AA1178" s="846">
        <f t="shared" si="207"/>
        <v>2.621218512181045E-2</v>
      </c>
    </row>
    <row r="1179" spans="1:27" ht="14.4" x14ac:dyDescent="0.55000000000000004">
      <c r="A1179" s="857" t="s">
        <v>6338</v>
      </c>
      <c r="B1179" s="842">
        <v>104.22</v>
      </c>
      <c r="C1179" s="843">
        <f t="shared" si="199"/>
        <v>-5.1546391752578247E-3</v>
      </c>
      <c r="D1179" s="842">
        <v>34.840000000000003</v>
      </c>
      <c r="E1179" s="843">
        <f t="shared" si="199"/>
        <v>-2.1073335206518662E-2</v>
      </c>
      <c r="F1179" s="842">
        <v>24.62</v>
      </c>
      <c r="G1179" s="843">
        <f t="shared" si="199"/>
        <v>-2.7646129541864073E-2</v>
      </c>
      <c r="H1179" s="842">
        <v>62.79</v>
      </c>
      <c r="I1179" s="843">
        <f t="shared" si="199"/>
        <v>-2.7566981570388616E-2</v>
      </c>
      <c r="J1179" s="842">
        <v>82.27</v>
      </c>
      <c r="K1179" s="843">
        <f t="shared" si="200"/>
        <v>-2.1876114611817932E-2</v>
      </c>
      <c r="L1179" s="842">
        <v>73.73</v>
      </c>
      <c r="M1179" s="843">
        <f t="shared" si="201"/>
        <v>-3.3556167256521219E-2</v>
      </c>
      <c r="N1179" s="842">
        <v>72.28</v>
      </c>
      <c r="O1179" s="843">
        <f t="shared" si="202"/>
        <v>-2.6794129527400012E-2</v>
      </c>
      <c r="P1179" s="844">
        <f t="shared" si="208"/>
        <v>-2.3381070984252621E-2</v>
      </c>
      <c r="Q1179" s="830"/>
      <c r="R1179" s="845">
        <v>814.06</v>
      </c>
      <c r="S1179" s="846">
        <f t="shared" si="203"/>
        <v>-2.0703261274916729E-2</v>
      </c>
      <c r="T1179" s="845">
        <v>60.42</v>
      </c>
      <c r="U1179" s="846">
        <f t="shared" si="204"/>
        <v>-1.7880364109232771E-2</v>
      </c>
      <c r="V1179" s="845">
        <v>108.6078</v>
      </c>
      <c r="W1179" s="846">
        <f t="shared" si="205"/>
        <v>-5.1543228253054796E-3</v>
      </c>
      <c r="X1179" s="845">
        <v>26281.82</v>
      </c>
      <c r="Y1179" s="846">
        <f t="shared" si="206"/>
        <v>4.5413208810551886E-4</v>
      </c>
      <c r="Z1179" s="845">
        <v>3112.3463999999999</v>
      </c>
      <c r="AA1179" s="846">
        <f t="shared" si="207"/>
        <v>-3.3699127168334009E-3</v>
      </c>
    </row>
    <row r="1180" spans="1:27" ht="14.4" x14ac:dyDescent="0.55000000000000004">
      <c r="A1180" s="857" t="s">
        <v>6339</v>
      </c>
      <c r="B1180" s="842">
        <v>104.76</v>
      </c>
      <c r="C1180" s="843">
        <f t="shared" si="199"/>
        <v>1.4624697336561798E-2</v>
      </c>
      <c r="D1180" s="842">
        <v>35.590000000000003</v>
      </c>
      <c r="E1180" s="843">
        <f t="shared" si="199"/>
        <v>2.6239907727797052E-2</v>
      </c>
      <c r="F1180" s="842">
        <v>25.32</v>
      </c>
      <c r="G1180" s="843">
        <f t="shared" si="199"/>
        <v>2.4271844660194164E-2</v>
      </c>
      <c r="H1180" s="842">
        <v>64.569999999999993</v>
      </c>
      <c r="I1180" s="843">
        <f t="shared" si="199"/>
        <v>1.797256818540105E-2</v>
      </c>
      <c r="J1180" s="842">
        <v>84.11</v>
      </c>
      <c r="K1180" s="843">
        <f t="shared" si="200"/>
        <v>1.7295597484276559E-2</v>
      </c>
      <c r="L1180" s="842">
        <v>76.290000000000006</v>
      </c>
      <c r="M1180" s="843">
        <f t="shared" si="201"/>
        <v>7.2616847108530891E-3</v>
      </c>
      <c r="N1180" s="842">
        <v>74.27</v>
      </c>
      <c r="O1180" s="843">
        <f t="shared" si="202"/>
        <v>1.7397260273972481E-2</v>
      </c>
      <c r="P1180" s="844">
        <f t="shared" si="208"/>
        <v>1.7866222911293743E-2</v>
      </c>
      <c r="Q1180" s="830"/>
      <c r="R1180" s="845">
        <v>831.27</v>
      </c>
      <c r="S1180" s="846">
        <f t="shared" si="203"/>
        <v>1.3249634324719706E-2</v>
      </c>
      <c r="T1180" s="845">
        <v>61.52</v>
      </c>
      <c r="U1180" s="846">
        <f t="shared" si="204"/>
        <v>1.2008554038493324E-2</v>
      </c>
      <c r="V1180" s="845">
        <v>109.1705</v>
      </c>
      <c r="W1180" s="846">
        <f t="shared" si="205"/>
        <v>1.462495666696717E-2</v>
      </c>
      <c r="X1180" s="845">
        <v>26269.89</v>
      </c>
      <c r="Y1180" s="846">
        <f t="shared" si="206"/>
        <v>2.0481185891895182E-2</v>
      </c>
      <c r="Z1180" s="845">
        <v>3122.8701999999998</v>
      </c>
      <c r="AA1180" s="846">
        <f t="shared" si="207"/>
        <v>1.3648304663605559E-2</v>
      </c>
    </row>
    <row r="1181" spans="1:27" ht="14.4" x14ac:dyDescent="0.55000000000000004">
      <c r="A1181" s="857" t="s">
        <v>6340</v>
      </c>
      <c r="B1181" s="842">
        <v>103.25</v>
      </c>
      <c r="C1181" s="843">
        <f t="shared" si="199"/>
        <v>2.9140359397765714E-3</v>
      </c>
      <c r="D1181" s="842">
        <v>34.68</v>
      </c>
      <c r="E1181" s="843">
        <f t="shared" si="199"/>
        <v>2.6019080659149818E-3</v>
      </c>
      <c r="F1181" s="842">
        <v>24.72</v>
      </c>
      <c r="G1181" s="843">
        <f t="shared" si="199"/>
        <v>2.1065675340768086E-2</v>
      </c>
      <c r="H1181" s="842">
        <v>63.43</v>
      </c>
      <c r="I1181" s="843">
        <f t="shared" si="199"/>
        <v>-5.48761367199746E-3</v>
      </c>
      <c r="J1181" s="842">
        <v>82.68</v>
      </c>
      <c r="K1181" s="843">
        <f t="shared" si="200"/>
        <v>-3.014590618593993E-3</v>
      </c>
      <c r="L1181" s="842">
        <v>75.739999999999995</v>
      </c>
      <c r="M1181" s="843">
        <f t="shared" si="201"/>
        <v>8.9250033302250564E-3</v>
      </c>
      <c r="N1181" s="842">
        <v>73</v>
      </c>
      <c r="O1181" s="843">
        <f t="shared" si="202"/>
        <v>-8.2124281412543354E-4</v>
      </c>
      <c r="P1181" s="844">
        <f t="shared" si="208"/>
        <v>3.7404536531382587E-3</v>
      </c>
      <c r="Q1181" s="830"/>
      <c r="R1181" s="845">
        <v>820.4</v>
      </c>
      <c r="S1181" s="846">
        <f t="shared" si="203"/>
        <v>6.2183410398242156E-3</v>
      </c>
      <c r="T1181" s="845">
        <v>60.79</v>
      </c>
      <c r="U1181" s="846">
        <f t="shared" si="204"/>
        <v>6.4569536423841889E-3</v>
      </c>
      <c r="V1181" s="845">
        <v>107.59690000000001</v>
      </c>
      <c r="W1181" s="846">
        <f t="shared" si="205"/>
        <v>2.913753456936341E-3</v>
      </c>
      <c r="X1181" s="845">
        <v>25742.65</v>
      </c>
      <c r="Y1181" s="846">
        <f t="shared" si="206"/>
        <v>1.0505585471571877E-2</v>
      </c>
      <c r="Z1181" s="845">
        <v>3080.8222000000001</v>
      </c>
      <c r="AA1181" s="846">
        <f t="shared" si="207"/>
        <v>8.2105670950494147E-3</v>
      </c>
    </row>
    <row r="1182" spans="1:27" ht="14.4" x14ac:dyDescent="0.55000000000000004">
      <c r="A1182" s="857" t="s">
        <v>6341</v>
      </c>
      <c r="B1182" s="842">
        <v>102.95</v>
      </c>
      <c r="C1182" s="843">
        <f t="shared" si="199"/>
        <v>1.6540182914963619E-3</v>
      </c>
      <c r="D1182" s="842">
        <v>34.590000000000003</v>
      </c>
      <c r="E1182" s="843">
        <f t="shared" si="199"/>
        <v>-1.5091116173120533E-2</v>
      </c>
      <c r="F1182" s="842">
        <v>24.21</v>
      </c>
      <c r="G1182" s="843">
        <f t="shared" si="199"/>
        <v>1.5946286193873282E-2</v>
      </c>
      <c r="H1182" s="842">
        <v>63.78</v>
      </c>
      <c r="I1182" s="843">
        <f t="shared" si="199"/>
        <v>-5.1474029012634759E-3</v>
      </c>
      <c r="J1182" s="842">
        <v>82.93</v>
      </c>
      <c r="K1182" s="843">
        <f t="shared" si="200"/>
        <v>-1.2385375729427106E-2</v>
      </c>
      <c r="L1182" s="842">
        <v>75.069999999999993</v>
      </c>
      <c r="M1182" s="843">
        <f t="shared" si="201"/>
        <v>-1.1586570111915884E-2</v>
      </c>
      <c r="N1182" s="842">
        <v>73.06</v>
      </c>
      <c r="O1182" s="843">
        <f t="shared" si="202"/>
        <v>1.9199122325836981E-3</v>
      </c>
      <c r="P1182" s="844">
        <f t="shared" si="208"/>
        <v>-3.5271783139676654E-3</v>
      </c>
      <c r="Q1182" s="830"/>
      <c r="R1182" s="845">
        <v>815.33</v>
      </c>
      <c r="S1182" s="846">
        <f t="shared" si="203"/>
        <v>1.0422346701036034E-2</v>
      </c>
      <c r="T1182" s="845">
        <v>60.4</v>
      </c>
      <c r="U1182" s="846">
        <f t="shared" si="204"/>
        <v>1.1894789747026291E-2</v>
      </c>
      <c r="V1182" s="845">
        <v>107.2843</v>
      </c>
      <c r="W1182" s="846">
        <f t="shared" si="205"/>
        <v>1.6544188013680738E-3</v>
      </c>
      <c r="X1182" s="845">
        <v>25475.02</v>
      </c>
      <c r="Y1182" s="846">
        <f t="shared" si="206"/>
        <v>3.6209117007333091E-3</v>
      </c>
      <c r="Z1182" s="845">
        <v>3055.7329</v>
      </c>
      <c r="AA1182" s="846">
        <f t="shared" si="207"/>
        <v>3.7537957757980411E-3</v>
      </c>
    </row>
    <row r="1183" spans="1:27" ht="14.4" x14ac:dyDescent="0.55000000000000004">
      <c r="A1183" s="857" t="s">
        <v>6342</v>
      </c>
      <c r="B1183" s="842">
        <v>102.78</v>
      </c>
      <c r="C1183" s="843">
        <f t="shared" si="199"/>
        <v>1.0818253343823692E-2</v>
      </c>
      <c r="D1183" s="842">
        <v>35.119999999999997</v>
      </c>
      <c r="E1183" s="843">
        <f t="shared" si="199"/>
        <v>3.7153472420690115E-3</v>
      </c>
      <c r="F1183" s="842">
        <v>23.83</v>
      </c>
      <c r="G1183" s="843">
        <f t="shared" si="199"/>
        <v>-7.9100749375521362E-3</v>
      </c>
      <c r="H1183" s="842">
        <v>64.11</v>
      </c>
      <c r="I1183" s="843">
        <f t="shared" si="199"/>
        <v>-6.2353858144981178E-4</v>
      </c>
      <c r="J1183" s="842">
        <v>83.97</v>
      </c>
      <c r="K1183" s="843">
        <f t="shared" si="200"/>
        <v>-3.2051282051281937E-3</v>
      </c>
      <c r="L1183" s="842">
        <v>75.95</v>
      </c>
      <c r="M1183" s="843">
        <f t="shared" si="201"/>
        <v>3.567653276955518E-3</v>
      </c>
      <c r="N1183" s="842">
        <v>72.92</v>
      </c>
      <c r="O1183" s="843">
        <f t="shared" si="202"/>
        <v>3.7164487267722368E-3</v>
      </c>
      <c r="P1183" s="844">
        <f t="shared" si="208"/>
        <v>1.4398515522129024E-3</v>
      </c>
      <c r="Q1183" s="830"/>
      <c r="R1183" s="845">
        <v>806.92</v>
      </c>
      <c r="S1183" s="846">
        <f t="shared" si="203"/>
        <v>7.6423576423576556E-3</v>
      </c>
      <c r="T1183" s="845">
        <v>59.69</v>
      </c>
      <c r="U1183" s="846">
        <f t="shared" si="204"/>
        <v>7.7663346277223599E-3</v>
      </c>
      <c r="V1183" s="845">
        <v>107.1071</v>
      </c>
      <c r="W1183" s="846">
        <f t="shared" si="205"/>
        <v>1.0818151618334326E-2</v>
      </c>
      <c r="X1183" s="845">
        <v>25383.11</v>
      </c>
      <c r="Y1183" s="846">
        <f t="shared" si="206"/>
        <v>-6.9014009095824669E-4</v>
      </c>
      <c r="Z1183" s="845">
        <v>3044.3051999999998</v>
      </c>
      <c r="AA1183" s="846">
        <f t="shared" si="207"/>
        <v>4.8096975934941444E-3</v>
      </c>
    </row>
    <row r="1184" spans="1:27" ht="14.4" x14ac:dyDescent="0.55000000000000004">
      <c r="A1184" s="857" t="s">
        <v>6343</v>
      </c>
      <c r="B1184" s="842">
        <v>101.68</v>
      </c>
      <c r="C1184" s="843">
        <f t="shared" si="199"/>
        <v>2.520669489816485E-2</v>
      </c>
      <c r="D1184" s="842">
        <v>34.99</v>
      </c>
      <c r="E1184" s="843">
        <f t="shared" si="199"/>
        <v>-7.0942111237229932E-3</v>
      </c>
      <c r="F1184" s="842">
        <v>24.02</v>
      </c>
      <c r="G1184" s="843">
        <f t="shared" si="199"/>
        <v>3.0017152658662116E-2</v>
      </c>
      <c r="H1184" s="842">
        <v>64.150000000000006</v>
      </c>
      <c r="I1184" s="843">
        <f t="shared" si="199"/>
        <v>-1.2925065394675972E-2</v>
      </c>
      <c r="J1184" s="842">
        <v>84.24</v>
      </c>
      <c r="K1184" s="843">
        <f t="shared" si="200"/>
        <v>2.4070021881837933E-2</v>
      </c>
      <c r="L1184" s="842">
        <v>75.680000000000007</v>
      </c>
      <c r="M1184" s="843">
        <f t="shared" si="201"/>
        <v>-1.6632016632016411E-2</v>
      </c>
      <c r="N1184" s="842">
        <v>72.650000000000006</v>
      </c>
      <c r="O1184" s="843">
        <f t="shared" si="202"/>
        <v>-1.4781665310550474E-2</v>
      </c>
      <c r="P1184" s="844">
        <f t="shared" si="208"/>
        <v>3.9801301396712929E-3</v>
      </c>
      <c r="Q1184" s="830"/>
      <c r="R1184" s="845">
        <v>800.8</v>
      </c>
      <c r="S1184" s="846">
        <f t="shared" si="203"/>
        <v>2.9716210829507705E-2</v>
      </c>
      <c r="T1184" s="845">
        <v>59.23</v>
      </c>
      <c r="U1184" s="846">
        <f t="shared" si="204"/>
        <v>2.9549800104293311E-2</v>
      </c>
      <c r="V1184" s="845">
        <v>105.96080000000001</v>
      </c>
      <c r="W1184" s="846">
        <f t="shared" si="205"/>
        <v>2.5206181377690262E-2</v>
      </c>
      <c r="X1184" s="845">
        <v>25400.639999999999</v>
      </c>
      <c r="Y1184" s="846">
        <f t="shared" si="206"/>
        <v>-5.7784734543669947E-3</v>
      </c>
      <c r="Z1184" s="845">
        <v>3029.7330999999999</v>
      </c>
      <c r="AA1184" s="846">
        <f t="shared" si="207"/>
        <v>-2.1079773443405392E-3</v>
      </c>
    </row>
    <row r="1185" spans="1:27" ht="14.4" x14ac:dyDescent="0.55000000000000004">
      <c r="A1185" s="857" t="s">
        <v>6344</v>
      </c>
      <c r="B1185" s="842">
        <v>99.18</v>
      </c>
      <c r="C1185" s="843">
        <f t="shared" si="199"/>
        <v>1.6188524590164066E-2</v>
      </c>
      <c r="D1185" s="842">
        <v>35.24</v>
      </c>
      <c r="E1185" s="843">
        <f t="shared" si="199"/>
        <v>2.5014543339150652E-2</v>
      </c>
      <c r="F1185" s="842">
        <v>23.32</v>
      </c>
      <c r="G1185" s="843">
        <f t="shared" si="199"/>
        <v>-2.9927319367251126E-3</v>
      </c>
      <c r="H1185" s="842">
        <v>64.989999999999995</v>
      </c>
      <c r="I1185" s="843">
        <f t="shared" si="199"/>
        <v>2.6049889485317168E-2</v>
      </c>
      <c r="J1185" s="842">
        <v>82.26</v>
      </c>
      <c r="K1185" s="843">
        <f t="shared" si="200"/>
        <v>3.1861515303562626E-2</v>
      </c>
      <c r="L1185" s="842">
        <v>76.959999999999994</v>
      </c>
      <c r="M1185" s="843">
        <f t="shared" si="201"/>
        <v>2.736617274062203E-2</v>
      </c>
      <c r="N1185" s="842">
        <v>73.739999999999995</v>
      </c>
      <c r="O1185" s="843">
        <f t="shared" si="202"/>
        <v>2.8165086447294874E-2</v>
      </c>
      <c r="P1185" s="844">
        <f t="shared" si="208"/>
        <v>2.16647142813409E-2</v>
      </c>
      <c r="Q1185" s="830"/>
      <c r="R1185" s="845">
        <v>777.69</v>
      </c>
      <c r="S1185" s="846">
        <f t="shared" si="203"/>
        <v>1.1260939105106615E-2</v>
      </c>
      <c r="T1185" s="845">
        <v>57.53</v>
      </c>
      <c r="U1185" s="846">
        <f t="shared" si="204"/>
        <v>1.1961301671064239E-2</v>
      </c>
      <c r="V1185" s="845">
        <v>103.3556</v>
      </c>
      <c r="W1185" s="846">
        <f t="shared" si="205"/>
        <v>1.6189324445230913E-2</v>
      </c>
      <c r="X1185" s="845">
        <v>25548.27</v>
      </c>
      <c r="Y1185" s="846">
        <f t="shared" si="206"/>
        <v>2.2130728770547448E-2</v>
      </c>
      <c r="Z1185" s="845">
        <v>3036.1332000000002</v>
      </c>
      <c r="AA1185" s="846">
        <f t="shared" si="207"/>
        <v>1.4830074727457676E-2</v>
      </c>
    </row>
    <row r="1186" spans="1:27" ht="14.4" x14ac:dyDescent="0.55000000000000004">
      <c r="A1186" s="857" t="s">
        <v>6345</v>
      </c>
      <c r="B1186" s="842">
        <v>97.6</v>
      </c>
      <c r="C1186" s="843">
        <f t="shared" si="199"/>
        <v>-7.4239804739144599E-3</v>
      </c>
      <c r="D1186" s="842">
        <v>34.380000000000003</v>
      </c>
      <c r="E1186" s="843">
        <f t="shared" si="199"/>
        <v>2.2301516503122176E-2</v>
      </c>
      <c r="F1186" s="842">
        <v>23.39</v>
      </c>
      <c r="G1186" s="843">
        <f t="shared" si="199"/>
        <v>1.2992637505413684E-2</v>
      </c>
      <c r="H1186" s="842">
        <v>63.34</v>
      </c>
      <c r="I1186" s="843">
        <f t="shared" si="199"/>
        <v>8.2776185928048474E-3</v>
      </c>
      <c r="J1186" s="842">
        <v>79.72</v>
      </c>
      <c r="K1186" s="843">
        <f t="shared" si="200"/>
        <v>1.5024191494779737E-2</v>
      </c>
      <c r="L1186" s="842">
        <v>74.91</v>
      </c>
      <c r="M1186" s="843">
        <f t="shared" si="201"/>
        <v>2.0989505247376306E-2</v>
      </c>
      <c r="N1186" s="842">
        <v>71.72</v>
      </c>
      <c r="O1186" s="843">
        <f t="shared" si="202"/>
        <v>1.6759776536312554E-3</v>
      </c>
      <c r="P1186" s="844">
        <f t="shared" si="208"/>
        <v>1.0548209503316221E-2</v>
      </c>
      <c r="Q1186" s="830"/>
      <c r="R1186" s="845">
        <v>769.03</v>
      </c>
      <c r="S1186" s="846">
        <f t="shared" si="203"/>
        <v>6.6760043459479501E-3</v>
      </c>
      <c r="T1186" s="845">
        <v>56.85</v>
      </c>
      <c r="U1186" s="846">
        <f t="shared" si="204"/>
        <v>6.5509915014165809E-3</v>
      </c>
      <c r="V1186" s="845">
        <v>101.709</v>
      </c>
      <c r="W1186" s="846">
        <f t="shared" si="205"/>
        <v>-7.4246265729024374E-3</v>
      </c>
      <c r="X1186" s="845">
        <v>24995.11</v>
      </c>
      <c r="Y1186" s="846">
        <f t="shared" si="206"/>
        <v>2.1661415662108885E-2</v>
      </c>
      <c r="Z1186" s="845">
        <v>2991.7651000000001</v>
      </c>
      <c r="AA1186" s="846">
        <f t="shared" si="207"/>
        <v>1.2286577958090961E-2</v>
      </c>
    </row>
    <row r="1187" spans="1:27" ht="14.4" x14ac:dyDescent="0.55000000000000004">
      <c r="A1187" s="857" t="s">
        <v>6346</v>
      </c>
      <c r="B1187" s="842">
        <v>98.33</v>
      </c>
      <c r="C1187" s="843">
        <f t="shared" si="199"/>
        <v>5.6248721619962527E-3</v>
      </c>
      <c r="D1187" s="842">
        <v>33.630000000000003</v>
      </c>
      <c r="E1187" s="843">
        <f t="shared" si="199"/>
        <v>1.2341962673088513E-2</v>
      </c>
      <c r="F1187" s="842">
        <v>23.09</v>
      </c>
      <c r="G1187" s="843">
        <f t="shared" si="199"/>
        <v>4.3497172683775176E-3</v>
      </c>
      <c r="H1187" s="842">
        <v>62.82</v>
      </c>
      <c r="I1187" s="843">
        <f t="shared" si="199"/>
        <v>1.4347202295552641E-3</v>
      </c>
      <c r="J1187" s="842">
        <v>78.540000000000006</v>
      </c>
      <c r="K1187" s="843">
        <f t="shared" si="200"/>
        <v>5.5050569709385044E-3</v>
      </c>
      <c r="L1187" s="842">
        <v>73.37</v>
      </c>
      <c r="M1187" s="843">
        <f t="shared" si="201"/>
        <v>-9.5315904139425811E-4</v>
      </c>
      <c r="N1187" s="842">
        <v>71.599999999999994</v>
      </c>
      <c r="O1187" s="843">
        <f t="shared" si="202"/>
        <v>1.4307975633942371E-2</v>
      </c>
      <c r="P1187" s="844">
        <f t="shared" si="208"/>
        <v>6.0873065566434525E-3</v>
      </c>
      <c r="Q1187" s="830"/>
      <c r="R1187" s="845">
        <v>763.93</v>
      </c>
      <c r="S1187" s="846">
        <f t="shared" si="203"/>
        <v>1.3142887456565999E-2</v>
      </c>
      <c r="T1187" s="845">
        <v>56.48</v>
      </c>
      <c r="U1187" s="846">
        <f t="shared" si="204"/>
        <v>1.1099176512710196E-2</v>
      </c>
      <c r="V1187" s="845">
        <v>102.46980000000001</v>
      </c>
      <c r="W1187" s="846">
        <f t="shared" si="205"/>
        <v>5.6253103636432211E-3</v>
      </c>
      <c r="X1187" s="845">
        <v>24465.16</v>
      </c>
      <c r="Y1187" s="846">
        <f t="shared" si="206"/>
        <v>-3.6610100792178191E-4</v>
      </c>
      <c r="Z1187" s="845">
        <v>2955.4526999999998</v>
      </c>
      <c r="AA1187" s="846">
        <f t="shared" si="207"/>
        <v>2.3561427185350148E-3</v>
      </c>
    </row>
    <row r="1188" spans="1:27" ht="14.4" x14ac:dyDescent="0.55000000000000004">
      <c r="A1188" s="857" t="s">
        <v>6347</v>
      </c>
      <c r="B1188" s="842">
        <v>97.78</v>
      </c>
      <c r="C1188" s="843">
        <f t="shared" si="199"/>
        <v>-1.6396740770546203E-2</v>
      </c>
      <c r="D1188" s="842">
        <v>33.22</v>
      </c>
      <c r="E1188" s="843">
        <f t="shared" si="199"/>
        <v>-1.512007115327596E-2</v>
      </c>
      <c r="F1188" s="842">
        <v>22.99</v>
      </c>
      <c r="G1188" s="843">
        <f t="shared" si="199"/>
        <v>-3.8994800693240572E-3</v>
      </c>
      <c r="H1188" s="842">
        <v>62.73</v>
      </c>
      <c r="I1188" s="843">
        <f t="shared" si="199"/>
        <v>-6.0212327681825606E-3</v>
      </c>
      <c r="J1188" s="842">
        <v>78.11</v>
      </c>
      <c r="K1188" s="843">
        <f t="shared" si="200"/>
        <v>-3.5718841688990866E-3</v>
      </c>
      <c r="L1188" s="842">
        <v>73.44</v>
      </c>
      <c r="M1188" s="843">
        <f t="shared" si="201"/>
        <v>5.0636376077735079E-3</v>
      </c>
      <c r="N1188" s="842">
        <v>70.59</v>
      </c>
      <c r="O1188" s="843">
        <f t="shared" si="202"/>
        <v>-3.3883947479880216E-3</v>
      </c>
      <c r="P1188" s="844">
        <f t="shared" si="208"/>
        <v>-6.1905951529203406E-3</v>
      </c>
      <c r="Q1188" s="830"/>
      <c r="R1188" s="845">
        <v>754.02</v>
      </c>
      <c r="S1188" s="846">
        <f t="shared" si="203"/>
        <v>-9.9397313515147134E-3</v>
      </c>
      <c r="T1188" s="845">
        <v>55.86</v>
      </c>
      <c r="U1188" s="846">
        <f t="shared" si="204"/>
        <v>-1.0101010101010055E-2</v>
      </c>
      <c r="V1188" s="845">
        <v>101.89660000000001</v>
      </c>
      <c r="W1188" s="846">
        <f t="shared" si="205"/>
        <v>-1.6396512579733402E-2</v>
      </c>
      <c r="X1188" s="845">
        <v>24474.12</v>
      </c>
      <c r="Y1188" s="846">
        <f t="shared" si="206"/>
        <v>-4.1414556537096026E-3</v>
      </c>
      <c r="Z1188" s="845">
        <v>2948.5056</v>
      </c>
      <c r="AA1188" s="846">
        <f t="shared" si="207"/>
        <v>-7.7757790871905152E-3</v>
      </c>
    </row>
    <row r="1189" spans="1:27" ht="14.4" x14ac:dyDescent="0.55000000000000004">
      <c r="A1189" s="857" t="s">
        <v>6348</v>
      </c>
      <c r="B1189" s="842">
        <v>99.41</v>
      </c>
      <c r="C1189" s="843">
        <f t="shared" si="199"/>
        <v>3.2294911734163989E-2</v>
      </c>
      <c r="D1189" s="842">
        <v>33.729999999999997</v>
      </c>
      <c r="E1189" s="843">
        <f t="shared" si="199"/>
        <v>3.1498470948011947E-2</v>
      </c>
      <c r="F1189" s="842">
        <v>23.08</v>
      </c>
      <c r="G1189" s="843">
        <f t="shared" si="199"/>
        <v>1.3015184381777178E-3</v>
      </c>
      <c r="H1189" s="842">
        <v>63.11</v>
      </c>
      <c r="I1189" s="843">
        <f t="shared" si="199"/>
        <v>4.279576999339052E-2</v>
      </c>
      <c r="J1189" s="842">
        <v>78.39</v>
      </c>
      <c r="K1189" s="843">
        <f t="shared" si="200"/>
        <v>1.9906323185011621E-2</v>
      </c>
      <c r="L1189" s="842">
        <v>73.069999999999993</v>
      </c>
      <c r="M1189" s="843">
        <f t="shared" si="201"/>
        <v>2.8285955530537477E-2</v>
      </c>
      <c r="N1189" s="842">
        <v>70.83</v>
      </c>
      <c r="O1189" s="843">
        <f t="shared" si="202"/>
        <v>2.3554913294797641E-2</v>
      </c>
      <c r="P1189" s="844">
        <f t="shared" si="208"/>
        <v>2.566255187487013E-2</v>
      </c>
      <c r="Q1189" s="830"/>
      <c r="R1189" s="845">
        <v>761.59</v>
      </c>
      <c r="S1189" s="846">
        <f t="shared" si="203"/>
        <v>2.4954032046231589E-4</v>
      </c>
      <c r="T1189" s="845">
        <v>56.43</v>
      </c>
      <c r="U1189" s="846">
        <f t="shared" si="204"/>
        <v>5.5238774055594853E-3</v>
      </c>
      <c r="V1189" s="845">
        <v>103.59520000000001</v>
      </c>
      <c r="W1189" s="846">
        <f t="shared" si="205"/>
        <v>3.2294580301990061E-2</v>
      </c>
      <c r="X1189" s="845">
        <v>24575.9</v>
      </c>
      <c r="Y1189" s="846">
        <f t="shared" si="206"/>
        <v>1.524526518515823E-2</v>
      </c>
      <c r="Z1189" s="845">
        <v>2971.6122</v>
      </c>
      <c r="AA1189" s="846">
        <f t="shared" si="207"/>
        <v>1.6651900140122633E-2</v>
      </c>
    </row>
    <row r="1190" spans="1:27" ht="14.4" x14ac:dyDescent="0.55000000000000004">
      <c r="A1190" s="857" t="s">
        <v>6349</v>
      </c>
      <c r="B1190" s="842">
        <v>96.3</v>
      </c>
      <c r="C1190" s="843">
        <f t="shared" si="199"/>
        <v>-2.2533495736906217E-2</v>
      </c>
      <c r="D1190" s="842">
        <v>32.700000000000003</v>
      </c>
      <c r="E1190" s="843">
        <f t="shared" si="199"/>
        <v>-1.8901890189018777E-2</v>
      </c>
      <c r="F1190" s="842">
        <v>23.05</v>
      </c>
      <c r="G1190" s="843">
        <f t="shared" si="199"/>
        <v>-5.1791109192922402E-3</v>
      </c>
      <c r="H1190" s="842">
        <v>60.52</v>
      </c>
      <c r="I1190" s="843">
        <f t="shared" si="199"/>
        <v>-3.2299328429804874E-2</v>
      </c>
      <c r="J1190" s="842">
        <v>76.86</v>
      </c>
      <c r="K1190" s="843">
        <f t="shared" si="200"/>
        <v>-4.7111331515001242E-2</v>
      </c>
      <c r="L1190" s="842">
        <v>71.06</v>
      </c>
      <c r="M1190" s="843">
        <f t="shared" si="201"/>
        <v>-4.102564102564088E-2</v>
      </c>
      <c r="N1190" s="842">
        <v>69.2</v>
      </c>
      <c r="O1190" s="843">
        <f t="shared" si="202"/>
        <v>-3.5808833774557569E-2</v>
      </c>
      <c r="P1190" s="844">
        <f t="shared" si="208"/>
        <v>-2.8979947370031685E-2</v>
      </c>
      <c r="Q1190" s="830"/>
      <c r="R1190" s="845">
        <v>761.4</v>
      </c>
      <c r="S1190" s="846">
        <f t="shared" si="203"/>
        <v>-1.5235779508005809E-2</v>
      </c>
      <c r="T1190" s="845">
        <v>56.12</v>
      </c>
      <c r="U1190" s="846">
        <f t="shared" si="204"/>
        <v>-1.6473887136347787E-2</v>
      </c>
      <c r="V1190" s="845">
        <v>100.35429999999999</v>
      </c>
      <c r="W1190" s="846">
        <f t="shared" si="205"/>
        <v>-2.253384215888532E-2</v>
      </c>
      <c r="X1190" s="845">
        <v>24206.86</v>
      </c>
      <c r="Y1190" s="846">
        <f t="shared" si="206"/>
        <v>-1.5876087565459218E-2</v>
      </c>
      <c r="Z1190" s="845">
        <v>2922.9396999999999</v>
      </c>
      <c r="AA1190" s="846">
        <f t="shared" si="207"/>
        <v>-1.0483940886045873E-2</v>
      </c>
    </row>
    <row r="1191" spans="1:27" ht="14.4" x14ac:dyDescent="0.55000000000000004">
      <c r="A1191" s="857" t="s">
        <v>6350</v>
      </c>
      <c r="B1191" s="842">
        <v>98.52</v>
      </c>
      <c r="C1191" s="843">
        <f t="shared" si="199"/>
        <v>3.5853222584375954E-2</v>
      </c>
      <c r="D1191" s="842">
        <v>33.33</v>
      </c>
      <c r="E1191" s="843">
        <f t="shared" si="199"/>
        <v>0.10841370136348516</v>
      </c>
      <c r="F1191" s="842">
        <v>23.17</v>
      </c>
      <c r="G1191" s="843">
        <f t="shared" si="199"/>
        <v>3.5762181493071088E-2</v>
      </c>
      <c r="H1191" s="842">
        <v>62.54</v>
      </c>
      <c r="I1191" s="843">
        <f t="shared" si="199"/>
        <v>5.5883842647307169E-2</v>
      </c>
      <c r="J1191" s="842">
        <v>80.66</v>
      </c>
      <c r="K1191" s="843">
        <f t="shared" si="200"/>
        <v>7.2036150983519454E-2</v>
      </c>
      <c r="L1191" s="842">
        <v>74.099999999999994</v>
      </c>
      <c r="M1191" s="843">
        <f t="shared" si="201"/>
        <v>7.7661431064572239E-2</v>
      </c>
      <c r="N1191" s="842">
        <v>71.77</v>
      </c>
      <c r="O1191" s="843">
        <f t="shared" si="202"/>
        <v>6.9119618650379966E-2</v>
      </c>
      <c r="P1191" s="844">
        <f t="shared" si="208"/>
        <v>6.4961449826672998E-2</v>
      </c>
      <c r="Q1191" s="830"/>
      <c r="R1191" s="845">
        <v>773.18</v>
      </c>
      <c r="S1191" s="846">
        <f t="shared" si="203"/>
        <v>3.8536447769613957E-2</v>
      </c>
      <c r="T1191" s="845">
        <v>57.06</v>
      </c>
      <c r="U1191" s="846">
        <f t="shared" si="204"/>
        <v>4.1050903119868698E-2</v>
      </c>
      <c r="V1191" s="845">
        <v>102.6678</v>
      </c>
      <c r="W1191" s="846">
        <f t="shared" si="205"/>
        <v>3.5853591110052818E-2</v>
      </c>
      <c r="X1191" s="845">
        <v>24597.37</v>
      </c>
      <c r="Y1191" s="846">
        <f t="shared" si="206"/>
        <v>3.8502589356659067E-2</v>
      </c>
      <c r="Z1191" s="845">
        <v>2953.9083000000001</v>
      </c>
      <c r="AA1191" s="846">
        <f t="shared" si="207"/>
        <v>3.1501511594712817E-2</v>
      </c>
    </row>
    <row r="1192" spans="1:27" ht="14.4" x14ac:dyDescent="0.55000000000000004">
      <c r="A1192" s="857" t="s">
        <v>6351</v>
      </c>
      <c r="B1192" s="842">
        <v>95.11</v>
      </c>
      <c r="C1192" s="843">
        <f t="shared" si="199"/>
        <v>2.3184740225523637E-3</v>
      </c>
      <c r="D1192" s="842">
        <v>30.07</v>
      </c>
      <c r="E1192" s="843">
        <f t="shared" si="199"/>
        <v>-8.5723705901746827E-3</v>
      </c>
      <c r="F1192" s="842">
        <v>22.37</v>
      </c>
      <c r="G1192" s="843">
        <f t="shared" si="199"/>
        <v>-5.335704757669979E-3</v>
      </c>
      <c r="H1192" s="842">
        <v>59.23</v>
      </c>
      <c r="I1192" s="843">
        <f t="shared" si="199"/>
        <v>1.092336576207531E-2</v>
      </c>
      <c r="J1192" s="842">
        <v>75.239999999999995</v>
      </c>
      <c r="K1192" s="843">
        <f t="shared" si="200"/>
        <v>-1.3273161667110012E-3</v>
      </c>
      <c r="L1192" s="842">
        <v>68.760000000000005</v>
      </c>
      <c r="M1192" s="843">
        <f t="shared" si="201"/>
        <v>1.4608233731739917E-2</v>
      </c>
      <c r="N1192" s="842">
        <v>67.13</v>
      </c>
      <c r="O1192" s="843">
        <f t="shared" si="202"/>
        <v>-1.2358393408856916E-2</v>
      </c>
      <c r="P1192" s="844">
        <f t="shared" si="208"/>
        <v>3.6612656136430264E-5</v>
      </c>
      <c r="Q1192" s="830"/>
      <c r="R1192" s="845">
        <v>744.49</v>
      </c>
      <c r="S1192" s="846">
        <f t="shared" si="203"/>
        <v>-1.3633111635178441E-2</v>
      </c>
      <c r="T1192" s="845">
        <v>54.81</v>
      </c>
      <c r="U1192" s="846">
        <f t="shared" si="204"/>
        <v>-1.3321332133213182E-2</v>
      </c>
      <c r="V1192" s="845">
        <v>99.114199999999997</v>
      </c>
      <c r="W1192" s="846">
        <f t="shared" si="205"/>
        <v>2.3178439601556633E-3</v>
      </c>
      <c r="X1192" s="845">
        <v>23685.42</v>
      </c>
      <c r="Y1192" s="846">
        <f t="shared" si="206"/>
        <v>2.5430321849335691E-3</v>
      </c>
      <c r="Z1192" s="845">
        <v>2863.6975000000002</v>
      </c>
      <c r="AA1192" s="846">
        <f t="shared" si="207"/>
        <v>3.9240257735642103E-3</v>
      </c>
    </row>
    <row r="1193" spans="1:27" ht="14.4" x14ac:dyDescent="0.55000000000000004">
      <c r="A1193" s="857" t="s">
        <v>6352</v>
      </c>
      <c r="B1193" s="842">
        <v>94.89</v>
      </c>
      <c r="C1193" s="843">
        <f t="shared" si="199"/>
        <v>-1.6072169224388144E-2</v>
      </c>
      <c r="D1193" s="842">
        <v>30.33</v>
      </c>
      <c r="E1193" s="843">
        <f t="shared" si="199"/>
        <v>-1.6536964980544799E-2</v>
      </c>
      <c r="F1193" s="842">
        <v>22.49</v>
      </c>
      <c r="G1193" s="843">
        <f t="shared" si="199"/>
        <v>3.5698348951360703E-3</v>
      </c>
      <c r="H1193" s="842">
        <v>58.59</v>
      </c>
      <c r="I1193" s="843">
        <f t="shared" si="199"/>
        <v>-8.9648173207035331E-3</v>
      </c>
      <c r="J1193" s="842">
        <v>75.34</v>
      </c>
      <c r="K1193" s="843">
        <f t="shared" si="200"/>
        <v>-1.2063991607658031E-2</v>
      </c>
      <c r="L1193" s="842">
        <v>67.77</v>
      </c>
      <c r="M1193" s="843">
        <f t="shared" si="201"/>
        <v>-2.4611398963730657E-2</v>
      </c>
      <c r="N1193" s="842">
        <v>67.97</v>
      </c>
      <c r="O1193" s="843">
        <f t="shared" si="202"/>
        <v>-3.9566236811253708E-3</v>
      </c>
      <c r="P1193" s="844">
        <f t="shared" si="208"/>
        <v>-1.1233732983287781E-2</v>
      </c>
      <c r="Q1193" s="830"/>
      <c r="R1193" s="845">
        <v>754.78</v>
      </c>
      <c r="S1193" s="846">
        <f t="shared" si="203"/>
        <v>9.6851004628515369E-3</v>
      </c>
      <c r="T1193" s="845">
        <v>55.55</v>
      </c>
      <c r="U1193" s="846">
        <f t="shared" si="204"/>
        <v>1.0735080058223989E-2</v>
      </c>
      <c r="V1193" s="845">
        <v>98.885000000000005</v>
      </c>
      <c r="W1193" s="846">
        <f t="shared" si="205"/>
        <v>-1.6071609807741694E-2</v>
      </c>
      <c r="X1193" s="845">
        <v>23625.34</v>
      </c>
      <c r="Y1193" s="846">
        <f t="shared" si="206"/>
        <v>1.6232385021143658E-2</v>
      </c>
      <c r="Z1193" s="845">
        <v>2852.5041999999999</v>
      </c>
      <c r="AA1193" s="846">
        <f t="shared" si="207"/>
        <v>1.1527818587531158E-2</v>
      </c>
    </row>
    <row r="1194" spans="1:27" ht="14.4" x14ac:dyDescent="0.55000000000000004">
      <c r="A1194" s="857" t="s">
        <v>6353</v>
      </c>
      <c r="B1194" s="842">
        <v>96.44</v>
      </c>
      <c r="C1194" s="843">
        <f t="shared" si="199"/>
        <v>7.2636712669904568E-4</v>
      </c>
      <c r="D1194" s="842">
        <v>30.84</v>
      </c>
      <c r="E1194" s="843">
        <f t="shared" si="199"/>
        <v>-4.8441838938599102E-2</v>
      </c>
      <c r="F1194" s="842">
        <v>22.41</v>
      </c>
      <c r="G1194" s="843">
        <f t="shared" si="199"/>
        <v>-1.5810276679841917E-2</v>
      </c>
      <c r="H1194" s="842">
        <v>59.12</v>
      </c>
      <c r="I1194" s="843">
        <f t="shared" si="199"/>
        <v>-1.6142452987185973E-2</v>
      </c>
      <c r="J1194" s="842">
        <v>76.260000000000005</v>
      </c>
      <c r="K1194" s="843">
        <f t="shared" si="200"/>
        <v>-1.4601369686005894E-2</v>
      </c>
      <c r="L1194" s="842">
        <v>69.48</v>
      </c>
      <c r="M1194" s="843">
        <f t="shared" si="201"/>
        <v>-4.0861402540033009E-2</v>
      </c>
      <c r="N1194" s="842">
        <v>68.239999999999995</v>
      </c>
      <c r="O1194" s="843">
        <f t="shared" si="202"/>
        <v>-1.4727115218019171E-2</v>
      </c>
      <c r="P1194" s="844">
        <f t="shared" si="208"/>
        <v>-2.1408298417569433E-2</v>
      </c>
      <c r="Q1194" s="830"/>
      <c r="R1194" s="845">
        <v>747.54</v>
      </c>
      <c r="S1194" s="846">
        <f t="shared" si="203"/>
        <v>-7.6463560334527614E-3</v>
      </c>
      <c r="T1194" s="845">
        <v>54.96</v>
      </c>
      <c r="U1194" s="846">
        <f t="shared" si="204"/>
        <v>-8.4791629081724107E-3</v>
      </c>
      <c r="V1194" s="845">
        <v>100.50020000000001</v>
      </c>
      <c r="W1194" s="846">
        <f t="shared" si="205"/>
        <v>7.2589823683411048E-4</v>
      </c>
      <c r="X1194" s="845">
        <v>23247.97</v>
      </c>
      <c r="Y1194" s="846">
        <f t="shared" si="206"/>
        <v>-2.1746887621093003E-2</v>
      </c>
      <c r="Z1194" s="845">
        <v>2819.9958000000001</v>
      </c>
      <c r="AA1194" s="846">
        <f t="shared" si="207"/>
        <v>-1.7463257774751662E-2</v>
      </c>
    </row>
    <row r="1195" spans="1:27" ht="14.4" x14ac:dyDescent="0.55000000000000004">
      <c r="A1195" s="857" t="s">
        <v>6354</v>
      </c>
      <c r="B1195" s="842">
        <v>96.37</v>
      </c>
      <c r="C1195" s="843">
        <f t="shared" si="199"/>
        <v>-4.2364124819177507E-3</v>
      </c>
      <c r="D1195" s="842">
        <v>32.409999999999997</v>
      </c>
      <c r="E1195" s="843">
        <f t="shared" si="199"/>
        <v>-4.7044986768597474E-2</v>
      </c>
      <c r="F1195" s="842">
        <v>22.77</v>
      </c>
      <c r="G1195" s="843">
        <f t="shared" si="199"/>
        <v>-3.0651340996168508E-2</v>
      </c>
      <c r="H1195" s="842">
        <v>60.09</v>
      </c>
      <c r="I1195" s="843">
        <f t="shared" si="199"/>
        <v>-5.1609848484848397E-2</v>
      </c>
      <c r="J1195" s="842">
        <v>77.39</v>
      </c>
      <c r="K1195" s="843">
        <f t="shared" si="200"/>
        <v>-3.0322014785114648E-2</v>
      </c>
      <c r="L1195" s="842">
        <v>72.44</v>
      </c>
      <c r="M1195" s="843">
        <f t="shared" si="201"/>
        <v>-2.1609940572663522E-2</v>
      </c>
      <c r="N1195" s="842">
        <v>69.260000000000005</v>
      </c>
      <c r="O1195" s="843">
        <f t="shared" si="202"/>
        <v>-2.9156153630501835E-2</v>
      </c>
      <c r="P1195" s="844">
        <f t="shared" si="208"/>
        <v>-3.0661528245687446E-2</v>
      </c>
      <c r="Q1195" s="830"/>
      <c r="R1195" s="845">
        <v>753.3</v>
      </c>
      <c r="S1195" s="846">
        <f t="shared" si="203"/>
        <v>-1.11967236785111E-2</v>
      </c>
      <c r="T1195" s="845">
        <v>55.43</v>
      </c>
      <c r="U1195" s="846">
        <f t="shared" si="204"/>
        <v>-8.7625178826895578E-3</v>
      </c>
      <c r="V1195" s="845">
        <v>100.4273</v>
      </c>
      <c r="W1195" s="846">
        <f t="shared" si="205"/>
        <v>-4.2358050458829455E-3</v>
      </c>
      <c r="X1195" s="845">
        <v>23764.78</v>
      </c>
      <c r="Y1195" s="846">
        <f t="shared" si="206"/>
        <v>-1.8875823167295636E-2</v>
      </c>
      <c r="Z1195" s="845">
        <v>2870.1174000000001</v>
      </c>
      <c r="AA1195" s="846">
        <f t="shared" si="207"/>
        <v>-2.054565456065105E-2</v>
      </c>
    </row>
    <row r="1196" spans="1:27" ht="14.4" x14ac:dyDescent="0.55000000000000004">
      <c r="A1196" s="857" t="s">
        <v>6355</v>
      </c>
      <c r="B1196" s="842">
        <v>96.78</v>
      </c>
      <c r="C1196" s="843">
        <f t="shared" si="199"/>
        <v>-5.650878454741548E-3</v>
      </c>
      <c r="D1196" s="842">
        <v>34.01</v>
      </c>
      <c r="E1196" s="843">
        <f t="shared" si="199"/>
        <v>-3.68167657887285E-2</v>
      </c>
      <c r="F1196" s="842">
        <v>23.49</v>
      </c>
      <c r="G1196" s="843">
        <f t="shared" si="199"/>
        <v>9.4542329179199136E-3</v>
      </c>
      <c r="H1196" s="842">
        <v>63.36</v>
      </c>
      <c r="I1196" s="843">
        <f t="shared" si="199"/>
        <v>-2.7624309392265123E-2</v>
      </c>
      <c r="J1196" s="842">
        <v>79.81</v>
      </c>
      <c r="K1196" s="843">
        <f t="shared" si="200"/>
        <v>-1.3595352861203724E-2</v>
      </c>
      <c r="L1196" s="842">
        <v>74.040000000000006</v>
      </c>
      <c r="M1196" s="843">
        <f t="shared" si="201"/>
        <v>-2.6429980276133969E-2</v>
      </c>
      <c r="N1196" s="842">
        <v>71.34</v>
      </c>
      <c r="O1196" s="843">
        <f t="shared" si="202"/>
        <v>-2.8859243125510359E-2</v>
      </c>
      <c r="P1196" s="844">
        <f t="shared" si="208"/>
        <v>-1.85031852829519E-2</v>
      </c>
      <c r="Q1196" s="830"/>
      <c r="R1196" s="845">
        <v>761.83</v>
      </c>
      <c r="S1196" s="846">
        <f t="shared" si="203"/>
        <v>-2.9838635798510316E-3</v>
      </c>
      <c r="T1196" s="845">
        <v>55.92</v>
      </c>
      <c r="U1196" s="846">
        <f t="shared" si="204"/>
        <v>-4.2735042735041473E-3</v>
      </c>
      <c r="V1196" s="845">
        <v>100.8545</v>
      </c>
      <c r="W1196" s="846">
        <f t="shared" si="205"/>
        <v>-5.6513161591951189E-3</v>
      </c>
      <c r="X1196" s="845">
        <v>24221.99</v>
      </c>
      <c r="Y1196" s="846">
        <f t="shared" si="206"/>
        <v>-4.4933854801135764E-3</v>
      </c>
      <c r="Z1196" s="845">
        <v>2930.3227999999999</v>
      </c>
      <c r="AA1196" s="846">
        <f t="shared" si="207"/>
        <v>1.7683772573628964E-4</v>
      </c>
    </row>
    <row r="1197" spans="1:27" ht="14.4" x14ac:dyDescent="0.55000000000000004">
      <c r="A1197" s="857" t="s">
        <v>6356</v>
      </c>
      <c r="B1197" s="842">
        <v>97.33</v>
      </c>
      <c r="C1197" s="843">
        <f t="shared" si="199"/>
        <v>9.8568167669641493E-3</v>
      </c>
      <c r="D1197" s="842">
        <v>35.31</v>
      </c>
      <c r="E1197" s="843">
        <f t="shared" si="199"/>
        <v>5.4344580471782589E-2</v>
      </c>
      <c r="F1197" s="842">
        <v>23.27</v>
      </c>
      <c r="G1197" s="843">
        <f t="shared" si="199"/>
        <v>1.615720524017461E-2</v>
      </c>
      <c r="H1197" s="842">
        <v>65.16</v>
      </c>
      <c r="I1197" s="843">
        <f t="shared" si="199"/>
        <v>3.1175818958695922E-2</v>
      </c>
      <c r="J1197" s="842">
        <v>80.91</v>
      </c>
      <c r="K1197" s="843">
        <f t="shared" si="200"/>
        <v>3.3729398236872266E-2</v>
      </c>
      <c r="L1197" s="842">
        <v>76.05</v>
      </c>
      <c r="M1197" s="843">
        <f t="shared" si="201"/>
        <v>5.4492512479201283E-2</v>
      </c>
      <c r="N1197" s="842">
        <v>73.459999999999994</v>
      </c>
      <c r="O1197" s="843">
        <f t="shared" si="202"/>
        <v>3.742409264228197E-2</v>
      </c>
      <c r="P1197" s="844">
        <f t="shared" si="208"/>
        <v>3.3882917827996115E-2</v>
      </c>
      <c r="Q1197" s="830"/>
      <c r="R1197" s="845">
        <v>764.11</v>
      </c>
      <c r="S1197" s="846">
        <f t="shared" si="203"/>
        <v>1.6144261074245048E-2</v>
      </c>
      <c r="T1197" s="845">
        <v>56.16</v>
      </c>
      <c r="U1197" s="846">
        <f t="shared" si="204"/>
        <v>2.0163487738419583E-2</v>
      </c>
      <c r="V1197" s="845">
        <v>101.4277</v>
      </c>
      <c r="W1197" s="846">
        <f t="shared" si="205"/>
        <v>9.8568565389289819E-3</v>
      </c>
      <c r="X1197" s="845">
        <v>24331.32</v>
      </c>
      <c r="Y1197" s="846">
        <f t="shared" si="206"/>
        <v>1.9074891030240071E-2</v>
      </c>
      <c r="Z1197" s="845">
        <v>2929.8047000000001</v>
      </c>
      <c r="AA1197" s="846">
        <f t="shared" si="207"/>
        <v>1.6872638173222265E-2</v>
      </c>
    </row>
    <row r="1198" spans="1:27" ht="14.4" x14ac:dyDescent="0.55000000000000004">
      <c r="A1198" s="857" t="s">
        <v>6357</v>
      </c>
      <c r="B1198" s="842">
        <v>96.38</v>
      </c>
      <c r="C1198" s="843">
        <f t="shared" si="199"/>
        <v>-1.7607457276023197E-3</v>
      </c>
      <c r="D1198" s="842">
        <v>33.49</v>
      </c>
      <c r="E1198" s="843">
        <f t="shared" si="199"/>
        <v>1.8242626938279161E-2</v>
      </c>
      <c r="F1198" s="842">
        <v>22.9</v>
      </c>
      <c r="G1198" s="843">
        <f t="shared" si="199"/>
        <v>-8.7260034904024231E-4</v>
      </c>
      <c r="H1198" s="842">
        <v>63.19</v>
      </c>
      <c r="I1198" s="843">
        <f t="shared" si="199"/>
        <v>3.3191628515369498E-2</v>
      </c>
      <c r="J1198" s="842">
        <v>78.27</v>
      </c>
      <c r="K1198" s="843">
        <f t="shared" si="200"/>
        <v>2.3003528950463981E-2</v>
      </c>
      <c r="L1198" s="842">
        <v>72.12</v>
      </c>
      <c r="M1198" s="843">
        <f t="shared" si="201"/>
        <v>1.9219898247597511E-2</v>
      </c>
      <c r="N1198" s="842">
        <v>70.81</v>
      </c>
      <c r="O1198" s="843">
        <f t="shared" si="202"/>
        <v>2.1347180152891942E-2</v>
      </c>
      <c r="P1198" s="844">
        <f t="shared" si="208"/>
        <v>1.6053073818279934E-2</v>
      </c>
      <c r="Q1198" s="830"/>
      <c r="R1198" s="845">
        <v>751.97</v>
      </c>
      <c r="S1198" s="846">
        <f t="shared" si="203"/>
        <v>7.5299792322636172E-3</v>
      </c>
      <c r="T1198" s="845">
        <v>55.05</v>
      </c>
      <c r="U1198" s="846">
        <f t="shared" si="204"/>
        <v>4.0124019697245217E-3</v>
      </c>
      <c r="V1198" s="845">
        <v>100.43770000000001</v>
      </c>
      <c r="W1198" s="846">
        <f t="shared" si="205"/>
        <v>-1.7601784230549811E-3</v>
      </c>
      <c r="X1198" s="845">
        <v>23875.89</v>
      </c>
      <c r="Y1198" s="846">
        <f t="shared" si="206"/>
        <v>8.9268207756383333E-3</v>
      </c>
      <c r="Z1198" s="845">
        <v>2881.1914000000002</v>
      </c>
      <c r="AA1198" s="846">
        <f t="shared" si="207"/>
        <v>1.1504866538850855E-2</v>
      </c>
    </row>
    <row r="1199" spans="1:27" ht="14.4" x14ac:dyDescent="0.55000000000000004">
      <c r="A1199" s="857" t="s">
        <v>6358</v>
      </c>
      <c r="B1199" s="842">
        <v>96.55</v>
      </c>
      <c r="C1199" s="843">
        <f t="shared" si="199"/>
        <v>-5.129212931119187E-2</v>
      </c>
      <c r="D1199" s="842">
        <v>32.89</v>
      </c>
      <c r="E1199" s="843">
        <f t="shared" si="199"/>
        <v>-3.3783783783783772E-2</v>
      </c>
      <c r="F1199" s="842">
        <v>22.92</v>
      </c>
      <c r="G1199" s="843">
        <f t="shared" si="199"/>
        <v>-6.5633917651854889E-2</v>
      </c>
      <c r="H1199" s="842">
        <v>61.16</v>
      </c>
      <c r="I1199" s="843">
        <f t="shared" si="199"/>
        <v>-3.2278481012658289E-2</v>
      </c>
      <c r="J1199" s="842">
        <v>76.510000000000005</v>
      </c>
      <c r="K1199" s="843">
        <f t="shared" si="200"/>
        <v>-4.3983506185180543E-2</v>
      </c>
      <c r="L1199" s="842">
        <v>70.760000000000005</v>
      </c>
      <c r="M1199" s="843">
        <f t="shared" si="201"/>
        <v>-3.6885803729413302E-2</v>
      </c>
      <c r="N1199" s="842">
        <v>69.33</v>
      </c>
      <c r="O1199" s="843">
        <f t="shared" si="202"/>
        <v>-4.4646548160396815E-2</v>
      </c>
      <c r="P1199" s="844">
        <f t="shared" si="208"/>
        <v>-4.40720242620685E-2</v>
      </c>
      <c r="Q1199" s="830"/>
      <c r="R1199" s="845">
        <v>746.35</v>
      </c>
      <c r="S1199" s="846">
        <f t="shared" si="203"/>
        <v>-3.4738298780409016E-2</v>
      </c>
      <c r="T1199" s="845">
        <v>54.83</v>
      </c>
      <c r="U1199" s="846">
        <f t="shared" si="204"/>
        <v>-3.4002818886539776E-2</v>
      </c>
      <c r="V1199" s="845">
        <v>100.6148</v>
      </c>
      <c r="W1199" s="846">
        <f t="shared" si="205"/>
        <v>-5.1292447475168368E-2</v>
      </c>
      <c r="X1199" s="845">
        <v>23664.639999999999</v>
      </c>
      <c r="Y1199" s="846">
        <f t="shared" si="206"/>
        <v>-9.1466388980655511E-3</v>
      </c>
      <c r="Z1199" s="845">
        <v>2848.4207000000001</v>
      </c>
      <c r="AA1199" s="846">
        <f t="shared" si="207"/>
        <v>-6.9775669342246882E-3</v>
      </c>
    </row>
    <row r="1200" spans="1:27" ht="14.4" x14ac:dyDescent="0.55000000000000004">
      <c r="A1200" s="857" t="s">
        <v>6359</v>
      </c>
      <c r="B1200" s="842">
        <v>101.77</v>
      </c>
      <c r="C1200" s="843">
        <f t="shared" si="199"/>
        <v>1.0124069478908204E-2</v>
      </c>
      <c r="D1200" s="842">
        <v>34.04</v>
      </c>
      <c r="E1200" s="843">
        <f t="shared" si="199"/>
        <v>3.3394049787492497E-2</v>
      </c>
      <c r="F1200" s="842">
        <v>24.53</v>
      </c>
      <c r="G1200" s="843">
        <f t="shared" si="199"/>
        <v>5.3278688524591722E-3</v>
      </c>
      <c r="H1200" s="842">
        <v>63.2</v>
      </c>
      <c r="I1200" s="843">
        <f t="shared" si="199"/>
        <v>1.6731016731016846E-2</v>
      </c>
      <c r="J1200" s="842">
        <v>80.03</v>
      </c>
      <c r="K1200" s="843">
        <f t="shared" si="200"/>
        <v>2.2542266750158468E-3</v>
      </c>
      <c r="L1200" s="842">
        <v>73.47</v>
      </c>
      <c r="M1200" s="843">
        <f t="shared" si="201"/>
        <v>7.1281699794378817E-3</v>
      </c>
      <c r="N1200" s="842">
        <v>72.569999999999993</v>
      </c>
      <c r="O1200" s="843">
        <f t="shared" si="202"/>
        <v>1.7383989906070374E-2</v>
      </c>
      <c r="P1200" s="844">
        <f t="shared" si="208"/>
        <v>1.3191913058628688E-2</v>
      </c>
      <c r="Q1200" s="830"/>
      <c r="R1200" s="845">
        <v>773.21</v>
      </c>
      <c r="S1200" s="846">
        <f t="shared" si="203"/>
        <v>7.6104095807758565E-3</v>
      </c>
      <c r="T1200" s="845">
        <v>56.76</v>
      </c>
      <c r="U1200" s="846">
        <f t="shared" si="204"/>
        <v>8.1705150976909557E-3</v>
      </c>
      <c r="V1200" s="845">
        <v>106.05459999999999</v>
      </c>
      <c r="W1200" s="846">
        <f t="shared" si="205"/>
        <v>1.0123657393870111E-2</v>
      </c>
      <c r="X1200" s="845">
        <v>23883.09</v>
      </c>
      <c r="Y1200" s="846">
        <f t="shared" si="206"/>
        <v>5.6139514672990387E-3</v>
      </c>
      <c r="Z1200" s="845">
        <v>2868.4353999999998</v>
      </c>
      <c r="AA1200" s="846">
        <f t="shared" si="207"/>
        <v>9.0392748317986715E-3</v>
      </c>
    </row>
    <row r="1201" spans="1:27" ht="14.4" x14ac:dyDescent="0.55000000000000004">
      <c r="A1201" s="857" t="s">
        <v>6360</v>
      </c>
      <c r="B1201" s="842">
        <v>100.75</v>
      </c>
      <c r="C1201" s="843">
        <f t="shared" si="199"/>
        <v>6.4935064935065512E-3</v>
      </c>
      <c r="D1201" s="842">
        <v>32.94</v>
      </c>
      <c r="E1201" s="843">
        <f t="shared" si="199"/>
        <v>-1.406764441783892E-2</v>
      </c>
      <c r="F1201" s="842">
        <v>24.4</v>
      </c>
      <c r="G1201" s="843">
        <f t="shared" si="199"/>
        <v>-2.86064568859834E-3</v>
      </c>
      <c r="H1201" s="842">
        <v>62.16</v>
      </c>
      <c r="I1201" s="843">
        <f t="shared" si="199"/>
        <v>-4.8239266763150379E-4</v>
      </c>
      <c r="J1201" s="842">
        <v>79.849999999999994</v>
      </c>
      <c r="K1201" s="843">
        <f t="shared" si="200"/>
        <v>1.5257469802924195E-2</v>
      </c>
      <c r="L1201" s="842">
        <v>72.95</v>
      </c>
      <c r="M1201" s="843">
        <f t="shared" si="201"/>
        <v>-1.4721772015127033E-2</v>
      </c>
      <c r="N1201" s="842">
        <v>71.33</v>
      </c>
      <c r="O1201" s="843">
        <f t="shared" si="202"/>
        <v>9.1963780418786722E-3</v>
      </c>
      <c r="P1201" s="844">
        <f t="shared" si="208"/>
        <v>-1.6930006441233974E-4</v>
      </c>
      <c r="Q1201" s="830"/>
      <c r="R1201" s="845">
        <v>767.37</v>
      </c>
      <c r="S1201" s="846">
        <f t="shared" si="203"/>
        <v>1.0921115033988515E-2</v>
      </c>
      <c r="T1201" s="845">
        <v>56.3</v>
      </c>
      <c r="U1201" s="846">
        <f t="shared" si="204"/>
        <v>7.5161059413026976E-3</v>
      </c>
      <c r="V1201" s="845">
        <v>104.99169999999999</v>
      </c>
      <c r="W1201" s="846">
        <f t="shared" si="205"/>
        <v>6.4938364155249229E-3</v>
      </c>
      <c r="X1201" s="845">
        <v>23749.759999999998</v>
      </c>
      <c r="Y1201" s="846">
        <f t="shared" si="206"/>
        <v>1.0989015621094556E-3</v>
      </c>
      <c r="Z1201" s="845">
        <v>2842.7390999999998</v>
      </c>
      <c r="AA1201" s="846">
        <f t="shared" si="207"/>
        <v>4.2512730927453113E-3</v>
      </c>
    </row>
    <row r="1202" spans="1:27" ht="14.4" x14ac:dyDescent="0.55000000000000004">
      <c r="A1202" s="857" t="s">
        <v>6361</v>
      </c>
      <c r="B1202" s="842">
        <v>100.1</v>
      </c>
      <c r="C1202" s="843">
        <f t="shared" si="199"/>
        <v>-1.8338727076591232E-2</v>
      </c>
      <c r="D1202" s="842">
        <v>33.409999999999997</v>
      </c>
      <c r="E1202" s="843">
        <f t="shared" si="199"/>
        <v>-1.0953226761397428E-2</v>
      </c>
      <c r="F1202" s="842">
        <v>24.47</v>
      </c>
      <c r="G1202" s="843">
        <f t="shared" si="199"/>
        <v>-2.5487853444842723E-2</v>
      </c>
      <c r="H1202" s="842">
        <v>62.19</v>
      </c>
      <c r="I1202" s="843">
        <f t="shared" si="199"/>
        <v>-4.4700460829493083E-2</v>
      </c>
      <c r="J1202" s="842">
        <v>78.650000000000006</v>
      </c>
      <c r="K1202" s="843">
        <f t="shared" si="200"/>
        <v>-1.3298205996738033E-2</v>
      </c>
      <c r="L1202" s="842">
        <v>74.040000000000006</v>
      </c>
      <c r="M1202" s="843">
        <f t="shared" si="201"/>
        <v>-2.3218997361477478E-2</v>
      </c>
      <c r="N1202" s="842">
        <v>70.680000000000007</v>
      </c>
      <c r="O1202" s="843">
        <f t="shared" si="202"/>
        <v>-3.1249999999999778E-2</v>
      </c>
      <c r="P1202" s="844">
        <f t="shared" si="208"/>
        <v>-2.3892495924362822E-2</v>
      </c>
      <c r="Q1202" s="830"/>
      <c r="R1202" s="845">
        <v>759.08</v>
      </c>
      <c r="S1202" s="846">
        <f t="shared" si="203"/>
        <v>-2.4682316360225554E-2</v>
      </c>
      <c r="T1202" s="845">
        <v>55.88</v>
      </c>
      <c r="U1202" s="846">
        <f t="shared" si="204"/>
        <v>-2.4100593782745316E-2</v>
      </c>
      <c r="V1202" s="845">
        <v>104.3143</v>
      </c>
      <c r="W1202" s="846">
        <f t="shared" si="205"/>
        <v>-1.8338462117576171E-2</v>
      </c>
      <c r="X1202" s="845">
        <v>23723.69</v>
      </c>
      <c r="Y1202" s="846">
        <f t="shared" si="206"/>
        <v>-2.5549870778108108E-2</v>
      </c>
      <c r="Z1202" s="845">
        <v>2830.7049999999999</v>
      </c>
      <c r="AA1202" s="846">
        <f t="shared" si="207"/>
        <v>-2.8060927119119228E-2</v>
      </c>
    </row>
    <row r="1203" spans="1:27" ht="14.4" x14ac:dyDescent="0.55000000000000004">
      <c r="A1203" s="857" t="s">
        <v>6362</v>
      </c>
      <c r="B1203" s="842">
        <v>101.97</v>
      </c>
      <c r="C1203" s="843">
        <f t="shared" si="199"/>
        <v>-2.7560556933053593E-2</v>
      </c>
      <c r="D1203" s="842">
        <v>33.78</v>
      </c>
      <c r="E1203" s="843">
        <f t="shared" si="199"/>
        <v>-5.8265960412601014E-2</v>
      </c>
      <c r="F1203" s="842">
        <v>25.11</v>
      </c>
      <c r="G1203" s="843">
        <f t="shared" si="199"/>
        <v>-3.1623602005399154E-2</v>
      </c>
      <c r="H1203" s="842">
        <v>65.099999999999994</v>
      </c>
      <c r="I1203" s="843">
        <f t="shared" si="199"/>
        <v>-1.8691588785046842E-2</v>
      </c>
      <c r="J1203" s="842">
        <v>79.709999999999994</v>
      </c>
      <c r="K1203" s="843">
        <f t="shared" si="200"/>
        <v>-3.5338254871112196E-2</v>
      </c>
      <c r="L1203" s="842">
        <v>75.8</v>
      </c>
      <c r="M1203" s="843">
        <f t="shared" si="201"/>
        <v>-5.1788841631223437E-2</v>
      </c>
      <c r="N1203" s="842">
        <v>72.959999999999994</v>
      </c>
      <c r="O1203" s="843">
        <f t="shared" si="202"/>
        <v>-2.9529130087789457E-2</v>
      </c>
      <c r="P1203" s="844">
        <f t="shared" si="208"/>
        <v>-3.6113990675175102E-2</v>
      </c>
      <c r="Q1203" s="830"/>
      <c r="R1203" s="845">
        <v>778.29</v>
      </c>
      <c r="S1203" s="846">
        <f t="shared" si="203"/>
        <v>-2.5285542530808613E-2</v>
      </c>
      <c r="T1203" s="845">
        <v>57.26</v>
      </c>
      <c r="U1203" s="846">
        <f t="shared" si="204"/>
        <v>-2.3033612011602145E-2</v>
      </c>
      <c r="V1203" s="845">
        <v>106.26300000000001</v>
      </c>
      <c r="W1203" s="846">
        <f t="shared" si="205"/>
        <v>-2.75608169137046E-2</v>
      </c>
      <c r="X1203" s="845">
        <v>24345.72</v>
      </c>
      <c r="Y1203" s="846">
        <f t="shared" si="206"/>
        <v>-1.1696908239309578E-2</v>
      </c>
      <c r="Z1203" s="845">
        <v>2912.4304999999999</v>
      </c>
      <c r="AA1203" s="846">
        <f t="shared" si="207"/>
        <v>-9.2106991876933497E-3</v>
      </c>
    </row>
    <row r="1204" spans="1:27" ht="14.4" x14ac:dyDescent="0.55000000000000004">
      <c r="A1204" s="857" t="s">
        <v>6363</v>
      </c>
      <c r="B1204" s="842">
        <v>104.86</v>
      </c>
      <c r="C1204" s="843">
        <f t="shared" si="199"/>
        <v>-2.1371908539430717E-2</v>
      </c>
      <c r="D1204" s="842">
        <v>35.869999999999997</v>
      </c>
      <c r="E1204" s="843">
        <f t="shared" si="199"/>
        <v>3.015508328546801E-2</v>
      </c>
      <c r="F1204" s="842">
        <v>25.93</v>
      </c>
      <c r="G1204" s="843">
        <f t="shared" si="199"/>
        <v>-3.4264432029795233E-2</v>
      </c>
      <c r="H1204" s="842">
        <v>66.34</v>
      </c>
      <c r="I1204" s="843">
        <f t="shared" si="199"/>
        <v>4.8470160557407826E-3</v>
      </c>
      <c r="J1204" s="842">
        <v>82.63</v>
      </c>
      <c r="K1204" s="843">
        <f t="shared" si="200"/>
        <v>-2.4669499527856464E-2</v>
      </c>
      <c r="L1204" s="842">
        <v>79.94</v>
      </c>
      <c r="M1204" s="843">
        <f t="shared" si="201"/>
        <v>8.19775507630216E-3</v>
      </c>
      <c r="N1204" s="842">
        <v>75.180000000000007</v>
      </c>
      <c r="O1204" s="843">
        <f t="shared" si="202"/>
        <v>1.7183060478961121E-2</v>
      </c>
      <c r="P1204" s="844">
        <f t="shared" si="208"/>
        <v>-2.8461321715157633E-3</v>
      </c>
      <c r="Q1204" s="830"/>
      <c r="R1204" s="845">
        <v>798.48</v>
      </c>
      <c r="S1204" s="846">
        <f t="shared" si="203"/>
        <v>-8.0131191532182289E-3</v>
      </c>
      <c r="T1204" s="845">
        <v>58.61</v>
      </c>
      <c r="U1204" s="846">
        <f t="shared" si="204"/>
        <v>-9.1293322062552251E-3</v>
      </c>
      <c r="V1204" s="845">
        <v>109.2747</v>
      </c>
      <c r="W1204" s="846">
        <f t="shared" si="205"/>
        <v>-2.1371811669417595E-2</v>
      </c>
      <c r="X1204" s="845">
        <v>24633.86</v>
      </c>
      <c r="Y1204" s="846">
        <f t="shared" si="206"/>
        <v>2.2086131389889907E-2</v>
      </c>
      <c r="Z1204" s="845">
        <v>2939.5054</v>
      </c>
      <c r="AA1204" s="846">
        <f t="shared" si="207"/>
        <v>2.6581622535903016E-2</v>
      </c>
    </row>
    <row r="1205" spans="1:27" ht="14.4" x14ac:dyDescent="0.55000000000000004">
      <c r="A1205" s="857" t="s">
        <v>6364</v>
      </c>
      <c r="B1205" s="842">
        <v>107.15</v>
      </c>
      <c r="C1205" s="843">
        <f t="shared" si="199"/>
        <v>1.5158692562766474E-2</v>
      </c>
      <c r="D1205" s="842">
        <v>34.82</v>
      </c>
      <c r="E1205" s="843">
        <f t="shared" si="199"/>
        <v>5.9002433090024287E-2</v>
      </c>
      <c r="F1205" s="842">
        <v>26.85</v>
      </c>
      <c r="G1205" s="843">
        <f t="shared" si="199"/>
        <v>2.2857142857142909E-2</v>
      </c>
      <c r="H1205" s="842">
        <v>66.02</v>
      </c>
      <c r="I1205" s="843">
        <f t="shared" si="199"/>
        <v>1.1180885281053543E-2</v>
      </c>
      <c r="J1205" s="842">
        <v>84.72</v>
      </c>
      <c r="K1205" s="843">
        <f t="shared" si="200"/>
        <v>-2.0691249566524128E-2</v>
      </c>
      <c r="L1205" s="842">
        <v>79.290000000000006</v>
      </c>
      <c r="M1205" s="843">
        <f t="shared" si="201"/>
        <v>1.4198004604758285E-2</v>
      </c>
      <c r="N1205" s="842">
        <v>73.91</v>
      </c>
      <c r="O1205" s="843">
        <f t="shared" si="202"/>
        <v>5.3046789989119603E-3</v>
      </c>
      <c r="P1205" s="844">
        <f t="shared" si="208"/>
        <v>1.5287226832590475E-2</v>
      </c>
      <c r="Q1205" s="830"/>
      <c r="R1205" s="845">
        <v>804.93</v>
      </c>
      <c r="S1205" s="846">
        <f t="shared" si="203"/>
        <v>-1.0796723752792836E-3</v>
      </c>
      <c r="T1205" s="845">
        <v>59.15</v>
      </c>
      <c r="U1205" s="846">
        <f t="shared" si="204"/>
        <v>3.7332428304768239E-3</v>
      </c>
      <c r="V1205" s="845">
        <v>111.6611</v>
      </c>
      <c r="W1205" s="846">
        <f t="shared" si="205"/>
        <v>1.5159050018319187E-2</v>
      </c>
      <c r="X1205" s="845">
        <v>24101.55</v>
      </c>
      <c r="Y1205" s="846">
        <f t="shared" si="206"/>
        <v>-1.335472520260006E-3</v>
      </c>
      <c r="Z1205" s="845">
        <v>2863.3917999999999</v>
      </c>
      <c r="AA1205" s="846">
        <f t="shared" si="207"/>
        <v>-5.2416902407412813E-3</v>
      </c>
    </row>
    <row r="1206" spans="1:27" ht="14.4" x14ac:dyDescent="0.55000000000000004">
      <c r="A1206" s="857" t="s">
        <v>6365</v>
      </c>
      <c r="B1206" s="842">
        <v>105.55</v>
      </c>
      <c r="C1206" s="843">
        <f t="shared" si="199"/>
        <v>1.0918494397088363E-2</v>
      </c>
      <c r="D1206" s="842">
        <v>32.880000000000003</v>
      </c>
      <c r="E1206" s="843">
        <f t="shared" si="199"/>
        <v>2.7447392497714773E-3</v>
      </c>
      <c r="F1206" s="842">
        <v>26.25</v>
      </c>
      <c r="G1206" s="843">
        <f t="shared" si="199"/>
        <v>8.451786400307304E-3</v>
      </c>
      <c r="H1206" s="842">
        <v>65.290000000000006</v>
      </c>
      <c r="I1206" s="843">
        <f t="shared" si="199"/>
        <v>2.6088323118026224E-2</v>
      </c>
      <c r="J1206" s="842">
        <v>86.51</v>
      </c>
      <c r="K1206" s="843">
        <f t="shared" si="200"/>
        <v>-6.2033314187247557E-3</v>
      </c>
      <c r="L1206" s="842">
        <v>78.180000000000007</v>
      </c>
      <c r="M1206" s="843">
        <f t="shared" si="201"/>
        <v>5.1190171487092151E-4</v>
      </c>
      <c r="N1206" s="842">
        <v>73.52</v>
      </c>
      <c r="O1206" s="843">
        <f t="shared" si="202"/>
        <v>1.1279229711141481E-2</v>
      </c>
      <c r="P1206" s="844">
        <f t="shared" si="208"/>
        <v>7.6844490246401453E-3</v>
      </c>
      <c r="Q1206" s="830"/>
      <c r="R1206" s="845">
        <v>805.8</v>
      </c>
      <c r="S1206" s="846">
        <f t="shared" si="203"/>
        <v>1.347017318794097E-2</v>
      </c>
      <c r="T1206" s="845">
        <v>58.93</v>
      </c>
      <c r="U1206" s="846">
        <f t="shared" si="204"/>
        <v>1.0459533607681815E-2</v>
      </c>
      <c r="V1206" s="845">
        <v>109.9937</v>
      </c>
      <c r="W1206" s="846">
        <f t="shared" si="205"/>
        <v>1.0917616524119156E-2</v>
      </c>
      <c r="X1206" s="845">
        <v>24133.78</v>
      </c>
      <c r="Y1206" s="846">
        <f t="shared" si="206"/>
        <v>1.5079113717741066E-2</v>
      </c>
      <c r="Z1206" s="845">
        <v>2878.4798999999998</v>
      </c>
      <c r="AA1206" s="846">
        <f t="shared" si="207"/>
        <v>1.4714145256260025E-2</v>
      </c>
    </row>
    <row r="1207" spans="1:27" ht="14.4" x14ac:dyDescent="0.55000000000000004">
      <c r="A1207" s="857" t="s">
        <v>6366</v>
      </c>
      <c r="B1207" s="842">
        <v>104.41</v>
      </c>
      <c r="C1207" s="843">
        <f t="shared" si="199"/>
        <v>3.0395736701865239E-2</v>
      </c>
      <c r="D1207" s="842">
        <v>32.79</v>
      </c>
      <c r="E1207" s="843">
        <f t="shared" si="199"/>
        <v>1.7690875232774683E-2</v>
      </c>
      <c r="F1207" s="842">
        <v>26.03</v>
      </c>
      <c r="G1207" s="843">
        <f t="shared" si="199"/>
        <v>6.9632495164408947E-3</v>
      </c>
      <c r="H1207" s="842">
        <v>63.63</v>
      </c>
      <c r="I1207" s="843">
        <f t="shared" si="199"/>
        <v>9.1990483743062956E-3</v>
      </c>
      <c r="J1207" s="842">
        <v>87.05</v>
      </c>
      <c r="K1207" s="843">
        <f t="shared" si="200"/>
        <v>1.5278749708420802E-2</v>
      </c>
      <c r="L1207" s="842">
        <v>78.14</v>
      </c>
      <c r="M1207" s="843">
        <f t="shared" si="201"/>
        <v>1.5332640332640368E-2</v>
      </c>
      <c r="N1207" s="842">
        <v>72.7</v>
      </c>
      <c r="O1207" s="843">
        <f t="shared" si="202"/>
        <v>4.8375950241881238E-3</v>
      </c>
      <c r="P1207" s="844">
        <f t="shared" si="208"/>
        <v>1.4242556412948058E-2</v>
      </c>
      <c r="Q1207" s="830"/>
      <c r="R1207" s="845">
        <v>795.09</v>
      </c>
      <c r="S1207" s="846">
        <f t="shared" si="203"/>
        <v>5.4884603224787387E-3</v>
      </c>
      <c r="T1207" s="845">
        <v>58.32</v>
      </c>
      <c r="U1207" s="846">
        <f t="shared" si="204"/>
        <v>6.2111801242235032E-3</v>
      </c>
      <c r="V1207" s="845">
        <v>108.8058</v>
      </c>
      <c r="W1207" s="846">
        <f t="shared" si="205"/>
        <v>3.0396008943512021E-2</v>
      </c>
      <c r="X1207" s="845">
        <v>23775.27</v>
      </c>
      <c r="Y1207" s="846">
        <f t="shared" si="206"/>
        <v>1.1057075277925987E-2</v>
      </c>
      <c r="Z1207" s="845">
        <v>2836.7397000000001</v>
      </c>
      <c r="AA1207" s="846">
        <f t="shared" si="207"/>
        <v>1.391920341886177E-2</v>
      </c>
    </row>
    <row r="1208" spans="1:27" ht="14.4" x14ac:dyDescent="0.55000000000000004">
      <c r="A1208" s="857" t="s">
        <v>6367</v>
      </c>
      <c r="B1208" s="842">
        <v>101.33</v>
      </c>
      <c r="C1208" s="843">
        <f t="shared" si="199"/>
        <v>-9.6755277560593989E-3</v>
      </c>
      <c r="D1208" s="842">
        <v>32.22</v>
      </c>
      <c r="E1208" s="843">
        <f t="shared" si="199"/>
        <v>-2.126366950182268E-2</v>
      </c>
      <c r="F1208" s="842">
        <v>25.85</v>
      </c>
      <c r="G1208" s="843">
        <f t="shared" si="199"/>
        <v>-6.1514801999230651E-3</v>
      </c>
      <c r="H1208" s="842">
        <v>63.05</v>
      </c>
      <c r="I1208" s="843">
        <f t="shared" si="199"/>
        <v>-1.1445594230166223E-2</v>
      </c>
      <c r="J1208" s="842">
        <v>85.74</v>
      </c>
      <c r="K1208" s="843">
        <f t="shared" si="200"/>
        <v>-1.414280786478106E-2</v>
      </c>
      <c r="L1208" s="842">
        <v>76.959999999999994</v>
      </c>
      <c r="M1208" s="843">
        <f t="shared" si="201"/>
        <v>6.0130718954247708E-3</v>
      </c>
      <c r="N1208" s="842">
        <v>72.349999999999994</v>
      </c>
      <c r="O1208" s="843">
        <f t="shared" si="202"/>
        <v>-2.070925825663239E-2</v>
      </c>
      <c r="P1208" s="844">
        <f t="shared" si="208"/>
        <v>-1.1053609416280006E-2</v>
      </c>
      <c r="Q1208" s="830"/>
      <c r="R1208" s="845">
        <v>790.75</v>
      </c>
      <c r="S1208" s="846">
        <f t="shared" si="203"/>
        <v>-1.698139008714461E-2</v>
      </c>
      <c r="T1208" s="845">
        <v>57.96</v>
      </c>
      <c r="U1208" s="846">
        <f t="shared" si="204"/>
        <v>-1.6793893129770976E-2</v>
      </c>
      <c r="V1208" s="845">
        <v>105.59610000000001</v>
      </c>
      <c r="W1208" s="846">
        <f t="shared" si="205"/>
        <v>-9.6757130879563391E-3</v>
      </c>
      <c r="X1208" s="845">
        <v>23515.26</v>
      </c>
      <c r="Y1208" s="846">
        <f t="shared" si="206"/>
        <v>1.6800265123859681E-3</v>
      </c>
      <c r="Z1208" s="845">
        <v>2797.7966000000001</v>
      </c>
      <c r="AA1208" s="846">
        <f t="shared" si="207"/>
        <v>-5.4234700577437955E-4</v>
      </c>
    </row>
    <row r="1209" spans="1:27" ht="14.4" x14ac:dyDescent="0.55000000000000004">
      <c r="A1209" s="857" t="s">
        <v>6368</v>
      </c>
      <c r="B1209" s="842">
        <v>102.32</v>
      </c>
      <c r="C1209" s="843">
        <f t="shared" si="199"/>
        <v>1.5180077388629698E-2</v>
      </c>
      <c r="D1209" s="842">
        <v>32.92</v>
      </c>
      <c r="E1209" s="843">
        <f t="shared" si="199"/>
        <v>1.6363075023155371E-2</v>
      </c>
      <c r="F1209" s="842">
        <v>26.01</v>
      </c>
      <c r="G1209" s="843">
        <f t="shared" si="199"/>
        <v>2.4822695035461084E-2</v>
      </c>
      <c r="H1209" s="842">
        <v>63.78</v>
      </c>
      <c r="I1209" s="843">
        <f t="shared" si="199"/>
        <v>9.0175605125770719E-3</v>
      </c>
      <c r="J1209" s="842">
        <v>86.97</v>
      </c>
      <c r="K1209" s="843">
        <f t="shared" si="200"/>
        <v>2.0175953079178965E-2</v>
      </c>
      <c r="L1209" s="842">
        <v>76.5</v>
      </c>
      <c r="M1209" s="843">
        <f t="shared" si="201"/>
        <v>-7.1382219338091968E-3</v>
      </c>
      <c r="N1209" s="842">
        <v>73.88</v>
      </c>
      <c r="O1209" s="843">
        <f t="shared" si="202"/>
        <v>1.8051536447567962E-2</v>
      </c>
      <c r="P1209" s="844">
        <f t="shared" si="208"/>
        <v>1.3781810793251565E-2</v>
      </c>
      <c r="Q1209" s="830"/>
      <c r="R1209" s="845">
        <v>804.41</v>
      </c>
      <c r="S1209" s="846">
        <f t="shared" si="203"/>
        <v>2.9987579866579628E-2</v>
      </c>
      <c r="T1209" s="845">
        <v>58.95</v>
      </c>
      <c r="U1209" s="846">
        <f t="shared" si="204"/>
        <v>2.9155027932960875E-2</v>
      </c>
      <c r="V1209" s="845">
        <v>106.62779999999999</v>
      </c>
      <c r="W1209" s="846">
        <f t="shared" si="205"/>
        <v>1.5180899771786605E-2</v>
      </c>
      <c r="X1209" s="845">
        <v>23475.82</v>
      </c>
      <c r="Y1209" s="846">
        <f t="shared" si="206"/>
        <v>1.985066171768568E-2</v>
      </c>
      <c r="Z1209" s="845">
        <v>2799.3148000000001</v>
      </c>
      <c r="AA1209" s="846">
        <f t="shared" si="207"/>
        <v>2.2930806056297159E-2</v>
      </c>
    </row>
    <row r="1210" spans="1:27" ht="14.4" x14ac:dyDescent="0.55000000000000004">
      <c r="A1210" s="857" t="s">
        <v>6369</v>
      </c>
      <c r="B1210" s="842">
        <v>100.79</v>
      </c>
      <c r="C1210" s="843">
        <f t="shared" si="199"/>
        <v>-1.6970642738710517E-2</v>
      </c>
      <c r="D1210" s="842">
        <v>32.39</v>
      </c>
      <c r="E1210" s="843">
        <f t="shared" si="199"/>
        <v>3.4824281150159786E-2</v>
      </c>
      <c r="F1210" s="842">
        <v>25.38</v>
      </c>
      <c r="G1210" s="843">
        <f t="shared" si="199"/>
        <v>-3.9246467817897202E-3</v>
      </c>
      <c r="H1210" s="842">
        <v>63.21</v>
      </c>
      <c r="I1210" s="843">
        <f t="shared" si="199"/>
        <v>2.9478827361563598E-2</v>
      </c>
      <c r="J1210" s="842">
        <v>85.25</v>
      </c>
      <c r="K1210" s="843">
        <f t="shared" si="200"/>
        <v>1.500178592689605E-2</v>
      </c>
      <c r="L1210" s="842">
        <v>77.05</v>
      </c>
      <c r="M1210" s="843">
        <f t="shared" si="201"/>
        <v>1.5285281328238254E-2</v>
      </c>
      <c r="N1210" s="842">
        <v>72.569999999999993</v>
      </c>
      <c r="O1210" s="843">
        <f t="shared" si="202"/>
        <v>-1.3726556129383005E-2</v>
      </c>
      <c r="P1210" s="844">
        <f t="shared" si="208"/>
        <v>8.5669043024249204E-3</v>
      </c>
      <c r="Q1210" s="830"/>
      <c r="R1210" s="845">
        <v>780.99</v>
      </c>
      <c r="S1210" s="846">
        <f t="shared" si="203"/>
        <v>-1.7437252311756968E-2</v>
      </c>
      <c r="T1210" s="845">
        <v>57.28</v>
      </c>
      <c r="U1210" s="846">
        <f t="shared" si="204"/>
        <v>-1.6483516483516536E-2</v>
      </c>
      <c r="V1210" s="845">
        <v>105.0333</v>
      </c>
      <c r="W1210" s="846">
        <f t="shared" si="205"/>
        <v>-1.6971059444100267E-2</v>
      </c>
      <c r="X1210" s="845">
        <v>23018.880000000001</v>
      </c>
      <c r="Y1210" s="846">
        <f t="shared" si="206"/>
        <v>-2.6703942928757218E-2</v>
      </c>
      <c r="Z1210" s="845">
        <v>2736.5632000000001</v>
      </c>
      <c r="AA1210" s="846">
        <f t="shared" si="207"/>
        <v>-3.0672477089827455E-2</v>
      </c>
    </row>
    <row r="1211" spans="1:27" ht="14.4" x14ac:dyDescent="0.55000000000000004">
      <c r="A1211" s="857" t="s">
        <v>6370</v>
      </c>
      <c r="B1211" s="842">
        <v>102.53</v>
      </c>
      <c r="C1211" s="843">
        <f t="shared" si="199"/>
        <v>-7.3803071364046957E-2</v>
      </c>
      <c r="D1211" s="842">
        <v>31.3</v>
      </c>
      <c r="E1211" s="843">
        <f t="shared" si="199"/>
        <v>-6.5113500597371421E-2</v>
      </c>
      <c r="F1211" s="842">
        <v>25.48</v>
      </c>
      <c r="G1211" s="843">
        <f t="shared" si="199"/>
        <v>-3.411675511751322E-2</v>
      </c>
      <c r="H1211" s="842">
        <v>61.4</v>
      </c>
      <c r="I1211" s="843">
        <f t="shared" si="199"/>
        <v>-4.8651998760458781E-2</v>
      </c>
      <c r="J1211" s="842">
        <v>83.99</v>
      </c>
      <c r="K1211" s="843">
        <f t="shared" si="200"/>
        <v>-5.3633802816901444E-2</v>
      </c>
      <c r="L1211" s="842">
        <v>75.89</v>
      </c>
      <c r="M1211" s="843">
        <f t="shared" si="201"/>
        <v>-2.1026831785345701E-2</v>
      </c>
      <c r="N1211" s="842">
        <v>73.58</v>
      </c>
      <c r="O1211" s="843">
        <f t="shared" si="202"/>
        <v>-4.726142690664259E-2</v>
      </c>
      <c r="P1211" s="844">
        <f t="shared" si="208"/>
        <v>-4.9086769621182871E-2</v>
      </c>
      <c r="Q1211" s="830"/>
      <c r="R1211" s="845">
        <v>794.85</v>
      </c>
      <c r="S1211" s="846">
        <f t="shared" si="203"/>
        <v>-3.5352799825238423E-2</v>
      </c>
      <c r="T1211" s="845">
        <v>58.24</v>
      </c>
      <c r="U1211" s="846">
        <f t="shared" si="204"/>
        <v>-3.7832479762101467E-2</v>
      </c>
      <c r="V1211" s="845">
        <v>106.8466</v>
      </c>
      <c r="W1211" s="846">
        <f t="shared" si="205"/>
        <v>-7.3803360939523666E-2</v>
      </c>
      <c r="X1211" s="845">
        <v>23650.44</v>
      </c>
      <c r="Y1211" s="846">
        <f t="shared" si="206"/>
        <v>-2.4421996255335254E-2</v>
      </c>
      <c r="Z1211" s="845">
        <v>2823.1563999999998</v>
      </c>
      <c r="AA1211" s="846">
        <f t="shared" si="207"/>
        <v>-1.7883821431600611E-2</v>
      </c>
    </row>
    <row r="1212" spans="1:27" ht="14.4" x14ac:dyDescent="0.55000000000000004">
      <c r="A1212" s="857" t="s">
        <v>6371</v>
      </c>
      <c r="B1212" s="842">
        <v>110.7</v>
      </c>
      <c r="C1212" s="843">
        <f t="shared" si="199"/>
        <v>5.3382814730231321E-2</v>
      </c>
      <c r="D1212" s="842">
        <v>33.479999999999997</v>
      </c>
      <c r="E1212" s="843">
        <f t="shared" si="199"/>
        <v>4.6904315196998114E-2</v>
      </c>
      <c r="F1212" s="842">
        <v>26.38</v>
      </c>
      <c r="G1212" s="843">
        <f t="shared" si="199"/>
        <v>1.7354415734670336E-2</v>
      </c>
      <c r="H1212" s="842">
        <v>64.540000000000006</v>
      </c>
      <c r="I1212" s="843">
        <f t="shared" si="199"/>
        <v>3.7620578778135183E-2</v>
      </c>
      <c r="J1212" s="842">
        <v>88.75</v>
      </c>
      <c r="K1212" s="843">
        <f t="shared" si="200"/>
        <v>3.3298404936546788E-2</v>
      </c>
      <c r="L1212" s="842">
        <v>77.52</v>
      </c>
      <c r="M1212" s="843">
        <f t="shared" si="201"/>
        <v>2.0268491708344216E-2</v>
      </c>
      <c r="N1212" s="842">
        <v>77.23</v>
      </c>
      <c r="O1212" s="843">
        <f t="shared" si="202"/>
        <v>3.4284183741797314E-2</v>
      </c>
      <c r="P1212" s="844">
        <f t="shared" si="208"/>
        <v>3.4730457832389039E-2</v>
      </c>
      <c r="Q1212" s="830"/>
      <c r="R1212" s="845">
        <v>823.98</v>
      </c>
      <c r="S1212" s="846">
        <f t="shared" si="203"/>
        <v>3.3151942222333641E-2</v>
      </c>
      <c r="T1212" s="845">
        <v>60.53</v>
      </c>
      <c r="U1212" s="846">
        <f t="shared" si="204"/>
        <v>3.223055934515684E-2</v>
      </c>
      <c r="V1212" s="845">
        <v>115.36060000000001</v>
      </c>
      <c r="W1212" s="846">
        <f t="shared" si="205"/>
        <v>5.3382934116426695E-2</v>
      </c>
      <c r="X1212" s="845">
        <v>24242.49</v>
      </c>
      <c r="Y1212" s="846">
        <f t="shared" si="206"/>
        <v>2.9943902712586956E-2</v>
      </c>
      <c r="Z1212" s="845">
        <v>2874.5646000000002</v>
      </c>
      <c r="AA1212" s="846">
        <f t="shared" si="207"/>
        <v>2.6794391374649562E-2</v>
      </c>
    </row>
    <row r="1213" spans="1:27" ht="14.4" x14ac:dyDescent="0.55000000000000004">
      <c r="A1213" s="857" t="s">
        <v>6372</v>
      </c>
      <c r="B1213" s="842">
        <v>105.09</v>
      </c>
      <c r="C1213" s="843">
        <f t="shared" si="199"/>
        <v>-1.1847672778561247E-2</v>
      </c>
      <c r="D1213" s="842">
        <v>31.98</v>
      </c>
      <c r="E1213" s="843">
        <f t="shared" si="199"/>
        <v>-1.6907470027666793E-2</v>
      </c>
      <c r="F1213" s="842">
        <v>25.93</v>
      </c>
      <c r="G1213" s="843">
        <f t="shared" si="199"/>
        <v>1.8860510805501107E-2</v>
      </c>
      <c r="H1213" s="842">
        <v>62.2</v>
      </c>
      <c r="I1213" s="843">
        <f t="shared" si="199"/>
        <v>5.9841500889536992E-3</v>
      </c>
      <c r="J1213" s="842">
        <v>85.89</v>
      </c>
      <c r="K1213" s="843">
        <f t="shared" si="200"/>
        <v>5.0315937280600576E-3</v>
      </c>
      <c r="L1213" s="842">
        <v>75.98</v>
      </c>
      <c r="M1213" s="843">
        <f t="shared" si="201"/>
        <v>-2.6253609871357275E-3</v>
      </c>
      <c r="N1213" s="842">
        <v>74.67</v>
      </c>
      <c r="O1213" s="843">
        <f t="shared" si="202"/>
        <v>4.3039677202421078E-3</v>
      </c>
      <c r="P1213" s="844">
        <f t="shared" si="208"/>
        <v>3.9995979277045776E-4</v>
      </c>
      <c r="Q1213" s="830"/>
      <c r="R1213" s="845">
        <v>797.54</v>
      </c>
      <c r="S1213" s="846">
        <f t="shared" si="203"/>
        <v>7.4032247945288177E-4</v>
      </c>
      <c r="T1213" s="845">
        <v>58.64</v>
      </c>
      <c r="U1213" s="846">
        <f t="shared" si="204"/>
        <v>1.7056114617086671E-4</v>
      </c>
      <c r="V1213" s="845">
        <v>109.51439999999999</v>
      </c>
      <c r="W1213" s="846">
        <f t="shared" si="205"/>
        <v>-1.1847250770116391E-2</v>
      </c>
      <c r="X1213" s="845">
        <v>23537.68</v>
      </c>
      <c r="Y1213" s="846">
        <f t="shared" si="206"/>
        <v>1.4180353849395644E-3</v>
      </c>
      <c r="Z1213" s="845">
        <v>2799.5522999999998</v>
      </c>
      <c r="AA1213" s="846">
        <f t="shared" si="207"/>
        <v>5.8167782050349004E-3</v>
      </c>
    </row>
    <row r="1214" spans="1:27" ht="14.4" x14ac:dyDescent="0.55000000000000004">
      <c r="A1214" s="857" t="s">
        <v>6373</v>
      </c>
      <c r="B1214" s="842">
        <v>106.35</v>
      </c>
      <c r="C1214" s="843">
        <f t="shared" si="199"/>
        <v>-1.6279715104985715E-2</v>
      </c>
      <c r="D1214" s="842">
        <v>32.53</v>
      </c>
      <c r="E1214" s="843">
        <f t="shared" si="199"/>
        <v>-7.4800910125142117E-2</v>
      </c>
      <c r="F1214" s="842">
        <v>25.45</v>
      </c>
      <c r="G1214" s="843">
        <f t="shared" si="199"/>
        <v>-4.3951915852742385E-2</v>
      </c>
      <c r="H1214" s="842">
        <v>61.83</v>
      </c>
      <c r="I1214" s="843">
        <f t="shared" si="199"/>
        <v>-4.13953488372093E-2</v>
      </c>
      <c r="J1214" s="842">
        <v>85.46</v>
      </c>
      <c r="K1214" s="843">
        <f t="shared" si="200"/>
        <v>-5.2969858156028393E-2</v>
      </c>
      <c r="L1214" s="842">
        <v>76.180000000000007</v>
      </c>
      <c r="M1214" s="843">
        <f t="shared" si="201"/>
        <v>-2.1074273965561385E-2</v>
      </c>
      <c r="N1214" s="842">
        <v>74.349999999999994</v>
      </c>
      <c r="O1214" s="843">
        <f t="shared" si="202"/>
        <v>-4.2375064399793994E-2</v>
      </c>
      <c r="P1214" s="844">
        <f t="shared" si="208"/>
        <v>-4.1835298063066184E-2</v>
      </c>
      <c r="Q1214" s="830"/>
      <c r="R1214" s="845">
        <v>796.95</v>
      </c>
      <c r="S1214" s="846">
        <f t="shared" si="203"/>
        <v>-1.7881349666034052E-2</v>
      </c>
      <c r="T1214" s="845">
        <v>58.63</v>
      </c>
      <c r="U1214" s="846">
        <f t="shared" si="204"/>
        <v>-3.2986970146791972E-2</v>
      </c>
      <c r="V1214" s="845">
        <v>110.8274</v>
      </c>
      <c r="W1214" s="846">
        <f t="shared" si="205"/>
        <v>-1.6279740638993845E-2</v>
      </c>
      <c r="X1214" s="845">
        <v>23504.35</v>
      </c>
      <c r="Y1214" s="846">
        <f t="shared" si="206"/>
        <v>-7.6736956807176293E-3</v>
      </c>
      <c r="Z1214" s="845">
        <v>2783.3620999999998</v>
      </c>
      <c r="AA1214" s="846">
        <f t="shared" si="207"/>
        <v>-2.2030096261812515E-2</v>
      </c>
    </row>
    <row r="1215" spans="1:27" ht="14.4" x14ac:dyDescent="0.55000000000000004">
      <c r="A1215" s="857" t="s">
        <v>6374</v>
      </c>
      <c r="B1215" s="842">
        <v>108.11</v>
      </c>
      <c r="C1215" s="843">
        <f t="shared" si="199"/>
        <v>4.6867434879442227E-2</v>
      </c>
      <c r="D1215" s="842">
        <v>35.159999999999997</v>
      </c>
      <c r="E1215" s="843">
        <f t="shared" si="199"/>
        <v>2.5970236358330734E-2</v>
      </c>
      <c r="F1215" s="842">
        <v>26.62</v>
      </c>
      <c r="G1215" s="843">
        <f t="shared" si="199"/>
        <v>3.5394788020225665E-2</v>
      </c>
      <c r="H1215" s="842">
        <v>64.5</v>
      </c>
      <c r="I1215" s="843">
        <f t="shared" si="199"/>
        <v>4.3351666127466881E-2</v>
      </c>
      <c r="J1215" s="842">
        <v>90.24</v>
      </c>
      <c r="K1215" s="843">
        <f t="shared" si="200"/>
        <v>3.7122169865532628E-2</v>
      </c>
      <c r="L1215" s="842">
        <v>77.819999999999993</v>
      </c>
      <c r="M1215" s="843">
        <f t="shared" si="201"/>
        <v>1.5396659707724414E-2</v>
      </c>
      <c r="N1215" s="842">
        <v>77.64</v>
      </c>
      <c r="O1215" s="843">
        <f t="shared" si="202"/>
        <v>1.6363398350569547E-2</v>
      </c>
      <c r="P1215" s="844">
        <f t="shared" si="208"/>
        <v>3.149519332989887E-2</v>
      </c>
      <c r="Q1215" s="830"/>
      <c r="R1215" s="845">
        <v>811.46</v>
      </c>
      <c r="S1215" s="846">
        <f t="shared" si="203"/>
        <v>1.2565667153321192E-2</v>
      </c>
      <c r="T1215" s="845">
        <v>60.63</v>
      </c>
      <c r="U1215" s="846">
        <f t="shared" si="204"/>
        <v>2.9371816638370296E-2</v>
      </c>
      <c r="V1215" s="845">
        <v>112.6615</v>
      </c>
      <c r="W1215" s="846">
        <f t="shared" si="205"/>
        <v>4.6866782260926998E-2</v>
      </c>
      <c r="X1215" s="845">
        <v>23686.11</v>
      </c>
      <c r="Y1215" s="846">
        <f t="shared" si="206"/>
        <v>1.2626347914155955E-2</v>
      </c>
      <c r="Z1215" s="845">
        <v>2846.0610999999999</v>
      </c>
      <c r="AA1215" s="846">
        <f t="shared" si="207"/>
        <v>3.0573967405882918E-2</v>
      </c>
    </row>
    <row r="1216" spans="1:27" ht="14.4" x14ac:dyDescent="0.55000000000000004">
      <c r="A1216" s="857" t="s">
        <v>6375</v>
      </c>
      <c r="B1216" s="842">
        <v>103.27</v>
      </c>
      <c r="C1216" s="843">
        <f t="shared" si="199"/>
        <v>-1.8346007604562842E-2</v>
      </c>
      <c r="D1216" s="842">
        <v>34.270000000000003</v>
      </c>
      <c r="E1216" s="843">
        <f t="shared" si="199"/>
        <v>-4.1666666666666519E-2</v>
      </c>
      <c r="F1216" s="842">
        <v>25.71</v>
      </c>
      <c r="G1216" s="843">
        <f t="shared" si="199"/>
        <v>-3.2731376975169257E-2</v>
      </c>
      <c r="H1216" s="842">
        <v>61.82</v>
      </c>
      <c r="I1216" s="843">
        <f t="shared" si="199"/>
        <v>-5.5894929749541911E-2</v>
      </c>
      <c r="J1216" s="842">
        <v>87.01</v>
      </c>
      <c r="K1216" s="843">
        <f t="shared" si="200"/>
        <v>-4.4476169558532841E-2</v>
      </c>
      <c r="L1216" s="842">
        <v>76.64</v>
      </c>
      <c r="M1216" s="843">
        <f t="shared" si="201"/>
        <v>-2.0074159314665607E-2</v>
      </c>
      <c r="N1216" s="842">
        <v>76.39</v>
      </c>
      <c r="O1216" s="843">
        <f t="shared" si="202"/>
        <v>-3.7181749432820821E-2</v>
      </c>
      <c r="P1216" s="844">
        <f t="shared" si="208"/>
        <v>-3.576729418599426E-2</v>
      </c>
      <c r="Q1216" s="830"/>
      <c r="R1216" s="845">
        <v>801.39</v>
      </c>
      <c r="S1216" s="846">
        <f t="shared" si="203"/>
        <v>-3.193892465844439E-2</v>
      </c>
      <c r="T1216" s="845">
        <v>58.9</v>
      </c>
      <c r="U1216" s="846">
        <f t="shared" si="204"/>
        <v>-3.1727765904981053E-2</v>
      </c>
      <c r="V1216" s="845">
        <v>107.6178</v>
      </c>
      <c r="W1216" s="846">
        <f t="shared" si="205"/>
        <v>-1.8345510768136175E-2</v>
      </c>
      <c r="X1216" s="845">
        <v>23390.77</v>
      </c>
      <c r="Y1216" s="846">
        <f t="shared" si="206"/>
        <v>-1.3853656315492291E-2</v>
      </c>
      <c r="Z1216" s="845">
        <v>2761.6271999999999</v>
      </c>
      <c r="AA1216" s="846">
        <f t="shared" si="207"/>
        <v>-1.0104640185577884E-2</v>
      </c>
    </row>
    <row r="1217" spans="1:27" ht="14.4" x14ac:dyDescent="0.55000000000000004">
      <c r="A1217" s="857" t="s">
        <v>6376</v>
      </c>
      <c r="B1217" s="842">
        <v>105.2</v>
      </c>
      <c r="C1217" s="843">
        <f t="shared" si="199"/>
        <v>2.4841695080370263E-2</v>
      </c>
      <c r="D1217" s="842">
        <v>35.76</v>
      </c>
      <c r="E1217" s="843">
        <f t="shared" si="199"/>
        <v>5.5801594331266635E-2</v>
      </c>
      <c r="F1217" s="842">
        <v>26.58</v>
      </c>
      <c r="G1217" s="843">
        <f t="shared" si="199"/>
        <v>4.3580683156654976E-2</v>
      </c>
      <c r="H1217" s="842">
        <v>65.48</v>
      </c>
      <c r="I1217" s="843">
        <f t="shared" si="199"/>
        <v>8.195637805684064E-2</v>
      </c>
      <c r="J1217" s="842">
        <v>91.06</v>
      </c>
      <c r="K1217" s="843">
        <f t="shared" si="200"/>
        <v>5.3691275167785157E-2</v>
      </c>
      <c r="L1217" s="842">
        <v>78.209999999999994</v>
      </c>
      <c r="M1217" s="843">
        <f t="shared" si="201"/>
        <v>3.4934497816593968E-2</v>
      </c>
      <c r="N1217" s="842">
        <v>79.34</v>
      </c>
      <c r="O1217" s="843">
        <f t="shared" si="202"/>
        <v>4.656377786571686E-2</v>
      </c>
      <c r="P1217" s="844">
        <f t="shared" si="208"/>
        <v>4.8767128782175498E-2</v>
      </c>
      <c r="Q1217" s="830"/>
      <c r="R1217" s="845">
        <v>827.83</v>
      </c>
      <c r="S1217" s="846">
        <f t="shared" si="203"/>
        <v>4.9014762719381766E-2</v>
      </c>
      <c r="T1217" s="845">
        <v>60.83</v>
      </c>
      <c r="U1217" s="846">
        <f t="shared" si="204"/>
        <v>4.7168187295575814E-2</v>
      </c>
      <c r="V1217" s="845">
        <v>109.629</v>
      </c>
      <c r="W1217" s="846">
        <f t="shared" si="205"/>
        <v>2.4841149575074661E-2</v>
      </c>
      <c r="X1217" s="845">
        <v>23719.37</v>
      </c>
      <c r="Y1217" s="846">
        <f t="shared" si="206"/>
        <v>1.219617838852538E-2</v>
      </c>
      <c r="Z1217" s="845">
        <v>2789.8173000000002</v>
      </c>
      <c r="AA1217" s="846">
        <f t="shared" si="207"/>
        <v>1.4487244751112183E-2</v>
      </c>
    </row>
    <row r="1218" spans="1:27" ht="14.4" x14ac:dyDescent="0.55000000000000004">
      <c r="A1218" s="857" t="s">
        <v>6377</v>
      </c>
      <c r="B1218" s="842">
        <v>102.65</v>
      </c>
      <c r="C1218" s="843">
        <f t="shared" si="199"/>
        <v>4.297906929485884E-2</v>
      </c>
      <c r="D1218" s="842">
        <v>33.869999999999997</v>
      </c>
      <c r="E1218" s="843">
        <f t="shared" si="199"/>
        <v>2.3262839879153896E-2</v>
      </c>
      <c r="F1218" s="842">
        <v>25.47</v>
      </c>
      <c r="G1218" s="843">
        <f t="shared" si="199"/>
        <v>5.6408129406884999E-2</v>
      </c>
      <c r="H1218" s="842">
        <v>60.52</v>
      </c>
      <c r="I1218" s="843">
        <f t="shared" si="199"/>
        <v>2.0917678812415685E-2</v>
      </c>
      <c r="J1218" s="842">
        <v>86.42</v>
      </c>
      <c r="K1218" s="843">
        <f t="shared" si="200"/>
        <v>4.3593768868494198E-2</v>
      </c>
      <c r="L1218" s="842">
        <v>75.569999999999993</v>
      </c>
      <c r="M1218" s="843">
        <f t="shared" si="201"/>
        <v>3.733699382292377E-2</v>
      </c>
      <c r="N1218" s="842">
        <v>75.81</v>
      </c>
      <c r="O1218" s="843">
        <f t="shared" si="202"/>
        <v>1.4859437751004068E-2</v>
      </c>
      <c r="P1218" s="844">
        <f t="shared" si="208"/>
        <v>3.4193988262247919E-2</v>
      </c>
      <c r="Q1218" s="830"/>
      <c r="R1218" s="845">
        <v>789.15</v>
      </c>
      <c r="S1218" s="846">
        <f t="shared" si="203"/>
        <v>5.106484996204097E-2</v>
      </c>
      <c r="T1218" s="845">
        <v>58.09</v>
      </c>
      <c r="U1218" s="846">
        <f t="shared" si="204"/>
        <v>5.4456344164095061E-2</v>
      </c>
      <c r="V1218" s="845">
        <v>106.9717</v>
      </c>
      <c r="W1218" s="846">
        <f t="shared" si="205"/>
        <v>4.2979185598009506E-2</v>
      </c>
      <c r="X1218" s="845">
        <v>23433.57</v>
      </c>
      <c r="Y1218" s="846">
        <f t="shared" si="206"/>
        <v>3.4418416993836853E-2</v>
      </c>
      <c r="Z1218" s="845">
        <v>2749.9776999999999</v>
      </c>
      <c r="AA1218" s="846">
        <f t="shared" si="207"/>
        <v>3.4055327898595111E-2</v>
      </c>
    </row>
    <row r="1219" spans="1:27" ht="14.4" x14ac:dyDescent="0.55000000000000004">
      <c r="A1219" s="857" t="s">
        <v>6378</v>
      </c>
      <c r="B1219" s="842">
        <v>98.42</v>
      </c>
      <c r="C1219" s="843">
        <f t="shared" si="199"/>
        <v>-5.0275016887001756E-2</v>
      </c>
      <c r="D1219" s="842">
        <v>33.1</v>
      </c>
      <c r="E1219" s="843">
        <f t="shared" si="199"/>
        <v>-2.7116601385958061E-3</v>
      </c>
      <c r="F1219" s="842">
        <v>24.11</v>
      </c>
      <c r="G1219" s="843">
        <f t="shared" si="199"/>
        <v>-1.7922606924643647E-2</v>
      </c>
      <c r="H1219" s="842">
        <v>59.28</v>
      </c>
      <c r="I1219" s="843">
        <f t="shared" si="199"/>
        <v>-3.2479190468418517E-2</v>
      </c>
      <c r="J1219" s="842">
        <v>82.81</v>
      </c>
      <c r="K1219" s="843">
        <f t="shared" si="200"/>
        <v>-3.5073409461663818E-2</v>
      </c>
      <c r="L1219" s="842">
        <v>72.849999999999994</v>
      </c>
      <c r="M1219" s="843">
        <f t="shared" si="201"/>
        <v>-2.6590058792089866E-2</v>
      </c>
      <c r="N1219" s="842">
        <v>74.7</v>
      </c>
      <c r="O1219" s="843">
        <f t="shared" si="202"/>
        <v>-2.7850078084331042E-2</v>
      </c>
      <c r="P1219" s="844">
        <f t="shared" si="208"/>
        <v>-2.7557431536677779E-2</v>
      </c>
      <c r="Q1219" s="830"/>
      <c r="R1219" s="845">
        <v>750.81</v>
      </c>
      <c r="S1219" s="846">
        <f t="shared" si="203"/>
        <v>-9.5638867635806646E-3</v>
      </c>
      <c r="T1219" s="845">
        <v>55.09</v>
      </c>
      <c r="U1219" s="846">
        <f t="shared" si="204"/>
        <v>-1.2547051442910795E-2</v>
      </c>
      <c r="V1219" s="845">
        <v>102.56359999999999</v>
      </c>
      <c r="W1219" s="846">
        <f t="shared" si="205"/>
        <v>-5.0274601385831952E-2</v>
      </c>
      <c r="X1219" s="845">
        <v>22653.86</v>
      </c>
      <c r="Y1219" s="846">
        <f t="shared" si="206"/>
        <v>-1.1521169101045281E-3</v>
      </c>
      <c r="Z1219" s="845">
        <v>2659.4106000000002</v>
      </c>
      <c r="AA1219" s="846">
        <f t="shared" si="207"/>
        <v>-1.6042444677554224E-3</v>
      </c>
    </row>
    <row r="1220" spans="1:27" ht="14.4" x14ac:dyDescent="0.55000000000000004">
      <c r="A1220" s="857" t="s">
        <v>6379</v>
      </c>
      <c r="B1220" s="842">
        <v>103.63</v>
      </c>
      <c r="C1220" s="843">
        <f t="shared" si="199"/>
        <v>0.10057349192863207</v>
      </c>
      <c r="D1220" s="842">
        <v>33.19</v>
      </c>
      <c r="E1220" s="843">
        <f t="shared" si="199"/>
        <v>7.4457753318225794E-2</v>
      </c>
      <c r="F1220" s="842">
        <v>24.55</v>
      </c>
      <c r="G1220" s="843">
        <f t="shared" si="199"/>
        <v>9.159626500666973E-2</v>
      </c>
      <c r="H1220" s="842">
        <v>61.27</v>
      </c>
      <c r="I1220" s="843">
        <f t="shared" si="199"/>
        <v>9.7438653053913749E-2</v>
      </c>
      <c r="J1220" s="842">
        <v>85.82</v>
      </c>
      <c r="K1220" s="843">
        <f t="shared" si="200"/>
        <v>0.10124470678814301</v>
      </c>
      <c r="L1220" s="842">
        <v>74.84</v>
      </c>
      <c r="M1220" s="843">
        <f t="shared" si="201"/>
        <v>0.10188457008245</v>
      </c>
      <c r="N1220" s="842">
        <v>76.84</v>
      </c>
      <c r="O1220" s="843">
        <f t="shared" si="202"/>
        <v>0.10338885697874778</v>
      </c>
      <c r="P1220" s="844">
        <f t="shared" si="208"/>
        <v>9.5797756736683157E-2</v>
      </c>
      <c r="Q1220" s="830"/>
      <c r="R1220" s="845">
        <v>758.06</v>
      </c>
      <c r="S1220" s="846">
        <f t="shared" si="203"/>
        <v>7.3724168212914831E-2</v>
      </c>
      <c r="T1220" s="845">
        <v>55.79</v>
      </c>
      <c r="U1220" s="846">
        <f t="shared" si="204"/>
        <v>7.7234987449314563E-2</v>
      </c>
      <c r="V1220" s="845">
        <v>107.99290000000001</v>
      </c>
      <c r="W1220" s="846">
        <f t="shared" si="205"/>
        <v>0.10057355881627572</v>
      </c>
      <c r="X1220" s="845">
        <v>22679.99</v>
      </c>
      <c r="Y1220" s="846">
        <f t="shared" si="206"/>
        <v>7.7304722995288566E-2</v>
      </c>
      <c r="Z1220" s="845">
        <v>2663.6837999999998</v>
      </c>
      <c r="AA1220" s="846">
        <f t="shared" si="207"/>
        <v>7.0333519190577398E-2</v>
      </c>
    </row>
    <row r="1221" spans="1:27" ht="14.4" x14ac:dyDescent="0.55000000000000004">
      <c r="A1221" s="857" t="s">
        <v>6380</v>
      </c>
      <c r="B1221" s="842">
        <v>94.16</v>
      </c>
      <c r="C1221" s="843">
        <f t="shared" si="199"/>
        <v>-3.2967032967033072E-2</v>
      </c>
      <c r="D1221" s="842">
        <v>30.89</v>
      </c>
      <c r="E1221" s="843">
        <f t="shared" si="199"/>
        <v>0</v>
      </c>
      <c r="F1221" s="842">
        <v>22.49</v>
      </c>
      <c r="G1221" s="843">
        <f t="shared" si="199"/>
        <v>-4.2571306939123033E-2</v>
      </c>
      <c r="H1221" s="842">
        <v>55.83</v>
      </c>
      <c r="I1221" s="843">
        <f t="shared" si="199"/>
        <v>-2.5994417306350326E-2</v>
      </c>
      <c r="J1221" s="842">
        <v>77.930000000000007</v>
      </c>
      <c r="K1221" s="843">
        <f t="shared" si="200"/>
        <v>-1.2919569347688342E-2</v>
      </c>
      <c r="L1221" s="842">
        <v>67.92</v>
      </c>
      <c r="M1221" s="843">
        <f t="shared" si="201"/>
        <v>-2.3501762632196499E-3</v>
      </c>
      <c r="N1221" s="842">
        <v>69.64</v>
      </c>
      <c r="O1221" s="843">
        <f t="shared" si="202"/>
        <v>-6.9870240981034781E-3</v>
      </c>
      <c r="P1221" s="844">
        <f t="shared" si="208"/>
        <v>-1.7684218131645415E-2</v>
      </c>
      <c r="Q1221" s="830"/>
      <c r="R1221" s="845">
        <v>706.01</v>
      </c>
      <c r="S1221" s="846">
        <f t="shared" si="203"/>
        <v>-3.2014368761654088E-2</v>
      </c>
      <c r="T1221" s="845">
        <v>51.79</v>
      </c>
      <c r="U1221" s="846">
        <f t="shared" si="204"/>
        <v>-3.5747533047849611E-2</v>
      </c>
      <c r="V1221" s="845">
        <v>98.124200000000002</v>
      </c>
      <c r="W1221" s="846">
        <f t="shared" si="205"/>
        <v>-3.296757446087184E-2</v>
      </c>
      <c r="X1221" s="845">
        <v>21052.53</v>
      </c>
      <c r="Y1221" s="846">
        <f t="shared" si="206"/>
        <v>-1.6854368097792838E-2</v>
      </c>
      <c r="Z1221" s="845">
        <v>2488.6484</v>
      </c>
      <c r="AA1221" s="846">
        <f t="shared" si="207"/>
        <v>-1.5138849028937695E-2</v>
      </c>
    </row>
    <row r="1222" spans="1:27" ht="14.4" x14ac:dyDescent="0.55000000000000004">
      <c r="A1222" s="857" t="s">
        <v>6381</v>
      </c>
      <c r="B1222" s="842">
        <v>97.37</v>
      </c>
      <c r="C1222" s="843">
        <f t="shared" si="199"/>
        <v>2.8846153846153966E-2</v>
      </c>
      <c r="D1222" s="842">
        <v>30.89</v>
      </c>
      <c r="E1222" s="843">
        <f t="shared" si="199"/>
        <v>4.428668018931714E-2</v>
      </c>
      <c r="F1222" s="842">
        <v>23.49</v>
      </c>
      <c r="G1222" s="843">
        <f t="shared" si="199"/>
        <v>1.8647007805724147E-2</v>
      </c>
      <c r="H1222" s="842">
        <v>57.32</v>
      </c>
      <c r="I1222" s="843">
        <f t="shared" si="199"/>
        <v>2.4669288523418098E-2</v>
      </c>
      <c r="J1222" s="842">
        <v>78.95</v>
      </c>
      <c r="K1222" s="843">
        <f t="shared" si="200"/>
        <v>2.0157643106344603E-2</v>
      </c>
      <c r="L1222" s="842">
        <v>68.08</v>
      </c>
      <c r="M1222" s="843">
        <f t="shared" si="201"/>
        <v>4.0819446567803119E-2</v>
      </c>
      <c r="N1222" s="842">
        <v>70.13</v>
      </c>
      <c r="O1222" s="843">
        <f t="shared" si="202"/>
        <v>2.2005246283882007E-2</v>
      </c>
      <c r="P1222" s="844">
        <f t="shared" si="208"/>
        <v>2.8490209474663297E-2</v>
      </c>
      <c r="Q1222" s="830"/>
      <c r="R1222" s="845">
        <v>729.36</v>
      </c>
      <c r="S1222" s="846">
        <f t="shared" si="203"/>
        <v>3.0111293147279783E-2</v>
      </c>
      <c r="T1222" s="845">
        <v>53.71</v>
      </c>
      <c r="U1222" s="846">
        <f t="shared" si="204"/>
        <v>3.1298003072196767E-2</v>
      </c>
      <c r="V1222" s="845">
        <v>101.46939999999999</v>
      </c>
      <c r="W1222" s="846">
        <f t="shared" si="205"/>
        <v>2.88468168120668E-2</v>
      </c>
      <c r="X1222" s="845">
        <v>21413.439999999999</v>
      </c>
      <c r="Y1222" s="846">
        <f t="shared" si="206"/>
        <v>2.2437977206303916E-2</v>
      </c>
      <c r="Z1222" s="845">
        <v>2526.9027999999998</v>
      </c>
      <c r="AA1222" s="846">
        <f t="shared" si="207"/>
        <v>2.2828698463358332E-2</v>
      </c>
    </row>
    <row r="1223" spans="1:27" ht="14.4" x14ac:dyDescent="0.55000000000000004">
      <c r="A1223" s="857" t="s">
        <v>6382</v>
      </c>
      <c r="B1223" s="842">
        <v>94.64</v>
      </c>
      <c r="C1223" s="843">
        <f t="shared" si="199"/>
        <v>-4.6256172528469253E-2</v>
      </c>
      <c r="D1223" s="842">
        <v>29.58</v>
      </c>
      <c r="E1223" s="843">
        <f t="shared" si="199"/>
        <v>-0.12923167500735944</v>
      </c>
      <c r="F1223" s="842">
        <v>23.06</v>
      </c>
      <c r="G1223" s="843">
        <f t="shared" si="199"/>
        <v>-7.6491790148177863E-2</v>
      </c>
      <c r="H1223" s="842">
        <v>55.94</v>
      </c>
      <c r="I1223" s="843">
        <f t="shared" ref="I1223" si="209">IFERROR(((H1223/H1224)-1), "NA")</f>
        <v>-9.4089068825910949E-2</v>
      </c>
      <c r="J1223" s="842">
        <v>77.39</v>
      </c>
      <c r="K1223" s="843">
        <f t="shared" si="200"/>
        <v>-7.4503707247070117E-2</v>
      </c>
      <c r="L1223" s="842">
        <v>65.41</v>
      </c>
      <c r="M1223" s="843">
        <f t="shared" si="201"/>
        <v>-5.9660724554341682E-2</v>
      </c>
      <c r="N1223" s="842">
        <v>68.62</v>
      </c>
      <c r="O1223" s="843">
        <f t="shared" si="202"/>
        <v>-7.8678839957035396E-2</v>
      </c>
      <c r="P1223" s="844">
        <f t="shared" si="208"/>
        <v>-7.9844568324052095E-2</v>
      </c>
      <c r="Q1223" s="830"/>
      <c r="R1223" s="845">
        <v>708.04</v>
      </c>
      <c r="S1223" s="846">
        <f t="shared" si="203"/>
        <v>-6.3637325433770653E-2</v>
      </c>
      <c r="T1223" s="845">
        <v>52.08</v>
      </c>
      <c r="U1223" s="846">
        <f t="shared" si="204"/>
        <v>-6.0097455332972394E-2</v>
      </c>
      <c r="V1223" s="845">
        <v>98.624399999999994</v>
      </c>
      <c r="W1223" s="846">
        <f t="shared" si="205"/>
        <v>-4.625671009025456E-2</v>
      </c>
      <c r="X1223" s="845">
        <v>20943.509999999998</v>
      </c>
      <c r="Y1223" s="846">
        <f t="shared" si="206"/>
        <v>-4.442409509261247E-2</v>
      </c>
      <c r="Z1223" s="845">
        <v>2470.5043999999998</v>
      </c>
      <c r="AA1223" s="846">
        <f t="shared" si="207"/>
        <v>-4.4140991293476817E-2</v>
      </c>
    </row>
    <row r="1224" spans="1:27" ht="14.4" x14ac:dyDescent="0.55000000000000004">
      <c r="A1224" s="857" t="s">
        <v>6383</v>
      </c>
      <c r="B1224" s="842">
        <v>99.23</v>
      </c>
      <c r="C1224" s="843">
        <f t="shared" ref="C1224:M1265" si="210">IFERROR(((B1224/B1225)-1), "NA")</f>
        <v>-3.4915386111651348E-2</v>
      </c>
      <c r="D1224" s="842">
        <v>33.97</v>
      </c>
      <c r="E1224" s="843">
        <f t="shared" si="210"/>
        <v>-1.5647638365691052E-2</v>
      </c>
      <c r="F1224" s="842">
        <v>24.97</v>
      </c>
      <c r="G1224" s="843">
        <f t="shared" si="210"/>
        <v>-4.2561349693251538E-2</v>
      </c>
      <c r="H1224" s="842">
        <v>61.75</v>
      </c>
      <c r="I1224" s="843">
        <f t="shared" si="210"/>
        <v>-5.1167793484941604E-2</v>
      </c>
      <c r="J1224" s="842">
        <v>83.62</v>
      </c>
      <c r="K1224" s="843">
        <f t="shared" si="210"/>
        <v>1.1973180076629841E-3</v>
      </c>
      <c r="L1224" s="842">
        <v>69.56</v>
      </c>
      <c r="M1224" s="843">
        <f t="shared" si="210"/>
        <v>-2.9575892857142905E-2</v>
      </c>
      <c r="N1224" s="842">
        <v>74.48</v>
      </c>
      <c r="O1224" s="843">
        <f t="shared" ref="O1224:O1265" si="211">IFERROR(((N1224/N1225)-1), "NA")</f>
        <v>-2.3725258880587297E-2</v>
      </c>
      <c r="P1224" s="844">
        <f t="shared" si="208"/>
        <v>-2.8056571626514679E-2</v>
      </c>
      <c r="Q1224" s="830"/>
      <c r="R1224" s="845">
        <v>756.16</v>
      </c>
      <c r="S1224" s="846">
        <f t="shared" ref="S1224:S1266" si="212">IFERROR(((R1224/R1225)-1), "NA")</f>
        <v>-3.6910614667447827E-2</v>
      </c>
      <c r="T1224" s="845">
        <v>55.41</v>
      </c>
      <c r="U1224" s="846">
        <f t="shared" ref="U1224:U1266" si="213">IFERROR(((T1224/T1225)-1), "NA")</f>
        <v>-4.0353307932109561E-2</v>
      </c>
      <c r="V1224" s="845">
        <v>103.40770000000001</v>
      </c>
      <c r="W1224" s="846">
        <f t="shared" ref="W1224:W1266" si="214">IFERROR(((V1224/V1225)-1), "NA")</f>
        <v>-3.4914996714848767E-2</v>
      </c>
      <c r="X1224" s="845">
        <v>21917.16</v>
      </c>
      <c r="Y1224" s="846">
        <f t="shared" ref="Y1224:Y1266" si="215">IFERROR(((X1224/X1225)-1), "NA")</f>
        <v>-1.8377353825868359E-2</v>
      </c>
      <c r="Z1224" s="845">
        <v>2584.5907999999999</v>
      </c>
      <c r="AA1224" s="846">
        <f t="shared" ref="AA1224:AA1266" si="216">IFERROR(((Z1224/Z1225)-1), "NA")</f>
        <v>-1.6010913995331943E-2</v>
      </c>
    </row>
    <row r="1225" spans="1:27" ht="14.4" x14ac:dyDescent="0.55000000000000004">
      <c r="A1225" s="857" t="s">
        <v>6384</v>
      </c>
      <c r="B1225" s="842">
        <v>102.82</v>
      </c>
      <c r="C1225" s="843">
        <f t="shared" si="210"/>
        <v>5.5538445744790055E-2</v>
      </c>
      <c r="D1225" s="842">
        <v>34.51</v>
      </c>
      <c r="E1225" s="843">
        <f t="shared" si="210"/>
        <v>4.9255092733353489E-2</v>
      </c>
      <c r="F1225" s="842">
        <v>26.08</v>
      </c>
      <c r="G1225" s="843">
        <f t="shared" si="210"/>
        <v>5.3311793214862568E-2</v>
      </c>
      <c r="H1225" s="842">
        <v>65.08</v>
      </c>
      <c r="I1225" s="843">
        <f t="shared" si="210"/>
        <v>8.6477462437395625E-2</v>
      </c>
      <c r="J1225" s="842">
        <v>83.52</v>
      </c>
      <c r="K1225" s="843">
        <f t="shared" si="210"/>
        <v>5.2021665197128142E-2</v>
      </c>
      <c r="L1225" s="842">
        <v>71.680000000000007</v>
      </c>
      <c r="M1225" s="843">
        <f t="shared" si="210"/>
        <v>3.8840579710144985E-2</v>
      </c>
      <c r="N1225" s="842">
        <v>76.290000000000006</v>
      </c>
      <c r="O1225" s="843">
        <f t="shared" si="211"/>
        <v>4.5498149924626752E-2</v>
      </c>
      <c r="P1225" s="844">
        <f t="shared" ref="P1225:P1266" si="217">IFERROR(AVERAGE(C1225,E1225,G1225,I1225,M1225,K1225,O1225),"NA")</f>
        <v>5.4420455566043087E-2</v>
      </c>
      <c r="Q1225" s="830"/>
      <c r="R1225" s="845">
        <v>785.14</v>
      </c>
      <c r="S1225" s="846">
        <f t="shared" si="212"/>
        <v>3.4535464403831817E-2</v>
      </c>
      <c r="T1225" s="845">
        <v>57.74</v>
      </c>
      <c r="U1225" s="846">
        <f t="shared" si="213"/>
        <v>3.6997126436781658E-2</v>
      </c>
      <c r="V1225" s="845">
        <v>107.14879999999999</v>
      </c>
      <c r="W1225" s="846">
        <f t="shared" si="214"/>
        <v>5.5538808602023426E-2</v>
      </c>
      <c r="X1225" s="845">
        <v>22327.48</v>
      </c>
      <c r="Y1225" s="846">
        <f t="shared" si="215"/>
        <v>3.1922494936862167E-2</v>
      </c>
      <c r="Z1225" s="845">
        <v>2626.6457999999998</v>
      </c>
      <c r="AA1225" s="846">
        <f t="shared" si="216"/>
        <v>3.3514505406064821E-2</v>
      </c>
    </row>
    <row r="1226" spans="1:27" ht="14.4" x14ac:dyDescent="0.55000000000000004">
      <c r="A1226" s="861" t="s">
        <v>6385</v>
      </c>
      <c r="B1226" s="842">
        <v>97.41</v>
      </c>
      <c r="C1226" s="843">
        <f t="shared" si="210"/>
        <v>1.184169523215961E-2</v>
      </c>
      <c r="D1226" s="842">
        <v>32.89</v>
      </c>
      <c r="E1226" s="843">
        <f t="shared" si="210"/>
        <v>3.9682539682539542E-3</v>
      </c>
      <c r="F1226" s="842">
        <v>24.76</v>
      </c>
      <c r="G1226" s="843">
        <f t="shared" si="210"/>
        <v>8.5539714867617356E-3</v>
      </c>
      <c r="H1226" s="842">
        <v>59.9</v>
      </c>
      <c r="I1226" s="843">
        <f t="shared" si="210"/>
        <v>-3.9602372935706232E-2</v>
      </c>
      <c r="J1226" s="842">
        <v>79.39</v>
      </c>
      <c r="K1226" s="843">
        <f t="shared" si="210"/>
        <v>2.0305873281069253E-2</v>
      </c>
      <c r="L1226" s="842">
        <v>69</v>
      </c>
      <c r="M1226" s="843">
        <f t="shared" si="210"/>
        <v>1.7421602787457413E-3</v>
      </c>
      <c r="N1226" s="842">
        <v>72.97</v>
      </c>
      <c r="O1226" s="843">
        <f t="shared" si="211"/>
        <v>5.4847113670630776E-4</v>
      </c>
      <c r="P1226" s="844">
        <f t="shared" si="217"/>
        <v>1.0511503497129102E-3</v>
      </c>
      <c r="Q1226" s="830"/>
      <c r="R1226" s="845">
        <v>758.93</v>
      </c>
      <c r="S1226" s="846">
        <f t="shared" si="212"/>
        <v>1.3325944690731895E-3</v>
      </c>
      <c r="T1226" s="845">
        <v>55.68</v>
      </c>
      <c r="U1226" s="846">
        <f t="shared" si="213"/>
        <v>5.4171180931743557E-3</v>
      </c>
      <c r="V1226" s="845">
        <v>101.511</v>
      </c>
      <c r="W1226" s="846">
        <f t="shared" si="214"/>
        <v>1.1840742560786044E-2</v>
      </c>
      <c r="X1226" s="845">
        <v>21636.78</v>
      </c>
      <c r="Y1226" s="846">
        <f t="shared" si="215"/>
        <v>-4.0589885585289531E-2</v>
      </c>
      <c r="Z1226" s="845">
        <v>2541.4697000000001</v>
      </c>
      <c r="AA1226" s="846">
        <f t="shared" si="216"/>
        <v>-3.368640162502301E-2</v>
      </c>
    </row>
    <row r="1227" spans="1:27" ht="14.4" x14ac:dyDescent="0.55000000000000004">
      <c r="A1227" s="861" t="s">
        <v>6386</v>
      </c>
      <c r="B1227" s="842">
        <v>96.27</v>
      </c>
      <c r="C1227" s="843">
        <f t="shared" si="210"/>
        <v>6.6112956810631118E-2</v>
      </c>
      <c r="D1227" s="842">
        <v>32.76</v>
      </c>
      <c r="E1227" s="843">
        <f t="shared" si="210"/>
        <v>9.3823038397328862E-2</v>
      </c>
      <c r="F1227" s="842">
        <v>24.55</v>
      </c>
      <c r="G1227" s="843">
        <f t="shared" si="210"/>
        <v>7.5339465615418488E-2</v>
      </c>
      <c r="H1227" s="842">
        <v>62.37</v>
      </c>
      <c r="I1227" s="843">
        <f t="shared" si="210"/>
        <v>8.413001912045881E-2</v>
      </c>
      <c r="J1227" s="842">
        <v>77.81</v>
      </c>
      <c r="K1227" s="843">
        <f t="shared" si="210"/>
        <v>8.3101336302895401E-2</v>
      </c>
      <c r="L1227" s="842">
        <v>68.88</v>
      </c>
      <c r="M1227" s="843">
        <f t="shared" si="210"/>
        <v>0.12659470068694789</v>
      </c>
      <c r="N1227" s="842">
        <v>72.930000000000007</v>
      </c>
      <c r="O1227" s="843">
        <f t="shared" si="211"/>
        <v>7.2500000000000009E-2</v>
      </c>
      <c r="P1227" s="844">
        <f t="shared" si="217"/>
        <v>8.5943073847668652E-2</v>
      </c>
      <c r="Q1227" s="832"/>
      <c r="R1227" s="845">
        <v>757.92</v>
      </c>
      <c r="S1227" s="846">
        <f t="shared" si="212"/>
        <v>8.590750186257079E-2</v>
      </c>
      <c r="T1227" s="845">
        <v>55.38</v>
      </c>
      <c r="U1227" s="846">
        <f t="shared" si="213"/>
        <v>8.5243974132862999E-2</v>
      </c>
      <c r="V1227" s="845">
        <v>100.3231</v>
      </c>
      <c r="W1227" s="846">
        <f t="shared" si="214"/>
        <v>6.6113577119223166E-2</v>
      </c>
      <c r="X1227" s="845">
        <v>22552.17</v>
      </c>
      <c r="Y1227" s="846">
        <f t="shared" si="215"/>
        <v>6.3754006381909756E-2</v>
      </c>
      <c r="Z1227" s="845">
        <v>2630.0672</v>
      </c>
      <c r="AA1227" s="846">
        <f t="shared" si="216"/>
        <v>6.2413759352789144E-2</v>
      </c>
    </row>
    <row r="1228" spans="1:27" ht="14.4" x14ac:dyDescent="0.55000000000000004">
      <c r="A1228" s="861" t="s">
        <v>6387</v>
      </c>
      <c r="B1228" s="842">
        <v>90.3</v>
      </c>
      <c r="C1228" s="843">
        <f t="shared" si="210"/>
        <v>1.9302404334574863E-2</v>
      </c>
      <c r="D1228" s="842">
        <v>29.95</v>
      </c>
      <c r="E1228" s="843">
        <f t="shared" si="210"/>
        <v>6.3565340909090828E-2</v>
      </c>
      <c r="F1228" s="842">
        <v>22.83</v>
      </c>
      <c r="G1228" s="843">
        <f t="shared" si="210"/>
        <v>4.0565177757520443E-2</v>
      </c>
      <c r="H1228" s="842">
        <v>57.53</v>
      </c>
      <c r="I1228" s="843">
        <f t="shared" si="210"/>
        <v>2.2392038386351398E-2</v>
      </c>
      <c r="J1228" s="842">
        <v>71.84</v>
      </c>
      <c r="K1228" s="843">
        <f t="shared" si="210"/>
        <v>-4.0205185082489159E-3</v>
      </c>
      <c r="L1228" s="842">
        <v>61.14</v>
      </c>
      <c r="M1228" s="843">
        <f t="shared" si="210"/>
        <v>5.7419578000691862E-2</v>
      </c>
      <c r="N1228" s="842">
        <v>68</v>
      </c>
      <c r="O1228" s="843">
        <f t="shared" si="211"/>
        <v>1.1002081474873471E-2</v>
      </c>
      <c r="P1228" s="844">
        <f t="shared" si="217"/>
        <v>3.0032300336407709E-2</v>
      </c>
      <c r="Q1228" s="832"/>
      <c r="R1228" s="845">
        <v>697.96</v>
      </c>
      <c r="S1228" s="846">
        <f t="shared" si="212"/>
        <v>3.5717995518556478E-2</v>
      </c>
      <c r="T1228" s="845">
        <v>51.03</v>
      </c>
      <c r="U1228" s="846">
        <f t="shared" si="213"/>
        <v>2.5522508038585245E-2</v>
      </c>
      <c r="V1228" s="845">
        <v>94.101699999999994</v>
      </c>
      <c r="W1228" s="846">
        <f t="shared" si="214"/>
        <v>1.9302489067880346E-2</v>
      </c>
      <c r="X1228" s="845">
        <v>21200.55</v>
      </c>
      <c r="Y1228" s="846">
        <f t="shared" si="215"/>
        <v>2.393828323813052E-2</v>
      </c>
      <c r="Z1228" s="845">
        <v>2475.5583000000001</v>
      </c>
      <c r="AA1228" s="846">
        <f t="shared" si="216"/>
        <v>1.1534159833915592E-2</v>
      </c>
    </row>
    <row r="1229" spans="1:27" ht="14.4" x14ac:dyDescent="0.55000000000000004">
      <c r="A1229" s="861" t="s">
        <v>6388</v>
      </c>
      <c r="B1229" s="842">
        <v>88.59</v>
      </c>
      <c r="C1229" s="843">
        <f t="shared" si="210"/>
        <v>0.10049689440993803</v>
      </c>
      <c r="D1229" s="842">
        <v>28.16</v>
      </c>
      <c r="E1229" s="843">
        <f t="shared" si="210"/>
        <v>3.9881831610044438E-2</v>
      </c>
      <c r="F1229" s="842">
        <v>21.94</v>
      </c>
      <c r="G1229" s="843">
        <f t="shared" si="210"/>
        <v>5.1773729626078735E-2</v>
      </c>
      <c r="H1229" s="842">
        <v>56.27</v>
      </c>
      <c r="I1229" s="843">
        <f t="shared" si="210"/>
        <v>9.0081363812476001E-2</v>
      </c>
      <c r="J1229" s="842">
        <v>72.13</v>
      </c>
      <c r="K1229" s="843">
        <f t="shared" si="210"/>
        <v>6.6696243714877035E-2</v>
      </c>
      <c r="L1229" s="842">
        <v>57.82</v>
      </c>
      <c r="M1229" s="843">
        <f t="shared" si="210"/>
        <v>0.10533358822404892</v>
      </c>
      <c r="N1229" s="842">
        <v>67.260000000000005</v>
      </c>
      <c r="O1229" s="843">
        <f t="shared" si="211"/>
        <v>0.11616329239960188</v>
      </c>
      <c r="P1229" s="844">
        <f t="shared" si="217"/>
        <v>8.1489563399580717E-2</v>
      </c>
      <c r="Q1229" s="832"/>
      <c r="R1229" s="845">
        <v>673.89</v>
      </c>
      <c r="S1229" s="846">
        <f t="shared" si="212"/>
        <v>0.10312822275696121</v>
      </c>
      <c r="T1229" s="845">
        <v>49.76</v>
      </c>
      <c r="U1229" s="846">
        <f t="shared" si="213"/>
        <v>0.10750055642109935</v>
      </c>
      <c r="V1229" s="845">
        <v>92.319699999999997</v>
      </c>
      <c r="W1229" s="846">
        <f t="shared" si="214"/>
        <v>0.10049696563677513</v>
      </c>
      <c r="X1229" s="845">
        <v>20704.91</v>
      </c>
      <c r="Y1229" s="846">
        <f t="shared" si="215"/>
        <v>0.11365038487128554</v>
      </c>
      <c r="Z1229" s="845">
        <v>2447.3303999999998</v>
      </c>
      <c r="AA1229" s="846">
        <f t="shared" si="216"/>
        <v>9.383008474943666E-2</v>
      </c>
    </row>
    <row r="1230" spans="1:27" ht="14.4" x14ac:dyDescent="0.55000000000000004">
      <c r="A1230" s="861" t="s">
        <v>6389</v>
      </c>
      <c r="B1230" s="842">
        <v>80.5</v>
      </c>
      <c r="C1230" s="843">
        <f t="shared" si="210"/>
        <v>-6.6125290023201888E-2</v>
      </c>
      <c r="D1230" s="842">
        <v>27.08</v>
      </c>
      <c r="E1230" s="843">
        <f t="shared" si="210"/>
        <v>-0.13065810593900484</v>
      </c>
      <c r="F1230" s="842">
        <v>20.86</v>
      </c>
      <c r="G1230" s="843">
        <f t="shared" si="210"/>
        <v>-6.6666666666667096E-3</v>
      </c>
      <c r="H1230" s="842">
        <v>51.62</v>
      </c>
      <c r="I1230" s="843">
        <f t="shared" si="210"/>
        <v>-9.2315807983119447E-2</v>
      </c>
      <c r="J1230" s="842">
        <v>67.62</v>
      </c>
      <c r="K1230" s="843">
        <f t="shared" si="210"/>
        <v>-4.8565121412803558E-3</v>
      </c>
      <c r="L1230" s="842">
        <v>52.31</v>
      </c>
      <c r="M1230" s="843">
        <f t="shared" si="210"/>
        <v>-1.3205055649877284E-2</v>
      </c>
      <c r="N1230" s="842">
        <v>60.26</v>
      </c>
      <c r="O1230" s="843">
        <f t="shared" si="211"/>
        <v>-5.1023622047244088E-2</v>
      </c>
      <c r="P1230" s="844">
        <f t="shared" si="217"/>
        <v>-5.2121580064342088E-2</v>
      </c>
      <c r="Q1230" s="862"/>
      <c r="R1230" s="845">
        <v>610.89</v>
      </c>
      <c r="S1230" s="846">
        <f t="shared" si="212"/>
        <v>-5.4540108027796297E-2</v>
      </c>
      <c r="T1230" s="845">
        <v>44.93</v>
      </c>
      <c r="U1230" s="846">
        <f t="shared" si="213"/>
        <v>-6.0434964450020945E-2</v>
      </c>
      <c r="V1230" s="845">
        <v>83.889099999999999</v>
      </c>
      <c r="W1230" s="846">
        <f t="shared" si="214"/>
        <v>-6.6125565100841444E-2</v>
      </c>
      <c r="X1230" s="845">
        <v>18591.93</v>
      </c>
      <c r="Y1230" s="846">
        <f t="shared" si="215"/>
        <v>-3.0356243200420518E-2</v>
      </c>
      <c r="Z1230" s="845">
        <v>2237.3953999999999</v>
      </c>
      <c r="AA1230" s="846">
        <f t="shared" si="216"/>
        <v>-2.9294295849267904E-2</v>
      </c>
    </row>
    <row r="1231" spans="1:27" ht="14.4" x14ac:dyDescent="0.55000000000000004">
      <c r="A1231" s="861" t="s">
        <v>6390</v>
      </c>
      <c r="B1231" s="842">
        <v>86.2</v>
      </c>
      <c r="C1231" s="843">
        <f t="shared" si="210"/>
        <v>-0.1249619327987006</v>
      </c>
      <c r="D1231" s="842">
        <v>31.15</v>
      </c>
      <c r="E1231" s="843">
        <f t="shared" si="210"/>
        <v>6.4229586607447819E-2</v>
      </c>
      <c r="F1231" s="842">
        <v>21</v>
      </c>
      <c r="G1231" s="843">
        <f t="shared" si="210"/>
        <v>-0.10102739726027399</v>
      </c>
      <c r="H1231" s="842">
        <v>56.87</v>
      </c>
      <c r="I1231" s="843">
        <f t="shared" si="210"/>
        <v>-0.1926462237365133</v>
      </c>
      <c r="J1231" s="842">
        <v>67.95</v>
      </c>
      <c r="K1231" s="843">
        <f t="shared" si="210"/>
        <v>-0.10803360462063538</v>
      </c>
      <c r="L1231" s="842">
        <v>53.01</v>
      </c>
      <c r="M1231" s="843">
        <f t="shared" si="210"/>
        <v>-0.14251051439663542</v>
      </c>
      <c r="N1231" s="842">
        <v>63.5</v>
      </c>
      <c r="O1231" s="843">
        <f t="shared" si="211"/>
        <v>-0.14049810503519211</v>
      </c>
      <c r="P1231" s="844">
        <f t="shared" si="217"/>
        <v>-0.10649259874864328</v>
      </c>
      <c r="Q1231" s="862"/>
      <c r="R1231" s="845">
        <v>646.13</v>
      </c>
      <c r="S1231" s="846">
        <f t="shared" si="212"/>
        <v>-7.1545579951718508E-2</v>
      </c>
      <c r="T1231" s="845">
        <v>47.82</v>
      </c>
      <c r="U1231" s="846">
        <f t="shared" si="213"/>
        <v>-7.9322294955718076E-2</v>
      </c>
      <c r="V1231" s="845">
        <v>89.829099999999997</v>
      </c>
      <c r="W1231" s="846">
        <f t="shared" si="214"/>
        <v>-0.1249622530864799</v>
      </c>
      <c r="X1231" s="845">
        <v>19173.98</v>
      </c>
      <c r="Y1231" s="846">
        <f t="shared" si="215"/>
        <v>-4.5462307072318242E-2</v>
      </c>
      <c r="Z1231" s="845">
        <v>2304.9162999999999</v>
      </c>
      <c r="AA1231" s="846">
        <f t="shared" si="216"/>
        <v>-4.3359708234452676E-2</v>
      </c>
    </row>
    <row r="1232" spans="1:27" ht="14.4" x14ac:dyDescent="0.55000000000000004">
      <c r="A1232" s="861" t="s">
        <v>6391</v>
      </c>
      <c r="B1232" s="842">
        <v>98.51</v>
      </c>
      <c r="C1232" s="843">
        <f t="shared" si="210"/>
        <v>-6.9255479969765665E-2</v>
      </c>
      <c r="D1232" s="842">
        <v>29.27</v>
      </c>
      <c r="E1232" s="843">
        <f t="shared" si="210"/>
        <v>0.18935392117025596</v>
      </c>
      <c r="F1232" s="842">
        <v>23.36</v>
      </c>
      <c r="G1232" s="843">
        <f t="shared" si="210"/>
        <v>-1.0169491525423791E-2</v>
      </c>
      <c r="H1232" s="842">
        <v>70.44</v>
      </c>
      <c r="I1232" s="843">
        <f t="shared" si="210"/>
        <v>2.6373306134343633E-2</v>
      </c>
      <c r="J1232" s="842">
        <v>76.180000000000007</v>
      </c>
      <c r="K1232" s="843">
        <f t="shared" si="210"/>
        <v>5.5124653739612173E-2</v>
      </c>
      <c r="L1232" s="842">
        <v>61.82</v>
      </c>
      <c r="M1232" s="843">
        <f t="shared" si="210"/>
        <v>3.7944929482874423E-2</v>
      </c>
      <c r="N1232" s="842">
        <v>73.88</v>
      </c>
      <c r="O1232" s="843">
        <f t="shared" si="211"/>
        <v>-2.8916929547844417E-2</v>
      </c>
      <c r="P1232" s="844">
        <f t="shared" si="217"/>
        <v>2.8636415640578901E-2</v>
      </c>
      <c r="Q1232" s="862"/>
      <c r="R1232" s="845">
        <v>695.92</v>
      </c>
      <c r="S1232" s="846">
        <f t="shared" si="212"/>
        <v>-5.6059681247880744E-2</v>
      </c>
      <c r="T1232" s="845">
        <v>51.94</v>
      </c>
      <c r="U1232" s="846">
        <f t="shared" si="213"/>
        <v>-5.820489573889398E-2</v>
      </c>
      <c r="V1232" s="845">
        <v>102.6574</v>
      </c>
      <c r="W1232" s="846">
        <f t="shared" si="214"/>
        <v>-6.9255458040182849E-2</v>
      </c>
      <c r="X1232" s="845">
        <v>20087.189999999999</v>
      </c>
      <c r="Y1232" s="846">
        <f t="shared" si="215"/>
        <v>9.4613174986382109E-3</v>
      </c>
      <c r="Z1232" s="845">
        <v>2409.3865999999998</v>
      </c>
      <c r="AA1232" s="846">
        <f t="shared" si="216"/>
        <v>4.7084869691575992E-3</v>
      </c>
    </row>
    <row r="1233" spans="1:27" ht="14.4" x14ac:dyDescent="0.55000000000000004">
      <c r="A1233" s="861" t="s">
        <v>6392</v>
      </c>
      <c r="B1233" s="842">
        <v>105.84</v>
      </c>
      <c r="C1233" s="843">
        <f t="shared" si="210"/>
        <v>-2.0815986677768517E-2</v>
      </c>
      <c r="D1233" s="842">
        <v>24.61</v>
      </c>
      <c r="E1233" s="843">
        <f t="shared" si="210"/>
        <v>-0.21172325432415118</v>
      </c>
      <c r="F1233" s="842">
        <v>23.6</v>
      </c>
      <c r="G1233" s="843">
        <f t="shared" si="210"/>
        <v>-3.9479039479039413E-2</v>
      </c>
      <c r="H1233" s="842">
        <v>68.63</v>
      </c>
      <c r="I1233" s="843">
        <f t="shared" si="210"/>
        <v>3.2185291021206153E-2</v>
      </c>
      <c r="J1233" s="842">
        <v>72.2</v>
      </c>
      <c r="K1233" s="843">
        <f t="shared" si="210"/>
        <v>-0.14798206278026893</v>
      </c>
      <c r="L1233" s="842">
        <v>59.56</v>
      </c>
      <c r="M1233" s="843">
        <f t="shared" si="210"/>
        <v>2.5248274701230589E-3</v>
      </c>
      <c r="N1233" s="842">
        <v>76.08</v>
      </c>
      <c r="O1233" s="843">
        <f t="shared" si="211"/>
        <v>-1.9208456877658819E-2</v>
      </c>
      <c r="P1233" s="844">
        <f t="shared" si="217"/>
        <v>-5.7785525949651091E-2</v>
      </c>
      <c r="Q1233" s="863"/>
      <c r="R1233" s="845">
        <v>737.25</v>
      </c>
      <c r="S1233" s="846">
        <f t="shared" si="212"/>
        <v>-4.2146838337512538E-2</v>
      </c>
      <c r="T1233" s="845">
        <v>55.15</v>
      </c>
      <c r="U1233" s="846">
        <f t="shared" si="213"/>
        <v>-4.3531044051335344E-2</v>
      </c>
      <c r="V1233" s="845">
        <v>110.29600000000001</v>
      </c>
      <c r="W1233" s="846">
        <f t="shared" si="214"/>
        <v>-2.0815744220339494E-2</v>
      </c>
      <c r="X1233" s="845">
        <v>19898.919999999998</v>
      </c>
      <c r="Y1233" s="846">
        <f t="shared" si="215"/>
        <v>-6.3023781652915889E-2</v>
      </c>
      <c r="Z1233" s="845">
        <v>2398.0952000000002</v>
      </c>
      <c r="AA1233" s="846">
        <f t="shared" si="216"/>
        <v>-5.1834295682000153E-2</v>
      </c>
    </row>
    <row r="1234" spans="1:27" ht="14.4" x14ac:dyDescent="0.55000000000000004">
      <c r="A1234" s="861" t="s">
        <v>6393</v>
      </c>
      <c r="B1234" s="842">
        <v>108.09</v>
      </c>
      <c r="C1234" s="843">
        <f t="shared" si="210"/>
        <v>0.15382152006831773</v>
      </c>
      <c r="D1234" s="842">
        <v>31.22</v>
      </c>
      <c r="E1234" s="843">
        <f t="shared" si="210"/>
        <v>0.16666666666666652</v>
      </c>
      <c r="F1234" s="842">
        <v>24.57</v>
      </c>
      <c r="G1234" s="843">
        <f t="shared" si="210"/>
        <v>0.17335243553008595</v>
      </c>
      <c r="H1234" s="842">
        <v>66.489999999999995</v>
      </c>
      <c r="I1234" s="843">
        <f t="shared" si="210"/>
        <v>0.28756777691711832</v>
      </c>
      <c r="J1234" s="842">
        <v>84.74</v>
      </c>
      <c r="K1234" s="843">
        <f t="shared" si="210"/>
        <v>0.22156551823554826</v>
      </c>
      <c r="L1234" s="842">
        <v>59.41</v>
      </c>
      <c r="M1234" s="843">
        <f t="shared" si="210"/>
        <v>0.13659843122249837</v>
      </c>
      <c r="N1234" s="842">
        <v>77.569999999999993</v>
      </c>
      <c r="O1234" s="843">
        <f t="shared" si="211"/>
        <v>0.22815072830905625</v>
      </c>
      <c r="P1234" s="844">
        <f t="shared" si="217"/>
        <v>0.19538901099275591</v>
      </c>
      <c r="Q1234" s="863"/>
      <c r="R1234" s="845">
        <v>769.69</v>
      </c>
      <c r="S1234" s="846">
        <f t="shared" si="212"/>
        <v>0.1351857587422387</v>
      </c>
      <c r="T1234" s="845">
        <v>57.66</v>
      </c>
      <c r="U1234" s="846">
        <f t="shared" si="213"/>
        <v>0.1279342723004695</v>
      </c>
      <c r="V1234" s="845">
        <v>112.6407</v>
      </c>
      <c r="W1234" s="846">
        <f t="shared" si="214"/>
        <v>0.1538218061132508</v>
      </c>
      <c r="X1234" s="845">
        <v>21237.38</v>
      </c>
      <c r="Y1234" s="846">
        <f t="shared" si="215"/>
        <v>5.1953288304442458E-2</v>
      </c>
      <c r="Z1234" s="845">
        <v>2529.1941999999999</v>
      </c>
      <c r="AA1234" s="846">
        <f t="shared" si="216"/>
        <v>5.9954849977195357E-2</v>
      </c>
    </row>
    <row r="1235" spans="1:27" ht="14.4" x14ac:dyDescent="0.55000000000000004">
      <c r="A1235" s="861" t="s">
        <v>6394</v>
      </c>
      <c r="B1235" s="842">
        <v>93.68</v>
      </c>
      <c r="C1235" s="843">
        <f t="shared" si="210"/>
        <v>-6.943478692758509E-2</v>
      </c>
      <c r="D1235" s="842">
        <v>26.76</v>
      </c>
      <c r="E1235" s="843">
        <f t="shared" si="210"/>
        <v>-0.18909090909090909</v>
      </c>
      <c r="F1235" s="842">
        <v>20.94</v>
      </c>
      <c r="G1235" s="843">
        <f t="shared" si="210"/>
        <v>-0.16838760921366158</v>
      </c>
      <c r="H1235" s="842">
        <v>51.64</v>
      </c>
      <c r="I1235" s="843">
        <f t="shared" si="210"/>
        <v>-0.11179910560715511</v>
      </c>
      <c r="J1235" s="842">
        <v>69.37</v>
      </c>
      <c r="K1235" s="843">
        <f t="shared" si="210"/>
        <v>-0.12167637376551022</v>
      </c>
      <c r="L1235" s="842">
        <v>52.27</v>
      </c>
      <c r="M1235" s="843">
        <f t="shared" si="210"/>
        <v>-0.10511898647491857</v>
      </c>
      <c r="N1235" s="842">
        <v>63.16</v>
      </c>
      <c r="O1235" s="843">
        <f t="shared" si="211"/>
        <v>-5.1936355448814253E-2</v>
      </c>
      <c r="P1235" s="844">
        <f t="shared" si="217"/>
        <v>-0.11677773236122199</v>
      </c>
      <c r="Q1235" s="832"/>
      <c r="R1235" s="845">
        <v>678.03</v>
      </c>
      <c r="S1235" s="846">
        <f t="shared" si="212"/>
        <v>-0.11089693154996072</v>
      </c>
      <c r="T1235" s="845">
        <v>51.12</v>
      </c>
      <c r="U1235" s="846">
        <f t="shared" si="213"/>
        <v>-0.11357724986994977</v>
      </c>
      <c r="V1235" s="845">
        <v>97.623999999999995</v>
      </c>
      <c r="W1235" s="846">
        <f t="shared" si="214"/>
        <v>-6.9434925549265447E-2</v>
      </c>
      <c r="X1235" s="845">
        <v>20188.52</v>
      </c>
      <c r="Y1235" s="846">
        <f t="shared" si="215"/>
        <v>-0.12926546713005727</v>
      </c>
      <c r="Z1235" s="845">
        <v>2386.1338999999998</v>
      </c>
      <c r="AA1235" s="846">
        <f t="shared" si="216"/>
        <v>-0.11983961618603056</v>
      </c>
    </row>
    <row r="1236" spans="1:27" ht="14.4" x14ac:dyDescent="0.55000000000000004">
      <c r="A1236" s="861" t="s">
        <v>6395</v>
      </c>
      <c r="B1236" s="842">
        <v>100.67</v>
      </c>
      <c r="C1236" s="843">
        <f t="shared" si="210"/>
        <v>6.3265737220109752E-2</v>
      </c>
      <c r="D1236" s="842">
        <v>33</v>
      </c>
      <c r="E1236" s="843">
        <f t="shared" si="210"/>
        <v>0.10924369747899165</v>
      </c>
      <c r="F1236" s="842">
        <v>25.18</v>
      </c>
      <c r="G1236" s="843">
        <f t="shared" si="210"/>
        <v>4.8293089092422914E-2</v>
      </c>
      <c r="H1236" s="842">
        <v>58.14</v>
      </c>
      <c r="I1236" s="843">
        <f t="shared" si="210"/>
        <v>9.2241217358632444E-2</v>
      </c>
      <c r="J1236" s="842">
        <v>78.98</v>
      </c>
      <c r="K1236" s="843">
        <f t="shared" si="210"/>
        <v>0.11192453892721388</v>
      </c>
      <c r="L1236" s="842">
        <v>58.41</v>
      </c>
      <c r="M1236" s="843">
        <f t="shared" si="210"/>
        <v>0.10750853242320813</v>
      </c>
      <c r="N1236" s="842">
        <v>66.62</v>
      </c>
      <c r="O1236" s="843">
        <f t="shared" si="211"/>
        <v>4.4364320426399262E-2</v>
      </c>
      <c r="P1236" s="844">
        <f t="shared" si="217"/>
        <v>8.2405876132425435E-2</v>
      </c>
      <c r="R1236" s="845">
        <v>762.6</v>
      </c>
      <c r="S1236" s="846">
        <f t="shared" si="212"/>
        <v>5.3489528651157636E-2</v>
      </c>
      <c r="T1236" s="845">
        <v>57.67</v>
      </c>
      <c r="U1236" s="846">
        <f t="shared" si="213"/>
        <v>5.4488937648564661E-2</v>
      </c>
      <c r="V1236" s="845">
        <v>104.9083</v>
      </c>
      <c r="W1236" s="846">
        <f t="shared" si="214"/>
        <v>6.3265903892015585E-2</v>
      </c>
      <c r="X1236" s="845">
        <v>23185.62</v>
      </c>
      <c r="Y1236" s="846">
        <f t="shared" si="215"/>
        <v>9.362933725523126E-2</v>
      </c>
      <c r="Z1236" s="845">
        <v>2711.0216999999998</v>
      </c>
      <c r="AA1236" s="846">
        <f t="shared" si="216"/>
        <v>9.2871395221178821E-2</v>
      </c>
    </row>
    <row r="1237" spans="1:27" ht="14.4" x14ac:dyDescent="0.55000000000000004">
      <c r="A1237" s="861" t="s">
        <v>6396</v>
      </c>
      <c r="B1237" s="842">
        <v>94.68</v>
      </c>
      <c r="C1237" s="843">
        <f t="shared" si="210"/>
        <v>-7.9436071949440801E-2</v>
      </c>
      <c r="D1237" s="842">
        <v>29.75</v>
      </c>
      <c r="E1237" s="843">
        <f t="shared" si="210"/>
        <v>-0.1033755274261603</v>
      </c>
      <c r="F1237" s="842">
        <v>24.02</v>
      </c>
      <c r="G1237" s="843">
        <f t="shared" si="210"/>
        <v>-0.11365313653136533</v>
      </c>
      <c r="H1237" s="842">
        <v>53.23</v>
      </c>
      <c r="I1237" s="843">
        <f t="shared" si="210"/>
        <v>-0.15775316455696209</v>
      </c>
      <c r="J1237" s="842">
        <v>71.03</v>
      </c>
      <c r="K1237" s="843">
        <f t="shared" si="210"/>
        <v>-0.11345481777333999</v>
      </c>
      <c r="L1237" s="842">
        <v>52.74</v>
      </c>
      <c r="M1237" s="843">
        <f t="shared" si="210"/>
        <v>-0.14839334732762788</v>
      </c>
      <c r="N1237" s="842">
        <v>63.79</v>
      </c>
      <c r="O1237" s="843">
        <f t="shared" si="211"/>
        <v>-0.13422909880564615</v>
      </c>
      <c r="P1237" s="844">
        <f t="shared" si="217"/>
        <v>-0.12147073776722037</v>
      </c>
      <c r="R1237" s="845">
        <v>723.88</v>
      </c>
      <c r="S1237" s="846">
        <f t="shared" si="212"/>
        <v>-0.10900497267490528</v>
      </c>
      <c r="T1237" s="845">
        <v>54.69</v>
      </c>
      <c r="U1237" s="846">
        <f t="shared" si="213"/>
        <v>-0.10093703764589845</v>
      </c>
      <c r="V1237" s="845">
        <v>98.6661</v>
      </c>
      <c r="W1237" s="846">
        <f t="shared" si="214"/>
        <v>-7.9436387911561934E-2</v>
      </c>
      <c r="X1237" s="845">
        <v>21200.62</v>
      </c>
      <c r="Y1237" s="846">
        <f t="shared" si="215"/>
        <v>-9.9884431937544038E-2</v>
      </c>
      <c r="Z1237" s="845">
        <v>2480.6410999999998</v>
      </c>
      <c r="AA1237" s="846">
        <f t="shared" si="216"/>
        <v>-9.5113467520561601E-2</v>
      </c>
    </row>
    <row r="1238" spans="1:27" ht="14.4" x14ac:dyDescent="0.55000000000000004">
      <c r="A1238" s="861" t="s">
        <v>6397</v>
      </c>
      <c r="B1238" s="842">
        <v>102.85</v>
      </c>
      <c r="C1238" s="843">
        <f t="shared" si="210"/>
        <v>-2.447121312719347E-2</v>
      </c>
      <c r="D1238" s="842">
        <v>33.18</v>
      </c>
      <c r="E1238" s="843">
        <f t="shared" si="210"/>
        <v>-7.0588235294117729E-2</v>
      </c>
      <c r="F1238" s="842">
        <v>27.1</v>
      </c>
      <c r="G1238" s="843">
        <f t="shared" si="210"/>
        <v>-4.9789621318373056E-2</v>
      </c>
      <c r="H1238" s="842">
        <v>63.2</v>
      </c>
      <c r="I1238" s="843">
        <f t="shared" si="210"/>
        <v>-6.1060763630961246E-2</v>
      </c>
      <c r="J1238" s="842">
        <v>80.12</v>
      </c>
      <c r="K1238" s="843">
        <f t="shared" si="210"/>
        <v>-5.250709555345312E-2</v>
      </c>
      <c r="L1238" s="842">
        <v>61.93</v>
      </c>
      <c r="M1238" s="843">
        <f t="shared" si="210"/>
        <v>-0.1063492063492063</v>
      </c>
      <c r="N1238" s="842">
        <v>73.680000000000007</v>
      </c>
      <c r="O1238" s="843">
        <f t="shared" si="211"/>
        <v>-4.3116883116882998E-2</v>
      </c>
      <c r="P1238" s="844">
        <f t="shared" si="217"/>
        <v>-5.8269002627169705E-2</v>
      </c>
      <c r="R1238" s="845">
        <v>812.44</v>
      </c>
      <c r="S1238" s="846">
        <f t="shared" si="212"/>
        <v>-5.5335279001895166E-2</v>
      </c>
      <c r="T1238" s="845">
        <v>60.83</v>
      </c>
      <c r="U1238" s="846">
        <f t="shared" si="213"/>
        <v>-5.0273224043715814E-2</v>
      </c>
      <c r="V1238" s="845">
        <v>107.1801</v>
      </c>
      <c r="W1238" s="846">
        <f t="shared" si="214"/>
        <v>-2.4471027690324942E-2</v>
      </c>
      <c r="X1238" s="845">
        <v>23553.22</v>
      </c>
      <c r="Y1238" s="846">
        <f t="shared" si="215"/>
        <v>-5.8555065600347844E-2</v>
      </c>
      <c r="Z1238" s="845">
        <v>2741.3836000000001</v>
      </c>
      <c r="AA1238" s="846">
        <f t="shared" si="216"/>
        <v>-4.8865676887530074E-2</v>
      </c>
    </row>
    <row r="1239" spans="1:27" ht="14.4" x14ac:dyDescent="0.55000000000000004">
      <c r="A1239" s="861" t="s">
        <v>6398</v>
      </c>
      <c r="B1239" s="842">
        <v>105.43</v>
      </c>
      <c r="C1239" s="843">
        <f t="shared" si="210"/>
        <v>2.8536098164178014E-3</v>
      </c>
      <c r="D1239" s="842">
        <v>35.700000000000003</v>
      </c>
      <c r="E1239" s="843">
        <f t="shared" si="210"/>
        <v>2.0291511860531575E-2</v>
      </c>
      <c r="F1239" s="842">
        <v>28.52</v>
      </c>
      <c r="G1239" s="843">
        <f t="shared" si="210"/>
        <v>2.9974720115565123E-2</v>
      </c>
      <c r="H1239" s="842">
        <v>67.31</v>
      </c>
      <c r="I1239" s="843">
        <f t="shared" si="210"/>
        <v>2.5754343188052475E-2</v>
      </c>
      <c r="J1239" s="842">
        <v>84.56</v>
      </c>
      <c r="K1239" s="843">
        <f t="shared" si="210"/>
        <v>1.5369836695485084E-2</v>
      </c>
      <c r="L1239" s="842">
        <v>69.3</v>
      </c>
      <c r="M1239" s="843">
        <f t="shared" si="210"/>
        <v>5.1114818747155955E-2</v>
      </c>
      <c r="N1239" s="842">
        <v>77</v>
      </c>
      <c r="O1239" s="843">
        <f t="shared" si="211"/>
        <v>2.5980774227063463E-4</v>
      </c>
      <c r="P1239" s="844">
        <f t="shared" si="217"/>
        <v>2.0802664023639807E-2</v>
      </c>
      <c r="R1239" s="845">
        <v>860.03</v>
      </c>
      <c r="S1239" s="846">
        <f t="shared" si="212"/>
        <v>8.4779549718574376E-3</v>
      </c>
      <c r="T1239" s="845">
        <v>64.05</v>
      </c>
      <c r="U1239" s="846">
        <f t="shared" si="213"/>
        <v>9.297195083517007E-3</v>
      </c>
      <c r="V1239" s="845">
        <v>109.8687</v>
      </c>
      <c r="W1239" s="846">
        <f t="shared" si="214"/>
        <v>2.8533326761357447E-3</v>
      </c>
      <c r="X1239" s="845">
        <v>25018.16</v>
      </c>
      <c r="Y1239" s="846">
        <f t="shared" si="215"/>
        <v>4.8934594830745137E-2</v>
      </c>
      <c r="Z1239" s="845">
        <v>2882.2255</v>
      </c>
      <c r="AA1239" s="846">
        <f t="shared" si="216"/>
        <v>4.939485019731582E-2</v>
      </c>
    </row>
    <row r="1240" spans="1:27" ht="14.4" x14ac:dyDescent="0.55000000000000004">
      <c r="A1240" s="861" t="s">
        <v>6399</v>
      </c>
      <c r="B1240" s="842">
        <v>105.13</v>
      </c>
      <c r="C1240" s="843">
        <f t="shared" si="210"/>
        <v>-5.5011235955056192E-2</v>
      </c>
      <c r="D1240" s="842">
        <v>34.99</v>
      </c>
      <c r="E1240" s="843">
        <f t="shared" si="210"/>
        <v>-8.0178759200841165E-2</v>
      </c>
      <c r="F1240" s="842">
        <v>27.69</v>
      </c>
      <c r="G1240" s="843">
        <f t="shared" si="210"/>
        <v>-6.0081466395112026E-2</v>
      </c>
      <c r="H1240" s="842">
        <v>65.62</v>
      </c>
      <c r="I1240" s="843">
        <f t="shared" si="210"/>
        <v>-5.1871116890622626E-2</v>
      </c>
      <c r="J1240" s="842">
        <v>83.28</v>
      </c>
      <c r="K1240" s="843">
        <f t="shared" si="210"/>
        <v>-5.5032338590718211E-2</v>
      </c>
      <c r="L1240" s="842">
        <v>65.930000000000007</v>
      </c>
      <c r="M1240" s="843">
        <f t="shared" si="210"/>
        <v>-6.1895276038702263E-2</v>
      </c>
      <c r="N1240" s="842">
        <v>76.98</v>
      </c>
      <c r="O1240" s="843">
        <f t="shared" si="211"/>
        <v>-5.3718500307313954E-2</v>
      </c>
      <c r="P1240" s="844">
        <f t="shared" si="217"/>
        <v>-5.968409905405235E-2</v>
      </c>
      <c r="R1240" s="845">
        <v>852.8</v>
      </c>
      <c r="S1240" s="846">
        <f t="shared" si="212"/>
        <v>-5.4230897194188832E-2</v>
      </c>
      <c r="T1240" s="845">
        <v>63.46</v>
      </c>
      <c r="U1240" s="846">
        <f t="shared" si="213"/>
        <v>-5.4388317687378951E-2</v>
      </c>
      <c r="V1240" s="845">
        <v>109.5561</v>
      </c>
      <c r="W1240" s="846">
        <f t="shared" si="214"/>
        <v>-5.5010751834884908E-2</v>
      </c>
      <c r="X1240" s="845">
        <v>23851.02</v>
      </c>
      <c r="Y1240" s="846">
        <f t="shared" si="215"/>
        <v>-7.7857225153277865E-2</v>
      </c>
      <c r="Z1240" s="845">
        <v>2746.5596</v>
      </c>
      <c r="AA1240" s="846">
        <f t="shared" si="216"/>
        <v>-7.5970405991255707E-2</v>
      </c>
    </row>
    <row r="1241" spans="1:27" ht="14.4" x14ac:dyDescent="0.55000000000000004">
      <c r="A1241" s="861" t="s">
        <v>6400</v>
      </c>
      <c r="B1241" s="842">
        <v>111.25</v>
      </c>
      <c r="C1241" s="843">
        <f t="shared" si="210"/>
        <v>1.0798164312066927E-3</v>
      </c>
      <c r="D1241" s="842">
        <v>38.04</v>
      </c>
      <c r="E1241" s="843">
        <f t="shared" si="210"/>
        <v>7.4152542372880603E-3</v>
      </c>
      <c r="F1241" s="842">
        <v>29.46</v>
      </c>
      <c r="G1241" s="843">
        <f t="shared" si="210"/>
        <v>-5.7374282821464062E-3</v>
      </c>
      <c r="H1241" s="842">
        <v>69.209999999999994</v>
      </c>
      <c r="I1241" s="843">
        <f t="shared" si="210"/>
        <v>9.7753136854390466E-3</v>
      </c>
      <c r="J1241" s="842">
        <v>88.13</v>
      </c>
      <c r="K1241" s="843">
        <f t="shared" si="210"/>
        <v>1.1709333027206892E-2</v>
      </c>
      <c r="L1241" s="842">
        <v>70.28</v>
      </c>
      <c r="M1241" s="843">
        <f t="shared" si="210"/>
        <v>-1.4582164890633686E-2</v>
      </c>
      <c r="N1241" s="842">
        <v>81.349999999999994</v>
      </c>
      <c r="O1241" s="843">
        <f t="shared" si="211"/>
        <v>1.8657650889055688E-2</v>
      </c>
      <c r="P1241" s="844">
        <f t="shared" si="217"/>
        <v>4.0453964424880407E-3</v>
      </c>
      <c r="R1241" s="845">
        <v>901.7</v>
      </c>
      <c r="S1241" s="846">
        <f t="shared" si="212"/>
        <v>-7.0914176228333847E-3</v>
      </c>
      <c r="T1241" s="845">
        <v>67.11</v>
      </c>
      <c r="U1241" s="846">
        <f t="shared" si="213"/>
        <v>-8.1288796925804707E-3</v>
      </c>
      <c r="V1241" s="845">
        <v>115.9337</v>
      </c>
      <c r="W1241" s="846">
        <f t="shared" si="214"/>
        <v>1.0793662306891605E-3</v>
      </c>
      <c r="X1241" s="845">
        <v>25864.78</v>
      </c>
      <c r="Y1241" s="846">
        <f t="shared" si="215"/>
        <v>-9.8195800512073106E-3</v>
      </c>
      <c r="Z1241" s="845">
        <v>2972.3719000000001</v>
      </c>
      <c r="AA1241" s="846">
        <f t="shared" si="216"/>
        <v>-1.7053378996933266E-2</v>
      </c>
    </row>
    <row r="1242" spans="1:27" ht="14.4" x14ac:dyDescent="0.55000000000000004">
      <c r="A1242" s="861" t="s">
        <v>6401</v>
      </c>
      <c r="B1242" s="842">
        <v>111.13</v>
      </c>
      <c r="C1242" s="843">
        <f t="shared" si="210"/>
        <v>-1.5677590788308327E-2</v>
      </c>
      <c r="D1242" s="842">
        <v>37.76</v>
      </c>
      <c r="E1242" s="843">
        <f t="shared" si="210"/>
        <v>-2.6553235369940698E-2</v>
      </c>
      <c r="F1242" s="842">
        <v>29.63</v>
      </c>
      <c r="G1242" s="843">
        <f t="shared" si="210"/>
        <v>-7.7026121902210587E-3</v>
      </c>
      <c r="H1242" s="842">
        <v>68.540000000000006</v>
      </c>
      <c r="I1242" s="843">
        <f t="shared" si="210"/>
        <v>-6.090487238978981E-3</v>
      </c>
      <c r="J1242" s="842">
        <v>87.11</v>
      </c>
      <c r="K1242" s="843">
        <f t="shared" si="210"/>
        <v>-2.3101940114388264E-2</v>
      </c>
      <c r="L1242" s="842">
        <v>71.319999999999993</v>
      </c>
      <c r="M1242" s="843">
        <f t="shared" si="210"/>
        <v>1.062774550092116E-2</v>
      </c>
      <c r="N1242" s="842">
        <v>79.86</v>
      </c>
      <c r="O1242" s="843">
        <f t="shared" si="211"/>
        <v>-1.6986706056129952E-2</v>
      </c>
      <c r="P1242" s="844">
        <f t="shared" si="217"/>
        <v>-1.2212118036720874E-2</v>
      </c>
      <c r="R1242" s="845">
        <v>908.14</v>
      </c>
      <c r="S1242" s="846">
        <f t="shared" si="212"/>
        <v>-1.9435506510894651E-2</v>
      </c>
      <c r="T1242" s="845">
        <v>67.66</v>
      </c>
      <c r="U1242" s="846">
        <f t="shared" si="213"/>
        <v>-1.5424912689173453E-2</v>
      </c>
      <c r="V1242" s="845">
        <v>115.8087</v>
      </c>
      <c r="W1242" s="846">
        <f t="shared" si="214"/>
        <v>-1.5677431638068451E-2</v>
      </c>
      <c r="X1242" s="845">
        <v>26121.279999999999</v>
      </c>
      <c r="Y1242" s="846">
        <f t="shared" si="215"/>
        <v>-3.5789930626048849E-2</v>
      </c>
      <c r="Z1242" s="845">
        <v>3023.9403000000002</v>
      </c>
      <c r="AA1242" s="846">
        <f t="shared" si="216"/>
        <v>-3.3920969533118628E-2</v>
      </c>
    </row>
    <row r="1243" spans="1:27" ht="14.4" x14ac:dyDescent="0.55000000000000004">
      <c r="A1243" s="861" t="s">
        <v>6402</v>
      </c>
      <c r="B1243" s="842">
        <v>112.9</v>
      </c>
      <c r="C1243" s="843">
        <f t="shared" si="210"/>
        <v>5.9695888868030789E-2</v>
      </c>
      <c r="D1243" s="842">
        <v>38.79</v>
      </c>
      <c r="E1243" s="843">
        <f t="shared" si="210"/>
        <v>4.6116504854369023E-2</v>
      </c>
      <c r="F1243" s="842">
        <v>29.86</v>
      </c>
      <c r="G1243" s="843">
        <f t="shared" si="210"/>
        <v>5.2149400986610361E-2</v>
      </c>
      <c r="H1243" s="842">
        <v>68.959999999999994</v>
      </c>
      <c r="I1243" s="843">
        <f t="shared" si="210"/>
        <v>6.0596739464779947E-2</v>
      </c>
      <c r="J1243" s="842">
        <v>89.17</v>
      </c>
      <c r="K1243" s="843">
        <f t="shared" si="210"/>
        <v>4.3656367041198463E-2</v>
      </c>
      <c r="L1243" s="842">
        <v>70.569999999999993</v>
      </c>
      <c r="M1243" s="843">
        <f t="shared" si="210"/>
        <v>4.7032640949554727E-2</v>
      </c>
      <c r="N1243" s="842">
        <v>81.239999999999995</v>
      </c>
      <c r="O1243" s="843">
        <f t="shared" si="211"/>
        <v>4.3411250963267367E-2</v>
      </c>
      <c r="P1243" s="844">
        <f t="shared" si="217"/>
        <v>5.0379827589687239E-2</v>
      </c>
      <c r="R1243" s="845">
        <v>926.14</v>
      </c>
      <c r="S1243" s="846">
        <f t="shared" si="212"/>
        <v>5.5730977486463384E-2</v>
      </c>
      <c r="T1243" s="845">
        <v>68.72</v>
      </c>
      <c r="U1243" s="846">
        <f t="shared" si="213"/>
        <v>5.6743041673073868E-2</v>
      </c>
      <c r="V1243" s="845">
        <v>117.6532</v>
      </c>
      <c r="W1243" s="846">
        <f t="shared" si="214"/>
        <v>5.9696249687008596E-2</v>
      </c>
      <c r="X1243" s="845">
        <v>27090.86</v>
      </c>
      <c r="Y1243" s="846">
        <f t="shared" si="215"/>
        <v>4.527651489867246E-2</v>
      </c>
      <c r="Z1243" s="845">
        <v>3130.1169</v>
      </c>
      <c r="AA1243" s="846">
        <f t="shared" si="216"/>
        <v>4.2203225901398911E-2</v>
      </c>
    </row>
    <row r="1244" spans="1:27" ht="14.4" x14ac:dyDescent="0.55000000000000004">
      <c r="A1244" s="861" t="s">
        <v>6403</v>
      </c>
      <c r="B1244" s="842">
        <v>106.54</v>
      </c>
      <c r="C1244" s="843">
        <f t="shared" si="210"/>
        <v>-1.2512744461951941E-2</v>
      </c>
      <c r="D1244" s="842">
        <v>37.08</v>
      </c>
      <c r="E1244" s="843">
        <f t="shared" si="210"/>
        <v>-1.4354066985645897E-2</v>
      </c>
      <c r="F1244" s="842">
        <v>28.38</v>
      </c>
      <c r="G1244" s="843">
        <f t="shared" si="210"/>
        <v>-6.302521008403339E-3</v>
      </c>
      <c r="H1244" s="842">
        <v>65.02</v>
      </c>
      <c r="I1244" s="843">
        <f t="shared" si="210"/>
        <v>-1.8862230270107139E-2</v>
      </c>
      <c r="J1244" s="842">
        <v>85.44</v>
      </c>
      <c r="K1244" s="843">
        <f t="shared" si="210"/>
        <v>-1.3280979327866982E-2</v>
      </c>
      <c r="L1244" s="842">
        <v>67.400000000000006</v>
      </c>
      <c r="M1244" s="843">
        <f t="shared" si="210"/>
        <v>-1.562728202132313E-2</v>
      </c>
      <c r="N1244" s="842">
        <v>77.86</v>
      </c>
      <c r="O1244" s="843">
        <f t="shared" si="211"/>
        <v>-2.0875251509054338E-2</v>
      </c>
      <c r="P1244" s="844">
        <f t="shared" si="217"/>
        <v>-1.4545010797764681E-2</v>
      </c>
      <c r="R1244" s="845">
        <v>877.25</v>
      </c>
      <c r="S1244" s="846">
        <f t="shared" si="212"/>
        <v>-1.0456616883995795E-2</v>
      </c>
      <c r="T1244" s="845">
        <v>65.03</v>
      </c>
      <c r="U1244" s="846">
        <f t="shared" si="213"/>
        <v>-1.230255164034022E-2</v>
      </c>
      <c r="V1244" s="845">
        <v>111.0254</v>
      </c>
      <c r="W1244" s="846">
        <f t="shared" si="214"/>
        <v>-1.251330800846373E-2</v>
      </c>
      <c r="X1244" s="845">
        <v>25917.41</v>
      </c>
      <c r="Y1244" s="846">
        <f t="shared" si="215"/>
        <v>-2.9431171854286231E-2</v>
      </c>
      <c r="Z1244" s="845">
        <v>3003.3652000000002</v>
      </c>
      <c r="AA1244" s="846">
        <f t="shared" si="216"/>
        <v>-2.8110374079260314E-2</v>
      </c>
    </row>
    <row r="1245" spans="1:27" ht="14.4" x14ac:dyDescent="0.55000000000000004">
      <c r="A1245" s="861" t="s">
        <v>6404</v>
      </c>
      <c r="B1245" s="842">
        <v>107.89</v>
      </c>
      <c r="C1245" s="843">
        <f t="shared" si="210"/>
        <v>4.4939467312348658E-2</v>
      </c>
      <c r="D1245" s="842">
        <v>37.619999999999997</v>
      </c>
      <c r="E1245" s="843">
        <f t="shared" si="210"/>
        <v>6.5420560747663448E-2</v>
      </c>
      <c r="F1245" s="842">
        <v>28.56</v>
      </c>
      <c r="G1245" s="843">
        <f t="shared" si="210"/>
        <v>5.6994818652849721E-2</v>
      </c>
      <c r="H1245" s="842">
        <v>66.27</v>
      </c>
      <c r="I1245" s="843">
        <f t="shared" si="210"/>
        <v>7.6022502660788582E-3</v>
      </c>
      <c r="J1245" s="842">
        <v>86.59</v>
      </c>
      <c r="K1245" s="843">
        <f t="shared" si="210"/>
        <v>5.4175797419040661E-2</v>
      </c>
      <c r="L1245" s="842">
        <v>68.47</v>
      </c>
      <c r="M1245" s="843">
        <f t="shared" si="210"/>
        <v>5.8596165739022821E-2</v>
      </c>
      <c r="N1245" s="842">
        <v>79.52</v>
      </c>
      <c r="O1245" s="843">
        <f t="shared" si="211"/>
        <v>5.9560293137908005E-2</v>
      </c>
      <c r="P1245" s="844">
        <f t="shared" si="217"/>
        <v>4.9612764753558879E-2</v>
      </c>
      <c r="R1245" s="845">
        <v>886.52</v>
      </c>
      <c r="S1245" s="846">
        <f t="shared" si="212"/>
        <v>5.5431211010048109E-2</v>
      </c>
      <c r="T1245" s="845">
        <v>65.84</v>
      </c>
      <c r="U1245" s="846">
        <f t="shared" si="213"/>
        <v>5.8861370215503417E-2</v>
      </c>
      <c r="V1245" s="845">
        <v>112.4323</v>
      </c>
      <c r="W1245" s="846">
        <f t="shared" si="214"/>
        <v>4.4939956448559304E-2</v>
      </c>
      <c r="X1245" s="845">
        <v>26703.32</v>
      </c>
      <c r="Y1245" s="846">
        <f t="shared" si="215"/>
        <v>5.0924541192694406E-2</v>
      </c>
      <c r="Z1245" s="845">
        <v>3090.2328000000002</v>
      </c>
      <c r="AA1245" s="846">
        <f t="shared" si="216"/>
        <v>4.6038862933771796E-2</v>
      </c>
    </row>
    <row r="1246" spans="1:27" ht="14.4" x14ac:dyDescent="0.55000000000000004">
      <c r="A1246" s="861" t="s">
        <v>6405</v>
      </c>
      <c r="B1246" s="842">
        <v>103.25</v>
      </c>
      <c r="C1246" s="843">
        <f t="shared" si="210"/>
        <v>-3.6847014925373123E-2</v>
      </c>
      <c r="D1246" s="842">
        <v>35.31</v>
      </c>
      <c r="E1246" s="843">
        <f t="shared" si="210"/>
        <v>-5.4111974283418074E-2</v>
      </c>
      <c r="F1246" s="842">
        <v>27.02</v>
      </c>
      <c r="G1246" s="843">
        <f t="shared" si="210"/>
        <v>-1.0256410256410331E-2</v>
      </c>
      <c r="H1246" s="842">
        <v>65.77</v>
      </c>
      <c r="I1246" s="843">
        <f t="shared" si="210"/>
        <v>-6.4038707841184039E-2</v>
      </c>
      <c r="J1246" s="842">
        <v>82.14</v>
      </c>
      <c r="K1246" s="843">
        <f t="shared" si="210"/>
        <v>-4.6768016711152383E-2</v>
      </c>
      <c r="L1246" s="842">
        <v>64.680000000000007</v>
      </c>
      <c r="M1246" s="843">
        <f t="shared" si="210"/>
        <v>-6.3423110338835742E-2</v>
      </c>
      <c r="N1246" s="842">
        <v>75.05</v>
      </c>
      <c r="O1246" s="843">
        <f t="shared" si="211"/>
        <v>-5.9170114077974123E-2</v>
      </c>
      <c r="P1246" s="844">
        <f t="shared" si="217"/>
        <v>-4.7802192633478256E-2</v>
      </c>
      <c r="R1246" s="845">
        <v>839.96</v>
      </c>
      <c r="S1246" s="846">
        <f t="shared" si="212"/>
        <v>-2.9475313991241703E-2</v>
      </c>
      <c r="T1246" s="845">
        <v>62.18</v>
      </c>
      <c r="U1246" s="846">
        <f t="shared" si="213"/>
        <v>-3.3421420799005119E-2</v>
      </c>
      <c r="V1246" s="845">
        <v>107.59690000000001</v>
      </c>
      <c r="W1246" s="846">
        <f t="shared" si="214"/>
        <v>-3.6847033295975717E-2</v>
      </c>
      <c r="X1246" s="845">
        <v>25409.360000000001</v>
      </c>
      <c r="Y1246" s="846">
        <f t="shared" si="215"/>
        <v>-1.3865991064414995E-2</v>
      </c>
      <c r="Z1246" s="845">
        <v>2954.2237</v>
      </c>
      <c r="AA1246" s="846">
        <f t="shared" si="216"/>
        <v>-8.2363527508009238E-3</v>
      </c>
    </row>
    <row r="1247" spans="1:27" ht="14.4" x14ac:dyDescent="0.55000000000000004">
      <c r="A1247" s="861" t="s">
        <v>6406</v>
      </c>
      <c r="B1247" s="842">
        <v>107.2</v>
      </c>
      <c r="C1247" s="843">
        <f t="shared" si="210"/>
        <v>-4.3625657953430319E-2</v>
      </c>
      <c r="D1247" s="842">
        <v>37.33</v>
      </c>
      <c r="E1247" s="843">
        <f t="shared" si="210"/>
        <v>-4.380122950819676E-2</v>
      </c>
      <c r="F1247" s="842">
        <v>27.3</v>
      </c>
      <c r="G1247" s="843">
        <f t="shared" si="210"/>
        <v>-1.6216216216216162E-2</v>
      </c>
      <c r="H1247" s="842">
        <v>70.27</v>
      </c>
      <c r="I1247" s="843">
        <f t="shared" si="210"/>
        <v>-4.3424993193574735E-2</v>
      </c>
      <c r="J1247" s="842">
        <v>86.17</v>
      </c>
      <c r="K1247" s="843">
        <f t="shared" si="210"/>
        <v>-4.1383913672266126E-2</v>
      </c>
      <c r="L1247" s="842">
        <v>69.06</v>
      </c>
      <c r="M1247" s="843">
        <f t="shared" si="210"/>
        <v>-3.6685730227367763E-2</v>
      </c>
      <c r="N1247" s="842">
        <v>79.77</v>
      </c>
      <c r="O1247" s="843">
        <f t="shared" si="211"/>
        <v>-3.1682447195921282E-2</v>
      </c>
      <c r="P1247" s="844">
        <f t="shared" si="217"/>
        <v>-3.6688598280996167E-2</v>
      </c>
      <c r="R1247" s="845">
        <v>865.47</v>
      </c>
      <c r="S1247" s="846">
        <f t="shared" si="212"/>
        <v>-4.5756750498913923E-2</v>
      </c>
      <c r="T1247" s="845">
        <v>64.33</v>
      </c>
      <c r="U1247" s="846">
        <f t="shared" si="213"/>
        <v>-4.4982185273159114E-2</v>
      </c>
      <c r="V1247" s="845">
        <v>111.7132</v>
      </c>
      <c r="W1247" s="846">
        <f t="shared" si="214"/>
        <v>-4.3625881887626949E-2</v>
      </c>
      <c r="X1247" s="845">
        <v>25766.639999999999</v>
      </c>
      <c r="Y1247" s="846">
        <f t="shared" si="215"/>
        <v>-4.4178652468562674E-2</v>
      </c>
      <c r="Z1247" s="845">
        <v>2978.7577999999999</v>
      </c>
      <c r="AA1247" s="846">
        <f t="shared" si="216"/>
        <v>-4.4163923267878769E-2</v>
      </c>
    </row>
    <row r="1248" spans="1:27" ht="14.4" x14ac:dyDescent="0.55000000000000004">
      <c r="A1248" s="861" t="s">
        <v>6407</v>
      </c>
      <c r="B1248" s="842">
        <v>112.09</v>
      </c>
      <c r="C1248" s="843">
        <f t="shared" si="210"/>
        <v>-1.4506769825918697E-2</v>
      </c>
      <c r="D1248" s="842">
        <v>39.04</v>
      </c>
      <c r="E1248" s="843">
        <f t="shared" si="210"/>
        <v>-3.723797780517879E-2</v>
      </c>
      <c r="F1248" s="842">
        <v>27.75</v>
      </c>
      <c r="G1248" s="843">
        <f t="shared" si="210"/>
        <v>-2.2198731501057001E-2</v>
      </c>
      <c r="H1248" s="842">
        <v>73.459999999999994</v>
      </c>
      <c r="I1248" s="843">
        <f t="shared" si="210"/>
        <v>-1.3694951664876664E-2</v>
      </c>
      <c r="J1248" s="842">
        <v>89.89</v>
      </c>
      <c r="K1248" s="843">
        <f t="shared" si="210"/>
        <v>-6.5207780725022868E-3</v>
      </c>
      <c r="L1248" s="842">
        <v>71.69</v>
      </c>
      <c r="M1248" s="843">
        <f t="shared" si="210"/>
        <v>-2.8063991323210469E-2</v>
      </c>
      <c r="N1248" s="842">
        <v>82.38</v>
      </c>
      <c r="O1248" s="843">
        <f t="shared" si="211"/>
        <v>-1.3531313615136042E-2</v>
      </c>
      <c r="P1248" s="844">
        <f t="shared" si="217"/>
        <v>-1.9393501972554277E-2</v>
      </c>
      <c r="R1248" s="845">
        <v>906.97</v>
      </c>
      <c r="S1248" s="846">
        <f t="shared" si="212"/>
        <v>-9.6093997401093256E-3</v>
      </c>
      <c r="T1248" s="845">
        <v>67.36</v>
      </c>
      <c r="U1248" s="846">
        <f t="shared" si="213"/>
        <v>-1.0139603232916961E-2</v>
      </c>
      <c r="V1248" s="845">
        <v>116.8091</v>
      </c>
      <c r="W1248" s="846">
        <f t="shared" si="214"/>
        <v>-1.4507047244293747E-2</v>
      </c>
      <c r="X1248" s="845">
        <v>26957.59</v>
      </c>
      <c r="Y1248" s="846">
        <f t="shared" si="215"/>
        <v>-4.5703022300209728E-3</v>
      </c>
      <c r="Z1248" s="845">
        <v>3116.3897999999999</v>
      </c>
      <c r="AA1248" s="846">
        <f t="shared" si="216"/>
        <v>-3.7774998620615508E-3</v>
      </c>
    </row>
    <row r="1249" spans="1:27" ht="14.4" x14ac:dyDescent="0.55000000000000004">
      <c r="A1249" s="861" t="s">
        <v>6408</v>
      </c>
      <c r="B1249" s="842">
        <v>113.74</v>
      </c>
      <c r="C1249" s="843">
        <f t="shared" si="210"/>
        <v>-2.1338840130786463E-2</v>
      </c>
      <c r="D1249" s="842">
        <v>40.549999999999997</v>
      </c>
      <c r="E1249" s="843">
        <f t="shared" si="210"/>
        <v>-3.544243577545203E-2</v>
      </c>
      <c r="F1249" s="842">
        <v>28.38</v>
      </c>
      <c r="G1249" s="843">
        <f t="shared" si="210"/>
        <v>-2.9743589743589816E-2</v>
      </c>
      <c r="H1249" s="842">
        <v>74.48</v>
      </c>
      <c r="I1249" s="843">
        <f t="shared" si="210"/>
        <v>-1.5075376884422065E-2</v>
      </c>
      <c r="J1249" s="842">
        <v>90.48</v>
      </c>
      <c r="K1249" s="843">
        <f t="shared" si="210"/>
        <v>-3.4777042884574283E-2</v>
      </c>
      <c r="L1249" s="842">
        <v>73.760000000000005</v>
      </c>
      <c r="M1249" s="843">
        <f t="shared" si="210"/>
        <v>-3.8080333854981774E-2</v>
      </c>
      <c r="N1249" s="842">
        <v>83.51</v>
      </c>
      <c r="O1249" s="843">
        <f t="shared" si="211"/>
        <v>-2.7143522833178002E-2</v>
      </c>
      <c r="P1249" s="844">
        <f t="shared" si="217"/>
        <v>-2.8800163158140633E-2</v>
      </c>
      <c r="R1249" s="845">
        <v>915.77</v>
      </c>
      <c r="S1249" s="846">
        <f t="shared" si="212"/>
        <v>-2.1519163167398547E-2</v>
      </c>
      <c r="T1249" s="845">
        <v>68.05</v>
      </c>
      <c r="U1249" s="846">
        <f t="shared" si="213"/>
        <v>-2.1004172061574011E-2</v>
      </c>
      <c r="V1249" s="845">
        <v>118.5286</v>
      </c>
      <c r="W1249" s="846">
        <f t="shared" si="214"/>
        <v>-2.1338749762618403E-2</v>
      </c>
      <c r="X1249" s="845">
        <v>27081.360000000001</v>
      </c>
      <c r="Y1249" s="846">
        <f t="shared" si="215"/>
        <v>-3.1452605075677376E-2</v>
      </c>
      <c r="Z1249" s="845">
        <v>3128.2066</v>
      </c>
      <c r="AA1249" s="846">
        <f t="shared" si="216"/>
        <v>-3.0279987540788755E-2</v>
      </c>
    </row>
    <row r="1250" spans="1:27" ht="14.4" x14ac:dyDescent="0.55000000000000004">
      <c r="A1250" s="861" t="s">
        <v>6409</v>
      </c>
      <c r="B1250" s="842">
        <v>116.22</v>
      </c>
      <c r="C1250" s="843">
        <f t="shared" si="210"/>
        <v>-2.0893007582139855E-2</v>
      </c>
      <c r="D1250" s="842">
        <v>42.04</v>
      </c>
      <c r="E1250" s="843">
        <f t="shared" si="210"/>
        <v>-2.617558489691918E-2</v>
      </c>
      <c r="F1250" s="842">
        <v>29.25</v>
      </c>
      <c r="G1250" s="843">
        <f t="shared" si="210"/>
        <v>-2.1084337349397519E-2</v>
      </c>
      <c r="H1250" s="842">
        <v>75.62</v>
      </c>
      <c r="I1250" s="843">
        <f t="shared" si="210"/>
        <v>-1.3308977035490499E-2</v>
      </c>
      <c r="J1250" s="842">
        <v>93.74</v>
      </c>
      <c r="K1250" s="843">
        <f t="shared" si="210"/>
        <v>-4.4604927782497805E-3</v>
      </c>
      <c r="L1250" s="842">
        <v>76.680000000000007</v>
      </c>
      <c r="M1250" s="843">
        <f t="shared" si="210"/>
        <v>-3.1084154662623154E-2</v>
      </c>
      <c r="N1250" s="842">
        <v>85.84</v>
      </c>
      <c r="O1250" s="843">
        <f t="shared" si="211"/>
        <v>-1.3560101126177782E-2</v>
      </c>
      <c r="P1250" s="844">
        <f t="shared" si="217"/>
        <v>-1.8652379347285395E-2</v>
      </c>
      <c r="R1250" s="845">
        <v>935.91</v>
      </c>
      <c r="S1250" s="846">
        <f t="shared" si="212"/>
        <v>-1.3523199190505375E-2</v>
      </c>
      <c r="T1250" s="845">
        <v>69.510000000000005</v>
      </c>
      <c r="U1250" s="846">
        <f t="shared" si="213"/>
        <v>-1.1659320346935731E-2</v>
      </c>
      <c r="V1250" s="845">
        <v>121.113</v>
      </c>
      <c r="W1250" s="846">
        <f t="shared" si="214"/>
        <v>-2.0892920950642435E-2</v>
      </c>
      <c r="X1250" s="845">
        <v>27960.799999999999</v>
      </c>
      <c r="Y1250" s="846">
        <f t="shared" si="215"/>
        <v>-3.5582071307628471E-2</v>
      </c>
      <c r="Z1250" s="845">
        <v>3225.8863999999999</v>
      </c>
      <c r="AA1250" s="846">
        <f t="shared" si="216"/>
        <v>-3.3513804371631539E-2</v>
      </c>
    </row>
    <row r="1251" spans="1:27" ht="14.4" x14ac:dyDescent="0.55000000000000004">
      <c r="A1251" s="861" t="s">
        <v>6410</v>
      </c>
      <c r="B1251" s="842">
        <v>118.7</v>
      </c>
      <c r="C1251" s="843">
        <f t="shared" si="210"/>
        <v>-4.4451899689675889E-3</v>
      </c>
      <c r="D1251" s="842">
        <v>43.17</v>
      </c>
      <c r="E1251" s="843">
        <f t="shared" si="210"/>
        <v>-3.9224734656206905E-3</v>
      </c>
      <c r="F1251" s="842">
        <v>29.88</v>
      </c>
      <c r="G1251" s="843">
        <f t="shared" si="210"/>
        <v>-5.657237936772086E-3</v>
      </c>
      <c r="H1251" s="842">
        <v>76.64</v>
      </c>
      <c r="I1251" s="843">
        <f t="shared" si="210"/>
        <v>4.0613127210795685E-3</v>
      </c>
      <c r="J1251" s="842">
        <v>94.16</v>
      </c>
      <c r="K1251" s="843">
        <f t="shared" si="210"/>
        <v>-9.4677046076162563E-3</v>
      </c>
      <c r="L1251" s="842">
        <v>79.14</v>
      </c>
      <c r="M1251" s="843">
        <f t="shared" si="210"/>
        <v>1.0118897040223285E-3</v>
      </c>
      <c r="N1251" s="842">
        <v>87.02</v>
      </c>
      <c r="O1251" s="843">
        <f t="shared" si="211"/>
        <v>-1.8352833218628906E-3</v>
      </c>
      <c r="P1251" s="844">
        <f t="shared" si="217"/>
        <v>-2.8935266965339451E-3</v>
      </c>
      <c r="R1251" s="845">
        <v>948.74</v>
      </c>
      <c r="S1251" s="846">
        <f t="shared" si="212"/>
        <v>-3.8429231415371135E-3</v>
      </c>
      <c r="T1251" s="845">
        <v>70.33</v>
      </c>
      <c r="U1251" s="846">
        <f t="shared" si="213"/>
        <v>-1.8450184501844769E-3</v>
      </c>
      <c r="V1251" s="845">
        <v>123.6974</v>
      </c>
      <c r="W1251" s="846">
        <f t="shared" si="214"/>
        <v>-4.4450811551255409E-3</v>
      </c>
      <c r="X1251" s="845">
        <v>28992.41</v>
      </c>
      <c r="Y1251" s="846">
        <f t="shared" si="215"/>
        <v>-7.7881641260534318E-3</v>
      </c>
      <c r="Z1251" s="845">
        <v>3337.7469999999998</v>
      </c>
      <c r="AA1251" s="846">
        <f t="shared" si="216"/>
        <v>-1.051943811149636E-2</v>
      </c>
    </row>
    <row r="1252" spans="1:27" ht="14.4" x14ac:dyDescent="0.55000000000000004">
      <c r="A1252" s="861" t="s">
        <v>6411</v>
      </c>
      <c r="B1252" s="842">
        <v>119.23</v>
      </c>
      <c r="C1252" s="843">
        <f t="shared" si="210"/>
        <v>-3.0936454849497252E-3</v>
      </c>
      <c r="D1252" s="842">
        <v>43.34</v>
      </c>
      <c r="E1252" s="843">
        <f t="shared" si="210"/>
        <v>3.7054191755443444E-3</v>
      </c>
      <c r="F1252" s="842">
        <v>30.05</v>
      </c>
      <c r="G1252" s="843">
        <f t="shared" si="210"/>
        <v>9.9933377748162577E-4</v>
      </c>
      <c r="H1252" s="842">
        <v>76.33</v>
      </c>
      <c r="I1252" s="843">
        <f t="shared" si="210"/>
        <v>-9.1623036649224332E-4</v>
      </c>
      <c r="J1252" s="842">
        <v>95.06</v>
      </c>
      <c r="K1252" s="843">
        <f t="shared" si="210"/>
        <v>-6.7913488663670085E-3</v>
      </c>
      <c r="L1252" s="842">
        <v>79.06</v>
      </c>
      <c r="M1252" s="843">
        <f t="shared" si="210"/>
        <v>2.5303643724683411E-4</v>
      </c>
      <c r="N1252" s="842">
        <v>87.18</v>
      </c>
      <c r="O1252" s="843">
        <f t="shared" si="211"/>
        <v>1.6084558823530326E-3</v>
      </c>
      <c r="P1252" s="844">
        <f t="shared" si="217"/>
        <v>-6.0499706359759141E-4</v>
      </c>
      <c r="R1252" s="845">
        <v>952.4</v>
      </c>
      <c r="S1252" s="846">
        <f t="shared" si="212"/>
        <v>2.5157629919685398E-3</v>
      </c>
      <c r="T1252" s="845">
        <v>70.459999999999994</v>
      </c>
      <c r="U1252" s="846">
        <f t="shared" si="213"/>
        <v>3.5607463324311972E-3</v>
      </c>
      <c r="V1252" s="845">
        <v>124.2497</v>
      </c>
      <c r="W1252" s="846">
        <f t="shared" si="214"/>
        <v>-3.0938265483374527E-3</v>
      </c>
      <c r="X1252" s="845">
        <v>29219.98</v>
      </c>
      <c r="Y1252" s="846">
        <f t="shared" si="215"/>
        <v>-4.3631548693386923E-3</v>
      </c>
      <c r="Z1252" s="845">
        <v>3373.2314999999999</v>
      </c>
      <c r="AA1252" s="846">
        <f t="shared" si="216"/>
        <v>-3.8158940676243924E-3</v>
      </c>
    </row>
    <row r="1253" spans="1:27" ht="14.4" x14ac:dyDescent="0.55000000000000004">
      <c r="A1253" s="861" t="s">
        <v>6412</v>
      </c>
      <c r="B1253" s="842">
        <v>119.6</v>
      </c>
      <c r="C1253" s="843">
        <f t="shared" si="210"/>
        <v>-8.0451190179978704E-3</v>
      </c>
      <c r="D1253" s="842">
        <v>43.18</v>
      </c>
      <c r="E1253" s="843">
        <f t="shared" si="210"/>
        <v>-1.1673151750972721E-2</v>
      </c>
      <c r="F1253" s="842">
        <v>30.02</v>
      </c>
      <c r="G1253" s="843">
        <f t="shared" si="210"/>
        <v>-6.2893081761006275E-3</v>
      </c>
      <c r="H1253" s="842">
        <v>76.400000000000006</v>
      </c>
      <c r="I1253" s="843">
        <f t="shared" si="210"/>
        <v>-6.5019505851755532E-3</v>
      </c>
      <c r="J1253" s="842">
        <v>95.71</v>
      </c>
      <c r="K1253" s="843">
        <f t="shared" si="210"/>
        <v>-1.0135484538215001E-2</v>
      </c>
      <c r="L1253" s="842">
        <v>79.040000000000006</v>
      </c>
      <c r="M1253" s="843">
        <f t="shared" si="210"/>
        <v>-5.1604782882315181E-3</v>
      </c>
      <c r="N1253" s="842">
        <v>87.04</v>
      </c>
      <c r="O1253" s="843">
        <f t="shared" si="211"/>
        <v>-6.3926940639268404E-3</v>
      </c>
      <c r="P1253" s="844">
        <f t="shared" si="217"/>
        <v>-7.7425980600885902E-3</v>
      </c>
      <c r="R1253" s="845">
        <v>950.01</v>
      </c>
      <c r="S1253" s="846">
        <f t="shared" si="212"/>
        <v>-1.1322836120679747E-2</v>
      </c>
      <c r="T1253" s="845">
        <v>70.209999999999994</v>
      </c>
      <c r="U1253" s="846">
        <f t="shared" si="213"/>
        <v>-1.0848126232741784E-2</v>
      </c>
      <c r="V1253" s="845">
        <v>124.6353</v>
      </c>
      <c r="W1253" s="846">
        <f t="shared" si="214"/>
        <v>-8.0448179450058888E-3</v>
      </c>
      <c r="X1253" s="845">
        <v>29348.03</v>
      </c>
      <c r="Y1253" s="846">
        <f t="shared" si="215"/>
        <v>3.9627547576832622E-3</v>
      </c>
      <c r="Z1253" s="845">
        <v>3386.1527000000001</v>
      </c>
      <c r="AA1253" s="846">
        <f t="shared" si="216"/>
        <v>4.7076709947357909E-3</v>
      </c>
    </row>
    <row r="1254" spans="1:27" ht="14.4" x14ac:dyDescent="0.55000000000000004">
      <c r="A1254" s="861" t="s">
        <v>6413</v>
      </c>
      <c r="B1254" s="842">
        <v>120.57</v>
      </c>
      <c r="C1254" s="843">
        <f t="shared" si="210"/>
        <v>9.9626400996255526E-4</v>
      </c>
      <c r="D1254" s="842">
        <v>43.69</v>
      </c>
      <c r="E1254" s="843">
        <f t="shared" si="210"/>
        <v>5.9866451761454442E-3</v>
      </c>
      <c r="F1254" s="842">
        <v>30.21</v>
      </c>
      <c r="G1254" s="843">
        <f t="shared" si="210"/>
        <v>0</v>
      </c>
      <c r="H1254" s="842">
        <v>76.900000000000006</v>
      </c>
      <c r="I1254" s="843">
        <f t="shared" si="210"/>
        <v>7.7316210195257362E-3</v>
      </c>
      <c r="J1254" s="842">
        <v>96.69</v>
      </c>
      <c r="K1254" s="843">
        <f t="shared" si="210"/>
        <v>4.9890863735579938E-3</v>
      </c>
      <c r="L1254" s="842">
        <v>79.45</v>
      </c>
      <c r="M1254" s="843">
        <f t="shared" si="210"/>
        <v>-6.2893081761006275E-4</v>
      </c>
      <c r="N1254" s="842">
        <v>87.6</v>
      </c>
      <c r="O1254" s="843">
        <f t="shared" si="211"/>
        <v>2.2836263987202621E-4</v>
      </c>
      <c r="P1254" s="844">
        <f t="shared" si="217"/>
        <v>2.7575783430648132E-3</v>
      </c>
      <c r="R1254" s="845">
        <v>960.89</v>
      </c>
      <c r="S1254" s="846">
        <f t="shared" si="212"/>
        <v>5.7989218610980942E-3</v>
      </c>
      <c r="T1254" s="845">
        <v>70.98</v>
      </c>
      <c r="U1254" s="846">
        <f t="shared" si="213"/>
        <v>8.3818724250603882E-3</v>
      </c>
      <c r="V1254" s="845">
        <v>125.6461</v>
      </c>
      <c r="W1254" s="846">
        <f t="shared" si="214"/>
        <v>9.9584850674516723E-4</v>
      </c>
      <c r="X1254" s="845">
        <v>29232.19</v>
      </c>
      <c r="Y1254" s="846">
        <f t="shared" si="215"/>
        <v>-5.6428855217757201E-3</v>
      </c>
      <c r="Z1254" s="845">
        <v>3370.2865000000002</v>
      </c>
      <c r="AA1254" s="846">
        <f t="shared" si="216"/>
        <v>-2.9202486251084236E-3</v>
      </c>
    </row>
    <row r="1255" spans="1:27" ht="14.4" x14ac:dyDescent="0.55000000000000004">
      <c r="A1255" s="861" t="s">
        <v>6414</v>
      </c>
      <c r="B1255" s="842">
        <v>120.45</v>
      </c>
      <c r="C1255" s="843">
        <f t="shared" si="210"/>
        <v>7.9497907949790392E-3</v>
      </c>
      <c r="D1255" s="842">
        <v>43.43</v>
      </c>
      <c r="E1255" s="843">
        <f t="shared" si="210"/>
        <v>7.4228717234980923E-3</v>
      </c>
      <c r="F1255" s="842">
        <v>30.21</v>
      </c>
      <c r="G1255" s="843">
        <f t="shared" si="210"/>
        <v>6.6247101689298482E-4</v>
      </c>
      <c r="H1255" s="842">
        <v>76.31</v>
      </c>
      <c r="I1255" s="843">
        <f t="shared" si="210"/>
        <v>9.6586398518128114E-3</v>
      </c>
      <c r="J1255" s="842">
        <v>96.21</v>
      </c>
      <c r="K1255" s="843">
        <f t="shared" si="210"/>
        <v>1.2310606060605966E-2</v>
      </c>
      <c r="L1255" s="842">
        <v>79.5</v>
      </c>
      <c r="M1255" s="843">
        <f t="shared" si="210"/>
        <v>-5.6285178236398226E-3</v>
      </c>
      <c r="N1255" s="842">
        <v>87.58</v>
      </c>
      <c r="O1255" s="843">
        <f t="shared" si="211"/>
        <v>1.0149942329872985E-2</v>
      </c>
      <c r="P1255" s="844">
        <f t="shared" si="217"/>
        <v>6.0751148505745799E-3</v>
      </c>
      <c r="R1255" s="845">
        <v>955.35</v>
      </c>
      <c r="S1255" s="846">
        <f t="shared" si="212"/>
        <v>8.4126749561950209E-3</v>
      </c>
      <c r="T1255" s="845">
        <v>70.39</v>
      </c>
      <c r="U1255" s="846">
        <f t="shared" si="213"/>
        <v>6.7219679633867546E-3</v>
      </c>
      <c r="V1255" s="845">
        <v>125.5211</v>
      </c>
      <c r="W1255" s="846">
        <f t="shared" si="214"/>
        <v>7.9498213699229492E-3</v>
      </c>
      <c r="X1255" s="845">
        <v>29398.080000000002</v>
      </c>
      <c r="Y1255" s="846">
        <f t="shared" si="215"/>
        <v>-8.5748340346480934E-4</v>
      </c>
      <c r="Z1255" s="845">
        <v>3380.1574000000001</v>
      </c>
      <c r="AA1255" s="846">
        <f t="shared" si="216"/>
        <v>1.84354339235826E-3</v>
      </c>
    </row>
    <row r="1256" spans="1:27" ht="14.4" x14ac:dyDescent="0.55000000000000004">
      <c r="A1256" s="861" t="s">
        <v>6415</v>
      </c>
      <c r="B1256" s="842">
        <v>119.5</v>
      </c>
      <c r="C1256" s="843">
        <f t="shared" si="210"/>
        <v>1.3227064609123262E-2</v>
      </c>
      <c r="D1256" s="842">
        <v>43.11</v>
      </c>
      <c r="E1256" s="843">
        <f t="shared" si="210"/>
        <v>1.4830508474576343E-2</v>
      </c>
      <c r="F1256" s="842">
        <v>30.19</v>
      </c>
      <c r="G1256" s="843">
        <f t="shared" si="210"/>
        <v>1.2068387529333036E-2</v>
      </c>
      <c r="H1256" s="842">
        <v>75.58</v>
      </c>
      <c r="I1256" s="843">
        <f t="shared" si="210"/>
        <v>1.6953713670613713E-2</v>
      </c>
      <c r="J1256" s="842">
        <v>95.04</v>
      </c>
      <c r="K1256" s="843">
        <f t="shared" si="210"/>
        <v>1.2248375758866725E-2</v>
      </c>
      <c r="L1256" s="842">
        <v>79.95</v>
      </c>
      <c r="M1256" s="843">
        <f t="shared" si="210"/>
        <v>1.808226155609316E-2</v>
      </c>
      <c r="N1256" s="842">
        <v>86.7</v>
      </c>
      <c r="O1256" s="843">
        <f t="shared" si="211"/>
        <v>9.4306671323787228E-3</v>
      </c>
      <c r="P1256" s="844">
        <f t="shared" si="217"/>
        <v>1.3834425532997852E-2</v>
      </c>
      <c r="R1256" s="845">
        <v>947.38</v>
      </c>
      <c r="S1256" s="846">
        <f t="shared" si="212"/>
        <v>9.8708054406686507E-3</v>
      </c>
      <c r="T1256" s="845">
        <v>69.92</v>
      </c>
      <c r="U1256" s="846">
        <f t="shared" si="213"/>
        <v>1.1135213304410696E-2</v>
      </c>
      <c r="V1256" s="845">
        <v>124.5311</v>
      </c>
      <c r="W1256" s="846">
        <f t="shared" si="214"/>
        <v>1.322724632115424E-2</v>
      </c>
      <c r="X1256" s="845">
        <v>29423.31</v>
      </c>
      <c r="Y1256" s="846">
        <f t="shared" si="215"/>
        <v>-4.3351554679943449E-3</v>
      </c>
      <c r="Z1256" s="845">
        <v>3373.9373999999998</v>
      </c>
      <c r="AA1256" s="846">
        <f t="shared" si="216"/>
        <v>-1.6318621106700126E-3</v>
      </c>
    </row>
    <row r="1257" spans="1:27" ht="14.4" x14ac:dyDescent="0.55000000000000004">
      <c r="A1257" s="861" t="s">
        <v>6416</v>
      </c>
      <c r="B1257" s="842">
        <v>117.94</v>
      </c>
      <c r="C1257" s="843">
        <f t="shared" si="210"/>
        <v>-1.189678284182305E-2</v>
      </c>
      <c r="D1257" s="842">
        <v>42.48</v>
      </c>
      <c r="E1257" s="843">
        <f t="shared" si="210"/>
        <v>-1.6451233842538215E-3</v>
      </c>
      <c r="F1257" s="842">
        <v>29.83</v>
      </c>
      <c r="G1257" s="843">
        <f t="shared" si="210"/>
        <v>-3.3411293017040489E-3</v>
      </c>
      <c r="H1257" s="842">
        <v>74.319999999999993</v>
      </c>
      <c r="I1257" s="843">
        <f t="shared" si="210"/>
        <v>1.8873011593418809E-3</v>
      </c>
      <c r="J1257" s="842">
        <v>93.89</v>
      </c>
      <c r="K1257" s="843">
        <f t="shared" si="210"/>
        <v>-1.4888865255769934E-3</v>
      </c>
      <c r="L1257" s="842">
        <v>78.53</v>
      </c>
      <c r="M1257" s="843">
        <f t="shared" si="210"/>
        <v>1.0552052502895481E-2</v>
      </c>
      <c r="N1257" s="842">
        <v>85.89</v>
      </c>
      <c r="O1257" s="843">
        <f t="shared" si="211"/>
        <v>-6.9808027923212723E-4</v>
      </c>
      <c r="P1257" s="844">
        <f t="shared" si="217"/>
        <v>-9.4723552433609705E-4</v>
      </c>
      <c r="R1257" s="845">
        <v>938.12</v>
      </c>
      <c r="S1257" s="846">
        <f t="shared" si="212"/>
        <v>-3.83599011167024E-4</v>
      </c>
      <c r="T1257" s="845">
        <v>69.150000000000006</v>
      </c>
      <c r="U1257" s="846">
        <f t="shared" si="213"/>
        <v>7.2358900144742222E-4</v>
      </c>
      <c r="V1257" s="845">
        <v>122.9054</v>
      </c>
      <c r="W1257" s="846">
        <f t="shared" si="214"/>
        <v>-1.1896913780739204E-2</v>
      </c>
      <c r="X1257" s="845">
        <v>29551.42</v>
      </c>
      <c r="Y1257" s="846">
        <f t="shared" si="215"/>
        <v>9.3959832410743793E-3</v>
      </c>
      <c r="Z1257" s="845">
        <v>3379.4522000000002</v>
      </c>
      <c r="AA1257" s="846">
        <f t="shared" si="216"/>
        <v>6.4641255165331923E-3</v>
      </c>
    </row>
    <row r="1258" spans="1:27" ht="14.4" x14ac:dyDescent="0.55000000000000004">
      <c r="A1258" s="861" t="s">
        <v>6417</v>
      </c>
      <c r="B1258" s="842">
        <v>119.36</v>
      </c>
      <c r="C1258" s="843">
        <f t="shared" si="210"/>
        <v>8.8749894345363511E-3</v>
      </c>
      <c r="D1258" s="842">
        <v>42.55</v>
      </c>
      <c r="E1258" s="843">
        <f t="shared" si="210"/>
        <v>-2.3446658851113966E-3</v>
      </c>
      <c r="F1258" s="842">
        <v>29.93</v>
      </c>
      <c r="G1258" s="843">
        <f t="shared" si="210"/>
        <v>2.3442732752847473E-3</v>
      </c>
      <c r="H1258" s="842">
        <v>74.180000000000007</v>
      </c>
      <c r="I1258" s="843">
        <f t="shared" si="210"/>
        <v>4.3325209856486246E-3</v>
      </c>
      <c r="J1258" s="842">
        <v>94.03</v>
      </c>
      <c r="K1258" s="843">
        <f t="shared" si="210"/>
        <v>-2.3342175066313198E-3</v>
      </c>
      <c r="L1258" s="842">
        <v>77.709999999999994</v>
      </c>
      <c r="M1258" s="843">
        <f t="shared" si="210"/>
        <v>8.0425476715526578E-3</v>
      </c>
      <c r="N1258" s="842">
        <v>85.95</v>
      </c>
      <c r="O1258" s="843">
        <f t="shared" si="211"/>
        <v>-4.5170257123001711E-3</v>
      </c>
      <c r="P1258" s="844">
        <f t="shared" si="217"/>
        <v>2.0569174661399276E-3</v>
      </c>
      <c r="R1258" s="845">
        <v>938.48</v>
      </c>
      <c r="S1258" s="846">
        <f t="shared" si="212"/>
        <v>3.7541311485929096E-3</v>
      </c>
      <c r="T1258" s="845">
        <v>69.099999999999994</v>
      </c>
      <c r="U1258" s="846">
        <f t="shared" si="213"/>
        <v>3.6310820624545492E-3</v>
      </c>
      <c r="V1258" s="845">
        <v>124.3852</v>
      </c>
      <c r="W1258" s="846">
        <f t="shared" si="214"/>
        <v>8.8749381544475092E-3</v>
      </c>
      <c r="X1258" s="845">
        <v>29276.34</v>
      </c>
      <c r="Y1258" s="846">
        <f t="shared" si="215"/>
        <v>-1.6395223251697288E-5</v>
      </c>
      <c r="Z1258" s="845">
        <v>3357.7473</v>
      </c>
      <c r="AA1258" s="846">
        <f t="shared" si="216"/>
        <v>1.6864980516655415E-3</v>
      </c>
    </row>
    <row r="1259" spans="1:27" ht="14.4" x14ac:dyDescent="0.55000000000000004">
      <c r="A1259" s="861" t="s">
        <v>6418</v>
      </c>
      <c r="B1259" s="842">
        <v>118.31</v>
      </c>
      <c r="C1259" s="843">
        <f t="shared" si="210"/>
        <v>6.1229696402755884E-3</v>
      </c>
      <c r="D1259" s="842">
        <v>42.65</v>
      </c>
      <c r="E1259" s="843">
        <f t="shared" si="210"/>
        <v>4.0018832391714998E-3</v>
      </c>
      <c r="F1259" s="842">
        <v>29.86</v>
      </c>
      <c r="G1259" s="843">
        <f t="shared" si="210"/>
        <v>2.0134228187917991E-3</v>
      </c>
      <c r="H1259" s="842">
        <v>73.86</v>
      </c>
      <c r="I1259" s="843">
        <f t="shared" si="210"/>
        <v>2.3069615958746237E-3</v>
      </c>
      <c r="J1259" s="842">
        <v>94.25</v>
      </c>
      <c r="K1259" s="843">
        <f t="shared" si="210"/>
        <v>-2.6455026455026731E-3</v>
      </c>
      <c r="L1259" s="842">
        <v>77.09</v>
      </c>
      <c r="M1259" s="843">
        <f t="shared" si="210"/>
        <v>-1.2955045990412639E-3</v>
      </c>
      <c r="N1259" s="842">
        <v>86.34</v>
      </c>
      <c r="O1259" s="843">
        <f t="shared" si="211"/>
        <v>2.0891364902506648E-3</v>
      </c>
      <c r="P1259" s="844">
        <f t="shared" si="217"/>
        <v>1.7990523628314628E-3</v>
      </c>
      <c r="R1259" s="845">
        <v>934.97</v>
      </c>
      <c r="S1259" s="846">
        <f t="shared" si="212"/>
        <v>3.3697133597330176E-3</v>
      </c>
      <c r="T1259" s="845">
        <v>68.849999999999994</v>
      </c>
      <c r="U1259" s="846">
        <f t="shared" si="213"/>
        <v>3.7906400349903002E-3</v>
      </c>
      <c r="V1259" s="845">
        <v>123.291</v>
      </c>
      <c r="W1259" s="846">
        <f t="shared" si="214"/>
        <v>6.1236847216350476E-3</v>
      </c>
      <c r="X1259" s="845">
        <v>29276.82</v>
      </c>
      <c r="Y1259" s="846">
        <f t="shared" si="215"/>
        <v>5.9895177426276813E-3</v>
      </c>
      <c r="Z1259" s="845">
        <v>3352.0940000000001</v>
      </c>
      <c r="AA1259" s="846">
        <f t="shared" si="216"/>
        <v>7.3284999949965179E-3</v>
      </c>
    </row>
    <row r="1260" spans="1:27" ht="14.4" x14ac:dyDescent="0.55000000000000004">
      <c r="A1260" s="861" t="s">
        <v>6419</v>
      </c>
      <c r="B1260" s="842">
        <v>117.59</v>
      </c>
      <c r="C1260" s="843">
        <f t="shared" si="210"/>
        <v>-5.9493455719861199E-4</v>
      </c>
      <c r="D1260" s="842">
        <v>42.48</v>
      </c>
      <c r="E1260" s="843">
        <f t="shared" si="210"/>
        <v>3.780718336483746E-3</v>
      </c>
      <c r="F1260" s="842">
        <v>29.8</v>
      </c>
      <c r="G1260" s="843">
        <f t="shared" si="210"/>
        <v>-1.6750418760469454E-3</v>
      </c>
      <c r="H1260" s="842">
        <v>73.69</v>
      </c>
      <c r="I1260" s="843">
        <f t="shared" si="210"/>
        <v>-6.7394527564361706E-3</v>
      </c>
      <c r="J1260" s="842">
        <v>94.5</v>
      </c>
      <c r="K1260" s="843">
        <f t="shared" si="210"/>
        <v>-8.3945435466946661E-3</v>
      </c>
      <c r="L1260" s="842">
        <v>77.19</v>
      </c>
      <c r="M1260" s="843">
        <f t="shared" si="210"/>
        <v>2.3373587845734178E-3</v>
      </c>
      <c r="N1260" s="842">
        <v>86.16</v>
      </c>
      <c r="O1260" s="843">
        <f t="shared" si="211"/>
        <v>-3.4806822137145588E-4</v>
      </c>
      <c r="P1260" s="844">
        <f t="shared" si="217"/>
        <v>-1.6619948338129551E-3</v>
      </c>
      <c r="R1260" s="845">
        <v>931.83</v>
      </c>
      <c r="S1260" s="846">
        <f t="shared" si="212"/>
        <v>-3.5608879763889822E-3</v>
      </c>
      <c r="T1260" s="845">
        <v>68.59</v>
      </c>
      <c r="U1260" s="846">
        <f t="shared" si="213"/>
        <v>-3.1972097078912798E-3</v>
      </c>
      <c r="V1260" s="845">
        <v>122.5406</v>
      </c>
      <c r="W1260" s="846">
        <f t="shared" si="214"/>
        <v>-5.9536625627176765E-4</v>
      </c>
      <c r="X1260" s="845">
        <v>29102.51</v>
      </c>
      <c r="Y1260" s="846">
        <f t="shared" si="215"/>
        <v>-9.4371058725103429E-3</v>
      </c>
      <c r="Z1260" s="845">
        <v>3327.7069000000001</v>
      </c>
      <c r="AA1260" s="846">
        <f t="shared" si="216"/>
        <v>-5.4020273712483968E-3</v>
      </c>
    </row>
    <row r="1261" spans="1:27" ht="14.4" x14ac:dyDescent="0.55000000000000004">
      <c r="A1261" s="861" t="s">
        <v>6420</v>
      </c>
      <c r="B1261" s="842">
        <v>117.66</v>
      </c>
      <c r="C1261" s="843">
        <f t="shared" si="210"/>
        <v>-5.2417991207305281E-3</v>
      </c>
      <c r="D1261" s="842">
        <v>42.32</v>
      </c>
      <c r="E1261" s="843">
        <f t="shared" si="210"/>
        <v>4.0332147093713466E-3</v>
      </c>
      <c r="F1261" s="842">
        <v>29.85</v>
      </c>
      <c r="G1261" s="843">
        <f t="shared" si="210"/>
        <v>2.6872690628150231E-3</v>
      </c>
      <c r="H1261" s="842">
        <v>74.19</v>
      </c>
      <c r="I1261" s="843">
        <f t="shared" si="210"/>
        <v>-7.093147751605966E-3</v>
      </c>
      <c r="J1261" s="842">
        <v>95.3</v>
      </c>
      <c r="K1261" s="843">
        <f t="shared" si="210"/>
        <v>-6.4637197664720869E-3</v>
      </c>
      <c r="L1261" s="842">
        <v>77.010000000000005</v>
      </c>
      <c r="M1261" s="843">
        <f t="shared" si="210"/>
        <v>-1.1673151750971611E-3</v>
      </c>
      <c r="N1261" s="842">
        <v>86.19</v>
      </c>
      <c r="O1261" s="843">
        <f t="shared" si="211"/>
        <v>-4.7344110854502519E-3</v>
      </c>
      <c r="P1261" s="844">
        <f t="shared" si="217"/>
        <v>-2.5685584467385176E-3</v>
      </c>
      <c r="R1261" s="845">
        <v>935.16</v>
      </c>
      <c r="S1261" s="846">
        <f t="shared" si="212"/>
        <v>3.3160400064180529E-4</v>
      </c>
      <c r="T1261" s="845">
        <v>68.81</v>
      </c>
      <c r="U1261" s="846">
        <f t="shared" si="213"/>
        <v>2.9073993312977997E-4</v>
      </c>
      <c r="V1261" s="845">
        <v>122.61360000000001</v>
      </c>
      <c r="W1261" s="846">
        <f t="shared" si="214"/>
        <v>-5.2417781318629952E-3</v>
      </c>
      <c r="X1261" s="845">
        <v>29379.77</v>
      </c>
      <c r="Y1261" s="846">
        <f t="shared" si="215"/>
        <v>3.0357603142279199E-3</v>
      </c>
      <c r="Z1261" s="845">
        <v>3345.7809000000002</v>
      </c>
      <c r="AA1261" s="846">
        <f t="shared" si="216"/>
        <v>3.324622589842896E-3</v>
      </c>
    </row>
    <row r="1262" spans="1:27" ht="14.4" x14ac:dyDescent="0.55000000000000004">
      <c r="A1262" s="861" t="s">
        <v>6421</v>
      </c>
      <c r="B1262" s="842">
        <v>118.28</v>
      </c>
      <c r="C1262" s="843">
        <f t="shared" si="210"/>
        <v>9.0428254564067778E-3</v>
      </c>
      <c r="D1262" s="842">
        <v>42.15</v>
      </c>
      <c r="E1262" s="843">
        <f t="shared" si="210"/>
        <v>9.339080459770166E-3</v>
      </c>
      <c r="F1262" s="842">
        <v>29.77</v>
      </c>
      <c r="G1262" s="843">
        <f t="shared" si="210"/>
        <v>9.8371777476253808E-3</v>
      </c>
      <c r="H1262" s="842">
        <v>74.72</v>
      </c>
      <c r="I1262" s="843">
        <f t="shared" si="210"/>
        <v>-4.3970686209193754E-3</v>
      </c>
      <c r="J1262" s="842">
        <v>95.92</v>
      </c>
      <c r="K1262" s="843">
        <f t="shared" si="210"/>
        <v>8.9407804775429867E-3</v>
      </c>
      <c r="L1262" s="842">
        <v>77.099999999999994</v>
      </c>
      <c r="M1262" s="843">
        <f t="shared" si="210"/>
        <v>1.1686793922864869E-3</v>
      </c>
      <c r="N1262" s="842">
        <v>86.6</v>
      </c>
      <c r="O1262" s="843">
        <f t="shared" si="211"/>
        <v>2.1226415094339535E-2</v>
      </c>
      <c r="P1262" s="844">
        <f t="shared" si="217"/>
        <v>7.8796985724359937E-3</v>
      </c>
      <c r="R1262" s="845">
        <v>934.85</v>
      </c>
      <c r="S1262" s="846">
        <f t="shared" si="212"/>
        <v>4.847690091794421E-3</v>
      </c>
      <c r="T1262" s="845">
        <v>68.790000000000006</v>
      </c>
      <c r="U1262" s="846">
        <f t="shared" si="213"/>
        <v>4.0869945993284862E-3</v>
      </c>
      <c r="V1262" s="845">
        <v>123.2597</v>
      </c>
      <c r="W1262" s="846">
        <f t="shared" si="214"/>
        <v>9.0426023964613744E-3</v>
      </c>
      <c r="X1262" s="845">
        <v>29290.85</v>
      </c>
      <c r="Y1262" s="846">
        <f t="shared" si="215"/>
        <v>1.6774028269593844E-2</v>
      </c>
      <c r="Z1262" s="845">
        <v>3334.6943000000001</v>
      </c>
      <c r="AA1262" s="846">
        <f t="shared" si="216"/>
        <v>1.1252496597361716E-2</v>
      </c>
    </row>
    <row r="1263" spans="1:27" ht="14.4" x14ac:dyDescent="0.55000000000000004">
      <c r="A1263" s="861" t="s">
        <v>6422</v>
      </c>
      <c r="B1263" s="842">
        <v>117.22</v>
      </c>
      <c r="C1263" s="843">
        <f t="shared" si="210"/>
        <v>-1.2218757900058996E-2</v>
      </c>
      <c r="D1263" s="842">
        <v>41.76</v>
      </c>
      <c r="E1263" s="843">
        <f t="shared" si="210"/>
        <v>-1.5094339622641506E-2</v>
      </c>
      <c r="F1263" s="842">
        <v>29.48</v>
      </c>
      <c r="G1263" s="843">
        <f t="shared" si="210"/>
        <v>-1.0406176569318526E-2</v>
      </c>
      <c r="H1263" s="842">
        <v>75.05</v>
      </c>
      <c r="I1263" s="843">
        <f t="shared" si="210"/>
        <v>-5.3269410041290044E-4</v>
      </c>
      <c r="J1263" s="842">
        <v>95.07</v>
      </c>
      <c r="K1263" s="843">
        <f t="shared" si="210"/>
        <v>-4.3983663210807045E-3</v>
      </c>
      <c r="L1263" s="842">
        <v>77.010000000000005</v>
      </c>
      <c r="M1263" s="843">
        <f t="shared" si="210"/>
        <v>3.5183737294763873E-3</v>
      </c>
      <c r="N1263" s="842">
        <v>84.8</v>
      </c>
      <c r="O1263" s="843">
        <f t="shared" si="211"/>
        <v>-7.9550772110436041E-3</v>
      </c>
      <c r="P1263" s="844">
        <f t="shared" si="217"/>
        <v>-6.726719713582836E-3</v>
      </c>
      <c r="R1263" s="845">
        <v>930.34</v>
      </c>
      <c r="S1263" s="846">
        <f t="shared" si="212"/>
        <v>-1.0981534438219476E-2</v>
      </c>
      <c r="T1263" s="845">
        <v>68.510000000000005</v>
      </c>
      <c r="U1263" s="846">
        <f t="shared" si="213"/>
        <v>-9.971098265895928E-3</v>
      </c>
      <c r="V1263" s="845">
        <v>122.1551</v>
      </c>
      <c r="W1263" s="846">
        <f t="shared" si="214"/>
        <v>-1.2218384828178386E-2</v>
      </c>
      <c r="X1263" s="845">
        <v>28807.63</v>
      </c>
      <c r="Y1263" s="846">
        <f t="shared" si="215"/>
        <v>1.4359955225052623E-2</v>
      </c>
      <c r="Z1263" s="845">
        <v>3297.5882000000001</v>
      </c>
      <c r="AA1263" s="846">
        <f t="shared" si="216"/>
        <v>1.4978246650815263E-2</v>
      </c>
    </row>
    <row r="1264" spans="1:27" ht="14.4" x14ac:dyDescent="0.55000000000000004">
      <c r="A1264" s="861" t="s">
        <v>6423</v>
      </c>
      <c r="B1264" s="842">
        <v>118.67</v>
      </c>
      <c r="C1264" s="843">
        <f t="shared" si="210"/>
        <v>1.4013500811757673E-2</v>
      </c>
      <c r="D1264" s="842">
        <v>42.4</v>
      </c>
      <c r="E1264" s="843">
        <f t="shared" si="210"/>
        <v>2.6137463697966989E-2</v>
      </c>
      <c r="F1264" s="842">
        <v>29.79</v>
      </c>
      <c r="G1264" s="843">
        <f t="shared" si="210"/>
        <v>1.6376663254861867E-2</v>
      </c>
      <c r="H1264" s="842">
        <v>75.09</v>
      </c>
      <c r="I1264" s="843">
        <f t="shared" si="210"/>
        <v>2.3303352412101574E-2</v>
      </c>
      <c r="J1264" s="842">
        <v>95.49</v>
      </c>
      <c r="K1264" s="843">
        <f t="shared" si="210"/>
        <v>1.0476190476190528E-2</v>
      </c>
      <c r="L1264" s="842">
        <v>76.739999999999995</v>
      </c>
      <c r="M1264" s="843">
        <f t="shared" si="210"/>
        <v>1.6289233214143772E-2</v>
      </c>
      <c r="N1264" s="842">
        <v>85.48</v>
      </c>
      <c r="O1264" s="843">
        <f t="shared" si="211"/>
        <v>1.3757115749525761E-2</v>
      </c>
      <c r="P1264" s="844">
        <f t="shared" si="217"/>
        <v>1.7193359945221167E-2</v>
      </c>
      <c r="R1264" s="845">
        <v>940.67</v>
      </c>
      <c r="S1264" s="846">
        <f t="shared" si="212"/>
        <v>2.2374463279242196E-3</v>
      </c>
      <c r="T1264" s="845">
        <v>69.2</v>
      </c>
      <c r="U1264" s="846">
        <f t="shared" si="213"/>
        <v>3.1893302406493795E-3</v>
      </c>
      <c r="V1264" s="845">
        <v>123.6661</v>
      </c>
      <c r="W1264" s="846">
        <f t="shared" si="214"/>
        <v>1.401312428714685E-2</v>
      </c>
      <c r="X1264" s="845">
        <v>28399.81</v>
      </c>
      <c r="Y1264" s="846">
        <f t="shared" si="215"/>
        <v>5.0884713811529814E-3</v>
      </c>
      <c r="Z1264" s="845">
        <v>3248.9250000000002</v>
      </c>
      <c r="AA1264" s="846">
        <f t="shared" si="216"/>
        <v>7.2573497768404494E-3</v>
      </c>
    </row>
    <row r="1265" spans="1:28" ht="14.4" x14ac:dyDescent="0.55000000000000004">
      <c r="A1265" s="861" t="s">
        <v>6424</v>
      </c>
      <c r="B1265" s="842">
        <v>117.03</v>
      </c>
      <c r="C1265" s="843">
        <f t="shared" si="210"/>
        <v>-2.981768614755409E-3</v>
      </c>
      <c r="D1265" s="842">
        <v>41.32</v>
      </c>
      <c r="E1265" s="843">
        <f t="shared" si="210"/>
        <v>-2.131691141639025E-2</v>
      </c>
      <c r="F1265" s="842">
        <v>29.31</v>
      </c>
      <c r="G1265" s="843">
        <f t="shared" si="210"/>
        <v>7.2164948453607991E-3</v>
      </c>
      <c r="H1265" s="842">
        <v>73.38</v>
      </c>
      <c r="I1265" s="843">
        <f t="shared" si="210"/>
        <v>-9.1817445314610335E-3</v>
      </c>
      <c r="J1265" s="842">
        <v>94.5</v>
      </c>
      <c r="K1265" s="843">
        <f t="shared" si="210"/>
        <v>-2.1333885666942831E-2</v>
      </c>
      <c r="L1265" s="842">
        <v>75.510000000000005</v>
      </c>
      <c r="M1265" s="843">
        <f t="shared" si="210"/>
        <v>-1.4744258872651295E-2</v>
      </c>
      <c r="N1265" s="842">
        <v>84.32</v>
      </c>
      <c r="O1265" s="843">
        <f t="shared" si="211"/>
        <v>-5.8948361235557911E-3</v>
      </c>
      <c r="P1265" s="844">
        <f t="shared" si="217"/>
        <v>-9.7481300543422588E-3</v>
      </c>
      <c r="R1265" s="845">
        <v>938.57</v>
      </c>
      <c r="S1265" s="846">
        <f t="shared" si="212"/>
        <v>-4.7294359670423392E-3</v>
      </c>
      <c r="T1265" s="845">
        <v>68.98</v>
      </c>
      <c r="U1265" s="846">
        <f t="shared" si="213"/>
        <v>-4.473950064944443E-3</v>
      </c>
      <c r="V1265" s="845">
        <v>121.9571</v>
      </c>
      <c r="W1265" s="846">
        <f t="shared" si="214"/>
        <v>-2.9814799978417073E-3</v>
      </c>
      <c r="X1265" s="845">
        <v>28256.03</v>
      </c>
      <c r="Y1265" s="846">
        <f t="shared" si="215"/>
        <v>-2.0908583118729895E-2</v>
      </c>
      <c r="Z1265" s="845">
        <v>3225.5162999999998</v>
      </c>
      <c r="AA1265" s="846">
        <f t="shared" si="216"/>
        <v>-1.7706680261257435E-2</v>
      </c>
    </row>
    <row r="1266" spans="1:28" ht="14.4" x14ac:dyDescent="0.55000000000000004">
      <c r="A1266" s="861" t="s">
        <v>6425</v>
      </c>
      <c r="B1266" s="842">
        <v>117.38</v>
      </c>
      <c r="C1266" s="843" t="str">
        <f>IFERROR(((B1266/#REF!)-1), "NA")</f>
        <v>NA</v>
      </c>
      <c r="D1266" s="842">
        <v>42.22</v>
      </c>
      <c r="E1266" s="843" t="str">
        <f>IFERROR(((D1266/#REF!)-1), "NA")</f>
        <v>NA</v>
      </c>
      <c r="F1266" s="842">
        <v>29.1</v>
      </c>
      <c r="G1266" s="843" t="str">
        <f>IFERROR(((F1266/#REF!)-1), "NA")</f>
        <v>NA</v>
      </c>
      <c r="H1266" s="842">
        <v>74.06</v>
      </c>
      <c r="I1266" s="843" t="str">
        <f>IFERROR(((H1266/#REF!)-1), "NA")</f>
        <v>NA</v>
      </c>
      <c r="J1266" s="842">
        <v>96.56</v>
      </c>
      <c r="K1266" s="843" t="str">
        <f>IFERROR(((J1266/#REF!)-1), "NA")</f>
        <v>NA</v>
      </c>
      <c r="L1266" s="842">
        <v>76.64</v>
      </c>
      <c r="M1266" s="843" t="str">
        <f>IFERROR(((L1266/#REF!)-1), "NA")</f>
        <v>NA</v>
      </c>
      <c r="N1266" s="842">
        <v>84.82</v>
      </c>
      <c r="O1266" s="843" t="str">
        <f>IFERROR(((N1266/#REF!)-1), "NA")</f>
        <v>NA</v>
      </c>
      <c r="P1266" s="844" t="str">
        <f t="shared" si="217"/>
        <v>NA</v>
      </c>
      <c r="R1266" s="845">
        <v>943.03</v>
      </c>
      <c r="S1266" s="846" t="str">
        <f t="shared" si="212"/>
        <v>NA</v>
      </c>
      <c r="T1266" s="845">
        <v>69.290000000000006</v>
      </c>
      <c r="U1266" s="846" t="str">
        <f t="shared" si="213"/>
        <v>NA</v>
      </c>
      <c r="V1266" s="845">
        <v>122.3218</v>
      </c>
      <c r="W1266" s="846" t="str">
        <f t="shared" si="214"/>
        <v>NA</v>
      </c>
      <c r="X1266" s="845">
        <v>28859.439999999999</v>
      </c>
      <c r="Y1266" s="846" t="str">
        <f t="shared" si="215"/>
        <v>NA</v>
      </c>
      <c r="Z1266" s="845">
        <v>3283.6590000000001</v>
      </c>
      <c r="AA1266" s="846" t="str">
        <f t="shared" si="216"/>
        <v>NA</v>
      </c>
    </row>
    <row r="1267" spans="1:28" x14ac:dyDescent="0.45">
      <c r="A1267" s="857"/>
      <c r="B1267" s="864"/>
      <c r="C1267" s="843"/>
      <c r="D1267" s="830"/>
      <c r="E1267" s="843"/>
      <c r="F1267" s="830"/>
      <c r="G1267" s="843"/>
      <c r="H1267" s="838"/>
      <c r="I1267" s="843"/>
      <c r="J1267" s="865"/>
      <c r="K1267" s="843"/>
      <c r="L1267" s="830"/>
      <c r="M1267" s="843"/>
      <c r="N1267" s="838"/>
      <c r="O1267" s="843"/>
      <c r="P1267" s="844"/>
      <c r="Q1267" s="830"/>
      <c r="R1267" s="838"/>
      <c r="S1267" s="843"/>
      <c r="T1267" s="838"/>
      <c r="U1267" s="846"/>
      <c r="V1267" s="846"/>
      <c r="W1267" s="846"/>
      <c r="X1267" s="838"/>
      <c r="Y1267" s="843"/>
      <c r="Z1267" s="838"/>
      <c r="AA1267" s="843"/>
    </row>
    <row r="1268" spans="1:28" x14ac:dyDescent="0.45">
      <c r="A1268" s="866"/>
      <c r="C1268" s="859"/>
      <c r="D1268" s="864"/>
      <c r="E1268" s="859"/>
      <c r="F1268" s="864"/>
      <c r="G1268" s="859"/>
      <c r="H1268" s="859"/>
      <c r="I1268" s="859"/>
      <c r="J1268" s="859"/>
      <c r="K1268" s="859"/>
      <c r="L1268" s="859"/>
      <c r="M1268" s="859"/>
      <c r="N1268" s="859"/>
      <c r="O1268" s="859"/>
      <c r="P1268" s="830"/>
      <c r="Q1268" s="830"/>
      <c r="R1268" s="864"/>
      <c r="S1268" s="859"/>
      <c r="T1268" s="864"/>
      <c r="U1268" s="859"/>
      <c r="V1268" s="859"/>
      <c r="W1268" s="859"/>
      <c r="X1268" s="864"/>
      <c r="Y1268" s="859"/>
      <c r="Z1268" s="864"/>
      <c r="AA1268" s="859"/>
    </row>
    <row r="1269" spans="1:28" x14ac:dyDescent="0.45">
      <c r="A1269" s="832"/>
      <c r="B1269" s="832" t="str">
        <f>B5</f>
        <v>ATO</v>
      </c>
      <c r="C1269" s="832"/>
      <c r="D1269" s="832" t="str">
        <f t="shared" ref="D1269:Z1269" si="218">D5</f>
        <v>NJR</v>
      </c>
      <c r="E1269" s="832"/>
      <c r="F1269" s="832" t="str">
        <f t="shared" si="218"/>
        <v>NI</v>
      </c>
      <c r="G1269" s="832"/>
      <c r="H1269" s="832" t="str">
        <f t="shared" si="218"/>
        <v>NWN</v>
      </c>
      <c r="I1269" s="832"/>
      <c r="J1269" s="832" t="str">
        <f t="shared" si="218"/>
        <v>OGS</v>
      </c>
      <c r="K1269" s="832"/>
      <c r="L1269" s="832" t="str">
        <f t="shared" si="218"/>
        <v>SWX</v>
      </c>
      <c r="M1269" s="832"/>
      <c r="N1269" s="832" t="str">
        <f t="shared" si="218"/>
        <v>SR</v>
      </c>
      <c r="O1269" s="832"/>
      <c r="P1269" s="832"/>
      <c r="Q1269" s="832"/>
      <c r="R1269" s="832" t="str">
        <f t="shared" si="218"/>
        <v>^Dow Jones Utility</v>
      </c>
      <c r="S1269" s="832"/>
      <c r="T1269" s="832" t="str">
        <f t="shared" si="218"/>
        <v>XLU</v>
      </c>
      <c r="U1269" s="832"/>
      <c r="V1269" s="832" t="s">
        <v>7103</v>
      </c>
      <c r="W1269" s="832"/>
      <c r="X1269" s="832" t="str">
        <f t="shared" si="218"/>
        <v>^DJIA</v>
      </c>
      <c r="Y1269" s="832"/>
      <c r="Z1269" s="832" t="str">
        <f t="shared" si="218"/>
        <v>^S&amp;P 500</v>
      </c>
      <c r="AA1269" s="832"/>
      <c r="AB1269" s="832"/>
    </row>
    <row r="1270" spans="1:28" x14ac:dyDescent="0.45">
      <c r="A1270" s="867" t="s">
        <v>6426</v>
      </c>
      <c r="B1270" s="868">
        <f>B1265</f>
        <v>117.03</v>
      </c>
      <c r="C1270" s="868"/>
      <c r="D1270" s="868">
        <f>D1265</f>
        <v>41.32</v>
      </c>
      <c r="E1270" s="868"/>
      <c r="F1270" s="868">
        <f>F1265</f>
        <v>29.31</v>
      </c>
      <c r="G1270" s="868"/>
      <c r="H1270" s="868">
        <f>H1265</f>
        <v>73.38</v>
      </c>
      <c r="I1270" s="868"/>
      <c r="J1270" s="868">
        <f>J1265</f>
        <v>94.5</v>
      </c>
      <c r="K1270" s="868"/>
      <c r="L1270" s="868">
        <f>L1265</f>
        <v>75.510000000000005</v>
      </c>
      <c r="M1270" s="868"/>
      <c r="N1270" s="868">
        <f>N1265</f>
        <v>84.32</v>
      </c>
      <c r="O1270" s="868"/>
      <c r="P1270" s="868"/>
      <c r="Q1270" s="832"/>
      <c r="R1270" s="868">
        <f>R1265</f>
        <v>938.57</v>
      </c>
      <c r="S1270" s="868"/>
      <c r="T1270" s="868">
        <f>T1265</f>
        <v>68.98</v>
      </c>
      <c r="U1270" s="868"/>
      <c r="V1270" s="868">
        <f>V1265</f>
        <v>121.9571</v>
      </c>
      <c r="W1270" s="868"/>
      <c r="X1270" s="868">
        <f>X1265</f>
        <v>28256.03</v>
      </c>
      <c r="Y1270" s="853"/>
      <c r="Z1270" s="868">
        <f>Z1265</f>
        <v>3225.5162999999998</v>
      </c>
      <c r="AA1270" s="853"/>
    </row>
    <row r="1271" spans="1:28" x14ac:dyDescent="0.45">
      <c r="A1271" s="853" t="s">
        <v>6427</v>
      </c>
      <c r="B1271" s="868">
        <f>B8</f>
        <v>142.51</v>
      </c>
      <c r="C1271" s="868"/>
      <c r="D1271" s="868">
        <f>D8</f>
        <v>47.95</v>
      </c>
      <c r="E1271" s="868"/>
      <c r="F1271" s="868">
        <f>F8</f>
        <v>37.299999999999997</v>
      </c>
      <c r="G1271" s="868"/>
      <c r="H1271" s="868">
        <f>H8</f>
        <v>39.92</v>
      </c>
      <c r="I1271" s="868"/>
      <c r="J1271" s="868">
        <f>J8</f>
        <v>70.64</v>
      </c>
      <c r="K1271" s="868"/>
      <c r="L1271" s="868">
        <f>L8</f>
        <v>74.680000000000007</v>
      </c>
      <c r="M1271" s="868"/>
      <c r="N1271" s="868">
        <f>N8</f>
        <v>70.959999999999994</v>
      </c>
      <c r="O1271" s="868"/>
      <c r="P1271" s="868"/>
      <c r="Q1271" s="868"/>
      <c r="R1271" s="868">
        <f t="shared" ref="R1271" si="219">R8</f>
        <v>999.54</v>
      </c>
      <c r="S1271" s="868"/>
      <c r="T1271" s="868">
        <f t="shared" ref="T1271:V1271" si="220">T8</f>
        <v>77.88</v>
      </c>
      <c r="U1271" s="868"/>
      <c r="V1271" s="868">
        <f t="shared" si="220"/>
        <v>148.50980000000001</v>
      </c>
      <c r="W1271" s="868"/>
      <c r="X1271" s="868">
        <f t="shared" ref="X1271" si="221">X8</f>
        <v>44544.66</v>
      </c>
      <c r="Y1271" s="868"/>
      <c r="Z1271" s="868">
        <f t="shared" ref="Z1271" si="222">Z8</f>
        <v>6040.5258999999996</v>
      </c>
      <c r="AA1271" s="853"/>
    </row>
    <row r="1272" spans="1:28" x14ac:dyDescent="0.45">
      <c r="A1272" s="853" t="s">
        <v>6428</v>
      </c>
      <c r="B1272" s="860">
        <f>(B1271-B1270)/B1270</f>
        <v>0.21772195163633248</v>
      </c>
      <c r="C1272" s="860"/>
      <c r="D1272" s="860">
        <f>(D1271-D1270)/D1270</f>
        <v>0.16045498547918691</v>
      </c>
      <c r="E1272" s="860"/>
      <c r="F1272" s="860">
        <f>(F1271-F1270)/F1270</f>
        <v>0.27260320709655406</v>
      </c>
      <c r="G1272" s="860"/>
      <c r="H1272" s="860">
        <f>(H1271-H1270)/H1270</f>
        <v>-0.45598255655491954</v>
      </c>
      <c r="I1272" s="860"/>
      <c r="J1272" s="860">
        <f>(J1271-J1270)/J1270</f>
        <v>-0.25248677248677248</v>
      </c>
      <c r="K1272" s="860"/>
      <c r="L1272" s="860">
        <f>(L1271-L1270)/L1270</f>
        <v>-1.0991921599788084E-2</v>
      </c>
      <c r="M1272" s="860"/>
      <c r="N1272" s="860">
        <f>(N1271-N1270)/N1270</f>
        <v>-0.15844402277039848</v>
      </c>
      <c r="O1272" s="853"/>
      <c r="P1272" s="863">
        <f>AVERAGE(B1272:O1272)</f>
        <v>-3.2446447028543594E-2</v>
      </c>
      <c r="Q1272" s="862"/>
      <c r="R1272" s="860">
        <f>(R1271-R1270)/R1270</f>
        <v>6.496052505407153E-2</v>
      </c>
      <c r="S1272" s="853"/>
      <c r="T1272" s="860">
        <f>(T1271-T1270)/T1270</f>
        <v>0.12902290518991</v>
      </c>
      <c r="U1272" s="853"/>
      <c r="V1272" s="860">
        <f>(V1271-V1270)/V1270</f>
        <v>0.21772164146244882</v>
      </c>
      <c r="W1272" s="853"/>
      <c r="X1272" s="860">
        <f>(X1271-X1270)/X1270</f>
        <v>0.57646562521345024</v>
      </c>
      <c r="Y1272" s="853"/>
      <c r="Z1272" s="860">
        <f>(Z1271-Z1270)/Z1270</f>
        <v>0.87273147557803388</v>
      </c>
      <c r="AA1272" s="853"/>
    </row>
    <row r="1273" spans="1:28" x14ac:dyDescent="0.45">
      <c r="A1273" s="853"/>
      <c r="B1273" s="860"/>
      <c r="C1273" s="853"/>
      <c r="D1273" s="860"/>
      <c r="E1273" s="853"/>
      <c r="F1273" s="860"/>
      <c r="G1273" s="853"/>
      <c r="H1273" s="860"/>
      <c r="I1273" s="853"/>
      <c r="J1273" s="853"/>
      <c r="K1273" s="853"/>
      <c r="L1273" s="860"/>
      <c r="M1273" s="853"/>
      <c r="N1273" s="860"/>
      <c r="O1273" s="853"/>
      <c r="P1273" s="863"/>
      <c r="Q1273" s="862"/>
      <c r="R1273" s="860"/>
      <c r="S1273" s="853"/>
      <c r="T1273" s="860"/>
      <c r="U1273" s="853"/>
      <c r="V1273" s="853"/>
      <c r="W1273" s="853"/>
      <c r="X1273" s="860"/>
      <c r="Y1273" s="853"/>
      <c r="Z1273" s="860"/>
      <c r="AA1273" s="853"/>
    </row>
    <row r="1274" spans="1:28" x14ac:dyDescent="0.45">
      <c r="A1274" s="853"/>
      <c r="B1274" s="853"/>
      <c r="C1274" s="853" t="str">
        <f>B5</f>
        <v>ATO</v>
      </c>
      <c r="D1274" s="853"/>
      <c r="E1274" s="853" t="str">
        <f t="shared" ref="E1274:AA1274" si="223">D5</f>
        <v>NJR</v>
      </c>
      <c r="F1274" s="853"/>
      <c r="G1274" s="853" t="str">
        <f t="shared" si="223"/>
        <v>NI</v>
      </c>
      <c r="H1274" s="853"/>
      <c r="I1274" s="853" t="str">
        <f t="shared" si="223"/>
        <v>NWN</v>
      </c>
      <c r="J1274" s="853"/>
      <c r="K1274" s="853" t="str">
        <f t="shared" si="223"/>
        <v>OGS</v>
      </c>
      <c r="L1274" s="853"/>
      <c r="M1274" s="853" t="str">
        <f t="shared" si="223"/>
        <v>SWX</v>
      </c>
      <c r="N1274" s="853"/>
      <c r="O1274" s="853" t="str">
        <f t="shared" si="223"/>
        <v>SR</v>
      </c>
      <c r="P1274" s="853"/>
      <c r="Q1274" s="853"/>
      <c r="R1274" s="853"/>
      <c r="S1274" s="853" t="str">
        <f t="shared" si="223"/>
        <v>^Dow Jones Utility</v>
      </c>
      <c r="T1274" s="853"/>
      <c r="U1274" s="853" t="str">
        <f t="shared" si="223"/>
        <v>XLU</v>
      </c>
      <c r="W1274" s="832" t="s">
        <v>7103</v>
      </c>
      <c r="X1274" s="853"/>
      <c r="Y1274" s="853" t="str">
        <f t="shared" si="223"/>
        <v>^DJIA</v>
      </c>
      <c r="Z1274" s="853"/>
      <c r="AA1274" s="853" t="str">
        <f t="shared" si="223"/>
        <v>^S&amp;P 500</v>
      </c>
      <c r="AB1274" s="853"/>
    </row>
    <row r="1275" spans="1:28" x14ac:dyDescent="0.45">
      <c r="A1275" s="853" t="s">
        <v>6429</v>
      </c>
      <c r="B1275" s="853"/>
      <c r="C1275" s="860">
        <f>_xlfn.STDEV.S(C8:C1265)</f>
        <v>1.6126179998781777E-2</v>
      </c>
      <c r="D1275" s="860"/>
      <c r="E1275" s="860">
        <f>_xlfn.STDEV.S(E8:E1265)</f>
        <v>2.2077644664273293E-2</v>
      </c>
      <c r="F1275" s="860"/>
      <c r="G1275" s="860">
        <f>_xlfn.STDEV.S(G8:G1265)</f>
        <v>1.7148241508983104E-2</v>
      </c>
      <c r="H1275" s="860"/>
      <c r="I1275" s="860">
        <f>_xlfn.STDEV.S(I8:I1265)</f>
        <v>2.2094670524648172E-2</v>
      </c>
      <c r="J1275" s="860"/>
      <c r="K1275" s="860">
        <f>_xlfn.STDEV.S(K8:K1265)</f>
        <v>2.0159864748948132E-2</v>
      </c>
      <c r="L1275" s="860"/>
      <c r="M1275" s="860">
        <f>_xlfn.STDEV.S(M8:M1265)</f>
        <v>2.0779778149536146E-2</v>
      </c>
      <c r="N1275" s="860"/>
      <c r="O1275" s="860">
        <f>_xlfn.STDEV.S(O8:O1265)</f>
        <v>1.8835762904975746E-2</v>
      </c>
      <c r="P1275" s="869"/>
      <c r="Q1275" s="863">
        <f>AVERAGE(C1275:O1275)</f>
        <v>1.9603163214306624E-2</v>
      </c>
      <c r="R1275" s="853"/>
      <c r="S1275" s="860">
        <f>_xlfn.STDEV.S(S8:S1265)</f>
        <v>1.4727401886644939E-2</v>
      </c>
      <c r="T1275" s="853"/>
      <c r="U1275" s="860">
        <f>_xlfn.STDEV.S(U8:U1265)</f>
        <v>1.4799601770833502E-2</v>
      </c>
      <c r="V1275" s="860"/>
      <c r="W1275" s="860">
        <f>_xlfn.STDEV.S(W8:W1265)</f>
        <v>1.6123010253813363E-2</v>
      </c>
      <c r="X1275" s="853"/>
      <c r="Y1275" s="860">
        <f>_xlfn.STDEV.S(Y8:Y1265)</f>
        <v>1.3079499818643153E-2</v>
      </c>
      <c r="Z1275" s="853"/>
      <c r="AA1275" s="860">
        <f>_xlfn.STDEV.S(AA8:AA1265)</f>
        <v>1.3460231906859976E-2</v>
      </c>
    </row>
    <row r="1276" spans="1:28" x14ac:dyDescent="0.45">
      <c r="A1276" s="853" t="s">
        <v>5156</v>
      </c>
      <c r="B1276" s="853"/>
      <c r="C1276" s="860">
        <f>C1275*SQRT(252)</f>
        <v>0.2559951712454428</v>
      </c>
      <c r="D1276" s="853"/>
      <c r="E1276" s="860">
        <f>E1275*SQRT(252)</f>
        <v>0.3504717438943154</v>
      </c>
      <c r="F1276" s="853"/>
      <c r="G1276" s="860">
        <f>G1275*SQRT(252)</f>
        <v>0.27221989472906571</v>
      </c>
      <c r="H1276" s="860"/>
      <c r="I1276" s="860">
        <f>I1275*SQRT(252)</f>
        <v>0.35074202104876845</v>
      </c>
      <c r="J1276" s="860"/>
      <c r="K1276" s="860">
        <f>K1275*SQRT(252)</f>
        <v>0.3200279315424861</v>
      </c>
      <c r="L1276" s="860"/>
      <c r="M1276" s="860">
        <f>M1275*SQRT(252)</f>
        <v>0.32986875169659957</v>
      </c>
      <c r="N1276" s="860"/>
      <c r="O1276" s="860">
        <f>O1275*SQRT(252)</f>
        <v>0.29900846640444817</v>
      </c>
      <c r="P1276" s="862"/>
      <c r="Q1276" s="863">
        <f>AVERAGE(C1276:O1276)</f>
        <v>0.31119056865158939</v>
      </c>
      <c r="R1276" s="853"/>
      <c r="S1276" s="860">
        <f>S1275*SQRT(252)</f>
        <v>0.23379025710099585</v>
      </c>
      <c r="T1276" s="853"/>
      <c r="U1276" s="860">
        <f>U1275*SQRT(252)</f>
        <v>0.23493639473049946</v>
      </c>
      <c r="V1276" s="860"/>
      <c r="W1276" s="860">
        <f>W1275*SQRT(252)</f>
        <v>0.25594485310400727</v>
      </c>
      <c r="X1276" s="853"/>
      <c r="Y1276" s="860">
        <f>Y1275*SQRT(252)</f>
        <v>0.2076306227594652</v>
      </c>
      <c r="Z1276" s="853"/>
      <c r="AA1276" s="860">
        <f>AA1275*SQRT(252)</f>
        <v>0.21367455728884929</v>
      </c>
    </row>
    <row r="1277" spans="1:28" x14ac:dyDescent="0.45">
      <c r="A1277" s="832"/>
      <c r="B1277" s="832"/>
      <c r="C1277" s="832"/>
      <c r="D1277" s="832"/>
      <c r="E1277" s="832"/>
      <c r="F1277" s="832"/>
      <c r="G1277" s="832"/>
      <c r="H1277" s="832"/>
      <c r="I1277" s="832"/>
      <c r="J1277" s="832"/>
      <c r="K1277" s="832"/>
      <c r="L1277" s="832"/>
      <c r="M1277" s="832"/>
      <c r="N1277" s="832"/>
      <c r="O1277" s="832"/>
      <c r="P1277" s="832"/>
      <c r="Q1277" s="832"/>
      <c r="R1277" s="832"/>
      <c r="S1277" s="832"/>
      <c r="T1277" s="832"/>
      <c r="U1277" s="832"/>
      <c r="V1277" s="832"/>
      <c r="W1277" s="832"/>
      <c r="X1277" s="832"/>
      <c r="Y1277" s="832"/>
      <c r="Z1277" s="868"/>
      <c r="AA1277" s="832"/>
    </row>
    <row r="1278" spans="1:28" x14ac:dyDescent="0.45">
      <c r="A1278" s="828" t="s">
        <v>5190</v>
      </c>
    </row>
  </sheetData>
  <mergeCells count="23">
    <mergeCell ref="A1:AC1"/>
    <mergeCell ref="AD1:AI1"/>
    <mergeCell ref="A2:AC2"/>
    <mergeCell ref="AD2:AI2"/>
    <mergeCell ref="A3:AC3"/>
    <mergeCell ref="AD3:AI3"/>
    <mergeCell ref="B6:C6"/>
    <mergeCell ref="D6:E6"/>
    <mergeCell ref="F6:G6"/>
    <mergeCell ref="H6:I6"/>
    <mergeCell ref="L6:M6"/>
    <mergeCell ref="R4:S4"/>
    <mergeCell ref="T4:U4"/>
    <mergeCell ref="V4:W4"/>
    <mergeCell ref="X4:Y4"/>
    <mergeCell ref="Z4:AA4"/>
    <mergeCell ref="AE30:AI30"/>
    <mergeCell ref="N6:O6"/>
    <mergeCell ref="P6:Q6"/>
    <mergeCell ref="R6:S6"/>
    <mergeCell ref="T6:U6"/>
    <mergeCell ref="X6:Y6"/>
    <mergeCell ref="Z6:AA6"/>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10B87-2362-421C-94D6-A28C377A8AEB}">
  <sheetPr codeName="Sheet32">
    <pageSetUpPr fitToPage="1"/>
  </sheetPr>
  <dimension ref="A1:AM220"/>
  <sheetViews>
    <sheetView view="pageBreakPreview" zoomScale="90" zoomScaleNormal="85" zoomScaleSheetLayoutView="90" zoomScalePageLayoutView="70" workbookViewId="0">
      <pane ySplit="4" topLeftCell="A5" activePane="bottomLeft" state="frozen"/>
      <selection activeCell="A2" sqref="A2"/>
      <selection pane="bottomLeft" sqref="A1:G1"/>
    </sheetView>
  </sheetViews>
  <sheetFormatPr defaultColWidth="9.15625" defaultRowHeight="12.75" customHeight="1" x14ac:dyDescent="0.5"/>
  <cols>
    <col min="1" max="1" width="48.15625" style="872" customWidth="1"/>
    <col min="2" max="2" width="17" style="872" bestFit="1" customWidth="1"/>
    <col min="3" max="3" width="18" style="872" bestFit="1" customWidth="1"/>
    <col min="4" max="4" width="14.47265625" style="875" bestFit="1" customWidth="1"/>
    <col min="5" max="5" width="14.5234375" style="875" bestFit="1" customWidth="1"/>
    <col min="6" max="6" width="17" style="872" bestFit="1" customWidth="1"/>
    <col min="7" max="7" width="16.15625" style="872" bestFit="1" customWidth="1"/>
    <col min="8" max="8" width="10.26171875" style="872" bestFit="1" customWidth="1"/>
    <col min="9" max="10" width="11.5234375" style="871" bestFit="1" customWidth="1"/>
    <col min="11" max="12" width="9.26171875" style="871" bestFit="1" customWidth="1"/>
    <col min="13" max="13" width="9.15625" style="871" bestFit="1" customWidth="1"/>
    <col min="14" max="16384" width="9.15625" style="871"/>
  </cols>
  <sheetData>
    <row r="1" spans="1:8" ht="16.5" customHeight="1" x14ac:dyDescent="0.5">
      <c r="A1" s="1449" t="s">
        <v>2675</v>
      </c>
      <c r="B1" s="1449"/>
      <c r="C1" s="1449"/>
      <c r="D1" s="1449"/>
      <c r="E1" s="1449"/>
      <c r="F1" s="1449"/>
      <c r="G1" s="1449"/>
      <c r="H1" s="870"/>
    </row>
    <row r="2" spans="1:8" ht="16.5" customHeight="1" x14ac:dyDescent="0.5">
      <c r="A2" s="1449" t="s">
        <v>6430</v>
      </c>
      <c r="B2" s="1449"/>
      <c r="C2" s="1449"/>
      <c r="D2" s="1449"/>
      <c r="E2" s="1449"/>
      <c r="F2" s="1449"/>
      <c r="G2" s="1449"/>
      <c r="H2" s="870"/>
    </row>
    <row r="3" spans="1:8" ht="12.75" customHeight="1" x14ac:dyDescent="0.5">
      <c r="B3" s="873"/>
      <c r="C3" s="873"/>
      <c r="D3" s="873"/>
      <c r="E3" s="873"/>
      <c r="F3" s="874"/>
      <c r="G3" s="874"/>
      <c r="H3" s="874"/>
    </row>
    <row r="4" spans="1:8" ht="30" x14ac:dyDescent="0.5">
      <c r="A4" s="1224" t="s">
        <v>611</v>
      </c>
      <c r="B4" s="1219" t="s">
        <v>75</v>
      </c>
      <c r="C4" s="875" t="s">
        <v>6431</v>
      </c>
      <c r="D4" s="1220" t="s">
        <v>6432</v>
      </c>
      <c r="E4" s="1220" t="s">
        <v>6433</v>
      </c>
      <c r="H4" s="876"/>
    </row>
    <row r="5" spans="1:8" ht="15" x14ac:dyDescent="0.5">
      <c r="A5" s="1221" t="s">
        <v>6434</v>
      </c>
      <c r="B5" s="1219" t="s">
        <v>25</v>
      </c>
      <c r="C5" s="1222">
        <v>20</v>
      </c>
      <c r="D5" s="1223">
        <v>6.5000000000000002E-2</v>
      </c>
      <c r="E5" s="1223">
        <v>6.5000000000000002E-2</v>
      </c>
      <c r="H5" s="879"/>
    </row>
    <row r="6" spans="1:8" ht="15" x14ac:dyDescent="0.5">
      <c r="A6" s="872" t="s">
        <v>6435</v>
      </c>
      <c r="B6" s="874" t="s">
        <v>26</v>
      </c>
      <c r="C6" s="877">
        <v>18</v>
      </c>
      <c r="D6" s="878">
        <v>6.5000000000000002E-2</v>
      </c>
      <c r="E6" s="878">
        <v>5.5E-2</v>
      </c>
      <c r="H6" s="879"/>
    </row>
    <row r="7" spans="1:8" ht="15" x14ac:dyDescent="0.5">
      <c r="A7" s="872" t="s">
        <v>6436</v>
      </c>
      <c r="B7" s="874" t="s">
        <v>6437</v>
      </c>
      <c r="C7" s="877" t="s">
        <v>2890</v>
      </c>
      <c r="D7" s="878">
        <v>0.04</v>
      </c>
      <c r="E7" s="878">
        <v>5.0000000000000001E-3</v>
      </c>
      <c r="H7" s="879"/>
    </row>
    <row r="8" spans="1:8" ht="15" x14ac:dyDescent="0.5">
      <c r="A8" s="872" t="s">
        <v>6438</v>
      </c>
      <c r="B8" s="874" t="s">
        <v>6439</v>
      </c>
      <c r="C8" s="877">
        <v>19</v>
      </c>
      <c r="D8" s="878">
        <v>0.06</v>
      </c>
      <c r="E8" s="878">
        <v>3.5000000000000003E-2</v>
      </c>
      <c r="H8" s="879"/>
    </row>
    <row r="9" spans="1:8" ht="15" x14ac:dyDescent="0.5">
      <c r="A9" s="872" t="s">
        <v>2675</v>
      </c>
      <c r="B9" s="874" t="s">
        <v>29</v>
      </c>
      <c r="C9" s="877">
        <v>20</v>
      </c>
      <c r="D9" s="878">
        <v>7.0000000000000007E-2</v>
      </c>
      <c r="E9" s="878">
        <v>7.4999999999999997E-2</v>
      </c>
      <c r="H9" s="878"/>
    </row>
    <row r="10" spans="1:8" ht="15" x14ac:dyDescent="0.5">
      <c r="A10" s="872" t="s">
        <v>6440</v>
      </c>
      <c r="B10" s="874" t="s">
        <v>4610</v>
      </c>
      <c r="C10" s="877">
        <v>19</v>
      </c>
      <c r="D10" s="878">
        <v>5.5E-2</v>
      </c>
      <c r="E10" s="878">
        <v>0.04</v>
      </c>
      <c r="H10" s="878"/>
    </row>
    <row r="11" spans="1:8" ht="15" x14ac:dyDescent="0.5">
      <c r="A11" s="872" t="s">
        <v>6441</v>
      </c>
      <c r="B11" s="874" t="s">
        <v>4583</v>
      </c>
      <c r="C11" s="877">
        <v>18</v>
      </c>
      <c r="D11" s="878">
        <v>0.04</v>
      </c>
      <c r="E11" s="878">
        <v>0.04</v>
      </c>
      <c r="H11" s="878"/>
    </row>
    <row r="12" spans="1:8" ht="15" x14ac:dyDescent="0.5">
      <c r="A12" s="872" t="s">
        <v>6442</v>
      </c>
      <c r="B12" s="874" t="s">
        <v>32</v>
      </c>
      <c r="C12" s="877">
        <v>21</v>
      </c>
      <c r="D12" s="878">
        <v>0.06</v>
      </c>
      <c r="E12" s="878">
        <v>0.05</v>
      </c>
      <c r="H12" s="878"/>
    </row>
    <row r="13" spans="1:8" ht="15" x14ac:dyDescent="0.5">
      <c r="A13" s="872" t="s">
        <v>6443</v>
      </c>
      <c r="B13" s="874" t="s">
        <v>33</v>
      </c>
      <c r="C13" s="877">
        <v>19</v>
      </c>
      <c r="D13" s="878">
        <v>6.5000000000000002E-2</v>
      </c>
      <c r="E13" s="878">
        <v>0.06</v>
      </c>
      <c r="H13" s="878"/>
    </row>
    <row r="14" spans="1:8" ht="15" x14ac:dyDescent="0.5">
      <c r="A14" s="872" t="s">
        <v>6444</v>
      </c>
      <c r="B14" s="874" t="s">
        <v>4588</v>
      </c>
      <c r="C14" s="877">
        <v>23</v>
      </c>
      <c r="D14" s="878">
        <v>6.5000000000000002E-2</v>
      </c>
      <c r="E14" s="878">
        <v>0.08</v>
      </c>
      <c r="H14" s="878"/>
    </row>
    <row r="15" spans="1:8" ht="15" x14ac:dyDescent="0.5">
      <c r="A15" s="872" t="s">
        <v>2916</v>
      </c>
      <c r="B15" s="874" t="s">
        <v>35</v>
      </c>
      <c r="C15" s="877">
        <v>21</v>
      </c>
      <c r="D15" s="878">
        <v>0.03</v>
      </c>
      <c r="E15" s="878">
        <v>5.0000000000000001E-3</v>
      </c>
      <c r="H15" s="878"/>
    </row>
    <row r="16" spans="1:8" ht="15" x14ac:dyDescent="0.5">
      <c r="A16" s="872" t="s">
        <v>6445</v>
      </c>
      <c r="B16" s="874" t="s">
        <v>37</v>
      </c>
      <c r="C16" s="877">
        <v>18</v>
      </c>
      <c r="D16" s="878">
        <v>4.4999999999999998E-2</v>
      </c>
      <c r="E16" s="878">
        <v>0.03</v>
      </c>
      <c r="H16" s="878"/>
    </row>
    <row r="17" spans="1:8" ht="15" x14ac:dyDescent="0.5">
      <c r="A17" s="872" t="s">
        <v>6446</v>
      </c>
      <c r="B17" s="874" t="s">
        <v>38</v>
      </c>
      <c r="C17" s="877">
        <v>18</v>
      </c>
      <c r="D17" s="878">
        <v>0.05</v>
      </c>
      <c r="E17" s="878">
        <v>0.02</v>
      </c>
      <c r="H17" s="878"/>
    </row>
    <row r="18" spans="1:8" ht="15" x14ac:dyDescent="0.5">
      <c r="A18" s="872" t="s">
        <v>6447</v>
      </c>
      <c r="B18" s="874" t="s">
        <v>39</v>
      </c>
      <c r="C18" s="877">
        <v>18</v>
      </c>
      <c r="D18" s="878">
        <v>0.06</v>
      </c>
      <c r="E18" s="878">
        <v>0.04</v>
      </c>
      <c r="H18" s="878"/>
    </row>
    <row r="19" spans="1:8" ht="15" x14ac:dyDescent="0.5">
      <c r="A19" s="872" t="s">
        <v>271</v>
      </c>
      <c r="B19" s="874" t="s">
        <v>41</v>
      </c>
      <c r="C19" s="877">
        <v>14</v>
      </c>
      <c r="D19" s="878">
        <v>6.5000000000000002E-2</v>
      </c>
      <c r="E19" s="878">
        <v>0.06</v>
      </c>
      <c r="H19" s="878"/>
    </row>
    <row r="20" spans="1:8" ht="15" x14ac:dyDescent="0.5">
      <c r="A20" s="872" t="s">
        <v>283</v>
      </c>
      <c r="B20" s="874" t="s">
        <v>42</v>
      </c>
      <c r="C20" s="877">
        <v>19</v>
      </c>
      <c r="D20" s="878">
        <v>0.06</v>
      </c>
      <c r="E20" s="878">
        <v>0.06</v>
      </c>
      <c r="H20" s="878"/>
    </row>
    <row r="21" spans="1:8" ht="15" x14ac:dyDescent="0.5">
      <c r="A21" s="872" t="s">
        <v>6448</v>
      </c>
      <c r="B21" s="874" t="s">
        <v>43</v>
      </c>
      <c r="C21" s="877">
        <v>14</v>
      </c>
      <c r="D21" s="878">
        <v>5.0000000000000001E-3</v>
      </c>
      <c r="E21" s="878">
        <v>3.5000000000000003E-2</v>
      </c>
      <c r="H21" s="878"/>
    </row>
    <row r="22" spans="1:8" ht="15" x14ac:dyDescent="0.5">
      <c r="A22" s="872" t="s">
        <v>6449</v>
      </c>
      <c r="B22" s="874" t="s">
        <v>44</v>
      </c>
      <c r="C22" s="877" t="s">
        <v>2890</v>
      </c>
      <c r="D22" s="878">
        <v>7.4999999999999997E-2</v>
      </c>
      <c r="E22" s="878">
        <v>7.0000000000000007E-2</v>
      </c>
      <c r="H22" s="878"/>
    </row>
    <row r="23" spans="1:8" ht="15" x14ac:dyDescent="0.5">
      <c r="A23" s="872" t="s">
        <v>6450</v>
      </c>
      <c r="B23" s="874" t="s">
        <v>45</v>
      </c>
      <c r="C23" s="877">
        <v>14</v>
      </c>
      <c r="D23" s="878" t="s">
        <v>2890</v>
      </c>
      <c r="E23" s="878" t="s">
        <v>2890</v>
      </c>
      <c r="H23" s="878"/>
    </row>
    <row r="24" spans="1:8" ht="15" x14ac:dyDescent="0.5">
      <c r="A24" s="872" t="s">
        <v>6451</v>
      </c>
      <c r="B24" s="874" t="s">
        <v>46</v>
      </c>
      <c r="C24" s="877">
        <v>14</v>
      </c>
      <c r="D24" s="878">
        <v>0.06</v>
      </c>
      <c r="E24" s="878">
        <v>0.06</v>
      </c>
      <c r="H24" s="878"/>
    </row>
    <row r="25" spans="1:8" ht="15" x14ac:dyDescent="0.5">
      <c r="A25" s="872" t="s">
        <v>6452</v>
      </c>
      <c r="B25" s="874" t="s">
        <v>6453</v>
      </c>
      <c r="C25" s="877">
        <v>19</v>
      </c>
      <c r="D25" s="878" t="s">
        <v>2890</v>
      </c>
      <c r="E25" s="878" t="s">
        <v>2890</v>
      </c>
      <c r="H25" s="878"/>
    </row>
    <row r="26" spans="1:8" ht="15" x14ac:dyDescent="0.5">
      <c r="A26" s="872" t="s">
        <v>6454</v>
      </c>
      <c r="B26" s="874" t="s">
        <v>6455</v>
      </c>
      <c r="C26" s="877">
        <v>20</v>
      </c>
      <c r="D26" s="878">
        <v>0.06</v>
      </c>
      <c r="E26" s="878">
        <v>5.5E-2</v>
      </c>
      <c r="H26" s="878"/>
    </row>
    <row r="27" spans="1:8" ht="15" x14ac:dyDescent="0.5">
      <c r="A27" s="872" t="s">
        <v>6456</v>
      </c>
      <c r="B27" s="874" t="s">
        <v>48</v>
      </c>
      <c r="C27" s="877">
        <v>21</v>
      </c>
      <c r="D27" s="878">
        <v>0.06</v>
      </c>
      <c r="E27" s="878">
        <v>0.06</v>
      </c>
      <c r="H27" s="878"/>
    </row>
    <row r="28" spans="1:8" ht="15" x14ac:dyDescent="0.5">
      <c r="A28" s="872" t="s">
        <v>6457</v>
      </c>
      <c r="B28" s="874" t="s">
        <v>4702</v>
      </c>
      <c r="C28" s="877">
        <v>25</v>
      </c>
      <c r="D28" s="878">
        <v>7.0000000000000007E-2</v>
      </c>
      <c r="E28" s="878">
        <v>6.5000000000000002E-2</v>
      </c>
      <c r="H28" s="878"/>
    </row>
    <row r="29" spans="1:8" ht="15" x14ac:dyDescent="0.5">
      <c r="A29" s="872" t="s">
        <v>6458</v>
      </c>
      <c r="B29" s="874" t="s">
        <v>49</v>
      </c>
      <c r="C29" s="877">
        <v>24</v>
      </c>
      <c r="D29" s="878">
        <v>8.5000000000000006E-2</v>
      </c>
      <c r="E29" s="878">
        <v>0.09</v>
      </c>
      <c r="H29" s="878"/>
    </row>
    <row r="30" spans="1:8" ht="15" x14ac:dyDescent="0.5">
      <c r="A30" s="872" t="s">
        <v>2630</v>
      </c>
      <c r="B30" s="874" t="s">
        <v>50</v>
      </c>
      <c r="C30" s="877">
        <v>21</v>
      </c>
      <c r="D30" s="878">
        <v>9.5000000000000001E-2</v>
      </c>
      <c r="E30" s="878">
        <v>4.4999999999999998E-2</v>
      </c>
      <c r="H30" s="878"/>
    </row>
    <row r="31" spans="1:8" ht="15" x14ac:dyDescent="0.5">
      <c r="A31" s="872" t="s">
        <v>6459</v>
      </c>
      <c r="B31" s="874" t="s">
        <v>2861</v>
      </c>
      <c r="C31" s="877">
        <v>17</v>
      </c>
      <c r="D31" s="878">
        <v>0.05</v>
      </c>
      <c r="E31" s="878">
        <v>0.05</v>
      </c>
      <c r="H31" s="878"/>
    </row>
    <row r="32" spans="1:8" ht="15" x14ac:dyDescent="0.5">
      <c r="A32" s="872" t="s">
        <v>6460</v>
      </c>
      <c r="B32" s="874" t="s">
        <v>4608</v>
      </c>
      <c r="C32" s="877">
        <v>17</v>
      </c>
      <c r="D32" s="878">
        <v>4.4999999999999998E-2</v>
      </c>
      <c r="E32" s="878">
        <v>1.4999999999999999E-2</v>
      </c>
      <c r="H32" s="878"/>
    </row>
    <row r="33" spans="1:8" ht="15" x14ac:dyDescent="0.5">
      <c r="A33" s="872" t="s">
        <v>6461</v>
      </c>
      <c r="B33" s="874" t="s">
        <v>2862</v>
      </c>
      <c r="C33" s="877">
        <v>24</v>
      </c>
      <c r="D33" s="878">
        <v>6.5000000000000002E-2</v>
      </c>
      <c r="E33" s="878">
        <v>5.0000000000000001E-3</v>
      </c>
      <c r="H33" s="878"/>
    </row>
    <row r="34" spans="1:8" ht="15" x14ac:dyDescent="0.5">
      <c r="A34" s="872" t="s">
        <v>6462</v>
      </c>
      <c r="B34" s="874" t="s">
        <v>6463</v>
      </c>
      <c r="C34" s="877">
        <v>18</v>
      </c>
      <c r="D34" s="878">
        <v>6.5000000000000002E-2</v>
      </c>
      <c r="E34" s="878">
        <v>0.03</v>
      </c>
      <c r="H34" s="878"/>
    </row>
    <row r="35" spans="1:8" ht="15" x14ac:dyDescent="0.5">
      <c r="A35" s="872" t="s">
        <v>6464</v>
      </c>
      <c r="B35" s="874" t="s">
        <v>2863</v>
      </c>
      <c r="C35" s="877">
        <v>21</v>
      </c>
      <c r="D35" s="878">
        <v>3.5000000000000003E-2</v>
      </c>
      <c r="E35" s="878">
        <v>2.5000000000000001E-2</v>
      </c>
      <c r="H35" s="878"/>
    </row>
    <row r="36" spans="1:8" ht="15" x14ac:dyDescent="0.5">
      <c r="A36" s="872" t="s">
        <v>6465</v>
      </c>
      <c r="B36" s="874" t="s">
        <v>6466</v>
      </c>
      <c r="C36" s="877">
        <v>19</v>
      </c>
      <c r="D36" s="878">
        <v>4.4999999999999998E-2</v>
      </c>
      <c r="E36" s="878">
        <v>7.0000000000000007E-2</v>
      </c>
      <c r="H36" s="878"/>
    </row>
    <row r="37" spans="1:8" ht="15" x14ac:dyDescent="0.5">
      <c r="A37" s="872" t="s">
        <v>6467</v>
      </c>
      <c r="B37" s="874" t="s">
        <v>54</v>
      </c>
      <c r="C37" s="877">
        <v>20</v>
      </c>
      <c r="D37" s="878">
        <v>0.09</v>
      </c>
      <c r="E37" s="878" t="s">
        <v>2890</v>
      </c>
      <c r="H37" s="878"/>
    </row>
    <row r="38" spans="1:8" ht="15" x14ac:dyDescent="0.5">
      <c r="A38" s="872" t="s">
        <v>6468</v>
      </c>
      <c r="B38" s="874" t="s">
        <v>55</v>
      </c>
      <c r="C38" s="877">
        <v>16</v>
      </c>
      <c r="D38" s="878">
        <v>6.5000000000000002E-2</v>
      </c>
      <c r="E38" s="878">
        <v>0.06</v>
      </c>
      <c r="H38" s="878"/>
    </row>
    <row r="39" spans="1:8" ht="15" x14ac:dyDescent="0.5">
      <c r="A39" s="872" t="s">
        <v>6469</v>
      </c>
      <c r="B39" s="874" t="s">
        <v>57</v>
      </c>
      <c r="C39" s="877">
        <v>17</v>
      </c>
      <c r="D39" s="878">
        <v>0.04</v>
      </c>
      <c r="E39" s="878">
        <v>1.4999999999999999E-2</v>
      </c>
      <c r="H39" s="878"/>
    </row>
    <row r="40" spans="1:8" ht="15" x14ac:dyDescent="0.5">
      <c r="A40" s="872" t="s">
        <v>6470</v>
      </c>
      <c r="B40" s="874" t="s">
        <v>6471</v>
      </c>
      <c r="C40" s="877">
        <v>18</v>
      </c>
      <c r="D40" s="878">
        <v>5.5E-2</v>
      </c>
      <c r="E40" s="878">
        <v>5.5E-2</v>
      </c>
      <c r="H40" s="878"/>
    </row>
    <row r="41" spans="1:8" ht="15" x14ac:dyDescent="0.5">
      <c r="A41" s="872" t="s">
        <v>6472</v>
      </c>
      <c r="B41" s="874" t="s">
        <v>58</v>
      </c>
      <c r="C41" s="877">
        <v>15</v>
      </c>
      <c r="D41" s="878">
        <v>7.4999999999999997E-2</v>
      </c>
      <c r="E41" s="878">
        <v>-5.0000000000000001E-3</v>
      </c>
      <c r="H41" s="878"/>
    </row>
    <row r="42" spans="1:8" ht="15" x14ac:dyDescent="0.5">
      <c r="A42" s="872" t="s">
        <v>6473</v>
      </c>
      <c r="B42" s="874" t="s">
        <v>4716</v>
      </c>
      <c r="C42" s="877" t="s">
        <v>14</v>
      </c>
      <c r="D42" s="878" t="s">
        <v>14</v>
      </c>
      <c r="E42" s="878" t="s">
        <v>14</v>
      </c>
      <c r="H42" s="878"/>
    </row>
    <row r="43" spans="1:8" ht="15" x14ac:dyDescent="0.5">
      <c r="A43" s="872" t="s">
        <v>6474</v>
      </c>
      <c r="B43" s="874" t="s">
        <v>59</v>
      </c>
      <c r="C43" s="877">
        <v>17</v>
      </c>
      <c r="D43" s="878">
        <v>6.5000000000000002E-2</v>
      </c>
      <c r="E43" s="878">
        <v>3.5000000000000003E-2</v>
      </c>
      <c r="H43" s="878"/>
    </row>
    <row r="44" spans="1:8" ht="15" x14ac:dyDescent="0.5">
      <c r="A44" s="872" t="s">
        <v>2869</v>
      </c>
      <c r="B44" s="874" t="s">
        <v>2864</v>
      </c>
      <c r="C44" s="877">
        <v>19</v>
      </c>
      <c r="D44" s="878">
        <v>4.4999999999999998E-2</v>
      </c>
      <c r="E44" s="878">
        <v>4.4999999999999998E-2</v>
      </c>
      <c r="H44" s="878"/>
    </row>
    <row r="45" spans="1:8" ht="15" x14ac:dyDescent="0.5">
      <c r="A45" s="872" t="s">
        <v>1280</v>
      </c>
      <c r="B45" s="874" t="s">
        <v>60</v>
      </c>
      <c r="C45" s="877">
        <v>20</v>
      </c>
      <c r="D45" s="878">
        <v>0.06</v>
      </c>
      <c r="E45" s="878">
        <v>0.06</v>
      </c>
      <c r="H45" s="878"/>
    </row>
    <row r="46" spans="1:8" ht="15" x14ac:dyDescent="0.5">
      <c r="A46" s="872" t="s">
        <v>6475</v>
      </c>
      <c r="B46" s="874" t="s">
        <v>3809</v>
      </c>
      <c r="C46" s="877">
        <v>21</v>
      </c>
      <c r="D46" s="878">
        <v>0.1</v>
      </c>
      <c r="E46" s="878">
        <v>5.5E-2</v>
      </c>
      <c r="H46" s="878"/>
    </row>
    <row r="47" spans="1:8" ht="15" x14ac:dyDescent="0.5">
      <c r="A47" s="872" t="s">
        <v>6476</v>
      </c>
      <c r="B47" s="874" t="s">
        <v>6477</v>
      </c>
      <c r="C47" s="877">
        <v>19</v>
      </c>
      <c r="D47" s="878">
        <v>0.04</v>
      </c>
      <c r="E47" s="878">
        <v>5.5E-2</v>
      </c>
      <c r="H47" s="878"/>
    </row>
    <row r="48" spans="1:8" ht="15" x14ac:dyDescent="0.5">
      <c r="A48" s="872" t="s">
        <v>6478</v>
      </c>
      <c r="B48" s="874" t="s">
        <v>6479</v>
      </c>
      <c r="C48" s="877">
        <v>16</v>
      </c>
      <c r="D48" s="878">
        <v>6.5000000000000002E-2</v>
      </c>
      <c r="E48" s="878">
        <v>3.5000000000000003E-2</v>
      </c>
      <c r="H48" s="878"/>
    </row>
    <row r="49" spans="1:21" ht="15" x14ac:dyDescent="0.5">
      <c r="A49" s="872" t="s">
        <v>6480</v>
      </c>
      <c r="B49" s="874" t="s">
        <v>4620</v>
      </c>
      <c r="C49" s="877" t="s">
        <v>14</v>
      </c>
      <c r="D49" s="878" t="s">
        <v>14</v>
      </c>
      <c r="E49" s="878" t="s">
        <v>14</v>
      </c>
      <c r="H49" s="878"/>
    </row>
    <row r="50" spans="1:21" ht="15" x14ac:dyDescent="0.5">
      <c r="A50" s="872" t="s">
        <v>6481</v>
      </c>
      <c r="B50" s="874" t="s">
        <v>61</v>
      </c>
      <c r="C50" s="877">
        <v>21</v>
      </c>
      <c r="D50" s="878">
        <v>0.06</v>
      </c>
      <c r="E50" s="878">
        <v>7.0000000000000007E-2</v>
      </c>
      <c r="H50" s="878"/>
    </row>
    <row r="51" spans="1:21" ht="15" x14ac:dyDescent="0.5">
      <c r="A51" s="872" t="s">
        <v>6482</v>
      </c>
      <c r="B51" s="874" t="s">
        <v>62</v>
      </c>
      <c r="C51" s="877">
        <v>20</v>
      </c>
      <c r="D51" s="878">
        <v>6.5000000000000002E-2</v>
      </c>
      <c r="E51" s="878">
        <v>0.06</v>
      </c>
      <c r="H51" s="878"/>
    </row>
    <row r="52" spans="1:21" ht="15" x14ac:dyDescent="0.5">
      <c r="B52" s="874"/>
      <c r="C52" s="874"/>
      <c r="D52" s="880"/>
      <c r="E52" s="880"/>
      <c r="H52" s="881"/>
    </row>
    <row r="53" spans="1:21" ht="15" x14ac:dyDescent="0.5">
      <c r="A53" s="882" t="s">
        <v>17</v>
      </c>
      <c r="F53" s="680"/>
      <c r="G53" s="680"/>
    </row>
    <row r="54" spans="1:21" ht="15" x14ac:dyDescent="0.5">
      <c r="A54" s="872" t="s">
        <v>6483</v>
      </c>
      <c r="F54" s="680"/>
      <c r="G54" s="680"/>
    </row>
    <row r="55" spans="1:21" ht="15" x14ac:dyDescent="0.5">
      <c r="F55" s="680"/>
      <c r="G55" s="680"/>
    </row>
    <row r="56" spans="1:21" ht="15" x14ac:dyDescent="0.5">
      <c r="F56" s="680"/>
      <c r="G56" s="680"/>
    </row>
    <row r="57" spans="1:21" ht="15" x14ac:dyDescent="0.5">
      <c r="F57" s="680"/>
      <c r="G57" s="680"/>
    </row>
    <row r="58" spans="1:21" ht="15" x14ac:dyDescent="0.5">
      <c r="A58" s="681" t="s">
        <v>6484</v>
      </c>
      <c r="B58" s="680"/>
      <c r="C58" s="680"/>
      <c r="D58" s="680"/>
      <c r="E58" s="680"/>
      <c r="F58" s="680"/>
      <c r="G58" s="680"/>
    </row>
    <row r="59" spans="1:21" ht="15.3" thickBot="1" x14ac:dyDescent="0.55000000000000004">
      <c r="A59" s="680"/>
      <c r="B59" s="680"/>
      <c r="C59" s="680"/>
      <c r="D59" s="680"/>
      <c r="E59" s="680"/>
      <c r="F59" s="680"/>
      <c r="G59" s="680"/>
    </row>
    <row r="60" spans="1:21" ht="15" x14ac:dyDescent="0.5">
      <c r="A60" s="883" t="s">
        <v>1099</v>
      </c>
      <c r="B60" s="883"/>
      <c r="C60" s="680"/>
      <c r="D60" s="680"/>
      <c r="E60" s="680"/>
      <c r="F60" s="680"/>
      <c r="G60" s="680"/>
      <c r="L60" s="878"/>
      <c r="M60" s="878"/>
      <c r="N60" s="878"/>
      <c r="O60" s="874"/>
      <c r="P60" s="884"/>
      <c r="Q60" s="878"/>
      <c r="R60" s="878"/>
      <c r="S60" s="874"/>
      <c r="T60" s="884"/>
      <c r="U60" s="878"/>
    </row>
    <row r="61" spans="1:21" ht="15" x14ac:dyDescent="0.5">
      <c r="A61" s="680" t="s">
        <v>1118</v>
      </c>
      <c r="B61" s="680">
        <v>0.33582280569576317</v>
      </c>
      <c r="C61" s="680"/>
      <c r="D61" s="680"/>
      <c r="E61" s="680"/>
      <c r="F61" s="680"/>
      <c r="G61" s="680"/>
      <c r="L61" s="878"/>
      <c r="M61" s="878"/>
      <c r="N61" s="878"/>
      <c r="O61" s="874"/>
      <c r="P61" s="884"/>
      <c r="Q61" s="878"/>
      <c r="R61" s="878"/>
      <c r="S61" s="874"/>
      <c r="T61" s="884"/>
      <c r="U61" s="878"/>
    </row>
    <row r="62" spans="1:21" ht="15" x14ac:dyDescent="0.5">
      <c r="A62" s="680" t="s">
        <v>1119</v>
      </c>
      <c r="B62" s="680">
        <v>0.11277695682537432</v>
      </c>
      <c r="C62" s="680"/>
      <c r="D62" s="680"/>
      <c r="E62" s="680"/>
      <c r="F62" s="680"/>
      <c r="G62" s="680"/>
      <c r="L62" s="878"/>
      <c r="M62" s="878"/>
      <c r="N62" s="878"/>
      <c r="O62" s="874"/>
      <c r="P62" s="884"/>
      <c r="Q62" s="878"/>
      <c r="R62" s="878"/>
      <c r="S62" s="874"/>
      <c r="T62" s="884"/>
      <c r="U62" s="878"/>
    </row>
    <row r="63" spans="1:21" ht="15" x14ac:dyDescent="0.5">
      <c r="A63" s="680" t="s">
        <v>1120</v>
      </c>
      <c r="B63" s="680">
        <v>9.0027648026024948E-2</v>
      </c>
      <c r="C63" s="680"/>
      <c r="D63" s="680"/>
      <c r="E63" s="680"/>
      <c r="F63" s="680"/>
      <c r="G63" s="680"/>
      <c r="L63" s="878"/>
      <c r="M63" s="878"/>
      <c r="N63" s="878"/>
      <c r="O63" s="874"/>
      <c r="P63" s="884"/>
      <c r="Q63" s="878"/>
      <c r="R63" s="878"/>
      <c r="S63" s="874"/>
      <c r="T63" s="884"/>
      <c r="U63" s="878"/>
    </row>
    <row r="64" spans="1:21" ht="15" x14ac:dyDescent="0.5">
      <c r="A64" s="680" t="s">
        <v>1121</v>
      </c>
      <c r="B64" s="680">
        <v>2.4691728894967304</v>
      </c>
      <c r="C64" s="680"/>
      <c r="D64" s="680"/>
      <c r="E64" s="680"/>
      <c r="F64" s="680"/>
      <c r="G64" s="680"/>
      <c r="L64" s="878"/>
      <c r="M64" s="878"/>
      <c r="N64" s="878"/>
      <c r="O64" s="874"/>
      <c r="P64" s="874"/>
      <c r="Q64" s="878"/>
      <c r="R64" s="878"/>
      <c r="S64" s="874"/>
      <c r="T64" s="874"/>
      <c r="U64" s="878"/>
    </row>
    <row r="65" spans="1:21" ht="15.3" thickBot="1" x14ac:dyDescent="0.55000000000000004">
      <c r="A65" s="885" t="s">
        <v>1122</v>
      </c>
      <c r="B65" s="885">
        <v>41</v>
      </c>
      <c r="C65" s="680"/>
      <c r="D65" s="680"/>
      <c r="E65" s="680"/>
      <c r="F65" s="680"/>
      <c r="G65" s="680"/>
      <c r="L65" s="878"/>
      <c r="M65" s="878"/>
      <c r="N65" s="878"/>
      <c r="O65" s="874"/>
      <c r="P65" s="884"/>
      <c r="Q65" s="878"/>
      <c r="R65" s="878"/>
      <c r="S65" s="874"/>
      <c r="T65" s="884"/>
      <c r="U65" s="878"/>
    </row>
    <row r="66" spans="1:21" ht="15" x14ac:dyDescent="0.5">
      <c r="A66" s="680"/>
      <c r="B66" s="680"/>
      <c r="C66" s="680"/>
      <c r="D66" s="680"/>
      <c r="E66" s="680"/>
      <c r="F66" s="680"/>
      <c r="G66" s="680"/>
      <c r="L66" s="878"/>
      <c r="M66" s="878"/>
      <c r="N66" s="878"/>
      <c r="O66" s="874"/>
      <c r="P66" s="884"/>
      <c r="Q66" s="878"/>
      <c r="R66" s="878"/>
      <c r="S66" s="874"/>
      <c r="T66" s="884"/>
      <c r="U66" s="878"/>
    </row>
    <row r="67" spans="1:21" ht="15.3" thickBot="1" x14ac:dyDescent="0.55000000000000004">
      <c r="A67" s="680" t="s">
        <v>1123</v>
      </c>
      <c r="B67" s="680"/>
      <c r="C67" s="680"/>
      <c r="D67" s="680"/>
      <c r="E67" s="680"/>
      <c r="F67" s="680"/>
      <c r="G67" s="680"/>
      <c r="L67" s="878"/>
      <c r="M67" s="878"/>
      <c r="N67" s="878"/>
      <c r="O67" s="874"/>
      <c r="P67" s="884"/>
      <c r="Q67" s="878"/>
      <c r="R67" s="878"/>
      <c r="S67" s="874"/>
      <c r="T67" s="884"/>
      <c r="U67" s="878"/>
    </row>
    <row r="68" spans="1:21" ht="15" x14ac:dyDescent="0.5">
      <c r="A68" s="886"/>
      <c r="B68" s="886" t="s">
        <v>1124</v>
      </c>
      <c r="C68" s="886" t="s">
        <v>1125</v>
      </c>
      <c r="D68" s="886" t="s">
        <v>433</v>
      </c>
      <c r="E68" s="886" t="s">
        <v>290</v>
      </c>
      <c r="F68" s="886" t="s">
        <v>1126</v>
      </c>
      <c r="G68" s="680"/>
      <c r="L68" s="878"/>
      <c r="M68" s="878"/>
      <c r="N68" s="878"/>
      <c r="O68" s="874"/>
      <c r="P68" s="884"/>
      <c r="Q68" s="878"/>
      <c r="R68" s="878"/>
      <c r="S68" s="874"/>
      <c r="T68" s="884"/>
      <c r="U68" s="878"/>
    </row>
    <row r="69" spans="1:21" ht="15" x14ac:dyDescent="0.5">
      <c r="A69" s="680" t="s">
        <v>1127</v>
      </c>
      <c r="B69" s="680">
        <v>1</v>
      </c>
      <c r="C69" s="680">
        <v>30.224224429200319</v>
      </c>
      <c r="D69" s="680">
        <v>30.224224429200319</v>
      </c>
      <c r="E69" s="680">
        <v>4.9573794887605427</v>
      </c>
      <c r="F69" s="680">
        <v>3.182589078750081E-2</v>
      </c>
      <c r="G69" s="680"/>
      <c r="L69" s="878"/>
      <c r="M69" s="878"/>
      <c r="N69" s="878"/>
      <c r="O69" s="874"/>
      <c r="P69" s="884"/>
      <c r="Q69" s="878"/>
      <c r="R69" s="878"/>
      <c r="S69" s="874"/>
      <c r="T69" s="884"/>
      <c r="U69" s="878"/>
    </row>
    <row r="70" spans="1:21" ht="15" x14ac:dyDescent="0.5">
      <c r="A70" s="680" t="s">
        <v>1128</v>
      </c>
      <c r="B70" s="680">
        <v>39</v>
      </c>
      <c r="C70" s="680">
        <v>237.77577557079968</v>
      </c>
      <c r="D70" s="680">
        <v>6.0968147582256327</v>
      </c>
      <c r="E70" s="680"/>
      <c r="F70" s="680"/>
      <c r="G70" s="680"/>
      <c r="L70" s="878"/>
      <c r="M70" s="878"/>
      <c r="N70" s="878"/>
      <c r="O70" s="874"/>
      <c r="P70" s="884"/>
      <c r="Q70" s="878"/>
      <c r="R70" s="878"/>
      <c r="S70" s="874"/>
      <c r="T70" s="884"/>
      <c r="U70" s="878"/>
    </row>
    <row r="71" spans="1:21" ht="15.3" thickBot="1" x14ac:dyDescent="0.55000000000000004">
      <c r="A71" s="885" t="s">
        <v>1129</v>
      </c>
      <c r="B71" s="885">
        <v>40</v>
      </c>
      <c r="C71" s="885">
        <v>268</v>
      </c>
      <c r="D71" s="885"/>
      <c r="E71" s="885"/>
      <c r="F71" s="885"/>
      <c r="G71" s="680"/>
      <c r="L71" s="878"/>
      <c r="M71" s="878"/>
      <c r="N71" s="878"/>
      <c r="O71" s="874"/>
      <c r="P71" s="884"/>
      <c r="Q71" s="878"/>
      <c r="R71" s="878"/>
      <c r="S71" s="874"/>
      <c r="T71" s="884"/>
      <c r="U71" s="878"/>
    </row>
    <row r="72" spans="1:21" ht="15.3" thickBot="1" x14ac:dyDescent="0.55000000000000004">
      <c r="A72" s="680"/>
      <c r="B72" s="680"/>
      <c r="C72" s="680"/>
      <c r="D72" s="680"/>
      <c r="E72" s="680"/>
      <c r="F72" s="680"/>
      <c r="G72" s="680"/>
      <c r="L72" s="878"/>
      <c r="M72" s="878"/>
      <c r="N72" s="878"/>
      <c r="O72" s="874"/>
      <c r="P72" s="884"/>
      <c r="Q72" s="878"/>
      <c r="R72" s="878"/>
      <c r="S72" s="874"/>
      <c r="T72" s="884"/>
      <c r="U72" s="878"/>
    </row>
    <row r="73" spans="1:21" ht="15" x14ac:dyDescent="0.5">
      <c r="A73" s="886"/>
      <c r="B73" s="886" t="s">
        <v>1130</v>
      </c>
      <c r="C73" s="886" t="s">
        <v>1121</v>
      </c>
      <c r="D73" s="886" t="s">
        <v>1131</v>
      </c>
      <c r="E73" s="886" t="s">
        <v>1132</v>
      </c>
      <c r="F73" s="886" t="s">
        <v>1133</v>
      </c>
      <c r="G73" s="886" t="s">
        <v>1134</v>
      </c>
      <c r="H73" s="887"/>
      <c r="L73" s="878"/>
      <c r="M73" s="878"/>
      <c r="N73" s="878"/>
      <c r="O73" s="874"/>
      <c r="P73" s="884"/>
      <c r="Q73" s="878"/>
      <c r="R73" s="878"/>
      <c r="S73" s="874"/>
      <c r="T73" s="884"/>
      <c r="U73" s="878"/>
    </row>
    <row r="74" spans="1:21" ht="15" x14ac:dyDescent="0.5">
      <c r="A74" s="680" t="s">
        <v>1137</v>
      </c>
      <c r="B74" s="680">
        <v>16.026722637452647</v>
      </c>
      <c r="C74" s="680">
        <v>1.3899565766640354</v>
      </c>
      <c r="D74" s="680">
        <v>11.530376492708552</v>
      </c>
      <c r="E74" s="680">
        <v>3.9071736976148078E-14</v>
      </c>
      <c r="F74" s="680">
        <v>13.215270090588923</v>
      </c>
      <c r="G74" s="680">
        <v>18.83817518431637</v>
      </c>
      <c r="L74" s="878"/>
      <c r="M74" s="878"/>
      <c r="N74" s="878"/>
      <c r="O74" s="874"/>
      <c r="P74" s="884"/>
      <c r="Q74" s="878"/>
      <c r="R74" s="878"/>
      <c r="S74" s="874"/>
      <c r="T74" s="884"/>
      <c r="U74" s="878"/>
    </row>
    <row r="75" spans="1:21" ht="15.3" thickBot="1" x14ac:dyDescent="0.55000000000000004">
      <c r="A75" s="888" t="s">
        <v>6432</v>
      </c>
      <c r="B75" s="885">
        <v>50.373707382000582</v>
      </c>
      <c r="C75" s="885">
        <v>22.624439683416135</v>
      </c>
      <c r="D75" s="885">
        <v>2.2265173452637965</v>
      </c>
      <c r="E75" s="885">
        <v>3.182589078750072E-2</v>
      </c>
      <c r="F75" s="885">
        <v>4.6114586634354282</v>
      </c>
      <c r="G75" s="885">
        <v>96.135956100565735</v>
      </c>
      <c r="L75" s="878"/>
      <c r="M75" s="878"/>
      <c r="N75" s="878"/>
      <c r="O75" s="874"/>
      <c r="P75" s="884"/>
      <c r="Q75" s="878"/>
      <c r="R75" s="878"/>
      <c r="S75" s="874"/>
      <c r="T75" s="874"/>
      <c r="U75" s="878"/>
    </row>
    <row r="76" spans="1:21" ht="15" x14ac:dyDescent="0.5">
      <c r="D76" s="872"/>
      <c r="E76" s="872"/>
      <c r="F76" s="680"/>
      <c r="G76" s="680"/>
      <c r="I76" s="680"/>
      <c r="J76" s="680"/>
      <c r="K76" s="680"/>
      <c r="L76" s="878"/>
      <c r="M76" s="878"/>
      <c r="N76" s="878"/>
      <c r="O76" s="874"/>
      <c r="P76" s="874"/>
      <c r="Q76" s="878"/>
      <c r="R76" s="878"/>
      <c r="S76" s="874"/>
      <c r="T76" s="884"/>
      <c r="U76" s="878"/>
    </row>
    <row r="77" spans="1:21" ht="15" x14ac:dyDescent="0.5">
      <c r="A77" s="681" t="s">
        <v>6485</v>
      </c>
      <c r="B77" s="680"/>
      <c r="C77" s="680"/>
      <c r="D77" s="680"/>
      <c r="E77" s="680"/>
      <c r="F77" s="680"/>
      <c r="G77" s="680"/>
      <c r="M77" s="878"/>
      <c r="N77" s="878"/>
      <c r="O77" s="874"/>
      <c r="P77" s="884"/>
      <c r="Q77" s="878"/>
      <c r="R77" s="878"/>
      <c r="S77" s="874"/>
      <c r="T77" s="884"/>
      <c r="U77" s="878"/>
    </row>
    <row r="78" spans="1:21" ht="15.3" thickBot="1" x14ac:dyDescent="0.55000000000000004">
      <c r="A78" s="680"/>
      <c r="B78" s="680"/>
      <c r="C78" s="680"/>
      <c r="D78" s="680"/>
      <c r="E78" s="680"/>
      <c r="F78" s="680"/>
      <c r="G78" s="680"/>
      <c r="M78" s="879"/>
      <c r="N78" s="879"/>
      <c r="O78" s="874"/>
      <c r="P78" s="884"/>
      <c r="Q78" s="879"/>
      <c r="R78" s="879"/>
      <c r="S78" s="874"/>
      <c r="T78" s="884"/>
      <c r="U78" s="879"/>
    </row>
    <row r="79" spans="1:21" ht="15" x14ac:dyDescent="0.5">
      <c r="A79" s="883" t="s">
        <v>1099</v>
      </c>
      <c r="B79" s="883"/>
      <c r="C79" s="680"/>
      <c r="D79" s="680"/>
      <c r="E79" s="680"/>
      <c r="F79" s="680"/>
      <c r="G79" s="680"/>
      <c r="M79" s="879"/>
      <c r="N79" s="879"/>
      <c r="O79" s="874"/>
      <c r="P79" s="884"/>
      <c r="Q79" s="879"/>
      <c r="R79" s="879"/>
      <c r="S79" s="874"/>
      <c r="T79" s="884"/>
      <c r="U79" s="879"/>
    </row>
    <row r="80" spans="1:21" ht="15" x14ac:dyDescent="0.5">
      <c r="A80" s="680" t="s">
        <v>1118</v>
      </c>
      <c r="B80" s="680">
        <v>0.28650881261977051</v>
      </c>
      <c r="C80" s="680"/>
      <c r="D80" s="680"/>
      <c r="E80" s="680"/>
      <c r="F80" s="680"/>
      <c r="G80" s="680"/>
      <c r="M80" s="879"/>
      <c r="N80" s="879"/>
      <c r="O80" s="874"/>
      <c r="P80" s="884"/>
      <c r="Q80" s="879"/>
      <c r="R80" s="879"/>
      <c r="S80" s="874"/>
      <c r="T80" s="884"/>
      <c r="U80" s="879"/>
    </row>
    <row r="81" spans="1:21" ht="15" x14ac:dyDescent="0.5">
      <c r="A81" s="680" t="s">
        <v>1119</v>
      </c>
      <c r="B81" s="680">
        <v>8.2087299708790779E-2</v>
      </c>
      <c r="C81" s="680"/>
      <c r="D81" s="680"/>
      <c r="E81" s="680"/>
      <c r="F81" s="680"/>
      <c r="G81" s="680"/>
      <c r="M81" s="879"/>
      <c r="N81" s="879"/>
      <c r="O81" s="874"/>
      <c r="P81" s="884"/>
      <c r="Q81" s="879"/>
      <c r="R81" s="879"/>
      <c r="S81" s="874"/>
      <c r="T81" s="884"/>
      <c r="U81" s="879"/>
    </row>
    <row r="82" spans="1:21" ht="15" x14ac:dyDescent="0.5">
      <c r="A82" s="680" t="s">
        <v>1120</v>
      </c>
      <c r="B82" s="680">
        <v>5.7931702332706322E-2</v>
      </c>
      <c r="C82" s="680"/>
      <c r="D82" s="680"/>
      <c r="E82" s="680"/>
      <c r="F82" s="680"/>
      <c r="G82" s="680"/>
      <c r="M82" s="879"/>
      <c r="N82" s="879"/>
      <c r="O82" s="874"/>
      <c r="P82" s="884"/>
      <c r="Q82" s="879"/>
      <c r="R82" s="879"/>
      <c r="S82" s="874"/>
      <c r="T82" s="884"/>
      <c r="U82" s="879"/>
    </row>
    <row r="83" spans="1:21" ht="15" x14ac:dyDescent="0.5">
      <c r="A83" s="680" t="s">
        <v>1121</v>
      </c>
      <c r="B83" s="680">
        <v>2.539476443970321</v>
      </c>
      <c r="C83" s="680"/>
      <c r="D83" s="680"/>
      <c r="E83" s="680"/>
      <c r="F83" s="680"/>
      <c r="G83" s="680"/>
      <c r="M83" s="879"/>
      <c r="N83" s="879"/>
      <c r="O83" s="874"/>
      <c r="P83" s="884"/>
      <c r="Q83" s="879"/>
      <c r="R83" s="879"/>
      <c r="S83" s="874"/>
      <c r="T83" s="884"/>
      <c r="U83" s="879"/>
    </row>
    <row r="84" spans="1:21" ht="15.3" thickBot="1" x14ac:dyDescent="0.55000000000000004">
      <c r="A84" s="885" t="s">
        <v>1122</v>
      </c>
      <c r="B84" s="885">
        <v>40</v>
      </c>
      <c r="C84" s="680"/>
      <c r="D84" s="680"/>
      <c r="E84" s="680"/>
      <c r="F84" s="680"/>
      <c r="G84" s="680"/>
      <c r="M84" s="879"/>
      <c r="N84" s="879"/>
      <c r="O84" s="874"/>
      <c r="P84" s="884"/>
      <c r="Q84" s="879"/>
      <c r="R84" s="879"/>
      <c r="S84" s="874"/>
      <c r="T84" s="884"/>
      <c r="U84" s="879"/>
    </row>
    <row r="85" spans="1:21" ht="15" x14ac:dyDescent="0.5">
      <c r="A85" s="680"/>
      <c r="B85" s="680"/>
      <c r="C85" s="680"/>
      <c r="D85" s="680"/>
      <c r="E85" s="680"/>
      <c r="F85" s="680"/>
      <c r="G85" s="680"/>
      <c r="M85" s="879"/>
      <c r="N85" s="879"/>
      <c r="O85" s="874"/>
      <c r="P85" s="884"/>
      <c r="Q85" s="879"/>
      <c r="R85" s="879"/>
      <c r="S85" s="874"/>
      <c r="T85" s="884"/>
      <c r="U85" s="879"/>
    </row>
    <row r="86" spans="1:21" ht="15.3" thickBot="1" x14ac:dyDescent="0.55000000000000004">
      <c r="A86" s="680" t="s">
        <v>1123</v>
      </c>
      <c r="B86" s="680"/>
      <c r="C86" s="680"/>
      <c r="D86" s="680"/>
      <c r="E86" s="680"/>
      <c r="F86" s="680"/>
      <c r="G86" s="680"/>
      <c r="M86" s="879"/>
      <c r="N86" s="879"/>
      <c r="O86" s="874"/>
      <c r="P86" s="884"/>
      <c r="Q86" s="879"/>
      <c r="R86" s="879"/>
      <c r="S86" s="874"/>
      <c r="T86" s="884"/>
      <c r="U86" s="879"/>
    </row>
    <row r="87" spans="1:21" ht="15" x14ac:dyDescent="0.5">
      <c r="A87" s="886"/>
      <c r="B87" s="886" t="s">
        <v>1124</v>
      </c>
      <c r="C87" s="886" t="s">
        <v>1125</v>
      </c>
      <c r="D87" s="886" t="s">
        <v>433</v>
      </c>
      <c r="E87" s="886" t="s">
        <v>290</v>
      </c>
      <c r="F87" s="886" t="s">
        <v>1126</v>
      </c>
      <c r="G87" s="680"/>
      <c r="M87" s="879"/>
      <c r="N87" s="879"/>
      <c r="O87" s="874"/>
      <c r="P87" s="884"/>
      <c r="Q87" s="879"/>
      <c r="R87" s="879"/>
      <c r="S87" s="874"/>
      <c r="T87" s="884"/>
      <c r="U87" s="879"/>
    </row>
    <row r="88" spans="1:21" ht="15" x14ac:dyDescent="0.5">
      <c r="A88" s="680" t="s">
        <v>1127</v>
      </c>
      <c r="B88" s="680">
        <v>1</v>
      </c>
      <c r="C88" s="680">
        <v>21.91525683975442</v>
      </c>
      <c r="D88" s="680">
        <v>21.91525683975442</v>
      </c>
      <c r="E88" s="680">
        <v>3.3982723933816814</v>
      </c>
      <c r="F88" s="680">
        <v>7.3074259299640246E-2</v>
      </c>
      <c r="G88" s="680"/>
      <c r="M88" s="879"/>
      <c r="N88" s="879"/>
      <c r="O88" s="874"/>
      <c r="P88" s="884"/>
      <c r="Q88" s="879"/>
      <c r="R88" s="879"/>
      <c r="S88" s="874"/>
      <c r="T88" s="884"/>
      <c r="U88" s="879"/>
    </row>
    <row r="89" spans="1:21" ht="15" x14ac:dyDescent="0.5">
      <c r="A89" s="680" t="s">
        <v>1128</v>
      </c>
      <c r="B89" s="680">
        <v>38</v>
      </c>
      <c r="C89" s="680">
        <v>245.0597431602456</v>
      </c>
      <c r="D89" s="680">
        <v>6.4489406094801476</v>
      </c>
      <c r="E89" s="680"/>
      <c r="F89" s="680"/>
      <c r="G89" s="680"/>
      <c r="M89" s="879"/>
      <c r="N89" s="879"/>
      <c r="O89" s="874"/>
      <c r="P89" s="884"/>
      <c r="Q89" s="879"/>
      <c r="R89" s="879"/>
      <c r="S89" s="874"/>
      <c r="T89" s="884"/>
      <c r="U89" s="879"/>
    </row>
    <row r="90" spans="1:21" ht="15.3" thickBot="1" x14ac:dyDescent="0.55000000000000004">
      <c r="A90" s="885" t="s">
        <v>1129</v>
      </c>
      <c r="B90" s="885">
        <v>39</v>
      </c>
      <c r="C90" s="885">
        <v>266.97500000000002</v>
      </c>
      <c r="D90" s="885"/>
      <c r="E90" s="885"/>
      <c r="F90" s="885"/>
      <c r="G90" s="680"/>
      <c r="M90" s="879"/>
      <c r="N90" s="879"/>
      <c r="O90" s="874"/>
      <c r="P90" s="884"/>
      <c r="Q90" s="879"/>
      <c r="R90" s="879"/>
      <c r="S90" s="874"/>
      <c r="T90" s="884"/>
      <c r="U90" s="879"/>
    </row>
    <row r="91" spans="1:21" ht="15.3" thickBot="1" x14ac:dyDescent="0.55000000000000004">
      <c r="A91" s="680"/>
      <c r="B91" s="680"/>
      <c r="C91" s="680"/>
      <c r="D91" s="680"/>
      <c r="E91" s="680"/>
      <c r="F91" s="680"/>
      <c r="G91" s="680"/>
      <c r="M91" s="879"/>
      <c r="N91" s="879"/>
      <c r="O91" s="874"/>
      <c r="P91" s="884"/>
      <c r="Q91" s="879"/>
      <c r="R91" s="879"/>
      <c r="S91" s="874"/>
      <c r="T91" s="884"/>
      <c r="U91" s="879"/>
    </row>
    <row r="92" spans="1:21" ht="15" x14ac:dyDescent="0.5">
      <c r="A92" s="886"/>
      <c r="B92" s="886" t="s">
        <v>1130</v>
      </c>
      <c r="C92" s="886" t="s">
        <v>1121</v>
      </c>
      <c r="D92" s="886" t="s">
        <v>1131</v>
      </c>
      <c r="E92" s="886" t="s">
        <v>1132</v>
      </c>
      <c r="F92" s="886" t="s">
        <v>1133</v>
      </c>
      <c r="G92" s="886" t="s">
        <v>1134</v>
      </c>
      <c r="M92" s="879"/>
      <c r="N92" s="879"/>
      <c r="O92" s="874"/>
      <c r="P92" s="884"/>
      <c r="Q92" s="879"/>
      <c r="R92" s="879"/>
      <c r="S92" s="874"/>
      <c r="T92" s="884"/>
      <c r="U92" s="879"/>
    </row>
    <row r="93" spans="1:21" ht="15" x14ac:dyDescent="0.5">
      <c r="A93" s="680" t="s">
        <v>1137</v>
      </c>
      <c r="B93" s="680">
        <v>17.348408710217754</v>
      </c>
      <c r="C93" s="680">
        <v>0.96943043339923218</v>
      </c>
      <c r="D93" s="680">
        <v>17.895465329458364</v>
      </c>
      <c r="E93" s="680">
        <v>4.1558960074495464E-20</v>
      </c>
      <c r="F93" s="680">
        <v>15.385899398525696</v>
      </c>
      <c r="G93" s="680">
        <v>19.31091802190981</v>
      </c>
      <c r="M93" s="879"/>
      <c r="N93" s="879"/>
      <c r="O93" s="874"/>
      <c r="P93" s="884"/>
      <c r="Q93" s="879"/>
      <c r="R93" s="879"/>
      <c r="S93" s="874"/>
      <c r="T93" s="884"/>
      <c r="U93" s="879"/>
    </row>
    <row r="94" spans="1:21" ht="15.3" thickBot="1" x14ac:dyDescent="0.55000000000000004">
      <c r="A94" s="888" t="s">
        <v>6433</v>
      </c>
      <c r="B94" s="885">
        <v>34.980457844779473</v>
      </c>
      <c r="C94" s="885">
        <v>18.975638396831048</v>
      </c>
      <c r="D94" s="885">
        <v>1.8434403688163263</v>
      </c>
      <c r="E94" s="885">
        <v>7.3074259299640648E-2</v>
      </c>
      <c r="F94" s="885">
        <v>-3.4337137822691943</v>
      </c>
      <c r="G94" s="885">
        <v>73.394629471828139</v>
      </c>
      <c r="M94" s="879"/>
      <c r="N94" s="879"/>
      <c r="O94" s="874"/>
      <c r="P94" s="884"/>
      <c r="Q94" s="879"/>
      <c r="R94" s="879"/>
      <c r="S94" s="874"/>
      <c r="T94" s="884"/>
      <c r="U94" s="879"/>
    </row>
    <row r="95" spans="1:21" ht="15" x14ac:dyDescent="0.5">
      <c r="A95" s="680"/>
      <c r="B95" s="680"/>
      <c r="C95" s="680"/>
      <c r="D95" s="680"/>
      <c r="E95" s="680"/>
      <c r="F95" s="680"/>
      <c r="G95" s="680"/>
      <c r="M95" s="879"/>
      <c r="N95" s="879"/>
      <c r="O95" s="874"/>
      <c r="P95" s="884"/>
      <c r="Q95" s="879"/>
      <c r="R95" s="879"/>
      <c r="S95" s="874"/>
      <c r="T95" s="884"/>
      <c r="U95" s="879"/>
    </row>
    <row r="96" spans="1:21" s="872" customFormat="1" ht="15" x14ac:dyDescent="0.5">
      <c r="A96" s="680"/>
      <c r="B96" s="680"/>
      <c r="C96" s="680"/>
      <c r="D96" s="680"/>
      <c r="E96" s="680"/>
    </row>
    <row r="97" spans="1:7" s="872" customFormat="1" ht="15" x14ac:dyDescent="0.5">
      <c r="A97" s="680"/>
      <c r="B97" s="680"/>
      <c r="C97" s="680"/>
      <c r="D97" s="680"/>
      <c r="E97" s="680"/>
    </row>
    <row r="98" spans="1:7" s="872" customFormat="1" ht="15" x14ac:dyDescent="0.5"/>
    <row r="99" spans="1:7" s="872" customFormat="1" ht="15" x14ac:dyDescent="0.5"/>
    <row r="100" spans="1:7" s="872" customFormat="1" ht="15" x14ac:dyDescent="0.5">
      <c r="C100" s="889"/>
      <c r="D100" s="875"/>
      <c r="E100" s="875"/>
    </row>
    <row r="101" spans="1:7" s="872" customFormat="1" ht="15" x14ac:dyDescent="0.5"/>
    <row r="102" spans="1:7" s="872" customFormat="1" ht="15" x14ac:dyDescent="0.5">
      <c r="A102" s="890"/>
      <c r="B102" s="890"/>
      <c r="C102" s="890"/>
    </row>
    <row r="103" spans="1:7" s="872" customFormat="1" ht="15" x14ac:dyDescent="0.5"/>
    <row r="104" spans="1:7" s="872" customFormat="1" ht="15" x14ac:dyDescent="0.5"/>
    <row r="105" spans="1:7" s="872" customFormat="1" ht="15" x14ac:dyDescent="0.5">
      <c r="F105" s="887"/>
      <c r="G105" s="887"/>
    </row>
    <row r="106" spans="1:7" s="872" customFormat="1" ht="15" x14ac:dyDescent="0.5"/>
    <row r="107" spans="1:7" s="872" customFormat="1" ht="15" x14ac:dyDescent="0.5"/>
    <row r="108" spans="1:7" ht="15" x14ac:dyDescent="0.5">
      <c r="D108" s="872"/>
      <c r="E108" s="872"/>
    </row>
    <row r="109" spans="1:7" ht="15" x14ac:dyDescent="0.5">
      <c r="D109" s="872"/>
      <c r="E109" s="872"/>
    </row>
    <row r="110" spans="1:7" ht="15" x14ac:dyDescent="0.5">
      <c r="A110" s="887"/>
      <c r="B110" s="887"/>
      <c r="C110" s="887"/>
      <c r="D110" s="887"/>
      <c r="E110" s="887"/>
      <c r="F110" s="887"/>
      <c r="G110" s="887"/>
    </row>
    <row r="111" spans="1:7" ht="15" x14ac:dyDescent="0.5">
      <c r="D111" s="872"/>
      <c r="E111" s="872"/>
    </row>
    <row r="112" spans="1:7" ht="15" x14ac:dyDescent="0.5">
      <c r="D112" s="872"/>
      <c r="E112" s="872"/>
    </row>
    <row r="113" spans="1:39" ht="15" x14ac:dyDescent="0.5">
      <c r="D113" s="872"/>
      <c r="E113" s="872"/>
    </row>
    <row r="114" spans="1:39" ht="15" x14ac:dyDescent="0.5">
      <c r="D114" s="872"/>
      <c r="E114" s="872"/>
    </row>
    <row r="115" spans="1:39" ht="15" x14ac:dyDescent="0.5">
      <c r="A115" s="887"/>
      <c r="B115" s="887"/>
      <c r="C115" s="887"/>
      <c r="D115" s="887"/>
      <c r="E115" s="887"/>
      <c r="H115" s="887"/>
    </row>
    <row r="116" spans="1:39" ht="15" x14ac:dyDescent="0.5">
      <c r="D116" s="872"/>
      <c r="E116" s="872"/>
    </row>
    <row r="117" spans="1:39" ht="15" x14ac:dyDescent="0.5">
      <c r="A117" s="876"/>
      <c r="D117" s="872"/>
      <c r="E117" s="872"/>
    </row>
    <row r="118" spans="1:39" ht="15" x14ac:dyDescent="0.5">
      <c r="D118" s="872"/>
      <c r="E118" s="872"/>
    </row>
    <row r="119" spans="1:39" ht="15" x14ac:dyDescent="0.5">
      <c r="D119" s="872"/>
      <c r="E119" s="872"/>
    </row>
    <row r="120" spans="1:39" s="872" customFormat="1" ht="15" x14ac:dyDescent="0.5">
      <c r="C120" s="889"/>
      <c r="I120" s="871"/>
      <c r="J120" s="871"/>
      <c r="K120" s="871"/>
      <c r="L120" s="871"/>
      <c r="M120" s="871"/>
      <c r="N120" s="871"/>
      <c r="O120" s="871"/>
      <c r="P120" s="871"/>
      <c r="Q120" s="871"/>
      <c r="R120" s="871"/>
      <c r="S120" s="871"/>
      <c r="T120" s="871"/>
      <c r="U120" s="871"/>
      <c r="V120" s="871"/>
      <c r="W120" s="871"/>
      <c r="X120" s="871"/>
      <c r="Y120" s="871"/>
      <c r="Z120" s="871"/>
      <c r="AA120" s="871"/>
      <c r="AB120" s="871"/>
      <c r="AC120" s="871"/>
      <c r="AD120" s="871"/>
      <c r="AE120" s="871"/>
      <c r="AF120" s="871"/>
      <c r="AG120" s="871"/>
      <c r="AH120" s="871"/>
      <c r="AI120" s="871"/>
      <c r="AJ120" s="871"/>
      <c r="AK120" s="871"/>
      <c r="AL120" s="871"/>
      <c r="AM120" s="871"/>
    </row>
    <row r="121" spans="1:39" s="872" customFormat="1" ht="15" x14ac:dyDescent="0.5">
      <c r="I121" s="871"/>
      <c r="J121" s="871"/>
      <c r="K121" s="871"/>
      <c r="L121" s="871"/>
      <c r="M121" s="871"/>
      <c r="N121" s="871"/>
      <c r="O121" s="871"/>
      <c r="P121" s="871"/>
      <c r="Q121" s="871"/>
      <c r="R121" s="871"/>
      <c r="S121" s="871"/>
      <c r="T121" s="871"/>
      <c r="U121" s="871"/>
      <c r="V121" s="871"/>
      <c r="W121" s="871"/>
      <c r="X121" s="871"/>
      <c r="Y121" s="871"/>
      <c r="Z121" s="871"/>
      <c r="AA121" s="871"/>
      <c r="AB121" s="871"/>
      <c r="AC121" s="871"/>
      <c r="AD121" s="871"/>
      <c r="AE121" s="871"/>
      <c r="AF121" s="871"/>
      <c r="AG121" s="871"/>
      <c r="AH121" s="871"/>
      <c r="AI121" s="871"/>
      <c r="AJ121" s="871"/>
      <c r="AK121" s="871"/>
      <c r="AL121" s="871"/>
      <c r="AM121" s="871"/>
    </row>
    <row r="122" spans="1:39" s="872" customFormat="1" ht="15" x14ac:dyDescent="0.5">
      <c r="A122" s="890"/>
      <c r="B122" s="890"/>
      <c r="C122" s="890"/>
      <c r="I122" s="871"/>
      <c r="J122" s="871"/>
      <c r="K122" s="871"/>
      <c r="L122" s="871"/>
      <c r="M122" s="871"/>
      <c r="N122" s="871"/>
      <c r="O122" s="871"/>
      <c r="P122" s="871"/>
      <c r="Q122" s="871"/>
      <c r="R122" s="871"/>
      <c r="S122" s="871"/>
      <c r="T122" s="871"/>
      <c r="U122" s="871"/>
      <c r="V122" s="871"/>
      <c r="W122" s="871"/>
      <c r="X122" s="871"/>
      <c r="Y122" s="871"/>
      <c r="Z122" s="871"/>
      <c r="AA122" s="871"/>
      <c r="AB122" s="871"/>
      <c r="AC122" s="871"/>
      <c r="AD122" s="871"/>
      <c r="AE122" s="871"/>
      <c r="AF122" s="871"/>
      <c r="AG122" s="871"/>
      <c r="AH122" s="871"/>
      <c r="AI122" s="871"/>
      <c r="AJ122" s="871"/>
      <c r="AK122" s="871"/>
      <c r="AL122" s="871"/>
      <c r="AM122" s="871"/>
    </row>
    <row r="123" spans="1:39" s="872" customFormat="1" ht="15" x14ac:dyDescent="0.5">
      <c r="I123" s="871"/>
      <c r="J123" s="871"/>
      <c r="K123" s="871"/>
      <c r="L123" s="871"/>
      <c r="M123" s="871"/>
      <c r="N123" s="871"/>
      <c r="O123" s="871"/>
      <c r="P123" s="871"/>
      <c r="Q123" s="871"/>
      <c r="R123" s="871"/>
      <c r="S123" s="871"/>
      <c r="T123" s="871"/>
      <c r="U123" s="871"/>
      <c r="V123" s="871"/>
      <c r="W123" s="871"/>
      <c r="X123" s="871"/>
      <c r="Y123" s="871"/>
      <c r="Z123" s="871"/>
      <c r="AA123" s="871"/>
      <c r="AB123" s="871"/>
      <c r="AC123" s="871"/>
      <c r="AD123" s="871"/>
      <c r="AE123" s="871"/>
      <c r="AF123" s="871"/>
      <c r="AG123" s="871"/>
      <c r="AH123" s="871"/>
      <c r="AI123" s="871"/>
      <c r="AJ123" s="871"/>
      <c r="AK123" s="871"/>
      <c r="AL123" s="871"/>
      <c r="AM123" s="871"/>
    </row>
    <row r="124" spans="1:39" s="872" customFormat="1" ht="15" x14ac:dyDescent="0.5">
      <c r="I124" s="871"/>
      <c r="J124" s="871"/>
      <c r="K124" s="871"/>
      <c r="L124" s="871"/>
      <c r="M124" s="871"/>
      <c r="N124" s="871"/>
      <c r="O124" s="871"/>
      <c r="P124" s="871"/>
      <c r="Q124" s="871"/>
      <c r="R124" s="871"/>
      <c r="S124" s="871"/>
      <c r="T124" s="871"/>
      <c r="U124" s="871"/>
      <c r="V124" s="871"/>
      <c r="W124" s="871"/>
      <c r="X124" s="871"/>
      <c r="Y124" s="871"/>
      <c r="Z124" s="871"/>
      <c r="AA124" s="871"/>
      <c r="AB124" s="871"/>
      <c r="AC124" s="871"/>
      <c r="AD124" s="871"/>
      <c r="AE124" s="871"/>
      <c r="AF124" s="871"/>
      <c r="AG124" s="871"/>
      <c r="AH124" s="871"/>
      <c r="AI124" s="871"/>
      <c r="AJ124" s="871"/>
      <c r="AK124" s="871"/>
      <c r="AL124" s="871"/>
      <c r="AM124" s="871"/>
    </row>
    <row r="125" spans="1:39" s="872" customFormat="1" ht="15" x14ac:dyDescent="0.5">
      <c r="F125" s="887"/>
      <c r="G125" s="887"/>
      <c r="I125" s="871"/>
      <c r="J125" s="871"/>
      <c r="K125" s="871"/>
      <c r="L125" s="871"/>
      <c r="M125" s="871"/>
      <c r="N125" s="871"/>
      <c r="O125" s="871"/>
      <c r="P125" s="871"/>
      <c r="Q125" s="871"/>
      <c r="R125" s="871"/>
      <c r="S125" s="871"/>
      <c r="T125" s="871"/>
      <c r="U125" s="871"/>
      <c r="V125" s="871"/>
      <c r="W125" s="871"/>
      <c r="X125" s="871"/>
      <c r="Y125" s="871"/>
      <c r="Z125" s="871"/>
      <c r="AA125" s="871"/>
      <c r="AB125" s="871"/>
      <c r="AC125" s="871"/>
      <c r="AD125" s="871"/>
      <c r="AE125" s="871"/>
      <c r="AF125" s="871"/>
      <c r="AG125" s="871"/>
      <c r="AH125" s="871"/>
      <c r="AI125" s="871"/>
      <c r="AJ125" s="871"/>
      <c r="AK125" s="871"/>
      <c r="AL125" s="871"/>
      <c r="AM125" s="871"/>
    </row>
    <row r="126" spans="1:39" s="872" customFormat="1" ht="15" x14ac:dyDescent="0.5">
      <c r="I126" s="871"/>
      <c r="J126" s="871"/>
      <c r="K126" s="871"/>
      <c r="L126" s="871"/>
      <c r="M126" s="871"/>
      <c r="N126" s="871"/>
      <c r="O126" s="871"/>
      <c r="P126" s="871"/>
      <c r="Q126" s="871"/>
      <c r="R126" s="871"/>
      <c r="S126" s="871"/>
      <c r="T126" s="871"/>
      <c r="U126" s="871"/>
      <c r="V126" s="871"/>
      <c r="W126" s="871"/>
      <c r="X126" s="871"/>
      <c r="Y126" s="871"/>
      <c r="Z126" s="871"/>
      <c r="AA126" s="871"/>
      <c r="AB126" s="871"/>
      <c r="AC126" s="871"/>
      <c r="AD126" s="871"/>
      <c r="AE126" s="871"/>
      <c r="AF126" s="871"/>
      <c r="AG126" s="871"/>
      <c r="AH126" s="871"/>
      <c r="AI126" s="871"/>
      <c r="AJ126" s="871"/>
      <c r="AK126" s="871"/>
      <c r="AL126" s="871"/>
      <c r="AM126" s="871"/>
    </row>
    <row r="127" spans="1:39" s="872" customFormat="1" ht="15" x14ac:dyDescent="0.5">
      <c r="I127" s="871"/>
      <c r="J127" s="871"/>
      <c r="K127" s="871"/>
      <c r="L127" s="871"/>
      <c r="M127" s="871"/>
      <c r="N127" s="871"/>
      <c r="O127" s="871"/>
      <c r="P127" s="871"/>
      <c r="Q127" s="871"/>
      <c r="R127" s="871"/>
      <c r="S127" s="871"/>
      <c r="T127" s="871"/>
      <c r="U127" s="871"/>
      <c r="V127" s="871"/>
      <c r="W127" s="871"/>
      <c r="X127" s="871"/>
      <c r="Y127" s="871"/>
      <c r="Z127" s="871"/>
      <c r="AA127" s="871"/>
      <c r="AB127" s="871"/>
      <c r="AC127" s="871"/>
      <c r="AD127" s="871"/>
      <c r="AE127" s="871"/>
      <c r="AF127" s="871"/>
      <c r="AG127" s="871"/>
      <c r="AH127" s="871"/>
      <c r="AI127" s="871"/>
      <c r="AJ127" s="871"/>
      <c r="AK127" s="871"/>
      <c r="AL127" s="871"/>
      <c r="AM127" s="871"/>
    </row>
    <row r="128" spans="1:39" s="872" customFormat="1" ht="15" x14ac:dyDescent="0.5">
      <c r="I128" s="871"/>
      <c r="J128" s="871"/>
      <c r="K128" s="871"/>
      <c r="L128" s="871"/>
      <c r="M128" s="871"/>
      <c r="N128" s="871"/>
      <c r="O128" s="871"/>
      <c r="P128" s="871"/>
      <c r="Q128" s="871"/>
      <c r="R128" s="871"/>
      <c r="S128" s="871"/>
      <c r="T128" s="871"/>
      <c r="U128" s="871"/>
      <c r="V128" s="871"/>
      <c r="W128" s="871"/>
      <c r="X128" s="871"/>
      <c r="Y128" s="871"/>
      <c r="Z128" s="871"/>
      <c r="AA128" s="871"/>
      <c r="AB128" s="871"/>
      <c r="AC128" s="871"/>
      <c r="AD128" s="871"/>
      <c r="AE128" s="871"/>
      <c r="AF128" s="871"/>
      <c r="AG128" s="871"/>
      <c r="AH128" s="871"/>
      <c r="AI128" s="871"/>
      <c r="AJ128" s="871"/>
      <c r="AK128" s="871"/>
      <c r="AL128" s="871"/>
      <c r="AM128" s="871"/>
    </row>
    <row r="129" spans="1:39" s="872" customFormat="1" ht="15" x14ac:dyDescent="0.5">
      <c r="I129" s="871"/>
      <c r="J129" s="871"/>
      <c r="K129" s="871"/>
      <c r="L129" s="871"/>
      <c r="M129" s="871"/>
      <c r="N129" s="871"/>
      <c r="O129" s="871"/>
      <c r="P129" s="871"/>
      <c r="Q129" s="871"/>
      <c r="R129" s="871"/>
      <c r="S129" s="871"/>
      <c r="T129" s="871"/>
      <c r="U129" s="871"/>
      <c r="V129" s="871"/>
      <c r="W129" s="871"/>
      <c r="X129" s="871"/>
      <c r="Y129" s="871"/>
      <c r="Z129" s="871"/>
      <c r="AA129" s="871"/>
      <c r="AB129" s="871"/>
      <c r="AC129" s="871"/>
      <c r="AD129" s="871"/>
      <c r="AE129" s="871"/>
      <c r="AF129" s="871"/>
      <c r="AG129" s="871"/>
      <c r="AH129" s="871"/>
      <c r="AI129" s="871"/>
      <c r="AJ129" s="871"/>
      <c r="AK129" s="871"/>
      <c r="AL129" s="871"/>
      <c r="AM129" s="871"/>
    </row>
    <row r="130" spans="1:39" s="872" customFormat="1" ht="15" x14ac:dyDescent="0.5">
      <c r="A130" s="887"/>
      <c r="B130" s="887"/>
      <c r="C130" s="887"/>
      <c r="D130" s="887"/>
      <c r="E130" s="887"/>
      <c r="F130" s="887"/>
      <c r="G130" s="887"/>
      <c r="I130" s="871"/>
      <c r="J130" s="871"/>
      <c r="K130" s="871"/>
      <c r="L130" s="871"/>
      <c r="M130" s="871"/>
      <c r="N130" s="871"/>
      <c r="O130" s="871"/>
      <c r="P130" s="871"/>
      <c r="Q130" s="871"/>
      <c r="R130" s="871"/>
      <c r="S130" s="871"/>
      <c r="T130" s="871"/>
      <c r="U130" s="871"/>
      <c r="V130" s="871"/>
      <c r="W130" s="871"/>
      <c r="X130" s="871"/>
      <c r="Y130" s="871"/>
      <c r="Z130" s="871"/>
      <c r="AA130" s="871"/>
      <c r="AB130" s="871"/>
      <c r="AC130" s="871"/>
      <c r="AD130" s="871"/>
      <c r="AE130" s="871"/>
      <c r="AF130" s="871"/>
      <c r="AG130" s="871"/>
      <c r="AH130" s="871"/>
      <c r="AI130" s="871"/>
      <c r="AJ130" s="871"/>
      <c r="AK130" s="871"/>
      <c r="AL130" s="871"/>
      <c r="AM130" s="871"/>
    </row>
    <row r="131" spans="1:39" s="872" customFormat="1" ht="15" x14ac:dyDescent="0.5">
      <c r="I131" s="871"/>
      <c r="J131" s="871"/>
      <c r="K131" s="871"/>
      <c r="L131" s="871"/>
      <c r="M131" s="871"/>
      <c r="N131" s="871"/>
      <c r="O131" s="871"/>
      <c r="P131" s="871"/>
      <c r="Q131" s="871"/>
      <c r="R131" s="871"/>
      <c r="S131" s="871"/>
      <c r="T131" s="871"/>
      <c r="U131" s="871"/>
      <c r="V131" s="871"/>
      <c r="W131" s="871"/>
      <c r="X131" s="871"/>
      <c r="Y131" s="871"/>
      <c r="Z131" s="871"/>
      <c r="AA131" s="871"/>
      <c r="AB131" s="871"/>
      <c r="AC131" s="871"/>
      <c r="AD131" s="871"/>
      <c r="AE131" s="871"/>
      <c r="AF131" s="871"/>
      <c r="AG131" s="871"/>
      <c r="AH131" s="871"/>
      <c r="AI131" s="871"/>
      <c r="AJ131" s="871"/>
      <c r="AK131" s="871"/>
      <c r="AL131" s="871"/>
      <c r="AM131" s="871"/>
    </row>
    <row r="132" spans="1:39" s="872" customFormat="1" ht="15" x14ac:dyDescent="0.5">
      <c r="I132" s="871"/>
      <c r="J132" s="871"/>
      <c r="K132" s="871"/>
      <c r="L132" s="871"/>
      <c r="M132" s="871"/>
      <c r="N132" s="871"/>
      <c r="O132" s="871"/>
      <c r="P132" s="871"/>
      <c r="Q132" s="871"/>
      <c r="R132" s="871"/>
      <c r="S132" s="871"/>
      <c r="T132" s="871"/>
      <c r="U132" s="871"/>
      <c r="V132" s="871"/>
      <c r="W132" s="871"/>
      <c r="X132" s="871"/>
      <c r="Y132" s="871"/>
      <c r="Z132" s="871"/>
      <c r="AA132" s="871"/>
      <c r="AB132" s="871"/>
      <c r="AC132" s="871"/>
      <c r="AD132" s="871"/>
      <c r="AE132" s="871"/>
      <c r="AF132" s="871"/>
      <c r="AG132" s="871"/>
      <c r="AH132" s="871"/>
      <c r="AI132" s="871"/>
      <c r="AJ132" s="871"/>
      <c r="AK132" s="871"/>
      <c r="AL132" s="871"/>
      <c r="AM132" s="871"/>
    </row>
    <row r="133" spans="1:39" s="872" customFormat="1" ht="15" x14ac:dyDescent="0.5">
      <c r="I133" s="871"/>
      <c r="J133" s="871"/>
      <c r="K133" s="871"/>
      <c r="L133" s="871"/>
      <c r="M133" s="871"/>
      <c r="N133" s="871"/>
      <c r="O133" s="871"/>
      <c r="P133" s="871"/>
      <c r="Q133" s="871"/>
      <c r="R133" s="871"/>
      <c r="S133" s="871"/>
      <c r="T133" s="871"/>
      <c r="U133" s="871"/>
      <c r="V133" s="871"/>
      <c r="W133" s="871"/>
      <c r="X133" s="871"/>
      <c r="Y133" s="871"/>
      <c r="Z133" s="871"/>
      <c r="AA133" s="871"/>
      <c r="AB133" s="871"/>
      <c r="AC133" s="871"/>
      <c r="AD133" s="871"/>
      <c r="AE133" s="871"/>
      <c r="AF133" s="871"/>
      <c r="AG133" s="871"/>
      <c r="AH133" s="871"/>
      <c r="AI133" s="871"/>
      <c r="AJ133" s="871"/>
      <c r="AK133" s="871"/>
      <c r="AL133" s="871"/>
      <c r="AM133" s="871"/>
    </row>
    <row r="134" spans="1:39" s="872" customFormat="1" ht="15" x14ac:dyDescent="0.5">
      <c r="I134" s="871"/>
      <c r="J134" s="871"/>
      <c r="K134" s="871"/>
      <c r="L134" s="871"/>
      <c r="M134" s="871"/>
      <c r="N134" s="871"/>
      <c r="O134" s="871"/>
      <c r="P134" s="871"/>
      <c r="Q134" s="871"/>
      <c r="R134" s="871"/>
      <c r="S134" s="871"/>
      <c r="T134" s="871"/>
      <c r="U134" s="871"/>
      <c r="V134" s="871"/>
      <c r="W134" s="871"/>
      <c r="X134" s="871"/>
      <c r="Y134" s="871"/>
      <c r="Z134" s="871"/>
      <c r="AA134" s="871"/>
      <c r="AB134" s="871"/>
      <c r="AC134" s="871"/>
      <c r="AD134" s="871"/>
      <c r="AE134" s="871"/>
      <c r="AF134" s="871"/>
      <c r="AG134" s="871"/>
      <c r="AH134" s="871"/>
      <c r="AI134" s="871"/>
      <c r="AJ134" s="871"/>
      <c r="AK134" s="871"/>
      <c r="AL134" s="871"/>
      <c r="AM134" s="871"/>
    </row>
    <row r="135" spans="1:39" s="872" customFormat="1" ht="15" x14ac:dyDescent="0.5">
      <c r="A135" s="887"/>
      <c r="B135" s="887"/>
      <c r="C135" s="887"/>
      <c r="D135" s="887"/>
      <c r="E135" s="887"/>
      <c r="H135" s="887"/>
      <c r="I135" s="871"/>
      <c r="J135" s="871"/>
      <c r="K135" s="871"/>
      <c r="L135" s="871"/>
      <c r="M135" s="871"/>
      <c r="N135" s="871"/>
      <c r="O135" s="871"/>
      <c r="P135" s="871"/>
      <c r="Q135" s="871"/>
      <c r="R135" s="871"/>
      <c r="S135" s="871"/>
      <c r="T135" s="871"/>
      <c r="U135" s="871"/>
      <c r="V135" s="871"/>
      <c r="W135" s="871"/>
      <c r="X135" s="871"/>
      <c r="Y135" s="871"/>
      <c r="Z135" s="871"/>
      <c r="AA135" s="871"/>
      <c r="AB135" s="871"/>
      <c r="AC135" s="871"/>
      <c r="AD135" s="871"/>
      <c r="AE135" s="871"/>
      <c r="AF135" s="871"/>
      <c r="AG135" s="871"/>
      <c r="AH135" s="871"/>
      <c r="AI135" s="871"/>
      <c r="AJ135" s="871"/>
      <c r="AK135" s="871"/>
      <c r="AL135" s="871"/>
      <c r="AM135" s="871"/>
    </row>
    <row r="136" spans="1:39" s="872" customFormat="1" ht="15" x14ac:dyDescent="0.5">
      <c r="I136" s="871"/>
      <c r="J136" s="871"/>
      <c r="K136" s="871"/>
      <c r="L136" s="871"/>
      <c r="M136" s="871"/>
      <c r="N136" s="871"/>
      <c r="O136" s="871"/>
      <c r="P136" s="871"/>
      <c r="Q136" s="871"/>
      <c r="R136" s="871"/>
      <c r="S136" s="871"/>
      <c r="T136" s="871"/>
      <c r="U136" s="871"/>
      <c r="V136" s="871"/>
      <c r="W136" s="871"/>
      <c r="X136" s="871"/>
      <c r="Y136" s="871"/>
      <c r="Z136" s="871"/>
      <c r="AA136" s="871"/>
      <c r="AB136" s="871"/>
      <c r="AC136" s="871"/>
      <c r="AD136" s="871"/>
      <c r="AE136" s="871"/>
      <c r="AF136" s="871"/>
      <c r="AG136" s="871"/>
      <c r="AH136" s="871"/>
      <c r="AI136" s="871"/>
      <c r="AJ136" s="871"/>
      <c r="AK136" s="871"/>
      <c r="AL136" s="871"/>
      <c r="AM136" s="871"/>
    </row>
    <row r="137" spans="1:39" s="872" customFormat="1" ht="15" x14ac:dyDescent="0.5">
      <c r="A137" s="876"/>
      <c r="F137" s="871"/>
      <c r="G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1"/>
      <c r="AF137" s="871"/>
      <c r="AG137" s="871"/>
      <c r="AH137" s="871"/>
      <c r="AI137" s="871"/>
      <c r="AJ137" s="871"/>
      <c r="AK137" s="871"/>
      <c r="AL137" s="871"/>
      <c r="AM137" s="871"/>
    </row>
    <row r="138" spans="1:39" s="872" customFormat="1" ht="15" x14ac:dyDescent="0.5">
      <c r="F138" s="871"/>
      <c r="G138" s="871"/>
      <c r="I138" s="871"/>
      <c r="J138" s="871"/>
      <c r="K138" s="871"/>
      <c r="L138" s="871"/>
      <c r="M138" s="871"/>
      <c r="N138" s="871"/>
      <c r="O138" s="871"/>
      <c r="P138" s="871"/>
      <c r="Q138" s="871"/>
      <c r="R138" s="871"/>
      <c r="S138" s="871"/>
      <c r="T138" s="871"/>
      <c r="U138" s="871"/>
      <c r="V138" s="871"/>
      <c r="W138" s="871"/>
      <c r="X138" s="871"/>
      <c r="Y138" s="871"/>
      <c r="Z138" s="871"/>
      <c r="AA138" s="871"/>
      <c r="AB138" s="871"/>
      <c r="AC138" s="871"/>
      <c r="AD138" s="871"/>
      <c r="AE138" s="871"/>
      <c r="AF138" s="871"/>
      <c r="AG138" s="871"/>
      <c r="AH138" s="871"/>
      <c r="AI138" s="871"/>
      <c r="AJ138" s="871"/>
      <c r="AK138" s="871"/>
      <c r="AL138" s="871"/>
      <c r="AM138" s="871"/>
    </row>
    <row r="139" spans="1:39" s="872" customFormat="1" ht="15" x14ac:dyDescent="0.5">
      <c r="F139" s="871"/>
      <c r="G139" s="871"/>
      <c r="I139" s="871"/>
      <c r="J139" s="871"/>
      <c r="K139" s="871"/>
      <c r="L139" s="871"/>
      <c r="M139" s="871"/>
      <c r="N139" s="871"/>
      <c r="O139" s="871"/>
      <c r="P139" s="871"/>
      <c r="Q139" s="871"/>
      <c r="R139" s="871"/>
      <c r="S139" s="871"/>
      <c r="T139" s="871"/>
      <c r="U139" s="871"/>
      <c r="V139" s="871"/>
      <c r="W139" s="871"/>
      <c r="X139" s="871"/>
      <c r="Y139" s="871"/>
      <c r="Z139" s="871"/>
      <c r="AA139" s="871"/>
      <c r="AB139" s="871"/>
      <c r="AC139" s="871"/>
      <c r="AD139" s="871"/>
      <c r="AE139" s="871"/>
      <c r="AF139" s="871"/>
      <c r="AG139" s="871"/>
      <c r="AH139" s="871"/>
      <c r="AI139" s="871"/>
      <c r="AJ139" s="871"/>
      <c r="AK139" s="871"/>
      <c r="AL139" s="871"/>
      <c r="AM139" s="871"/>
    </row>
    <row r="140" spans="1:39" s="872" customFormat="1" ht="15" x14ac:dyDescent="0.5">
      <c r="C140" s="889"/>
      <c r="F140" s="871"/>
      <c r="G140" s="871"/>
      <c r="I140" s="871"/>
      <c r="J140" s="871"/>
      <c r="K140" s="871"/>
      <c r="L140" s="871"/>
      <c r="M140" s="871"/>
      <c r="N140" s="871"/>
      <c r="O140" s="871"/>
      <c r="P140" s="871"/>
      <c r="Q140" s="871"/>
      <c r="R140" s="871"/>
      <c r="S140" s="871"/>
      <c r="T140" s="871"/>
      <c r="U140" s="871"/>
      <c r="V140" s="871"/>
      <c r="W140" s="871"/>
      <c r="X140" s="871"/>
      <c r="Y140" s="871"/>
      <c r="Z140" s="871"/>
      <c r="AA140" s="871"/>
      <c r="AB140" s="871"/>
      <c r="AC140" s="871"/>
      <c r="AD140" s="871"/>
      <c r="AE140" s="871"/>
      <c r="AF140" s="871"/>
      <c r="AG140" s="871"/>
      <c r="AH140" s="871"/>
      <c r="AI140" s="871"/>
      <c r="AJ140" s="871"/>
      <c r="AK140" s="871"/>
      <c r="AL140" s="871"/>
      <c r="AM140" s="871"/>
    </row>
    <row r="141" spans="1:39" s="872" customFormat="1" ht="15" x14ac:dyDescent="0.5">
      <c r="F141" s="871"/>
      <c r="G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871"/>
      <c r="AL141" s="871"/>
      <c r="AM141" s="871"/>
    </row>
    <row r="142" spans="1:39" s="872" customFormat="1" ht="15" x14ac:dyDescent="0.5">
      <c r="A142" s="891"/>
      <c r="B142" s="891"/>
      <c r="C142" s="871"/>
      <c r="D142" s="871"/>
      <c r="E142" s="871"/>
      <c r="F142" s="871"/>
      <c r="G142" s="871"/>
      <c r="I142" s="871"/>
      <c r="J142" s="871"/>
      <c r="K142" s="871"/>
      <c r="L142" s="871"/>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1"/>
      <c r="AJ142" s="871"/>
      <c r="AK142" s="871"/>
      <c r="AL142" s="871"/>
      <c r="AM142" s="871"/>
    </row>
    <row r="143" spans="1:39" s="872" customFormat="1" ht="15" x14ac:dyDescent="0.5">
      <c r="A143" s="871"/>
      <c r="B143" s="871"/>
      <c r="C143" s="871"/>
      <c r="D143" s="871"/>
      <c r="E143" s="871"/>
      <c r="F143" s="871"/>
      <c r="G143" s="871"/>
      <c r="I143" s="871"/>
      <c r="J143" s="871"/>
      <c r="K143" s="871"/>
      <c r="L143" s="871"/>
      <c r="M143" s="871"/>
      <c r="N143" s="871"/>
      <c r="O143" s="871"/>
      <c r="P143" s="871"/>
      <c r="Q143" s="871"/>
      <c r="R143" s="871"/>
      <c r="S143" s="871"/>
      <c r="T143" s="871"/>
      <c r="U143" s="871"/>
      <c r="V143" s="871"/>
      <c r="W143" s="871"/>
      <c r="X143" s="871"/>
      <c r="Y143" s="871"/>
      <c r="Z143" s="871"/>
      <c r="AA143" s="871"/>
      <c r="AB143" s="871"/>
      <c r="AC143" s="871"/>
      <c r="AD143" s="871"/>
      <c r="AE143" s="871"/>
      <c r="AF143" s="871"/>
      <c r="AG143" s="871"/>
      <c r="AH143" s="871"/>
      <c r="AI143" s="871"/>
      <c r="AJ143" s="871"/>
      <c r="AK143" s="871"/>
      <c r="AL143" s="871"/>
      <c r="AM143" s="871"/>
    </row>
    <row r="144" spans="1:39" s="872" customFormat="1" ht="15" x14ac:dyDescent="0.5">
      <c r="A144" s="871"/>
      <c r="B144" s="871"/>
      <c r="C144" s="871"/>
      <c r="D144" s="871"/>
      <c r="E144" s="871"/>
      <c r="F144" s="871"/>
      <c r="G144" s="871"/>
      <c r="I144" s="871"/>
      <c r="J144" s="871"/>
      <c r="K144" s="871"/>
      <c r="L144" s="871"/>
      <c r="M144" s="871"/>
      <c r="N144" s="871"/>
      <c r="O144" s="871"/>
      <c r="P144" s="871"/>
      <c r="Q144" s="871"/>
      <c r="R144" s="871"/>
      <c r="S144" s="871"/>
      <c r="T144" s="871"/>
      <c r="U144" s="871"/>
      <c r="V144" s="871"/>
      <c r="W144" s="871"/>
      <c r="X144" s="871"/>
      <c r="Y144" s="871"/>
      <c r="Z144" s="871"/>
      <c r="AA144" s="871"/>
      <c r="AB144" s="871"/>
      <c r="AC144" s="871"/>
      <c r="AD144" s="871"/>
      <c r="AE144" s="871"/>
      <c r="AF144" s="871"/>
      <c r="AG144" s="871"/>
      <c r="AH144" s="871"/>
      <c r="AI144" s="871"/>
      <c r="AJ144" s="871"/>
      <c r="AK144" s="871"/>
      <c r="AL144" s="871"/>
      <c r="AM144" s="871"/>
    </row>
    <row r="145" spans="1:39" s="872" customFormat="1" ht="15" x14ac:dyDescent="0.5">
      <c r="A145" s="871"/>
      <c r="B145" s="871"/>
      <c r="C145" s="871"/>
      <c r="D145" s="871"/>
      <c r="E145" s="871"/>
      <c r="F145" s="892"/>
      <c r="G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1"/>
      <c r="AK145" s="871"/>
      <c r="AL145" s="871"/>
      <c r="AM145" s="871"/>
    </row>
    <row r="146" spans="1:39" s="872" customFormat="1" ht="15" x14ac:dyDescent="0.5">
      <c r="A146" s="871"/>
      <c r="B146" s="871"/>
      <c r="C146" s="871"/>
      <c r="D146" s="871"/>
      <c r="E146" s="871"/>
      <c r="F146" s="871"/>
      <c r="G146" s="871"/>
      <c r="I146" s="871"/>
      <c r="J146" s="871"/>
      <c r="K146" s="871"/>
      <c r="L146" s="871"/>
      <c r="M146" s="871"/>
      <c r="N146" s="871"/>
      <c r="O146" s="871"/>
      <c r="P146" s="871"/>
      <c r="Q146" s="871"/>
      <c r="R146" s="871"/>
      <c r="S146" s="871"/>
      <c r="T146" s="871"/>
      <c r="U146" s="871"/>
      <c r="V146" s="871"/>
      <c r="W146" s="871"/>
      <c r="X146" s="871"/>
      <c r="Y146" s="871"/>
      <c r="Z146" s="871"/>
      <c r="AA146" s="871"/>
      <c r="AB146" s="871"/>
      <c r="AC146" s="871"/>
      <c r="AD146" s="871"/>
      <c r="AE146" s="871"/>
      <c r="AF146" s="871"/>
      <c r="AG146" s="871"/>
      <c r="AH146" s="871"/>
      <c r="AI146" s="871"/>
      <c r="AJ146" s="871"/>
      <c r="AK146" s="871"/>
      <c r="AL146" s="871"/>
      <c r="AM146" s="871"/>
    </row>
    <row r="147" spans="1:39" s="872" customFormat="1" ht="15" x14ac:dyDescent="0.5">
      <c r="A147" s="871"/>
      <c r="B147" s="871"/>
      <c r="C147" s="871"/>
      <c r="D147" s="871"/>
      <c r="E147" s="871"/>
      <c r="F147" s="871"/>
      <c r="G147" s="871"/>
      <c r="I147" s="871"/>
      <c r="J147" s="871"/>
      <c r="K147" s="871"/>
      <c r="L147" s="871"/>
      <c r="M147" s="871"/>
      <c r="N147" s="871"/>
      <c r="O147" s="871"/>
      <c r="P147" s="871"/>
      <c r="Q147" s="871"/>
      <c r="R147" s="871"/>
      <c r="S147" s="871"/>
      <c r="T147" s="871"/>
      <c r="U147" s="871"/>
      <c r="V147" s="871"/>
      <c r="W147" s="871"/>
      <c r="X147" s="871"/>
      <c r="Y147" s="871"/>
      <c r="Z147" s="871"/>
      <c r="AA147" s="871"/>
      <c r="AB147" s="871"/>
      <c r="AC147" s="871"/>
      <c r="AD147" s="871"/>
      <c r="AE147" s="871"/>
      <c r="AF147" s="871"/>
      <c r="AG147" s="871"/>
      <c r="AH147" s="871"/>
      <c r="AI147" s="871"/>
      <c r="AJ147" s="871"/>
      <c r="AK147" s="871"/>
      <c r="AL147" s="871"/>
      <c r="AM147" s="871"/>
    </row>
    <row r="148" spans="1:39" s="872" customFormat="1" ht="15" x14ac:dyDescent="0.5">
      <c r="A148" s="871"/>
      <c r="B148" s="871"/>
      <c r="C148" s="871"/>
      <c r="D148" s="871"/>
      <c r="E148" s="871"/>
      <c r="F148" s="871"/>
      <c r="G148" s="871"/>
      <c r="I148" s="871"/>
      <c r="J148" s="871"/>
      <c r="K148" s="871"/>
      <c r="L148" s="871"/>
      <c r="M148" s="871"/>
      <c r="N148" s="871"/>
      <c r="O148" s="871"/>
      <c r="P148" s="871"/>
      <c r="Q148" s="871"/>
      <c r="R148" s="871"/>
      <c r="S148" s="871"/>
      <c r="T148" s="871"/>
      <c r="U148" s="871"/>
      <c r="V148" s="871"/>
      <c r="W148" s="871"/>
      <c r="X148" s="871"/>
      <c r="Y148" s="871"/>
      <c r="Z148" s="871"/>
      <c r="AA148" s="871"/>
      <c r="AB148" s="871"/>
      <c r="AC148" s="871"/>
      <c r="AD148" s="871"/>
      <c r="AE148" s="871"/>
      <c r="AF148" s="871"/>
      <c r="AG148" s="871"/>
      <c r="AH148" s="871"/>
      <c r="AI148" s="871"/>
      <c r="AJ148" s="871"/>
      <c r="AK148" s="871"/>
      <c r="AL148" s="871"/>
      <c r="AM148" s="871"/>
    </row>
    <row r="149" spans="1:39" s="872" customFormat="1" ht="15" x14ac:dyDescent="0.5">
      <c r="A149" s="871"/>
      <c r="B149" s="871"/>
      <c r="C149" s="871"/>
      <c r="D149" s="871"/>
      <c r="E149" s="871"/>
      <c r="F149" s="871"/>
      <c r="G149" s="871"/>
      <c r="I149" s="871"/>
      <c r="J149" s="871"/>
      <c r="K149" s="871"/>
      <c r="L149" s="871"/>
      <c r="M149" s="871"/>
      <c r="N149" s="871"/>
      <c r="O149" s="871"/>
      <c r="P149" s="871"/>
      <c r="Q149" s="871"/>
      <c r="R149" s="871"/>
      <c r="S149" s="871"/>
      <c r="T149" s="871"/>
      <c r="U149" s="871"/>
      <c r="V149" s="871"/>
      <c r="W149" s="871"/>
      <c r="X149" s="871"/>
      <c r="Y149" s="871"/>
      <c r="Z149" s="871"/>
      <c r="AA149" s="871"/>
      <c r="AB149" s="871"/>
      <c r="AC149" s="871"/>
      <c r="AD149" s="871"/>
      <c r="AE149" s="871"/>
      <c r="AF149" s="871"/>
      <c r="AG149" s="871"/>
      <c r="AH149" s="871"/>
      <c r="AI149" s="871"/>
      <c r="AJ149" s="871"/>
      <c r="AK149" s="871"/>
      <c r="AL149" s="871"/>
      <c r="AM149" s="871"/>
    </row>
    <row r="150" spans="1:39" s="872" customFormat="1" ht="15" x14ac:dyDescent="0.5">
      <c r="A150" s="892"/>
      <c r="B150" s="892"/>
      <c r="C150" s="892"/>
      <c r="D150" s="892"/>
      <c r="E150" s="892"/>
      <c r="F150" s="892"/>
      <c r="G150" s="892"/>
      <c r="I150" s="871"/>
      <c r="J150" s="871"/>
      <c r="K150" s="871"/>
      <c r="L150" s="871"/>
      <c r="M150" s="871"/>
      <c r="N150" s="871"/>
      <c r="O150" s="871"/>
      <c r="P150" s="871"/>
      <c r="Q150" s="871"/>
      <c r="R150" s="871"/>
      <c r="S150" s="871"/>
      <c r="T150" s="871"/>
      <c r="U150" s="871"/>
      <c r="V150" s="871"/>
      <c r="W150" s="871"/>
      <c r="X150" s="871"/>
      <c r="Y150" s="871"/>
      <c r="Z150" s="871"/>
      <c r="AA150" s="871"/>
      <c r="AB150" s="871"/>
      <c r="AC150" s="871"/>
      <c r="AD150" s="871"/>
      <c r="AE150" s="871"/>
      <c r="AF150" s="871"/>
      <c r="AG150" s="871"/>
      <c r="AH150" s="871"/>
      <c r="AI150" s="871"/>
      <c r="AJ150" s="871"/>
      <c r="AK150" s="871"/>
      <c r="AL150" s="871"/>
      <c r="AM150" s="871"/>
    </row>
    <row r="151" spans="1:39" s="872" customFormat="1" ht="15" x14ac:dyDescent="0.5">
      <c r="A151" s="871"/>
      <c r="B151" s="871"/>
      <c r="C151" s="871"/>
      <c r="D151" s="871"/>
      <c r="E151" s="871"/>
      <c r="F151" s="871"/>
      <c r="G151" s="871"/>
      <c r="I151" s="871"/>
      <c r="J151" s="871"/>
      <c r="K151" s="871"/>
      <c r="L151" s="871"/>
      <c r="M151" s="871"/>
      <c r="N151" s="871"/>
      <c r="O151" s="871"/>
      <c r="P151" s="871"/>
      <c r="Q151" s="871"/>
      <c r="R151" s="871"/>
      <c r="S151" s="871"/>
      <c r="T151" s="871"/>
      <c r="U151" s="871"/>
      <c r="V151" s="871"/>
      <c r="W151" s="871"/>
      <c r="X151" s="871"/>
      <c r="Y151" s="871"/>
      <c r="Z151" s="871"/>
      <c r="AA151" s="871"/>
      <c r="AB151" s="871"/>
      <c r="AC151" s="871"/>
      <c r="AD151" s="871"/>
      <c r="AE151" s="871"/>
      <c r="AF151" s="871"/>
      <c r="AG151" s="871"/>
      <c r="AH151" s="871"/>
      <c r="AI151" s="871"/>
      <c r="AJ151" s="871"/>
      <c r="AK151" s="871"/>
      <c r="AL151" s="871"/>
      <c r="AM151" s="871"/>
    </row>
    <row r="152" spans="1:39" s="872" customFormat="1" ht="15" x14ac:dyDescent="0.5">
      <c r="A152" s="871"/>
      <c r="B152" s="871"/>
      <c r="C152" s="871"/>
      <c r="D152" s="871"/>
      <c r="E152" s="871"/>
      <c r="F152" s="871"/>
      <c r="G152" s="871"/>
      <c r="I152" s="871"/>
      <c r="J152" s="871"/>
      <c r="K152" s="871"/>
      <c r="L152" s="871"/>
      <c r="M152" s="871"/>
      <c r="N152" s="871"/>
      <c r="O152" s="871"/>
      <c r="P152" s="871"/>
      <c r="Q152" s="871"/>
      <c r="R152" s="871"/>
      <c r="S152" s="871"/>
      <c r="T152" s="871"/>
      <c r="U152" s="871"/>
      <c r="V152" s="871"/>
      <c r="W152" s="871"/>
      <c r="X152" s="871"/>
      <c r="Y152" s="871"/>
      <c r="Z152" s="871"/>
      <c r="AA152" s="871"/>
      <c r="AB152" s="871"/>
      <c r="AC152" s="871"/>
      <c r="AD152" s="871"/>
      <c r="AE152" s="871"/>
      <c r="AF152" s="871"/>
      <c r="AG152" s="871"/>
      <c r="AH152" s="871"/>
      <c r="AI152" s="871"/>
      <c r="AJ152" s="871"/>
      <c r="AK152" s="871"/>
      <c r="AL152" s="871"/>
      <c r="AM152" s="871"/>
    </row>
    <row r="153" spans="1:39" s="872" customFormat="1" ht="15" x14ac:dyDescent="0.5">
      <c r="A153" s="871"/>
      <c r="B153" s="871"/>
      <c r="C153" s="871"/>
      <c r="D153" s="871"/>
      <c r="E153" s="871"/>
      <c r="I153" s="871"/>
      <c r="J153" s="871"/>
      <c r="K153" s="871"/>
      <c r="L153" s="871"/>
      <c r="M153" s="871"/>
      <c r="N153" s="871"/>
      <c r="O153" s="871"/>
      <c r="P153" s="871"/>
      <c r="Q153" s="871"/>
      <c r="R153" s="871"/>
      <c r="S153" s="871"/>
      <c r="T153" s="871"/>
      <c r="U153" s="871"/>
      <c r="V153" s="871"/>
      <c r="W153" s="871"/>
      <c r="X153" s="871"/>
      <c r="Y153" s="871"/>
      <c r="Z153" s="871"/>
      <c r="AA153" s="871"/>
      <c r="AB153" s="871"/>
      <c r="AC153" s="871"/>
      <c r="AD153" s="871"/>
      <c r="AE153" s="871"/>
      <c r="AF153" s="871"/>
      <c r="AG153" s="871"/>
      <c r="AH153" s="871"/>
      <c r="AI153" s="871"/>
      <c r="AJ153" s="871"/>
      <c r="AK153" s="871"/>
      <c r="AL153" s="871"/>
      <c r="AM153" s="871"/>
    </row>
    <row r="154" spans="1:39" s="872" customFormat="1" ht="15" x14ac:dyDescent="0.5">
      <c r="A154" s="871"/>
      <c r="B154" s="871"/>
      <c r="C154" s="871"/>
      <c r="D154" s="871"/>
      <c r="E154" s="871"/>
      <c r="I154" s="871"/>
      <c r="J154" s="871"/>
      <c r="K154" s="871"/>
      <c r="L154" s="871"/>
      <c r="M154" s="871"/>
      <c r="N154" s="871"/>
      <c r="O154" s="871"/>
      <c r="P154" s="871"/>
      <c r="Q154" s="871"/>
      <c r="R154" s="871"/>
      <c r="S154" s="871"/>
      <c r="T154" s="871"/>
      <c r="U154" s="871"/>
      <c r="V154" s="871"/>
      <c r="W154" s="871"/>
      <c r="X154" s="871"/>
      <c r="Y154" s="871"/>
      <c r="Z154" s="871"/>
      <c r="AA154" s="871"/>
      <c r="AB154" s="871"/>
      <c r="AC154" s="871"/>
      <c r="AD154" s="871"/>
      <c r="AE154" s="871"/>
      <c r="AF154" s="871"/>
      <c r="AG154" s="871"/>
      <c r="AH154" s="871"/>
      <c r="AI154" s="871"/>
      <c r="AJ154" s="871"/>
      <c r="AK154" s="871"/>
      <c r="AL154" s="871"/>
      <c r="AM154" s="871"/>
    </row>
    <row r="155" spans="1:39" s="872" customFormat="1" ht="15" x14ac:dyDescent="0.5">
      <c r="A155" s="892"/>
      <c r="B155" s="892"/>
      <c r="C155" s="892"/>
      <c r="D155" s="892"/>
      <c r="E155" s="892"/>
      <c r="H155" s="887"/>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871"/>
      <c r="AL155" s="871"/>
      <c r="AM155" s="871"/>
    </row>
    <row r="156" spans="1:39" s="872" customFormat="1" ht="15" x14ac:dyDescent="0.5">
      <c r="A156" s="871"/>
      <c r="B156" s="871"/>
      <c r="C156" s="871"/>
      <c r="D156" s="871"/>
      <c r="E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871"/>
      <c r="AL156" s="871"/>
      <c r="AM156" s="871"/>
    </row>
    <row r="157" spans="1:39" s="872" customFormat="1" ht="15" x14ac:dyDescent="0.5">
      <c r="A157" s="871"/>
      <c r="B157" s="871"/>
      <c r="C157" s="871"/>
      <c r="D157" s="871"/>
      <c r="E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871"/>
      <c r="AE157" s="871"/>
      <c r="AF157" s="871"/>
      <c r="AG157" s="871"/>
      <c r="AH157" s="871"/>
      <c r="AI157" s="871"/>
      <c r="AJ157" s="871"/>
      <c r="AK157" s="871"/>
      <c r="AL157" s="871"/>
      <c r="AM157" s="871"/>
    </row>
    <row r="158" spans="1:39" s="872" customFormat="1" ht="15" x14ac:dyDescent="0.5">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871"/>
      <c r="AL158" s="871"/>
      <c r="AM158" s="871"/>
    </row>
    <row r="159" spans="1:39" s="872" customFormat="1" ht="15" x14ac:dyDescent="0.5">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871"/>
      <c r="AL159" s="871"/>
      <c r="AM159" s="871"/>
    </row>
    <row r="160" spans="1:39" s="872" customFormat="1" ht="15" x14ac:dyDescent="0.5">
      <c r="C160" s="889"/>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871"/>
      <c r="AL160" s="871"/>
      <c r="AM160" s="871"/>
    </row>
    <row r="161" spans="1:39" s="872" customFormat="1" ht="15" x14ac:dyDescent="0.5">
      <c r="I161" s="871"/>
      <c r="J161" s="871"/>
      <c r="K161" s="871"/>
      <c r="L161" s="871"/>
      <c r="M161" s="871"/>
      <c r="N161" s="871"/>
      <c r="O161" s="871"/>
      <c r="P161" s="871"/>
      <c r="Q161" s="871"/>
      <c r="R161" s="871"/>
      <c r="S161" s="871"/>
      <c r="T161" s="871"/>
      <c r="U161" s="871"/>
      <c r="V161" s="871"/>
      <c r="W161" s="871"/>
      <c r="X161" s="871"/>
      <c r="Y161" s="871"/>
      <c r="Z161" s="871"/>
      <c r="AA161" s="871"/>
      <c r="AB161" s="871"/>
      <c r="AC161" s="871"/>
      <c r="AD161" s="871"/>
      <c r="AE161" s="871"/>
      <c r="AF161" s="871"/>
      <c r="AG161" s="871"/>
      <c r="AH161" s="871"/>
      <c r="AI161" s="871"/>
      <c r="AJ161" s="871"/>
      <c r="AK161" s="871"/>
      <c r="AL161" s="871"/>
      <c r="AM161" s="871"/>
    </row>
    <row r="162" spans="1:39" s="872" customFormat="1" ht="15" x14ac:dyDescent="0.5">
      <c r="A162" s="890"/>
      <c r="B162" s="890"/>
      <c r="C162" s="890"/>
      <c r="I162" s="871"/>
      <c r="J162" s="871"/>
      <c r="K162" s="871"/>
      <c r="L162" s="871"/>
      <c r="M162" s="871"/>
      <c r="N162" s="871"/>
      <c r="O162" s="871"/>
      <c r="P162" s="871"/>
      <c r="Q162" s="871"/>
      <c r="R162" s="871"/>
      <c r="S162" s="871"/>
      <c r="T162" s="871"/>
      <c r="U162" s="871"/>
      <c r="V162" s="871"/>
      <c r="W162" s="871"/>
      <c r="X162" s="871"/>
      <c r="Y162" s="871"/>
      <c r="Z162" s="871"/>
      <c r="AA162" s="871"/>
      <c r="AB162" s="871"/>
      <c r="AC162" s="871"/>
      <c r="AD162" s="871"/>
      <c r="AE162" s="871"/>
      <c r="AF162" s="871"/>
      <c r="AG162" s="871"/>
      <c r="AH162" s="871"/>
      <c r="AI162" s="871"/>
      <c r="AJ162" s="871"/>
      <c r="AK162" s="871"/>
      <c r="AL162" s="871"/>
      <c r="AM162" s="871"/>
    </row>
    <row r="163" spans="1:39" s="872" customFormat="1" ht="15" x14ac:dyDescent="0.5">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871"/>
      <c r="AL163" s="871"/>
      <c r="AM163" s="871"/>
    </row>
    <row r="164" spans="1:39" s="872" customFormat="1" ht="15" x14ac:dyDescent="0.5">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871"/>
      <c r="AL164" s="871"/>
      <c r="AM164" s="871"/>
    </row>
    <row r="165" spans="1:39" s="872" customFormat="1" ht="15" x14ac:dyDescent="0.5">
      <c r="F165" s="887"/>
      <c r="G165" s="887"/>
      <c r="I165" s="871"/>
      <c r="J165" s="871"/>
      <c r="K165" s="871"/>
      <c r="L165" s="871"/>
      <c r="M165" s="871"/>
      <c r="N165" s="871"/>
      <c r="O165" s="871"/>
      <c r="P165" s="871"/>
      <c r="Q165" s="871"/>
      <c r="R165" s="871"/>
      <c r="S165" s="871"/>
      <c r="T165" s="871"/>
      <c r="U165" s="871"/>
      <c r="V165" s="871"/>
      <c r="W165" s="871"/>
      <c r="X165" s="871"/>
      <c r="Y165" s="871"/>
      <c r="Z165" s="871"/>
      <c r="AA165" s="871"/>
      <c r="AB165" s="871"/>
      <c r="AC165" s="871"/>
      <c r="AD165" s="871"/>
      <c r="AE165" s="871"/>
      <c r="AF165" s="871"/>
      <c r="AG165" s="871"/>
      <c r="AH165" s="871"/>
      <c r="AI165" s="871"/>
      <c r="AJ165" s="871"/>
      <c r="AK165" s="871"/>
      <c r="AL165" s="871"/>
      <c r="AM165" s="871"/>
    </row>
    <row r="166" spans="1:39" s="872" customFormat="1" ht="15" x14ac:dyDescent="0.5">
      <c r="I166" s="871"/>
      <c r="J166" s="871"/>
      <c r="K166" s="871"/>
      <c r="L166" s="871"/>
      <c r="M166" s="871"/>
      <c r="N166" s="871"/>
      <c r="O166" s="871"/>
      <c r="P166" s="871"/>
      <c r="Q166" s="871"/>
      <c r="R166" s="871"/>
      <c r="S166" s="871"/>
      <c r="T166" s="871"/>
      <c r="U166" s="871"/>
      <c r="V166" s="871"/>
      <c r="W166" s="871"/>
      <c r="X166" s="871"/>
      <c r="Y166" s="871"/>
      <c r="Z166" s="871"/>
      <c r="AA166" s="871"/>
      <c r="AB166" s="871"/>
      <c r="AC166" s="871"/>
      <c r="AD166" s="871"/>
      <c r="AE166" s="871"/>
      <c r="AF166" s="871"/>
      <c r="AG166" s="871"/>
      <c r="AH166" s="871"/>
      <c r="AI166" s="871"/>
      <c r="AJ166" s="871"/>
      <c r="AK166" s="871"/>
      <c r="AL166" s="871"/>
      <c r="AM166" s="871"/>
    </row>
    <row r="167" spans="1:39" s="872" customFormat="1" ht="15" x14ac:dyDescent="0.5">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871"/>
      <c r="AL167" s="871"/>
      <c r="AM167" s="871"/>
    </row>
    <row r="168" spans="1:39" s="872" customFormat="1" ht="15" x14ac:dyDescent="0.5">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871"/>
      <c r="AL168" s="871"/>
      <c r="AM168" s="871"/>
    </row>
    <row r="169" spans="1:39" s="872" customFormat="1" ht="15" x14ac:dyDescent="0.5">
      <c r="I169" s="871"/>
      <c r="J169" s="871"/>
      <c r="K169" s="871"/>
      <c r="L169" s="871"/>
      <c r="M169" s="871"/>
      <c r="N169" s="871"/>
      <c r="O169" s="871"/>
      <c r="P169" s="871"/>
      <c r="Q169" s="871"/>
      <c r="R169" s="871"/>
      <c r="S169" s="871"/>
      <c r="T169" s="871"/>
      <c r="U169" s="871"/>
      <c r="V169" s="871"/>
      <c r="W169" s="871"/>
      <c r="X169" s="871"/>
      <c r="Y169" s="871"/>
      <c r="Z169" s="871"/>
      <c r="AA169" s="871"/>
      <c r="AB169" s="871"/>
      <c r="AC169" s="871"/>
      <c r="AD169" s="871"/>
      <c r="AE169" s="871"/>
      <c r="AF169" s="871"/>
      <c r="AG169" s="871"/>
      <c r="AH169" s="871"/>
      <c r="AI169" s="871"/>
      <c r="AJ169" s="871"/>
      <c r="AK169" s="871"/>
      <c r="AL169" s="871"/>
      <c r="AM169" s="871"/>
    </row>
    <row r="170" spans="1:39" s="872" customFormat="1" ht="15" x14ac:dyDescent="0.5">
      <c r="A170" s="887"/>
      <c r="B170" s="887"/>
      <c r="C170" s="887"/>
      <c r="D170" s="887"/>
      <c r="E170" s="887"/>
      <c r="F170" s="887"/>
      <c r="G170" s="887"/>
      <c r="I170" s="871"/>
      <c r="J170" s="871"/>
      <c r="K170" s="871"/>
      <c r="L170" s="871"/>
      <c r="M170" s="871"/>
      <c r="N170" s="871"/>
      <c r="O170" s="871"/>
      <c r="P170" s="871"/>
      <c r="Q170" s="871"/>
      <c r="R170" s="871"/>
      <c r="S170" s="871"/>
      <c r="T170" s="871"/>
      <c r="U170" s="871"/>
      <c r="V170" s="871"/>
      <c r="W170" s="871"/>
      <c r="X170" s="871"/>
      <c r="Y170" s="871"/>
      <c r="Z170" s="871"/>
      <c r="AA170" s="871"/>
      <c r="AB170" s="871"/>
      <c r="AC170" s="871"/>
      <c r="AD170" s="871"/>
      <c r="AE170" s="871"/>
      <c r="AF170" s="871"/>
      <c r="AG170" s="871"/>
      <c r="AH170" s="871"/>
      <c r="AI170" s="871"/>
      <c r="AJ170" s="871"/>
      <c r="AK170" s="871"/>
      <c r="AL170" s="871"/>
      <c r="AM170" s="871"/>
    </row>
    <row r="171" spans="1:39" s="872" customFormat="1" ht="15" x14ac:dyDescent="0.5">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871"/>
      <c r="AL171" s="871"/>
      <c r="AM171" s="871"/>
    </row>
    <row r="172" spans="1:39" s="872" customFormat="1" ht="15" x14ac:dyDescent="0.5">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871"/>
      <c r="AL172" s="871"/>
      <c r="AM172" s="871"/>
    </row>
    <row r="173" spans="1:39" s="872" customFormat="1" ht="15" x14ac:dyDescent="0.5">
      <c r="I173" s="871"/>
      <c r="J173" s="871"/>
      <c r="K173" s="871"/>
      <c r="L173" s="871"/>
      <c r="M173" s="871"/>
      <c r="N173" s="871"/>
      <c r="O173" s="871"/>
      <c r="P173" s="871"/>
      <c r="Q173" s="871"/>
      <c r="R173" s="871"/>
      <c r="S173" s="871"/>
      <c r="T173" s="871"/>
      <c r="U173" s="871"/>
      <c r="V173" s="871"/>
      <c r="W173" s="871"/>
      <c r="X173" s="871"/>
      <c r="Y173" s="871"/>
      <c r="Z173" s="871"/>
      <c r="AA173" s="871"/>
      <c r="AB173" s="871"/>
      <c r="AC173" s="871"/>
      <c r="AD173" s="871"/>
      <c r="AE173" s="871"/>
      <c r="AF173" s="871"/>
      <c r="AG173" s="871"/>
      <c r="AH173" s="871"/>
      <c r="AI173" s="871"/>
      <c r="AJ173" s="871"/>
      <c r="AK173" s="871"/>
      <c r="AL173" s="871"/>
      <c r="AM173" s="871"/>
    </row>
    <row r="174" spans="1:39" s="872" customFormat="1" ht="15" x14ac:dyDescent="0.5">
      <c r="I174" s="871"/>
      <c r="J174" s="871"/>
      <c r="K174" s="871"/>
      <c r="L174" s="871"/>
      <c r="M174" s="871"/>
      <c r="N174" s="871"/>
      <c r="O174" s="871"/>
      <c r="P174" s="871"/>
      <c r="Q174" s="871"/>
      <c r="R174" s="871"/>
      <c r="S174" s="871"/>
      <c r="T174" s="871"/>
      <c r="U174" s="871"/>
      <c r="V174" s="871"/>
      <c r="W174" s="871"/>
      <c r="X174" s="871"/>
      <c r="Y174" s="871"/>
      <c r="Z174" s="871"/>
      <c r="AA174" s="871"/>
      <c r="AB174" s="871"/>
      <c r="AC174" s="871"/>
      <c r="AD174" s="871"/>
      <c r="AE174" s="871"/>
      <c r="AF174" s="871"/>
      <c r="AG174" s="871"/>
      <c r="AH174" s="871"/>
      <c r="AI174" s="871"/>
      <c r="AJ174" s="871"/>
      <c r="AK174" s="871"/>
      <c r="AL174" s="871"/>
      <c r="AM174" s="871"/>
    </row>
    <row r="175" spans="1:39" s="872" customFormat="1" ht="15" x14ac:dyDescent="0.5">
      <c r="A175" s="887"/>
      <c r="B175" s="887"/>
      <c r="C175" s="887"/>
      <c r="D175" s="887"/>
      <c r="E175" s="887"/>
      <c r="H175" s="887"/>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871"/>
      <c r="AL175" s="871"/>
      <c r="AM175" s="871"/>
    </row>
    <row r="176" spans="1:39" s="872" customFormat="1" ht="15" x14ac:dyDescent="0.5">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871"/>
      <c r="AL176" s="871"/>
      <c r="AM176" s="871"/>
    </row>
    <row r="177" spans="1:39" s="872" customFormat="1" ht="15" x14ac:dyDescent="0.5">
      <c r="I177" s="871"/>
      <c r="J177" s="871"/>
      <c r="K177" s="871"/>
      <c r="L177" s="871"/>
      <c r="M177" s="871"/>
      <c r="N177" s="871"/>
      <c r="O177" s="871"/>
      <c r="P177" s="871"/>
      <c r="Q177" s="871"/>
      <c r="R177" s="871"/>
      <c r="S177" s="871"/>
      <c r="T177" s="871"/>
      <c r="U177" s="871"/>
      <c r="V177" s="871"/>
      <c r="W177" s="871"/>
      <c r="X177" s="871"/>
      <c r="Y177" s="871"/>
      <c r="Z177" s="871"/>
      <c r="AA177" s="871"/>
      <c r="AB177" s="871"/>
      <c r="AC177" s="871"/>
      <c r="AD177" s="871"/>
      <c r="AE177" s="871"/>
      <c r="AF177" s="871"/>
      <c r="AG177" s="871"/>
      <c r="AH177" s="871"/>
      <c r="AI177" s="871"/>
      <c r="AJ177" s="871"/>
      <c r="AK177" s="871"/>
      <c r="AL177" s="871"/>
      <c r="AM177" s="871"/>
    </row>
    <row r="178" spans="1:39" s="872" customFormat="1" ht="15" x14ac:dyDescent="0.5">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871"/>
      <c r="AL178" s="871"/>
      <c r="AM178" s="871"/>
    </row>
    <row r="179" spans="1:39" s="872" customFormat="1" ht="15" x14ac:dyDescent="0.5">
      <c r="I179" s="871"/>
      <c r="J179" s="871"/>
      <c r="K179" s="871"/>
      <c r="L179" s="871"/>
      <c r="M179" s="871"/>
      <c r="N179" s="871"/>
      <c r="O179" s="871"/>
      <c r="P179" s="871"/>
      <c r="Q179" s="871"/>
      <c r="R179" s="871"/>
      <c r="S179" s="871"/>
      <c r="T179" s="871"/>
      <c r="U179" s="871"/>
      <c r="V179" s="871"/>
      <c r="W179" s="871"/>
      <c r="X179" s="871"/>
      <c r="Y179" s="871"/>
      <c r="Z179" s="871"/>
      <c r="AA179" s="871"/>
      <c r="AB179" s="871"/>
      <c r="AC179" s="871"/>
      <c r="AD179" s="871"/>
      <c r="AE179" s="871"/>
      <c r="AF179" s="871"/>
      <c r="AG179" s="871"/>
      <c r="AH179" s="871"/>
      <c r="AI179" s="871"/>
      <c r="AJ179" s="871"/>
      <c r="AK179" s="871"/>
      <c r="AL179" s="871"/>
      <c r="AM179" s="871"/>
    </row>
    <row r="180" spans="1:39" s="872" customFormat="1" ht="15" x14ac:dyDescent="0.5">
      <c r="C180" s="889"/>
      <c r="I180" s="871"/>
      <c r="J180" s="871"/>
      <c r="K180" s="871"/>
      <c r="L180" s="871"/>
      <c r="M180" s="871"/>
      <c r="N180" s="871"/>
      <c r="O180" s="871"/>
      <c r="P180" s="871"/>
      <c r="Q180" s="871"/>
      <c r="R180" s="871"/>
      <c r="S180" s="871"/>
      <c r="T180" s="871"/>
      <c r="U180" s="871"/>
      <c r="V180" s="871"/>
      <c r="W180" s="871"/>
      <c r="X180" s="871"/>
      <c r="Y180" s="871"/>
      <c r="Z180" s="871"/>
      <c r="AA180" s="871"/>
      <c r="AB180" s="871"/>
      <c r="AC180" s="871"/>
      <c r="AD180" s="871"/>
      <c r="AE180" s="871"/>
      <c r="AF180" s="871"/>
      <c r="AG180" s="871"/>
      <c r="AH180" s="871"/>
      <c r="AI180" s="871"/>
      <c r="AJ180" s="871"/>
      <c r="AK180" s="871"/>
      <c r="AL180" s="871"/>
      <c r="AM180" s="871"/>
    </row>
    <row r="181" spans="1:39" s="872" customFormat="1" ht="15" x14ac:dyDescent="0.5">
      <c r="I181" s="871"/>
      <c r="J181" s="871"/>
      <c r="K181" s="871"/>
      <c r="L181" s="871"/>
      <c r="M181" s="871"/>
      <c r="N181" s="871"/>
      <c r="O181" s="871"/>
      <c r="P181" s="871"/>
      <c r="Q181" s="871"/>
      <c r="R181" s="871"/>
      <c r="S181" s="871"/>
      <c r="T181" s="871"/>
      <c r="U181" s="871"/>
      <c r="V181" s="871"/>
      <c r="W181" s="871"/>
      <c r="X181" s="871"/>
      <c r="Y181" s="871"/>
      <c r="Z181" s="871"/>
      <c r="AA181" s="871"/>
      <c r="AB181" s="871"/>
      <c r="AC181" s="871"/>
      <c r="AD181" s="871"/>
      <c r="AE181" s="871"/>
      <c r="AF181" s="871"/>
      <c r="AG181" s="871"/>
      <c r="AH181" s="871"/>
      <c r="AI181" s="871"/>
      <c r="AJ181" s="871"/>
      <c r="AK181" s="871"/>
      <c r="AL181" s="871"/>
      <c r="AM181" s="871"/>
    </row>
    <row r="182" spans="1:39" s="872" customFormat="1" ht="15" x14ac:dyDescent="0.5">
      <c r="A182" s="890"/>
      <c r="B182" s="890"/>
      <c r="C182" s="890"/>
      <c r="I182" s="871"/>
      <c r="J182" s="871"/>
      <c r="K182" s="871"/>
      <c r="L182" s="871"/>
      <c r="M182" s="871"/>
      <c r="N182" s="871"/>
      <c r="O182" s="871"/>
      <c r="P182" s="871"/>
      <c r="Q182" s="871"/>
      <c r="R182" s="871"/>
      <c r="S182" s="871"/>
      <c r="T182" s="871"/>
      <c r="U182" s="871"/>
      <c r="V182" s="871"/>
      <c r="W182" s="871"/>
      <c r="X182" s="871"/>
      <c r="Y182" s="871"/>
      <c r="Z182" s="871"/>
      <c r="AA182" s="871"/>
      <c r="AB182" s="871"/>
      <c r="AC182" s="871"/>
      <c r="AD182" s="871"/>
      <c r="AE182" s="871"/>
      <c r="AF182" s="871"/>
      <c r="AG182" s="871"/>
      <c r="AH182" s="871"/>
      <c r="AI182" s="871"/>
      <c r="AJ182" s="871"/>
      <c r="AK182" s="871"/>
      <c r="AL182" s="871"/>
      <c r="AM182" s="871"/>
    </row>
    <row r="183" spans="1:39" s="872" customFormat="1" ht="15" x14ac:dyDescent="0.5">
      <c r="I183" s="871"/>
      <c r="J183" s="871"/>
      <c r="K183" s="871"/>
      <c r="L183" s="871"/>
      <c r="M183" s="871"/>
      <c r="N183" s="871"/>
      <c r="O183" s="871"/>
      <c r="P183" s="871"/>
      <c r="Q183" s="871"/>
      <c r="R183" s="871"/>
      <c r="S183" s="871"/>
      <c r="T183" s="871"/>
      <c r="U183" s="871"/>
      <c r="V183" s="871"/>
      <c r="W183" s="871"/>
      <c r="X183" s="871"/>
      <c r="Y183" s="871"/>
      <c r="Z183" s="871"/>
      <c r="AA183" s="871"/>
      <c r="AB183" s="871"/>
      <c r="AC183" s="871"/>
      <c r="AD183" s="871"/>
      <c r="AE183" s="871"/>
      <c r="AF183" s="871"/>
      <c r="AG183" s="871"/>
      <c r="AH183" s="871"/>
      <c r="AI183" s="871"/>
      <c r="AJ183" s="871"/>
      <c r="AK183" s="871"/>
      <c r="AL183" s="871"/>
      <c r="AM183" s="871"/>
    </row>
    <row r="184" spans="1:39" s="872" customFormat="1" ht="15" x14ac:dyDescent="0.5">
      <c r="I184" s="871"/>
      <c r="J184" s="871"/>
      <c r="K184" s="871"/>
      <c r="L184" s="871"/>
      <c r="M184" s="871"/>
      <c r="N184" s="871"/>
      <c r="O184" s="871"/>
      <c r="P184" s="871"/>
      <c r="Q184" s="871"/>
      <c r="R184" s="871"/>
      <c r="S184" s="871"/>
      <c r="T184" s="871"/>
      <c r="U184" s="871"/>
      <c r="V184" s="871"/>
      <c r="W184" s="871"/>
      <c r="X184" s="871"/>
      <c r="Y184" s="871"/>
      <c r="Z184" s="871"/>
      <c r="AA184" s="871"/>
      <c r="AB184" s="871"/>
      <c r="AC184" s="871"/>
      <c r="AD184" s="871"/>
      <c r="AE184" s="871"/>
      <c r="AF184" s="871"/>
      <c r="AG184" s="871"/>
      <c r="AH184" s="871"/>
      <c r="AI184" s="871"/>
      <c r="AJ184" s="871"/>
      <c r="AK184" s="871"/>
      <c r="AL184" s="871"/>
      <c r="AM184" s="871"/>
    </row>
    <row r="185" spans="1:39" s="872" customFormat="1" ht="15" x14ac:dyDescent="0.5">
      <c r="F185" s="887"/>
      <c r="G185" s="887"/>
      <c r="I185" s="871"/>
      <c r="J185" s="871"/>
      <c r="K185" s="871"/>
      <c r="L185" s="871"/>
      <c r="M185" s="871"/>
      <c r="N185" s="871"/>
      <c r="O185" s="871"/>
      <c r="P185" s="871"/>
      <c r="Q185" s="871"/>
      <c r="R185" s="871"/>
      <c r="S185" s="871"/>
      <c r="T185" s="871"/>
      <c r="U185" s="871"/>
      <c r="V185" s="871"/>
      <c r="W185" s="871"/>
      <c r="X185" s="871"/>
      <c r="Y185" s="871"/>
      <c r="Z185" s="871"/>
      <c r="AA185" s="871"/>
      <c r="AB185" s="871"/>
      <c r="AC185" s="871"/>
      <c r="AD185" s="871"/>
      <c r="AE185" s="871"/>
      <c r="AF185" s="871"/>
      <c r="AG185" s="871"/>
      <c r="AH185" s="871"/>
      <c r="AI185" s="871"/>
      <c r="AJ185" s="871"/>
      <c r="AK185" s="871"/>
      <c r="AL185" s="871"/>
      <c r="AM185" s="871"/>
    </row>
    <row r="186" spans="1:39" s="872" customFormat="1" ht="15" x14ac:dyDescent="0.5">
      <c r="I186" s="871"/>
      <c r="J186" s="871"/>
      <c r="K186" s="871"/>
      <c r="L186" s="871"/>
      <c r="M186" s="871"/>
      <c r="N186" s="871"/>
      <c r="O186" s="871"/>
      <c r="P186" s="871"/>
      <c r="Q186" s="871"/>
      <c r="R186" s="871"/>
      <c r="S186" s="871"/>
      <c r="T186" s="871"/>
      <c r="U186" s="871"/>
      <c r="V186" s="871"/>
      <c r="W186" s="871"/>
      <c r="X186" s="871"/>
      <c r="Y186" s="871"/>
      <c r="Z186" s="871"/>
      <c r="AA186" s="871"/>
      <c r="AB186" s="871"/>
      <c r="AC186" s="871"/>
      <c r="AD186" s="871"/>
      <c r="AE186" s="871"/>
      <c r="AF186" s="871"/>
      <c r="AG186" s="871"/>
      <c r="AH186" s="871"/>
      <c r="AI186" s="871"/>
      <c r="AJ186" s="871"/>
      <c r="AK186" s="871"/>
      <c r="AL186" s="871"/>
      <c r="AM186" s="871"/>
    </row>
    <row r="187" spans="1:39" s="872" customFormat="1" ht="15" x14ac:dyDescent="0.5">
      <c r="I187" s="871"/>
      <c r="J187" s="871"/>
      <c r="K187" s="871"/>
      <c r="L187" s="871"/>
      <c r="M187" s="871"/>
      <c r="N187" s="871"/>
      <c r="O187" s="871"/>
      <c r="P187" s="871"/>
      <c r="Q187" s="871"/>
      <c r="R187" s="871"/>
      <c r="S187" s="871"/>
      <c r="T187" s="871"/>
      <c r="U187" s="871"/>
      <c r="V187" s="871"/>
      <c r="W187" s="871"/>
      <c r="X187" s="871"/>
      <c r="Y187" s="871"/>
      <c r="Z187" s="871"/>
      <c r="AA187" s="871"/>
      <c r="AB187" s="871"/>
      <c r="AC187" s="871"/>
      <c r="AD187" s="871"/>
      <c r="AE187" s="871"/>
      <c r="AF187" s="871"/>
      <c r="AG187" s="871"/>
      <c r="AH187" s="871"/>
      <c r="AI187" s="871"/>
      <c r="AJ187" s="871"/>
      <c r="AK187" s="871"/>
      <c r="AL187" s="871"/>
      <c r="AM187" s="871"/>
    </row>
    <row r="188" spans="1:39" s="872" customFormat="1" ht="15" x14ac:dyDescent="0.5">
      <c r="I188" s="871"/>
      <c r="J188" s="871"/>
      <c r="K188" s="871"/>
      <c r="L188" s="871"/>
      <c r="M188" s="871"/>
      <c r="N188" s="871"/>
      <c r="O188" s="871"/>
      <c r="P188" s="871"/>
      <c r="Q188" s="871"/>
      <c r="R188" s="871"/>
      <c r="S188" s="871"/>
      <c r="T188" s="871"/>
      <c r="U188" s="871"/>
      <c r="V188" s="871"/>
      <c r="W188" s="871"/>
      <c r="X188" s="871"/>
      <c r="Y188" s="871"/>
      <c r="Z188" s="871"/>
      <c r="AA188" s="871"/>
      <c r="AB188" s="871"/>
      <c r="AC188" s="871"/>
      <c r="AD188" s="871"/>
      <c r="AE188" s="871"/>
      <c r="AF188" s="871"/>
      <c r="AG188" s="871"/>
      <c r="AH188" s="871"/>
      <c r="AI188" s="871"/>
      <c r="AJ188" s="871"/>
      <c r="AK188" s="871"/>
      <c r="AL188" s="871"/>
      <c r="AM188" s="871"/>
    </row>
    <row r="189" spans="1:39" s="872" customFormat="1" ht="15" x14ac:dyDescent="0.5">
      <c r="I189" s="871"/>
      <c r="J189" s="871"/>
      <c r="K189" s="871"/>
      <c r="L189" s="871"/>
      <c r="M189" s="871"/>
      <c r="N189" s="871"/>
      <c r="O189" s="871"/>
      <c r="P189" s="871"/>
      <c r="Q189" s="871"/>
      <c r="R189" s="871"/>
      <c r="S189" s="871"/>
      <c r="T189" s="871"/>
      <c r="U189" s="871"/>
      <c r="V189" s="871"/>
      <c r="W189" s="871"/>
      <c r="X189" s="871"/>
      <c r="Y189" s="871"/>
      <c r="Z189" s="871"/>
      <c r="AA189" s="871"/>
      <c r="AB189" s="871"/>
      <c r="AC189" s="871"/>
      <c r="AD189" s="871"/>
      <c r="AE189" s="871"/>
      <c r="AF189" s="871"/>
      <c r="AG189" s="871"/>
      <c r="AH189" s="871"/>
      <c r="AI189" s="871"/>
      <c r="AJ189" s="871"/>
      <c r="AK189" s="871"/>
      <c r="AL189" s="871"/>
      <c r="AM189" s="871"/>
    </row>
    <row r="190" spans="1:39" s="872" customFormat="1" ht="15" x14ac:dyDescent="0.5">
      <c r="A190" s="887"/>
      <c r="B190" s="887"/>
      <c r="C190" s="887"/>
      <c r="D190" s="887"/>
      <c r="E190" s="887"/>
      <c r="F190" s="887"/>
      <c r="G190" s="887"/>
      <c r="I190" s="871"/>
      <c r="J190" s="871"/>
      <c r="K190" s="871"/>
      <c r="L190" s="871"/>
      <c r="M190" s="871"/>
      <c r="N190" s="871"/>
      <c r="O190" s="871"/>
      <c r="P190" s="871"/>
      <c r="Q190" s="871"/>
      <c r="R190" s="871"/>
      <c r="S190" s="871"/>
      <c r="T190" s="871"/>
      <c r="U190" s="871"/>
      <c r="V190" s="871"/>
      <c r="W190" s="871"/>
      <c r="X190" s="871"/>
      <c r="Y190" s="871"/>
      <c r="Z190" s="871"/>
      <c r="AA190" s="871"/>
      <c r="AB190" s="871"/>
      <c r="AC190" s="871"/>
      <c r="AD190" s="871"/>
      <c r="AE190" s="871"/>
      <c r="AF190" s="871"/>
      <c r="AG190" s="871"/>
      <c r="AH190" s="871"/>
      <c r="AI190" s="871"/>
      <c r="AJ190" s="871"/>
      <c r="AK190" s="871"/>
      <c r="AL190" s="871"/>
      <c r="AM190" s="871"/>
    </row>
    <row r="191" spans="1:39" s="872" customFormat="1" ht="15" x14ac:dyDescent="0.5">
      <c r="I191" s="871"/>
      <c r="J191" s="871"/>
      <c r="K191" s="871"/>
      <c r="L191" s="871"/>
      <c r="M191" s="871"/>
      <c r="N191" s="871"/>
      <c r="O191" s="871"/>
      <c r="P191" s="871"/>
      <c r="Q191" s="871"/>
      <c r="R191" s="871"/>
      <c r="S191" s="871"/>
      <c r="T191" s="871"/>
      <c r="U191" s="871"/>
      <c r="V191" s="871"/>
      <c r="W191" s="871"/>
      <c r="X191" s="871"/>
      <c r="Y191" s="871"/>
      <c r="Z191" s="871"/>
      <c r="AA191" s="871"/>
      <c r="AB191" s="871"/>
      <c r="AC191" s="871"/>
      <c r="AD191" s="871"/>
      <c r="AE191" s="871"/>
      <c r="AF191" s="871"/>
      <c r="AG191" s="871"/>
      <c r="AH191" s="871"/>
      <c r="AI191" s="871"/>
      <c r="AJ191" s="871"/>
      <c r="AK191" s="871"/>
      <c r="AL191" s="871"/>
      <c r="AM191" s="871"/>
    </row>
    <row r="192" spans="1:39" s="872" customFormat="1" ht="15" x14ac:dyDescent="0.5">
      <c r="I192" s="871"/>
      <c r="J192" s="871"/>
      <c r="K192" s="871"/>
      <c r="L192" s="871"/>
      <c r="M192" s="871"/>
      <c r="N192" s="871"/>
      <c r="O192" s="871"/>
      <c r="P192" s="871"/>
      <c r="Q192" s="871"/>
      <c r="R192" s="871"/>
      <c r="S192" s="871"/>
      <c r="T192" s="871"/>
      <c r="U192" s="871"/>
      <c r="V192" s="871"/>
      <c r="W192" s="871"/>
      <c r="X192" s="871"/>
      <c r="Y192" s="871"/>
      <c r="Z192" s="871"/>
      <c r="AA192" s="871"/>
      <c r="AB192" s="871"/>
      <c r="AC192" s="871"/>
      <c r="AD192" s="871"/>
      <c r="AE192" s="871"/>
      <c r="AF192" s="871"/>
      <c r="AG192" s="871"/>
      <c r="AH192" s="871"/>
      <c r="AI192" s="871"/>
      <c r="AJ192" s="871"/>
      <c r="AK192" s="871"/>
      <c r="AL192" s="871"/>
      <c r="AM192" s="871"/>
    </row>
    <row r="193" spans="1:39" s="872" customFormat="1" ht="15" x14ac:dyDescent="0.5">
      <c r="I193" s="871"/>
      <c r="J193" s="871"/>
      <c r="K193" s="871"/>
      <c r="L193" s="871"/>
      <c r="M193" s="871"/>
      <c r="N193" s="871"/>
      <c r="O193" s="871"/>
      <c r="P193" s="871"/>
      <c r="Q193" s="871"/>
      <c r="R193" s="871"/>
      <c r="S193" s="871"/>
      <c r="T193" s="871"/>
      <c r="U193" s="871"/>
      <c r="V193" s="871"/>
      <c r="W193" s="871"/>
      <c r="X193" s="871"/>
      <c r="Y193" s="871"/>
      <c r="Z193" s="871"/>
      <c r="AA193" s="871"/>
      <c r="AB193" s="871"/>
      <c r="AC193" s="871"/>
      <c r="AD193" s="871"/>
      <c r="AE193" s="871"/>
      <c r="AF193" s="871"/>
      <c r="AG193" s="871"/>
      <c r="AH193" s="871"/>
      <c r="AI193" s="871"/>
      <c r="AJ193" s="871"/>
      <c r="AK193" s="871"/>
      <c r="AL193" s="871"/>
      <c r="AM193" s="871"/>
    </row>
    <row r="194" spans="1:39" s="872" customFormat="1" ht="15" x14ac:dyDescent="0.5">
      <c r="I194" s="871"/>
      <c r="J194" s="871"/>
      <c r="K194" s="871"/>
      <c r="L194" s="871"/>
      <c r="M194" s="871"/>
      <c r="N194" s="871"/>
      <c r="O194" s="871"/>
      <c r="P194" s="871"/>
      <c r="Q194" s="871"/>
      <c r="R194" s="871"/>
      <c r="S194" s="871"/>
      <c r="T194" s="871"/>
      <c r="U194" s="871"/>
      <c r="V194" s="871"/>
      <c r="W194" s="871"/>
      <c r="X194" s="871"/>
      <c r="Y194" s="871"/>
      <c r="Z194" s="871"/>
      <c r="AA194" s="871"/>
      <c r="AB194" s="871"/>
      <c r="AC194" s="871"/>
      <c r="AD194" s="871"/>
      <c r="AE194" s="871"/>
      <c r="AF194" s="871"/>
      <c r="AG194" s="871"/>
      <c r="AH194" s="871"/>
      <c r="AI194" s="871"/>
      <c r="AJ194" s="871"/>
      <c r="AK194" s="871"/>
      <c r="AL194" s="871"/>
      <c r="AM194" s="871"/>
    </row>
    <row r="195" spans="1:39" s="872" customFormat="1" ht="15" x14ac:dyDescent="0.5">
      <c r="A195" s="887"/>
      <c r="B195" s="887"/>
      <c r="C195" s="887"/>
      <c r="D195" s="887"/>
      <c r="E195" s="887"/>
      <c r="H195" s="887"/>
      <c r="I195" s="871"/>
      <c r="J195" s="871"/>
      <c r="K195" s="871"/>
      <c r="L195" s="871"/>
      <c r="M195" s="871"/>
      <c r="N195" s="871"/>
      <c r="O195" s="871"/>
      <c r="P195" s="871"/>
      <c r="Q195" s="871"/>
      <c r="R195" s="871"/>
      <c r="S195" s="871"/>
      <c r="T195" s="871"/>
      <c r="U195" s="871"/>
      <c r="V195" s="871"/>
      <c r="W195" s="871"/>
      <c r="X195" s="871"/>
      <c r="Y195" s="871"/>
      <c r="Z195" s="871"/>
      <c r="AA195" s="871"/>
      <c r="AB195" s="871"/>
      <c r="AC195" s="871"/>
      <c r="AD195" s="871"/>
      <c r="AE195" s="871"/>
      <c r="AF195" s="871"/>
      <c r="AG195" s="871"/>
      <c r="AH195" s="871"/>
      <c r="AI195" s="871"/>
      <c r="AJ195" s="871"/>
      <c r="AK195" s="871"/>
      <c r="AL195" s="871"/>
      <c r="AM195" s="871"/>
    </row>
    <row r="196" spans="1:39" s="872" customFormat="1" ht="15" x14ac:dyDescent="0.5">
      <c r="I196" s="871"/>
      <c r="J196" s="871"/>
      <c r="K196" s="871"/>
      <c r="L196" s="871"/>
      <c r="M196" s="871"/>
      <c r="N196" s="871"/>
      <c r="O196" s="871"/>
      <c r="P196" s="871"/>
      <c r="Q196" s="871"/>
      <c r="R196" s="871"/>
      <c r="S196" s="871"/>
      <c r="T196" s="871"/>
      <c r="U196" s="871"/>
      <c r="V196" s="871"/>
      <c r="W196" s="871"/>
      <c r="X196" s="871"/>
      <c r="Y196" s="871"/>
      <c r="Z196" s="871"/>
      <c r="AA196" s="871"/>
      <c r="AB196" s="871"/>
      <c r="AC196" s="871"/>
      <c r="AD196" s="871"/>
      <c r="AE196" s="871"/>
      <c r="AF196" s="871"/>
      <c r="AG196" s="871"/>
      <c r="AH196" s="871"/>
      <c r="AI196" s="871"/>
      <c r="AJ196" s="871"/>
      <c r="AK196" s="871"/>
      <c r="AL196" s="871"/>
      <c r="AM196" s="871"/>
    </row>
    <row r="197" spans="1:39" s="872" customFormat="1" ht="15" x14ac:dyDescent="0.5">
      <c r="A197" s="876"/>
      <c r="I197" s="871"/>
      <c r="J197" s="871"/>
      <c r="K197" s="871"/>
      <c r="L197" s="871"/>
      <c r="M197" s="871"/>
      <c r="N197" s="871"/>
      <c r="O197" s="871"/>
      <c r="P197" s="871"/>
      <c r="Q197" s="871"/>
      <c r="R197" s="871"/>
      <c r="S197" s="871"/>
      <c r="T197" s="871"/>
      <c r="U197" s="871"/>
      <c r="V197" s="871"/>
      <c r="W197" s="871"/>
      <c r="X197" s="871"/>
      <c r="Y197" s="871"/>
      <c r="Z197" s="871"/>
      <c r="AA197" s="871"/>
      <c r="AB197" s="871"/>
      <c r="AC197" s="871"/>
      <c r="AD197" s="871"/>
      <c r="AE197" s="871"/>
      <c r="AF197" s="871"/>
      <c r="AG197" s="871"/>
      <c r="AH197" s="871"/>
      <c r="AI197" s="871"/>
      <c r="AJ197" s="871"/>
      <c r="AK197" s="871"/>
      <c r="AL197" s="871"/>
      <c r="AM197" s="871"/>
    </row>
    <row r="198" spans="1:39" s="872" customFormat="1" ht="15" x14ac:dyDescent="0.5">
      <c r="I198" s="871"/>
      <c r="J198" s="871"/>
      <c r="K198" s="871"/>
      <c r="L198" s="871"/>
      <c r="M198" s="871"/>
      <c r="N198" s="871"/>
      <c r="O198" s="871"/>
      <c r="P198" s="871"/>
      <c r="Q198" s="871"/>
      <c r="R198" s="871"/>
      <c r="S198" s="871"/>
      <c r="T198" s="871"/>
      <c r="U198" s="871"/>
      <c r="V198" s="871"/>
      <c r="W198" s="871"/>
      <c r="X198" s="871"/>
      <c r="Y198" s="871"/>
      <c r="Z198" s="871"/>
      <c r="AA198" s="871"/>
      <c r="AB198" s="871"/>
      <c r="AC198" s="871"/>
      <c r="AD198" s="871"/>
      <c r="AE198" s="871"/>
      <c r="AF198" s="871"/>
      <c r="AG198" s="871"/>
      <c r="AH198" s="871"/>
      <c r="AI198" s="871"/>
      <c r="AJ198" s="871"/>
      <c r="AK198" s="871"/>
      <c r="AL198" s="871"/>
      <c r="AM198" s="871"/>
    </row>
    <row r="199" spans="1:39" s="872" customFormat="1" ht="15" x14ac:dyDescent="0.5">
      <c r="I199" s="871"/>
      <c r="J199" s="871"/>
      <c r="K199" s="871"/>
      <c r="L199" s="871"/>
      <c r="M199" s="871"/>
      <c r="N199" s="871"/>
      <c r="O199" s="871"/>
      <c r="P199" s="871"/>
      <c r="Q199" s="871"/>
      <c r="R199" s="871"/>
      <c r="S199" s="871"/>
      <c r="T199" s="871"/>
      <c r="U199" s="871"/>
      <c r="V199" s="871"/>
      <c r="W199" s="871"/>
      <c r="X199" s="871"/>
      <c r="Y199" s="871"/>
      <c r="Z199" s="871"/>
      <c r="AA199" s="871"/>
      <c r="AB199" s="871"/>
      <c r="AC199" s="871"/>
      <c r="AD199" s="871"/>
      <c r="AE199" s="871"/>
      <c r="AF199" s="871"/>
      <c r="AG199" s="871"/>
      <c r="AH199" s="871"/>
      <c r="AI199" s="871"/>
      <c r="AJ199" s="871"/>
      <c r="AK199" s="871"/>
      <c r="AL199" s="871"/>
      <c r="AM199" s="871"/>
    </row>
    <row r="200" spans="1:39" s="872" customFormat="1" ht="15" x14ac:dyDescent="0.5">
      <c r="C200" s="889"/>
      <c r="I200" s="871"/>
      <c r="J200" s="871"/>
      <c r="K200" s="871"/>
      <c r="L200" s="871"/>
      <c r="M200" s="871"/>
      <c r="N200" s="871"/>
      <c r="O200" s="871"/>
      <c r="P200" s="871"/>
      <c r="Q200" s="871"/>
      <c r="R200" s="871"/>
      <c r="S200" s="871"/>
      <c r="T200" s="871"/>
      <c r="U200" s="871"/>
      <c r="V200" s="871"/>
      <c r="W200" s="871"/>
      <c r="X200" s="871"/>
      <c r="Y200" s="871"/>
      <c r="Z200" s="871"/>
      <c r="AA200" s="871"/>
      <c r="AB200" s="871"/>
      <c r="AC200" s="871"/>
      <c r="AD200" s="871"/>
      <c r="AE200" s="871"/>
      <c r="AF200" s="871"/>
      <c r="AG200" s="871"/>
      <c r="AH200" s="871"/>
      <c r="AI200" s="871"/>
      <c r="AJ200" s="871"/>
      <c r="AK200" s="871"/>
      <c r="AL200" s="871"/>
      <c r="AM200" s="871"/>
    </row>
    <row r="201" spans="1:39" s="872" customFormat="1" ht="15" x14ac:dyDescent="0.5">
      <c r="I201" s="871"/>
      <c r="J201" s="871"/>
      <c r="K201" s="871"/>
      <c r="L201" s="871"/>
      <c r="M201" s="871"/>
      <c r="N201" s="871"/>
      <c r="O201" s="871"/>
      <c r="P201" s="871"/>
      <c r="Q201" s="871"/>
      <c r="R201" s="871"/>
      <c r="S201" s="871"/>
      <c r="T201" s="871"/>
      <c r="U201" s="871"/>
      <c r="V201" s="871"/>
      <c r="W201" s="871"/>
      <c r="X201" s="871"/>
      <c r="Y201" s="871"/>
      <c r="Z201" s="871"/>
      <c r="AA201" s="871"/>
      <c r="AB201" s="871"/>
      <c r="AC201" s="871"/>
      <c r="AD201" s="871"/>
      <c r="AE201" s="871"/>
      <c r="AF201" s="871"/>
      <c r="AG201" s="871"/>
      <c r="AH201" s="871"/>
      <c r="AI201" s="871"/>
      <c r="AJ201" s="871"/>
      <c r="AK201" s="871"/>
      <c r="AL201" s="871"/>
      <c r="AM201" s="871"/>
    </row>
    <row r="202" spans="1:39" s="872" customFormat="1" ht="15" x14ac:dyDescent="0.5">
      <c r="A202" s="890"/>
      <c r="B202" s="890"/>
      <c r="C202" s="890"/>
      <c r="I202" s="871"/>
      <c r="J202" s="871"/>
      <c r="K202" s="871"/>
      <c r="L202" s="871"/>
      <c r="M202" s="871"/>
      <c r="N202" s="871"/>
      <c r="O202" s="871"/>
      <c r="P202" s="871"/>
      <c r="Q202" s="871"/>
      <c r="R202" s="871"/>
      <c r="S202" s="871"/>
      <c r="T202" s="871"/>
      <c r="U202" s="871"/>
      <c r="V202" s="871"/>
      <c r="W202" s="871"/>
      <c r="X202" s="871"/>
      <c r="Y202" s="871"/>
      <c r="Z202" s="871"/>
      <c r="AA202" s="871"/>
      <c r="AB202" s="871"/>
      <c r="AC202" s="871"/>
      <c r="AD202" s="871"/>
      <c r="AE202" s="871"/>
      <c r="AF202" s="871"/>
      <c r="AG202" s="871"/>
      <c r="AH202" s="871"/>
      <c r="AI202" s="871"/>
      <c r="AJ202" s="871"/>
      <c r="AK202" s="871"/>
      <c r="AL202" s="871"/>
      <c r="AM202" s="871"/>
    </row>
    <row r="203" spans="1:39" s="872" customFormat="1" ht="15" x14ac:dyDescent="0.5">
      <c r="I203" s="871"/>
      <c r="J203" s="871"/>
      <c r="K203" s="871"/>
      <c r="L203" s="871"/>
      <c r="M203" s="871"/>
      <c r="N203" s="871"/>
      <c r="O203" s="871"/>
      <c r="P203" s="871"/>
      <c r="Q203" s="871"/>
      <c r="R203" s="871"/>
      <c r="S203" s="871"/>
      <c r="T203" s="871"/>
      <c r="U203" s="871"/>
      <c r="V203" s="871"/>
      <c r="W203" s="871"/>
      <c r="X203" s="871"/>
      <c r="Y203" s="871"/>
      <c r="Z203" s="871"/>
      <c r="AA203" s="871"/>
      <c r="AB203" s="871"/>
      <c r="AC203" s="871"/>
      <c r="AD203" s="871"/>
      <c r="AE203" s="871"/>
      <c r="AF203" s="871"/>
      <c r="AG203" s="871"/>
      <c r="AH203" s="871"/>
      <c r="AI203" s="871"/>
      <c r="AJ203" s="871"/>
      <c r="AK203" s="871"/>
      <c r="AL203" s="871"/>
      <c r="AM203" s="871"/>
    </row>
    <row r="204" spans="1:39" s="872" customFormat="1" ht="15" x14ac:dyDescent="0.5">
      <c r="I204" s="871"/>
      <c r="J204" s="871"/>
      <c r="K204" s="871"/>
      <c r="L204" s="871"/>
      <c r="M204" s="871"/>
      <c r="N204" s="871"/>
      <c r="O204" s="871"/>
      <c r="P204" s="871"/>
      <c r="Q204" s="871"/>
      <c r="R204" s="871"/>
      <c r="S204" s="871"/>
      <c r="T204" s="871"/>
      <c r="U204" s="871"/>
      <c r="V204" s="871"/>
      <c r="W204" s="871"/>
      <c r="X204" s="871"/>
      <c r="Y204" s="871"/>
      <c r="Z204" s="871"/>
      <c r="AA204" s="871"/>
      <c r="AB204" s="871"/>
      <c r="AC204" s="871"/>
      <c r="AD204" s="871"/>
      <c r="AE204" s="871"/>
      <c r="AF204" s="871"/>
      <c r="AG204" s="871"/>
      <c r="AH204" s="871"/>
      <c r="AI204" s="871"/>
      <c r="AJ204" s="871"/>
      <c r="AK204" s="871"/>
      <c r="AL204" s="871"/>
      <c r="AM204" s="871"/>
    </row>
    <row r="205" spans="1:39" s="872" customFormat="1" ht="15" x14ac:dyDescent="0.5">
      <c r="F205" s="887"/>
      <c r="G205" s="887"/>
      <c r="I205" s="871"/>
      <c r="J205" s="871"/>
      <c r="K205" s="871"/>
      <c r="L205" s="871"/>
      <c r="M205" s="871"/>
      <c r="N205" s="871"/>
      <c r="O205" s="871"/>
      <c r="P205" s="871"/>
      <c r="Q205" s="871"/>
      <c r="R205" s="871"/>
      <c r="S205" s="871"/>
      <c r="T205" s="871"/>
      <c r="U205" s="871"/>
      <c r="V205" s="871"/>
      <c r="W205" s="871"/>
      <c r="X205" s="871"/>
      <c r="Y205" s="871"/>
      <c r="Z205" s="871"/>
      <c r="AA205" s="871"/>
      <c r="AB205" s="871"/>
      <c r="AC205" s="871"/>
      <c r="AD205" s="871"/>
      <c r="AE205" s="871"/>
      <c r="AF205" s="871"/>
      <c r="AG205" s="871"/>
      <c r="AH205" s="871"/>
      <c r="AI205" s="871"/>
      <c r="AJ205" s="871"/>
      <c r="AK205" s="871"/>
      <c r="AL205" s="871"/>
      <c r="AM205" s="871"/>
    </row>
    <row r="206" spans="1:39" s="872" customFormat="1" ht="15" x14ac:dyDescent="0.5">
      <c r="I206" s="871"/>
      <c r="J206" s="871"/>
      <c r="K206" s="871"/>
      <c r="L206" s="871"/>
      <c r="M206" s="871"/>
      <c r="N206" s="871"/>
      <c r="O206" s="871"/>
      <c r="P206" s="871"/>
      <c r="Q206" s="871"/>
      <c r="R206" s="871"/>
      <c r="S206" s="871"/>
      <c r="T206" s="871"/>
      <c r="U206" s="871"/>
      <c r="V206" s="871"/>
      <c r="W206" s="871"/>
      <c r="X206" s="871"/>
      <c r="Y206" s="871"/>
      <c r="Z206" s="871"/>
      <c r="AA206" s="871"/>
      <c r="AB206" s="871"/>
      <c r="AC206" s="871"/>
      <c r="AD206" s="871"/>
      <c r="AE206" s="871"/>
      <c r="AF206" s="871"/>
      <c r="AG206" s="871"/>
      <c r="AH206" s="871"/>
      <c r="AI206" s="871"/>
      <c r="AJ206" s="871"/>
      <c r="AK206" s="871"/>
      <c r="AL206" s="871"/>
      <c r="AM206" s="871"/>
    </row>
    <row r="207" spans="1:39" s="872" customFormat="1" ht="15" x14ac:dyDescent="0.5">
      <c r="I207" s="871"/>
      <c r="J207" s="871"/>
      <c r="K207" s="871"/>
      <c r="L207" s="871"/>
      <c r="M207" s="871"/>
      <c r="N207" s="871"/>
      <c r="O207" s="871"/>
      <c r="P207" s="871"/>
      <c r="Q207" s="871"/>
      <c r="R207" s="871"/>
      <c r="S207" s="871"/>
      <c r="T207" s="871"/>
      <c r="U207" s="871"/>
      <c r="V207" s="871"/>
      <c r="W207" s="871"/>
      <c r="X207" s="871"/>
      <c r="Y207" s="871"/>
      <c r="Z207" s="871"/>
      <c r="AA207" s="871"/>
      <c r="AB207" s="871"/>
      <c r="AC207" s="871"/>
      <c r="AD207" s="871"/>
      <c r="AE207" s="871"/>
      <c r="AF207" s="871"/>
      <c r="AG207" s="871"/>
      <c r="AH207" s="871"/>
      <c r="AI207" s="871"/>
      <c r="AJ207" s="871"/>
      <c r="AK207" s="871"/>
      <c r="AL207" s="871"/>
      <c r="AM207" s="871"/>
    </row>
    <row r="208" spans="1:39" s="872" customFormat="1" ht="15" x14ac:dyDescent="0.5">
      <c r="I208" s="871"/>
      <c r="J208" s="871"/>
      <c r="K208" s="871"/>
      <c r="L208" s="871"/>
      <c r="M208" s="871"/>
      <c r="N208" s="871"/>
      <c r="O208" s="871"/>
      <c r="P208" s="871"/>
      <c r="Q208" s="871"/>
      <c r="R208" s="871"/>
      <c r="S208" s="871"/>
      <c r="T208" s="871"/>
      <c r="U208" s="871"/>
      <c r="V208" s="871"/>
      <c r="W208" s="871"/>
      <c r="X208" s="871"/>
      <c r="Y208" s="871"/>
      <c r="Z208" s="871"/>
      <c r="AA208" s="871"/>
      <c r="AB208" s="871"/>
      <c r="AC208" s="871"/>
      <c r="AD208" s="871"/>
      <c r="AE208" s="871"/>
      <c r="AF208" s="871"/>
      <c r="AG208" s="871"/>
      <c r="AH208" s="871"/>
      <c r="AI208" s="871"/>
      <c r="AJ208" s="871"/>
      <c r="AK208" s="871"/>
      <c r="AL208" s="871"/>
      <c r="AM208" s="871"/>
    </row>
    <row r="209" spans="1:39" s="872" customFormat="1" ht="15" x14ac:dyDescent="0.5">
      <c r="I209" s="871"/>
      <c r="J209" s="871"/>
      <c r="K209" s="871"/>
      <c r="L209" s="871"/>
      <c r="M209" s="871"/>
      <c r="N209" s="871"/>
      <c r="O209" s="871"/>
      <c r="P209" s="871"/>
      <c r="Q209" s="871"/>
      <c r="R209" s="871"/>
      <c r="S209" s="871"/>
      <c r="T209" s="871"/>
      <c r="U209" s="871"/>
      <c r="V209" s="871"/>
      <c r="W209" s="871"/>
      <c r="X209" s="871"/>
      <c r="Y209" s="871"/>
      <c r="Z209" s="871"/>
      <c r="AA209" s="871"/>
      <c r="AB209" s="871"/>
      <c r="AC209" s="871"/>
      <c r="AD209" s="871"/>
      <c r="AE209" s="871"/>
      <c r="AF209" s="871"/>
      <c r="AG209" s="871"/>
      <c r="AH209" s="871"/>
      <c r="AI209" s="871"/>
      <c r="AJ209" s="871"/>
      <c r="AK209" s="871"/>
      <c r="AL209" s="871"/>
      <c r="AM209" s="871"/>
    </row>
    <row r="210" spans="1:39" s="872" customFormat="1" ht="15" x14ac:dyDescent="0.5">
      <c r="A210" s="887"/>
      <c r="B210" s="887"/>
      <c r="C210" s="887"/>
      <c r="D210" s="887"/>
      <c r="E210" s="887"/>
      <c r="F210" s="887"/>
      <c r="G210" s="887"/>
      <c r="I210" s="871"/>
      <c r="J210" s="871"/>
      <c r="K210" s="871"/>
      <c r="L210" s="871"/>
      <c r="M210" s="871"/>
      <c r="N210" s="871"/>
      <c r="O210" s="871"/>
      <c r="P210" s="871"/>
      <c r="Q210" s="871"/>
      <c r="R210" s="871"/>
      <c r="S210" s="871"/>
      <c r="T210" s="871"/>
      <c r="U210" s="871"/>
      <c r="V210" s="871"/>
      <c r="W210" s="871"/>
      <c r="X210" s="871"/>
      <c r="Y210" s="871"/>
      <c r="Z210" s="871"/>
      <c r="AA210" s="871"/>
      <c r="AB210" s="871"/>
      <c r="AC210" s="871"/>
      <c r="AD210" s="871"/>
      <c r="AE210" s="871"/>
      <c r="AF210" s="871"/>
      <c r="AG210" s="871"/>
      <c r="AH210" s="871"/>
      <c r="AI210" s="871"/>
      <c r="AJ210" s="871"/>
      <c r="AK210" s="871"/>
      <c r="AL210" s="871"/>
      <c r="AM210" s="871"/>
    </row>
    <row r="211" spans="1:39" s="872" customFormat="1" ht="15" x14ac:dyDescent="0.5">
      <c r="I211" s="871"/>
      <c r="J211" s="871"/>
      <c r="K211" s="871"/>
      <c r="L211" s="871"/>
      <c r="M211" s="871"/>
      <c r="N211" s="871"/>
      <c r="O211" s="871"/>
      <c r="P211" s="871"/>
      <c r="Q211" s="871"/>
      <c r="R211" s="871"/>
      <c r="S211" s="871"/>
      <c r="T211" s="871"/>
      <c r="U211" s="871"/>
      <c r="V211" s="871"/>
      <c r="W211" s="871"/>
      <c r="X211" s="871"/>
      <c r="Y211" s="871"/>
      <c r="Z211" s="871"/>
      <c r="AA211" s="871"/>
      <c r="AB211" s="871"/>
      <c r="AC211" s="871"/>
      <c r="AD211" s="871"/>
      <c r="AE211" s="871"/>
      <c r="AF211" s="871"/>
      <c r="AG211" s="871"/>
      <c r="AH211" s="871"/>
      <c r="AI211" s="871"/>
      <c r="AJ211" s="871"/>
      <c r="AK211" s="871"/>
      <c r="AL211" s="871"/>
      <c r="AM211" s="871"/>
    </row>
    <row r="212" spans="1:39" s="872" customFormat="1" ht="15" x14ac:dyDescent="0.5">
      <c r="I212" s="871"/>
      <c r="J212" s="871"/>
      <c r="K212" s="871"/>
      <c r="L212" s="871"/>
      <c r="M212" s="871"/>
      <c r="N212" s="871"/>
      <c r="O212" s="871"/>
      <c r="P212" s="871"/>
      <c r="Q212" s="871"/>
      <c r="R212" s="871"/>
      <c r="S212" s="871"/>
      <c r="T212" s="871"/>
      <c r="U212" s="871"/>
      <c r="V212" s="871"/>
      <c r="W212" s="871"/>
      <c r="X212" s="871"/>
      <c r="Y212" s="871"/>
      <c r="Z212" s="871"/>
      <c r="AA212" s="871"/>
      <c r="AB212" s="871"/>
      <c r="AC212" s="871"/>
      <c r="AD212" s="871"/>
      <c r="AE212" s="871"/>
      <c r="AF212" s="871"/>
      <c r="AG212" s="871"/>
      <c r="AH212" s="871"/>
      <c r="AI212" s="871"/>
      <c r="AJ212" s="871"/>
      <c r="AK212" s="871"/>
      <c r="AL212" s="871"/>
      <c r="AM212" s="871"/>
    </row>
    <row r="213" spans="1:39" s="872" customFormat="1" ht="15" x14ac:dyDescent="0.5">
      <c r="I213" s="871"/>
      <c r="J213" s="871"/>
      <c r="K213" s="871"/>
      <c r="L213" s="871"/>
      <c r="M213" s="871"/>
      <c r="N213" s="871"/>
      <c r="O213" s="871"/>
      <c r="P213" s="871"/>
      <c r="Q213" s="871"/>
      <c r="R213" s="871"/>
      <c r="S213" s="871"/>
      <c r="T213" s="871"/>
      <c r="U213" s="871"/>
      <c r="V213" s="871"/>
      <c r="W213" s="871"/>
      <c r="X213" s="871"/>
      <c r="Y213" s="871"/>
      <c r="Z213" s="871"/>
      <c r="AA213" s="871"/>
      <c r="AB213" s="871"/>
      <c r="AC213" s="871"/>
      <c r="AD213" s="871"/>
      <c r="AE213" s="871"/>
      <c r="AF213" s="871"/>
      <c r="AG213" s="871"/>
      <c r="AH213" s="871"/>
      <c r="AI213" s="871"/>
      <c r="AJ213" s="871"/>
      <c r="AK213" s="871"/>
      <c r="AL213" s="871"/>
      <c r="AM213" s="871"/>
    </row>
    <row r="214" spans="1:39" s="872" customFormat="1" ht="15" x14ac:dyDescent="0.5">
      <c r="I214" s="871"/>
      <c r="J214" s="871"/>
      <c r="K214" s="871"/>
      <c r="L214" s="871"/>
      <c r="M214" s="871"/>
      <c r="N214" s="871"/>
      <c r="O214" s="871"/>
      <c r="P214" s="871"/>
      <c r="Q214" s="871"/>
      <c r="R214" s="871"/>
      <c r="S214" s="871"/>
      <c r="T214" s="871"/>
      <c r="U214" s="871"/>
      <c r="V214" s="871"/>
      <c r="W214" s="871"/>
      <c r="X214" s="871"/>
      <c r="Y214" s="871"/>
      <c r="Z214" s="871"/>
      <c r="AA214" s="871"/>
      <c r="AB214" s="871"/>
      <c r="AC214" s="871"/>
      <c r="AD214" s="871"/>
      <c r="AE214" s="871"/>
      <c r="AF214" s="871"/>
      <c r="AG214" s="871"/>
      <c r="AH214" s="871"/>
      <c r="AI214" s="871"/>
      <c r="AJ214" s="871"/>
      <c r="AK214" s="871"/>
      <c r="AL214" s="871"/>
      <c r="AM214" s="871"/>
    </row>
    <row r="215" spans="1:39" s="872" customFormat="1" ht="15" x14ac:dyDescent="0.5">
      <c r="A215" s="887"/>
      <c r="B215" s="887"/>
      <c r="C215" s="887"/>
      <c r="D215" s="887"/>
      <c r="E215" s="887"/>
      <c r="H215" s="887"/>
      <c r="I215" s="871"/>
      <c r="J215" s="871"/>
      <c r="K215" s="871"/>
      <c r="L215" s="871"/>
      <c r="M215" s="871"/>
      <c r="N215" s="871"/>
      <c r="O215" s="871"/>
      <c r="P215" s="871"/>
      <c r="Q215" s="871"/>
      <c r="R215" s="871"/>
      <c r="S215" s="871"/>
      <c r="T215" s="871"/>
      <c r="U215" s="871"/>
      <c r="V215" s="871"/>
      <c r="W215" s="871"/>
      <c r="X215" s="871"/>
      <c r="Y215" s="871"/>
      <c r="Z215" s="871"/>
      <c r="AA215" s="871"/>
      <c r="AB215" s="871"/>
      <c r="AC215" s="871"/>
      <c r="AD215" s="871"/>
      <c r="AE215" s="871"/>
      <c r="AF215" s="871"/>
      <c r="AG215" s="871"/>
      <c r="AH215" s="871"/>
      <c r="AI215" s="871"/>
      <c r="AJ215" s="871"/>
      <c r="AK215" s="871"/>
      <c r="AL215" s="871"/>
      <c r="AM215" s="871"/>
    </row>
    <row r="216" spans="1:39" s="872" customFormat="1" ht="15" x14ac:dyDescent="0.5">
      <c r="I216" s="871"/>
      <c r="J216" s="871"/>
      <c r="K216" s="871"/>
      <c r="L216" s="871"/>
      <c r="M216" s="871"/>
      <c r="N216" s="871"/>
      <c r="O216" s="871"/>
      <c r="P216" s="871"/>
      <c r="Q216" s="871"/>
      <c r="R216" s="871"/>
      <c r="S216" s="871"/>
      <c r="T216" s="871"/>
      <c r="U216" s="871"/>
      <c r="V216" s="871"/>
      <c r="W216" s="871"/>
      <c r="X216" s="871"/>
      <c r="Y216" s="871"/>
      <c r="Z216" s="871"/>
      <c r="AA216" s="871"/>
      <c r="AB216" s="871"/>
      <c r="AC216" s="871"/>
      <c r="AD216" s="871"/>
      <c r="AE216" s="871"/>
      <c r="AF216" s="871"/>
      <c r="AG216" s="871"/>
      <c r="AH216" s="871"/>
      <c r="AI216" s="871"/>
      <c r="AJ216" s="871"/>
      <c r="AK216" s="871"/>
      <c r="AL216" s="871"/>
      <c r="AM216" s="871"/>
    </row>
    <row r="217" spans="1:39" s="872" customFormat="1" ht="15" x14ac:dyDescent="0.5">
      <c r="A217" s="876"/>
      <c r="I217" s="871"/>
      <c r="J217" s="871"/>
      <c r="K217" s="871"/>
      <c r="L217" s="871"/>
      <c r="M217" s="871"/>
      <c r="N217" s="871"/>
      <c r="O217" s="871"/>
      <c r="P217" s="871"/>
      <c r="Q217" s="871"/>
      <c r="R217" s="871"/>
      <c r="S217" s="871"/>
      <c r="T217" s="871"/>
      <c r="U217" s="871"/>
      <c r="V217" s="871"/>
      <c r="W217" s="871"/>
      <c r="X217" s="871"/>
      <c r="Y217" s="871"/>
      <c r="Z217" s="871"/>
      <c r="AA217" s="871"/>
      <c r="AB217" s="871"/>
      <c r="AC217" s="871"/>
      <c r="AD217" s="871"/>
      <c r="AE217" s="871"/>
      <c r="AF217" s="871"/>
      <c r="AG217" s="871"/>
      <c r="AH217" s="871"/>
      <c r="AI217" s="871"/>
      <c r="AJ217" s="871"/>
      <c r="AK217" s="871"/>
      <c r="AL217" s="871"/>
      <c r="AM217" s="871"/>
    </row>
    <row r="218" spans="1:39" s="872" customFormat="1" ht="15" x14ac:dyDescent="0.5">
      <c r="I218" s="871"/>
      <c r="J218" s="871"/>
      <c r="K218" s="871"/>
      <c r="L218" s="871"/>
      <c r="M218" s="871"/>
      <c r="N218" s="871"/>
      <c r="O218" s="871"/>
      <c r="P218" s="871"/>
      <c r="Q218" s="871"/>
      <c r="R218" s="871"/>
      <c r="S218" s="871"/>
      <c r="T218" s="871"/>
      <c r="U218" s="871"/>
      <c r="V218" s="871"/>
      <c r="W218" s="871"/>
      <c r="X218" s="871"/>
      <c r="Y218" s="871"/>
      <c r="Z218" s="871"/>
      <c r="AA218" s="871"/>
      <c r="AB218" s="871"/>
      <c r="AC218" s="871"/>
      <c r="AD218" s="871"/>
      <c r="AE218" s="871"/>
      <c r="AF218" s="871"/>
      <c r="AG218" s="871"/>
      <c r="AH218" s="871"/>
      <c r="AI218" s="871"/>
      <c r="AJ218" s="871"/>
      <c r="AK218" s="871"/>
      <c r="AL218" s="871"/>
      <c r="AM218" s="871"/>
    </row>
    <row r="219" spans="1:39" s="872" customFormat="1" ht="15" x14ac:dyDescent="0.5">
      <c r="I219" s="871"/>
      <c r="J219" s="871"/>
      <c r="K219" s="871"/>
      <c r="L219" s="871"/>
      <c r="M219" s="871"/>
      <c r="N219" s="871"/>
      <c r="O219" s="871"/>
      <c r="P219" s="871"/>
      <c r="Q219" s="871"/>
      <c r="R219" s="871"/>
      <c r="S219" s="871"/>
      <c r="T219" s="871"/>
      <c r="U219" s="871"/>
      <c r="V219" s="871"/>
      <c r="W219" s="871"/>
      <c r="X219" s="871"/>
      <c r="Y219" s="871"/>
      <c r="Z219" s="871"/>
      <c r="AA219" s="871"/>
      <c r="AB219" s="871"/>
      <c r="AC219" s="871"/>
      <c r="AD219" s="871"/>
      <c r="AE219" s="871"/>
      <c r="AF219" s="871"/>
      <c r="AG219" s="871"/>
      <c r="AH219" s="871"/>
      <c r="AI219" s="871"/>
      <c r="AJ219" s="871"/>
      <c r="AK219" s="871"/>
      <c r="AL219" s="871"/>
      <c r="AM219" s="871"/>
    </row>
    <row r="220" spans="1:39" s="872" customFormat="1" ht="12.75" customHeight="1" x14ac:dyDescent="0.5">
      <c r="I220" s="871"/>
      <c r="J220" s="871"/>
      <c r="K220" s="871"/>
      <c r="L220" s="871"/>
      <c r="M220" s="871"/>
      <c r="N220" s="871"/>
      <c r="O220" s="871"/>
      <c r="P220" s="871"/>
      <c r="Q220" s="871"/>
      <c r="R220" s="871"/>
      <c r="S220" s="871"/>
      <c r="T220" s="871"/>
      <c r="U220" s="871"/>
      <c r="V220" s="871"/>
      <c r="W220" s="871"/>
      <c r="X220" s="871"/>
      <c r="Y220" s="871"/>
      <c r="Z220" s="871"/>
      <c r="AA220" s="871"/>
      <c r="AB220" s="871"/>
      <c r="AC220" s="871"/>
      <c r="AD220" s="871"/>
      <c r="AE220" s="871"/>
      <c r="AF220" s="871"/>
      <c r="AG220" s="871"/>
      <c r="AH220" s="871"/>
      <c r="AI220" s="871"/>
      <c r="AJ220" s="871"/>
      <c r="AK220" s="871"/>
      <c r="AL220" s="871"/>
      <c r="AM220" s="871"/>
    </row>
  </sheetData>
  <mergeCells count="2">
    <mergeCell ref="A1:G1"/>
    <mergeCell ref="A2:G2"/>
  </mergeCells>
  <printOptions horizontalCentered="1"/>
  <pageMargins left="0.7" right="0.7" top="0.75" bottom="0.75" header="0.3" footer="0.3"/>
  <pageSetup scale="62" fitToHeight="0" orientation="portrait" useFirstPageNumber="1" r:id="rId1"/>
  <headerFooter scaleWithDoc="0"/>
  <rowBreaks count="2" manualBreakCount="2">
    <brk id="55" max="16383" man="1"/>
    <brk id="117"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9687-A751-4EF8-872A-32BB9FCBD9BB}">
  <sheetPr codeName="Sheet33">
    <pageSetUpPr fitToPage="1"/>
  </sheetPr>
  <dimension ref="A3:N74"/>
  <sheetViews>
    <sheetView view="pageBreakPreview" zoomScale="60" zoomScaleNormal="90" zoomScalePageLayoutView="160" workbookViewId="0"/>
  </sheetViews>
  <sheetFormatPr defaultColWidth="8.7890625" defaultRowHeight="15" x14ac:dyDescent="0.5"/>
  <cols>
    <col min="1" max="1" width="2.734375" style="1227" customWidth="1"/>
    <col min="2" max="2" width="8.7890625" style="1227"/>
    <col min="3" max="3" width="10" style="1227" customWidth="1"/>
    <col min="4" max="4" width="17.7890625" style="1227" customWidth="1"/>
    <col min="5" max="5" width="12.734375" style="1227" bestFit="1" customWidth="1"/>
    <col min="6" max="6" width="12.5234375" style="1227" bestFit="1" customWidth="1"/>
    <col min="7" max="7" width="11.5234375" style="1227" bestFit="1" customWidth="1"/>
    <col min="8" max="9" width="12.5234375" style="1227" bestFit="1" customWidth="1"/>
    <col min="10" max="16384" width="8.7890625" style="1227"/>
  </cols>
  <sheetData>
    <row r="3" spans="1:14" x14ac:dyDescent="0.5">
      <c r="A3" s="1225"/>
      <c r="B3" s="1226"/>
      <c r="C3" s="1226"/>
      <c r="D3" s="1226"/>
      <c r="E3" s="1226"/>
      <c r="F3" s="1226"/>
      <c r="G3" s="1226"/>
      <c r="H3" s="1226"/>
      <c r="I3" s="1226"/>
    </row>
    <row r="4" spans="1:14" x14ac:dyDescent="0.5">
      <c r="A4" s="1225" t="s">
        <v>6486</v>
      </c>
      <c r="B4" s="1225"/>
      <c r="C4" s="1226"/>
      <c r="D4" s="1226"/>
      <c r="E4" s="1226"/>
      <c r="F4" s="1226"/>
      <c r="G4" s="1226"/>
      <c r="H4" s="1226"/>
      <c r="I4" s="1226"/>
    </row>
    <row r="5" spans="1:14" x14ac:dyDescent="0.5">
      <c r="A5" s="1225" t="s">
        <v>6487</v>
      </c>
      <c r="B5" s="1226"/>
      <c r="C5" s="1226"/>
      <c r="D5" s="1226"/>
      <c r="E5" s="1226"/>
      <c r="F5" s="1226"/>
      <c r="G5" s="1226"/>
      <c r="H5" s="1226"/>
      <c r="I5" s="1226"/>
    </row>
    <row r="7" spans="1:14" ht="7.5" customHeight="1" x14ac:dyDescent="0.5">
      <c r="B7" s="1228"/>
      <c r="C7" s="1229"/>
      <c r="D7" s="1229"/>
      <c r="E7" s="1229"/>
      <c r="F7" s="1229"/>
      <c r="G7" s="1229"/>
      <c r="H7" s="1229"/>
      <c r="I7" s="1230"/>
    </row>
    <row r="8" spans="1:14" x14ac:dyDescent="0.5">
      <c r="B8" s="1231"/>
      <c r="E8" s="1232" t="s">
        <v>1146</v>
      </c>
      <c r="F8" s="1232" t="s">
        <v>1147</v>
      </c>
      <c r="G8" s="1233" t="s">
        <v>1149</v>
      </c>
      <c r="H8" s="1233" t="s">
        <v>1153</v>
      </c>
      <c r="I8" s="1234"/>
    </row>
    <row r="9" spans="1:14" x14ac:dyDescent="0.5">
      <c r="B9" s="1231"/>
      <c r="E9" s="1232" t="s">
        <v>77</v>
      </c>
      <c r="F9" s="1232" t="s">
        <v>77</v>
      </c>
      <c r="G9" s="1232" t="s">
        <v>6488</v>
      </c>
      <c r="H9" s="1232" t="s">
        <v>76</v>
      </c>
      <c r="I9" s="1234"/>
    </row>
    <row r="10" spans="1:14" x14ac:dyDescent="0.5">
      <c r="B10" s="1231"/>
      <c r="C10" s="1235" t="s">
        <v>611</v>
      </c>
      <c r="E10" s="1236" t="s">
        <v>6489</v>
      </c>
      <c r="F10" s="1236" t="s">
        <v>6490</v>
      </c>
      <c r="G10" s="1236" t="s">
        <v>6490</v>
      </c>
      <c r="H10" s="1236" t="s">
        <v>6490</v>
      </c>
      <c r="I10" s="1234"/>
    </row>
    <row r="11" spans="1:14" ht="6.75" customHeight="1" x14ac:dyDescent="0.5">
      <c r="B11" s="1231"/>
      <c r="I11" s="1234"/>
    </row>
    <row r="12" spans="1:14" ht="12" customHeight="1" x14ac:dyDescent="0.5">
      <c r="B12" s="1231">
        <v>1</v>
      </c>
      <c r="C12" s="1237" t="s">
        <v>4517</v>
      </c>
      <c r="E12" s="1238"/>
      <c r="F12" s="1238">
        <v>7.0000000000000007E-2</v>
      </c>
      <c r="G12" s="1238">
        <v>7.51E-2</v>
      </c>
      <c r="H12" s="1238">
        <v>7.0000000000000007E-2</v>
      </c>
      <c r="I12" s="1234"/>
      <c r="K12" s="1238"/>
      <c r="L12" s="1238"/>
      <c r="M12" s="1239"/>
      <c r="N12" s="1239"/>
    </row>
    <row r="13" spans="1:14" ht="12" customHeight="1" x14ac:dyDescent="0.5">
      <c r="B13" s="1231">
        <v>3</v>
      </c>
      <c r="C13" s="1237" t="s">
        <v>2887</v>
      </c>
      <c r="E13" s="1238"/>
      <c r="F13" s="1238">
        <v>0.05</v>
      </c>
      <c r="G13" s="1238">
        <v>5.6000000000000001E-2</v>
      </c>
      <c r="H13" s="1240" t="s">
        <v>14</v>
      </c>
      <c r="I13" s="1234"/>
      <c r="K13" s="1241"/>
      <c r="L13" s="1238"/>
      <c r="M13" s="1239"/>
      <c r="N13" s="1239"/>
    </row>
    <row r="14" spans="1:14" ht="12" customHeight="1" x14ac:dyDescent="0.5">
      <c r="B14" s="1231">
        <f t="shared" ref="B14:B17" si="0">B13+1</f>
        <v>4</v>
      </c>
      <c r="C14" s="1237" t="s">
        <v>6491</v>
      </c>
      <c r="E14" s="1238"/>
      <c r="F14" s="1238">
        <v>9.5000000000000001E-2</v>
      </c>
      <c r="G14" s="1238">
        <v>7.7799999999999994E-2</v>
      </c>
      <c r="H14" s="1238">
        <v>7.4999999999999997E-2</v>
      </c>
      <c r="I14" s="1234"/>
      <c r="K14" s="1240"/>
      <c r="L14" s="1242"/>
      <c r="M14" s="1239"/>
      <c r="N14" s="1239"/>
    </row>
    <row r="15" spans="1:14" ht="12" customHeight="1" x14ac:dyDescent="0.5">
      <c r="B15" s="1231">
        <f t="shared" si="0"/>
        <v>5</v>
      </c>
      <c r="C15" s="1237" t="s">
        <v>2867</v>
      </c>
      <c r="E15" s="1238"/>
      <c r="F15" s="1238">
        <v>6.5000000000000002E-2</v>
      </c>
      <c r="G15" s="1238">
        <v>4.8300000000000003E-2</v>
      </c>
      <c r="H15" s="1240" t="s">
        <v>14</v>
      </c>
      <c r="I15" s="1234"/>
      <c r="K15" s="1240"/>
      <c r="L15" s="1240"/>
      <c r="M15" s="1239"/>
      <c r="N15" s="1239"/>
    </row>
    <row r="16" spans="1:14" ht="12" customHeight="1" x14ac:dyDescent="0.5">
      <c r="B16" s="1231">
        <f t="shared" si="0"/>
        <v>6</v>
      </c>
      <c r="C16" s="1237" t="s">
        <v>6464</v>
      </c>
      <c r="E16" s="1238"/>
      <c r="F16" s="1238">
        <v>3.5000000000000003E-2</v>
      </c>
      <c r="G16" s="1238">
        <v>2.4500000000000001E-2</v>
      </c>
      <c r="H16" s="1238">
        <v>2.9000000000000001E-2</v>
      </c>
      <c r="I16" s="1234"/>
      <c r="K16" s="1240"/>
      <c r="L16" s="1242"/>
      <c r="M16" s="1239"/>
      <c r="N16" s="1239"/>
    </row>
    <row r="17" spans="2:14" ht="12" customHeight="1" x14ac:dyDescent="0.5">
      <c r="B17" s="1231">
        <f t="shared" si="0"/>
        <v>7</v>
      </c>
      <c r="C17" s="1237" t="s">
        <v>6492</v>
      </c>
      <c r="E17" s="1238"/>
      <c r="F17" s="1238">
        <v>4.4999999999999998E-2</v>
      </c>
      <c r="G17" s="1238">
        <v>6.5000000000000002E-2</v>
      </c>
      <c r="H17" s="1238">
        <v>5.8000000000000003E-2</v>
      </c>
      <c r="I17" s="1234"/>
      <c r="K17" s="1240"/>
      <c r="L17" s="1242"/>
      <c r="M17" s="1239"/>
      <c r="N17" s="1239"/>
    </row>
    <row r="18" spans="2:14" ht="6" customHeight="1" x14ac:dyDescent="0.5">
      <c r="B18" s="1231"/>
      <c r="E18" s="1243"/>
      <c r="F18" s="1238"/>
      <c r="G18" s="1238"/>
      <c r="H18" s="1238"/>
      <c r="I18" s="1234"/>
      <c r="K18" s="1238"/>
      <c r="L18" s="1243"/>
    </row>
    <row r="19" spans="2:14" x14ac:dyDescent="0.5">
      <c r="B19" s="1231"/>
      <c r="C19" s="1227" t="s">
        <v>6493</v>
      </c>
      <c r="E19" s="1243"/>
      <c r="F19" s="1243">
        <f>AVERAGE(F12:F17)</f>
        <v>6.0000000000000005E-2</v>
      </c>
      <c r="G19" s="1243">
        <f>AVERAGE(G12:G17)</f>
        <v>5.7783333333333332E-2</v>
      </c>
      <c r="H19" s="1243">
        <f>AVERAGE(H12:H17)</f>
        <v>5.8000000000000003E-2</v>
      </c>
      <c r="I19" s="1234"/>
      <c r="J19" s="1239"/>
      <c r="K19" s="1243"/>
      <c r="L19" s="1243"/>
      <c r="N19" s="1239"/>
    </row>
    <row r="20" spans="2:14" x14ac:dyDescent="0.5">
      <c r="B20" s="1231"/>
      <c r="C20" s="1227" t="s">
        <v>1180</v>
      </c>
      <c r="E20" s="1239"/>
      <c r="F20" s="1239">
        <f>MEDIAN(F12:F17)</f>
        <v>5.7500000000000002E-2</v>
      </c>
      <c r="G20" s="1239">
        <f>MEDIAN(G12:G17)</f>
        <v>6.0499999999999998E-2</v>
      </c>
      <c r="H20" s="1239">
        <f>MEDIAN(H12:H17)</f>
        <v>6.4000000000000001E-2</v>
      </c>
      <c r="I20" s="1234"/>
      <c r="J20" s="1243"/>
      <c r="K20" s="1239"/>
      <c r="L20" s="1239"/>
    </row>
    <row r="21" spans="2:14" x14ac:dyDescent="0.5">
      <c r="B21" s="1231"/>
      <c r="F21" s="1239"/>
      <c r="I21" s="1234"/>
      <c r="K21" s="1239"/>
    </row>
    <row r="22" spans="2:14" x14ac:dyDescent="0.5">
      <c r="B22" s="1231"/>
      <c r="F22" s="1239"/>
      <c r="G22" s="1239"/>
      <c r="H22" s="1239"/>
      <c r="I22" s="1234"/>
    </row>
    <row r="23" spans="2:14" x14ac:dyDescent="0.5">
      <c r="B23" s="1244"/>
      <c r="C23" s="1245" t="s">
        <v>6494</v>
      </c>
      <c r="D23" s="1245" t="s">
        <v>6495</v>
      </c>
      <c r="I23" s="1234"/>
    </row>
    <row r="24" spans="2:14" x14ac:dyDescent="0.5">
      <c r="B24" s="1244"/>
      <c r="C24" s="1245"/>
      <c r="D24" s="1245" t="s">
        <v>6496</v>
      </c>
      <c r="I24" s="1234"/>
      <c r="K24" s="1239"/>
    </row>
    <row r="25" spans="2:14" x14ac:dyDescent="0.5">
      <c r="B25" s="1244"/>
      <c r="D25" s="1245" t="s">
        <v>6497</v>
      </c>
      <c r="I25" s="1234"/>
      <c r="K25" s="1239"/>
    </row>
    <row r="26" spans="2:14" x14ac:dyDescent="0.5">
      <c r="B26" s="1244"/>
      <c r="D26" s="1245" t="s">
        <v>6498</v>
      </c>
      <c r="I26" s="1234"/>
      <c r="K26" s="1239"/>
    </row>
    <row r="27" spans="2:14" x14ac:dyDescent="0.5">
      <c r="B27" s="1246"/>
      <c r="C27" s="1247"/>
      <c r="D27" s="1247"/>
      <c r="E27" s="1247"/>
      <c r="F27" s="1247"/>
      <c r="G27" s="1247"/>
      <c r="H27" s="1247"/>
      <c r="I27" s="1248"/>
    </row>
    <row r="31" spans="2:14" x14ac:dyDescent="0.5">
      <c r="B31" s="1228"/>
      <c r="C31" s="1229"/>
      <c r="D31" s="1229"/>
      <c r="E31" s="1229"/>
      <c r="F31" s="1249"/>
      <c r="G31" s="1229"/>
      <c r="H31" s="1229"/>
      <c r="I31" s="1230"/>
    </row>
    <row r="32" spans="2:14" x14ac:dyDescent="0.5">
      <c r="B32" s="1250" t="s">
        <v>6486</v>
      </c>
      <c r="C32" s="1226"/>
      <c r="D32" s="1226"/>
      <c r="E32" s="1226"/>
      <c r="F32" s="1251"/>
      <c r="G32" s="1226"/>
      <c r="H32" s="1226"/>
      <c r="I32" s="1252"/>
    </row>
    <row r="33" spans="2:11" x14ac:dyDescent="0.5">
      <c r="B33" s="1250" t="s">
        <v>6499</v>
      </c>
      <c r="C33" s="1226"/>
      <c r="D33" s="1225"/>
      <c r="E33" s="1225"/>
      <c r="F33" s="1225"/>
      <c r="G33" s="1225"/>
      <c r="H33" s="1225"/>
      <c r="I33" s="1253"/>
    </row>
    <row r="34" spans="2:11" x14ac:dyDescent="0.5">
      <c r="B34" s="1254"/>
      <c r="C34" s="1226"/>
      <c r="D34" s="1226"/>
      <c r="E34" s="1226"/>
      <c r="F34" s="1226"/>
      <c r="G34" s="1226"/>
      <c r="H34" s="1226"/>
      <c r="I34" s="1252"/>
    </row>
    <row r="35" spans="2:11" x14ac:dyDescent="0.5">
      <c r="B35" s="1255"/>
      <c r="E35" s="1233" t="s">
        <v>1146</v>
      </c>
      <c r="F35" s="1233" t="s">
        <v>1147</v>
      </c>
      <c r="G35" s="1233" t="s">
        <v>1149</v>
      </c>
      <c r="H35" s="1233" t="s">
        <v>1153</v>
      </c>
      <c r="I35" s="1256" t="s">
        <v>1155</v>
      </c>
    </row>
    <row r="36" spans="2:11" x14ac:dyDescent="0.5">
      <c r="B36" s="1255"/>
      <c r="E36" s="1232" t="s">
        <v>77</v>
      </c>
      <c r="F36" s="1232" t="s">
        <v>77</v>
      </c>
      <c r="G36" s="1232" t="s">
        <v>6488</v>
      </c>
      <c r="H36" s="1232" t="s">
        <v>76</v>
      </c>
      <c r="I36" s="1257" t="s">
        <v>6500</v>
      </c>
    </row>
    <row r="37" spans="2:11" x14ac:dyDescent="0.5">
      <c r="B37" s="1255"/>
      <c r="E37" s="1236" t="s">
        <v>6501</v>
      </c>
      <c r="F37" s="1236" t="s">
        <v>6502</v>
      </c>
      <c r="G37" s="1236" t="s">
        <v>6503</v>
      </c>
      <c r="H37" s="1236" t="s">
        <v>6502</v>
      </c>
      <c r="I37" s="1258" t="s">
        <v>6504</v>
      </c>
    </row>
    <row r="38" spans="2:11" x14ac:dyDescent="0.5">
      <c r="B38" s="1255"/>
      <c r="I38" s="1234"/>
    </row>
    <row r="39" spans="2:11" x14ac:dyDescent="0.5">
      <c r="B39" s="1259" t="s">
        <v>6505</v>
      </c>
      <c r="I39" s="1234"/>
    </row>
    <row r="40" spans="2:11" x14ac:dyDescent="0.5">
      <c r="B40" s="1231" t="s">
        <v>126</v>
      </c>
      <c r="E40" s="1239">
        <f>'WP 6.1 RAB-2 Corr Divs'!O20</f>
        <v>3.8266468035848121E-2</v>
      </c>
      <c r="F40" s="1239">
        <f>E40</f>
        <v>3.8266468035848121E-2</v>
      </c>
      <c r="G40" s="1239">
        <f>F40</f>
        <v>3.8266468035848121E-2</v>
      </c>
      <c r="H40" s="1239">
        <f>G40</f>
        <v>3.8266468035848121E-2</v>
      </c>
      <c r="I40" s="1260">
        <f>AVERAGE(E40:G40)</f>
        <v>3.8266468035848121E-2</v>
      </c>
      <c r="J40" s="1239"/>
      <c r="K40" s="1239"/>
    </row>
    <row r="41" spans="2:11" x14ac:dyDescent="0.5">
      <c r="B41" s="1231"/>
      <c r="G41" s="1239"/>
      <c r="H41" s="1239"/>
      <c r="I41" s="1234"/>
    </row>
    <row r="42" spans="2:11" x14ac:dyDescent="0.5">
      <c r="B42" s="1231" t="s">
        <v>6506</v>
      </c>
      <c r="E42" s="1239"/>
      <c r="F42" s="1261">
        <f>F19</f>
        <v>6.0000000000000005E-2</v>
      </c>
      <c r="G42" s="1261">
        <f>G19</f>
        <v>5.7783333333333332E-2</v>
      </c>
      <c r="H42" s="1261">
        <f>H19</f>
        <v>5.8000000000000003E-2</v>
      </c>
      <c r="I42" s="1262">
        <f>AVERAGE(E42:H42)</f>
        <v>5.8594444444444449E-2</v>
      </c>
      <c r="J42" s="1263"/>
      <c r="K42" s="1238"/>
    </row>
    <row r="43" spans="2:11" x14ac:dyDescent="0.5">
      <c r="B43" s="1231"/>
      <c r="G43" s="1239"/>
      <c r="H43" s="1239"/>
      <c r="I43" s="1234"/>
      <c r="J43" s="1239"/>
      <c r="K43" s="1239"/>
    </row>
    <row r="44" spans="2:11" x14ac:dyDescent="0.5">
      <c r="B44" s="1231" t="s">
        <v>6507</v>
      </c>
      <c r="E44" s="1264">
        <f>ROUND(E40*(1+(0.5*E42)),4)</f>
        <v>3.8300000000000001E-2</v>
      </c>
      <c r="F44" s="1264">
        <f>ROUND(F40*(1+(0.5*F42)),4)</f>
        <v>3.9399999999999998E-2</v>
      </c>
      <c r="G44" s="1264">
        <f>ROUND(G40*(1+(0.5*G42)),4)</f>
        <v>3.9399999999999998E-2</v>
      </c>
      <c r="H44" s="1264">
        <f>ROUND(H40*(1+(0.5*H42)),4)</f>
        <v>3.9399999999999998E-2</v>
      </c>
      <c r="I44" s="1265">
        <f>ROUND(I40*(1+(0.5*I42)),4)</f>
        <v>3.9399999999999998E-2</v>
      </c>
      <c r="J44" s="1239"/>
      <c r="K44" s="1239"/>
    </row>
    <row r="45" spans="2:11" x14ac:dyDescent="0.5">
      <c r="B45" s="1231"/>
      <c r="G45" s="1239"/>
      <c r="H45" s="1239"/>
      <c r="I45" s="1234"/>
      <c r="J45" s="1239"/>
      <c r="K45" s="1239"/>
    </row>
    <row r="46" spans="2:11" x14ac:dyDescent="0.5">
      <c r="B46" s="1266" t="s">
        <v>6508</v>
      </c>
      <c r="C46" s="1267"/>
      <c r="E46" s="1268"/>
      <c r="F46" s="1268">
        <f>F44+F42</f>
        <v>9.9400000000000002E-2</v>
      </c>
      <c r="G46" s="1268">
        <f t="shared" ref="G46:I46" si="1">G44+G42</f>
        <v>9.718333333333333E-2</v>
      </c>
      <c r="H46" s="1268">
        <f t="shared" si="1"/>
        <v>9.74E-2</v>
      </c>
      <c r="I46" s="1269">
        <f t="shared" si="1"/>
        <v>9.799444444444444E-2</v>
      </c>
      <c r="J46" s="1239"/>
      <c r="K46" s="1239"/>
    </row>
    <row r="47" spans="2:11" x14ac:dyDescent="0.5">
      <c r="B47" s="1266"/>
      <c r="C47" s="1267"/>
      <c r="E47" s="1268"/>
      <c r="F47" s="1268"/>
      <c r="G47" s="1268"/>
      <c r="H47" s="1268"/>
      <c r="I47" s="1269"/>
      <c r="J47" s="1239"/>
      <c r="K47" s="1239"/>
    </row>
    <row r="48" spans="2:11" x14ac:dyDescent="0.5">
      <c r="B48" s="1266"/>
      <c r="C48" s="1267"/>
      <c r="E48" s="1268"/>
      <c r="F48" s="1268"/>
      <c r="G48" s="1268"/>
      <c r="H48" s="1268"/>
      <c r="I48" s="1269"/>
      <c r="J48" s="1239"/>
      <c r="K48" s="1239"/>
    </row>
    <row r="49" spans="2:11" x14ac:dyDescent="0.5">
      <c r="B49" s="1266"/>
      <c r="C49" s="1267"/>
      <c r="E49" s="1268"/>
      <c r="F49" s="1268"/>
      <c r="G49" s="1268"/>
      <c r="H49" s="1268"/>
      <c r="I49" s="1269"/>
      <c r="J49" s="1239"/>
      <c r="K49" s="1239"/>
    </row>
    <row r="50" spans="2:11" x14ac:dyDescent="0.5">
      <c r="B50" s="1259" t="s">
        <v>6509</v>
      </c>
      <c r="E50" s="1239"/>
      <c r="F50" s="1239"/>
      <c r="G50" s="1239"/>
      <c r="H50" s="1239"/>
      <c r="I50" s="1260"/>
      <c r="J50" s="1239"/>
      <c r="K50" s="1239"/>
    </row>
    <row r="51" spans="2:11" x14ac:dyDescent="0.5">
      <c r="B51" s="1231" t="s">
        <v>126</v>
      </c>
      <c r="E51" s="1239">
        <f>E40</f>
        <v>3.8266468035848121E-2</v>
      </c>
      <c r="F51" s="1239">
        <f>F40</f>
        <v>3.8266468035848121E-2</v>
      </c>
      <c r="G51" s="1239">
        <f>G40</f>
        <v>3.8266468035848121E-2</v>
      </c>
      <c r="H51" s="1239">
        <f>G51</f>
        <v>3.8266468035848121E-2</v>
      </c>
      <c r="I51" s="1260">
        <f>AVERAGE(E51:G51)</f>
        <v>3.8266468035848121E-2</v>
      </c>
      <c r="J51" s="1239"/>
      <c r="K51" s="1239"/>
    </row>
    <row r="52" spans="2:11" x14ac:dyDescent="0.5">
      <c r="B52" s="1231"/>
      <c r="E52" s="1239"/>
      <c r="F52" s="1239"/>
      <c r="G52" s="1239"/>
      <c r="H52" s="1239"/>
      <c r="I52" s="1260"/>
      <c r="J52" s="1239"/>
      <c r="K52" s="1239"/>
    </row>
    <row r="53" spans="2:11" x14ac:dyDescent="0.5">
      <c r="B53" s="1231" t="s">
        <v>6510</v>
      </c>
      <c r="E53" s="1239"/>
      <c r="F53" s="1261">
        <f>F20</f>
        <v>5.7500000000000002E-2</v>
      </c>
      <c r="G53" s="1261">
        <f>G20</f>
        <v>6.0499999999999998E-2</v>
      </c>
      <c r="H53" s="1261">
        <f>H20</f>
        <v>6.4000000000000001E-2</v>
      </c>
      <c r="I53" s="1262">
        <f>AVERAGE(E53:H53)</f>
        <v>6.0666666666666667E-2</v>
      </c>
      <c r="J53" s="1239"/>
      <c r="K53" s="1239"/>
    </row>
    <row r="54" spans="2:11" x14ac:dyDescent="0.5">
      <c r="B54" s="1231"/>
      <c r="E54" s="1239"/>
      <c r="F54" s="1239"/>
      <c r="G54" s="1239"/>
      <c r="H54" s="1239"/>
      <c r="I54" s="1260"/>
      <c r="J54" s="1239"/>
      <c r="K54" s="1239"/>
    </row>
    <row r="55" spans="2:11" x14ac:dyDescent="0.5">
      <c r="B55" s="1231" t="s">
        <v>6507</v>
      </c>
      <c r="E55" s="1264">
        <f>ROUND(E51*(1+(0.5*E53)),4)</f>
        <v>3.8300000000000001E-2</v>
      </c>
      <c r="F55" s="1264">
        <f>ROUND(F51*(1+(0.5*F53)),4)</f>
        <v>3.9399999999999998E-2</v>
      </c>
      <c r="G55" s="1264">
        <f>ROUND(G51*(1+(0.5*G53)),4)</f>
        <v>3.9399999999999998E-2</v>
      </c>
      <c r="H55" s="1264">
        <f>ROUND(H51*(1+(0.5*H53)),4)</f>
        <v>3.95E-2</v>
      </c>
      <c r="I55" s="1265">
        <f>ROUND(I51*(1+(0.5*I53)),4)</f>
        <v>3.9399999999999998E-2</v>
      </c>
      <c r="J55" s="1239"/>
      <c r="K55" s="1239"/>
    </row>
    <row r="56" spans="2:11" x14ac:dyDescent="0.5">
      <c r="B56" s="1231"/>
      <c r="E56" s="1239"/>
      <c r="F56" s="1239"/>
      <c r="G56" s="1239"/>
      <c r="H56" s="1239"/>
      <c r="I56" s="1260"/>
      <c r="J56" s="1239"/>
      <c r="K56" s="1239"/>
    </row>
    <row r="57" spans="2:11" x14ac:dyDescent="0.5">
      <c r="B57" s="1266" t="s">
        <v>6508</v>
      </c>
      <c r="E57" s="1268"/>
      <c r="F57" s="1268">
        <f>F55+F53</f>
        <v>9.69E-2</v>
      </c>
      <c r="G57" s="1268">
        <f t="shared" ref="G57:I57" si="2">G55+G53</f>
        <v>9.9899999999999989E-2</v>
      </c>
      <c r="H57" s="1268">
        <f t="shared" si="2"/>
        <v>0.10350000000000001</v>
      </c>
      <c r="I57" s="1269">
        <f t="shared" si="2"/>
        <v>0.10006666666666666</v>
      </c>
      <c r="J57" s="1239"/>
      <c r="K57" s="1239"/>
    </row>
    <row r="58" spans="2:11" x14ac:dyDescent="0.5">
      <c r="B58" s="1266"/>
      <c r="E58" s="1239"/>
      <c r="F58" s="1239"/>
      <c r="G58" s="1239"/>
      <c r="H58" s="1239"/>
      <c r="I58" s="1260"/>
      <c r="J58" s="1239"/>
      <c r="K58" s="1239"/>
    </row>
    <row r="59" spans="2:11" x14ac:dyDescent="0.5">
      <c r="B59" s="1246"/>
      <c r="C59" s="1247"/>
      <c r="D59" s="1247"/>
      <c r="E59" s="1247"/>
      <c r="F59" s="1247"/>
      <c r="G59" s="1247"/>
      <c r="H59" s="1247"/>
      <c r="I59" s="1248"/>
    </row>
    <row r="62" spans="2:11" x14ac:dyDescent="0.5">
      <c r="E62" s="1239"/>
    </row>
    <row r="64" spans="2:11" x14ac:dyDescent="0.5">
      <c r="I64" s="1270"/>
    </row>
    <row r="65" spans="4:9" x14ac:dyDescent="0.5">
      <c r="I65" s="1270"/>
    </row>
    <row r="66" spans="4:9" x14ac:dyDescent="0.5">
      <c r="D66" s="1239"/>
      <c r="E66" s="1239"/>
    </row>
    <row r="68" spans="4:9" x14ac:dyDescent="0.5">
      <c r="D68" s="1263"/>
      <c r="E68" s="1263"/>
    </row>
    <row r="70" spans="4:9" x14ac:dyDescent="0.5">
      <c r="D70" s="1271"/>
      <c r="E70" s="1271"/>
    </row>
    <row r="72" spans="4:9" x14ac:dyDescent="0.5">
      <c r="D72" s="1239"/>
      <c r="E72" s="1239"/>
    </row>
    <row r="74" spans="4:9" x14ac:dyDescent="0.5">
      <c r="E74" s="1239"/>
    </row>
  </sheetData>
  <printOptions horizontalCentered="1"/>
  <pageMargins left="0.25" right="0.25" top="1.25" bottom="0.75" header="0.3" footer="0.3"/>
  <pageSetup scale="80" orientation="portrait" r:id="rId1"/>
  <rowBreaks count="1" manualBreakCount="1">
    <brk id="2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34B04-3388-41C1-B453-3CDEAA8FADF7}">
  <sheetPr codeName="Sheet34"/>
  <dimension ref="A1:O63"/>
  <sheetViews>
    <sheetView view="pageBreakPreview" zoomScale="80" zoomScaleNormal="85" zoomScaleSheetLayoutView="80" workbookViewId="0">
      <selection activeCell="C16" sqref="C16"/>
    </sheetView>
  </sheetViews>
  <sheetFormatPr defaultColWidth="9.734375" defaultRowHeight="15" x14ac:dyDescent="0.5"/>
  <cols>
    <col min="1" max="1" width="62" style="962" customWidth="1"/>
    <col min="2" max="2" width="5.47265625" style="962" customWidth="1"/>
    <col min="3" max="3" width="14.15625" style="962" customWidth="1"/>
    <col min="4" max="4" width="4.734375" style="962" customWidth="1"/>
    <col min="5" max="5" width="15.47265625" style="962" customWidth="1"/>
    <col min="6" max="6" width="4.5234375" style="962" customWidth="1"/>
    <col min="7" max="7" width="13.26171875" style="962" customWidth="1"/>
    <col min="8" max="8" width="5.47265625" style="962" customWidth="1"/>
    <col min="9" max="9" width="12.47265625" style="962" customWidth="1"/>
    <col min="10" max="16384" width="9.734375" style="962"/>
  </cols>
  <sheetData>
    <row r="1" spans="1:14" x14ac:dyDescent="0.5">
      <c r="A1" s="1450" t="s">
        <v>2675</v>
      </c>
      <c r="B1" s="1450"/>
      <c r="C1" s="1450"/>
      <c r="D1" s="1450"/>
      <c r="E1" s="1450"/>
      <c r="F1" s="1450"/>
      <c r="G1" s="1450"/>
      <c r="H1" s="1450"/>
      <c r="I1" s="1450"/>
      <c r="J1" s="961"/>
      <c r="K1" s="961"/>
      <c r="L1" s="961"/>
      <c r="M1" s="961"/>
      <c r="N1" s="961"/>
    </row>
    <row r="2" spans="1:14" x14ac:dyDescent="0.5">
      <c r="A2" s="1451" t="s">
        <v>6522</v>
      </c>
      <c r="B2" s="1451"/>
      <c r="C2" s="1451"/>
      <c r="D2" s="1451"/>
      <c r="E2" s="1451"/>
      <c r="F2" s="1451"/>
      <c r="G2" s="1451"/>
      <c r="H2" s="1451"/>
      <c r="I2" s="1451"/>
    </row>
    <row r="3" spans="1:14" x14ac:dyDescent="0.5">
      <c r="A3" s="1451" t="s">
        <v>6523</v>
      </c>
      <c r="B3" s="1451"/>
      <c r="C3" s="1451"/>
      <c r="D3" s="1451"/>
      <c r="E3" s="1451"/>
      <c r="F3" s="1451"/>
      <c r="G3" s="1451"/>
      <c r="H3" s="1451"/>
      <c r="I3" s="1451"/>
    </row>
    <row r="4" spans="1:14" x14ac:dyDescent="0.5">
      <c r="A4" s="1452" t="s">
        <v>6524</v>
      </c>
      <c r="B4" s="1452"/>
      <c r="C4" s="1452"/>
      <c r="D4" s="1452"/>
      <c r="E4" s="1452"/>
      <c r="F4" s="1452"/>
      <c r="G4" s="1452"/>
      <c r="H4" s="1452"/>
      <c r="I4" s="1452"/>
    </row>
    <row r="5" spans="1:14" x14ac:dyDescent="0.5">
      <c r="A5" s="964"/>
    </row>
    <row r="6" spans="1:14" x14ac:dyDescent="0.5">
      <c r="A6" s="964"/>
    </row>
    <row r="7" spans="1:14" x14ac:dyDescent="0.5">
      <c r="G7" s="963" t="s">
        <v>6525</v>
      </c>
    </row>
    <row r="8" spans="1:14" x14ac:dyDescent="0.5">
      <c r="C8" s="963" t="s">
        <v>6526</v>
      </c>
      <c r="E8" s="963" t="s">
        <v>6527</v>
      </c>
      <c r="G8" s="963" t="s">
        <v>6528</v>
      </c>
      <c r="K8" s="965"/>
    </row>
    <row r="9" spans="1:14" x14ac:dyDescent="0.5">
      <c r="A9" s="966"/>
      <c r="B9" s="963"/>
      <c r="C9" s="963" t="s">
        <v>6529</v>
      </c>
      <c r="D9" s="963"/>
      <c r="E9" s="963" t="s">
        <v>6530</v>
      </c>
      <c r="F9" s="963"/>
      <c r="G9" s="963" t="s">
        <v>6531</v>
      </c>
    </row>
    <row r="10" spans="1:14" x14ac:dyDescent="0.5">
      <c r="B10" s="963"/>
      <c r="C10" s="967" t="s">
        <v>1151</v>
      </c>
      <c r="D10" s="963"/>
      <c r="E10" s="967" t="s">
        <v>6532</v>
      </c>
      <c r="F10" s="963"/>
      <c r="G10" s="967" t="s">
        <v>6533</v>
      </c>
      <c r="I10" s="967" t="s">
        <v>1082</v>
      </c>
    </row>
    <row r="11" spans="1:14" x14ac:dyDescent="0.5">
      <c r="B11" s="963"/>
      <c r="C11" s="963"/>
      <c r="D11" s="963"/>
      <c r="E11" s="963"/>
      <c r="F11" s="963"/>
      <c r="G11" s="963"/>
    </row>
    <row r="12" spans="1:14" x14ac:dyDescent="0.5">
      <c r="A12" s="968" t="s">
        <v>6534</v>
      </c>
      <c r="B12" s="968"/>
      <c r="C12" s="968"/>
      <c r="D12" s="968"/>
      <c r="E12" s="968"/>
      <c r="F12" s="968"/>
      <c r="G12" s="968"/>
      <c r="H12" s="968"/>
      <c r="I12" s="968"/>
    </row>
    <row r="14" spans="1:14" x14ac:dyDescent="0.5">
      <c r="A14" s="962" t="s">
        <v>6535</v>
      </c>
      <c r="B14" s="969"/>
      <c r="C14" s="969">
        <f>'WP 7.1 RAB-4 Corr'!G68</f>
        <v>0.12039999999999999</v>
      </c>
      <c r="D14" s="970" t="s">
        <v>1146</v>
      </c>
      <c r="E14" s="969">
        <f>'WP 7.1 RAB-4 Corr'!I11</f>
        <v>0.11834199677184941</v>
      </c>
      <c r="F14" s="970" t="s">
        <v>1147</v>
      </c>
      <c r="G14" s="966">
        <f>G47</f>
        <v>0.1169</v>
      </c>
      <c r="H14" s="971" t="s">
        <v>1149</v>
      </c>
    </row>
    <row r="15" spans="1:14" x14ac:dyDescent="0.5">
      <c r="B15" s="969"/>
      <c r="C15" s="969"/>
      <c r="D15" s="969"/>
      <c r="F15" s="969"/>
    </row>
    <row r="16" spans="1:14" x14ac:dyDescent="0.5">
      <c r="A16" s="962" t="s">
        <v>6536</v>
      </c>
      <c r="B16" s="969"/>
      <c r="C16" s="972">
        <f>'WP 7.1 RAB-4 Corr'!G70</f>
        <v>4.87E-2</v>
      </c>
      <c r="D16" s="970" t="s">
        <v>1146</v>
      </c>
      <c r="E16" s="973">
        <f>'WP 7.1 RAB-4 Corr'!I13</f>
        <v>4.58E-2</v>
      </c>
      <c r="F16" s="970" t="s">
        <v>1146</v>
      </c>
      <c r="G16" s="973">
        <f>E16</f>
        <v>4.58E-2</v>
      </c>
      <c r="H16" s="970" t="s">
        <v>1146</v>
      </c>
    </row>
    <row r="17" spans="1:15" x14ac:dyDescent="0.5">
      <c r="B17" s="969"/>
      <c r="C17" s="969"/>
      <c r="D17" s="969"/>
      <c r="E17" s="969"/>
      <c r="F17" s="969"/>
    </row>
    <row r="18" spans="1:15" ht="15.3" thickBot="1" x14ac:dyDescent="0.55000000000000004">
      <c r="A18" s="962" t="s">
        <v>6537</v>
      </c>
      <c r="B18" s="969"/>
      <c r="C18" s="969">
        <f>C14-C16</f>
        <v>7.1699999999999986E-2</v>
      </c>
      <c r="E18" s="969">
        <f>E14-E16</f>
        <v>7.2541996771849415E-2</v>
      </c>
      <c r="G18" s="969">
        <f>G14-G16</f>
        <v>7.1099999999999997E-2</v>
      </c>
      <c r="I18" s="974">
        <f>AVERAGE(C18:G18)</f>
        <v>7.1780665590616466E-2</v>
      </c>
    </row>
    <row r="19" spans="1:15" ht="15.3" thickTop="1" x14ac:dyDescent="0.5">
      <c r="C19" s="975"/>
      <c r="J19" s="966"/>
    </row>
    <row r="20" spans="1:15" x14ac:dyDescent="0.5">
      <c r="A20" s="962" t="s">
        <v>6538</v>
      </c>
      <c r="B20" s="976"/>
      <c r="C20" s="977">
        <f>'WP 7.1 RAB-4 Corr'!I18</f>
        <v>0.82844285714285726</v>
      </c>
      <c r="D20" s="978"/>
      <c r="E20" s="212">
        <f>C20</f>
        <v>0.82844285714285726</v>
      </c>
      <c r="F20" s="211"/>
      <c r="G20" s="212">
        <f>C20</f>
        <v>0.82844285714285726</v>
      </c>
    </row>
    <row r="21" spans="1:15" x14ac:dyDescent="0.5">
      <c r="C21" s="975"/>
    </row>
    <row r="22" spans="1:15" x14ac:dyDescent="0.5">
      <c r="A22" s="962" t="s">
        <v>6539</v>
      </c>
      <c r="B22" s="969"/>
      <c r="C22" s="969">
        <f>C20*C18</f>
        <v>5.9399352857142852E-2</v>
      </c>
      <c r="D22" s="969"/>
      <c r="E22" s="969">
        <f>E20*E18</f>
        <v>6.0096899068518859E-2</v>
      </c>
      <c r="F22" s="969"/>
      <c r="G22" s="969">
        <f>G20*G18</f>
        <v>5.8902287142857147E-2</v>
      </c>
    </row>
    <row r="23" spans="1:15" x14ac:dyDescent="0.5">
      <c r="C23" s="975"/>
    </row>
    <row r="24" spans="1:15" x14ac:dyDescent="0.5">
      <c r="A24" s="962" t="s">
        <v>6536</v>
      </c>
      <c r="B24" s="964"/>
      <c r="C24" s="972">
        <f>$E$16</f>
        <v>4.58E-2</v>
      </c>
      <c r="D24" s="979"/>
      <c r="E24" s="973">
        <f>C24</f>
        <v>4.58E-2</v>
      </c>
      <c r="F24" s="966"/>
      <c r="G24" s="973">
        <f>E24</f>
        <v>4.58E-2</v>
      </c>
    </row>
    <row r="25" spans="1:15" x14ac:dyDescent="0.5">
      <c r="C25" s="975"/>
    </row>
    <row r="26" spans="1:15" ht="17.100000000000001" thickBot="1" x14ac:dyDescent="0.85">
      <c r="A26" s="968" t="s">
        <v>6540</v>
      </c>
      <c r="B26" s="980"/>
      <c r="C26" s="981">
        <f>C24+C22</f>
        <v>0.10519935285714285</v>
      </c>
      <c r="D26" s="982"/>
      <c r="E26" s="981">
        <f>E24+E22</f>
        <v>0.10589689906851886</v>
      </c>
      <c r="F26" s="983"/>
      <c r="G26" s="981">
        <f>G24+G22</f>
        <v>0.10470228714285715</v>
      </c>
      <c r="I26" s="974">
        <f>AVERAGE(C26:G26)</f>
        <v>0.10526617968950629</v>
      </c>
    </row>
    <row r="27" spans="1:15" ht="15.3" thickTop="1" x14ac:dyDescent="0.5">
      <c r="B27" s="969"/>
      <c r="C27" s="969"/>
      <c r="D27" s="969"/>
      <c r="E27" s="969"/>
      <c r="F27" s="969"/>
    </row>
    <row r="28" spans="1:15" x14ac:dyDescent="0.5">
      <c r="A28" s="968" t="s">
        <v>6541</v>
      </c>
      <c r="B28" s="968"/>
      <c r="C28" s="968"/>
      <c r="D28" s="968"/>
      <c r="E28" s="968"/>
      <c r="F28" s="968"/>
      <c r="G28" s="968"/>
      <c r="H28" s="968"/>
      <c r="I28" s="968"/>
    </row>
    <row r="29" spans="1:15" x14ac:dyDescent="0.5">
      <c r="B29" s="969"/>
      <c r="C29" s="969"/>
      <c r="D29" s="969"/>
      <c r="E29" s="969"/>
      <c r="F29" s="969"/>
    </row>
    <row r="30" spans="1:15" x14ac:dyDescent="0.5">
      <c r="A30" s="962" t="s">
        <v>6542</v>
      </c>
      <c r="B30" s="969"/>
      <c r="C30" s="969">
        <f>C18</f>
        <v>7.1699999999999986E-2</v>
      </c>
      <c r="D30" s="969"/>
      <c r="E30" s="969">
        <f>E18</f>
        <v>7.2541996771849415E-2</v>
      </c>
      <c r="F30" s="969"/>
      <c r="G30" s="969">
        <f>G18</f>
        <v>7.1099999999999997E-2</v>
      </c>
    </row>
    <row r="31" spans="1:15" x14ac:dyDescent="0.5">
      <c r="B31" s="969"/>
      <c r="C31" s="969"/>
      <c r="D31" s="969"/>
      <c r="E31" s="969"/>
      <c r="F31" s="969"/>
      <c r="O31" s="966"/>
    </row>
    <row r="32" spans="1:15" x14ac:dyDescent="0.5">
      <c r="A32" s="962" t="s">
        <v>6543</v>
      </c>
      <c r="B32" s="969"/>
      <c r="C32" s="984">
        <f>C20</f>
        <v>0.82844285714285726</v>
      </c>
      <c r="D32" s="985"/>
      <c r="E32" s="984">
        <f>E20</f>
        <v>0.82844285714285726</v>
      </c>
      <c r="F32" s="985"/>
      <c r="G32" s="984">
        <f>G20</f>
        <v>0.82844285714285726</v>
      </c>
    </row>
    <row r="33" spans="1:9" x14ac:dyDescent="0.5">
      <c r="B33" s="969"/>
      <c r="C33" s="969"/>
      <c r="D33" s="969"/>
      <c r="E33" s="969"/>
      <c r="F33" s="969"/>
    </row>
    <row r="34" spans="1:9" x14ac:dyDescent="0.5">
      <c r="A34" s="962" t="s">
        <v>6539</v>
      </c>
      <c r="B34" s="969"/>
      <c r="C34" s="969">
        <f>C32*C30</f>
        <v>5.9399352857142852E-2</v>
      </c>
      <c r="D34" s="969"/>
      <c r="E34" s="969">
        <f>E32*E30</f>
        <v>6.0096899068518859E-2</v>
      </c>
      <c r="F34" s="969"/>
      <c r="G34" s="969">
        <f>G32*G30</f>
        <v>5.8902287142857147E-2</v>
      </c>
    </row>
    <row r="35" spans="1:9" x14ac:dyDescent="0.5">
      <c r="B35" s="969"/>
    </row>
    <row r="36" spans="1:9" x14ac:dyDescent="0.5">
      <c r="A36" s="962" t="s">
        <v>6536</v>
      </c>
      <c r="B36" s="964"/>
      <c r="C36" s="973">
        <f>C24</f>
        <v>4.58E-2</v>
      </c>
      <c r="D36" s="979"/>
      <c r="E36" s="973">
        <f>C36</f>
        <v>4.58E-2</v>
      </c>
      <c r="F36" s="966"/>
      <c r="G36" s="973">
        <f>C36</f>
        <v>4.58E-2</v>
      </c>
    </row>
    <row r="37" spans="1:9" x14ac:dyDescent="0.5">
      <c r="B37" s="969"/>
    </row>
    <row r="38" spans="1:9" ht="15.3" thickBot="1" x14ac:dyDescent="0.55000000000000004">
      <c r="A38" s="968" t="s">
        <v>6544</v>
      </c>
      <c r="C38" s="974">
        <f>C36+(C34*0.75)+(0.25*C30)</f>
        <v>0.10827451464285714</v>
      </c>
      <c r="D38" s="986"/>
      <c r="E38" s="974">
        <f>E36+(E34*0.75)+(0.25*E30)</f>
        <v>0.1090081734943515</v>
      </c>
      <c r="F38" s="986"/>
      <c r="G38" s="974">
        <f>G36+(G34*0.75)+(0.25*G30)</f>
        <v>0.10775171535714285</v>
      </c>
      <c r="I38" s="974">
        <f>AVERAGE(C38:G38)</f>
        <v>0.10834480116478383</v>
      </c>
    </row>
    <row r="39" spans="1:9" ht="15.3" thickTop="1" x14ac:dyDescent="0.5"/>
    <row r="40" spans="1:9" x14ac:dyDescent="0.5">
      <c r="A40" s="962" t="s">
        <v>17</v>
      </c>
    </row>
    <row r="41" spans="1:9" x14ac:dyDescent="0.5">
      <c r="A41" s="971" t="s">
        <v>6545</v>
      </c>
    </row>
    <row r="42" spans="1:9" x14ac:dyDescent="0.5">
      <c r="A42" s="971" t="s">
        <v>6546</v>
      </c>
    </row>
    <row r="43" spans="1:9" x14ac:dyDescent="0.5">
      <c r="A43" s="971" t="s">
        <v>6547</v>
      </c>
    </row>
    <row r="45" spans="1:9" ht="44.25" customHeight="1" x14ac:dyDescent="0.5">
      <c r="C45" s="987" t="s">
        <v>6548</v>
      </c>
      <c r="E45" s="987" t="s">
        <v>6549</v>
      </c>
      <c r="G45" s="987" t="s">
        <v>6550</v>
      </c>
    </row>
    <row r="46" spans="1:9" x14ac:dyDescent="0.5">
      <c r="A46" s="988" t="s">
        <v>6551</v>
      </c>
    </row>
    <row r="47" spans="1:9" ht="18" x14ac:dyDescent="0.75">
      <c r="A47" s="988" t="s">
        <v>6606</v>
      </c>
      <c r="C47" s="966">
        <f>'WP 7.1 RAB-4 Corr'!H80</f>
        <v>9.732914571428572E-2</v>
      </c>
      <c r="E47" s="966">
        <v>0.1978</v>
      </c>
      <c r="G47" s="989">
        <f>ROUND(C47+(E47^2)/2,4)</f>
        <v>0.1169</v>
      </c>
    </row>
    <row r="48" spans="1:9" ht="18" x14ac:dyDescent="0.75">
      <c r="A48" s="988" t="s">
        <v>6607</v>
      </c>
    </row>
    <row r="49" spans="1:12" x14ac:dyDescent="0.5">
      <c r="A49" s="988" t="s">
        <v>6552</v>
      </c>
    </row>
    <row r="50" spans="1:12" x14ac:dyDescent="0.5">
      <c r="A50" s="990" t="s">
        <v>6553</v>
      </c>
    </row>
    <row r="51" spans="1:12" ht="12.75" customHeight="1" x14ac:dyDescent="0.5">
      <c r="B51" s="990"/>
      <c r="C51" s="990"/>
      <c r="D51" s="990"/>
      <c r="E51" s="971"/>
      <c r="F51" s="990"/>
      <c r="G51" s="990"/>
      <c r="H51" s="990"/>
      <c r="I51" s="990"/>
    </row>
    <row r="52" spans="1:12" ht="13.5" customHeight="1" x14ac:dyDescent="0.5">
      <c r="A52" s="990"/>
      <c r="B52" s="990"/>
      <c r="C52" s="990"/>
      <c r="D52" s="990"/>
      <c r="E52" s="990"/>
      <c r="F52" s="990"/>
      <c r="G52" s="990"/>
      <c r="H52" s="990"/>
      <c r="I52" s="990"/>
    </row>
    <row r="55" spans="1:12" x14ac:dyDescent="0.5">
      <c r="A55" s="991"/>
    </row>
    <row r="56" spans="1:12" x14ac:dyDescent="0.5">
      <c r="A56" s="991"/>
    </row>
    <row r="57" spans="1:12" x14ac:dyDescent="0.5">
      <c r="A57" s="991"/>
    </row>
    <row r="63" spans="1:12" x14ac:dyDescent="0.5">
      <c r="A63" s="1453"/>
      <c r="B63" s="1453"/>
      <c r="C63" s="1453"/>
      <c r="D63" s="1453"/>
      <c r="E63" s="1453"/>
      <c r="F63" s="1453"/>
      <c r="G63" s="1453"/>
      <c r="H63" s="1453"/>
      <c r="I63" s="1453"/>
      <c r="J63" s="1453"/>
      <c r="K63" s="1453"/>
      <c r="L63" s="1453"/>
    </row>
  </sheetData>
  <mergeCells count="5">
    <mergeCell ref="A1:I1"/>
    <mergeCell ref="A2:I2"/>
    <mergeCell ref="A3:I3"/>
    <mergeCell ref="A4:I4"/>
    <mergeCell ref="A63:L63"/>
  </mergeCells>
  <printOptions horizontalCentered="1"/>
  <pageMargins left="0.7" right="0.7" top="0.75" bottom="0.75" header="0.3" footer="0.3"/>
  <pageSetup scale="6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8B57-B1EF-4022-B4CB-E9B2CAE37871}">
  <sheetPr codeName="Sheet35"/>
  <dimension ref="B2:I34"/>
  <sheetViews>
    <sheetView view="pageBreakPreview" zoomScale="80" zoomScaleNormal="100" zoomScaleSheetLayoutView="80" workbookViewId="0"/>
  </sheetViews>
  <sheetFormatPr defaultColWidth="9.15625" defaultRowHeight="15" x14ac:dyDescent="0.5"/>
  <cols>
    <col min="1" max="1" width="3.5234375" style="871" customWidth="1"/>
    <col min="2" max="2" width="14.5234375" style="871" customWidth="1"/>
    <col min="3" max="3" width="17.15625" style="871" customWidth="1"/>
    <col min="4" max="4" width="21.5234375" style="871" customWidth="1"/>
    <col min="5" max="6" width="15.26171875" style="871" customWidth="1"/>
    <col min="7" max="7" width="17.15625" style="871" customWidth="1"/>
    <col min="8" max="16384" width="9.15625" style="871"/>
  </cols>
  <sheetData>
    <row r="2" spans="2:9" x14ac:dyDescent="0.5">
      <c r="B2" s="1449" t="s">
        <v>2675</v>
      </c>
      <c r="C2" s="1449"/>
      <c r="D2" s="1449"/>
      <c r="E2" s="1449"/>
      <c r="F2" s="1449"/>
      <c r="G2" s="1449"/>
    </row>
    <row r="3" spans="2:9" x14ac:dyDescent="0.5">
      <c r="B3" s="1454" t="s">
        <v>6608</v>
      </c>
      <c r="C3" s="1454"/>
      <c r="D3" s="1454"/>
      <c r="E3" s="1454"/>
      <c r="F3" s="1454"/>
      <c r="G3" s="1454"/>
    </row>
    <row r="5" spans="2:9" x14ac:dyDescent="0.5">
      <c r="C5" s="992" t="s">
        <v>1163</v>
      </c>
      <c r="D5" s="992" t="s">
        <v>1164</v>
      </c>
      <c r="E5" s="992" t="s">
        <v>1165</v>
      </c>
      <c r="F5" s="992" t="s">
        <v>1166</v>
      </c>
      <c r="G5" s="992" t="s">
        <v>1167</v>
      </c>
    </row>
    <row r="7" spans="2:9" ht="30" x14ac:dyDescent="0.5">
      <c r="B7" s="993"/>
      <c r="C7" s="994" t="s">
        <v>6609</v>
      </c>
      <c r="D7" s="994" t="s">
        <v>6610</v>
      </c>
      <c r="E7" s="994" t="s">
        <v>6611</v>
      </c>
      <c r="F7" s="994" t="s">
        <v>6612</v>
      </c>
      <c r="G7" s="995" t="s">
        <v>6613</v>
      </c>
    </row>
    <row r="8" spans="2:9" x14ac:dyDescent="0.5">
      <c r="B8" s="996">
        <v>2009</v>
      </c>
      <c r="C8" s="997">
        <f>'WP MRP Comparison'!B85</f>
        <v>0.2646</v>
      </c>
      <c r="D8" s="997">
        <f>'WP MRP Comparison'!E85</f>
        <v>0.11669397590361447</v>
      </c>
      <c r="E8" s="997">
        <f>'WP Kroll'!E2</f>
        <v>0.105</v>
      </c>
      <c r="F8" s="997">
        <f>VLOOKUP(B8,'WP MRP Comparison'!$A$85:$G$99,7,FALSE)</f>
        <v>0.11654004500000001</v>
      </c>
      <c r="G8" s="997">
        <f>'WP Damadoran Survey'!C49</f>
        <v>8.6400000000000005E-2</v>
      </c>
      <c r="H8" s="998"/>
      <c r="I8" s="999"/>
    </row>
    <row r="9" spans="2:9" x14ac:dyDescent="0.5">
      <c r="B9" s="996">
        <v>2010</v>
      </c>
      <c r="C9" s="997">
        <f>'WP MRP Comparison'!B86</f>
        <v>0.15060000000000001</v>
      </c>
      <c r="D9" s="997">
        <f>'WP MRP Comparison'!E86</f>
        <v>0.11845476190476191</v>
      </c>
      <c r="E9" s="997">
        <f>'WP Kroll'!E3</f>
        <v>0.1008</v>
      </c>
      <c r="F9" s="997">
        <f>VLOOKUP(B9,'WP MRP Comparison'!$A$85:$G$99,7,FALSE)</f>
        <v>0.11115624499999999</v>
      </c>
      <c r="G9" s="997">
        <f>'WP Damadoran Survey'!C50</f>
        <v>8.199999999999999E-2</v>
      </c>
      <c r="H9" s="998"/>
      <c r="I9" s="999"/>
    </row>
    <row r="10" spans="2:9" x14ac:dyDescent="0.5">
      <c r="B10" s="996">
        <v>2011</v>
      </c>
      <c r="C10" s="997">
        <f>'WP MRP Comparison'!B87</f>
        <v>2.1100000000000001E-2</v>
      </c>
      <c r="D10" s="997">
        <f>'WP MRP Comparison'!E87</f>
        <v>0.1188329411764706</v>
      </c>
      <c r="E10" s="997">
        <f>'WP Kroll'!E4</f>
        <v>9.6299999999999997E-2</v>
      </c>
      <c r="F10" s="997">
        <f>VLOOKUP(B10,'WP MRP Comparison'!$A$85:$G$99,7,FALSE)</f>
        <v>0.105433005</v>
      </c>
      <c r="G10" s="997">
        <f>'WP Damadoran Survey'!C51</f>
        <v>8.4900000000000003E-2</v>
      </c>
      <c r="H10" s="998"/>
      <c r="I10" s="999"/>
    </row>
    <row r="11" spans="2:9" x14ac:dyDescent="0.5">
      <c r="B11" s="996">
        <v>2012</v>
      </c>
      <c r="C11" s="997">
        <f>'WP MRP Comparison'!B88</f>
        <v>0.16</v>
      </c>
      <c r="D11" s="997">
        <f>'WP MRP Comparison'!E88</f>
        <v>0.11769651162790699</v>
      </c>
      <c r="E11" s="997">
        <f>'WP Kroll'!E5</f>
        <v>0.1</v>
      </c>
      <c r="F11" s="997">
        <f>VLOOKUP(B11,'WP MRP Comparison'!$A$85:$G$99,7,FALSE)</f>
        <v>0.113433005</v>
      </c>
      <c r="G11" s="997">
        <f>'WP Damadoran Survey'!C52</f>
        <v>7.8899999999999998E-2</v>
      </c>
      <c r="H11" s="998"/>
      <c r="I11" s="999"/>
    </row>
    <row r="12" spans="2:9" x14ac:dyDescent="0.5">
      <c r="B12" s="996">
        <v>2013</v>
      </c>
      <c r="C12" s="997">
        <f>'WP MRP Comparison'!B89</f>
        <v>0.32390000000000002</v>
      </c>
      <c r="D12" s="997">
        <f>'WP MRP Comparison'!E89</f>
        <v>0.11818275862068968</v>
      </c>
      <c r="E12" s="997">
        <f>'WP Kroll'!E6</f>
        <v>9.5000000000000001E-2</v>
      </c>
      <c r="F12" s="997">
        <f>VLOOKUP(B12,'WP MRP Comparison'!$A$85:$G$99,7,FALSE)</f>
        <v>0.11490449999999999</v>
      </c>
      <c r="G12" s="997">
        <f>'WP Damadoran Survey'!C53</f>
        <v>7.5399999999999995E-2</v>
      </c>
      <c r="H12" s="998"/>
      <c r="I12" s="999"/>
    </row>
    <row r="13" spans="2:9" x14ac:dyDescent="0.5">
      <c r="B13" s="996">
        <v>2014</v>
      </c>
      <c r="C13" s="997">
        <f>'WP MRP Comparison'!B90</f>
        <v>0.13689999999999999</v>
      </c>
      <c r="D13" s="997">
        <f>'WP MRP Comparison'!E90</f>
        <v>0.12052045454545457</v>
      </c>
      <c r="E13" s="997">
        <f>'WP Kroll'!E7</f>
        <v>0.09</v>
      </c>
      <c r="F13" s="997">
        <f>VLOOKUP(B13,'WP MRP Comparison'!$A$85:$G$99,7,FALSE)</f>
        <v>0.11426161999999999</v>
      </c>
      <c r="G13" s="997">
        <f>'WP Damadoran Survey'!C54</f>
        <v>0.08</v>
      </c>
      <c r="H13" s="996"/>
      <c r="I13" s="999"/>
    </row>
    <row r="14" spans="2:9" x14ac:dyDescent="0.5">
      <c r="B14" s="996">
        <v>2015</v>
      </c>
      <c r="C14" s="997">
        <f>'WP MRP Comparison'!B91</f>
        <v>1.38E-2</v>
      </c>
      <c r="D14" s="997">
        <f>'WP MRP Comparison'!E91</f>
        <v>0.12070449438202251</v>
      </c>
      <c r="E14" s="997">
        <f>'WP Kroll'!E8</f>
        <v>0.09</v>
      </c>
      <c r="F14" s="997">
        <f>VLOOKUP(B14,'WP MRP Comparison'!$A$85:$G$99,7,FALSE)</f>
        <v>0.11408180500000001</v>
      </c>
      <c r="G14" s="997">
        <f>'WP Damadoran Survey'!C55</f>
        <v>7.9500000000000001E-2</v>
      </c>
      <c r="H14" s="996"/>
      <c r="I14" s="999"/>
    </row>
    <row r="15" spans="2:9" x14ac:dyDescent="0.5">
      <c r="B15" s="996">
        <v>2016</v>
      </c>
      <c r="C15" s="997">
        <f>'WP MRP Comparison'!B92</f>
        <v>0.1196</v>
      </c>
      <c r="D15" s="997">
        <f>'WP MRP Comparison'!E92</f>
        <v>0.1195166666666667</v>
      </c>
      <c r="E15" s="997">
        <f>'WP Kroll'!E9</f>
        <v>0.09</v>
      </c>
      <c r="F15" s="997">
        <f>VLOOKUP(B15,'WP MRP Comparison'!$A$85:$G$99,7,FALSE)</f>
        <v>0.114640245</v>
      </c>
      <c r="G15" s="997">
        <f>'WP Damadoran Survey'!C56</f>
        <v>8.3900000000000002E-2</v>
      </c>
      <c r="H15" s="996"/>
      <c r="I15" s="999"/>
    </row>
    <row r="16" spans="2:9" x14ac:dyDescent="0.5">
      <c r="B16" s="996">
        <v>2017</v>
      </c>
      <c r="C16" s="997">
        <f>'WP MRP Comparison'!B93</f>
        <v>0.21829999999999999</v>
      </c>
      <c r="D16" s="997">
        <f>'WP MRP Comparison'!E93</f>
        <v>0.11951758241758245</v>
      </c>
      <c r="E16" s="997">
        <f>'WP Kroll'!E10</f>
        <v>0.09</v>
      </c>
      <c r="F16" s="997">
        <f>VLOOKUP(B16,'WP MRP Comparison'!$A$85:$G$99,7,FALSE)</f>
        <v>0.11278000499999999</v>
      </c>
      <c r="G16" s="997">
        <f>'WP Damadoran Survey'!C57</f>
        <v>8.14E-2</v>
      </c>
      <c r="H16" s="996"/>
      <c r="I16" s="999"/>
    </row>
    <row r="17" spans="2:9" x14ac:dyDescent="0.5">
      <c r="B17" s="996">
        <v>2018</v>
      </c>
      <c r="C17" s="997">
        <f>'WP MRP Comparison'!B94</f>
        <v>-4.3799999999999999E-2</v>
      </c>
      <c r="D17" s="997">
        <f>'WP MRP Comparison'!E94</f>
        <v>0.12059130434782611</v>
      </c>
      <c r="E17" s="997">
        <f>'WP Kroll'!E11</f>
        <v>8.5000000000000006E-2</v>
      </c>
      <c r="F17" s="997">
        <f>VLOOKUP(B17,'WP MRP Comparison'!$A$85:$G$99,7,FALSE)</f>
        <v>0.11186072</v>
      </c>
      <c r="G17" s="997">
        <f>'WP Damadoran Survey'!C58</f>
        <v>7.4899999999999994E-2</v>
      </c>
      <c r="H17" s="996"/>
      <c r="I17" s="999"/>
    </row>
    <row r="18" spans="2:9" x14ac:dyDescent="0.5">
      <c r="B18" s="996">
        <v>2019</v>
      </c>
      <c r="C18" s="997">
        <f>'WP MRP Comparison'!B95</f>
        <v>0.31490000000000001</v>
      </c>
      <c r="D18" s="997">
        <f>'WP MRP Comparison'!E95</f>
        <v>0.11882365591397853</v>
      </c>
      <c r="E18" s="997">
        <f>'WP Kroll'!E12</f>
        <v>0.09</v>
      </c>
      <c r="F18" s="997">
        <f>VLOOKUP(B18,'WP MRP Comparison'!$A$85:$G$99,7,FALSE)</f>
        <v>0.11230200000000001</v>
      </c>
      <c r="G18" s="997">
        <f>'WP Damadoran Survey'!C59</f>
        <v>8.6400000000000005E-2</v>
      </c>
      <c r="H18" s="996"/>
      <c r="I18" s="999"/>
    </row>
    <row r="19" spans="2:9" x14ac:dyDescent="0.5">
      <c r="B19" s="996">
        <v>2020</v>
      </c>
      <c r="C19" s="997">
        <f>'WP MRP Comparison'!B96</f>
        <v>0.184</v>
      </c>
      <c r="D19" s="997">
        <f>'WP MRP Comparison'!E96</f>
        <v>0.12090957446808513</v>
      </c>
      <c r="E19" s="997">
        <f>'WP Kroll'!E13</f>
        <v>0.08</v>
      </c>
      <c r="F19" s="997">
        <f>VLOOKUP(B19,'WP MRP Comparison'!$A$85:$G$99,7,FALSE)</f>
        <v>0.11312288000000001</v>
      </c>
      <c r="G19" s="997">
        <f>'WP Damadoran Survey'!C60</f>
        <v>7.1199999999999999E-2</v>
      </c>
      <c r="H19" s="996"/>
      <c r="I19" s="999"/>
    </row>
    <row r="20" spans="2:9" x14ac:dyDescent="0.5">
      <c r="B20" s="996">
        <v>2021</v>
      </c>
      <c r="C20" s="997">
        <f>'WP MRP Comparison'!B97</f>
        <v>0.28710000000000002</v>
      </c>
      <c r="D20" s="997">
        <f>'WP MRP Comparison'!E97</f>
        <v>0.12157368421052633</v>
      </c>
      <c r="E20" s="997">
        <f>'WP Kroll'!E14</f>
        <v>0.08</v>
      </c>
      <c r="F20" s="997">
        <f>VLOOKUP(B20,'WP MRP Comparison'!$A$85:$G$99,7,FALSE)</f>
        <v>0.11322288</v>
      </c>
      <c r="G20" s="997">
        <f>'WP Damadoran Survey'!C61</f>
        <v>5.6499999999999995E-2</v>
      </c>
      <c r="H20" s="996"/>
      <c r="I20" s="999"/>
    </row>
    <row r="21" spans="2:9" x14ac:dyDescent="0.5">
      <c r="B21" s="996">
        <v>2022</v>
      </c>
      <c r="C21" s="997">
        <f>'WP MRP Comparison'!B98</f>
        <v>-0.18110000000000001</v>
      </c>
      <c r="D21" s="997">
        <f>'WP MRP Comparison'!E98</f>
        <v>0.12329791666666669</v>
      </c>
      <c r="E21" s="997">
        <f>'WP Kroll'!E15</f>
        <v>0.08</v>
      </c>
      <c r="F21" s="997">
        <f>VLOOKUP(B21,'WP MRP Comparison'!$A$85:$G$99,7,FALSE)</f>
        <v>0.11114544500000001</v>
      </c>
      <c r="G21" s="997">
        <f>'WP Damadoran Survey'!C62</f>
        <v>5.7500000000000002E-2</v>
      </c>
      <c r="H21" s="996"/>
      <c r="I21" s="999"/>
    </row>
    <row r="22" spans="2:9" x14ac:dyDescent="0.5">
      <c r="B22" s="996">
        <v>2023</v>
      </c>
      <c r="C22" s="997">
        <f>'WP MRP Comparison'!B99</f>
        <v>0.2661</v>
      </c>
      <c r="D22" s="997">
        <f>'WP MRP Comparison'!E99</f>
        <v>0.12015979381443301</v>
      </c>
      <c r="E22" s="997">
        <f>'WP Kroll'!E16</f>
        <v>0.09</v>
      </c>
      <c r="F22" s="997">
        <f>VLOOKUP(B22,'WP MRP Comparison'!$A$85:$G$99,7,FALSE)</f>
        <v>0.11308647999999999</v>
      </c>
      <c r="G22" s="997">
        <f>'WP Damadoran Survey'!C63</f>
        <v>9.820000000000001E-2</v>
      </c>
      <c r="H22" s="996"/>
      <c r="I22" s="999"/>
    </row>
    <row r="23" spans="2:9" x14ac:dyDescent="0.5">
      <c r="B23" s="1000"/>
      <c r="C23" s="1000"/>
      <c r="D23" s="1000"/>
      <c r="E23" s="1000"/>
      <c r="F23" s="1000"/>
      <c r="G23" s="1000"/>
    </row>
    <row r="24" spans="2:9" x14ac:dyDescent="0.5">
      <c r="B24" s="871" t="s">
        <v>6614</v>
      </c>
      <c r="C24" s="997">
        <f t="shared" ref="C24:G24" si="0">SUM(C8:C22)</f>
        <v>2.2359999999999998</v>
      </c>
      <c r="D24" s="997">
        <f t="shared" si="0"/>
        <v>1.7954760766666857</v>
      </c>
      <c r="E24" s="997">
        <f t="shared" si="0"/>
        <v>1.3621000000000001</v>
      </c>
      <c r="F24" s="997">
        <f t="shared" si="0"/>
        <v>1.6919708799999995</v>
      </c>
      <c r="G24" s="997">
        <f t="shared" si="0"/>
        <v>1.1771</v>
      </c>
    </row>
    <row r="25" spans="2:9" x14ac:dyDescent="0.5">
      <c r="D25" s="997"/>
    </row>
    <row r="26" spans="2:9" x14ac:dyDescent="0.5">
      <c r="B26" s="871" t="s">
        <v>6615</v>
      </c>
      <c r="D26" s="1001">
        <f>(D24)/$C$24</f>
        <v>0.80298572301730142</v>
      </c>
      <c r="E26" s="1001">
        <f t="shared" ref="E26:G26" si="1">(E24)/$C$24</f>
        <v>0.60916815742397146</v>
      </c>
      <c r="F26" s="1001">
        <f t="shared" si="1"/>
        <v>0.75669538461538444</v>
      </c>
      <c r="G26" s="1001">
        <f t="shared" si="1"/>
        <v>0.52643112701252248</v>
      </c>
    </row>
    <row r="28" spans="2:9" x14ac:dyDescent="0.5">
      <c r="B28" s="871" t="s">
        <v>17</v>
      </c>
    </row>
    <row r="29" spans="2:9" x14ac:dyDescent="0.5">
      <c r="B29" s="871" t="s">
        <v>6616</v>
      </c>
    </row>
    <row r="30" spans="2:9" x14ac:dyDescent="0.5">
      <c r="B30" s="871" t="s">
        <v>6617</v>
      </c>
    </row>
    <row r="31" spans="2:9" x14ac:dyDescent="0.5">
      <c r="B31" s="871" t="s">
        <v>6618</v>
      </c>
    </row>
    <row r="32" spans="2:9" x14ac:dyDescent="0.5">
      <c r="B32" s="1002" t="s">
        <v>6619</v>
      </c>
    </row>
    <row r="33" spans="2:2" x14ac:dyDescent="0.5">
      <c r="B33" s="965" t="s">
        <v>6620</v>
      </c>
    </row>
    <row r="34" spans="2:2" x14ac:dyDescent="0.5">
      <c r="B34" s="871" t="s">
        <v>6621</v>
      </c>
    </row>
  </sheetData>
  <mergeCells count="2">
    <mergeCell ref="B2:G2"/>
    <mergeCell ref="B3:G3"/>
  </mergeCells>
  <printOptions horizontalCentered="1"/>
  <pageMargins left="0.7" right="0.7" top="0.75" bottom="0.75" header="0.3" footer="0.3"/>
  <pageSetup scale="6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CD893-0696-417C-BFAB-680CCBA84ACB}">
  <sheetPr codeName="Sheet36">
    <pageSetUpPr fitToPage="1"/>
  </sheetPr>
  <dimension ref="A1:R1214"/>
  <sheetViews>
    <sheetView view="pageBreakPreview" zoomScale="90" zoomScaleNormal="70" zoomScaleSheetLayoutView="90" workbookViewId="0"/>
  </sheetViews>
  <sheetFormatPr defaultColWidth="8.5234375" defaultRowHeight="15" x14ac:dyDescent="0.5"/>
  <cols>
    <col min="1" max="1" width="4.734375" style="1029" customWidth="1"/>
    <col min="2" max="2" width="21.7890625" style="1028" customWidth="1"/>
    <col min="3" max="3" width="31.734375" style="1028" customWidth="1"/>
    <col min="4" max="4" width="13.734375" style="1028" customWidth="1"/>
    <col min="5" max="5" width="1.26171875" style="1028" customWidth="1"/>
    <col min="6" max="6" width="10.5234375" style="1028" bestFit="1" customWidth="1"/>
    <col min="7" max="7" width="8.7890625" style="1028" customWidth="1"/>
    <col min="8" max="8" width="9.47265625" style="1028" customWidth="1"/>
    <col min="9" max="9" width="16.26171875" style="1028" bestFit="1" customWidth="1"/>
    <col min="10" max="10" width="13.5234375" style="1028" customWidth="1"/>
    <col min="11" max="11" width="16.15625" style="1028" bestFit="1" customWidth="1"/>
    <col min="12" max="12" width="7" style="1028" bestFit="1" customWidth="1"/>
    <col min="13" max="13" width="8.5234375" style="1028"/>
    <col min="14" max="14" width="14.15625" style="1028" customWidth="1"/>
    <col min="15" max="15" width="8.5234375" style="1029"/>
    <col min="16" max="16" width="9.5234375" style="1029" bestFit="1" customWidth="1"/>
    <col min="17" max="28" width="8.5234375" style="1029"/>
    <col min="29" max="29" width="8.5234375" style="1029" customWidth="1"/>
    <col min="30" max="16384" width="8.5234375" style="1029"/>
  </cols>
  <sheetData>
    <row r="1" spans="2:9" ht="15.7" customHeight="1" x14ac:dyDescent="0.5">
      <c r="B1" s="1459" t="s">
        <v>2675</v>
      </c>
      <c r="C1" s="1459"/>
      <c r="D1" s="1459"/>
      <c r="E1" s="1459"/>
      <c r="F1" s="1459"/>
      <c r="G1" s="1332"/>
      <c r="H1" s="1332"/>
      <c r="I1" s="1332"/>
    </row>
    <row r="2" spans="2:9" ht="15.7" customHeight="1" x14ac:dyDescent="0.5">
      <c r="B2" s="1459" t="s">
        <v>7129</v>
      </c>
      <c r="C2" s="1459"/>
      <c r="D2" s="1459"/>
      <c r="E2" s="1459"/>
      <c r="F2" s="1459"/>
      <c r="G2" s="1332"/>
      <c r="H2" s="1332"/>
      <c r="I2" s="1332"/>
    </row>
    <row r="3" spans="2:9" x14ac:dyDescent="0.5">
      <c r="B3" s="1029"/>
      <c r="C3" s="1029"/>
      <c r="D3" s="1029"/>
      <c r="E3" s="1029"/>
    </row>
    <row r="4" spans="2:9" x14ac:dyDescent="0.5">
      <c r="B4" s="1029"/>
      <c r="C4" s="1029"/>
      <c r="D4" s="1029"/>
      <c r="E4" s="1029"/>
    </row>
    <row r="5" spans="2:9" x14ac:dyDescent="0.5">
      <c r="B5" s="1029"/>
      <c r="C5" s="1029"/>
      <c r="D5" s="1029"/>
      <c r="E5" s="1029"/>
    </row>
    <row r="6" spans="2:9" x14ac:dyDescent="0.5">
      <c r="B6" s="1029"/>
      <c r="C6" s="1029"/>
      <c r="D6" s="1029"/>
      <c r="E6" s="1029"/>
    </row>
    <row r="7" spans="2:9" x14ac:dyDescent="0.5">
      <c r="B7" s="1029"/>
      <c r="C7" s="1029"/>
      <c r="D7" s="1029"/>
      <c r="E7" s="1029"/>
    </row>
    <row r="8" spans="2:9" x14ac:dyDescent="0.5">
      <c r="B8" s="1029"/>
      <c r="C8" s="1029"/>
      <c r="D8" s="1029"/>
      <c r="E8" s="1029"/>
    </row>
    <row r="9" spans="2:9" x14ac:dyDescent="0.5">
      <c r="B9" s="1029"/>
      <c r="C9" s="1029"/>
      <c r="D9" s="1029"/>
      <c r="E9" s="1029"/>
    </row>
    <row r="10" spans="2:9" x14ac:dyDescent="0.5">
      <c r="B10" s="1029"/>
      <c r="C10" s="1029"/>
      <c r="D10" s="1029"/>
      <c r="E10" s="1029"/>
    </row>
    <row r="11" spans="2:9" x14ac:dyDescent="0.5">
      <c r="B11" s="1029"/>
      <c r="C11" s="1029"/>
      <c r="D11" s="1029"/>
      <c r="E11" s="1029"/>
    </row>
    <row r="12" spans="2:9" x14ac:dyDescent="0.5">
      <c r="B12" s="1029"/>
      <c r="C12" s="1029"/>
      <c r="D12" s="1029"/>
      <c r="E12" s="1029"/>
    </row>
    <row r="13" spans="2:9" x14ac:dyDescent="0.5">
      <c r="B13" s="1029"/>
      <c r="C13" s="1029"/>
      <c r="D13" s="1029"/>
      <c r="E13" s="1029"/>
    </row>
    <row r="14" spans="2:9" x14ac:dyDescent="0.5">
      <c r="B14" s="1029"/>
      <c r="C14" s="1029"/>
      <c r="D14" s="1029"/>
      <c r="E14" s="1029"/>
    </row>
    <row r="15" spans="2:9" x14ac:dyDescent="0.5">
      <c r="B15" s="1029"/>
      <c r="C15" s="1029"/>
      <c r="D15" s="1029"/>
      <c r="E15" s="1029"/>
    </row>
    <row r="16" spans="2:9" x14ac:dyDescent="0.5">
      <c r="B16" s="1029"/>
      <c r="C16" s="1029"/>
      <c r="D16" s="1029"/>
      <c r="E16" s="1029"/>
    </row>
    <row r="17" spans="2:5" x14ac:dyDescent="0.5">
      <c r="B17" s="1029"/>
      <c r="C17" s="1029"/>
      <c r="D17" s="1029"/>
      <c r="E17" s="1029"/>
    </row>
    <row r="18" spans="2:5" x14ac:dyDescent="0.5">
      <c r="B18" s="1029"/>
      <c r="C18" s="1029"/>
      <c r="D18" s="1029"/>
      <c r="E18" s="1029"/>
    </row>
    <row r="19" spans="2:5" x14ac:dyDescent="0.5">
      <c r="B19" s="1029"/>
      <c r="C19" s="1029"/>
      <c r="D19" s="1029"/>
      <c r="E19" s="1029"/>
    </row>
    <row r="20" spans="2:5" x14ac:dyDescent="0.5">
      <c r="B20" s="1346"/>
      <c r="C20" s="1347" t="s">
        <v>6655</v>
      </c>
      <c r="D20" s="1348" t="s">
        <v>6656</v>
      </c>
      <c r="E20" s="1029"/>
    </row>
    <row r="21" spans="2:5" x14ac:dyDescent="0.5">
      <c r="B21" s="1349" t="s">
        <v>6658</v>
      </c>
      <c r="C21" s="1350">
        <v>5.21E-2</v>
      </c>
      <c r="D21" s="1351">
        <f>_xlfn.PERCENTRANK.EXC($E$38:$E$134,C21)</f>
        <v>0.48899999999999999</v>
      </c>
      <c r="E21" s="1029"/>
    </row>
    <row r="22" spans="2:5" x14ac:dyDescent="0.5">
      <c r="B22" s="1352"/>
      <c r="C22" s="1353"/>
      <c r="D22" s="1354"/>
      <c r="E22" s="1029"/>
    </row>
    <row r="23" spans="2:5" x14ac:dyDescent="0.5">
      <c r="B23" s="1029"/>
      <c r="C23" s="1347" t="s">
        <v>6657</v>
      </c>
      <c r="D23" s="1348" t="s">
        <v>6656</v>
      </c>
      <c r="E23" s="1029"/>
    </row>
    <row r="24" spans="2:5" x14ac:dyDescent="0.5">
      <c r="B24" s="1349" t="s">
        <v>6658</v>
      </c>
      <c r="C24" s="1350">
        <v>5.16E-2</v>
      </c>
      <c r="D24" s="1351">
        <f>_xlfn.PERCENTRANK.EXC($E$38:$E$134,C24)</f>
        <v>0.48799999999999999</v>
      </c>
      <c r="E24" s="1029"/>
    </row>
    <row r="25" spans="2:5" x14ac:dyDescent="0.5">
      <c r="B25" s="1349"/>
      <c r="C25" s="1356"/>
      <c r="D25" s="1303"/>
      <c r="E25" s="1029"/>
    </row>
    <row r="26" spans="2:5" x14ac:dyDescent="0.5">
      <c r="B26" s="1029"/>
      <c r="C26" s="1347" t="s">
        <v>6655</v>
      </c>
      <c r="D26" s="1348" t="s">
        <v>6656</v>
      </c>
      <c r="E26" s="1029"/>
    </row>
    <row r="27" spans="2:5" x14ac:dyDescent="0.5">
      <c r="B27" s="1349" t="s">
        <v>6659</v>
      </c>
      <c r="C27" s="1350">
        <v>5.21E-2</v>
      </c>
      <c r="D27" s="1351">
        <f>_xlfn.PERCENTRANK.EXC(E38:E134,C27)</f>
        <v>0.48899999999999999</v>
      </c>
      <c r="E27" s="1029"/>
    </row>
    <row r="28" spans="2:5" x14ac:dyDescent="0.5">
      <c r="B28" s="1357"/>
      <c r="C28" s="1358"/>
      <c r="D28" s="1358"/>
      <c r="E28" s="1029"/>
    </row>
    <row r="29" spans="2:5" x14ac:dyDescent="0.5">
      <c r="B29" s="1029"/>
      <c r="C29" s="1347" t="s">
        <v>6657</v>
      </c>
      <c r="D29" s="1029"/>
      <c r="E29" s="1029"/>
    </row>
    <row r="30" spans="2:5" x14ac:dyDescent="0.5">
      <c r="B30" s="1349" t="s">
        <v>6659</v>
      </c>
      <c r="C30" s="1350">
        <v>5.1799999999999999E-2</v>
      </c>
      <c r="D30" s="1351">
        <f>_xlfn.PERCENTRANK.EXC(E38:E134,C30)</f>
        <v>0.48899999999999999</v>
      </c>
      <c r="E30" s="1029"/>
    </row>
    <row r="31" spans="2:5" x14ac:dyDescent="0.5">
      <c r="B31" s="1349"/>
      <c r="C31" s="1355"/>
      <c r="D31" s="1303"/>
      <c r="E31" s="1029"/>
    </row>
    <row r="32" spans="2:5" x14ac:dyDescent="0.5">
      <c r="B32" s="1359" t="s">
        <v>6646</v>
      </c>
      <c r="C32" s="1029"/>
      <c r="D32" s="1029"/>
      <c r="E32" s="1029"/>
    </row>
    <row r="33" spans="1:18" x14ac:dyDescent="0.5">
      <c r="B33" s="1457" t="s">
        <v>6647</v>
      </c>
      <c r="C33" s="1457"/>
      <c r="D33" s="1457"/>
      <c r="E33" s="1457"/>
      <c r="F33" s="1031"/>
      <c r="G33" s="1031"/>
      <c r="H33" s="1458"/>
      <c r="I33" s="1458"/>
      <c r="J33" s="1458"/>
    </row>
    <row r="35" spans="1:18" ht="25.5" thickBot="1" x14ac:dyDescent="0.55000000000000004">
      <c r="A35" s="1033"/>
      <c r="C35" s="1034" t="s">
        <v>6648</v>
      </c>
      <c r="D35" s="1034" t="s">
        <v>6649</v>
      </c>
      <c r="H35" s="1049"/>
      <c r="I35" s="1050"/>
      <c r="J35" s="1051"/>
    </row>
    <row r="36" spans="1:18" ht="36.9" x14ac:dyDescent="0.5">
      <c r="A36" s="1035"/>
      <c r="B36" s="1036" t="s">
        <v>5119</v>
      </c>
      <c r="C36" s="1036" t="s">
        <v>6650</v>
      </c>
      <c r="D36" s="1036" t="s">
        <v>6650</v>
      </c>
      <c r="E36" s="1036" t="s">
        <v>6592</v>
      </c>
      <c r="H36" s="1052" t="s">
        <v>6651</v>
      </c>
      <c r="I36" s="1053" t="s">
        <v>6652</v>
      </c>
      <c r="J36" s="1053" t="s">
        <v>6653</v>
      </c>
      <c r="L36" s="1455"/>
      <c r="M36" s="1455"/>
      <c r="N36" s="1455"/>
      <c r="O36" s="1455"/>
      <c r="P36" s="1455"/>
      <c r="Q36" s="1455"/>
      <c r="R36" s="1455"/>
    </row>
    <row r="37" spans="1:18" x14ac:dyDescent="0.5">
      <c r="A37" s="1035"/>
      <c r="B37" s="1037"/>
      <c r="C37" s="1037"/>
      <c r="D37" s="1038"/>
      <c r="E37" s="1036"/>
      <c r="H37" s="1054">
        <v>-0.5</v>
      </c>
      <c r="I37" s="1055">
        <f>COUNTIFS($E$38:$E$134,"&gt;="&amp;H37,$E$38:$E$134,"&lt;="&amp;H38)</f>
        <v>0</v>
      </c>
      <c r="J37" s="1056">
        <f>SUM(I$37:I37)/$I$64</f>
        <v>0</v>
      </c>
    </row>
    <row r="38" spans="1:18" x14ac:dyDescent="0.5">
      <c r="A38" s="1039"/>
      <c r="B38" s="1040">
        <v>1928</v>
      </c>
      <c r="C38" s="1041">
        <v>0.57480506712921131</v>
      </c>
      <c r="D38" s="1041">
        <v>4.9500000000000002E-2</v>
      </c>
      <c r="E38" s="1041">
        <f t="shared" ref="E38:E101" si="0">(C38-D38)</f>
        <v>0.52530506712921132</v>
      </c>
      <c r="H38" s="1054">
        <f t="shared" ref="H38:H62" si="1">H37+0.05</f>
        <v>-0.45</v>
      </c>
      <c r="I38" s="1055">
        <f t="shared" ref="I38:I62" si="2">COUNTIFS($E$38:$E$134,"&gt;="&amp;H38,$E$38:$E$134,"&lt;="&amp;H39)</f>
        <v>2</v>
      </c>
      <c r="J38" s="1056">
        <f>SUM(I$37:I38)/$I$64</f>
        <v>2.0618556701030927E-2</v>
      </c>
      <c r="N38" s="1042"/>
      <c r="P38" s="1043"/>
      <c r="Q38" s="1044"/>
    </row>
    <row r="39" spans="1:18" x14ac:dyDescent="0.5">
      <c r="A39" s="1039"/>
      <c r="B39" s="1045">
        <f t="shared" ref="B39:B102" si="3">B38+1</f>
        <v>1929</v>
      </c>
      <c r="C39" s="1046">
        <v>0.11034314328713646</v>
      </c>
      <c r="D39" s="1046">
        <v>5.2199999999999996E-2</v>
      </c>
      <c r="E39" s="1046">
        <f t="shared" si="0"/>
        <v>5.8143143287136462E-2</v>
      </c>
      <c r="H39" s="1054">
        <f t="shared" si="1"/>
        <v>-0.4</v>
      </c>
      <c r="I39" s="1055">
        <f t="shared" si="2"/>
        <v>3</v>
      </c>
      <c r="J39" s="1056">
        <f>SUM(I$37:I39)/$I$64</f>
        <v>5.1546391752577317E-2</v>
      </c>
      <c r="N39" s="1042"/>
      <c r="P39" s="1043"/>
      <c r="Q39" s="1044"/>
    </row>
    <row r="40" spans="1:18" x14ac:dyDescent="0.5">
      <c r="A40" s="1039"/>
      <c r="B40" s="1045">
        <f t="shared" si="3"/>
        <v>1930</v>
      </c>
      <c r="C40" s="1046">
        <v>-0.2195973476241132</v>
      </c>
      <c r="D40" s="1046">
        <v>5.0599999999999999E-2</v>
      </c>
      <c r="E40" s="1046">
        <f t="shared" si="0"/>
        <v>-0.27019734762411318</v>
      </c>
      <c r="H40" s="1054">
        <f t="shared" si="1"/>
        <v>-0.35000000000000003</v>
      </c>
      <c r="I40" s="1055">
        <f t="shared" si="2"/>
        <v>2</v>
      </c>
      <c r="J40" s="1056">
        <f>SUM(I$37:I40)/$I$64</f>
        <v>7.2164948453608241E-2</v>
      </c>
      <c r="N40" s="1042"/>
      <c r="P40" s="1043"/>
      <c r="Q40" s="1044"/>
    </row>
    <row r="41" spans="1:18" x14ac:dyDescent="0.5">
      <c r="A41" s="1039"/>
      <c r="B41" s="1045">
        <f t="shared" si="3"/>
        <v>1931</v>
      </c>
      <c r="C41" s="1046">
        <v>-0.35883403699319849</v>
      </c>
      <c r="D41" s="1046">
        <v>5.1299999999999998E-2</v>
      </c>
      <c r="E41" s="1046">
        <f t="shared" si="0"/>
        <v>-0.4101340369931985</v>
      </c>
      <c r="H41" s="1054">
        <f t="shared" si="1"/>
        <v>-0.30000000000000004</v>
      </c>
      <c r="I41" s="1055">
        <f t="shared" si="2"/>
        <v>4</v>
      </c>
      <c r="J41" s="1056">
        <f>SUM(I$37:I41)/$I$64</f>
        <v>0.1134020618556701</v>
      </c>
      <c r="N41" s="1042"/>
      <c r="P41" s="1043"/>
      <c r="Q41" s="1044"/>
    </row>
    <row r="42" spans="1:18" x14ac:dyDescent="0.5">
      <c r="A42" s="1039"/>
      <c r="B42" s="1047">
        <f t="shared" si="3"/>
        <v>1932</v>
      </c>
      <c r="C42" s="1048">
        <v>-5.4978825855496183E-3</v>
      </c>
      <c r="D42" s="1048">
        <v>6.4600000000000005E-2</v>
      </c>
      <c r="E42" s="1048">
        <f t="shared" si="0"/>
        <v>-7.0097882585549623E-2</v>
      </c>
      <c r="H42" s="1054">
        <f t="shared" si="1"/>
        <v>-0.25000000000000006</v>
      </c>
      <c r="I42" s="1055">
        <f t="shared" si="2"/>
        <v>2</v>
      </c>
      <c r="J42" s="1056">
        <f>SUM(I$37:I42)/$I$64</f>
        <v>0.13402061855670103</v>
      </c>
      <c r="N42" s="1042"/>
      <c r="P42" s="1043"/>
      <c r="Q42" s="1044"/>
    </row>
    <row r="43" spans="1:18" x14ac:dyDescent="0.5">
      <c r="A43" s="1039"/>
      <c r="B43" s="1040">
        <f t="shared" si="3"/>
        <v>1933</v>
      </c>
      <c r="C43" s="1041">
        <v>-0.21883836251054711</v>
      </c>
      <c r="D43" s="1046">
        <v>6.3200000000000006E-2</v>
      </c>
      <c r="E43" s="1046">
        <f t="shared" si="0"/>
        <v>-0.28203836251054715</v>
      </c>
      <c r="H43" s="1054">
        <f t="shared" si="1"/>
        <v>-0.20000000000000007</v>
      </c>
      <c r="I43" s="1055">
        <f t="shared" si="2"/>
        <v>3</v>
      </c>
      <c r="J43" s="1056">
        <f>SUM(I$37:I43)/$I$64</f>
        <v>0.16494845360824742</v>
      </c>
      <c r="N43" s="1042"/>
      <c r="P43" s="1043"/>
      <c r="Q43" s="1044"/>
    </row>
    <row r="44" spans="1:18" x14ac:dyDescent="0.5">
      <c r="A44" s="1039"/>
      <c r="B44" s="1045">
        <f t="shared" si="3"/>
        <v>1934</v>
      </c>
      <c r="C44" s="1046">
        <v>-0.20425516316607606</v>
      </c>
      <c r="D44" s="1046">
        <v>5.5500000000000001E-2</v>
      </c>
      <c r="E44" s="1046">
        <f t="shared" si="0"/>
        <v>-0.25975516316607605</v>
      </c>
      <c r="H44" s="1054">
        <f t="shared" si="1"/>
        <v>-0.15000000000000008</v>
      </c>
      <c r="I44" s="1055">
        <f t="shared" si="2"/>
        <v>5</v>
      </c>
      <c r="J44" s="1056">
        <f>SUM(I$37:I44)/$I$64</f>
        <v>0.21649484536082475</v>
      </c>
      <c r="N44" s="1042"/>
      <c r="P44" s="1043"/>
      <c r="Q44" s="1044"/>
    </row>
    <row r="45" spans="1:18" x14ac:dyDescent="0.5">
      <c r="A45" s="1039"/>
      <c r="B45" s="1045">
        <f t="shared" si="3"/>
        <v>1935</v>
      </c>
      <c r="C45" s="1046">
        <v>0.76652168379439511</v>
      </c>
      <c r="D45" s="1046">
        <v>4.6100000000000002E-2</v>
      </c>
      <c r="E45" s="1046">
        <f t="shared" si="0"/>
        <v>0.72042168379439508</v>
      </c>
      <c r="H45" s="1054">
        <f t="shared" si="1"/>
        <v>-0.10000000000000007</v>
      </c>
      <c r="I45" s="1055">
        <f t="shared" si="2"/>
        <v>6</v>
      </c>
      <c r="J45" s="1056">
        <f>SUM(I$37:I45)/$I$64</f>
        <v>0.27835051546391754</v>
      </c>
      <c r="N45" s="1042"/>
      <c r="P45" s="1043"/>
      <c r="Q45" s="1044"/>
    </row>
    <row r="46" spans="1:18" x14ac:dyDescent="0.5">
      <c r="A46" s="1039"/>
      <c r="B46" s="1045">
        <f t="shared" si="3"/>
        <v>1936</v>
      </c>
      <c r="C46" s="1046">
        <v>0.20682706393914541</v>
      </c>
      <c r="D46" s="1046">
        <v>4.0800000000000003E-2</v>
      </c>
      <c r="E46" s="1046">
        <f t="shared" si="0"/>
        <v>0.1660270639391454</v>
      </c>
      <c r="H46" s="1054">
        <f t="shared" si="1"/>
        <v>-5.0000000000000072E-2</v>
      </c>
      <c r="I46" s="1055">
        <f t="shared" si="2"/>
        <v>8</v>
      </c>
      <c r="J46" s="1056">
        <f>SUM(I$37:I46)/$I$64</f>
        <v>0.36082474226804123</v>
      </c>
      <c r="N46" s="1042"/>
      <c r="P46" s="1043"/>
      <c r="Q46" s="1044"/>
    </row>
    <row r="47" spans="1:18" x14ac:dyDescent="0.5">
      <c r="A47" s="1039"/>
      <c r="B47" s="1047">
        <f t="shared" si="3"/>
        <v>1937</v>
      </c>
      <c r="C47" s="1048">
        <v>-0.37050026308300876</v>
      </c>
      <c r="D47" s="1048">
        <v>3.9800000000000002E-2</v>
      </c>
      <c r="E47" s="1048">
        <f t="shared" si="0"/>
        <v>-0.41030026308300876</v>
      </c>
      <c r="H47" s="1054">
        <f t="shared" si="1"/>
        <v>-6.9388939039072284E-17</v>
      </c>
      <c r="I47" s="1055">
        <f t="shared" si="2"/>
        <v>12</v>
      </c>
      <c r="J47" s="1056">
        <f>SUM(I$37:I47)/$I$64</f>
        <v>0.4845360824742268</v>
      </c>
      <c r="N47" s="1042"/>
      <c r="P47" s="1043"/>
      <c r="Q47" s="1044"/>
    </row>
    <row r="48" spans="1:18" x14ac:dyDescent="0.5">
      <c r="A48" s="1039"/>
      <c r="B48" s="1040">
        <f t="shared" si="3"/>
        <v>1938</v>
      </c>
      <c r="C48" s="1041">
        <v>0.22440419003080758</v>
      </c>
      <c r="D48" s="1046">
        <v>3.9E-2</v>
      </c>
      <c r="E48" s="1046">
        <f t="shared" si="0"/>
        <v>0.18540419003080758</v>
      </c>
      <c r="H48" s="1054">
        <f t="shared" si="1"/>
        <v>4.9999999999999933E-2</v>
      </c>
      <c r="I48" s="1055">
        <f t="shared" si="2"/>
        <v>12</v>
      </c>
      <c r="J48" s="1056">
        <f>SUM(I$37:I48)/$I$64</f>
        <v>0.60824742268041232</v>
      </c>
      <c r="N48" s="1042"/>
      <c r="P48" s="1043"/>
      <c r="Q48" s="1044"/>
    </row>
    <row r="49" spans="1:17" x14ac:dyDescent="0.5">
      <c r="A49" s="1039"/>
      <c r="B49" s="1045">
        <f t="shared" si="3"/>
        <v>1939</v>
      </c>
      <c r="C49" s="1046">
        <v>0.11263932239808527</v>
      </c>
      <c r="D49" s="1046">
        <v>3.5200000000000002E-2</v>
      </c>
      <c r="E49" s="1046">
        <f t="shared" si="0"/>
        <v>7.7439322398085264E-2</v>
      </c>
      <c r="H49" s="1054">
        <f t="shared" si="1"/>
        <v>9.9999999999999936E-2</v>
      </c>
      <c r="I49" s="1055">
        <f t="shared" si="2"/>
        <v>11</v>
      </c>
      <c r="J49" s="1056">
        <f>SUM(I$37:I49)/$I$64</f>
        <v>0.72164948453608246</v>
      </c>
      <c r="N49" s="1042"/>
      <c r="P49" s="1043"/>
      <c r="Q49" s="1044"/>
    </row>
    <row r="50" spans="1:17" x14ac:dyDescent="0.5">
      <c r="A50" s="1039"/>
      <c r="B50" s="1045">
        <f t="shared" si="3"/>
        <v>1940</v>
      </c>
      <c r="C50" s="1046">
        <v>-0.17143710521136224</v>
      </c>
      <c r="D50" s="1046">
        <v>3.2400000000000005E-2</v>
      </c>
      <c r="E50" s="1046">
        <f t="shared" si="0"/>
        <v>-0.20383710521136225</v>
      </c>
      <c r="H50" s="1054">
        <f t="shared" si="1"/>
        <v>0.14999999999999994</v>
      </c>
      <c r="I50" s="1055">
        <f t="shared" si="2"/>
        <v>11</v>
      </c>
      <c r="J50" s="1056">
        <f>SUM(I$37:I50)/$I$64</f>
        <v>0.83505154639175261</v>
      </c>
      <c r="N50" s="1042"/>
      <c r="P50" s="1043"/>
      <c r="Q50" s="1044"/>
    </row>
    <row r="51" spans="1:17" x14ac:dyDescent="0.5">
      <c r="A51" s="1039"/>
      <c r="B51" s="1045">
        <f t="shared" si="3"/>
        <v>1941</v>
      </c>
      <c r="C51" s="1046">
        <v>-0.31567650698390026</v>
      </c>
      <c r="D51" s="1046">
        <v>3.0699999999999998E-2</v>
      </c>
      <c r="E51" s="1046">
        <f t="shared" si="0"/>
        <v>-0.34637650698390027</v>
      </c>
      <c r="H51" s="1054">
        <f t="shared" si="1"/>
        <v>0.19999999999999996</v>
      </c>
      <c r="I51" s="1055">
        <f t="shared" si="2"/>
        <v>6</v>
      </c>
      <c r="J51" s="1056">
        <f>SUM(I$37:I51)/$I$64</f>
        <v>0.89690721649484539</v>
      </c>
      <c r="N51" s="1042"/>
      <c r="P51" s="1043"/>
      <c r="Q51" s="1044"/>
    </row>
    <row r="52" spans="1:17" x14ac:dyDescent="0.5">
      <c r="A52" s="1039"/>
      <c r="B52" s="1047">
        <f t="shared" si="3"/>
        <v>1942</v>
      </c>
      <c r="C52" s="1048">
        <v>0.15411912262207483</v>
      </c>
      <c r="D52" s="1048">
        <v>3.0899999999999997E-2</v>
      </c>
      <c r="E52" s="1048">
        <f t="shared" si="0"/>
        <v>0.12321912262207484</v>
      </c>
      <c r="H52" s="1054">
        <f t="shared" si="1"/>
        <v>0.24999999999999994</v>
      </c>
      <c r="I52" s="1055">
        <f t="shared" si="2"/>
        <v>1</v>
      </c>
      <c r="J52" s="1056">
        <f>SUM(I$37:I52)/$I$64</f>
        <v>0.90721649484536082</v>
      </c>
      <c r="N52" s="1042"/>
      <c r="P52" s="1043"/>
      <c r="Q52" s="1044"/>
    </row>
    <row r="53" spans="1:17" x14ac:dyDescent="0.5">
      <c r="A53" s="1039"/>
      <c r="B53" s="1040">
        <f t="shared" si="3"/>
        <v>1943</v>
      </c>
      <c r="C53" s="1041">
        <v>0.46060906718543992</v>
      </c>
      <c r="D53" s="1046">
        <v>2.9900000000000003E-2</v>
      </c>
      <c r="E53" s="1046">
        <f t="shared" si="0"/>
        <v>0.43070906718543994</v>
      </c>
      <c r="H53" s="1054">
        <f t="shared" si="1"/>
        <v>0.29999999999999993</v>
      </c>
      <c r="I53" s="1055">
        <f t="shared" si="2"/>
        <v>2</v>
      </c>
      <c r="J53" s="1056">
        <f>SUM(I$37:I53)/$I$64</f>
        <v>0.92783505154639179</v>
      </c>
      <c r="N53" s="1042"/>
      <c r="P53" s="1043"/>
      <c r="Q53" s="1044"/>
    </row>
    <row r="54" spans="1:17" x14ac:dyDescent="0.5">
      <c r="A54" s="1039"/>
      <c r="B54" s="1045">
        <f t="shared" si="3"/>
        <v>1944</v>
      </c>
      <c r="C54" s="1046">
        <v>0.18042510318666793</v>
      </c>
      <c r="D54" s="1046">
        <v>2.9700000000000001E-2</v>
      </c>
      <c r="E54" s="1046">
        <f t="shared" si="0"/>
        <v>0.15072510318666793</v>
      </c>
      <c r="H54" s="1054">
        <f t="shared" si="1"/>
        <v>0.34999999999999992</v>
      </c>
      <c r="I54" s="1055">
        <f t="shared" si="2"/>
        <v>2</v>
      </c>
      <c r="J54" s="1056">
        <f>SUM(I$37:I54)/$I$64</f>
        <v>0.94845360824742264</v>
      </c>
      <c r="N54" s="1042"/>
      <c r="P54" s="1043"/>
      <c r="Q54" s="1044"/>
    </row>
    <row r="55" spans="1:17" x14ac:dyDescent="0.5">
      <c r="A55" s="1039"/>
      <c r="B55" s="1045">
        <f t="shared" si="3"/>
        <v>1945</v>
      </c>
      <c r="C55" s="1046">
        <v>0.53319732568301315</v>
      </c>
      <c r="D55" s="1046">
        <v>2.87E-2</v>
      </c>
      <c r="E55" s="1046">
        <f t="shared" si="0"/>
        <v>0.5044973256830132</v>
      </c>
      <c r="H55" s="1054">
        <f t="shared" si="1"/>
        <v>0.39999999999999991</v>
      </c>
      <c r="I55" s="1055">
        <f t="shared" si="2"/>
        <v>1</v>
      </c>
      <c r="J55" s="1056">
        <f>SUM(I$37:I55)/$I$64</f>
        <v>0.95876288659793818</v>
      </c>
      <c r="N55" s="1042"/>
      <c r="P55" s="1043"/>
      <c r="Q55" s="1044"/>
    </row>
    <row r="56" spans="1:17" x14ac:dyDescent="0.5">
      <c r="A56" s="1039"/>
      <c r="B56" s="1045">
        <f t="shared" si="3"/>
        <v>1946</v>
      </c>
      <c r="C56" s="1046">
        <v>1.2540632348900571E-2</v>
      </c>
      <c r="D56" s="1046">
        <v>2.7099999999999999E-2</v>
      </c>
      <c r="E56" s="1046">
        <f t="shared" si="0"/>
        <v>-1.4559367651099428E-2</v>
      </c>
      <c r="H56" s="1054">
        <f t="shared" si="1"/>
        <v>0.4499999999999999</v>
      </c>
      <c r="I56" s="1055">
        <f t="shared" si="2"/>
        <v>0</v>
      </c>
      <c r="J56" s="1056">
        <f>SUM(I$37:I56)/$I$64</f>
        <v>0.95876288659793818</v>
      </c>
      <c r="N56" s="1042"/>
      <c r="P56" s="1043"/>
      <c r="Q56" s="1044"/>
    </row>
    <row r="57" spans="1:17" x14ac:dyDescent="0.5">
      <c r="A57" s="1039"/>
      <c r="B57" s="1047">
        <f t="shared" si="3"/>
        <v>1947</v>
      </c>
      <c r="C57" s="1048">
        <v>-0.13161365630027921</v>
      </c>
      <c r="D57" s="1048">
        <v>2.7799999999999998E-2</v>
      </c>
      <c r="E57" s="1048">
        <f t="shared" si="0"/>
        <v>-0.15941365630027921</v>
      </c>
      <c r="H57" s="1054">
        <f t="shared" si="1"/>
        <v>0.49999999999999989</v>
      </c>
      <c r="I57" s="1055">
        <f t="shared" si="2"/>
        <v>3</v>
      </c>
      <c r="J57" s="1056">
        <f>SUM(I$37:I57)/$I$64</f>
        <v>0.98969072164948457</v>
      </c>
      <c r="N57" s="1042"/>
      <c r="P57" s="1043"/>
      <c r="Q57" s="1044"/>
    </row>
    <row r="58" spans="1:17" x14ac:dyDescent="0.5">
      <c r="A58" s="1039"/>
      <c r="B58" s="1040">
        <f t="shared" si="3"/>
        <v>1948</v>
      </c>
      <c r="C58" s="1041">
        <v>4.0018210799309673E-2</v>
      </c>
      <c r="D58" s="1046">
        <v>3.0200000000000001E-2</v>
      </c>
      <c r="E58" s="1046">
        <f t="shared" si="0"/>
        <v>9.8182107993096714E-3</v>
      </c>
      <c r="F58" s="1032"/>
      <c r="H58" s="1054">
        <f t="shared" si="1"/>
        <v>0.54999999999999993</v>
      </c>
      <c r="I58" s="1055">
        <f t="shared" si="2"/>
        <v>0</v>
      </c>
      <c r="J58" s="1056">
        <f>SUM(I$37:I58)/$I$64</f>
        <v>0.98969072164948457</v>
      </c>
      <c r="N58" s="1042"/>
      <c r="P58" s="1043"/>
      <c r="Q58" s="1044"/>
    </row>
    <row r="59" spans="1:17" x14ac:dyDescent="0.5">
      <c r="A59" s="1039"/>
      <c r="B59" s="1045">
        <f t="shared" si="3"/>
        <v>1949</v>
      </c>
      <c r="C59" s="1046">
        <v>0.31368454741736396</v>
      </c>
      <c r="D59" s="1046">
        <v>2.8999999999999998E-2</v>
      </c>
      <c r="E59" s="1046">
        <f t="shared" si="0"/>
        <v>0.28468454741736393</v>
      </c>
      <c r="H59" s="1054">
        <f t="shared" si="1"/>
        <v>0.6</v>
      </c>
      <c r="I59" s="1055">
        <f t="shared" si="2"/>
        <v>0</v>
      </c>
      <c r="J59" s="1056">
        <f>SUM(I$37:I59)/$I$64</f>
        <v>0.98969072164948457</v>
      </c>
      <c r="N59" s="1042"/>
      <c r="P59" s="1043"/>
      <c r="Q59" s="1044"/>
    </row>
    <row r="60" spans="1:17" x14ac:dyDescent="0.5">
      <c r="A60" s="1039"/>
      <c r="B60" s="1045">
        <f t="shared" si="3"/>
        <v>1950</v>
      </c>
      <c r="C60" s="1046">
        <v>3.2556145647835155E-2</v>
      </c>
      <c r="D60" s="1046">
        <v>2.7900000000000001E-2</v>
      </c>
      <c r="E60" s="1046">
        <f t="shared" si="0"/>
        <v>4.656145647835154E-3</v>
      </c>
      <c r="H60" s="1054">
        <f t="shared" si="1"/>
        <v>0.65</v>
      </c>
      <c r="I60" s="1055">
        <f t="shared" si="2"/>
        <v>0</v>
      </c>
      <c r="J60" s="1056">
        <f>SUM(I$37:I60)/$I$64</f>
        <v>0.98969072164948457</v>
      </c>
      <c r="N60" s="1042"/>
      <c r="P60" s="1043"/>
      <c r="Q60" s="1044"/>
    </row>
    <row r="61" spans="1:17" x14ac:dyDescent="0.5">
      <c r="A61" s="1039"/>
      <c r="B61" s="1045">
        <f t="shared" si="3"/>
        <v>1951</v>
      </c>
      <c r="C61" s="1046">
        <v>0.18632900131596331</v>
      </c>
      <c r="D61" s="1046">
        <v>3.1099999999999999E-2</v>
      </c>
      <c r="E61" s="1046">
        <f t="shared" si="0"/>
        <v>0.15522900131596332</v>
      </c>
      <c r="H61" s="1054">
        <f t="shared" si="1"/>
        <v>0.70000000000000007</v>
      </c>
      <c r="I61" s="1055">
        <f t="shared" si="2"/>
        <v>1</v>
      </c>
      <c r="J61" s="1056">
        <f>SUM(I$37:I61)/$I$64</f>
        <v>1</v>
      </c>
      <c r="N61" s="1042"/>
      <c r="P61" s="1043"/>
      <c r="Q61" s="1044"/>
    </row>
    <row r="62" spans="1:17" ht="15.3" thickBot="1" x14ac:dyDescent="0.55000000000000004">
      <c r="A62" s="1039"/>
      <c r="B62" s="1047">
        <f t="shared" si="3"/>
        <v>1952</v>
      </c>
      <c r="C62" s="1048">
        <v>0.19256376429080269</v>
      </c>
      <c r="D62" s="1048">
        <v>3.2400000000000005E-2</v>
      </c>
      <c r="E62" s="1048">
        <f t="shared" si="0"/>
        <v>0.16016376429080267</v>
      </c>
      <c r="H62" s="1058">
        <f t="shared" si="1"/>
        <v>0.75000000000000011</v>
      </c>
      <c r="I62" s="1059">
        <f t="shared" si="2"/>
        <v>0</v>
      </c>
      <c r="J62" s="1060">
        <f>SUM(I$37:I62)/$I$64</f>
        <v>1</v>
      </c>
      <c r="N62" s="1042"/>
      <c r="P62" s="1043"/>
      <c r="Q62" s="1044"/>
    </row>
    <row r="63" spans="1:17" x14ac:dyDescent="0.5">
      <c r="A63" s="1039"/>
      <c r="B63" s="1040">
        <f t="shared" si="3"/>
        <v>1953</v>
      </c>
      <c r="C63" s="1041">
        <v>7.8511472909679858E-2</v>
      </c>
      <c r="D63" s="1046">
        <v>3.49E-2</v>
      </c>
      <c r="E63" s="1046">
        <f t="shared" si="0"/>
        <v>4.3611472909679858E-2</v>
      </c>
      <c r="H63" s="1061"/>
      <c r="I63" s="1062"/>
      <c r="J63" s="1032"/>
      <c r="N63" s="1042"/>
      <c r="P63" s="1043"/>
      <c r="Q63" s="1044"/>
    </row>
    <row r="64" spans="1:17" x14ac:dyDescent="0.5">
      <c r="A64" s="1039"/>
      <c r="B64" s="1045">
        <f t="shared" si="3"/>
        <v>1954</v>
      </c>
      <c r="C64" s="1046">
        <v>0.24754449672176548</v>
      </c>
      <c r="D64" s="1046">
        <v>3.1600000000000003E-2</v>
      </c>
      <c r="E64" s="1046">
        <f t="shared" si="0"/>
        <v>0.21594449672176547</v>
      </c>
      <c r="H64" s="1057" t="s">
        <v>6654</v>
      </c>
      <c r="I64" s="1063">
        <f>SUM(I37:I62)</f>
        <v>97</v>
      </c>
      <c r="J64" s="1032"/>
      <c r="N64" s="1042"/>
      <c r="P64" s="1043"/>
      <c r="Q64" s="1044"/>
    </row>
    <row r="65" spans="1:17" x14ac:dyDescent="0.5">
      <c r="A65" s="1039"/>
      <c r="B65" s="1045">
        <f t="shared" si="3"/>
        <v>1955</v>
      </c>
      <c r="C65" s="1046">
        <v>0.11276627515751003</v>
      </c>
      <c r="D65" s="1046">
        <v>3.2199999999999999E-2</v>
      </c>
      <c r="E65" s="1046">
        <f t="shared" si="0"/>
        <v>8.0566275157510026E-2</v>
      </c>
      <c r="H65" s="1057"/>
      <c r="I65" s="1063"/>
      <c r="N65" s="1042"/>
      <c r="P65" s="1043"/>
      <c r="Q65" s="1044"/>
    </row>
    <row r="66" spans="1:17" x14ac:dyDescent="0.5">
      <c r="A66" s="1039"/>
      <c r="B66" s="1045">
        <f t="shared" si="3"/>
        <v>1956</v>
      </c>
      <c r="C66" s="1046">
        <v>5.0300950876673856E-2</v>
      </c>
      <c r="D66" s="1046">
        <v>3.56E-2</v>
      </c>
      <c r="E66" s="1046">
        <f t="shared" si="0"/>
        <v>1.4700950876673856E-2</v>
      </c>
      <c r="H66" s="1029"/>
      <c r="I66" s="1029"/>
      <c r="J66" s="1029"/>
      <c r="N66" s="1042"/>
      <c r="P66" s="1043"/>
      <c r="Q66" s="1044"/>
    </row>
    <row r="67" spans="1:17" x14ac:dyDescent="0.5">
      <c r="A67" s="1039"/>
      <c r="B67" s="1047">
        <f t="shared" si="3"/>
        <v>1957</v>
      </c>
      <c r="C67" s="1048">
        <v>6.3582100842951128E-2</v>
      </c>
      <c r="D67" s="1048">
        <v>4.24E-2</v>
      </c>
      <c r="E67" s="1048">
        <f t="shared" si="0"/>
        <v>2.1182100842951128E-2</v>
      </c>
      <c r="H67" s="1029"/>
      <c r="I67" s="1029"/>
      <c r="J67" s="1029"/>
      <c r="N67" s="1042"/>
      <c r="P67" s="1043"/>
      <c r="Q67" s="1044"/>
    </row>
    <row r="68" spans="1:17" x14ac:dyDescent="0.5">
      <c r="A68" s="1039"/>
      <c r="B68" s="1040">
        <f t="shared" si="3"/>
        <v>1958</v>
      </c>
      <c r="C68" s="1041">
        <v>0.40703090762950511</v>
      </c>
      <c r="D68" s="1046">
        <v>4.2000000000000003E-2</v>
      </c>
      <c r="E68" s="1046">
        <f t="shared" si="0"/>
        <v>0.36503090762950513</v>
      </c>
      <c r="H68" s="1029"/>
      <c r="I68" s="1029"/>
      <c r="J68" s="1029"/>
      <c r="N68" s="1042"/>
      <c r="P68" s="1043"/>
      <c r="Q68" s="1044"/>
    </row>
    <row r="69" spans="1:17" x14ac:dyDescent="0.5">
      <c r="A69" s="1039"/>
      <c r="B69" s="1045">
        <f t="shared" si="3"/>
        <v>1959</v>
      </c>
      <c r="C69" s="1046">
        <v>7.490898280806868E-2</v>
      </c>
      <c r="D69" s="1046">
        <v>4.7800000000000002E-2</v>
      </c>
      <c r="E69" s="1046">
        <f t="shared" si="0"/>
        <v>2.7108982808068678E-2</v>
      </c>
      <c r="H69" s="1029"/>
      <c r="I69" s="1029"/>
      <c r="J69" s="1029"/>
      <c r="N69" s="1042"/>
      <c r="P69" s="1043"/>
      <c r="Q69" s="1044"/>
    </row>
    <row r="70" spans="1:17" x14ac:dyDescent="0.5">
      <c r="A70" s="1039"/>
      <c r="B70" s="1045">
        <f t="shared" si="3"/>
        <v>1960</v>
      </c>
      <c r="C70" s="1046">
        <v>0.20238798111189249</v>
      </c>
      <c r="D70" s="1046">
        <v>4.7800000000000002E-2</v>
      </c>
      <c r="E70" s="1046">
        <f t="shared" si="0"/>
        <v>0.15458798111189248</v>
      </c>
      <c r="H70" s="1029"/>
      <c r="I70" s="1029"/>
      <c r="J70" s="1029"/>
      <c r="N70" s="1042"/>
      <c r="P70" s="1043"/>
      <c r="Q70" s="1044"/>
    </row>
    <row r="71" spans="1:17" x14ac:dyDescent="0.5">
      <c r="A71" s="1039"/>
      <c r="B71" s="1045">
        <f t="shared" si="3"/>
        <v>1961</v>
      </c>
      <c r="C71" s="1046">
        <v>0.29308839078921767</v>
      </c>
      <c r="D71" s="1046">
        <v>4.6199999999999998E-2</v>
      </c>
      <c r="E71" s="1046">
        <f t="shared" si="0"/>
        <v>0.24688839078921768</v>
      </c>
      <c r="H71" s="1065"/>
      <c r="I71" s="1069"/>
      <c r="J71" s="1066"/>
      <c r="N71" s="1042"/>
      <c r="P71" s="1043"/>
      <c r="Q71" s="1044"/>
    </row>
    <row r="72" spans="1:17" x14ac:dyDescent="0.5">
      <c r="A72" s="1039"/>
      <c r="B72" s="1047">
        <f t="shared" si="3"/>
        <v>1962</v>
      </c>
      <c r="C72" s="1048">
        <v>-2.4565973259330187E-2</v>
      </c>
      <c r="D72" s="1048">
        <v>4.5400000000000003E-2</v>
      </c>
      <c r="E72" s="1048">
        <f t="shared" si="0"/>
        <v>-6.9965973259330183E-2</v>
      </c>
      <c r="H72" s="1029"/>
      <c r="I72" s="1029"/>
      <c r="J72" s="1029"/>
      <c r="N72" s="1042"/>
      <c r="P72" s="1043"/>
      <c r="Q72" s="1044"/>
    </row>
    <row r="73" spans="1:17" x14ac:dyDescent="0.5">
      <c r="A73" s="1039"/>
      <c r="B73" s="1040">
        <f t="shared" si="3"/>
        <v>1963</v>
      </c>
      <c r="C73" s="1041">
        <v>0.12392130424640335</v>
      </c>
      <c r="D73" s="1046">
        <v>4.3899999999999995E-2</v>
      </c>
      <c r="E73" s="1046">
        <f t="shared" si="0"/>
        <v>8.0021304246403357E-2</v>
      </c>
      <c r="H73" s="1029"/>
      <c r="I73" s="1029"/>
      <c r="J73" s="1029"/>
      <c r="N73" s="1042"/>
      <c r="P73" s="1043"/>
      <c r="Q73" s="1044"/>
    </row>
    <row r="74" spans="1:17" x14ac:dyDescent="0.5">
      <c r="A74" s="1039"/>
      <c r="B74" s="1045">
        <f t="shared" si="3"/>
        <v>1964</v>
      </c>
      <c r="C74" s="1046">
        <v>0.15899424708578724</v>
      </c>
      <c r="D74" s="1046">
        <v>4.5199999999999997E-2</v>
      </c>
      <c r="E74" s="1046">
        <f t="shared" si="0"/>
        <v>0.11379424708578725</v>
      </c>
      <c r="H74" s="1029"/>
      <c r="I74" s="1029"/>
      <c r="J74" s="1029"/>
      <c r="N74" s="1042"/>
      <c r="P74" s="1043"/>
      <c r="Q74" s="1044"/>
    </row>
    <row r="75" spans="1:17" x14ac:dyDescent="0.5">
      <c r="A75" s="1039"/>
      <c r="B75" s="1045">
        <f t="shared" si="3"/>
        <v>1965</v>
      </c>
      <c r="C75" s="1046">
        <v>4.6555106100854671E-2</v>
      </c>
      <c r="D75" s="1046">
        <v>4.58E-2</v>
      </c>
      <c r="E75" s="1046">
        <f t="shared" si="0"/>
        <v>7.5510610085467028E-4</v>
      </c>
      <c r="H75" s="1029"/>
      <c r="I75" s="1029"/>
      <c r="J75" s="1029"/>
      <c r="N75" s="1042"/>
      <c r="P75" s="1043"/>
      <c r="Q75" s="1044"/>
    </row>
    <row r="76" spans="1:17" x14ac:dyDescent="0.5">
      <c r="A76" s="1039"/>
      <c r="B76" s="1045">
        <f t="shared" si="3"/>
        <v>1966</v>
      </c>
      <c r="C76" s="1046">
        <v>-4.4625852047614489E-2</v>
      </c>
      <c r="D76" s="1046">
        <v>5.3899999999999997E-2</v>
      </c>
      <c r="E76" s="1046">
        <f t="shared" si="0"/>
        <v>-9.8525852047614493E-2</v>
      </c>
      <c r="H76" s="1029"/>
      <c r="I76" s="1029"/>
      <c r="J76" s="1029"/>
      <c r="N76" s="1042"/>
      <c r="P76" s="1043"/>
      <c r="Q76" s="1044"/>
    </row>
    <row r="77" spans="1:17" x14ac:dyDescent="0.5">
      <c r="A77" s="1039"/>
      <c r="B77" s="1047">
        <f t="shared" si="3"/>
        <v>1967</v>
      </c>
      <c r="C77" s="1048">
        <v>-6.5252182752328913E-3</v>
      </c>
      <c r="D77" s="1048">
        <v>5.8700000000000002E-2</v>
      </c>
      <c r="E77" s="1048">
        <f t="shared" si="0"/>
        <v>-6.5225218275232894E-2</v>
      </c>
      <c r="G77" s="1057"/>
      <c r="N77" s="1042"/>
      <c r="P77" s="1043"/>
      <c r="Q77" s="1044"/>
    </row>
    <row r="78" spans="1:17" x14ac:dyDescent="0.5">
      <c r="A78" s="1039"/>
      <c r="B78" s="1040">
        <f t="shared" si="3"/>
        <v>1968</v>
      </c>
      <c r="C78" s="1041">
        <v>0.10306532755997488</v>
      </c>
      <c r="D78" s="1046">
        <v>6.5099999999999991E-2</v>
      </c>
      <c r="E78" s="1046">
        <f t="shared" si="0"/>
        <v>3.7965327559974893E-2</v>
      </c>
      <c r="G78" s="1057"/>
      <c r="N78" s="1042"/>
      <c r="P78" s="1043"/>
      <c r="Q78" s="1044"/>
    </row>
    <row r="79" spans="1:17" x14ac:dyDescent="0.5">
      <c r="A79" s="1039"/>
      <c r="B79" s="1045">
        <f t="shared" si="3"/>
        <v>1969</v>
      </c>
      <c r="C79" s="1046">
        <v>-0.1540129616180731</v>
      </c>
      <c r="D79" s="1046">
        <v>7.5399999999999995E-2</v>
      </c>
      <c r="E79" s="1046">
        <f t="shared" si="0"/>
        <v>-0.22941296161807309</v>
      </c>
      <c r="G79" s="1057"/>
      <c r="N79" s="1042"/>
      <c r="P79" s="1043"/>
      <c r="Q79" s="1044"/>
    </row>
    <row r="80" spans="1:17" x14ac:dyDescent="0.5">
      <c r="A80" s="1039"/>
      <c r="B80" s="1045">
        <f t="shared" si="3"/>
        <v>1970</v>
      </c>
      <c r="C80" s="1046">
        <v>0.16551645350429456</v>
      </c>
      <c r="D80" s="1046">
        <v>8.6899999999999991E-2</v>
      </c>
      <c r="E80" s="1046">
        <f t="shared" si="0"/>
        <v>7.8616453504294567E-2</v>
      </c>
      <c r="G80" s="1057"/>
      <c r="N80" s="1042"/>
      <c r="P80" s="1043"/>
      <c r="Q80" s="1044"/>
    </row>
    <row r="81" spans="1:17" x14ac:dyDescent="0.5">
      <c r="A81" s="1039"/>
      <c r="B81" s="1045">
        <f t="shared" si="3"/>
        <v>1971</v>
      </c>
      <c r="C81" s="1046">
        <v>2.4296502356754734E-2</v>
      </c>
      <c r="D81" s="1046">
        <v>8.1600000000000006E-2</v>
      </c>
      <c r="E81" s="1046">
        <f t="shared" si="0"/>
        <v>-5.7303497643245271E-2</v>
      </c>
      <c r="G81" s="1057"/>
      <c r="N81" s="1042"/>
      <c r="P81" s="1043"/>
      <c r="Q81" s="1044"/>
    </row>
    <row r="82" spans="1:17" x14ac:dyDescent="0.5">
      <c r="A82" s="1039"/>
      <c r="B82" s="1045">
        <f t="shared" si="3"/>
        <v>1972</v>
      </c>
      <c r="C82" s="1046">
        <v>8.1363464431688071E-2</v>
      </c>
      <c r="D82" s="1048">
        <v>7.7199999999999991E-2</v>
      </c>
      <c r="E82" s="1048">
        <f t="shared" si="0"/>
        <v>4.1634644316880798E-3</v>
      </c>
      <c r="G82" s="1057"/>
      <c r="N82" s="1042"/>
      <c r="P82" s="1043"/>
      <c r="Q82" s="1044"/>
    </row>
    <row r="83" spans="1:17" x14ac:dyDescent="0.5">
      <c r="A83" s="1039"/>
      <c r="B83" s="1040">
        <f t="shared" si="3"/>
        <v>1973</v>
      </c>
      <c r="C83" s="1041">
        <v>-0.18069034081998148</v>
      </c>
      <c r="D83" s="1046">
        <v>7.8399999999999997E-2</v>
      </c>
      <c r="E83" s="1046">
        <f t="shared" si="0"/>
        <v>-0.2590903408199815</v>
      </c>
      <c r="G83" s="1057"/>
      <c r="N83" s="1042"/>
      <c r="P83" s="1043"/>
      <c r="Q83" s="1044"/>
    </row>
    <row r="84" spans="1:17" x14ac:dyDescent="0.5">
      <c r="A84" s="1039"/>
      <c r="B84" s="1045">
        <f t="shared" si="3"/>
        <v>1974</v>
      </c>
      <c r="C84" s="1046">
        <v>-0.21564554919222856</v>
      </c>
      <c r="D84" s="1046">
        <v>9.5000000000000001E-2</v>
      </c>
      <c r="E84" s="1046">
        <f t="shared" si="0"/>
        <v>-0.31064554919222853</v>
      </c>
      <c r="G84" s="1057"/>
      <c r="N84" s="1042"/>
      <c r="P84" s="1043"/>
      <c r="Q84" s="1044"/>
    </row>
    <row r="85" spans="1:17" x14ac:dyDescent="0.5">
      <c r="A85" s="1039"/>
      <c r="B85" s="1045">
        <f t="shared" si="3"/>
        <v>1975</v>
      </c>
      <c r="C85" s="1046">
        <v>0.44511938549909402</v>
      </c>
      <c r="D85" s="1046">
        <v>0.1009</v>
      </c>
      <c r="E85" s="1046">
        <f t="shared" si="0"/>
        <v>0.34421938549909403</v>
      </c>
      <c r="G85" s="1057"/>
      <c r="N85" s="1042"/>
      <c r="P85" s="1043"/>
      <c r="Q85" s="1044"/>
    </row>
    <row r="86" spans="1:17" x14ac:dyDescent="0.5">
      <c r="A86" s="1039"/>
      <c r="B86" s="1045">
        <f t="shared" si="3"/>
        <v>1976</v>
      </c>
      <c r="C86" s="1046">
        <v>0.31812600924806733</v>
      </c>
      <c r="D86" s="1046">
        <v>9.2899999999999996E-2</v>
      </c>
      <c r="E86" s="1046">
        <f t="shared" si="0"/>
        <v>0.22522600924806735</v>
      </c>
      <c r="G86" s="1057"/>
      <c r="N86" s="1042"/>
      <c r="P86" s="1043"/>
      <c r="Q86" s="1044"/>
    </row>
    <row r="87" spans="1:17" x14ac:dyDescent="0.5">
      <c r="A87" s="1039"/>
      <c r="B87" s="1047">
        <f t="shared" si="3"/>
        <v>1977</v>
      </c>
      <c r="C87" s="1048">
        <v>8.6550565066416452E-2</v>
      </c>
      <c r="D87" s="1048">
        <v>8.6099999999999996E-2</v>
      </c>
      <c r="E87" s="1048">
        <f t="shared" si="0"/>
        <v>4.5056506641645566E-4</v>
      </c>
      <c r="G87" s="1057"/>
      <c r="N87" s="1042"/>
      <c r="P87" s="1043"/>
      <c r="Q87" s="1044"/>
    </row>
    <row r="88" spans="1:17" x14ac:dyDescent="0.5">
      <c r="A88" s="1039"/>
      <c r="B88" s="1040">
        <f t="shared" si="3"/>
        <v>1978</v>
      </c>
      <c r="C88" s="1041">
        <v>-3.7113051028249688E-2</v>
      </c>
      <c r="D88" s="1046">
        <v>9.2899999999999996E-2</v>
      </c>
      <c r="E88" s="1046">
        <f t="shared" si="0"/>
        <v>-0.13001305102824967</v>
      </c>
      <c r="G88" s="1057"/>
      <c r="N88" s="1042"/>
      <c r="P88" s="1043"/>
      <c r="Q88" s="1044"/>
    </row>
    <row r="89" spans="1:17" x14ac:dyDescent="0.5">
      <c r="A89" s="1039"/>
      <c r="B89" s="1045">
        <f t="shared" si="3"/>
        <v>1979</v>
      </c>
      <c r="C89" s="1046">
        <v>0.1361723930638854</v>
      </c>
      <c r="D89" s="1046">
        <v>0.1052</v>
      </c>
      <c r="E89" s="1046">
        <f t="shared" si="0"/>
        <v>3.0972393063885398E-2</v>
      </c>
      <c r="G89" s="1057"/>
      <c r="N89" s="1042"/>
      <c r="P89" s="1043"/>
      <c r="Q89" s="1044"/>
    </row>
    <row r="90" spans="1:17" x14ac:dyDescent="0.5">
      <c r="A90" s="1039"/>
      <c r="B90" s="1045">
        <f t="shared" si="3"/>
        <v>1980</v>
      </c>
      <c r="C90" s="1046">
        <v>0.15061059971040835</v>
      </c>
      <c r="D90" s="1046">
        <v>0.1331</v>
      </c>
      <c r="E90" s="1046">
        <f t="shared" si="0"/>
        <v>1.7510599710408359E-2</v>
      </c>
      <c r="G90" s="1064"/>
      <c r="N90" s="1042"/>
      <c r="P90" s="1043"/>
      <c r="Q90" s="1044"/>
    </row>
    <row r="91" spans="1:17" x14ac:dyDescent="0.5">
      <c r="A91" s="1039"/>
      <c r="B91" s="1045">
        <f t="shared" si="3"/>
        <v>1981</v>
      </c>
      <c r="C91" s="1046">
        <v>0.11720638078203316</v>
      </c>
      <c r="D91" s="1046">
        <v>0.1588</v>
      </c>
      <c r="E91" s="1046">
        <f t="shared" si="0"/>
        <v>-4.1593619217966837E-2</v>
      </c>
      <c r="G91" s="1057"/>
      <c r="K91" s="1067"/>
      <c r="N91" s="1042"/>
      <c r="P91" s="1043"/>
      <c r="Q91" s="1044"/>
    </row>
    <row r="92" spans="1:17" x14ac:dyDescent="0.5">
      <c r="A92" s="1039"/>
      <c r="B92" s="1047">
        <f t="shared" si="3"/>
        <v>1982</v>
      </c>
      <c r="C92" s="1048">
        <v>0.26550850236514245</v>
      </c>
      <c r="D92" s="1048">
        <v>0.15890000000000001</v>
      </c>
      <c r="E92" s="1048">
        <f t="shared" si="0"/>
        <v>0.10660850236514244</v>
      </c>
      <c r="G92" s="1057"/>
      <c r="K92" s="1067"/>
      <c r="L92" s="1068"/>
      <c r="N92" s="1042"/>
      <c r="P92" s="1043"/>
      <c r="Q92" s="1044"/>
    </row>
    <row r="93" spans="1:17" x14ac:dyDescent="0.5">
      <c r="A93" s="1039"/>
      <c r="B93" s="1040">
        <f t="shared" si="3"/>
        <v>1983</v>
      </c>
      <c r="C93" s="1041">
        <v>0.2001316728794309</v>
      </c>
      <c r="D93" s="1046">
        <v>0.13669999999999999</v>
      </c>
      <c r="E93" s="1046">
        <f t="shared" si="0"/>
        <v>6.3431672879430911E-2</v>
      </c>
      <c r="G93" s="1057"/>
      <c r="N93" s="1042"/>
      <c r="P93" s="1043"/>
      <c r="Q93" s="1044"/>
    </row>
    <row r="94" spans="1:17" x14ac:dyDescent="0.5">
      <c r="A94" s="1039"/>
      <c r="B94" s="1045">
        <f t="shared" si="3"/>
        <v>1984</v>
      </c>
      <c r="C94" s="1046">
        <v>0.26038688622418338</v>
      </c>
      <c r="D94" s="1046">
        <v>0.14019999999999999</v>
      </c>
      <c r="E94" s="1046">
        <f t="shared" si="0"/>
        <v>0.12018688622418339</v>
      </c>
      <c r="G94" s="1057"/>
      <c r="K94" s="1070"/>
      <c r="N94" s="1042"/>
      <c r="P94" s="1043"/>
      <c r="Q94" s="1044"/>
    </row>
    <row r="95" spans="1:17" x14ac:dyDescent="0.5">
      <c r="A95" s="1039"/>
      <c r="B95" s="1045">
        <f t="shared" si="3"/>
        <v>1985</v>
      </c>
      <c r="C95" s="1046">
        <v>0.33025085156217893</v>
      </c>
      <c r="D95" s="1046">
        <v>0.12470000000000001</v>
      </c>
      <c r="E95" s="1046">
        <f t="shared" si="0"/>
        <v>0.20555085156217892</v>
      </c>
      <c r="G95" s="1057"/>
      <c r="K95" s="1067"/>
      <c r="N95" s="1042"/>
      <c r="P95" s="1043"/>
      <c r="Q95" s="1044"/>
    </row>
    <row r="96" spans="1:17" x14ac:dyDescent="0.5">
      <c r="A96" s="1039"/>
      <c r="B96" s="1045">
        <f t="shared" si="3"/>
        <v>1986</v>
      </c>
      <c r="C96" s="1046">
        <v>0.28538652434266387</v>
      </c>
      <c r="D96" s="1046">
        <v>9.5899999999999999E-2</v>
      </c>
      <c r="E96" s="1046">
        <f t="shared" si="0"/>
        <v>0.18948652434266389</v>
      </c>
      <c r="G96" s="1057"/>
      <c r="K96" s="1067"/>
      <c r="N96" s="1042"/>
      <c r="P96" s="1043"/>
      <c r="Q96" s="1044"/>
    </row>
    <row r="97" spans="1:17" x14ac:dyDescent="0.5">
      <c r="A97" s="1039"/>
      <c r="B97" s="1047">
        <f t="shared" si="3"/>
        <v>1987</v>
      </c>
      <c r="C97" s="1048">
        <v>-2.959317261912997E-2</v>
      </c>
      <c r="D97" s="1048">
        <v>0.1008</v>
      </c>
      <c r="E97" s="1048">
        <f t="shared" si="0"/>
        <v>-0.13039317261912997</v>
      </c>
      <c r="G97" s="1057"/>
      <c r="N97" s="1042"/>
      <c r="P97" s="1043"/>
      <c r="Q97" s="1044"/>
    </row>
    <row r="98" spans="1:17" x14ac:dyDescent="0.5">
      <c r="A98" s="1039"/>
      <c r="B98" s="1040">
        <f t="shared" si="3"/>
        <v>1988</v>
      </c>
      <c r="C98" s="1041">
        <v>0.18270000849502033</v>
      </c>
      <c r="D98" s="1046">
        <v>0.10490000000000001</v>
      </c>
      <c r="E98" s="1046">
        <f t="shared" si="0"/>
        <v>7.780000849502032E-2</v>
      </c>
      <c r="G98" s="1057"/>
      <c r="K98" s="1067"/>
      <c r="N98" s="1042"/>
      <c r="P98" s="1043"/>
      <c r="Q98" s="1044"/>
    </row>
    <row r="99" spans="1:17" x14ac:dyDescent="0.5">
      <c r="A99" s="1039"/>
      <c r="B99" s="1045">
        <f t="shared" si="3"/>
        <v>1989</v>
      </c>
      <c r="C99" s="1046">
        <v>0.47805105640114021</v>
      </c>
      <c r="D99" s="1046">
        <v>9.7799999999999998E-2</v>
      </c>
      <c r="E99" s="1046">
        <f t="shared" si="0"/>
        <v>0.38025105640114021</v>
      </c>
      <c r="G99" s="1057"/>
      <c r="K99" s="1067"/>
      <c r="N99" s="1042"/>
      <c r="P99" s="1043"/>
      <c r="Q99" s="1044"/>
    </row>
    <row r="100" spans="1:17" x14ac:dyDescent="0.5">
      <c r="A100" s="1039"/>
      <c r="B100" s="1045">
        <f t="shared" si="3"/>
        <v>1990</v>
      </c>
      <c r="C100" s="1046">
        <v>-2.5575564173376586E-2</v>
      </c>
      <c r="D100" s="1046">
        <v>9.8599999999999993E-2</v>
      </c>
      <c r="E100" s="1046">
        <f t="shared" si="0"/>
        <v>-0.12417556417337658</v>
      </c>
      <c r="G100" s="1057"/>
      <c r="H100" s="1071"/>
      <c r="I100" s="1067"/>
      <c r="J100" s="1067"/>
      <c r="K100" s="1067"/>
      <c r="N100" s="1042"/>
      <c r="P100" s="1043"/>
      <c r="Q100" s="1044"/>
    </row>
    <row r="101" spans="1:17" x14ac:dyDescent="0.5">
      <c r="A101" s="1039"/>
      <c r="B101" s="1045">
        <f t="shared" si="3"/>
        <v>1991</v>
      </c>
      <c r="C101" s="1046">
        <v>0.1460664434871124</v>
      </c>
      <c r="D101" s="1046">
        <v>9.3599999999999989E-2</v>
      </c>
      <c r="E101" s="1046">
        <f t="shared" si="0"/>
        <v>5.2466443487112407E-2</v>
      </c>
      <c r="G101" s="1057"/>
      <c r="H101" s="1071"/>
      <c r="I101" s="1067"/>
      <c r="J101" s="1067"/>
      <c r="K101" s="1067"/>
      <c r="N101" s="1042"/>
      <c r="P101" s="1043"/>
      <c r="Q101" s="1044"/>
    </row>
    <row r="102" spans="1:17" x14ac:dyDescent="0.5">
      <c r="A102" s="1039"/>
      <c r="B102" s="1047">
        <f t="shared" si="3"/>
        <v>1992</v>
      </c>
      <c r="C102" s="1048">
        <v>8.1059931150533782E-2</v>
      </c>
      <c r="D102" s="1048">
        <v>8.6999999999999994E-2</v>
      </c>
      <c r="E102" s="1048">
        <f t="shared" ref="E102:E134" si="4">(C102-D102)</f>
        <v>-5.9400688494662124E-3</v>
      </c>
      <c r="G102" s="1057"/>
      <c r="H102" s="1071"/>
      <c r="I102" s="1067"/>
      <c r="J102" s="1067"/>
      <c r="K102" s="1067"/>
      <c r="N102" s="1042"/>
      <c r="P102" s="1043"/>
      <c r="Q102" s="1044"/>
    </row>
    <row r="103" spans="1:17" x14ac:dyDescent="0.5">
      <c r="A103" s="1039"/>
      <c r="B103" s="1040">
        <f t="shared" ref="B103:B134" si="5">B102+1</f>
        <v>1993</v>
      </c>
      <c r="C103" s="1041">
        <v>0.14393479143664001</v>
      </c>
      <c r="D103" s="1046">
        <v>7.5999999999999998E-2</v>
      </c>
      <c r="E103" s="1046">
        <f t="shared" si="4"/>
        <v>6.793479143664001E-2</v>
      </c>
      <c r="G103" s="1057"/>
      <c r="H103" s="1071"/>
      <c r="I103" s="1067"/>
      <c r="J103" s="1067"/>
      <c r="K103" s="1067"/>
      <c r="N103" s="1042"/>
      <c r="P103" s="1043"/>
      <c r="Q103" s="1044"/>
    </row>
    <row r="104" spans="1:17" x14ac:dyDescent="0.5">
      <c r="A104" s="1039"/>
      <c r="B104" s="1045">
        <f t="shared" si="5"/>
        <v>1994</v>
      </c>
      <c r="C104" s="1046">
        <v>-7.9454460802025451E-2</v>
      </c>
      <c r="D104" s="1046">
        <v>8.3000000000000004E-2</v>
      </c>
      <c r="E104" s="1046">
        <f t="shared" si="4"/>
        <v>-0.16245446080202547</v>
      </c>
      <c r="G104" s="1057"/>
      <c r="H104" s="1071"/>
      <c r="I104" s="1067"/>
      <c r="J104" s="1067"/>
      <c r="K104" s="1067"/>
      <c r="N104" s="1042"/>
      <c r="P104" s="1043"/>
      <c r="Q104" s="1044"/>
    </row>
    <row r="105" spans="1:17" x14ac:dyDescent="0.5">
      <c r="A105" s="1039"/>
      <c r="B105" s="1045">
        <f t="shared" si="5"/>
        <v>1995</v>
      </c>
      <c r="C105" s="1046">
        <v>0.42134997817699094</v>
      </c>
      <c r="D105" s="1046">
        <v>7.9000000000000001E-2</v>
      </c>
      <c r="E105" s="1046">
        <f t="shared" si="4"/>
        <v>0.34234997817699092</v>
      </c>
      <c r="G105" s="1057"/>
      <c r="H105" s="1071"/>
      <c r="I105" s="1067"/>
      <c r="J105" s="1067"/>
      <c r="K105" s="1067"/>
      <c r="N105" s="1042"/>
      <c r="P105" s="1043"/>
      <c r="Q105" s="1044"/>
    </row>
    <row r="106" spans="1:17" x14ac:dyDescent="0.5">
      <c r="A106" s="1039"/>
      <c r="B106" s="1045">
        <f t="shared" si="5"/>
        <v>1996</v>
      </c>
      <c r="C106" s="1046">
        <v>3.1783882250903339E-2</v>
      </c>
      <c r="D106" s="1046">
        <v>7.7499999999999999E-2</v>
      </c>
      <c r="E106" s="1046">
        <f t="shared" si="4"/>
        <v>-4.571611774909666E-2</v>
      </c>
      <c r="G106" s="1057"/>
      <c r="H106" s="1071"/>
      <c r="I106" s="1067"/>
      <c r="J106" s="1067"/>
      <c r="K106" s="1067"/>
      <c r="N106" s="1042"/>
      <c r="P106" s="1043"/>
      <c r="Q106" s="1044"/>
    </row>
    <row r="107" spans="1:17" x14ac:dyDescent="0.5">
      <c r="A107" s="1039"/>
      <c r="B107" s="1047">
        <f t="shared" si="5"/>
        <v>1997</v>
      </c>
      <c r="C107" s="1048">
        <v>0.24724139818529722</v>
      </c>
      <c r="D107" s="1048">
        <v>7.5999999999999998E-2</v>
      </c>
      <c r="E107" s="1048">
        <f t="shared" si="4"/>
        <v>0.17124139818529721</v>
      </c>
      <c r="G107" s="1057"/>
      <c r="H107" s="1071"/>
      <c r="I107" s="1067"/>
      <c r="J107" s="1067"/>
      <c r="K107" s="1067"/>
      <c r="N107" s="1042"/>
      <c r="P107" s="1043"/>
      <c r="Q107" s="1044"/>
    </row>
    <row r="108" spans="1:17" x14ac:dyDescent="0.5">
      <c r="A108" s="1039"/>
      <c r="B108" s="1040">
        <f t="shared" si="5"/>
        <v>1998</v>
      </c>
      <c r="C108" s="1041">
        <v>0.14848574269101045</v>
      </c>
      <c r="D108" s="1046">
        <v>7.0499999999999993E-2</v>
      </c>
      <c r="E108" s="1046">
        <f t="shared" si="4"/>
        <v>7.7985742691010454E-2</v>
      </c>
      <c r="G108" s="1057"/>
      <c r="H108" s="1071"/>
      <c r="I108" s="1067"/>
      <c r="J108" s="1067"/>
      <c r="K108" s="1067"/>
      <c r="N108" s="1042"/>
      <c r="P108" s="1043"/>
      <c r="Q108" s="1044"/>
    </row>
    <row r="109" spans="1:17" x14ac:dyDescent="0.5">
      <c r="A109" s="1039"/>
      <c r="B109" s="1045">
        <f t="shared" si="5"/>
        <v>1999</v>
      </c>
      <c r="C109" s="1046">
        <v>-8.8547033211466175E-2</v>
      </c>
      <c r="D109" s="1046">
        <v>7.6100000000000001E-2</v>
      </c>
      <c r="E109" s="1046">
        <f t="shared" si="4"/>
        <v>-0.16464703321146618</v>
      </c>
      <c r="G109" s="1057"/>
      <c r="H109" s="1071"/>
      <c r="I109" s="1067"/>
      <c r="J109" s="1067"/>
      <c r="K109" s="1067"/>
      <c r="N109" s="1042"/>
      <c r="P109" s="1043"/>
      <c r="Q109" s="1044"/>
    </row>
    <row r="110" spans="1:17" x14ac:dyDescent="0.5">
      <c r="A110" s="1039"/>
      <c r="B110" s="1045">
        <f t="shared" si="5"/>
        <v>2000</v>
      </c>
      <c r="C110" s="1046">
        <v>0.5969208491964848</v>
      </c>
      <c r="D110" s="1046">
        <v>8.2500000000000004E-2</v>
      </c>
      <c r="E110" s="1046">
        <f t="shared" si="4"/>
        <v>0.51442084919648479</v>
      </c>
      <c r="G110" s="1057"/>
      <c r="H110" s="1071"/>
      <c r="I110" s="1067"/>
      <c r="J110" s="1067"/>
      <c r="K110" s="1067"/>
      <c r="N110" s="1042"/>
      <c r="P110" s="1043"/>
      <c r="Q110" s="1044"/>
    </row>
    <row r="111" spans="1:17" x14ac:dyDescent="0.5">
      <c r="A111" s="1039"/>
      <c r="B111" s="1045">
        <f t="shared" si="5"/>
        <v>2001</v>
      </c>
      <c r="C111" s="1046">
        <v>-0.3039733549492134</v>
      </c>
      <c r="D111" s="1046">
        <v>7.7600000000000002E-2</v>
      </c>
      <c r="E111" s="1046">
        <f t="shared" si="4"/>
        <v>-0.38157335494921341</v>
      </c>
      <c r="G111" s="1057"/>
      <c r="H111" s="1071"/>
      <c r="I111" s="1067"/>
      <c r="J111" s="1067"/>
      <c r="K111" s="1067"/>
      <c r="N111" s="1042"/>
      <c r="P111" s="1043"/>
      <c r="Q111" s="1044"/>
    </row>
    <row r="112" spans="1:17" x14ac:dyDescent="0.5">
      <c r="A112" s="1039"/>
      <c r="B112" s="1047">
        <f t="shared" si="5"/>
        <v>2002</v>
      </c>
      <c r="C112" s="1048">
        <v>-0.29917081577815585</v>
      </c>
      <c r="D112" s="1048">
        <v>7.3700000000000002E-2</v>
      </c>
      <c r="E112" s="1048">
        <f t="shared" si="4"/>
        <v>-0.37287081577815584</v>
      </c>
      <c r="G112" s="1057"/>
      <c r="H112" s="1071"/>
      <c r="I112" s="1067"/>
      <c r="J112" s="1067"/>
      <c r="K112" s="1067"/>
      <c r="N112" s="1042"/>
      <c r="P112" s="1043"/>
      <c r="Q112" s="1044"/>
    </row>
    <row r="113" spans="1:17" x14ac:dyDescent="0.5">
      <c r="A113" s="1039"/>
      <c r="B113" s="1040">
        <f t="shared" si="5"/>
        <v>2003</v>
      </c>
      <c r="C113" s="1041">
        <v>0.26367168063398005</v>
      </c>
      <c r="D113" s="1046">
        <v>6.5799999999999997E-2</v>
      </c>
      <c r="E113" s="1046">
        <f t="shared" si="4"/>
        <v>0.19787168063398006</v>
      </c>
      <c r="G113" s="1057"/>
      <c r="H113" s="1071"/>
      <c r="I113" s="1067"/>
      <c r="J113" s="1067"/>
      <c r="K113" s="1067"/>
      <c r="N113" s="1042"/>
      <c r="P113" s="1043"/>
      <c r="Q113" s="1044"/>
    </row>
    <row r="114" spans="1:17" x14ac:dyDescent="0.5">
      <c r="A114" s="1039"/>
      <c r="B114" s="1045">
        <f t="shared" si="5"/>
        <v>2004</v>
      </c>
      <c r="C114" s="1046">
        <v>0.24005253158079798</v>
      </c>
      <c r="D114" s="1046">
        <v>6.1600000000000002E-2</v>
      </c>
      <c r="E114" s="1046">
        <f t="shared" si="4"/>
        <v>0.17845253158079799</v>
      </c>
      <c r="G114" s="1057"/>
      <c r="H114" s="1071"/>
      <c r="I114" s="1067"/>
      <c r="J114" s="1067"/>
      <c r="K114" s="1067"/>
      <c r="N114" s="1042"/>
      <c r="P114" s="1043"/>
      <c r="Q114" s="1044"/>
    </row>
    <row r="115" spans="1:17" x14ac:dyDescent="0.5">
      <c r="A115" s="1039"/>
      <c r="B115" s="1045">
        <f t="shared" si="5"/>
        <v>2005</v>
      </c>
      <c r="C115" s="1046">
        <v>0.16599322576399467</v>
      </c>
      <c r="D115" s="1046">
        <v>5.6500000000000002E-2</v>
      </c>
      <c r="E115" s="1046">
        <f t="shared" si="4"/>
        <v>0.10949322576399467</v>
      </c>
      <c r="G115" s="1057"/>
      <c r="H115" s="1071"/>
      <c r="I115" s="1067"/>
      <c r="J115" s="1067"/>
      <c r="K115" s="1067"/>
      <c r="N115" s="1042"/>
      <c r="P115" s="1043"/>
      <c r="Q115" s="1044"/>
    </row>
    <row r="116" spans="1:17" x14ac:dyDescent="0.5">
      <c r="A116" s="1039"/>
      <c r="B116" s="1045">
        <f t="shared" si="5"/>
        <v>2006</v>
      </c>
      <c r="C116" s="1046">
        <v>0.2088134579401435</v>
      </c>
      <c r="D116" s="1046">
        <v>6.0700000000000004E-2</v>
      </c>
      <c r="E116" s="1046">
        <f t="shared" si="4"/>
        <v>0.14811345794014349</v>
      </c>
      <c r="G116" s="1057"/>
      <c r="H116" s="1071"/>
      <c r="I116" s="1067"/>
      <c r="J116" s="1067"/>
      <c r="K116" s="1067"/>
      <c r="N116" s="1042"/>
      <c r="P116" s="1043"/>
      <c r="Q116" s="1044"/>
    </row>
    <row r="117" spans="1:17" x14ac:dyDescent="0.5">
      <c r="A117" s="1039"/>
      <c r="B117" s="1047">
        <f t="shared" si="5"/>
        <v>2007</v>
      </c>
      <c r="C117" s="1048">
        <v>0.19280354256040533</v>
      </c>
      <c r="D117" s="1048">
        <v>6.0700000000000004E-2</v>
      </c>
      <c r="E117" s="1048">
        <f t="shared" si="4"/>
        <v>0.13210354256040532</v>
      </c>
      <c r="G117" s="1057"/>
      <c r="H117" s="1071"/>
      <c r="I117" s="1067"/>
      <c r="J117" s="1067"/>
      <c r="K117" s="1067"/>
      <c r="N117" s="1042"/>
      <c r="P117" s="1043"/>
      <c r="Q117" s="1044"/>
    </row>
    <row r="118" spans="1:17" x14ac:dyDescent="0.5">
      <c r="A118" s="1039"/>
      <c r="B118" s="1040">
        <f t="shared" si="5"/>
        <v>2008</v>
      </c>
      <c r="C118" s="1041">
        <v>-0.29040359528350634</v>
      </c>
      <c r="D118" s="1046">
        <v>6.5299999999999997E-2</v>
      </c>
      <c r="E118" s="1046">
        <f t="shared" si="4"/>
        <v>-0.35570359528350637</v>
      </c>
      <c r="G118" s="1057"/>
      <c r="H118" s="1071"/>
      <c r="I118" s="1067"/>
      <c r="J118" s="1067"/>
      <c r="K118" s="1067"/>
      <c r="N118" s="1042"/>
      <c r="P118" s="1043"/>
      <c r="Q118" s="1044"/>
    </row>
    <row r="119" spans="1:17" x14ac:dyDescent="0.5">
      <c r="A119" s="1039"/>
      <c r="B119" s="1045">
        <f t="shared" si="5"/>
        <v>2009</v>
      </c>
      <c r="C119" s="1046">
        <v>0.11908419659198688</v>
      </c>
      <c r="D119" s="1046">
        <v>6.0400000000000002E-2</v>
      </c>
      <c r="E119" s="1046">
        <f t="shared" si="4"/>
        <v>5.8684196591986877E-2</v>
      </c>
      <c r="G119" s="1057"/>
      <c r="H119" s="1071"/>
      <c r="I119" s="1067"/>
      <c r="J119" s="1067"/>
      <c r="K119" s="1067"/>
      <c r="N119" s="1042"/>
      <c r="P119" s="1043"/>
      <c r="Q119" s="1044"/>
    </row>
    <row r="120" spans="1:17" x14ac:dyDescent="0.5">
      <c r="A120" s="1039"/>
      <c r="B120" s="1045">
        <f t="shared" si="5"/>
        <v>2010</v>
      </c>
      <c r="C120" s="1046">
        <v>5.4036185908617806E-2</v>
      </c>
      <c r="D120" s="1046">
        <v>5.4600000000000003E-2</v>
      </c>
      <c r="E120" s="1046">
        <f t="shared" si="4"/>
        <v>-5.6381409138219624E-4</v>
      </c>
      <c r="G120" s="1057"/>
      <c r="H120" s="1071"/>
      <c r="I120" s="1067"/>
      <c r="J120" s="1067"/>
      <c r="K120" s="1067"/>
      <c r="N120" s="1042"/>
      <c r="P120" s="1043"/>
      <c r="Q120" s="1044"/>
    </row>
    <row r="121" spans="1:17" x14ac:dyDescent="0.5">
      <c r="A121" s="1039"/>
      <c r="B121" s="1045">
        <f t="shared" si="5"/>
        <v>2011</v>
      </c>
      <c r="C121" s="1046">
        <v>0.19743257038137663</v>
      </c>
      <c r="D121" s="1046">
        <v>5.04E-2</v>
      </c>
      <c r="E121" s="1046">
        <f t="shared" si="4"/>
        <v>0.14703257038137663</v>
      </c>
      <c r="G121" s="1057"/>
      <c r="H121" s="1071"/>
      <c r="I121" s="1067"/>
      <c r="J121" s="1067"/>
      <c r="K121" s="1067"/>
      <c r="N121" s="1042"/>
      <c r="P121" s="1043"/>
      <c r="Q121" s="1044"/>
    </row>
    <row r="122" spans="1:17" x14ac:dyDescent="0.5">
      <c r="A122" s="1039"/>
      <c r="B122" s="1045">
        <f t="shared" si="5"/>
        <v>2012</v>
      </c>
      <c r="C122" s="1048">
        <v>1.1855153276604913E-2</v>
      </c>
      <c r="D122" s="1048">
        <v>4.1299999999999996E-2</v>
      </c>
      <c r="E122" s="1048">
        <f t="shared" si="4"/>
        <v>-2.9444846723395084E-2</v>
      </c>
      <c r="G122" s="1057"/>
      <c r="H122" s="1071"/>
      <c r="I122" s="1067"/>
      <c r="J122" s="1067"/>
      <c r="K122" s="1067"/>
      <c r="N122" s="1042"/>
      <c r="P122" s="1043"/>
      <c r="Q122" s="1044"/>
    </row>
    <row r="123" spans="1:17" x14ac:dyDescent="0.5">
      <c r="A123" s="1039"/>
      <c r="B123" s="1040">
        <f t="shared" si="5"/>
        <v>2013</v>
      </c>
      <c r="C123" s="1041">
        <v>0.12403107367420341</v>
      </c>
      <c r="D123" s="1046">
        <v>4.4800000000000006E-2</v>
      </c>
      <c r="E123" s="1046">
        <f t="shared" si="4"/>
        <v>7.9231073674203401E-2</v>
      </c>
      <c r="G123" s="1057"/>
      <c r="H123" s="1071"/>
      <c r="I123" s="1067"/>
      <c r="J123" s="1067"/>
      <c r="K123" s="1067"/>
      <c r="N123" s="1042"/>
      <c r="P123" s="1043"/>
      <c r="Q123" s="1044"/>
    </row>
    <row r="124" spans="1:17" x14ac:dyDescent="0.5">
      <c r="A124" s="1039"/>
      <c r="B124" s="1045">
        <f t="shared" si="5"/>
        <v>2014</v>
      </c>
      <c r="C124" s="1046">
        <v>0.28580906613111168</v>
      </c>
      <c r="D124" s="1046">
        <v>4.2800000000000005E-2</v>
      </c>
      <c r="E124" s="1046">
        <f t="shared" si="4"/>
        <v>0.24300906613111167</v>
      </c>
      <c r="G124" s="1057"/>
      <c r="H124" s="1071"/>
      <c r="I124" s="1067"/>
      <c r="J124" s="1067"/>
      <c r="K124" s="1067"/>
      <c r="N124" s="1042"/>
      <c r="P124" s="1043"/>
      <c r="Q124" s="1044"/>
    </row>
    <row r="125" spans="1:17" x14ac:dyDescent="0.5">
      <c r="A125" s="1039"/>
      <c r="B125" s="1072">
        <f t="shared" si="5"/>
        <v>2015</v>
      </c>
      <c r="C125" s="1046">
        <v>-6.7618311177368939E-2</v>
      </c>
      <c r="D125" s="1046">
        <v>4.1100000000000005E-2</v>
      </c>
      <c r="E125" s="1046">
        <f t="shared" si="4"/>
        <v>-0.10871831117736894</v>
      </c>
      <c r="G125" s="1057"/>
      <c r="H125" s="1071"/>
      <c r="I125" s="1067"/>
      <c r="J125" s="1067"/>
      <c r="K125" s="1067"/>
      <c r="N125" s="1042"/>
      <c r="P125" s="1043"/>
      <c r="Q125" s="1044"/>
    </row>
    <row r="126" spans="1:17" x14ac:dyDescent="0.5">
      <c r="A126" s="1039"/>
      <c r="B126" s="1072">
        <f t="shared" si="5"/>
        <v>2016</v>
      </c>
      <c r="C126" s="1046">
        <v>0.16392013163901531</v>
      </c>
      <c r="D126" s="1046">
        <v>3.9399999999999998E-2</v>
      </c>
      <c r="E126" s="1046">
        <f t="shared" si="4"/>
        <v>0.12452013163901532</v>
      </c>
      <c r="G126" s="1057"/>
      <c r="H126" s="1071"/>
      <c r="I126" s="1067"/>
      <c r="J126" s="1067"/>
      <c r="K126" s="1067"/>
      <c r="N126" s="1042"/>
      <c r="P126" s="1043"/>
      <c r="Q126" s="1044"/>
    </row>
    <row r="127" spans="1:17" x14ac:dyDescent="0.5">
      <c r="A127" s="1039"/>
      <c r="B127" s="1072">
        <f t="shared" si="5"/>
        <v>2017</v>
      </c>
      <c r="C127" s="1046">
        <v>0.15641340377967738</v>
      </c>
      <c r="D127" s="1048">
        <v>4.0099999999999997E-2</v>
      </c>
      <c r="E127" s="1048">
        <f t="shared" si="4"/>
        <v>0.11631340377967739</v>
      </c>
      <c r="G127" s="1057"/>
      <c r="H127" s="1071"/>
      <c r="I127" s="1067"/>
      <c r="J127" s="1067"/>
      <c r="K127" s="1067"/>
      <c r="N127" s="1042"/>
      <c r="P127" s="1043"/>
      <c r="Q127" s="1044"/>
    </row>
    <row r="128" spans="1:17" x14ac:dyDescent="0.5">
      <c r="A128" s="1039"/>
      <c r="B128" s="1073">
        <f t="shared" si="5"/>
        <v>2018</v>
      </c>
      <c r="C128" s="1041">
        <v>4.0642381093688895E-2</v>
      </c>
      <c r="D128" s="1046">
        <v>4.2200000000000001E-2</v>
      </c>
      <c r="E128" s="1046">
        <f t="shared" si="4"/>
        <v>-1.5576189063111062E-3</v>
      </c>
      <c r="G128" s="1057"/>
      <c r="H128" s="1071"/>
      <c r="I128" s="1067"/>
      <c r="J128" s="1067"/>
      <c r="K128" s="1067"/>
      <c r="N128" s="1042"/>
      <c r="P128" s="1043"/>
      <c r="Q128" s="1044"/>
    </row>
    <row r="129" spans="1:17" x14ac:dyDescent="0.5">
      <c r="A129" s="1039"/>
      <c r="B129" s="1072">
        <f t="shared" si="5"/>
        <v>2019</v>
      </c>
      <c r="C129" s="1074">
        <v>0.27790297679977294</v>
      </c>
      <c r="D129" s="1075">
        <v>3.7699999999999997E-2</v>
      </c>
      <c r="E129" s="1075">
        <f t="shared" si="4"/>
        <v>0.24020297679977293</v>
      </c>
      <c r="G129" s="1057"/>
      <c r="H129" s="1071"/>
      <c r="I129" s="1067"/>
      <c r="J129" s="1067"/>
      <c r="K129" s="1067"/>
      <c r="N129" s="1042"/>
      <c r="P129" s="1043"/>
      <c r="Q129" s="1044"/>
    </row>
    <row r="130" spans="1:17" x14ac:dyDescent="0.5">
      <c r="A130" s="1039"/>
      <c r="B130" s="1072">
        <f t="shared" si="5"/>
        <v>2020</v>
      </c>
      <c r="C130" s="1074">
        <v>5.4179828652263229E-3</v>
      </c>
      <c r="D130" s="1075">
        <v>3.0099999999999998E-2</v>
      </c>
      <c r="E130" s="1075">
        <f t="shared" si="4"/>
        <v>-2.4682017134773675E-2</v>
      </c>
      <c r="G130" s="1057"/>
      <c r="H130" s="1071"/>
      <c r="I130" s="1067"/>
      <c r="J130" s="1067"/>
      <c r="K130" s="1067"/>
      <c r="N130" s="1042"/>
      <c r="P130" s="1043"/>
      <c r="Q130" s="1044"/>
    </row>
    <row r="131" spans="1:17" x14ac:dyDescent="0.5">
      <c r="A131" s="1039"/>
      <c r="B131" s="1072">
        <f t="shared" si="5"/>
        <v>2021</v>
      </c>
      <c r="C131" s="1074">
        <v>0.171757391388492</v>
      </c>
      <c r="D131" s="1075">
        <v>3.1E-2</v>
      </c>
      <c r="E131" s="1075">
        <f t="shared" si="4"/>
        <v>0.140757391388492</v>
      </c>
      <c r="G131" s="1057"/>
      <c r="H131" s="1071"/>
      <c r="I131" s="1067"/>
      <c r="J131" s="1067"/>
      <c r="K131" s="1067"/>
      <c r="N131" s="1042"/>
      <c r="P131" s="1043"/>
      <c r="Q131" s="1044"/>
    </row>
    <row r="132" spans="1:17" x14ac:dyDescent="0.5">
      <c r="A132" s="1039"/>
      <c r="B132" s="1076">
        <f t="shared" si="5"/>
        <v>2022</v>
      </c>
      <c r="C132" s="1077">
        <v>-4.105949632881023E-3</v>
      </c>
      <c r="D132" s="1048">
        <v>4.7199999999999999E-2</v>
      </c>
      <c r="E132" s="1048">
        <f t="shared" si="4"/>
        <v>-5.1305949632881022E-2</v>
      </c>
      <c r="G132" s="1057"/>
      <c r="H132" s="1071"/>
      <c r="I132" s="1067"/>
      <c r="J132" s="1067"/>
      <c r="K132" s="1067"/>
      <c r="N132" s="1042"/>
      <c r="P132" s="1043"/>
      <c r="Q132" s="1044"/>
    </row>
    <row r="133" spans="1:17" x14ac:dyDescent="0.5">
      <c r="A133" s="1039"/>
      <c r="B133" s="1072">
        <f t="shared" si="5"/>
        <v>2023</v>
      </c>
      <c r="C133" s="1075">
        <v>-6.9400000000000003E-2</v>
      </c>
      <c r="D133" s="1075">
        <v>5.5500000000000001E-2</v>
      </c>
      <c r="E133" s="1075">
        <f t="shared" si="4"/>
        <v>-0.12490000000000001</v>
      </c>
      <c r="G133" s="1057"/>
      <c r="H133" s="1071"/>
      <c r="I133" s="1067"/>
      <c r="J133" s="1067"/>
      <c r="K133" s="1067"/>
      <c r="N133" s="1042"/>
      <c r="P133" s="1043"/>
      <c r="Q133" s="1044"/>
    </row>
    <row r="134" spans="1:17" x14ac:dyDescent="0.5">
      <c r="A134" s="1039"/>
      <c r="B134" s="1072">
        <f t="shared" si="5"/>
        <v>2024</v>
      </c>
      <c r="C134" s="1075">
        <v>0.22700000000000001</v>
      </c>
      <c r="D134" s="1075">
        <v>5.5399999999999998E-2</v>
      </c>
      <c r="E134" s="1075">
        <f t="shared" si="4"/>
        <v>0.1716</v>
      </c>
      <c r="G134" s="1057"/>
      <c r="H134" s="1071"/>
      <c r="I134" s="1067"/>
      <c r="J134" s="1067"/>
      <c r="K134" s="1067"/>
      <c r="N134" s="1042"/>
      <c r="P134" s="1043"/>
      <c r="Q134" s="1044"/>
    </row>
    <row r="135" spans="1:17" x14ac:dyDescent="0.5">
      <c r="A135" s="1039"/>
      <c r="D135" s="1046"/>
      <c r="G135" s="1057"/>
      <c r="H135" s="1071"/>
      <c r="I135" s="1067"/>
      <c r="J135" s="1067"/>
      <c r="K135" s="1067"/>
      <c r="N135" s="1078"/>
    </row>
    <row r="136" spans="1:17" x14ac:dyDescent="0.5">
      <c r="A136" s="1039"/>
      <c r="B136" s="1079" t="s">
        <v>6660</v>
      </c>
      <c r="C136" s="1046">
        <f>AVERAGE(C38:C134)</f>
        <v>0.10719408898048492</v>
      </c>
      <c r="D136" s="1046">
        <f>AVERAGE(D38:D134)</f>
        <v>6.2413402061855652E-2</v>
      </c>
      <c r="E136" s="1046">
        <f>AVERAGE(E38:E134)</f>
        <v>4.4780686918629249E-2</v>
      </c>
      <c r="G136" s="1057"/>
      <c r="H136" s="1071"/>
      <c r="I136" s="1067"/>
      <c r="J136" s="1067"/>
      <c r="K136" s="1067"/>
    </row>
    <row r="137" spans="1:17" x14ac:dyDescent="0.5">
      <c r="A137" s="1039"/>
      <c r="G137" s="1057"/>
      <c r="H137" s="1071"/>
      <c r="I137" s="1067"/>
      <c r="J137" s="1067"/>
      <c r="K137" s="1067"/>
    </row>
    <row r="138" spans="1:17" ht="32.200000000000003" customHeight="1" x14ac:dyDescent="0.5">
      <c r="B138" s="1030" t="s">
        <v>6646</v>
      </c>
      <c r="C138" s="1080"/>
      <c r="D138" s="1080"/>
      <c r="E138" s="1080"/>
      <c r="G138" s="1057"/>
      <c r="H138" s="1071"/>
      <c r="I138" s="1067"/>
      <c r="J138" s="1067"/>
      <c r="K138" s="1067"/>
    </row>
    <row r="139" spans="1:17" x14ac:dyDescent="0.5">
      <c r="B139" s="1456"/>
      <c r="C139" s="1456"/>
      <c r="D139" s="1456"/>
      <c r="E139" s="1081"/>
      <c r="H139" s="1071"/>
      <c r="I139" s="1067"/>
      <c r="J139" s="1067"/>
      <c r="K139" s="1067"/>
    </row>
    <row r="140" spans="1:17" x14ac:dyDescent="0.5">
      <c r="B140" s="1081"/>
      <c r="C140" s="1081"/>
      <c r="D140" s="1081"/>
      <c r="E140" s="1081"/>
      <c r="H140" s="1071"/>
      <c r="I140" s="1067"/>
      <c r="J140" s="1067"/>
      <c r="K140" s="1067"/>
    </row>
    <row r="141" spans="1:17" x14ac:dyDescent="0.5">
      <c r="B141" s="1082"/>
      <c r="C141" s="1083"/>
      <c r="D141" s="1081"/>
      <c r="E141" s="1081"/>
      <c r="H141" s="1071"/>
      <c r="I141" s="1067"/>
      <c r="J141" s="1067"/>
      <c r="K141" s="1067"/>
    </row>
    <row r="142" spans="1:17" x14ac:dyDescent="0.5">
      <c r="B142" s="1082"/>
      <c r="C142" s="1083"/>
      <c r="D142" s="1081"/>
      <c r="E142" s="1081"/>
      <c r="H142" s="1071"/>
      <c r="I142" s="1067"/>
      <c r="J142" s="1067"/>
      <c r="K142" s="1067"/>
    </row>
    <row r="143" spans="1:17" x14ac:dyDescent="0.5">
      <c r="B143" s="1082"/>
      <c r="C143" s="1083"/>
      <c r="G143" s="1084"/>
      <c r="H143" s="1071"/>
      <c r="I143" s="1067"/>
      <c r="J143" s="1067"/>
      <c r="K143" s="1067"/>
    </row>
    <row r="144" spans="1:17" x14ac:dyDescent="0.5">
      <c r="B144" s="1082"/>
      <c r="C144" s="1085"/>
      <c r="H144" s="1071"/>
      <c r="I144" s="1067"/>
      <c r="J144" s="1067"/>
      <c r="K144" s="1067"/>
    </row>
    <row r="145" spans="2:11" x14ac:dyDescent="0.5">
      <c r="B145" s="1072"/>
      <c r="C145" s="1046"/>
      <c r="H145" s="1071"/>
      <c r="I145" s="1067"/>
      <c r="J145" s="1067"/>
      <c r="K145" s="1067"/>
    </row>
    <row r="146" spans="2:11" x14ac:dyDescent="0.5">
      <c r="C146" s="1074"/>
      <c r="H146" s="1071"/>
      <c r="I146" s="1067"/>
      <c r="J146" s="1067"/>
      <c r="K146" s="1067"/>
    </row>
    <row r="147" spans="2:11" x14ac:dyDescent="0.5">
      <c r="H147" s="1071"/>
      <c r="I147" s="1067"/>
      <c r="J147" s="1067"/>
      <c r="K147" s="1067"/>
    </row>
    <row r="148" spans="2:11" x14ac:dyDescent="0.5">
      <c r="B148" s="1042"/>
      <c r="H148" s="1071"/>
      <c r="I148" s="1067"/>
      <c r="J148" s="1067"/>
      <c r="K148" s="1067"/>
    </row>
    <row r="149" spans="2:11" x14ac:dyDescent="0.5">
      <c r="B149" s="1042"/>
      <c r="H149" s="1071"/>
      <c r="I149" s="1067"/>
      <c r="J149" s="1067"/>
      <c r="K149" s="1067"/>
    </row>
    <row r="150" spans="2:11" x14ac:dyDescent="0.5">
      <c r="B150" s="1042"/>
      <c r="H150" s="1071"/>
      <c r="I150" s="1067"/>
      <c r="J150" s="1067"/>
      <c r="K150" s="1067"/>
    </row>
    <row r="151" spans="2:11" x14ac:dyDescent="0.5">
      <c r="B151" s="1042"/>
      <c r="H151" s="1071"/>
      <c r="I151" s="1067"/>
      <c r="J151" s="1067"/>
      <c r="K151" s="1067"/>
    </row>
    <row r="152" spans="2:11" x14ac:dyDescent="0.5">
      <c r="B152" s="1042"/>
      <c r="H152" s="1071"/>
      <c r="I152" s="1067"/>
      <c r="J152" s="1067"/>
      <c r="K152" s="1067"/>
    </row>
    <row r="153" spans="2:11" x14ac:dyDescent="0.5">
      <c r="B153" s="1042"/>
      <c r="H153" s="1071"/>
      <c r="I153" s="1067"/>
      <c r="J153" s="1067"/>
      <c r="K153" s="1067"/>
    </row>
    <row r="154" spans="2:11" x14ac:dyDescent="0.5">
      <c r="B154" s="1042"/>
      <c r="H154" s="1071"/>
      <c r="I154" s="1067"/>
      <c r="J154" s="1067"/>
      <c r="K154" s="1067"/>
    </row>
    <row r="155" spans="2:11" x14ac:dyDescent="0.5">
      <c r="B155" s="1042"/>
      <c r="H155" s="1071"/>
      <c r="I155" s="1067"/>
      <c r="J155" s="1067"/>
      <c r="K155" s="1067"/>
    </row>
    <row r="156" spans="2:11" x14ac:dyDescent="0.5">
      <c r="B156" s="1042"/>
      <c r="H156" s="1071"/>
      <c r="I156" s="1067"/>
      <c r="J156" s="1067"/>
      <c r="K156" s="1067"/>
    </row>
    <row r="157" spans="2:11" x14ac:dyDescent="0.5">
      <c r="B157" s="1042"/>
      <c r="H157" s="1071"/>
      <c r="I157" s="1067"/>
      <c r="J157" s="1067"/>
      <c r="K157" s="1067"/>
    </row>
    <row r="158" spans="2:11" x14ac:dyDescent="0.5">
      <c r="B158" s="1042"/>
      <c r="H158" s="1071"/>
      <c r="I158" s="1067"/>
      <c r="J158" s="1067"/>
      <c r="K158" s="1067"/>
    </row>
    <row r="159" spans="2:11" x14ac:dyDescent="0.5">
      <c r="B159" s="1042"/>
      <c r="H159" s="1071"/>
      <c r="I159" s="1067"/>
      <c r="J159" s="1067"/>
      <c r="K159" s="1067"/>
    </row>
    <row r="160" spans="2:11" x14ac:dyDescent="0.5">
      <c r="B160" s="1042"/>
      <c r="H160" s="1071"/>
      <c r="I160" s="1067"/>
      <c r="J160" s="1067"/>
      <c r="K160" s="1067"/>
    </row>
    <row r="161" spans="2:11" x14ac:dyDescent="0.5">
      <c r="B161" s="1042"/>
      <c r="H161" s="1071"/>
      <c r="I161" s="1067"/>
      <c r="J161" s="1067"/>
      <c r="K161" s="1067"/>
    </row>
    <row r="162" spans="2:11" x14ac:dyDescent="0.5">
      <c r="B162" s="1042"/>
      <c r="H162" s="1071"/>
      <c r="I162" s="1067"/>
      <c r="J162" s="1067"/>
      <c r="K162" s="1067"/>
    </row>
    <row r="163" spans="2:11" x14ac:dyDescent="0.5">
      <c r="B163" s="1042"/>
      <c r="H163" s="1071"/>
      <c r="I163" s="1067"/>
      <c r="J163" s="1067"/>
      <c r="K163" s="1067"/>
    </row>
    <row r="164" spans="2:11" x14ac:dyDescent="0.5">
      <c r="B164" s="1042"/>
      <c r="H164" s="1071"/>
      <c r="I164" s="1067"/>
      <c r="J164" s="1067"/>
      <c r="K164" s="1067"/>
    </row>
    <row r="165" spans="2:11" x14ac:dyDescent="0.5">
      <c r="B165" s="1042"/>
      <c r="H165" s="1071"/>
      <c r="I165" s="1067"/>
      <c r="J165" s="1067"/>
      <c r="K165" s="1067"/>
    </row>
    <row r="166" spans="2:11" x14ac:dyDescent="0.5">
      <c r="B166" s="1042"/>
      <c r="H166" s="1071"/>
      <c r="I166" s="1067"/>
      <c r="J166" s="1067"/>
      <c r="K166" s="1067"/>
    </row>
    <row r="167" spans="2:11" x14ac:dyDescent="0.5">
      <c r="B167" s="1042"/>
      <c r="F167" s="1057"/>
      <c r="H167" s="1071"/>
      <c r="I167" s="1067"/>
      <c r="J167" s="1067"/>
      <c r="K167" s="1067"/>
    </row>
    <row r="168" spans="2:11" x14ac:dyDescent="0.5">
      <c r="B168" s="1042"/>
      <c r="F168" s="1057"/>
      <c r="H168" s="1071"/>
      <c r="I168" s="1067"/>
      <c r="J168" s="1067"/>
      <c r="K168" s="1067"/>
    </row>
    <row r="169" spans="2:11" x14ac:dyDescent="0.5">
      <c r="B169" s="1042"/>
      <c r="F169" s="1057"/>
      <c r="H169" s="1071"/>
      <c r="I169" s="1067"/>
      <c r="J169" s="1067"/>
      <c r="K169" s="1067"/>
    </row>
    <row r="170" spans="2:11" x14ac:dyDescent="0.5">
      <c r="B170" s="1042"/>
      <c r="E170" s="1057"/>
      <c r="F170" s="1057"/>
      <c r="H170" s="1071"/>
      <c r="I170" s="1067"/>
      <c r="J170" s="1067"/>
      <c r="K170" s="1067"/>
    </row>
    <row r="171" spans="2:11" x14ac:dyDescent="0.5">
      <c r="B171" s="1042"/>
      <c r="E171" s="1057"/>
      <c r="F171" s="1057"/>
      <c r="H171" s="1071"/>
      <c r="I171" s="1067"/>
      <c r="J171" s="1067"/>
      <c r="K171" s="1067"/>
    </row>
    <row r="172" spans="2:11" x14ac:dyDescent="0.5">
      <c r="B172" s="1042"/>
      <c r="E172" s="1057"/>
      <c r="F172" s="1057"/>
      <c r="H172" s="1071"/>
      <c r="I172" s="1067"/>
      <c r="J172" s="1067"/>
      <c r="K172" s="1067"/>
    </row>
    <row r="173" spans="2:11" x14ac:dyDescent="0.5">
      <c r="B173" s="1042"/>
      <c r="E173" s="1086"/>
      <c r="F173" s="1087"/>
      <c r="H173" s="1071"/>
      <c r="I173" s="1067"/>
      <c r="J173" s="1067"/>
      <c r="K173" s="1067"/>
    </row>
    <row r="174" spans="2:11" x14ac:dyDescent="0.5">
      <c r="B174" s="1042"/>
      <c r="E174" s="1057"/>
      <c r="F174" s="1057"/>
      <c r="H174" s="1071"/>
      <c r="I174" s="1067"/>
      <c r="J174" s="1067"/>
      <c r="K174" s="1067"/>
    </row>
    <row r="175" spans="2:11" x14ac:dyDescent="0.5">
      <c r="B175" s="1042"/>
      <c r="E175" s="1057"/>
      <c r="F175" s="1057"/>
      <c r="H175" s="1071"/>
      <c r="I175" s="1067"/>
      <c r="J175" s="1067"/>
      <c r="K175" s="1067"/>
    </row>
    <row r="176" spans="2:11" x14ac:dyDescent="0.5">
      <c r="B176" s="1042"/>
      <c r="H176" s="1071"/>
      <c r="I176" s="1067"/>
      <c r="J176" s="1067"/>
      <c r="K176" s="1067"/>
    </row>
    <row r="177" spans="2:11" x14ac:dyDescent="0.5">
      <c r="B177" s="1042"/>
      <c r="H177" s="1071"/>
      <c r="I177" s="1067"/>
      <c r="J177" s="1067"/>
      <c r="K177" s="1067"/>
    </row>
    <row r="178" spans="2:11" x14ac:dyDescent="0.5">
      <c r="B178" s="1042"/>
      <c r="H178" s="1071"/>
      <c r="I178" s="1067"/>
      <c r="J178" s="1067"/>
      <c r="K178" s="1067"/>
    </row>
    <row r="179" spans="2:11" x14ac:dyDescent="0.5">
      <c r="B179" s="1042"/>
      <c r="F179" s="1088"/>
      <c r="H179" s="1071"/>
      <c r="I179" s="1067"/>
      <c r="J179" s="1067"/>
      <c r="K179" s="1067"/>
    </row>
    <row r="180" spans="2:11" x14ac:dyDescent="0.5">
      <c r="B180" s="1042"/>
      <c r="H180" s="1071"/>
      <c r="I180" s="1067"/>
      <c r="J180" s="1067"/>
      <c r="K180" s="1067"/>
    </row>
    <row r="181" spans="2:11" x14ac:dyDescent="0.5">
      <c r="B181" s="1042"/>
      <c r="H181" s="1071"/>
      <c r="I181" s="1067"/>
      <c r="J181" s="1067"/>
      <c r="K181" s="1067"/>
    </row>
    <row r="182" spans="2:11" x14ac:dyDescent="0.5">
      <c r="B182" s="1042"/>
      <c r="H182" s="1071"/>
      <c r="I182" s="1067"/>
      <c r="J182" s="1067"/>
      <c r="K182" s="1067"/>
    </row>
    <row r="183" spans="2:11" x14ac:dyDescent="0.5">
      <c r="B183" s="1042"/>
      <c r="H183" s="1071"/>
      <c r="I183" s="1067"/>
      <c r="J183" s="1067"/>
      <c r="K183" s="1067"/>
    </row>
    <row r="184" spans="2:11" x14ac:dyDescent="0.5">
      <c r="B184" s="1042"/>
      <c r="H184" s="1071"/>
      <c r="I184" s="1067"/>
      <c r="J184" s="1067"/>
      <c r="K184" s="1067"/>
    </row>
    <row r="185" spans="2:11" x14ac:dyDescent="0.5">
      <c r="B185" s="1042"/>
      <c r="H185" s="1071"/>
      <c r="I185" s="1067"/>
      <c r="J185" s="1067"/>
      <c r="K185" s="1067"/>
    </row>
    <row r="186" spans="2:11" x14ac:dyDescent="0.5">
      <c r="B186" s="1042"/>
      <c r="H186" s="1071"/>
      <c r="I186" s="1067"/>
      <c r="J186" s="1067"/>
      <c r="K186" s="1067"/>
    </row>
    <row r="187" spans="2:11" x14ac:dyDescent="0.5">
      <c r="B187" s="1042"/>
      <c r="H187" s="1071"/>
      <c r="I187" s="1067"/>
      <c r="J187" s="1067"/>
      <c r="K187" s="1067"/>
    </row>
    <row r="188" spans="2:11" x14ac:dyDescent="0.5">
      <c r="B188" s="1042"/>
      <c r="H188" s="1071"/>
      <c r="I188" s="1067"/>
      <c r="J188" s="1067"/>
      <c r="K188" s="1067"/>
    </row>
    <row r="189" spans="2:11" x14ac:dyDescent="0.5">
      <c r="B189" s="1042"/>
      <c r="H189" s="1071"/>
      <c r="I189" s="1067"/>
      <c r="J189" s="1067"/>
      <c r="K189" s="1067"/>
    </row>
    <row r="190" spans="2:11" x14ac:dyDescent="0.5">
      <c r="B190" s="1042"/>
      <c r="H190" s="1071"/>
      <c r="I190" s="1067"/>
      <c r="J190" s="1067"/>
      <c r="K190" s="1067"/>
    </row>
    <row r="191" spans="2:11" x14ac:dyDescent="0.5">
      <c r="B191" s="1042"/>
      <c r="H191" s="1071"/>
      <c r="I191" s="1067"/>
      <c r="J191" s="1067"/>
      <c r="K191" s="1067"/>
    </row>
    <row r="192" spans="2:11" x14ac:dyDescent="0.5">
      <c r="B192" s="1042"/>
      <c r="H192" s="1071"/>
      <c r="I192" s="1067"/>
      <c r="J192" s="1067"/>
      <c r="K192" s="1067"/>
    </row>
    <row r="193" spans="2:11" x14ac:dyDescent="0.5">
      <c r="B193" s="1042"/>
      <c r="H193" s="1071"/>
      <c r="I193" s="1067"/>
      <c r="J193" s="1067"/>
      <c r="K193" s="1067"/>
    </row>
    <row r="194" spans="2:11" x14ac:dyDescent="0.5">
      <c r="B194" s="1042"/>
      <c r="H194" s="1071"/>
      <c r="I194" s="1067"/>
      <c r="J194" s="1067"/>
      <c r="K194" s="1067"/>
    </row>
    <row r="195" spans="2:11" x14ac:dyDescent="0.5">
      <c r="B195" s="1042"/>
      <c r="H195" s="1071"/>
      <c r="I195" s="1067"/>
      <c r="J195" s="1067"/>
      <c r="K195" s="1067"/>
    </row>
    <row r="196" spans="2:11" x14ac:dyDescent="0.5">
      <c r="B196" s="1042"/>
      <c r="H196" s="1071"/>
      <c r="I196" s="1067"/>
      <c r="J196" s="1067"/>
      <c r="K196" s="1067"/>
    </row>
    <row r="197" spans="2:11" x14ac:dyDescent="0.5">
      <c r="B197" s="1042"/>
      <c r="H197" s="1071"/>
      <c r="I197" s="1067"/>
      <c r="J197" s="1067"/>
      <c r="K197" s="1067"/>
    </row>
    <row r="198" spans="2:11" x14ac:dyDescent="0.5">
      <c r="B198" s="1042"/>
      <c r="H198" s="1071"/>
      <c r="I198" s="1067"/>
      <c r="J198" s="1067"/>
      <c r="K198" s="1067"/>
    </row>
    <row r="199" spans="2:11" x14ac:dyDescent="0.5">
      <c r="B199" s="1042"/>
      <c r="H199" s="1071"/>
      <c r="I199" s="1067"/>
      <c r="J199" s="1067"/>
      <c r="K199" s="1067"/>
    </row>
    <row r="200" spans="2:11" x14ac:dyDescent="0.5">
      <c r="B200" s="1042"/>
      <c r="H200" s="1071"/>
      <c r="I200" s="1067"/>
      <c r="J200" s="1067"/>
      <c r="K200" s="1067"/>
    </row>
    <row r="201" spans="2:11" x14ac:dyDescent="0.5">
      <c r="B201" s="1042"/>
      <c r="H201" s="1071"/>
      <c r="I201" s="1067"/>
      <c r="J201" s="1067"/>
      <c r="K201" s="1067"/>
    </row>
    <row r="202" spans="2:11" x14ac:dyDescent="0.5">
      <c r="B202" s="1042"/>
      <c r="H202" s="1071"/>
      <c r="I202" s="1067"/>
      <c r="J202" s="1067"/>
      <c r="K202" s="1067"/>
    </row>
    <row r="203" spans="2:11" x14ac:dyDescent="0.5">
      <c r="B203" s="1042"/>
      <c r="H203" s="1071"/>
      <c r="I203" s="1067"/>
      <c r="J203" s="1067"/>
      <c r="K203" s="1067"/>
    </row>
    <row r="204" spans="2:11" x14ac:dyDescent="0.5">
      <c r="B204" s="1042"/>
      <c r="H204" s="1071"/>
      <c r="I204" s="1067"/>
      <c r="J204" s="1067"/>
      <c r="K204" s="1067"/>
    </row>
    <row r="205" spans="2:11" x14ac:dyDescent="0.5">
      <c r="B205" s="1042"/>
      <c r="H205" s="1071"/>
      <c r="I205" s="1067"/>
      <c r="J205" s="1067"/>
      <c r="K205" s="1067"/>
    </row>
    <row r="206" spans="2:11" x14ac:dyDescent="0.5">
      <c r="B206" s="1042"/>
      <c r="H206" s="1071"/>
      <c r="I206" s="1067"/>
      <c r="J206" s="1067"/>
      <c r="K206" s="1067"/>
    </row>
    <row r="207" spans="2:11" x14ac:dyDescent="0.5">
      <c r="B207" s="1042"/>
      <c r="H207" s="1071"/>
      <c r="I207" s="1067"/>
      <c r="J207" s="1067"/>
      <c r="K207" s="1067"/>
    </row>
    <row r="208" spans="2:11" x14ac:dyDescent="0.5">
      <c r="B208" s="1042"/>
      <c r="H208" s="1071"/>
      <c r="I208" s="1067"/>
      <c r="J208" s="1067"/>
      <c r="K208" s="1067"/>
    </row>
    <row r="209" spans="2:11" x14ac:dyDescent="0.5">
      <c r="B209" s="1042"/>
      <c r="H209" s="1071"/>
      <c r="I209" s="1067"/>
      <c r="J209" s="1067"/>
      <c r="K209" s="1067"/>
    </row>
    <row r="210" spans="2:11" x14ac:dyDescent="0.5">
      <c r="B210" s="1042"/>
      <c r="H210" s="1071"/>
      <c r="I210" s="1067"/>
      <c r="J210" s="1067"/>
      <c r="K210" s="1067"/>
    </row>
    <row r="211" spans="2:11" x14ac:dyDescent="0.5">
      <c r="B211" s="1042"/>
      <c r="H211" s="1071"/>
      <c r="I211" s="1067"/>
      <c r="J211" s="1067"/>
      <c r="K211" s="1067"/>
    </row>
    <row r="212" spans="2:11" x14ac:dyDescent="0.5">
      <c r="B212" s="1042"/>
      <c r="H212" s="1071"/>
      <c r="I212" s="1067"/>
      <c r="J212" s="1067"/>
      <c r="K212" s="1067"/>
    </row>
    <row r="213" spans="2:11" x14ac:dyDescent="0.5">
      <c r="B213" s="1042"/>
      <c r="H213" s="1071"/>
      <c r="I213" s="1067"/>
      <c r="J213" s="1067"/>
      <c r="K213" s="1067"/>
    </row>
    <row r="214" spans="2:11" x14ac:dyDescent="0.5">
      <c r="B214" s="1042"/>
      <c r="H214" s="1071"/>
      <c r="I214" s="1067"/>
      <c r="J214" s="1067"/>
      <c r="K214" s="1067"/>
    </row>
    <row r="215" spans="2:11" x14ac:dyDescent="0.5">
      <c r="B215" s="1042"/>
      <c r="H215" s="1071"/>
      <c r="I215" s="1067"/>
      <c r="J215" s="1067"/>
      <c r="K215" s="1067"/>
    </row>
    <row r="216" spans="2:11" x14ac:dyDescent="0.5">
      <c r="B216" s="1042"/>
      <c r="H216" s="1071"/>
      <c r="I216" s="1067"/>
      <c r="J216" s="1067"/>
      <c r="K216" s="1067"/>
    </row>
    <row r="217" spans="2:11" x14ac:dyDescent="0.5">
      <c r="B217" s="1042"/>
      <c r="H217" s="1071"/>
      <c r="I217" s="1067"/>
      <c r="J217" s="1067"/>
      <c r="K217" s="1067"/>
    </row>
    <row r="218" spans="2:11" x14ac:dyDescent="0.5">
      <c r="B218" s="1042"/>
      <c r="H218" s="1071"/>
      <c r="I218" s="1067"/>
      <c r="J218" s="1067"/>
      <c r="K218" s="1067"/>
    </row>
    <row r="219" spans="2:11" x14ac:dyDescent="0.5">
      <c r="B219" s="1042"/>
      <c r="H219" s="1071"/>
      <c r="I219" s="1067"/>
      <c r="J219" s="1067"/>
      <c r="K219" s="1067"/>
    </row>
    <row r="220" spans="2:11" x14ac:dyDescent="0.5">
      <c r="B220" s="1042"/>
      <c r="H220" s="1071"/>
      <c r="I220" s="1067"/>
      <c r="J220" s="1067"/>
      <c r="K220" s="1067"/>
    </row>
    <row r="221" spans="2:11" x14ac:dyDescent="0.5">
      <c r="B221" s="1042"/>
      <c r="H221" s="1071"/>
      <c r="I221" s="1067"/>
      <c r="J221" s="1067"/>
      <c r="K221" s="1067"/>
    </row>
    <row r="222" spans="2:11" x14ac:dyDescent="0.5">
      <c r="B222" s="1042"/>
      <c r="H222" s="1071"/>
      <c r="I222" s="1067"/>
      <c r="J222" s="1067"/>
      <c r="K222" s="1067"/>
    </row>
    <row r="223" spans="2:11" x14ac:dyDescent="0.5">
      <c r="B223" s="1042"/>
      <c r="H223" s="1071"/>
      <c r="I223" s="1067"/>
      <c r="J223" s="1067"/>
      <c r="K223" s="1067"/>
    </row>
    <row r="224" spans="2:11" x14ac:dyDescent="0.5">
      <c r="B224" s="1042"/>
      <c r="H224" s="1071"/>
      <c r="I224" s="1067"/>
      <c r="J224" s="1067"/>
      <c r="K224" s="1067"/>
    </row>
    <row r="225" spans="2:11" x14ac:dyDescent="0.5">
      <c r="B225" s="1042"/>
      <c r="H225" s="1071"/>
      <c r="I225" s="1067"/>
      <c r="J225" s="1067"/>
      <c r="K225" s="1067"/>
    </row>
    <row r="226" spans="2:11" x14ac:dyDescent="0.5">
      <c r="B226" s="1042"/>
      <c r="H226" s="1071"/>
      <c r="I226" s="1067"/>
      <c r="J226" s="1067"/>
      <c r="K226" s="1067"/>
    </row>
    <row r="227" spans="2:11" x14ac:dyDescent="0.5">
      <c r="B227" s="1042"/>
      <c r="H227" s="1071"/>
      <c r="I227" s="1067"/>
      <c r="J227" s="1067"/>
      <c r="K227" s="1067"/>
    </row>
    <row r="228" spans="2:11" x14ac:dyDescent="0.5">
      <c r="B228" s="1042"/>
      <c r="H228" s="1071"/>
      <c r="I228" s="1067"/>
      <c r="J228" s="1067"/>
      <c r="K228" s="1067"/>
    </row>
    <row r="229" spans="2:11" x14ac:dyDescent="0.5">
      <c r="B229" s="1042"/>
      <c r="H229" s="1071"/>
      <c r="I229" s="1067"/>
      <c r="J229" s="1067"/>
      <c r="K229" s="1067"/>
    </row>
    <row r="230" spans="2:11" x14ac:dyDescent="0.5">
      <c r="B230" s="1042"/>
      <c r="H230" s="1071"/>
      <c r="I230" s="1067"/>
      <c r="J230" s="1067"/>
      <c r="K230" s="1067"/>
    </row>
    <row r="231" spans="2:11" x14ac:dyDescent="0.5">
      <c r="B231" s="1042"/>
      <c r="H231" s="1071"/>
      <c r="I231" s="1067"/>
      <c r="J231" s="1067"/>
      <c r="K231" s="1067"/>
    </row>
    <row r="232" spans="2:11" x14ac:dyDescent="0.5">
      <c r="B232" s="1042"/>
      <c r="H232" s="1071"/>
      <c r="I232" s="1067"/>
      <c r="J232" s="1067"/>
      <c r="K232" s="1067"/>
    </row>
    <row r="233" spans="2:11" x14ac:dyDescent="0.5">
      <c r="B233" s="1042"/>
      <c r="H233" s="1071"/>
      <c r="I233" s="1067"/>
      <c r="J233" s="1067"/>
      <c r="K233" s="1067"/>
    </row>
    <row r="234" spans="2:11" x14ac:dyDescent="0.5">
      <c r="B234" s="1042"/>
      <c r="H234" s="1071"/>
      <c r="I234" s="1067"/>
      <c r="J234" s="1067"/>
      <c r="K234" s="1067"/>
    </row>
    <row r="235" spans="2:11" x14ac:dyDescent="0.5">
      <c r="B235" s="1042"/>
      <c r="H235" s="1071"/>
      <c r="I235" s="1067"/>
      <c r="J235" s="1067"/>
      <c r="K235" s="1067"/>
    </row>
    <row r="236" spans="2:11" x14ac:dyDescent="0.5">
      <c r="B236" s="1042"/>
      <c r="H236" s="1071"/>
      <c r="I236" s="1067"/>
      <c r="J236" s="1067"/>
      <c r="K236" s="1067"/>
    </row>
    <row r="237" spans="2:11" x14ac:dyDescent="0.5">
      <c r="B237" s="1042"/>
      <c r="H237" s="1071"/>
      <c r="I237" s="1067"/>
      <c r="J237" s="1067"/>
      <c r="K237" s="1067"/>
    </row>
    <row r="238" spans="2:11" x14ac:dyDescent="0.5">
      <c r="B238" s="1042"/>
      <c r="H238" s="1071"/>
      <c r="I238" s="1067"/>
      <c r="J238" s="1067"/>
      <c r="K238" s="1067"/>
    </row>
    <row r="239" spans="2:11" x14ac:dyDescent="0.5">
      <c r="B239" s="1042"/>
      <c r="H239" s="1071"/>
      <c r="I239" s="1067"/>
      <c r="J239" s="1067"/>
      <c r="K239" s="1067"/>
    </row>
    <row r="240" spans="2:11" x14ac:dyDescent="0.5">
      <c r="B240" s="1042"/>
      <c r="H240" s="1071"/>
      <c r="I240" s="1067"/>
      <c r="J240" s="1067"/>
      <c r="K240" s="1067"/>
    </row>
    <row r="241" spans="2:11" x14ac:dyDescent="0.5">
      <c r="B241" s="1042"/>
      <c r="H241" s="1071"/>
      <c r="I241" s="1067"/>
      <c r="J241" s="1067"/>
      <c r="K241" s="1067"/>
    </row>
    <row r="242" spans="2:11" x14ac:dyDescent="0.5">
      <c r="B242" s="1042"/>
      <c r="H242" s="1071"/>
      <c r="I242" s="1067"/>
      <c r="J242" s="1067"/>
      <c r="K242" s="1067"/>
    </row>
    <row r="243" spans="2:11" x14ac:dyDescent="0.5">
      <c r="B243" s="1042"/>
      <c r="H243" s="1071"/>
      <c r="I243" s="1067"/>
      <c r="J243" s="1067"/>
      <c r="K243" s="1067"/>
    </row>
    <row r="244" spans="2:11" x14ac:dyDescent="0.5">
      <c r="B244" s="1042"/>
      <c r="H244" s="1071"/>
      <c r="I244" s="1067"/>
      <c r="J244" s="1067"/>
      <c r="K244" s="1067"/>
    </row>
    <row r="245" spans="2:11" x14ac:dyDescent="0.5">
      <c r="B245" s="1042"/>
      <c r="H245" s="1071"/>
      <c r="I245" s="1067"/>
      <c r="J245" s="1067"/>
      <c r="K245" s="1067"/>
    </row>
    <row r="246" spans="2:11" x14ac:dyDescent="0.5">
      <c r="B246" s="1042"/>
      <c r="H246" s="1071"/>
      <c r="I246" s="1067"/>
      <c r="J246" s="1067"/>
      <c r="K246" s="1067"/>
    </row>
    <row r="247" spans="2:11" x14ac:dyDescent="0.5">
      <c r="B247" s="1042"/>
      <c r="H247" s="1071"/>
      <c r="I247" s="1067"/>
      <c r="J247" s="1067"/>
      <c r="K247" s="1067"/>
    </row>
    <row r="248" spans="2:11" x14ac:dyDescent="0.5">
      <c r="B248" s="1042"/>
      <c r="H248" s="1071"/>
      <c r="I248" s="1067"/>
      <c r="J248" s="1067"/>
      <c r="K248" s="1067"/>
    </row>
    <row r="249" spans="2:11" x14ac:dyDescent="0.5">
      <c r="B249" s="1042"/>
      <c r="H249" s="1071"/>
      <c r="I249" s="1067"/>
      <c r="J249" s="1067"/>
      <c r="K249" s="1067"/>
    </row>
    <row r="250" spans="2:11" x14ac:dyDescent="0.5">
      <c r="B250" s="1042"/>
      <c r="H250" s="1071"/>
      <c r="I250" s="1067"/>
      <c r="J250" s="1067"/>
      <c r="K250" s="1067"/>
    </row>
    <row r="251" spans="2:11" x14ac:dyDescent="0.5">
      <c r="B251" s="1042"/>
      <c r="H251" s="1071"/>
      <c r="I251" s="1067"/>
      <c r="J251" s="1067"/>
      <c r="K251" s="1067"/>
    </row>
    <row r="252" spans="2:11" x14ac:dyDescent="0.5">
      <c r="B252" s="1042"/>
      <c r="H252" s="1071"/>
      <c r="I252" s="1067"/>
      <c r="J252" s="1067"/>
      <c r="K252" s="1067"/>
    </row>
    <row r="253" spans="2:11" x14ac:dyDescent="0.5">
      <c r="B253" s="1042"/>
      <c r="H253" s="1071"/>
      <c r="I253" s="1067"/>
      <c r="J253" s="1067"/>
      <c r="K253" s="1067"/>
    </row>
    <row r="254" spans="2:11" x14ac:dyDescent="0.5">
      <c r="B254" s="1042"/>
      <c r="H254" s="1071"/>
      <c r="I254" s="1067"/>
      <c r="J254" s="1067"/>
      <c r="K254" s="1067"/>
    </row>
    <row r="255" spans="2:11" x14ac:dyDescent="0.5">
      <c r="B255" s="1042"/>
      <c r="H255" s="1071"/>
      <c r="I255" s="1067"/>
      <c r="J255" s="1067"/>
      <c r="K255" s="1067"/>
    </row>
    <row r="256" spans="2:11" x14ac:dyDescent="0.5">
      <c r="B256" s="1042"/>
      <c r="H256" s="1071"/>
      <c r="I256" s="1067"/>
      <c r="J256" s="1067"/>
      <c r="K256" s="1067"/>
    </row>
    <row r="257" spans="2:11" x14ac:dyDescent="0.5">
      <c r="B257" s="1042"/>
      <c r="H257" s="1071"/>
      <c r="I257" s="1067"/>
      <c r="J257" s="1067"/>
      <c r="K257" s="1067"/>
    </row>
    <row r="258" spans="2:11" x14ac:dyDescent="0.5">
      <c r="B258" s="1042"/>
      <c r="H258" s="1071"/>
      <c r="I258" s="1067"/>
      <c r="J258" s="1067"/>
      <c r="K258" s="1067"/>
    </row>
    <row r="259" spans="2:11" x14ac:dyDescent="0.5">
      <c r="B259" s="1042"/>
      <c r="H259" s="1071"/>
      <c r="I259" s="1067"/>
      <c r="J259" s="1067"/>
      <c r="K259" s="1067"/>
    </row>
    <row r="260" spans="2:11" x14ac:dyDescent="0.5">
      <c r="B260" s="1042"/>
      <c r="H260" s="1071"/>
      <c r="I260" s="1067"/>
      <c r="J260" s="1067"/>
      <c r="K260" s="1067"/>
    </row>
    <row r="261" spans="2:11" x14ac:dyDescent="0.5">
      <c r="B261" s="1042"/>
      <c r="H261" s="1071"/>
      <c r="I261" s="1067"/>
      <c r="J261" s="1067"/>
      <c r="K261" s="1067"/>
    </row>
    <row r="262" spans="2:11" x14ac:dyDescent="0.5">
      <c r="B262" s="1042"/>
      <c r="H262" s="1071"/>
      <c r="I262" s="1067"/>
      <c r="J262" s="1067"/>
      <c r="K262" s="1067"/>
    </row>
    <row r="263" spans="2:11" x14ac:dyDescent="0.5">
      <c r="B263" s="1042"/>
      <c r="H263" s="1071"/>
      <c r="I263" s="1067"/>
      <c r="J263" s="1067"/>
      <c r="K263" s="1067"/>
    </row>
    <row r="264" spans="2:11" x14ac:dyDescent="0.5">
      <c r="B264" s="1042"/>
      <c r="H264" s="1071"/>
      <c r="I264" s="1067"/>
      <c r="J264" s="1067"/>
      <c r="K264" s="1067"/>
    </row>
    <row r="265" spans="2:11" x14ac:dyDescent="0.5">
      <c r="B265" s="1042"/>
      <c r="H265" s="1071"/>
      <c r="I265" s="1067"/>
      <c r="J265" s="1067"/>
      <c r="K265" s="1067"/>
    </row>
    <row r="266" spans="2:11" x14ac:dyDescent="0.5">
      <c r="B266" s="1042"/>
      <c r="H266" s="1071"/>
      <c r="I266" s="1067"/>
      <c r="J266" s="1067"/>
      <c r="K266" s="1067"/>
    </row>
    <row r="267" spans="2:11" x14ac:dyDescent="0.5">
      <c r="B267" s="1042"/>
      <c r="H267" s="1071"/>
      <c r="I267" s="1067"/>
      <c r="J267" s="1067"/>
      <c r="K267" s="1067"/>
    </row>
    <row r="268" spans="2:11" x14ac:dyDescent="0.5">
      <c r="B268" s="1042"/>
      <c r="H268" s="1071"/>
      <c r="I268" s="1067"/>
      <c r="J268" s="1067"/>
      <c r="K268" s="1067"/>
    </row>
    <row r="269" spans="2:11" x14ac:dyDescent="0.5">
      <c r="B269" s="1042"/>
      <c r="H269" s="1071"/>
      <c r="I269" s="1067"/>
      <c r="J269" s="1067"/>
      <c r="K269" s="1067"/>
    </row>
    <row r="270" spans="2:11" x14ac:dyDescent="0.5">
      <c r="B270" s="1042"/>
      <c r="H270" s="1071"/>
      <c r="I270" s="1067"/>
      <c r="J270" s="1067"/>
      <c r="K270" s="1067"/>
    </row>
    <row r="271" spans="2:11" x14ac:dyDescent="0.5">
      <c r="B271" s="1042"/>
      <c r="H271" s="1071"/>
      <c r="I271" s="1067"/>
      <c r="J271" s="1067"/>
      <c r="K271" s="1067"/>
    </row>
    <row r="272" spans="2:11" x14ac:dyDescent="0.5">
      <c r="B272" s="1042"/>
      <c r="H272" s="1071"/>
      <c r="I272" s="1067"/>
      <c r="J272" s="1067"/>
      <c r="K272" s="1067"/>
    </row>
    <row r="273" spans="2:11" x14ac:dyDescent="0.5">
      <c r="B273" s="1042"/>
      <c r="H273" s="1071"/>
      <c r="I273" s="1067"/>
      <c r="J273" s="1067"/>
      <c r="K273" s="1067"/>
    </row>
    <row r="274" spans="2:11" x14ac:dyDescent="0.5">
      <c r="B274" s="1042"/>
      <c r="H274" s="1071"/>
      <c r="I274" s="1067"/>
      <c r="J274" s="1067"/>
      <c r="K274" s="1067"/>
    </row>
    <row r="275" spans="2:11" x14ac:dyDescent="0.5">
      <c r="B275" s="1042"/>
      <c r="H275" s="1071"/>
      <c r="I275" s="1067"/>
      <c r="J275" s="1067"/>
      <c r="K275" s="1067"/>
    </row>
    <row r="276" spans="2:11" x14ac:dyDescent="0.5">
      <c r="B276" s="1042"/>
      <c r="H276" s="1071"/>
      <c r="I276" s="1067"/>
      <c r="J276" s="1067"/>
      <c r="K276" s="1067"/>
    </row>
    <row r="277" spans="2:11" x14ac:dyDescent="0.5">
      <c r="B277" s="1042"/>
      <c r="H277" s="1071"/>
      <c r="I277" s="1067"/>
      <c r="J277" s="1067"/>
      <c r="K277" s="1067"/>
    </row>
    <row r="278" spans="2:11" x14ac:dyDescent="0.5">
      <c r="B278" s="1042"/>
      <c r="H278" s="1071"/>
      <c r="I278" s="1067"/>
      <c r="J278" s="1067"/>
      <c r="K278" s="1067"/>
    </row>
    <row r="279" spans="2:11" x14ac:dyDescent="0.5">
      <c r="B279" s="1042"/>
      <c r="H279" s="1071"/>
      <c r="I279" s="1067"/>
      <c r="J279" s="1067"/>
      <c r="K279" s="1067"/>
    </row>
    <row r="280" spans="2:11" x14ac:dyDescent="0.5">
      <c r="B280" s="1042"/>
      <c r="H280" s="1071"/>
      <c r="I280" s="1067"/>
      <c r="J280" s="1067"/>
      <c r="K280" s="1067"/>
    </row>
    <row r="281" spans="2:11" x14ac:dyDescent="0.5">
      <c r="B281" s="1042"/>
      <c r="H281" s="1071"/>
      <c r="I281" s="1067"/>
      <c r="J281" s="1067"/>
      <c r="K281" s="1067"/>
    </row>
    <row r="282" spans="2:11" x14ac:dyDescent="0.5">
      <c r="B282" s="1042"/>
      <c r="H282" s="1071"/>
      <c r="I282" s="1067"/>
      <c r="J282" s="1067"/>
      <c r="K282" s="1067"/>
    </row>
    <row r="283" spans="2:11" x14ac:dyDescent="0.5">
      <c r="B283" s="1042"/>
      <c r="H283" s="1071"/>
      <c r="I283" s="1067"/>
      <c r="J283" s="1067"/>
      <c r="K283" s="1067"/>
    </row>
    <row r="284" spans="2:11" x14ac:dyDescent="0.5">
      <c r="B284" s="1042"/>
      <c r="H284" s="1071"/>
      <c r="I284" s="1067"/>
      <c r="J284" s="1067"/>
      <c r="K284" s="1067"/>
    </row>
    <row r="285" spans="2:11" x14ac:dyDescent="0.5">
      <c r="B285" s="1042"/>
      <c r="H285" s="1071"/>
      <c r="I285" s="1067"/>
      <c r="J285" s="1067"/>
      <c r="K285" s="1067"/>
    </row>
    <row r="286" spans="2:11" x14ac:dyDescent="0.5">
      <c r="B286" s="1042"/>
      <c r="H286" s="1071"/>
      <c r="I286" s="1067"/>
      <c r="J286" s="1067"/>
      <c r="K286" s="1067"/>
    </row>
    <row r="287" spans="2:11" x14ac:dyDescent="0.5">
      <c r="B287" s="1042"/>
      <c r="H287" s="1071"/>
      <c r="I287" s="1067"/>
      <c r="J287" s="1067"/>
      <c r="K287" s="1067"/>
    </row>
    <row r="288" spans="2:11" x14ac:dyDescent="0.5">
      <c r="B288" s="1042"/>
      <c r="H288" s="1071"/>
      <c r="I288" s="1067"/>
      <c r="J288" s="1067"/>
      <c r="K288" s="1067"/>
    </row>
    <row r="289" spans="2:11" x14ac:dyDescent="0.5">
      <c r="B289" s="1042"/>
      <c r="H289" s="1071"/>
      <c r="I289" s="1067"/>
      <c r="J289" s="1067"/>
      <c r="K289" s="1067"/>
    </row>
    <row r="290" spans="2:11" x14ac:dyDescent="0.5">
      <c r="B290" s="1042"/>
      <c r="H290" s="1071"/>
      <c r="I290" s="1067"/>
      <c r="J290" s="1067"/>
      <c r="K290" s="1067"/>
    </row>
    <row r="291" spans="2:11" x14ac:dyDescent="0.5">
      <c r="B291" s="1042"/>
      <c r="H291" s="1071"/>
      <c r="I291" s="1067"/>
      <c r="J291" s="1067"/>
      <c r="K291" s="1067"/>
    </row>
    <row r="292" spans="2:11" x14ac:dyDescent="0.5">
      <c r="B292" s="1042"/>
      <c r="H292" s="1071"/>
      <c r="I292" s="1067"/>
      <c r="J292" s="1067"/>
      <c r="K292" s="1067"/>
    </row>
    <row r="293" spans="2:11" x14ac:dyDescent="0.5">
      <c r="B293" s="1042"/>
      <c r="H293" s="1071"/>
      <c r="I293" s="1067"/>
      <c r="J293" s="1067"/>
      <c r="K293" s="1067"/>
    </row>
    <row r="294" spans="2:11" x14ac:dyDescent="0.5">
      <c r="B294" s="1042"/>
      <c r="H294" s="1071"/>
      <c r="I294" s="1067"/>
      <c r="J294" s="1067"/>
      <c r="K294" s="1067"/>
    </row>
    <row r="295" spans="2:11" x14ac:dyDescent="0.5">
      <c r="B295" s="1042"/>
      <c r="H295" s="1071"/>
      <c r="I295" s="1067"/>
      <c r="J295" s="1067"/>
      <c r="K295" s="1067"/>
    </row>
    <row r="296" spans="2:11" x14ac:dyDescent="0.5">
      <c r="B296" s="1042"/>
      <c r="H296" s="1071"/>
      <c r="I296" s="1067"/>
      <c r="J296" s="1067"/>
      <c r="K296" s="1067"/>
    </row>
    <row r="297" spans="2:11" x14ac:dyDescent="0.5">
      <c r="B297" s="1042"/>
      <c r="H297" s="1071"/>
      <c r="I297" s="1067"/>
      <c r="J297" s="1067"/>
      <c r="K297" s="1067"/>
    </row>
    <row r="298" spans="2:11" x14ac:dyDescent="0.5">
      <c r="B298" s="1042"/>
      <c r="H298" s="1071"/>
      <c r="I298" s="1067"/>
      <c r="J298" s="1067"/>
      <c r="K298" s="1067"/>
    </row>
    <row r="299" spans="2:11" x14ac:dyDescent="0.5">
      <c r="B299" s="1042"/>
      <c r="H299" s="1071"/>
      <c r="I299" s="1067"/>
      <c r="J299" s="1067"/>
      <c r="K299" s="1067"/>
    </row>
    <row r="300" spans="2:11" x14ac:dyDescent="0.5">
      <c r="B300" s="1042"/>
      <c r="H300" s="1071"/>
      <c r="I300" s="1067"/>
      <c r="J300" s="1067"/>
      <c r="K300" s="1067"/>
    </row>
    <row r="301" spans="2:11" x14ac:dyDescent="0.5">
      <c r="B301" s="1042"/>
      <c r="H301" s="1071"/>
      <c r="I301" s="1067"/>
      <c r="J301" s="1067"/>
      <c r="K301" s="1067"/>
    </row>
    <row r="302" spans="2:11" x14ac:dyDescent="0.5">
      <c r="B302" s="1042"/>
      <c r="H302" s="1071"/>
      <c r="I302" s="1067"/>
      <c r="J302" s="1067"/>
      <c r="K302" s="1067"/>
    </row>
    <row r="303" spans="2:11" x14ac:dyDescent="0.5">
      <c r="B303" s="1042"/>
      <c r="H303" s="1071"/>
      <c r="I303" s="1067"/>
      <c r="J303" s="1067"/>
      <c r="K303" s="1067"/>
    </row>
    <row r="304" spans="2:11" x14ac:dyDescent="0.5">
      <c r="B304" s="1042"/>
      <c r="H304" s="1071"/>
      <c r="I304" s="1067"/>
      <c r="J304" s="1067"/>
      <c r="K304" s="1067"/>
    </row>
    <row r="305" spans="2:11" x14ac:dyDescent="0.5">
      <c r="B305" s="1042"/>
      <c r="H305" s="1071"/>
      <c r="I305" s="1067"/>
      <c r="J305" s="1067"/>
      <c r="K305" s="1067"/>
    </row>
    <row r="306" spans="2:11" x14ac:dyDescent="0.5">
      <c r="B306" s="1042"/>
      <c r="H306" s="1071"/>
      <c r="I306" s="1067"/>
      <c r="J306" s="1067"/>
      <c r="K306" s="1067"/>
    </row>
    <row r="307" spans="2:11" x14ac:dyDescent="0.5">
      <c r="B307" s="1042"/>
      <c r="H307" s="1071"/>
      <c r="I307" s="1067"/>
      <c r="J307" s="1067"/>
      <c r="K307" s="1067"/>
    </row>
    <row r="308" spans="2:11" x14ac:dyDescent="0.5">
      <c r="B308" s="1042"/>
      <c r="H308" s="1071"/>
      <c r="I308" s="1067"/>
      <c r="J308" s="1067"/>
      <c r="K308" s="1067"/>
    </row>
    <row r="309" spans="2:11" x14ac:dyDescent="0.5">
      <c r="B309" s="1042"/>
      <c r="H309" s="1071"/>
      <c r="I309" s="1067"/>
      <c r="J309" s="1067"/>
      <c r="K309" s="1067"/>
    </row>
    <row r="310" spans="2:11" x14ac:dyDescent="0.5">
      <c r="B310" s="1042"/>
      <c r="H310" s="1071"/>
      <c r="I310" s="1067"/>
      <c r="J310" s="1067"/>
      <c r="K310" s="1067"/>
    </row>
    <row r="311" spans="2:11" x14ac:dyDescent="0.5">
      <c r="B311" s="1042"/>
      <c r="H311" s="1071"/>
      <c r="I311" s="1067"/>
      <c r="J311" s="1067"/>
      <c r="K311" s="1067"/>
    </row>
    <row r="312" spans="2:11" x14ac:dyDescent="0.5">
      <c r="B312" s="1042"/>
      <c r="H312" s="1071"/>
      <c r="I312" s="1067"/>
      <c r="J312" s="1067"/>
      <c r="K312" s="1067"/>
    </row>
    <row r="313" spans="2:11" x14ac:dyDescent="0.5">
      <c r="B313" s="1042"/>
      <c r="H313" s="1071"/>
      <c r="I313" s="1067"/>
      <c r="J313" s="1067"/>
      <c r="K313" s="1067"/>
    </row>
    <row r="314" spans="2:11" x14ac:dyDescent="0.5">
      <c r="B314" s="1042"/>
      <c r="H314" s="1071"/>
      <c r="I314" s="1067"/>
      <c r="J314" s="1067"/>
      <c r="K314" s="1067"/>
    </row>
    <row r="315" spans="2:11" x14ac:dyDescent="0.5">
      <c r="B315" s="1042"/>
      <c r="H315" s="1071"/>
      <c r="I315" s="1067"/>
      <c r="J315" s="1067"/>
      <c r="K315" s="1067"/>
    </row>
    <row r="316" spans="2:11" x14ac:dyDescent="0.5">
      <c r="B316" s="1042"/>
      <c r="H316" s="1071"/>
      <c r="I316" s="1067"/>
      <c r="J316" s="1067"/>
      <c r="K316" s="1067"/>
    </row>
    <row r="317" spans="2:11" x14ac:dyDescent="0.5">
      <c r="B317" s="1042"/>
      <c r="H317" s="1071"/>
      <c r="I317" s="1067"/>
      <c r="J317" s="1067"/>
      <c r="K317" s="1067"/>
    </row>
    <row r="318" spans="2:11" x14ac:dyDescent="0.5">
      <c r="B318" s="1042"/>
      <c r="H318" s="1071"/>
      <c r="I318" s="1067"/>
      <c r="J318" s="1067"/>
      <c r="K318" s="1067"/>
    </row>
    <row r="319" spans="2:11" x14ac:dyDescent="0.5">
      <c r="B319" s="1042"/>
      <c r="H319" s="1071"/>
      <c r="I319" s="1067"/>
      <c r="J319" s="1067"/>
      <c r="K319" s="1067"/>
    </row>
    <row r="320" spans="2:11" x14ac:dyDescent="0.5">
      <c r="B320" s="1042"/>
      <c r="H320" s="1071"/>
      <c r="I320" s="1067"/>
      <c r="J320" s="1067"/>
      <c r="K320" s="1067"/>
    </row>
    <row r="321" spans="2:11" x14ac:dyDescent="0.5">
      <c r="B321" s="1042"/>
      <c r="H321" s="1071"/>
      <c r="I321" s="1067"/>
      <c r="J321" s="1067"/>
      <c r="K321" s="1067"/>
    </row>
    <row r="322" spans="2:11" x14ac:dyDescent="0.5">
      <c r="B322" s="1042"/>
      <c r="H322" s="1071"/>
      <c r="I322" s="1067"/>
      <c r="J322" s="1067"/>
      <c r="K322" s="1067"/>
    </row>
    <row r="323" spans="2:11" x14ac:dyDescent="0.5">
      <c r="B323" s="1042"/>
      <c r="H323" s="1071"/>
      <c r="I323" s="1067"/>
      <c r="J323" s="1067"/>
      <c r="K323" s="1067"/>
    </row>
    <row r="324" spans="2:11" x14ac:dyDescent="0.5">
      <c r="B324" s="1042"/>
      <c r="H324" s="1071"/>
      <c r="I324" s="1067"/>
      <c r="J324" s="1067"/>
      <c r="K324" s="1067"/>
    </row>
    <row r="325" spans="2:11" x14ac:dyDescent="0.5">
      <c r="B325" s="1042"/>
      <c r="H325" s="1071"/>
      <c r="I325" s="1067"/>
      <c r="J325" s="1067"/>
      <c r="K325" s="1067"/>
    </row>
    <row r="326" spans="2:11" x14ac:dyDescent="0.5">
      <c r="B326" s="1042"/>
      <c r="H326" s="1071"/>
      <c r="I326" s="1067"/>
      <c r="J326" s="1067"/>
      <c r="K326" s="1067"/>
    </row>
    <row r="327" spans="2:11" x14ac:dyDescent="0.5">
      <c r="B327" s="1042"/>
      <c r="H327" s="1071"/>
      <c r="I327" s="1067"/>
      <c r="J327" s="1067"/>
      <c r="K327" s="1067"/>
    </row>
    <row r="328" spans="2:11" x14ac:dyDescent="0.5">
      <c r="B328" s="1042"/>
      <c r="H328" s="1071"/>
      <c r="I328" s="1067"/>
      <c r="J328" s="1067"/>
      <c r="K328" s="1067"/>
    </row>
    <row r="329" spans="2:11" x14ac:dyDescent="0.5">
      <c r="B329" s="1042"/>
      <c r="H329" s="1071"/>
      <c r="I329" s="1067"/>
      <c r="J329" s="1067"/>
      <c r="K329" s="1067"/>
    </row>
    <row r="330" spans="2:11" x14ac:dyDescent="0.5">
      <c r="B330" s="1042"/>
      <c r="H330" s="1071"/>
      <c r="I330" s="1067"/>
      <c r="J330" s="1067"/>
      <c r="K330" s="1067"/>
    </row>
    <row r="331" spans="2:11" x14ac:dyDescent="0.5">
      <c r="B331" s="1042"/>
      <c r="H331" s="1071"/>
      <c r="I331" s="1067"/>
      <c r="J331" s="1067"/>
      <c r="K331" s="1067"/>
    </row>
    <row r="332" spans="2:11" x14ac:dyDescent="0.5">
      <c r="B332" s="1042"/>
      <c r="H332" s="1071"/>
      <c r="I332" s="1067"/>
      <c r="J332" s="1067"/>
      <c r="K332" s="1067"/>
    </row>
    <row r="333" spans="2:11" x14ac:dyDescent="0.5">
      <c r="B333" s="1042"/>
      <c r="H333" s="1071"/>
      <c r="I333" s="1067"/>
      <c r="J333" s="1067"/>
      <c r="K333" s="1067"/>
    </row>
    <row r="334" spans="2:11" x14ac:dyDescent="0.5">
      <c r="B334" s="1042"/>
      <c r="H334" s="1071"/>
      <c r="I334" s="1067"/>
      <c r="J334" s="1067"/>
      <c r="K334" s="1067"/>
    </row>
    <row r="335" spans="2:11" x14ac:dyDescent="0.5">
      <c r="B335" s="1042"/>
      <c r="H335" s="1071"/>
      <c r="I335" s="1067"/>
      <c r="J335" s="1067"/>
      <c r="K335" s="1067"/>
    </row>
    <row r="336" spans="2:11" x14ac:dyDescent="0.5">
      <c r="B336" s="1042"/>
      <c r="H336" s="1071"/>
      <c r="I336" s="1067"/>
      <c r="J336" s="1067"/>
      <c r="K336" s="1067"/>
    </row>
    <row r="337" spans="2:11" x14ac:dyDescent="0.5">
      <c r="B337" s="1042"/>
      <c r="H337" s="1071"/>
      <c r="I337" s="1067"/>
      <c r="J337" s="1067"/>
      <c r="K337" s="1067"/>
    </row>
    <row r="338" spans="2:11" x14ac:dyDescent="0.5">
      <c r="B338" s="1042"/>
      <c r="H338" s="1071"/>
      <c r="I338" s="1067"/>
      <c r="J338" s="1067"/>
      <c r="K338" s="1067"/>
    </row>
    <row r="339" spans="2:11" x14ac:dyDescent="0.5">
      <c r="B339" s="1042"/>
      <c r="H339" s="1071"/>
      <c r="I339" s="1067"/>
      <c r="J339" s="1067"/>
      <c r="K339" s="1067"/>
    </row>
    <row r="340" spans="2:11" x14ac:dyDescent="0.5">
      <c r="B340" s="1042"/>
      <c r="H340" s="1071"/>
      <c r="I340" s="1067"/>
      <c r="J340" s="1067"/>
      <c r="K340" s="1067"/>
    </row>
    <row r="341" spans="2:11" x14ac:dyDescent="0.5">
      <c r="B341" s="1042"/>
      <c r="H341" s="1071"/>
      <c r="I341" s="1067"/>
      <c r="J341" s="1067"/>
      <c r="K341" s="1067"/>
    </row>
    <row r="342" spans="2:11" x14ac:dyDescent="0.5">
      <c r="B342" s="1042"/>
      <c r="H342" s="1071"/>
      <c r="I342" s="1067"/>
      <c r="J342" s="1067"/>
      <c r="K342" s="1067"/>
    </row>
    <row r="343" spans="2:11" x14ac:dyDescent="0.5">
      <c r="B343" s="1042"/>
      <c r="H343" s="1071"/>
      <c r="I343" s="1067"/>
      <c r="J343" s="1067"/>
      <c r="K343" s="1067"/>
    </row>
    <row r="344" spans="2:11" x14ac:dyDescent="0.5">
      <c r="B344" s="1042"/>
      <c r="H344" s="1071"/>
      <c r="I344" s="1067"/>
      <c r="J344" s="1067"/>
      <c r="K344" s="1067"/>
    </row>
    <row r="345" spans="2:11" x14ac:dyDescent="0.5">
      <c r="B345" s="1042"/>
      <c r="H345" s="1071"/>
      <c r="I345" s="1067"/>
      <c r="J345" s="1067"/>
      <c r="K345" s="1067"/>
    </row>
    <row r="346" spans="2:11" x14ac:dyDescent="0.5">
      <c r="B346" s="1042"/>
      <c r="H346" s="1071"/>
      <c r="I346" s="1067"/>
      <c r="J346" s="1067"/>
      <c r="K346" s="1067"/>
    </row>
    <row r="347" spans="2:11" x14ac:dyDescent="0.5">
      <c r="B347" s="1042"/>
      <c r="H347" s="1071"/>
      <c r="I347" s="1067"/>
      <c r="J347" s="1067"/>
      <c r="K347" s="1067"/>
    </row>
    <row r="348" spans="2:11" x14ac:dyDescent="0.5">
      <c r="B348" s="1042"/>
      <c r="H348" s="1071"/>
      <c r="I348" s="1067"/>
      <c r="J348" s="1067"/>
      <c r="K348" s="1067"/>
    </row>
    <row r="349" spans="2:11" x14ac:dyDescent="0.5">
      <c r="B349" s="1042"/>
      <c r="H349" s="1071"/>
      <c r="I349" s="1067"/>
      <c r="J349" s="1067"/>
      <c r="K349" s="1067"/>
    </row>
    <row r="350" spans="2:11" x14ac:dyDescent="0.5">
      <c r="B350" s="1042"/>
      <c r="H350" s="1071"/>
      <c r="I350" s="1067"/>
      <c r="J350" s="1067"/>
      <c r="K350" s="1067"/>
    </row>
    <row r="351" spans="2:11" x14ac:dyDescent="0.5">
      <c r="B351" s="1042"/>
      <c r="H351" s="1071"/>
      <c r="I351" s="1067"/>
      <c r="J351" s="1067"/>
    </row>
    <row r="352" spans="2:11" x14ac:dyDescent="0.5">
      <c r="B352" s="1042"/>
      <c r="H352" s="1071"/>
      <c r="I352" s="1067"/>
      <c r="J352" s="1067"/>
    </row>
    <row r="353" spans="2:2" x14ac:dyDescent="0.5">
      <c r="B353" s="1042"/>
    </row>
    <row r="354" spans="2:2" x14ac:dyDescent="0.5">
      <c r="B354" s="1042"/>
    </row>
    <row r="355" spans="2:2" x14ac:dyDescent="0.5">
      <c r="B355" s="1042"/>
    </row>
    <row r="356" spans="2:2" x14ac:dyDescent="0.5">
      <c r="B356" s="1042"/>
    </row>
    <row r="357" spans="2:2" x14ac:dyDescent="0.5">
      <c r="B357" s="1042"/>
    </row>
    <row r="358" spans="2:2" x14ac:dyDescent="0.5">
      <c r="B358" s="1042"/>
    </row>
    <row r="359" spans="2:2" x14ac:dyDescent="0.5">
      <c r="B359" s="1042"/>
    </row>
    <row r="360" spans="2:2" x14ac:dyDescent="0.5">
      <c r="B360" s="1042"/>
    </row>
    <row r="361" spans="2:2" x14ac:dyDescent="0.5">
      <c r="B361" s="1042"/>
    </row>
    <row r="362" spans="2:2" x14ac:dyDescent="0.5">
      <c r="B362" s="1042"/>
    </row>
    <row r="363" spans="2:2" x14ac:dyDescent="0.5">
      <c r="B363" s="1042"/>
    </row>
    <row r="364" spans="2:2" x14ac:dyDescent="0.5">
      <c r="B364" s="1042"/>
    </row>
    <row r="365" spans="2:2" x14ac:dyDescent="0.5">
      <c r="B365" s="1042"/>
    </row>
    <row r="366" spans="2:2" x14ac:dyDescent="0.5">
      <c r="B366" s="1042"/>
    </row>
    <row r="367" spans="2:2" x14ac:dyDescent="0.5">
      <c r="B367" s="1042"/>
    </row>
    <row r="368" spans="2:2" x14ac:dyDescent="0.5">
      <c r="B368" s="1042"/>
    </row>
    <row r="369" spans="2:2" x14ac:dyDescent="0.5">
      <c r="B369" s="1042"/>
    </row>
    <row r="370" spans="2:2" x14ac:dyDescent="0.5">
      <c r="B370" s="1042"/>
    </row>
    <row r="371" spans="2:2" x14ac:dyDescent="0.5">
      <c r="B371" s="1042"/>
    </row>
    <row r="372" spans="2:2" x14ac:dyDescent="0.5">
      <c r="B372" s="1042"/>
    </row>
    <row r="373" spans="2:2" x14ac:dyDescent="0.5">
      <c r="B373" s="1042"/>
    </row>
    <row r="374" spans="2:2" x14ac:dyDescent="0.5">
      <c r="B374" s="1042"/>
    </row>
    <row r="375" spans="2:2" x14ac:dyDescent="0.5">
      <c r="B375" s="1042"/>
    </row>
    <row r="376" spans="2:2" x14ac:dyDescent="0.5">
      <c r="B376" s="1042"/>
    </row>
    <row r="377" spans="2:2" x14ac:dyDescent="0.5">
      <c r="B377" s="1042"/>
    </row>
    <row r="378" spans="2:2" x14ac:dyDescent="0.5">
      <c r="B378" s="1042"/>
    </row>
    <row r="379" spans="2:2" x14ac:dyDescent="0.5">
      <c r="B379" s="1042"/>
    </row>
    <row r="380" spans="2:2" x14ac:dyDescent="0.5">
      <c r="B380" s="1042"/>
    </row>
    <row r="381" spans="2:2" x14ac:dyDescent="0.5">
      <c r="B381" s="1042"/>
    </row>
    <row r="382" spans="2:2" x14ac:dyDescent="0.5">
      <c r="B382" s="1042"/>
    </row>
    <row r="383" spans="2:2" x14ac:dyDescent="0.5">
      <c r="B383" s="1042"/>
    </row>
    <row r="384" spans="2:2" x14ac:dyDescent="0.5">
      <c r="B384" s="1042"/>
    </row>
    <row r="385" spans="2:2" x14ac:dyDescent="0.5">
      <c r="B385" s="1042"/>
    </row>
    <row r="386" spans="2:2" x14ac:dyDescent="0.5">
      <c r="B386" s="1042"/>
    </row>
    <row r="387" spans="2:2" x14ac:dyDescent="0.5">
      <c r="B387" s="1042"/>
    </row>
    <row r="388" spans="2:2" x14ac:dyDescent="0.5">
      <c r="B388" s="1042"/>
    </row>
    <row r="389" spans="2:2" x14ac:dyDescent="0.5">
      <c r="B389" s="1042"/>
    </row>
    <row r="390" spans="2:2" x14ac:dyDescent="0.5">
      <c r="B390" s="1042"/>
    </row>
    <row r="391" spans="2:2" x14ac:dyDescent="0.5">
      <c r="B391" s="1042"/>
    </row>
    <row r="392" spans="2:2" x14ac:dyDescent="0.5">
      <c r="B392" s="1042"/>
    </row>
    <row r="393" spans="2:2" x14ac:dyDescent="0.5">
      <c r="B393" s="1042"/>
    </row>
    <row r="394" spans="2:2" x14ac:dyDescent="0.5">
      <c r="B394" s="1042"/>
    </row>
    <row r="395" spans="2:2" x14ac:dyDescent="0.5">
      <c r="B395" s="1042"/>
    </row>
    <row r="396" spans="2:2" x14ac:dyDescent="0.5">
      <c r="B396" s="1042"/>
    </row>
    <row r="397" spans="2:2" x14ac:dyDescent="0.5">
      <c r="B397" s="1042"/>
    </row>
    <row r="398" spans="2:2" x14ac:dyDescent="0.5">
      <c r="B398" s="1042"/>
    </row>
    <row r="399" spans="2:2" x14ac:dyDescent="0.5">
      <c r="B399" s="1042"/>
    </row>
    <row r="400" spans="2:2" x14ac:dyDescent="0.5">
      <c r="B400" s="1042"/>
    </row>
    <row r="401" spans="2:2" x14ac:dyDescent="0.5">
      <c r="B401" s="1042"/>
    </row>
    <row r="402" spans="2:2" x14ac:dyDescent="0.5">
      <c r="B402" s="1042"/>
    </row>
    <row r="403" spans="2:2" x14ac:dyDescent="0.5">
      <c r="B403" s="1042"/>
    </row>
    <row r="404" spans="2:2" x14ac:dyDescent="0.5">
      <c r="B404" s="1042"/>
    </row>
    <row r="405" spans="2:2" x14ac:dyDescent="0.5">
      <c r="B405" s="1042"/>
    </row>
    <row r="406" spans="2:2" x14ac:dyDescent="0.5">
      <c r="B406" s="1042"/>
    </row>
    <row r="407" spans="2:2" x14ac:dyDescent="0.5">
      <c r="B407" s="1042"/>
    </row>
    <row r="408" spans="2:2" x14ac:dyDescent="0.5">
      <c r="B408" s="1042"/>
    </row>
    <row r="409" spans="2:2" x14ac:dyDescent="0.5">
      <c r="B409" s="1042"/>
    </row>
    <row r="410" spans="2:2" x14ac:dyDescent="0.5">
      <c r="B410" s="1042"/>
    </row>
    <row r="411" spans="2:2" x14ac:dyDescent="0.5">
      <c r="B411" s="1042"/>
    </row>
    <row r="412" spans="2:2" x14ac:dyDescent="0.5">
      <c r="B412" s="1042"/>
    </row>
    <row r="413" spans="2:2" x14ac:dyDescent="0.5">
      <c r="B413" s="1042"/>
    </row>
    <row r="414" spans="2:2" x14ac:dyDescent="0.5">
      <c r="B414" s="1042"/>
    </row>
    <row r="415" spans="2:2" x14ac:dyDescent="0.5">
      <c r="B415" s="1042"/>
    </row>
    <row r="416" spans="2:2" x14ac:dyDescent="0.5">
      <c r="B416" s="1042"/>
    </row>
    <row r="417" spans="2:2" x14ac:dyDescent="0.5">
      <c r="B417" s="1042"/>
    </row>
    <row r="418" spans="2:2" x14ac:dyDescent="0.5">
      <c r="B418" s="1042"/>
    </row>
    <row r="419" spans="2:2" x14ac:dyDescent="0.5">
      <c r="B419" s="1042"/>
    </row>
    <row r="420" spans="2:2" x14ac:dyDescent="0.5">
      <c r="B420" s="1042"/>
    </row>
    <row r="421" spans="2:2" x14ac:dyDescent="0.5">
      <c r="B421" s="1042"/>
    </row>
    <row r="422" spans="2:2" x14ac:dyDescent="0.5">
      <c r="B422" s="1042"/>
    </row>
    <row r="423" spans="2:2" x14ac:dyDescent="0.5">
      <c r="B423" s="1042"/>
    </row>
    <row r="424" spans="2:2" x14ac:dyDescent="0.5">
      <c r="B424" s="1042"/>
    </row>
    <row r="425" spans="2:2" x14ac:dyDescent="0.5">
      <c r="B425" s="1042"/>
    </row>
    <row r="426" spans="2:2" x14ac:dyDescent="0.5">
      <c r="B426" s="1042"/>
    </row>
    <row r="427" spans="2:2" x14ac:dyDescent="0.5">
      <c r="B427" s="1042"/>
    </row>
    <row r="428" spans="2:2" x14ac:dyDescent="0.5">
      <c r="B428" s="1042"/>
    </row>
    <row r="429" spans="2:2" x14ac:dyDescent="0.5">
      <c r="B429" s="1042"/>
    </row>
    <row r="430" spans="2:2" x14ac:dyDescent="0.5">
      <c r="B430" s="1042"/>
    </row>
    <row r="431" spans="2:2" x14ac:dyDescent="0.5">
      <c r="B431" s="1042"/>
    </row>
    <row r="432" spans="2:2" x14ac:dyDescent="0.5">
      <c r="B432" s="1042"/>
    </row>
    <row r="433" spans="2:2" x14ac:dyDescent="0.5">
      <c r="B433" s="1042"/>
    </row>
    <row r="434" spans="2:2" x14ac:dyDescent="0.5">
      <c r="B434" s="1042"/>
    </row>
    <row r="435" spans="2:2" x14ac:dyDescent="0.5">
      <c r="B435" s="1042"/>
    </row>
    <row r="436" spans="2:2" x14ac:dyDescent="0.5">
      <c r="B436" s="1042"/>
    </row>
    <row r="437" spans="2:2" x14ac:dyDescent="0.5">
      <c r="B437" s="1042"/>
    </row>
    <row r="438" spans="2:2" x14ac:dyDescent="0.5">
      <c r="B438" s="1042"/>
    </row>
    <row r="439" spans="2:2" x14ac:dyDescent="0.5">
      <c r="B439" s="1042"/>
    </row>
    <row r="440" spans="2:2" x14ac:dyDescent="0.5">
      <c r="B440" s="1042"/>
    </row>
    <row r="441" spans="2:2" x14ac:dyDescent="0.5">
      <c r="B441" s="1042"/>
    </row>
    <row r="442" spans="2:2" x14ac:dyDescent="0.5">
      <c r="B442" s="1042"/>
    </row>
    <row r="443" spans="2:2" x14ac:dyDescent="0.5">
      <c r="B443" s="1042"/>
    </row>
    <row r="444" spans="2:2" x14ac:dyDescent="0.5">
      <c r="B444" s="1042"/>
    </row>
    <row r="445" spans="2:2" x14ac:dyDescent="0.5">
      <c r="B445" s="1042"/>
    </row>
    <row r="446" spans="2:2" x14ac:dyDescent="0.5">
      <c r="B446" s="1042"/>
    </row>
    <row r="447" spans="2:2" x14ac:dyDescent="0.5">
      <c r="B447" s="1042"/>
    </row>
    <row r="448" spans="2:2" x14ac:dyDescent="0.5">
      <c r="B448" s="1042"/>
    </row>
    <row r="449" spans="2:2" x14ac:dyDescent="0.5">
      <c r="B449" s="1042"/>
    </row>
    <row r="450" spans="2:2" x14ac:dyDescent="0.5">
      <c r="B450" s="1042"/>
    </row>
    <row r="451" spans="2:2" x14ac:dyDescent="0.5">
      <c r="B451" s="1042"/>
    </row>
    <row r="452" spans="2:2" x14ac:dyDescent="0.5">
      <c r="B452" s="1042"/>
    </row>
    <row r="453" spans="2:2" x14ac:dyDescent="0.5">
      <c r="B453" s="1042"/>
    </row>
    <row r="454" spans="2:2" x14ac:dyDescent="0.5">
      <c r="B454" s="1042"/>
    </row>
    <row r="455" spans="2:2" x14ac:dyDescent="0.5">
      <c r="B455" s="1042"/>
    </row>
    <row r="456" spans="2:2" x14ac:dyDescent="0.5">
      <c r="B456" s="1042"/>
    </row>
    <row r="457" spans="2:2" x14ac:dyDescent="0.5">
      <c r="B457" s="1042"/>
    </row>
    <row r="458" spans="2:2" x14ac:dyDescent="0.5">
      <c r="B458" s="1042"/>
    </row>
    <row r="459" spans="2:2" x14ac:dyDescent="0.5">
      <c r="B459" s="1042"/>
    </row>
    <row r="460" spans="2:2" x14ac:dyDescent="0.5">
      <c r="B460" s="1042"/>
    </row>
    <row r="461" spans="2:2" x14ac:dyDescent="0.5">
      <c r="B461" s="1042"/>
    </row>
    <row r="462" spans="2:2" x14ac:dyDescent="0.5">
      <c r="B462" s="1042"/>
    </row>
    <row r="463" spans="2:2" x14ac:dyDescent="0.5">
      <c r="B463" s="1042"/>
    </row>
    <row r="464" spans="2:2" x14ac:dyDescent="0.5">
      <c r="B464" s="1042"/>
    </row>
    <row r="465" spans="2:2" x14ac:dyDescent="0.5">
      <c r="B465" s="1042"/>
    </row>
    <row r="466" spans="2:2" x14ac:dyDescent="0.5">
      <c r="B466" s="1042"/>
    </row>
    <row r="467" spans="2:2" x14ac:dyDescent="0.5">
      <c r="B467" s="1042"/>
    </row>
    <row r="468" spans="2:2" x14ac:dyDescent="0.5">
      <c r="B468" s="1042"/>
    </row>
    <row r="469" spans="2:2" x14ac:dyDescent="0.5">
      <c r="B469" s="1042"/>
    </row>
    <row r="470" spans="2:2" x14ac:dyDescent="0.5">
      <c r="B470" s="1042"/>
    </row>
    <row r="471" spans="2:2" x14ac:dyDescent="0.5">
      <c r="B471" s="1042"/>
    </row>
    <row r="472" spans="2:2" x14ac:dyDescent="0.5">
      <c r="B472" s="1042"/>
    </row>
    <row r="473" spans="2:2" x14ac:dyDescent="0.5">
      <c r="B473" s="1042"/>
    </row>
    <row r="474" spans="2:2" x14ac:dyDescent="0.5">
      <c r="B474" s="1042"/>
    </row>
    <row r="475" spans="2:2" x14ac:dyDescent="0.5">
      <c r="B475" s="1042"/>
    </row>
    <row r="476" spans="2:2" x14ac:dyDescent="0.5">
      <c r="B476" s="1042"/>
    </row>
    <row r="477" spans="2:2" x14ac:dyDescent="0.5">
      <c r="B477" s="1042"/>
    </row>
    <row r="478" spans="2:2" x14ac:dyDescent="0.5">
      <c r="B478" s="1042"/>
    </row>
    <row r="479" spans="2:2" x14ac:dyDescent="0.5">
      <c r="B479" s="1042"/>
    </row>
    <row r="480" spans="2:2" x14ac:dyDescent="0.5">
      <c r="B480" s="1042"/>
    </row>
    <row r="481" spans="2:2" x14ac:dyDescent="0.5">
      <c r="B481" s="1042"/>
    </row>
    <row r="482" spans="2:2" x14ac:dyDescent="0.5">
      <c r="B482" s="1042"/>
    </row>
    <row r="483" spans="2:2" x14ac:dyDescent="0.5">
      <c r="B483" s="1042"/>
    </row>
    <row r="484" spans="2:2" x14ac:dyDescent="0.5">
      <c r="B484" s="1042"/>
    </row>
    <row r="485" spans="2:2" x14ac:dyDescent="0.5">
      <c r="B485" s="1042"/>
    </row>
    <row r="486" spans="2:2" x14ac:dyDescent="0.5">
      <c r="B486" s="1042"/>
    </row>
    <row r="487" spans="2:2" x14ac:dyDescent="0.5">
      <c r="B487" s="1042"/>
    </row>
    <row r="488" spans="2:2" x14ac:dyDescent="0.5">
      <c r="B488" s="1042"/>
    </row>
    <row r="489" spans="2:2" x14ac:dyDescent="0.5">
      <c r="B489" s="1042"/>
    </row>
    <row r="490" spans="2:2" x14ac:dyDescent="0.5">
      <c r="B490" s="1042"/>
    </row>
    <row r="491" spans="2:2" x14ac:dyDescent="0.5">
      <c r="B491" s="1042"/>
    </row>
    <row r="492" spans="2:2" x14ac:dyDescent="0.5">
      <c r="B492" s="1042"/>
    </row>
    <row r="493" spans="2:2" x14ac:dyDescent="0.5">
      <c r="B493" s="1042"/>
    </row>
    <row r="494" spans="2:2" x14ac:dyDescent="0.5">
      <c r="B494" s="1042"/>
    </row>
    <row r="495" spans="2:2" x14ac:dyDescent="0.5">
      <c r="B495" s="1042"/>
    </row>
    <row r="496" spans="2:2" x14ac:dyDescent="0.5">
      <c r="B496" s="1042"/>
    </row>
    <row r="497" spans="2:2" x14ac:dyDescent="0.5">
      <c r="B497" s="1042"/>
    </row>
    <row r="498" spans="2:2" x14ac:dyDescent="0.5">
      <c r="B498" s="1042"/>
    </row>
    <row r="499" spans="2:2" x14ac:dyDescent="0.5">
      <c r="B499" s="1042"/>
    </row>
    <row r="500" spans="2:2" x14ac:dyDescent="0.5">
      <c r="B500" s="1042"/>
    </row>
    <row r="501" spans="2:2" x14ac:dyDescent="0.5">
      <c r="B501" s="1042"/>
    </row>
    <row r="502" spans="2:2" x14ac:dyDescent="0.5">
      <c r="B502" s="1042"/>
    </row>
    <row r="503" spans="2:2" x14ac:dyDescent="0.5">
      <c r="B503" s="1042"/>
    </row>
    <row r="504" spans="2:2" x14ac:dyDescent="0.5">
      <c r="B504" s="1042"/>
    </row>
    <row r="505" spans="2:2" x14ac:dyDescent="0.5">
      <c r="B505" s="1042"/>
    </row>
    <row r="506" spans="2:2" x14ac:dyDescent="0.5">
      <c r="B506" s="1042"/>
    </row>
    <row r="507" spans="2:2" x14ac:dyDescent="0.5">
      <c r="B507" s="1042"/>
    </row>
    <row r="508" spans="2:2" x14ac:dyDescent="0.5">
      <c r="B508" s="1042"/>
    </row>
    <row r="509" spans="2:2" x14ac:dyDescent="0.5">
      <c r="B509" s="1042"/>
    </row>
    <row r="510" spans="2:2" x14ac:dyDescent="0.5">
      <c r="B510" s="1042"/>
    </row>
    <row r="511" spans="2:2" x14ac:dyDescent="0.5">
      <c r="B511" s="1042"/>
    </row>
    <row r="512" spans="2:2" x14ac:dyDescent="0.5">
      <c r="B512" s="1042"/>
    </row>
    <row r="513" spans="2:2" x14ac:dyDescent="0.5">
      <c r="B513" s="1042"/>
    </row>
    <row r="514" spans="2:2" x14ac:dyDescent="0.5">
      <c r="B514" s="1042"/>
    </row>
    <row r="515" spans="2:2" x14ac:dyDescent="0.5">
      <c r="B515" s="1042"/>
    </row>
    <row r="516" spans="2:2" x14ac:dyDescent="0.5">
      <c r="B516" s="1042"/>
    </row>
    <row r="517" spans="2:2" x14ac:dyDescent="0.5">
      <c r="B517" s="1042"/>
    </row>
    <row r="518" spans="2:2" x14ac:dyDescent="0.5">
      <c r="B518" s="1042"/>
    </row>
    <row r="519" spans="2:2" x14ac:dyDescent="0.5">
      <c r="B519" s="1042"/>
    </row>
    <row r="520" spans="2:2" x14ac:dyDescent="0.5">
      <c r="B520" s="1042"/>
    </row>
    <row r="521" spans="2:2" x14ac:dyDescent="0.5">
      <c r="B521" s="1042"/>
    </row>
    <row r="522" spans="2:2" x14ac:dyDescent="0.5">
      <c r="B522" s="1042"/>
    </row>
    <row r="523" spans="2:2" x14ac:dyDescent="0.5">
      <c r="B523" s="1042"/>
    </row>
    <row r="524" spans="2:2" x14ac:dyDescent="0.5">
      <c r="B524" s="1042"/>
    </row>
    <row r="525" spans="2:2" x14ac:dyDescent="0.5">
      <c r="B525" s="1042"/>
    </row>
    <row r="526" spans="2:2" x14ac:dyDescent="0.5">
      <c r="B526" s="1042"/>
    </row>
    <row r="527" spans="2:2" x14ac:dyDescent="0.5">
      <c r="B527" s="1042"/>
    </row>
    <row r="528" spans="2:2" x14ac:dyDescent="0.5">
      <c r="B528" s="1042"/>
    </row>
    <row r="529" spans="2:2" x14ac:dyDescent="0.5">
      <c r="B529" s="1042"/>
    </row>
    <row r="530" spans="2:2" x14ac:dyDescent="0.5">
      <c r="B530" s="1042"/>
    </row>
    <row r="531" spans="2:2" x14ac:dyDescent="0.5">
      <c r="B531" s="1042"/>
    </row>
    <row r="532" spans="2:2" x14ac:dyDescent="0.5">
      <c r="B532" s="1042"/>
    </row>
    <row r="533" spans="2:2" x14ac:dyDescent="0.5">
      <c r="B533" s="1042"/>
    </row>
    <row r="534" spans="2:2" x14ac:dyDescent="0.5">
      <c r="B534" s="1042"/>
    </row>
    <row r="535" spans="2:2" x14ac:dyDescent="0.5">
      <c r="B535" s="1042"/>
    </row>
    <row r="536" spans="2:2" x14ac:dyDescent="0.5">
      <c r="B536" s="1042"/>
    </row>
    <row r="537" spans="2:2" x14ac:dyDescent="0.5">
      <c r="B537" s="1042"/>
    </row>
    <row r="538" spans="2:2" x14ac:dyDescent="0.5">
      <c r="B538" s="1042"/>
    </row>
    <row r="539" spans="2:2" x14ac:dyDescent="0.5">
      <c r="B539" s="1042"/>
    </row>
    <row r="540" spans="2:2" x14ac:dyDescent="0.5">
      <c r="B540" s="1042"/>
    </row>
    <row r="541" spans="2:2" x14ac:dyDescent="0.5">
      <c r="B541" s="1042"/>
    </row>
    <row r="542" spans="2:2" x14ac:dyDescent="0.5">
      <c r="B542" s="1042"/>
    </row>
    <row r="543" spans="2:2" x14ac:dyDescent="0.5">
      <c r="B543" s="1042"/>
    </row>
    <row r="544" spans="2:2" x14ac:dyDescent="0.5">
      <c r="B544" s="1042"/>
    </row>
    <row r="545" spans="2:2" x14ac:dyDescent="0.5">
      <c r="B545" s="1042"/>
    </row>
    <row r="546" spans="2:2" x14ac:dyDescent="0.5">
      <c r="B546" s="1042"/>
    </row>
    <row r="547" spans="2:2" x14ac:dyDescent="0.5">
      <c r="B547" s="1042"/>
    </row>
    <row r="548" spans="2:2" x14ac:dyDescent="0.5">
      <c r="B548" s="1042"/>
    </row>
    <row r="549" spans="2:2" x14ac:dyDescent="0.5">
      <c r="B549" s="1042"/>
    </row>
    <row r="550" spans="2:2" x14ac:dyDescent="0.5">
      <c r="B550" s="1042"/>
    </row>
    <row r="551" spans="2:2" x14ac:dyDescent="0.5">
      <c r="B551" s="1042"/>
    </row>
    <row r="552" spans="2:2" x14ac:dyDescent="0.5">
      <c r="B552" s="1042"/>
    </row>
    <row r="553" spans="2:2" x14ac:dyDescent="0.5">
      <c r="B553" s="1042"/>
    </row>
    <row r="554" spans="2:2" x14ac:dyDescent="0.5">
      <c r="B554" s="1042"/>
    </row>
    <row r="555" spans="2:2" x14ac:dyDescent="0.5">
      <c r="B555" s="1042"/>
    </row>
    <row r="556" spans="2:2" x14ac:dyDescent="0.5">
      <c r="B556" s="1042"/>
    </row>
    <row r="557" spans="2:2" x14ac:dyDescent="0.5">
      <c r="B557" s="1042"/>
    </row>
    <row r="558" spans="2:2" x14ac:dyDescent="0.5">
      <c r="B558" s="1042"/>
    </row>
    <row r="559" spans="2:2" x14ac:dyDescent="0.5">
      <c r="B559" s="1042"/>
    </row>
    <row r="560" spans="2:2" x14ac:dyDescent="0.5">
      <c r="B560" s="1042"/>
    </row>
    <row r="561" spans="2:2" x14ac:dyDescent="0.5">
      <c r="B561" s="1042"/>
    </row>
    <row r="562" spans="2:2" x14ac:dyDescent="0.5">
      <c r="B562" s="1042"/>
    </row>
    <row r="563" spans="2:2" x14ac:dyDescent="0.5">
      <c r="B563" s="1042"/>
    </row>
    <row r="564" spans="2:2" x14ac:dyDescent="0.5">
      <c r="B564" s="1042"/>
    </row>
    <row r="565" spans="2:2" x14ac:dyDescent="0.5">
      <c r="B565" s="1042"/>
    </row>
    <row r="566" spans="2:2" x14ac:dyDescent="0.5">
      <c r="B566" s="1042"/>
    </row>
    <row r="567" spans="2:2" x14ac:dyDescent="0.5">
      <c r="B567" s="1042"/>
    </row>
    <row r="568" spans="2:2" x14ac:dyDescent="0.5">
      <c r="B568" s="1042"/>
    </row>
    <row r="569" spans="2:2" x14ac:dyDescent="0.5">
      <c r="B569" s="1042"/>
    </row>
    <row r="570" spans="2:2" x14ac:dyDescent="0.5">
      <c r="B570" s="1042"/>
    </row>
    <row r="571" spans="2:2" x14ac:dyDescent="0.5">
      <c r="B571" s="1042"/>
    </row>
    <row r="572" spans="2:2" x14ac:dyDescent="0.5">
      <c r="B572" s="1042"/>
    </row>
    <row r="573" spans="2:2" x14ac:dyDescent="0.5">
      <c r="B573" s="1042"/>
    </row>
    <row r="574" spans="2:2" x14ac:dyDescent="0.5">
      <c r="B574" s="1042"/>
    </row>
    <row r="575" spans="2:2" x14ac:dyDescent="0.5">
      <c r="B575" s="1042"/>
    </row>
    <row r="576" spans="2:2" x14ac:dyDescent="0.5">
      <c r="B576" s="1042"/>
    </row>
    <row r="577" spans="2:2" x14ac:dyDescent="0.5">
      <c r="B577" s="1042"/>
    </row>
    <row r="578" spans="2:2" x14ac:dyDescent="0.5">
      <c r="B578" s="1042"/>
    </row>
    <row r="579" spans="2:2" x14ac:dyDescent="0.5">
      <c r="B579" s="1042"/>
    </row>
    <row r="580" spans="2:2" x14ac:dyDescent="0.5">
      <c r="B580" s="1042"/>
    </row>
    <row r="581" spans="2:2" x14ac:dyDescent="0.5">
      <c r="B581" s="1042"/>
    </row>
    <row r="582" spans="2:2" x14ac:dyDescent="0.5">
      <c r="B582" s="1042"/>
    </row>
    <row r="583" spans="2:2" x14ac:dyDescent="0.5">
      <c r="B583" s="1042"/>
    </row>
    <row r="584" spans="2:2" x14ac:dyDescent="0.5">
      <c r="B584" s="1042"/>
    </row>
    <row r="585" spans="2:2" x14ac:dyDescent="0.5">
      <c r="B585" s="1042"/>
    </row>
    <row r="586" spans="2:2" x14ac:dyDescent="0.5">
      <c r="B586" s="1042"/>
    </row>
    <row r="587" spans="2:2" x14ac:dyDescent="0.5">
      <c r="B587" s="1042"/>
    </row>
    <row r="588" spans="2:2" x14ac:dyDescent="0.5">
      <c r="B588" s="1042"/>
    </row>
    <row r="589" spans="2:2" x14ac:dyDescent="0.5">
      <c r="B589" s="1042"/>
    </row>
    <row r="590" spans="2:2" x14ac:dyDescent="0.5">
      <c r="B590" s="1042"/>
    </row>
    <row r="591" spans="2:2" x14ac:dyDescent="0.5">
      <c r="B591" s="1042"/>
    </row>
    <row r="592" spans="2:2" x14ac:dyDescent="0.5">
      <c r="B592" s="1042"/>
    </row>
    <row r="593" spans="2:2" x14ac:dyDescent="0.5">
      <c r="B593" s="1042"/>
    </row>
    <row r="594" spans="2:2" x14ac:dyDescent="0.5">
      <c r="B594" s="1042"/>
    </row>
    <row r="595" spans="2:2" x14ac:dyDescent="0.5">
      <c r="B595" s="1042"/>
    </row>
    <row r="596" spans="2:2" x14ac:dyDescent="0.5">
      <c r="B596" s="1042"/>
    </row>
    <row r="597" spans="2:2" x14ac:dyDescent="0.5">
      <c r="B597" s="1042"/>
    </row>
    <row r="598" spans="2:2" x14ac:dyDescent="0.5">
      <c r="B598" s="1042"/>
    </row>
    <row r="599" spans="2:2" x14ac:dyDescent="0.5">
      <c r="B599" s="1042"/>
    </row>
    <row r="600" spans="2:2" x14ac:dyDescent="0.5">
      <c r="B600" s="1042"/>
    </row>
    <row r="601" spans="2:2" x14ac:dyDescent="0.5">
      <c r="B601" s="1042"/>
    </row>
    <row r="602" spans="2:2" x14ac:dyDescent="0.5">
      <c r="B602" s="1042"/>
    </row>
    <row r="603" spans="2:2" x14ac:dyDescent="0.5">
      <c r="B603" s="1042"/>
    </row>
    <row r="604" spans="2:2" x14ac:dyDescent="0.5">
      <c r="B604" s="1042"/>
    </row>
    <row r="605" spans="2:2" x14ac:dyDescent="0.5">
      <c r="B605" s="1042"/>
    </row>
    <row r="606" spans="2:2" x14ac:dyDescent="0.5">
      <c r="B606" s="1042"/>
    </row>
    <row r="607" spans="2:2" x14ac:dyDescent="0.5">
      <c r="B607" s="1042"/>
    </row>
    <row r="608" spans="2:2" x14ac:dyDescent="0.5">
      <c r="B608" s="1042"/>
    </row>
    <row r="609" spans="2:2" x14ac:dyDescent="0.5">
      <c r="B609" s="1042"/>
    </row>
    <row r="610" spans="2:2" x14ac:dyDescent="0.5">
      <c r="B610" s="1042"/>
    </row>
    <row r="611" spans="2:2" x14ac:dyDescent="0.5">
      <c r="B611" s="1042"/>
    </row>
    <row r="612" spans="2:2" x14ac:dyDescent="0.5">
      <c r="B612" s="1042"/>
    </row>
    <row r="613" spans="2:2" x14ac:dyDescent="0.5">
      <c r="B613" s="1042"/>
    </row>
    <row r="614" spans="2:2" x14ac:dyDescent="0.5">
      <c r="B614" s="1042"/>
    </row>
    <row r="615" spans="2:2" x14ac:dyDescent="0.5">
      <c r="B615" s="1042"/>
    </row>
    <row r="616" spans="2:2" x14ac:dyDescent="0.5">
      <c r="B616" s="1042"/>
    </row>
    <row r="617" spans="2:2" x14ac:dyDescent="0.5">
      <c r="B617" s="1042"/>
    </row>
    <row r="618" spans="2:2" x14ac:dyDescent="0.5">
      <c r="B618" s="1042"/>
    </row>
    <row r="619" spans="2:2" x14ac:dyDescent="0.5">
      <c r="B619" s="1042"/>
    </row>
    <row r="620" spans="2:2" x14ac:dyDescent="0.5">
      <c r="B620" s="1042"/>
    </row>
    <row r="621" spans="2:2" x14ac:dyDescent="0.5">
      <c r="B621" s="1042"/>
    </row>
    <row r="622" spans="2:2" x14ac:dyDescent="0.5">
      <c r="B622" s="1042"/>
    </row>
    <row r="623" spans="2:2" x14ac:dyDescent="0.5">
      <c r="B623" s="1042"/>
    </row>
    <row r="624" spans="2:2" x14ac:dyDescent="0.5">
      <c r="B624" s="1042"/>
    </row>
    <row r="625" spans="2:2" x14ac:dyDescent="0.5">
      <c r="B625" s="1042"/>
    </row>
    <row r="626" spans="2:2" x14ac:dyDescent="0.5">
      <c r="B626" s="1042"/>
    </row>
    <row r="627" spans="2:2" x14ac:dyDescent="0.5">
      <c r="B627" s="1042"/>
    </row>
    <row r="628" spans="2:2" x14ac:dyDescent="0.5">
      <c r="B628" s="1042"/>
    </row>
    <row r="629" spans="2:2" x14ac:dyDescent="0.5">
      <c r="B629" s="1042"/>
    </row>
    <row r="630" spans="2:2" x14ac:dyDescent="0.5">
      <c r="B630" s="1042"/>
    </row>
    <row r="631" spans="2:2" x14ac:dyDescent="0.5">
      <c r="B631" s="1042"/>
    </row>
    <row r="632" spans="2:2" x14ac:dyDescent="0.5">
      <c r="B632" s="1042"/>
    </row>
    <row r="633" spans="2:2" x14ac:dyDescent="0.5">
      <c r="B633" s="1042"/>
    </row>
    <row r="634" spans="2:2" x14ac:dyDescent="0.5">
      <c r="B634" s="1042"/>
    </row>
    <row r="635" spans="2:2" x14ac:dyDescent="0.5">
      <c r="B635" s="1042"/>
    </row>
    <row r="636" spans="2:2" x14ac:dyDescent="0.5">
      <c r="B636" s="1042"/>
    </row>
    <row r="637" spans="2:2" x14ac:dyDescent="0.5">
      <c r="B637" s="1042"/>
    </row>
    <row r="638" spans="2:2" x14ac:dyDescent="0.5">
      <c r="B638" s="1042"/>
    </row>
    <row r="639" spans="2:2" x14ac:dyDescent="0.5">
      <c r="B639" s="1042"/>
    </row>
    <row r="640" spans="2:2" x14ac:dyDescent="0.5">
      <c r="B640" s="1042"/>
    </row>
    <row r="641" spans="2:2" x14ac:dyDescent="0.5">
      <c r="B641" s="1042"/>
    </row>
    <row r="642" spans="2:2" x14ac:dyDescent="0.5">
      <c r="B642" s="1042"/>
    </row>
    <row r="643" spans="2:2" x14ac:dyDescent="0.5">
      <c r="B643" s="1042"/>
    </row>
    <row r="644" spans="2:2" x14ac:dyDescent="0.5">
      <c r="B644" s="1042"/>
    </row>
    <row r="645" spans="2:2" x14ac:dyDescent="0.5">
      <c r="B645" s="1042"/>
    </row>
    <row r="646" spans="2:2" x14ac:dyDescent="0.5">
      <c r="B646" s="1042"/>
    </row>
    <row r="647" spans="2:2" x14ac:dyDescent="0.5">
      <c r="B647" s="1042"/>
    </row>
    <row r="648" spans="2:2" x14ac:dyDescent="0.5">
      <c r="B648" s="1042"/>
    </row>
    <row r="649" spans="2:2" x14ac:dyDescent="0.5">
      <c r="B649" s="1042"/>
    </row>
    <row r="650" spans="2:2" x14ac:dyDescent="0.5">
      <c r="B650" s="1042"/>
    </row>
    <row r="651" spans="2:2" x14ac:dyDescent="0.5">
      <c r="B651" s="1042"/>
    </row>
    <row r="652" spans="2:2" x14ac:dyDescent="0.5">
      <c r="B652" s="1042"/>
    </row>
    <row r="653" spans="2:2" x14ac:dyDescent="0.5">
      <c r="B653" s="1042"/>
    </row>
    <row r="654" spans="2:2" x14ac:dyDescent="0.5">
      <c r="B654" s="1042"/>
    </row>
    <row r="655" spans="2:2" x14ac:dyDescent="0.5">
      <c r="B655" s="1042"/>
    </row>
    <row r="656" spans="2:2" x14ac:dyDescent="0.5">
      <c r="B656" s="1042"/>
    </row>
    <row r="657" spans="2:2" x14ac:dyDescent="0.5">
      <c r="B657" s="1042"/>
    </row>
    <row r="658" spans="2:2" x14ac:dyDescent="0.5">
      <c r="B658" s="1042"/>
    </row>
    <row r="659" spans="2:2" x14ac:dyDescent="0.5">
      <c r="B659" s="1042"/>
    </row>
    <row r="660" spans="2:2" x14ac:dyDescent="0.5">
      <c r="B660" s="1042"/>
    </row>
    <row r="661" spans="2:2" x14ac:dyDescent="0.5">
      <c r="B661" s="1042"/>
    </row>
    <row r="662" spans="2:2" x14ac:dyDescent="0.5">
      <c r="B662" s="1042"/>
    </row>
    <row r="663" spans="2:2" x14ac:dyDescent="0.5">
      <c r="B663" s="1042"/>
    </row>
    <row r="664" spans="2:2" x14ac:dyDescent="0.5">
      <c r="B664" s="1042"/>
    </row>
    <row r="665" spans="2:2" x14ac:dyDescent="0.5">
      <c r="B665" s="1042"/>
    </row>
    <row r="666" spans="2:2" x14ac:dyDescent="0.5">
      <c r="B666" s="1042"/>
    </row>
    <row r="667" spans="2:2" x14ac:dyDescent="0.5">
      <c r="B667" s="1042"/>
    </row>
    <row r="668" spans="2:2" x14ac:dyDescent="0.5">
      <c r="B668" s="1042"/>
    </row>
    <row r="669" spans="2:2" x14ac:dyDescent="0.5">
      <c r="B669" s="1042"/>
    </row>
    <row r="670" spans="2:2" x14ac:dyDescent="0.5">
      <c r="B670" s="1042"/>
    </row>
    <row r="671" spans="2:2" x14ac:dyDescent="0.5">
      <c r="B671" s="1042"/>
    </row>
    <row r="672" spans="2:2" x14ac:dyDescent="0.5">
      <c r="B672" s="1042"/>
    </row>
    <row r="673" spans="2:2" x14ac:dyDescent="0.5">
      <c r="B673" s="1042"/>
    </row>
    <row r="674" spans="2:2" x14ac:dyDescent="0.5">
      <c r="B674" s="1042"/>
    </row>
    <row r="675" spans="2:2" x14ac:dyDescent="0.5">
      <c r="B675" s="1042"/>
    </row>
    <row r="676" spans="2:2" x14ac:dyDescent="0.5">
      <c r="B676" s="1042"/>
    </row>
    <row r="677" spans="2:2" x14ac:dyDescent="0.5">
      <c r="B677" s="1042"/>
    </row>
    <row r="678" spans="2:2" x14ac:dyDescent="0.5">
      <c r="B678" s="1042"/>
    </row>
    <row r="679" spans="2:2" x14ac:dyDescent="0.5">
      <c r="B679" s="1042"/>
    </row>
    <row r="680" spans="2:2" x14ac:dyDescent="0.5">
      <c r="B680" s="1042"/>
    </row>
    <row r="681" spans="2:2" x14ac:dyDescent="0.5">
      <c r="B681" s="1042"/>
    </row>
    <row r="682" spans="2:2" x14ac:dyDescent="0.5">
      <c r="B682" s="1042"/>
    </row>
    <row r="683" spans="2:2" x14ac:dyDescent="0.5">
      <c r="B683" s="1042"/>
    </row>
    <row r="684" spans="2:2" x14ac:dyDescent="0.5">
      <c r="B684" s="1042"/>
    </row>
    <row r="685" spans="2:2" x14ac:dyDescent="0.5">
      <c r="B685" s="1042"/>
    </row>
    <row r="686" spans="2:2" x14ac:dyDescent="0.5">
      <c r="B686" s="1042"/>
    </row>
    <row r="687" spans="2:2" x14ac:dyDescent="0.5">
      <c r="B687" s="1042"/>
    </row>
    <row r="688" spans="2:2" x14ac:dyDescent="0.5">
      <c r="B688" s="1042"/>
    </row>
    <row r="689" spans="2:2" x14ac:dyDescent="0.5">
      <c r="B689" s="1042"/>
    </row>
    <row r="690" spans="2:2" x14ac:dyDescent="0.5">
      <c r="B690" s="1042"/>
    </row>
    <row r="691" spans="2:2" x14ac:dyDescent="0.5">
      <c r="B691" s="1042"/>
    </row>
    <row r="692" spans="2:2" x14ac:dyDescent="0.5">
      <c r="B692" s="1042"/>
    </row>
    <row r="693" spans="2:2" x14ac:dyDescent="0.5">
      <c r="B693" s="1042"/>
    </row>
    <row r="694" spans="2:2" x14ac:dyDescent="0.5">
      <c r="B694" s="1042"/>
    </row>
    <row r="695" spans="2:2" x14ac:dyDescent="0.5">
      <c r="B695" s="1042"/>
    </row>
    <row r="696" spans="2:2" x14ac:dyDescent="0.5">
      <c r="B696" s="1042"/>
    </row>
    <row r="697" spans="2:2" x14ac:dyDescent="0.5">
      <c r="B697" s="1042"/>
    </row>
    <row r="698" spans="2:2" x14ac:dyDescent="0.5">
      <c r="B698" s="1042"/>
    </row>
    <row r="699" spans="2:2" x14ac:dyDescent="0.5">
      <c r="B699" s="1042"/>
    </row>
    <row r="700" spans="2:2" x14ac:dyDescent="0.5">
      <c r="B700" s="1042"/>
    </row>
    <row r="701" spans="2:2" x14ac:dyDescent="0.5">
      <c r="B701" s="1042"/>
    </row>
    <row r="702" spans="2:2" x14ac:dyDescent="0.5">
      <c r="B702" s="1042"/>
    </row>
    <row r="703" spans="2:2" x14ac:dyDescent="0.5">
      <c r="B703" s="1042"/>
    </row>
    <row r="704" spans="2:2" x14ac:dyDescent="0.5">
      <c r="B704" s="1042"/>
    </row>
    <row r="705" spans="2:2" x14ac:dyDescent="0.5">
      <c r="B705" s="1042"/>
    </row>
    <row r="706" spans="2:2" x14ac:dyDescent="0.5">
      <c r="B706" s="1042"/>
    </row>
    <row r="707" spans="2:2" x14ac:dyDescent="0.5">
      <c r="B707" s="1042"/>
    </row>
    <row r="708" spans="2:2" x14ac:dyDescent="0.5">
      <c r="B708" s="1042"/>
    </row>
    <row r="709" spans="2:2" x14ac:dyDescent="0.5">
      <c r="B709" s="1042"/>
    </row>
    <row r="710" spans="2:2" x14ac:dyDescent="0.5">
      <c r="B710" s="1042"/>
    </row>
    <row r="711" spans="2:2" x14ac:dyDescent="0.5">
      <c r="B711" s="1042"/>
    </row>
    <row r="712" spans="2:2" x14ac:dyDescent="0.5">
      <c r="B712" s="1042"/>
    </row>
    <row r="713" spans="2:2" x14ac:dyDescent="0.5">
      <c r="B713" s="1042"/>
    </row>
    <row r="714" spans="2:2" x14ac:dyDescent="0.5">
      <c r="B714" s="1042"/>
    </row>
    <row r="715" spans="2:2" x14ac:dyDescent="0.5">
      <c r="B715" s="1042"/>
    </row>
    <row r="716" spans="2:2" x14ac:dyDescent="0.5">
      <c r="B716" s="1042"/>
    </row>
    <row r="717" spans="2:2" x14ac:dyDescent="0.5">
      <c r="B717" s="1042"/>
    </row>
    <row r="718" spans="2:2" x14ac:dyDescent="0.5">
      <c r="B718" s="1042"/>
    </row>
    <row r="719" spans="2:2" x14ac:dyDescent="0.5">
      <c r="B719" s="1042"/>
    </row>
    <row r="720" spans="2:2" x14ac:dyDescent="0.5">
      <c r="B720" s="1042"/>
    </row>
    <row r="721" spans="2:2" x14ac:dyDescent="0.5">
      <c r="B721" s="1042"/>
    </row>
    <row r="722" spans="2:2" x14ac:dyDescent="0.5">
      <c r="B722" s="1042"/>
    </row>
    <row r="723" spans="2:2" x14ac:dyDescent="0.5">
      <c r="B723" s="1042"/>
    </row>
    <row r="724" spans="2:2" x14ac:dyDescent="0.5">
      <c r="B724" s="1042"/>
    </row>
    <row r="725" spans="2:2" x14ac:dyDescent="0.5">
      <c r="B725" s="1042"/>
    </row>
    <row r="726" spans="2:2" x14ac:dyDescent="0.5">
      <c r="B726" s="1042"/>
    </row>
    <row r="727" spans="2:2" x14ac:dyDescent="0.5">
      <c r="B727" s="1042"/>
    </row>
    <row r="728" spans="2:2" x14ac:dyDescent="0.5">
      <c r="B728" s="1042"/>
    </row>
    <row r="729" spans="2:2" x14ac:dyDescent="0.5">
      <c r="B729" s="1042"/>
    </row>
    <row r="730" spans="2:2" x14ac:dyDescent="0.5">
      <c r="B730" s="1042"/>
    </row>
    <row r="731" spans="2:2" x14ac:dyDescent="0.5">
      <c r="B731" s="1042"/>
    </row>
    <row r="732" spans="2:2" x14ac:dyDescent="0.5">
      <c r="B732" s="1042"/>
    </row>
    <row r="733" spans="2:2" x14ac:dyDescent="0.5">
      <c r="B733" s="1042"/>
    </row>
    <row r="734" spans="2:2" x14ac:dyDescent="0.5">
      <c r="B734" s="1042"/>
    </row>
    <row r="735" spans="2:2" x14ac:dyDescent="0.5">
      <c r="B735" s="1042"/>
    </row>
    <row r="736" spans="2:2" x14ac:dyDescent="0.5">
      <c r="B736" s="1042"/>
    </row>
    <row r="737" spans="2:2" x14ac:dyDescent="0.5">
      <c r="B737" s="1042"/>
    </row>
    <row r="738" spans="2:2" x14ac:dyDescent="0.5">
      <c r="B738" s="1042"/>
    </row>
    <row r="739" spans="2:2" x14ac:dyDescent="0.5">
      <c r="B739" s="1042"/>
    </row>
    <row r="740" spans="2:2" x14ac:dyDescent="0.5">
      <c r="B740" s="1042"/>
    </row>
    <row r="741" spans="2:2" x14ac:dyDescent="0.5">
      <c r="B741" s="1042"/>
    </row>
    <row r="742" spans="2:2" x14ac:dyDescent="0.5">
      <c r="B742" s="1042"/>
    </row>
    <row r="743" spans="2:2" x14ac:dyDescent="0.5">
      <c r="B743" s="1042"/>
    </row>
    <row r="744" spans="2:2" x14ac:dyDescent="0.5">
      <c r="B744" s="1042"/>
    </row>
    <row r="745" spans="2:2" x14ac:dyDescent="0.5">
      <c r="B745" s="1042"/>
    </row>
    <row r="746" spans="2:2" x14ac:dyDescent="0.5">
      <c r="B746" s="1042"/>
    </row>
    <row r="747" spans="2:2" x14ac:dyDescent="0.5">
      <c r="B747" s="1042"/>
    </row>
    <row r="748" spans="2:2" x14ac:dyDescent="0.5">
      <c r="B748" s="1042"/>
    </row>
    <row r="749" spans="2:2" x14ac:dyDescent="0.5">
      <c r="B749" s="1042"/>
    </row>
    <row r="750" spans="2:2" x14ac:dyDescent="0.5">
      <c r="B750" s="1042"/>
    </row>
    <row r="751" spans="2:2" x14ac:dyDescent="0.5">
      <c r="B751" s="1042"/>
    </row>
    <row r="752" spans="2:2" x14ac:dyDescent="0.5">
      <c r="B752" s="1042"/>
    </row>
    <row r="753" spans="2:2" x14ac:dyDescent="0.5">
      <c r="B753" s="1042"/>
    </row>
    <row r="754" spans="2:2" x14ac:dyDescent="0.5">
      <c r="B754" s="1042"/>
    </row>
    <row r="755" spans="2:2" x14ac:dyDescent="0.5">
      <c r="B755" s="1042"/>
    </row>
    <row r="756" spans="2:2" x14ac:dyDescent="0.5">
      <c r="B756" s="1042"/>
    </row>
    <row r="757" spans="2:2" x14ac:dyDescent="0.5">
      <c r="B757" s="1042"/>
    </row>
    <row r="758" spans="2:2" x14ac:dyDescent="0.5">
      <c r="B758" s="1042"/>
    </row>
    <row r="759" spans="2:2" x14ac:dyDescent="0.5">
      <c r="B759" s="1042"/>
    </row>
    <row r="760" spans="2:2" x14ac:dyDescent="0.5">
      <c r="B760" s="1042"/>
    </row>
    <row r="761" spans="2:2" x14ac:dyDescent="0.5">
      <c r="B761" s="1042"/>
    </row>
    <row r="762" spans="2:2" x14ac:dyDescent="0.5">
      <c r="B762" s="1042"/>
    </row>
    <row r="763" spans="2:2" x14ac:dyDescent="0.5">
      <c r="B763" s="1042"/>
    </row>
    <row r="764" spans="2:2" x14ac:dyDescent="0.5">
      <c r="B764" s="1042"/>
    </row>
    <row r="765" spans="2:2" x14ac:dyDescent="0.5">
      <c r="B765" s="1042"/>
    </row>
    <row r="766" spans="2:2" x14ac:dyDescent="0.5">
      <c r="B766" s="1042"/>
    </row>
    <row r="767" spans="2:2" x14ac:dyDescent="0.5">
      <c r="B767" s="1042"/>
    </row>
    <row r="768" spans="2:2" x14ac:dyDescent="0.5">
      <c r="B768" s="1042"/>
    </row>
    <row r="769" spans="2:2" x14ac:dyDescent="0.5">
      <c r="B769" s="1042"/>
    </row>
    <row r="770" spans="2:2" x14ac:dyDescent="0.5">
      <c r="B770" s="1042"/>
    </row>
    <row r="771" spans="2:2" x14ac:dyDescent="0.5">
      <c r="B771" s="1042"/>
    </row>
    <row r="772" spans="2:2" x14ac:dyDescent="0.5">
      <c r="B772" s="1042"/>
    </row>
    <row r="773" spans="2:2" x14ac:dyDescent="0.5">
      <c r="B773" s="1042"/>
    </row>
    <row r="774" spans="2:2" x14ac:dyDescent="0.5">
      <c r="B774" s="1042"/>
    </row>
    <row r="775" spans="2:2" x14ac:dyDescent="0.5">
      <c r="B775" s="1042"/>
    </row>
    <row r="776" spans="2:2" x14ac:dyDescent="0.5">
      <c r="B776" s="1042"/>
    </row>
    <row r="777" spans="2:2" x14ac:dyDescent="0.5">
      <c r="B777" s="1042"/>
    </row>
    <row r="778" spans="2:2" x14ac:dyDescent="0.5">
      <c r="B778" s="1042"/>
    </row>
    <row r="779" spans="2:2" x14ac:dyDescent="0.5">
      <c r="B779" s="1042"/>
    </row>
    <row r="780" spans="2:2" x14ac:dyDescent="0.5">
      <c r="B780" s="1042"/>
    </row>
    <row r="781" spans="2:2" x14ac:dyDescent="0.5">
      <c r="B781" s="1042"/>
    </row>
    <row r="782" spans="2:2" x14ac:dyDescent="0.5">
      <c r="B782" s="1042"/>
    </row>
    <row r="783" spans="2:2" x14ac:dyDescent="0.5">
      <c r="B783" s="1042"/>
    </row>
    <row r="784" spans="2:2" x14ac:dyDescent="0.5">
      <c r="B784" s="1042"/>
    </row>
    <row r="785" spans="2:2" x14ac:dyDescent="0.5">
      <c r="B785" s="1042"/>
    </row>
    <row r="786" spans="2:2" x14ac:dyDescent="0.5">
      <c r="B786" s="1042"/>
    </row>
    <row r="787" spans="2:2" x14ac:dyDescent="0.5">
      <c r="B787" s="1042"/>
    </row>
    <row r="788" spans="2:2" x14ac:dyDescent="0.5">
      <c r="B788" s="1042"/>
    </row>
    <row r="789" spans="2:2" x14ac:dyDescent="0.5">
      <c r="B789" s="1042"/>
    </row>
    <row r="790" spans="2:2" x14ac:dyDescent="0.5">
      <c r="B790" s="1042"/>
    </row>
    <row r="791" spans="2:2" x14ac:dyDescent="0.5">
      <c r="B791" s="1042"/>
    </row>
    <row r="792" spans="2:2" x14ac:dyDescent="0.5">
      <c r="B792" s="1042"/>
    </row>
    <row r="793" spans="2:2" x14ac:dyDescent="0.5">
      <c r="B793" s="1042"/>
    </row>
    <row r="794" spans="2:2" x14ac:dyDescent="0.5">
      <c r="B794" s="1042"/>
    </row>
    <row r="795" spans="2:2" x14ac:dyDescent="0.5">
      <c r="B795" s="1042"/>
    </row>
    <row r="796" spans="2:2" x14ac:dyDescent="0.5">
      <c r="B796" s="1042"/>
    </row>
    <row r="797" spans="2:2" x14ac:dyDescent="0.5">
      <c r="B797" s="1042"/>
    </row>
    <row r="798" spans="2:2" x14ac:dyDescent="0.5">
      <c r="B798" s="1042"/>
    </row>
    <row r="799" spans="2:2" x14ac:dyDescent="0.5">
      <c r="B799" s="1042"/>
    </row>
    <row r="800" spans="2:2" x14ac:dyDescent="0.5">
      <c r="B800" s="1042"/>
    </row>
    <row r="801" spans="2:2" x14ac:dyDescent="0.5">
      <c r="B801" s="1042"/>
    </row>
    <row r="802" spans="2:2" x14ac:dyDescent="0.5">
      <c r="B802" s="1042"/>
    </row>
    <row r="803" spans="2:2" x14ac:dyDescent="0.5">
      <c r="B803" s="1042"/>
    </row>
    <row r="804" spans="2:2" x14ac:dyDescent="0.5">
      <c r="B804" s="1042"/>
    </row>
    <row r="805" spans="2:2" x14ac:dyDescent="0.5">
      <c r="B805" s="1042"/>
    </row>
    <row r="806" spans="2:2" x14ac:dyDescent="0.5">
      <c r="B806" s="1042"/>
    </row>
    <row r="807" spans="2:2" x14ac:dyDescent="0.5">
      <c r="B807" s="1042"/>
    </row>
    <row r="808" spans="2:2" x14ac:dyDescent="0.5">
      <c r="B808" s="1042"/>
    </row>
    <row r="809" spans="2:2" x14ac:dyDescent="0.5">
      <c r="B809" s="1042"/>
    </row>
    <row r="810" spans="2:2" x14ac:dyDescent="0.5">
      <c r="B810" s="1042"/>
    </row>
    <row r="811" spans="2:2" x14ac:dyDescent="0.5">
      <c r="B811" s="1042"/>
    </row>
    <row r="812" spans="2:2" x14ac:dyDescent="0.5">
      <c r="B812" s="1042"/>
    </row>
    <row r="813" spans="2:2" x14ac:dyDescent="0.5">
      <c r="B813" s="1042"/>
    </row>
    <row r="814" spans="2:2" x14ac:dyDescent="0.5">
      <c r="B814" s="1042"/>
    </row>
    <row r="815" spans="2:2" x14ac:dyDescent="0.5">
      <c r="B815" s="1042"/>
    </row>
    <row r="816" spans="2:2" x14ac:dyDescent="0.5">
      <c r="B816" s="1042"/>
    </row>
    <row r="817" spans="2:2" x14ac:dyDescent="0.5">
      <c r="B817" s="1042"/>
    </row>
    <row r="818" spans="2:2" x14ac:dyDescent="0.5">
      <c r="B818" s="1042"/>
    </row>
    <row r="819" spans="2:2" x14ac:dyDescent="0.5">
      <c r="B819" s="1042"/>
    </row>
    <row r="820" spans="2:2" x14ac:dyDescent="0.5">
      <c r="B820" s="1042"/>
    </row>
    <row r="821" spans="2:2" x14ac:dyDescent="0.5">
      <c r="B821" s="1042"/>
    </row>
    <row r="822" spans="2:2" x14ac:dyDescent="0.5">
      <c r="B822" s="1042"/>
    </row>
    <row r="823" spans="2:2" x14ac:dyDescent="0.5">
      <c r="B823" s="1042"/>
    </row>
    <row r="824" spans="2:2" x14ac:dyDescent="0.5">
      <c r="B824" s="1042"/>
    </row>
    <row r="825" spans="2:2" x14ac:dyDescent="0.5">
      <c r="B825" s="1042"/>
    </row>
    <row r="826" spans="2:2" x14ac:dyDescent="0.5">
      <c r="B826" s="1042"/>
    </row>
    <row r="827" spans="2:2" x14ac:dyDescent="0.5">
      <c r="B827" s="1042"/>
    </row>
    <row r="828" spans="2:2" x14ac:dyDescent="0.5">
      <c r="B828" s="1042"/>
    </row>
    <row r="829" spans="2:2" x14ac:dyDescent="0.5">
      <c r="B829" s="1042"/>
    </row>
    <row r="830" spans="2:2" x14ac:dyDescent="0.5">
      <c r="B830" s="1042"/>
    </row>
    <row r="831" spans="2:2" x14ac:dyDescent="0.5">
      <c r="B831" s="1042"/>
    </row>
    <row r="832" spans="2:2" x14ac:dyDescent="0.5">
      <c r="B832" s="1042"/>
    </row>
    <row r="833" spans="2:2" x14ac:dyDescent="0.5">
      <c r="B833" s="1042"/>
    </row>
    <row r="834" spans="2:2" x14ac:dyDescent="0.5">
      <c r="B834" s="1042"/>
    </row>
    <row r="835" spans="2:2" x14ac:dyDescent="0.5">
      <c r="B835" s="1042"/>
    </row>
    <row r="836" spans="2:2" x14ac:dyDescent="0.5">
      <c r="B836" s="1042"/>
    </row>
    <row r="837" spans="2:2" x14ac:dyDescent="0.5">
      <c r="B837" s="1042"/>
    </row>
    <row r="838" spans="2:2" x14ac:dyDescent="0.5">
      <c r="B838" s="1042"/>
    </row>
    <row r="839" spans="2:2" x14ac:dyDescent="0.5">
      <c r="B839" s="1042"/>
    </row>
    <row r="840" spans="2:2" x14ac:dyDescent="0.5">
      <c r="B840" s="1042"/>
    </row>
    <row r="841" spans="2:2" x14ac:dyDescent="0.5">
      <c r="B841" s="1042"/>
    </row>
    <row r="842" spans="2:2" x14ac:dyDescent="0.5">
      <c r="B842" s="1042"/>
    </row>
    <row r="843" spans="2:2" x14ac:dyDescent="0.5">
      <c r="B843" s="1042"/>
    </row>
    <row r="844" spans="2:2" x14ac:dyDescent="0.5">
      <c r="B844" s="1042"/>
    </row>
    <row r="845" spans="2:2" x14ac:dyDescent="0.5">
      <c r="B845" s="1042"/>
    </row>
    <row r="846" spans="2:2" x14ac:dyDescent="0.5">
      <c r="B846" s="1042"/>
    </row>
    <row r="847" spans="2:2" x14ac:dyDescent="0.5">
      <c r="B847" s="1042"/>
    </row>
    <row r="848" spans="2:2" x14ac:dyDescent="0.5">
      <c r="B848" s="1042"/>
    </row>
    <row r="849" spans="2:2" x14ac:dyDescent="0.5">
      <c r="B849" s="1042"/>
    </row>
    <row r="850" spans="2:2" x14ac:dyDescent="0.5">
      <c r="B850" s="1042"/>
    </row>
    <row r="851" spans="2:2" x14ac:dyDescent="0.5">
      <c r="B851" s="1042"/>
    </row>
    <row r="852" spans="2:2" x14ac:dyDescent="0.5">
      <c r="B852" s="1042"/>
    </row>
    <row r="853" spans="2:2" x14ac:dyDescent="0.5">
      <c r="B853" s="1042"/>
    </row>
    <row r="854" spans="2:2" x14ac:dyDescent="0.5">
      <c r="B854" s="1042"/>
    </row>
    <row r="855" spans="2:2" x14ac:dyDescent="0.5">
      <c r="B855" s="1042"/>
    </row>
    <row r="856" spans="2:2" x14ac:dyDescent="0.5">
      <c r="B856" s="1042"/>
    </row>
    <row r="857" spans="2:2" x14ac:dyDescent="0.5">
      <c r="B857" s="1042"/>
    </row>
    <row r="858" spans="2:2" x14ac:dyDescent="0.5">
      <c r="B858" s="1042"/>
    </row>
    <row r="859" spans="2:2" x14ac:dyDescent="0.5">
      <c r="B859" s="1042"/>
    </row>
    <row r="860" spans="2:2" x14ac:dyDescent="0.5">
      <c r="B860" s="1042"/>
    </row>
    <row r="861" spans="2:2" x14ac:dyDescent="0.5">
      <c r="B861" s="1042"/>
    </row>
    <row r="862" spans="2:2" x14ac:dyDescent="0.5">
      <c r="B862" s="1042"/>
    </row>
    <row r="863" spans="2:2" x14ac:dyDescent="0.5">
      <c r="B863" s="1042"/>
    </row>
    <row r="864" spans="2:2" x14ac:dyDescent="0.5">
      <c r="B864" s="1042"/>
    </row>
    <row r="865" spans="2:2" x14ac:dyDescent="0.5">
      <c r="B865" s="1042"/>
    </row>
    <row r="866" spans="2:2" x14ac:dyDescent="0.5">
      <c r="B866" s="1042"/>
    </row>
    <row r="867" spans="2:2" x14ac:dyDescent="0.5">
      <c r="B867" s="1042"/>
    </row>
    <row r="868" spans="2:2" x14ac:dyDescent="0.5">
      <c r="B868" s="1042"/>
    </row>
    <row r="869" spans="2:2" x14ac:dyDescent="0.5">
      <c r="B869" s="1042"/>
    </row>
    <row r="870" spans="2:2" x14ac:dyDescent="0.5">
      <c r="B870" s="1042"/>
    </row>
    <row r="871" spans="2:2" x14ac:dyDescent="0.5">
      <c r="B871" s="1042"/>
    </row>
    <row r="872" spans="2:2" x14ac:dyDescent="0.5">
      <c r="B872" s="1042"/>
    </row>
    <row r="873" spans="2:2" x14ac:dyDescent="0.5">
      <c r="B873" s="1042"/>
    </row>
    <row r="874" spans="2:2" x14ac:dyDescent="0.5">
      <c r="B874" s="1042"/>
    </row>
    <row r="875" spans="2:2" x14ac:dyDescent="0.5">
      <c r="B875" s="1042"/>
    </row>
    <row r="876" spans="2:2" x14ac:dyDescent="0.5">
      <c r="B876" s="1042"/>
    </row>
    <row r="877" spans="2:2" x14ac:dyDescent="0.5">
      <c r="B877" s="1042"/>
    </row>
    <row r="878" spans="2:2" x14ac:dyDescent="0.5">
      <c r="B878" s="1042"/>
    </row>
    <row r="879" spans="2:2" x14ac:dyDescent="0.5">
      <c r="B879" s="1042"/>
    </row>
    <row r="880" spans="2:2" x14ac:dyDescent="0.5">
      <c r="B880" s="1042"/>
    </row>
    <row r="881" spans="2:2" x14ac:dyDescent="0.5">
      <c r="B881" s="1042"/>
    </row>
    <row r="882" spans="2:2" x14ac:dyDescent="0.5">
      <c r="B882" s="1042"/>
    </row>
    <row r="883" spans="2:2" x14ac:dyDescent="0.5">
      <c r="B883" s="1042"/>
    </row>
    <row r="884" spans="2:2" x14ac:dyDescent="0.5">
      <c r="B884" s="1042"/>
    </row>
    <row r="885" spans="2:2" x14ac:dyDescent="0.5">
      <c r="B885" s="1042"/>
    </row>
    <row r="886" spans="2:2" x14ac:dyDescent="0.5">
      <c r="B886" s="1042"/>
    </row>
    <row r="887" spans="2:2" x14ac:dyDescent="0.5">
      <c r="B887" s="1042"/>
    </row>
    <row r="888" spans="2:2" x14ac:dyDescent="0.5">
      <c r="B888" s="1042"/>
    </row>
    <row r="889" spans="2:2" x14ac:dyDescent="0.5">
      <c r="B889" s="1042"/>
    </row>
    <row r="890" spans="2:2" x14ac:dyDescent="0.5">
      <c r="B890" s="1042"/>
    </row>
    <row r="891" spans="2:2" x14ac:dyDescent="0.5">
      <c r="B891" s="1042"/>
    </row>
    <row r="892" spans="2:2" x14ac:dyDescent="0.5">
      <c r="B892" s="1042"/>
    </row>
    <row r="893" spans="2:2" x14ac:dyDescent="0.5">
      <c r="B893" s="1042"/>
    </row>
    <row r="894" spans="2:2" x14ac:dyDescent="0.5">
      <c r="B894" s="1042"/>
    </row>
    <row r="895" spans="2:2" x14ac:dyDescent="0.5">
      <c r="B895" s="1042"/>
    </row>
    <row r="896" spans="2:2" x14ac:dyDescent="0.5">
      <c r="B896" s="1042"/>
    </row>
    <row r="897" spans="2:2" x14ac:dyDescent="0.5">
      <c r="B897" s="1042"/>
    </row>
    <row r="898" spans="2:2" x14ac:dyDescent="0.5">
      <c r="B898" s="1042"/>
    </row>
    <row r="899" spans="2:2" x14ac:dyDescent="0.5">
      <c r="B899" s="1042"/>
    </row>
    <row r="900" spans="2:2" x14ac:dyDescent="0.5">
      <c r="B900" s="1042"/>
    </row>
    <row r="901" spans="2:2" x14ac:dyDescent="0.5">
      <c r="B901" s="1042"/>
    </row>
    <row r="902" spans="2:2" x14ac:dyDescent="0.5">
      <c r="B902" s="1042"/>
    </row>
    <row r="903" spans="2:2" x14ac:dyDescent="0.5">
      <c r="B903" s="1042"/>
    </row>
    <row r="904" spans="2:2" x14ac:dyDescent="0.5">
      <c r="B904" s="1042"/>
    </row>
    <row r="905" spans="2:2" x14ac:dyDescent="0.5">
      <c r="B905" s="1042"/>
    </row>
    <row r="906" spans="2:2" x14ac:dyDescent="0.5">
      <c r="B906" s="1042"/>
    </row>
    <row r="907" spans="2:2" x14ac:dyDescent="0.5">
      <c r="B907" s="1042"/>
    </row>
    <row r="908" spans="2:2" x14ac:dyDescent="0.5">
      <c r="B908" s="1042"/>
    </row>
    <row r="909" spans="2:2" x14ac:dyDescent="0.5">
      <c r="B909" s="1042"/>
    </row>
    <row r="910" spans="2:2" x14ac:dyDescent="0.5">
      <c r="B910" s="1042"/>
    </row>
    <row r="911" spans="2:2" x14ac:dyDescent="0.5">
      <c r="B911" s="1042"/>
    </row>
    <row r="912" spans="2:2" x14ac:dyDescent="0.5">
      <c r="B912" s="1042"/>
    </row>
    <row r="913" spans="2:2" x14ac:dyDescent="0.5">
      <c r="B913" s="1042"/>
    </row>
    <row r="914" spans="2:2" x14ac:dyDescent="0.5">
      <c r="B914" s="1042"/>
    </row>
    <row r="915" spans="2:2" x14ac:dyDescent="0.5">
      <c r="B915" s="1042"/>
    </row>
    <row r="916" spans="2:2" x14ac:dyDescent="0.5">
      <c r="B916" s="1042"/>
    </row>
    <row r="917" spans="2:2" x14ac:dyDescent="0.5">
      <c r="B917" s="1042"/>
    </row>
    <row r="918" spans="2:2" x14ac:dyDescent="0.5">
      <c r="B918" s="1042"/>
    </row>
    <row r="919" spans="2:2" x14ac:dyDescent="0.5">
      <c r="B919" s="1042"/>
    </row>
    <row r="920" spans="2:2" x14ac:dyDescent="0.5">
      <c r="B920" s="1042"/>
    </row>
    <row r="921" spans="2:2" x14ac:dyDescent="0.5">
      <c r="B921" s="1042"/>
    </row>
    <row r="922" spans="2:2" x14ac:dyDescent="0.5">
      <c r="B922" s="1042"/>
    </row>
    <row r="923" spans="2:2" x14ac:dyDescent="0.5">
      <c r="B923" s="1042"/>
    </row>
    <row r="924" spans="2:2" x14ac:dyDescent="0.5">
      <c r="B924" s="1042"/>
    </row>
    <row r="925" spans="2:2" x14ac:dyDescent="0.5">
      <c r="B925" s="1042"/>
    </row>
    <row r="926" spans="2:2" x14ac:dyDescent="0.5">
      <c r="B926" s="1042"/>
    </row>
    <row r="927" spans="2:2" x14ac:dyDescent="0.5">
      <c r="B927" s="1042"/>
    </row>
    <row r="928" spans="2:2" x14ac:dyDescent="0.5">
      <c r="B928" s="1042"/>
    </row>
    <row r="929" spans="2:2" x14ac:dyDescent="0.5">
      <c r="B929" s="1042"/>
    </row>
    <row r="930" spans="2:2" x14ac:dyDescent="0.5">
      <c r="B930" s="1042"/>
    </row>
    <row r="931" spans="2:2" x14ac:dyDescent="0.5">
      <c r="B931" s="1042"/>
    </row>
    <row r="932" spans="2:2" x14ac:dyDescent="0.5">
      <c r="B932" s="1042"/>
    </row>
    <row r="933" spans="2:2" x14ac:dyDescent="0.5">
      <c r="B933" s="1042"/>
    </row>
    <row r="934" spans="2:2" x14ac:dyDescent="0.5">
      <c r="B934" s="1042"/>
    </row>
    <row r="935" spans="2:2" x14ac:dyDescent="0.5">
      <c r="B935" s="1042"/>
    </row>
    <row r="936" spans="2:2" x14ac:dyDescent="0.5">
      <c r="B936" s="1042"/>
    </row>
    <row r="937" spans="2:2" x14ac:dyDescent="0.5">
      <c r="B937" s="1042"/>
    </row>
    <row r="938" spans="2:2" x14ac:dyDescent="0.5">
      <c r="B938" s="1042"/>
    </row>
    <row r="939" spans="2:2" x14ac:dyDescent="0.5">
      <c r="B939" s="1042"/>
    </row>
    <row r="940" spans="2:2" x14ac:dyDescent="0.5">
      <c r="B940" s="1042"/>
    </row>
    <row r="941" spans="2:2" x14ac:dyDescent="0.5">
      <c r="B941" s="1042"/>
    </row>
    <row r="942" spans="2:2" x14ac:dyDescent="0.5">
      <c r="B942" s="1042"/>
    </row>
    <row r="943" spans="2:2" x14ac:dyDescent="0.5">
      <c r="B943" s="1042"/>
    </row>
    <row r="944" spans="2:2" x14ac:dyDescent="0.5">
      <c r="B944" s="1042"/>
    </row>
    <row r="945" spans="2:2" x14ac:dyDescent="0.5">
      <c r="B945" s="1042"/>
    </row>
    <row r="946" spans="2:2" x14ac:dyDescent="0.5">
      <c r="B946" s="1042"/>
    </row>
    <row r="947" spans="2:2" x14ac:dyDescent="0.5">
      <c r="B947" s="1042"/>
    </row>
    <row r="948" spans="2:2" x14ac:dyDescent="0.5">
      <c r="B948" s="1042"/>
    </row>
    <row r="949" spans="2:2" x14ac:dyDescent="0.5">
      <c r="B949" s="1042"/>
    </row>
    <row r="950" spans="2:2" x14ac:dyDescent="0.5">
      <c r="B950" s="1042"/>
    </row>
    <row r="951" spans="2:2" x14ac:dyDescent="0.5">
      <c r="B951" s="1042"/>
    </row>
    <row r="952" spans="2:2" x14ac:dyDescent="0.5">
      <c r="B952" s="1042"/>
    </row>
    <row r="953" spans="2:2" x14ac:dyDescent="0.5">
      <c r="B953" s="1042"/>
    </row>
    <row r="954" spans="2:2" x14ac:dyDescent="0.5">
      <c r="B954" s="1042"/>
    </row>
    <row r="955" spans="2:2" x14ac:dyDescent="0.5">
      <c r="B955" s="1042"/>
    </row>
    <row r="956" spans="2:2" x14ac:dyDescent="0.5">
      <c r="B956" s="1042"/>
    </row>
    <row r="957" spans="2:2" x14ac:dyDescent="0.5">
      <c r="B957" s="1042"/>
    </row>
    <row r="958" spans="2:2" x14ac:dyDescent="0.5">
      <c r="B958" s="1042"/>
    </row>
    <row r="959" spans="2:2" x14ac:dyDescent="0.5">
      <c r="B959" s="1042"/>
    </row>
    <row r="960" spans="2:2" x14ac:dyDescent="0.5">
      <c r="B960" s="1042"/>
    </row>
    <row r="961" spans="2:2" x14ac:dyDescent="0.5">
      <c r="B961" s="1042"/>
    </row>
    <row r="962" spans="2:2" x14ac:dyDescent="0.5">
      <c r="B962" s="1042"/>
    </row>
    <row r="963" spans="2:2" x14ac:dyDescent="0.5">
      <c r="B963" s="1042"/>
    </row>
    <row r="964" spans="2:2" x14ac:dyDescent="0.5">
      <c r="B964" s="1042"/>
    </row>
    <row r="965" spans="2:2" x14ac:dyDescent="0.5">
      <c r="B965" s="1042"/>
    </row>
    <row r="966" spans="2:2" x14ac:dyDescent="0.5">
      <c r="B966" s="1042"/>
    </row>
    <row r="967" spans="2:2" x14ac:dyDescent="0.5">
      <c r="B967" s="1042"/>
    </row>
    <row r="968" spans="2:2" x14ac:dyDescent="0.5">
      <c r="B968" s="1042"/>
    </row>
    <row r="969" spans="2:2" x14ac:dyDescent="0.5">
      <c r="B969" s="1042"/>
    </row>
    <row r="970" spans="2:2" x14ac:dyDescent="0.5">
      <c r="B970" s="1042"/>
    </row>
    <row r="971" spans="2:2" x14ac:dyDescent="0.5">
      <c r="B971" s="1042"/>
    </row>
    <row r="972" spans="2:2" x14ac:dyDescent="0.5">
      <c r="B972" s="1042"/>
    </row>
    <row r="973" spans="2:2" x14ac:dyDescent="0.5">
      <c r="B973" s="1042"/>
    </row>
    <row r="974" spans="2:2" x14ac:dyDescent="0.5">
      <c r="B974" s="1042"/>
    </row>
    <row r="975" spans="2:2" x14ac:dyDescent="0.5">
      <c r="B975" s="1042"/>
    </row>
    <row r="976" spans="2:2" x14ac:dyDescent="0.5">
      <c r="B976" s="1042"/>
    </row>
    <row r="977" spans="2:2" x14ac:dyDescent="0.5">
      <c r="B977" s="1042"/>
    </row>
    <row r="978" spans="2:2" x14ac:dyDescent="0.5">
      <c r="B978" s="1042"/>
    </row>
    <row r="979" spans="2:2" x14ac:dyDescent="0.5">
      <c r="B979" s="1042"/>
    </row>
    <row r="980" spans="2:2" x14ac:dyDescent="0.5">
      <c r="B980" s="1042"/>
    </row>
    <row r="981" spans="2:2" x14ac:dyDescent="0.5">
      <c r="B981" s="1042"/>
    </row>
    <row r="982" spans="2:2" x14ac:dyDescent="0.5">
      <c r="B982" s="1042"/>
    </row>
    <row r="983" spans="2:2" x14ac:dyDescent="0.5">
      <c r="B983" s="1042"/>
    </row>
    <row r="984" spans="2:2" x14ac:dyDescent="0.5">
      <c r="B984" s="1042"/>
    </row>
    <row r="985" spans="2:2" x14ac:dyDescent="0.5">
      <c r="B985" s="1042"/>
    </row>
    <row r="986" spans="2:2" x14ac:dyDescent="0.5">
      <c r="B986" s="1042"/>
    </row>
    <row r="987" spans="2:2" x14ac:dyDescent="0.5">
      <c r="B987" s="1042"/>
    </row>
    <row r="988" spans="2:2" x14ac:dyDescent="0.5">
      <c r="B988" s="1042"/>
    </row>
    <row r="989" spans="2:2" x14ac:dyDescent="0.5">
      <c r="B989" s="1042"/>
    </row>
    <row r="990" spans="2:2" x14ac:dyDescent="0.5">
      <c r="B990" s="1042"/>
    </row>
    <row r="991" spans="2:2" x14ac:dyDescent="0.5">
      <c r="B991" s="1042"/>
    </row>
    <row r="992" spans="2:2" x14ac:dyDescent="0.5">
      <c r="B992" s="1042"/>
    </row>
    <row r="993" spans="2:2" x14ac:dyDescent="0.5">
      <c r="B993" s="1042"/>
    </row>
    <row r="994" spans="2:2" x14ac:dyDescent="0.5">
      <c r="B994" s="1042"/>
    </row>
    <row r="995" spans="2:2" x14ac:dyDescent="0.5">
      <c r="B995" s="1042"/>
    </row>
    <row r="996" spans="2:2" x14ac:dyDescent="0.5">
      <c r="B996" s="1042"/>
    </row>
    <row r="997" spans="2:2" x14ac:dyDescent="0.5">
      <c r="B997" s="1042"/>
    </row>
    <row r="998" spans="2:2" x14ac:dyDescent="0.5">
      <c r="B998" s="1042"/>
    </row>
    <row r="999" spans="2:2" x14ac:dyDescent="0.5">
      <c r="B999" s="1042"/>
    </row>
    <row r="1000" spans="2:2" x14ac:dyDescent="0.5">
      <c r="B1000" s="1042"/>
    </row>
    <row r="1001" spans="2:2" x14ac:dyDescent="0.5">
      <c r="B1001" s="1042"/>
    </row>
    <row r="1002" spans="2:2" x14ac:dyDescent="0.5">
      <c r="B1002" s="1042"/>
    </row>
    <row r="1003" spans="2:2" x14ac:dyDescent="0.5">
      <c r="B1003" s="1042"/>
    </row>
    <row r="1004" spans="2:2" x14ac:dyDescent="0.5">
      <c r="B1004" s="1042"/>
    </row>
    <row r="1005" spans="2:2" x14ac:dyDescent="0.5">
      <c r="B1005" s="1042"/>
    </row>
    <row r="1006" spans="2:2" x14ac:dyDescent="0.5">
      <c r="B1006" s="1042"/>
    </row>
    <row r="1007" spans="2:2" x14ac:dyDescent="0.5">
      <c r="B1007" s="1042"/>
    </row>
    <row r="1008" spans="2:2" x14ac:dyDescent="0.5">
      <c r="B1008" s="1042"/>
    </row>
    <row r="1009" spans="2:2" x14ac:dyDescent="0.5">
      <c r="B1009" s="1042"/>
    </row>
    <row r="1010" spans="2:2" x14ac:dyDescent="0.5">
      <c r="B1010" s="1042"/>
    </row>
    <row r="1011" spans="2:2" x14ac:dyDescent="0.5">
      <c r="B1011" s="1042"/>
    </row>
    <row r="1012" spans="2:2" x14ac:dyDescent="0.5">
      <c r="B1012" s="1042"/>
    </row>
    <row r="1013" spans="2:2" x14ac:dyDescent="0.5">
      <c r="B1013" s="1042"/>
    </row>
    <row r="1014" spans="2:2" x14ac:dyDescent="0.5">
      <c r="B1014" s="1042"/>
    </row>
    <row r="1015" spans="2:2" x14ac:dyDescent="0.5">
      <c r="B1015" s="1042"/>
    </row>
    <row r="1016" spans="2:2" x14ac:dyDescent="0.5">
      <c r="B1016" s="1042"/>
    </row>
    <row r="1017" spans="2:2" x14ac:dyDescent="0.5">
      <c r="B1017" s="1042"/>
    </row>
    <row r="1018" spans="2:2" x14ac:dyDescent="0.5">
      <c r="B1018" s="1042"/>
    </row>
    <row r="1019" spans="2:2" x14ac:dyDescent="0.5">
      <c r="B1019" s="1042"/>
    </row>
    <row r="1020" spans="2:2" x14ac:dyDescent="0.5">
      <c r="B1020" s="1042"/>
    </row>
    <row r="1021" spans="2:2" x14ac:dyDescent="0.5">
      <c r="B1021" s="1042"/>
    </row>
    <row r="1022" spans="2:2" x14ac:dyDescent="0.5">
      <c r="B1022" s="1042"/>
    </row>
    <row r="1023" spans="2:2" x14ac:dyDescent="0.5">
      <c r="B1023" s="1042"/>
    </row>
    <row r="1024" spans="2:2" x14ac:dyDescent="0.5">
      <c r="B1024" s="1042"/>
    </row>
    <row r="1025" spans="2:2" x14ac:dyDescent="0.5">
      <c r="B1025" s="1042"/>
    </row>
    <row r="1026" spans="2:2" x14ac:dyDescent="0.5">
      <c r="B1026" s="1042"/>
    </row>
    <row r="1027" spans="2:2" x14ac:dyDescent="0.5">
      <c r="B1027" s="1042"/>
    </row>
    <row r="1028" spans="2:2" x14ac:dyDescent="0.5">
      <c r="B1028" s="1042"/>
    </row>
    <row r="1029" spans="2:2" x14ac:dyDescent="0.5">
      <c r="B1029" s="1042"/>
    </row>
    <row r="1030" spans="2:2" x14ac:dyDescent="0.5">
      <c r="B1030" s="1042"/>
    </row>
    <row r="1031" spans="2:2" x14ac:dyDescent="0.5">
      <c r="B1031" s="1042"/>
    </row>
    <row r="1032" spans="2:2" x14ac:dyDescent="0.5">
      <c r="B1032" s="1042"/>
    </row>
    <row r="1033" spans="2:2" x14ac:dyDescent="0.5">
      <c r="B1033" s="1042"/>
    </row>
    <row r="1034" spans="2:2" x14ac:dyDescent="0.5">
      <c r="B1034" s="1042"/>
    </row>
    <row r="1035" spans="2:2" x14ac:dyDescent="0.5">
      <c r="B1035" s="1042"/>
    </row>
    <row r="1036" spans="2:2" x14ac:dyDescent="0.5">
      <c r="B1036" s="1042"/>
    </row>
    <row r="1037" spans="2:2" x14ac:dyDescent="0.5">
      <c r="B1037" s="1042"/>
    </row>
    <row r="1038" spans="2:2" x14ac:dyDescent="0.5">
      <c r="B1038" s="1042"/>
    </row>
    <row r="1039" spans="2:2" x14ac:dyDescent="0.5">
      <c r="B1039" s="1042"/>
    </row>
    <row r="1040" spans="2:2" x14ac:dyDescent="0.5">
      <c r="B1040" s="1042"/>
    </row>
    <row r="1041" spans="2:2" x14ac:dyDescent="0.5">
      <c r="B1041" s="1042"/>
    </row>
    <row r="1042" spans="2:2" x14ac:dyDescent="0.5">
      <c r="B1042" s="1042"/>
    </row>
    <row r="1043" spans="2:2" x14ac:dyDescent="0.5">
      <c r="B1043" s="1042"/>
    </row>
    <row r="1044" spans="2:2" x14ac:dyDescent="0.5">
      <c r="B1044" s="1042"/>
    </row>
    <row r="1045" spans="2:2" x14ac:dyDescent="0.5">
      <c r="B1045" s="1042"/>
    </row>
    <row r="1046" spans="2:2" x14ac:dyDescent="0.5">
      <c r="B1046" s="1042"/>
    </row>
    <row r="1047" spans="2:2" x14ac:dyDescent="0.5">
      <c r="B1047" s="1042"/>
    </row>
    <row r="1048" spans="2:2" x14ac:dyDescent="0.5">
      <c r="B1048" s="1042"/>
    </row>
    <row r="1049" spans="2:2" x14ac:dyDescent="0.5">
      <c r="B1049" s="1042"/>
    </row>
    <row r="1050" spans="2:2" x14ac:dyDescent="0.5">
      <c r="B1050" s="1042"/>
    </row>
    <row r="1051" spans="2:2" x14ac:dyDescent="0.5">
      <c r="B1051" s="1042"/>
    </row>
    <row r="1052" spans="2:2" x14ac:dyDescent="0.5">
      <c r="B1052" s="1042"/>
    </row>
    <row r="1053" spans="2:2" x14ac:dyDescent="0.5">
      <c r="B1053" s="1042"/>
    </row>
    <row r="1054" spans="2:2" x14ac:dyDescent="0.5">
      <c r="B1054" s="1042"/>
    </row>
    <row r="1055" spans="2:2" x14ac:dyDescent="0.5">
      <c r="B1055" s="1042"/>
    </row>
    <row r="1056" spans="2:2" x14ac:dyDescent="0.5">
      <c r="B1056" s="1042"/>
    </row>
    <row r="1057" spans="2:2" x14ac:dyDescent="0.5">
      <c r="B1057" s="1042"/>
    </row>
    <row r="1058" spans="2:2" x14ac:dyDescent="0.5">
      <c r="B1058" s="1042"/>
    </row>
    <row r="1059" spans="2:2" x14ac:dyDescent="0.5">
      <c r="B1059" s="1042"/>
    </row>
    <row r="1060" spans="2:2" x14ac:dyDescent="0.5">
      <c r="B1060" s="1042"/>
    </row>
    <row r="1061" spans="2:2" x14ac:dyDescent="0.5">
      <c r="B1061" s="1042"/>
    </row>
    <row r="1062" spans="2:2" x14ac:dyDescent="0.5">
      <c r="B1062" s="1042"/>
    </row>
    <row r="1063" spans="2:2" x14ac:dyDescent="0.5">
      <c r="B1063" s="1042"/>
    </row>
    <row r="1064" spans="2:2" x14ac:dyDescent="0.5">
      <c r="B1064" s="1042"/>
    </row>
    <row r="1065" spans="2:2" x14ac:dyDescent="0.5">
      <c r="B1065" s="1042"/>
    </row>
    <row r="1066" spans="2:2" x14ac:dyDescent="0.5">
      <c r="B1066" s="1042"/>
    </row>
    <row r="1067" spans="2:2" x14ac:dyDescent="0.5">
      <c r="B1067" s="1042"/>
    </row>
    <row r="1068" spans="2:2" x14ac:dyDescent="0.5">
      <c r="B1068" s="1042"/>
    </row>
    <row r="1069" spans="2:2" x14ac:dyDescent="0.5">
      <c r="B1069" s="1042"/>
    </row>
    <row r="1070" spans="2:2" x14ac:dyDescent="0.5">
      <c r="B1070" s="1042"/>
    </row>
    <row r="1071" spans="2:2" x14ac:dyDescent="0.5">
      <c r="B1071" s="1042"/>
    </row>
    <row r="1072" spans="2:2" x14ac:dyDescent="0.5">
      <c r="B1072" s="1042"/>
    </row>
    <row r="1073" spans="2:2" x14ac:dyDescent="0.5">
      <c r="B1073" s="1042"/>
    </row>
    <row r="1074" spans="2:2" x14ac:dyDescent="0.5">
      <c r="B1074" s="1042"/>
    </row>
    <row r="1075" spans="2:2" x14ac:dyDescent="0.5">
      <c r="B1075" s="1042"/>
    </row>
    <row r="1076" spans="2:2" x14ac:dyDescent="0.5">
      <c r="B1076" s="1042"/>
    </row>
    <row r="1077" spans="2:2" x14ac:dyDescent="0.5">
      <c r="B1077" s="1042"/>
    </row>
    <row r="1078" spans="2:2" x14ac:dyDescent="0.5">
      <c r="B1078" s="1042"/>
    </row>
    <row r="1079" spans="2:2" x14ac:dyDescent="0.5">
      <c r="B1079" s="1042"/>
    </row>
    <row r="1080" spans="2:2" x14ac:dyDescent="0.5">
      <c r="B1080" s="1042"/>
    </row>
    <row r="1081" spans="2:2" x14ac:dyDescent="0.5">
      <c r="B1081" s="1042"/>
    </row>
    <row r="1082" spans="2:2" x14ac:dyDescent="0.5">
      <c r="B1082" s="1042"/>
    </row>
    <row r="1083" spans="2:2" x14ac:dyDescent="0.5">
      <c r="B1083" s="1042"/>
    </row>
    <row r="1084" spans="2:2" x14ac:dyDescent="0.5">
      <c r="B1084" s="1042"/>
    </row>
    <row r="1085" spans="2:2" x14ac:dyDescent="0.5">
      <c r="B1085" s="1042"/>
    </row>
    <row r="1086" spans="2:2" x14ac:dyDescent="0.5">
      <c r="B1086" s="1042"/>
    </row>
    <row r="1087" spans="2:2" x14ac:dyDescent="0.5">
      <c r="B1087" s="1042"/>
    </row>
    <row r="1088" spans="2:2" x14ac:dyDescent="0.5">
      <c r="B1088" s="1042"/>
    </row>
    <row r="1089" spans="2:2" x14ac:dyDescent="0.5">
      <c r="B1089" s="1042"/>
    </row>
    <row r="1090" spans="2:2" x14ac:dyDescent="0.5">
      <c r="B1090" s="1042"/>
    </row>
    <row r="1091" spans="2:2" x14ac:dyDescent="0.5">
      <c r="B1091" s="1042"/>
    </row>
    <row r="1092" spans="2:2" x14ac:dyDescent="0.5">
      <c r="B1092" s="1042"/>
    </row>
    <row r="1093" spans="2:2" x14ac:dyDescent="0.5">
      <c r="B1093" s="1042"/>
    </row>
    <row r="1094" spans="2:2" x14ac:dyDescent="0.5">
      <c r="B1094" s="1042"/>
    </row>
    <row r="1095" spans="2:2" x14ac:dyDescent="0.5">
      <c r="B1095" s="1042"/>
    </row>
    <row r="1096" spans="2:2" x14ac:dyDescent="0.5">
      <c r="B1096" s="1042"/>
    </row>
    <row r="1097" spans="2:2" x14ac:dyDescent="0.5">
      <c r="B1097" s="1042"/>
    </row>
    <row r="1098" spans="2:2" x14ac:dyDescent="0.5">
      <c r="B1098" s="1042"/>
    </row>
    <row r="1099" spans="2:2" x14ac:dyDescent="0.5">
      <c r="B1099" s="1042"/>
    </row>
    <row r="1100" spans="2:2" x14ac:dyDescent="0.5">
      <c r="B1100" s="1042"/>
    </row>
    <row r="1101" spans="2:2" x14ac:dyDescent="0.5">
      <c r="B1101" s="1042"/>
    </row>
    <row r="1102" spans="2:2" x14ac:dyDescent="0.5">
      <c r="B1102" s="1042"/>
    </row>
    <row r="1103" spans="2:2" x14ac:dyDescent="0.5">
      <c r="B1103" s="1042"/>
    </row>
    <row r="1104" spans="2:2" x14ac:dyDescent="0.5">
      <c r="B1104" s="1042"/>
    </row>
    <row r="1105" spans="2:2" x14ac:dyDescent="0.5">
      <c r="B1105" s="1042"/>
    </row>
    <row r="1106" spans="2:2" x14ac:dyDescent="0.5">
      <c r="B1106" s="1042"/>
    </row>
    <row r="1107" spans="2:2" x14ac:dyDescent="0.5">
      <c r="B1107" s="1042"/>
    </row>
    <row r="1108" spans="2:2" x14ac:dyDescent="0.5">
      <c r="B1108" s="1042"/>
    </row>
    <row r="1109" spans="2:2" x14ac:dyDescent="0.5">
      <c r="B1109" s="1042"/>
    </row>
    <row r="1110" spans="2:2" x14ac:dyDescent="0.5">
      <c r="B1110" s="1042"/>
    </row>
    <row r="1111" spans="2:2" x14ac:dyDescent="0.5">
      <c r="B1111" s="1042"/>
    </row>
    <row r="1112" spans="2:2" x14ac:dyDescent="0.5">
      <c r="B1112" s="1042"/>
    </row>
    <row r="1113" spans="2:2" x14ac:dyDescent="0.5">
      <c r="B1113" s="1042"/>
    </row>
    <row r="1114" spans="2:2" x14ac:dyDescent="0.5">
      <c r="B1114" s="1042"/>
    </row>
    <row r="1115" spans="2:2" x14ac:dyDescent="0.5">
      <c r="B1115" s="1042"/>
    </row>
    <row r="1116" spans="2:2" x14ac:dyDescent="0.5">
      <c r="B1116" s="1042"/>
    </row>
    <row r="1117" spans="2:2" x14ac:dyDescent="0.5">
      <c r="B1117" s="1042"/>
    </row>
    <row r="1118" spans="2:2" x14ac:dyDescent="0.5">
      <c r="B1118" s="1042"/>
    </row>
    <row r="1119" spans="2:2" x14ac:dyDescent="0.5">
      <c r="B1119" s="1042"/>
    </row>
    <row r="1120" spans="2:2" x14ac:dyDescent="0.5">
      <c r="B1120" s="1042"/>
    </row>
    <row r="1121" spans="2:2" x14ac:dyDescent="0.5">
      <c r="B1121" s="1042"/>
    </row>
    <row r="1122" spans="2:2" x14ac:dyDescent="0.5">
      <c r="B1122" s="1042"/>
    </row>
    <row r="1123" spans="2:2" x14ac:dyDescent="0.5">
      <c r="B1123" s="1042"/>
    </row>
    <row r="1124" spans="2:2" x14ac:dyDescent="0.5">
      <c r="B1124" s="1042"/>
    </row>
    <row r="1125" spans="2:2" x14ac:dyDescent="0.5">
      <c r="B1125" s="1042"/>
    </row>
    <row r="1126" spans="2:2" x14ac:dyDescent="0.5">
      <c r="B1126" s="1042"/>
    </row>
    <row r="1127" spans="2:2" x14ac:dyDescent="0.5">
      <c r="B1127" s="1042"/>
    </row>
    <row r="1128" spans="2:2" x14ac:dyDescent="0.5">
      <c r="B1128" s="1042"/>
    </row>
    <row r="1129" spans="2:2" x14ac:dyDescent="0.5">
      <c r="B1129" s="1042"/>
    </row>
    <row r="1130" spans="2:2" x14ac:dyDescent="0.5">
      <c r="B1130" s="1042"/>
    </row>
    <row r="1131" spans="2:2" x14ac:dyDescent="0.5">
      <c r="B1131" s="1042"/>
    </row>
    <row r="1132" spans="2:2" x14ac:dyDescent="0.5">
      <c r="B1132" s="1042"/>
    </row>
    <row r="1133" spans="2:2" x14ac:dyDescent="0.5">
      <c r="B1133" s="1042"/>
    </row>
    <row r="1134" spans="2:2" x14ac:dyDescent="0.5">
      <c r="B1134" s="1042"/>
    </row>
    <row r="1135" spans="2:2" x14ac:dyDescent="0.5">
      <c r="B1135" s="1042"/>
    </row>
    <row r="1136" spans="2:2" x14ac:dyDescent="0.5">
      <c r="B1136" s="1042"/>
    </row>
    <row r="1137" spans="2:2" x14ac:dyDescent="0.5">
      <c r="B1137" s="1042"/>
    </row>
    <row r="1138" spans="2:2" x14ac:dyDescent="0.5">
      <c r="B1138" s="1042"/>
    </row>
    <row r="1139" spans="2:2" x14ac:dyDescent="0.5">
      <c r="B1139" s="1042"/>
    </row>
    <row r="1140" spans="2:2" x14ac:dyDescent="0.5">
      <c r="B1140" s="1042"/>
    </row>
    <row r="1141" spans="2:2" x14ac:dyDescent="0.5">
      <c r="B1141" s="1042"/>
    </row>
    <row r="1142" spans="2:2" x14ac:dyDescent="0.5">
      <c r="B1142" s="1042"/>
    </row>
    <row r="1143" spans="2:2" x14ac:dyDescent="0.5">
      <c r="B1143" s="1042"/>
    </row>
    <row r="1144" spans="2:2" x14ac:dyDescent="0.5">
      <c r="B1144" s="1042"/>
    </row>
    <row r="1145" spans="2:2" x14ac:dyDescent="0.5">
      <c r="B1145" s="1042"/>
    </row>
    <row r="1146" spans="2:2" x14ac:dyDescent="0.5">
      <c r="B1146" s="1042"/>
    </row>
    <row r="1147" spans="2:2" x14ac:dyDescent="0.5">
      <c r="B1147" s="1042"/>
    </row>
    <row r="1148" spans="2:2" x14ac:dyDescent="0.5">
      <c r="B1148" s="1042"/>
    </row>
    <row r="1149" spans="2:2" x14ac:dyDescent="0.5">
      <c r="B1149" s="1042"/>
    </row>
    <row r="1150" spans="2:2" x14ac:dyDescent="0.5">
      <c r="B1150" s="1042"/>
    </row>
    <row r="1151" spans="2:2" x14ac:dyDescent="0.5">
      <c r="B1151" s="1042"/>
    </row>
    <row r="1152" spans="2:2" x14ac:dyDescent="0.5">
      <c r="B1152" s="1042"/>
    </row>
    <row r="1153" spans="2:2" x14ac:dyDescent="0.5">
      <c r="B1153" s="1042"/>
    </row>
    <row r="1154" spans="2:2" x14ac:dyDescent="0.5">
      <c r="B1154" s="1042"/>
    </row>
    <row r="1155" spans="2:2" x14ac:dyDescent="0.5">
      <c r="B1155" s="1042"/>
    </row>
    <row r="1156" spans="2:2" x14ac:dyDescent="0.5">
      <c r="B1156" s="1042"/>
    </row>
    <row r="1157" spans="2:2" x14ac:dyDescent="0.5">
      <c r="B1157" s="1042"/>
    </row>
    <row r="1158" spans="2:2" x14ac:dyDescent="0.5">
      <c r="B1158" s="1042"/>
    </row>
    <row r="1159" spans="2:2" x14ac:dyDescent="0.5">
      <c r="B1159" s="1042"/>
    </row>
    <row r="1160" spans="2:2" x14ac:dyDescent="0.5">
      <c r="B1160" s="1042"/>
    </row>
    <row r="1161" spans="2:2" x14ac:dyDescent="0.5">
      <c r="B1161" s="1042"/>
    </row>
    <row r="1162" spans="2:2" x14ac:dyDescent="0.5">
      <c r="B1162" s="1042"/>
    </row>
    <row r="1163" spans="2:2" x14ac:dyDescent="0.5">
      <c r="B1163" s="1042"/>
    </row>
    <row r="1164" spans="2:2" x14ac:dyDescent="0.5">
      <c r="B1164" s="1042"/>
    </row>
    <row r="1165" spans="2:2" x14ac:dyDescent="0.5">
      <c r="B1165" s="1042"/>
    </row>
    <row r="1166" spans="2:2" x14ac:dyDescent="0.5">
      <c r="B1166" s="1042"/>
    </row>
    <row r="1167" spans="2:2" x14ac:dyDescent="0.5">
      <c r="B1167" s="1042"/>
    </row>
    <row r="1168" spans="2:2" x14ac:dyDescent="0.5">
      <c r="B1168" s="1042"/>
    </row>
    <row r="1169" spans="2:2" x14ac:dyDescent="0.5">
      <c r="B1169" s="1042"/>
    </row>
    <row r="1170" spans="2:2" x14ac:dyDescent="0.5">
      <c r="B1170" s="1042"/>
    </row>
    <row r="1171" spans="2:2" x14ac:dyDescent="0.5">
      <c r="B1171" s="1042"/>
    </row>
    <row r="1172" spans="2:2" x14ac:dyDescent="0.5">
      <c r="B1172" s="1042"/>
    </row>
    <row r="1173" spans="2:2" x14ac:dyDescent="0.5">
      <c r="B1173" s="1042"/>
    </row>
    <row r="1174" spans="2:2" x14ac:dyDescent="0.5">
      <c r="B1174" s="1042"/>
    </row>
    <row r="1175" spans="2:2" x14ac:dyDescent="0.5">
      <c r="B1175" s="1042"/>
    </row>
    <row r="1176" spans="2:2" x14ac:dyDescent="0.5">
      <c r="B1176" s="1042"/>
    </row>
    <row r="1177" spans="2:2" x14ac:dyDescent="0.5">
      <c r="B1177" s="1042"/>
    </row>
    <row r="1178" spans="2:2" x14ac:dyDescent="0.5">
      <c r="B1178" s="1042"/>
    </row>
    <row r="1179" spans="2:2" x14ac:dyDescent="0.5">
      <c r="B1179" s="1042"/>
    </row>
    <row r="1180" spans="2:2" x14ac:dyDescent="0.5">
      <c r="B1180" s="1042"/>
    </row>
    <row r="1181" spans="2:2" x14ac:dyDescent="0.5">
      <c r="B1181" s="1042"/>
    </row>
    <row r="1182" spans="2:2" x14ac:dyDescent="0.5">
      <c r="B1182" s="1042"/>
    </row>
    <row r="1183" spans="2:2" x14ac:dyDescent="0.5">
      <c r="B1183" s="1042"/>
    </row>
    <row r="1184" spans="2:2" x14ac:dyDescent="0.5">
      <c r="B1184" s="1042"/>
    </row>
    <row r="1185" spans="2:2" x14ac:dyDescent="0.5">
      <c r="B1185" s="1042"/>
    </row>
    <row r="1186" spans="2:2" x14ac:dyDescent="0.5">
      <c r="B1186" s="1042"/>
    </row>
    <row r="1187" spans="2:2" x14ac:dyDescent="0.5">
      <c r="B1187" s="1042"/>
    </row>
    <row r="1188" spans="2:2" x14ac:dyDescent="0.5">
      <c r="B1188" s="1042"/>
    </row>
    <row r="1189" spans="2:2" x14ac:dyDescent="0.5">
      <c r="B1189" s="1042"/>
    </row>
    <row r="1190" spans="2:2" x14ac:dyDescent="0.5">
      <c r="B1190" s="1042"/>
    </row>
    <row r="1191" spans="2:2" x14ac:dyDescent="0.5">
      <c r="B1191" s="1042"/>
    </row>
    <row r="1192" spans="2:2" x14ac:dyDescent="0.5">
      <c r="B1192" s="1042"/>
    </row>
    <row r="1193" spans="2:2" x14ac:dyDescent="0.5">
      <c r="B1193" s="1042"/>
    </row>
    <row r="1194" spans="2:2" x14ac:dyDescent="0.5">
      <c r="B1194" s="1042"/>
    </row>
    <row r="1195" spans="2:2" x14ac:dyDescent="0.5">
      <c r="B1195" s="1042"/>
    </row>
    <row r="1196" spans="2:2" x14ac:dyDescent="0.5">
      <c r="B1196" s="1042"/>
    </row>
    <row r="1197" spans="2:2" x14ac:dyDescent="0.5">
      <c r="B1197" s="1042"/>
    </row>
    <row r="1198" spans="2:2" x14ac:dyDescent="0.5">
      <c r="B1198" s="1042"/>
    </row>
    <row r="1199" spans="2:2" x14ac:dyDescent="0.5">
      <c r="B1199" s="1042"/>
    </row>
    <row r="1200" spans="2:2" x14ac:dyDescent="0.5">
      <c r="B1200" s="1042"/>
    </row>
    <row r="1201" spans="2:2" x14ac:dyDescent="0.5">
      <c r="B1201" s="1042"/>
    </row>
    <row r="1202" spans="2:2" x14ac:dyDescent="0.5">
      <c r="B1202" s="1042"/>
    </row>
    <row r="1203" spans="2:2" x14ac:dyDescent="0.5">
      <c r="B1203" s="1042"/>
    </row>
    <row r="1204" spans="2:2" x14ac:dyDescent="0.5">
      <c r="B1204" s="1042"/>
    </row>
    <row r="1205" spans="2:2" x14ac:dyDescent="0.5">
      <c r="B1205" s="1042"/>
    </row>
    <row r="1206" spans="2:2" x14ac:dyDescent="0.5">
      <c r="B1206" s="1042"/>
    </row>
    <row r="1207" spans="2:2" x14ac:dyDescent="0.5">
      <c r="B1207" s="1042"/>
    </row>
    <row r="1208" spans="2:2" x14ac:dyDescent="0.5">
      <c r="B1208" s="1042"/>
    </row>
    <row r="1209" spans="2:2" x14ac:dyDescent="0.5">
      <c r="B1209" s="1042"/>
    </row>
    <row r="1210" spans="2:2" x14ac:dyDescent="0.5">
      <c r="B1210" s="1042"/>
    </row>
    <row r="1211" spans="2:2" x14ac:dyDescent="0.5">
      <c r="B1211" s="1042"/>
    </row>
    <row r="1212" spans="2:2" x14ac:dyDescent="0.5">
      <c r="B1212" s="1042"/>
    </row>
    <row r="1213" spans="2:2" x14ac:dyDescent="0.5">
      <c r="B1213" s="1042"/>
    </row>
    <row r="1214" spans="2:2" x14ac:dyDescent="0.5">
      <c r="B1214" s="1042"/>
    </row>
  </sheetData>
  <mergeCells count="6">
    <mergeCell ref="L36:R36"/>
    <mergeCell ref="B139:D139"/>
    <mergeCell ref="B33:E33"/>
    <mergeCell ref="H33:J33"/>
    <mergeCell ref="B1:F1"/>
    <mergeCell ref="B2:F2"/>
  </mergeCells>
  <printOptions horizontalCentered="1"/>
  <pageMargins left="0.7" right="0.7" top="0.75" bottom="0.75" header="0.3" footer="0.3"/>
  <pageSetup orientation="portrait" r:id="rId1"/>
  <rowBreaks count="2" manualBreakCount="2">
    <brk id="77" min="1" max="5" man="1"/>
    <brk id="169" max="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6C50-E3CA-4C56-9AEA-B9EA32ABF68B}">
  <sheetPr codeName="Sheet37">
    <pageSetUpPr fitToPage="1"/>
  </sheetPr>
  <dimension ref="B1:W180"/>
  <sheetViews>
    <sheetView view="pageBreakPreview" zoomScale="90" zoomScaleNormal="100" zoomScaleSheetLayoutView="90" workbookViewId="0"/>
  </sheetViews>
  <sheetFormatPr defaultColWidth="9" defaultRowHeight="15" x14ac:dyDescent="0.5"/>
  <cols>
    <col min="1" max="1" width="3.5234375" style="1029" customWidth="1"/>
    <col min="2" max="2" width="2.5234375" style="1029" customWidth="1"/>
    <col min="3" max="3" width="10.5234375" style="1029" customWidth="1"/>
    <col min="4" max="4" width="31.734375" style="1029" bestFit="1" customWidth="1"/>
    <col min="5" max="5" width="21.7890625" style="1029" customWidth="1"/>
    <col min="6" max="6" width="1.26171875" style="1029" customWidth="1"/>
    <col min="7" max="7" width="10.5234375" style="1029" customWidth="1"/>
    <col min="8" max="8" width="9" style="1029"/>
    <col min="9" max="9" width="12.47265625" style="1029" customWidth="1"/>
    <col min="10" max="10" width="16.26171875" style="1029" bestFit="1" customWidth="1"/>
    <col min="11" max="11" width="14.26171875" style="1029" customWidth="1"/>
    <col min="12" max="12" width="1.5234375" style="1029" customWidth="1"/>
    <col min="13" max="13" width="2.5234375" style="1029" customWidth="1"/>
    <col min="14" max="14" width="11" style="1029" customWidth="1"/>
    <col min="15" max="15" width="12" style="1029" bestFit="1" customWidth="1"/>
    <col min="16" max="16" width="14.7890625" style="1029" bestFit="1" customWidth="1"/>
    <col min="17" max="17" width="10.5234375" style="1029" customWidth="1"/>
    <col min="18" max="19" width="9" style="1029"/>
    <col min="20" max="20" width="14.7890625" style="1029" customWidth="1"/>
    <col min="21" max="16384" width="9" style="1029"/>
  </cols>
  <sheetData>
    <row r="1" spans="2:23" x14ac:dyDescent="0.5">
      <c r="B1" s="1459" t="s">
        <v>2675</v>
      </c>
      <c r="C1" s="1459"/>
      <c r="D1" s="1459"/>
      <c r="E1" s="1459"/>
      <c r="F1" s="1459"/>
      <c r="G1" s="1459"/>
      <c r="H1" s="1343"/>
      <c r="I1" s="1343"/>
      <c r="J1" s="1343"/>
      <c r="K1" s="1343"/>
      <c r="L1" s="1343"/>
      <c r="M1" s="1343"/>
      <c r="N1" s="1343"/>
      <c r="O1" s="1343"/>
      <c r="P1" s="1343"/>
      <c r="Q1" s="1343"/>
      <c r="R1" s="1272"/>
      <c r="S1" s="1272"/>
      <c r="T1" s="1272"/>
      <c r="U1" s="1272"/>
      <c r="V1" s="1272"/>
      <c r="W1" s="1272"/>
    </row>
    <row r="2" spans="2:23" ht="15.7" customHeight="1" x14ac:dyDescent="0.5">
      <c r="B2" s="1461" t="s">
        <v>6662</v>
      </c>
      <c r="C2" s="1461"/>
      <c r="D2" s="1461"/>
      <c r="E2" s="1461"/>
      <c r="F2" s="1461"/>
      <c r="G2" s="1461"/>
      <c r="H2" s="1272"/>
      <c r="I2" s="1272"/>
      <c r="J2" s="1272"/>
      <c r="K2" s="1272"/>
      <c r="L2" s="1272"/>
      <c r="M2" s="1272"/>
      <c r="N2" s="1272"/>
      <c r="O2" s="1272"/>
      <c r="P2" s="1272"/>
      <c r="Q2" s="1272"/>
      <c r="R2" s="1272"/>
      <c r="S2" s="1272"/>
      <c r="T2" s="1272"/>
      <c r="U2" s="1272"/>
      <c r="V2" s="1272"/>
      <c r="W2" s="1272"/>
    </row>
    <row r="3" spans="2:23" x14ac:dyDescent="0.5">
      <c r="D3" s="1274"/>
      <c r="E3" s="1274"/>
      <c r="F3" s="1273"/>
      <c r="G3" s="1274"/>
      <c r="H3" s="1274"/>
      <c r="J3" s="1273"/>
      <c r="K3" s="1274"/>
      <c r="L3" s="1274"/>
      <c r="M3" s="1274"/>
      <c r="N3" s="1274"/>
      <c r="O3" s="1274"/>
      <c r="P3" s="1274"/>
      <c r="V3" s="1274"/>
    </row>
    <row r="20" spans="2:15" x14ac:dyDescent="0.5">
      <c r="D20" s="1333" t="s">
        <v>6667</v>
      </c>
      <c r="E20" s="1301" t="s">
        <v>6656</v>
      </c>
    </row>
    <row r="21" spans="2:15" x14ac:dyDescent="0.5">
      <c r="D21" s="1335">
        <f>I84</f>
        <v>0.12820000000000001</v>
      </c>
      <c r="E21" s="1331">
        <f>K84</f>
        <v>0.47199999999999998</v>
      </c>
    </row>
    <row r="23" spans="2:15" x14ac:dyDescent="0.5">
      <c r="D23" s="1333" t="s">
        <v>6670</v>
      </c>
      <c r="E23" s="1301" t="s">
        <v>6656</v>
      </c>
    </row>
    <row r="24" spans="2:15" x14ac:dyDescent="0.5">
      <c r="D24" s="1335">
        <f>I87</f>
        <v>0.12840000000000001</v>
      </c>
      <c r="E24" s="1331">
        <f>K87</f>
        <v>0.47299999999999998</v>
      </c>
    </row>
    <row r="25" spans="2:15" x14ac:dyDescent="0.5">
      <c r="D25" s="1308"/>
      <c r="E25" s="1313"/>
    </row>
    <row r="26" spans="2:15" x14ac:dyDescent="0.5">
      <c r="D26" s="1333" t="s">
        <v>6672</v>
      </c>
      <c r="E26" s="1301" t="s">
        <v>6656</v>
      </c>
    </row>
    <row r="27" spans="2:15" x14ac:dyDescent="0.5">
      <c r="D27" s="1331">
        <f>I90</f>
        <v>9.8000000000000004E-2</v>
      </c>
      <c r="E27" s="1335">
        <f>K90</f>
        <v>0.40799999999999997</v>
      </c>
      <c r="F27" s="1331">
        <f>_xlfn.PERCENTRANK.EXC($D$32:$D$130,D27)</f>
        <v>0.40799999999999997</v>
      </c>
    </row>
    <row r="28" spans="2:15" x14ac:dyDescent="0.5">
      <c r="D28" s="1344"/>
      <c r="E28" s="1345"/>
      <c r="F28" s="1344"/>
    </row>
    <row r="29" spans="2:15" x14ac:dyDescent="0.5">
      <c r="C29" s="1327" t="s">
        <v>6674</v>
      </c>
    </row>
    <row r="30" spans="2:15" ht="49.5" customHeight="1" x14ac:dyDescent="0.5">
      <c r="B30" s="1033"/>
      <c r="C30" s="1035"/>
      <c r="D30" s="1275" t="s">
        <v>6663</v>
      </c>
      <c r="E30" s="1275" t="s">
        <v>6635</v>
      </c>
      <c r="G30" s="1275" t="s">
        <v>6533</v>
      </c>
      <c r="M30" s="1276"/>
      <c r="N30" s="1276"/>
      <c r="O30" s="1276"/>
    </row>
    <row r="31" spans="2:15" x14ac:dyDescent="0.5">
      <c r="B31" s="1035"/>
      <c r="C31" s="1277" t="s">
        <v>5119</v>
      </c>
      <c r="D31" s="1277" t="s">
        <v>6650</v>
      </c>
      <c r="E31" s="1277" t="s">
        <v>6650</v>
      </c>
      <c r="G31" s="1277" t="s">
        <v>6650</v>
      </c>
    </row>
    <row r="32" spans="2:15" ht="15.3" thickBot="1" x14ac:dyDescent="0.55000000000000004">
      <c r="B32" s="1278"/>
      <c r="C32" s="1279">
        <v>1926</v>
      </c>
      <c r="D32" s="1280">
        <v>0.1162</v>
      </c>
      <c r="E32" s="1280">
        <v>3.73E-2</v>
      </c>
      <c r="F32" s="1281"/>
      <c r="G32" s="1280">
        <f t="shared" ref="G32:G95" si="0">(D32-E32)</f>
        <v>7.8899999999999998E-2</v>
      </c>
      <c r="I32" s="1460" t="s">
        <v>6664</v>
      </c>
      <c r="J32" s="1460"/>
      <c r="K32" s="1460"/>
      <c r="M32" s="1282"/>
    </row>
    <row r="33" spans="2:13" x14ac:dyDescent="0.5">
      <c r="B33" s="1278"/>
      <c r="C33" s="1283">
        <v>1927</v>
      </c>
      <c r="D33" s="1284">
        <v>0.37490000000000001</v>
      </c>
      <c r="E33" s="1284">
        <v>3.4099999999999998E-2</v>
      </c>
      <c r="F33" s="1281"/>
      <c r="G33" s="1284">
        <f t="shared" si="0"/>
        <v>0.34079999999999999</v>
      </c>
      <c r="I33" s="1285" t="s">
        <v>6651</v>
      </c>
      <c r="J33" s="1286" t="s">
        <v>6652</v>
      </c>
      <c r="K33" s="1286" t="s">
        <v>6653</v>
      </c>
      <c r="M33" s="1287"/>
    </row>
    <row r="34" spans="2:13" x14ac:dyDescent="0.5">
      <c r="B34" s="1278"/>
      <c r="C34" s="1283">
        <v>1928</v>
      </c>
      <c r="D34" s="1284">
        <v>0.43609999999999999</v>
      </c>
      <c r="E34" s="1284">
        <v>3.2199999999999999E-2</v>
      </c>
      <c r="F34" s="1281"/>
      <c r="G34" s="1284">
        <f t="shared" si="0"/>
        <v>0.40389999999999998</v>
      </c>
      <c r="I34" s="1287">
        <v>-0.5</v>
      </c>
      <c r="J34" s="1288">
        <f t="array" ref="J34:J79">FREQUENCY($D$32:$D$130,$I$34:$I$79)</f>
        <v>0</v>
      </c>
      <c r="K34" s="1289">
        <f>SUM(J$34:J34)/J$81</f>
        <v>0</v>
      </c>
      <c r="M34" s="1287"/>
    </row>
    <row r="35" spans="2:13" x14ac:dyDescent="0.5">
      <c r="B35" s="1278"/>
      <c r="C35" s="1283">
        <v>1929</v>
      </c>
      <c r="D35" s="1284">
        <v>-8.4199999999999997E-2</v>
      </c>
      <c r="E35" s="1284">
        <v>3.4700000000000002E-2</v>
      </c>
      <c r="F35" s="1281"/>
      <c r="G35" s="1284">
        <f t="shared" si="0"/>
        <v>-0.11890000000000001</v>
      </c>
      <c r="I35" s="1287">
        <v>-0.47499999999999998</v>
      </c>
      <c r="J35" s="1288">
        <v>0</v>
      </c>
      <c r="K35" s="1289">
        <f>SUM(J$34:J35)/J$81</f>
        <v>0</v>
      </c>
      <c r="M35" s="1287"/>
    </row>
    <row r="36" spans="2:13" x14ac:dyDescent="0.5">
      <c r="B36" s="1278"/>
      <c r="C36" s="1290">
        <v>1930</v>
      </c>
      <c r="D36" s="1291">
        <v>-0.249</v>
      </c>
      <c r="E36" s="1291">
        <v>3.32E-2</v>
      </c>
      <c r="F36" s="1281"/>
      <c r="G36" s="1291">
        <f t="shared" si="0"/>
        <v>-0.28220000000000001</v>
      </c>
      <c r="I36" s="1287">
        <v>-0.45</v>
      </c>
      <c r="J36" s="1288">
        <v>0</v>
      </c>
      <c r="K36" s="1289">
        <f>SUM(J$34:J36)/J$81</f>
        <v>0</v>
      </c>
      <c r="M36" s="1287"/>
    </row>
    <row r="37" spans="2:13" x14ac:dyDescent="0.5">
      <c r="B37" s="1278"/>
      <c r="C37" s="1279">
        <v>1931</v>
      </c>
      <c r="D37" s="1280">
        <v>-0.43340000000000001</v>
      </c>
      <c r="E37" s="1280">
        <v>3.3300000000000003E-2</v>
      </c>
      <c r="F37" s="1281"/>
      <c r="G37" s="1280">
        <f t="shared" si="0"/>
        <v>-0.4667</v>
      </c>
      <c r="I37" s="1287">
        <v>-0.42499999999999999</v>
      </c>
      <c r="J37" s="1288">
        <v>1</v>
      </c>
      <c r="K37" s="1289">
        <f>SUM(J$34:J37)/J$81</f>
        <v>1.0101010101010102E-2</v>
      </c>
      <c r="M37" s="1287"/>
    </row>
    <row r="38" spans="2:13" x14ac:dyDescent="0.5">
      <c r="B38" s="1278"/>
      <c r="C38" s="1283">
        <v>1932</v>
      </c>
      <c r="D38" s="1284">
        <v>-8.1900000000000001E-2</v>
      </c>
      <c r="E38" s="1284">
        <v>3.6900000000000002E-2</v>
      </c>
      <c r="F38" s="1281"/>
      <c r="G38" s="1284">
        <f t="shared" si="0"/>
        <v>-0.1188</v>
      </c>
      <c r="I38" s="1287">
        <v>-0.4</v>
      </c>
      <c r="J38" s="1288">
        <v>0</v>
      </c>
      <c r="K38" s="1289">
        <f>SUM(J$34:J38)/J$81</f>
        <v>1.0101010101010102E-2</v>
      </c>
      <c r="M38" s="1287"/>
    </row>
    <row r="39" spans="2:13" x14ac:dyDescent="0.5">
      <c r="B39" s="1278"/>
      <c r="C39" s="1283">
        <v>1933</v>
      </c>
      <c r="D39" s="1284">
        <v>0.53990000000000005</v>
      </c>
      <c r="E39" s="1284">
        <v>3.1199999999999999E-2</v>
      </c>
      <c r="F39" s="1281"/>
      <c r="G39" s="1284">
        <f t="shared" si="0"/>
        <v>0.50870000000000004</v>
      </c>
      <c r="I39" s="1287">
        <v>-0.375</v>
      </c>
      <c r="J39" s="1288">
        <v>0</v>
      </c>
      <c r="K39" s="1289">
        <f>SUM(J$34:J39)/J$81</f>
        <v>1.0101010101010102E-2</v>
      </c>
      <c r="M39" s="1287"/>
    </row>
    <row r="40" spans="2:13" x14ac:dyDescent="0.5">
      <c r="B40" s="1278"/>
      <c r="C40" s="1283">
        <v>1934</v>
      </c>
      <c r="D40" s="1284">
        <v>-1.44E-2</v>
      </c>
      <c r="E40" s="1284">
        <v>3.1800000000000002E-2</v>
      </c>
      <c r="F40" s="1281"/>
      <c r="G40" s="1284">
        <f t="shared" si="0"/>
        <v>-4.6200000000000005E-2</v>
      </c>
      <c r="I40" s="1287">
        <v>-0.35</v>
      </c>
      <c r="J40" s="1288">
        <v>2</v>
      </c>
      <c r="K40" s="1289">
        <f>SUM(J$34:J40)/J$81</f>
        <v>3.0303030303030304E-2</v>
      </c>
      <c r="M40" s="1287"/>
    </row>
    <row r="41" spans="2:13" x14ac:dyDescent="0.5">
      <c r="B41" s="1278"/>
      <c r="C41" s="1290">
        <v>1935</v>
      </c>
      <c r="D41" s="1291">
        <v>0.47670000000000001</v>
      </c>
      <c r="E41" s="1291">
        <v>2.81E-2</v>
      </c>
      <c r="F41" s="1281"/>
      <c r="G41" s="1291">
        <f t="shared" si="0"/>
        <v>0.4486</v>
      </c>
      <c r="I41" s="1287">
        <v>-0.32500000000000001</v>
      </c>
      <c r="J41" s="1288">
        <v>0</v>
      </c>
      <c r="K41" s="1289">
        <f>SUM(J$34:J41)/J$81</f>
        <v>3.0303030303030304E-2</v>
      </c>
      <c r="M41" s="1287"/>
    </row>
    <row r="42" spans="2:13" x14ac:dyDescent="0.5">
      <c r="B42" s="1278"/>
      <c r="C42" s="1279">
        <v>1936</v>
      </c>
      <c r="D42" s="1280">
        <v>0.3392</v>
      </c>
      <c r="E42" s="1280">
        <v>2.7699999999999999E-2</v>
      </c>
      <c r="F42" s="1281"/>
      <c r="G42" s="1280">
        <f t="shared" si="0"/>
        <v>0.3115</v>
      </c>
      <c r="I42" s="1287">
        <v>-0.3</v>
      </c>
      <c r="J42" s="1288">
        <v>0</v>
      </c>
      <c r="K42" s="1289">
        <f>SUM(J$34:J42)/J$81</f>
        <v>3.0303030303030304E-2</v>
      </c>
      <c r="M42" s="1287"/>
    </row>
    <row r="43" spans="2:13" x14ac:dyDescent="0.5">
      <c r="B43" s="1278"/>
      <c r="C43" s="1283">
        <v>1937</v>
      </c>
      <c r="D43" s="1284">
        <v>-0.3503</v>
      </c>
      <c r="E43" s="1284">
        <v>2.6599999999999999E-2</v>
      </c>
      <c r="F43" s="1281"/>
      <c r="G43" s="1284">
        <f t="shared" si="0"/>
        <v>-0.37690000000000001</v>
      </c>
      <c r="I43" s="1287">
        <v>-0.27500000000000002</v>
      </c>
      <c r="J43" s="1288">
        <v>0</v>
      </c>
      <c r="K43" s="1289">
        <f>SUM(J$34:J43)/J$81</f>
        <v>3.0303030303030304E-2</v>
      </c>
      <c r="M43" s="1287"/>
    </row>
    <row r="44" spans="2:13" x14ac:dyDescent="0.5">
      <c r="B44" s="1278"/>
      <c r="C44" s="1283">
        <v>1938</v>
      </c>
      <c r="D44" s="1284">
        <v>0.31119999999999998</v>
      </c>
      <c r="E44" s="1284">
        <v>2.64E-2</v>
      </c>
      <c r="F44" s="1281"/>
      <c r="G44" s="1284">
        <f t="shared" si="0"/>
        <v>0.2848</v>
      </c>
      <c r="I44" s="1287">
        <v>-0.25</v>
      </c>
      <c r="J44" s="1288">
        <v>1</v>
      </c>
      <c r="K44" s="1289">
        <f>SUM(J$34:J44)/J$81</f>
        <v>4.0404040404040407E-2</v>
      </c>
      <c r="M44" s="1287"/>
    </row>
    <row r="45" spans="2:13" x14ac:dyDescent="0.5">
      <c r="B45" s="1278"/>
      <c r="C45" s="1283">
        <v>1939</v>
      </c>
      <c r="D45" s="1284">
        <v>-4.1000000000000003E-3</v>
      </c>
      <c r="E45" s="1284">
        <v>2.4E-2</v>
      </c>
      <c r="F45" s="1281"/>
      <c r="G45" s="1284">
        <f t="shared" si="0"/>
        <v>-2.81E-2</v>
      </c>
      <c r="I45" s="1287">
        <v>-0.22500000000000001</v>
      </c>
      <c r="J45" s="1288">
        <v>1</v>
      </c>
      <c r="K45" s="1289">
        <f>SUM(J$34:J45)/J$81</f>
        <v>5.0505050505050504E-2</v>
      </c>
      <c r="M45" s="1287"/>
    </row>
    <row r="46" spans="2:13" x14ac:dyDescent="0.5">
      <c r="B46" s="1278"/>
      <c r="C46" s="1290">
        <v>1940</v>
      </c>
      <c r="D46" s="1291">
        <v>-9.7799999999999998E-2</v>
      </c>
      <c r="E46" s="1291">
        <v>2.23E-2</v>
      </c>
      <c r="F46" s="1281"/>
      <c r="G46" s="1291">
        <f t="shared" si="0"/>
        <v>-0.1201</v>
      </c>
      <c r="I46" s="1287">
        <v>-0.2</v>
      </c>
      <c r="J46" s="1288">
        <v>1</v>
      </c>
      <c r="K46" s="1289">
        <f>SUM(J$34:J46)/J$81</f>
        <v>6.0606060606060608E-2</v>
      </c>
      <c r="M46" s="1287"/>
    </row>
    <row r="47" spans="2:13" x14ac:dyDescent="0.5">
      <c r="B47" s="1278"/>
      <c r="C47" s="1279">
        <v>1941</v>
      </c>
      <c r="D47" s="1280">
        <v>-0.1159</v>
      </c>
      <c r="E47" s="1280">
        <v>1.9400000000000001E-2</v>
      </c>
      <c r="F47" s="1281"/>
      <c r="G47" s="1280">
        <f t="shared" si="0"/>
        <v>-0.1353</v>
      </c>
      <c r="I47" s="1287">
        <v>-0.17499999999999999</v>
      </c>
      <c r="J47" s="1288">
        <v>1</v>
      </c>
      <c r="K47" s="1289">
        <f>SUM(J$34:J47)/J$81</f>
        <v>7.0707070707070704E-2</v>
      </c>
      <c r="M47" s="1287"/>
    </row>
    <row r="48" spans="2:13" x14ac:dyDescent="0.5">
      <c r="B48" s="1278"/>
      <c r="C48" s="1283">
        <v>1942</v>
      </c>
      <c r="D48" s="1284">
        <v>0.2034</v>
      </c>
      <c r="E48" s="1284">
        <v>2.46E-2</v>
      </c>
      <c r="F48" s="1281"/>
      <c r="G48" s="1284">
        <f t="shared" si="0"/>
        <v>0.17879999999999999</v>
      </c>
      <c r="I48" s="1287">
        <v>-0.15</v>
      </c>
      <c r="J48" s="1288">
        <v>0</v>
      </c>
      <c r="K48" s="1289">
        <f>SUM(J$34:J48)/J$81</f>
        <v>7.0707070707070704E-2</v>
      </c>
      <c r="M48" s="1287"/>
    </row>
    <row r="49" spans="2:13" x14ac:dyDescent="0.5">
      <c r="B49" s="1278"/>
      <c r="C49" s="1283">
        <v>1943</v>
      </c>
      <c r="D49" s="1284">
        <v>0.25900000000000001</v>
      </c>
      <c r="E49" s="1284">
        <v>2.4400000000000002E-2</v>
      </c>
      <c r="F49" s="1281"/>
      <c r="G49" s="1284">
        <f t="shared" si="0"/>
        <v>0.2346</v>
      </c>
      <c r="I49" s="1287">
        <v>-0.125</v>
      </c>
      <c r="J49" s="1288">
        <v>1</v>
      </c>
      <c r="K49" s="1289">
        <f>SUM(J$34:J49)/J$81</f>
        <v>8.0808080808080815E-2</v>
      </c>
      <c r="M49" s="1287"/>
    </row>
    <row r="50" spans="2:13" x14ac:dyDescent="0.5">
      <c r="B50" s="1278"/>
      <c r="C50" s="1283">
        <v>1944</v>
      </c>
      <c r="D50" s="1284">
        <v>0.19750000000000001</v>
      </c>
      <c r="E50" s="1284">
        <v>2.46E-2</v>
      </c>
      <c r="F50" s="1281"/>
      <c r="G50" s="1284">
        <f t="shared" si="0"/>
        <v>0.1729</v>
      </c>
      <c r="I50" s="1287">
        <v>-0.1</v>
      </c>
      <c r="J50" s="1288">
        <v>4</v>
      </c>
      <c r="K50" s="1289">
        <f>SUM(J$34:J50)/J$81</f>
        <v>0.12121212121212122</v>
      </c>
      <c r="M50" s="1287"/>
    </row>
    <row r="51" spans="2:13" x14ac:dyDescent="0.5">
      <c r="B51" s="1278"/>
      <c r="C51" s="1290">
        <v>1945</v>
      </c>
      <c r="D51" s="1291">
        <v>0.3644</v>
      </c>
      <c r="E51" s="1291">
        <v>2.3400000000000001E-2</v>
      </c>
      <c r="F51" s="1281"/>
      <c r="G51" s="1291">
        <f t="shared" si="0"/>
        <v>0.34100000000000003</v>
      </c>
      <c r="I51" s="1287">
        <v>-7.4999999999999997E-2</v>
      </c>
      <c r="J51" s="1288">
        <v>7</v>
      </c>
      <c r="K51" s="1289">
        <f>SUM(J$34:J51)/J$81</f>
        <v>0.19191919191919191</v>
      </c>
      <c r="M51" s="1287"/>
    </row>
    <row r="52" spans="2:13" x14ac:dyDescent="0.5">
      <c r="B52" s="1278"/>
      <c r="C52" s="1279">
        <v>1946</v>
      </c>
      <c r="D52" s="1280">
        <v>-8.0699999999999994E-2</v>
      </c>
      <c r="E52" s="1280">
        <v>2.0400000000000001E-2</v>
      </c>
      <c r="F52" s="1281"/>
      <c r="G52" s="1280">
        <f t="shared" si="0"/>
        <v>-0.1011</v>
      </c>
      <c r="I52" s="1287">
        <v>-0.05</v>
      </c>
      <c r="J52" s="1288">
        <v>1</v>
      </c>
      <c r="K52" s="1289">
        <f>SUM(J$34:J52)/J$81</f>
        <v>0.20202020202020202</v>
      </c>
      <c r="M52" s="1287"/>
    </row>
    <row r="53" spans="2:13" x14ac:dyDescent="0.5">
      <c r="B53" s="1278"/>
      <c r="C53" s="1283">
        <v>1947</v>
      </c>
      <c r="D53" s="1284">
        <v>5.7099999999999998E-2</v>
      </c>
      <c r="E53" s="1284">
        <v>2.1299999999999999E-2</v>
      </c>
      <c r="F53" s="1281"/>
      <c r="G53" s="1284">
        <f t="shared" si="0"/>
        <v>3.5799999999999998E-2</v>
      </c>
      <c r="I53" s="1287">
        <v>-2.5000000000000001E-2</v>
      </c>
      <c r="J53" s="1288">
        <v>3</v>
      </c>
      <c r="K53" s="1289">
        <f>SUM(J$34:J53)/J$81</f>
        <v>0.23232323232323232</v>
      </c>
      <c r="M53" s="1287"/>
    </row>
    <row r="54" spans="2:13" x14ac:dyDescent="0.5">
      <c r="B54" s="1278"/>
      <c r="C54" s="1283">
        <v>1948</v>
      </c>
      <c r="D54" s="1284">
        <v>5.5E-2</v>
      </c>
      <c r="E54" s="1284">
        <v>2.4E-2</v>
      </c>
      <c r="F54" s="1281"/>
      <c r="G54" s="1284">
        <f t="shared" si="0"/>
        <v>3.1E-2</v>
      </c>
      <c r="I54" s="1287">
        <v>0</v>
      </c>
      <c r="J54" s="1288">
        <v>3</v>
      </c>
      <c r="K54" s="1289">
        <f>SUM(J$34:J54)/J$81</f>
        <v>0.26262626262626265</v>
      </c>
      <c r="M54" s="1287"/>
    </row>
    <row r="55" spans="2:13" x14ac:dyDescent="0.5">
      <c r="B55" s="1278"/>
      <c r="C55" s="1283">
        <v>1949</v>
      </c>
      <c r="D55" s="1284">
        <v>0.18790000000000001</v>
      </c>
      <c r="E55" s="1284">
        <v>2.2499999999999999E-2</v>
      </c>
      <c r="F55" s="1281"/>
      <c r="G55" s="1284">
        <f t="shared" si="0"/>
        <v>0.16540000000000002</v>
      </c>
      <c r="I55" s="1287">
        <v>2.5000000000000001E-2</v>
      </c>
      <c r="J55" s="1288">
        <v>4</v>
      </c>
      <c r="K55" s="1289">
        <f>SUM(J$34:J55)/J$81</f>
        <v>0.30303030303030304</v>
      </c>
      <c r="M55" s="1287"/>
    </row>
    <row r="56" spans="2:13" x14ac:dyDescent="0.5">
      <c r="B56" s="1278"/>
      <c r="C56" s="1290">
        <v>1950</v>
      </c>
      <c r="D56" s="1291">
        <v>0.31709999999999999</v>
      </c>
      <c r="E56" s="1291">
        <v>2.12E-2</v>
      </c>
      <c r="F56" s="1281"/>
      <c r="G56" s="1291">
        <f t="shared" si="0"/>
        <v>0.2959</v>
      </c>
      <c r="I56" s="1287">
        <v>0.05</v>
      </c>
      <c r="J56" s="1288">
        <v>2</v>
      </c>
      <c r="K56" s="1289">
        <f>SUM(J$34:J56)/J$81</f>
        <v>0.32323232323232326</v>
      </c>
      <c r="M56" s="1287"/>
    </row>
    <row r="57" spans="2:13" x14ac:dyDescent="0.5">
      <c r="B57" s="1278"/>
      <c r="C57" s="1279">
        <v>1951</v>
      </c>
      <c r="D57" s="1280">
        <v>0.2402</v>
      </c>
      <c r="E57" s="1280">
        <v>2.3800000000000002E-2</v>
      </c>
      <c r="F57" s="1281"/>
      <c r="G57" s="1280">
        <f t="shared" si="0"/>
        <v>0.21639999999999998</v>
      </c>
      <c r="I57" s="1287">
        <v>7.4999999999999997E-2</v>
      </c>
      <c r="J57" s="1288">
        <v>7</v>
      </c>
      <c r="K57" s="1289">
        <f>SUM(J$34:J57)/J$81</f>
        <v>0.39393939393939392</v>
      </c>
      <c r="M57" s="1287"/>
    </row>
    <row r="58" spans="2:13" x14ac:dyDescent="0.5">
      <c r="B58" s="1278"/>
      <c r="C58" s="1283">
        <v>1952</v>
      </c>
      <c r="D58" s="1284">
        <v>0.1837</v>
      </c>
      <c r="E58" s="1284">
        <v>2.6599999999999999E-2</v>
      </c>
      <c r="F58" s="1281"/>
      <c r="G58" s="1284">
        <f t="shared" si="0"/>
        <v>0.15710000000000002</v>
      </c>
      <c r="I58" s="1287">
        <v>0.1</v>
      </c>
      <c r="J58" s="1288">
        <v>1</v>
      </c>
      <c r="K58" s="1289">
        <f>SUM(J$34:J58)/J$81</f>
        <v>0.40404040404040403</v>
      </c>
      <c r="M58" s="1287"/>
    </row>
    <row r="59" spans="2:13" x14ac:dyDescent="0.5">
      <c r="B59" s="1278"/>
      <c r="C59" s="1283">
        <v>1953</v>
      </c>
      <c r="D59" s="1284">
        <v>-9.9000000000000008E-3</v>
      </c>
      <c r="E59" s="1284">
        <v>2.8400000000000002E-2</v>
      </c>
      <c r="F59" s="1281"/>
      <c r="G59" s="1284">
        <f t="shared" si="0"/>
        <v>-3.8300000000000001E-2</v>
      </c>
      <c r="I59" s="1287">
        <v>0.125</v>
      </c>
      <c r="J59" s="1288">
        <v>7</v>
      </c>
      <c r="K59" s="1289">
        <f>SUM(J$34:J59)/J$81</f>
        <v>0.47474747474747475</v>
      </c>
      <c r="M59" s="1287"/>
    </row>
    <row r="60" spans="2:13" x14ac:dyDescent="0.5">
      <c r="B60" s="1278"/>
      <c r="C60" s="1283">
        <v>1954</v>
      </c>
      <c r="D60" s="1284">
        <v>0.5262</v>
      </c>
      <c r="E60" s="1284">
        <v>2.7900000000000001E-2</v>
      </c>
      <c r="F60" s="1281"/>
      <c r="G60" s="1284">
        <f t="shared" si="0"/>
        <v>0.49830000000000002</v>
      </c>
      <c r="I60" s="1287">
        <v>0.15</v>
      </c>
      <c r="J60" s="1288">
        <v>2</v>
      </c>
      <c r="K60" s="1289">
        <f>SUM(J$34:J60)/J$81</f>
        <v>0.49494949494949497</v>
      </c>
      <c r="M60" s="1287"/>
    </row>
    <row r="61" spans="2:13" x14ac:dyDescent="0.5">
      <c r="B61" s="1278"/>
      <c r="C61" s="1290">
        <v>1955</v>
      </c>
      <c r="D61" s="1291">
        <v>0.31559999999999999</v>
      </c>
      <c r="E61" s="1291">
        <v>2.75E-2</v>
      </c>
      <c r="F61" s="1281"/>
      <c r="G61" s="1291">
        <f t="shared" si="0"/>
        <v>0.28809999999999997</v>
      </c>
      <c r="I61" s="1287">
        <v>0.17499999999999999</v>
      </c>
      <c r="J61" s="1288">
        <v>5</v>
      </c>
      <c r="K61" s="1289">
        <f>SUM(J$34:J61)/J$81</f>
        <v>0.54545454545454541</v>
      </c>
      <c r="M61" s="1287"/>
    </row>
    <row r="62" spans="2:13" x14ac:dyDescent="0.5">
      <c r="B62" s="1278"/>
      <c r="C62" s="1279">
        <v>1956</v>
      </c>
      <c r="D62" s="1280">
        <v>6.5600000000000006E-2</v>
      </c>
      <c r="E62" s="1280">
        <v>2.9899999999999999E-2</v>
      </c>
      <c r="F62" s="1281"/>
      <c r="G62" s="1280">
        <f t="shared" si="0"/>
        <v>3.570000000000001E-2</v>
      </c>
      <c r="I62" s="1287">
        <v>0.2</v>
      </c>
      <c r="J62" s="1288">
        <v>7</v>
      </c>
      <c r="K62" s="1289">
        <f>SUM(J$34:J62)/J$81</f>
        <v>0.61616161616161613</v>
      </c>
      <c r="M62" s="1287"/>
    </row>
    <row r="63" spans="2:13" x14ac:dyDescent="0.5">
      <c r="B63" s="1278"/>
      <c r="C63" s="1283">
        <v>1957</v>
      </c>
      <c r="D63" s="1284">
        <v>-0.10780000000000001</v>
      </c>
      <c r="E63" s="1284">
        <v>3.44E-2</v>
      </c>
      <c r="F63" s="1281"/>
      <c r="G63" s="1284">
        <f t="shared" si="0"/>
        <v>-0.14219999999999999</v>
      </c>
      <c r="I63" s="1287">
        <v>0.22500000000000001</v>
      </c>
      <c r="J63" s="1288">
        <v>4</v>
      </c>
      <c r="K63" s="1289">
        <f>SUM(J$34:J63)/J$81</f>
        <v>0.65656565656565657</v>
      </c>
      <c r="M63" s="1287"/>
    </row>
    <row r="64" spans="2:13" x14ac:dyDescent="0.5">
      <c r="B64" s="1278"/>
      <c r="C64" s="1283">
        <v>1958</v>
      </c>
      <c r="D64" s="1284">
        <v>0.43359999999999999</v>
      </c>
      <c r="E64" s="1284">
        <v>3.27E-2</v>
      </c>
      <c r="F64" s="1281"/>
      <c r="G64" s="1284">
        <f t="shared" si="0"/>
        <v>0.40089999999999998</v>
      </c>
      <c r="I64" s="1287">
        <v>0.25</v>
      </c>
      <c r="J64" s="1288">
        <v>6</v>
      </c>
      <c r="K64" s="1289">
        <f>SUM(J$34:J64)/J$81</f>
        <v>0.71717171717171713</v>
      </c>
      <c r="M64" s="1287"/>
    </row>
    <row r="65" spans="2:19" x14ac:dyDescent="0.5">
      <c r="B65" s="1278"/>
      <c r="C65" s="1283">
        <v>1959</v>
      </c>
      <c r="D65" s="1284">
        <v>0.1196</v>
      </c>
      <c r="E65" s="1284">
        <v>4.0099999999999997E-2</v>
      </c>
      <c r="F65" s="1281"/>
      <c r="G65" s="1284">
        <f t="shared" si="0"/>
        <v>7.9500000000000001E-2</v>
      </c>
      <c r="I65" s="1287">
        <v>0.27500000000000002</v>
      </c>
      <c r="J65" s="1288">
        <v>5</v>
      </c>
      <c r="K65" s="1289">
        <f>SUM(J$34:J65)/J$81</f>
        <v>0.76767676767676762</v>
      </c>
      <c r="M65" s="1287"/>
    </row>
    <row r="66" spans="2:19" x14ac:dyDescent="0.5">
      <c r="B66" s="1278"/>
      <c r="C66" s="1290">
        <v>1960</v>
      </c>
      <c r="D66" s="1291">
        <v>4.7000000000000002E-3</v>
      </c>
      <c r="E66" s="1291">
        <v>4.2599999999999999E-2</v>
      </c>
      <c r="F66" s="1281"/>
      <c r="G66" s="1291">
        <f t="shared" si="0"/>
        <v>-3.7899999999999996E-2</v>
      </c>
      <c r="I66" s="1287">
        <v>0.3</v>
      </c>
      <c r="J66" s="1288">
        <v>3</v>
      </c>
      <c r="K66" s="1289">
        <f>SUM(J$34:J66)/J$81</f>
        <v>0.79797979797979801</v>
      </c>
      <c r="M66" s="1287"/>
    </row>
    <row r="67" spans="2:19" x14ac:dyDescent="0.5">
      <c r="B67" s="1278"/>
      <c r="C67" s="1279">
        <v>1961</v>
      </c>
      <c r="D67" s="1280">
        <v>0.26889999999999997</v>
      </c>
      <c r="E67" s="1280">
        <v>3.8300000000000001E-2</v>
      </c>
      <c r="F67" s="1281"/>
      <c r="G67" s="1280">
        <f t="shared" si="0"/>
        <v>0.23059999999999997</v>
      </c>
      <c r="I67" s="1287">
        <v>0.32500000000000001</v>
      </c>
      <c r="J67" s="1288">
        <v>9</v>
      </c>
      <c r="K67" s="1289">
        <f>SUM(J$34:J67)/J$81</f>
        <v>0.88888888888888884</v>
      </c>
      <c r="M67" s="1287"/>
    </row>
    <row r="68" spans="2:19" x14ac:dyDescent="0.5">
      <c r="B68" s="1278"/>
      <c r="C68" s="1283">
        <v>1962</v>
      </c>
      <c r="D68" s="1284">
        <v>-8.7300000000000003E-2</v>
      </c>
      <c r="E68" s="1284">
        <v>0.04</v>
      </c>
      <c r="F68" s="1281"/>
      <c r="G68" s="1284">
        <f t="shared" si="0"/>
        <v>-0.1273</v>
      </c>
      <c r="I68" s="1287">
        <v>0.35</v>
      </c>
      <c r="J68" s="1288">
        <v>2</v>
      </c>
      <c r="K68" s="1289">
        <f>SUM(J$34:J68)/J$81</f>
        <v>0.90909090909090906</v>
      </c>
      <c r="M68" s="1287"/>
    </row>
    <row r="69" spans="2:19" x14ac:dyDescent="0.5">
      <c r="B69" s="1278"/>
      <c r="C69" s="1283">
        <v>1963</v>
      </c>
      <c r="D69" s="1284">
        <v>0.22800000000000001</v>
      </c>
      <c r="E69" s="1284">
        <v>3.8899999999999997E-2</v>
      </c>
      <c r="F69" s="1281"/>
      <c r="G69" s="1284">
        <f t="shared" si="0"/>
        <v>0.18910000000000002</v>
      </c>
      <c r="I69" s="1287">
        <v>0.375</v>
      </c>
      <c r="J69" s="1288">
        <v>3</v>
      </c>
      <c r="K69" s="1289">
        <f>SUM(J$34:J69)/J$81</f>
        <v>0.93939393939393945</v>
      </c>
      <c r="M69" s="1287"/>
    </row>
    <row r="70" spans="2:19" x14ac:dyDescent="0.5">
      <c r="B70" s="1278"/>
      <c r="C70" s="1283">
        <v>1964</v>
      </c>
      <c r="D70" s="1284">
        <v>0.1648</v>
      </c>
      <c r="E70" s="1284">
        <v>4.1500000000000002E-2</v>
      </c>
      <c r="F70" s="1281"/>
      <c r="G70" s="1284">
        <f t="shared" si="0"/>
        <v>0.12329999999999999</v>
      </c>
      <c r="I70" s="1287">
        <v>0.4</v>
      </c>
      <c r="J70" s="1288">
        <v>1</v>
      </c>
      <c r="K70" s="1289">
        <f>SUM(J$34:J70)/J$81</f>
        <v>0.9494949494949495</v>
      </c>
      <c r="M70" s="1287"/>
    </row>
    <row r="71" spans="2:19" x14ac:dyDescent="0.5">
      <c r="B71" s="1278"/>
      <c r="C71" s="1290">
        <v>1965</v>
      </c>
      <c r="D71" s="1291">
        <v>0.1245</v>
      </c>
      <c r="E71" s="1291">
        <v>4.19E-2</v>
      </c>
      <c r="F71" s="1281"/>
      <c r="G71" s="1291">
        <f t="shared" si="0"/>
        <v>8.2600000000000007E-2</v>
      </c>
      <c r="I71" s="1287">
        <v>0.42499999999999999</v>
      </c>
      <c r="J71" s="1288">
        <v>0</v>
      </c>
      <c r="K71" s="1289">
        <f>SUM(J$34:J71)/J$81</f>
        <v>0.9494949494949495</v>
      </c>
      <c r="M71" s="1287"/>
    </row>
    <row r="72" spans="2:19" x14ac:dyDescent="0.5">
      <c r="B72" s="1278"/>
      <c r="C72" s="1279">
        <v>1966</v>
      </c>
      <c r="D72" s="1280">
        <v>-0.10059999999999999</v>
      </c>
      <c r="E72" s="1280">
        <v>4.4900000000000002E-2</v>
      </c>
      <c r="F72" s="1281"/>
      <c r="G72" s="1280">
        <f t="shared" si="0"/>
        <v>-0.14549999999999999</v>
      </c>
      <c r="I72" s="1287">
        <v>0.45</v>
      </c>
      <c r="J72" s="1288">
        <v>2</v>
      </c>
      <c r="K72" s="1289">
        <f>SUM(J$34:J72)/J$81</f>
        <v>0.96969696969696972</v>
      </c>
      <c r="M72" s="1287"/>
    </row>
    <row r="73" spans="2:19" x14ac:dyDescent="0.5">
      <c r="B73" s="1278"/>
      <c r="C73" s="1283">
        <v>1967</v>
      </c>
      <c r="D73" s="1284">
        <v>0.23980000000000001</v>
      </c>
      <c r="E73" s="1284">
        <v>4.5900000000000003E-2</v>
      </c>
      <c r="F73" s="1281"/>
      <c r="G73" s="1284">
        <f t="shared" si="0"/>
        <v>0.19390000000000002</v>
      </c>
      <c r="I73" s="1287">
        <v>0.47499999999999998</v>
      </c>
      <c r="J73" s="1288">
        <v>0</v>
      </c>
      <c r="K73" s="1289">
        <f>SUM(J$34:J73)/J$81</f>
        <v>0.96969696969696972</v>
      </c>
      <c r="M73" s="1287"/>
    </row>
    <row r="74" spans="2:19" x14ac:dyDescent="0.5">
      <c r="B74" s="1278"/>
      <c r="C74" s="1283">
        <v>1968</v>
      </c>
      <c r="D74" s="1284">
        <v>0.1106</v>
      </c>
      <c r="E74" s="1284">
        <v>5.5E-2</v>
      </c>
      <c r="F74" s="1281"/>
      <c r="G74" s="1284">
        <f t="shared" si="0"/>
        <v>5.5600000000000004E-2</v>
      </c>
      <c r="I74" s="1287">
        <v>0.5</v>
      </c>
      <c r="J74" s="1288">
        <v>1</v>
      </c>
      <c r="K74" s="1289">
        <f>SUM(J$34:J74)/J$81</f>
        <v>0.97979797979797978</v>
      </c>
      <c r="M74" s="1287"/>
    </row>
    <row r="75" spans="2:19" x14ac:dyDescent="0.5">
      <c r="B75" s="1278"/>
      <c r="C75" s="1283">
        <v>1969</v>
      </c>
      <c r="D75" s="1284">
        <v>-8.5000000000000006E-2</v>
      </c>
      <c r="E75" s="1284">
        <v>5.9499999999999997E-2</v>
      </c>
      <c r="F75" s="1281"/>
      <c r="G75" s="1284">
        <f t="shared" si="0"/>
        <v>-0.14450000000000002</v>
      </c>
      <c r="I75" s="1287">
        <v>0.52500000000000002</v>
      </c>
      <c r="J75" s="1288">
        <v>0</v>
      </c>
      <c r="K75" s="1289">
        <f>SUM(J$34:J75)/J$81</f>
        <v>0.97979797979797978</v>
      </c>
      <c r="M75" s="1287"/>
      <c r="S75" s="1293"/>
    </row>
    <row r="76" spans="2:19" x14ac:dyDescent="0.5">
      <c r="B76" s="1278"/>
      <c r="C76" s="1283">
        <v>1970</v>
      </c>
      <c r="D76" s="1284">
        <v>3.8600000000000002E-2</v>
      </c>
      <c r="E76" s="1284">
        <v>6.7400000000000002E-2</v>
      </c>
      <c r="F76" s="1281"/>
      <c r="G76" s="1284">
        <f t="shared" si="0"/>
        <v>-2.8799999999999999E-2</v>
      </c>
      <c r="I76" s="1287">
        <v>0.55000000000000004</v>
      </c>
      <c r="J76" s="1288">
        <v>2</v>
      </c>
      <c r="K76" s="1289">
        <f>SUM(J$34:J76)/J$81</f>
        <v>1</v>
      </c>
      <c r="M76" s="1287"/>
      <c r="S76" s="1293"/>
    </row>
    <row r="77" spans="2:19" x14ac:dyDescent="0.5">
      <c r="B77" s="1278"/>
      <c r="C77" s="1279">
        <v>1971</v>
      </c>
      <c r="D77" s="1280">
        <v>0.14299999999999999</v>
      </c>
      <c r="E77" s="1280">
        <v>6.3200000000000006E-2</v>
      </c>
      <c r="F77" s="1281"/>
      <c r="G77" s="1280">
        <f t="shared" si="0"/>
        <v>7.9799999999999982E-2</v>
      </c>
      <c r="I77" s="1287">
        <v>0.57499999999999996</v>
      </c>
      <c r="J77" s="1288">
        <v>0</v>
      </c>
      <c r="K77" s="1289">
        <f>SUM(J$34:J77)/J$81</f>
        <v>1</v>
      </c>
      <c r="M77" s="1287"/>
      <c r="S77" s="1293"/>
    </row>
    <row r="78" spans="2:19" x14ac:dyDescent="0.5">
      <c r="B78" s="1278"/>
      <c r="C78" s="1283">
        <v>1972</v>
      </c>
      <c r="D78" s="1284">
        <v>0.19</v>
      </c>
      <c r="E78" s="1284">
        <v>5.8700000000000002E-2</v>
      </c>
      <c r="F78" s="1281"/>
      <c r="G78" s="1284">
        <f t="shared" si="0"/>
        <v>0.1313</v>
      </c>
      <c r="I78" s="1287">
        <v>0.6</v>
      </c>
      <c r="J78" s="1288">
        <v>0</v>
      </c>
      <c r="K78" s="1289">
        <f>SUM(J$34:J78)/J$81</f>
        <v>1</v>
      </c>
      <c r="M78" s="1296"/>
      <c r="S78" s="1044"/>
    </row>
    <row r="79" spans="2:19" ht="15.3" thickBot="1" x14ac:dyDescent="0.55000000000000004">
      <c r="B79" s="1278"/>
      <c r="C79" s="1283">
        <v>1973</v>
      </c>
      <c r="D79" s="1284">
        <v>-0.1469</v>
      </c>
      <c r="E79" s="1284">
        <v>6.5100000000000005E-2</v>
      </c>
      <c r="F79" s="1281"/>
      <c r="G79" s="1284">
        <f t="shared" si="0"/>
        <v>-0.21200000000000002</v>
      </c>
      <c r="I79" s="1287">
        <v>0.625</v>
      </c>
      <c r="J79" s="1292">
        <v>0</v>
      </c>
      <c r="K79" s="1289">
        <f>SUM(J$34:J79)/J$81</f>
        <v>1</v>
      </c>
      <c r="M79" s="1297"/>
      <c r="S79" s="1044"/>
    </row>
    <row r="80" spans="2:19" x14ac:dyDescent="0.5">
      <c r="B80" s="1278"/>
      <c r="C80" s="1283">
        <v>1974</v>
      </c>
      <c r="D80" s="1284">
        <v>-0.26469999999999999</v>
      </c>
      <c r="E80" s="1284">
        <v>7.2700000000000001E-2</v>
      </c>
      <c r="F80" s="1281"/>
      <c r="G80" s="1284">
        <f t="shared" si="0"/>
        <v>-0.33739999999999998</v>
      </c>
      <c r="I80" s="1294"/>
      <c r="J80" s="1298"/>
      <c r="L80" s="1044"/>
      <c r="M80" s="1288"/>
    </row>
    <row r="81" spans="2:18" x14ac:dyDescent="0.5">
      <c r="B81" s="1278"/>
      <c r="C81" s="1290">
        <v>1975</v>
      </c>
      <c r="D81" s="1291">
        <v>0.37230000000000002</v>
      </c>
      <c r="E81" s="1291">
        <v>7.9899999999999999E-2</v>
      </c>
      <c r="F81" s="1281"/>
      <c r="G81" s="1291">
        <f t="shared" si="0"/>
        <v>0.29239999999999999</v>
      </c>
      <c r="I81" s="1294"/>
      <c r="J81" s="1288">
        <f>SUM(J34:J79)</f>
        <v>99</v>
      </c>
      <c r="M81" s="1288"/>
    </row>
    <row r="82" spans="2:18" x14ac:dyDescent="0.5">
      <c r="B82" s="1278"/>
      <c r="C82" s="1279">
        <v>1976</v>
      </c>
      <c r="D82" s="1280">
        <v>0.23930000000000001</v>
      </c>
      <c r="E82" s="1280">
        <v>7.8899999999999998E-2</v>
      </c>
      <c r="F82" s="1281"/>
      <c r="G82" s="1280">
        <f t="shared" si="0"/>
        <v>0.16040000000000001</v>
      </c>
      <c r="H82" s="1299"/>
      <c r="M82" s="1297"/>
      <c r="N82" s="1288"/>
      <c r="O82" s="1298"/>
    </row>
    <row r="83" spans="2:18" x14ac:dyDescent="0.5">
      <c r="B83" s="1278"/>
      <c r="C83" s="1283">
        <v>1977</v>
      </c>
      <c r="D83" s="1284">
        <v>-7.1599999999999997E-2</v>
      </c>
      <c r="E83" s="1284">
        <v>7.1400000000000005E-2</v>
      </c>
      <c r="F83" s="1281"/>
      <c r="G83" s="1284">
        <f t="shared" si="0"/>
        <v>-0.14300000000000002</v>
      </c>
      <c r="H83" s="1299"/>
      <c r="I83" s="1334" t="s">
        <v>6667</v>
      </c>
      <c r="J83" s="1333"/>
      <c r="K83" s="1301" t="s">
        <v>6656</v>
      </c>
      <c r="O83" s="1336" t="s">
        <v>6666</v>
      </c>
      <c r="Q83" s="1029" t="s">
        <v>6668</v>
      </c>
    </row>
    <row r="84" spans="2:18" ht="14.5" customHeight="1" x14ac:dyDescent="0.5">
      <c r="B84" s="1278"/>
      <c r="C84" s="1283">
        <v>1978</v>
      </c>
      <c r="D84" s="1284">
        <v>6.5699999999999995E-2</v>
      </c>
      <c r="E84" s="1284">
        <v>7.9000000000000001E-2</v>
      </c>
      <c r="F84" s="1281"/>
      <c r="G84" s="1284">
        <f t="shared" si="0"/>
        <v>-1.3300000000000006E-2</v>
      </c>
      <c r="H84" s="1299"/>
      <c r="I84" s="1335">
        <f>O84+Q84</f>
        <v>0.12820000000000001</v>
      </c>
      <c r="J84" s="1335"/>
      <c r="K84" s="1331">
        <f>_xlfn.PERCENTRANK.EXC($D$32:$D$130,I84)</f>
        <v>0.47199999999999998</v>
      </c>
      <c r="L84" s="1304">
        <f>_xlfn.PERCENTRANK.EXC($D$32:$D$130,I84)</f>
        <v>0.47199999999999998</v>
      </c>
      <c r="N84" s="1338"/>
      <c r="O84" s="1339">
        <v>8.6300000000000002E-2</v>
      </c>
      <c r="P84" s="1340"/>
      <c r="Q84" s="1044">
        <v>4.19E-2</v>
      </c>
      <c r="R84" s="1305"/>
    </row>
    <row r="85" spans="2:18" x14ac:dyDescent="0.5">
      <c r="B85" s="1278"/>
      <c r="C85" s="1283">
        <v>1979</v>
      </c>
      <c r="D85" s="1284">
        <v>0.18609999999999999</v>
      </c>
      <c r="E85" s="1284">
        <v>8.8599999999999998E-2</v>
      </c>
      <c r="F85" s="1281"/>
      <c r="G85" s="1284">
        <f t="shared" si="0"/>
        <v>9.7499999999999989E-2</v>
      </c>
      <c r="H85" s="1299"/>
      <c r="R85" s="1305"/>
    </row>
    <row r="86" spans="2:18" x14ac:dyDescent="0.5">
      <c r="B86" s="1278"/>
      <c r="C86" s="1290">
        <v>1980</v>
      </c>
      <c r="D86" s="1291">
        <v>0.32500000000000001</v>
      </c>
      <c r="E86" s="1291">
        <v>9.9699999999999997E-2</v>
      </c>
      <c r="F86" s="1281"/>
      <c r="G86" s="1291">
        <f t="shared" si="0"/>
        <v>0.2253</v>
      </c>
      <c r="H86" s="1299"/>
      <c r="I86" s="1334" t="s">
        <v>6670</v>
      </c>
      <c r="J86" s="1333"/>
      <c r="K86" s="1301" t="s">
        <v>6656</v>
      </c>
      <c r="N86" s="1306"/>
      <c r="O86" s="1336" t="s">
        <v>6669</v>
      </c>
      <c r="Q86" s="1029" t="s">
        <v>6668</v>
      </c>
      <c r="R86" s="1305"/>
    </row>
    <row r="87" spans="2:18" ht="14.5" customHeight="1" x14ac:dyDescent="0.5">
      <c r="B87" s="1278"/>
      <c r="C87" s="1279">
        <v>1981</v>
      </c>
      <c r="D87" s="1280">
        <v>-4.9200000000000001E-2</v>
      </c>
      <c r="E87" s="1280">
        <v>0.11550000000000001</v>
      </c>
      <c r="F87" s="1281"/>
      <c r="G87" s="1280">
        <f t="shared" si="0"/>
        <v>-0.16470000000000001</v>
      </c>
      <c r="H87" s="1299"/>
      <c r="I87" s="1335">
        <f>O87+Q87</f>
        <v>0.12840000000000001</v>
      </c>
      <c r="J87" s="1335"/>
      <c r="K87" s="1331">
        <f>_xlfn.PERCENTRANK.EXC($D$32:$D$130,I87)</f>
        <v>0.47299999999999998</v>
      </c>
      <c r="L87" s="195">
        <f>_xlfn.PERCENTRANK.EXC($D$32:$D$130,I87)</f>
        <v>0.47299999999999998</v>
      </c>
      <c r="N87" s="1338"/>
      <c r="O87" s="1280">
        <v>8.2799999999999999E-2</v>
      </c>
      <c r="P87" s="1340"/>
      <c r="Q87" s="1044">
        <v>4.5600000000000002E-2</v>
      </c>
      <c r="R87" s="1305"/>
    </row>
    <row r="88" spans="2:18" x14ac:dyDescent="0.5">
      <c r="B88" s="1278"/>
      <c r="C88" s="1283">
        <v>1982</v>
      </c>
      <c r="D88" s="1284">
        <v>0.2155</v>
      </c>
      <c r="E88" s="1284">
        <v>0.13500000000000001</v>
      </c>
      <c r="F88" s="1281"/>
      <c r="G88" s="1284">
        <f t="shared" si="0"/>
        <v>8.0499999999999988E-2</v>
      </c>
      <c r="H88" s="1299"/>
      <c r="I88" s="1308"/>
      <c r="J88" s="1307"/>
      <c r="K88" s="1313"/>
      <c r="L88" s="1307"/>
      <c r="N88" s="1309"/>
      <c r="O88" s="1310"/>
    </row>
    <row r="89" spans="2:18" x14ac:dyDescent="0.5">
      <c r="B89" s="1278"/>
      <c r="C89" s="1283">
        <v>1983</v>
      </c>
      <c r="D89" s="1284">
        <v>0.22559999999999999</v>
      </c>
      <c r="E89" s="1284">
        <v>0.1038</v>
      </c>
      <c r="F89" s="1281"/>
      <c r="G89" s="1284">
        <f t="shared" si="0"/>
        <v>0.12179999999999999</v>
      </c>
      <c r="H89" s="1299"/>
      <c r="I89" s="1334" t="s">
        <v>6672</v>
      </c>
      <c r="J89" s="1333"/>
      <c r="K89" s="1301" t="s">
        <v>6656</v>
      </c>
      <c r="N89" s="1299"/>
      <c r="O89" s="1337" t="s">
        <v>6671</v>
      </c>
      <c r="Q89" s="1029" t="s">
        <v>6668</v>
      </c>
    </row>
    <row r="90" spans="2:18" x14ac:dyDescent="0.5">
      <c r="B90" s="1278"/>
      <c r="C90" s="1283">
        <v>1984</v>
      </c>
      <c r="D90" s="1284">
        <v>6.2700000000000006E-2</v>
      </c>
      <c r="E90" s="1284">
        <v>0.1174</v>
      </c>
      <c r="F90" s="1281"/>
      <c r="G90" s="1284">
        <f t="shared" si="0"/>
        <v>-5.4699999999999999E-2</v>
      </c>
      <c r="H90" s="1299"/>
      <c r="I90" s="1335">
        <f>O90+Q90</f>
        <v>9.8000000000000004E-2</v>
      </c>
      <c r="J90" s="1335"/>
      <c r="K90" s="1331">
        <f>_xlfn.PERCENTRANK.EXC($D$32:$D$130,I90)</f>
        <v>0.40799999999999997</v>
      </c>
      <c r="L90" s="195">
        <f>_xlfn.PERCENTRANK.EXC($D$32:$D$130,I90)</f>
        <v>0.40799999999999997</v>
      </c>
      <c r="N90" s="1341"/>
      <c r="O90" s="1342">
        <v>0.05</v>
      </c>
      <c r="P90" s="1340"/>
      <c r="Q90" s="1044">
        <v>4.8000000000000001E-2</v>
      </c>
    </row>
    <row r="91" spans="2:18" x14ac:dyDescent="0.5">
      <c r="B91" s="1278"/>
      <c r="C91" s="1290">
        <v>1985</v>
      </c>
      <c r="D91" s="1291">
        <v>0.31730000000000003</v>
      </c>
      <c r="E91" s="1291">
        <v>0.1125</v>
      </c>
      <c r="F91" s="1281"/>
      <c r="G91" s="1291">
        <f t="shared" si="0"/>
        <v>0.20480000000000004</v>
      </c>
      <c r="H91" s="1299"/>
      <c r="I91" s="1317"/>
      <c r="J91" s="1297"/>
      <c r="K91" s="1297"/>
      <c r="L91" s="1318"/>
      <c r="M91" s="1297"/>
      <c r="N91" s="1288"/>
      <c r="O91" s="1288"/>
    </row>
    <row r="92" spans="2:18" x14ac:dyDescent="0.5">
      <c r="B92" s="1278"/>
      <c r="C92" s="1279">
        <v>1986</v>
      </c>
      <c r="D92" s="1280">
        <v>0.1867</v>
      </c>
      <c r="E92" s="1280">
        <v>8.9800000000000005E-2</v>
      </c>
      <c r="F92" s="1281"/>
      <c r="G92" s="1280">
        <f t="shared" si="0"/>
        <v>9.69E-2</v>
      </c>
      <c r="H92" s="1299"/>
      <c r="I92" s="1319"/>
      <c r="J92" s="1320"/>
      <c r="K92" s="1297"/>
      <c r="L92" s="1318"/>
      <c r="M92" s="1297"/>
      <c r="N92" s="1288"/>
      <c r="O92" s="1288"/>
    </row>
    <row r="93" spans="2:18" ht="12" customHeight="1" x14ac:dyDescent="0.5">
      <c r="B93" s="1278"/>
      <c r="C93" s="1283">
        <v>1987</v>
      </c>
      <c r="D93" s="1284">
        <v>5.2499999999999998E-2</v>
      </c>
      <c r="E93" s="1284">
        <v>7.9200000000000007E-2</v>
      </c>
      <c r="F93" s="1281"/>
      <c r="G93" s="1284">
        <f t="shared" si="0"/>
        <v>-2.6700000000000008E-2</v>
      </c>
      <c r="H93" s="1299"/>
      <c r="I93" s="1319"/>
      <c r="J93" s="1320"/>
      <c r="K93" s="1297"/>
      <c r="M93" s="1297"/>
      <c r="N93" s="1288"/>
      <c r="O93" s="1288"/>
    </row>
    <row r="94" spans="2:18" x14ac:dyDescent="0.5">
      <c r="B94" s="1278"/>
      <c r="C94" s="1283">
        <v>1988</v>
      </c>
      <c r="D94" s="1284">
        <v>0.1661</v>
      </c>
      <c r="E94" s="1284">
        <v>8.9700000000000002E-2</v>
      </c>
      <c r="F94" s="1281"/>
      <c r="G94" s="1284">
        <f t="shared" si="0"/>
        <v>7.6399999999999996E-2</v>
      </c>
      <c r="H94" s="1299"/>
      <c r="I94" s="1299"/>
      <c r="J94" s="1321"/>
      <c r="K94" s="1297"/>
      <c r="M94" s="1297"/>
      <c r="N94" s="1288"/>
      <c r="O94" s="1288"/>
    </row>
    <row r="95" spans="2:18" x14ac:dyDescent="0.5">
      <c r="B95" s="1278"/>
      <c r="C95" s="1283">
        <v>1989</v>
      </c>
      <c r="D95" s="1284">
        <v>0.31690000000000002</v>
      </c>
      <c r="E95" s="1284">
        <v>8.8099999999999998E-2</v>
      </c>
      <c r="F95" s="1281"/>
      <c r="G95" s="1284">
        <f t="shared" si="0"/>
        <v>0.2288</v>
      </c>
      <c r="H95" s="1299"/>
      <c r="I95" s="1321"/>
      <c r="M95" s="1297"/>
      <c r="N95" s="1288"/>
      <c r="O95" s="1288"/>
    </row>
    <row r="96" spans="2:18" x14ac:dyDescent="0.5">
      <c r="B96" s="1278"/>
      <c r="C96" s="1290">
        <v>1990</v>
      </c>
      <c r="D96" s="1291">
        <v>-3.1E-2</v>
      </c>
      <c r="E96" s="1291">
        <v>8.1900000000000001E-2</v>
      </c>
      <c r="F96" s="1281"/>
      <c r="G96" s="1291">
        <f t="shared" ref="G96:G130" si="1">(D96-E96)</f>
        <v>-0.1129</v>
      </c>
      <c r="H96" s="1299"/>
      <c r="I96" s="1321"/>
      <c r="M96" s="1297"/>
      <c r="N96" s="1288"/>
      <c r="O96" s="1288"/>
    </row>
    <row r="97" spans="2:15" x14ac:dyDescent="0.5">
      <c r="B97" s="1278"/>
      <c r="C97" s="1279">
        <v>1991</v>
      </c>
      <c r="D97" s="1280">
        <v>0.30470000000000003</v>
      </c>
      <c r="E97" s="1280">
        <v>8.2199999999999995E-2</v>
      </c>
      <c r="F97" s="1281"/>
      <c r="G97" s="1280">
        <f t="shared" si="1"/>
        <v>0.22250000000000003</v>
      </c>
      <c r="H97" s="1299"/>
      <c r="I97" s="1321"/>
      <c r="M97" s="1297"/>
      <c r="N97" s="1288"/>
      <c r="O97" s="1288"/>
    </row>
    <row r="98" spans="2:15" x14ac:dyDescent="0.5">
      <c r="B98" s="1278"/>
      <c r="C98" s="1283">
        <v>1992</v>
      </c>
      <c r="D98" s="1284">
        <v>7.6200000000000004E-2</v>
      </c>
      <c r="E98" s="1284">
        <v>7.2599999999999998E-2</v>
      </c>
      <c r="F98" s="1281"/>
      <c r="G98" s="1284">
        <f t="shared" si="1"/>
        <v>3.600000000000006E-3</v>
      </c>
      <c r="H98" s="1299"/>
      <c r="I98" s="1321"/>
      <c r="M98" s="1288"/>
      <c r="N98" s="1288"/>
      <c r="O98" s="1288"/>
    </row>
    <row r="99" spans="2:15" x14ac:dyDescent="0.5">
      <c r="B99" s="1278"/>
      <c r="C99" s="1283">
        <v>1993</v>
      </c>
      <c r="D99" s="1284">
        <v>0.1008</v>
      </c>
      <c r="E99" s="1284">
        <v>7.17E-2</v>
      </c>
      <c r="F99" s="1281"/>
      <c r="G99" s="1284">
        <f t="shared" si="1"/>
        <v>2.9100000000000001E-2</v>
      </c>
      <c r="H99" s="1299"/>
      <c r="I99" s="1321"/>
      <c r="M99" s="1288"/>
      <c r="N99" s="1288"/>
      <c r="O99" s="1288"/>
    </row>
    <row r="100" spans="2:15" x14ac:dyDescent="0.5">
      <c r="B100" s="1278"/>
      <c r="C100" s="1283">
        <v>1994</v>
      </c>
      <c r="D100" s="1284">
        <v>1.32E-2</v>
      </c>
      <c r="E100" s="1284">
        <v>6.59E-2</v>
      </c>
      <c r="F100" s="1281"/>
      <c r="G100" s="1284">
        <f t="shared" si="1"/>
        <v>-5.2699999999999997E-2</v>
      </c>
      <c r="H100" s="1299"/>
      <c r="I100" s="1321"/>
      <c r="M100" s="1288"/>
      <c r="N100" s="1288"/>
      <c r="O100" s="1288"/>
    </row>
    <row r="101" spans="2:15" x14ac:dyDescent="0.5">
      <c r="B101" s="1278"/>
      <c r="C101" s="1290">
        <v>1995</v>
      </c>
      <c r="D101" s="1291">
        <v>0.37580000000000002</v>
      </c>
      <c r="E101" s="1291">
        <v>7.5999999999999998E-2</v>
      </c>
      <c r="F101" s="1281"/>
      <c r="G101" s="1291">
        <f t="shared" si="1"/>
        <v>0.29980000000000001</v>
      </c>
      <c r="H101" s="1299"/>
      <c r="I101" s="1321"/>
      <c r="M101" s="1288"/>
      <c r="N101" s="1288"/>
      <c r="O101" s="1288"/>
    </row>
    <row r="102" spans="2:15" x14ac:dyDescent="0.5">
      <c r="B102" s="1278"/>
      <c r="C102" s="1279">
        <v>1996</v>
      </c>
      <c r="D102" s="1280">
        <v>0.2296</v>
      </c>
      <c r="E102" s="1280">
        <v>6.1800000000000001E-2</v>
      </c>
      <c r="F102" s="1281"/>
      <c r="G102" s="1280">
        <f t="shared" si="1"/>
        <v>0.1678</v>
      </c>
      <c r="H102" s="1299"/>
      <c r="I102" s="1321"/>
      <c r="M102" s="1297"/>
      <c r="N102" s="1288"/>
      <c r="O102" s="1288"/>
    </row>
    <row r="103" spans="2:15" x14ac:dyDescent="0.5">
      <c r="B103" s="1278"/>
      <c r="C103" s="1283">
        <v>1997</v>
      </c>
      <c r="D103" s="1284">
        <v>0.33360000000000001</v>
      </c>
      <c r="E103" s="1284">
        <v>6.6400000000000001E-2</v>
      </c>
      <c r="F103" s="1281"/>
      <c r="G103" s="1284">
        <f t="shared" si="1"/>
        <v>0.26719999999999999</v>
      </c>
      <c r="H103" s="1299"/>
      <c r="I103" s="1321"/>
      <c r="M103" s="1297"/>
      <c r="N103" s="1288"/>
      <c r="O103" s="1288"/>
    </row>
    <row r="104" spans="2:15" x14ac:dyDescent="0.5">
      <c r="B104" s="1278"/>
      <c r="C104" s="1283">
        <v>1998</v>
      </c>
      <c r="D104" s="1284">
        <v>0.2858</v>
      </c>
      <c r="E104" s="1284">
        <v>5.8299999999999998E-2</v>
      </c>
      <c r="F104" s="1281"/>
      <c r="G104" s="1284">
        <f t="shared" si="1"/>
        <v>0.22750000000000001</v>
      </c>
      <c r="H104" s="1299"/>
      <c r="I104" s="1321"/>
      <c r="M104" s="1297"/>
      <c r="N104" s="1288"/>
      <c r="O104" s="1288"/>
    </row>
    <row r="105" spans="2:15" x14ac:dyDescent="0.5">
      <c r="B105" s="1278"/>
      <c r="C105" s="1283">
        <v>1999</v>
      </c>
      <c r="D105" s="1284">
        <v>0.2104</v>
      </c>
      <c r="E105" s="1284">
        <v>5.57E-2</v>
      </c>
      <c r="F105" s="1281"/>
      <c r="G105" s="1284">
        <f t="shared" si="1"/>
        <v>0.1547</v>
      </c>
      <c r="H105" s="1299"/>
      <c r="I105" s="1321"/>
      <c r="M105" s="1288"/>
      <c r="N105" s="1288"/>
      <c r="O105" s="1288"/>
    </row>
    <row r="106" spans="2:15" x14ac:dyDescent="0.5">
      <c r="B106" s="1278"/>
      <c r="C106" s="1290">
        <v>2000</v>
      </c>
      <c r="D106" s="1291">
        <v>-9.0999999999999998E-2</v>
      </c>
      <c r="E106" s="1291">
        <v>6.5000000000000002E-2</v>
      </c>
      <c r="F106" s="1281"/>
      <c r="G106" s="1291">
        <f t="shared" si="1"/>
        <v>-0.156</v>
      </c>
      <c r="H106" s="1299"/>
      <c r="I106" s="1321"/>
      <c r="M106" s="1297"/>
      <c r="N106" s="1288"/>
      <c r="O106" s="1288"/>
    </row>
    <row r="107" spans="2:15" x14ac:dyDescent="0.5">
      <c r="B107" s="1278"/>
      <c r="C107" s="1279">
        <v>2001</v>
      </c>
      <c r="D107" s="1280">
        <v>-0.11890000000000001</v>
      </c>
      <c r="E107" s="1280">
        <v>5.5300000000000002E-2</v>
      </c>
      <c r="F107" s="1281"/>
      <c r="G107" s="1280">
        <f t="shared" si="1"/>
        <v>-0.17420000000000002</v>
      </c>
      <c r="H107" s="1299"/>
      <c r="I107" s="1321"/>
      <c r="M107" s="1288"/>
      <c r="N107" s="1288"/>
      <c r="O107" s="1288"/>
    </row>
    <row r="108" spans="2:15" x14ac:dyDescent="0.5">
      <c r="B108" s="1278"/>
      <c r="C108" s="1283">
        <v>2002</v>
      </c>
      <c r="D108" s="1284">
        <v>-0.221</v>
      </c>
      <c r="E108" s="1284">
        <v>5.5899999999999998E-2</v>
      </c>
      <c r="F108" s="1281"/>
      <c r="G108" s="1284">
        <f t="shared" si="1"/>
        <v>-0.27689999999999998</v>
      </c>
      <c r="H108" s="1299"/>
      <c r="I108" s="1321"/>
      <c r="M108" s="1288"/>
      <c r="N108" s="1288"/>
      <c r="O108" s="1288"/>
    </row>
    <row r="109" spans="2:15" x14ac:dyDescent="0.5">
      <c r="B109" s="1278"/>
      <c r="C109" s="1283">
        <v>2003</v>
      </c>
      <c r="D109" s="1284">
        <v>0.2868</v>
      </c>
      <c r="E109" s="1284">
        <v>4.8000000000000001E-2</v>
      </c>
      <c r="F109" s="1281"/>
      <c r="G109" s="1284">
        <f t="shared" si="1"/>
        <v>0.23880000000000001</v>
      </c>
      <c r="H109" s="1299"/>
      <c r="I109" s="1321"/>
      <c r="M109" s="1288"/>
      <c r="N109" s="1288"/>
      <c r="O109" s="1288"/>
    </row>
    <row r="110" spans="2:15" x14ac:dyDescent="0.5">
      <c r="B110" s="1278"/>
      <c r="C110" s="1283">
        <v>2004</v>
      </c>
      <c r="D110" s="1284">
        <v>0.10879999999999999</v>
      </c>
      <c r="E110" s="1284">
        <v>5.0200000000000002E-2</v>
      </c>
      <c r="F110" s="1281"/>
      <c r="G110" s="1284">
        <f t="shared" si="1"/>
        <v>5.8599999999999992E-2</v>
      </c>
      <c r="H110" s="1299"/>
      <c r="I110" s="1321"/>
      <c r="M110" s="1297"/>
      <c r="N110" s="1288"/>
      <c r="O110" s="1288"/>
    </row>
    <row r="111" spans="2:15" x14ac:dyDescent="0.5">
      <c r="B111" s="1278"/>
      <c r="C111" s="1290">
        <v>2005</v>
      </c>
      <c r="D111" s="1291">
        <v>4.9099999999999998E-2</v>
      </c>
      <c r="E111" s="1291">
        <v>4.6899999999999997E-2</v>
      </c>
      <c r="F111" s="1281"/>
      <c r="G111" s="1291">
        <f t="shared" si="1"/>
        <v>2.2000000000000006E-3</v>
      </c>
      <c r="H111" s="1299"/>
      <c r="I111" s="1321"/>
      <c r="M111" s="1297"/>
      <c r="N111" s="1288"/>
      <c r="O111" s="1288"/>
    </row>
    <row r="112" spans="2:15" x14ac:dyDescent="0.5">
      <c r="B112" s="1278"/>
      <c r="C112" s="1279">
        <v>2006</v>
      </c>
      <c r="D112" s="1280">
        <v>0.15790000000000001</v>
      </c>
      <c r="E112" s="1280">
        <v>4.6800000000000001E-2</v>
      </c>
      <c r="F112" s="1281"/>
      <c r="G112" s="1280">
        <f t="shared" si="1"/>
        <v>0.1111</v>
      </c>
      <c r="H112" s="1299"/>
      <c r="I112" s="1321"/>
      <c r="M112" s="1288"/>
      <c r="N112" s="1288"/>
      <c r="O112" s="1288"/>
    </row>
    <row r="113" spans="2:15" x14ac:dyDescent="0.5">
      <c r="B113" s="1278"/>
      <c r="C113" s="1283">
        <v>2007</v>
      </c>
      <c r="D113" s="1284">
        <v>5.4899999999999997E-2</v>
      </c>
      <c r="E113" s="1284">
        <v>4.8599999999999997E-2</v>
      </c>
      <c r="F113" s="1281"/>
      <c r="G113" s="1284">
        <f t="shared" si="1"/>
        <v>6.3E-3</v>
      </c>
      <c r="H113" s="1299"/>
      <c r="I113" s="1321"/>
      <c r="M113" s="1297"/>
      <c r="N113" s="1288"/>
      <c r="O113" s="1288"/>
    </row>
    <row r="114" spans="2:15" x14ac:dyDescent="0.5">
      <c r="B114" s="1278"/>
      <c r="C114" s="1283">
        <v>2008</v>
      </c>
      <c r="D114" s="1284">
        <v>-0.37</v>
      </c>
      <c r="E114" s="1284">
        <v>4.4499999999999998E-2</v>
      </c>
      <c r="F114" s="1281"/>
      <c r="G114" s="1284">
        <f t="shared" si="1"/>
        <v>-0.41449999999999998</v>
      </c>
      <c r="H114" s="1299"/>
      <c r="I114" s="1321"/>
      <c r="M114" s="1288"/>
      <c r="N114" s="1288"/>
      <c r="O114" s="1288"/>
    </row>
    <row r="115" spans="2:15" x14ac:dyDescent="0.5">
      <c r="B115" s="1278"/>
      <c r="C115" s="1283">
        <v>2009</v>
      </c>
      <c r="D115" s="1284">
        <v>0.2646</v>
      </c>
      <c r="E115" s="1284">
        <v>3.4700000000000002E-2</v>
      </c>
      <c r="F115" s="1281"/>
      <c r="G115" s="1284">
        <f t="shared" si="1"/>
        <v>0.22989999999999999</v>
      </c>
      <c r="H115" s="1299"/>
      <c r="I115" s="1321"/>
      <c r="M115" s="1288"/>
      <c r="N115" s="1288"/>
      <c r="O115" s="1288"/>
    </row>
    <row r="116" spans="2:15" x14ac:dyDescent="0.5">
      <c r="B116" s="1278"/>
      <c r="C116" s="1283">
        <v>2010</v>
      </c>
      <c r="D116" s="1291">
        <v>0.15060000000000001</v>
      </c>
      <c r="E116" s="1291">
        <v>4.2500000000000003E-2</v>
      </c>
      <c r="F116" s="1281"/>
      <c r="G116" s="1291">
        <f t="shared" si="1"/>
        <v>0.1081</v>
      </c>
      <c r="H116" s="1299"/>
      <c r="I116" s="1321"/>
      <c r="M116" s="1288"/>
      <c r="N116" s="1288"/>
      <c r="O116" s="1288"/>
    </row>
    <row r="117" spans="2:15" x14ac:dyDescent="0.5">
      <c r="B117" s="1278"/>
      <c r="C117" s="1279">
        <v>2011</v>
      </c>
      <c r="D117" s="1280">
        <v>2.1100000000000001E-2</v>
      </c>
      <c r="E117" s="1280">
        <v>3.8199999999999998E-2</v>
      </c>
      <c r="F117" s="1281"/>
      <c r="G117" s="1280">
        <f t="shared" si="1"/>
        <v>-1.7099999999999997E-2</v>
      </c>
      <c r="H117" s="1299"/>
      <c r="I117" s="1321"/>
      <c r="M117" s="1297"/>
      <c r="N117" s="1288"/>
      <c r="O117" s="1288"/>
    </row>
    <row r="118" spans="2:15" x14ac:dyDescent="0.5">
      <c r="B118" s="1278"/>
      <c r="C118" s="1283">
        <v>2012</v>
      </c>
      <c r="D118" s="1284">
        <v>0.16</v>
      </c>
      <c r="E118" s="1284">
        <v>2.47E-2</v>
      </c>
      <c r="F118" s="1281"/>
      <c r="G118" s="1284">
        <f t="shared" si="1"/>
        <v>0.1353</v>
      </c>
      <c r="H118" s="1299"/>
      <c r="I118" s="1321"/>
      <c r="M118" s="1288"/>
      <c r="N118" s="1288"/>
      <c r="O118" s="1288"/>
    </row>
    <row r="119" spans="2:15" x14ac:dyDescent="0.5">
      <c r="B119" s="1278"/>
      <c r="C119" s="1322">
        <v>2013</v>
      </c>
      <c r="D119" s="1284">
        <v>0.32390000000000002</v>
      </c>
      <c r="E119" s="1284">
        <v>2.9000000000000001E-2</v>
      </c>
      <c r="F119" s="1281"/>
      <c r="G119" s="1284">
        <f t="shared" si="1"/>
        <v>0.2949</v>
      </c>
      <c r="H119" s="1299"/>
      <c r="I119" s="1321"/>
      <c r="M119" s="1288"/>
      <c r="N119" s="1288"/>
      <c r="O119" s="1288"/>
    </row>
    <row r="120" spans="2:15" x14ac:dyDescent="0.5">
      <c r="B120" s="1278"/>
      <c r="C120" s="1322">
        <v>2014</v>
      </c>
      <c r="D120" s="1284">
        <v>0.13689999999999999</v>
      </c>
      <c r="E120" s="1284">
        <v>3.4099999999999998E-2</v>
      </c>
      <c r="F120" s="1281"/>
      <c r="G120" s="1284">
        <f t="shared" si="1"/>
        <v>0.1028</v>
      </c>
      <c r="H120" s="1299"/>
      <c r="I120" s="1321"/>
      <c r="M120" s="1288"/>
      <c r="N120" s="1288"/>
      <c r="O120" s="1288"/>
    </row>
    <row r="121" spans="2:15" x14ac:dyDescent="0.5">
      <c r="B121" s="1278"/>
      <c r="C121" s="1323">
        <v>2015</v>
      </c>
      <c r="D121" s="1291">
        <v>1.38E-2</v>
      </c>
      <c r="E121" s="1291">
        <v>2.47E-2</v>
      </c>
      <c r="F121" s="1281"/>
      <c r="G121" s="1291">
        <f t="shared" si="1"/>
        <v>-1.09E-2</v>
      </c>
      <c r="H121" s="1324"/>
      <c r="I121" s="1321"/>
      <c r="M121" s="1288"/>
      <c r="N121" s="1288"/>
      <c r="O121" s="1288"/>
    </row>
    <row r="122" spans="2:15" x14ac:dyDescent="0.5">
      <c r="B122" s="1278"/>
      <c r="C122" s="1279">
        <v>2016</v>
      </c>
      <c r="D122" s="1280">
        <v>0.1196</v>
      </c>
      <c r="E122" s="1280">
        <v>2.3E-2</v>
      </c>
      <c r="F122" s="1281"/>
      <c r="G122" s="1280">
        <f t="shared" si="1"/>
        <v>9.6599999999999991E-2</v>
      </c>
      <c r="H122" s="1324"/>
      <c r="I122" s="1321"/>
      <c r="M122" s="1288"/>
      <c r="N122" s="1288"/>
      <c r="O122" s="1288"/>
    </row>
    <row r="123" spans="2:15" x14ac:dyDescent="0.5">
      <c r="B123" s="1278"/>
      <c r="C123" s="1322">
        <v>2017</v>
      </c>
      <c r="D123" s="1284">
        <v>0.21829999999999999</v>
      </c>
      <c r="E123" s="1284">
        <v>2.6700000000000002E-2</v>
      </c>
      <c r="F123" s="1281"/>
      <c r="G123" s="1284">
        <f t="shared" si="1"/>
        <v>0.19159999999999999</v>
      </c>
      <c r="H123" s="1324"/>
      <c r="I123" s="1321"/>
      <c r="M123" s="1288"/>
      <c r="N123" s="1288"/>
      <c r="O123" s="1288"/>
    </row>
    <row r="124" spans="2:15" x14ac:dyDescent="0.5">
      <c r="B124" s="1278"/>
      <c r="C124" s="1322">
        <v>2018</v>
      </c>
      <c r="D124" s="1284">
        <v>-4.3799999999999999E-2</v>
      </c>
      <c r="E124" s="1284">
        <v>2.8199999999999999E-2</v>
      </c>
      <c r="F124" s="1281"/>
      <c r="G124" s="1284">
        <f t="shared" si="1"/>
        <v>-7.1999999999999995E-2</v>
      </c>
      <c r="H124" s="1324"/>
      <c r="I124" s="1321"/>
      <c r="M124" s="1288"/>
      <c r="N124" s="1288"/>
      <c r="O124" s="1288"/>
    </row>
    <row r="125" spans="2:15" x14ac:dyDescent="0.5">
      <c r="B125" s="1278"/>
      <c r="C125" s="1322">
        <v>2019</v>
      </c>
      <c r="D125" s="1284">
        <v>0.31490000000000001</v>
      </c>
      <c r="E125" s="1284">
        <v>2.5499999999999998E-2</v>
      </c>
      <c r="F125" s="1281"/>
      <c r="G125" s="1284">
        <f t="shared" si="1"/>
        <v>0.28939999999999999</v>
      </c>
      <c r="H125" s="1324"/>
      <c r="I125" s="1321"/>
      <c r="M125" s="1288"/>
      <c r="N125" s="1288"/>
      <c r="O125" s="1288"/>
    </row>
    <row r="126" spans="2:15" x14ac:dyDescent="0.5">
      <c r="B126" s="1278"/>
      <c r="C126" s="1323">
        <v>2020</v>
      </c>
      <c r="D126" s="1291">
        <v>0.184</v>
      </c>
      <c r="E126" s="1291">
        <v>1.5299999999999999E-2</v>
      </c>
      <c r="F126" s="1281"/>
      <c r="G126" s="1291">
        <f t="shared" si="1"/>
        <v>0.16869999999999999</v>
      </c>
      <c r="H126" s="1324"/>
      <c r="I126" s="1321"/>
      <c r="M126" s="1288"/>
      <c r="N126" s="1288"/>
      <c r="O126" s="1288"/>
    </row>
    <row r="127" spans="2:15" x14ac:dyDescent="0.5">
      <c r="B127" s="1278"/>
      <c r="C127" s="1279">
        <v>2021</v>
      </c>
      <c r="D127" s="1280">
        <v>0.28710000000000002</v>
      </c>
      <c r="E127" s="1280">
        <v>1.7299999999999999E-2</v>
      </c>
      <c r="F127" s="1281"/>
      <c r="G127" s="1280">
        <f t="shared" si="1"/>
        <v>0.26980000000000004</v>
      </c>
      <c r="H127" s="1324"/>
      <c r="I127" s="1321"/>
      <c r="M127" s="1288"/>
      <c r="N127" s="1288"/>
      <c r="O127" s="1288"/>
    </row>
    <row r="128" spans="2:15" x14ac:dyDescent="0.5">
      <c r="B128" s="1278"/>
      <c r="C128" s="1322">
        <v>2022</v>
      </c>
      <c r="D128" s="1284">
        <v>-0.18110000000000001</v>
      </c>
      <c r="E128" s="1284">
        <v>2.6100000000000002E-2</v>
      </c>
      <c r="F128" s="1281"/>
      <c r="G128" s="1284">
        <f t="shared" si="1"/>
        <v>-0.20720000000000002</v>
      </c>
      <c r="H128" s="1324"/>
      <c r="I128" s="1321"/>
      <c r="M128" s="1288"/>
      <c r="N128" s="1288"/>
      <c r="O128" s="1288"/>
    </row>
    <row r="129" spans="2:22" x14ac:dyDescent="0.5">
      <c r="B129" s="1278"/>
      <c r="C129" s="1322">
        <v>2023</v>
      </c>
      <c r="D129" s="1325">
        <v>0.2661</v>
      </c>
      <c r="E129" s="1325">
        <v>4.1700000000000001E-2</v>
      </c>
      <c r="F129" s="1326"/>
      <c r="G129" s="1325">
        <f t="shared" si="1"/>
        <v>0.22439999999999999</v>
      </c>
      <c r="H129" s="1324"/>
      <c r="I129" s="1321"/>
      <c r="M129" s="1288"/>
      <c r="N129" s="1288"/>
      <c r="O129" s="1288"/>
    </row>
    <row r="130" spans="2:22" x14ac:dyDescent="0.5">
      <c r="B130" s="1278"/>
      <c r="C130" s="1323">
        <v>2024</v>
      </c>
      <c r="D130" s="1291">
        <f>E142</f>
        <v>0.25019679835938424</v>
      </c>
      <c r="E130" s="1291">
        <f>AVERAGE(E148:E159)/100</f>
        <v>4.4058333333333338E-2</v>
      </c>
      <c r="F130" s="1281"/>
      <c r="G130" s="1291">
        <f t="shared" si="1"/>
        <v>0.2061384650260509</v>
      </c>
      <c r="H130" s="1324"/>
      <c r="I130" s="1321"/>
      <c r="M130" s="1288"/>
      <c r="N130" s="1288"/>
      <c r="O130" s="1288"/>
    </row>
    <row r="131" spans="2:22" x14ac:dyDescent="0.5">
      <c r="B131" s="1278"/>
      <c r="C131" s="1322" t="s">
        <v>1082</v>
      </c>
      <c r="D131" s="1284">
        <f>AVERAGE(D32:D130)</f>
        <v>0.12294845250868067</v>
      </c>
      <c r="E131" s="1284">
        <f>AVERAGE(E32:E130)</f>
        <v>4.8388468013467988E-2</v>
      </c>
      <c r="F131" s="1281"/>
      <c r="G131" s="1284">
        <f>AVERAGE(G32:G130)</f>
        <v>7.4559984495212631E-2</v>
      </c>
      <c r="H131" s="1324"/>
      <c r="I131" s="1321"/>
      <c r="N131" s="1288"/>
      <c r="O131" s="1288"/>
      <c r="T131" s="1281"/>
      <c r="U131" s="1281"/>
      <c r="V131" s="1281"/>
    </row>
    <row r="132" spans="2:22" x14ac:dyDescent="0.5">
      <c r="B132" s="1278"/>
      <c r="C132" s="1322" t="s">
        <v>6673</v>
      </c>
      <c r="D132" s="1284">
        <f>STDEV(D32:D130)</f>
        <v>0.19670402018176888</v>
      </c>
      <c r="E132" s="1284">
        <f>STDEV(E32:E130)</f>
        <v>2.6103678078424914E-2</v>
      </c>
      <c r="F132" s="1281"/>
      <c r="G132" s="1284">
        <f>STDEV(G32:G130)</f>
        <v>0.19790373714538095</v>
      </c>
      <c r="H132" s="1299"/>
      <c r="I132" s="1321"/>
      <c r="N132" s="1288"/>
      <c r="O132" s="1288"/>
    </row>
    <row r="133" spans="2:22" x14ac:dyDescent="0.5">
      <c r="C133" s="1299"/>
      <c r="D133" s="1299"/>
      <c r="E133" s="1299"/>
      <c r="F133" s="1299"/>
      <c r="G133" s="1299"/>
      <c r="H133" s="1299"/>
      <c r="I133" s="1321"/>
      <c r="N133" s="1288"/>
      <c r="O133" s="1288"/>
    </row>
    <row r="134" spans="2:22" x14ac:dyDescent="0.5">
      <c r="D134" s="1299"/>
      <c r="E134" s="1299"/>
      <c r="F134" s="1299"/>
      <c r="G134" s="1299"/>
      <c r="H134" s="1299"/>
      <c r="I134" s="1321"/>
      <c r="N134" s="1288"/>
      <c r="O134" s="1288"/>
    </row>
    <row r="135" spans="2:22" x14ac:dyDescent="0.5">
      <c r="C135" s="1299"/>
      <c r="D135" s="1299"/>
      <c r="E135" s="1299"/>
      <c r="F135" s="1299"/>
      <c r="G135" s="1299"/>
      <c r="H135" s="1299"/>
      <c r="I135" s="1321"/>
      <c r="N135" s="1288"/>
      <c r="O135" s="1288"/>
    </row>
    <row r="136" spans="2:22" x14ac:dyDescent="0.5">
      <c r="C136" s="1299"/>
      <c r="D136" s="1299"/>
      <c r="E136" s="1299"/>
      <c r="F136" s="1299"/>
      <c r="G136" s="1299"/>
      <c r="H136" s="1299"/>
      <c r="I136" s="1321"/>
      <c r="O136" s="1288"/>
    </row>
    <row r="137" spans="2:22" x14ac:dyDescent="0.5">
      <c r="C137" s="1299"/>
      <c r="D137" s="1299"/>
      <c r="E137" s="1299"/>
      <c r="F137" s="1299"/>
      <c r="G137" s="1299"/>
      <c r="H137" s="1299"/>
      <c r="I137" s="1321"/>
      <c r="O137" s="1288"/>
    </row>
    <row r="138" spans="2:22" ht="15.6" x14ac:dyDescent="0.6">
      <c r="C138" s="184" t="s">
        <v>6675</v>
      </c>
      <c r="D138" s="1328">
        <v>45289</v>
      </c>
      <c r="E138" s="184">
        <v>10327.83</v>
      </c>
      <c r="F138" s="1299"/>
      <c r="G138" s="1299"/>
      <c r="H138" s="1299"/>
      <c r="I138" s="1321"/>
    </row>
    <row r="139" spans="2:22" ht="15.6" x14ac:dyDescent="0.6">
      <c r="C139" s="1299"/>
      <c r="D139" s="1328">
        <v>45657</v>
      </c>
      <c r="E139" s="184">
        <v>12911.82</v>
      </c>
      <c r="F139" s="1299"/>
      <c r="G139" s="1299"/>
      <c r="H139" s="1299"/>
      <c r="I139" s="1321"/>
    </row>
    <row r="140" spans="2:22" x14ac:dyDescent="0.5">
      <c r="C140" s="1299"/>
      <c r="D140" s="1299"/>
      <c r="E140" s="1299"/>
      <c r="F140" s="1299"/>
      <c r="G140" s="1299"/>
      <c r="H140" s="1299"/>
      <c r="I140" s="1321"/>
    </row>
    <row r="141" spans="2:22" x14ac:dyDescent="0.5">
      <c r="I141" s="1321"/>
    </row>
    <row r="142" spans="2:22" x14ac:dyDescent="0.5">
      <c r="E142" s="1029">
        <f>E139/E138-1</f>
        <v>0.25019679835938424</v>
      </c>
      <c r="I142" s="1321"/>
    </row>
    <row r="143" spans="2:22" x14ac:dyDescent="0.5">
      <c r="I143" s="1321"/>
    </row>
    <row r="144" spans="2:22" x14ac:dyDescent="0.5">
      <c r="I144" s="1321"/>
    </row>
    <row r="145" spans="4:9" x14ac:dyDescent="0.5">
      <c r="I145" s="1321"/>
    </row>
    <row r="146" spans="4:9" ht="15.6" x14ac:dyDescent="0.6">
      <c r="D146" s="184" t="s">
        <v>6676</v>
      </c>
      <c r="E146" s="184"/>
      <c r="I146" s="1321"/>
    </row>
    <row r="147" spans="4:9" ht="15.6" x14ac:dyDescent="0.6">
      <c r="D147" s="184" t="s">
        <v>120</v>
      </c>
      <c r="E147" s="184" t="s">
        <v>119</v>
      </c>
      <c r="I147" s="1321"/>
    </row>
    <row r="148" spans="4:9" ht="15.6" x14ac:dyDescent="0.6">
      <c r="D148" s="1328">
        <v>45657</v>
      </c>
      <c r="E148" s="184">
        <v>4.58</v>
      </c>
      <c r="I148" s="1321"/>
    </row>
    <row r="149" spans="4:9" ht="15.6" x14ac:dyDescent="0.6">
      <c r="D149" s="1328">
        <v>45626</v>
      </c>
      <c r="E149" s="184">
        <v>4.54</v>
      </c>
      <c r="I149" s="1321"/>
    </row>
    <row r="150" spans="4:9" ht="15.6" x14ac:dyDescent="0.6">
      <c r="D150" s="1328">
        <v>45596</v>
      </c>
      <c r="E150" s="184">
        <v>4.38</v>
      </c>
      <c r="I150" s="1321"/>
    </row>
    <row r="151" spans="4:9" ht="15.6" x14ac:dyDescent="0.6">
      <c r="D151" s="1328">
        <v>45565</v>
      </c>
      <c r="E151" s="184">
        <v>4.04</v>
      </c>
      <c r="I151" s="1321"/>
    </row>
    <row r="152" spans="4:9" ht="15.6" x14ac:dyDescent="0.6">
      <c r="D152" s="1328">
        <v>45535</v>
      </c>
      <c r="E152" s="184">
        <v>4.1500000000000004</v>
      </c>
      <c r="I152" s="1321"/>
    </row>
    <row r="153" spans="4:9" ht="15.6" x14ac:dyDescent="0.6">
      <c r="D153" s="1328">
        <v>45504</v>
      </c>
      <c r="E153" s="184">
        <v>4.46</v>
      </c>
      <c r="I153" s="1321"/>
    </row>
    <row r="154" spans="4:9" ht="15.6" x14ac:dyDescent="0.6">
      <c r="D154" s="1328">
        <v>45473</v>
      </c>
      <c r="E154" s="184">
        <v>4.4400000000000004</v>
      </c>
      <c r="I154" s="1321"/>
    </row>
    <row r="155" spans="4:9" ht="15.6" x14ac:dyDescent="0.6">
      <c r="D155" s="1328">
        <v>45443</v>
      </c>
      <c r="E155" s="184">
        <v>4.62</v>
      </c>
      <c r="I155" s="1321"/>
    </row>
    <row r="156" spans="4:9" ht="15.6" x14ac:dyDescent="0.6">
      <c r="D156" s="1328">
        <v>45412</v>
      </c>
      <c r="E156" s="184">
        <v>4.66</v>
      </c>
      <c r="I156" s="1321"/>
    </row>
    <row r="157" spans="4:9" ht="15.6" x14ac:dyDescent="0.6">
      <c r="D157" s="1328">
        <v>45382</v>
      </c>
      <c r="E157" s="184">
        <v>4.3600000000000003</v>
      </c>
      <c r="I157" s="1321"/>
    </row>
    <row r="158" spans="4:9" ht="15.6" x14ac:dyDescent="0.6">
      <c r="D158" s="1328">
        <v>45351</v>
      </c>
      <c r="E158" s="184">
        <v>4.38</v>
      </c>
      <c r="I158" s="1321"/>
    </row>
    <row r="159" spans="4:9" ht="15.6" x14ac:dyDescent="0.6">
      <c r="D159" s="1328">
        <v>45322</v>
      </c>
      <c r="E159" s="184">
        <v>4.26</v>
      </c>
      <c r="I159" s="1321"/>
    </row>
    <row r="160" spans="4:9" x14ac:dyDescent="0.5">
      <c r="I160" s="1321"/>
    </row>
    <row r="161" spans="9:9" x14ac:dyDescent="0.5">
      <c r="I161" s="1321"/>
    </row>
    <row r="162" spans="9:9" x14ac:dyDescent="0.5">
      <c r="I162" s="1321"/>
    </row>
    <row r="163" spans="9:9" x14ac:dyDescent="0.5">
      <c r="I163" s="1321"/>
    </row>
    <row r="164" spans="9:9" x14ac:dyDescent="0.5">
      <c r="I164" s="1321"/>
    </row>
    <row r="165" spans="9:9" x14ac:dyDescent="0.5">
      <c r="I165" s="1321"/>
    </row>
    <row r="166" spans="9:9" x14ac:dyDescent="0.5">
      <c r="I166" s="1321"/>
    </row>
    <row r="167" spans="9:9" x14ac:dyDescent="0.5">
      <c r="I167" s="1321"/>
    </row>
    <row r="168" spans="9:9" x14ac:dyDescent="0.5">
      <c r="I168" s="1321"/>
    </row>
    <row r="169" spans="9:9" x14ac:dyDescent="0.5">
      <c r="I169" s="1321"/>
    </row>
    <row r="170" spans="9:9" x14ac:dyDescent="0.5">
      <c r="I170" s="1321"/>
    </row>
    <row r="171" spans="9:9" x14ac:dyDescent="0.5">
      <c r="I171" s="1321"/>
    </row>
    <row r="172" spans="9:9" x14ac:dyDescent="0.5">
      <c r="I172" s="1321"/>
    </row>
    <row r="173" spans="9:9" x14ac:dyDescent="0.5">
      <c r="I173" s="1321"/>
    </row>
    <row r="174" spans="9:9" x14ac:dyDescent="0.5">
      <c r="I174" s="1321"/>
    </row>
    <row r="175" spans="9:9" x14ac:dyDescent="0.5">
      <c r="I175" s="1321"/>
    </row>
    <row r="176" spans="9:9" x14ac:dyDescent="0.5">
      <c r="I176" s="1321"/>
    </row>
    <row r="177" spans="9:10" x14ac:dyDescent="0.5">
      <c r="I177" s="1321"/>
      <c r="J177" s="1329"/>
    </row>
    <row r="179" spans="9:10" x14ac:dyDescent="0.5">
      <c r="I179" s="1315"/>
      <c r="J179" s="1330"/>
    </row>
    <row r="180" spans="9:10" x14ac:dyDescent="0.5">
      <c r="I180" s="1321"/>
      <c r="J180" s="1330"/>
    </row>
  </sheetData>
  <mergeCells count="3">
    <mergeCell ref="I32:K32"/>
    <mergeCell ref="B2:G2"/>
    <mergeCell ref="B1:G1"/>
  </mergeCells>
  <printOptions horizontalCentered="1"/>
  <pageMargins left="0.7" right="0.7" top="0.5" bottom="0.5" header="0.3" footer="0.3"/>
  <pageSetup orientation="portrait" useFirstPageNumber="1" r:id="rId1"/>
  <headerFooter scaleWithDoc="0"/>
  <rowBreaks count="1" manualBreakCount="1">
    <brk id="91"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05A26-2F4A-4C1B-BFFB-447706712035}">
  <sheetPr codeName="Sheet38">
    <pageSetUpPr fitToPage="1"/>
  </sheetPr>
  <dimension ref="B1:W180"/>
  <sheetViews>
    <sheetView view="pageBreakPreview" zoomScale="90" zoomScaleNormal="100" zoomScaleSheetLayoutView="90" workbookViewId="0"/>
  </sheetViews>
  <sheetFormatPr defaultColWidth="9" defaultRowHeight="15" x14ac:dyDescent="0.5"/>
  <cols>
    <col min="1" max="1" width="3.5234375" style="1029" customWidth="1"/>
    <col min="2" max="2" width="2.5234375" style="1029" customWidth="1"/>
    <col min="3" max="3" width="10.5234375" style="1029" customWidth="1"/>
    <col min="4" max="4" width="31.734375" style="1029" customWidth="1"/>
    <col min="5" max="5" width="21.7890625" style="1029" customWidth="1"/>
    <col min="6" max="6" width="1.26171875" style="1029" customWidth="1"/>
    <col min="7" max="7" width="10.5234375" style="1029" customWidth="1"/>
    <col min="8" max="8" width="9" style="1029"/>
    <col min="9" max="9" width="12.47265625" style="1029" customWidth="1"/>
    <col min="10" max="10" width="16.26171875" style="1029" bestFit="1" customWidth="1"/>
    <col min="11" max="11" width="14.26171875" style="1029" customWidth="1"/>
    <col min="12" max="12" width="1.5234375" style="1029" customWidth="1"/>
    <col min="13" max="13" width="2.5234375" style="1029" customWidth="1"/>
    <col min="14" max="14" width="11" style="1029" customWidth="1"/>
    <col min="15" max="15" width="12" style="1029" bestFit="1" customWidth="1"/>
    <col min="16" max="16" width="14.7890625" style="1029" bestFit="1" customWidth="1"/>
    <col min="17" max="17" width="10.5234375" style="1029" customWidth="1"/>
    <col min="18" max="19" width="9" style="1029"/>
    <col min="20" max="20" width="14.7890625" style="1029" customWidth="1"/>
    <col min="21" max="16384" width="9" style="1029"/>
  </cols>
  <sheetData>
    <row r="1" spans="2:23" x14ac:dyDescent="0.5">
      <c r="B1" s="1459" t="s">
        <v>2675</v>
      </c>
      <c r="C1" s="1459"/>
      <c r="D1" s="1459"/>
      <c r="E1" s="1459"/>
      <c r="F1" s="1459"/>
      <c r="G1" s="1459"/>
      <c r="H1" s="1343"/>
      <c r="I1" s="1343"/>
      <c r="J1" s="1343"/>
      <c r="K1" s="1343"/>
      <c r="L1" s="1343"/>
      <c r="M1" s="1343"/>
      <c r="N1" s="1343"/>
      <c r="O1" s="1343"/>
      <c r="P1" s="1343"/>
      <c r="Q1" s="1343"/>
      <c r="R1" s="1272"/>
      <c r="S1" s="1272"/>
      <c r="T1" s="1272"/>
      <c r="U1" s="1272"/>
      <c r="V1" s="1272"/>
      <c r="W1" s="1272"/>
    </row>
    <row r="2" spans="2:23" ht="15.7" customHeight="1" x14ac:dyDescent="0.5">
      <c r="B2" s="1461" t="s">
        <v>6661</v>
      </c>
      <c r="C2" s="1461"/>
      <c r="D2" s="1461"/>
      <c r="E2" s="1461"/>
      <c r="F2" s="1461"/>
      <c r="G2" s="1461"/>
      <c r="H2" s="1299"/>
      <c r="I2" s="1273"/>
      <c r="J2" s="1273"/>
      <c r="K2" s="1274"/>
      <c r="L2" s="1274"/>
      <c r="M2" s="1274"/>
      <c r="N2" s="1274"/>
      <c r="O2" s="1274"/>
      <c r="P2" s="1274"/>
      <c r="V2" s="1274"/>
    </row>
    <row r="20" spans="2:17" x14ac:dyDescent="0.5">
      <c r="D20" s="1333" t="s">
        <v>6666</v>
      </c>
      <c r="E20" s="1301" t="s">
        <v>6656</v>
      </c>
    </row>
    <row r="21" spans="2:17" x14ac:dyDescent="0.5">
      <c r="D21" s="1335">
        <v>8.6300000000000002E-2</v>
      </c>
      <c r="E21" s="1331">
        <f>K84</f>
        <v>0.49199999999999999</v>
      </c>
    </row>
    <row r="23" spans="2:17" x14ac:dyDescent="0.5">
      <c r="D23" s="1333" t="s">
        <v>6669</v>
      </c>
      <c r="E23" s="1301" t="s">
        <v>6656</v>
      </c>
    </row>
    <row r="24" spans="2:17" x14ac:dyDescent="0.5">
      <c r="D24" s="1335">
        <v>8.2799999999999999E-2</v>
      </c>
      <c r="E24" s="1331">
        <f>K87</f>
        <v>0.49</v>
      </c>
    </row>
    <row r="25" spans="2:17" x14ac:dyDescent="0.5">
      <c r="D25" s="1308"/>
      <c r="E25" s="1313"/>
    </row>
    <row r="26" spans="2:17" x14ac:dyDescent="0.5">
      <c r="D26" s="1333" t="s">
        <v>6671</v>
      </c>
      <c r="E26" s="1301" t="s">
        <v>6656</v>
      </c>
    </row>
    <row r="27" spans="2:17" x14ac:dyDescent="0.5">
      <c r="D27" s="1331">
        <v>0.05</v>
      </c>
      <c r="E27" s="1335">
        <f>K90</f>
        <v>0.41699999999999998</v>
      </c>
    </row>
    <row r="29" spans="2:17" x14ac:dyDescent="0.5">
      <c r="C29" s="1327" t="s">
        <v>6674</v>
      </c>
    </row>
    <row r="30" spans="2:17" ht="45" x14ac:dyDescent="0.5">
      <c r="B30" s="1033"/>
      <c r="C30" s="1035"/>
      <c r="D30" s="1275" t="s">
        <v>6663</v>
      </c>
      <c r="E30" s="1275" t="s">
        <v>6635</v>
      </c>
      <c r="G30" s="1275" t="s">
        <v>6533</v>
      </c>
      <c r="M30" s="1276"/>
      <c r="N30" s="1276"/>
      <c r="O30" s="1276"/>
    </row>
    <row r="31" spans="2:17" x14ac:dyDescent="0.5">
      <c r="B31" s="1035"/>
      <c r="C31" s="1277" t="s">
        <v>5119</v>
      </c>
      <c r="D31" s="1277" t="s">
        <v>6650</v>
      </c>
      <c r="E31" s="1277" t="s">
        <v>6650</v>
      </c>
      <c r="G31" s="1277" t="s">
        <v>6650</v>
      </c>
    </row>
    <row r="32" spans="2:17" ht="15.3" thickBot="1" x14ac:dyDescent="0.55000000000000004">
      <c r="B32" s="1278"/>
      <c r="C32" s="1279">
        <v>1926</v>
      </c>
      <c r="D32" s="1280">
        <v>0.1162</v>
      </c>
      <c r="E32" s="1280">
        <v>3.73E-2</v>
      </c>
      <c r="F32" s="1281"/>
      <c r="G32" s="1280">
        <f t="shared" ref="G32:G95" si="0">(D32-E32)</f>
        <v>7.8899999999999998E-2</v>
      </c>
      <c r="I32" s="1460" t="s">
        <v>6533</v>
      </c>
      <c r="J32" s="1460"/>
      <c r="K32" s="1460"/>
      <c r="M32" s="1282"/>
      <c r="N32" s="1288"/>
      <c r="O32" s="1288"/>
      <c r="P32" s="1288"/>
      <c r="Q32" s="1288"/>
    </row>
    <row r="33" spans="2:17" x14ac:dyDescent="0.5">
      <c r="B33" s="1278"/>
      <c r="C33" s="1283">
        <v>1927</v>
      </c>
      <c r="D33" s="1284">
        <v>0.37490000000000001</v>
      </c>
      <c r="E33" s="1284">
        <v>3.4099999999999998E-2</v>
      </c>
      <c r="F33" s="1281"/>
      <c r="G33" s="1284">
        <f t="shared" si="0"/>
        <v>0.34079999999999999</v>
      </c>
      <c r="I33" s="1285" t="s">
        <v>6651</v>
      </c>
      <c r="J33" s="1286" t="s">
        <v>6652</v>
      </c>
      <c r="K33" s="1286" t="s">
        <v>6653</v>
      </c>
      <c r="M33" s="1287"/>
      <c r="N33" s="1288"/>
      <c r="O33" s="1288"/>
      <c r="P33" s="1288"/>
      <c r="Q33" s="1288"/>
    </row>
    <row r="34" spans="2:17" x14ac:dyDescent="0.5">
      <c r="B34" s="1278"/>
      <c r="C34" s="1283">
        <v>1928</v>
      </c>
      <c r="D34" s="1284">
        <v>0.43609999999999999</v>
      </c>
      <c r="E34" s="1284">
        <v>3.2199999999999999E-2</v>
      </c>
      <c r="F34" s="1281"/>
      <c r="G34" s="1284">
        <f t="shared" si="0"/>
        <v>0.40389999999999998</v>
      </c>
      <c r="I34" s="1287">
        <v>-0.5</v>
      </c>
      <c r="J34" s="1288">
        <f t="array" ref="J34:J75">FREQUENCY($G$32:$G$130,$I$34:$I$75)</f>
        <v>0</v>
      </c>
      <c r="K34" s="1289">
        <f>SUM(J$34:J34)/J$77</f>
        <v>0</v>
      </c>
      <c r="M34" s="1287"/>
      <c r="N34" s="1288"/>
      <c r="O34" s="1288"/>
      <c r="P34" s="1288"/>
      <c r="Q34" s="1288"/>
    </row>
    <row r="35" spans="2:17" x14ac:dyDescent="0.5">
      <c r="B35" s="1278"/>
      <c r="C35" s="1283">
        <v>1929</v>
      </c>
      <c r="D35" s="1284">
        <v>-8.4199999999999997E-2</v>
      </c>
      <c r="E35" s="1284">
        <v>3.4700000000000002E-2</v>
      </c>
      <c r="F35" s="1281"/>
      <c r="G35" s="1284">
        <f t="shared" si="0"/>
        <v>-0.11890000000000001</v>
      </c>
      <c r="I35" s="1287">
        <v>-0.47499999999999998</v>
      </c>
      <c r="J35" s="1288">
        <v>0</v>
      </c>
      <c r="K35" s="1289">
        <f>SUM(J$34:J35)/J$77</f>
        <v>0</v>
      </c>
      <c r="M35" s="1287"/>
      <c r="N35" s="1288"/>
      <c r="O35" s="1288"/>
      <c r="P35" s="1288"/>
      <c r="Q35" s="1288"/>
    </row>
    <row r="36" spans="2:17" x14ac:dyDescent="0.5">
      <c r="B36" s="1278"/>
      <c r="C36" s="1290">
        <v>1930</v>
      </c>
      <c r="D36" s="1291">
        <v>-0.249</v>
      </c>
      <c r="E36" s="1291">
        <v>3.32E-2</v>
      </c>
      <c r="F36" s="1281"/>
      <c r="G36" s="1291">
        <f t="shared" si="0"/>
        <v>-0.28220000000000001</v>
      </c>
      <c r="I36" s="1287">
        <v>-0.45</v>
      </c>
      <c r="J36" s="1288">
        <v>1</v>
      </c>
      <c r="K36" s="1289">
        <f>SUM(J$34:J36)/J$77</f>
        <v>1.0101010101010102E-2</v>
      </c>
      <c r="M36" s="1287"/>
      <c r="N36" s="1288"/>
      <c r="O36" s="1288"/>
      <c r="P36" s="1288"/>
      <c r="Q36" s="1288"/>
    </row>
    <row r="37" spans="2:17" x14ac:dyDescent="0.5">
      <c r="B37" s="1278"/>
      <c r="C37" s="1279">
        <v>1931</v>
      </c>
      <c r="D37" s="1280">
        <v>-0.43340000000000001</v>
      </c>
      <c r="E37" s="1280">
        <v>3.3300000000000003E-2</v>
      </c>
      <c r="F37" s="1281"/>
      <c r="G37" s="1280">
        <f t="shared" si="0"/>
        <v>-0.4667</v>
      </c>
      <c r="I37" s="1287">
        <v>-0.42499999999999999</v>
      </c>
      <c r="J37" s="1288">
        <v>0</v>
      </c>
      <c r="K37" s="1289">
        <f>SUM(J$34:J37)/J$77</f>
        <v>1.0101010101010102E-2</v>
      </c>
      <c r="M37" s="1287"/>
      <c r="N37" s="1287"/>
      <c r="O37" s="1288"/>
      <c r="P37" s="1289"/>
    </row>
    <row r="38" spans="2:17" x14ac:dyDescent="0.5">
      <c r="B38" s="1278"/>
      <c r="C38" s="1283">
        <v>1932</v>
      </c>
      <c r="D38" s="1284">
        <v>-8.1900000000000001E-2</v>
      </c>
      <c r="E38" s="1284">
        <v>3.6900000000000002E-2</v>
      </c>
      <c r="F38" s="1281"/>
      <c r="G38" s="1284">
        <f t="shared" si="0"/>
        <v>-0.1188</v>
      </c>
      <c r="I38" s="1287">
        <v>-0.4</v>
      </c>
      <c r="J38" s="1288">
        <v>1</v>
      </c>
      <c r="K38" s="1289">
        <f>SUM(J$34:J38)/J$77</f>
        <v>2.0202020202020204E-2</v>
      </c>
      <c r="M38" s="1287"/>
      <c r="N38" s="1287"/>
      <c r="O38" s="1288"/>
      <c r="P38" s="1289"/>
    </row>
    <row r="39" spans="2:17" x14ac:dyDescent="0.5">
      <c r="B39" s="1278"/>
      <c r="C39" s="1283">
        <v>1933</v>
      </c>
      <c r="D39" s="1284">
        <v>0.53990000000000005</v>
      </c>
      <c r="E39" s="1284">
        <v>3.1199999999999999E-2</v>
      </c>
      <c r="F39" s="1281"/>
      <c r="G39" s="1284">
        <f t="shared" si="0"/>
        <v>0.50870000000000004</v>
      </c>
      <c r="I39" s="1287">
        <v>-0.375</v>
      </c>
      <c r="J39" s="1288">
        <v>1</v>
      </c>
      <c r="K39" s="1289">
        <f>SUM(J$34:J39)/J$77</f>
        <v>3.0303030303030304E-2</v>
      </c>
      <c r="M39" s="1287"/>
      <c r="N39" s="1287"/>
      <c r="O39" s="1288"/>
      <c r="P39" s="1289"/>
    </row>
    <row r="40" spans="2:17" x14ac:dyDescent="0.5">
      <c r="B40" s="1278"/>
      <c r="C40" s="1283">
        <v>1934</v>
      </c>
      <c r="D40" s="1284">
        <v>-1.44E-2</v>
      </c>
      <c r="E40" s="1284">
        <v>3.1800000000000002E-2</v>
      </c>
      <c r="F40" s="1281"/>
      <c r="G40" s="1284">
        <f t="shared" si="0"/>
        <v>-4.6200000000000005E-2</v>
      </c>
      <c r="I40" s="1287">
        <v>-0.35</v>
      </c>
      <c r="J40" s="1288">
        <v>0</v>
      </c>
      <c r="K40" s="1289">
        <f>SUM(J$34:J40)/J$77</f>
        <v>3.0303030303030304E-2</v>
      </c>
      <c r="M40" s="1287"/>
      <c r="N40" s="1287"/>
      <c r="O40" s="1288"/>
      <c r="P40" s="1289"/>
    </row>
    <row r="41" spans="2:17" x14ac:dyDescent="0.5">
      <c r="B41" s="1278"/>
      <c r="C41" s="1290">
        <v>1935</v>
      </c>
      <c r="D41" s="1291">
        <v>0.47670000000000001</v>
      </c>
      <c r="E41" s="1291">
        <v>2.81E-2</v>
      </c>
      <c r="F41" s="1281"/>
      <c r="G41" s="1291">
        <f t="shared" si="0"/>
        <v>0.4486</v>
      </c>
      <c r="I41" s="1287">
        <v>-0.32500000000000001</v>
      </c>
      <c r="J41" s="1288">
        <v>1</v>
      </c>
      <c r="K41" s="1289">
        <f>SUM(J$34:J41)/J$77</f>
        <v>4.0404040404040407E-2</v>
      </c>
      <c r="M41" s="1287"/>
      <c r="N41" s="1287"/>
      <c r="O41" s="1288"/>
      <c r="P41" s="1289"/>
    </row>
    <row r="42" spans="2:17" x14ac:dyDescent="0.5">
      <c r="B42" s="1278"/>
      <c r="C42" s="1279">
        <v>1936</v>
      </c>
      <c r="D42" s="1280">
        <v>0.3392</v>
      </c>
      <c r="E42" s="1280">
        <v>2.7699999999999999E-2</v>
      </c>
      <c r="F42" s="1281"/>
      <c r="G42" s="1280">
        <f t="shared" si="0"/>
        <v>0.3115</v>
      </c>
      <c r="I42" s="1287">
        <v>-0.3</v>
      </c>
      <c r="J42" s="1288">
        <v>0</v>
      </c>
      <c r="K42" s="1289">
        <f>SUM(J$34:J42)/J$77</f>
        <v>4.0404040404040407E-2</v>
      </c>
      <c r="M42" s="1287"/>
      <c r="N42" s="1287"/>
      <c r="O42" s="1288"/>
      <c r="P42" s="1289"/>
    </row>
    <row r="43" spans="2:17" x14ac:dyDescent="0.5">
      <c r="B43" s="1278"/>
      <c r="C43" s="1283">
        <v>1937</v>
      </c>
      <c r="D43" s="1284">
        <v>-0.3503</v>
      </c>
      <c r="E43" s="1284">
        <v>2.6599999999999999E-2</v>
      </c>
      <c r="F43" s="1281"/>
      <c r="G43" s="1284">
        <f t="shared" si="0"/>
        <v>-0.37690000000000001</v>
      </c>
      <c r="I43" s="1287">
        <v>-0.27500000000000002</v>
      </c>
      <c r="J43" s="1288">
        <v>2</v>
      </c>
      <c r="K43" s="1289">
        <f>SUM(J$34:J43)/J$77</f>
        <v>6.0606060606060608E-2</v>
      </c>
      <c r="M43" s="1287"/>
      <c r="N43" s="1287"/>
      <c r="O43" s="1288"/>
      <c r="P43" s="1289"/>
    </row>
    <row r="44" spans="2:17" x14ac:dyDescent="0.5">
      <c r="B44" s="1278"/>
      <c r="C44" s="1283">
        <v>1938</v>
      </c>
      <c r="D44" s="1284">
        <v>0.31119999999999998</v>
      </c>
      <c r="E44" s="1284">
        <v>2.64E-2</v>
      </c>
      <c r="F44" s="1281"/>
      <c r="G44" s="1284">
        <f t="shared" si="0"/>
        <v>0.2848</v>
      </c>
      <c r="I44" s="1287">
        <v>-0.25</v>
      </c>
      <c r="J44" s="1288">
        <v>0</v>
      </c>
      <c r="K44" s="1289">
        <f>SUM(J$34:J44)/J$77</f>
        <v>6.0606060606060608E-2</v>
      </c>
      <c r="M44" s="1287"/>
      <c r="N44" s="1287"/>
      <c r="O44" s="1288"/>
      <c r="P44" s="1289"/>
    </row>
    <row r="45" spans="2:17" x14ac:dyDescent="0.5">
      <c r="B45" s="1278"/>
      <c r="C45" s="1283">
        <v>1939</v>
      </c>
      <c r="D45" s="1284">
        <v>-4.1000000000000003E-3</v>
      </c>
      <c r="E45" s="1284">
        <v>2.4E-2</v>
      </c>
      <c r="F45" s="1281"/>
      <c r="G45" s="1284">
        <f t="shared" si="0"/>
        <v>-2.81E-2</v>
      </c>
      <c r="I45" s="1287">
        <v>-0.22500000000000001</v>
      </c>
      <c r="J45" s="1288">
        <v>0</v>
      </c>
      <c r="K45" s="1289">
        <f>SUM(J$34:J45)/J$77</f>
        <v>6.0606060606060608E-2</v>
      </c>
      <c r="M45" s="1287"/>
      <c r="N45" s="1287"/>
      <c r="O45" s="1288"/>
      <c r="P45" s="1289"/>
    </row>
    <row r="46" spans="2:17" x14ac:dyDescent="0.5">
      <c r="B46" s="1278"/>
      <c r="C46" s="1290">
        <v>1940</v>
      </c>
      <c r="D46" s="1291">
        <v>-9.7799999999999998E-2</v>
      </c>
      <c r="E46" s="1291">
        <v>2.23E-2</v>
      </c>
      <c r="F46" s="1281"/>
      <c r="G46" s="1291">
        <f t="shared" si="0"/>
        <v>-0.1201</v>
      </c>
      <c r="I46" s="1287">
        <v>-0.2</v>
      </c>
      <c r="J46" s="1288">
        <v>2</v>
      </c>
      <c r="K46" s="1289">
        <f>SUM(J$34:J46)/J$77</f>
        <v>8.0808080808080815E-2</v>
      </c>
      <c r="M46" s="1287"/>
      <c r="N46" s="1287"/>
      <c r="O46" s="1288"/>
      <c r="P46" s="1289"/>
    </row>
    <row r="47" spans="2:17" x14ac:dyDescent="0.5">
      <c r="B47" s="1278"/>
      <c r="C47" s="1279">
        <v>1941</v>
      </c>
      <c r="D47" s="1280">
        <v>-0.1159</v>
      </c>
      <c r="E47" s="1280">
        <v>1.9400000000000001E-2</v>
      </c>
      <c r="F47" s="1281"/>
      <c r="G47" s="1280">
        <f t="shared" si="0"/>
        <v>-0.1353</v>
      </c>
      <c r="I47" s="1287">
        <v>-0.17499999999999999</v>
      </c>
      <c r="J47" s="1288">
        <v>0</v>
      </c>
      <c r="K47" s="1289">
        <f>SUM(J$34:J47)/J$77</f>
        <v>8.0808080808080815E-2</v>
      </c>
      <c r="M47" s="1287"/>
      <c r="N47" s="1287"/>
      <c r="O47" s="1288"/>
      <c r="P47" s="1289"/>
    </row>
    <row r="48" spans="2:17" x14ac:dyDescent="0.5">
      <c r="B48" s="1278"/>
      <c r="C48" s="1283">
        <v>1942</v>
      </c>
      <c r="D48" s="1284">
        <v>0.2034</v>
      </c>
      <c r="E48" s="1284">
        <v>2.46E-2</v>
      </c>
      <c r="F48" s="1281"/>
      <c r="G48" s="1284">
        <f t="shared" si="0"/>
        <v>0.17879999999999999</v>
      </c>
      <c r="I48" s="1287">
        <v>-0.15</v>
      </c>
      <c r="J48" s="1288">
        <v>3</v>
      </c>
      <c r="K48" s="1289">
        <f>SUM(J$34:J48)/J$77</f>
        <v>0.1111111111111111</v>
      </c>
      <c r="M48" s="1287"/>
      <c r="N48" s="1287"/>
      <c r="O48" s="1288"/>
      <c r="P48" s="1289"/>
    </row>
    <row r="49" spans="2:16" x14ac:dyDescent="0.5">
      <c r="B49" s="1278"/>
      <c r="C49" s="1283">
        <v>1943</v>
      </c>
      <c r="D49" s="1284">
        <v>0.25900000000000001</v>
      </c>
      <c r="E49" s="1284">
        <v>2.4400000000000002E-2</v>
      </c>
      <c r="F49" s="1281"/>
      <c r="G49" s="1284">
        <f t="shared" si="0"/>
        <v>0.2346</v>
      </c>
      <c r="I49" s="1287">
        <v>-0.125</v>
      </c>
      <c r="J49" s="1288">
        <v>6</v>
      </c>
      <c r="K49" s="1289">
        <f>SUM(J$34:J49)/J$77</f>
        <v>0.17171717171717171</v>
      </c>
      <c r="M49" s="1287"/>
      <c r="N49" s="1287"/>
      <c r="O49" s="1288"/>
      <c r="P49" s="1289"/>
    </row>
    <row r="50" spans="2:16" x14ac:dyDescent="0.5">
      <c r="B50" s="1278"/>
      <c r="C50" s="1283">
        <v>1944</v>
      </c>
      <c r="D50" s="1284">
        <v>0.19750000000000001</v>
      </c>
      <c r="E50" s="1284">
        <v>2.46E-2</v>
      </c>
      <c r="F50" s="1281"/>
      <c r="G50" s="1284">
        <f t="shared" si="0"/>
        <v>0.1729</v>
      </c>
      <c r="I50" s="1287">
        <v>-0.1</v>
      </c>
      <c r="J50" s="1288">
        <v>5</v>
      </c>
      <c r="K50" s="1289">
        <f>SUM(J$34:J50)/J$77</f>
        <v>0.22222222222222221</v>
      </c>
      <c r="M50" s="1287"/>
      <c r="N50" s="1287"/>
      <c r="O50" s="1288"/>
      <c r="P50" s="1289"/>
    </row>
    <row r="51" spans="2:16" x14ac:dyDescent="0.5">
      <c r="B51" s="1278"/>
      <c r="C51" s="1290">
        <v>1945</v>
      </c>
      <c r="D51" s="1291">
        <v>0.3644</v>
      </c>
      <c r="E51" s="1291">
        <v>2.3400000000000001E-2</v>
      </c>
      <c r="F51" s="1281"/>
      <c r="G51" s="1291">
        <f t="shared" si="0"/>
        <v>0.34100000000000003</v>
      </c>
      <c r="I51" s="1287">
        <v>-7.4999999999999997E-2</v>
      </c>
      <c r="J51" s="1288">
        <v>0</v>
      </c>
      <c r="K51" s="1289">
        <f>SUM(J$34:J51)/J$77</f>
        <v>0.22222222222222221</v>
      </c>
      <c r="M51" s="1287"/>
      <c r="N51" s="1287"/>
      <c r="O51" s="1288"/>
      <c r="P51" s="1289"/>
    </row>
    <row r="52" spans="2:16" x14ac:dyDescent="0.5">
      <c r="B52" s="1278"/>
      <c r="C52" s="1279">
        <v>1946</v>
      </c>
      <c r="D52" s="1280">
        <v>-8.0699999999999994E-2</v>
      </c>
      <c r="E52" s="1280">
        <v>2.0400000000000001E-2</v>
      </c>
      <c r="F52" s="1281"/>
      <c r="G52" s="1280">
        <f t="shared" si="0"/>
        <v>-0.1011</v>
      </c>
      <c r="I52" s="1287">
        <v>-0.05</v>
      </c>
      <c r="J52" s="1288">
        <v>3</v>
      </c>
      <c r="K52" s="1289">
        <f>SUM(J$34:J52)/J$77</f>
        <v>0.25252525252525254</v>
      </c>
      <c r="M52" s="1287"/>
      <c r="N52" s="1287"/>
      <c r="O52" s="1288"/>
      <c r="P52" s="1289"/>
    </row>
    <row r="53" spans="2:16" x14ac:dyDescent="0.5">
      <c r="B53" s="1278"/>
      <c r="C53" s="1283">
        <v>1947</v>
      </c>
      <c r="D53" s="1284">
        <v>5.7099999999999998E-2</v>
      </c>
      <c r="E53" s="1284">
        <v>2.1299999999999999E-2</v>
      </c>
      <c r="F53" s="1281"/>
      <c r="G53" s="1284">
        <f t="shared" si="0"/>
        <v>3.5799999999999998E-2</v>
      </c>
      <c r="I53" s="1287">
        <v>-2.5000000000000001E-2</v>
      </c>
      <c r="J53" s="1288">
        <v>6</v>
      </c>
      <c r="K53" s="1289">
        <f>SUM(J$34:J53)/J$77</f>
        <v>0.31313131313131315</v>
      </c>
      <c r="M53" s="1287"/>
      <c r="N53" s="1287"/>
      <c r="O53" s="1288"/>
      <c r="P53" s="1289"/>
    </row>
    <row r="54" spans="2:16" x14ac:dyDescent="0.5">
      <c r="B54" s="1278"/>
      <c r="C54" s="1283">
        <v>1948</v>
      </c>
      <c r="D54" s="1284">
        <v>5.5E-2</v>
      </c>
      <c r="E54" s="1284">
        <v>2.4E-2</v>
      </c>
      <c r="F54" s="1281"/>
      <c r="G54" s="1284">
        <f t="shared" si="0"/>
        <v>3.1E-2</v>
      </c>
      <c r="I54" s="1287">
        <v>0</v>
      </c>
      <c r="J54" s="1288">
        <v>3</v>
      </c>
      <c r="K54" s="1289">
        <f>SUM(J$34:J54)/J$77</f>
        <v>0.34343434343434343</v>
      </c>
      <c r="M54" s="1287"/>
      <c r="N54" s="1287"/>
      <c r="O54" s="1288"/>
      <c r="P54" s="1289"/>
    </row>
    <row r="55" spans="2:16" x14ac:dyDescent="0.5">
      <c r="B55" s="1278"/>
      <c r="C55" s="1283">
        <v>1949</v>
      </c>
      <c r="D55" s="1284">
        <v>0.18790000000000001</v>
      </c>
      <c r="E55" s="1284">
        <v>2.2499999999999999E-2</v>
      </c>
      <c r="F55" s="1281"/>
      <c r="G55" s="1284">
        <f t="shared" si="0"/>
        <v>0.16540000000000002</v>
      </c>
      <c r="I55" s="1287">
        <v>2.5000000000000001E-2</v>
      </c>
      <c r="J55" s="1288">
        <v>3</v>
      </c>
      <c r="K55" s="1289">
        <f>SUM(J$34:J55)/J$77</f>
        <v>0.37373737373737376</v>
      </c>
      <c r="M55" s="1287"/>
      <c r="N55" s="1287"/>
      <c r="O55" s="1288"/>
      <c r="P55" s="1289"/>
    </row>
    <row r="56" spans="2:16" x14ac:dyDescent="0.5">
      <c r="B56" s="1278"/>
      <c r="C56" s="1290">
        <v>1950</v>
      </c>
      <c r="D56" s="1291">
        <v>0.31709999999999999</v>
      </c>
      <c r="E56" s="1291">
        <v>2.12E-2</v>
      </c>
      <c r="F56" s="1281"/>
      <c r="G56" s="1291">
        <f t="shared" si="0"/>
        <v>0.2959</v>
      </c>
      <c r="I56" s="1287">
        <v>0.05</v>
      </c>
      <c r="J56" s="1288">
        <v>4</v>
      </c>
      <c r="K56" s="1289">
        <f>SUM(J$34:J56)/J$77</f>
        <v>0.41414141414141414</v>
      </c>
      <c r="M56" s="1287"/>
      <c r="N56" s="1287"/>
      <c r="O56" s="1288"/>
      <c r="P56" s="1289"/>
    </row>
    <row r="57" spans="2:16" x14ac:dyDescent="0.5">
      <c r="B57" s="1278"/>
      <c r="C57" s="1279">
        <v>1951</v>
      </c>
      <c r="D57" s="1280">
        <v>0.2402</v>
      </c>
      <c r="E57" s="1280">
        <v>2.3800000000000002E-2</v>
      </c>
      <c r="F57" s="1281"/>
      <c r="G57" s="1280">
        <f t="shared" si="0"/>
        <v>0.21639999999999998</v>
      </c>
      <c r="I57" s="1287">
        <v>7.4999999999999997E-2</v>
      </c>
      <c r="J57" s="1288">
        <v>2</v>
      </c>
      <c r="K57" s="1289">
        <f>SUM(J$34:J57)/J$77</f>
        <v>0.43434343434343436</v>
      </c>
      <c r="M57" s="1287"/>
      <c r="N57" s="1287"/>
      <c r="O57" s="1288"/>
      <c r="P57" s="1289"/>
    </row>
    <row r="58" spans="2:16" x14ac:dyDescent="0.5">
      <c r="B58" s="1278"/>
      <c r="C58" s="1283">
        <v>1952</v>
      </c>
      <c r="D58" s="1284">
        <v>0.1837</v>
      </c>
      <c r="E58" s="1284">
        <v>2.6599999999999999E-2</v>
      </c>
      <c r="F58" s="1281"/>
      <c r="G58" s="1284">
        <f t="shared" si="0"/>
        <v>0.15710000000000002</v>
      </c>
      <c r="I58" s="1287">
        <v>0.1</v>
      </c>
      <c r="J58" s="1288">
        <v>9</v>
      </c>
      <c r="K58" s="1289">
        <f>SUM(J$34:J58)/J$77</f>
        <v>0.5252525252525253</v>
      </c>
      <c r="M58" s="1287"/>
      <c r="N58" s="1287"/>
      <c r="O58" s="1288"/>
      <c r="P58" s="1289"/>
    </row>
    <row r="59" spans="2:16" x14ac:dyDescent="0.5">
      <c r="B59" s="1278"/>
      <c r="C59" s="1283">
        <v>1953</v>
      </c>
      <c r="D59" s="1284">
        <v>-9.9000000000000008E-3</v>
      </c>
      <c r="E59" s="1284">
        <v>2.8400000000000002E-2</v>
      </c>
      <c r="F59" s="1281"/>
      <c r="G59" s="1284">
        <f t="shared" si="0"/>
        <v>-3.8300000000000001E-2</v>
      </c>
      <c r="I59" s="1287">
        <v>0.125</v>
      </c>
      <c r="J59" s="1288">
        <v>5</v>
      </c>
      <c r="K59" s="1289">
        <f>SUM(J$34:J59)/J$77</f>
        <v>0.5757575757575758</v>
      </c>
      <c r="M59" s="1287"/>
      <c r="N59" s="1287"/>
      <c r="O59" s="1288"/>
      <c r="P59" s="1289"/>
    </row>
    <row r="60" spans="2:16" x14ac:dyDescent="0.5">
      <c r="B60" s="1278"/>
      <c r="C60" s="1283">
        <v>1954</v>
      </c>
      <c r="D60" s="1284">
        <v>0.5262</v>
      </c>
      <c r="E60" s="1284">
        <v>2.7900000000000001E-2</v>
      </c>
      <c r="F60" s="1281"/>
      <c r="G60" s="1284">
        <f t="shared" si="0"/>
        <v>0.49830000000000002</v>
      </c>
      <c r="I60" s="1287">
        <v>0.15</v>
      </c>
      <c r="J60" s="1288">
        <v>2</v>
      </c>
      <c r="K60" s="1289">
        <f>SUM(J$34:J60)/J$77</f>
        <v>0.59595959595959591</v>
      </c>
      <c r="M60" s="1287"/>
      <c r="N60" s="1287"/>
      <c r="O60" s="1288"/>
      <c r="P60" s="1289"/>
    </row>
    <row r="61" spans="2:16" x14ac:dyDescent="0.5">
      <c r="B61" s="1278"/>
      <c r="C61" s="1290">
        <v>1955</v>
      </c>
      <c r="D61" s="1291">
        <v>0.31559999999999999</v>
      </c>
      <c r="E61" s="1291">
        <v>2.75E-2</v>
      </c>
      <c r="F61" s="1281"/>
      <c r="G61" s="1291">
        <f t="shared" si="0"/>
        <v>0.28809999999999997</v>
      </c>
      <c r="I61" s="1287">
        <v>0.17499999999999999</v>
      </c>
      <c r="J61" s="1288">
        <v>7</v>
      </c>
      <c r="K61" s="1289">
        <f>SUM(J$34:J61)/J$77</f>
        <v>0.66666666666666663</v>
      </c>
      <c r="M61" s="1287"/>
      <c r="N61" s="1287"/>
      <c r="O61" s="1288"/>
      <c r="P61" s="1289"/>
    </row>
    <row r="62" spans="2:16" x14ac:dyDescent="0.5">
      <c r="B62" s="1278"/>
      <c r="C62" s="1279">
        <v>1956</v>
      </c>
      <c r="D62" s="1280">
        <v>6.5600000000000006E-2</v>
      </c>
      <c r="E62" s="1280">
        <v>2.9899999999999999E-2</v>
      </c>
      <c r="F62" s="1281"/>
      <c r="G62" s="1280">
        <f t="shared" si="0"/>
        <v>3.570000000000001E-2</v>
      </c>
      <c r="I62" s="1287">
        <v>0.2</v>
      </c>
      <c r="J62" s="1288">
        <v>4</v>
      </c>
      <c r="K62" s="1289">
        <f>SUM(J$34:J62)/J$77</f>
        <v>0.70707070707070707</v>
      </c>
      <c r="M62" s="1287"/>
      <c r="N62" s="1287"/>
      <c r="O62" s="1288"/>
      <c r="P62" s="1289"/>
    </row>
    <row r="63" spans="2:16" x14ac:dyDescent="0.5">
      <c r="B63" s="1278"/>
      <c r="C63" s="1283">
        <v>1957</v>
      </c>
      <c r="D63" s="1284">
        <v>-0.10780000000000001</v>
      </c>
      <c r="E63" s="1284">
        <v>3.44E-2</v>
      </c>
      <c r="F63" s="1281"/>
      <c r="G63" s="1284">
        <f t="shared" si="0"/>
        <v>-0.14219999999999999</v>
      </c>
      <c r="I63" s="1287">
        <v>0.22500000000000001</v>
      </c>
      <c r="J63" s="1288">
        <v>5</v>
      </c>
      <c r="K63" s="1289">
        <f>SUM(J$34:J63)/J$77</f>
        <v>0.75757575757575757</v>
      </c>
      <c r="M63" s="1287"/>
      <c r="N63" s="1287"/>
      <c r="O63" s="1288"/>
      <c r="P63" s="1289"/>
    </row>
    <row r="64" spans="2:16" x14ac:dyDescent="0.5">
      <c r="B64" s="1278"/>
      <c r="C64" s="1283">
        <v>1958</v>
      </c>
      <c r="D64" s="1284">
        <v>0.43359999999999999</v>
      </c>
      <c r="E64" s="1284">
        <v>3.27E-2</v>
      </c>
      <c r="F64" s="1281"/>
      <c r="G64" s="1284">
        <f t="shared" si="0"/>
        <v>0.40089999999999998</v>
      </c>
      <c r="I64" s="1287">
        <v>0.25</v>
      </c>
      <c r="J64" s="1288">
        <v>7</v>
      </c>
      <c r="K64" s="1289">
        <f>SUM(J$34:J64)/J$77</f>
        <v>0.82828282828282829</v>
      </c>
      <c r="M64" s="1287"/>
      <c r="N64" s="1287"/>
      <c r="O64" s="1288"/>
      <c r="P64" s="1289"/>
    </row>
    <row r="65" spans="2:19" x14ac:dyDescent="0.5">
      <c r="B65" s="1278"/>
      <c r="C65" s="1283">
        <v>1959</v>
      </c>
      <c r="D65" s="1284">
        <v>0.1196</v>
      </c>
      <c r="E65" s="1284">
        <v>4.0099999999999997E-2</v>
      </c>
      <c r="F65" s="1281"/>
      <c r="G65" s="1284">
        <f t="shared" si="0"/>
        <v>7.9500000000000001E-2</v>
      </c>
      <c r="I65" s="1287">
        <v>0.27500000000000002</v>
      </c>
      <c r="J65" s="1288">
        <v>2</v>
      </c>
      <c r="K65" s="1289">
        <f>SUM(J$34:J65)/J$77</f>
        <v>0.84848484848484851</v>
      </c>
      <c r="M65" s="1287"/>
      <c r="N65" s="1287"/>
      <c r="O65" s="1288"/>
      <c r="P65" s="1289"/>
    </row>
    <row r="66" spans="2:19" x14ac:dyDescent="0.5">
      <c r="B66" s="1278"/>
      <c r="C66" s="1290">
        <v>1960</v>
      </c>
      <c r="D66" s="1291">
        <v>4.7000000000000002E-3</v>
      </c>
      <c r="E66" s="1291">
        <v>4.2599999999999999E-2</v>
      </c>
      <c r="F66" s="1281"/>
      <c r="G66" s="1291">
        <f t="shared" si="0"/>
        <v>-3.7899999999999996E-2</v>
      </c>
      <c r="I66" s="1287">
        <v>0.3</v>
      </c>
      <c r="J66" s="1288">
        <v>7</v>
      </c>
      <c r="K66" s="1289">
        <f>SUM(J$34:J66)/J$77</f>
        <v>0.91919191919191923</v>
      </c>
      <c r="M66" s="1287"/>
      <c r="N66" s="1287"/>
      <c r="O66" s="1288"/>
      <c r="P66" s="1289"/>
    </row>
    <row r="67" spans="2:19" x14ac:dyDescent="0.5">
      <c r="B67" s="1278"/>
      <c r="C67" s="1279">
        <v>1961</v>
      </c>
      <c r="D67" s="1280">
        <v>0.26889999999999997</v>
      </c>
      <c r="E67" s="1280">
        <v>3.8300000000000001E-2</v>
      </c>
      <c r="F67" s="1281"/>
      <c r="G67" s="1280">
        <f t="shared" si="0"/>
        <v>0.23059999999999997</v>
      </c>
      <c r="I67" s="1287">
        <v>0.32500000000000001</v>
      </c>
      <c r="J67" s="1288">
        <v>1</v>
      </c>
      <c r="K67" s="1289">
        <f>SUM(J$34:J67)/J$77</f>
        <v>0.92929292929292928</v>
      </c>
      <c r="M67" s="1287"/>
      <c r="N67" s="1287"/>
      <c r="O67" s="1288"/>
      <c r="P67" s="1289"/>
    </row>
    <row r="68" spans="2:19" x14ac:dyDescent="0.5">
      <c r="B68" s="1278"/>
      <c r="C68" s="1283">
        <v>1962</v>
      </c>
      <c r="D68" s="1284">
        <v>-8.7300000000000003E-2</v>
      </c>
      <c r="E68" s="1284">
        <v>0.04</v>
      </c>
      <c r="F68" s="1281"/>
      <c r="G68" s="1284">
        <f t="shared" si="0"/>
        <v>-0.1273</v>
      </c>
      <c r="I68" s="1287">
        <v>0.35</v>
      </c>
      <c r="J68" s="1288">
        <v>2</v>
      </c>
      <c r="K68" s="1289">
        <f>SUM(J$34:J68)/J$77</f>
        <v>0.9494949494949495</v>
      </c>
      <c r="M68" s="1287"/>
      <c r="N68" s="1287"/>
      <c r="O68" s="1288"/>
      <c r="P68" s="1289"/>
    </row>
    <row r="69" spans="2:19" x14ac:dyDescent="0.5">
      <c r="B69" s="1278"/>
      <c r="C69" s="1283">
        <v>1963</v>
      </c>
      <c r="D69" s="1284">
        <v>0.22800000000000001</v>
      </c>
      <c r="E69" s="1284">
        <v>3.8899999999999997E-2</v>
      </c>
      <c r="F69" s="1281"/>
      <c r="G69" s="1284">
        <f t="shared" si="0"/>
        <v>0.18910000000000002</v>
      </c>
      <c r="I69" s="1287">
        <v>0.375</v>
      </c>
      <c r="J69" s="1288">
        <v>0</v>
      </c>
      <c r="K69" s="1289">
        <f>SUM(J$34:J69)/J$77</f>
        <v>0.9494949494949495</v>
      </c>
      <c r="M69" s="1287"/>
      <c r="N69" s="1287"/>
      <c r="O69" s="1288"/>
      <c r="P69" s="1289"/>
    </row>
    <row r="70" spans="2:19" x14ac:dyDescent="0.5">
      <c r="B70" s="1278"/>
      <c r="C70" s="1283">
        <v>1964</v>
      </c>
      <c r="D70" s="1284">
        <v>0.1648</v>
      </c>
      <c r="E70" s="1284">
        <v>4.1500000000000002E-2</v>
      </c>
      <c r="F70" s="1281"/>
      <c r="G70" s="1284">
        <f t="shared" si="0"/>
        <v>0.12329999999999999</v>
      </c>
      <c r="I70" s="1287">
        <v>0.4</v>
      </c>
      <c r="J70" s="1288">
        <v>0</v>
      </c>
      <c r="K70" s="1289">
        <f>SUM(J$34:J70)/J$77</f>
        <v>0.9494949494949495</v>
      </c>
      <c r="M70" s="1287"/>
      <c r="N70" s="1287"/>
      <c r="O70" s="1288"/>
      <c r="P70" s="1289"/>
    </row>
    <row r="71" spans="2:19" x14ac:dyDescent="0.5">
      <c r="B71" s="1278"/>
      <c r="C71" s="1290">
        <v>1965</v>
      </c>
      <c r="D71" s="1291">
        <v>0.1245</v>
      </c>
      <c r="E71" s="1291">
        <v>4.19E-2</v>
      </c>
      <c r="F71" s="1281"/>
      <c r="G71" s="1291">
        <f t="shared" si="0"/>
        <v>8.2600000000000007E-2</v>
      </c>
      <c r="I71" s="1287">
        <v>0.42499999999999999</v>
      </c>
      <c r="J71" s="1288">
        <v>2</v>
      </c>
      <c r="K71" s="1289">
        <f>SUM(J$34:J71)/J$77</f>
        <v>0.96969696969696972</v>
      </c>
      <c r="M71" s="1287"/>
      <c r="N71" s="1287"/>
      <c r="O71" s="1288"/>
      <c r="P71" s="1289"/>
    </row>
    <row r="72" spans="2:19" x14ac:dyDescent="0.5">
      <c r="B72" s="1278"/>
      <c r="C72" s="1279">
        <v>1966</v>
      </c>
      <c r="D72" s="1280">
        <v>-0.10059999999999999</v>
      </c>
      <c r="E72" s="1280">
        <v>4.4900000000000002E-2</v>
      </c>
      <c r="F72" s="1281"/>
      <c r="G72" s="1280">
        <f t="shared" si="0"/>
        <v>-0.14549999999999999</v>
      </c>
      <c r="I72" s="1287">
        <v>0.45</v>
      </c>
      <c r="J72" s="1288">
        <v>1</v>
      </c>
      <c r="K72" s="1289">
        <f>SUM(J$34:J72)/J$77</f>
        <v>0.97979797979797978</v>
      </c>
      <c r="M72" s="1287"/>
      <c r="N72" s="1287"/>
      <c r="O72" s="1288"/>
      <c r="P72" s="1289"/>
    </row>
    <row r="73" spans="2:19" x14ac:dyDescent="0.5">
      <c r="B73" s="1278"/>
      <c r="C73" s="1283">
        <v>1967</v>
      </c>
      <c r="D73" s="1284">
        <v>0.23980000000000001</v>
      </c>
      <c r="E73" s="1284">
        <v>4.5900000000000003E-2</v>
      </c>
      <c r="F73" s="1281"/>
      <c r="G73" s="1284">
        <f t="shared" si="0"/>
        <v>0.19390000000000002</v>
      </c>
      <c r="I73" s="1287">
        <v>0.47499999999999998</v>
      </c>
      <c r="J73" s="1288">
        <v>0</v>
      </c>
      <c r="K73" s="1289">
        <f>SUM(J$34:J73)/J$77</f>
        <v>0.97979797979797978</v>
      </c>
      <c r="M73" s="1287"/>
      <c r="N73" s="1287"/>
      <c r="O73" s="1288"/>
      <c r="P73" s="1289"/>
    </row>
    <row r="74" spans="2:19" x14ac:dyDescent="0.5">
      <c r="B74" s="1278"/>
      <c r="C74" s="1283">
        <v>1968</v>
      </c>
      <c r="D74" s="1284">
        <v>0.1106</v>
      </c>
      <c r="E74" s="1284">
        <v>5.5E-2</v>
      </c>
      <c r="F74" s="1281"/>
      <c r="G74" s="1284">
        <f t="shared" si="0"/>
        <v>5.5600000000000004E-2</v>
      </c>
      <c r="I74" s="1287">
        <v>0.5</v>
      </c>
      <c r="J74" s="1288">
        <v>1</v>
      </c>
      <c r="K74" s="1289">
        <f>SUM(J$34:J74)/J$77</f>
        <v>0.98989898989898994</v>
      </c>
      <c r="M74" s="1287"/>
      <c r="N74" s="1287"/>
      <c r="O74" s="1288"/>
      <c r="P74" s="1289"/>
    </row>
    <row r="75" spans="2:19" ht="15.3" thickBot="1" x14ac:dyDescent="0.55000000000000004">
      <c r="B75" s="1278"/>
      <c r="C75" s="1283">
        <v>1969</v>
      </c>
      <c r="D75" s="1284">
        <v>-8.5000000000000006E-2</v>
      </c>
      <c r="E75" s="1284">
        <v>5.9499999999999997E-2</v>
      </c>
      <c r="F75" s="1281"/>
      <c r="G75" s="1284">
        <f t="shared" si="0"/>
        <v>-0.14450000000000002</v>
      </c>
      <c r="I75" s="1287">
        <v>0.51</v>
      </c>
      <c r="J75" s="1292">
        <v>1</v>
      </c>
      <c r="K75" s="1289">
        <f>SUM(J$34:J75)/J$77</f>
        <v>1</v>
      </c>
      <c r="M75" s="1287"/>
      <c r="N75" s="1287"/>
      <c r="O75" s="1288"/>
      <c r="P75" s="1289"/>
      <c r="S75" s="1293"/>
    </row>
    <row r="76" spans="2:19" x14ac:dyDescent="0.5">
      <c r="B76" s="1278"/>
      <c r="C76" s="1283">
        <v>1970</v>
      </c>
      <c r="D76" s="1284">
        <v>3.8600000000000002E-2</v>
      </c>
      <c r="E76" s="1284">
        <v>6.7400000000000002E-2</v>
      </c>
      <c r="F76" s="1281"/>
      <c r="G76" s="1284">
        <f t="shared" si="0"/>
        <v>-2.8799999999999999E-2</v>
      </c>
      <c r="I76" s="1287"/>
      <c r="J76" s="1294"/>
      <c r="K76" s="1295"/>
      <c r="M76" s="1287"/>
      <c r="N76" s="1287"/>
      <c r="O76" s="1288"/>
      <c r="P76" s="1289"/>
      <c r="S76" s="1293"/>
    </row>
    <row r="77" spans="2:19" x14ac:dyDescent="0.5">
      <c r="B77" s="1278"/>
      <c r="C77" s="1279">
        <v>1971</v>
      </c>
      <c r="D77" s="1280">
        <v>0.14299999999999999</v>
      </c>
      <c r="E77" s="1280">
        <v>6.3200000000000006E-2</v>
      </c>
      <c r="F77" s="1281"/>
      <c r="G77" s="1280">
        <f t="shared" si="0"/>
        <v>7.9799999999999982E-2</v>
      </c>
      <c r="I77" s="1296" t="s">
        <v>6665</v>
      </c>
      <c r="J77" s="1288">
        <f>SUM(J34:J75)</f>
        <v>99</v>
      </c>
      <c r="K77" s="1295"/>
      <c r="M77" s="1287"/>
      <c r="N77" s="1287"/>
      <c r="O77" s="1288"/>
      <c r="P77" s="1289"/>
      <c r="S77" s="1293"/>
    </row>
    <row r="78" spans="2:19" x14ac:dyDescent="0.5">
      <c r="B78" s="1278"/>
      <c r="C78" s="1283">
        <v>1972</v>
      </c>
      <c r="D78" s="1284">
        <v>0.19</v>
      </c>
      <c r="E78" s="1284">
        <v>5.8700000000000002E-2</v>
      </c>
      <c r="F78" s="1281"/>
      <c r="G78" s="1284">
        <f t="shared" si="0"/>
        <v>0.1313</v>
      </c>
      <c r="M78" s="1296"/>
      <c r="N78" s="1287"/>
      <c r="O78" s="1288"/>
      <c r="P78" s="1289"/>
      <c r="S78" s="1044"/>
    </row>
    <row r="79" spans="2:19" x14ac:dyDescent="0.5">
      <c r="B79" s="1278"/>
      <c r="C79" s="1283">
        <v>1973</v>
      </c>
      <c r="D79" s="1284">
        <v>-0.1469</v>
      </c>
      <c r="E79" s="1284">
        <v>6.5100000000000005E-2</v>
      </c>
      <c r="F79" s="1281"/>
      <c r="G79" s="1284">
        <f t="shared" si="0"/>
        <v>-0.21200000000000002</v>
      </c>
      <c r="M79" s="1297"/>
      <c r="S79" s="1044"/>
    </row>
    <row r="80" spans="2:19" x14ac:dyDescent="0.5">
      <c r="B80" s="1278"/>
      <c r="C80" s="1283">
        <v>1974</v>
      </c>
      <c r="D80" s="1284">
        <v>-0.26469999999999999</v>
      </c>
      <c r="E80" s="1284">
        <v>7.2700000000000001E-2</v>
      </c>
      <c r="F80" s="1281"/>
      <c r="G80" s="1284">
        <f t="shared" si="0"/>
        <v>-0.33739999999999998</v>
      </c>
      <c r="L80" s="1044"/>
      <c r="M80" s="1288"/>
    </row>
    <row r="81" spans="2:23" x14ac:dyDescent="0.5">
      <c r="B81" s="1278"/>
      <c r="C81" s="1290">
        <v>1975</v>
      </c>
      <c r="D81" s="1291">
        <v>0.37230000000000002</v>
      </c>
      <c r="E81" s="1291">
        <v>7.9899999999999999E-2</v>
      </c>
      <c r="F81" s="1281"/>
      <c r="G81" s="1291">
        <f t="shared" si="0"/>
        <v>0.29239999999999999</v>
      </c>
      <c r="M81" s="1288"/>
    </row>
    <row r="82" spans="2:23" x14ac:dyDescent="0.5">
      <c r="B82" s="1278"/>
      <c r="C82" s="1279">
        <v>1976</v>
      </c>
      <c r="D82" s="1280">
        <v>0.23930000000000001</v>
      </c>
      <c r="E82" s="1280">
        <v>7.8899999999999998E-2</v>
      </c>
      <c r="F82" s="1281"/>
      <c r="G82" s="1280">
        <f t="shared" si="0"/>
        <v>0.16040000000000001</v>
      </c>
      <c r="H82" s="1299"/>
      <c r="M82" s="1297"/>
    </row>
    <row r="83" spans="2:23" x14ac:dyDescent="0.5">
      <c r="B83" s="1278"/>
      <c r="C83" s="1283">
        <v>1977</v>
      </c>
      <c r="D83" s="1284">
        <v>-7.1599999999999997E-2</v>
      </c>
      <c r="E83" s="1284">
        <v>7.1400000000000005E-2</v>
      </c>
      <c r="F83" s="1281"/>
      <c r="G83" s="1284">
        <f t="shared" si="0"/>
        <v>-0.14300000000000002</v>
      </c>
      <c r="H83" s="1299"/>
      <c r="J83" s="1300" t="s">
        <v>6666</v>
      </c>
      <c r="K83" s="1301" t="s">
        <v>6656</v>
      </c>
      <c r="M83" s="1288"/>
      <c r="S83" s="1044"/>
    </row>
    <row r="84" spans="2:23" ht="14.5" customHeight="1" x14ac:dyDescent="0.5">
      <c r="B84" s="1278"/>
      <c r="C84" s="1283">
        <v>1978</v>
      </c>
      <c r="D84" s="1284">
        <v>6.5699999999999995E-2</v>
      </c>
      <c r="E84" s="1284">
        <v>7.9000000000000001E-2</v>
      </c>
      <c r="F84" s="1281"/>
      <c r="G84" s="1284">
        <f t="shared" si="0"/>
        <v>-1.3300000000000006E-2</v>
      </c>
      <c r="H84" s="1299"/>
      <c r="I84" s="1299"/>
      <c r="J84" s="1302">
        <v>8.6300000000000002E-2</v>
      </c>
      <c r="K84" s="1303">
        <f>_xlfn.PERCENTRANK.EXC(G32:G130,J84)</f>
        <v>0.49199999999999999</v>
      </c>
      <c r="M84" s="1297"/>
      <c r="T84" s="1044"/>
      <c r="W84" s="1305"/>
    </row>
    <row r="85" spans="2:23" x14ac:dyDescent="0.5">
      <c r="B85" s="1278"/>
      <c r="C85" s="1283">
        <v>1979</v>
      </c>
      <c r="D85" s="1284">
        <v>0.18609999999999999</v>
      </c>
      <c r="E85" s="1284">
        <v>8.8599999999999998E-2</v>
      </c>
      <c r="F85" s="1281"/>
      <c r="G85" s="1284">
        <f t="shared" si="0"/>
        <v>9.7499999999999989E-2</v>
      </c>
      <c r="H85" s="1299"/>
      <c r="W85" s="1305"/>
    </row>
    <row r="86" spans="2:23" x14ac:dyDescent="0.5">
      <c r="B86" s="1278"/>
      <c r="C86" s="1290">
        <v>1980</v>
      </c>
      <c r="D86" s="1291">
        <v>0.32500000000000001</v>
      </c>
      <c r="E86" s="1291">
        <v>9.9699999999999997E-2</v>
      </c>
      <c r="F86" s="1281"/>
      <c r="G86" s="1291">
        <f t="shared" si="0"/>
        <v>0.2253</v>
      </c>
      <c r="H86" s="1299"/>
      <c r="I86" s="1306"/>
      <c r="J86" s="1300" t="s">
        <v>6669</v>
      </c>
      <c r="K86" s="1301" t="s">
        <v>6656</v>
      </c>
      <c r="M86" s="1297"/>
      <c r="W86" s="1305"/>
    </row>
    <row r="87" spans="2:23" ht="14.5" customHeight="1" x14ac:dyDescent="0.5">
      <c r="B87" s="1278"/>
      <c r="C87" s="1279">
        <v>1981</v>
      </c>
      <c r="D87" s="1280">
        <v>-4.9200000000000001E-2</v>
      </c>
      <c r="E87" s="1280">
        <v>0.11550000000000001</v>
      </c>
      <c r="F87" s="1281"/>
      <c r="G87" s="1280">
        <f t="shared" si="0"/>
        <v>-0.16470000000000001</v>
      </c>
      <c r="H87" s="1299"/>
      <c r="I87" s="1299"/>
      <c r="J87" s="1284">
        <v>8.2799999999999999E-2</v>
      </c>
      <c r="K87" s="195">
        <f>_xlfn.PERCENTRANK.EXC(G32:G130,J87)</f>
        <v>0.49</v>
      </c>
      <c r="L87" s="1307"/>
      <c r="M87" s="1308"/>
      <c r="T87" s="1044"/>
      <c r="W87" s="1305"/>
    </row>
    <row r="88" spans="2:23" x14ac:dyDescent="0.5">
      <c r="B88" s="1278"/>
      <c r="C88" s="1283">
        <v>1982</v>
      </c>
      <c r="D88" s="1284">
        <v>0.2155</v>
      </c>
      <c r="E88" s="1284">
        <v>0.13500000000000001</v>
      </c>
      <c r="F88" s="1281"/>
      <c r="G88" s="1284">
        <f t="shared" si="0"/>
        <v>8.0499999999999988E-2</v>
      </c>
      <c r="H88" s="1299"/>
      <c r="I88" s="1309"/>
      <c r="J88" s="1310"/>
      <c r="K88" s="1311"/>
      <c r="L88" s="1312"/>
      <c r="M88" s="1313"/>
    </row>
    <row r="89" spans="2:23" x14ac:dyDescent="0.5">
      <c r="B89" s="1278"/>
      <c r="C89" s="1283">
        <v>1983</v>
      </c>
      <c r="D89" s="1284">
        <v>0.22559999999999999</v>
      </c>
      <c r="E89" s="1284">
        <v>0.1038</v>
      </c>
      <c r="F89" s="1281"/>
      <c r="G89" s="1284">
        <f t="shared" si="0"/>
        <v>0.12179999999999999</v>
      </c>
      <c r="H89" s="1299"/>
      <c r="I89" s="1299"/>
      <c r="J89" s="1314" t="s">
        <v>6671</v>
      </c>
      <c r="K89" s="1301" t="s">
        <v>6656</v>
      </c>
      <c r="M89" s="1288"/>
    </row>
    <row r="90" spans="2:23" x14ac:dyDescent="0.5">
      <c r="B90" s="1278"/>
      <c r="C90" s="1283">
        <v>1984</v>
      </c>
      <c r="D90" s="1284">
        <v>6.2700000000000006E-2</v>
      </c>
      <c r="E90" s="1284">
        <v>0.1174</v>
      </c>
      <c r="F90" s="1281"/>
      <c r="G90" s="1284">
        <f t="shared" si="0"/>
        <v>-5.4699999999999999E-2</v>
      </c>
      <c r="H90" s="1299"/>
      <c r="I90" s="1315"/>
      <c r="J90" s="1316">
        <v>0.05</v>
      </c>
      <c r="K90" s="195">
        <f>_xlfn.PERCENTRANK.EXC(G32:G130,J90)</f>
        <v>0.41699999999999998</v>
      </c>
      <c r="M90" s="1297"/>
      <c r="T90" s="1044"/>
    </row>
    <row r="91" spans="2:23" x14ac:dyDescent="0.5">
      <c r="B91" s="1278"/>
      <c r="C91" s="1290">
        <v>1985</v>
      </c>
      <c r="D91" s="1291">
        <v>0.31730000000000003</v>
      </c>
      <c r="E91" s="1291">
        <v>0.1125</v>
      </c>
      <c r="F91" s="1281"/>
      <c r="G91" s="1291">
        <f t="shared" si="0"/>
        <v>0.20480000000000004</v>
      </c>
      <c r="H91" s="1299"/>
      <c r="I91" s="1317"/>
      <c r="J91" s="1297"/>
      <c r="K91" s="1297"/>
      <c r="L91" s="1318"/>
      <c r="M91" s="1297"/>
    </row>
    <row r="92" spans="2:23" x14ac:dyDescent="0.5">
      <c r="B92" s="1278"/>
      <c r="C92" s="1279">
        <v>1986</v>
      </c>
      <c r="D92" s="1280">
        <v>0.1867</v>
      </c>
      <c r="E92" s="1280">
        <v>8.9800000000000005E-2</v>
      </c>
      <c r="F92" s="1281"/>
      <c r="G92" s="1280">
        <f t="shared" si="0"/>
        <v>9.69E-2</v>
      </c>
      <c r="H92" s="1299"/>
      <c r="I92" s="1319"/>
      <c r="J92" s="1320"/>
      <c r="K92" s="1297"/>
      <c r="L92" s="1318"/>
      <c r="M92" s="1297"/>
      <c r="N92" s="1288"/>
      <c r="O92" s="1288"/>
    </row>
    <row r="93" spans="2:23" ht="12" customHeight="1" x14ac:dyDescent="0.5">
      <c r="B93" s="1278"/>
      <c r="C93" s="1283">
        <v>1987</v>
      </c>
      <c r="D93" s="1284">
        <v>5.2499999999999998E-2</v>
      </c>
      <c r="E93" s="1284">
        <v>7.9200000000000007E-2</v>
      </c>
      <c r="F93" s="1281"/>
      <c r="G93" s="1284">
        <f t="shared" si="0"/>
        <v>-2.6700000000000008E-2</v>
      </c>
      <c r="H93" s="1299"/>
      <c r="I93" s="1319"/>
      <c r="J93" s="1320"/>
      <c r="K93" s="1297"/>
      <c r="M93" s="1297"/>
      <c r="N93" s="1288"/>
      <c r="O93" s="1288"/>
    </row>
    <row r="94" spans="2:23" x14ac:dyDescent="0.5">
      <c r="B94" s="1278"/>
      <c r="C94" s="1283">
        <v>1988</v>
      </c>
      <c r="D94" s="1284">
        <v>0.1661</v>
      </c>
      <c r="E94" s="1284">
        <v>8.9700000000000002E-2</v>
      </c>
      <c r="F94" s="1281"/>
      <c r="G94" s="1284">
        <f t="shared" si="0"/>
        <v>7.6399999999999996E-2</v>
      </c>
      <c r="H94" s="1299"/>
      <c r="I94" s="1299"/>
      <c r="J94" s="1321"/>
      <c r="K94" s="1297"/>
      <c r="M94" s="1297"/>
      <c r="N94" s="1288"/>
      <c r="O94" s="1288"/>
    </row>
    <row r="95" spans="2:23" x14ac:dyDescent="0.5">
      <c r="B95" s="1278"/>
      <c r="C95" s="1283">
        <v>1989</v>
      </c>
      <c r="D95" s="1284">
        <v>0.31690000000000002</v>
      </c>
      <c r="E95" s="1284">
        <v>8.8099999999999998E-2</v>
      </c>
      <c r="F95" s="1281"/>
      <c r="G95" s="1284">
        <f t="shared" si="0"/>
        <v>0.2288</v>
      </c>
      <c r="H95" s="1299"/>
      <c r="I95" s="1321"/>
      <c r="M95" s="1297"/>
      <c r="N95" s="1288"/>
      <c r="O95" s="1288"/>
    </row>
    <row r="96" spans="2:23" x14ac:dyDescent="0.5">
      <c r="B96" s="1278"/>
      <c r="C96" s="1290">
        <v>1990</v>
      </c>
      <c r="D96" s="1291">
        <v>-3.1E-2</v>
      </c>
      <c r="E96" s="1291">
        <v>8.1900000000000001E-2</v>
      </c>
      <c r="F96" s="1281"/>
      <c r="G96" s="1291">
        <f t="shared" ref="G96:G130" si="1">(D96-E96)</f>
        <v>-0.1129</v>
      </c>
      <c r="H96" s="1299"/>
      <c r="I96" s="1321"/>
      <c r="M96" s="1297"/>
      <c r="N96" s="1288"/>
      <c r="O96" s="1288"/>
    </row>
    <row r="97" spans="2:15" x14ac:dyDescent="0.5">
      <c r="B97" s="1278"/>
      <c r="C97" s="1279">
        <v>1991</v>
      </c>
      <c r="D97" s="1280">
        <v>0.30470000000000003</v>
      </c>
      <c r="E97" s="1280">
        <v>8.2199999999999995E-2</v>
      </c>
      <c r="F97" s="1281"/>
      <c r="G97" s="1280">
        <f t="shared" si="1"/>
        <v>0.22250000000000003</v>
      </c>
      <c r="H97" s="1299"/>
      <c r="I97" s="1321"/>
      <c r="M97" s="1297"/>
      <c r="N97" s="1288"/>
      <c r="O97" s="1288"/>
    </row>
    <row r="98" spans="2:15" x14ac:dyDescent="0.5">
      <c r="B98" s="1278"/>
      <c r="C98" s="1283">
        <v>1992</v>
      </c>
      <c r="D98" s="1284">
        <v>7.6200000000000004E-2</v>
      </c>
      <c r="E98" s="1284">
        <v>7.2599999999999998E-2</v>
      </c>
      <c r="F98" s="1281"/>
      <c r="G98" s="1284">
        <f t="shared" si="1"/>
        <v>3.600000000000006E-3</v>
      </c>
      <c r="H98" s="1299"/>
      <c r="I98" s="1321"/>
      <c r="M98" s="1288"/>
      <c r="N98" s="1288"/>
      <c r="O98" s="1288"/>
    </row>
    <row r="99" spans="2:15" x14ac:dyDescent="0.5">
      <c r="B99" s="1278"/>
      <c r="C99" s="1283">
        <v>1993</v>
      </c>
      <c r="D99" s="1284">
        <v>0.1008</v>
      </c>
      <c r="E99" s="1284">
        <v>7.17E-2</v>
      </c>
      <c r="F99" s="1281"/>
      <c r="G99" s="1284">
        <f t="shared" si="1"/>
        <v>2.9100000000000001E-2</v>
      </c>
      <c r="H99" s="1299"/>
      <c r="I99" s="1321"/>
      <c r="M99" s="1288"/>
      <c r="N99" s="1288"/>
      <c r="O99" s="1288"/>
    </row>
    <row r="100" spans="2:15" x14ac:dyDescent="0.5">
      <c r="B100" s="1278"/>
      <c r="C100" s="1283">
        <v>1994</v>
      </c>
      <c r="D100" s="1284">
        <v>1.32E-2</v>
      </c>
      <c r="E100" s="1284">
        <v>6.59E-2</v>
      </c>
      <c r="F100" s="1281"/>
      <c r="G100" s="1284">
        <f t="shared" si="1"/>
        <v>-5.2699999999999997E-2</v>
      </c>
      <c r="H100" s="1299"/>
      <c r="I100" s="1321"/>
      <c r="M100" s="1288"/>
      <c r="N100" s="1288"/>
      <c r="O100" s="1288"/>
    </row>
    <row r="101" spans="2:15" x14ac:dyDescent="0.5">
      <c r="B101" s="1278"/>
      <c r="C101" s="1290">
        <v>1995</v>
      </c>
      <c r="D101" s="1291">
        <v>0.37580000000000002</v>
      </c>
      <c r="E101" s="1291">
        <v>7.5999999999999998E-2</v>
      </c>
      <c r="F101" s="1281"/>
      <c r="G101" s="1291">
        <f t="shared" si="1"/>
        <v>0.29980000000000001</v>
      </c>
      <c r="H101" s="1299"/>
      <c r="I101" s="1321"/>
      <c r="M101" s="1288"/>
      <c r="N101" s="1288"/>
      <c r="O101" s="1288"/>
    </row>
    <row r="102" spans="2:15" x14ac:dyDescent="0.5">
      <c r="B102" s="1278"/>
      <c r="C102" s="1279">
        <v>1996</v>
      </c>
      <c r="D102" s="1280">
        <v>0.2296</v>
      </c>
      <c r="E102" s="1280">
        <v>6.1800000000000001E-2</v>
      </c>
      <c r="F102" s="1281"/>
      <c r="G102" s="1280">
        <f t="shared" si="1"/>
        <v>0.1678</v>
      </c>
      <c r="H102" s="1299"/>
      <c r="I102" s="1321"/>
      <c r="M102" s="1297"/>
      <c r="N102" s="1288"/>
      <c r="O102" s="1288"/>
    </row>
    <row r="103" spans="2:15" x14ac:dyDescent="0.5">
      <c r="B103" s="1278"/>
      <c r="C103" s="1283">
        <v>1997</v>
      </c>
      <c r="D103" s="1284">
        <v>0.33360000000000001</v>
      </c>
      <c r="E103" s="1284">
        <v>6.6400000000000001E-2</v>
      </c>
      <c r="F103" s="1281"/>
      <c r="G103" s="1284">
        <f t="shared" si="1"/>
        <v>0.26719999999999999</v>
      </c>
      <c r="H103" s="1299"/>
      <c r="I103" s="1321"/>
      <c r="M103" s="1297"/>
      <c r="N103" s="1288"/>
      <c r="O103" s="1288"/>
    </row>
    <row r="104" spans="2:15" x14ac:dyDescent="0.5">
      <c r="B104" s="1278"/>
      <c r="C104" s="1283">
        <v>1998</v>
      </c>
      <c r="D104" s="1284">
        <v>0.2858</v>
      </c>
      <c r="E104" s="1284">
        <v>5.8299999999999998E-2</v>
      </c>
      <c r="F104" s="1281"/>
      <c r="G104" s="1284">
        <f t="shared" si="1"/>
        <v>0.22750000000000001</v>
      </c>
      <c r="H104" s="1299"/>
      <c r="I104" s="1321"/>
      <c r="M104" s="1297"/>
      <c r="N104" s="1288"/>
      <c r="O104" s="1288"/>
    </row>
    <row r="105" spans="2:15" x14ac:dyDescent="0.5">
      <c r="B105" s="1278"/>
      <c r="C105" s="1283">
        <v>1999</v>
      </c>
      <c r="D105" s="1284">
        <v>0.2104</v>
      </c>
      <c r="E105" s="1284">
        <v>5.57E-2</v>
      </c>
      <c r="F105" s="1281"/>
      <c r="G105" s="1284">
        <f t="shared" si="1"/>
        <v>0.1547</v>
      </c>
      <c r="H105" s="1299"/>
      <c r="I105" s="1321"/>
      <c r="M105" s="1288"/>
      <c r="N105" s="1288"/>
      <c r="O105" s="1288"/>
    </row>
    <row r="106" spans="2:15" x14ac:dyDescent="0.5">
      <c r="B106" s="1278"/>
      <c r="C106" s="1290">
        <v>2000</v>
      </c>
      <c r="D106" s="1291">
        <v>-9.0999999999999998E-2</v>
      </c>
      <c r="E106" s="1291">
        <v>6.5000000000000002E-2</v>
      </c>
      <c r="F106" s="1281"/>
      <c r="G106" s="1291">
        <f t="shared" si="1"/>
        <v>-0.156</v>
      </c>
      <c r="H106" s="1299"/>
      <c r="I106" s="1321"/>
      <c r="M106" s="1297"/>
      <c r="N106" s="1288"/>
      <c r="O106" s="1288"/>
    </row>
    <row r="107" spans="2:15" x14ac:dyDescent="0.5">
      <c r="B107" s="1278"/>
      <c r="C107" s="1279">
        <v>2001</v>
      </c>
      <c r="D107" s="1280">
        <v>-0.11890000000000001</v>
      </c>
      <c r="E107" s="1280">
        <v>5.5300000000000002E-2</v>
      </c>
      <c r="F107" s="1281"/>
      <c r="G107" s="1280">
        <f t="shared" si="1"/>
        <v>-0.17420000000000002</v>
      </c>
      <c r="H107" s="1299"/>
      <c r="I107" s="1321"/>
      <c r="M107" s="1288"/>
      <c r="N107" s="1288"/>
      <c r="O107" s="1288"/>
    </row>
    <row r="108" spans="2:15" x14ac:dyDescent="0.5">
      <c r="B108" s="1278"/>
      <c r="C108" s="1283">
        <v>2002</v>
      </c>
      <c r="D108" s="1284">
        <v>-0.221</v>
      </c>
      <c r="E108" s="1284">
        <v>5.5899999999999998E-2</v>
      </c>
      <c r="F108" s="1281"/>
      <c r="G108" s="1284">
        <f t="shared" si="1"/>
        <v>-0.27689999999999998</v>
      </c>
      <c r="H108" s="1299"/>
      <c r="I108" s="1321"/>
      <c r="M108" s="1288"/>
      <c r="N108" s="1288"/>
      <c r="O108" s="1288"/>
    </row>
    <row r="109" spans="2:15" x14ac:dyDescent="0.5">
      <c r="B109" s="1278"/>
      <c r="C109" s="1283">
        <v>2003</v>
      </c>
      <c r="D109" s="1284">
        <v>0.2868</v>
      </c>
      <c r="E109" s="1284">
        <v>4.8000000000000001E-2</v>
      </c>
      <c r="F109" s="1281"/>
      <c r="G109" s="1284">
        <f t="shared" si="1"/>
        <v>0.23880000000000001</v>
      </c>
      <c r="H109" s="1299"/>
      <c r="I109" s="1321"/>
      <c r="M109" s="1288"/>
      <c r="N109" s="1288"/>
      <c r="O109" s="1288"/>
    </row>
    <row r="110" spans="2:15" x14ac:dyDescent="0.5">
      <c r="B110" s="1278"/>
      <c r="C110" s="1283">
        <v>2004</v>
      </c>
      <c r="D110" s="1284">
        <v>0.10879999999999999</v>
      </c>
      <c r="E110" s="1284">
        <v>5.0200000000000002E-2</v>
      </c>
      <c r="F110" s="1281"/>
      <c r="G110" s="1284">
        <f t="shared" si="1"/>
        <v>5.8599999999999992E-2</v>
      </c>
      <c r="H110" s="1299"/>
      <c r="I110" s="1321"/>
      <c r="M110" s="1297"/>
      <c r="N110" s="1288"/>
      <c r="O110" s="1288"/>
    </row>
    <row r="111" spans="2:15" x14ac:dyDescent="0.5">
      <c r="B111" s="1278"/>
      <c r="C111" s="1290">
        <v>2005</v>
      </c>
      <c r="D111" s="1291">
        <v>4.9099999999999998E-2</v>
      </c>
      <c r="E111" s="1291">
        <v>4.6899999999999997E-2</v>
      </c>
      <c r="F111" s="1281"/>
      <c r="G111" s="1291">
        <f t="shared" si="1"/>
        <v>2.2000000000000006E-3</v>
      </c>
      <c r="H111" s="1299"/>
      <c r="I111" s="1321"/>
      <c r="M111" s="1297"/>
      <c r="N111" s="1288"/>
      <c r="O111" s="1288"/>
    </row>
    <row r="112" spans="2:15" x14ac:dyDescent="0.5">
      <c r="B112" s="1278"/>
      <c r="C112" s="1279">
        <v>2006</v>
      </c>
      <c r="D112" s="1280">
        <v>0.15790000000000001</v>
      </c>
      <c r="E112" s="1280">
        <v>4.6800000000000001E-2</v>
      </c>
      <c r="F112" s="1281"/>
      <c r="G112" s="1280">
        <f t="shared" si="1"/>
        <v>0.1111</v>
      </c>
      <c r="H112" s="1299"/>
      <c r="I112" s="1321"/>
      <c r="M112" s="1288"/>
      <c r="N112" s="1288"/>
      <c r="O112" s="1288"/>
    </row>
    <row r="113" spans="2:15" x14ac:dyDescent="0.5">
      <c r="B113" s="1278"/>
      <c r="C113" s="1283">
        <v>2007</v>
      </c>
      <c r="D113" s="1284">
        <v>5.4899999999999997E-2</v>
      </c>
      <c r="E113" s="1284">
        <v>4.8599999999999997E-2</v>
      </c>
      <c r="F113" s="1281"/>
      <c r="G113" s="1284">
        <f t="shared" si="1"/>
        <v>6.3E-3</v>
      </c>
      <c r="H113" s="1299"/>
      <c r="I113" s="1321"/>
      <c r="M113" s="1297"/>
      <c r="N113" s="1288"/>
      <c r="O113" s="1288"/>
    </row>
    <row r="114" spans="2:15" x14ac:dyDescent="0.5">
      <c r="B114" s="1278"/>
      <c r="C114" s="1283">
        <v>2008</v>
      </c>
      <c r="D114" s="1284">
        <v>-0.37</v>
      </c>
      <c r="E114" s="1284">
        <v>4.4499999999999998E-2</v>
      </c>
      <c r="F114" s="1281"/>
      <c r="G114" s="1284">
        <f t="shared" si="1"/>
        <v>-0.41449999999999998</v>
      </c>
      <c r="H114" s="1299"/>
      <c r="I114" s="1321"/>
      <c r="M114" s="1288"/>
      <c r="N114" s="1288"/>
      <c r="O114" s="1288"/>
    </row>
    <row r="115" spans="2:15" x14ac:dyDescent="0.5">
      <c r="B115" s="1278"/>
      <c r="C115" s="1283">
        <v>2009</v>
      </c>
      <c r="D115" s="1284">
        <v>0.2646</v>
      </c>
      <c r="E115" s="1284">
        <v>3.4700000000000002E-2</v>
      </c>
      <c r="F115" s="1281"/>
      <c r="G115" s="1284">
        <f t="shared" si="1"/>
        <v>0.22989999999999999</v>
      </c>
      <c r="H115" s="1299"/>
      <c r="I115" s="1321"/>
      <c r="M115" s="1288"/>
      <c r="N115" s="1288"/>
      <c r="O115" s="1288"/>
    </row>
    <row r="116" spans="2:15" x14ac:dyDescent="0.5">
      <c r="B116" s="1278"/>
      <c r="C116" s="1283">
        <v>2010</v>
      </c>
      <c r="D116" s="1291">
        <v>0.15060000000000001</v>
      </c>
      <c r="E116" s="1291">
        <v>4.2500000000000003E-2</v>
      </c>
      <c r="F116" s="1281"/>
      <c r="G116" s="1291">
        <f t="shared" si="1"/>
        <v>0.1081</v>
      </c>
      <c r="H116" s="1299"/>
      <c r="I116" s="1321"/>
      <c r="M116" s="1288"/>
      <c r="N116" s="1288"/>
      <c r="O116" s="1288"/>
    </row>
    <row r="117" spans="2:15" x14ac:dyDescent="0.5">
      <c r="B117" s="1278"/>
      <c r="C117" s="1279">
        <v>2011</v>
      </c>
      <c r="D117" s="1280">
        <v>2.1100000000000001E-2</v>
      </c>
      <c r="E117" s="1280">
        <v>3.8199999999999998E-2</v>
      </c>
      <c r="F117" s="1281"/>
      <c r="G117" s="1280">
        <f t="shared" si="1"/>
        <v>-1.7099999999999997E-2</v>
      </c>
      <c r="H117" s="1299"/>
      <c r="I117" s="1321"/>
      <c r="M117" s="1297"/>
      <c r="N117" s="1288"/>
      <c r="O117" s="1288"/>
    </row>
    <row r="118" spans="2:15" x14ac:dyDescent="0.5">
      <c r="B118" s="1278"/>
      <c r="C118" s="1283">
        <v>2012</v>
      </c>
      <c r="D118" s="1284">
        <v>0.16</v>
      </c>
      <c r="E118" s="1284">
        <v>2.47E-2</v>
      </c>
      <c r="F118" s="1281"/>
      <c r="G118" s="1284">
        <f t="shared" si="1"/>
        <v>0.1353</v>
      </c>
      <c r="H118" s="1299"/>
      <c r="I118" s="1321"/>
      <c r="M118" s="1288"/>
      <c r="N118" s="1288"/>
      <c r="O118" s="1288"/>
    </row>
    <row r="119" spans="2:15" x14ac:dyDescent="0.5">
      <c r="B119" s="1278"/>
      <c r="C119" s="1322">
        <v>2013</v>
      </c>
      <c r="D119" s="1284">
        <v>0.32390000000000002</v>
      </c>
      <c r="E119" s="1284">
        <v>2.9000000000000001E-2</v>
      </c>
      <c r="F119" s="1281"/>
      <c r="G119" s="1284">
        <f t="shared" si="1"/>
        <v>0.2949</v>
      </c>
      <c r="H119" s="1299"/>
      <c r="I119" s="1321"/>
      <c r="M119" s="1288"/>
      <c r="N119" s="1288"/>
      <c r="O119" s="1288"/>
    </row>
    <row r="120" spans="2:15" x14ac:dyDescent="0.5">
      <c r="B120" s="1278"/>
      <c r="C120" s="1322">
        <v>2014</v>
      </c>
      <c r="D120" s="1284">
        <v>0.13689999999999999</v>
      </c>
      <c r="E120" s="1284">
        <v>3.4099999999999998E-2</v>
      </c>
      <c r="F120" s="1281"/>
      <c r="G120" s="1284">
        <f t="shared" si="1"/>
        <v>0.1028</v>
      </c>
      <c r="H120" s="1299"/>
      <c r="I120" s="1321"/>
      <c r="M120" s="1288"/>
      <c r="N120" s="1288"/>
      <c r="O120" s="1288"/>
    </row>
    <row r="121" spans="2:15" x14ac:dyDescent="0.5">
      <c r="B121" s="1278"/>
      <c r="C121" s="1323">
        <v>2015</v>
      </c>
      <c r="D121" s="1291">
        <v>1.38E-2</v>
      </c>
      <c r="E121" s="1291">
        <v>2.47E-2</v>
      </c>
      <c r="F121" s="1281"/>
      <c r="G121" s="1291">
        <f t="shared" si="1"/>
        <v>-1.09E-2</v>
      </c>
      <c r="H121" s="1324"/>
      <c r="I121" s="1321"/>
      <c r="M121" s="1288"/>
      <c r="N121" s="1288"/>
      <c r="O121" s="1288"/>
    </row>
    <row r="122" spans="2:15" x14ac:dyDescent="0.5">
      <c r="B122" s="1278"/>
      <c r="C122" s="1279">
        <v>2016</v>
      </c>
      <c r="D122" s="1280">
        <v>0.1196</v>
      </c>
      <c r="E122" s="1280">
        <v>2.3E-2</v>
      </c>
      <c r="F122" s="1281"/>
      <c r="G122" s="1280">
        <f t="shared" si="1"/>
        <v>9.6599999999999991E-2</v>
      </c>
      <c r="H122" s="1324"/>
      <c r="I122" s="1321"/>
      <c r="M122" s="1288"/>
      <c r="N122" s="1288"/>
      <c r="O122" s="1288"/>
    </row>
    <row r="123" spans="2:15" x14ac:dyDescent="0.5">
      <c r="B123" s="1278"/>
      <c r="C123" s="1322">
        <v>2017</v>
      </c>
      <c r="D123" s="1284">
        <v>0.21829999999999999</v>
      </c>
      <c r="E123" s="1284">
        <v>2.6700000000000002E-2</v>
      </c>
      <c r="F123" s="1281"/>
      <c r="G123" s="1284">
        <f t="shared" si="1"/>
        <v>0.19159999999999999</v>
      </c>
      <c r="H123" s="1324"/>
      <c r="I123" s="1321"/>
      <c r="M123" s="1288"/>
      <c r="N123" s="1288"/>
      <c r="O123" s="1288"/>
    </row>
    <row r="124" spans="2:15" x14ac:dyDescent="0.5">
      <c r="B124" s="1278"/>
      <c r="C124" s="1322">
        <v>2018</v>
      </c>
      <c r="D124" s="1284">
        <v>-4.3799999999999999E-2</v>
      </c>
      <c r="E124" s="1284">
        <v>2.8199999999999999E-2</v>
      </c>
      <c r="F124" s="1281"/>
      <c r="G124" s="1284">
        <f t="shared" si="1"/>
        <v>-7.1999999999999995E-2</v>
      </c>
      <c r="H124" s="1324"/>
      <c r="I124" s="1321"/>
      <c r="M124" s="1288"/>
      <c r="N124" s="1288"/>
      <c r="O124" s="1288"/>
    </row>
    <row r="125" spans="2:15" x14ac:dyDescent="0.5">
      <c r="B125" s="1278"/>
      <c r="C125" s="1322">
        <v>2019</v>
      </c>
      <c r="D125" s="1284">
        <v>0.31490000000000001</v>
      </c>
      <c r="E125" s="1284">
        <v>2.5499999999999998E-2</v>
      </c>
      <c r="F125" s="1281"/>
      <c r="G125" s="1284">
        <f t="shared" si="1"/>
        <v>0.28939999999999999</v>
      </c>
      <c r="H125" s="1324"/>
      <c r="I125" s="1321"/>
      <c r="M125" s="1288"/>
      <c r="N125" s="1288"/>
      <c r="O125" s="1288"/>
    </row>
    <row r="126" spans="2:15" x14ac:dyDescent="0.5">
      <c r="B126" s="1278"/>
      <c r="C126" s="1323">
        <v>2020</v>
      </c>
      <c r="D126" s="1291">
        <v>0.184</v>
      </c>
      <c r="E126" s="1291">
        <v>1.5299999999999999E-2</v>
      </c>
      <c r="F126" s="1281"/>
      <c r="G126" s="1291">
        <f t="shared" si="1"/>
        <v>0.16869999999999999</v>
      </c>
      <c r="H126" s="1324"/>
      <c r="I126" s="1321"/>
      <c r="M126" s="1288"/>
      <c r="N126" s="1288"/>
      <c r="O126" s="1288"/>
    </row>
    <row r="127" spans="2:15" x14ac:dyDescent="0.5">
      <c r="B127" s="1278"/>
      <c r="C127" s="1279">
        <v>2021</v>
      </c>
      <c r="D127" s="1280">
        <v>0.28710000000000002</v>
      </c>
      <c r="E127" s="1280">
        <v>1.7299999999999999E-2</v>
      </c>
      <c r="F127" s="1281"/>
      <c r="G127" s="1280">
        <f t="shared" si="1"/>
        <v>0.26980000000000004</v>
      </c>
      <c r="H127" s="1324"/>
      <c r="I127" s="1321"/>
      <c r="M127" s="1288"/>
      <c r="N127" s="1288"/>
      <c r="O127" s="1288"/>
    </row>
    <row r="128" spans="2:15" x14ac:dyDescent="0.5">
      <c r="B128" s="1278"/>
      <c r="C128" s="1322">
        <v>2022</v>
      </c>
      <c r="D128" s="1284">
        <v>-0.18110000000000001</v>
      </c>
      <c r="E128" s="1284">
        <v>2.6100000000000002E-2</v>
      </c>
      <c r="F128" s="1281"/>
      <c r="G128" s="1284">
        <f t="shared" si="1"/>
        <v>-0.20720000000000002</v>
      </c>
      <c r="H128" s="1324"/>
      <c r="I128" s="1321"/>
      <c r="M128" s="1288"/>
      <c r="N128" s="1288"/>
      <c r="O128" s="1288"/>
    </row>
    <row r="129" spans="2:22" x14ac:dyDescent="0.5">
      <c r="B129" s="1278"/>
      <c r="C129" s="1322">
        <v>2023</v>
      </c>
      <c r="D129" s="1325">
        <v>0.2661</v>
      </c>
      <c r="E129" s="1325">
        <v>4.1700000000000001E-2</v>
      </c>
      <c r="F129" s="1326"/>
      <c r="G129" s="1325">
        <f t="shared" si="1"/>
        <v>0.22439999999999999</v>
      </c>
      <c r="H129" s="1324"/>
      <c r="I129" s="1321"/>
      <c r="M129" s="1288"/>
      <c r="N129" s="1288"/>
      <c r="O129" s="1288"/>
    </row>
    <row r="130" spans="2:22" x14ac:dyDescent="0.5">
      <c r="B130" s="1278"/>
      <c r="C130" s="1323">
        <v>2024</v>
      </c>
      <c r="D130" s="1291">
        <f>E142</f>
        <v>0.25019679835938424</v>
      </c>
      <c r="E130" s="1291">
        <f>AVERAGE(E148:E159)/100</f>
        <v>4.4058333333333338E-2</v>
      </c>
      <c r="F130" s="1281"/>
      <c r="G130" s="1291">
        <f t="shared" si="1"/>
        <v>0.2061384650260509</v>
      </c>
      <c r="H130" s="1324"/>
      <c r="I130" s="1321"/>
      <c r="M130" s="1288"/>
      <c r="N130" s="1288"/>
      <c r="O130" s="1288"/>
    </row>
    <row r="131" spans="2:22" x14ac:dyDescent="0.5">
      <c r="B131" s="1278"/>
      <c r="C131" s="1322" t="s">
        <v>1082</v>
      </c>
      <c r="D131" s="1284">
        <f>AVERAGE(D32:D130)</f>
        <v>0.12294845250868067</v>
      </c>
      <c r="E131" s="1284">
        <f>AVERAGE(E32:E130)</f>
        <v>4.8388468013467988E-2</v>
      </c>
      <c r="F131" s="1281"/>
      <c r="G131" s="1284">
        <f>AVERAGE(G32:G130)</f>
        <v>7.4559984495212631E-2</v>
      </c>
      <c r="H131" s="1324"/>
      <c r="I131" s="1321"/>
      <c r="N131" s="1288"/>
      <c r="O131" s="1288"/>
      <c r="T131" s="1281"/>
      <c r="U131" s="1281"/>
      <c r="V131" s="1281"/>
    </row>
    <row r="132" spans="2:22" x14ac:dyDescent="0.5">
      <c r="B132" s="1278"/>
      <c r="C132" s="1322" t="s">
        <v>6673</v>
      </c>
      <c r="D132" s="1284">
        <f>STDEV(D32:D130)</f>
        <v>0.19670402018176888</v>
      </c>
      <c r="E132" s="1284">
        <f>STDEV(E32:E130)</f>
        <v>2.6103678078424914E-2</v>
      </c>
      <c r="F132" s="1281"/>
      <c r="G132" s="1284">
        <f>STDEV(G32:G130)</f>
        <v>0.19790373714538095</v>
      </c>
      <c r="H132" s="1299"/>
      <c r="I132" s="1321"/>
      <c r="N132" s="1288"/>
      <c r="O132" s="1288"/>
    </row>
    <row r="133" spans="2:22" x14ac:dyDescent="0.5">
      <c r="C133" s="1299"/>
      <c r="D133" s="1299"/>
      <c r="E133" s="1299"/>
      <c r="F133" s="1299"/>
      <c r="G133" s="1299"/>
      <c r="H133" s="1299"/>
      <c r="I133" s="1321"/>
      <c r="N133" s="1288"/>
      <c r="O133" s="1288"/>
    </row>
    <row r="134" spans="2:22" x14ac:dyDescent="0.5">
      <c r="C134" s="1327" t="s">
        <v>6674</v>
      </c>
      <c r="D134" s="1299"/>
      <c r="E134" s="1299"/>
      <c r="F134" s="1299"/>
      <c r="G134" s="1299"/>
      <c r="H134" s="1299"/>
      <c r="I134" s="1321"/>
      <c r="N134" s="1288"/>
      <c r="O134" s="1288"/>
    </row>
    <row r="135" spans="2:22" x14ac:dyDescent="0.5">
      <c r="C135" s="1299"/>
      <c r="D135" s="1299"/>
      <c r="E135" s="1299"/>
      <c r="F135" s="1299"/>
      <c r="G135" s="1299"/>
      <c r="H135" s="1299"/>
      <c r="I135" s="1321"/>
      <c r="N135" s="1288"/>
      <c r="O135" s="1288"/>
    </row>
    <row r="136" spans="2:22" x14ac:dyDescent="0.5">
      <c r="C136" s="1299"/>
      <c r="D136" s="1299"/>
      <c r="E136" s="1299"/>
      <c r="F136" s="1299"/>
      <c r="G136" s="1299"/>
      <c r="H136" s="1299"/>
      <c r="I136" s="1321"/>
      <c r="O136" s="1288"/>
    </row>
    <row r="137" spans="2:22" x14ac:dyDescent="0.5">
      <c r="C137" s="1299"/>
      <c r="D137" s="1299"/>
      <c r="E137" s="1299"/>
      <c r="F137" s="1299"/>
      <c r="G137" s="1299"/>
      <c r="H137" s="1299"/>
      <c r="I137" s="1321"/>
      <c r="O137" s="1288"/>
    </row>
    <row r="138" spans="2:22" ht="15.6" x14ac:dyDescent="0.6">
      <c r="C138" s="184" t="s">
        <v>6675</v>
      </c>
      <c r="D138" s="1328">
        <v>45289</v>
      </c>
      <c r="E138" s="184">
        <v>10327.83</v>
      </c>
      <c r="F138" s="1299"/>
      <c r="G138" s="1299"/>
      <c r="H138" s="1299"/>
      <c r="I138" s="1321"/>
    </row>
    <row r="139" spans="2:22" ht="15.6" x14ac:dyDescent="0.6">
      <c r="C139" s="1299"/>
      <c r="D139" s="1328">
        <v>45657</v>
      </c>
      <c r="E139" s="184">
        <v>12911.82</v>
      </c>
      <c r="F139" s="1299"/>
      <c r="G139" s="1299"/>
      <c r="H139" s="1299"/>
      <c r="I139" s="1321"/>
    </row>
    <row r="140" spans="2:22" x14ac:dyDescent="0.5">
      <c r="C140" s="1299"/>
      <c r="D140" s="1299"/>
      <c r="E140" s="1299"/>
      <c r="F140" s="1299"/>
      <c r="G140" s="1299"/>
      <c r="H140" s="1299"/>
      <c r="I140" s="1321"/>
    </row>
    <row r="141" spans="2:22" x14ac:dyDescent="0.5">
      <c r="I141" s="1321"/>
    </row>
    <row r="142" spans="2:22" x14ac:dyDescent="0.5">
      <c r="E142" s="1029">
        <f>E139/E138-1</f>
        <v>0.25019679835938424</v>
      </c>
      <c r="I142" s="1321"/>
    </row>
    <row r="143" spans="2:22" x14ac:dyDescent="0.5">
      <c r="I143" s="1321"/>
    </row>
    <row r="144" spans="2:22" x14ac:dyDescent="0.5">
      <c r="I144" s="1321"/>
    </row>
    <row r="145" spans="4:9" x14ac:dyDescent="0.5">
      <c r="I145" s="1321"/>
    </row>
    <row r="146" spans="4:9" ht="15.6" x14ac:dyDescent="0.6">
      <c r="D146" s="184" t="s">
        <v>6676</v>
      </c>
      <c r="E146" s="184"/>
      <c r="I146" s="1321"/>
    </row>
    <row r="147" spans="4:9" ht="15.6" x14ac:dyDescent="0.6">
      <c r="D147" s="184" t="s">
        <v>120</v>
      </c>
      <c r="E147" s="184" t="s">
        <v>119</v>
      </c>
      <c r="I147" s="1321"/>
    </row>
    <row r="148" spans="4:9" ht="15.6" x14ac:dyDescent="0.6">
      <c r="D148" s="1328">
        <v>45657</v>
      </c>
      <c r="E148" s="184">
        <v>4.58</v>
      </c>
      <c r="I148" s="1321"/>
    </row>
    <row r="149" spans="4:9" ht="15.6" x14ac:dyDescent="0.6">
      <c r="D149" s="1328">
        <v>45626</v>
      </c>
      <c r="E149" s="184">
        <v>4.54</v>
      </c>
      <c r="I149" s="1321"/>
    </row>
    <row r="150" spans="4:9" ht="15.6" x14ac:dyDescent="0.6">
      <c r="D150" s="1328">
        <v>45596</v>
      </c>
      <c r="E150" s="184">
        <v>4.38</v>
      </c>
      <c r="I150" s="1321"/>
    </row>
    <row r="151" spans="4:9" ht="15.6" x14ac:dyDescent="0.6">
      <c r="D151" s="1328">
        <v>45565</v>
      </c>
      <c r="E151" s="184">
        <v>4.04</v>
      </c>
      <c r="I151" s="1321"/>
    </row>
    <row r="152" spans="4:9" ht="15.6" x14ac:dyDescent="0.6">
      <c r="D152" s="1328">
        <v>45535</v>
      </c>
      <c r="E152" s="184">
        <v>4.1500000000000004</v>
      </c>
      <c r="I152" s="1321"/>
    </row>
    <row r="153" spans="4:9" ht="15.6" x14ac:dyDescent="0.6">
      <c r="D153" s="1328">
        <v>45504</v>
      </c>
      <c r="E153" s="184">
        <v>4.46</v>
      </c>
      <c r="I153" s="1321"/>
    </row>
    <row r="154" spans="4:9" ht="15.6" x14ac:dyDescent="0.6">
      <c r="D154" s="1328">
        <v>45473</v>
      </c>
      <c r="E154" s="184">
        <v>4.4400000000000004</v>
      </c>
      <c r="I154" s="1321"/>
    </row>
    <row r="155" spans="4:9" ht="15.6" x14ac:dyDescent="0.6">
      <c r="D155" s="1328">
        <v>45443</v>
      </c>
      <c r="E155" s="184">
        <v>4.62</v>
      </c>
      <c r="I155" s="1321"/>
    </row>
    <row r="156" spans="4:9" ht="15.6" x14ac:dyDescent="0.6">
      <c r="D156" s="1328">
        <v>45412</v>
      </c>
      <c r="E156" s="184">
        <v>4.66</v>
      </c>
      <c r="I156" s="1321"/>
    </row>
    <row r="157" spans="4:9" ht="15.6" x14ac:dyDescent="0.6">
      <c r="D157" s="1328">
        <v>45382</v>
      </c>
      <c r="E157" s="184">
        <v>4.3600000000000003</v>
      </c>
      <c r="I157" s="1321"/>
    </row>
    <row r="158" spans="4:9" ht="15.6" x14ac:dyDescent="0.6">
      <c r="D158" s="1328">
        <v>45351</v>
      </c>
      <c r="E158" s="184">
        <v>4.38</v>
      </c>
      <c r="I158" s="1321"/>
    </row>
    <row r="159" spans="4:9" ht="15.6" x14ac:dyDescent="0.6">
      <c r="D159" s="1328">
        <v>45322</v>
      </c>
      <c r="E159" s="184">
        <v>4.26</v>
      </c>
      <c r="I159" s="1321"/>
    </row>
    <row r="160" spans="4:9" x14ac:dyDescent="0.5">
      <c r="I160" s="1321"/>
    </row>
    <row r="161" spans="9:9" x14ac:dyDescent="0.5">
      <c r="I161" s="1321"/>
    </row>
    <row r="162" spans="9:9" x14ac:dyDescent="0.5">
      <c r="I162" s="1321"/>
    </row>
    <row r="163" spans="9:9" x14ac:dyDescent="0.5">
      <c r="I163" s="1321"/>
    </row>
    <row r="164" spans="9:9" x14ac:dyDescent="0.5">
      <c r="I164" s="1321"/>
    </row>
    <row r="165" spans="9:9" x14ac:dyDescent="0.5">
      <c r="I165" s="1321"/>
    </row>
    <row r="166" spans="9:9" x14ac:dyDescent="0.5">
      <c r="I166" s="1321"/>
    </row>
    <row r="167" spans="9:9" x14ac:dyDescent="0.5">
      <c r="I167" s="1321"/>
    </row>
    <row r="168" spans="9:9" x14ac:dyDescent="0.5">
      <c r="I168" s="1321"/>
    </row>
    <row r="169" spans="9:9" x14ac:dyDescent="0.5">
      <c r="I169" s="1321"/>
    </row>
    <row r="170" spans="9:9" x14ac:dyDescent="0.5">
      <c r="I170" s="1321"/>
    </row>
    <row r="171" spans="9:9" x14ac:dyDescent="0.5">
      <c r="I171" s="1321"/>
    </row>
    <row r="172" spans="9:9" x14ac:dyDescent="0.5">
      <c r="I172" s="1321"/>
    </row>
    <row r="173" spans="9:9" x14ac:dyDescent="0.5">
      <c r="I173" s="1321"/>
    </row>
    <row r="174" spans="9:9" x14ac:dyDescent="0.5">
      <c r="I174" s="1321"/>
    </row>
    <row r="175" spans="9:9" x14ac:dyDescent="0.5">
      <c r="I175" s="1321"/>
    </row>
    <row r="176" spans="9:9" x14ac:dyDescent="0.5">
      <c r="I176" s="1321"/>
    </row>
    <row r="177" spans="9:10" x14ac:dyDescent="0.5">
      <c r="I177" s="1321"/>
      <c r="J177" s="1329"/>
    </row>
    <row r="179" spans="9:10" x14ac:dyDescent="0.5">
      <c r="I179" s="1315"/>
      <c r="J179" s="1330"/>
    </row>
    <row r="180" spans="9:10" x14ac:dyDescent="0.5">
      <c r="I180" s="1321"/>
      <c r="J180" s="1330"/>
    </row>
  </sheetData>
  <mergeCells count="3">
    <mergeCell ref="I32:K32"/>
    <mergeCell ref="B1:G1"/>
    <mergeCell ref="B2:G2"/>
  </mergeCells>
  <printOptions horizontalCentered="1"/>
  <pageMargins left="0.7" right="0.7" top="0.5" bottom="0.5" header="0.3" footer="0.3"/>
  <pageSetup orientation="portrait" useFirstPageNumber="1" r:id="rId1"/>
  <headerFooter scaleWithDoc="0"/>
  <rowBreaks count="1" manualBreakCount="1">
    <brk id="9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37"/>
  <sheetViews>
    <sheetView view="pageBreakPreview" zoomScale="80" zoomScaleNormal="100" zoomScaleSheetLayoutView="80" workbookViewId="0"/>
  </sheetViews>
  <sheetFormatPr defaultColWidth="8.5234375" defaultRowHeight="15" x14ac:dyDescent="0.5"/>
  <cols>
    <col min="1" max="1" width="8.5234375" style="139"/>
    <col min="2" max="2" width="42.26171875" style="139" bestFit="1" customWidth="1"/>
    <col min="3" max="3" width="3" style="139" customWidth="1"/>
    <col min="4" max="4" width="9.734375" style="139" customWidth="1"/>
    <col min="5" max="5" width="5" style="139" customWidth="1"/>
    <col min="6" max="6" width="2.5234375" style="139" customWidth="1"/>
    <col min="7" max="7" width="9.734375" style="139" customWidth="1"/>
    <col min="8" max="8" width="3.5234375" style="139" customWidth="1"/>
    <col min="9" max="9" width="2.5234375" style="139" customWidth="1"/>
    <col min="10" max="10" width="9.7890625" style="139" bestFit="1" customWidth="1"/>
    <col min="11" max="11" width="3.5234375" style="139" customWidth="1"/>
    <col min="12" max="12" width="2.5234375" style="139" customWidth="1"/>
    <col min="13" max="13" width="11.734375" style="139" customWidth="1"/>
    <col min="14" max="14" width="2.5234375" style="139" customWidth="1"/>
    <col min="15" max="15" width="3.734375" style="139" customWidth="1"/>
    <col min="16" max="16" width="9.7890625" style="139" bestFit="1" customWidth="1"/>
    <col min="17" max="17" width="3.5234375" style="139" customWidth="1"/>
    <col min="18" max="18" width="2.5234375" style="139" customWidth="1"/>
    <col min="19" max="19" width="9.734375" style="139" customWidth="1"/>
    <col min="20" max="20" width="3.5234375" style="139" customWidth="1"/>
    <col min="21" max="21" width="2.5234375" style="139" customWidth="1"/>
    <col min="22" max="22" width="10" style="139" bestFit="1" customWidth="1"/>
    <col min="23" max="23" width="4.734375" style="139" customWidth="1"/>
    <col min="24" max="24" width="11.26171875" style="139" bestFit="1" customWidth="1"/>
    <col min="25" max="25" width="22.734375" style="139" bestFit="1" customWidth="1"/>
    <col min="26" max="26" width="10" style="139" bestFit="1" customWidth="1"/>
    <col min="27" max="16384" width="8.5234375" style="139"/>
  </cols>
  <sheetData>
    <row r="1" spans="1:26" x14ac:dyDescent="0.5">
      <c r="B1" s="579" t="str">
        <f>Input!G28</f>
        <v>Atmos Energy Corporation</v>
      </c>
      <c r="C1" s="177"/>
      <c r="D1" s="177"/>
      <c r="E1" s="177"/>
      <c r="F1" s="177"/>
      <c r="G1" s="177"/>
      <c r="H1" s="177"/>
      <c r="I1" s="177"/>
      <c r="J1" s="177"/>
      <c r="K1" s="177"/>
      <c r="L1" s="177"/>
      <c r="M1" s="177"/>
      <c r="N1" s="177"/>
      <c r="O1" s="177"/>
      <c r="P1" s="177"/>
      <c r="Q1" s="177"/>
      <c r="R1" s="177"/>
      <c r="S1" s="177"/>
      <c r="T1" s="177"/>
      <c r="U1" s="177"/>
      <c r="V1" s="177"/>
      <c r="W1" s="177"/>
    </row>
    <row r="2" spans="1:26" x14ac:dyDescent="0.5">
      <c r="B2" s="177" t="s">
        <v>1162</v>
      </c>
      <c r="C2" s="177"/>
      <c r="D2" s="177"/>
      <c r="E2" s="177"/>
      <c r="F2" s="177"/>
      <c r="G2" s="177"/>
      <c r="H2" s="177"/>
      <c r="I2" s="177"/>
      <c r="J2" s="177"/>
      <c r="K2" s="177"/>
      <c r="L2" s="177"/>
      <c r="M2" s="177"/>
      <c r="N2" s="177"/>
      <c r="O2" s="177"/>
      <c r="P2" s="177"/>
      <c r="Q2" s="177"/>
      <c r="R2" s="177"/>
      <c r="S2" s="177"/>
      <c r="T2" s="177"/>
      <c r="U2" s="177"/>
      <c r="V2" s="177"/>
      <c r="W2" s="177"/>
    </row>
    <row r="3" spans="1:26" x14ac:dyDescent="0.5">
      <c r="B3" s="1390" t="str">
        <f>Input!I32</f>
        <v>Proxy Group of Seven Natural Gas Companies</v>
      </c>
      <c r="C3" s="1390"/>
      <c r="D3" s="1390"/>
      <c r="E3" s="1390"/>
      <c r="F3" s="1390"/>
      <c r="G3" s="1390"/>
      <c r="H3" s="1390"/>
      <c r="I3" s="1390"/>
      <c r="J3" s="1390"/>
      <c r="K3" s="1390"/>
      <c r="L3" s="1390"/>
      <c r="M3" s="1390"/>
      <c r="N3" s="1390"/>
      <c r="O3" s="1390"/>
      <c r="P3" s="1390"/>
      <c r="Q3" s="1390"/>
      <c r="R3" s="1390"/>
      <c r="S3" s="1390"/>
      <c r="T3" s="1390"/>
      <c r="U3" s="1390"/>
      <c r="V3" s="1390"/>
      <c r="W3" s="1390"/>
    </row>
    <row r="6" spans="1:26" x14ac:dyDescent="0.5">
      <c r="D6" s="584" t="s">
        <v>1163</v>
      </c>
      <c r="E6" s="177"/>
      <c r="G6" s="584" t="s">
        <v>1164</v>
      </c>
      <c r="H6" s="177"/>
      <c r="J6" s="584" t="s">
        <v>1165</v>
      </c>
      <c r="K6" s="177"/>
      <c r="M6" s="584" t="s">
        <v>1166</v>
      </c>
      <c r="N6" s="584"/>
      <c r="P6" s="584" t="s">
        <v>1167</v>
      </c>
      <c r="Q6" s="177"/>
      <c r="S6" s="584" t="s">
        <v>1168</v>
      </c>
      <c r="T6" s="177"/>
      <c r="V6" s="584" t="s">
        <v>1169</v>
      </c>
    </row>
    <row r="7" spans="1:26" ht="10.5" customHeight="1" x14ac:dyDescent="0.5">
      <c r="D7" s="584"/>
      <c r="E7" s="177"/>
      <c r="G7" s="584"/>
      <c r="H7" s="177"/>
      <c r="J7" s="584"/>
      <c r="K7" s="177"/>
      <c r="M7" s="584"/>
      <c r="N7" s="584"/>
      <c r="P7" s="584"/>
      <c r="Q7" s="177"/>
      <c r="S7" s="584"/>
      <c r="T7" s="177"/>
      <c r="V7" s="584"/>
    </row>
    <row r="8" spans="1:26" ht="195" x14ac:dyDescent="0.5">
      <c r="B8" s="585" t="str">
        <f>Input!I32</f>
        <v>Proxy Group of Seven Natural Gas Companies</v>
      </c>
      <c r="D8" s="586" t="s">
        <v>1171</v>
      </c>
      <c r="E8" s="587"/>
      <c r="G8" s="586" t="s">
        <v>1172</v>
      </c>
      <c r="H8" s="587"/>
      <c r="J8" s="586" t="s">
        <v>1173</v>
      </c>
      <c r="K8" s="587"/>
      <c r="M8" s="1391" t="s">
        <v>1350</v>
      </c>
      <c r="N8" s="1391"/>
      <c r="P8" s="586" t="s">
        <v>1174</v>
      </c>
      <c r="Q8" s="587"/>
      <c r="S8" s="586" t="s">
        <v>1175</v>
      </c>
      <c r="T8" s="587"/>
      <c r="V8" s="586" t="s">
        <v>1176</v>
      </c>
      <c r="W8" s="587"/>
    </row>
    <row r="9" spans="1:26" x14ac:dyDescent="0.5">
      <c r="D9" s="588"/>
      <c r="E9" s="177"/>
      <c r="G9" s="588"/>
      <c r="H9" s="177"/>
      <c r="J9" s="588"/>
      <c r="K9" s="177"/>
      <c r="M9" s="589"/>
      <c r="N9" s="589"/>
      <c r="P9" s="588"/>
      <c r="Q9" s="177"/>
      <c r="S9" s="588"/>
      <c r="T9" s="177"/>
      <c r="V9" s="588"/>
      <c r="W9" s="177"/>
      <c r="Y9" s="178" t="s">
        <v>1082</v>
      </c>
      <c r="Z9" s="179">
        <f>AVERAGE(V10:V16)</f>
        <v>10.297858142857143</v>
      </c>
    </row>
    <row r="10" spans="1:26" x14ac:dyDescent="0.5">
      <c r="A10" s="139" t="str">
        <f>Input!A2</f>
        <v>ATO</v>
      </c>
      <c r="B10" s="139" t="str">
        <f>VLOOKUP(A10,'Proxy Data Lookup'!A:P,2,FALSE)</f>
        <v>Atmos Energy Corporation</v>
      </c>
      <c r="D10" s="590">
        <f>IFERROR(HLOOKUP(A10,'Proxy Prices'!$B$4:$H$71,68,FALSE)*100,"NA")</f>
        <v>2.44</v>
      </c>
      <c r="E10" s="591" t="s">
        <v>1090</v>
      </c>
      <c r="G10" s="592">
        <f>IFERROR(VLOOKUP(A10,'Proxy Data Lookup'!A:P,4,FALSE)*100,"NA")</f>
        <v>7.0000000000000009</v>
      </c>
      <c r="H10" s="591" t="s">
        <v>1090</v>
      </c>
      <c r="J10" s="593">
        <f>IFERROR(VLOOKUP(A10,'Proxy Data Lookup'!A:P,3,FALSE)*100,"NA")</f>
        <v>7.1</v>
      </c>
      <c r="K10" s="591" t="s">
        <v>1090</v>
      </c>
      <c r="M10" s="594">
        <f>IFERROR(VLOOKUP(A10,'Proxy Data Lookup'!A:P,5,FALSE)*100,"NA")</f>
        <v>7.7141999999999999</v>
      </c>
      <c r="N10" s="591" t="s">
        <v>1090</v>
      </c>
      <c r="P10" s="595">
        <f t="shared" ref="P10:P16" si="0">IFERROR(ROUND(AVERAGEIF(G10:M10,"&gt;0"),2),"NA")</f>
        <v>7.27</v>
      </c>
      <c r="Q10" s="591" t="s">
        <v>1090</v>
      </c>
      <c r="S10" s="581">
        <f t="shared" ref="S10:S16" si="1">IFERROR(D10*(1+(0.5*(P10/100))),"NA")</f>
        <v>2.5286940000000002</v>
      </c>
      <c r="T10" s="591" t="s">
        <v>1090</v>
      </c>
      <c r="V10" s="583">
        <f>IFERROR(S10 + P10,"NA")</f>
        <v>9.7986939999999993</v>
      </c>
      <c r="W10" s="596" t="str">
        <f>IF(OR(V10&gt;$Z$11, V10&lt;$Z$12), "(6)","%")</f>
        <v>%</v>
      </c>
      <c r="Y10" s="23" t="s">
        <v>1177</v>
      </c>
      <c r="Z10" s="24">
        <f>2*(_xlfn.STDEV.P(V10:V16))</f>
        <v>3.099693909740985</v>
      </c>
    </row>
    <row r="11" spans="1:26" x14ac:dyDescent="0.5">
      <c r="A11" s="139" t="str">
        <f>Input!A3</f>
        <v>NJR</v>
      </c>
      <c r="B11" s="139" t="str">
        <f>VLOOKUP(A11,'Proxy Data Lookup'!A:P,2,FALSE)</f>
        <v>New Jersey Resources Corporation</v>
      </c>
      <c r="D11" s="590">
        <f>IFERROR(HLOOKUP(A11,'Proxy Prices'!$B$4:$H$71,68,FALSE)*100,"NA")</f>
        <v>3.7800000000000002</v>
      </c>
      <c r="E11" s="177"/>
      <c r="G11" s="592">
        <f>IFERROR(VLOOKUP(A11,'Proxy Data Lookup'!A:P,4,FALSE)*100,"NA")</f>
        <v>5</v>
      </c>
      <c r="H11" s="177"/>
      <c r="J11" s="593" t="str">
        <f>IFERROR(VLOOKUP(A11,'Proxy Data Lookup'!A:P,3,FALSE)*100,"NA")</f>
        <v>NA</v>
      </c>
      <c r="K11" s="177"/>
      <c r="M11" s="596">
        <f>IFERROR(VLOOKUP(A11,'Proxy Data Lookup'!A:P,5,FALSE)*100,"NA")</f>
        <v>5.9</v>
      </c>
      <c r="N11" s="584"/>
      <c r="P11" s="595">
        <f t="shared" si="0"/>
        <v>5.45</v>
      </c>
      <c r="Q11" s="177"/>
      <c r="S11" s="581">
        <f t="shared" si="1"/>
        <v>3.8830050000000003</v>
      </c>
      <c r="T11" s="177"/>
      <c r="V11" s="583">
        <f t="shared" ref="V11:V16" si="2">IFERROR(S11 + P11,"NA")</f>
        <v>9.333005</v>
      </c>
      <c r="W11" s="214" t="str">
        <f>IF(OR(V11&gt;$Z$11, V11&lt;$Z$12), "(6)","")</f>
        <v/>
      </c>
      <c r="Y11" s="23" t="s">
        <v>1178</v>
      </c>
      <c r="Z11" s="25">
        <f>Z9+Z10</f>
        <v>13.397552052598128</v>
      </c>
    </row>
    <row r="12" spans="1:26" x14ac:dyDescent="0.5">
      <c r="A12" s="139" t="str">
        <f>Input!A4</f>
        <v>NI</v>
      </c>
      <c r="B12" s="139" t="str">
        <f>VLOOKUP(A12,'Proxy Data Lookup'!A:P,2,FALSE)</f>
        <v>NiSource Inc.</v>
      </c>
      <c r="D12" s="590">
        <f>IFERROR(HLOOKUP(A12,'Proxy Prices'!$B$4:$H$71,68,FALSE)*100,"NA")</f>
        <v>3.05</v>
      </c>
      <c r="E12" s="177"/>
      <c r="G12" s="592">
        <f>IFERROR(VLOOKUP(A12,'Proxy Data Lookup'!A:P,4,FALSE)*100,"NA")</f>
        <v>9.5</v>
      </c>
      <c r="H12" s="177"/>
      <c r="J12" s="593">
        <f>IFERROR(VLOOKUP(A12,'Proxy Data Lookup'!A:P,3,FALSE)*100,"NA")</f>
        <v>8.1</v>
      </c>
      <c r="K12" s="177"/>
      <c r="M12" s="596">
        <f>IFERROR(VLOOKUP(A12,'Proxy Data Lookup'!A:P,5,FALSE)*100,"NA")</f>
        <v>7.8001899999999997</v>
      </c>
      <c r="N12" s="584"/>
      <c r="P12" s="595">
        <f t="shared" si="0"/>
        <v>8.4700000000000006</v>
      </c>
      <c r="Q12" s="177"/>
      <c r="S12" s="581">
        <f t="shared" si="1"/>
        <v>3.1791675000000001</v>
      </c>
      <c r="T12" s="177"/>
      <c r="V12" s="583">
        <f t="shared" si="2"/>
        <v>11.649167500000001</v>
      </c>
      <c r="W12" s="214" t="str">
        <f t="shared" ref="W12:W16" si="3">IF(OR(V12&gt;$Z$11, V12&lt;$Z$12), "(6)","")</f>
        <v/>
      </c>
      <c r="Y12" s="26" t="s">
        <v>1179</v>
      </c>
      <c r="Z12" s="27">
        <f>Z9-Z10</f>
        <v>7.1981642331161577</v>
      </c>
    </row>
    <row r="13" spans="1:26" x14ac:dyDescent="0.5">
      <c r="A13" s="139" t="str">
        <f>Input!A5</f>
        <v>NWN</v>
      </c>
      <c r="B13" s="139" t="str">
        <f>VLOOKUP(A13,'Proxy Data Lookup'!A:P,2,FALSE)</f>
        <v>Northwest Natural Holding Company</v>
      </c>
      <c r="D13" s="590">
        <f>IFERROR(HLOOKUP(A13,'Proxy Prices'!$B$4:$H$71,68,FALSE)*100,"NA")</f>
        <v>4.8099999999999996</v>
      </c>
      <c r="E13" s="177"/>
      <c r="G13" s="592">
        <f>IFERROR(VLOOKUP(A13,'Proxy Data Lookup'!A:P,4,FALSE)*100,"NA")</f>
        <v>6.5</v>
      </c>
      <c r="H13" s="177"/>
      <c r="J13" s="593" t="str">
        <f>IFERROR(VLOOKUP(A13,'Proxy Data Lookup'!A:P,3,FALSE)*100,"NA")</f>
        <v>NA</v>
      </c>
      <c r="K13" s="177"/>
      <c r="M13" s="596">
        <f>IFERROR(VLOOKUP(A13,'Proxy Data Lookup'!A:P,5,FALSE)*100,"NA")</f>
        <v>5.5</v>
      </c>
      <c r="N13" s="584"/>
      <c r="P13" s="595">
        <f t="shared" si="0"/>
        <v>6</v>
      </c>
      <c r="Q13" s="177"/>
      <c r="S13" s="581">
        <f t="shared" si="1"/>
        <v>4.9542999999999999</v>
      </c>
      <c r="T13" s="177"/>
      <c r="V13" s="583">
        <f t="shared" si="2"/>
        <v>10.9543</v>
      </c>
      <c r="W13" s="214" t="str">
        <f t="shared" si="3"/>
        <v/>
      </c>
    </row>
    <row r="14" spans="1:26" x14ac:dyDescent="0.5">
      <c r="A14" s="139" t="str">
        <f>Input!A6</f>
        <v>OGS</v>
      </c>
      <c r="B14" s="139" t="str">
        <f>VLOOKUP(A14,'Proxy Data Lookup'!A:P,2,FALSE)</f>
        <v>ONE Gas, Inc.</v>
      </c>
      <c r="D14" s="590">
        <f>IFERROR(HLOOKUP(A14,'Proxy Prices'!$B$4:$H$71,68,FALSE)*100,"NA")</f>
        <v>3.7199999999999998</v>
      </c>
      <c r="E14" s="177"/>
      <c r="G14" s="592">
        <f>IFERROR(VLOOKUP(A14,'Proxy Data Lookup'!A:P,4,FALSE)*100,"NA")</f>
        <v>3.5000000000000004</v>
      </c>
      <c r="H14" s="177"/>
      <c r="J14" s="593">
        <f>IFERROR(VLOOKUP(A14,'Proxy Data Lookup'!A:P,3,FALSE)*100,"NA")</f>
        <v>4.7</v>
      </c>
      <c r="K14" s="177"/>
      <c r="M14" s="596">
        <f>IFERROR(VLOOKUP(A14,'Proxy Data Lookup'!A:P,5,FALSE)*100,"NA")</f>
        <v>2.6314899999999999</v>
      </c>
      <c r="N14" s="584"/>
      <c r="P14" s="595">
        <f t="shared" si="0"/>
        <v>3.61</v>
      </c>
      <c r="Q14" s="177"/>
      <c r="S14" s="581">
        <f t="shared" si="1"/>
        <v>3.7871459999999995</v>
      </c>
      <c r="T14" s="177"/>
      <c r="V14" s="583">
        <f t="shared" si="2"/>
        <v>7.3971459999999993</v>
      </c>
      <c r="W14" s="214" t="str">
        <f t="shared" si="3"/>
        <v/>
      </c>
    </row>
    <row r="15" spans="1:26" x14ac:dyDescent="0.5">
      <c r="A15" s="139" t="str">
        <f>Input!A7</f>
        <v>SWX</v>
      </c>
      <c r="B15" s="139" t="str">
        <f>VLOOKUP(A15,'Proxy Data Lookup'!A:P,2,FALSE)</f>
        <v>Southwest Gas Holdings, Inc.</v>
      </c>
      <c r="D15" s="590">
        <f>IFERROR(HLOOKUP(A15,'Proxy Prices'!$B$4:$H$71,68,FALSE)*100,"NA")</f>
        <v>3.37</v>
      </c>
      <c r="E15" s="177"/>
      <c r="G15" s="592">
        <f>IFERROR(VLOOKUP(A15,'Proxy Data Lookup'!A:P,4,FALSE)*100,"NA")</f>
        <v>10</v>
      </c>
      <c r="H15" s="177"/>
      <c r="J15" s="593">
        <f>IFERROR(VLOOKUP(A15,'Proxy Data Lookup'!A:P,3,FALSE)*100,"NA")</f>
        <v>6.5</v>
      </c>
      <c r="K15" s="177"/>
      <c r="M15" s="596">
        <f>IFERROR(VLOOKUP(A15,'Proxy Data Lookup'!A:P,5,FALSE)*100,"NA")</f>
        <v>10.50835</v>
      </c>
      <c r="N15" s="584"/>
      <c r="P15" s="595">
        <f t="shared" si="0"/>
        <v>9</v>
      </c>
      <c r="Q15" s="177"/>
      <c r="S15" s="581">
        <f t="shared" si="1"/>
        <v>3.5216499999999997</v>
      </c>
      <c r="T15" s="177"/>
      <c r="V15" s="583">
        <f t="shared" si="2"/>
        <v>12.521649999999999</v>
      </c>
      <c r="W15" s="214" t="str">
        <f t="shared" si="3"/>
        <v/>
      </c>
    </row>
    <row r="16" spans="1:26" x14ac:dyDescent="0.5">
      <c r="A16" s="139" t="str">
        <f>Input!A8</f>
        <v>SR</v>
      </c>
      <c r="B16" s="139" t="str">
        <f>VLOOKUP(A16,'Proxy Data Lookup'!A:P,2,FALSE)</f>
        <v>Spire Inc.</v>
      </c>
      <c r="D16" s="590">
        <f>IFERROR(HLOOKUP(A16,'Proxy Prices'!$B$4:$H$71,68,FALSE)*100,"NA")</f>
        <v>4.5900000000000007</v>
      </c>
      <c r="E16" s="177"/>
      <c r="G16" s="592">
        <f>IFERROR(VLOOKUP(A16,'Proxy Data Lookup'!A:P,4,FALSE)*100,"NA")</f>
        <v>4.5</v>
      </c>
      <c r="H16" s="177"/>
      <c r="J16" s="593">
        <f>IFERROR(VLOOKUP(A16,'Proxy Data Lookup'!A:P,3,FALSE)*100,"NA")</f>
        <v>5.8000000000000007</v>
      </c>
      <c r="K16" s="177"/>
      <c r="M16" s="596">
        <f>IFERROR(VLOOKUP(A16,'Proxy Data Lookup'!A:P,5,FALSE)*100,"NA")</f>
        <v>6.8154699999999995</v>
      </c>
      <c r="N16" s="584"/>
      <c r="P16" s="595">
        <f t="shared" si="0"/>
        <v>5.71</v>
      </c>
      <c r="Q16" s="177"/>
      <c r="S16" s="581">
        <f t="shared" si="1"/>
        <v>4.7210445000000014</v>
      </c>
      <c r="T16" s="177"/>
      <c r="V16" s="583">
        <f t="shared" si="2"/>
        <v>10.431044500000002</v>
      </c>
      <c r="W16" s="214" t="str">
        <f t="shared" si="3"/>
        <v/>
      </c>
    </row>
    <row r="17" spans="4:24" x14ac:dyDescent="0.5">
      <c r="D17" s="590"/>
      <c r="E17" s="177"/>
      <c r="G17" s="593"/>
      <c r="H17" s="177"/>
      <c r="J17" s="593"/>
      <c r="K17" s="177"/>
      <c r="M17" s="594"/>
      <c r="N17" s="584"/>
      <c r="P17" s="583"/>
      <c r="Q17" s="177"/>
      <c r="S17" s="581"/>
      <c r="T17" s="177"/>
      <c r="V17" s="597"/>
      <c r="X17" s="583"/>
    </row>
    <row r="18" spans="4:24" ht="15.3" thickBot="1" x14ac:dyDescent="0.55000000000000004">
      <c r="D18" s="590"/>
      <c r="E18" s="177"/>
      <c r="G18" s="593"/>
      <c r="H18" s="177"/>
      <c r="J18" s="593"/>
      <c r="K18" s="177"/>
      <c r="M18" s="594"/>
      <c r="N18" s="584"/>
      <c r="P18" s="583"/>
      <c r="Q18" s="177"/>
      <c r="S18" s="598" t="s">
        <v>1082</v>
      </c>
      <c r="T18" s="583"/>
      <c r="U18" s="583"/>
      <c r="V18" s="599">
        <f>ROUND(IFERROR(AVERAGEIFS(V10:V16, V10:V16, "&gt;"&amp;Z12, V10:V16, "&lt;"&amp;Z11), "NA"),2)</f>
        <v>10.3</v>
      </c>
      <c r="W18" s="139" t="s">
        <v>1090</v>
      </c>
      <c r="X18" s="583">
        <f>AVERAGE(V10:V16)</f>
        <v>10.297858142857143</v>
      </c>
    </row>
    <row r="19" spans="4:24" ht="15.3" thickTop="1" x14ac:dyDescent="0.5">
      <c r="D19" s="590"/>
      <c r="E19" s="177"/>
      <c r="G19" s="593"/>
      <c r="H19" s="177"/>
      <c r="J19" s="593"/>
      <c r="K19" s="177"/>
      <c r="M19" s="594"/>
      <c r="N19" s="584"/>
      <c r="P19" s="583"/>
      <c r="Q19" s="177"/>
      <c r="T19" s="583"/>
      <c r="U19" s="583"/>
      <c r="V19" s="583"/>
    </row>
    <row r="20" spans="4:24" ht="15.3" thickBot="1" x14ac:dyDescent="0.55000000000000004">
      <c r="D20" s="590"/>
      <c r="E20" s="177"/>
      <c r="G20" s="593"/>
      <c r="H20" s="177"/>
      <c r="J20" s="593"/>
      <c r="K20" s="177"/>
      <c r="M20" s="594"/>
      <c r="N20" s="584"/>
      <c r="P20" s="583"/>
      <c r="Q20" s="177"/>
      <c r="S20" s="598" t="s">
        <v>1180</v>
      </c>
      <c r="T20" s="583"/>
      <c r="U20" s="583"/>
      <c r="V20" s="599" cm="1">
        <f t="array" ref="V20">ROUND(IFERROR(MEDIAN(IF((V10:V16&gt;Z12)*(V10:V16&lt;Z11), V10:V16)), "NA"),2)</f>
        <v>10.43</v>
      </c>
      <c r="W20" s="139" t="s">
        <v>1090</v>
      </c>
      <c r="X20" s="583">
        <f>MEDIAN(V10:V16)</f>
        <v>10.431044500000002</v>
      </c>
    </row>
    <row r="21" spans="4:24" ht="15.3" thickTop="1" x14ac:dyDescent="0.5">
      <c r="D21" s="584"/>
      <c r="E21" s="177"/>
      <c r="G21" s="600"/>
      <c r="H21" s="177"/>
      <c r="J21" s="600"/>
      <c r="K21" s="177"/>
      <c r="M21" s="601"/>
      <c r="N21" s="584"/>
      <c r="P21" s="584"/>
      <c r="Q21" s="177"/>
    </row>
    <row r="22" spans="4:24" ht="15.3" thickBot="1" x14ac:dyDescent="0.55000000000000004">
      <c r="D22" s="584"/>
      <c r="E22" s="177"/>
      <c r="G22" s="584"/>
      <c r="H22" s="177"/>
      <c r="J22" s="584"/>
      <c r="K22" s="177"/>
      <c r="M22" s="600"/>
      <c r="N22" s="584"/>
      <c r="P22" s="584"/>
      <c r="Q22" s="177"/>
      <c r="S22" s="598" t="s">
        <v>1181</v>
      </c>
      <c r="V22" s="599">
        <f>ROUND(AVERAGE(V18:V20),2)</f>
        <v>10.37</v>
      </c>
      <c r="W22" s="139" t="s">
        <v>1090</v>
      </c>
    </row>
    <row r="23" spans="4:24" ht="15.3" thickTop="1" x14ac:dyDescent="0.5">
      <c r="D23" s="584"/>
      <c r="E23" s="177"/>
      <c r="G23" s="584"/>
      <c r="H23" s="177"/>
      <c r="J23" s="584"/>
      <c r="K23" s="177"/>
      <c r="M23" s="584"/>
      <c r="N23" s="584"/>
      <c r="P23" s="584"/>
      <c r="Q23" s="177"/>
      <c r="S23" s="584"/>
      <c r="T23" s="177"/>
      <c r="V23" s="584"/>
    </row>
    <row r="24" spans="4:24" x14ac:dyDescent="0.5">
      <c r="E24" s="139" t="s">
        <v>1182</v>
      </c>
      <c r="P24" s="581"/>
      <c r="S24" s="581"/>
    </row>
    <row r="26" spans="4:24" x14ac:dyDescent="0.5">
      <c r="D26" s="602" t="s">
        <v>17</v>
      </c>
    </row>
    <row r="27" spans="4:24" ht="32.5" customHeight="1" x14ac:dyDescent="0.5">
      <c r="E27" s="603" t="s">
        <v>1146</v>
      </c>
      <c r="F27" s="1389" t="str">
        <f>CONCATENATE("Indicated dividend at ",TEXT(Input!E2,"mm/dd/yyyy")," divided by the average closing price of the last 60 trading days ending ",TEXT(Input!E2,"mm/dd/yyyy")," for each company.")</f>
        <v>Indicated dividend at 01/31/2025 divided by the average closing price of the last 60 trading days ending 01/31/2025 for each company.</v>
      </c>
      <c r="G27" s="1389"/>
      <c r="H27" s="1389"/>
      <c r="I27" s="1389"/>
      <c r="J27" s="1389"/>
      <c r="K27" s="1389"/>
      <c r="L27" s="1389"/>
      <c r="M27" s="1389"/>
      <c r="N27" s="1389"/>
      <c r="O27" s="1389"/>
      <c r="P27" s="1389"/>
      <c r="Q27" s="1389"/>
      <c r="R27" s="1389"/>
      <c r="S27" s="1389"/>
      <c r="T27" s="1389"/>
      <c r="U27" s="1389"/>
      <c r="V27" s="1389"/>
      <c r="W27" s="1389"/>
    </row>
    <row r="28" spans="4:24" x14ac:dyDescent="0.5">
      <c r="E28" s="603" t="s">
        <v>1147</v>
      </c>
      <c r="F28" s="139" t="str">
        <f>"From pages 4 through 10 of this " &amp; Input!I49 &amp; "."</f>
        <v>From pages 4 through 10 of this Exhibit.</v>
      </c>
    </row>
    <row r="29" spans="4:24" x14ac:dyDescent="0.5">
      <c r="E29" s="582" t="s">
        <v>1149</v>
      </c>
      <c r="F29" s="139" t="s">
        <v>3859</v>
      </c>
    </row>
    <row r="30" spans="4:24" ht="50.25" customHeight="1" x14ac:dyDescent="0.5">
      <c r="E30" s="603" t="s">
        <v>1153</v>
      </c>
      <c r="F30" s="1389" t="str">
        <f>CONCATENATE("This reflects a growth rate component equal to one-half the conclusion of growth rate (from column 5) x column 1 to reflect the periodic payment of dividends (Gordon Model) as opposed to the continuous payment.  Thus, for ",B10,", ",TEXT(D10,"#0.00"),"% x (1+( 1/2 x ",TEXT(P10,"#0.00"),"%) ) = ",TEXT(S10,"#0.00"),"%.")</f>
        <v>This reflects a growth rate component equal to one-half the conclusion of growth rate (from column 5) x column 1 to reflect the periodic payment of dividends (Gordon Model) as opposed to the continuous payment.  Thus, for Atmos Energy Corporation, 2.44% x (1+( 1/2 x 7.27%) ) = 2.53%.</v>
      </c>
      <c r="G30" s="1389"/>
      <c r="H30" s="1389"/>
      <c r="I30" s="1389"/>
      <c r="J30" s="1389"/>
      <c r="K30" s="1389"/>
      <c r="L30" s="1389"/>
      <c r="M30" s="1389"/>
      <c r="N30" s="1389"/>
      <c r="O30" s="1389"/>
      <c r="P30" s="1389"/>
      <c r="Q30" s="1389"/>
      <c r="R30" s="1389"/>
      <c r="S30" s="1389"/>
      <c r="T30" s="1389"/>
      <c r="U30" s="1389"/>
      <c r="V30" s="1389"/>
      <c r="W30" s="1389"/>
    </row>
    <row r="31" spans="4:24" x14ac:dyDescent="0.5">
      <c r="E31" s="603" t="s">
        <v>1155</v>
      </c>
      <c r="F31" s="1392" t="s">
        <v>4421</v>
      </c>
      <c r="G31" s="1392"/>
      <c r="H31" s="1392"/>
      <c r="I31" s="1392"/>
      <c r="J31" s="1392"/>
      <c r="K31" s="1392"/>
      <c r="L31" s="1392"/>
      <c r="M31" s="1392"/>
      <c r="N31" s="1392"/>
      <c r="O31" s="1392"/>
      <c r="P31" s="1392"/>
      <c r="Q31" s="1392"/>
      <c r="R31" s="1392"/>
      <c r="S31" s="1392"/>
      <c r="T31" s="1392"/>
      <c r="U31" s="1392"/>
      <c r="V31" s="1392"/>
      <c r="W31" s="1392"/>
    </row>
    <row r="32" spans="4:24" ht="30.75" customHeight="1" x14ac:dyDescent="0.5">
      <c r="E32" s="603" t="s">
        <v>1158</v>
      </c>
      <c r="F32" s="1389" t="s">
        <v>1183</v>
      </c>
      <c r="G32" s="1389"/>
      <c r="H32" s="1389"/>
      <c r="I32" s="1389"/>
      <c r="J32" s="1389"/>
      <c r="K32" s="1389"/>
      <c r="L32" s="1389"/>
      <c r="M32" s="1389"/>
      <c r="N32" s="1389"/>
      <c r="O32" s="1389"/>
      <c r="P32" s="1389"/>
      <c r="Q32" s="1389"/>
      <c r="R32" s="1389"/>
      <c r="S32" s="1389"/>
      <c r="T32" s="1389"/>
      <c r="U32" s="1389"/>
      <c r="V32" s="1389"/>
      <c r="W32" s="1389"/>
    </row>
    <row r="34" spans="2:23" x14ac:dyDescent="0.5">
      <c r="B34" s="598" t="s">
        <v>1143</v>
      </c>
      <c r="E34" s="139" t="s">
        <v>1092</v>
      </c>
    </row>
    <row r="35" spans="2:23" x14ac:dyDescent="0.5">
      <c r="E35" s="139" t="str">
        <f>CONCATENATE("www.zacks.com Downloaded on ",TEXT(Input!E2,"mm/dd/yyyy"))</f>
        <v>www.zacks.com Downloaded on 01/31/2025</v>
      </c>
      <c r="W35" s="605"/>
    </row>
    <row r="36" spans="2:23" x14ac:dyDescent="0.5">
      <c r="E36" s="139" t="s">
        <v>1279</v>
      </c>
    </row>
    <row r="37" spans="2:23" x14ac:dyDescent="0.5">
      <c r="W37" s="604"/>
    </row>
  </sheetData>
  <mergeCells count="6">
    <mergeCell ref="F32:W32"/>
    <mergeCell ref="B3:W3"/>
    <mergeCell ref="M8:N8"/>
    <mergeCell ref="F27:W27"/>
    <mergeCell ref="F30:W30"/>
    <mergeCell ref="F31:W31"/>
  </mergeCells>
  <pageMargins left="0.7" right="0.7" top="0.75" bottom="0.75" header="0.3" footer="0.3"/>
  <pageSetup scale="57"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6DC3-FBBA-415D-B39E-F4F038406787}">
  <sheetPr codeName="Sheet39"/>
  <dimension ref="A1:N135"/>
  <sheetViews>
    <sheetView view="pageBreakPreview" zoomScale="80" zoomScaleNormal="90" zoomScaleSheetLayoutView="80" workbookViewId="0">
      <pane ySplit="8" topLeftCell="A9" activePane="bottomLeft" state="frozen"/>
      <selection pane="bottomLeft"/>
    </sheetView>
  </sheetViews>
  <sheetFormatPr defaultColWidth="9.15625" defaultRowHeight="12.3" x14ac:dyDescent="0.4"/>
  <cols>
    <col min="1" max="1" width="9.26171875" style="1090" customWidth="1"/>
    <col min="2" max="2" width="10.47265625" style="1090" customWidth="1"/>
    <col min="3" max="3" width="10.15625" style="1090" customWidth="1"/>
    <col min="4" max="4" width="9.26171875" style="1090" bestFit="1" customWidth="1"/>
    <col min="5" max="5" width="12.26171875" style="1090" bestFit="1" customWidth="1"/>
    <col min="6" max="7" width="9.15625" style="1090"/>
    <col min="8" max="8" width="16.5234375" style="1090" customWidth="1"/>
    <col min="9" max="12" width="11" style="1090" customWidth="1"/>
    <col min="13" max="13" width="11.7890625" style="1090" customWidth="1"/>
    <col min="14" max="14" width="11" style="1090" customWidth="1"/>
    <col min="15" max="16384" width="9.15625" style="1090"/>
  </cols>
  <sheetData>
    <row r="1" spans="1:14" x14ac:dyDescent="0.4">
      <c r="F1" s="1091"/>
    </row>
    <row r="3" spans="1:14" x14ac:dyDescent="0.4">
      <c r="B3" s="1092" t="s">
        <v>6677</v>
      </c>
    </row>
    <row r="5" spans="1:14" x14ac:dyDescent="0.4">
      <c r="A5" s="1462" t="s">
        <v>6678</v>
      </c>
      <c r="B5" s="1462"/>
      <c r="C5" s="1462"/>
    </row>
    <row r="8" spans="1:14" ht="61.5" x14ac:dyDescent="0.4">
      <c r="B8" s="1093" t="s">
        <v>6679</v>
      </c>
      <c r="C8" s="1093" t="s">
        <v>6680</v>
      </c>
      <c r="D8" s="1094" t="s">
        <v>6681</v>
      </c>
      <c r="E8" s="1094" t="s">
        <v>6682</v>
      </c>
    </row>
    <row r="9" spans="1:14" x14ac:dyDescent="0.4">
      <c r="H9" s="1463" t="s">
        <v>2675</v>
      </c>
      <c r="I9" s="1463"/>
      <c r="J9" s="1463"/>
      <c r="K9" s="1463"/>
      <c r="L9" s="1463"/>
      <c r="M9" s="1463"/>
      <c r="N9" s="1463"/>
    </row>
    <row r="10" spans="1:14" x14ac:dyDescent="0.4">
      <c r="H10" s="1463" t="s">
        <v>7130</v>
      </c>
      <c r="I10" s="1463"/>
      <c r="J10" s="1463"/>
      <c r="K10" s="1463"/>
      <c r="L10" s="1463"/>
      <c r="M10" s="1463"/>
      <c r="N10" s="1463"/>
    </row>
    <row r="11" spans="1:14" x14ac:dyDescent="0.4">
      <c r="A11" s="814" t="s">
        <v>6683</v>
      </c>
      <c r="B11" s="1095">
        <v>104.6</v>
      </c>
      <c r="C11" s="1095">
        <v>1191.0999999999999</v>
      </c>
    </row>
    <row r="12" spans="1:14" x14ac:dyDescent="0.4">
      <c r="A12" s="814" t="s">
        <v>6684</v>
      </c>
      <c r="B12" s="1095">
        <v>92.2</v>
      </c>
      <c r="C12" s="1095">
        <v>1089.8</v>
      </c>
      <c r="D12" s="1096">
        <f t="shared" ref="D12:D75" si="0">(C12-C11)/C11</f>
        <v>-8.5047435143984523E-2</v>
      </c>
      <c r="E12" s="1096">
        <v>-0.249</v>
      </c>
      <c r="H12" s="1028" t="s">
        <v>1096</v>
      </c>
      <c r="I12" s="1028"/>
      <c r="J12" s="1028"/>
      <c r="K12" s="1028"/>
      <c r="L12" s="1028"/>
      <c r="M12" s="1028"/>
      <c r="N12" s="1028"/>
    </row>
    <row r="13" spans="1:14" ht="12.6" thickBot="1" x14ac:dyDescent="0.45">
      <c r="A13" s="814" t="s">
        <v>6685</v>
      </c>
      <c r="B13" s="1095">
        <v>77.400000000000006</v>
      </c>
      <c r="C13" s="1095">
        <v>1020</v>
      </c>
      <c r="D13" s="1096">
        <f t="shared" si="0"/>
        <v>-6.4048449256744314E-2</v>
      </c>
      <c r="E13" s="1096">
        <v>-0.43340000000000001</v>
      </c>
      <c r="H13" s="1028"/>
      <c r="I13" s="1028"/>
      <c r="J13" s="1028"/>
      <c r="K13" s="1028"/>
      <c r="L13" s="1028"/>
      <c r="M13" s="1028"/>
      <c r="N13" s="1028"/>
    </row>
    <row r="14" spans="1:14" x14ac:dyDescent="0.4">
      <c r="A14" s="814" t="s">
        <v>6686</v>
      </c>
      <c r="B14" s="1095">
        <v>59.5</v>
      </c>
      <c r="C14" s="1095">
        <v>888.4</v>
      </c>
      <c r="D14" s="1096">
        <f t="shared" si="0"/>
        <v>-0.12901960784313729</v>
      </c>
      <c r="E14" s="1096">
        <v>-8.1900000000000001E-2</v>
      </c>
      <c r="H14" s="1097" t="s">
        <v>1099</v>
      </c>
      <c r="I14" s="1097"/>
      <c r="J14" s="1028"/>
      <c r="K14" s="1098" t="s">
        <v>6687</v>
      </c>
      <c r="L14" s="1028"/>
      <c r="M14" s="1028"/>
      <c r="N14" s="1028"/>
    </row>
    <row r="15" spans="1:14" x14ac:dyDescent="0.4">
      <c r="A15" s="814" t="s">
        <v>6688</v>
      </c>
      <c r="B15" s="1095">
        <v>57.2</v>
      </c>
      <c r="C15" s="1095">
        <v>877.4</v>
      </c>
      <c r="D15" s="1096">
        <f t="shared" si="0"/>
        <v>-1.2381809995497524E-2</v>
      </c>
      <c r="E15" s="1096">
        <v>0.53990000000000005</v>
      </c>
      <c r="H15" s="1028" t="s">
        <v>1118</v>
      </c>
      <c r="I15" s="1099">
        <v>0.13789907957612804</v>
      </c>
      <c r="J15" s="1028"/>
      <c r="K15" s="1098" t="s">
        <v>6689</v>
      </c>
      <c r="L15" s="1028"/>
      <c r="M15" s="1028"/>
      <c r="N15" s="1028"/>
    </row>
    <row r="16" spans="1:14" x14ac:dyDescent="0.4">
      <c r="A16" s="814" t="s">
        <v>6690</v>
      </c>
      <c r="B16" s="1095">
        <v>66.8</v>
      </c>
      <c r="C16" s="1095">
        <v>972.3</v>
      </c>
      <c r="D16" s="1096">
        <f t="shared" si="0"/>
        <v>0.10816047412810574</v>
      </c>
      <c r="E16" s="1096">
        <v>-1.44E-2</v>
      </c>
      <c r="H16" s="1028" t="s">
        <v>1119</v>
      </c>
      <c r="I16" s="1099">
        <v>1.9016156147943292E-2</v>
      </c>
      <c r="J16" s="1028"/>
      <c r="K16" s="1028"/>
      <c r="L16" s="1028"/>
      <c r="M16" s="1028"/>
      <c r="N16" s="1028"/>
    </row>
    <row r="17" spans="1:14" x14ac:dyDescent="0.4">
      <c r="A17" s="814" t="s">
        <v>6691</v>
      </c>
      <c r="B17" s="1095">
        <v>74.2</v>
      </c>
      <c r="C17" s="1095">
        <v>1058.8</v>
      </c>
      <c r="D17" s="1096">
        <f t="shared" si="0"/>
        <v>8.8964311426514453E-2</v>
      </c>
      <c r="E17" s="1096">
        <v>0.47670000000000001</v>
      </c>
      <c r="H17" s="1028" t="s">
        <v>1120</v>
      </c>
      <c r="I17" s="1099">
        <v>8.4679427731899938E-3</v>
      </c>
      <c r="J17" s="1028"/>
      <c r="K17" s="1028" t="s">
        <v>4737</v>
      </c>
      <c r="L17" s="1115">
        <f>CORREL(D12:D106,E12:E106)</f>
        <v>0.13789907957612837</v>
      </c>
      <c r="M17" s="1028"/>
      <c r="N17" s="1028"/>
    </row>
    <row r="18" spans="1:14" x14ac:dyDescent="0.4">
      <c r="A18" s="814" t="s">
        <v>6692</v>
      </c>
      <c r="B18" s="1095">
        <v>84.8</v>
      </c>
      <c r="C18" s="1095">
        <v>1195.3</v>
      </c>
      <c r="D18" s="1096">
        <f t="shared" si="0"/>
        <v>0.12891953154514546</v>
      </c>
      <c r="E18" s="1096">
        <v>0.3392</v>
      </c>
      <c r="H18" s="1028" t="s">
        <v>1121</v>
      </c>
      <c r="I18" s="1099">
        <v>0.19449054429709156</v>
      </c>
      <c r="J18" s="1028"/>
      <c r="K18" s="1028"/>
      <c r="L18" s="1028"/>
      <c r="M18" s="1028"/>
      <c r="N18" s="1028"/>
    </row>
    <row r="19" spans="1:14" ht="12.6" thickBot="1" x14ac:dyDescent="0.45">
      <c r="A19" s="814" t="s">
        <v>6693</v>
      </c>
      <c r="B19" s="1095">
        <v>93</v>
      </c>
      <c r="C19" s="1095">
        <v>1256.5</v>
      </c>
      <c r="D19" s="1096">
        <f t="shared" si="0"/>
        <v>5.1200535430435914E-2</v>
      </c>
      <c r="E19" s="1096">
        <v>-0.3503</v>
      </c>
      <c r="H19" s="1100" t="s">
        <v>1122</v>
      </c>
      <c r="I19" s="1100">
        <v>95</v>
      </c>
      <c r="J19" s="1028"/>
      <c r="K19" s="1028"/>
      <c r="L19" s="1028"/>
      <c r="M19" s="1028"/>
      <c r="N19" s="1028"/>
    </row>
    <row r="20" spans="1:14" x14ac:dyDescent="0.4">
      <c r="A20" s="814" t="s">
        <v>6694</v>
      </c>
      <c r="B20" s="1095">
        <v>87.4</v>
      </c>
      <c r="C20" s="1095">
        <v>1214.9000000000001</v>
      </c>
      <c r="D20" s="1096">
        <f t="shared" si="0"/>
        <v>-3.3107839235972866E-2</v>
      </c>
      <c r="E20" s="1096">
        <v>0.31119999999999998</v>
      </c>
      <c r="H20" s="1028"/>
      <c r="I20" s="1028"/>
      <c r="J20" s="1028"/>
      <c r="K20" s="1028"/>
      <c r="L20" s="1028"/>
      <c r="M20" s="1028"/>
      <c r="N20" s="1028"/>
    </row>
    <row r="21" spans="1:14" ht="12.6" thickBot="1" x14ac:dyDescent="0.45">
      <c r="A21" s="814" t="s">
        <v>6695</v>
      </c>
      <c r="B21" s="1095">
        <v>93.4</v>
      </c>
      <c r="C21" s="1095">
        <v>1312.4</v>
      </c>
      <c r="D21" s="1096">
        <f t="shared" si="0"/>
        <v>8.0253518808132349E-2</v>
      </c>
      <c r="E21" s="1096">
        <v>-4.1000000000000003E-3</v>
      </c>
      <c r="H21" s="1101" t="s">
        <v>1123</v>
      </c>
      <c r="I21" s="1101"/>
      <c r="J21" s="1101"/>
      <c r="K21" s="1101"/>
      <c r="L21" s="1101"/>
      <c r="M21" s="1101"/>
      <c r="N21" s="1101"/>
    </row>
    <row r="22" spans="1:14" ht="12.6" x14ac:dyDescent="0.45">
      <c r="A22" s="814" t="s">
        <v>6696</v>
      </c>
      <c r="B22" s="1095">
        <v>102.9</v>
      </c>
      <c r="C22" s="1095">
        <v>1428.1</v>
      </c>
      <c r="D22" s="1096">
        <f t="shared" si="0"/>
        <v>8.8159097836025463E-2</v>
      </c>
      <c r="E22" s="1096">
        <v>-9.7799999999999998E-2</v>
      </c>
      <c r="H22" s="1102"/>
      <c r="I22" s="1102" t="s">
        <v>1124</v>
      </c>
      <c r="J22" s="1102" t="s">
        <v>1125</v>
      </c>
      <c r="K22" s="1102" t="s">
        <v>433</v>
      </c>
      <c r="L22" s="1102" t="s">
        <v>290</v>
      </c>
      <c r="M22" s="1102" t="s">
        <v>1126</v>
      </c>
      <c r="N22" s="1101"/>
    </row>
    <row r="23" spans="1:14" x14ac:dyDescent="0.4">
      <c r="A23" s="814" t="s">
        <v>6697</v>
      </c>
      <c r="B23" s="1095">
        <v>129.30000000000001</v>
      </c>
      <c r="C23" s="1095">
        <v>1681</v>
      </c>
      <c r="D23" s="1096">
        <f t="shared" si="0"/>
        <v>0.17708843918493111</v>
      </c>
      <c r="E23" s="1096">
        <v>-0.1159</v>
      </c>
      <c r="H23" s="1101" t="s">
        <v>1127</v>
      </c>
      <c r="I23" s="1101">
        <v>1</v>
      </c>
      <c r="J23" s="1101">
        <v>6.8193159422692329E-2</v>
      </c>
      <c r="K23" s="1101">
        <v>6.8193159422692329E-2</v>
      </c>
      <c r="L23" s="1101">
        <v>1.8027845543452561</v>
      </c>
      <c r="M23" s="1101">
        <v>0.1826442896782525</v>
      </c>
      <c r="N23" s="1101"/>
    </row>
    <row r="24" spans="1:14" x14ac:dyDescent="0.4">
      <c r="A24" s="814" t="s">
        <v>6698</v>
      </c>
      <c r="B24" s="1095">
        <v>166</v>
      </c>
      <c r="C24" s="1095">
        <v>1998.5</v>
      </c>
      <c r="D24" s="1096">
        <f t="shared" si="0"/>
        <v>0.18887566924449734</v>
      </c>
      <c r="E24" s="1096">
        <v>0.2034</v>
      </c>
      <c r="H24" s="1101" t="s">
        <v>1128</v>
      </c>
      <c r="I24" s="1101">
        <v>93</v>
      </c>
      <c r="J24" s="1101">
        <v>3.5178711793510411</v>
      </c>
      <c r="K24" s="1101">
        <v>3.7826571820978934E-2</v>
      </c>
      <c r="L24" s="1101"/>
      <c r="M24" s="1101"/>
      <c r="N24" s="1101"/>
    </row>
    <row r="25" spans="1:14" ht="12.6" thickBot="1" x14ac:dyDescent="0.45">
      <c r="A25" s="814" t="s">
        <v>6699</v>
      </c>
      <c r="B25" s="1095">
        <v>203.1</v>
      </c>
      <c r="C25" s="1095">
        <v>2338.8000000000002</v>
      </c>
      <c r="D25" s="1096">
        <f t="shared" si="0"/>
        <v>0.170277708281211</v>
      </c>
      <c r="E25" s="1096">
        <v>0.25900000000000001</v>
      </c>
      <c r="H25" s="1103" t="s">
        <v>1129</v>
      </c>
      <c r="I25" s="1103">
        <v>94</v>
      </c>
      <c r="J25" s="1103">
        <v>3.5860643387737334</v>
      </c>
      <c r="K25" s="1103"/>
      <c r="L25" s="1103"/>
      <c r="M25" s="1103"/>
      <c r="N25" s="1101"/>
    </row>
    <row r="26" spans="1:14" ht="12.6" thickBot="1" x14ac:dyDescent="0.45">
      <c r="A26" s="814" t="s">
        <v>6700</v>
      </c>
      <c r="B26" s="1095">
        <v>224.4</v>
      </c>
      <c r="C26" s="1095">
        <v>2524.8000000000002</v>
      </c>
      <c r="D26" s="1096">
        <f t="shared" si="0"/>
        <v>7.9527963057978449E-2</v>
      </c>
      <c r="E26" s="1096">
        <v>0.19750000000000001</v>
      </c>
      <c r="H26" s="1101"/>
      <c r="I26" s="1101"/>
      <c r="J26" s="1101"/>
      <c r="K26" s="1101"/>
      <c r="L26" s="1101"/>
      <c r="M26" s="1101"/>
      <c r="N26" s="1101"/>
    </row>
    <row r="27" spans="1:14" ht="12.6" x14ac:dyDescent="0.45">
      <c r="A27" s="814" t="s">
        <v>6701</v>
      </c>
      <c r="B27" s="1095">
        <v>228</v>
      </c>
      <c r="C27" s="1095">
        <v>2500.1</v>
      </c>
      <c r="D27" s="1096">
        <f t="shared" si="0"/>
        <v>-9.7829531051965585E-3</v>
      </c>
      <c r="E27" s="1096">
        <v>0.3644</v>
      </c>
      <c r="H27" s="1102"/>
      <c r="I27" s="1102" t="s">
        <v>1130</v>
      </c>
      <c r="J27" s="1102" t="s">
        <v>1121</v>
      </c>
      <c r="K27" s="1102" t="s">
        <v>1131</v>
      </c>
      <c r="L27" s="1102" t="s">
        <v>1132</v>
      </c>
      <c r="M27" s="1102" t="s">
        <v>1133</v>
      </c>
      <c r="N27" s="1102" t="s">
        <v>1134</v>
      </c>
    </row>
    <row r="28" spans="1:14" x14ac:dyDescent="0.4">
      <c r="A28" s="814" t="s">
        <v>6702</v>
      </c>
      <c r="B28" s="1095">
        <v>227.5</v>
      </c>
      <c r="C28" s="1095">
        <v>2209.9</v>
      </c>
      <c r="D28" s="1096">
        <f t="shared" si="0"/>
        <v>-0.1160753569857205</v>
      </c>
      <c r="E28" s="1096">
        <v>-8.0699999999999994E-2</v>
      </c>
      <c r="H28" s="1101" t="s">
        <v>1137</v>
      </c>
      <c r="I28" s="1104">
        <v>0.10064455317001889</v>
      </c>
      <c r="J28" s="1104">
        <v>2.4294482455238964E-2</v>
      </c>
      <c r="K28" s="1104">
        <v>4.1426917966023789</v>
      </c>
      <c r="L28" s="1104">
        <v>7.5552818114013639E-5</v>
      </c>
      <c r="M28" s="1104">
        <v>5.2400525831812622E-2</v>
      </c>
      <c r="N28" s="1104">
        <v>0.14888858050822515</v>
      </c>
    </row>
    <row r="29" spans="1:14" ht="12.6" thickBot="1" x14ac:dyDescent="0.45">
      <c r="A29" s="814" t="s">
        <v>6703</v>
      </c>
      <c r="B29" s="1095">
        <v>249.6</v>
      </c>
      <c r="C29" s="1095">
        <v>2184.6</v>
      </c>
      <c r="D29" s="1096">
        <f t="shared" si="0"/>
        <v>-1.1448481831757175E-2</v>
      </c>
      <c r="E29" s="1096">
        <v>5.7099999999999998E-2</v>
      </c>
      <c r="F29" s="814"/>
      <c r="G29" s="814"/>
      <c r="H29" s="1103" t="s">
        <v>6681</v>
      </c>
      <c r="I29" s="1105">
        <v>0.56576027136735296</v>
      </c>
      <c r="J29" s="1105">
        <v>0.4213670124924826</v>
      </c>
      <c r="K29" s="1105">
        <v>1.3426781276036563</v>
      </c>
      <c r="L29" s="1105">
        <v>0.18264428967825114</v>
      </c>
      <c r="M29" s="1105">
        <v>-0.27099110654569747</v>
      </c>
      <c r="N29" s="1105">
        <v>1.4025116492804033</v>
      </c>
    </row>
    <row r="30" spans="1:14" x14ac:dyDescent="0.4">
      <c r="A30" s="814" t="s">
        <v>6704</v>
      </c>
      <c r="B30" s="1095">
        <v>274.5</v>
      </c>
      <c r="C30" s="1095">
        <v>2274.6</v>
      </c>
      <c r="D30" s="1096">
        <f t="shared" si="0"/>
        <v>4.1197473221642411E-2</v>
      </c>
      <c r="E30" s="1096">
        <v>5.5E-2</v>
      </c>
      <c r="F30" s="814"/>
      <c r="G30" s="814"/>
      <c r="H30" s="814"/>
      <c r="I30" s="814"/>
      <c r="J30" s="814"/>
      <c r="K30" s="814"/>
      <c r="L30" s="814"/>
      <c r="M30" s="814"/>
    </row>
    <row r="31" spans="1:14" x14ac:dyDescent="0.4">
      <c r="A31" s="814" t="s">
        <v>6705</v>
      </c>
      <c r="B31" s="1095">
        <v>272.5</v>
      </c>
      <c r="C31" s="1095">
        <v>2261.9</v>
      </c>
      <c r="D31" s="1096">
        <f t="shared" si="0"/>
        <v>-5.5833992789940294E-3</v>
      </c>
      <c r="E31" s="1096">
        <v>0.18790000000000001</v>
      </c>
      <c r="F31" s="814"/>
      <c r="G31" s="814"/>
      <c r="H31" s="814"/>
      <c r="I31" s="814"/>
      <c r="J31" s="814"/>
      <c r="K31" s="814"/>
      <c r="L31" s="814"/>
      <c r="M31" s="814"/>
    </row>
    <row r="32" spans="1:14" x14ac:dyDescent="0.4">
      <c r="A32" s="814" t="s">
        <v>6706</v>
      </c>
      <c r="B32" s="1095">
        <v>299.8</v>
      </c>
      <c r="C32" s="1095">
        <v>2458.5</v>
      </c>
      <c r="D32" s="1096">
        <f t="shared" si="0"/>
        <v>8.6918077722268852E-2</v>
      </c>
      <c r="E32" s="1096">
        <v>0.31709999999999999</v>
      </c>
      <c r="F32" s="814"/>
      <c r="H32" s="814"/>
      <c r="I32" s="814"/>
      <c r="J32" s="814"/>
      <c r="K32" s="814"/>
      <c r="L32" s="814"/>
      <c r="M32" s="814"/>
    </row>
    <row r="33" spans="1:6" x14ac:dyDescent="0.4">
      <c r="A33" s="814" t="s">
        <v>6707</v>
      </c>
      <c r="B33" s="1095">
        <v>346.9</v>
      </c>
      <c r="C33" s="1095">
        <v>2656.3</v>
      </c>
      <c r="D33" s="1096">
        <f t="shared" si="0"/>
        <v>8.0455562334757036E-2</v>
      </c>
      <c r="E33" s="1096">
        <v>0.2402</v>
      </c>
      <c r="F33" s="1106"/>
    </row>
    <row r="34" spans="1:6" x14ac:dyDescent="0.4">
      <c r="A34" s="814" t="s">
        <v>6708</v>
      </c>
      <c r="B34" s="1095">
        <v>367.3</v>
      </c>
      <c r="C34" s="1095">
        <v>2764.8</v>
      </c>
      <c r="D34" s="1096">
        <f t="shared" si="0"/>
        <v>4.0846289952189134E-2</v>
      </c>
      <c r="E34" s="1096">
        <v>0.1837</v>
      </c>
      <c r="F34" s="814"/>
    </row>
    <row r="35" spans="1:6" x14ac:dyDescent="0.4">
      <c r="A35" s="814" t="s">
        <v>6709</v>
      </c>
      <c r="B35" s="1095">
        <v>389.2</v>
      </c>
      <c r="C35" s="1095">
        <v>2894.4</v>
      </c>
      <c r="D35" s="1096">
        <f t="shared" si="0"/>
        <v>4.6874999999999965E-2</v>
      </c>
      <c r="E35" s="1096">
        <v>-9.9000000000000008E-3</v>
      </c>
      <c r="F35" s="814"/>
    </row>
    <row r="36" spans="1:6" x14ac:dyDescent="0.4">
      <c r="A36" s="814" t="s">
        <v>6710</v>
      </c>
      <c r="B36" s="1095">
        <v>390.5</v>
      </c>
      <c r="C36" s="1095">
        <v>2877.7</v>
      </c>
      <c r="D36" s="1096">
        <f t="shared" si="0"/>
        <v>-5.7697622996131402E-3</v>
      </c>
      <c r="E36" s="1096">
        <v>0.5262</v>
      </c>
      <c r="F36" s="814"/>
    </row>
    <row r="37" spans="1:6" x14ac:dyDescent="0.4">
      <c r="A37" s="814" t="s">
        <v>6711</v>
      </c>
      <c r="B37" s="1095">
        <v>425.5</v>
      </c>
      <c r="C37" s="1095">
        <v>3083</v>
      </c>
      <c r="D37" s="1096">
        <f t="shared" si="0"/>
        <v>7.1341696493727694E-2</v>
      </c>
      <c r="E37" s="1096">
        <v>0.31559999999999999</v>
      </c>
      <c r="F37" s="814"/>
    </row>
    <row r="38" spans="1:6" x14ac:dyDescent="0.4">
      <c r="A38" s="814" t="s">
        <v>6712</v>
      </c>
      <c r="B38" s="1095">
        <v>449.4</v>
      </c>
      <c r="C38" s="1095">
        <v>3148.8</v>
      </c>
      <c r="D38" s="1096">
        <f t="shared" si="0"/>
        <v>2.1342847875446054E-2</v>
      </c>
      <c r="E38" s="1096">
        <v>6.5600000000000006E-2</v>
      </c>
      <c r="F38" s="814"/>
    </row>
    <row r="39" spans="1:6" x14ac:dyDescent="0.4">
      <c r="A39" s="814" t="s">
        <v>6713</v>
      </c>
      <c r="B39" s="1095">
        <v>474</v>
      </c>
      <c r="C39" s="1095">
        <v>3215.1</v>
      </c>
      <c r="D39" s="1096">
        <f t="shared" si="0"/>
        <v>2.105564024390235E-2</v>
      </c>
      <c r="E39" s="1096">
        <v>-0.10780000000000001</v>
      </c>
      <c r="F39" s="814"/>
    </row>
    <row r="40" spans="1:6" x14ac:dyDescent="0.4">
      <c r="A40" s="814" t="s">
        <v>6714</v>
      </c>
      <c r="B40" s="1095">
        <v>481.2</v>
      </c>
      <c r="C40" s="1095">
        <v>3191.2</v>
      </c>
      <c r="D40" s="1096">
        <f t="shared" si="0"/>
        <v>-7.4336723585580831E-3</v>
      </c>
      <c r="E40" s="1096">
        <v>0.43359999999999999</v>
      </c>
      <c r="F40" s="814"/>
    </row>
    <row r="41" spans="1:6" x14ac:dyDescent="0.4">
      <c r="A41" s="814" t="s">
        <v>6715</v>
      </c>
      <c r="B41" s="1095">
        <v>521.70000000000005</v>
      </c>
      <c r="C41" s="1095">
        <v>3412.4</v>
      </c>
      <c r="D41" s="1096">
        <f t="shared" si="0"/>
        <v>6.9315617949360836E-2</v>
      </c>
      <c r="E41" s="1096">
        <v>0.1196</v>
      </c>
    </row>
    <row r="42" spans="1:6" x14ac:dyDescent="0.4">
      <c r="A42" s="814" t="s">
        <v>6716</v>
      </c>
      <c r="B42" s="1095">
        <v>542.4</v>
      </c>
      <c r="C42" s="1095">
        <v>3500.3</v>
      </c>
      <c r="D42" s="1096">
        <f t="shared" si="0"/>
        <v>2.5758996600633011E-2</v>
      </c>
      <c r="E42" s="1096">
        <v>4.7000000000000002E-3</v>
      </c>
      <c r="F42" s="814"/>
    </row>
    <row r="43" spans="1:6" x14ac:dyDescent="0.4">
      <c r="A43" s="814" t="s">
        <v>6717</v>
      </c>
      <c r="B43" s="1095">
        <v>562.20000000000005</v>
      </c>
      <c r="C43" s="1095">
        <v>3590.1</v>
      </c>
      <c r="D43" s="1096">
        <f t="shared" si="0"/>
        <v>2.5654943861954611E-2</v>
      </c>
      <c r="E43" s="1096">
        <v>0.26889999999999997</v>
      </c>
      <c r="F43" s="814"/>
    </row>
    <row r="44" spans="1:6" x14ac:dyDescent="0.4">
      <c r="A44" s="814" t="s">
        <v>6718</v>
      </c>
      <c r="B44" s="1095">
        <v>603.9</v>
      </c>
      <c r="C44" s="1095">
        <v>3810.1</v>
      </c>
      <c r="D44" s="1096">
        <f t="shared" si="0"/>
        <v>6.1279630093869254E-2</v>
      </c>
      <c r="E44" s="1096">
        <v>-8.7300000000000003E-2</v>
      </c>
      <c r="F44" s="814"/>
    </row>
    <row r="45" spans="1:6" x14ac:dyDescent="0.4">
      <c r="A45" s="814" t="s">
        <v>6719</v>
      </c>
      <c r="B45" s="1095">
        <v>637.5</v>
      </c>
      <c r="C45" s="1095">
        <v>3976.1</v>
      </c>
      <c r="D45" s="1096">
        <f t="shared" si="0"/>
        <v>4.356841027794546E-2</v>
      </c>
      <c r="E45" s="1096">
        <v>0.22800000000000001</v>
      </c>
      <c r="F45" s="814"/>
    </row>
    <row r="46" spans="1:6" x14ac:dyDescent="0.4">
      <c r="A46" s="814" t="s">
        <v>6720</v>
      </c>
      <c r="B46" s="1095">
        <v>684.5</v>
      </c>
      <c r="C46" s="1095">
        <v>4205.3</v>
      </c>
      <c r="D46" s="1096">
        <f t="shared" si="0"/>
        <v>5.7644425442016117E-2</v>
      </c>
      <c r="E46" s="1096">
        <v>0.1648</v>
      </c>
    </row>
    <row r="47" spans="1:6" x14ac:dyDescent="0.4">
      <c r="A47" s="814" t="s">
        <v>6721</v>
      </c>
      <c r="B47" s="1095">
        <v>742.3</v>
      </c>
      <c r="C47" s="1095">
        <v>4478.6000000000004</v>
      </c>
      <c r="D47" s="1096">
        <f t="shared" si="0"/>
        <v>6.4989418115235578E-2</v>
      </c>
      <c r="E47" s="1096">
        <v>0.1245</v>
      </c>
      <c r="F47" s="814"/>
    </row>
    <row r="48" spans="1:6" x14ac:dyDescent="0.4">
      <c r="A48" s="814" t="s">
        <v>6722</v>
      </c>
      <c r="B48" s="1095">
        <v>813.4</v>
      </c>
      <c r="C48" s="1095">
        <v>4773.8999999999996</v>
      </c>
      <c r="D48" s="1096">
        <f t="shared" si="0"/>
        <v>6.5935783503773326E-2</v>
      </c>
      <c r="E48" s="1096">
        <v>-0.10059999999999999</v>
      </c>
    </row>
    <row r="49" spans="1:5" x14ac:dyDescent="0.4">
      <c r="A49" s="814" t="s">
        <v>6723</v>
      </c>
      <c r="B49" s="1095">
        <v>860</v>
      </c>
      <c r="C49" s="1095">
        <v>4904.8999999999996</v>
      </c>
      <c r="D49" s="1096">
        <f t="shared" si="0"/>
        <v>2.7440876432267121E-2</v>
      </c>
      <c r="E49" s="1096">
        <v>0.23980000000000001</v>
      </c>
    </row>
    <row r="50" spans="1:5" x14ac:dyDescent="0.4">
      <c r="A50" s="814" t="s">
        <v>6724</v>
      </c>
      <c r="B50" s="1095">
        <v>940.7</v>
      </c>
      <c r="C50" s="1095">
        <v>5145.8999999999996</v>
      </c>
      <c r="D50" s="1096">
        <f t="shared" si="0"/>
        <v>4.91345389304573E-2</v>
      </c>
      <c r="E50" s="1096">
        <v>0.1106</v>
      </c>
    </row>
    <row r="51" spans="1:5" x14ac:dyDescent="0.4">
      <c r="A51" s="814" t="s">
        <v>6725</v>
      </c>
      <c r="B51" s="1095">
        <v>1017.6</v>
      </c>
      <c r="C51" s="1095">
        <v>5306.6</v>
      </c>
      <c r="D51" s="1096">
        <f t="shared" si="0"/>
        <v>3.122874521463704E-2</v>
      </c>
      <c r="E51" s="1096">
        <v>-8.5000000000000006E-2</v>
      </c>
    </row>
    <row r="52" spans="1:5" x14ac:dyDescent="0.4">
      <c r="A52" s="814" t="s">
        <v>6726</v>
      </c>
      <c r="B52" s="1095">
        <v>1073.3</v>
      </c>
      <c r="C52" s="1095">
        <v>5316.4</v>
      </c>
      <c r="D52" s="1096">
        <f t="shared" si="0"/>
        <v>1.8467568688047473E-3</v>
      </c>
      <c r="E52" s="1096">
        <v>3.8600000000000002E-2</v>
      </c>
    </row>
    <row r="53" spans="1:5" x14ac:dyDescent="0.4">
      <c r="A53" s="814" t="s">
        <v>6727</v>
      </c>
      <c r="B53" s="1095">
        <v>1164.9000000000001</v>
      </c>
      <c r="C53" s="1095">
        <v>5491.4</v>
      </c>
      <c r="D53" s="1096">
        <f t="shared" si="0"/>
        <v>3.2917011511549174E-2</v>
      </c>
      <c r="E53" s="1096">
        <v>0.14299999999999999</v>
      </c>
    </row>
    <row r="54" spans="1:5" x14ac:dyDescent="0.4">
      <c r="A54" s="814" t="s">
        <v>6728</v>
      </c>
      <c r="B54" s="1095">
        <v>1279.0999999999999</v>
      </c>
      <c r="C54" s="1095">
        <v>5780</v>
      </c>
      <c r="D54" s="1096">
        <f t="shared" si="0"/>
        <v>5.2554904031758817E-2</v>
      </c>
      <c r="E54" s="1096">
        <v>0.19</v>
      </c>
    </row>
    <row r="55" spans="1:5" x14ac:dyDescent="0.4">
      <c r="A55" s="814" t="s">
        <v>6729</v>
      </c>
      <c r="B55" s="1095">
        <v>1425.4</v>
      </c>
      <c r="C55" s="1095">
        <v>6106.4</v>
      </c>
      <c r="D55" s="1096">
        <f t="shared" si="0"/>
        <v>5.6470588235294057E-2</v>
      </c>
      <c r="E55" s="1096">
        <v>-0.1469</v>
      </c>
    </row>
    <row r="56" spans="1:5" x14ac:dyDescent="0.4">
      <c r="A56" s="814" t="s">
        <v>6730</v>
      </c>
      <c r="B56" s="1095">
        <v>1545.2</v>
      </c>
      <c r="C56" s="1095">
        <v>6073.4</v>
      </c>
      <c r="D56" s="1096">
        <f t="shared" si="0"/>
        <v>-5.4041661207913016E-3</v>
      </c>
      <c r="E56" s="1096">
        <v>-0.26469999999999999</v>
      </c>
    </row>
    <row r="57" spans="1:5" x14ac:dyDescent="0.4">
      <c r="A57" s="814" t="s">
        <v>6731</v>
      </c>
      <c r="B57" s="1095">
        <v>1684.9</v>
      </c>
      <c r="C57" s="1095">
        <v>6060.9</v>
      </c>
      <c r="D57" s="1096">
        <f t="shared" si="0"/>
        <v>-2.0581552343003919E-3</v>
      </c>
      <c r="E57" s="1096">
        <v>0.37230000000000002</v>
      </c>
    </row>
    <row r="58" spans="1:5" x14ac:dyDescent="0.4">
      <c r="A58" s="814" t="s">
        <v>6732</v>
      </c>
      <c r="B58" s="1095">
        <v>1873.4</v>
      </c>
      <c r="C58" s="1095">
        <v>6387.4</v>
      </c>
      <c r="D58" s="1096">
        <f t="shared" si="0"/>
        <v>5.3869887310465443E-2</v>
      </c>
      <c r="E58" s="1096">
        <v>0.23930000000000001</v>
      </c>
    </row>
    <row r="59" spans="1:5" x14ac:dyDescent="0.4">
      <c r="A59" s="814" t="s">
        <v>6733</v>
      </c>
      <c r="B59" s="1095">
        <v>2081.8000000000002</v>
      </c>
      <c r="C59" s="1095">
        <v>6682.8</v>
      </c>
      <c r="D59" s="1096">
        <f t="shared" si="0"/>
        <v>4.6247299370636027E-2</v>
      </c>
      <c r="E59" s="1096">
        <v>-7.1599999999999997E-2</v>
      </c>
    </row>
    <row r="60" spans="1:5" x14ac:dyDescent="0.4">
      <c r="A60" s="814" t="s">
        <v>6734</v>
      </c>
      <c r="B60" s="1095">
        <v>2351.6</v>
      </c>
      <c r="C60" s="1095">
        <v>7052.7</v>
      </c>
      <c r="D60" s="1096">
        <f t="shared" si="0"/>
        <v>5.5351050457891848E-2</v>
      </c>
      <c r="E60" s="1096">
        <v>6.5699999999999995E-2</v>
      </c>
    </row>
    <row r="61" spans="1:5" x14ac:dyDescent="0.4">
      <c r="A61" s="814" t="s">
        <v>6735</v>
      </c>
      <c r="B61" s="1095">
        <v>2627.3</v>
      </c>
      <c r="C61" s="1095">
        <v>7276</v>
      </c>
      <c r="D61" s="1096">
        <f t="shared" si="0"/>
        <v>3.1661633133409924E-2</v>
      </c>
      <c r="E61" s="1096">
        <v>0.18609999999999999</v>
      </c>
    </row>
    <row r="62" spans="1:5" x14ac:dyDescent="0.4">
      <c r="A62" s="814" t="s">
        <v>6736</v>
      </c>
      <c r="B62" s="1095">
        <v>2857.3</v>
      </c>
      <c r="C62" s="1095">
        <v>7257.3</v>
      </c>
      <c r="D62" s="1096">
        <f t="shared" si="0"/>
        <v>-2.5700934579439001E-3</v>
      </c>
      <c r="E62" s="1096">
        <v>0.32500000000000001</v>
      </c>
    </row>
    <row r="63" spans="1:5" x14ac:dyDescent="0.4">
      <c r="A63" s="814" t="s">
        <v>6737</v>
      </c>
      <c r="B63" s="1095">
        <v>3207</v>
      </c>
      <c r="C63" s="1095">
        <v>7441.5</v>
      </c>
      <c r="D63" s="1096">
        <f t="shared" si="0"/>
        <v>2.5381340167830987E-2</v>
      </c>
      <c r="E63" s="1096">
        <v>-4.9200000000000001E-2</v>
      </c>
    </row>
    <row r="64" spans="1:5" x14ac:dyDescent="0.4">
      <c r="A64" s="814" t="s">
        <v>6738</v>
      </c>
      <c r="B64" s="1095">
        <v>3343.8</v>
      </c>
      <c r="C64" s="1095">
        <v>7307.3</v>
      </c>
      <c r="D64" s="1096">
        <f t="shared" si="0"/>
        <v>-1.8033998521803374E-2</v>
      </c>
      <c r="E64" s="1096">
        <v>0.2155</v>
      </c>
    </row>
    <row r="65" spans="1:14" x14ac:dyDescent="0.4">
      <c r="A65" s="814" t="s">
        <v>6739</v>
      </c>
      <c r="B65" s="1095">
        <v>3634</v>
      </c>
      <c r="C65" s="1095">
        <v>7642.3</v>
      </c>
      <c r="D65" s="1096">
        <f t="shared" si="0"/>
        <v>4.5844566392511596E-2</v>
      </c>
      <c r="E65" s="1096">
        <v>0.22559999999999999</v>
      </c>
    </row>
    <row r="66" spans="1:14" x14ac:dyDescent="0.4">
      <c r="A66" s="814" t="s">
        <v>6740</v>
      </c>
      <c r="B66" s="1095">
        <v>4037.6</v>
      </c>
      <c r="C66" s="1095">
        <v>8195.2999999999993</v>
      </c>
      <c r="D66" s="1096">
        <f t="shared" si="0"/>
        <v>7.2360415058293853E-2</v>
      </c>
      <c r="E66" s="1096">
        <v>6.2700000000000006E-2</v>
      </c>
    </row>
    <row r="67" spans="1:14" x14ac:dyDescent="0.4">
      <c r="A67" s="814" t="s">
        <v>6741</v>
      </c>
      <c r="B67" s="1095">
        <v>4339</v>
      </c>
      <c r="C67" s="1095">
        <v>8537</v>
      </c>
      <c r="D67" s="1096">
        <f t="shared" si="0"/>
        <v>4.1694629848815876E-2</v>
      </c>
      <c r="E67" s="1096">
        <v>0.31730000000000003</v>
      </c>
    </row>
    <row r="68" spans="1:14" x14ac:dyDescent="0.4">
      <c r="A68" s="814" t="s">
        <v>6742</v>
      </c>
      <c r="B68" s="1095">
        <v>4579.6000000000004</v>
      </c>
      <c r="C68" s="1095">
        <v>8832.6</v>
      </c>
      <c r="D68" s="1096">
        <f t="shared" si="0"/>
        <v>3.4625746749443638E-2</v>
      </c>
      <c r="E68" s="1096">
        <v>0.1867</v>
      </c>
    </row>
    <row r="69" spans="1:14" x14ac:dyDescent="0.4">
      <c r="A69" s="814" t="s">
        <v>6743</v>
      </c>
      <c r="B69" s="1095">
        <v>4855.2</v>
      </c>
      <c r="C69" s="1095">
        <v>9137.7000000000007</v>
      </c>
      <c r="D69" s="1096">
        <f t="shared" si="0"/>
        <v>3.454249031995113E-2</v>
      </c>
      <c r="E69" s="1096">
        <v>5.2499999999999998E-2</v>
      </c>
    </row>
    <row r="70" spans="1:14" x14ac:dyDescent="0.4">
      <c r="A70" s="814" t="s">
        <v>6744</v>
      </c>
      <c r="B70" s="1095">
        <v>5236.3999999999996</v>
      </c>
      <c r="C70" s="1095">
        <v>9519.4</v>
      </c>
      <c r="D70" s="1096">
        <f t="shared" si="0"/>
        <v>4.1771999518478271E-2</v>
      </c>
      <c r="E70" s="1096">
        <v>0.1661</v>
      </c>
    </row>
    <row r="71" spans="1:14" x14ac:dyDescent="0.4">
      <c r="A71" s="814" t="s">
        <v>6745</v>
      </c>
      <c r="B71" s="1095">
        <v>5641.6</v>
      </c>
      <c r="C71" s="1095">
        <v>9869</v>
      </c>
      <c r="D71" s="1096">
        <f t="shared" si="0"/>
        <v>3.6725003676702353E-2</v>
      </c>
      <c r="E71" s="1096">
        <v>0.31690000000000002</v>
      </c>
    </row>
    <row r="72" spans="1:14" x14ac:dyDescent="0.4">
      <c r="A72" s="814" t="s">
        <v>6746</v>
      </c>
      <c r="B72" s="1095">
        <v>5963.1</v>
      </c>
      <c r="C72" s="1095">
        <v>10055.1</v>
      </c>
      <c r="D72" s="1096">
        <f t="shared" si="0"/>
        <v>1.8857027054412844E-2</v>
      </c>
      <c r="E72" s="1096">
        <v>-3.1E-2</v>
      </c>
      <c r="H72" s="1028"/>
      <c r="I72" s="1028"/>
      <c r="J72" s="1028"/>
      <c r="K72" s="1028"/>
      <c r="L72" s="1028"/>
      <c r="M72" s="1028"/>
      <c r="N72" s="1028"/>
    </row>
    <row r="73" spans="1:14" x14ac:dyDescent="0.4">
      <c r="A73" s="814" t="s">
        <v>6747</v>
      </c>
      <c r="B73" s="1095">
        <v>6158.1</v>
      </c>
      <c r="C73" s="1095">
        <v>10044.200000000001</v>
      </c>
      <c r="D73" s="1096">
        <f t="shared" si="0"/>
        <v>-1.0840270111684256E-3</v>
      </c>
      <c r="E73" s="1096">
        <v>0.30470000000000003</v>
      </c>
      <c r="H73" s="1028"/>
      <c r="I73" s="1028"/>
      <c r="J73" s="1028"/>
      <c r="K73" s="1028"/>
      <c r="L73" s="1028"/>
      <c r="M73" s="1028"/>
      <c r="N73" s="1028"/>
    </row>
    <row r="74" spans="1:14" x14ac:dyDescent="0.4">
      <c r="A74" s="814" t="s">
        <v>6748</v>
      </c>
      <c r="B74" s="1095">
        <v>6520.3</v>
      </c>
      <c r="C74" s="1095">
        <v>10398</v>
      </c>
      <c r="D74" s="1096">
        <f t="shared" si="0"/>
        <v>3.5224308556181604E-2</v>
      </c>
      <c r="E74" s="1096">
        <v>7.6200000000000004E-2</v>
      </c>
      <c r="H74" s="1028"/>
      <c r="I74" s="1028"/>
      <c r="J74" s="1028"/>
      <c r="K74" s="1028"/>
      <c r="L74" s="1028"/>
      <c r="M74" s="1028"/>
      <c r="N74" s="1028"/>
    </row>
    <row r="75" spans="1:14" x14ac:dyDescent="0.4">
      <c r="A75" s="814" t="s">
        <v>6749</v>
      </c>
      <c r="B75" s="1095">
        <v>6858.6</v>
      </c>
      <c r="C75" s="1095">
        <v>10684.2</v>
      </c>
      <c r="D75" s="1096">
        <f t="shared" si="0"/>
        <v>2.7524523946912939E-2</v>
      </c>
      <c r="E75" s="1096">
        <v>0.1008</v>
      </c>
    </row>
    <row r="76" spans="1:14" x14ac:dyDescent="0.4">
      <c r="A76" s="814" t="s">
        <v>6750</v>
      </c>
      <c r="B76" s="1095">
        <v>7287.2</v>
      </c>
      <c r="C76" s="1095">
        <v>11114.6</v>
      </c>
      <c r="D76" s="1096">
        <f t="shared" ref="D76:D106" si="1">(C76-C75)/C75</f>
        <v>4.0283783530821175E-2</v>
      </c>
      <c r="E76" s="1096">
        <v>1.32E-2</v>
      </c>
    </row>
    <row r="77" spans="1:14" x14ac:dyDescent="0.4">
      <c r="A77" s="814" t="s">
        <v>6751</v>
      </c>
      <c r="B77" s="1095">
        <v>7639.7</v>
      </c>
      <c r="C77" s="1095">
        <v>11413</v>
      </c>
      <c r="D77" s="1096">
        <f t="shared" si="1"/>
        <v>2.6847569863062963E-2</v>
      </c>
      <c r="E77" s="1096">
        <v>0.37580000000000002</v>
      </c>
    </row>
    <row r="78" spans="1:14" x14ac:dyDescent="0.4">
      <c r="A78" s="814" t="s">
        <v>6752</v>
      </c>
      <c r="B78" s="1095">
        <v>8073.1</v>
      </c>
      <c r="C78" s="1095">
        <v>11843.6</v>
      </c>
      <c r="D78" s="1096">
        <f t="shared" si="1"/>
        <v>3.7728905633926259E-2</v>
      </c>
      <c r="E78" s="1096">
        <v>0.2296</v>
      </c>
    </row>
    <row r="79" spans="1:14" x14ac:dyDescent="0.4">
      <c r="A79" s="814" t="s">
        <v>6753</v>
      </c>
      <c r="B79" s="1095">
        <v>8577.6</v>
      </c>
      <c r="C79" s="1095">
        <v>12370.3</v>
      </c>
      <c r="D79" s="1096">
        <f t="shared" si="1"/>
        <v>4.4471275625654269E-2</v>
      </c>
      <c r="E79" s="1096">
        <v>0.33360000000000001</v>
      </c>
    </row>
    <row r="80" spans="1:14" x14ac:dyDescent="0.4">
      <c r="A80" s="814" t="s">
        <v>6754</v>
      </c>
      <c r="B80" s="1095">
        <v>9062.7999999999993</v>
      </c>
      <c r="C80" s="1095">
        <v>12924.9</v>
      </c>
      <c r="D80" s="1096">
        <f t="shared" si="1"/>
        <v>4.4833189170836632E-2</v>
      </c>
      <c r="E80" s="1096">
        <v>0.2858</v>
      </c>
    </row>
    <row r="81" spans="1:14" x14ac:dyDescent="0.4">
      <c r="A81" s="814" t="s">
        <v>6755</v>
      </c>
      <c r="B81" s="1095">
        <v>9631.2000000000007</v>
      </c>
      <c r="C81" s="1095">
        <v>13543.8</v>
      </c>
      <c r="D81" s="1096">
        <f t="shared" si="1"/>
        <v>4.7884316319662022E-2</v>
      </c>
      <c r="E81" s="1096">
        <v>0.2104</v>
      </c>
    </row>
    <row r="82" spans="1:14" x14ac:dyDescent="0.4">
      <c r="A82" s="814" t="s">
        <v>6756</v>
      </c>
      <c r="B82" s="1095">
        <v>10251</v>
      </c>
      <c r="C82" s="1095">
        <v>14096</v>
      </c>
      <c r="D82" s="1096">
        <f t="shared" si="1"/>
        <v>4.0771423086578419E-2</v>
      </c>
      <c r="E82" s="1096">
        <v>-9.0999999999999998E-2</v>
      </c>
    </row>
    <row r="83" spans="1:14" x14ac:dyDescent="0.4">
      <c r="A83" s="814" t="s">
        <v>6757</v>
      </c>
      <c r="B83" s="1095">
        <v>10581.9</v>
      </c>
      <c r="C83" s="1095">
        <v>14230.7</v>
      </c>
      <c r="D83" s="1096">
        <f t="shared" si="1"/>
        <v>9.5559023836549895E-3</v>
      </c>
      <c r="E83" s="1096">
        <v>-0.11890000000000001</v>
      </c>
    </row>
    <row r="84" spans="1:14" x14ac:dyDescent="0.4">
      <c r="A84" s="814" t="s">
        <v>6758</v>
      </c>
      <c r="B84" s="1095">
        <v>10929.1</v>
      </c>
      <c r="C84" s="1095">
        <v>14472.7</v>
      </c>
      <c r="D84" s="1096">
        <f t="shared" si="1"/>
        <v>1.700548813480714E-2</v>
      </c>
      <c r="E84" s="1096">
        <v>-0.221</v>
      </c>
    </row>
    <row r="85" spans="1:14" x14ac:dyDescent="0.4">
      <c r="A85" s="814" t="s">
        <v>6759</v>
      </c>
      <c r="B85" s="1095">
        <v>11456.5</v>
      </c>
      <c r="C85" s="1095">
        <v>14877.3</v>
      </c>
      <c r="D85" s="1096">
        <f t="shared" si="1"/>
        <v>2.7956082831814281E-2</v>
      </c>
      <c r="E85" s="1096">
        <v>0.2868</v>
      </c>
    </row>
    <row r="86" spans="1:14" x14ac:dyDescent="0.4">
      <c r="A86" s="814" t="s">
        <v>6760</v>
      </c>
      <c r="B86" s="1095">
        <v>12217.2</v>
      </c>
      <c r="C86" s="1095">
        <v>15449.8</v>
      </c>
      <c r="D86" s="1096">
        <f t="shared" si="1"/>
        <v>3.8481444885832779E-2</v>
      </c>
      <c r="E86" s="1096">
        <v>0.10879999999999999</v>
      </c>
    </row>
    <row r="87" spans="1:14" x14ac:dyDescent="0.4">
      <c r="A87" s="814" t="s">
        <v>6761</v>
      </c>
      <c r="B87" s="1095">
        <v>13039.2</v>
      </c>
      <c r="C87" s="1095">
        <v>15988</v>
      </c>
      <c r="D87" s="1096">
        <f t="shared" si="1"/>
        <v>3.4835402400031114E-2</v>
      </c>
      <c r="E87" s="1096">
        <v>4.9099999999999998E-2</v>
      </c>
    </row>
    <row r="88" spans="1:14" x14ac:dyDescent="0.4">
      <c r="A88" s="814" t="s">
        <v>6762</v>
      </c>
      <c r="B88" s="1095">
        <v>13815.6</v>
      </c>
      <c r="C88" s="1095">
        <v>16433.099999999999</v>
      </c>
      <c r="D88" s="1096">
        <f t="shared" si="1"/>
        <v>2.7839629722291627E-2</v>
      </c>
      <c r="E88" s="1096">
        <v>0.15790000000000001</v>
      </c>
    </row>
    <row r="89" spans="1:14" x14ac:dyDescent="0.4">
      <c r="A89" s="814" t="s">
        <v>6763</v>
      </c>
      <c r="B89" s="1095">
        <v>14474.2</v>
      </c>
      <c r="C89" s="1095">
        <v>16762.400000000001</v>
      </c>
      <c r="D89" s="1096">
        <f t="shared" si="1"/>
        <v>2.003882408066664E-2</v>
      </c>
      <c r="E89" s="1096">
        <v>5.4899999999999997E-2</v>
      </c>
    </row>
    <row r="90" spans="1:14" x14ac:dyDescent="0.4">
      <c r="A90" s="814" t="s">
        <v>6764</v>
      </c>
      <c r="B90" s="1095">
        <v>14769.9</v>
      </c>
      <c r="C90" s="1095">
        <v>16781.5</v>
      </c>
      <c r="D90" s="1096">
        <f t="shared" si="1"/>
        <v>1.1394549706485076E-3</v>
      </c>
      <c r="E90" s="1096">
        <v>-0.37</v>
      </c>
    </row>
    <row r="91" spans="1:14" x14ac:dyDescent="0.4">
      <c r="A91" s="814" t="s">
        <v>6765</v>
      </c>
      <c r="B91" s="1095">
        <v>14478.1</v>
      </c>
      <c r="C91" s="1095">
        <v>16349.1</v>
      </c>
      <c r="D91" s="1096">
        <f t="shared" si="1"/>
        <v>-2.5766469028394343E-2</v>
      </c>
      <c r="E91" s="1096">
        <v>0.2646</v>
      </c>
    </row>
    <row r="92" spans="1:14" x14ac:dyDescent="0.4">
      <c r="A92" s="814" t="s">
        <v>6766</v>
      </c>
      <c r="B92" s="1095">
        <v>15049</v>
      </c>
      <c r="C92" s="1095">
        <v>16789.8</v>
      </c>
      <c r="D92" s="1096">
        <f t="shared" si="1"/>
        <v>2.6955612235535834E-2</v>
      </c>
      <c r="E92" s="1096">
        <v>0.15060000000000001</v>
      </c>
    </row>
    <row r="93" spans="1:14" x14ac:dyDescent="0.4">
      <c r="A93" s="814" t="s">
        <v>6767</v>
      </c>
      <c r="B93" s="1095">
        <v>15599.7</v>
      </c>
      <c r="C93" s="1095">
        <v>17052.400000000001</v>
      </c>
      <c r="D93" s="1096">
        <f t="shared" si="1"/>
        <v>1.5640448367461326E-2</v>
      </c>
      <c r="E93" s="1096">
        <v>2.1100000000000001E-2</v>
      </c>
      <c r="H93" s="1028"/>
      <c r="I93" s="1028"/>
      <c r="J93" s="1028"/>
      <c r="K93" s="1028"/>
      <c r="L93" s="1028"/>
      <c r="M93" s="1028"/>
      <c r="N93" s="1028"/>
    </row>
    <row r="94" spans="1:14" x14ac:dyDescent="0.4">
      <c r="A94" s="814" t="s">
        <v>6768</v>
      </c>
      <c r="B94" s="1095">
        <v>16254</v>
      </c>
      <c r="C94" s="1095">
        <v>17442.8</v>
      </c>
      <c r="D94" s="1096">
        <f t="shared" si="1"/>
        <v>2.2894138068541542E-2</v>
      </c>
      <c r="E94" s="1096">
        <v>0.16</v>
      </c>
      <c r="H94" s="1028"/>
      <c r="I94" s="1028"/>
      <c r="J94" s="1028"/>
      <c r="K94" s="1028"/>
      <c r="L94" s="1028"/>
      <c r="M94" s="1028"/>
      <c r="N94" s="1028"/>
    </row>
    <row r="95" spans="1:14" x14ac:dyDescent="0.4">
      <c r="A95" s="814" t="s">
        <v>6769</v>
      </c>
      <c r="B95" s="1095">
        <v>16880.7</v>
      </c>
      <c r="C95" s="1095">
        <v>17812.2</v>
      </c>
      <c r="D95" s="1096">
        <f t="shared" si="1"/>
        <v>2.1177792556241054E-2</v>
      </c>
      <c r="E95" s="1096">
        <v>0.32390000000000002</v>
      </c>
      <c r="H95" s="1028"/>
      <c r="I95" s="1028"/>
      <c r="J95" s="1028"/>
      <c r="K95" s="1028"/>
      <c r="L95" s="1028"/>
      <c r="M95" s="1028"/>
      <c r="N95" s="1028"/>
    </row>
    <row r="96" spans="1:14" x14ac:dyDescent="0.4">
      <c r="A96" s="814" t="s">
        <v>6770</v>
      </c>
      <c r="B96" s="1095">
        <v>17608.099999999999</v>
      </c>
      <c r="C96" s="1095">
        <v>18261.7</v>
      </c>
      <c r="D96" s="1096">
        <f t="shared" si="1"/>
        <v>2.5235512738460156E-2</v>
      </c>
      <c r="E96" s="1096">
        <v>0.13689999999999999</v>
      </c>
    </row>
    <row r="97" spans="1:5" x14ac:dyDescent="0.4">
      <c r="A97" s="814" t="s">
        <v>6771</v>
      </c>
      <c r="B97" s="1095">
        <v>18295</v>
      </c>
      <c r="C97" s="1095">
        <v>18799.599999999999</v>
      </c>
      <c r="D97" s="1096">
        <f t="shared" si="1"/>
        <v>2.9455089066187583E-2</v>
      </c>
      <c r="E97" s="1096">
        <v>1.38E-2</v>
      </c>
    </row>
    <row r="98" spans="1:5" x14ac:dyDescent="0.4">
      <c r="A98" s="814" t="s">
        <v>6772</v>
      </c>
      <c r="B98" s="1095">
        <v>18804.900000000001</v>
      </c>
      <c r="C98" s="1095">
        <v>19141.7</v>
      </c>
      <c r="D98" s="1096">
        <f t="shared" si="1"/>
        <v>1.8197195685014694E-2</v>
      </c>
      <c r="E98" s="1096">
        <v>0.1196</v>
      </c>
    </row>
    <row r="99" spans="1:5" x14ac:dyDescent="0.4">
      <c r="A99" s="814" t="s">
        <v>6773</v>
      </c>
      <c r="B99" s="1095">
        <v>19612.099999999999</v>
      </c>
      <c r="C99" s="1095">
        <v>19612.099999999999</v>
      </c>
      <c r="D99" s="1096">
        <f t="shared" si="1"/>
        <v>2.4574619809107748E-2</v>
      </c>
      <c r="E99" s="1096">
        <v>0.21829999999999999</v>
      </c>
    </row>
    <row r="100" spans="1:5" x14ac:dyDescent="0.4">
      <c r="A100" s="814" t="s">
        <v>6774</v>
      </c>
      <c r="B100" s="1095">
        <v>20656.5</v>
      </c>
      <c r="C100" s="1095">
        <v>20193.900000000001</v>
      </c>
      <c r="D100" s="1096">
        <f t="shared" si="1"/>
        <v>2.9665359650420043E-2</v>
      </c>
      <c r="E100" s="1096">
        <v>-4.3799999999999999E-2</v>
      </c>
    </row>
    <row r="101" spans="1:5" x14ac:dyDescent="0.4">
      <c r="A101" s="814" t="s">
        <v>6775</v>
      </c>
      <c r="B101" s="1095">
        <v>21521.4</v>
      </c>
      <c r="C101" s="1095">
        <v>20692.099999999999</v>
      </c>
      <c r="D101" s="1096">
        <f t="shared" si="1"/>
        <v>2.4670816434665767E-2</v>
      </c>
      <c r="E101" s="1096">
        <v>0.31490000000000001</v>
      </c>
    </row>
    <row r="102" spans="1:5" x14ac:dyDescent="0.4">
      <c r="A102" s="814" t="s">
        <v>6776</v>
      </c>
      <c r="B102" s="1095">
        <v>21323</v>
      </c>
      <c r="C102" s="1095">
        <v>20234.099999999999</v>
      </c>
      <c r="D102" s="1096">
        <f t="shared" si="1"/>
        <v>-2.2134051159621308E-2</v>
      </c>
      <c r="E102" s="1096">
        <v>0.184</v>
      </c>
    </row>
    <row r="103" spans="1:5" x14ac:dyDescent="0.4">
      <c r="A103" s="814" t="s">
        <v>6777</v>
      </c>
      <c r="B103" s="1095">
        <v>23594</v>
      </c>
      <c r="C103" s="1095">
        <v>21407.7</v>
      </c>
      <c r="D103" s="1096">
        <f t="shared" si="1"/>
        <v>5.8001097157768432E-2</v>
      </c>
      <c r="E103" s="1096">
        <v>0.28710000000000002</v>
      </c>
    </row>
    <row r="104" spans="1:5" x14ac:dyDescent="0.4">
      <c r="A104" s="814" t="s">
        <v>6778</v>
      </c>
      <c r="B104" s="1095">
        <v>25744.1</v>
      </c>
      <c r="C104" s="1095">
        <v>21822</v>
      </c>
      <c r="D104" s="1096">
        <f t="shared" si="1"/>
        <v>1.9352849675583983E-2</v>
      </c>
      <c r="E104" s="1096">
        <v>-0.18110000000000001</v>
      </c>
    </row>
    <row r="105" spans="1:5" x14ac:dyDescent="0.4">
      <c r="A105" s="1107">
        <v>2023</v>
      </c>
      <c r="B105" s="1108">
        <v>27360.9</v>
      </c>
      <c r="C105" s="1108">
        <v>22376.9</v>
      </c>
      <c r="D105" s="1096">
        <f t="shared" si="1"/>
        <v>2.5428466684996858E-2</v>
      </c>
      <c r="E105" s="1096">
        <v>0.2661</v>
      </c>
    </row>
    <row r="106" spans="1:5" x14ac:dyDescent="0.4">
      <c r="A106" s="1107">
        <v>2024</v>
      </c>
      <c r="B106" s="1108">
        <v>29179.1</v>
      </c>
      <c r="C106" s="1108">
        <v>23302.2</v>
      </c>
      <c r="D106" s="1096">
        <f t="shared" si="1"/>
        <v>4.1350678601593575E-2</v>
      </c>
      <c r="E106" s="1096">
        <f>D118</f>
        <v>0.25019679835938424</v>
      </c>
    </row>
    <row r="107" spans="1:5" x14ac:dyDescent="0.4">
      <c r="D107" s="1109"/>
      <c r="E107" s="1109"/>
    </row>
    <row r="109" spans="1:5" x14ac:dyDescent="0.4">
      <c r="A109" s="1110" t="s">
        <v>9</v>
      </c>
    </row>
    <row r="110" spans="1:5" x14ac:dyDescent="0.4">
      <c r="A110" s="1111" t="s">
        <v>6779</v>
      </c>
    </row>
    <row r="111" spans="1:5" x14ac:dyDescent="0.4">
      <c r="A111" s="1107" t="s">
        <v>6780</v>
      </c>
    </row>
    <row r="112" spans="1:5" x14ac:dyDescent="0.4">
      <c r="A112" s="1107" t="s">
        <v>2850</v>
      </c>
    </row>
    <row r="114" spans="2:5" x14ac:dyDescent="0.4">
      <c r="B114" s="1101" t="s">
        <v>6675</v>
      </c>
      <c r="C114" s="1112">
        <v>45289</v>
      </c>
      <c r="D114" s="1101">
        <v>10327.83</v>
      </c>
    </row>
    <row r="115" spans="2:5" x14ac:dyDescent="0.4">
      <c r="B115" s="1089"/>
      <c r="C115" s="1112">
        <v>45657</v>
      </c>
      <c r="D115" s="1101">
        <v>12911.82</v>
      </c>
    </row>
    <row r="116" spans="2:5" x14ac:dyDescent="0.4">
      <c r="B116" s="1089"/>
      <c r="C116" s="1089"/>
      <c r="D116" s="1089"/>
    </row>
    <row r="117" spans="2:5" x14ac:dyDescent="0.4">
      <c r="B117" s="1028"/>
      <c r="C117" s="1028"/>
      <c r="D117" s="1028"/>
      <c r="E117" s="1113"/>
    </row>
    <row r="118" spans="2:5" x14ac:dyDescent="0.4">
      <c r="B118" s="1028"/>
      <c r="C118" s="1028"/>
      <c r="D118" s="1114">
        <f>D115/D114-1</f>
        <v>0.25019679835938424</v>
      </c>
      <c r="E118" s="1113"/>
    </row>
    <row r="119" spans="2:5" x14ac:dyDescent="0.4">
      <c r="B119" s="1028"/>
      <c r="C119" s="1028"/>
      <c r="D119" s="1028"/>
    </row>
    <row r="120" spans="2:5" x14ac:dyDescent="0.4">
      <c r="B120" s="1028"/>
      <c r="C120" s="1028"/>
      <c r="D120" s="1028"/>
    </row>
    <row r="121" spans="2:5" x14ac:dyDescent="0.4">
      <c r="B121" s="1028"/>
      <c r="C121" s="1028"/>
      <c r="D121" s="1028"/>
    </row>
    <row r="122" spans="2:5" x14ac:dyDescent="0.4">
      <c r="B122" s="1028"/>
      <c r="C122" s="1101"/>
      <c r="D122" s="1101"/>
    </row>
    <row r="123" spans="2:5" x14ac:dyDescent="0.4">
      <c r="B123" s="1028"/>
      <c r="C123" s="1101"/>
      <c r="D123" s="1101"/>
    </row>
    <row r="124" spans="2:5" x14ac:dyDescent="0.4">
      <c r="B124" s="1028"/>
      <c r="C124" s="1112"/>
      <c r="D124" s="1101"/>
    </row>
    <row r="125" spans="2:5" x14ac:dyDescent="0.4">
      <c r="B125" s="1028"/>
      <c r="C125" s="1112"/>
      <c r="D125" s="1101"/>
    </row>
    <row r="126" spans="2:5" x14ac:dyDescent="0.4">
      <c r="B126" s="1028"/>
      <c r="C126" s="1112"/>
      <c r="D126" s="1101"/>
    </row>
    <row r="127" spans="2:5" x14ac:dyDescent="0.4">
      <c r="B127" s="1028"/>
      <c r="C127" s="1112"/>
      <c r="D127" s="1101"/>
    </row>
    <row r="128" spans="2:5" x14ac:dyDescent="0.4">
      <c r="B128" s="1028"/>
      <c r="C128" s="1112"/>
      <c r="D128" s="1101"/>
    </row>
    <row r="129" spans="2:4" x14ac:dyDescent="0.4">
      <c r="B129" s="1028"/>
      <c r="C129" s="1112"/>
      <c r="D129" s="1101"/>
    </row>
    <row r="130" spans="2:4" x14ac:dyDescent="0.4">
      <c r="B130" s="1028"/>
      <c r="C130" s="1112"/>
      <c r="D130" s="1101"/>
    </row>
    <row r="131" spans="2:4" x14ac:dyDescent="0.4">
      <c r="B131" s="1028"/>
      <c r="C131" s="1112"/>
      <c r="D131" s="1101"/>
    </row>
    <row r="132" spans="2:4" x14ac:dyDescent="0.4">
      <c r="B132" s="1028"/>
      <c r="C132" s="1112"/>
      <c r="D132" s="1101"/>
    </row>
    <row r="133" spans="2:4" x14ac:dyDescent="0.4">
      <c r="B133" s="1028"/>
      <c r="C133" s="1112"/>
      <c r="D133" s="1101"/>
    </row>
    <row r="134" spans="2:4" x14ac:dyDescent="0.4">
      <c r="B134" s="1028"/>
      <c r="C134" s="1112"/>
      <c r="D134" s="1101"/>
    </row>
    <row r="135" spans="2:4" x14ac:dyDescent="0.4">
      <c r="B135" s="1028"/>
      <c r="C135" s="1112"/>
      <c r="D135" s="1101"/>
    </row>
  </sheetData>
  <mergeCells count="3">
    <mergeCell ref="A5:C5"/>
    <mergeCell ref="H9:N9"/>
    <mergeCell ref="H10:N10"/>
  </mergeCells>
  <hyperlinks>
    <hyperlink ref="A110" r:id="rId1" xr:uid="{2DA7C16C-885C-4150-AFBC-41F423009A3A}"/>
  </hyperlinks>
  <printOptions horizontalCentered="1"/>
  <pageMargins left="0.7" right="0.7" top="0.75" bottom="0.75" header="0.3" footer="0.3"/>
  <pageSetup scale="72"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E572-015A-4996-BAA1-3EDB90FCF38C}">
  <sheetPr codeName="Sheet40"/>
  <dimension ref="A1:F1253"/>
  <sheetViews>
    <sheetView workbookViewId="0"/>
  </sheetViews>
  <sheetFormatPr defaultRowHeight="14.4" x14ac:dyDescent="0.55000000000000004"/>
  <cols>
    <col min="1" max="1" width="12.47265625" bestFit="1" customWidth="1"/>
    <col min="2" max="2" width="15.47265625" bestFit="1" customWidth="1"/>
    <col min="3" max="3" width="22.7890625" bestFit="1" customWidth="1"/>
  </cols>
  <sheetData>
    <row r="1" spans="1:6" x14ac:dyDescent="0.55000000000000004">
      <c r="B1" t="s">
        <v>5123</v>
      </c>
      <c r="C1" t="s">
        <v>5124</v>
      </c>
    </row>
    <row r="2" spans="1:6" x14ac:dyDescent="0.55000000000000004">
      <c r="A2" t="s">
        <v>120</v>
      </c>
      <c r="B2" t="s">
        <v>5118</v>
      </c>
      <c r="C2" t="s">
        <v>5125</v>
      </c>
    </row>
    <row r="3" spans="1:6" x14ac:dyDescent="0.55000000000000004">
      <c r="A3" s="820">
        <v>45552</v>
      </c>
      <c r="B3">
        <v>3.96</v>
      </c>
      <c r="C3">
        <f>VLOOKUP($A3,'WP Chart 1'!$A$2:$J$1257,10,FALSE)</f>
        <v>5.5</v>
      </c>
      <c r="E3">
        <f>CORREL(B3:B95,C3:C95)</f>
        <v>-0.85382487510918326</v>
      </c>
      <c r="F3" t="s">
        <v>4737</v>
      </c>
    </row>
    <row r="4" spans="1:6" x14ac:dyDescent="0.55000000000000004">
      <c r="A4" s="820">
        <v>45553</v>
      </c>
      <c r="B4">
        <v>4.03</v>
      </c>
      <c r="C4">
        <f>VLOOKUP($A4,'WP Chart 1'!$A$2:$J$1257,10,FALSE)</f>
        <v>5.5</v>
      </c>
    </row>
    <row r="5" spans="1:6" x14ac:dyDescent="0.55000000000000004">
      <c r="A5" s="820">
        <v>45554</v>
      </c>
      <c r="B5">
        <v>4.0599999999999996</v>
      </c>
      <c r="C5">
        <f>VLOOKUP($A5,'WP Chart 1'!$A$2:$J$1257,10,FALSE)</f>
        <v>5</v>
      </c>
    </row>
    <row r="6" spans="1:6" x14ac:dyDescent="0.55000000000000004">
      <c r="A6" s="820">
        <v>45555</v>
      </c>
      <c r="B6">
        <v>4.07</v>
      </c>
      <c r="C6">
        <f>VLOOKUP($A6,'WP Chart 1'!$A$2:$J$1257,10,FALSE)</f>
        <v>5</v>
      </c>
    </row>
    <row r="7" spans="1:6" x14ac:dyDescent="0.55000000000000004">
      <c r="A7" s="820">
        <v>45558</v>
      </c>
      <c r="B7">
        <v>4.09</v>
      </c>
      <c r="C7">
        <f>VLOOKUP($A7,'WP Chart 1'!$A$2:$J$1257,10,FALSE)</f>
        <v>5</v>
      </c>
    </row>
    <row r="8" spans="1:6" x14ac:dyDescent="0.55000000000000004">
      <c r="A8" s="820">
        <v>45559</v>
      </c>
      <c r="B8">
        <v>4.09</v>
      </c>
      <c r="C8">
        <f>VLOOKUP($A8,'WP Chart 1'!$A$2:$J$1257,10,FALSE)</f>
        <v>5</v>
      </c>
    </row>
    <row r="9" spans="1:6" x14ac:dyDescent="0.55000000000000004">
      <c r="A9" s="820">
        <v>45560</v>
      </c>
      <c r="B9">
        <v>4.1399999999999997</v>
      </c>
      <c r="C9">
        <f>VLOOKUP($A9,'WP Chart 1'!$A$2:$J$1257,10,FALSE)</f>
        <v>5</v>
      </c>
    </row>
    <row r="10" spans="1:6" x14ac:dyDescent="0.55000000000000004">
      <c r="A10" s="820">
        <v>45561</v>
      </c>
      <c r="B10">
        <v>4.12</v>
      </c>
      <c r="C10">
        <f>VLOOKUP($A10,'WP Chart 1'!$A$2:$J$1257,10,FALSE)</f>
        <v>5</v>
      </c>
    </row>
    <row r="11" spans="1:6" x14ac:dyDescent="0.55000000000000004">
      <c r="A11" s="820">
        <v>45562</v>
      </c>
      <c r="B11">
        <v>4.0999999999999996</v>
      </c>
      <c r="C11">
        <f>VLOOKUP($A11,'WP Chart 1'!$A$2:$J$1257,10,FALSE)</f>
        <v>5</v>
      </c>
    </row>
    <row r="12" spans="1:6" x14ac:dyDescent="0.55000000000000004">
      <c r="A12" s="820">
        <v>45565</v>
      </c>
      <c r="B12">
        <v>4.1399999999999997</v>
      </c>
      <c r="C12">
        <f>VLOOKUP($A12,'WP Chart 1'!$A$2:$J$1257,10,FALSE)</f>
        <v>5</v>
      </c>
    </row>
    <row r="13" spans="1:6" x14ac:dyDescent="0.55000000000000004">
      <c r="A13" s="820">
        <v>45566</v>
      </c>
      <c r="B13">
        <v>4.08</v>
      </c>
      <c r="C13">
        <f>VLOOKUP($A13,'WP Chart 1'!$A$2:$J$1257,10,FALSE)</f>
        <v>5</v>
      </c>
    </row>
    <row r="14" spans="1:6" x14ac:dyDescent="0.55000000000000004">
      <c r="A14" s="820">
        <v>45567</v>
      </c>
      <c r="B14">
        <v>4.1399999999999997</v>
      </c>
      <c r="C14">
        <f>VLOOKUP($A14,'WP Chart 1'!$A$2:$J$1257,10,FALSE)</f>
        <v>5</v>
      </c>
    </row>
    <row r="15" spans="1:6" x14ac:dyDescent="0.55000000000000004">
      <c r="A15" s="820">
        <v>45568</v>
      </c>
      <c r="B15">
        <v>4.18</v>
      </c>
      <c r="C15">
        <f>VLOOKUP($A15,'WP Chart 1'!$A$2:$J$1257,10,FALSE)</f>
        <v>5</v>
      </c>
    </row>
    <row r="16" spans="1:6" x14ac:dyDescent="0.55000000000000004">
      <c r="A16" s="820">
        <v>45569</v>
      </c>
      <c r="B16">
        <v>4.26</v>
      </c>
      <c r="C16">
        <f>VLOOKUP($A16,'WP Chart 1'!$A$2:$J$1257,10,FALSE)</f>
        <v>5</v>
      </c>
    </row>
    <row r="17" spans="1:3" x14ac:dyDescent="0.55000000000000004">
      <c r="A17" s="820">
        <v>45572</v>
      </c>
      <c r="B17">
        <v>4.3</v>
      </c>
      <c r="C17">
        <f>VLOOKUP($A17,'WP Chart 1'!$A$2:$J$1257,10,FALSE)</f>
        <v>5</v>
      </c>
    </row>
    <row r="18" spans="1:3" x14ac:dyDescent="0.55000000000000004">
      <c r="A18" s="820">
        <v>45573</v>
      </c>
      <c r="B18">
        <v>4.32</v>
      </c>
      <c r="C18">
        <f>VLOOKUP($A18,'WP Chart 1'!$A$2:$J$1257,10,FALSE)</f>
        <v>5</v>
      </c>
    </row>
    <row r="19" spans="1:3" x14ac:dyDescent="0.55000000000000004">
      <c r="A19" s="820">
        <v>45574</v>
      </c>
      <c r="B19">
        <v>4.34</v>
      </c>
      <c r="C19">
        <f>VLOOKUP($A19,'WP Chart 1'!$A$2:$J$1257,10,FALSE)</f>
        <v>5</v>
      </c>
    </row>
    <row r="20" spans="1:3" x14ac:dyDescent="0.55000000000000004">
      <c r="A20" s="820">
        <v>45575</v>
      </c>
      <c r="B20">
        <v>4.38</v>
      </c>
      <c r="C20">
        <f>VLOOKUP($A20,'WP Chart 1'!$A$2:$J$1257,10,FALSE)</f>
        <v>5</v>
      </c>
    </row>
    <row r="21" spans="1:3" x14ac:dyDescent="0.55000000000000004">
      <c r="A21" s="820">
        <v>45576</v>
      </c>
      <c r="B21">
        <v>4.3899999999999997</v>
      </c>
      <c r="C21">
        <f>VLOOKUP($A21,'WP Chart 1'!$A$2:$J$1257,10,FALSE)</f>
        <v>5</v>
      </c>
    </row>
    <row r="22" spans="1:3" x14ac:dyDescent="0.55000000000000004">
      <c r="A22" s="820">
        <v>45580</v>
      </c>
      <c r="B22">
        <v>4.32</v>
      </c>
      <c r="C22">
        <f>VLOOKUP($A22,'WP Chart 1'!$A$2:$J$1257,10,FALSE)</f>
        <v>5</v>
      </c>
    </row>
    <row r="23" spans="1:3" x14ac:dyDescent="0.55000000000000004">
      <c r="A23" s="820">
        <v>45581</v>
      </c>
      <c r="B23">
        <v>4.3</v>
      </c>
      <c r="C23">
        <f>VLOOKUP($A23,'WP Chart 1'!$A$2:$J$1257,10,FALSE)</f>
        <v>5</v>
      </c>
    </row>
    <row r="24" spans="1:3" x14ac:dyDescent="0.55000000000000004">
      <c r="A24" s="820">
        <v>45582</v>
      </c>
      <c r="B24">
        <v>4.3899999999999997</v>
      </c>
      <c r="C24">
        <f>VLOOKUP($A24,'WP Chart 1'!$A$2:$J$1257,10,FALSE)</f>
        <v>5</v>
      </c>
    </row>
    <row r="25" spans="1:3" x14ac:dyDescent="0.55000000000000004">
      <c r="A25" s="820">
        <v>45583</v>
      </c>
      <c r="B25">
        <v>4.38</v>
      </c>
      <c r="C25">
        <f>VLOOKUP($A25,'WP Chart 1'!$A$2:$J$1257,10,FALSE)</f>
        <v>5</v>
      </c>
    </row>
    <row r="26" spans="1:3" x14ac:dyDescent="0.55000000000000004">
      <c r="A26" s="820">
        <v>45586</v>
      </c>
      <c r="B26">
        <v>4.49</v>
      </c>
      <c r="C26">
        <f>VLOOKUP($A26,'WP Chart 1'!$A$2:$J$1257,10,FALSE)</f>
        <v>5</v>
      </c>
    </row>
    <row r="27" spans="1:3" x14ac:dyDescent="0.55000000000000004">
      <c r="A27" s="820">
        <v>45587</v>
      </c>
      <c r="B27">
        <v>4.49</v>
      </c>
      <c r="C27">
        <f>VLOOKUP($A27,'WP Chart 1'!$A$2:$J$1257,10,FALSE)</f>
        <v>5</v>
      </c>
    </row>
    <row r="28" spans="1:3" x14ac:dyDescent="0.55000000000000004">
      <c r="A28" s="820">
        <v>45588</v>
      </c>
      <c r="B28">
        <v>4.51</v>
      </c>
      <c r="C28">
        <f>VLOOKUP($A28,'WP Chart 1'!$A$2:$J$1257,10,FALSE)</f>
        <v>5</v>
      </c>
    </row>
    <row r="29" spans="1:3" x14ac:dyDescent="0.55000000000000004">
      <c r="A29" s="820">
        <v>45589</v>
      </c>
      <c r="B29">
        <v>4.47</v>
      </c>
      <c r="C29">
        <f>VLOOKUP($A29,'WP Chart 1'!$A$2:$J$1257,10,FALSE)</f>
        <v>5</v>
      </c>
    </row>
    <row r="30" spans="1:3" x14ac:dyDescent="0.55000000000000004">
      <c r="A30" s="820">
        <v>45590</v>
      </c>
      <c r="B30">
        <v>4.51</v>
      </c>
      <c r="C30">
        <f>VLOOKUP($A30,'WP Chart 1'!$A$2:$J$1257,10,FALSE)</f>
        <v>5</v>
      </c>
    </row>
    <row r="31" spans="1:3" x14ac:dyDescent="0.55000000000000004">
      <c r="A31" s="820">
        <v>45593</v>
      </c>
      <c r="B31">
        <v>4.53</v>
      </c>
      <c r="C31">
        <f>VLOOKUP($A31,'WP Chart 1'!$A$2:$J$1257,10,FALSE)</f>
        <v>5</v>
      </c>
    </row>
    <row r="32" spans="1:3" x14ac:dyDescent="0.55000000000000004">
      <c r="A32" s="820">
        <v>45594</v>
      </c>
      <c r="B32">
        <v>4.5199999999999996</v>
      </c>
      <c r="C32">
        <f>VLOOKUP($A32,'WP Chart 1'!$A$2:$J$1257,10,FALSE)</f>
        <v>5</v>
      </c>
    </row>
    <row r="33" spans="1:3" x14ac:dyDescent="0.55000000000000004">
      <c r="A33" s="820">
        <v>45595</v>
      </c>
      <c r="B33">
        <v>4.49</v>
      </c>
      <c r="C33">
        <f>VLOOKUP($A33,'WP Chart 1'!$A$2:$J$1257,10,FALSE)</f>
        <v>5</v>
      </c>
    </row>
    <row r="34" spans="1:3" x14ac:dyDescent="0.55000000000000004">
      <c r="A34" s="820">
        <v>45596</v>
      </c>
      <c r="B34">
        <v>4.47</v>
      </c>
      <c r="C34">
        <f>VLOOKUP($A34,'WP Chart 1'!$A$2:$J$1257,10,FALSE)</f>
        <v>5</v>
      </c>
    </row>
    <row r="35" spans="1:3" x14ac:dyDescent="0.55000000000000004">
      <c r="A35" s="820">
        <v>45597</v>
      </c>
      <c r="B35">
        <v>4.57</v>
      </c>
      <c r="C35">
        <f>VLOOKUP($A35,'WP Chart 1'!$A$2:$J$1257,10,FALSE)</f>
        <v>5</v>
      </c>
    </row>
    <row r="36" spans="1:3" x14ac:dyDescent="0.55000000000000004">
      <c r="A36" s="820">
        <v>45600</v>
      </c>
      <c r="B36">
        <v>4.5</v>
      </c>
      <c r="C36">
        <f>VLOOKUP($A36,'WP Chart 1'!$A$2:$J$1257,10,FALSE)</f>
        <v>5</v>
      </c>
    </row>
    <row r="37" spans="1:3" x14ac:dyDescent="0.55000000000000004">
      <c r="A37" s="820">
        <v>45601</v>
      </c>
      <c r="B37">
        <v>4.4400000000000004</v>
      </c>
      <c r="C37">
        <f>VLOOKUP($A37,'WP Chart 1'!$A$2:$J$1257,10,FALSE)</f>
        <v>5</v>
      </c>
    </row>
    <row r="38" spans="1:3" x14ac:dyDescent="0.55000000000000004">
      <c r="A38" s="820">
        <v>45602</v>
      </c>
      <c r="B38">
        <v>4.5999999999999996</v>
      </c>
      <c r="C38">
        <f>VLOOKUP($A38,'WP Chart 1'!$A$2:$J$1257,10,FALSE)</f>
        <v>5</v>
      </c>
    </row>
    <row r="39" spans="1:3" x14ac:dyDescent="0.55000000000000004">
      <c r="A39" s="820">
        <v>45603</v>
      </c>
      <c r="B39">
        <v>4.5199999999999996</v>
      </c>
      <c r="C39">
        <f>VLOOKUP($A39,'WP Chart 1'!$A$2:$J$1257,10,FALSE)</f>
        <v>5</v>
      </c>
    </row>
    <row r="40" spans="1:3" x14ac:dyDescent="0.55000000000000004">
      <c r="A40" s="820">
        <v>45604</v>
      </c>
      <c r="B40">
        <v>4.47</v>
      </c>
      <c r="C40">
        <f>VLOOKUP($A40,'WP Chart 1'!$A$2:$J$1257,10,FALSE)</f>
        <v>4.75</v>
      </c>
    </row>
    <row r="41" spans="1:3" x14ac:dyDescent="0.55000000000000004">
      <c r="A41" s="820">
        <v>45608</v>
      </c>
      <c r="B41">
        <v>4.58</v>
      </c>
      <c r="C41">
        <f>VLOOKUP($A41,'WP Chart 1'!$A$2:$J$1257,10,FALSE)</f>
        <v>4.75</v>
      </c>
    </row>
    <row r="42" spans="1:3" x14ac:dyDescent="0.55000000000000004">
      <c r="A42" s="820">
        <v>45609</v>
      </c>
      <c r="B42">
        <v>4.63</v>
      </c>
      <c r="C42">
        <f>VLOOKUP($A42,'WP Chart 1'!$A$2:$J$1257,10,FALSE)</f>
        <v>4.75</v>
      </c>
    </row>
    <row r="43" spans="1:3" x14ac:dyDescent="0.55000000000000004">
      <c r="A43" s="820">
        <v>45610</v>
      </c>
      <c r="B43">
        <v>4.58</v>
      </c>
      <c r="C43">
        <f>VLOOKUP($A43,'WP Chart 1'!$A$2:$J$1257,10,FALSE)</f>
        <v>4.75</v>
      </c>
    </row>
    <row r="44" spans="1:3" x14ac:dyDescent="0.55000000000000004">
      <c r="A44" s="820">
        <v>45611</v>
      </c>
      <c r="B44">
        <v>4.5999999999999996</v>
      </c>
      <c r="C44">
        <f>VLOOKUP($A44,'WP Chart 1'!$A$2:$J$1257,10,FALSE)</f>
        <v>4.75</v>
      </c>
    </row>
    <row r="45" spans="1:3" x14ac:dyDescent="0.55000000000000004">
      <c r="A45" s="820">
        <v>45614</v>
      </c>
      <c r="B45">
        <v>4.6100000000000003</v>
      </c>
      <c r="C45">
        <f>VLOOKUP($A45,'WP Chart 1'!$A$2:$J$1257,10,FALSE)</f>
        <v>4.75</v>
      </c>
    </row>
    <row r="46" spans="1:3" x14ac:dyDescent="0.55000000000000004">
      <c r="A46" s="820">
        <v>45615</v>
      </c>
      <c r="B46">
        <v>4.57</v>
      </c>
      <c r="C46">
        <f>VLOOKUP($A46,'WP Chart 1'!$A$2:$J$1257,10,FALSE)</f>
        <v>4.75</v>
      </c>
    </row>
    <row r="47" spans="1:3" x14ac:dyDescent="0.55000000000000004">
      <c r="A47" s="820">
        <v>45616</v>
      </c>
      <c r="B47">
        <v>4.59</v>
      </c>
      <c r="C47">
        <f>VLOOKUP($A47,'WP Chart 1'!$A$2:$J$1257,10,FALSE)</f>
        <v>4.75</v>
      </c>
    </row>
    <row r="48" spans="1:3" x14ac:dyDescent="0.55000000000000004">
      <c r="A48" s="820">
        <v>45617</v>
      </c>
      <c r="B48">
        <v>4.6100000000000003</v>
      </c>
      <c r="C48">
        <f>VLOOKUP($A48,'WP Chart 1'!$A$2:$J$1257,10,FALSE)</f>
        <v>4.75</v>
      </c>
    </row>
    <row r="49" spans="1:3" x14ac:dyDescent="0.55000000000000004">
      <c r="A49" s="820">
        <v>45618</v>
      </c>
      <c r="B49">
        <v>4.5999999999999996</v>
      </c>
      <c r="C49">
        <f>VLOOKUP($A49,'WP Chart 1'!$A$2:$J$1257,10,FALSE)</f>
        <v>4.75</v>
      </c>
    </row>
    <row r="50" spans="1:3" x14ac:dyDescent="0.55000000000000004">
      <c r="A50" s="820">
        <v>45621</v>
      </c>
      <c r="B50">
        <v>4.45</v>
      </c>
      <c r="C50">
        <f>VLOOKUP($A50,'WP Chart 1'!$A$2:$J$1257,10,FALSE)</f>
        <v>4.75</v>
      </c>
    </row>
    <row r="51" spans="1:3" x14ac:dyDescent="0.55000000000000004">
      <c r="A51" s="820">
        <v>45622</v>
      </c>
      <c r="B51">
        <v>4.4800000000000004</v>
      </c>
      <c r="C51">
        <f>VLOOKUP($A51,'WP Chart 1'!$A$2:$J$1257,10,FALSE)</f>
        <v>4.75</v>
      </c>
    </row>
    <row r="52" spans="1:3" x14ac:dyDescent="0.55000000000000004">
      <c r="A52" s="820">
        <v>45623</v>
      </c>
      <c r="B52">
        <v>4.4400000000000004</v>
      </c>
      <c r="C52">
        <f>VLOOKUP($A52,'WP Chart 1'!$A$2:$J$1257,10,FALSE)</f>
        <v>4.75</v>
      </c>
    </row>
    <row r="53" spans="1:3" x14ac:dyDescent="0.55000000000000004">
      <c r="A53" s="820">
        <v>45625</v>
      </c>
      <c r="B53">
        <v>4.3600000000000003</v>
      </c>
      <c r="C53">
        <f>VLOOKUP($A53,'WP Chart 1'!$A$2:$J$1257,10,FALSE)</f>
        <v>4.75</v>
      </c>
    </row>
    <row r="54" spans="1:3" x14ac:dyDescent="0.55000000000000004">
      <c r="A54" s="820">
        <v>45628</v>
      </c>
      <c r="B54">
        <v>4.3600000000000003</v>
      </c>
      <c r="C54">
        <f>VLOOKUP($A54,'WP Chart 1'!$A$2:$J$1257,10,FALSE)</f>
        <v>4.75</v>
      </c>
    </row>
    <row r="55" spans="1:3" x14ac:dyDescent="0.55000000000000004">
      <c r="A55" s="820">
        <v>45629</v>
      </c>
      <c r="B55">
        <v>4.4000000000000004</v>
      </c>
      <c r="C55">
        <f>VLOOKUP($A55,'WP Chart 1'!$A$2:$J$1257,10,FALSE)</f>
        <v>4.75</v>
      </c>
    </row>
    <row r="56" spans="1:3" x14ac:dyDescent="0.55000000000000004">
      <c r="A56" s="820">
        <v>45630</v>
      </c>
      <c r="B56">
        <v>4.3499999999999996</v>
      </c>
      <c r="C56">
        <f>VLOOKUP($A56,'WP Chart 1'!$A$2:$J$1257,10,FALSE)</f>
        <v>4.75</v>
      </c>
    </row>
    <row r="57" spans="1:3" x14ac:dyDescent="0.55000000000000004">
      <c r="A57" s="820">
        <v>45631</v>
      </c>
      <c r="B57">
        <v>4.33</v>
      </c>
      <c r="C57">
        <f>VLOOKUP($A57,'WP Chart 1'!$A$2:$J$1257,10,FALSE)</f>
        <v>4.75</v>
      </c>
    </row>
    <row r="58" spans="1:3" x14ac:dyDescent="0.55000000000000004">
      <c r="A58" s="820">
        <v>45632</v>
      </c>
      <c r="B58">
        <v>4.34</v>
      </c>
      <c r="C58">
        <f>VLOOKUP($A58,'WP Chart 1'!$A$2:$J$1257,10,FALSE)</f>
        <v>4.75</v>
      </c>
    </row>
    <row r="59" spans="1:3" x14ac:dyDescent="0.55000000000000004">
      <c r="A59" s="820">
        <v>45635</v>
      </c>
      <c r="B59">
        <v>4.3899999999999997</v>
      </c>
      <c r="C59">
        <f>VLOOKUP($A59,'WP Chart 1'!$A$2:$J$1257,10,FALSE)</f>
        <v>4.75</v>
      </c>
    </row>
    <row r="60" spans="1:3" x14ac:dyDescent="0.55000000000000004">
      <c r="A60" s="820">
        <v>45636</v>
      </c>
      <c r="B60">
        <v>4.41</v>
      </c>
      <c r="C60">
        <f>VLOOKUP($A60,'WP Chart 1'!$A$2:$J$1257,10,FALSE)</f>
        <v>4.75</v>
      </c>
    </row>
    <row r="61" spans="1:3" x14ac:dyDescent="0.55000000000000004">
      <c r="A61" s="820">
        <v>45637</v>
      </c>
      <c r="B61">
        <v>4.4800000000000004</v>
      </c>
      <c r="C61">
        <f>VLOOKUP($A61,'WP Chart 1'!$A$2:$J$1257,10,FALSE)</f>
        <v>4.75</v>
      </c>
    </row>
    <row r="62" spans="1:3" x14ac:dyDescent="0.55000000000000004">
      <c r="A62" s="820">
        <v>45638</v>
      </c>
      <c r="B62">
        <v>4.55</v>
      </c>
      <c r="C62">
        <f>VLOOKUP($A62,'WP Chart 1'!$A$2:$J$1257,10,FALSE)</f>
        <v>4.75</v>
      </c>
    </row>
    <row r="63" spans="1:3" x14ac:dyDescent="0.55000000000000004">
      <c r="A63" s="820">
        <v>45639</v>
      </c>
      <c r="B63">
        <v>4.6100000000000003</v>
      </c>
      <c r="C63">
        <f>VLOOKUP($A63,'WP Chart 1'!$A$2:$J$1257,10,FALSE)</f>
        <v>4.75</v>
      </c>
    </row>
    <row r="64" spans="1:3" x14ac:dyDescent="0.55000000000000004">
      <c r="A64" s="820">
        <v>45642</v>
      </c>
      <c r="B64">
        <v>4.5999999999999996</v>
      </c>
      <c r="C64">
        <f>VLOOKUP($A64,'WP Chart 1'!$A$2:$J$1257,10,FALSE)</f>
        <v>4.75</v>
      </c>
    </row>
    <row r="65" spans="1:3" x14ac:dyDescent="0.55000000000000004">
      <c r="A65" s="820">
        <v>45643</v>
      </c>
      <c r="B65">
        <v>4.59</v>
      </c>
      <c r="C65">
        <f>VLOOKUP($A65,'WP Chart 1'!$A$2:$J$1257,10,FALSE)</f>
        <v>4.75</v>
      </c>
    </row>
    <row r="66" spans="1:3" x14ac:dyDescent="0.55000000000000004">
      <c r="A66" s="820">
        <v>45644</v>
      </c>
      <c r="B66">
        <v>4.6500000000000004</v>
      </c>
      <c r="C66">
        <f>VLOOKUP($A66,'WP Chart 1'!$A$2:$J$1257,10,FALSE)</f>
        <v>4.75</v>
      </c>
    </row>
    <row r="67" spans="1:3" x14ac:dyDescent="0.55000000000000004">
      <c r="A67" s="820">
        <v>45645</v>
      </c>
      <c r="B67">
        <v>4.74</v>
      </c>
      <c r="C67">
        <f>VLOOKUP($A67,'WP Chart 1'!$A$2:$J$1257,10,FALSE)</f>
        <v>4.5</v>
      </c>
    </row>
    <row r="68" spans="1:3" x14ac:dyDescent="0.55000000000000004">
      <c r="A68" s="820">
        <v>45646</v>
      </c>
      <c r="B68">
        <v>4.72</v>
      </c>
      <c r="C68">
        <f>VLOOKUP($A68,'WP Chart 1'!$A$2:$J$1257,10,FALSE)</f>
        <v>4.5</v>
      </c>
    </row>
    <row r="69" spans="1:3" x14ac:dyDescent="0.55000000000000004">
      <c r="A69" s="820">
        <v>45649</v>
      </c>
      <c r="B69">
        <v>4.78</v>
      </c>
      <c r="C69">
        <f>VLOOKUP($A69,'WP Chart 1'!$A$2:$J$1257,10,FALSE)</f>
        <v>4.5</v>
      </c>
    </row>
    <row r="70" spans="1:3" x14ac:dyDescent="0.55000000000000004">
      <c r="A70" s="820">
        <v>45650</v>
      </c>
      <c r="B70">
        <v>4.76</v>
      </c>
      <c r="C70">
        <f>VLOOKUP($A70,'WP Chart 1'!$A$2:$J$1257,10,FALSE)</f>
        <v>4.5</v>
      </c>
    </row>
    <row r="71" spans="1:3" x14ac:dyDescent="0.55000000000000004">
      <c r="A71" s="820">
        <v>45652</v>
      </c>
      <c r="B71">
        <v>4.76</v>
      </c>
      <c r="C71">
        <f>VLOOKUP($A71,'WP Chart 1'!$A$2:$J$1257,10,FALSE)</f>
        <v>4.5</v>
      </c>
    </row>
    <row r="72" spans="1:3" x14ac:dyDescent="0.55000000000000004">
      <c r="A72" s="820">
        <v>45653</v>
      </c>
      <c r="B72">
        <v>4.82</v>
      </c>
      <c r="C72">
        <f>VLOOKUP($A72,'WP Chart 1'!$A$2:$J$1257,10,FALSE)</f>
        <v>4.5</v>
      </c>
    </row>
    <row r="73" spans="1:3" x14ac:dyDescent="0.55000000000000004">
      <c r="A73" s="820">
        <v>45656</v>
      </c>
      <c r="B73">
        <v>4.7699999999999996</v>
      </c>
      <c r="C73">
        <f>VLOOKUP($A73,'WP Chart 1'!$A$2:$J$1257,10,FALSE)</f>
        <v>4.5</v>
      </c>
    </row>
    <row r="74" spans="1:3" x14ac:dyDescent="0.55000000000000004">
      <c r="A74" s="820">
        <v>45657</v>
      </c>
      <c r="B74">
        <v>4.78</v>
      </c>
      <c r="C74">
        <f>VLOOKUP($A74,'WP Chart 1'!$A$2:$J$1257,10,FALSE)</f>
        <v>4.5</v>
      </c>
    </row>
    <row r="75" spans="1:3" x14ac:dyDescent="0.55000000000000004">
      <c r="A75" s="820">
        <v>45659</v>
      </c>
      <c r="B75">
        <v>4.79</v>
      </c>
      <c r="C75">
        <f>VLOOKUP($A75,'WP Chart 1'!$A$2:$J$1257,10,FALSE)</f>
        <v>4.5</v>
      </c>
    </row>
    <row r="76" spans="1:3" x14ac:dyDescent="0.55000000000000004">
      <c r="A76" s="820">
        <v>45660</v>
      </c>
      <c r="B76">
        <v>4.82</v>
      </c>
      <c r="C76">
        <f>VLOOKUP($A76,'WP Chart 1'!$A$2:$J$1257,10,FALSE)</f>
        <v>4.5</v>
      </c>
    </row>
    <row r="77" spans="1:3" x14ac:dyDescent="0.55000000000000004">
      <c r="A77" s="820">
        <v>45663</v>
      </c>
      <c r="B77">
        <v>4.8499999999999996</v>
      </c>
      <c r="C77">
        <f>VLOOKUP($A77,'WP Chart 1'!$A$2:$J$1257,10,FALSE)</f>
        <v>4.5</v>
      </c>
    </row>
    <row r="78" spans="1:3" x14ac:dyDescent="0.55000000000000004">
      <c r="A78" s="820">
        <v>45664</v>
      </c>
      <c r="B78">
        <v>4.91</v>
      </c>
      <c r="C78">
        <f>VLOOKUP($A78,'WP Chart 1'!$A$2:$J$1257,10,FALSE)</f>
        <v>4.5</v>
      </c>
    </row>
    <row r="79" spans="1:3" x14ac:dyDescent="0.55000000000000004">
      <c r="A79" s="820">
        <v>45665</v>
      </c>
      <c r="B79">
        <v>4.91</v>
      </c>
      <c r="C79">
        <f>VLOOKUP($A79,'WP Chart 1'!$A$2:$J$1257,10,FALSE)</f>
        <v>4.5</v>
      </c>
    </row>
    <row r="80" spans="1:3" x14ac:dyDescent="0.55000000000000004">
      <c r="A80" s="820">
        <v>45666</v>
      </c>
      <c r="B80">
        <v>4.92</v>
      </c>
      <c r="C80">
        <f>VLOOKUP($A80,'WP Chart 1'!$A$2:$J$1257,10,FALSE)</f>
        <v>4.5</v>
      </c>
    </row>
    <row r="81" spans="1:3" x14ac:dyDescent="0.55000000000000004">
      <c r="A81" s="820">
        <v>45667</v>
      </c>
      <c r="B81">
        <v>4.96</v>
      </c>
      <c r="C81">
        <f>VLOOKUP($A81,'WP Chart 1'!$A$2:$J$1257,10,FALSE)</f>
        <v>4.5</v>
      </c>
    </row>
    <row r="82" spans="1:3" x14ac:dyDescent="0.55000000000000004">
      <c r="A82" s="820">
        <v>45670</v>
      </c>
      <c r="B82">
        <v>4.97</v>
      </c>
      <c r="C82">
        <f>VLOOKUP($A82,'WP Chart 1'!$A$2:$J$1257,10,FALSE)</f>
        <v>4.5</v>
      </c>
    </row>
    <row r="83" spans="1:3" x14ac:dyDescent="0.55000000000000004">
      <c r="A83" s="820">
        <v>45671</v>
      </c>
      <c r="B83">
        <v>4.9800000000000004</v>
      </c>
      <c r="C83">
        <f>VLOOKUP($A83,'WP Chart 1'!$A$2:$J$1257,10,FALSE)</f>
        <v>4.5</v>
      </c>
    </row>
    <row r="84" spans="1:3" x14ac:dyDescent="0.55000000000000004">
      <c r="A84" s="820">
        <v>45672</v>
      </c>
      <c r="B84">
        <v>4.88</v>
      </c>
      <c r="C84">
        <f>VLOOKUP($A84,'WP Chart 1'!$A$2:$J$1257,10,FALSE)</f>
        <v>4.5</v>
      </c>
    </row>
    <row r="85" spans="1:3" x14ac:dyDescent="0.55000000000000004">
      <c r="A85" s="820">
        <v>45673</v>
      </c>
      <c r="B85">
        <v>4.84</v>
      </c>
      <c r="C85">
        <f>VLOOKUP($A85,'WP Chart 1'!$A$2:$J$1257,10,FALSE)</f>
        <v>4.5</v>
      </c>
    </row>
    <row r="86" spans="1:3" x14ac:dyDescent="0.55000000000000004">
      <c r="A86" s="820">
        <v>45674</v>
      </c>
      <c r="B86">
        <v>4.84</v>
      </c>
      <c r="C86">
        <f>VLOOKUP($A86,'WP Chart 1'!$A$2:$J$1257,10,FALSE)</f>
        <v>4.5</v>
      </c>
    </row>
    <row r="87" spans="1:3" x14ac:dyDescent="0.55000000000000004">
      <c r="A87" s="820">
        <v>45678</v>
      </c>
      <c r="B87">
        <v>4.8</v>
      </c>
      <c r="C87">
        <f>VLOOKUP($A87,'WP Chart 1'!$A$2:$J$1257,10,FALSE)</f>
        <v>4.5</v>
      </c>
    </row>
    <row r="88" spans="1:3" x14ac:dyDescent="0.55000000000000004">
      <c r="A88" s="820">
        <v>45679</v>
      </c>
      <c r="B88">
        <v>4.82</v>
      </c>
      <c r="C88">
        <f>VLOOKUP($A88,'WP Chart 1'!$A$2:$J$1257,10,FALSE)</f>
        <v>4.5</v>
      </c>
    </row>
    <row r="89" spans="1:3" x14ac:dyDescent="0.55000000000000004">
      <c r="A89" s="820">
        <v>45680</v>
      </c>
      <c r="B89">
        <v>4.87</v>
      </c>
      <c r="C89">
        <f>VLOOKUP($A89,'WP Chart 1'!$A$2:$J$1257,10,FALSE)</f>
        <v>4.5</v>
      </c>
    </row>
    <row r="90" spans="1:3" x14ac:dyDescent="0.55000000000000004">
      <c r="A90" s="820">
        <v>45681</v>
      </c>
      <c r="B90">
        <v>4.8499999999999996</v>
      </c>
      <c r="C90">
        <f>VLOOKUP($A90,'WP Chart 1'!$A$2:$J$1257,10,FALSE)</f>
        <v>4.5</v>
      </c>
    </row>
    <row r="91" spans="1:3" x14ac:dyDescent="0.55000000000000004">
      <c r="A91" s="820">
        <v>45684</v>
      </c>
      <c r="B91">
        <v>4.76</v>
      </c>
      <c r="C91">
        <f>VLOOKUP($A91,'WP Chart 1'!$A$2:$J$1257,10,FALSE)</f>
        <v>4.5</v>
      </c>
    </row>
    <row r="92" spans="1:3" x14ac:dyDescent="0.55000000000000004">
      <c r="A92" s="820">
        <v>45685</v>
      </c>
      <c r="B92">
        <v>4.78</v>
      </c>
      <c r="C92">
        <f>VLOOKUP($A92,'WP Chart 1'!$A$2:$J$1257,10,FALSE)</f>
        <v>4.5</v>
      </c>
    </row>
    <row r="93" spans="1:3" x14ac:dyDescent="0.55000000000000004">
      <c r="A93" s="820">
        <v>45686</v>
      </c>
      <c r="B93">
        <v>4.79</v>
      </c>
      <c r="C93">
        <f>VLOOKUP($A93,'WP Chart 1'!$A$2:$J$1257,10,FALSE)</f>
        <v>4.5</v>
      </c>
    </row>
    <row r="94" spans="1:3" x14ac:dyDescent="0.55000000000000004">
      <c r="A94" s="820">
        <v>45687</v>
      </c>
      <c r="B94">
        <v>4.76</v>
      </c>
      <c r="C94">
        <f>VLOOKUP($A94,'WP Chart 1'!$A$2:$J$1257,10,FALSE)</f>
        <v>4.5</v>
      </c>
    </row>
    <row r="95" spans="1:3" x14ac:dyDescent="0.55000000000000004">
      <c r="A95" s="820">
        <v>45688</v>
      </c>
      <c r="B95">
        <v>4.83</v>
      </c>
      <c r="C95">
        <f>VLOOKUP($A95,'WP Chart 1'!$A$2:$J$1257,10,FALSE)</f>
        <v>4.5</v>
      </c>
    </row>
    <row r="96" spans="1:3" x14ac:dyDescent="0.55000000000000004">
      <c r="A96" s="821"/>
    </row>
    <row r="97" spans="1:1" x14ac:dyDescent="0.55000000000000004">
      <c r="A97" s="821"/>
    </row>
    <row r="98" spans="1:1" x14ac:dyDescent="0.55000000000000004">
      <c r="A98" s="821"/>
    </row>
    <row r="99" spans="1:1" x14ac:dyDescent="0.55000000000000004">
      <c r="A99" s="821"/>
    </row>
    <row r="100" spans="1:1" x14ac:dyDescent="0.55000000000000004">
      <c r="A100" s="821"/>
    </row>
    <row r="101" spans="1:1" x14ac:dyDescent="0.55000000000000004">
      <c r="A101" s="821"/>
    </row>
    <row r="102" spans="1:1" x14ac:dyDescent="0.55000000000000004">
      <c r="A102" s="821"/>
    </row>
    <row r="103" spans="1:1" x14ac:dyDescent="0.55000000000000004">
      <c r="A103" s="821"/>
    </row>
    <row r="104" spans="1:1" x14ac:dyDescent="0.55000000000000004">
      <c r="A104" s="821"/>
    </row>
    <row r="105" spans="1:1" x14ac:dyDescent="0.55000000000000004">
      <c r="A105" s="821"/>
    </row>
    <row r="106" spans="1:1" x14ac:dyDescent="0.55000000000000004">
      <c r="A106" s="821"/>
    </row>
    <row r="107" spans="1:1" x14ac:dyDescent="0.55000000000000004">
      <c r="A107" s="821"/>
    </row>
    <row r="108" spans="1:1" x14ac:dyDescent="0.55000000000000004">
      <c r="A108" s="821"/>
    </row>
    <row r="109" spans="1:1" x14ac:dyDescent="0.55000000000000004">
      <c r="A109" s="821"/>
    </row>
    <row r="110" spans="1:1" x14ac:dyDescent="0.55000000000000004">
      <c r="A110" s="821"/>
    </row>
    <row r="111" spans="1:1" x14ac:dyDescent="0.55000000000000004">
      <c r="A111" s="821"/>
    </row>
    <row r="112" spans="1:1" x14ac:dyDescent="0.55000000000000004">
      <c r="A112" s="821"/>
    </row>
    <row r="113" spans="1:1" x14ac:dyDescent="0.55000000000000004">
      <c r="A113" s="821"/>
    </row>
    <row r="114" spans="1:1" x14ac:dyDescent="0.55000000000000004">
      <c r="A114" s="821"/>
    </row>
    <row r="115" spans="1:1" x14ac:dyDescent="0.55000000000000004">
      <c r="A115" s="821"/>
    </row>
    <row r="116" spans="1:1" x14ac:dyDescent="0.55000000000000004">
      <c r="A116" s="821"/>
    </row>
    <row r="117" spans="1:1" x14ac:dyDescent="0.55000000000000004">
      <c r="A117" s="821"/>
    </row>
    <row r="118" spans="1:1" x14ac:dyDescent="0.55000000000000004">
      <c r="A118" s="821"/>
    </row>
    <row r="119" spans="1:1" x14ac:dyDescent="0.55000000000000004">
      <c r="A119" s="821"/>
    </row>
    <row r="120" spans="1:1" x14ac:dyDescent="0.55000000000000004">
      <c r="A120" s="821"/>
    </row>
    <row r="121" spans="1:1" x14ac:dyDescent="0.55000000000000004">
      <c r="A121" s="821"/>
    </row>
    <row r="122" spans="1:1" x14ac:dyDescent="0.55000000000000004">
      <c r="A122" s="821"/>
    </row>
    <row r="123" spans="1:1" x14ac:dyDescent="0.55000000000000004">
      <c r="A123" s="821"/>
    </row>
    <row r="124" spans="1:1" x14ac:dyDescent="0.55000000000000004">
      <c r="A124" s="821"/>
    </row>
    <row r="125" spans="1:1" x14ac:dyDescent="0.55000000000000004">
      <c r="A125" s="821"/>
    </row>
    <row r="126" spans="1:1" x14ac:dyDescent="0.55000000000000004">
      <c r="A126" s="821"/>
    </row>
    <row r="127" spans="1:1" x14ac:dyDescent="0.55000000000000004">
      <c r="A127" s="821"/>
    </row>
    <row r="128" spans="1:1" x14ac:dyDescent="0.55000000000000004">
      <c r="A128" s="821"/>
    </row>
    <row r="129" spans="1:1" x14ac:dyDescent="0.55000000000000004">
      <c r="A129" s="821"/>
    </row>
    <row r="130" spans="1:1" x14ac:dyDescent="0.55000000000000004">
      <c r="A130" s="821"/>
    </row>
    <row r="131" spans="1:1" x14ac:dyDescent="0.55000000000000004">
      <c r="A131" s="821"/>
    </row>
    <row r="132" spans="1:1" x14ac:dyDescent="0.55000000000000004">
      <c r="A132" s="821"/>
    </row>
    <row r="133" spans="1:1" x14ac:dyDescent="0.55000000000000004">
      <c r="A133" s="821"/>
    </row>
    <row r="134" spans="1:1" x14ac:dyDescent="0.55000000000000004">
      <c r="A134" s="821"/>
    </row>
    <row r="135" spans="1:1" x14ac:dyDescent="0.55000000000000004">
      <c r="A135" s="821"/>
    </row>
    <row r="136" spans="1:1" x14ac:dyDescent="0.55000000000000004">
      <c r="A136" s="821"/>
    </row>
    <row r="137" spans="1:1" x14ac:dyDescent="0.55000000000000004">
      <c r="A137" s="821"/>
    </row>
    <row r="138" spans="1:1" x14ac:dyDescent="0.55000000000000004">
      <c r="A138" s="821"/>
    </row>
    <row r="139" spans="1:1" x14ac:dyDescent="0.55000000000000004">
      <c r="A139" s="821"/>
    </row>
    <row r="140" spans="1:1" x14ac:dyDescent="0.55000000000000004">
      <c r="A140" s="821"/>
    </row>
    <row r="141" spans="1:1" x14ac:dyDescent="0.55000000000000004">
      <c r="A141" s="821"/>
    </row>
    <row r="142" spans="1:1" x14ac:dyDescent="0.55000000000000004">
      <c r="A142" s="821"/>
    </row>
    <row r="143" spans="1:1" x14ac:dyDescent="0.55000000000000004">
      <c r="A143" s="821"/>
    </row>
    <row r="144" spans="1:1" x14ac:dyDescent="0.55000000000000004">
      <c r="A144" s="821"/>
    </row>
    <row r="145" spans="1:1" x14ac:dyDescent="0.55000000000000004">
      <c r="A145" s="821"/>
    </row>
    <row r="146" spans="1:1" x14ac:dyDescent="0.55000000000000004">
      <c r="A146" s="821"/>
    </row>
    <row r="147" spans="1:1" x14ac:dyDescent="0.55000000000000004">
      <c r="A147" s="821"/>
    </row>
    <row r="148" spans="1:1" x14ac:dyDescent="0.55000000000000004">
      <c r="A148" s="821"/>
    </row>
    <row r="149" spans="1:1" x14ac:dyDescent="0.55000000000000004">
      <c r="A149" s="821"/>
    </row>
    <row r="150" spans="1:1" x14ac:dyDescent="0.55000000000000004">
      <c r="A150" s="821"/>
    </row>
    <row r="151" spans="1:1" x14ac:dyDescent="0.55000000000000004">
      <c r="A151" s="821"/>
    </row>
    <row r="152" spans="1:1" x14ac:dyDescent="0.55000000000000004">
      <c r="A152" s="821"/>
    </row>
    <row r="153" spans="1:1" x14ac:dyDescent="0.55000000000000004">
      <c r="A153" s="821"/>
    </row>
    <row r="154" spans="1:1" x14ac:dyDescent="0.55000000000000004">
      <c r="A154" s="821"/>
    </row>
    <row r="155" spans="1:1" x14ac:dyDescent="0.55000000000000004">
      <c r="A155" s="821"/>
    </row>
    <row r="156" spans="1:1" x14ac:dyDescent="0.55000000000000004">
      <c r="A156" s="821"/>
    </row>
    <row r="157" spans="1:1" x14ac:dyDescent="0.55000000000000004">
      <c r="A157" s="821"/>
    </row>
    <row r="158" spans="1:1" x14ac:dyDescent="0.55000000000000004">
      <c r="A158" s="821"/>
    </row>
    <row r="159" spans="1:1" x14ac:dyDescent="0.55000000000000004">
      <c r="A159" s="821"/>
    </row>
    <row r="160" spans="1:1" x14ac:dyDescent="0.55000000000000004">
      <c r="A160" s="821"/>
    </row>
    <row r="161" spans="1:1" x14ac:dyDescent="0.55000000000000004">
      <c r="A161" s="821"/>
    </row>
    <row r="162" spans="1:1" x14ac:dyDescent="0.55000000000000004">
      <c r="A162" s="821"/>
    </row>
    <row r="163" spans="1:1" x14ac:dyDescent="0.55000000000000004">
      <c r="A163" s="821"/>
    </row>
    <row r="164" spans="1:1" x14ac:dyDescent="0.55000000000000004">
      <c r="A164" s="821"/>
    </row>
    <row r="165" spans="1:1" x14ac:dyDescent="0.55000000000000004">
      <c r="A165" s="821"/>
    </row>
    <row r="166" spans="1:1" x14ac:dyDescent="0.55000000000000004">
      <c r="A166" s="821"/>
    </row>
    <row r="167" spans="1:1" x14ac:dyDescent="0.55000000000000004">
      <c r="A167" s="821"/>
    </row>
    <row r="168" spans="1:1" x14ac:dyDescent="0.55000000000000004">
      <c r="A168" s="821"/>
    </row>
    <row r="169" spans="1:1" x14ac:dyDescent="0.55000000000000004">
      <c r="A169" s="821"/>
    </row>
    <row r="170" spans="1:1" x14ac:dyDescent="0.55000000000000004">
      <c r="A170" s="821"/>
    </row>
    <row r="171" spans="1:1" x14ac:dyDescent="0.55000000000000004">
      <c r="A171" s="821"/>
    </row>
    <row r="172" spans="1:1" x14ac:dyDescent="0.55000000000000004">
      <c r="A172" s="821"/>
    </row>
    <row r="173" spans="1:1" x14ac:dyDescent="0.55000000000000004">
      <c r="A173" s="821"/>
    </row>
    <row r="174" spans="1:1" x14ac:dyDescent="0.55000000000000004">
      <c r="A174" s="821"/>
    </row>
    <row r="175" spans="1:1" x14ac:dyDescent="0.55000000000000004">
      <c r="A175" s="821"/>
    </row>
    <row r="176" spans="1:1" x14ac:dyDescent="0.55000000000000004">
      <c r="A176" s="821"/>
    </row>
    <row r="177" spans="1:1" x14ac:dyDescent="0.55000000000000004">
      <c r="A177" s="821"/>
    </row>
    <row r="178" spans="1:1" x14ac:dyDescent="0.55000000000000004">
      <c r="A178" s="821"/>
    </row>
    <row r="179" spans="1:1" x14ac:dyDescent="0.55000000000000004">
      <c r="A179" s="821"/>
    </row>
    <row r="180" spans="1:1" x14ac:dyDescent="0.55000000000000004">
      <c r="A180" s="821"/>
    </row>
    <row r="181" spans="1:1" x14ac:dyDescent="0.55000000000000004">
      <c r="A181" s="821"/>
    </row>
    <row r="182" spans="1:1" x14ac:dyDescent="0.55000000000000004">
      <c r="A182" s="821"/>
    </row>
    <row r="183" spans="1:1" x14ac:dyDescent="0.55000000000000004">
      <c r="A183" s="821"/>
    </row>
    <row r="184" spans="1:1" x14ac:dyDescent="0.55000000000000004">
      <c r="A184" s="821"/>
    </row>
    <row r="185" spans="1:1" x14ac:dyDescent="0.55000000000000004">
      <c r="A185" s="821"/>
    </row>
    <row r="186" spans="1:1" x14ac:dyDescent="0.55000000000000004">
      <c r="A186" s="821"/>
    </row>
    <row r="187" spans="1:1" x14ac:dyDescent="0.55000000000000004">
      <c r="A187" s="821"/>
    </row>
    <row r="188" spans="1:1" x14ac:dyDescent="0.55000000000000004">
      <c r="A188" s="821"/>
    </row>
    <row r="189" spans="1:1" x14ac:dyDescent="0.55000000000000004">
      <c r="A189" s="821"/>
    </row>
    <row r="190" spans="1:1" x14ac:dyDescent="0.55000000000000004">
      <c r="A190" s="821"/>
    </row>
    <row r="191" spans="1:1" x14ac:dyDescent="0.55000000000000004">
      <c r="A191" s="821"/>
    </row>
    <row r="192" spans="1:1" x14ac:dyDescent="0.55000000000000004">
      <c r="A192" s="821"/>
    </row>
    <row r="193" spans="1:1" x14ac:dyDescent="0.55000000000000004">
      <c r="A193" s="821"/>
    </row>
    <row r="194" spans="1:1" x14ac:dyDescent="0.55000000000000004">
      <c r="A194" s="821"/>
    </row>
    <row r="195" spans="1:1" x14ac:dyDescent="0.55000000000000004">
      <c r="A195" s="821"/>
    </row>
    <row r="196" spans="1:1" x14ac:dyDescent="0.55000000000000004">
      <c r="A196" s="821"/>
    </row>
    <row r="197" spans="1:1" x14ac:dyDescent="0.55000000000000004">
      <c r="A197" s="821"/>
    </row>
    <row r="198" spans="1:1" x14ac:dyDescent="0.55000000000000004">
      <c r="A198" s="821"/>
    </row>
    <row r="199" spans="1:1" x14ac:dyDescent="0.55000000000000004">
      <c r="A199" s="821"/>
    </row>
    <row r="200" spans="1:1" x14ac:dyDescent="0.55000000000000004">
      <c r="A200" s="821"/>
    </row>
    <row r="201" spans="1:1" x14ac:dyDescent="0.55000000000000004">
      <c r="A201" s="821"/>
    </row>
    <row r="202" spans="1:1" x14ac:dyDescent="0.55000000000000004">
      <c r="A202" s="821"/>
    </row>
    <row r="203" spans="1:1" x14ac:dyDescent="0.55000000000000004">
      <c r="A203" s="821"/>
    </row>
    <row r="204" spans="1:1" x14ac:dyDescent="0.55000000000000004">
      <c r="A204" s="821"/>
    </row>
    <row r="205" spans="1:1" x14ac:dyDescent="0.55000000000000004">
      <c r="A205" s="821"/>
    </row>
    <row r="206" spans="1:1" x14ac:dyDescent="0.55000000000000004">
      <c r="A206" s="821"/>
    </row>
    <row r="207" spans="1:1" x14ac:dyDescent="0.55000000000000004">
      <c r="A207" s="821"/>
    </row>
    <row r="208" spans="1:1" x14ac:dyDescent="0.55000000000000004">
      <c r="A208" s="821"/>
    </row>
    <row r="209" spans="1:1" x14ac:dyDescent="0.55000000000000004">
      <c r="A209" s="821"/>
    </row>
    <row r="210" spans="1:1" x14ac:dyDescent="0.55000000000000004">
      <c r="A210" s="821"/>
    </row>
    <row r="211" spans="1:1" x14ac:dyDescent="0.55000000000000004">
      <c r="A211" s="821"/>
    </row>
    <row r="212" spans="1:1" x14ac:dyDescent="0.55000000000000004">
      <c r="A212" s="821"/>
    </row>
    <row r="213" spans="1:1" x14ac:dyDescent="0.55000000000000004">
      <c r="A213" s="821"/>
    </row>
    <row r="214" spans="1:1" x14ac:dyDescent="0.55000000000000004">
      <c r="A214" s="821"/>
    </row>
    <row r="215" spans="1:1" x14ac:dyDescent="0.55000000000000004">
      <c r="A215" s="821"/>
    </row>
    <row r="216" spans="1:1" x14ac:dyDescent="0.55000000000000004">
      <c r="A216" s="821"/>
    </row>
    <row r="217" spans="1:1" x14ac:dyDescent="0.55000000000000004">
      <c r="A217" s="821"/>
    </row>
    <row r="218" spans="1:1" x14ac:dyDescent="0.55000000000000004">
      <c r="A218" s="821"/>
    </row>
    <row r="219" spans="1:1" x14ac:dyDescent="0.55000000000000004">
      <c r="A219" s="821"/>
    </row>
    <row r="220" spans="1:1" x14ac:dyDescent="0.55000000000000004">
      <c r="A220" s="821"/>
    </row>
    <row r="221" spans="1:1" x14ac:dyDescent="0.55000000000000004">
      <c r="A221" s="821"/>
    </row>
    <row r="222" spans="1:1" x14ac:dyDescent="0.55000000000000004">
      <c r="A222" s="821"/>
    </row>
    <row r="223" spans="1:1" x14ac:dyDescent="0.55000000000000004">
      <c r="A223" s="821"/>
    </row>
    <row r="224" spans="1:1" x14ac:dyDescent="0.55000000000000004">
      <c r="A224" s="821"/>
    </row>
    <row r="225" spans="1:1" x14ac:dyDescent="0.55000000000000004">
      <c r="A225" s="821"/>
    </row>
    <row r="226" spans="1:1" x14ac:dyDescent="0.55000000000000004">
      <c r="A226" s="821"/>
    </row>
    <row r="227" spans="1:1" x14ac:dyDescent="0.55000000000000004">
      <c r="A227" s="821"/>
    </row>
    <row r="228" spans="1:1" x14ac:dyDescent="0.55000000000000004">
      <c r="A228" s="821"/>
    </row>
    <row r="229" spans="1:1" x14ac:dyDescent="0.55000000000000004">
      <c r="A229" s="821"/>
    </row>
    <row r="230" spans="1:1" x14ac:dyDescent="0.55000000000000004">
      <c r="A230" s="821"/>
    </row>
    <row r="231" spans="1:1" x14ac:dyDescent="0.55000000000000004">
      <c r="A231" s="821"/>
    </row>
    <row r="232" spans="1:1" x14ac:dyDescent="0.55000000000000004">
      <c r="A232" s="821"/>
    </row>
    <row r="233" spans="1:1" x14ac:dyDescent="0.55000000000000004">
      <c r="A233" s="821"/>
    </row>
    <row r="234" spans="1:1" x14ac:dyDescent="0.55000000000000004">
      <c r="A234" s="821"/>
    </row>
    <row r="235" spans="1:1" x14ac:dyDescent="0.55000000000000004">
      <c r="A235" s="821"/>
    </row>
    <row r="236" spans="1:1" x14ac:dyDescent="0.55000000000000004">
      <c r="A236" s="821"/>
    </row>
    <row r="237" spans="1:1" x14ac:dyDescent="0.55000000000000004">
      <c r="A237" s="821"/>
    </row>
    <row r="238" spans="1:1" x14ac:dyDescent="0.55000000000000004">
      <c r="A238" s="821"/>
    </row>
    <row r="239" spans="1:1" x14ac:dyDescent="0.55000000000000004">
      <c r="A239" s="821"/>
    </row>
    <row r="240" spans="1:1" x14ac:dyDescent="0.55000000000000004">
      <c r="A240" s="821"/>
    </row>
    <row r="241" spans="1:1" x14ac:dyDescent="0.55000000000000004">
      <c r="A241" s="821"/>
    </row>
    <row r="242" spans="1:1" x14ac:dyDescent="0.55000000000000004">
      <c r="A242" s="821"/>
    </row>
    <row r="243" spans="1:1" x14ac:dyDescent="0.55000000000000004">
      <c r="A243" s="821"/>
    </row>
    <row r="244" spans="1:1" x14ac:dyDescent="0.55000000000000004">
      <c r="A244" s="821"/>
    </row>
    <row r="245" spans="1:1" x14ac:dyDescent="0.55000000000000004">
      <c r="A245" s="821"/>
    </row>
    <row r="246" spans="1:1" x14ac:dyDescent="0.55000000000000004">
      <c r="A246" s="821"/>
    </row>
    <row r="247" spans="1:1" x14ac:dyDescent="0.55000000000000004">
      <c r="A247" s="821"/>
    </row>
    <row r="248" spans="1:1" x14ac:dyDescent="0.55000000000000004">
      <c r="A248" s="821"/>
    </row>
    <row r="249" spans="1:1" x14ac:dyDescent="0.55000000000000004">
      <c r="A249" s="821"/>
    </row>
    <row r="250" spans="1:1" x14ac:dyDescent="0.55000000000000004">
      <c r="A250" s="821"/>
    </row>
    <row r="251" spans="1:1" x14ac:dyDescent="0.55000000000000004">
      <c r="A251" s="821"/>
    </row>
    <row r="252" spans="1:1" x14ac:dyDescent="0.55000000000000004">
      <c r="A252" s="821"/>
    </row>
    <row r="253" spans="1:1" x14ac:dyDescent="0.55000000000000004">
      <c r="A253" s="821"/>
    </row>
    <row r="254" spans="1:1" x14ac:dyDescent="0.55000000000000004">
      <c r="A254" s="821"/>
    </row>
    <row r="255" spans="1:1" x14ac:dyDescent="0.55000000000000004">
      <c r="A255" s="821"/>
    </row>
    <row r="256" spans="1:1" x14ac:dyDescent="0.55000000000000004">
      <c r="A256" s="821"/>
    </row>
    <row r="257" spans="1:1" x14ac:dyDescent="0.55000000000000004">
      <c r="A257" s="821"/>
    </row>
    <row r="258" spans="1:1" x14ac:dyDescent="0.55000000000000004">
      <c r="A258" s="821"/>
    </row>
    <row r="259" spans="1:1" x14ac:dyDescent="0.55000000000000004">
      <c r="A259" s="821"/>
    </row>
    <row r="260" spans="1:1" x14ac:dyDescent="0.55000000000000004">
      <c r="A260" s="821"/>
    </row>
    <row r="261" spans="1:1" x14ac:dyDescent="0.55000000000000004">
      <c r="A261" s="821"/>
    </row>
    <row r="262" spans="1:1" x14ac:dyDescent="0.55000000000000004">
      <c r="A262" s="821"/>
    </row>
    <row r="263" spans="1:1" x14ac:dyDescent="0.55000000000000004">
      <c r="A263" s="821"/>
    </row>
    <row r="264" spans="1:1" x14ac:dyDescent="0.55000000000000004">
      <c r="A264" s="821"/>
    </row>
    <row r="265" spans="1:1" x14ac:dyDescent="0.55000000000000004">
      <c r="A265" s="821"/>
    </row>
    <row r="266" spans="1:1" x14ac:dyDescent="0.55000000000000004">
      <c r="A266" s="821"/>
    </row>
    <row r="267" spans="1:1" x14ac:dyDescent="0.55000000000000004">
      <c r="A267" s="821"/>
    </row>
    <row r="268" spans="1:1" x14ac:dyDescent="0.55000000000000004">
      <c r="A268" s="821"/>
    </row>
    <row r="269" spans="1:1" x14ac:dyDescent="0.55000000000000004">
      <c r="A269" s="821"/>
    </row>
    <row r="270" spans="1:1" x14ac:dyDescent="0.55000000000000004">
      <c r="A270" s="821"/>
    </row>
    <row r="271" spans="1:1" x14ac:dyDescent="0.55000000000000004">
      <c r="A271" s="821"/>
    </row>
    <row r="272" spans="1:1" x14ac:dyDescent="0.55000000000000004">
      <c r="A272" s="821"/>
    </row>
    <row r="273" spans="1:1" x14ac:dyDescent="0.55000000000000004">
      <c r="A273" s="821"/>
    </row>
    <row r="274" spans="1:1" x14ac:dyDescent="0.55000000000000004">
      <c r="A274" s="821"/>
    </row>
    <row r="275" spans="1:1" x14ac:dyDescent="0.55000000000000004">
      <c r="A275" s="821"/>
    </row>
    <row r="276" spans="1:1" x14ac:dyDescent="0.55000000000000004">
      <c r="A276" s="821"/>
    </row>
    <row r="277" spans="1:1" x14ac:dyDescent="0.55000000000000004">
      <c r="A277" s="821"/>
    </row>
    <row r="278" spans="1:1" x14ac:dyDescent="0.55000000000000004">
      <c r="A278" s="821"/>
    </row>
    <row r="279" spans="1:1" x14ac:dyDescent="0.55000000000000004">
      <c r="A279" s="821"/>
    </row>
    <row r="280" spans="1:1" x14ac:dyDescent="0.55000000000000004">
      <c r="A280" s="821"/>
    </row>
    <row r="281" spans="1:1" x14ac:dyDescent="0.55000000000000004">
      <c r="A281" s="821"/>
    </row>
    <row r="282" spans="1:1" x14ac:dyDescent="0.55000000000000004">
      <c r="A282" s="821"/>
    </row>
    <row r="283" spans="1:1" x14ac:dyDescent="0.55000000000000004">
      <c r="A283" s="821"/>
    </row>
    <row r="284" spans="1:1" x14ac:dyDescent="0.55000000000000004">
      <c r="A284" s="821"/>
    </row>
    <row r="285" spans="1:1" x14ac:dyDescent="0.55000000000000004">
      <c r="A285" s="821"/>
    </row>
    <row r="286" spans="1:1" x14ac:dyDescent="0.55000000000000004">
      <c r="A286" s="821"/>
    </row>
    <row r="287" spans="1:1" x14ac:dyDescent="0.55000000000000004">
      <c r="A287" s="821"/>
    </row>
    <row r="288" spans="1:1" x14ac:dyDescent="0.55000000000000004">
      <c r="A288" s="821"/>
    </row>
    <row r="289" spans="1:1" x14ac:dyDescent="0.55000000000000004">
      <c r="A289" s="821"/>
    </row>
    <row r="290" spans="1:1" x14ac:dyDescent="0.55000000000000004">
      <c r="A290" s="821"/>
    </row>
    <row r="291" spans="1:1" x14ac:dyDescent="0.55000000000000004">
      <c r="A291" s="821"/>
    </row>
    <row r="292" spans="1:1" x14ac:dyDescent="0.55000000000000004">
      <c r="A292" s="821"/>
    </row>
    <row r="293" spans="1:1" x14ac:dyDescent="0.55000000000000004">
      <c r="A293" s="821"/>
    </row>
    <row r="294" spans="1:1" x14ac:dyDescent="0.55000000000000004">
      <c r="A294" s="821"/>
    </row>
    <row r="295" spans="1:1" x14ac:dyDescent="0.55000000000000004">
      <c r="A295" s="821"/>
    </row>
    <row r="296" spans="1:1" x14ac:dyDescent="0.55000000000000004">
      <c r="A296" s="821"/>
    </row>
    <row r="297" spans="1:1" x14ac:dyDescent="0.55000000000000004">
      <c r="A297" s="821"/>
    </row>
    <row r="298" spans="1:1" x14ac:dyDescent="0.55000000000000004">
      <c r="A298" s="821"/>
    </row>
    <row r="299" spans="1:1" x14ac:dyDescent="0.55000000000000004">
      <c r="A299" s="821"/>
    </row>
    <row r="300" spans="1:1" x14ac:dyDescent="0.55000000000000004">
      <c r="A300" s="821"/>
    </row>
    <row r="301" spans="1:1" x14ac:dyDescent="0.55000000000000004">
      <c r="A301" s="821"/>
    </row>
    <row r="302" spans="1:1" x14ac:dyDescent="0.55000000000000004">
      <c r="A302" s="821"/>
    </row>
    <row r="303" spans="1:1" x14ac:dyDescent="0.55000000000000004">
      <c r="A303" s="821"/>
    </row>
    <row r="304" spans="1:1" x14ac:dyDescent="0.55000000000000004">
      <c r="A304" s="821"/>
    </row>
    <row r="305" spans="1:1" x14ac:dyDescent="0.55000000000000004">
      <c r="A305" s="821"/>
    </row>
    <row r="306" spans="1:1" x14ac:dyDescent="0.55000000000000004">
      <c r="A306" s="821"/>
    </row>
    <row r="307" spans="1:1" x14ac:dyDescent="0.55000000000000004">
      <c r="A307" s="821"/>
    </row>
    <row r="308" spans="1:1" x14ac:dyDescent="0.55000000000000004">
      <c r="A308" s="821"/>
    </row>
    <row r="309" spans="1:1" x14ac:dyDescent="0.55000000000000004">
      <c r="A309" s="821"/>
    </row>
    <row r="310" spans="1:1" x14ac:dyDescent="0.55000000000000004">
      <c r="A310" s="821"/>
    </row>
    <row r="311" spans="1:1" x14ac:dyDescent="0.55000000000000004">
      <c r="A311" s="821"/>
    </row>
    <row r="312" spans="1:1" x14ac:dyDescent="0.55000000000000004">
      <c r="A312" s="821"/>
    </row>
    <row r="313" spans="1:1" x14ac:dyDescent="0.55000000000000004">
      <c r="A313" s="821"/>
    </row>
    <row r="314" spans="1:1" x14ac:dyDescent="0.55000000000000004">
      <c r="A314" s="821"/>
    </row>
    <row r="315" spans="1:1" x14ac:dyDescent="0.55000000000000004">
      <c r="A315" s="821"/>
    </row>
    <row r="316" spans="1:1" x14ac:dyDescent="0.55000000000000004">
      <c r="A316" s="821"/>
    </row>
    <row r="317" spans="1:1" x14ac:dyDescent="0.55000000000000004">
      <c r="A317" s="821"/>
    </row>
    <row r="318" spans="1:1" x14ac:dyDescent="0.55000000000000004">
      <c r="A318" s="821"/>
    </row>
    <row r="319" spans="1:1" x14ac:dyDescent="0.55000000000000004">
      <c r="A319" s="821"/>
    </row>
    <row r="320" spans="1:1" x14ac:dyDescent="0.55000000000000004">
      <c r="A320" s="821"/>
    </row>
    <row r="321" spans="1:1" x14ac:dyDescent="0.55000000000000004">
      <c r="A321" s="821"/>
    </row>
    <row r="322" spans="1:1" x14ac:dyDescent="0.55000000000000004">
      <c r="A322" s="821"/>
    </row>
    <row r="323" spans="1:1" x14ac:dyDescent="0.55000000000000004">
      <c r="A323" s="821"/>
    </row>
    <row r="324" spans="1:1" x14ac:dyDescent="0.55000000000000004">
      <c r="A324" s="821"/>
    </row>
    <row r="325" spans="1:1" x14ac:dyDescent="0.55000000000000004">
      <c r="A325" s="821"/>
    </row>
    <row r="326" spans="1:1" x14ac:dyDescent="0.55000000000000004">
      <c r="A326" s="821"/>
    </row>
    <row r="327" spans="1:1" x14ac:dyDescent="0.55000000000000004">
      <c r="A327" s="821"/>
    </row>
    <row r="328" spans="1:1" x14ac:dyDescent="0.55000000000000004">
      <c r="A328" s="821"/>
    </row>
    <row r="329" spans="1:1" x14ac:dyDescent="0.55000000000000004">
      <c r="A329" s="821"/>
    </row>
    <row r="330" spans="1:1" x14ac:dyDescent="0.55000000000000004">
      <c r="A330" s="821"/>
    </row>
    <row r="331" spans="1:1" x14ac:dyDescent="0.55000000000000004">
      <c r="A331" s="821"/>
    </row>
    <row r="332" spans="1:1" x14ac:dyDescent="0.55000000000000004">
      <c r="A332" s="821"/>
    </row>
    <row r="333" spans="1:1" x14ac:dyDescent="0.55000000000000004">
      <c r="A333" s="821"/>
    </row>
    <row r="334" spans="1:1" x14ac:dyDescent="0.55000000000000004">
      <c r="A334" s="821"/>
    </row>
    <row r="335" spans="1:1" x14ac:dyDescent="0.55000000000000004">
      <c r="A335" s="821"/>
    </row>
    <row r="336" spans="1:1" x14ac:dyDescent="0.55000000000000004">
      <c r="A336" s="821"/>
    </row>
    <row r="337" spans="1:1" x14ac:dyDescent="0.55000000000000004">
      <c r="A337" s="821"/>
    </row>
    <row r="338" spans="1:1" x14ac:dyDescent="0.55000000000000004">
      <c r="A338" s="821"/>
    </row>
    <row r="339" spans="1:1" x14ac:dyDescent="0.55000000000000004">
      <c r="A339" s="821"/>
    </row>
    <row r="340" spans="1:1" x14ac:dyDescent="0.55000000000000004">
      <c r="A340" s="821"/>
    </row>
    <row r="341" spans="1:1" x14ac:dyDescent="0.55000000000000004">
      <c r="A341" s="821"/>
    </row>
    <row r="342" spans="1:1" x14ac:dyDescent="0.55000000000000004">
      <c r="A342" s="821"/>
    </row>
    <row r="343" spans="1:1" x14ac:dyDescent="0.55000000000000004">
      <c r="A343" s="821"/>
    </row>
    <row r="344" spans="1:1" x14ac:dyDescent="0.55000000000000004">
      <c r="A344" s="821"/>
    </row>
    <row r="345" spans="1:1" x14ac:dyDescent="0.55000000000000004">
      <c r="A345" s="821"/>
    </row>
    <row r="346" spans="1:1" x14ac:dyDescent="0.55000000000000004">
      <c r="A346" s="821"/>
    </row>
    <row r="347" spans="1:1" x14ac:dyDescent="0.55000000000000004">
      <c r="A347" s="821"/>
    </row>
    <row r="348" spans="1:1" x14ac:dyDescent="0.55000000000000004">
      <c r="A348" s="821"/>
    </row>
    <row r="349" spans="1:1" x14ac:dyDescent="0.55000000000000004">
      <c r="A349" s="821"/>
    </row>
    <row r="350" spans="1:1" x14ac:dyDescent="0.55000000000000004">
      <c r="A350" s="821"/>
    </row>
    <row r="351" spans="1:1" x14ac:dyDescent="0.55000000000000004">
      <c r="A351" s="821"/>
    </row>
    <row r="352" spans="1:1" x14ac:dyDescent="0.55000000000000004">
      <c r="A352" s="821"/>
    </row>
    <row r="353" spans="1:1" x14ac:dyDescent="0.55000000000000004">
      <c r="A353" s="821"/>
    </row>
    <row r="354" spans="1:1" x14ac:dyDescent="0.55000000000000004">
      <c r="A354" s="821"/>
    </row>
    <row r="355" spans="1:1" x14ac:dyDescent="0.55000000000000004">
      <c r="A355" s="821"/>
    </row>
    <row r="356" spans="1:1" x14ac:dyDescent="0.55000000000000004">
      <c r="A356" s="821"/>
    </row>
    <row r="357" spans="1:1" x14ac:dyDescent="0.55000000000000004">
      <c r="A357" s="821"/>
    </row>
    <row r="358" spans="1:1" x14ac:dyDescent="0.55000000000000004">
      <c r="A358" s="821"/>
    </row>
    <row r="359" spans="1:1" x14ac:dyDescent="0.55000000000000004">
      <c r="A359" s="821"/>
    </row>
    <row r="360" spans="1:1" x14ac:dyDescent="0.55000000000000004">
      <c r="A360" s="821"/>
    </row>
    <row r="361" spans="1:1" x14ac:dyDescent="0.55000000000000004">
      <c r="A361" s="821"/>
    </row>
    <row r="362" spans="1:1" x14ac:dyDescent="0.55000000000000004">
      <c r="A362" s="821"/>
    </row>
    <row r="363" spans="1:1" x14ac:dyDescent="0.55000000000000004">
      <c r="A363" s="821"/>
    </row>
    <row r="364" spans="1:1" x14ac:dyDescent="0.55000000000000004">
      <c r="A364" s="821"/>
    </row>
    <row r="365" spans="1:1" x14ac:dyDescent="0.55000000000000004">
      <c r="A365" s="821"/>
    </row>
    <row r="366" spans="1:1" x14ac:dyDescent="0.55000000000000004">
      <c r="A366" s="821"/>
    </row>
    <row r="367" spans="1:1" x14ac:dyDescent="0.55000000000000004">
      <c r="A367" s="821"/>
    </row>
    <row r="368" spans="1:1" x14ac:dyDescent="0.55000000000000004">
      <c r="A368" s="821"/>
    </row>
    <row r="369" spans="1:1" x14ac:dyDescent="0.55000000000000004">
      <c r="A369" s="821"/>
    </row>
    <row r="370" spans="1:1" x14ac:dyDescent="0.55000000000000004">
      <c r="A370" s="821"/>
    </row>
    <row r="371" spans="1:1" x14ac:dyDescent="0.55000000000000004">
      <c r="A371" s="821"/>
    </row>
    <row r="372" spans="1:1" x14ac:dyDescent="0.55000000000000004">
      <c r="A372" s="821"/>
    </row>
    <row r="373" spans="1:1" x14ac:dyDescent="0.55000000000000004">
      <c r="A373" s="821"/>
    </row>
    <row r="374" spans="1:1" x14ac:dyDescent="0.55000000000000004">
      <c r="A374" s="821"/>
    </row>
    <row r="375" spans="1:1" x14ac:dyDescent="0.55000000000000004">
      <c r="A375" s="821"/>
    </row>
    <row r="376" spans="1:1" x14ac:dyDescent="0.55000000000000004">
      <c r="A376" s="821"/>
    </row>
    <row r="377" spans="1:1" x14ac:dyDescent="0.55000000000000004">
      <c r="A377" s="821"/>
    </row>
    <row r="378" spans="1:1" x14ac:dyDescent="0.55000000000000004">
      <c r="A378" s="821"/>
    </row>
    <row r="379" spans="1:1" x14ac:dyDescent="0.55000000000000004">
      <c r="A379" s="821"/>
    </row>
    <row r="380" spans="1:1" x14ac:dyDescent="0.55000000000000004">
      <c r="A380" s="821"/>
    </row>
    <row r="381" spans="1:1" x14ac:dyDescent="0.55000000000000004">
      <c r="A381" s="821"/>
    </row>
    <row r="382" spans="1:1" x14ac:dyDescent="0.55000000000000004">
      <c r="A382" s="821"/>
    </row>
    <row r="383" spans="1:1" x14ac:dyDescent="0.55000000000000004">
      <c r="A383" s="821"/>
    </row>
    <row r="384" spans="1:1" x14ac:dyDescent="0.55000000000000004">
      <c r="A384" s="821"/>
    </row>
    <row r="385" spans="1:1" x14ac:dyDescent="0.55000000000000004">
      <c r="A385" s="821"/>
    </row>
    <row r="386" spans="1:1" x14ac:dyDescent="0.55000000000000004">
      <c r="A386" s="821"/>
    </row>
    <row r="387" spans="1:1" x14ac:dyDescent="0.55000000000000004">
      <c r="A387" s="821"/>
    </row>
    <row r="388" spans="1:1" x14ac:dyDescent="0.55000000000000004">
      <c r="A388" s="821"/>
    </row>
    <row r="389" spans="1:1" x14ac:dyDescent="0.55000000000000004">
      <c r="A389" s="821"/>
    </row>
    <row r="390" spans="1:1" x14ac:dyDescent="0.55000000000000004">
      <c r="A390" s="821"/>
    </row>
    <row r="391" spans="1:1" x14ac:dyDescent="0.55000000000000004">
      <c r="A391" s="821"/>
    </row>
    <row r="392" spans="1:1" x14ac:dyDescent="0.55000000000000004">
      <c r="A392" s="821"/>
    </row>
    <row r="393" spans="1:1" x14ac:dyDescent="0.55000000000000004">
      <c r="A393" s="821"/>
    </row>
    <row r="394" spans="1:1" x14ac:dyDescent="0.55000000000000004">
      <c r="A394" s="821"/>
    </row>
    <row r="395" spans="1:1" x14ac:dyDescent="0.55000000000000004">
      <c r="A395" s="821"/>
    </row>
    <row r="396" spans="1:1" x14ac:dyDescent="0.55000000000000004">
      <c r="A396" s="821"/>
    </row>
    <row r="397" spans="1:1" x14ac:dyDescent="0.55000000000000004">
      <c r="A397" s="821"/>
    </row>
    <row r="398" spans="1:1" x14ac:dyDescent="0.55000000000000004">
      <c r="A398" s="821"/>
    </row>
    <row r="399" spans="1:1" x14ac:dyDescent="0.55000000000000004">
      <c r="A399" s="821"/>
    </row>
    <row r="400" spans="1:1" x14ac:dyDescent="0.55000000000000004">
      <c r="A400" s="821"/>
    </row>
    <row r="401" spans="1:1" x14ac:dyDescent="0.55000000000000004">
      <c r="A401" s="821"/>
    </row>
    <row r="402" spans="1:1" x14ac:dyDescent="0.55000000000000004">
      <c r="A402" s="821"/>
    </row>
    <row r="403" spans="1:1" x14ac:dyDescent="0.55000000000000004">
      <c r="A403" s="821"/>
    </row>
    <row r="404" spans="1:1" x14ac:dyDescent="0.55000000000000004">
      <c r="A404" s="821"/>
    </row>
    <row r="405" spans="1:1" x14ac:dyDescent="0.55000000000000004">
      <c r="A405" s="821"/>
    </row>
    <row r="406" spans="1:1" x14ac:dyDescent="0.55000000000000004">
      <c r="A406" s="821"/>
    </row>
    <row r="407" spans="1:1" x14ac:dyDescent="0.55000000000000004">
      <c r="A407" s="821"/>
    </row>
    <row r="408" spans="1:1" x14ac:dyDescent="0.55000000000000004">
      <c r="A408" s="821"/>
    </row>
    <row r="409" spans="1:1" x14ac:dyDescent="0.55000000000000004">
      <c r="A409" s="821"/>
    </row>
    <row r="410" spans="1:1" x14ac:dyDescent="0.55000000000000004">
      <c r="A410" s="821"/>
    </row>
    <row r="411" spans="1:1" x14ac:dyDescent="0.55000000000000004">
      <c r="A411" s="821"/>
    </row>
    <row r="412" spans="1:1" x14ac:dyDescent="0.55000000000000004">
      <c r="A412" s="821"/>
    </row>
    <row r="413" spans="1:1" x14ac:dyDescent="0.55000000000000004">
      <c r="A413" s="821"/>
    </row>
    <row r="414" spans="1:1" x14ac:dyDescent="0.55000000000000004">
      <c r="A414" s="821"/>
    </row>
    <row r="415" spans="1:1" x14ac:dyDescent="0.55000000000000004">
      <c r="A415" s="821"/>
    </row>
    <row r="416" spans="1:1" x14ac:dyDescent="0.55000000000000004">
      <c r="A416" s="821"/>
    </row>
    <row r="417" spans="1:1" x14ac:dyDescent="0.55000000000000004">
      <c r="A417" s="821"/>
    </row>
    <row r="418" spans="1:1" x14ac:dyDescent="0.55000000000000004">
      <c r="A418" s="821"/>
    </row>
    <row r="419" spans="1:1" x14ac:dyDescent="0.55000000000000004">
      <c r="A419" s="821"/>
    </row>
    <row r="420" spans="1:1" x14ac:dyDescent="0.55000000000000004">
      <c r="A420" s="821"/>
    </row>
    <row r="421" spans="1:1" x14ac:dyDescent="0.55000000000000004">
      <c r="A421" s="821"/>
    </row>
    <row r="422" spans="1:1" x14ac:dyDescent="0.55000000000000004">
      <c r="A422" s="821"/>
    </row>
    <row r="423" spans="1:1" x14ac:dyDescent="0.55000000000000004">
      <c r="A423" s="821"/>
    </row>
    <row r="424" spans="1:1" x14ac:dyDescent="0.55000000000000004">
      <c r="A424" s="821"/>
    </row>
    <row r="425" spans="1:1" x14ac:dyDescent="0.55000000000000004">
      <c r="A425" s="821"/>
    </row>
    <row r="426" spans="1:1" x14ac:dyDescent="0.55000000000000004">
      <c r="A426" s="821"/>
    </row>
    <row r="427" spans="1:1" x14ac:dyDescent="0.55000000000000004">
      <c r="A427" s="821"/>
    </row>
    <row r="428" spans="1:1" x14ac:dyDescent="0.55000000000000004">
      <c r="A428" s="821"/>
    </row>
    <row r="429" spans="1:1" x14ac:dyDescent="0.55000000000000004">
      <c r="A429" s="821"/>
    </row>
    <row r="430" spans="1:1" x14ac:dyDescent="0.55000000000000004">
      <c r="A430" s="821"/>
    </row>
    <row r="431" spans="1:1" x14ac:dyDescent="0.55000000000000004">
      <c r="A431" s="821"/>
    </row>
    <row r="432" spans="1:1" x14ac:dyDescent="0.55000000000000004">
      <c r="A432" s="821"/>
    </row>
    <row r="433" spans="1:1" x14ac:dyDescent="0.55000000000000004">
      <c r="A433" s="821"/>
    </row>
    <row r="434" spans="1:1" x14ac:dyDescent="0.55000000000000004">
      <c r="A434" s="821"/>
    </row>
    <row r="435" spans="1:1" x14ac:dyDescent="0.55000000000000004">
      <c r="A435" s="821"/>
    </row>
    <row r="436" spans="1:1" x14ac:dyDescent="0.55000000000000004">
      <c r="A436" s="821"/>
    </row>
    <row r="437" spans="1:1" x14ac:dyDescent="0.55000000000000004">
      <c r="A437" s="821"/>
    </row>
    <row r="438" spans="1:1" x14ac:dyDescent="0.55000000000000004">
      <c r="A438" s="821"/>
    </row>
    <row r="439" spans="1:1" x14ac:dyDescent="0.55000000000000004">
      <c r="A439" s="821"/>
    </row>
    <row r="440" spans="1:1" x14ac:dyDescent="0.55000000000000004">
      <c r="A440" s="821"/>
    </row>
    <row r="441" spans="1:1" x14ac:dyDescent="0.55000000000000004">
      <c r="A441" s="821"/>
    </row>
    <row r="442" spans="1:1" x14ac:dyDescent="0.55000000000000004">
      <c r="A442" s="821"/>
    </row>
    <row r="443" spans="1:1" x14ac:dyDescent="0.55000000000000004">
      <c r="A443" s="821"/>
    </row>
    <row r="444" spans="1:1" x14ac:dyDescent="0.55000000000000004">
      <c r="A444" s="821"/>
    </row>
    <row r="445" spans="1:1" x14ac:dyDescent="0.55000000000000004">
      <c r="A445" s="821"/>
    </row>
    <row r="446" spans="1:1" x14ac:dyDescent="0.55000000000000004">
      <c r="A446" s="821"/>
    </row>
    <row r="447" spans="1:1" x14ac:dyDescent="0.55000000000000004">
      <c r="A447" s="821"/>
    </row>
    <row r="448" spans="1:1" x14ac:dyDescent="0.55000000000000004">
      <c r="A448" s="821"/>
    </row>
    <row r="449" spans="1:1" x14ac:dyDescent="0.55000000000000004">
      <c r="A449" s="821"/>
    </row>
    <row r="450" spans="1:1" x14ac:dyDescent="0.55000000000000004">
      <c r="A450" s="821"/>
    </row>
    <row r="451" spans="1:1" x14ac:dyDescent="0.55000000000000004">
      <c r="A451" s="821"/>
    </row>
    <row r="452" spans="1:1" x14ac:dyDescent="0.55000000000000004">
      <c r="A452" s="821"/>
    </row>
    <row r="453" spans="1:1" x14ac:dyDescent="0.55000000000000004">
      <c r="A453" s="821"/>
    </row>
    <row r="454" spans="1:1" x14ac:dyDescent="0.55000000000000004">
      <c r="A454" s="821"/>
    </row>
    <row r="455" spans="1:1" x14ac:dyDescent="0.55000000000000004">
      <c r="A455" s="821"/>
    </row>
    <row r="456" spans="1:1" x14ac:dyDescent="0.55000000000000004">
      <c r="A456" s="821"/>
    </row>
    <row r="457" spans="1:1" x14ac:dyDescent="0.55000000000000004">
      <c r="A457" s="821"/>
    </row>
    <row r="458" spans="1:1" x14ac:dyDescent="0.55000000000000004">
      <c r="A458" s="821"/>
    </row>
    <row r="459" spans="1:1" x14ac:dyDescent="0.55000000000000004">
      <c r="A459" s="821"/>
    </row>
    <row r="460" spans="1:1" x14ac:dyDescent="0.55000000000000004">
      <c r="A460" s="821"/>
    </row>
    <row r="461" spans="1:1" x14ac:dyDescent="0.55000000000000004">
      <c r="A461" s="821"/>
    </row>
    <row r="462" spans="1:1" x14ac:dyDescent="0.55000000000000004">
      <c r="A462" s="821"/>
    </row>
    <row r="463" spans="1:1" x14ac:dyDescent="0.55000000000000004">
      <c r="A463" s="821"/>
    </row>
    <row r="464" spans="1:1" x14ac:dyDescent="0.55000000000000004">
      <c r="A464" s="821"/>
    </row>
    <row r="465" spans="1:1" x14ac:dyDescent="0.55000000000000004">
      <c r="A465" s="821"/>
    </row>
    <row r="466" spans="1:1" x14ac:dyDescent="0.55000000000000004">
      <c r="A466" s="821"/>
    </row>
    <row r="467" spans="1:1" x14ac:dyDescent="0.55000000000000004">
      <c r="A467" s="821"/>
    </row>
    <row r="468" spans="1:1" x14ac:dyDescent="0.55000000000000004">
      <c r="A468" s="821"/>
    </row>
    <row r="469" spans="1:1" x14ac:dyDescent="0.55000000000000004">
      <c r="A469" s="821"/>
    </row>
    <row r="470" spans="1:1" x14ac:dyDescent="0.55000000000000004">
      <c r="A470" s="821"/>
    </row>
    <row r="471" spans="1:1" x14ac:dyDescent="0.55000000000000004">
      <c r="A471" s="821"/>
    </row>
    <row r="472" spans="1:1" x14ac:dyDescent="0.55000000000000004">
      <c r="A472" s="821"/>
    </row>
    <row r="473" spans="1:1" x14ac:dyDescent="0.55000000000000004">
      <c r="A473" s="821"/>
    </row>
    <row r="474" spans="1:1" x14ac:dyDescent="0.55000000000000004">
      <c r="A474" s="821"/>
    </row>
    <row r="475" spans="1:1" x14ac:dyDescent="0.55000000000000004">
      <c r="A475" s="821"/>
    </row>
    <row r="476" spans="1:1" x14ac:dyDescent="0.55000000000000004">
      <c r="A476" s="821"/>
    </row>
    <row r="477" spans="1:1" x14ac:dyDescent="0.55000000000000004">
      <c r="A477" s="821"/>
    </row>
    <row r="478" spans="1:1" x14ac:dyDescent="0.55000000000000004">
      <c r="A478" s="821"/>
    </row>
    <row r="479" spans="1:1" x14ac:dyDescent="0.55000000000000004">
      <c r="A479" s="821"/>
    </row>
    <row r="480" spans="1:1" x14ac:dyDescent="0.55000000000000004">
      <c r="A480" s="821"/>
    </row>
    <row r="481" spans="1:1" x14ac:dyDescent="0.55000000000000004">
      <c r="A481" s="821"/>
    </row>
    <row r="482" spans="1:1" x14ac:dyDescent="0.55000000000000004">
      <c r="A482" s="821"/>
    </row>
    <row r="483" spans="1:1" x14ac:dyDescent="0.55000000000000004">
      <c r="A483" s="821"/>
    </row>
    <row r="484" spans="1:1" x14ac:dyDescent="0.55000000000000004">
      <c r="A484" s="821"/>
    </row>
    <row r="485" spans="1:1" x14ac:dyDescent="0.55000000000000004">
      <c r="A485" s="821"/>
    </row>
    <row r="486" spans="1:1" x14ac:dyDescent="0.55000000000000004">
      <c r="A486" s="821"/>
    </row>
    <row r="487" spans="1:1" x14ac:dyDescent="0.55000000000000004">
      <c r="A487" s="821"/>
    </row>
    <row r="488" spans="1:1" x14ac:dyDescent="0.55000000000000004">
      <c r="A488" s="821"/>
    </row>
    <row r="489" spans="1:1" x14ac:dyDescent="0.55000000000000004">
      <c r="A489" s="821"/>
    </row>
    <row r="490" spans="1:1" x14ac:dyDescent="0.55000000000000004">
      <c r="A490" s="821"/>
    </row>
    <row r="491" spans="1:1" x14ac:dyDescent="0.55000000000000004">
      <c r="A491" s="821"/>
    </row>
    <row r="492" spans="1:1" x14ac:dyDescent="0.55000000000000004">
      <c r="A492" s="821"/>
    </row>
    <row r="493" spans="1:1" x14ac:dyDescent="0.55000000000000004">
      <c r="A493" s="821"/>
    </row>
    <row r="494" spans="1:1" x14ac:dyDescent="0.55000000000000004">
      <c r="A494" s="821"/>
    </row>
    <row r="495" spans="1:1" x14ac:dyDescent="0.55000000000000004">
      <c r="A495" s="821"/>
    </row>
    <row r="496" spans="1:1" x14ac:dyDescent="0.55000000000000004">
      <c r="A496" s="821"/>
    </row>
    <row r="497" spans="1:1" x14ac:dyDescent="0.55000000000000004">
      <c r="A497" s="821"/>
    </row>
    <row r="498" spans="1:1" x14ac:dyDescent="0.55000000000000004">
      <c r="A498" s="821"/>
    </row>
    <row r="499" spans="1:1" x14ac:dyDescent="0.55000000000000004">
      <c r="A499" s="821"/>
    </row>
    <row r="500" spans="1:1" x14ac:dyDescent="0.55000000000000004">
      <c r="A500" s="821"/>
    </row>
    <row r="501" spans="1:1" x14ac:dyDescent="0.55000000000000004">
      <c r="A501" s="821"/>
    </row>
    <row r="502" spans="1:1" x14ac:dyDescent="0.55000000000000004">
      <c r="A502" s="821"/>
    </row>
    <row r="503" spans="1:1" x14ac:dyDescent="0.55000000000000004">
      <c r="A503" s="821"/>
    </row>
    <row r="504" spans="1:1" x14ac:dyDescent="0.55000000000000004">
      <c r="A504" s="821"/>
    </row>
    <row r="505" spans="1:1" x14ac:dyDescent="0.55000000000000004">
      <c r="A505" s="821"/>
    </row>
    <row r="506" spans="1:1" x14ac:dyDescent="0.55000000000000004">
      <c r="A506" s="821"/>
    </row>
    <row r="507" spans="1:1" x14ac:dyDescent="0.55000000000000004">
      <c r="A507" s="821"/>
    </row>
    <row r="508" spans="1:1" x14ac:dyDescent="0.55000000000000004">
      <c r="A508" s="821"/>
    </row>
    <row r="509" spans="1:1" x14ac:dyDescent="0.55000000000000004">
      <c r="A509" s="821"/>
    </row>
    <row r="510" spans="1:1" x14ac:dyDescent="0.55000000000000004">
      <c r="A510" s="821"/>
    </row>
    <row r="511" spans="1:1" x14ac:dyDescent="0.55000000000000004">
      <c r="A511" s="821"/>
    </row>
    <row r="512" spans="1:1" x14ac:dyDescent="0.55000000000000004">
      <c r="A512" s="821"/>
    </row>
    <row r="513" spans="1:1" x14ac:dyDescent="0.55000000000000004">
      <c r="A513" s="821"/>
    </row>
    <row r="514" spans="1:1" x14ac:dyDescent="0.55000000000000004">
      <c r="A514" s="821"/>
    </row>
    <row r="515" spans="1:1" x14ac:dyDescent="0.55000000000000004">
      <c r="A515" s="821"/>
    </row>
    <row r="516" spans="1:1" x14ac:dyDescent="0.55000000000000004">
      <c r="A516" s="821"/>
    </row>
    <row r="517" spans="1:1" x14ac:dyDescent="0.55000000000000004">
      <c r="A517" s="821"/>
    </row>
    <row r="518" spans="1:1" x14ac:dyDescent="0.55000000000000004">
      <c r="A518" s="821"/>
    </row>
    <row r="519" spans="1:1" x14ac:dyDescent="0.55000000000000004">
      <c r="A519" s="821"/>
    </row>
    <row r="520" spans="1:1" x14ac:dyDescent="0.55000000000000004">
      <c r="A520" s="821"/>
    </row>
    <row r="521" spans="1:1" x14ac:dyDescent="0.55000000000000004">
      <c r="A521" s="821"/>
    </row>
    <row r="522" spans="1:1" x14ac:dyDescent="0.55000000000000004">
      <c r="A522" s="821"/>
    </row>
    <row r="523" spans="1:1" x14ac:dyDescent="0.55000000000000004">
      <c r="A523" s="821"/>
    </row>
    <row r="524" spans="1:1" x14ac:dyDescent="0.55000000000000004">
      <c r="A524" s="821"/>
    </row>
    <row r="525" spans="1:1" x14ac:dyDescent="0.55000000000000004">
      <c r="A525" s="821"/>
    </row>
    <row r="526" spans="1:1" x14ac:dyDescent="0.55000000000000004">
      <c r="A526" s="821"/>
    </row>
    <row r="527" spans="1:1" x14ac:dyDescent="0.55000000000000004">
      <c r="A527" s="821"/>
    </row>
    <row r="528" spans="1:1" x14ac:dyDescent="0.55000000000000004">
      <c r="A528" s="821"/>
    </row>
    <row r="529" spans="1:1" x14ac:dyDescent="0.55000000000000004">
      <c r="A529" s="821"/>
    </row>
    <row r="530" spans="1:1" x14ac:dyDescent="0.55000000000000004">
      <c r="A530" s="821"/>
    </row>
    <row r="531" spans="1:1" x14ac:dyDescent="0.55000000000000004">
      <c r="A531" s="821"/>
    </row>
    <row r="532" spans="1:1" x14ac:dyDescent="0.55000000000000004">
      <c r="A532" s="821"/>
    </row>
    <row r="533" spans="1:1" x14ac:dyDescent="0.55000000000000004">
      <c r="A533" s="821"/>
    </row>
    <row r="534" spans="1:1" x14ac:dyDescent="0.55000000000000004">
      <c r="A534" s="821"/>
    </row>
    <row r="535" spans="1:1" x14ac:dyDescent="0.55000000000000004">
      <c r="A535" s="821"/>
    </row>
    <row r="536" spans="1:1" x14ac:dyDescent="0.55000000000000004">
      <c r="A536" s="821"/>
    </row>
    <row r="537" spans="1:1" x14ac:dyDescent="0.55000000000000004">
      <c r="A537" s="821"/>
    </row>
    <row r="538" spans="1:1" x14ac:dyDescent="0.55000000000000004">
      <c r="A538" s="821"/>
    </row>
    <row r="539" spans="1:1" x14ac:dyDescent="0.55000000000000004">
      <c r="A539" s="821"/>
    </row>
    <row r="540" spans="1:1" x14ac:dyDescent="0.55000000000000004">
      <c r="A540" s="821"/>
    </row>
    <row r="541" spans="1:1" x14ac:dyDescent="0.55000000000000004">
      <c r="A541" s="821"/>
    </row>
    <row r="542" spans="1:1" x14ac:dyDescent="0.55000000000000004">
      <c r="A542" s="821"/>
    </row>
    <row r="543" spans="1:1" x14ac:dyDescent="0.55000000000000004">
      <c r="A543" s="821"/>
    </row>
    <row r="544" spans="1:1" x14ac:dyDescent="0.55000000000000004">
      <c r="A544" s="821"/>
    </row>
    <row r="545" spans="1:1" x14ac:dyDescent="0.55000000000000004">
      <c r="A545" s="821"/>
    </row>
    <row r="546" spans="1:1" x14ac:dyDescent="0.55000000000000004">
      <c r="A546" s="821"/>
    </row>
    <row r="547" spans="1:1" x14ac:dyDescent="0.55000000000000004">
      <c r="A547" s="821"/>
    </row>
    <row r="548" spans="1:1" x14ac:dyDescent="0.55000000000000004">
      <c r="A548" s="821"/>
    </row>
    <row r="549" spans="1:1" x14ac:dyDescent="0.55000000000000004">
      <c r="A549" s="821"/>
    </row>
    <row r="550" spans="1:1" x14ac:dyDescent="0.55000000000000004">
      <c r="A550" s="821"/>
    </row>
    <row r="551" spans="1:1" x14ac:dyDescent="0.55000000000000004">
      <c r="A551" s="821"/>
    </row>
    <row r="552" spans="1:1" x14ac:dyDescent="0.55000000000000004">
      <c r="A552" s="821"/>
    </row>
    <row r="553" spans="1:1" x14ac:dyDescent="0.55000000000000004">
      <c r="A553" s="821"/>
    </row>
    <row r="554" spans="1:1" x14ac:dyDescent="0.55000000000000004">
      <c r="A554" s="821"/>
    </row>
    <row r="555" spans="1:1" x14ac:dyDescent="0.55000000000000004">
      <c r="A555" s="821"/>
    </row>
    <row r="556" spans="1:1" x14ac:dyDescent="0.55000000000000004">
      <c r="A556" s="821"/>
    </row>
    <row r="557" spans="1:1" x14ac:dyDescent="0.55000000000000004">
      <c r="A557" s="821"/>
    </row>
    <row r="558" spans="1:1" x14ac:dyDescent="0.55000000000000004">
      <c r="A558" s="821"/>
    </row>
    <row r="559" spans="1:1" x14ac:dyDescent="0.55000000000000004">
      <c r="A559" s="821"/>
    </row>
    <row r="560" spans="1:1" x14ac:dyDescent="0.55000000000000004">
      <c r="A560" s="821"/>
    </row>
    <row r="561" spans="1:1" x14ac:dyDescent="0.55000000000000004">
      <c r="A561" s="821"/>
    </row>
    <row r="562" spans="1:1" x14ac:dyDescent="0.55000000000000004">
      <c r="A562" s="821"/>
    </row>
    <row r="563" spans="1:1" x14ac:dyDescent="0.55000000000000004">
      <c r="A563" s="821"/>
    </row>
    <row r="564" spans="1:1" x14ac:dyDescent="0.55000000000000004">
      <c r="A564" s="821"/>
    </row>
    <row r="565" spans="1:1" x14ac:dyDescent="0.55000000000000004">
      <c r="A565" s="821"/>
    </row>
    <row r="566" spans="1:1" x14ac:dyDescent="0.55000000000000004">
      <c r="A566" s="821"/>
    </row>
    <row r="567" spans="1:1" x14ac:dyDescent="0.55000000000000004">
      <c r="A567" s="821"/>
    </row>
    <row r="568" spans="1:1" x14ac:dyDescent="0.55000000000000004">
      <c r="A568" s="821"/>
    </row>
    <row r="569" spans="1:1" x14ac:dyDescent="0.55000000000000004">
      <c r="A569" s="821"/>
    </row>
    <row r="570" spans="1:1" x14ac:dyDescent="0.55000000000000004">
      <c r="A570" s="821"/>
    </row>
    <row r="571" spans="1:1" x14ac:dyDescent="0.55000000000000004">
      <c r="A571" s="821"/>
    </row>
    <row r="572" spans="1:1" x14ac:dyDescent="0.55000000000000004">
      <c r="A572" s="821"/>
    </row>
    <row r="573" spans="1:1" x14ac:dyDescent="0.55000000000000004">
      <c r="A573" s="821"/>
    </row>
    <row r="574" spans="1:1" x14ac:dyDescent="0.55000000000000004">
      <c r="A574" s="821"/>
    </row>
    <row r="575" spans="1:1" x14ac:dyDescent="0.55000000000000004">
      <c r="A575" s="821"/>
    </row>
    <row r="576" spans="1:1" x14ac:dyDescent="0.55000000000000004">
      <c r="A576" s="821"/>
    </row>
    <row r="577" spans="1:1" x14ac:dyDescent="0.55000000000000004">
      <c r="A577" s="821"/>
    </row>
    <row r="578" spans="1:1" x14ac:dyDescent="0.55000000000000004">
      <c r="A578" s="821"/>
    </row>
    <row r="579" spans="1:1" x14ac:dyDescent="0.55000000000000004">
      <c r="A579" s="821"/>
    </row>
    <row r="580" spans="1:1" x14ac:dyDescent="0.55000000000000004">
      <c r="A580" s="821"/>
    </row>
    <row r="581" spans="1:1" x14ac:dyDescent="0.55000000000000004">
      <c r="A581" s="821"/>
    </row>
    <row r="582" spans="1:1" x14ac:dyDescent="0.55000000000000004">
      <c r="A582" s="821"/>
    </row>
    <row r="583" spans="1:1" x14ac:dyDescent="0.55000000000000004">
      <c r="A583" s="821"/>
    </row>
    <row r="584" spans="1:1" x14ac:dyDescent="0.55000000000000004">
      <c r="A584" s="821"/>
    </row>
    <row r="585" spans="1:1" x14ac:dyDescent="0.55000000000000004">
      <c r="A585" s="821"/>
    </row>
    <row r="586" spans="1:1" x14ac:dyDescent="0.55000000000000004">
      <c r="A586" s="821"/>
    </row>
    <row r="587" spans="1:1" x14ac:dyDescent="0.55000000000000004">
      <c r="A587" s="821"/>
    </row>
    <row r="588" spans="1:1" x14ac:dyDescent="0.55000000000000004">
      <c r="A588" s="821"/>
    </row>
    <row r="589" spans="1:1" x14ac:dyDescent="0.55000000000000004">
      <c r="A589" s="821"/>
    </row>
    <row r="590" spans="1:1" x14ac:dyDescent="0.55000000000000004">
      <c r="A590" s="821"/>
    </row>
    <row r="591" spans="1:1" x14ac:dyDescent="0.55000000000000004">
      <c r="A591" s="821"/>
    </row>
    <row r="592" spans="1:1" x14ac:dyDescent="0.55000000000000004">
      <c r="A592" s="821"/>
    </row>
    <row r="593" spans="1:1" x14ac:dyDescent="0.55000000000000004">
      <c r="A593" s="821"/>
    </row>
    <row r="594" spans="1:1" x14ac:dyDescent="0.55000000000000004">
      <c r="A594" s="821"/>
    </row>
    <row r="595" spans="1:1" x14ac:dyDescent="0.55000000000000004">
      <c r="A595" s="821"/>
    </row>
    <row r="596" spans="1:1" x14ac:dyDescent="0.55000000000000004">
      <c r="A596" s="821"/>
    </row>
    <row r="597" spans="1:1" x14ac:dyDescent="0.55000000000000004">
      <c r="A597" s="821"/>
    </row>
    <row r="598" spans="1:1" x14ac:dyDescent="0.55000000000000004">
      <c r="A598" s="821"/>
    </row>
    <row r="599" spans="1:1" x14ac:dyDescent="0.55000000000000004">
      <c r="A599" s="821"/>
    </row>
    <row r="600" spans="1:1" x14ac:dyDescent="0.55000000000000004">
      <c r="A600" s="821"/>
    </row>
    <row r="601" spans="1:1" x14ac:dyDescent="0.55000000000000004">
      <c r="A601" s="821"/>
    </row>
    <row r="602" spans="1:1" x14ac:dyDescent="0.55000000000000004">
      <c r="A602" s="821"/>
    </row>
    <row r="603" spans="1:1" x14ac:dyDescent="0.55000000000000004">
      <c r="A603" s="821"/>
    </row>
    <row r="604" spans="1:1" x14ac:dyDescent="0.55000000000000004">
      <c r="A604" s="821"/>
    </row>
    <row r="605" spans="1:1" x14ac:dyDescent="0.55000000000000004">
      <c r="A605" s="821"/>
    </row>
    <row r="606" spans="1:1" x14ac:dyDescent="0.55000000000000004">
      <c r="A606" s="821"/>
    </row>
    <row r="607" spans="1:1" x14ac:dyDescent="0.55000000000000004">
      <c r="A607" s="821"/>
    </row>
    <row r="608" spans="1:1" x14ac:dyDescent="0.55000000000000004">
      <c r="A608" s="821"/>
    </row>
    <row r="609" spans="1:1" x14ac:dyDescent="0.55000000000000004">
      <c r="A609" s="821"/>
    </row>
    <row r="610" spans="1:1" x14ac:dyDescent="0.55000000000000004">
      <c r="A610" s="821"/>
    </row>
    <row r="611" spans="1:1" x14ac:dyDescent="0.55000000000000004">
      <c r="A611" s="821"/>
    </row>
    <row r="612" spans="1:1" x14ac:dyDescent="0.55000000000000004">
      <c r="A612" s="821"/>
    </row>
    <row r="613" spans="1:1" x14ac:dyDescent="0.55000000000000004">
      <c r="A613" s="821"/>
    </row>
    <row r="614" spans="1:1" x14ac:dyDescent="0.55000000000000004">
      <c r="A614" s="821"/>
    </row>
    <row r="615" spans="1:1" x14ac:dyDescent="0.55000000000000004">
      <c r="A615" s="821"/>
    </row>
    <row r="616" spans="1:1" x14ac:dyDescent="0.55000000000000004">
      <c r="A616" s="821"/>
    </row>
    <row r="617" spans="1:1" x14ac:dyDescent="0.55000000000000004">
      <c r="A617" s="821"/>
    </row>
    <row r="618" spans="1:1" x14ac:dyDescent="0.55000000000000004">
      <c r="A618" s="821"/>
    </row>
    <row r="619" spans="1:1" x14ac:dyDescent="0.55000000000000004">
      <c r="A619" s="821"/>
    </row>
    <row r="620" spans="1:1" x14ac:dyDescent="0.55000000000000004">
      <c r="A620" s="821"/>
    </row>
    <row r="621" spans="1:1" x14ac:dyDescent="0.55000000000000004">
      <c r="A621" s="821"/>
    </row>
    <row r="622" spans="1:1" x14ac:dyDescent="0.55000000000000004">
      <c r="A622" s="821"/>
    </row>
    <row r="623" spans="1:1" x14ac:dyDescent="0.55000000000000004">
      <c r="A623" s="821"/>
    </row>
    <row r="624" spans="1:1" x14ac:dyDescent="0.55000000000000004">
      <c r="A624" s="821"/>
    </row>
    <row r="625" spans="1:1" x14ac:dyDescent="0.55000000000000004">
      <c r="A625" s="821"/>
    </row>
    <row r="626" spans="1:1" x14ac:dyDescent="0.55000000000000004">
      <c r="A626" s="821"/>
    </row>
    <row r="627" spans="1:1" x14ac:dyDescent="0.55000000000000004">
      <c r="A627" s="821"/>
    </row>
    <row r="628" spans="1:1" x14ac:dyDescent="0.55000000000000004">
      <c r="A628" s="821"/>
    </row>
    <row r="629" spans="1:1" x14ac:dyDescent="0.55000000000000004">
      <c r="A629" s="821"/>
    </row>
    <row r="630" spans="1:1" x14ac:dyDescent="0.55000000000000004">
      <c r="A630" s="821"/>
    </row>
    <row r="631" spans="1:1" x14ac:dyDescent="0.55000000000000004">
      <c r="A631" s="821"/>
    </row>
    <row r="632" spans="1:1" x14ac:dyDescent="0.55000000000000004">
      <c r="A632" s="821"/>
    </row>
    <row r="633" spans="1:1" x14ac:dyDescent="0.55000000000000004">
      <c r="A633" s="821"/>
    </row>
    <row r="634" spans="1:1" x14ac:dyDescent="0.55000000000000004">
      <c r="A634" s="821"/>
    </row>
    <row r="635" spans="1:1" x14ac:dyDescent="0.55000000000000004">
      <c r="A635" s="821"/>
    </row>
    <row r="636" spans="1:1" x14ac:dyDescent="0.55000000000000004">
      <c r="A636" s="821"/>
    </row>
    <row r="637" spans="1:1" x14ac:dyDescent="0.55000000000000004">
      <c r="A637" s="821"/>
    </row>
    <row r="638" spans="1:1" x14ac:dyDescent="0.55000000000000004">
      <c r="A638" s="821"/>
    </row>
    <row r="639" spans="1:1" x14ac:dyDescent="0.55000000000000004">
      <c r="A639" s="821"/>
    </row>
    <row r="640" spans="1:1" x14ac:dyDescent="0.55000000000000004">
      <c r="A640" s="821"/>
    </row>
    <row r="641" spans="1:1" x14ac:dyDescent="0.55000000000000004">
      <c r="A641" s="821"/>
    </row>
    <row r="642" spans="1:1" x14ac:dyDescent="0.55000000000000004">
      <c r="A642" s="821"/>
    </row>
    <row r="643" spans="1:1" x14ac:dyDescent="0.55000000000000004">
      <c r="A643" s="821"/>
    </row>
    <row r="644" spans="1:1" x14ac:dyDescent="0.55000000000000004">
      <c r="A644" s="821"/>
    </row>
    <row r="645" spans="1:1" x14ac:dyDescent="0.55000000000000004">
      <c r="A645" s="821"/>
    </row>
    <row r="646" spans="1:1" x14ac:dyDescent="0.55000000000000004">
      <c r="A646" s="821"/>
    </row>
    <row r="647" spans="1:1" x14ac:dyDescent="0.55000000000000004">
      <c r="A647" s="821"/>
    </row>
    <row r="648" spans="1:1" x14ac:dyDescent="0.55000000000000004">
      <c r="A648" s="821"/>
    </row>
    <row r="649" spans="1:1" x14ac:dyDescent="0.55000000000000004">
      <c r="A649" s="821"/>
    </row>
    <row r="650" spans="1:1" x14ac:dyDescent="0.55000000000000004">
      <c r="A650" s="821"/>
    </row>
    <row r="651" spans="1:1" x14ac:dyDescent="0.55000000000000004">
      <c r="A651" s="821"/>
    </row>
    <row r="652" spans="1:1" x14ac:dyDescent="0.55000000000000004">
      <c r="A652" s="821"/>
    </row>
    <row r="653" spans="1:1" x14ac:dyDescent="0.55000000000000004">
      <c r="A653" s="821"/>
    </row>
    <row r="654" spans="1:1" x14ac:dyDescent="0.55000000000000004">
      <c r="A654" s="821"/>
    </row>
    <row r="655" spans="1:1" x14ac:dyDescent="0.55000000000000004">
      <c r="A655" s="821"/>
    </row>
    <row r="656" spans="1:1" x14ac:dyDescent="0.55000000000000004">
      <c r="A656" s="821"/>
    </row>
    <row r="657" spans="1:1" x14ac:dyDescent="0.55000000000000004">
      <c r="A657" s="821"/>
    </row>
    <row r="658" spans="1:1" x14ac:dyDescent="0.55000000000000004">
      <c r="A658" s="821"/>
    </row>
    <row r="659" spans="1:1" x14ac:dyDescent="0.55000000000000004">
      <c r="A659" s="821"/>
    </row>
    <row r="660" spans="1:1" x14ac:dyDescent="0.55000000000000004">
      <c r="A660" s="821"/>
    </row>
    <row r="661" spans="1:1" x14ac:dyDescent="0.55000000000000004">
      <c r="A661" s="821"/>
    </row>
    <row r="662" spans="1:1" x14ac:dyDescent="0.55000000000000004">
      <c r="A662" s="821"/>
    </row>
    <row r="663" spans="1:1" x14ac:dyDescent="0.55000000000000004">
      <c r="A663" s="821"/>
    </row>
    <row r="664" spans="1:1" x14ac:dyDescent="0.55000000000000004">
      <c r="A664" s="821"/>
    </row>
    <row r="665" spans="1:1" x14ac:dyDescent="0.55000000000000004">
      <c r="A665" s="821"/>
    </row>
    <row r="666" spans="1:1" x14ac:dyDescent="0.55000000000000004">
      <c r="A666" s="821"/>
    </row>
    <row r="667" spans="1:1" x14ac:dyDescent="0.55000000000000004">
      <c r="A667" s="821"/>
    </row>
    <row r="668" spans="1:1" x14ac:dyDescent="0.55000000000000004">
      <c r="A668" s="821"/>
    </row>
    <row r="669" spans="1:1" x14ac:dyDescent="0.55000000000000004">
      <c r="A669" s="821"/>
    </row>
    <row r="670" spans="1:1" x14ac:dyDescent="0.55000000000000004">
      <c r="A670" s="821"/>
    </row>
    <row r="671" spans="1:1" x14ac:dyDescent="0.55000000000000004">
      <c r="A671" s="821"/>
    </row>
    <row r="672" spans="1:1" x14ac:dyDescent="0.55000000000000004">
      <c r="A672" s="821"/>
    </row>
    <row r="673" spans="1:1" x14ac:dyDescent="0.55000000000000004">
      <c r="A673" s="821"/>
    </row>
    <row r="674" spans="1:1" x14ac:dyDescent="0.55000000000000004">
      <c r="A674" s="821"/>
    </row>
    <row r="675" spans="1:1" x14ac:dyDescent="0.55000000000000004">
      <c r="A675" s="821"/>
    </row>
    <row r="676" spans="1:1" x14ac:dyDescent="0.55000000000000004">
      <c r="A676" s="821"/>
    </row>
    <row r="677" spans="1:1" x14ac:dyDescent="0.55000000000000004">
      <c r="A677" s="821"/>
    </row>
    <row r="678" spans="1:1" x14ac:dyDescent="0.55000000000000004">
      <c r="A678" s="821"/>
    </row>
    <row r="679" spans="1:1" x14ac:dyDescent="0.55000000000000004">
      <c r="A679" s="821"/>
    </row>
    <row r="680" spans="1:1" x14ac:dyDescent="0.55000000000000004">
      <c r="A680" s="821"/>
    </row>
    <row r="681" spans="1:1" x14ac:dyDescent="0.55000000000000004">
      <c r="A681" s="821"/>
    </row>
    <row r="682" spans="1:1" x14ac:dyDescent="0.55000000000000004">
      <c r="A682" s="821"/>
    </row>
    <row r="683" spans="1:1" x14ac:dyDescent="0.55000000000000004">
      <c r="A683" s="821"/>
    </row>
    <row r="684" spans="1:1" x14ac:dyDescent="0.55000000000000004">
      <c r="A684" s="821"/>
    </row>
    <row r="685" spans="1:1" x14ac:dyDescent="0.55000000000000004">
      <c r="A685" s="821"/>
    </row>
    <row r="686" spans="1:1" x14ac:dyDescent="0.55000000000000004">
      <c r="A686" s="821"/>
    </row>
    <row r="687" spans="1:1" x14ac:dyDescent="0.55000000000000004">
      <c r="A687" s="821"/>
    </row>
    <row r="688" spans="1:1" x14ac:dyDescent="0.55000000000000004">
      <c r="A688" s="821"/>
    </row>
    <row r="689" spans="1:1" x14ac:dyDescent="0.55000000000000004">
      <c r="A689" s="821"/>
    </row>
    <row r="690" spans="1:1" x14ac:dyDescent="0.55000000000000004">
      <c r="A690" s="821"/>
    </row>
    <row r="691" spans="1:1" x14ac:dyDescent="0.55000000000000004">
      <c r="A691" s="821"/>
    </row>
    <row r="692" spans="1:1" x14ac:dyDescent="0.55000000000000004">
      <c r="A692" s="821"/>
    </row>
    <row r="693" spans="1:1" x14ac:dyDescent="0.55000000000000004">
      <c r="A693" s="821"/>
    </row>
    <row r="694" spans="1:1" x14ac:dyDescent="0.55000000000000004">
      <c r="A694" s="821"/>
    </row>
    <row r="695" spans="1:1" x14ac:dyDescent="0.55000000000000004">
      <c r="A695" s="821"/>
    </row>
    <row r="696" spans="1:1" x14ac:dyDescent="0.55000000000000004">
      <c r="A696" s="821"/>
    </row>
    <row r="697" spans="1:1" x14ac:dyDescent="0.55000000000000004">
      <c r="A697" s="821"/>
    </row>
    <row r="698" spans="1:1" x14ac:dyDescent="0.55000000000000004">
      <c r="A698" s="821"/>
    </row>
    <row r="699" spans="1:1" x14ac:dyDescent="0.55000000000000004">
      <c r="A699" s="821"/>
    </row>
    <row r="700" spans="1:1" x14ac:dyDescent="0.55000000000000004">
      <c r="A700" s="821"/>
    </row>
    <row r="701" spans="1:1" x14ac:dyDescent="0.55000000000000004">
      <c r="A701" s="821"/>
    </row>
    <row r="702" spans="1:1" x14ac:dyDescent="0.55000000000000004">
      <c r="A702" s="821"/>
    </row>
    <row r="703" spans="1:1" x14ac:dyDescent="0.55000000000000004">
      <c r="A703" s="821"/>
    </row>
    <row r="704" spans="1:1" x14ac:dyDescent="0.55000000000000004">
      <c r="A704" s="821"/>
    </row>
    <row r="705" spans="1:1" x14ac:dyDescent="0.55000000000000004">
      <c r="A705" s="821"/>
    </row>
    <row r="706" spans="1:1" x14ac:dyDescent="0.55000000000000004">
      <c r="A706" s="821"/>
    </row>
    <row r="707" spans="1:1" x14ac:dyDescent="0.55000000000000004">
      <c r="A707" s="821"/>
    </row>
    <row r="708" spans="1:1" x14ac:dyDescent="0.55000000000000004">
      <c r="A708" s="821"/>
    </row>
    <row r="709" spans="1:1" x14ac:dyDescent="0.55000000000000004">
      <c r="A709" s="821"/>
    </row>
    <row r="710" spans="1:1" x14ac:dyDescent="0.55000000000000004">
      <c r="A710" s="821"/>
    </row>
    <row r="711" spans="1:1" x14ac:dyDescent="0.55000000000000004">
      <c r="A711" s="821"/>
    </row>
    <row r="712" spans="1:1" x14ac:dyDescent="0.55000000000000004">
      <c r="A712" s="821"/>
    </row>
    <row r="713" spans="1:1" x14ac:dyDescent="0.55000000000000004">
      <c r="A713" s="821"/>
    </row>
    <row r="714" spans="1:1" x14ac:dyDescent="0.55000000000000004">
      <c r="A714" s="821"/>
    </row>
    <row r="715" spans="1:1" x14ac:dyDescent="0.55000000000000004">
      <c r="A715" s="821"/>
    </row>
    <row r="716" spans="1:1" x14ac:dyDescent="0.55000000000000004">
      <c r="A716" s="821"/>
    </row>
    <row r="717" spans="1:1" x14ac:dyDescent="0.55000000000000004">
      <c r="A717" s="821"/>
    </row>
    <row r="718" spans="1:1" x14ac:dyDescent="0.55000000000000004">
      <c r="A718" s="821"/>
    </row>
    <row r="719" spans="1:1" x14ac:dyDescent="0.55000000000000004">
      <c r="A719" s="821"/>
    </row>
    <row r="720" spans="1:1" x14ac:dyDescent="0.55000000000000004">
      <c r="A720" s="821"/>
    </row>
    <row r="721" spans="1:1" x14ac:dyDescent="0.55000000000000004">
      <c r="A721" s="821"/>
    </row>
    <row r="722" spans="1:1" x14ac:dyDescent="0.55000000000000004">
      <c r="A722" s="821"/>
    </row>
    <row r="723" spans="1:1" x14ac:dyDescent="0.55000000000000004">
      <c r="A723" s="821"/>
    </row>
    <row r="724" spans="1:1" x14ac:dyDescent="0.55000000000000004">
      <c r="A724" s="821"/>
    </row>
    <row r="725" spans="1:1" x14ac:dyDescent="0.55000000000000004">
      <c r="A725" s="821"/>
    </row>
    <row r="726" spans="1:1" x14ac:dyDescent="0.55000000000000004">
      <c r="A726" s="821"/>
    </row>
    <row r="727" spans="1:1" x14ac:dyDescent="0.55000000000000004">
      <c r="A727" s="821"/>
    </row>
    <row r="728" spans="1:1" x14ac:dyDescent="0.55000000000000004">
      <c r="A728" s="821"/>
    </row>
    <row r="729" spans="1:1" x14ac:dyDescent="0.55000000000000004">
      <c r="A729" s="821"/>
    </row>
    <row r="730" spans="1:1" x14ac:dyDescent="0.55000000000000004">
      <c r="A730" s="821"/>
    </row>
    <row r="731" spans="1:1" x14ac:dyDescent="0.55000000000000004">
      <c r="A731" s="821"/>
    </row>
    <row r="732" spans="1:1" x14ac:dyDescent="0.55000000000000004">
      <c r="A732" s="821"/>
    </row>
    <row r="733" spans="1:1" x14ac:dyDescent="0.55000000000000004">
      <c r="A733" s="821"/>
    </row>
    <row r="734" spans="1:1" x14ac:dyDescent="0.55000000000000004">
      <c r="A734" s="821"/>
    </row>
    <row r="735" spans="1:1" x14ac:dyDescent="0.55000000000000004">
      <c r="A735" s="821"/>
    </row>
    <row r="736" spans="1:1" x14ac:dyDescent="0.55000000000000004">
      <c r="A736" s="821"/>
    </row>
    <row r="737" spans="1:1" x14ac:dyDescent="0.55000000000000004">
      <c r="A737" s="821"/>
    </row>
    <row r="738" spans="1:1" x14ac:dyDescent="0.55000000000000004">
      <c r="A738" s="821"/>
    </row>
    <row r="739" spans="1:1" x14ac:dyDescent="0.55000000000000004">
      <c r="A739" s="821"/>
    </row>
    <row r="740" spans="1:1" x14ac:dyDescent="0.55000000000000004">
      <c r="A740" s="821"/>
    </row>
    <row r="741" spans="1:1" x14ac:dyDescent="0.55000000000000004">
      <c r="A741" s="821"/>
    </row>
    <row r="742" spans="1:1" x14ac:dyDescent="0.55000000000000004">
      <c r="A742" s="821"/>
    </row>
    <row r="743" spans="1:1" x14ac:dyDescent="0.55000000000000004">
      <c r="A743" s="821"/>
    </row>
    <row r="744" spans="1:1" x14ac:dyDescent="0.55000000000000004">
      <c r="A744" s="821"/>
    </row>
    <row r="745" spans="1:1" x14ac:dyDescent="0.55000000000000004">
      <c r="A745" s="821"/>
    </row>
    <row r="746" spans="1:1" x14ac:dyDescent="0.55000000000000004">
      <c r="A746" s="821"/>
    </row>
    <row r="747" spans="1:1" x14ac:dyDescent="0.55000000000000004">
      <c r="A747" s="821"/>
    </row>
    <row r="748" spans="1:1" x14ac:dyDescent="0.55000000000000004">
      <c r="A748" s="821"/>
    </row>
    <row r="749" spans="1:1" x14ac:dyDescent="0.55000000000000004">
      <c r="A749" s="821"/>
    </row>
    <row r="750" spans="1:1" x14ac:dyDescent="0.55000000000000004">
      <c r="A750" s="821"/>
    </row>
    <row r="751" spans="1:1" x14ac:dyDescent="0.55000000000000004">
      <c r="A751" s="821"/>
    </row>
    <row r="752" spans="1:1" x14ac:dyDescent="0.55000000000000004">
      <c r="A752" s="821"/>
    </row>
    <row r="753" spans="1:1" x14ac:dyDescent="0.55000000000000004">
      <c r="A753" s="821"/>
    </row>
    <row r="754" spans="1:1" x14ac:dyDescent="0.55000000000000004">
      <c r="A754" s="821"/>
    </row>
    <row r="755" spans="1:1" x14ac:dyDescent="0.55000000000000004">
      <c r="A755" s="821"/>
    </row>
    <row r="756" spans="1:1" x14ac:dyDescent="0.55000000000000004">
      <c r="A756" s="821"/>
    </row>
    <row r="757" spans="1:1" x14ac:dyDescent="0.55000000000000004">
      <c r="A757" s="821"/>
    </row>
    <row r="758" spans="1:1" x14ac:dyDescent="0.55000000000000004">
      <c r="A758" s="821"/>
    </row>
    <row r="759" spans="1:1" x14ac:dyDescent="0.55000000000000004">
      <c r="A759" s="821"/>
    </row>
    <row r="760" spans="1:1" x14ac:dyDescent="0.55000000000000004">
      <c r="A760" s="821"/>
    </row>
    <row r="761" spans="1:1" x14ac:dyDescent="0.55000000000000004">
      <c r="A761" s="821"/>
    </row>
    <row r="762" spans="1:1" x14ac:dyDescent="0.55000000000000004">
      <c r="A762" s="821"/>
    </row>
    <row r="763" spans="1:1" x14ac:dyDescent="0.55000000000000004">
      <c r="A763" s="821"/>
    </row>
    <row r="764" spans="1:1" x14ac:dyDescent="0.55000000000000004">
      <c r="A764" s="821"/>
    </row>
    <row r="765" spans="1:1" x14ac:dyDescent="0.55000000000000004">
      <c r="A765" s="821"/>
    </row>
    <row r="766" spans="1:1" x14ac:dyDescent="0.55000000000000004">
      <c r="A766" s="821"/>
    </row>
    <row r="767" spans="1:1" x14ac:dyDescent="0.55000000000000004">
      <c r="A767" s="821"/>
    </row>
    <row r="768" spans="1:1" x14ac:dyDescent="0.55000000000000004">
      <c r="A768" s="821"/>
    </row>
    <row r="769" spans="1:1" x14ac:dyDescent="0.55000000000000004">
      <c r="A769" s="821"/>
    </row>
    <row r="770" spans="1:1" x14ac:dyDescent="0.55000000000000004">
      <c r="A770" s="821"/>
    </row>
    <row r="771" spans="1:1" x14ac:dyDescent="0.55000000000000004">
      <c r="A771" s="821"/>
    </row>
    <row r="772" spans="1:1" x14ac:dyDescent="0.55000000000000004">
      <c r="A772" s="821"/>
    </row>
    <row r="773" spans="1:1" x14ac:dyDescent="0.55000000000000004">
      <c r="A773" s="821"/>
    </row>
    <row r="774" spans="1:1" x14ac:dyDescent="0.55000000000000004">
      <c r="A774" s="821"/>
    </row>
    <row r="775" spans="1:1" x14ac:dyDescent="0.55000000000000004">
      <c r="A775" s="821"/>
    </row>
    <row r="776" spans="1:1" x14ac:dyDescent="0.55000000000000004">
      <c r="A776" s="821"/>
    </row>
    <row r="777" spans="1:1" x14ac:dyDescent="0.55000000000000004">
      <c r="A777" s="821"/>
    </row>
    <row r="778" spans="1:1" x14ac:dyDescent="0.55000000000000004">
      <c r="A778" s="821"/>
    </row>
    <row r="779" spans="1:1" x14ac:dyDescent="0.55000000000000004">
      <c r="A779" s="821"/>
    </row>
    <row r="780" spans="1:1" x14ac:dyDescent="0.55000000000000004">
      <c r="A780" s="821"/>
    </row>
    <row r="781" spans="1:1" x14ac:dyDescent="0.55000000000000004">
      <c r="A781" s="821"/>
    </row>
    <row r="782" spans="1:1" x14ac:dyDescent="0.55000000000000004">
      <c r="A782" s="821"/>
    </row>
    <row r="783" spans="1:1" x14ac:dyDescent="0.55000000000000004">
      <c r="A783" s="821"/>
    </row>
    <row r="784" spans="1:1" x14ac:dyDescent="0.55000000000000004">
      <c r="A784" s="821"/>
    </row>
    <row r="785" spans="1:1" x14ac:dyDescent="0.55000000000000004">
      <c r="A785" s="821"/>
    </row>
    <row r="786" spans="1:1" x14ac:dyDescent="0.55000000000000004">
      <c r="A786" s="821"/>
    </row>
    <row r="787" spans="1:1" x14ac:dyDescent="0.55000000000000004">
      <c r="A787" s="821"/>
    </row>
    <row r="788" spans="1:1" x14ac:dyDescent="0.55000000000000004">
      <c r="A788" s="821"/>
    </row>
    <row r="789" spans="1:1" x14ac:dyDescent="0.55000000000000004">
      <c r="A789" s="821"/>
    </row>
    <row r="790" spans="1:1" x14ac:dyDescent="0.55000000000000004">
      <c r="A790" s="821"/>
    </row>
    <row r="791" spans="1:1" x14ac:dyDescent="0.55000000000000004">
      <c r="A791" s="821"/>
    </row>
    <row r="792" spans="1:1" x14ac:dyDescent="0.55000000000000004">
      <c r="A792" s="821"/>
    </row>
    <row r="793" spans="1:1" x14ac:dyDescent="0.55000000000000004">
      <c r="A793" s="821"/>
    </row>
    <row r="794" spans="1:1" x14ac:dyDescent="0.55000000000000004">
      <c r="A794" s="821"/>
    </row>
    <row r="795" spans="1:1" x14ac:dyDescent="0.55000000000000004">
      <c r="A795" s="821"/>
    </row>
    <row r="796" spans="1:1" x14ac:dyDescent="0.55000000000000004">
      <c r="A796" s="821"/>
    </row>
    <row r="797" spans="1:1" x14ac:dyDescent="0.55000000000000004">
      <c r="A797" s="821"/>
    </row>
    <row r="798" spans="1:1" x14ac:dyDescent="0.55000000000000004">
      <c r="A798" s="821"/>
    </row>
    <row r="799" spans="1:1" x14ac:dyDescent="0.55000000000000004">
      <c r="A799" s="821"/>
    </row>
    <row r="800" spans="1:1" x14ac:dyDescent="0.55000000000000004">
      <c r="A800" s="821"/>
    </row>
    <row r="801" spans="1:1" x14ac:dyDescent="0.55000000000000004">
      <c r="A801" s="821"/>
    </row>
    <row r="802" spans="1:1" x14ac:dyDescent="0.55000000000000004">
      <c r="A802" s="821"/>
    </row>
    <row r="803" spans="1:1" x14ac:dyDescent="0.55000000000000004">
      <c r="A803" s="821"/>
    </row>
    <row r="804" spans="1:1" x14ac:dyDescent="0.55000000000000004">
      <c r="A804" s="821"/>
    </row>
    <row r="805" spans="1:1" x14ac:dyDescent="0.55000000000000004">
      <c r="A805" s="821"/>
    </row>
    <row r="806" spans="1:1" x14ac:dyDescent="0.55000000000000004">
      <c r="A806" s="821"/>
    </row>
    <row r="807" spans="1:1" x14ac:dyDescent="0.55000000000000004">
      <c r="A807" s="821"/>
    </row>
    <row r="808" spans="1:1" x14ac:dyDescent="0.55000000000000004">
      <c r="A808" s="821"/>
    </row>
    <row r="809" spans="1:1" x14ac:dyDescent="0.55000000000000004">
      <c r="A809" s="821"/>
    </row>
    <row r="810" spans="1:1" x14ac:dyDescent="0.55000000000000004">
      <c r="A810" s="821"/>
    </row>
    <row r="811" spans="1:1" x14ac:dyDescent="0.55000000000000004">
      <c r="A811" s="821"/>
    </row>
    <row r="812" spans="1:1" x14ac:dyDescent="0.55000000000000004">
      <c r="A812" s="821"/>
    </row>
    <row r="813" spans="1:1" x14ac:dyDescent="0.55000000000000004">
      <c r="A813" s="821"/>
    </row>
    <row r="814" spans="1:1" x14ac:dyDescent="0.55000000000000004">
      <c r="A814" s="821"/>
    </row>
    <row r="815" spans="1:1" x14ac:dyDescent="0.55000000000000004">
      <c r="A815" s="821"/>
    </row>
    <row r="816" spans="1:1" x14ac:dyDescent="0.55000000000000004">
      <c r="A816" s="821"/>
    </row>
    <row r="817" spans="1:1" x14ac:dyDescent="0.55000000000000004">
      <c r="A817" s="821"/>
    </row>
    <row r="818" spans="1:1" x14ac:dyDescent="0.55000000000000004">
      <c r="A818" s="821"/>
    </row>
    <row r="819" spans="1:1" x14ac:dyDescent="0.55000000000000004">
      <c r="A819" s="821"/>
    </row>
    <row r="820" spans="1:1" x14ac:dyDescent="0.55000000000000004">
      <c r="A820" s="821"/>
    </row>
    <row r="821" spans="1:1" x14ac:dyDescent="0.55000000000000004">
      <c r="A821" s="821"/>
    </row>
    <row r="822" spans="1:1" x14ac:dyDescent="0.55000000000000004">
      <c r="A822" s="821"/>
    </row>
    <row r="823" spans="1:1" x14ac:dyDescent="0.55000000000000004">
      <c r="A823" s="821"/>
    </row>
    <row r="824" spans="1:1" x14ac:dyDescent="0.55000000000000004">
      <c r="A824" s="821"/>
    </row>
    <row r="825" spans="1:1" x14ac:dyDescent="0.55000000000000004">
      <c r="A825" s="821"/>
    </row>
    <row r="826" spans="1:1" x14ac:dyDescent="0.55000000000000004">
      <c r="A826" s="821"/>
    </row>
    <row r="827" spans="1:1" x14ac:dyDescent="0.55000000000000004">
      <c r="A827" s="821"/>
    </row>
    <row r="828" spans="1:1" x14ac:dyDescent="0.55000000000000004">
      <c r="A828" s="821"/>
    </row>
    <row r="829" spans="1:1" x14ac:dyDescent="0.55000000000000004">
      <c r="A829" s="821"/>
    </row>
    <row r="830" spans="1:1" x14ac:dyDescent="0.55000000000000004">
      <c r="A830" s="821"/>
    </row>
    <row r="831" spans="1:1" x14ac:dyDescent="0.55000000000000004">
      <c r="A831" s="821"/>
    </row>
    <row r="832" spans="1:1" x14ac:dyDescent="0.55000000000000004">
      <c r="A832" s="821"/>
    </row>
    <row r="833" spans="1:1" x14ac:dyDescent="0.55000000000000004">
      <c r="A833" s="821"/>
    </row>
    <row r="834" spans="1:1" x14ac:dyDescent="0.55000000000000004">
      <c r="A834" s="821"/>
    </row>
    <row r="835" spans="1:1" x14ac:dyDescent="0.55000000000000004">
      <c r="A835" s="821"/>
    </row>
    <row r="836" spans="1:1" x14ac:dyDescent="0.55000000000000004">
      <c r="A836" s="821"/>
    </row>
    <row r="837" spans="1:1" x14ac:dyDescent="0.55000000000000004">
      <c r="A837" s="821"/>
    </row>
    <row r="838" spans="1:1" x14ac:dyDescent="0.55000000000000004">
      <c r="A838" s="821"/>
    </row>
    <row r="839" spans="1:1" x14ac:dyDescent="0.55000000000000004">
      <c r="A839" s="821"/>
    </row>
    <row r="840" spans="1:1" x14ac:dyDescent="0.55000000000000004">
      <c r="A840" s="821"/>
    </row>
    <row r="841" spans="1:1" x14ac:dyDescent="0.55000000000000004">
      <c r="A841" s="821"/>
    </row>
    <row r="842" spans="1:1" x14ac:dyDescent="0.55000000000000004">
      <c r="A842" s="821"/>
    </row>
    <row r="843" spans="1:1" x14ac:dyDescent="0.55000000000000004">
      <c r="A843" s="821"/>
    </row>
    <row r="844" spans="1:1" x14ac:dyDescent="0.55000000000000004">
      <c r="A844" s="821"/>
    </row>
    <row r="845" spans="1:1" x14ac:dyDescent="0.55000000000000004">
      <c r="A845" s="821"/>
    </row>
    <row r="846" spans="1:1" x14ac:dyDescent="0.55000000000000004">
      <c r="A846" s="821"/>
    </row>
    <row r="847" spans="1:1" x14ac:dyDescent="0.55000000000000004">
      <c r="A847" s="821"/>
    </row>
    <row r="848" spans="1:1" x14ac:dyDescent="0.55000000000000004">
      <c r="A848" s="821"/>
    </row>
    <row r="849" spans="1:1" x14ac:dyDescent="0.55000000000000004">
      <c r="A849" s="821"/>
    </row>
    <row r="850" spans="1:1" x14ac:dyDescent="0.55000000000000004">
      <c r="A850" s="821"/>
    </row>
    <row r="851" spans="1:1" x14ac:dyDescent="0.55000000000000004">
      <c r="A851" s="821"/>
    </row>
    <row r="852" spans="1:1" x14ac:dyDescent="0.55000000000000004">
      <c r="A852" s="821"/>
    </row>
    <row r="853" spans="1:1" x14ac:dyDescent="0.55000000000000004">
      <c r="A853" s="821"/>
    </row>
    <row r="854" spans="1:1" x14ac:dyDescent="0.55000000000000004">
      <c r="A854" s="821"/>
    </row>
    <row r="855" spans="1:1" x14ac:dyDescent="0.55000000000000004">
      <c r="A855" s="821"/>
    </row>
    <row r="856" spans="1:1" x14ac:dyDescent="0.55000000000000004">
      <c r="A856" s="821"/>
    </row>
    <row r="857" spans="1:1" x14ac:dyDescent="0.55000000000000004">
      <c r="A857" s="821"/>
    </row>
    <row r="858" spans="1:1" x14ac:dyDescent="0.55000000000000004">
      <c r="A858" s="821"/>
    </row>
    <row r="859" spans="1:1" x14ac:dyDescent="0.55000000000000004">
      <c r="A859" s="821"/>
    </row>
    <row r="860" spans="1:1" x14ac:dyDescent="0.55000000000000004">
      <c r="A860" s="821"/>
    </row>
    <row r="861" spans="1:1" x14ac:dyDescent="0.55000000000000004">
      <c r="A861" s="821"/>
    </row>
    <row r="862" spans="1:1" x14ac:dyDescent="0.55000000000000004">
      <c r="A862" s="821"/>
    </row>
    <row r="863" spans="1:1" x14ac:dyDescent="0.55000000000000004">
      <c r="A863" s="821"/>
    </row>
    <row r="864" spans="1:1" x14ac:dyDescent="0.55000000000000004">
      <c r="A864" s="821"/>
    </row>
    <row r="865" spans="1:1" x14ac:dyDescent="0.55000000000000004">
      <c r="A865" s="821"/>
    </row>
    <row r="866" spans="1:1" x14ac:dyDescent="0.55000000000000004">
      <c r="A866" s="821"/>
    </row>
    <row r="867" spans="1:1" x14ac:dyDescent="0.55000000000000004">
      <c r="A867" s="821"/>
    </row>
    <row r="868" spans="1:1" x14ac:dyDescent="0.55000000000000004">
      <c r="A868" s="821"/>
    </row>
    <row r="869" spans="1:1" x14ac:dyDescent="0.55000000000000004">
      <c r="A869" s="821"/>
    </row>
    <row r="870" spans="1:1" x14ac:dyDescent="0.55000000000000004">
      <c r="A870" s="821"/>
    </row>
    <row r="871" spans="1:1" x14ac:dyDescent="0.55000000000000004">
      <c r="A871" s="821"/>
    </row>
    <row r="872" spans="1:1" x14ac:dyDescent="0.55000000000000004">
      <c r="A872" s="821"/>
    </row>
    <row r="873" spans="1:1" x14ac:dyDescent="0.55000000000000004">
      <c r="A873" s="821"/>
    </row>
    <row r="874" spans="1:1" x14ac:dyDescent="0.55000000000000004">
      <c r="A874" s="821"/>
    </row>
    <row r="875" spans="1:1" x14ac:dyDescent="0.55000000000000004">
      <c r="A875" s="821"/>
    </row>
    <row r="876" spans="1:1" x14ac:dyDescent="0.55000000000000004">
      <c r="A876" s="821"/>
    </row>
    <row r="877" spans="1:1" x14ac:dyDescent="0.55000000000000004">
      <c r="A877" s="821"/>
    </row>
    <row r="878" spans="1:1" x14ac:dyDescent="0.55000000000000004">
      <c r="A878" s="821"/>
    </row>
    <row r="879" spans="1:1" x14ac:dyDescent="0.55000000000000004">
      <c r="A879" s="821"/>
    </row>
    <row r="880" spans="1:1" x14ac:dyDescent="0.55000000000000004">
      <c r="A880" s="821"/>
    </row>
    <row r="881" spans="1:1" x14ac:dyDescent="0.55000000000000004">
      <c r="A881" s="821"/>
    </row>
    <row r="882" spans="1:1" x14ac:dyDescent="0.55000000000000004">
      <c r="A882" s="821"/>
    </row>
    <row r="883" spans="1:1" x14ac:dyDescent="0.55000000000000004">
      <c r="A883" s="821"/>
    </row>
    <row r="884" spans="1:1" x14ac:dyDescent="0.55000000000000004">
      <c r="A884" s="821"/>
    </row>
    <row r="885" spans="1:1" x14ac:dyDescent="0.55000000000000004">
      <c r="A885" s="821"/>
    </row>
    <row r="886" spans="1:1" x14ac:dyDescent="0.55000000000000004">
      <c r="A886" s="821"/>
    </row>
    <row r="887" spans="1:1" x14ac:dyDescent="0.55000000000000004">
      <c r="A887" s="821"/>
    </row>
    <row r="888" spans="1:1" x14ac:dyDescent="0.55000000000000004">
      <c r="A888" s="821"/>
    </row>
    <row r="889" spans="1:1" x14ac:dyDescent="0.55000000000000004">
      <c r="A889" s="821"/>
    </row>
    <row r="890" spans="1:1" x14ac:dyDescent="0.55000000000000004">
      <c r="A890" s="821"/>
    </row>
    <row r="891" spans="1:1" x14ac:dyDescent="0.55000000000000004">
      <c r="A891" s="821"/>
    </row>
    <row r="892" spans="1:1" x14ac:dyDescent="0.55000000000000004">
      <c r="A892" s="821"/>
    </row>
    <row r="893" spans="1:1" x14ac:dyDescent="0.55000000000000004">
      <c r="A893" s="821"/>
    </row>
    <row r="894" spans="1:1" x14ac:dyDescent="0.55000000000000004">
      <c r="A894" s="821"/>
    </row>
    <row r="895" spans="1:1" x14ac:dyDescent="0.55000000000000004">
      <c r="A895" s="821"/>
    </row>
    <row r="896" spans="1:1" x14ac:dyDescent="0.55000000000000004">
      <c r="A896" s="821"/>
    </row>
    <row r="897" spans="1:1" x14ac:dyDescent="0.55000000000000004">
      <c r="A897" s="821"/>
    </row>
    <row r="898" spans="1:1" x14ac:dyDescent="0.55000000000000004">
      <c r="A898" s="821"/>
    </row>
    <row r="899" spans="1:1" x14ac:dyDescent="0.55000000000000004">
      <c r="A899" s="821"/>
    </row>
    <row r="900" spans="1:1" x14ac:dyDescent="0.55000000000000004">
      <c r="A900" s="821"/>
    </row>
    <row r="901" spans="1:1" x14ac:dyDescent="0.55000000000000004">
      <c r="A901" s="821"/>
    </row>
    <row r="902" spans="1:1" x14ac:dyDescent="0.55000000000000004">
      <c r="A902" s="821"/>
    </row>
    <row r="903" spans="1:1" x14ac:dyDescent="0.55000000000000004">
      <c r="A903" s="821"/>
    </row>
    <row r="904" spans="1:1" x14ac:dyDescent="0.55000000000000004">
      <c r="A904" s="821"/>
    </row>
    <row r="905" spans="1:1" x14ac:dyDescent="0.55000000000000004">
      <c r="A905" s="821"/>
    </row>
    <row r="906" spans="1:1" x14ac:dyDescent="0.55000000000000004">
      <c r="A906" s="821"/>
    </row>
    <row r="907" spans="1:1" x14ac:dyDescent="0.55000000000000004">
      <c r="A907" s="821"/>
    </row>
    <row r="908" spans="1:1" x14ac:dyDescent="0.55000000000000004">
      <c r="A908" s="821"/>
    </row>
    <row r="909" spans="1:1" x14ac:dyDescent="0.55000000000000004">
      <c r="A909" s="821"/>
    </row>
    <row r="910" spans="1:1" x14ac:dyDescent="0.55000000000000004">
      <c r="A910" s="821"/>
    </row>
    <row r="911" spans="1:1" x14ac:dyDescent="0.55000000000000004">
      <c r="A911" s="821"/>
    </row>
    <row r="912" spans="1:1" x14ac:dyDescent="0.55000000000000004">
      <c r="A912" s="821"/>
    </row>
    <row r="913" spans="1:1" x14ac:dyDescent="0.55000000000000004">
      <c r="A913" s="821"/>
    </row>
    <row r="914" spans="1:1" x14ac:dyDescent="0.55000000000000004">
      <c r="A914" s="821"/>
    </row>
    <row r="915" spans="1:1" x14ac:dyDescent="0.55000000000000004">
      <c r="A915" s="821"/>
    </row>
    <row r="916" spans="1:1" x14ac:dyDescent="0.55000000000000004">
      <c r="A916" s="821"/>
    </row>
    <row r="917" spans="1:1" x14ac:dyDescent="0.55000000000000004">
      <c r="A917" s="821"/>
    </row>
    <row r="918" spans="1:1" x14ac:dyDescent="0.55000000000000004">
      <c r="A918" s="821"/>
    </row>
    <row r="919" spans="1:1" x14ac:dyDescent="0.55000000000000004">
      <c r="A919" s="821"/>
    </row>
    <row r="920" spans="1:1" x14ac:dyDescent="0.55000000000000004">
      <c r="A920" s="821"/>
    </row>
    <row r="921" spans="1:1" x14ac:dyDescent="0.55000000000000004">
      <c r="A921" s="821"/>
    </row>
    <row r="922" spans="1:1" x14ac:dyDescent="0.55000000000000004">
      <c r="A922" s="821"/>
    </row>
    <row r="923" spans="1:1" x14ac:dyDescent="0.55000000000000004">
      <c r="A923" s="821"/>
    </row>
    <row r="924" spans="1:1" x14ac:dyDescent="0.55000000000000004">
      <c r="A924" s="821"/>
    </row>
    <row r="925" spans="1:1" x14ac:dyDescent="0.55000000000000004">
      <c r="A925" s="821"/>
    </row>
    <row r="926" spans="1:1" x14ac:dyDescent="0.55000000000000004">
      <c r="A926" s="821"/>
    </row>
    <row r="927" spans="1:1" x14ac:dyDescent="0.55000000000000004">
      <c r="A927" s="821"/>
    </row>
    <row r="928" spans="1:1" x14ac:dyDescent="0.55000000000000004">
      <c r="A928" s="821"/>
    </row>
    <row r="929" spans="1:1" x14ac:dyDescent="0.55000000000000004">
      <c r="A929" s="821"/>
    </row>
    <row r="930" spans="1:1" x14ac:dyDescent="0.55000000000000004">
      <c r="A930" s="821"/>
    </row>
    <row r="931" spans="1:1" x14ac:dyDescent="0.55000000000000004">
      <c r="A931" s="821"/>
    </row>
    <row r="932" spans="1:1" x14ac:dyDescent="0.55000000000000004">
      <c r="A932" s="821"/>
    </row>
    <row r="933" spans="1:1" x14ac:dyDescent="0.55000000000000004">
      <c r="A933" s="821"/>
    </row>
    <row r="934" spans="1:1" x14ac:dyDescent="0.55000000000000004">
      <c r="A934" s="821"/>
    </row>
    <row r="935" spans="1:1" x14ac:dyDescent="0.55000000000000004">
      <c r="A935" s="821"/>
    </row>
    <row r="936" spans="1:1" x14ac:dyDescent="0.55000000000000004">
      <c r="A936" s="821"/>
    </row>
    <row r="937" spans="1:1" x14ac:dyDescent="0.55000000000000004">
      <c r="A937" s="821"/>
    </row>
    <row r="938" spans="1:1" x14ac:dyDescent="0.55000000000000004">
      <c r="A938" s="821"/>
    </row>
    <row r="939" spans="1:1" x14ac:dyDescent="0.55000000000000004">
      <c r="A939" s="821"/>
    </row>
    <row r="940" spans="1:1" x14ac:dyDescent="0.55000000000000004">
      <c r="A940" s="821"/>
    </row>
    <row r="941" spans="1:1" x14ac:dyDescent="0.55000000000000004">
      <c r="A941" s="821"/>
    </row>
    <row r="942" spans="1:1" x14ac:dyDescent="0.55000000000000004">
      <c r="A942" s="821"/>
    </row>
    <row r="943" spans="1:1" x14ac:dyDescent="0.55000000000000004">
      <c r="A943" s="821"/>
    </row>
    <row r="944" spans="1:1" x14ac:dyDescent="0.55000000000000004">
      <c r="A944" s="821"/>
    </row>
    <row r="945" spans="1:1" x14ac:dyDescent="0.55000000000000004">
      <c r="A945" s="821"/>
    </row>
    <row r="946" spans="1:1" x14ac:dyDescent="0.55000000000000004">
      <c r="A946" s="821"/>
    </row>
    <row r="947" spans="1:1" x14ac:dyDescent="0.55000000000000004">
      <c r="A947" s="821"/>
    </row>
    <row r="948" spans="1:1" x14ac:dyDescent="0.55000000000000004">
      <c r="A948" s="821"/>
    </row>
    <row r="949" spans="1:1" x14ac:dyDescent="0.55000000000000004">
      <c r="A949" s="821"/>
    </row>
    <row r="950" spans="1:1" x14ac:dyDescent="0.55000000000000004">
      <c r="A950" s="821"/>
    </row>
    <row r="951" spans="1:1" x14ac:dyDescent="0.55000000000000004">
      <c r="A951" s="821"/>
    </row>
    <row r="952" spans="1:1" x14ac:dyDescent="0.55000000000000004">
      <c r="A952" s="821"/>
    </row>
    <row r="953" spans="1:1" x14ac:dyDescent="0.55000000000000004">
      <c r="A953" s="821"/>
    </row>
    <row r="954" spans="1:1" x14ac:dyDescent="0.55000000000000004">
      <c r="A954" s="821"/>
    </row>
    <row r="955" spans="1:1" x14ac:dyDescent="0.55000000000000004">
      <c r="A955" s="821"/>
    </row>
    <row r="956" spans="1:1" x14ac:dyDescent="0.55000000000000004">
      <c r="A956" s="821"/>
    </row>
    <row r="957" spans="1:1" x14ac:dyDescent="0.55000000000000004">
      <c r="A957" s="821"/>
    </row>
    <row r="958" spans="1:1" x14ac:dyDescent="0.55000000000000004">
      <c r="A958" s="821"/>
    </row>
    <row r="959" spans="1:1" x14ac:dyDescent="0.55000000000000004">
      <c r="A959" s="821"/>
    </row>
    <row r="960" spans="1:1" x14ac:dyDescent="0.55000000000000004">
      <c r="A960" s="821"/>
    </row>
    <row r="961" spans="1:1" x14ac:dyDescent="0.55000000000000004">
      <c r="A961" s="821"/>
    </row>
    <row r="962" spans="1:1" x14ac:dyDescent="0.55000000000000004">
      <c r="A962" s="821"/>
    </row>
    <row r="963" spans="1:1" x14ac:dyDescent="0.55000000000000004">
      <c r="A963" s="821"/>
    </row>
    <row r="964" spans="1:1" x14ac:dyDescent="0.55000000000000004">
      <c r="A964" s="821"/>
    </row>
    <row r="965" spans="1:1" x14ac:dyDescent="0.55000000000000004">
      <c r="A965" s="821"/>
    </row>
    <row r="966" spans="1:1" x14ac:dyDescent="0.55000000000000004">
      <c r="A966" s="821"/>
    </row>
    <row r="967" spans="1:1" x14ac:dyDescent="0.55000000000000004">
      <c r="A967" s="821"/>
    </row>
    <row r="968" spans="1:1" x14ac:dyDescent="0.55000000000000004">
      <c r="A968" s="821"/>
    </row>
    <row r="969" spans="1:1" x14ac:dyDescent="0.55000000000000004">
      <c r="A969" s="821"/>
    </row>
    <row r="970" spans="1:1" x14ac:dyDescent="0.55000000000000004">
      <c r="A970" s="821"/>
    </row>
    <row r="971" spans="1:1" x14ac:dyDescent="0.55000000000000004">
      <c r="A971" s="821"/>
    </row>
    <row r="972" spans="1:1" x14ac:dyDescent="0.55000000000000004">
      <c r="A972" s="821"/>
    </row>
    <row r="973" spans="1:1" x14ac:dyDescent="0.55000000000000004">
      <c r="A973" s="821"/>
    </row>
    <row r="974" spans="1:1" x14ac:dyDescent="0.55000000000000004">
      <c r="A974" s="821"/>
    </row>
    <row r="975" spans="1:1" x14ac:dyDescent="0.55000000000000004">
      <c r="A975" s="821"/>
    </row>
    <row r="976" spans="1:1" x14ac:dyDescent="0.55000000000000004">
      <c r="A976" s="821"/>
    </row>
    <row r="977" spans="1:1" x14ac:dyDescent="0.55000000000000004">
      <c r="A977" s="821"/>
    </row>
    <row r="978" spans="1:1" x14ac:dyDescent="0.55000000000000004">
      <c r="A978" s="821"/>
    </row>
    <row r="979" spans="1:1" x14ac:dyDescent="0.55000000000000004">
      <c r="A979" s="821"/>
    </row>
    <row r="980" spans="1:1" x14ac:dyDescent="0.55000000000000004">
      <c r="A980" s="821"/>
    </row>
    <row r="981" spans="1:1" x14ac:dyDescent="0.55000000000000004">
      <c r="A981" s="821"/>
    </row>
    <row r="982" spans="1:1" x14ac:dyDescent="0.55000000000000004">
      <c r="A982" s="821"/>
    </row>
    <row r="983" spans="1:1" x14ac:dyDescent="0.55000000000000004">
      <c r="A983" s="821"/>
    </row>
    <row r="984" spans="1:1" x14ac:dyDescent="0.55000000000000004">
      <c r="A984" s="821"/>
    </row>
    <row r="985" spans="1:1" x14ac:dyDescent="0.55000000000000004">
      <c r="A985" s="821"/>
    </row>
    <row r="986" spans="1:1" x14ac:dyDescent="0.55000000000000004">
      <c r="A986" s="821"/>
    </row>
    <row r="987" spans="1:1" x14ac:dyDescent="0.55000000000000004">
      <c r="A987" s="821"/>
    </row>
    <row r="988" spans="1:1" x14ac:dyDescent="0.55000000000000004">
      <c r="A988" s="821"/>
    </row>
    <row r="989" spans="1:1" x14ac:dyDescent="0.55000000000000004">
      <c r="A989" s="821"/>
    </row>
    <row r="990" spans="1:1" x14ac:dyDescent="0.55000000000000004">
      <c r="A990" s="821"/>
    </row>
    <row r="991" spans="1:1" x14ac:dyDescent="0.55000000000000004">
      <c r="A991" s="821"/>
    </row>
    <row r="992" spans="1:1" x14ac:dyDescent="0.55000000000000004">
      <c r="A992" s="821"/>
    </row>
    <row r="993" spans="1:1" x14ac:dyDescent="0.55000000000000004">
      <c r="A993" s="821"/>
    </row>
    <row r="994" spans="1:1" x14ac:dyDescent="0.55000000000000004">
      <c r="A994" s="821"/>
    </row>
    <row r="995" spans="1:1" x14ac:dyDescent="0.55000000000000004">
      <c r="A995" s="821"/>
    </row>
    <row r="996" spans="1:1" x14ac:dyDescent="0.55000000000000004">
      <c r="A996" s="821"/>
    </row>
    <row r="997" spans="1:1" x14ac:dyDescent="0.55000000000000004">
      <c r="A997" s="821"/>
    </row>
    <row r="998" spans="1:1" x14ac:dyDescent="0.55000000000000004">
      <c r="A998" s="821"/>
    </row>
    <row r="999" spans="1:1" x14ac:dyDescent="0.55000000000000004">
      <c r="A999" s="821"/>
    </row>
    <row r="1000" spans="1:1" x14ac:dyDescent="0.55000000000000004">
      <c r="A1000" s="821"/>
    </row>
    <row r="1001" spans="1:1" x14ac:dyDescent="0.55000000000000004">
      <c r="A1001" s="821"/>
    </row>
    <row r="1002" spans="1:1" x14ac:dyDescent="0.55000000000000004">
      <c r="A1002" s="821"/>
    </row>
    <row r="1003" spans="1:1" x14ac:dyDescent="0.55000000000000004">
      <c r="A1003" s="821"/>
    </row>
    <row r="1004" spans="1:1" x14ac:dyDescent="0.55000000000000004">
      <c r="A1004" s="821"/>
    </row>
    <row r="1005" spans="1:1" x14ac:dyDescent="0.55000000000000004">
      <c r="A1005" s="821"/>
    </row>
    <row r="1006" spans="1:1" x14ac:dyDescent="0.55000000000000004">
      <c r="A1006" s="821"/>
    </row>
    <row r="1007" spans="1:1" x14ac:dyDescent="0.55000000000000004">
      <c r="A1007" s="821"/>
    </row>
    <row r="1008" spans="1:1" x14ac:dyDescent="0.55000000000000004">
      <c r="A1008" s="821"/>
    </row>
    <row r="1009" spans="1:1" x14ac:dyDescent="0.55000000000000004">
      <c r="A1009" s="821"/>
    </row>
    <row r="1010" spans="1:1" x14ac:dyDescent="0.55000000000000004">
      <c r="A1010" s="821"/>
    </row>
    <row r="1011" spans="1:1" x14ac:dyDescent="0.55000000000000004">
      <c r="A1011" s="821"/>
    </row>
    <row r="1012" spans="1:1" x14ac:dyDescent="0.55000000000000004">
      <c r="A1012" s="821"/>
    </row>
    <row r="1013" spans="1:1" x14ac:dyDescent="0.55000000000000004">
      <c r="A1013" s="821"/>
    </row>
    <row r="1014" spans="1:1" x14ac:dyDescent="0.55000000000000004">
      <c r="A1014" s="821"/>
    </row>
    <row r="1015" spans="1:1" x14ac:dyDescent="0.55000000000000004">
      <c r="A1015" s="821"/>
    </row>
    <row r="1016" spans="1:1" x14ac:dyDescent="0.55000000000000004">
      <c r="A1016" s="821"/>
    </row>
    <row r="1017" spans="1:1" x14ac:dyDescent="0.55000000000000004">
      <c r="A1017" s="821"/>
    </row>
    <row r="1018" spans="1:1" x14ac:dyDescent="0.55000000000000004">
      <c r="A1018" s="821"/>
    </row>
    <row r="1019" spans="1:1" x14ac:dyDescent="0.55000000000000004">
      <c r="A1019" s="821"/>
    </row>
    <row r="1020" spans="1:1" x14ac:dyDescent="0.55000000000000004">
      <c r="A1020" s="821"/>
    </row>
    <row r="1021" spans="1:1" x14ac:dyDescent="0.55000000000000004">
      <c r="A1021" s="821"/>
    </row>
    <row r="1022" spans="1:1" x14ac:dyDescent="0.55000000000000004">
      <c r="A1022" s="821"/>
    </row>
    <row r="1023" spans="1:1" x14ac:dyDescent="0.55000000000000004">
      <c r="A1023" s="821"/>
    </row>
    <row r="1024" spans="1:1" x14ac:dyDescent="0.55000000000000004">
      <c r="A1024" s="821"/>
    </row>
    <row r="1025" spans="1:1" x14ac:dyDescent="0.55000000000000004">
      <c r="A1025" s="821"/>
    </row>
    <row r="1026" spans="1:1" x14ac:dyDescent="0.55000000000000004">
      <c r="A1026" s="821"/>
    </row>
    <row r="1027" spans="1:1" x14ac:dyDescent="0.55000000000000004">
      <c r="A1027" s="821"/>
    </row>
    <row r="1028" spans="1:1" x14ac:dyDescent="0.55000000000000004">
      <c r="A1028" s="821"/>
    </row>
    <row r="1029" spans="1:1" x14ac:dyDescent="0.55000000000000004">
      <c r="A1029" s="821"/>
    </row>
    <row r="1030" spans="1:1" x14ac:dyDescent="0.55000000000000004">
      <c r="A1030" s="821"/>
    </row>
    <row r="1031" spans="1:1" x14ac:dyDescent="0.55000000000000004">
      <c r="A1031" s="821"/>
    </row>
    <row r="1032" spans="1:1" x14ac:dyDescent="0.55000000000000004">
      <c r="A1032" s="821"/>
    </row>
    <row r="1033" spans="1:1" x14ac:dyDescent="0.55000000000000004">
      <c r="A1033" s="821"/>
    </row>
    <row r="1034" spans="1:1" x14ac:dyDescent="0.55000000000000004">
      <c r="A1034" s="821"/>
    </row>
    <row r="1035" spans="1:1" x14ac:dyDescent="0.55000000000000004">
      <c r="A1035" s="821"/>
    </row>
    <row r="1036" spans="1:1" x14ac:dyDescent="0.55000000000000004">
      <c r="A1036" s="821"/>
    </row>
    <row r="1037" spans="1:1" x14ac:dyDescent="0.55000000000000004">
      <c r="A1037" s="821"/>
    </row>
    <row r="1038" spans="1:1" x14ac:dyDescent="0.55000000000000004">
      <c r="A1038" s="821"/>
    </row>
    <row r="1039" spans="1:1" x14ac:dyDescent="0.55000000000000004">
      <c r="A1039" s="821"/>
    </row>
    <row r="1040" spans="1:1" x14ac:dyDescent="0.55000000000000004">
      <c r="A1040" s="821"/>
    </row>
    <row r="1041" spans="1:1" x14ac:dyDescent="0.55000000000000004">
      <c r="A1041" s="821"/>
    </row>
    <row r="1042" spans="1:1" x14ac:dyDescent="0.55000000000000004">
      <c r="A1042" s="821"/>
    </row>
    <row r="1043" spans="1:1" x14ac:dyDescent="0.55000000000000004">
      <c r="A1043" s="821"/>
    </row>
    <row r="1044" spans="1:1" x14ac:dyDescent="0.55000000000000004">
      <c r="A1044" s="821"/>
    </row>
    <row r="1045" spans="1:1" x14ac:dyDescent="0.55000000000000004">
      <c r="A1045" s="821"/>
    </row>
    <row r="1046" spans="1:1" x14ac:dyDescent="0.55000000000000004">
      <c r="A1046" s="821"/>
    </row>
    <row r="1047" spans="1:1" x14ac:dyDescent="0.55000000000000004">
      <c r="A1047" s="821"/>
    </row>
    <row r="1048" spans="1:1" x14ac:dyDescent="0.55000000000000004">
      <c r="A1048" s="821"/>
    </row>
    <row r="1049" spans="1:1" x14ac:dyDescent="0.55000000000000004">
      <c r="A1049" s="821"/>
    </row>
    <row r="1050" spans="1:1" x14ac:dyDescent="0.55000000000000004">
      <c r="A1050" s="821"/>
    </row>
    <row r="1051" spans="1:1" x14ac:dyDescent="0.55000000000000004">
      <c r="A1051" s="821"/>
    </row>
    <row r="1052" spans="1:1" x14ac:dyDescent="0.55000000000000004">
      <c r="A1052" s="821"/>
    </row>
    <row r="1053" spans="1:1" x14ac:dyDescent="0.55000000000000004">
      <c r="A1053" s="821"/>
    </row>
    <row r="1054" spans="1:1" x14ac:dyDescent="0.55000000000000004">
      <c r="A1054" s="821"/>
    </row>
    <row r="1055" spans="1:1" x14ac:dyDescent="0.55000000000000004">
      <c r="A1055" s="821"/>
    </row>
    <row r="1056" spans="1:1" x14ac:dyDescent="0.55000000000000004">
      <c r="A1056" s="821"/>
    </row>
    <row r="1057" spans="1:1" x14ac:dyDescent="0.55000000000000004">
      <c r="A1057" s="821"/>
    </row>
    <row r="1058" spans="1:1" x14ac:dyDescent="0.55000000000000004">
      <c r="A1058" s="821"/>
    </row>
    <row r="1059" spans="1:1" x14ac:dyDescent="0.55000000000000004">
      <c r="A1059" s="821"/>
    </row>
    <row r="1060" spans="1:1" x14ac:dyDescent="0.55000000000000004">
      <c r="A1060" s="821"/>
    </row>
    <row r="1061" spans="1:1" x14ac:dyDescent="0.55000000000000004">
      <c r="A1061" s="821"/>
    </row>
    <row r="1062" spans="1:1" x14ac:dyDescent="0.55000000000000004">
      <c r="A1062" s="821"/>
    </row>
    <row r="1063" spans="1:1" x14ac:dyDescent="0.55000000000000004">
      <c r="A1063" s="821"/>
    </row>
    <row r="1064" spans="1:1" x14ac:dyDescent="0.55000000000000004">
      <c r="A1064" s="821"/>
    </row>
    <row r="1065" spans="1:1" x14ac:dyDescent="0.55000000000000004">
      <c r="A1065" s="821"/>
    </row>
    <row r="1066" spans="1:1" x14ac:dyDescent="0.55000000000000004">
      <c r="A1066" s="821"/>
    </row>
    <row r="1067" spans="1:1" x14ac:dyDescent="0.55000000000000004">
      <c r="A1067" s="821"/>
    </row>
    <row r="1068" spans="1:1" x14ac:dyDescent="0.55000000000000004">
      <c r="A1068" s="821"/>
    </row>
    <row r="1069" spans="1:1" x14ac:dyDescent="0.55000000000000004">
      <c r="A1069" s="821"/>
    </row>
    <row r="1070" spans="1:1" x14ac:dyDescent="0.55000000000000004">
      <c r="A1070" s="821"/>
    </row>
    <row r="1071" spans="1:1" x14ac:dyDescent="0.55000000000000004">
      <c r="A1071" s="821"/>
    </row>
    <row r="1072" spans="1:1" x14ac:dyDescent="0.55000000000000004">
      <c r="A1072" s="821"/>
    </row>
    <row r="1073" spans="1:1" x14ac:dyDescent="0.55000000000000004">
      <c r="A1073" s="821"/>
    </row>
    <row r="1074" spans="1:1" x14ac:dyDescent="0.55000000000000004">
      <c r="A1074" s="821"/>
    </row>
    <row r="1075" spans="1:1" x14ac:dyDescent="0.55000000000000004">
      <c r="A1075" s="821"/>
    </row>
    <row r="1076" spans="1:1" x14ac:dyDescent="0.55000000000000004">
      <c r="A1076" s="821"/>
    </row>
    <row r="1077" spans="1:1" x14ac:dyDescent="0.55000000000000004">
      <c r="A1077" s="821"/>
    </row>
    <row r="1078" spans="1:1" x14ac:dyDescent="0.55000000000000004">
      <c r="A1078" s="821"/>
    </row>
    <row r="1079" spans="1:1" x14ac:dyDescent="0.55000000000000004">
      <c r="A1079" s="821"/>
    </row>
    <row r="1080" spans="1:1" x14ac:dyDescent="0.55000000000000004">
      <c r="A1080" s="821"/>
    </row>
    <row r="1081" spans="1:1" x14ac:dyDescent="0.55000000000000004">
      <c r="A1081" s="821"/>
    </row>
    <row r="1082" spans="1:1" x14ac:dyDescent="0.55000000000000004">
      <c r="A1082" s="821"/>
    </row>
    <row r="1083" spans="1:1" x14ac:dyDescent="0.55000000000000004">
      <c r="A1083" s="821"/>
    </row>
    <row r="1084" spans="1:1" x14ac:dyDescent="0.55000000000000004">
      <c r="A1084" s="821"/>
    </row>
    <row r="1085" spans="1:1" x14ac:dyDescent="0.55000000000000004">
      <c r="A1085" s="821"/>
    </row>
    <row r="1086" spans="1:1" x14ac:dyDescent="0.55000000000000004">
      <c r="A1086" s="821"/>
    </row>
    <row r="1087" spans="1:1" x14ac:dyDescent="0.55000000000000004">
      <c r="A1087" s="821"/>
    </row>
    <row r="1088" spans="1:1" x14ac:dyDescent="0.55000000000000004">
      <c r="A1088" s="821"/>
    </row>
    <row r="1089" spans="1:1" x14ac:dyDescent="0.55000000000000004">
      <c r="A1089" s="821"/>
    </row>
    <row r="1090" spans="1:1" x14ac:dyDescent="0.55000000000000004">
      <c r="A1090" s="821"/>
    </row>
    <row r="1091" spans="1:1" x14ac:dyDescent="0.55000000000000004">
      <c r="A1091" s="821"/>
    </row>
    <row r="1092" spans="1:1" x14ac:dyDescent="0.55000000000000004">
      <c r="A1092" s="821"/>
    </row>
    <row r="1093" spans="1:1" x14ac:dyDescent="0.55000000000000004">
      <c r="A1093" s="821"/>
    </row>
    <row r="1094" spans="1:1" x14ac:dyDescent="0.55000000000000004">
      <c r="A1094" s="821"/>
    </row>
    <row r="1095" spans="1:1" x14ac:dyDescent="0.55000000000000004">
      <c r="A1095" s="821"/>
    </row>
    <row r="1096" spans="1:1" x14ac:dyDescent="0.55000000000000004">
      <c r="A1096" s="821"/>
    </row>
    <row r="1097" spans="1:1" x14ac:dyDescent="0.55000000000000004">
      <c r="A1097" s="821"/>
    </row>
    <row r="1098" spans="1:1" x14ac:dyDescent="0.55000000000000004">
      <c r="A1098" s="821"/>
    </row>
    <row r="1099" spans="1:1" x14ac:dyDescent="0.55000000000000004">
      <c r="A1099" s="821"/>
    </row>
    <row r="1100" spans="1:1" x14ac:dyDescent="0.55000000000000004">
      <c r="A1100" s="821"/>
    </row>
    <row r="1101" spans="1:1" x14ac:dyDescent="0.55000000000000004">
      <c r="A1101" s="821"/>
    </row>
    <row r="1102" spans="1:1" x14ac:dyDescent="0.55000000000000004">
      <c r="A1102" s="821"/>
    </row>
    <row r="1103" spans="1:1" x14ac:dyDescent="0.55000000000000004">
      <c r="A1103" s="821"/>
    </row>
    <row r="1104" spans="1:1" x14ac:dyDescent="0.55000000000000004">
      <c r="A1104" s="821"/>
    </row>
    <row r="1105" spans="1:1" x14ac:dyDescent="0.55000000000000004">
      <c r="A1105" s="821"/>
    </row>
    <row r="1106" spans="1:1" x14ac:dyDescent="0.55000000000000004">
      <c r="A1106" s="821"/>
    </row>
    <row r="1107" spans="1:1" x14ac:dyDescent="0.55000000000000004">
      <c r="A1107" s="821"/>
    </row>
    <row r="1108" spans="1:1" x14ac:dyDescent="0.55000000000000004">
      <c r="A1108" s="821"/>
    </row>
    <row r="1109" spans="1:1" x14ac:dyDescent="0.55000000000000004">
      <c r="A1109" s="821"/>
    </row>
    <row r="1110" spans="1:1" x14ac:dyDescent="0.55000000000000004">
      <c r="A1110" s="821"/>
    </row>
    <row r="1111" spans="1:1" x14ac:dyDescent="0.55000000000000004">
      <c r="A1111" s="821"/>
    </row>
    <row r="1112" spans="1:1" x14ac:dyDescent="0.55000000000000004">
      <c r="A1112" s="821"/>
    </row>
    <row r="1113" spans="1:1" x14ac:dyDescent="0.55000000000000004">
      <c r="A1113" s="821"/>
    </row>
    <row r="1114" spans="1:1" x14ac:dyDescent="0.55000000000000004">
      <c r="A1114" s="821"/>
    </row>
    <row r="1115" spans="1:1" x14ac:dyDescent="0.55000000000000004">
      <c r="A1115" s="821"/>
    </row>
    <row r="1116" spans="1:1" x14ac:dyDescent="0.55000000000000004">
      <c r="A1116" s="821"/>
    </row>
    <row r="1117" spans="1:1" x14ac:dyDescent="0.55000000000000004">
      <c r="A1117" s="821"/>
    </row>
    <row r="1118" spans="1:1" x14ac:dyDescent="0.55000000000000004">
      <c r="A1118" s="821"/>
    </row>
    <row r="1119" spans="1:1" x14ac:dyDescent="0.55000000000000004">
      <c r="A1119" s="821"/>
    </row>
    <row r="1120" spans="1:1" x14ac:dyDescent="0.55000000000000004">
      <c r="A1120" s="821"/>
    </row>
    <row r="1121" spans="1:1" x14ac:dyDescent="0.55000000000000004">
      <c r="A1121" s="821"/>
    </row>
    <row r="1122" spans="1:1" x14ac:dyDescent="0.55000000000000004">
      <c r="A1122" s="821"/>
    </row>
    <row r="1123" spans="1:1" x14ac:dyDescent="0.55000000000000004">
      <c r="A1123" s="821"/>
    </row>
    <row r="1124" spans="1:1" x14ac:dyDescent="0.55000000000000004">
      <c r="A1124" s="821"/>
    </row>
    <row r="1125" spans="1:1" x14ac:dyDescent="0.55000000000000004">
      <c r="A1125" s="821"/>
    </row>
    <row r="1126" spans="1:1" x14ac:dyDescent="0.55000000000000004">
      <c r="A1126" s="821"/>
    </row>
    <row r="1127" spans="1:1" x14ac:dyDescent="0.55000000000000004">
      <c r="A1127" s="821"/>
    </row>
    <row r="1128" spans="1:1" x14ac:dyDescent="0.55000000000000004">
      <c r="A1128" s="821"/>
    </row>
    <row r="1129" spans="1:1" x14ac:dyDescent="0.55000000000000004">
      <c r="A1129" s="821"/>
    </row>
    <row r="1130" spans="1:1" x14ac:dyDescent="0.55000000000000004">
      <c r="A1130" s="821"/>
    </row>
    <row r="1131" spans="1:1" x14ac:dyDescent="0.55000000000000004">
      <c r="A1131" s="821"/>
    </row>
    <row r="1132" spans="1:1" x14ac:dyDescent="0.55000000000000004">
      <c r="A1132" s="821"/>
    </row>
    <row r="1133" spans="1:1" x14ac:dyDescent="0.55000000000000004">
      <c r="A1133" s="821"/>
    </row>
    <row r="1134" spans="1:1" x14ac:dyDescent="0.55000000000000004">
      <c r="A1134" s="821"/>
    </row>
    <row r="1135" spans="1:1" x14ac:dyDescent="0.55000000000000004">
      <c r="A1135" s="821"/>
    </row>
    <row r="1136" spans="1:1" x14ac:dyDescent="0.55000000000000004">
      <c r="A1136" s="821"/>
    </row>
    <row r="1137" spans="1:1" x14ac:dyDescent="0.55000000000000004">
      <c r="A1137" s="821"/>
    </row>
    <row r="1138" spans="1:1" x14ac:dyDescent="0.55000000000000004">
      <c r="A1138" s="821"/>
    </row>
    <row r="1139" spans="1:1" x14ac:dyDescent="0.55000000000000004">
      <c r="A1139" s="821"/>
    </row>
    <row r="1140" spans="1:1" x14ac:dyDescent="0.55000000000000004">
      <c r="A1140" s="821"/>
    </row>
    <row r="1141" spans="1:1" x14ac:dyDescent="0.55000000000000004">
      <c r="A1141" s="821"/>
    </row>
    <row r="1142" spans="1:1" x14ac:dyDescent="0.55000000000000004">
      <c r="A1142" s="821"/>
    </row>
    <row r="1143" spans="1:1" x14ac:dyDescent="0.55000000000000004">
      <c r="A1143" s="821"/>
    </row>
    <row r="1144" spans="1:1" x14ac:dyDescent="0.55000000000000004">
      <c r="A1144" s="821"/>
    </row>
    <row r="1145" spans="1:1" x14ac:dyDescent="0.55000000000000004">
      <c r="A1145" s="821"/>
    </row>
    <row r="1146" spans="1:1" x14ac:dyDescent="0.55000000000000004">
      <c r="A1146" s="821"/>
    </row>
    <row r="1147" spans="1:1" x14ac:dyDescent="0.55000000000000004">
      <c r="A1147" s="821"/>
    </row>
    <row r="1148" spans="1:1" x14ac:dyDescent="0.55000000000000004">
      <c r="A1148" s="821"/>
    </row>
    <row r="1149" spans="1:1" x14ac:dyDescent="0.55000000000000004">
      <c r="A1149" s="821"/>
    </row>
    <row r="1150" spans="1:1" x14ac:dyDescent="0.55000000000000004">
      <c r="A1150" s="821"/>
    </row>
    <row r="1151" spans="1:1" x14ac:dyDescent="0.55000000000000004">
      <c r="A1151" s="821"/>
    </row>
    <row r="1152" spans="1:1" x14ac:dyDescent="0.55000000000000004">
      <c r="A1152" s="821"/>
    </row>
    <row r="1153" spans="1:1" x14ac:dyDescent="0.55000000000000004">
      <c r="A1153" s="821"/>
    </row>
    <row r="1154" spans="1:1" x14ac:dyDescent="0.55000000000000004">
      <c r="A1154" s="821"/>
    </row>
    <row r="1155" spans="1:1" x14ac:dyDescent="0.55000000000000004">
      <c r="A1155" s="821"/>
    </row>
    <row r="1156" spans="1:1" x14ac:dyDescent="0.55000000000000004">
      <c r="A1156" s="821"/>
    </row>
    <row r="1157" spans="1:1" x14ac:dyDescent="0.55000000000000004">
      <c r="A1157" s="821"/>
    </row>
    <row r="1158" spans="1:1" x14ac:dyDescent="0.55000000000000004">
      <c r="A1158" s="821"/>
    </row>
    <row r="1159" spans="1:1" x14ac:dyDescent="0.55000000000000004">
      <c r="A1159" s="821"/>
    </row>
    <row r="1160" spans="1:1" x14ac:dyDescent="0.55000000000000004">
      <c r="A1160" s="821"/>
    </row>
    <row r="1161" spans="1:1" x14ac:dyDescent="0.55000000000000004">
      <c r="A1161" s="821"/>
    </row>
    <row r="1162" spans="1:1" x14ac:dyDescent="0.55000000000000004">
      <c r="A1162" s="821"/>
    </row>
    <row r="1163" spans="1:1" x14ac:dyDescent="0.55000000000000004">
      <c r="A1163" s="821"/>
    </row>
    <row r="1164" spans="1:1" x14ac:dyDescent="0.55000000000000004">
      <c r="A1164" s="821"/>
    </row>
    <row r="1165" spans="1:1" x14ac:dyDescent="0.55000000000000004">
      <c r="A1165" s="821"/>
    </row>
    <row r="1166" spans="1:1" x14ac:dyDescent="0.55000000000000004">
      <c r="A1166" s="821"/>
    </row>
    <row r="1167" spans="1:1" x14ac:dyDescent="0.55000000000000004">
      <c r="A1167" s="821"/>
    </row>
    <row r="1168" spans="1:1" x14ac:dyDescent="0.55000000000000004">
      <c r="A1168" s="821"/>
    </row>
    <row r="1169" spans="1:1" x14ac:dyDescent="0.55000000000000004">
      <c r="A1169" s="821"/>
    </row>
    <row r="1170" spans="1:1" x14ac:dyDescent="0.55000000000000004">
      <c r="A1170" s="821"/>
    </row>
    <row r="1171" spans="1:1" x14ac:dyDescent="0.55000000000000004">
      <c r="A1171" s="821"/>
    </row>
    <row r="1172" spans="1:1" x14ac:dyDescent="0.55000000000000004">
      <c r="A1172" s="821"/>
    </row>
    <row r="1173" spans="1:1" x14ac:dyDescent="0.55000000000000004">
      <c r="A1173" s="821"/>
    </row>
    <row r="1174" spans="1:1" x14ac:dyDescent="0.55000000000000004">
      <c r="A1174" s="821"/>
    </row>
    <row r="1175" spans="1:1" x14ac:dyDescent="0.55000000000000004">
      <c r="A1175" s="821"/>
    </row>
    <row r="1176" spans="1:1" x14ac:dyDescent="0.55000000000000004">
      <c r="A1176" s="821"/>
    </row>
    <row r="1177" spans="1:1" x14ac:dyDescent="0.55000000000000004">
      <c r="A1177" s="821"/>
    </row>
    <row r="1178" spans="1:1" x14ac:dyDescent="0.55000000000000004">
      <c r="A1178" s="821"/>
    </row>
    <row r="1179" spans="1:1" x14ac:dyDescent="0.55000000000000004">
      <c r="A1179" s="821"/>
    </row>
    <row r="1180" spans="1:1" x14ac:dyDescent="0.55000000000000004">
      <c r="A1180" s="821"/>
    </row>
    <row r="1181" spans="1:1" x14ac:dyDescent="0.55000000000000004">
      <c r="A1181" s="821"/>
    </row>
    <row r="1182" spans="1:1" x14ac:dyDescent="0.55000000000000004">
      <c r="A1182" s="821"/>
    </row>
    <row r="1183" spans="1:1" x14ac:dyDescent="0.55000000000000004">
      <c r="A1183" s="821"/>
    </row>
    <row r="1184" spans="1:1" x14ac:dyDescent="0.55000000000000004">
      <c r="A1184" s="821"/>
    </row>
    <row r="1185" spans="1:1" x14ac:dyDescent="0.55000000000000004">
      <c r="A1185" s="821"/>
    </row>
    <row r="1186" spans="1:1" x14ac:dyDescent="0.55000000000000004">
      <c r="A1186" s="821"/>
    </row>
    <row r="1187" spans="1:1" x14ac:dyDescent="0.55000000000000004">
      <c r="A1187" s="821"/>
    </row>
    <row r="1188" spans="1:1" x14ac:dyDescent="0.55000000000000004">
      <c r="A1188" s="821"/>
    </row>
    <row r="1189" spans="1:1" x14ac:dyDescent="0.55000000000000004">
      <c r="A1189" s="821"/>
    </row>
    <row r="1190" spans="1:1" x14ac:dyDescent="0.55000000000000004">
      <c r="A1190" s="821"/>
    </row>
    <row r="1191" spans="1:1" x14ac:dyDescent="0.55000000000000004">
      <c r="A1191" s="821"/>
    </row>
    <row r="1192" spans="1:1" x14ac:dyDescent="0.55000000000000004">
      <c r="A1192" s="821"/>
    </row>
    <row r="1193" spans="1:1" x14ac:dyDescent="0.55000000000000004">
      <c r="A1193" s="821"/>
    </row>
    <row r="1194" spans="1:1" x14ac:dyDescent="0.55000000000000004">
      <c r="A1194" s="821"/>
    </row>
    <row r="1195" spans="1:1" x14ac:dyDescent="0.55000000000000004">
      <c r="A1195" s="821"/>
    </row>
    <row r="1196" spans="1:1" x14ac:dyDescent="0.55000000000000004">
      <c r="A1196" s="821"/>
    </row>
    <row r="1197" spans="1:1" x14ac:dyDescent="0.55000000000000004">
      <c r="A1197" s="821"/>
    </row>
    <row r="1198" spans="1:1" x14ac:dyDescent="0.55000000000000004">
      <c r="A1198" s="821"/>
    </row>
    <row r="1199" spans="1:1" x14ac:dyDescent="0.55000000000000004">
      <c r="A1199" s="821"/>
    </row>
    <row r="1200" spans="1:1" x14ac:dyDescent="0.55000000000000004">
      <c r="A1200" s="821"/>
    </row>
    <row r="1201" spans="1:1" x14ac:dyDescent="0.55000000000000004">
      <c r="A1201" s="821"/>
    </row>
    <row r="1202" spans="1:1" x14ac:dyDescent="0.55000000000000004">
      <c r="A1202" s="821"/>
    </row>
    <row r="1203" spans="1:1" x14ac:dyDescent="0.55000000000000004">
      <c r="A1203" s="821"/>
    </row>
    <row r="1204" spans="1:1" x14ac:dyDescent="0.55000000000000004">
      <c r="A1204" s="821"/>
    </row>
    <row r="1205" spans="1:1" x14ac:dyDescent="0.55000000000000004">
      <c r="A1205" s="821"/>
    </row>
    <row r="1206" spans="1:1" x14ac:dyDescent="0.55000000000000004">
      <c r="A1206" s="821"/>
    </row>
    <row r="1207" spans="1:1" x14ac:dyDescent="0.55000000000000004">
      <c r="A1207" s="821"/>
    </row>
    <row r="1208" spans="1:1" x14ac:dyDescent="0.55000000000000004">
      <c r="A1208" s="821"/>
    </row>
    <row r="1209" spans="1:1" x14ac:dyDescent="0.55000000000000004">
      <c r="A1209" s="821"/>
    </row>
    <row r="1210" spans="1:1" x14ac:dyDescent="0.55000000000000004">
      <c r="A1210" s="821"/>
    </row>
    <row r="1211" spans="1:1" x14ac:dyDescent="0.55000000000000004">
      <c r="A1211" s="821"/>
    </row>
    <row r="1212" spans="1:1" x14ac:dyDescent="0.55000000000000004">
      <c r="A1212" s="821"/>
    </row>
    <row r="1213" spans="1:1" x14ac:dyDescent="0.55000000000000004">
      <c r="A1213" s="821"/>
    </row>
    <row r="1214" spans="1:1" x14ac:dyDescent="0.55000000000000004">
      <c r="A1214" s="821"/>
    </row>
    <row r="1215" spans="1:1" x14ac:dyDescent="0.55000000000000004">
      <c r="A1215" s="821"/>
    </row>
    <row r="1216" spans="1:1" x14ac:dyDescent="0.55000000000000004">
      <c r="A1216" s="821"/>
    </row>
    <row r="1217" spans="1:1" x14ac:dyDescent="0.55000000000000004">
      <c r="A1217" s="821"/>
    </row>
    <row r="1218" spans="1:1" x14ac:dyDescent="0.55000000000000004">
      <c r="A1218" s="821"/>
    </row>
    <row r="1219" spans="1:1" x14ac:dyDescent="0.55000000000000004">
      <c r="A1219" s="821"/>
    </row>
    <row r="1220" spans="1:1" x14ac:dyDescent="0.55000000000000004">
      <c r="A1220" s="821"/>
    </row>
    <row r="1221" spans="1:1" x14ac:dyDescent="0.55000000000000004">
      <c r="A1221" s="821"/>
    </row>
    <row r="1222" spans="1:1" x14ac:dyDescent="0.55000000000000004">
      <c r="A1222" s="821"/>
    </row>
    <row r="1223" spans="1:1" x14ac:dyDescent="0.55000000000000004">
      <c r="A1223" s="821"/>
    </row>
    <row r="1224" spans="1:1" x14ac:dyDescent="0.55000000000000004">
      <c r="A1224" s="821"/>
    </row>
    <row r="1225" spans="1:1" x14ac:dyDescent="0.55000000000000004">
      <c r="A1225" s="821"/>
    </row>
    <row r="1226" spans="1:1" x14ac:dyDescent="0.55000000000000004">
      <c r="A1226" s="821"/>
    </row>
    <row r="1227" spans="1:1" x14ac:dyDescent="0.55000000000000004">
      <c r="A1227" s="821"/>
    </row>
    <row r="1228" spans="1:1" x14ac:dyDescent="0.55000000000000004">
      <c r="A1228" s="821"/>
    </row>
    <row r="1229" spans="1:1" x14ac:dyDescent="0.55000000000000004">
      <c r="A1229" s="821"/>
    </row>
    <row r="1230" spans="1:1" x14ac:dyDescent="0.55000000000000004">
      <c r="A1230" s="821"/>
    </row>
    <row r="1231" spans="1:1" x14ac:dyDescent="0.55000000000000004">
      <c r="A1231" s="821"/>
    </row>
    <row r="1232" spans="1:1" x14ac:dyDescent="0.55000000000000004">
      <c r="A1232" s="821"/>
    </row>
    <row r="1233" spans="1:1" x14ac:dyDescent="0.55000000000000004">
      <c r="A1233" s="821"/>
    </row>
    <row r="1234" spans="1:1" x14ac:dyDescent="0.55000000000000004">
      <c r="A1234" s="821"/>
    </row>
    <row r="1235" spans="1:1" x14ac:dyDescent="0.55000000000000004">
      <c r="A1235" s="821"/>
    </row>
    <row r="1236" spans="1:1" x14ac:dyDescent="0.55000000000000004">
      <c r="A1236" s="821"/>
    </row>
    <row r="1237" spans="1:1" x14ac:dyDescent="0.55000000000000004">
      <c r="A1237" s="821"/>
    </row>
    <row r="1238" spans="1:1" x14ac:dyDescent="0.55000000000000004">
      <c r="A1238" s="821"/>
    </row>
    <row r="1239" spans="1:1" x14ac:dyDescent="0.55000000000000004">
      <c r="A1239" s="821"/>
    </row>
    <row r="1240" spans="1:1" x14ac:dyDescent="0.55000000000000004">
      <c r="A1240" s="821"/>
    </row>
    <row r="1241" spans="1:1" x14ac:dyDescent="0.55000000000000004">
      <c r="A1241" s="821"/>
    </row>
    <row r="1242" spans="1:1" x14ac:dyDescent="0.55000000000000004">
      <c r="A1242" s="821"/>
    </row>
    <row r="1243" spans="1:1" x14ac:dyDescent="0.55000000000000004">
      <c r="A1243" s="821"/>
    </row>
    <row r="1244" spans="1:1" x14ac:dyDescent="0.55000000000000004">
      <c r="A1244" s="821"/>
    </row>
    <row r="1245" spans="1:1" x14ac:dyDescent="0.55000000000000004">
      <c r="A1245" s="821"/>
    </row>
    <row r="1246" spans="1:1" x14ac:dyDescent="0.55000000000000004">
      <c r="A1246" s="821"/>
    </row>
    <row r="1247" spans="1:1" x14ac:dyDescent="0.55000000000000004">
      <c r="A1247" s="821"/>
    </row>
    <row r="1248" spans="1:1" x14ac:dyDescent="0.55000000000000004">
      <c r="A1248" s="821"/>
    </row>
    <row r="1249" spans="1:1" x14ac:dyDescent="0.55000000000000004">
      <c r="A1249" s="821"/>
    </row>
    <row r="1250" spans="1:1" x14ac:dyDescent="0.55000000000000004">
      <c r="A1250" s="821"/>
    </row>
    <row r="1251" spans="1:1" x14ac:dyDescent="0.55000000000000004">
      <c r="A1251" s="821"/>
    </row>
    <row r="1252" spans="1:1" x14ac:dyDescent="0.55000000000000004">
      <c r="A1252" s="821"/>
    </row>
    <row r="1253" spans="1:1" x14ac:dyDescent="0.55000000000000004">
      <c r="A1253" s="821"/>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50477-E6C5-47C3-A00E-AA5090A8C389}">
  <sheetPr codeName="Sheet41"/>
  <dimension ref="B2:F71"/>
  <sheetViews>
    <sheetView zoomScale="80" zoomScaleNormal="80" workbookViewId="0"/>
  </sheetViews>
  <sheetFormatPr defaultColWidth="9.15625" defaultRowHeight="15" x14ac:dyDescent="0.5"/>
  <cols>
    <col min="1" max="1" width="3.5234375" style="1118" customWidth="1"/>
    <col min="2" max="2" width="9.15625" style="1116"/>
    <col min="3" max="3" width="41.47265625" style="1118" bestFit="1" customWidth="1"/>
    <col min="4" max="4" width="8.5234375" style="1118" customWidth="1"/>
    <col min="5" max="16384" width="9.15625" style="1118"/>
  </cols>
  <sheetData>
    <row r="2" spans="2:4" x14ac:dyDescent="0.5">
      <c r="C2" s="1117" t="s">
        <v>6781</v>
      </c>
    </row>
    <row r="4" spans="2:4" x14ac:dyDescent="0.5">
      <c r="C4" s="1119" t="s">
        <v>6782</v>
      </c>
      <c r="D4" s="1120" t="s">
        <v>6783</v>
      </c>
    </row>
    <row r="5" spans="2:4" x14ac:dyDescent="0.5">
      <c r="C5" s="1121" t="s">
        <v>1082</v>
      </c>
      <c r="D5" s="1122">
        <f>AVERAGE(D13:D19)</f>
        <v>1.8571428571428572</v>
      </c>
    </row>
    <row r="6" spans="2:4" x14ac:dyDescent="0.5">
      <c r="C6" s="1121" t="s">
        <v>1180</v>
      </c>
      <c r="D6" s="1122">
        <f>MEDIAN(D13:D19)</f>
        <v>2</v>
      </c>
    </row>
    <row r="7" spans="2:4" x14ac:dyDescent="0.5">
      <c r="C7" s="1123"/>
      <c r="D7" s="816"/>
    </row>
    <row r="8" spans="2:4" x14ac:dyDescent="0.5">
      <c r="C8" s="1119" t="s">
        <v>6784</v>
      </c>
      <c r="D8" s="1124" t="s">
        <v>6783</v>
      </c>
    </row>
    <row r="9" spans="2:4" ht="15" customHeight="1" x14ac:dyDescent="0.5">
      <c r="C9" s="1121" t="s">
        <v>1082</v>
      </c>
      <c r="D9" s="1122">
        <f>AVERAGE(D22:D70)</f>
        <v>1.8367346938775511</v>
      </c>
    </row>
    <row r="10" spans="2:4" x14ac:dyDescent="0.5">
      <c r="C10" s="1121" t="s">
        <v>1180</v>
      </c>
      <c r="D10" s="1122">
        <f>MEDIAN(D22:D70)</f>
        <v>2</v>
      </c>
    </row>
    <row r="11" spans="2:4" x14ac:dyDescent="0.5">
      <c r="C11" s="1123"/>
      <c r="D11" s="1125"/>
    </row>
    <row r="12" spans="2:4" ht="30" x14ac:dyDescent="0.5">
      <c r="B12" s="1126" t="s">
        <v>75</v>
      </c>
      <c r="C12" s="1127" t="s">
        <v>4578</v>
      </c>
      <c r="D12" s="1120" t="s">
        <v>6783</v>
      </c>
    </row>
    <row r="13" spans="2:4" x14ac:dyDescent="0.5">
      <c r="B13" s="1128" t="s">
        <v>29</v>
      </c>
      <c r="C13" s="1128" t="s">
        <v>2675</v>
      </c>
      <c r="D13" s="1122">
        <v>1</v>
      </c>
    </row>
    <row r="14" spans="2:4" x14ac:dyDescent="0.5">
      <c r="B14" s="1128" t="s">
        <v>2861</v>
      </c>
      <c r="C14" s="1128" t="s">
        <v>2866</v>
      </c>
      <c r="D14" s="1122">
        <v>2</v>
      </c>
    </row>
    <row r="15" spans="2:4" x14ac:dyDescent="0.5">
      <c r="B15" s="1128" t="s">
        <v>50</v>
      </c>
      <c r="C15" s="1128" t="s">
        <v>2630</v>
      </c>
      <c r="D15" s="1122">
        <v>2</v>
      </c>
    </row>
    <row r="16" spans="2:4" x14ac:dyDescent="0.5">
      <c r="B16" s="1128" t="s">
        <v>2862</v>
      </c>
      <c r="C16" s="1128" t="s">
        <v>2867</v>
      </c>
      <c r="D16" s="1122">
        <v>2</v>
      </c>
    </row>
    <row r="17" spans="2:6" x14ac:dyDescent="0.5">
      <c r="B17" s="1128" t="s">
        <v>2863</v>
      </c>
      <c r="C17" s="1128" t="s">
        <v>2868</v>
      </c>
      <c r="D17" s="1122">
        <v>2</v>
      </c>
    </row>
    <row r="18" spans="2:6" x14ac:dyDescent="0.5">
      <c r="B18" s="1128" t="s">
        <v>3809</v>
      </c>
      <c r="C18" s="1128" t="s">
        <v>3811</v>
      </c>
      <c r="D18" s="1122">
        <v>2</v>
      </c>
    </row>
    <row r="19" spans="2:6" x14ac:dyDescent="0.5">
      <c r="B19" s="1128" t="s">
        <v>2864</v>
      </c>
      <c r="C19" s="1128" t="s">
        <v>2869</v>
      </c>
      <c r="D19" s="1122">
        <v>2</v>
      </c>
    </row>
    <row r="20" spans="2:6" x14ac:dyDescent="0.5">
      <c r="B20" s="1121"/>
      <c r="C20" s="1129"/>
      <c r="D20" s="1129"/>
    </row>
    <row r="21" spans="2:6" ht="30" x14ac:dyDescent="0.5">
      <c r="B21" s="1130" t="s">
        <v>75</v>
      </c>
      <c r="C21" s="1127" t="s">
        <v>6785</v>
      </c>
      <c r="D21" s="1120" t="s">
        <v>6783</v>
      </c>
    </row>
    <row r="22" spans="2:6" x14ac:dyDescent="0.5">
      <c r="B22" s="1128" t="s">
        <v>134</v>
      </c>
      <c r="C22" s="1128" t="s">
        <v>3813</v>
      </c>
      <c r="D22" s="1131">
        <v>1</v>
      </c>
      <c r="F22" s="1132"/>
    </row>
    <row r="23" spans="2:6" x14ac:dyDescent="0.5">
      <c r="B23" s="1128" t="s">
        <v>131</v>
      </c>
      <c r="C23" s="1128" t="s">
        <v>3894</v>
      </c>
      <c r="D23" s="1131">
        <v>1</v>
      </c>
    </row>
    <row r="24" spans="2:6" x14ac:dyDescent="0.5">
      <c r="B24" s="1128" t="s">
        <v>165</v>
      </c>
      <c r="C24" s="1128" t="s">
        <v>3814</v>
      </c>
      <c r="D24" s="1131">
        <v>1</v>
      </c>
    </row>
    <row r="25" spans="2:6" x14ac:dyDescent="0.5">
      <c r="B25" s="1128" t="s">
        <v>804</v>
      </c>
      <c r="C25" s="1128" t="s">
        <v>3815</v>
      </c>
      <c r="D25" s="1131">
        <v>1</v>
      </c>
    </row>
    <row r="26" spans="2:6" x14ac:dyDescent="0.5">
      <c r="B26" s="1128" t="s">
        <v>425</v>
      </c>
      <c r="C26" s="1128" t="s">
        <v>3895</v>
      </c>
      <c r="D26" s="1131">
        <v>2</v>
      </c>
    </row>
    <row r="27" spans="2:6" x14ac:dyDescent="0.5">
      <c r="B27" s="1128" t="s">
        <v>130</v>
      </c>
      <c r="C27" s="1128" t="s">
        <v>3816</v>
      </c>
      <c r="D27" s="1131">
        <v>1</v>
      </c>
    </row>
    <row r="28" spans="2:6" x14ac:dyDescent="0.5">
      <c r="B28" s="1128" t="s">
        <v>144</v>
      </c>
      <c r="C28" s="1128" t="s">
        <v>3817</v>
      </c>
      <c r="D28" s="1131">
        <v>1</v>
      </c>
    </row>
    <row r="29" spans="2:6" x14ac:dyDescent="0.5">
      <c r="B29" s="1128" t="s">
        <v>175</v>
      </c>
      <c r="C29" s="1128" t="s">
        <v>3818</v>
      </c>
      <c r="D29" s="1131">
        <v>3</v>
      </c>
    </row>
    <row r="30" spans="2:6" x14ac:dyDescent="0.5">
      <c r="B30" s="1128" t="s">
        <v>2876</v>
      </c>
      <c r="C30" s="1128" t="s">
        <v>3819</v>
      </c>
      <c r="D30" s="1131">
        <v>2</v>
      </c>
    </row>
    <row r="31" spans="2:6" x14ac:dyDescent="0.5">
      <c r="B31" s="1128" t="s">
        <v>2623</v>
      </c>
      <c r="C31" s="1128" t="s">
        <v>3820</v>
      </c>
      <c r="D31" s="1131">
        <v>2</v>
      </c>
    </row>
    <row r="32" spans="2:6" x14ac:dyDescent="0.5">
      <c r="B32" s="1128" t="s">
        <v>3889</v>
      </c>
      <c r="C32" s="1128" t="s">
        <v>3896</v>
      </c>
      <c r="D32" s="1131">
        <v>3</v>
      </c>
    </row>
    <row r="33" spans="2:4" x14ac:dyDescent="0.5">
      <c r="B33" s="1128" t="s">
        <v>1362</v>
      </c>
      <c r="C33" s="1128" t="s">
        <v>3821</v>
      </c>
      <c r="D33" s="1131">
        <v>3</v>
      </c>
    </row>
    <row r="34" spans="2:4" x14ac:dyDescent="0.5">
      <c r="B34" s="1128" t="s">
        <v>2877</v>
      </c>
      <c r="C34" s="1128" t="s">
        <v>3822</v>
      </c>
      <c r="D34" s="1131">
        <v>2</v>
      </c>
    </row>
    <row r="35" spans="2:4" x14ac:dyDescent="0.5">
      <c r="B35" s="1128" t="s">
        <v>229</v>
      </c>
      <c r="C35" s="1128" t="s">
        <v>3897</v>
      </c>
      <c r="D35" s="1131">
        <v>2</v>
      </c>
    </row>
    <row r="36" spans="2:4" x14ac:dyDescent="0.5">
      <c r="B36" s="1128" t="s">
        <v>2878</v>
      </c>
      <c r="C36" s="1128" t="s">
        <v>3823</v>
      </c>
      <c r="D36" s="1131">
        <v>2</v>
      </c>
    </row>
    <row r="37" spans="2:4" x14ac:dyDescent="0.5">
      <c r="B37" s="1128" t="s">
        <v>244</v>
      </c>
      <c r="C37" s="1128" t="s">
        <v>3824</v>
      </c>
      <c r="D37" s="1131">
        <v>3</v>
      </c>
    </row>
    <row r="38" spans="2:4" x14ac:dyDescent="0.5">
      <c r="B38" s="1128" t="s">
        <v>255</v>
      </c>
      <c r="C38" s="1128" t="s">
        <v>3825</v>
      </c>
      <c r="D38" s="1131">
        <v>1</v>
      </c>
    </row>
    <row r="39" spans="2:4" x14ac:dyDescent="0.5">
      <c r="B39" s="1128" t="s">
        <v>2624</v>
      </c>
      <c r="C39" s="1128" t="s">
        <v>3826</v>
      </c>
      <c r="D39" s="1131">
        <v>2</v>
      </c>
    </row>
    <row r="40" spans="2:4" x14ac:dyDescent="0.5">
      <c r="B40" s="1128" t="s">
        <v>3890</v>
      </c>
      <c r="C40" s="1128" t="s">
        <v>3898</v>
      </c>
      <c r="D40" s="1131">
        <v>3</v>
      </c>
    </row>
    <row r="41" spans="2:4" x14ac:dyDescent="0.5">
      <c r="B41" s="1128" t="s">
        <v>292</v>
      </c>
      <c r="C41" s="1128" t="s">
        <v>3827</v>
      </c>
      <c r="D41" s="1131">
        <v>1</v>
      </c>
    </row>
    <row r="42" spans="2:4" x14ac:dyDescent="0.5">
      <c r="B42" s="1128" t="s">
        <v>3891</v>
      </c>
      <c r="C42" s="1128" t="s">
        <v>3899</v>
      </c>
      <c r="D42" s="1131">
        <v>2</v>
      </c>
    </row>
    <row r="43" spans="2:4" x14ac:dyDescent="0.5">
      <c r="B43" s="1128" t="s">
        <v>2625</v>
      </c>
      <c r="C43" s="1128" t="s">
        <v>3828</v>
      </c>
      <c r="D43" s="1131">
        <v>2</v>
      </c>
    </row>
    <row r="44" spans="2:4" x14ac:dyDescent="0.5">
      <c r="B44" s="1128" t="s">
        <v>367</v>
      </c>
      <c r="C44" s="1128" t="s">
        <v>3829</v>
      </c>
      <c r="D44" s="1131">
        <v>1</v>
      </c>
    </row>
    <row r="45" spans="2:4" x14ac:dyDescent="0.5">
      <c r="B45" s="1128" t="s">
        <v>363</v>
      </c>
      <c r="C45" s="1128" t="s">
        <v>3830</v>
      </c>
      <c r="D45" s="1131">
        <v>2</v>
      </c>
    </row>
    <row r="46" spans="2:4" x14ac:dyDescent="0.5">
      <c r="B46" s="1128" t="s">
        <v>331</v>
      </c>
      <c r="C46" s="1128" t="s">
        <v>3831</v>
      </c>
      <c r="D46" s="1131">
        <v>3</v>
      </c>
    </row>
    <row r="47" spans="2:4" x14ac:dyDescent="0.5">
      <c r="B47" s="1128" t="s">
        <v>391</v>
      </c>
      <c r="C47" s="1128" t="s">
        <v>3832</v>
      </c>
      <c r="D47" s="1131">
        <v>2</v>
      </c>
    </row>
    <row r="48" spans="2:4" x14ac:dyDescent="0.5">
      <c r="B48" s="1128" t="s">
        <v>3892</v>
      </c>
      <c r="C48" s="1128" t="s">
        <v>3900</v>
      </c>
      <c r="D48" s="1131">
        <v>1</v>
      </c>
    </row>
    <row r="49" spans="2:4" x14ac:dyDescent="0.5">
      <c r="B49" s="1128" t="s">
        <v>395</v>
      </c>
      <c r="C49" s="1128" t="s">
        <v>3833</v>
      </c>
      <c r="D49" s="1131">
        <v>1</v>
      </c>
    </row>
    <row r="50" spans="2:4" x14ac:dyDescent="0.5">
      <c r="B50" s="1128" t="s">
        <v>410</v>
      </c>
      <c r="C50" s="1128" t="s">
        <v>3834</v>
      </c>
      <c r="D50" s="1131">
        <v>1</v>
      </c>
    </row>
    <row r="51" spans="2:4" x14ac:dyDescent="0.5">
      <c r="B51" s="1128" t="s">
        <v>435</v>
      </c>
      <c r="C51" s="1128" t="s">
        <v>3835</v>
      </c>
      <c r="D51" s="1131">
        <v>1</v>
      </c>
    </row>
    <row r="52" spans="2:4" x14ac:dyDescent="0.5">
      <c r="B52" s="1128" t="s">
        <v>2626</v>
      </c>
      <c r="C52" s="1128" t="s">
        <v>3836</v>
      </c>
      <c r="D52" s="1131">
        <v>2</v>
      </c>
    </row>
    <row r="53" spans="2:4" x14ac:dyDescent="0.5">
      <c r="B53" s="1128" t="s">
        <v>462</v>
      </c>
      <c r="C53" s="1128" t="s">
        <v>3837</v>
      </c>
      <c r="D53" s="1131">
        <v>3</v>
      </c>
    </row>
    <row r="54" spans="2:4" x14ac:dyDescent="0.5">
      <c r="B54" s="1128" t="s">
        <v>463</v>
      </c>
      <c r="C54" s="1128" t="s">
        <v>3838</v>
      </c>
      <c r="D54" s="1131">
        <v>2</v>
      </c>
    </row>
    <row r="55" spans="2:4" x14ac:dyDescent="0.5">
      <c r="B55" s="1128" t="s">
        <v>1363</v>
      </c>
      <c r="C55" s="1128" t="s">
        <v>3839</v>
      </c>
      <c r="D55" s="1131">
        <v>2</v>
      </c>
    </row>
    <row r="56" spans="2:4" x14ac:dyDescent="0.5">
      <c r="B56" s="1128" t="s">
        <v>481</v>
      </c>
      <c r="C56" s="1128" t="s">
        <v>3840</v>
      </c>
      <c r="D56" s="1131">
        <v>2</v>
      </c>
    </row>
    <row r="57" spans="2:4" x14ac:dyDescent="0.5">
      <c r="B57" s="1128" t="s">
        <v>475</v>
      </c>
      <c r="C57" s="1128" t="s">
        <v>3901</v>
      </c>
      <c r="D57" s="1131">
        <v>2</v>
      </c>
    </row>
    <row r="58" spans="2:4" x14ac:dyDescent="0.5">
      <c r="B58" s="1128" t="s">
        <v>483</v>
      </c>
      <c r="C58" s="1128" t="s">
        <v>3902</v>
      </c>
      <c r="D58" s="1131">
        <v>2</v>
      </c>
    </row>
    <row r="59" spans="2:4" x14ac:dyDescent="0.5">
      <c r="B59" s="1128" t="s">
        <v>2879</v>
      </c>
      <c r="C59" s="1128" t="s">
        <v>3841</v>
      </c>
      <c r="D59" s="1131">
        <v>2</v>
      </c>
    </row>
    <row r="60" spans="2:4" x14ac:dyDescent="0.5">
      <c r="B60" s="1128" t="s">
        <v>2880</v>
      </c>
      <c r="C60" s="1128" t="s">
        <v>3842</v>
      </c>
      <c r="D60" s="1131">
        <v>2</v>
      </c>
    </row>
    <row r="61" spans="2:4" x14ac:dyDescent="0.5">
      <c r="B61" s="1128" t="s">
        <v>2881</v>
      </c>
      <c r="C61" s="1128" t="s">
        <v>3843</v>
      </c>
      <c r="D61" s="1131">
        <v>3</v>
      </c>
    </row>
    <row r="62" spans="2:4" x14ac:dyDescent="0.5">
      <c r="B62" s="1128" t="s">
        <v>515</v>
      </c>
      <c r="C62" s="1128" t="s">
        <v>3844</v>
      </c>
      <c r="D62" s="1131">
        <v>2</v>
      </c>
    </row>
    <row r="63" spans="2:4" x14ac:dyDescent="0.5">
      <c r="B63" s="1128" t="s">
        <v>163</v>
      </c>
      <c r="C63" s="1128" t="s">
        <v>3845</v>
      </c>
      <c r="D63" s="1131">
        <v>2</v>
      </c>
    </row>
    <row r="64" spans="2:4" x14ac:dyDescent="0.5">
      <c r="B64" s="1128" t="s">
        <v>545</v>
      </c>
      <c r="C64" s="1128" t="s">
        <v>3846</v>
      </c>
      <c r="D64" s="1131">
        <v>1</v>
      </c>
    </row>
    <row r="65" spans="2:4" x14ac:dyDescent="0.5">
      <c r="B65" s="1128" t="s">
        <v>1364</v>
      </c>
      <c r="C65" s="1128" t="s">
        <v>3847</v>
      </c>
      <c r="D65" s="1131">
        <v>2</v>
      </c>
    </row>
    <row r="66" spans="2:4" x14ac:dyDescent="0.5">
      <c r="B66" s="1128" t="s">
        <v>565</v>
      </c>
      <c r="C66" s="1128" t="s">
        <v>3848</v>
      </c>
      <c r="D66" s="1131">
        <v>1</v>
      </c>
    </row>
    <row r="67" spans="2:4" x14ac:dyDescent="0.5">
      <c r="B67" s="1128" t="s">
        <v>2882</v>
      </c>
      <c r="C67" s="1128" t="s">
        <v>3849</v>
      </c>
      <c r="D67" s="1131">
        <v>2</v>
      </c>
    </row>
    <row r="68" spans="2:4" x14ac:dyDescent="0.5">
      <c r="B68" s="1128" t="s">
        <v>576</v>
      </c>
      <c r="C68" s="1128" t="s">
        <v>3850</v>
      </c>
      <c r="D68" s="1131">
        <v>2</v>
      </c>
    </row>
    <row r="69" spans="2:4" x14ac:dyDescent="0.5">
      <c r="B69" s="1128" t="s">
        <v>582</v>
      </c>
      <c r="C69" s="1128" t="s">
        <v>3851</v>
      </c>
      <c r="D69" s="1131">
        <v>2</v>
      </c>
    </row>
    <row r="70" spans="2:4" x14ac:dyDescent="0.5">
      <c r="B70" s="1128" t="s">
        <v>2883</v>
      </c>
      <c r="C70" s="1128" t="s">
        <v>3852</v>
      </c>
      <c r="D70" s="1131">
        <v>1</v>
      </c>
    </row>
    <row r="71" spans="2:4" x14ac:dyDescent="0.5">
      <c r="C71" s="1129"/>
      <c r="D71" s="1133"/>
    </row>
  </sheetData>
  <pageMargins left="0.7" right="0.7" top="0.75" bottom="0.75" header="0.3" footer="0.3"/>
  <pageSetup orientation="portrait"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3464-964B-449F-A55E-953D34F5AD36}">
  <sheetPr codeName="Sheet42"/>
  <dimension ref="A1:S1258"/>
  <sheetViews>
    <sheetView zoomScale="80" zoomScaleNormal="80" workbookViewId="0"/>
  </sheetViews>
  <sheetFormatPr defaultColWidth="9.15625" defaultRowHeight="14.4" x14ac:dyDescent="0.55000000000000004"/>
  <cols>
    <col min="1" max="1" width="13" style="826" customWidth="1"/>
    <col min="2" max="11" width="9.15625" style="826"/>
    <col min="12" max="12" width="16.47265625" style="826" bestFit="1" customWidth="1"/>
    <col min="13" max="16384" width="9.15625" style="826"/>
  </cols>
  <sheetData>
    <row r="1" spans="1:19" x14ac:dyDescent="0.55000000000000004">
      <c r="A1" s="825" t="s">
        <v>5126</v>
      </c>
      <c r="B1" s="825" t="s">
        <v>5127</v>
      </c>
      <c r="C1" s="825" t="s">
        <v>5128</v>
      </c>
      <c r="D1" s="825" t="s">
        <v>5129</v>
      </c>
      <c r="E1" s="825" t="s">
        <v>5130</v>
      </c>
      <c r="F1" s="825" t="s">
        <v>5131</v>
      </c>
      <c r="G1" s="825" t="s">
        <v>5132</v>
      </c>
      <c r="H1" s="825" t="s">
        <v>5133</v>
      </c>
      <c r="I1" s="825" t="s">
        <v>5134</v>
      </c>
      <c r="J1" s="825" t="s">
        <v>5125</v>
      </c>
      <c r="K1" s="825" t="s">
        <v>5135</v>
      </c>
      <c r="L1" s="825" t="s">
        <v>5136</v>
      </c>
      <c r="M1" s="825" t="s">
        <v>5137</v>
      </c>
      <c r="N1" s="825" t="s">
        <v>5138</v>
      </c>
      <c r="O1" s="825" t="s">
        <v>5139</v>
      </c>
      <c r="P1" s="825" t="s">
        <v>5140</v>
      </c>
      <c r="Q1" s="825" t="s">
        <v>5141</v>
      </c>
      <c r="R1" s="825" t="s">
        <v>5142</v>
      </c>
      <c r="S1" s="825" t="s">
        <v>5143</v>
      </c>
    </row>
    <row r="2" spans="1:19" x14ac:dyDescent="0.55000000000000004">
      <c r="A2" s="821">
        <v>45688</v>
      </c>
      <c r="B2" s="826" t="s">
        <v>5144</v>
      </c>
      <c r="C2" s="826">
        <v>4.33</v>
      </c>
      <c r="D2" s="826">
        <v>4.32</v>
      </c>
      <c r="E2" s="826">
        <v>4.32</v>
      </c>
      <c r="F2" s="826">
        <v>4.34</v>
      </c>
      <c r="G2" s="826">
        <v>4.42</v>
      </c>
      <c r="H2" s="826">
        <v>83</v>
      </c>
      <c r="I2" s="826">
        <v>4.25</v>
      </c>
      <c r="J2" s="826">
        <v>4.5</v>
      </c>
      <c r="K2" s="826" t="s">
        <v>2828</v>
      </c>
      <c r="L2" s="826" t="s">
        <v>5144</v>
      </c>
    </row>
    <row r="3" spans="1:19" x14ac:dyDescent="0.55000000000000004">
      <c r="A3" s="821">
        <v>45687</v>
      </c>
      <c r="B3" s="826" t="s">
        <v>5144</v>
      </c>
      <c r="C3" s="826">
        <v>4.33</v>
      </c>
      <c r="D3" s="826">
        <v>4.3099999999999996</v>
      </c>
      <c r="E3" s="826">
        <v>4.33</v>
      </c>
      <c r="F3" s="826">
        <v>4.34</v>
      </c>
      <c r="G3" s="826">
        <v>4.4000000000000004</v>
      </c>
      <c r="H3" s="826">
        <v>103</v>
      </c>
      <c r="I3" s="826">
        <v>4.25</v>
      </c>
      <c r="J3" s="826">
        <v>4.5</v>
      </c>
      <c r="K3" s="826" t="s">
        <v>2828</v>
      </c>
      <c r="L3" s="826" t="s">
        <v>5144</v>
      </c>
    </row>
    <row r="4" spans="1:19" x14ac:dyDescent="0.55000000000000004">
      <c r="A4" s="821">
        <v>45686</v>
      </c>
      <c r="B4" s="826" t="s">
        <v>5144</v>
      </c>
      <c r="C4" s="826">
        <v>4.33</v>
      </c>
      <c r="D4" s="826">
        <v>4.3099999999999996</v>
      </c>
      <c r="E4" s="826">
        <v>4.33</v>
      </c>
      <c r="F4" s="826">
        <v>4.34</v>
      </c>
      <c r="G4" s="826">
        <v>4.4000000000000004</v>
      </c>
      <c r="H4" s="826">
        <v>92</v>
      </c>
      <c r="I4" s="826">
        <v>4.25</v>
      </c>
      <c r="J4" s="826">
        <v>4.5</v>
      </c>
      <c r="K4" s="826" t="s">
        <v>2828</v>
      </c>
      <c r="L4" s="826" t="s">
        <v>5144</v>
      </c>
    </row>
    <row r="5" spans="1:19" x14ac:dyDescent="0.55000000000000004">
      <c r="A5" s="821">
        <v>45685</v>
      </c>
      <c r="B5" s="826" t="s">
        <v>5144</v>
      </c>
      <c r="C5" s="826">
        <v>4.33</v>
      </c>
      <c r="D5" s="826">
        <v>4.3099999999999996</v>
      </c>
      <c r="E5" s="826">
        <v>4.33</v>
      </c>
      <c r="F5" s="826">
        <v>4.34</v>
      </c>
      <c r="G5" s="826">
        <v>4.4000000000000004</v>
      </c>
      <c r="H5" s="826">
        <v>95</v>
      </c>
      <c r="I5" s="826">
        <v>4.25</v>
      </c>
      <c r="J5" s="826">
        <v>4.5</v>
      </c>
      <c r="K5" s="826" t="s">
        <v>2828</v>
      </c>
      <c r="L5" s="826" t="s">
        <v>5144</v>
      </c>
    </row>
    <row r="6" spans="1:19" x14ac:dyDescent="0.55000000000000004">
      <c r="A6" s="821">
        <v>45684</v>
      </c>
      <c r="B6" s="826" t="s">
        <v>5144</v>
      </c>
      <c r="C6" s="826">
        <v>4.33</v>
      </c>
      <c r="D6" s="826">
        <v>4.3099999999999996</v>
      </c>
      <c r="E6" s="826">
        <v>4.33</v>
      </c>
      <c r="F6" s="826">
        <v>4.34</v>
      </c>
      <c r="G6" s="826">
        <v>4.4000000000000004</v>
      </c>
      <c r="H6" s="826">
        <v>97</v>
      </c>
      <c r="I6" s="826">
        <v>4.25</v>
      </c>
      <c r="J6" s="826">
        <v>4.5</v>
      </c>
      <c r="K6" s="826" t="s">
        <v>2828</v>
      </c>
      <c r="L6" s="826" t="s">
        <v>5144</v>
      </c>
    </row>
    <row r="7" spans="1:19" x14ac:dyDescent="0.55000000000000004">
      <c r="A7" s="821">
        <v>45681</v>
      </c>
      <c r="B7" s="826" t="s">
        <v>5144</v>
      </c>
      <c r="C7" s="826">
        <v>4.33</v>
      </c>
      <c r="D7" s="826">
        <v>4.3099999999999996</v>
      </c>
      <c r="E7" s="826">
        <v>4.33</v>
      </c>
      <c r="F7" s="826">
        <v>4.34</v>
      </c>
      <c r="G7" s="826">
        <v>4.4000000000000004</v>
      </c>
      <c r="H7" s="826">
        <v>97</v>
      </c>
      <c r="I7" s="826">
        <v>4.25</v>
      </c>
      <c r="J7" s="826">
        <v>4.5</v>
      </c>
      <c r="K7" s="826" t="s">
        <v>2828</v>
      </c>
      <c r="L7" s="826" t="s">
        <v>5144</v>
      </c>
    </row>
    <row r="8" spans="1:19" x14ac:dyDescent="0.55000000000000004">
      <c r="A8" s="821">
        <v>45680</v>
      </c>
      <c r="B8" s="826" t="s">
        <v>5144</v>
      </c>
      <c r="C8" s="826">
        <v>4.33</v>
      </c>
      <c r="D8" s="826">
        <v>4.3099999999999996</v>
      </c>
      <c r="E8" s="826">
        <v>4.33</v>
      </c>
      <c r="F8" s="826">
        <v>4.34</v>
      </c>
      <c r="G8" s="826">
        <v>4.4000000000000004</v>
      </c>
      <c r="H8" s="826">
        <v>93</v>
      </c>
      <c r="I8" s="826">
        <v>4.25</v>
      </c>
      <c r="J8" s="826">
        <v>4.5</v>
      </c>
      <c r="K8" s="826" t="s">
        <v>2828</v>
      </c>
      <c r="L8" s="826" t="s">
        <v>5144</v>
      </c>
    </row>
    <row r="9" spans="1:19" x14ac:dyDescent="0.55000000000000004">
      <c r="A9" s="821">
        <v>45679</v>
      </c>
      <c r="B9" s="826" t="s">
        <v>5144</v>
      </c>
      <c r="C9" s="826">
        <v>4.33</v>
      </c>
      <c r="D9" s="826">
        <v>4.3099999999999996</v>
      </c>
      <c r="E9" s="826">
        <v>4.33</v>
      </c>
      <c r="F9" s="826">
        <v>4.34</v>
      </c>
      <c r="G9" s="826">
        <v>4.43</v>
      </c>
      <c r="H9" s="826">
        <v>101</v>
      </c>
      <c r="I9" s="826">
        <v>4.25</v>
      </c>
      <c r="J9" s="826">
        <v>4.5</v>
      </c>
      <c r="K9" s="826" t="s">
        <v>2828</v>
      </c>
      <c r="L9" s="826" t="s">
        <v>5144</v>
      </c>
    </row>
    <row r="10" spans="1:19" x14ac:dyDescent="0.55000000000000004">
      <c r="A10" s="821">
        <v>45678</v>
      </c>
      <c r="B10" s="826" t="s">
        <v>5144</v>
      </c>
      <c r="C10" s="826">
        <v>4.33</v>
      </c>
      <c r="D10" s="826">
        <v>4.3099999999999996</v>
      </c>
      <c r="E10" s="826">
        <v>4.32</v>
      </c>
      <c r="F10" s="826">
        <v>4.34</v>
      </c>
      <c r="G10" s="826">
        <v>4.4000000000000004</v>
      </c>
      <c r="H10" s="826">
        <v>100</v>
      </c>
      <c r="I10" s="826">
        <v>4.25</v>
      </c>
      <c r="J10" s="826">
        <v>4.5</v>
      </c>
      <c r="K10" s="826" t="s">
        <v>2828</v>
      </c>
      <c r="L10" s="826" t="s">
        <v>5144</v>
      </c>
    </row>
    <row r="11" spans="1:19" x14ac:dyDescent="0.55000000000000004">
      <c r="A11" s="821">
        <v>45674</v>
      </c>
      <c r="B11" s="826" t="s">
        <v>5144</v>
      </c>
      <c r="C11" s="826">
        <v>4.33</v>
      </c>
      <c r="D11" s="826">
        <v>4.3099999999999996</v>
      </c>
      <c r="E11" s="826">
        <v>4.32</v>
      </c>
      <c r="F11" s="826">
        <v>4.34</v>
      </c>
      <c r="G11" s="826">
        <v>4.38</v>
      </c>
      <c r="H11" s="826">
        <v>102</v>
      </c>
      <c r="I11" s="826">
        <v>4.25</v>
      </c>
      <c r="J11" s="826">
        <v>4.5</v>
      </c>
      <c r="K11" s="826" t="s">
        <v>2828</v>
      </c>
      <c r="L11" s="826" t="s">
        <v>5144</v>
      </c>
    </row>
    <row r="12" spans="1:19" x14ac:dyDescent="0.55000000000000004">
      <c r="A12" s="821">
        <v>45673</v>
      </c>
      <c r="B12" s="826" t="s">
        <v>5144</v>
      </c>
      <c r="C12" s="826">
        <v>4.33</v>
      </c>
      <c r="D12" s="826">
        <v>4.3099999999999996</v>
      </c>
      <c r="E12" s="826">
        <v>4.32</v>
      </c>
      <c r="F12" s="826">
        <v>4.34</v>
      </c>
      <c r="G12" s="826">
        <v>4.3499999999999996</v>
      </c>
      <c r="H12" s="826">
        <v>105</v>
      </c>
      <c r="I12" s="826">
        <v>4.25</v>
      </c>
      <c r="J12" s="826">
        <v>4.5</v>
      </c>
      <c r="K12" s="826" t="s">
        <v>2828</v>
      </c>
      <c r="L12" s="826" t="s">
        <v>5144</v>
      </c>
    </row>
    <row r="13" spans="1:19" x14ac:dyDescent="0.55000000000000004">
      <c r="A13" s="821">
        <v>45672</v>
      </c>
      <c r="B13" s="826" t="s">
        <v>5144</v>
      </c>
      <c r="C13" s="826">
        <v>4.33</v>
      </c>
      <c r="D13" s="826">
        <v>4.3099999999999996</v>
      </c>
      <c r="E13" s="826">
        <v>4.32</v>
      </c>
      <c r="F13" s="826">
        <v>4.34</v>
      </c>
      <c r="G13" s="826">
        <v>4.3499999999999996</v>
      </c>
      <c r="H13" s="826">
        <v>108</v>
      </c>
      <c r="I13" s="826">
        <v>4.25</v>
      </c>
      <c r="J13" s="826">
        <v>4.5</v>
      </c>
      <c r="K13" s="826" t="s">
        <v>2828</v>
      </c>
      <c r="L13" s="826" t="s">
        <v>5144</v>
      </c>
    </row>
    <row r="14" spans="1:19" x14ac:dyDescent="0.55000000000000004">
      <c r="A14" s="821">
        <v>45671</v>
      </c>
      <c r="B14" s="826" t="s">
        <v>5144</v>
      </c>
      <c r="C14" s="826">
        <v>4.33</v>
      </c>
      <c r="D14" s="826">
        <v>4.3099999999999996</v>
      </c>
      <c r="E14" s="826">
        <v>4.32</v>
      </c>
      <c r="F14" s="826">
        <v>4.33</v>
      </c>
      <c r="G14" s="826">
        <v>4.3499999999999996</v>
      </c>
      <c r="H14" s="826">
        <v>112</v>
      </c>
      <c r="I14" s="826">
        <v>4.25</v>
      </c>
      <c r="J14" s="826">
        <v>4.5</v>
      </c>
      <c r="K14" s="826" t="s">
        <v>2828</v>
      </c>
      <c r="L14" s="826" t="s">
        <v>5144</v>
      </c>
    </row>
    <row r="15" spans="1:19" x14ac:dyDescent="0.55000000000000004">
      <c r="A15" s="821">
        <v>45670</v>
      </c>
      <c r="B15" s="826" t="s">
        <v>5144</v>
      </c>
      <c r="C15" s="826">
        <v>4.33</v>
      </c>
      <c r="D15" s="826">
        <v>4.3099999999999996</v>
      </c>
      <c r="E15" s="826">
        <v>4.33</v>
      </c>
      <c r="F15" s="826">
        <v>4.33</v>
      </c>
      <c r="G15" s="826">
        <v>4.3499999999999996</v>
      </c>
      <c r="H15" s="826">
        <v>104</v>
      </c>
      <c r="I15" s="826">
        <v>4.25</v>
      </c>
      <c r="J15" s="826">
        <v>4.5</v>
      </c>
      <c r="K15" s="826" t="s">
        <v>2828</v>
      </c>
      <c r="L15" s="826" t="s">
        <v>5144</v>
      </c>
    </row>
    <row r="16" spans="1:19" x14ac:dyDescent="0.55000000000000004">
      <c r="A16" s="821">
        <v>45667</v>
      </c>
      <c r="B16" s="826" t="s">
        <v>5144</v>
      </c>
      <c r="C16" s="826">
        <v>4.33</v>
      </c>
      <c r="D16" s="826">
        <v>4.3099999999999996</v>
      </c>
      <c r="E16" s="826">
        <v>4.33</v>
      </c>
      <c r="F16" s="826">
        <v>4.34</v>
      </c>
      <c r="G16" s="826">
        <v>4.3499999999999996</v>
      </c>
      <c r="H16" s="826">
        <v>102</v>
      </c>
      <c r="I16" s="826">
        <v>4.25</v>
      </c>
      <c r="J16" s="826">
        <v>4.5</v>
      </c>
      <c r="K16" s="826" t="s">
        <v>2828</v>
      </c>
      <c r="L16" s="826" t="s">
        <v>5144</v>
      </c>
    </row>
    <row r="17" spans="1:12" x14ac:dyDescent="0.55000000000000004">
      <c r="A17" s="821">
        <v>45666</v>
      </c>
      <c r="B17" s="826" t="s">
        <v>5144</v>
      </c>
      <c r="C17" s="826">
        <v>4.33</v>
      </c>
      <c r="D17" s="826">
        <v>4.3099999999999996</v>
      </c>
      <c r="E17" s="826">
        <v>4.33</v>
      </c>
      <c r="F17" s="826">
        <v>4.34</v>
      </c>
      <c r="G17" s="826">
        <v>4.3499999999999996</v>
      </c>
      <c r="H17" s="826">
        <v>104</v>
      </c>
      <c r="I17" s="826">
        <v>4.25</v>
      </c>
      <c r="J17" s="826">
        <v>4.5</v>
      </c>
      <c r="K17" s="826" t="s">
        <v>2828</v>
      </c>
      <c r="L17" s="826" t="s">
        <v>5144</v>
      </c>
    </row>
    <row r="18" spans="1:12" x14ac:dyDescent="0.55000000000000004">
      <c r="A18" s="821">
        <v>45665</v>
      </c>
      <c r="B18" s="826" t="s">
        <v>5144</v>
      </c>
      <c r="C18" s="826">
        <v>4.33</v>
      </c>
      <c r="D18" s="826">
        <v>4.3099999999999996</v>
      </c>
      <c r="E18" s="826">
        <v>4.33</v>
      </c>
      <c r="F18" s="826">
        <v>4.34</v>
      </c>
      <c r="G18" s="826">
        <v>4.3499999999999996</v>
      </c>
      <c r="H18" s="826">
        <v>105</v>
      </c>
      <c r="I18" s="826">
        <v>4.25</v>
      </c>
      <c r="J18" s="826">
        <v>4.5</v>
      </c>
      <c r="K18" s="826" t="s">
        <v>2828</v>
      </c>
      <c r="L18" s="826" t="s">
        <v>5144</v>
      </c>
    </row>
    <row r="19" spans="1:12" x14ac:dyDescent="0.55000000000000004">
      <c r="A19" s="821">
        <v>45664</v>
      </c>
      <c r="B19" s="826" t="s">
        <v>5144</v>
      </c>
      <c r="C19" s="826">
        <v>4.33</v>
      </c>
      <c r="D19" s="826">
        <v>4.3099999999999996</v>
      </c>
      <c r="E19" s="826">
        <v>4.33</v>
      </c>
      <c r="F19" s="826">
        <v>4.34</v>
      </c>
      <c r="G19" s="826">
        <v>4.4000000000000004</v>
      </c>
      <c r="H19" s="826">
        <v>99</v>
      </c>
      <c r="I19" s="826">
        <v>4.25</v>
      </c>
      <c r="J19" s="826">
        <v>4.5</v>
      </c>
      <c r="K19" s="826" t="s">
        <v>2828</v>
      </c>
      <c r="L19" s="826" t="s">
        <v>5144</v>
      </c>
    </row>
    <row r="20" spans="1:12" x14ac:dyDescent="0.55000000000000004">
      <c r="A20" s="821">
        <v>45663</v>
      </c>
      <c r="B20" s="826" t="s">
        <v>5144</v>
      </c>
      <c r="C20" s="826">
        <v>4.33</v>
      </c>
      <c r="D20" s="826">
        <v>4.3099999999999996</v>
      </c>
      <c r="E20" s="826">
        <v>4.33</v>
      </c>
      <c r="F20" s="826">
        <v>4.34</v>
      </c>
      <c r="G20" s="826">
        <v>4.4000000000000004</v>
      </c>
      <c r="H20" s="826">
        <v>98</v>
      </c>
      <c r="I20" s="826">
        <v>4.25</v>
      </c>
      <c r="J20" s="826">
        <v>4.5</v>
      </c>
      <c r="K20" s="826" t="s">
        <v>2828</v>
      </c>
      <c r="L20" s="826" t="s">
        <v>5144</v>
      </c>
    </row>
    <row r="21" spans="1:12" x14ac:dyDescent="0.55000000000000004">
      <c r="A21" s="821">
        <v>45660</v>
      </c>
      <c r="B21" s="826" t="s">
        <v>5144</v>
      </c>
      <c r="C21" s="826">
        <v>4.33</v>
      </c>
      <c r="D21" s="826">
        <v>4.3099999999999996</v>
      </c>
      <c r="E21" s="826">
        <v>4.33</v>
      </c>
      <c r="F21" s="826">
        <v>4.34</v>
      </c>
      <c r="G21" s="826">
        <v>4.4000000000000004</v>
      </c>
      <c r="H21" s="826">
        <v>102</v>
      </c>
      <c r="I21" s="826">
        <v>4.25</v>
      </c>
      <c r="J21" s="826">
        <v>4.5</v>
      </c>
      <c r="K21" s="826" t="s">
        <v>2828</v>
      </c>
      <c r="L21" s="826" t="s">
        <v>5144</v>
      </c>
    </row>
    <row r="22" spans="1:12" x14ac:dyDescent="0.55000000000000004">
      <c r="A22" s="821">
        <v>45659</v>
      </c>
      <c r="B22" s="826" t="s">
        <v>5144</v>
      </c>
      <c r="C22" s="826">
        <v>4.33</v>
      </c>
      <c r="D22" s="826">
        <v>4.3099999999999996</v>
      </c>
      <c r="E22" s="826">
        <v>4.33</v>
      </c>
      <c r="F22" s="826">
        <v>4.34</v>
      </c>
      <c r="G22" s="826">
        <v>4.3499999999999996</v>
      </c>
      <c r="H22" s="826">
        <v>106</v>
      </c>
      <c r="I22" s="826">
        <v>4.25</v>
      </c>
      <c r="J22" s="826">
        <v>4.5</v>
      </c>
      <c r="K22" s="826" t="s">
        <v>2828</v>
      </c>
      <c r="L22" s="826" t="s">
        <v>5144</v>
      </c>
    </row>
    <row r="23" spans="1:12" x14ac:dyDescent="0.55000000000000004">
      <c r="A23" s="821">
        <v>45657</v>
      </c>
      <c r="B23" s="826" t="s">
        <v>5144</v>
      </c>
      <c r="C23" s="826">
        <v>4.33</v>
      </c>
      <c r="D23" s="826">
        <v>4.3099999999999996</v>
      </c>
      <c r="E23" s="826">
        <v>4.33</v>
      </c>
      <c r="F23" s="826">
        <v>4.3499999999999996</v>
      </c>
      <c r="G23" s="826">
        <v>4.45</v>
      </c>
      <c r="H23" s="826">
        <v>53</v>
      </c>
      <c r="I23" s="826">
        <v>4.25</v>
      </c>
      <c r="J23" s="826">
        <v>4.5</v>
      </c>
      <c r="K23" s="826" t="s">
        <v>2828</v>
      </c>
      <c r="L23" s="826" t="s">
        <v>5144</v>
      </c>
    </row>
    <row r="24" spans="1:12" x14ac:dyDescent="0.55000000000000004">
      <c r="A24" s="821">
        <v>45656</v>
      </c>
      <c r="B24" s="826" t="s">
        <v>5144</v>
      </c>
      <c r="C24" s="826">
        <v>4.33</v>
      </c>
      <c r="D24" s="826">
        <v>4.3099999999999996</v>
      </c>
      <c r="E24" s="826">
        <v>4.33</v>
      </c>
      <c r="F24" s="826">
        <v>4.33</v>
      </c>
      <c r="G24" s="826">
        <v>4.3499999999999996</v>
      </c>
      <c r="H24" s="826">
        <v>108</v>
      </c>
      <c r="I24" s="826">
        <v>4.25</v>
      </c>
      <c r="J24" s="826">
        <v>4.5</v>
      </c>
      <c r="K24" s="826" t="s">
        <v>2828</v>
      </c>
      <c r="L24" s="826" t="s">
        <v>5144</v>
      </c>
    </row>
    <row r="25" spans="1:12" x14ac:dyDescent="0.55000000000000004">
      <c r="A25" s="821">
        <v>45653</v>
      </c>
      <c r="B25" s="826" t="s">
        <v>5144</v>
      </c>
      <c r="C25" s="826">
        <v>4.33</v>
      </c>
      <c r="D25" s="826">
        <v>4.3099999999999996</v>
      </c>
      <c r="E25" s="826">
        <v>4.33</v>
      </c>
      <c r="F25" s="826">
        <v>4.34</v>
      </c>
      <c r="G25" s="826">
        <v>4.3499999999999996</v>
      </c>
      <c r="H25" s="826">
        <v>119</v>
      </c>
      <c r="I25" s="826">
        <v>4.25</v>
      </c>
      <c r="J25" s="826">
        <v>4.5</v>
      </c>
      <c r="K25" s="826" t="s">
        <v>2828</v>
      </c>
      <c r="L25" s="826" t="s">
        <v>5144</v>
      </c>
    </row>
    <row r="26" spans="1:12" x14ac:dyDescent="0.55000000000000004">
      <c r="A26" s="821">
        <v>45652</v>
      </c>
      <c r="B26" s="826" t="s">
        <v>5144</v>
      </c>
      <c r="C26" s="826">
        <v>4.33</v>
      </c>
      <c r="D26" s="826">
        <v>4.3099999999999996</v>
      </c>
      <c r="E26" s="826">
        <v>4.32</v>
      </c>
      <c r="F26" s="826">
        <v>4.33</v>
      </c>
      <c r="G26" s="826">
        <v>4.3499999999999996</v>
      </c>
      <c r="H26" s="826">
        <v>128</v>
      </c>
      <c r="I26" s="826">
        <v>4.25</v>
      </c>
      <c r="J26" s="826">
        <v>4.5</v>
      </c>
      <c r="K26" s="826" t="s">
        <v>2828</v>
      </c>
      <c r="L26" s="826" t="s">
        <v>5144</v>
      </c>
    </row>
    <row r="27" spans="1:12" x14ac:dyDescent="0.55000000000000004">
      <c r="A27" s="821">
        <v>45650</v>
      </c>
      <c r="B27" s="826" t="s">
        <v>5144</v>
      </c>
      <c r="C27" s="826">
        <v>4.33</v>
      </c>
      <c r="D27" s="826">
        <v>4.3099999999999996</v>
      </c>
      <c r="E27" s="826">
        <v>4.33</v>
      </c>
      <c r="F27" s="826">
        <v>4.33</v>
      </c>
      <c r="G27" s="826">
        <v>4.3499999999999996</v>
      </c>
      <c r="H27" s="826">
        <v>118</v>
      </c>
      <c r="I27" s="826">
        <v>4.25</v>
      </c>
      <c r="J27" s="826">
        <v>4.5</v>
      </c>
      <c r="K27" s="826" t="s">
        <v>2828</v>
      </c>
      <c r="L27" s="826" t="s">
        <v>5144</v>
      </c>
    </row>
    <row r="28" spans="1:12" x14ac:dyDescent="0.55000000000000004">
      <c r="A28" s="821">
        <v>45649</v>
      </c>
      <c r="B28" s="826" t="s">
        <v>5144</v>
      </c>
      <c r="C28" s="826">
        <v>4.33</v>
      </c>
      <c r="D28" s="826">
        <v>4.3099999999999996</v>
      </c>
      <c r="E28" s="826">
        <v>4.33</v>
      </c>
      <c r="F28" s="826">
        <v>4.33</v>
      </c>
      <c r="G28" s="826">
        <v>4.3499999999999996</v>
      </c>
      <c r="H28" s="826">
        <v>119</v>
      </c>
      <c r="I28" s="826">
        <v>4.25</v>
      </c>
      <c r="J28" s="826">
        <v>4.5</v>
      </c>
      <c r="K28" s="826" t="s">
        <v>2828</v>
      </c>
      <c r="L28" s="826" t="s">
        <v>5144</v>
      </c>
    </row>
    <row r="29" spans="1:12" x14ac:dyDescent="0.55000000000000004">
      <c r="A29" s="821">
        <v>45646</v>
      </c>
      <c r="B29" s="826" t="s">
        <v>5144</v>
      </c>
      <c r="C29" s="826">
        <v>4.33</v>
      </c>
      <c r="D29" s="826">
        <v>4.3099999999999996</v>
      </c>
      <c r="E29" s="826">
        <v>4.33</v>
      </c>
      <c r="F29" s="826">
        <v>4.34</v>
      </c>
      <c r="G29" s="826">
        <v>4.3499999999999996</v>
      </c>
      <c r="H29" s="826">
        <v>113</v>
      </c>
      <c r="I29" s="826">
        <v>4.25</v>
      </c>
      <c r="J29" s="826">
        <v>4.5</v>
      </c>
      <c r="K29" s="826" t="s">
        <v>2828</v>
      </c>
      <c r="L29" s="826" t="s">
        <v>5144</v>
      </c>
    </row>
    <row r="30" spans="1:12" x14ac:dyDescent="0.55000000000000004">
      <c r="A30" s="821">
        <v>45645</v>
      </c>
      <c r="B30" s="826" t="s">
        <v>5144</v>
      </c>
      <c r="C30" s="826">
        <v>4.33</v>
      </c>
      <c r="D30" s="826">
        <v>4.3099999999999996</v>
      </c>
      <c r="E30" s="826">
        <v>4.33</v>
      </c>
      <c r="F30" s="826">
        <v>4.34</v>
      </c>
      <c r="G30" s="826">
        <v>4.3499999999999996</v>
      </c>
      <c r="H30" s="826">
        <v>104</v>
      </c>
      <c r="I30" s="826">
        <v>4.25</v>
      </c>
      <c r="J30" s="826">
        <v>4.5</v>
      </c>
      <c r="K30" s="826" t="s">
        <v>2828</v>
      </c>
      <c r="L30" s="826" t="s">
        <v>5144</v>
      </c>
    </row>
    <row r="31" spans="1:12" x14ac:dyDescent="0.55000000000000004">
      <c r="A31" s="821">
        <v>45644</v>
      </c>
      <c r="B31" s="826" t="s">
        <v>5144</v>
      </c>
      <c r="C31" s="826">
        <v>4.58</v>
      </c>
      <c r="D31" s="826">
        <v>4.5599999999999996</v>
      </c>
      <c r="E31" s="826">
        <v>4.58</v>
      </c>
      <c r="F31" s="826">
        <v>4.59</v>
      </c>
      <c r="G31" s="826">
        <v>4.5999999999999996</v>
      </c>
      <c r="H31" s="826">
        <v>112</v>
      </c>
      <c r="I31" s="826">
        <v>4.5</v>
      </c>
      <c r="J31" s="826">
        <v>4.75</v>
      </c>
      <c r="K31" s="826" t="s">
        <v>2828</v>
      </c>
      <c r="L31" s="826" t="s">
        <v>5144</v>
      </c>
    </row>
    <row r="32" spans="1:12" x14ac:dyDescent="0.55000000000000004">
      <c r="A32" s="821">
        <v>45643</v>
      </c>
      <c r="B32" s="826" t="s">
        <v>5144</v>
      </c>
      <c r="C32" s="826">
        <v>4.58</v>
      </c>
      <c r="D32" s="826">
        <v>4.5599999999999996</v>
      </c>
      <c r="E32" s="826">
        <v>4.58</v>
      </c>
      <c r="F32" s="826">
        <v>4.59</v>
      </c>
      <c r="G32" s="826">
        <v>4.5999999999999996</v>
      </c>
      <c r="H32" s="826">
        <v>103</v>
      </c>
      <c r="I32" s="826">
        <v>4.5</v>
      </c>
      <c r="J32" s="826">
        <v>4.75</v>
      </c>
      <c r="K32" s="826" t="s">
        <v>2828</v>
      </c>
      <c r="L32" s="826" t="s">
        <v>5144</v>
      </c>
    </row>
    <row r="33" spans="1:12" x14ac:dyDescent="0.55000000000000004">
      <c r="A33" s="821">
        <v>45642</v>
      </c>
      <c r="B33" s="826" t="s">
        <v>5144</v>
      </c>
      <c r="C33" s="826">
        <v>4.58</v>
      </c>
      <c r="D33" s="826">
        <v>4.5599999999999996</v>
      </c>
      <c r="E33" s="826">
        <v>4.58</v>
      </c>
      <c r="F33" s="826">
        <v>4.59</v>
      </c>
      <c r="G33" s="826">
        <v>4.5999999999999996</v>
      </c>
      <c r="H33" s="826">
        <v>99</v>
      </c>
      <c r="I33" s="826">
        <v>4.5</v>
      </c>
      <c r="J33" s="826">
        <v>4.75</v>
      </c>
      <c r="K33" s="826" t="s">
        <v>2828</v>
      </c>
      <c r="L33" s="826" t="s">
        <v>5144</v>
      </c>
    </row>
    <row r="34" spans="1:12" x14ac:dyDescent="0.55000000000000004">
      <c r="A34" s="821">
        <v>45639</v>
      </c>
      <c r="B34" s="826" t="s">
        <v>5144</v>
      </c>
      <c r="C34" s="826">
        <v>4.58</v>
      </c>
      <c r="D34" s="826">
        <v>4.5599999999999996</v>
      </c>
      <c r="E34" s="826">
        <v>4.58</v>
      </c>
      <c r="F34" s="826">
        <v>4.59</v>
      </c>
      <c r="G34" s="826">
        <v>4.5999999999999996</v>
      </c>
      <c r="H34" s="826">
        <v>102</v>
      </c>
      <c r="I34" s="826">
        <v>4.5</v>
      </c>
      <c r="J34" s="826">
        <v>4.75</v>
      </c>
      <c r="K34" s="826" t="s">
        <v>2828</v>
      </c>
      <c r="L34" s="826" t="s">
        <v>5144</v>
      </c>
    </row>
    <row r="35" spans="1:12" x14ac:dyDescent="0.55000000000000004">
      <c r="A35" s="821">
        <v>45638</v>
      </c>
      <c r="B35" s="826" t="s">
        <v>5144</v>
      </c>
      <c r="C35" s="826">
        <v>4.58</v>
      </c>
      <c r="D35" s="826">
        <v>4.5599999999999996</v>
      </c>
      <c r="E35" s="826">
        <v>4.58</v>
      </c>
      <c r="F35" s="826">
        <v>4.59</v>
      </c>
      <c r="G35" s="826">
        <v>4.5999999999999996</v>
      </c>
      <c r="H35" s="826">
        <v>111</v>
      </c>
      <c r="I35" s="826">
        <v>4.5</v>
      </c>
      <c r="J35" s="826">
        <v>4.75</v>
      </c>
      <c r="K35" s="826" t="s">
        <v>2828</v>
      </c>
      <c r="L35" s="826" t="s">
        <v>5144</v>
      </c>
    </row>
    <row r="36" spans="1:12" x14ac:dyDescent="0.55000000000000004">
      <c r="A36" s="821">
        <v>45637</v>
      </c>
      <c r="B36" s="826" t="s">
        <v>5144</v>
      </c>
      <c r="C36" s="826">
        <v>4.58</v>
      </c>
      <c r="D36" s="826">
        <v>4.5599999999999996</v>
      </c>
      <c r="E36" s="826">
        <v>4.58</v>
      </c>
      <c r="F36" s="826">
        <v>4.59</v>
      </c>
      <c r="G36" s="826">
        <v>4.5999999999999996</v>
      </c>
      <c r="H36" s="826">
        <v>106</v>
      </c>
      <c r="I36" s="826">
        <v>4.5</v>
      </c>
      <c r="J36" s="826">
        <v>4.75</v>
      </c>
      <c r="K36" s="826" t="s">
        <v>2828</v>
      </c>
      <c r="L36" s="826" t="s">
        <v>5144</v>
      </c>
    </row>
    <row r="37" spans="1:12" x14ac:dyDescent="0.55000000000000004">
      <c r="A37" s="821">
        <v>45636</v>
      </c>
      <c r="B37" s="826" t="s">
        <v>5144</v>
      </c>
      <c r="C37" s="826">
        <v>4.58</v>
      </c>
      <c r="D37" s="826">
        <v>4.5599999999999996</v>
      </c>
      <c r="E37" s="826">
        <v>4.58</v>
      </c>
      <c r="F37" s="826">
        <v>4.59</v>
      </c>
      <c r="G37" s="826">
        <v>4.7</v>
      </c>
      <c r="H37" s="826">
        <v>102</v>
      </c>
      <c r="I37" s="826">
        <v>4.5</v>
      </c>
      <c r="J37" s="826">
        <v>4.75</v>
      </c>
      <c r="K37" s="826" t="s">
        <v>2828</v>
      </c>
      <c r="L37" s="826" t="s">
        <v>5144</v>
      </c>
    </row>
    <row r="38" spans="1:12" x14ac:dyDescent="0.55000000000000004">
      <c r="A38" s="821">
        <v>45635</v>
      </c>
      <c r="B38" s="826" t="s">
        <v>5144</v>
      </c>
      <c r="C38" s="826">
        <v>4.58</v>
      </c>
      <c r="D38" s="826">
        <v>4.5599999999999996</v>
      </c>
      <c r="E38" s="826">
        <v>4.58</v>
      </c>
      <c r="F38" s="826">
        <v>4.59</v>
      </c>
      <c r="G38" s="826">
        <v>4.5999999999999996</v>
      </c>
      <c r="H38" s="826">
        <v>100</v>
      </c>
      <c r="I38" s="826">
        <v>4.5</v>
      </c>
      <c r="J38" s="826">
        <v>4.75</v>
      </c>
      <c r="K38" s="826" t="s">
        <v>2828</v>
      </c>
      <c r="L38" s="826" t="s">
        <v>5144</v>
      </c>
    </row>
    <row r="39" spans="1:12" x14ac:dyDescent="0.55000000000000004">
      <c r="A39" s="821">
        <v>45632</v>
      </c>
      <c r="B39" s="826" t="s">
        <v>5144</v>
      </c>
      <c r="C39" s="826">
        <v>4.58</v>
      </c>
      <c r="D39" s="826">
        <v>4.5599999999999996</v>
      </c>
      <c r="E39" s="826">
        <v>4.57</v>
      </c>
      <c r="F39" s="826">
        <v>4.59</v>
      </c>
      <c r="G39" s="826">
        <v>4.5999999999999996</v>
      </c>
      <c r="H39" s="826">
        <v>107</v>
      </c>
      <c r="I39" s="826">
        <v>4.5</v>
      </c>
      <c r="J39" s="826">
        <v>4.75</v>
      </c>
      <c r="K39" s="826" t="s">
        <v>2828</v>
      </c>
      <c r="L39" s="826" t="s">
        <v>5144</v>
      </c>
    </row>
    <row r="40" spans="1:12" x14ac:dyDescent="0.55000000000000004">
      <c r="A40" s="821">
        <v>45631</v>
      </c>
      <c r="B40" s="826" t="s">
        <v>5144</v>
      </c>
      <c r="C40" s="826">
        <v>4.58</v>
      </c>
      <c r="D40" s="826">
        <v>4.5599999999999996</v>
      </c>
      <c r="E40" s="826">
        <v>4.57</v>
      </c>
      <c r="F40" s="826">
        <v>4.59</v>
      </c>
      <c r="G40" s="826">
        <v>4.5999999999999996</v>
      </c>
      <c r="H40" s="826">
        <v>109</v>
      </c>
      <c r="I40" s="826">
        <v>4.5</v>
      </c>
      <c r="J40" s="826">
        <v>4.75</v>
      </c>
      <c r="K40" s="826" t="s">
        <v>2828</v>
      </c>
      <c r="L40" s="826" t="s">
        <v>5144</v>
      </c>
    </row>
    <row r="41" spans="1:12" x14ac:dyDescent="0.55000000000000004">
      <c r="A41" s="821">
        <v>45630</v>
      </c>
      <c r="B41" s="826" t="s">
        <v>5144</v>
      </c>
      <c r="C41" s="826">
        <v>4.58</v>
      </c>
      <c r="D41" s="826">
        <v>4.5599999999999996</v>
      </c>
      <c r="E41" s="826">
        <v>4.58</v>
      </c>
      <c r="F41" s="826">
        <v>4.59</v>
      </c>
      <c r="G41" s="826">
        <v>4.5999999999999996</v>
      </c>
      <c r="H41" s="826">
        <v>99</v>
      </c>
      <c r="I41" s="826">
        <v>4.5</v>
      </c>
      <c r="J41" s="826">
        <v>4.75</v>
      </c>
      <c r="K41" s="826" t="s">
        <v>2828</v>
      </c>
      <c r="L41" s="826" t="s">
        <v>5144</v>
      </c>
    </row>
    <row r="42" spans="1:12" x14ac:dyDescent="0.55000000000000004">
      <c r="A42" s="821">
        <v>45629</v>
      </c>
      <c r="B42" s="826" t="s">
        <v>5144</v>
      </c>
      <c r="C42" s="826">
        <v>4.58</v>
      </c>
      <c r="D42" s="826">
        <v>4.5599999999999996</v>
      </c>
      <c r="E42" s="826">
        <v>4.57</v>
      </c>
      <c r="F42" s="826">
        <v>4.59</v>
      </c>
      <c r="G42" s="826">
        <v>4.5999999999999996</v>
      </c>
      <c r="H42" s="826">
        <v>94</v>
      </c>
      <c r="I42" s="826">
        <v>4.5</v>
      </c>
      <c r="J42" s="826">
        <v>4.75</v>
      </c>
      <c r="K42" s="826" t="s">
        <v>2828</v>
      </c>
      <c r="L42" s="826" t="s">
        <v>5144</v>
      </c>
    </row>
    <row r="43" spans="1:12" x14ac:dyDescent="0.55000000000000004">
      <c r="A43" s="821">
        <v>45628</v>
      </c>
      <c r="B43" s="826" t="s">
        <v>5144</v>
      </c>
      <c r="C43" s="826">
        <v>4.58</v>
      </c>
      <c r="D43" s="826">
        <v>4.5599999999999996</v>
      </c>
      <c r="E43" s="826">
        <v>4.58</v>
      </c>
      <c r="F43" s="826">
        <v>4.59</v>
      </c>
      <c r="G43" s="826">
        <v>4.6399999999999997</v>
      </c>
      <c r="H43" s="826">
        <v>92</v>
      </c>
      <c r="I43" s="826">
        <v>4.5</v>
      </c>
      <c r="J43" s="826">
        <v>4.75</v>
      </c>
      <c r="K43" s="826" t="s">
        <v>2828</v>
      </c>
      <c r="L43" s="826" t="s">
        <v>5144</v>
      </c>
    </row>
    <row r="44" spans="1:12" x14ac:dyDescent="0.55000000000000004">
      <c r="A44" s="821">
        <v>45625</v>
      </c>
      <c r="B44" s="826" t="s">
        <v>5144</v>
      </c>
      <c r="C44" s="826">
        <v>4.58</v>
      </c>
      <c r="D44" s="826">
        <v>4.55</v>
      </c>
      <c r="E44" s="826">
        <v>4.58</v>
      </c>
      <c r="F44" s="826">
        <v>4.59</v>
      </c>
      <c r="G44" s="826">
        <v>4.5999999999999996</v>
      </c>
      <c r="H44" s="826">
        <v>95</v>
      </c>
      <c r="I44" s="826">
        <v>4.5</v>
      </c>
      <c r="J44" s="826">
        <v>4.75</v>
      </c>
      <c r="K44" s="826" t="s">
        <v>2828</v>
      </c>
      <c r="L44" s="826" t="s">
        <v>5144</v>
      </c>
    </row>
    <row r="45" spans="1:12" x14ac:dyDescent="0.55000000000000004">
      <c r="A45" s="821">
        <v>45623</v>
      </c>
      <c r="B45" s="826" t="s">
        <v>5144</v>
      </c>
      <c r="C45" s="826">
        <v>4.58</v>
      </c>
      <c r="D45" s="826">
        <v>4.5599999999999996</v>
      </c>
      <c r="E45" s="826">
        <v>4.57</v>
      </c>
      <c r="F45" s="826">
        <v>4.59</v>
      </c>
      <c r="G45" s="826">
        <v>4.5999999999999996</v>
      </c>
      <c r="H45" s="826">
        <v>103</v>
      </c>
      <c r="I45" s="826">
        <v>4.5</v>
      </c>
      <c r="J45" s="826">
        <v>4.75</v>
      </c>
      <c r="K45" s="826" t="s">
        <v>2828</v>
      </c>
      <c r="L45" s="826" t="s">
        <v>5144</v>
      </c>
    </row>
    <row r="46" spans="1:12" x14ac:dyDescent="0.55000000000000004">
      <c r="A46" s="821">
        <v>45622</v>
      </c>
      <c r="B46" s="826" t="s">
        <v>5144</v>
      </c>
      <c r="C46" s="826">
        <v>4.58</v>
      </c>
      <c r="D46" s="826">
        <v>4.5599999999999996</v>
      </c>
      <c r="E46" s="826">
        <v>4.57</v>
      </c>
      <c r="F46" s="826">
        <v>4.59</v>
      </c>
      <c r="G46" s="826">
        <v>4.5999999999999996</v>
      </c>
      <c r="H46" s="826">
        <v>101</v>
      </c>
      <c r="I46" s="826">
        <v>4.5</v>
      </c>
      <c r="J46" s="826">
        <v>4.75</v>
      </c>
      <c r="K46" s="826" t="s">
        <v>2828</v>
      </c>
      <c r="L46" s="826" t="s">
        <v>5144</v>
      </c>
    </row>
    <row r="47" spans="1:12" x14ac:dyDescent="0.55000000000000004">
      <c r="A47" s="821">
        <v>45621</v>
      </c>
      <c r="B47" s="826" t="s">
        <v>5144</v>
      </c>
      <c r="C47" s="826">
        <v>4.58</v>
      </c>
      <c r="D47" s="826">
        <v>4.5599999999999996</v>
      </c>
      <c r="E47" s="826">
        <v>4.58</v>
      </c>
      <c r="F47" s="826">
        <v>4.59</v>
      </c>
      <c r="G47" s="826">
        <v>4.5999999999999996</v>
      </c>
      <c r="H47" s="826">
        <v>103</v>
      </c>
      <c r="I47" s="826">
        <v>4.5</v>
      </c>
      <c r="J47" s="826">
        <v>4.75</v>
      </c>
      <c r="K47" s="826" t="s">
        <v>2828</v>
      </c>
      <c r="L47" s="826" t="s">
        <v>5144</v>
      </c>
    </row>
    <row r="48" spans="1:12" x14ac:dyDescent="0.55000000000000004">
      <c r="A48" s="821">
        <v>45618</v>
      </c>
      <c r="B48" s="826" t="s">
        <v>5144</v>
      </c>
      <c r="C48" s="826">
        <v>4.58</v>
      </c>
      <c r="D48" s="826">
        <v>4.5599999999999996</v>
      </c>
      <c r="E48" s="826">
        <v>4.57</v>
      </c>
      <c r="F48" s="826">
        <v>4.59</v>
      </c>
      <c r="G48" s="826">
        <v>4.7</v>
      </c>
      <c r="H48" s="826">
        <v>100</v>
      </c>
      <c r="I48" s="826">
        <v>4.5</v>
      </c>
      <c r="J48" s="826">
        <v>4.75</v>
      </c>
      <c r="K48" s="826" t="s">
        <v>2828</v>
      </c>
      <c r="L48" s="826" t="s">
        <v>5144</v>
      </c>
    </row>
    <row r="49" spans="1:12" x14ac:dyDescent="0.55000000000000004">
      <c r="A49" s="821">
        <v>45617</v>
      </c>
      <c r="B49" s="826" t="s">
        <v>5144</v>
      </c>
      <c r="C49" s="826">
        <v>4.58</v>
      </c>
      <c r="D49" s="826">
        <v>4.5599999999999996</v>
      </c>
      <c r="E49" s="826">
        <v>4.57</v>
      </c>
      <c r="F49" s="826">
        <v>4.59</v>
      </c>
      <c r="G49" s="826">
        <v>4.5999999999999996</v>
      </c>
      <c r="H49" s="826">
        <v>101</v>
      </c>
      <c r="I49" s="826">
        <v>4.5</v>
      </c>
      <c r="J49" s="826">
        <v>4.75</v>
      </c>
      <c r="K49" s="826" t="s">
        <v>2828</v>
      </c>
      <c r="L49" s="826" t="s">
        <v>5144</v>
      </c>
    </row>
    <row r="50" spans="1:12" x14ac:dyDescent="0.55000000000000004">
      <c r="A50" s="821">
        <v>45616</v>
      </c>
      <c r="B50" s="826" t="s">
        <v>5144</v>
      </c>
      <c r="C50" s="826">
        <v>4.58</v>
      </c>
      <c r="D50" s="826">
        <v>4.5599999999999996</v>
      </c>
      <c r="E50" s="826">
        <v>4.57</v>
      </c>
      <c r="F50" s="826">
        <v>4.59</v>
      </c>
      <c r="G50" s="826">
        <v>4.5999999999999996</v>
      </c>
      <c r="H50" s="826">
        <v>102</v>
      </c>
      <c r="I50" s="826">
        <v>4.5</v>
      </c>
      <c r="J50" s="826">
        <v>4.75</v>
      </c>
      <c r="K50" s="826" t="s">
        <v>2828</v>
      </c>
      <c r="L50" s="826" t="s">
        <v>5144</v>
      </c>
    </row>
    <row r="51" spans="1:12" x14ac:dyDescent="0.55000000000000004">
      <c r="A51" s="821">
        <v>45615</v>
      </c>
      <c r="B51" s="826" t="s">
        <v>5144</v>
      </c>
      <c r="C51" s="826">
        <v>4.58</v>
      </c>
      <c r="D51" s="826">
        <v>4.5599999999999996</v>
      </c>
      <c r="E51" s="826">
        <v>4.57</v>
      </c>
      <c r="F51" s="826">
        <v>4.59</v>
      </c>
      <c r="G51" s="826">
        <v>4.5999999999999996</v>
      </c>
      <c r="H51" s="826">
        <v>99</v>
      </c>
      <c r="I51" s="826">
        <v>4.5</v>
      </c>
      <c r="J51" s="826">
        <v>4.75</v>
      </c>
      <c r="K51" s="826" t="s">
        <v>2828</v>
      </c>
      <c r="L51" s="826" t="s">
        <v>5144</v>
      </c>
    </row>
    <row r="52" spans="1:12" x14ac:dyDescent="0.55000000000000004">
      <c r="A52" s="821">
        <v>45614</v>
      </c>
      <c r="B52" s="826" t="s">
        <v>5144</v>
      </c>
      <c r="C52" s="826">
        <v>4.58</v>
      </c>
      <c r="D52" s="826">
        <v>4.5599999999999996</v>
      </c>
      <c r="E52" s="826">
        <v>4.57</v>
      </c>
      <c r="F52" s="826">
        <v>4.59</v>
      </c>
      <c r="G52" s="826">
        <v>4.5999999999999996</v>
      </c>
      <c r="H52" s="826">
        <v>103</v>
      </c>
      <c r="I52" s="826">
        <v>4.5</v>
      </c>
      <c r="J52" s="826">
        <v>4.75</v>
      </c>
      <c r="K52" s="826" t="s">
        <v>2828</v>
      </c>
      <c r="L52" s="826" t="s">
        <v>5144</v>
      </c>
    </row>
    <row r="53" spans="1:12" x14ac:dyDescent="0.55000000000000004">
      <c r="A53" s="821">
        <v>45611</v>
      </c>
      <c r="B53" s="826" t="s">
        <v>5144</v>
      </c>
      <c r="C53" s="826">
        <v>4.58</v>
      </c>
      <c r="D53" s="826">
        <v>4.5599999999999996</v>
      </c>
      <c r="E53" s="826">
        <v>4.57</v>
      </c>
      <c r="F53" s="826">
        <v>4.59</v>
      </c>
      <c r="G53" s="826">
        <v>4.6500000000000004</v>
      </c>
      <c r="H53" s="826">
        <v>104</v>
      </c>
      <c r="I53" s="826">
        <v>4.5</v>
      </c>
      <c r="J53" s="826">
        <v>4.75</v>
      </c>
      <c r="K53" s="826" t="s">
        <v>2828</v>
      </c>
      <c r="L53" s="826" t="s">
        <v>5144</v>
      </c>
    </row>
    <row r="54" spans="1:12" x14ac:dyDescent="0.55000000000000004">
      <c r="A54" s="821">
        <v>45610</v>
      </c>
      <c r="B54" s="826" t="s">
        <v>5144</v>
      </c>
      <c r="C54" s="826">
        <v>4.58</v>
      </c>
      <c r="D54" s="826">
        <v>4.5599999999999996</v>
      </c>
      <c r="E54" s="826">
        <v>4.57</v>
      </c>
      <c r="F54" s="826">
        <v>4.59</v>
      </c>
      <c r="G54" s="826">
        <v>4.6399999999999997</v>
      </c>
      <c r="H54" s="826">
        <v>107</v>
      </c>
      <c r="I54" s="826">
        <v>4.5</v>
      </c>
      <c r="J54" s="826">
        <v>4.75</v>
      </c>
      <c r="K54" s="826" t="s">
        <v>2828</v>
      </c>
      <c r="L54" s="826" t="s">
        <v>5144</v>
      </c>
    </row>
    <row r="55" spans="1:12" x14ac:dyDescent="0.55000000000000004">
      <c r="A55" s="821">
        <v>45609</v>
      </c>
      <c r="B55" s="826" t="s">
        <v>5144</v>
      </c>
      <c r="C55" s="826">
        <v>4.58</v>
      </c>
      <c r="D55" s="826">
        <v>4.5599999999999996</v>
      </c>
      <c r="E55" s="826">
        <v>4.57</v>
      </c>
      <c r="F55" s="826">
        <v>4.59</v>
      </c>
      <c r="G55" s="826">
        <v>4.6500000000000004</v>
      </c>
      <c r="H55" s="826">
        <v>105</v>
      </c>
      <c r="I55" s="826">
        <v>4.5</v>
      </c>
      <c r="J55" s="826">
        <v>4.75</v>
      </c>
      <c r="K55" s="826" t="s">
        <v>2828</v>
      </c>
      <c r="L55" s="826" t="s">
        <v>5144</v>
      </c>
    </row>
    <row r="56" spans="1:12" x14ac:dyDescent="0.55000000000000004">
      <c r="A56" s="821">
        <v>45608</v>
      </c>
      <c r="B56" s="826" t="s">
        <v>5144</v>
      </c>
      <c r="C56" s="826">
        <v>4.58</v>
      </c>
      <c r="D56" s="826">
        <v>4.5599999999999996</v>
      </c>
      <c r="E56" s="826">
        <v>4.57</v>
      </c>
      <c r="F56" s="826">
        <v>4.59</v>
      </c>
      <c r="G56" s="826">
        <v>4.5999999999999996</v>
      </c>
      <c r="H56" s="826">
        <v>101</v>
      </c>
      <c r="I56" s="826">
        <v>4.5</v>
      </c>
      <c r="J56" s="826">
        <v>4.75</v>
      </c>
      <c r="K56" s="826" t="s">
        <v>2828</v>
      </c>
      <c r="L56" s="826" t="s">
        <v>5144</v>
      </c>
    </row>
    <row r="57" spans="1:12" x14ac:dyDescent="0.55000000000000004">
      <c r="A57" s="821">
        <v>45604</v>
      </c>
      <c r="B57" s="826" t="s">
        <v>5144</v>
      </c>
      <c r="C57" s="826">
        <v>4.58</v>
      </c>
      <c r="D57" s="826">
        <v>4.5599999999999996</v>
      </c>
      <c r="E57" s="826">
        <v>4.57</v>
      </c>
      <c r="F57" s="826">
        <v>4.59</v>
      </c>
      <c r="G57" s="826">
        <v>4.5999999999999996</v>
      </c>
      <c r="H57" s="826">
        <v>103</v>
      </c>
      <c r="I57" s="826">
        <v>4.5</v>
      </c>
      <c r="J57" s="826">
        <v>4.75</v>
      </c>
      <c r="K57" s="826" t="s">
        <v>2828</v>
      </c>
      <c r="L57" s="826" t="s">
        <v>5144</v>
      </c>
    </row>
    <row r="58" spans="1:12" x14ac:dyDescent="0.55000000000000004">
      <c r="A58" s="821">
        <v>45603</v>
      </c>
      <c r="B58" s="826" t="s">
        <v>5144</v>
      </c>
      <c r="C58" s="826">
        <v>4.83</v>
      </c>
      <c r="D58" s="826">
        <v>4.8099999999999996</v>
      </c>
      <c r="E58" s="826">
        <v>4.82</v>
      </c>
      <c r="F58" s="826">
        <v>4.84</v>
      </c>
      <c r="G58" s="826">
        <v>4.9000000000000004</v>
      </c>
      <c r="H58" s="826">
        <v>100</v>
      </c>
      <c r="I58" s="826">
        <v>4.75</v>
      </c>
      <c r="J58" s="826">
        <v>5</v>
      </c>
      <c r="K58" s="826" t="s">
        <v>2828</v>
      </c>
      <c r="L58" s="826" t="s">
        <v>5144</v>
      </c>
    </row>
    <row r="59" spans="1:12" x14ac:dyDescent="0.55000000000000004">
      <c r="A59" s="821">
        <v>45602</v>
      </c>
      <c r="B59" s="826" t="s">
        <v>5144</v>
      </c>
      <c r="C59" s="826">
        <v>4.83</v>
      </c>
      <c r="D59" s="826">
        <v>4.8099999999999996</v>
      </c>
      <c r="E59" s="826">
        <v>4.82</v>
      </c>
      <c r="F59" s="826">
        <v>4.84</v>
      </c>
      <c r="G59" s="826">
        <v>4.9000000000000004</v>
      </c>
      <c r="H59" s="826">
        <v>102</v>
      </c>
      <c r="I59" s="826">
        <v>4.75</v>
      </c>
      <c r="J59" s="826">
        <v>5</v>
      </c>
      <c r="K59" s="826" t="s">
        <v>2828</v>
      </c>
      <c r="L59" s="826" t="s">
        <v>5144</v>
      </c>
    </row>
    <row r="60" spans="1:12" x14ac:dyDescent="0.55000000000000004">
      <c r="A60" s="821">
        <v>45601</v>
      </c>
      <c r="B60" s="826" t="s">
        <v>5144</v>
      </c>
      <c r="C60" s="826">
        <v>4.83</v>
      </c>
      <c r="D60" s="826">
        <v>4.8099999999999996</v>
      </c>
      <c r="E60" s="826">
        <v>4.82</v>
      </c>
      <c r="F60" s="826">
        <v>4.84</v>
      </c>
      <c r="G60" s="826">
        <v>4.9000000000000004</v>
      </c>
      <c r="H60" s="826">
        <v>104</v>
      </c>
      <c r="I60" s="826">
        <v>4.75</v>
      </c>
      <c r="J60" s="826">
        <v>5</v>
      </c>
      <c r="K60" s="826" t="s">
        <v>2828</v>
      </c>
      <c r="L60" s="826" t="s">
        <v>5144</v>
      </c>
    </row>
    <row r="61" spans="1:12" x14ac:dyDescent="0.55000000000000004">
      <c r="A61" s="821">
        <v>45600</v>
      </c>
      <c r="B61" s="826" t="s">
        <v>5144</v>
      </c>
      <c r="C61" s="826">
        <v>4.83</v>
      </c>
      <c r="D61" s="826">
        <v>4.8099999999999996</v>
      </c>
      <c r="E61" s="826">
        <v>4.83</v>
      </c>
      <c r="F61" s="826">
        <v>4.84</v>
      </c>
      <c r="G61" s="826">
        <v>4.9000000000000004</v>
      </c>
      <c r="H61" s="826">
        <v>98</v>
      </c>
      <c r="I61" s="826">
        <v>4.75</v>
      </c>
      <c r="J61" s="826">
        <v>5</v>
      </c>
      <c r="K61" s="826" t="s">
        <v>2828</v>
      </c>
      <c r="L61" s="826" t="s">
        <v>5144</v>
      </c>
    </row>
    <row r="62" spans="1:12" x14ac:dyDescent="0.55000000000000004">
      <c r="A62" s="821">
        <v>45597</v>
      </c>
      <c r="B62" s="826" t="s">
        <v>5144</v>
      </c>
      <c r="C62" s="826">
        <v>4.83</v>
      </c>
      <c r="D62" s="826">
        <v>4.8099999999999996</v>
      </c>
      <c r="E62" s="826">
        <v>4.83</v>
      </c>
      <c r="F62" s="826">
        <v>4.84</v>
      </c>
      <c r="G62" s="826">
        <v>4.8899999999999997</v>
      </c>
      <c r="H62" s="826">
        <v>99</v>
      </c>
      <c r="I62" s="826">
        <v>4.75</v>
      </c>
      <c r="J62" s="826">
        <v>5</v>
      </c>
      <c r="K62" s="826" t="s">
        <v>2828</v>
      </c>
      <c r="L62" s="826" t="s">
        <v>5144</v>
      </c>
    </row>
    <row r="63" spans="1:12" x14ac:dyDescent="0.55000000000000004">
      <c r="A63" s="821">
        <v>45596</v>
      </c>
      <c r="B63" s="826" t="s">
        <v>5144</v>
      </c>
      <c r="C63" s="826">
        <v>4.83</v>
      </c>
      <c r="D63" s="826">
        <v>4.8099999999999996</v>
      </c>
      <c r="E63" s="826">
        <v>4.83</v>
      </c>
      <c r="F63" s="826">
        <v>4.84</v>
      </c>
      <c r="G63" s="826">
        <v>4.92</v>
      </c>
      <c r="H63" s="826">
        <v>96</v>
      </c>
      <c r="I63" s="826">
        <v>4.75</v>
      </c>
      <c r="J63" s="826">
        <v>5</v>
      </c>
      <c r="K63" s="826" t="s">
        <v>2828</v>
      </c>
      <c r="L63" s="826" t="s">
        <v>5144</v>
      </c>
    </row>
    <row r="64" spans="1:12" x14ac:dyDescent="0.55000000000000004">
      <c r="A64" s="821">
        <v>45595</v>
      </c>
      <c r="B64" s="826" t="s">
        <v>5144</v>
      </c>
      <c r="C64" s="826">
        <v>4.83</v>
      </c>
      <c r="D64" s="826">
        <v>4.8099999999999996</v>
      </c>
      <c r="E64" s="826">
        <v>4.83</v>
      </c>
      <c r="F64" s="826">
        <v>4.84</v>
      </c>
      <c r="G64" s="826">
        <v>4.8499999999999996</v>
      </c>
      <c r="H64" s="826">
        <v>104</v>
      </c>
      <c r="I64" s="826">
        <v>4.75</v>
      </c>
      <c r="J64" s="826">
        <v>5</v>
      </c>
      <c r="K64" s="826" t="s">
        <v>2828</v>
      </c>
      <c r="L64" s="826" t="s">
        <v>5144</v>
      </c>
    </row>
    <row r="65" spans="1:12" x14ac:dyDescent="0.55000000000000004">
      <c r="A65" s="821">
        <v>45594</v>
      </c>
      <c r="B65" s="826" t="s">
        <v>5144</v>
      </c>
      <c r="C65" s="826">
        <v>4.83</v>
      </c>
      <c r="D65" s="826">
        <v>4.8099999999999996</v>
      </c>
      <c r="E65" s="826">
        <v>4.83</v>
      </c>
      <c r="F65" s="826">
        <v>4.84</v>
      </c>
      <c r="G65" s="826">
        <v>4.9000000000000004</v>
      </c>
      <c r="H65" s="826">
        <v>100</v>
      </c>
      <c r="I65" s="826">
        <v>4.75</v>
      </c>
      <c r="J65" s="826">
        <v>5</v>
      </c>
      <c r="K65" s="826" t="s">
        <v>2828</v>
      </c>
      <c r="L65" s="826" t="s">
        <v>5144</v>
      </c>
    </row>
    <row r="66" spans="1:12" x14ac:dyDescent="0.55000000000000004">
      <c r="A66" s="821">
        <v>45593</v>
      </c>
      <c r="B66" s="826" t="s">
        <v>5144</v>
      </c>
      <c r="C66" s="826">
        <v>4.83</v>
      </c>
      <c r="D66" s="826">
        <v>4.8099999999999996</v>
      </c>
      <c r="E66" s="826">
        <v>4.83</v>
      </c>
      <c r="F66" s="826">
        <v>4.84</v>
      </c>
      <c r="G66" s="826">
        <v>4.92</v>
      </c>
      <c r="H66" s="826">
        <v>99</v>
      </c>
      <c r="I66" s="826">
        <v>4.75</v>
      </c>
      <c r="J66" s="826">
        <v>5</v>
      </c>
      <c r="K66" s="826" t="s">
        <v>2828</v>
      </c>
      <c r="L66" s="826" t="s">
        <v>5144</v>
      </c>
    </row>
    <row r="67" spans="1:12" x14ac:dyDescent="0.55000000000000004">
      <c r="A67" s="821">
        <v>45590</v>
      </c>
      <c r="B67" s="826" t="s">
        <v>5144</v>
      </c>
      <c r="C67" s="826">
        <v>4.83</v>
      </c>
      <c r="D67" s="826">
        <v>4.8099999999999996</v>
      </c>
      <c r="E67" s="826">
        <v>4.82</v>
      </c>
      <c r="F67" s="826">
        <v>4.84</v>
      </c>
      <c r="G67" s="826">
        <v>4.9000000000000004</v>
      </c>
      <c r="H67" s="826">
        <v>104</v>
      </c>
      <c r="I67" s="826">
        <v>4.75</v>
      </c>
      <c r="J67" s="826">
        <v>5</v>
      </c>
      <c r="K67" s="826" t="s">
        <v>2828</v>
      </c>
      <c r="L67" s="826" t="s">
        <v>5144</v>
      </c>
    </row>
    <row r="68" spans="1:12" x14ac:dyDescent="0.55000000000000004">
      <c r="A68" s="821">
        <v>45589</v>
      </c>
      <c r="B68" s="826" t="s">
        <v>5144</v>
      </c>
      <c r="C68" s="826">
        <v>4.83</v>
      </c>
      <c r="D68" s="826">
        <v>4.8099999999999996</v>
      </c>
      <c r="E68" s="826">
        <v>4.82</v>
      </c>
      <c r="F68" s="826">
        <v>4.84</v>
      </c>
      <c r="G68" s="826">
        <v>4.8499999999999996</v>
      </c>
      <c r="H68" s="826">
        <v>98</v>
      </c>
      <c r="I68" s="826">
        <v>4.75</v>
      </c>
      <c r="J68" s="826">
        <v>5</v>
      </c>
      <c r="K68" s="826" t="s">
        <v>2828</v>
      </c>
      <c r="L68" s="826" t="s">
        <v>5144</v>
      </c>
    </row>
    <row r="69" spans="1:12" x14ac:dyDescent="0.55000000000000004">
      <c r="A69" s="821">
        <v>45588</v>
      </c>
      <c r="B69" s="826" t="s">
        <v>5144</v>
      </c>
      <c r="C69" s="826">
        <v>4.83</v>
      </c>
      <c r="D69" s="826">
        <v>4.8099999999999996</v>
      </c>
      <c r="E69" s="826">
        <v>4.83</v>
      </c>
      <c r="F69" s="826">
        <v>4.84</v>
      </c>
      <c r="G69" s="826">
        <v>4.8499999999999996</v>
      </c>
      <c r="H69" s="826">
        <v>99</v>
      </c>
      <c r="I69" s="826">
        <v>4.75</v>
      </c>
      <c r="J69" s="826">
        <v>5</v>
      </c>
      <c r="K69" s="826" t="s">
        <v>2828</v>
      </c>
      <c r="L69" s="826" t="s">
        <v>5144</v>
      </c>
    </row>
    <row r="70" spans="1:12" x14ac:dyDescent="0.55000000000000004">
      <c r="A70" s="821">
        <v>45587</v>
      </c>
      <c r="B70" s="826" t="s">
        <v>5144</v>
      </c>
      <c r="C70" s="826">
        <v>4.83</v>
      </c>
      <c r="D70" s="826">
        <v>4.8099999999999996</v>
      </c>
      <c r="E70" s="826">
        <v>4.83</v>
      </c>
      <c r="F70" s="826">
        <v>4.84</v>
      </c>
      <c r="G70" s="826">
        <v>4.8499999999999996</v>
      </c>
      <c r="H70" s="826">
        <v>98</v>
      </c>
      <c r="I70" s="826">
        <v>4.75</v>
      </c>
      <c r="J70" s="826">
        <v>5</v>
      </c>
      <c r="K70" s="826" t="s">
        <v>2828</v>
      </c>
      <c r="L70" s="826" t="s">
        <v>5144</v>
      </c>
    </row>
    <row r="71" spans="1:12" x14ac:dyDescent="0.55000000000000004">
      <c r="A71" s="821">
        <v>45586</v>
      </c>
      <c r="B71" s="826" t="s">
        <v>5144</v>
      </c>
      <c r="C71" s="826">
        <v>4.83</v>
      </c>
      <c r="D71" s="826">
        <v>4.8099999999999996</v>
      </c>
      <c r="E71" s="826">
        <v>4.83</v>
      </c>
      <c r="F71" s="826">
        <v>4.84</v>
      </c>
      <c r="G71" s="826">
        <v>4.8499999999999996</v>
      </c>
      <c r="H71" s="826">
        <v>96</v>
      </c>
      <c r="I71" s="826">
        <v>4.75</v>
      </c>
      <c r="J71" s="826">
        <v>5</v>
      </c>
      <c r="K71" s="826" t="s">
        <v>2828</v>
      </c>
      <c r="L71" s="826" t="s">
        <v>5144</v>
      </c>
    </row>
    <row r="72" spans="1:12" x14ac:dyDescent="0.55000000000000004">
      <c r="A72" s="821">
        <v>45583</v>
      </c>
      <c r="B72" s="826" t="s">
        <v>5144</v>
      </c>
      <c r="C72" s="826">
        <v>4.83</v>
      </c>
      <c r="D72" s="826">
        <v>4.8099999999999996</v>
      </c>
      <c r="E72" s="826">
        <v>4.83</v>
      </c>
      <c r="F72" s="826">
        <v>4.84</v>
      </c>
      <c r="G72" s="826">
        <v>4.8499999999999996</v>
      </c>
      <c r="H72" s="826">
        <v>98</v>
      </c>
      <c r="I72" s="826">
        <v>4.75</v>
      </c>
      <c r="J72" s="826">
        <v>5</v>
      </c>
      <c r="K72" s="826" t="s">
        <v>2828</v>
      </c>
      <c r="L72" s="826" t="s">
        <v>5144</v>
      </c>
    </row>
    <row r="73" spans="1:12" x14ac:dyDescent="0.55000000000000004">
      <c r="A73" s="821">
        <v>45582</v>
      </c>
      <c r="B73" s="826" t="s">
        <v>5144</v>
      </c>
      <c r="C73" s="826">
        <v>4.83</v>
      </c>
      <c r="D73" s="826">
        <v>4.8099999999999996</v>
      </c>
      <c r="E73" s="826">
        <v>4.83</v>
      </c>
      <c r="F73" s="826">
        <v>4.84</v>
      </c>
      <c r="G73" s="826">
        <v>4.8499999999999996</v>
      </c>
      <c r="H73" s="826">
        <v>96</v>
      </c>
      <c r="I73" s="826">
        <v>4.75</v>
      </c>
      <c r="J73" s="826">
        <v>5</v>
      </c>
      <c r="K73" s="826" t="s">
        <v>2828</v>
      </c>
      <c r="L73" s="826" t="s">
        <v>5144</v>
      </c>
    </row>
    <row r="74" spans="1:12" x14ac:dyDescent="0.55000000000000004">
      <c r="A74" s="821">
        <v>45581</v>
      </c>
      <c r="B74" s="826" t="s">
        <v>5144</v>
      </c>
      <c r="C74" s="826">
        <v>4.83</v>
      </c>
      <c r="D74" s="826">
        <v>4.8099999999999996</v>
      </c>
      <c r="E74" s="826">
        <v>4.83</v>
      </c>
      <c r="F74" s="826">
        <v>4.84</v>
      </c>
      <c r="G74" s="826">
        <v>4.8499999999999996</v>
      </c>
      <c r="H74" s="826">
        <v>97</v>
      </c>
      <c r="I74" s="826">
        <v>4.75</v>
      </c>
      <c r="J74" s="826">
        <v>5</v>
      </c>
      <c r="K74" s="826" t="s">
        <v>2828</v>
      </c>
      <c r="L74" s="826" t="s">
        <v>5144</v>
      </c>
    </row>
    <row r="75" spans="1:12" x14ac:dyDescent="0.55000000000000004">
      <c r="A75" s="821">
        <v>45580</v>
      </c>
      <c r="B75" s="826" t="s">
        <v>5144</v>
      </c>
      <c r="C75" s="826">
        <v>4.83</v>
      </c>
      <c r="D75" s="826">
        <v>4.8099999999999996</v>
      </c>
      <c r="E75" s="826">
        <v>4.83</v>
      </c>
      <c r="F75" s="826">
        <v>4.84</v>
      </c>
      <c r="G75" s="826">
        <v>4.8499999999999996</v>
      </c>
      <c r="H75" s="826">
        <v>91</v>
      </c>
      <c r="I75" s="826">
        <v>4.75</v>
      </c>
      <c r="J75" s="826">
        <v>5</v>
      </c>
      <c r="K75" s="826" t="s">
        <v>2828</v>
      </c>
      <c r="L75" s="826" t="s">
        <v>5144</v>
      </c>
    </row>
    <row r="76" spans="1:12" x14ac:dyDescent="0.55000000000000004">
      <c r="A76" s="821">
        <v>45576</v>
      </c>
      <c r="B76" s="826" t="s">
        <v>5144</v>
      </c>
      <c r="C76" s="826">
        <v>4.83</v>
      </c>
      <c r="D76" s="826">
        <v>4.8099999999999996</v>
      </c>
      <c r="E76" s="826">
        <v>4.82</v>
      </c>
      <c r="F76" s="826">
        <v>4.84</v>
      </c>
      <c r="G76" s="826">
        <v>4.8499999999999996</v>
      </c>
      <c r="H76" s="826">
        <v>94</v>
      </c>
      <c r="I76" s="826">
        <v>4.75</v>
      </c>
      <c r="J76" s="826">
        <v>5</v>
      </c>
      <c r="K76" s="826" t="s">
        <v>2828</v>
      </c>
      <c r="L76" s="826" t="s">
        <v>5144</v>
      </c>
    </row>
    <row r="77" spans="1:12" x14ac:dyDescent="0.55000000000000004">
      <c r="A77" s="821">
        <v>45575</v>
      </c>
      <c r="B77" s="826" t="s">
        <v>5144</v>
      </c>
      <c r="C77" s="826">
        <v>4.83</v>
      </c>
      <c r="D77" s="826">
        <v>4.8099999999999996</v>
      </c>
      <c r="E77" s="826">
        <v>4.82</v>
      </c>
      <c r="F77" s="826">
        <v>4.84</v>
      </c>
      <c r="G77" s="826">
        <v>4.8499999999999996</v>
      </c>
      <c r="H77" s="826">
        <v>98</v>
      </c>
      <c r="I77" s="826">
        <v>4.75</v>
      </c>
      <c r="J77" s="826">
        <v>5</v>
      </c>
      <c r="K77" s="826" t="s">
        <v>2828</v>
      </c>
      <c r="L77" s="826" t="s">
        <v>5144</v>
      </c>
    </row>
    <row r="78" spans="1:12" x14ac:dyDescent="0.55000000000000004">
      <c r="A78" s="821">
        <v>45574</v>
      </c>
      <c r="B78" s="826" t="s">
        <v>5144</v>
      </c>
      <c r="C78" s="826">
        <v>4.83</v>
      </c>
      <c r="D78" s="826">
        <v>4.8099999999999996</v>
      </c>
      <c r="E78" s="826">
        <v>4.83</v>
      </c>
      <c r="F78" s="826">
        <v>4.84</v>
      </c>
      <c r="G78" s="826">
        <v>4.8499999999999996</v>
      </c>
      <c r="H78" s="826">
        <v>94</v>
      </c>
      <c r="I78" s="826">
        <v>4.75</v>
      </c>
      <c r="J78" s="826">
        <v>5</v>
      </c>
      <c r="K78" s="826" t="s">
        <v>2828</v>
      </c>
      <c r="L78" s="826" t="s">
        <v>5144</v>
      </c>
    </row>
    <row r="79" spans="1:12" x14ac:dyDescent="0.55000000000000004">
      <c r="A79" s="821">
        <v>45573</v>
      </c>
      <c r="B79" s="826" t="s">
        <v>5144</v>
      </c>
      <c r="C79" s="826">
        <v>4.83</v>
      </c>
      <c r="D79" s="826">
        <v>4.8099999999999996</v>
      </c>
      <c r="E79" s="826">
        <v>4.83</v>
      </c>
      <c r="F79" s="826">
        <v>4.84</v>
      </c>
      <c r="G79" s="826">
        <v>4.8499999999999996</v>
      </c>
      <c r="H79" s="826">
        <v>90</v>
      </c>
      <c r="I79" s="826">
        <v>4.75</v>
      </c>
      <c r="J79" s="826">
        <v>5</v>
      </c>
      <c r="K79" s="826" t="s">
        <v>2828</v>
      </c>
      <c r="L79" s="826" t="s">
        <v>5144</v>
      </c>
    </row>
    <row r="80" spans="1:12" x14ac:dyDescent="0.55000000000000004">
      <c r="A80" s="821">
        <v>45572</v>
      </c>
      <c r="B80" s="826" t="s">
        <v>5144</v>
      </c>
      <c r="C80" s="826">
        <v>4.83</v>
      </c>
      <c r="D80" s="826">
        <v>4.8099999999999996</v>
      </c>
      <c r="E80" s="826">
        <v>4.83</v>
      </c>
      <c r="F80" s="826">
        <v>4.84</v>
      </c>
      <c r="G80" s="826">
        <v>4.8499999999999996</v>
      </c>
      <c r="H80" s="826">
        <v>86</v>
      </c>
      <c r="I80" s="826">
        <v>4.75</v>
      </c>
      <c r="J80" s="826">
        <v>5</v>
      </c>
      <c r="K80" s="826" t="s">
        <v>2828</v>
      </c>
      <c r="L80" s="826" t="s">
        <v>5144</v>
      </c>
    </row>
    <row r="81" spans="1:12" x14ac:dyDescent="0.55000000000000004">
      <c r="A81" s="821">
        <v>45569</v>
      </c>
      <c r="B81" s="826" t="s">
        <v>5144</v>
      </c>
      <c r="C81" s="826">
        <v>4.83</v>
      </c>
      <c r="D81" s="826">
        <v>4.8099999999999996</v>
      </c>
      <c r="E81" s="826">
        <v>4.83</v>
      </c>
      <c r="F81" s="826">
        <v>4.84</v>
      </c>
      <c r="G81" s="826">
        <v>4.8499999999999996</v>
      </c>
      <c r="H81" s="826">
        <v>84</v>
      </c>
      <c r="I81" s="826">
        <v>4.75</v>
      </c>
      <c r="J81" s="826">
        <v>5</v>
      </c>
      <c r="K81" s="826" t="s">
        <v>2828</v>
      </c>
      <c r="L81" s="826" t="s">
        <v>5144</v>
      </c>
    </row>
    <row r="82" spans="1:12" x14ac:dyDescent="0.55000000000000004">
      <c r="A82" s="821">
        <v>45568</v>
      </c>
      <c r="B82" s="826" t="s">
        <v>5144</v>
      </c>
      <c r="C82" s="826">
        <v>4.83</v>
      </c>
      <c r="D82" s="826">
        <v>4.8099999999999996</v>
      </c>
      <c r="E82" s="826">
        <v>4.83</v>
      </c>
      <c r="F82" s="826">
        <v>4.84</v>
      </c>
      <c r="G82" s="826">
        <v>4.8499999999999996</v>
      </c>
      <c r="H82" s="826">
        <v>81</v>
      </c>
      <c r="I82" s="826">
        <v>4.75</v>
      </c>
      <c r="J82" s="826">
        <v>5</v>
      </c>
      <c r="K82" s="826" t="s">
        <v>2828</v>
      </c>
      <c r="L82" s="826" t="s">
        <v>5144</v>
      </c>
    </row>
    <row r="83" spans="1:12" x14ac:dyDescent="0.55000000000000004">
      <c r="A83" s="821">
        <v>45567</v>
      </c>
      <c r="B83" s="826" t="s">
        <v>5144</v>
      </c>
      <c r="C83" s="826">
        <v>4.83</v>
      </c>
      <c r="D83" s="826">
        <v>4.8099999999999996</v>
      </c>
      <c r="E83" s="826">
        <v>4.83</v>
      </c>
      <c r="F83" s="826">
        <v>4.84</v>
      </c>
      <c r="G83" s="826">
        <v>4.8499999999999996</v>
      </c>
      <c r="H83" s="826">
        <v>81</v>
      </c>
      <c r="I83" s="826">
        <v>4.75</v>
      </c>
      <c r="J83" s="826">
        <v>5</v>
      </c>
      <c r="K83" s="826" t="s">
        <v>2828</v>
      </c>
      <c r="L83" s="826" t="s">
        <v>5144</v>
      </c>
    </row>
    <row r="84" spans="1:12" x14ac:dyDescent="0.55000000000000004">
      <c r="A84" s="821">
        <v>45566</v>
      </c>
      <c r="B84" s="826" t="s">
        <v>5144</v>
      </c>
      <c r="C84" s="826">
        <v>4.83</v>
      </c>
      <c r="D84" s="826">
        <v>4.8099999999999996</v>
      </c>
      <c r="E84" s="826">
        <v>4.83</v>
      </c>
      <c r="F84" s="826">
        <v>4.84</v>
      </c>
      <c r="G84" s="826">
        <v>4.8499999999999996</v>
      </c>
      <c r="H84" s="826">
        <v>85</v>
      </c>
      <c r="I84" s="826">
        <v>4.75</v>
      </c>
      <c r="J84" s="826">
        <v>5</v>
      </c>
      <c r="K84" s="826" t="s">
        <v>2828</v>
      </c>
      <c r="L84" s="826" t="s">
        <v>5144</v>
      </c>
    </row>
    <row r="85" spans="1:12" x14ac:dyDescent="0.55000000000000004">
      <c r="A85" s="821">
        <v>45565</v>
      </c>
      <c r="B85" s="826" t="s">
        <v>5144</v>
      </c>
      <c r="C85" s="826">
        <v>4.83</v>
      </c>
      <c r="D85" s="826">
        <v>4.8</v>
      </c>
      <c r="E85" s="826">
        <v>4.82</v>
      </c>
      <c r="F85" s="826">
        <v>4.84</v>
      </c>
      <c r="G85" s="826">
        <v>4.95</v>
      </c>
      <c r="H85" s="826">
        <v>73</v>
      </c>
      <c r="I85" s="826">
        <v>4.75</v>
      </c>
      <c r="J85" s="826">
        <v>5</v>
      </c>
      <c r="K85" s="826" t="s">
        <v>2828</v>
      </c>
      <c r="L85" s="826" t="s">
        <v>5144</v>
      </c>
    </row>
    <row r="86" spans="1:12" x14ac:dyDescent="0.55000000000000004">
      <c r="A86" s="821">
        <v>45562</v>
      </c>
      <c r="B86" s="826" t="s">
        <v>5144</v>
      </c>
      <c r="C86" s="826">
        <v>4.83</v>
      </c>
      <c r="D86" s="826">
        <v>4.8099999999999996</v>
      </c>
      <c r="E86" s="826">
        <v>4.82</v>
      </c>
      <c r="F86" s="826">
        <v>4.84</v>
      </c>
      <c r="G86" s="826">
        <v>4.8600000000000003</v>
      </c>
      <c r="H86" s="826">
        <v>94</v>
      </c>
      <c r="I86" s="826">
        <v>4.75</v>
      </c>
      <c r="J86" s="826">
        <v>5</v>
      </c>
      <c r="K86" s="826" t="s">
        <v>2828</v>
      </c>
      <c r="L86" s="826" t="s">
        <v>5144</v>
      </c>
    </row>
    <row r="87" spans="1:12" x14ac:dyDescent="0.55000000000000004">
      <c r="A87" s="821">
        <v>45561</v>
      </c>
      <c r="B87" s="826" t="s">
        <v>5144</v>
      </c>
      <c r="C87" s="826">
        <v>4.83</v>
      </c>
      <c r="D87" s="826">
        <v>4.8099999999999996</v>
      </c>
      <c r="E87" s="826">
        <v>4.82</v>
      </c>
      <c r="F87" s="826">
        <v>4.84</v>
      </c>
      <c r="G87" s="826">
        <v>4.8499999999999996</v>
      </c>
      <c r="H87" s="826">
        <v>100</v>
      </c>
      <c r="I87" s="826">
        <v>4.75</v>
      </c>
      <c r="J87" s="826">
        <v>5</v>
      </c>
      <c r="K87" s="826" t="s">
        <v>2828</v>
      </c>
      <c r="L87" s="826" t="s">
        <v>5144</v>
      </c>
    </row>
    <row r="88" spans="1:12" x14ac:dyDescent="0.55000000000000004">
      <c r="A88" s="821">
        <v>45560</v>
      </c>
      <c r="B88" s="826" t="s">
        <v>5144</v>
      </c>
      <c r="C88" s="826">
        <v>4.83</v>
      </c>
      <c r="D88" s="826">
        <v>4.8099999999999996</v>
      </c>
      <c r="E88" s="826">
        <v>4.82</v>
      </c>
      <c r="F88" s="826">
        <v>4.83</v>
      </c>
      <c r="G88" s="826">
        <v>4.8499999999999996</v>
      </c>
      <c r="H88" s="826">
        <v>103</v>
      </c>
      <c r="I88" s="826">
        <v>4.75</v>
      </c>
      <c r="J88" s="826">
        <v>5</v>
      </c>
      <c r="K88" s="826" t="s">
        <v>2828</v>
      </c>
      <c r="L88" s="826" t="s">
        <v>5144</v>
      </c>
    </row>
    <row r="89" spans="1:12" x14ac:dyDescent="0.55000000000000004">
      <c r="A89" s="821">
        <v>45559</v>
      </c>
      <c r="B89" s="826" t="s">
        <v>5144</v>
      </c>
      <c r="C89" s="826">
        <v>4.83</v>
      </c>
      <c r="D89" s="826">
        <v>4.8099999999999996</v>
      </c>
      <c r="E89" s="826">
        <v>4.82</v>
      </c>
      <c r="F89" s="826">
        <v>4.84</v>
      </c>
      <c r="G89" s="826">
        <v>4.8499999999999996</v>
      </c>
      <c r="H89" s="826">
        <v>94</v>
      </c>
      <c r="I89" s="826">
        <v>4.75</v>
      </c>
      <c r="J89" s="826">
        <v>5</v>
      </c>
      <c r="K89" s="826" t="s">
        <v>2828</v>
      </c>
      <c r="L89" s="826" t="s">
        <v>5144</v>
      </c>
    </row>
    <row r="90" spans="1:12" x14ac:dyDescent="0.55000000000000004">
      <c r="A90" s="821">
        <v>45558</v>
      </c>
      <c r="B90" s="826" t="s">
        <v>5144</v>
      </c>
      <c r="C90" s="826">
        <v>4.83</v>
      </c>
      <c r="D90" s="826">
        <v>4.8099999999999996</v>
      </c>
      <c r="E90" s="826">
        <v>4.82</v>
      </c>
      <c r="F90" s="826">
        <v>4.84</v>
      </c>
      <c r="G90" s="826">
        <v>4.92</v>
      </c>
      <c r="H90" s="826">
        <v>95</v>
      </c>
      <c r="I90" s="826">
        <v>4.75</v>
      </c>
      <c r="J90" s="826">
        <v>5</v>
      </c>
      <c r="K90" s="826" t="s">
        <v>2828</v>
      </c>
      <c r="L90" s="826" t="s">
        <v>5144</v>
      </c>
    </row>
    <row r="91" spans="1:12" x14ac:dyDescent="0.55000000000000004">
      <c r="A91" s="821">
        <v>45555</v>
      </c>
      <c r="B91" s="826" t="s">
        <v>5144</v>
      </c>
      <c r="C91" s="826">
        <v>4.83</v>
      </c>
      <c r="D91" s="826">
        <v>4.8099999999999996</v>
      </c>
      <c r="E91" s="826">
        <v>4.82</v>
      </c>
      <c r="F91" s="826">
        <v>4.84</v>
      </c>
      <c r="G91" s="826">
        <v>4.95</v>
      </c>
      <c r="H91" s="826">
        <v>93</v>
      </c>
      <c r="I91" s="826">
        <v>4.75</v>
      </c>
      <c r="J91" s="826">
        <v>5</v>
      </c>
      <c r="K91" s="826" t="s">
        <v>2828</v>
      </c>
      <c r="L91" s="826" t="s">
        <v>5144</v>
      </c>
    </row>
    <row r="92" spans="1:12" x14ac:dyDescent="0.55000000000000004">
      <c r="A92" s="821">
        <v>45554</v>
      </c>
      <c r="B92" s="826" t="s">
        <v>5144</v>
      </c>
      <c r="C92" s="826">
        <v>4.83</v>
      </c>
      <c r="D92" s="826">
        <v>4.8099999999999996</v>
      </c>
      <c r="E92" s="826">
        <v>4.82</v>
      </c>
      <c r="F92" s="826">
        <v>4.84</v>
      </c>
      <c r="G92" s="826">
        <v>4.95</v>
      </c>
      <c r="H92" s="826">
        <v>90</v>
      </c>
      <c r="I92" s="826">
        <v>4.75</v>
      </c>
      <c r="J92" s="826">
        <v>5</v>
      </c>
      <c r="K92" s="826" t="s">
        <v>2828</v>
      </c>
      <c r="L92" s="826" t="s">
        <v>5144</v>
      </c>
    </row>
    <row r="93" spans="1:12" x14ac:dyDescent="0.55000000000000004">
      <c r="A93" s="821">
        <v>45553</v>
      </c>
      <c r="B93" s="826" t="s">
        <v>5144</v>
      </c>
      <c r="C93" s="826">
        <v>5.33</v>
      </c>
      <c r="D93" s="826">
        <v>5.31</v>
      </c>
      <c r="E93" s="826">
        <v>5.32</v>
      </c>
      <c r="F93" s="826">
        <v>5.33</v>
      </c>
      <c r="G93" s="826">
        <v>5.4</v>
      </c>
      <c r="H93" s="826">
        <v>102</v>
      </c>
      <c r="I93" s="826">
        <v>5.25</v>
      </c>
      <c r="J93" s="826">
        <v>5.5</v>
      </c>
      <c r="K93" s="826" t="s">
        <v>2828</v>
      </c>
      <c r="L93" s="826" t="s">
        <v>5144</v>
      </c>
    </row>
    <row r="94" spans="1:12" x14ac:dyDescent="0.55000000000000004">
      <c r="A94" s="821">
        <v>45552</v>
      </c>
      <c r="B94" s="826" t="s">
        <v>5144</v>
      </c>
      <c r="C94" s="826">
        <v>5.33</v>
      </c>
      <c r="D94" s="826">
        <v>5.31</v>
      </c>
      <c r="E94" s="826">
        <v>5.32</v>
      </c>
      <c r="F94" s="826">
        <v>5.33</v>
      </c>
      <c r="G94" s="826">
        <v>5.35</v>
      </c>
      <c r="H94" s="826">
        <v>103</v>
      </c>
      <c r="I94" s="826">
        <v>5.25</v>
      </c>
      <c r="J94" s="826">
        <v>5.5</v>
      </c>
      <c r="K94" s="826" t="s">
        <v>2828</v>
      </c>
      <c r="L94" s="826" t="s">
        <v>5144</v>
      </c>
    </row>
    <row r="95" spans="1:12" x14ac:dyDescent="0.55000000000000004">
      <c r="A95" s="821"/>
    </row>
    <row r="96" spans="1:12" x14ac:dyDescent="0.55000000000000004">
      <c r="A96" s="821"/>
      <c r="K96" s="826" t="s">
        <v>2828</v>
      </c>
    </row>
    <row r="97" spans="1:11" x14ac:dyDescent="0.55000000000000004">
      <c r="A97" s="821"/>
      <c r="K97" s="826" t="s">
        <v>2828</v>
      </c>
    </row>
    <row r="98" spans="1:11" x14ac:dyDescent="0.55000000000000004">
      <c r="A98" s="821"/>
      <c r="K98" s="826" t="s">
        <v>2828</v>
      </c>
    </row>
    <row r="99" spans="1:11" x14ac:dyDescent="0.55000000000000004">
      <c r="A99" s="821"/>
      <c r="K99" s="826" t="s">
        <v>2828</v>
      </c>
    </row>
    <row r="100" spans="1:11" x14ac:dyDescent="0.55000000000000004">
      <c r="A100" s="821"/>
      <c r="K100" s="826" t="s">
        <v>2828</v>
      </c>
    </row>
    <row r="101" spans="1:11" x14ac:dyDescent="0.55000000000000004">
      <c r="A101" s="821"/>
      <c r="K101" s="826" t="s">
        <v>2828</v>
      </c>
    </row>
    <row r="102" spans="1:11" x14ac:dyDescent="0.55000000000000004">
      <c r="A102" s="821"/>
      <c r="K102" s="826" t="s">
        <v>2828</v>
      </c>
    </row>
    <row r="103" spans="1:11" x14ac:dyDescent="0.55000000000000004">
      <c r="A103" s="821"/>
      <c r="K103" s="826" t="s">
        <v>2828</v>
      </c>
    </row>
    <row r="104" spans="1:11" x14ac:dyDescent="0.55000000000000004">
      <c r="A104" s="821"/>
      <c r="K104" s="826" t="s">
        <v>2828</v>
      </c>
    </row>
    <row r="105" spans="1:11" x14ac:dyDescent="0.55000000000000004">
      <c r="A105" s="821"/>
      <c r="K105" s="826" t="s">
        <v>2828</v>
      </c>
    </row>
    <row r="106" spans="1:11" x14ac:dyDescent="0.55000000000000004">
      <c r="A106" s="821"/>
      <c r="K106" s="826" t="s">
        <v>2828</v>
      </c>
    </row>
    <row r="107" spans="1:11" x14ac:dyDescent="0.55000000000000004">
      <c r="A107" s="821"/>
      <c r="K107" s="826" t="s">
        <v>2828</v>
      </c>
    </row>
    <row r="108" spans="1:11" x14ac:dyDescent="0.55000000000000004">
      <c r="A108" s="821"/>
      <c r="K108" s="826" t="s">
        <v>2828</v>
      </c>
    </row>
    <row r="109" spans="1:11" x14ac:dyDescent="0.55000000000000004">
      <c r="A109" s="821"/>
      <c r="K109" s="826" t="s">
        <v>2828</v>
      </c>
    </row>
    <row r="110" spans="1:11" x14ac:dyDescent="0.55000000000000004">
      <c r="A110" s="821"/>
      <c r="K110" s="826" t="s">
        <v>2828</v>
      </c>
    </row>
    <row r="111" spans="1:11" x14ac:dyDescent="0.55000000000000004">
      <c r="A111" s="821"/>
      <c r="K111" s="826" t="s">
        <v>2828</v>
      </c>
    </row>
    <row r="112" spans="1:11" x14ac:dyDescent="0.55000000000000004">
      <c r="A112" s="821"/>
      <c r="K112" s="826" t="s">
        <v>2828</v>
      </c>
    </row>
    <row r="113" spans="1:11" x14ac:dyDescent="0.55000000000000004">
      <c r="A113" s="821"/>
      <c r="K113" s="826" t="s">
        <v>2828</v>
      </c>
    </row>
    <row r="114" spans="1:11" x14ac:dyDescent="0.55000000000000004">
      <c r="A114" s="821"/>
      <c r="K114" s="826" t="s">
        <v>2828</v>
      </c>
    </row>
    <row r="115" spans="1:11" x14ac:dyDescent="0.55000000000000004">
      <c r="A115" s="821"/>
      <c r="K115" s="826" t="s">
        <v>2828</v>
      </c>
    </row>
    <row r="116" spans="1:11" x14ac:dyDescent="0.55000000000000004">
      <c r="A116" s="821"/>
      <c r="K116" s="826" t="s">
        <v>2828</v>
      </c>
    </row>
    <row r="117" spans="1:11" x14ac:dyDescent="0.55000000000000004">
      <c r="A117" s="821"/>
      <c r="K117" s="826" t="s">
        <v>2828</v>
      </c>
    </row>
    <row r="118" spans="1:11" x14ac:dyDescent="0.55000000000000004">
      <c r="A118" s="821"/>
      <c r="K118" s="826" t="s">
        <v>2828</v>
      </c>
    </row>
    <row r="119" spans="1:11" x14ac:dyDescent="0.55000000000000004">
      <c r="A119" s="821"/>
      <c r="K119" s="826" t="s">
        <v>2828</v>
      </c>
    </row>
    <row r="120" spans="1:11" x14ac:dyDescent="0.55000000000000004">
      <c r="A120" s="821"/>
      <c r="K120" s="826" t="s">
        <v>2828</v>
      </c>
    </row>
    <row r="121" spans="1:11" x14ac:dyDescent="0.55000000000000004">
      <c r="A121" s="821"/>
      <c r="K121" s="826" t="s">
        <v>2828</v>
      </c>
    </row>
    <row r="122" spans="1:11" x14ac:dyDescent="0.55000000000000004">
      <c r="A122" s="821"/>
      <c r="K122" s="826" t="s">
        <v>2828</v>
      </c>
    </row>
    <row r="123" spans="1:11" x14ac:dyDescent="0.55000000000000004">
      <c r="A123" s="821"/>
      <c r="K123" s="826" t="s">
        <v>2828</v>
      </c>
    </row>
    <row r="124" spans="1:11" x14ac:dyDescent="0.55000000000000004">
      <c r="A124" s="821"/>
      <c r="K124" s="826" t="s">
        <v>2828</v>
      </c>
    </row>
    <row r="125" spans="1:11" x14ac:dyDescent="0.55000000000000004">
      <c r="A125" s="821"/>
      <c r="K125" s="826" t="s">
        <v>2828</v>
      </c>
    </row>
    <row r="126" spans="1:11" x14ac:dyDescent="0.55000000000000004">
      <c r="A126" s="821"/>
      <c r="K126" s="826" t="s">
        <v>2828</v>
      </c>
    </row>
    <row r="127" spans="1:11" x14ac:dyDescent="0.55000000000000004">
      <c r="A127" s="821"/>
      <c r="K127" s="826" t="s">
        <v>2828</v>
      </c>
    </row>
    <row r="128" spans="1:11" x14ac:dyDescent="0.55000000000000004">
      <c r="A128" s="821"/>
      <c r="K128" s="826" t="s">
        <v>2828</v>
      </c>
    </row>
    <row r="129" spans="1:11" x14ac:dyDescent="0.55000000000000004">
      <c r="A129" s="821"/>
      <c r="K129" s="826" t="s">
        <v>2828</v>
      </c>
    </row>
    <row r="130" spans="1:11" x14ac:dyDescent="0.55000000000000004">
      <c r="A130" s="821"/>
      <c r="K130" s="826" t="s">
        <v>2828</v>
      </c>
    </row>
    <row r="131" spans="1:11" x14ac:dyDescent="0.55000000000000004">
      <c r="A131" s="821"/>
      <c r="K131" s="826" t="s">
        <v>2828</v>
      </c>
    </row>
    <row r="132" spans="1:11" x14ac:dyDescent="0.55000000000000004">
      <c r="A132" s="821"/>
      <c r="K132" s="826" t="s">
        <v>2828</v>
      </c>
    </row>
    <row r="133" spans="1:11" x14ac:dyDescent="0.55000000000000004">
      <c r="A133" s="821"/>
      <c r="K133" s="826" t="s">
        <v>2828</v>
      </c>
    </row>
    <row r="134" spans="1:11" x14ac:dyDescent="0.55000000000000004">
      <c r="A134" s="821"/>
      <c r="K134" s="826" t="s">
        <v>2828</v>
      </c>
    </row>
    <row r="135" spans="1:11" x14ac:dyDescent="0.55000000000000004">
      <c r="A135" s="821"/>
      <c r="K135" s="826" t="s">
        <v>2828</v>
      </c>
    </row>
    <row r="136" spans="1:11" x14ac:dyDescent="0.55000000000000004">
      <c r="A136" s="821"/>
      <c r="K136" s="826" t="s">
        <v>2828</v>
      </c>
    </row>
    <row r="137" spans="1:11" x14ac:dyDescent="0.55000000000000004">
      <c r="A137" s="821"/>
      <c r="K137" s="826" t="s">
        <v>2828</v>
      </c>
    </row>
    <row r="138" spans="1:11" x14ac:dyDescent="0.55000000000000004">
      <c r="A138" s="821"/>
      <c r="K138" s="826" t="s">
        <v>2828</v>
      </c>
    </row>
    <row r="139" spans="1:11" x14ac:dyDescent="0.55000000000000004">
      <c r="A139" s="821"/>
      <c r="K139" s="826" t="s">
        <v>2828</v>
      </c>
    </row>
    <row r="140" spans="1:11" x14ac:dyDescent="0.55000000000000004">
      <c r="A140" s="821"/>
      <c r="K140" s="826" t="s">
        <v>2828</v>
      </c>
    </row>
    <row r="141" spans="1:11" x14ac:dyDescent="0.55000000000000004">
      <c r="A141" s="821"/>
      <c r="K141" s="826" t="s">
        <v>2828</v>
      </c>
    </row>
    <row r="142" spans="1:11" x14ac:dyDescent="0.55000000000000004">
      <c r="A142" s="821"/>
      <c r="K142" s="826" t="s">
        <v>2828</v>
      </c>
    </row>
    <row r="143" spans="1:11" x14ac:dyDescent="0.55000000000000004">
      <c r="A143" s="821"/>
      <c r="K143" s="826" t="s">
        <v>2828</v>
      </c>
    </row>
    <row r="144" spans="1:11" x14ac:dyDescent="0.55000000000000004">
      <c r="A144" s="821"/>
      <c r="K144" s="826" t="s">
        <v>2828</v>
      </c>
    </row>
    <row r="145" spans="1:11" x14ac:dyDescent="0.55000000000000004">
      <c r="A145" s="821"/>
      <c r="K145" s="826" t="s">
        <v>2828</v>
      </c>
    </row>
    <row r="146" spans="1:11" x14ac:dyDescent="0.55000000000000004">
      <c r="A146" s="821"/>
      <c r="K146" s="826" t="s">
        <v>2828</v>
      </c>
    </row>
    <row r="147" spans="1:11" x14ac:dyDescent="0.55000000000000004">
      <c r="A147" s="821"/>
      <c r="K147" s="826" t="s">
        <v>2828</v>
      </c>
    </row>
    <row r="148" spans="1:11" x14ac:dyDescent="0.55000000000000004">
      <c r="A148" s="821"/>
      <c r="K148" s="826" t="s">
        <v>2828</v>
      </c>
    </row>
    <row r="149" spans="1:11" x14ac:dyDescent="0.55000000000000004">
      <c r="A149" s="821"/>
      <c r="K149" s="826" t="s">
        <v>2828</v>
      </c>
    </row>
    <row r="150" spans="1:11" x14ac:dyDescent="0.55000000000000004">
      <c r="A150" s="821"/>
      <c r="K150" s="826" t="s">
        <v>2828</v>
      </c>
    </row>
    <row r="151" spans="1:11" x14ac:dyDescent="0.55000000000000004">
      <c r="A151" s="821"/>
      <c r="K151" s="826" t="s">
        <v>2828</v>
      </c>
    </row>
    <row r="152" spans="1:11" x14ac:dyDescent="0.55000000000000004">
      <c r="A152" s="821"/>
      <c r="K152" s="826" t="s">
        <v>2828</v>
      </c>
    </row>
    <row r="153" spans="1:11" x14ac:dyDescent="0.55000000000000004">
      <c r="A153" s="821"/>
      <c r="K153" s="826" t="s">
        <v>2828</v>
      </c>
    </row>
    <row r="154" spans="1:11" x14ac:dyDescent="0.55000000000000004">
      <c r="A154" s="821"/>
      <c r="K154" s="826" t="s">
        <v>2828</v>
      </c>
    </row>
    <row r="155" spans="1:11" x14ac:dyDescent="0.55000000000000004">
      <c r="A155" s="821"/>
      <c r="K155" s="826" t="s">
        <v>2828</v>
      </c>
    </row>
    <row r="156" spans="1:11" x14ac:dyDescent="0.55000000000000004">
      <c r="A156" s="821"/>
      <c r="K156" s="826" t="s">
        <v>2828</v>
      </c>
    </row>
    <row r="157" spans="1:11" x14ac:dyDescent="0.55000000000000004">
      <c r="A157" s="821"/>
      <c r="K157" s="826" t="s">
        <v>2828</v>
      </c>
    </row>
    <row r="158" spans="1:11" x14ac:dyDescent="0.55000000000000004">
      <c r="A158" s="821"/>
      <c r="K158" s="826" t="s">
        <v>2828</v>
      </c>
    </row>
    <row r="159" spans="1:11" x14ac:dyDescent="0.55000000000000004">
      <c r="A159" s="821"/>
      <c r="K159" s="826" t="s">
        <v>2828</v>
      </c>
    </row>
    <row r="160" spans="1:11" x14ac:dyDescent="0.55000000000000004">
      <c r="A160" s="821"/>
      <c r="K160" s="826" t="s">
        <v>2828</v>
      </c>
    </row>
    <row r="161" spans="1:11" x14ac:dyDescent="0.55000000000000004">
      <c r="A161" s="821"/>
      <c r="K161" s="826" t="s">
        <v>2828</v>
      </c>
    </row>
    <row r="162" spans="1:11" x14ac:dyDescent="0.55000000000000004">
      <c r="A162" s="821"/>
      <c r="K162" s="826" t="s">
        <v>2828</v>
      </c>
    </row>
    <row r="163" spans="1:11" x14ac:dyDescent="0.55000000000000004">
      <c r="A163" s="821"/>
      <c r="K163" s="826" t="s">
        <v>2828</v>
      </c>
    </row>
    <row r="164" spans="1:11" x14ac:dyDescent="0.55000000000000004">
      <c r="A164" s="821"/>
      <c r="K164" s="826" t="s">
        <v>2828</v>
      </c>
    </row>
    <row r="165" spans="1:11" x14ac:dyDescent="0.55000000000000004">
      <c r="A165" s="821"/>
      <c r="K165" s="826" t="s">
        <v>2828</v>
      </c>
    </row>
    <row r="166" spans="1:11" x14ac:dyDescent="0.55000000000000004">
      <c r="A166" s="821"/>
      <c r="K166" s="826" t="s">
        <v>2828</v>
      </c>
    </row>
    <row r="167" spans="1:11" x14ac:dyDescent="0.55000000000000004">
      <c r="A167" s="821"/>
      <c r="K167" s="826" t="s">
        <v>2828</v>
      </c>
    </row>
    <row r="168" spans="1:11" x14ac:dyDescent="0.55000000000000004">
      <c r="A168" s="821"/>
      <c r="K168" s="826" t="s">
        <v>2828</v>
      </c>
    </row>
    <row r="169" spans="1:11" x14ac:dyDescent="0.55000000000000004">
      <c r="A169" s="821"/>
      <c r="K169" s="826" t="s">
        <v>2828</v>
      </c>
    </row>
    <row r="170" spans="1:11" x14ac:dyDescent="0.55000000000000004">
      <c r="A170" s="821"/>
      <c r="K170" s="826" t="s">
        <v>2828</v>
      </c>
    </row>
    <row r="171" spans="1:11" x14ac:dyDescent="0.55000000000000004">
      <c r="A171" s="821"/>
      <c r="K171" s="827"/>
    </row>
    <row r="172" spans="1:11" x14ac:dyDescent="0.55000000000000004">
      <c r="A172" s="821"/>
      <c r="K172" s="827"/>
    </row>
    <row r="173" spans="1:11" x14ac:dyDescent="0.55000000000000004">
      <c r="A173" s="821"/>
      <c r="K173" s="827"/>
    </row>
    <row r="174" spans="1:11" x14ac:dyDescent="0.55000000000000004">
      <c r="A174" s="821"/>
    </row>
    <row r="175" spans="1:11" x14ac:dyDescent="0.55000000000000004">
      <c r="A175" s="821"/>
      <c r="K175" s="826" t="s">
        <v>2828</v>
      </c>
    </row>
    <row r="176" spans="1:11" x14ac:dyDescent="0.55000000000000004">
      <c r="A176" s="821"/>
      <c r="K176" s="826" t="s">
        <v>2828</v>
      </c>
    </row>
    <row r="177" spans="1:11" x14ac:dyDescent="0.55000000000000004">
      <c r="A177" s="821"/>
      <c r="K177" s="826" t="s">
        <v>2828</v>
      </c>
    </row>
    <row r="178" spans="1:11" x14ac:dyDescent="0.55000000000000004">
      <c r="A178" s="821"/>
      <c r="K178" s="826" t="s">
        <v>2828</v>
      </c>
    </row>
    <row r="179" spans="1:11" x14ac:dyDescent="0.55000000000000004">
      <c r="A179" s="821"/>
      <c r="K179" s="826" t="s">
        <v>2828</v>
      </c>
    </row>
    <row r="180" spans="1:11" x14ac:dyDescent="0.55000000000000004">
      <c r="A180" s="821"/>
      <c r="K180" s="826" t="s">
        <v>2828</v>
      </c>
    </row>
    <row r="181" spans="1:11" x14ac:dyDescent="0.55000000000000004">
      <c r="A181" s="821"/>
      <c r="K181" s="826" t="s">
        <v>2828</v>
      </c>
    </row>
    <row r="182" spans="1:11" x14ac:dyDescent="0.55000000000000004">
      <c r="A182" s="821"/>
      <c r="K182" s="826" t="s">
        <v>2828</v>
      </c>
    </row>
    <row r="183" spans="1:11" x14ac:dyDescent="0.55000000000000004">
      <c r="A183" s="821"/>
      <c r="K183" s="826" t="s">
        <v>2828</v>
      </c>
    </row>
    <row r="184" spans="1:11" x14ac:dyDescent="0.55000000000000004">
      <c r="A184" s="821"/>
      <c r="K184" s="826" t="s">
        <v>2828</v>
      </c>
    </row>
    <row r="185" spans="1:11" x14ac:dyDescent="0.55000000000000004">
      <c r="A185" s="821"/>
      <c r="K185" s="826" t="s">
        <v>2828</v>
      </c>
    </row>
    <row r="186" spans="1:11" x14ac:dyDescent="0.55000000000000004">
      <c r="A186" s="821"/>
      <c r="K186" s="826" t="s">
        <v>2828</v>
      </c>
    </row>
    <row r="187" spans="1:11" x14ac:dyDescent="0.55000000000000004">
      <c r="A187" s="821"/>
      <c r="K187" s="826" t="s">
        <v>2828</v>
      </c>
    </row>
    <row r="188" spans="1:11" x14ac:dyDescent="0.55000000000000004">
      <c r="A188" s="821"/>
      <c r="K188" s="826" t="s">
        <v>2828</v>
      </c>
    </row>
    <row r="189" spans="1:11" x14ac:dyDescent="0.55000000000000004">
      <c r="A189" s="821"/>
      <c r="K189" s="826" t="s">
        <v>2828</v>
      </c>
    </row>
    <row r="190" spans="1:11" x14ac:dyDescent="0.55000000000000004">
      <c r="A190" s="821"/>
      <c r="K190" s="826" t="s">
        <v>2828</v>
      </c>
    </row>
    <row r="191" spans="1:11" x14ac:dyDescent="0.55000000000000004">
      <c r="A191" s="821"/>
      <c r="K191" s="826" t="s">
        <v>2828</v>
      </c>
    </row>
    <row r="192" spans="1:11" x14ac:dyDescent="0.55000000000000004">
      <c r="A192" s="821"/>
      <c r="K192" s="826" t="s">
        <v>2828</v>
      </c>
    </row>
    <row r="193" spans="1:11" x14ac:dyDescent="0.55000000000000004">
      <c r="A193" s="821"/>
      <c r="K193" s="826" t="s">
        <v>2828</v>
      </c>
    </row>
    <row r="194" spans="1:11" x14ac:dyDescent="0.55000000000000004">
      <c r="A194" s="821"/>
      <c r="K194" s="826" t="s">
        <v>2828</v>
      </c>
    </row>
    <row r="195" spans="1:11" x14ac:dyDescent="0.55000000000000004">
      <c r="A195" s="821"/>
      <c r="K195" s="826" t="s">
        <v>2828</v>
      </c>
    </row>
    <row r="196" spans="1:11" x14ac:dyDescent="0.55000000000000004">
      <c r="A196" s="821"/>
      <c r="K196" s="826" t="s">
        <v>2828</v>
      </c>
    </row>
    <row r="197" spans="1:11" x14ac:dyDescent="0.55000000000000004">
      <c r="A197" s="821"/>
      <c r="K197" s="826" t="s">
        <v>2828</v>
      </c>
    </row>
    <row r="198" spans="1:11" x14ac:dyDescent="0.55000000000000004">
      <c r="A198" s="821"/>
      <c r="K198" s="826" t="s">
        <v>2828</v>
      </c>
    </row>
    <row r="199" spans="1:11" x14ac:dyDescent="0.55000000000000004">
      <c r="A199" s="821"/>
      <c r="K199" s="826" t="s">
        <v>2828</v>
      </c>
    </row>
    <row r="200" spans="1:11" x14ac:dyDescent="0.55000000000000004">
      <c r="A200" s="821"/>
      <c r="K200" s="826" t="s">
        <v>2828</v>
      </c>
    </row>
    <row r="201" spans="1:11" x14ac:dyDescent="0.55000000000000004">
      <c r="A201" s="821"/>
      <c r="K201" s="826" t="s">
        <v>2828</v>
      </c>
    </row>
    <row r="202" spans="1:11" x14ac:dyDescent="0.55000000000000004">
      <c r="A202" s="821"/>
      <c r="K202" s="826" t="s">
        <v>2828</v>
      </c>
    </row>
    <row r="203" spans="1:11" x14ac:dyDescent="0.55000000000000004">
      <c r="A203" s="821"/>
      <c r="K203" s="826" t="s">
        <v>2828</v>
      </c>
    </row>
    <row r="204" spans="1:11" x14ac:dyDescent="0.55000000000000004">
      <c r="A204" s="821"/>
      <c r="K204" s="826" t="s">
        <v>2828</v>
      </c>
    </row>
    <row r="205" spans="1:11" x14ac:dyDescent="0.55000000000000004">
      <c r="A205" s="821"/>
      <c r="K205" s="826" t="s">
        <v>2828</v>
      </c>
    </row>
    <row r="206" spans="1:11" x14ac:dyDescent="0.55000000000000004">
      <c r="A206" s="821"/>
      <c r="K206" s="826" t="s">
        <v>2828</v>
      </c>
    </row>
    <row r="207" spans="1:11" x14ac:dyDescent="0.55000000000000004">
      <c r="A207" s="821"/>
      <c r="K207" s="826" t="s">
        <v>2828</v>
      </c>
    </row>
    <row r="208" spans="1:11" x14ac:dyDescent="0.55000000000000004">
      <c r="A208" s="821"/>
      <c r="K208" s="826" t="s">
        <v>2828</v>
      </c>
    </row>
    <row r="209" spans="1:11" x14ac:dyDescent="0.55000000000000004">
      <c r="A209" s="821"/>
      <c r="K209" s="826" t="s">
        <v>2828</v>
      </c>
    </row>
    <row r="210" spans="1:11" x14ac:dyDescent="0.55000000000000004">
      <c r="A210" s="821"/>
      <c r="K210" s="826" t="s">
        <v>2828</v>
      </c>
    </row>
    <row r="211" spans="1:11" x14ac:dyDescent="0.55000000000000004">
      <c r="A211" s="821"/>
      <c r="K211" s="826" t="s">
        <v>2828</v>
      </c>
    </row>
    <row r="212" spans="1:11" x14ac:dyDescent="0.55000000000000004">
      <c r="A212" s="821"/>
      <c r="K212" s="826" t="s">
        <v>2828</v>
      </c>
    </row>
    <row r="213" spans="1:11" x14ac:dyDescent="0.55000000000000004">
      <c r="A213" s="821"/>
      <c r="K213" s="826" t="s">
        <v>2828</v>
      </c>
    </row>
    <row r="214" spans="1:11" x14ac:dyDescent="0.55000000000000004">
      <c r="A214" s="821"/>
      <c r="K214" s="826" t="s">
        <v>2828</v>
      </c>
    </row>
    <row r="215" spans="1:11" x14ac:dyDescent="0.55000000000000004">
      <c r="A215" s="821"/>
      <c r="K215" s="826" t="s">
        <v>2828</v>
      </c>
    </row>
    <row r="216" spans="1:11" x14ac:dyDescent="0.55000000000000004">
      <c r="A216" s="821"/>
      <c r="K216" s="826" t="s">
        <v>2828</v>
      </c>
    </row>
    <row r="217" spans="1:11" x14ac:dyDescent="0.55000000000000004">
      <c r="A217" s="821"/>
      <c r="K217" s="826" t="s">
        <v>2828</v>
      </c>
    </row>
    <row r="218" spans="1:11" x14ac:dyDescent="0.55000000000000004">
      <c r="A218" s="821"/>
      <c r="K218" s="826" t="s">
        <v>2828</v>
      </c>
    </row>
    <row r="219" spans="1:11" x14ac:dyDescent="0.55000000000000004">
      <c r="A219" s="821"/>
      <c r="K219" s="826" t="s">
        <v>2828</v>
      </c>
    </row>
    <row r="220" spans="1:11" x14ac:dyDescent="0.55000000000000004">
      <c r="A220" s="821"/>
      <c r="K220" s="826" t="s">
        <v>2828</v>
      </c>
    </row>
    <row r="221" spans="1:11" x14ac:dyDescent="0.55000000000000004">
      <c r="A221" s="821"/>
      <c r="K221" s="826" t="s">
        <v>2828</v>
      </c>
    </row>
    <row r="222" spans="1:11" x14ac:dyDescent="0.55000000000000004">
      <c r="A222" s="821"/>
      <c r="K222" s="826" t="s">
        <v>2828</v>
      </c>
    </row>
    <row r="223" spans="1:11" x14ac:dyDescent="0.55000000000000004">
      <c r="A223" s="821"/>
      <c r="K223" s="826" t="s">
        <v>2828</v>
      </c>
    </row>
    <row r="224" spans="1:11" x14ac:dyDescent="0.55000000000000004">
      <c r="A224" s="821"/>
      <c r="K224" s="826" t="s">
        <v>2828</v>
      </c>
    </row>
    <row r="225" spans="1:11" x14ac:dyDescent="0.55000000000000004">
      <c r="A225" s="821"/>
      <c r="K225" s="826" t="s">
        <v>2828</v>
      </c>
    </row>
    <row r="226" spans="1:11" x14ac:dyDescent="0.55000000000000004">
      <c r="A226" s="821"/>
      <c r="K226" s="826" t="s">
        <v>2828</v>
      </c>
    </row>
    <row r="227" spans="1:11" x14ac:dyDescent="0.55000000000000004">
      <c r="A227" s="821"/>
      <c r="K227" s="826" t="s">
        <v>2828</v>
      </c>
    </row>
    <row r="228" spans="1:11" x14ac:dyDescent="0.55000000000000004">
      <c r="A228" s="821"/>
      <c r="K228" s="826" t="s">
        <v>2828</v>
      </c>
    </row>
    <row r="229" spans="1:11" x14ac:dyDescent="0.55000000000000004">
      <c r="A229" s="821"/>
      <c r="K229" s="826" t="s">
        <v>2828</v>
      </c>
    </row>
    <row r="230" spans="1:11" x14ac:dyDescent="0.55000000000000004">
      <c r="A230" s="821"/>
      <c r="K230" s="826" t="s">
        <v>2828</v>
      </c>
    </row>
    <row r="231" spans="1:11" x14ac:dyDescent="0.55000000000000004">
      <c r="A231" s="821"/>
      <c r="K231" s="826" t="s">
        <v>2828</v>
      </c>
    </row>
    <row r="232" spans="1:11" x14ac:dyDescent="0.55000000000000004">
      <c r="A232" s="821"/>
      <c r="K232" s="826" t="s">
        <v>2828</v>
      </c>
    </row>
    <row r="233" spans="1:11" x14ac:dyDescent="0.55000000000000004">
      <c r="A233" s="821"/>
      <c r="K233" s="826" t="s">
        <v>2828</v>
      </c>
    </row>
    <row r="234" spans="1:11" x14ac:dyDescent="0.55000000000000004">
      <c r="A234" s="821"/>
      <c r="K234" s="826" t="s">
        <v>2828</v>
      </c>
    </row>
    <row r="235" spans="1:11" x14ac:dyDescent="0.55000000000000004">
      <c r="A235" s="821"/>
      <c r="K235" s="826" t="s">
        <v>2828</v>
      </c>
    </row>
    <row r="236" spans="1:11" x14ac:dyDescent="0.55000000000000004">
      <c r="A236" s="821"/>
      <c r="K236" s="826" t="s">
        <v>2828</v>
      </c>
    </row>
    <row r="237" spans="1:11" x14ac:dyDescent="0.55000000000000004">
      <c r="A237" s="821"/>
      <c r="K237" s="826" t="s">
        <v>2828</v>
      </c>
    </row>
    <row r="238" spans="1:11" x14ac:dyDescent="0.55000000000000004">
      <c r="A238" s="821"/>
      <c r="K238" s="826" t="s">
        <v>2828</v>
      </c>
    </row>
    <row r="239" spans="1:11" x14ac:dyDescent="0.55000000000000004">
      <c r="A239" s="821"/>
      <c r="K239" s="826" t="s">
        <v>2828</v>
      </c>
    </row>
    <row r="240" spans="1:11" x14ac:dyDescent="0.55000000000000004">
      <c r="A240" s="821"/>
      <c r="K240" s="826" t="s">
        <v>2828</v>
      </c>
    </row>
    <row r="241" spans="1:11" x14ac:dyDescent="0.55000000000000004">
      <c r="A241" s="821"/>
      <c r="K241" s="826" t="s">
        <v>2828</v>
      </c>
    </row>
    <row r="242" spans="1:11" x14ac:dyDescent="0.55000000000000004">
      <c r="A242" s="821"/>
      <c r="K242" s="826" t="s">
        <v>2828</v>
      </c>
    </row>
    <row r="243" spans="1:11" x14ac:dyDescent="0.55000000000000004">
      <c r="A243" s="821"/>
      <c r="K243" s="826" t="s">
        <v>2828</v>
      </c>
    </row>
    <row r="244" spans="1:11" x14ac:dyDescent="0.55000000000000004">
      <c r="A244" s="821"/>
      <c r="K244" s="826" t="s">
        <v>2828</v>
      </c>
    </row>
    <row r="245" spans="1:11" x14ac:dyDescent="0.55000000000000004">
      <c r="A245" s="821"/>
      <c r="K245" s="826" t="s">
        <v>2828</v>
      </c>
    </row>
    <row r="246" spans="1:11" x14ac:dyDescent="0.55000000000000004">
      <c r="A246" s="821"/>
      <c r="K246" s="826" t="s">
        <v>2828</v>
      </c>
    </row>
    <row r="247" spans="1:11" x14ac:dyDescent="0.55000000000000004">
      <c r="A247" s="821"/>
      <c r="K247" s="826" t="s">
        <v>2828</v>
      </c>
    </row>
    <row r="248" spans="1:11" x14ac:dyDescent="0.55000000000000004">
      <c r="A248" s="821"/>
      <c r="K248" s="826" t="s">
        <v>2828</v>
      </c>
    </row>
    <row r="249" spans="1:11" x14ac:dyDescent="0.55000000000000004">
      <c r="A249" s="821"/>
      <c r="K249" s="826" t="s">
        <v>2828</v>
      </c>
    </row>
    <row r="250" spans="1:11" x14ac:dyDescent="0.55000000000000004">
      <c r="A250" s="821"/>
      <c r="K250" s="826" t="s">
        <v>2828</v>
      </c>
    </row>
    <row r="251" spans="1:11" x14ac:dyDescent="0.55000000000000004">
      <c r="A251" s="821"/>
      <c r="K251" s="826" t="s">
        <v>2828</v>
      </c>
    </row>
    <row r="252" spans="1:11" x14ac:dyDescent="0.55000000000000004">
      <c r="A252" s="821"/>
      <c r="K252" s="826" t="s">
        <v>2828</v>
      </c>
    </row>
    <row r="253" spans="1:11" x14ac:dyDescent="0.55000000000000004">
      <c r="A253" s="821"/>
      <c r="K253" s="826" t="s">
        <v>2828</v>
      </c>
    </row>
    <row r="254" spans="1:11" x14ac:dyDescent="0.55000000000000004">
      <c r="A254" s="821"/>
      <c r="K254" s="826" t="s">
        <v>2828</v>
      </c>
    </row>
    <row r="255" spans="1:11" x14ac:dyDescent="0.55000000000000004">
      <c r="A255" s="821"/>
      <c r="K255" s="826" t="s">
        <v>2828</v>
      </c>
    </row>
    <row r="256" spans="1:11" x14ac:dyDescent="0.55000000000000004">
      <c r="A256" s="821"/>
      <c r="K256" s="826" t="s">
        <v>2828</v>
      </c>
    </row>
    <row r="257" spans="1:11" x14ac:dyDescent="0.55000000000000004">
      <c r="A257" s="821"/>
      <c r="K257" s="826" t="s">
        <v>2828</v>
      </c>
    </row>
    <row r="258" spans="1:11" x14ac:dyDescent="0.55000000000000004">
      <c r="A258" s="821"/>
      <c r="K258" s="826" t="s">
        <v>2828</v>
      </c>
    </row>
    <row r="259" spans="1:11" x14ac:dyDescent="0.55000000000000004">
      <c r="A259" s="821"/>
      <c r="K259" s="826" t="s">
        <v>2828</v>
      </c>
    </row>
    <row r="260" spans="1:11" x14ac:dyDescent="0.55000000000000004">
      <c r="A260" s="821"/>
      <c r="K260" s="826" t="s">
        <v>2828</v>
      </c>
    </row>
    <row r="261" spans="1:11" x14ac:dyDescent="0.55000000000000004">
      <c r="A261" s="821"/>
      <c r="K261" s="826" t="s">
        <v>2828</v>
      </c>
    </row>
    <row r="262" spans="1:11" x14ac:dyDescent="0.55000000000000004">
      <c r="A262" s="821"/>
      <c r="K262" s="826" t="s">
        <v>2828</v>
      </c>
    </row>
    <row r="263" spans="1:11" x14ac:dyDescent="0.55000000000000004">
      <c r="A263" s="821"/>
      <c r="K263" s="826" t="s">
        <v>2828</v>
      </c>
    </row>
    <row r="264" spans="1:11" x14ac:dyDescent="0.55000000000000004">
      <c r="A264" s="821"/>
      <c r="K264" s="826" t="s">
        <v>2828</v>
      </c>
    </row>
    <row r="265" spans="1:11" x14ac:dyDescent="0.55000000000000004">
      <c r="A265" s="821"/>
      <c r="K265" s="826" t="s">
        <v>2828</v>
      </c>
    </row>
    <row r="266" spans="1:11" x14ac:dyDescent="0.55000000000000004">
      <c r="A266" s="821"/>
      <c r="K266" s="826" t="s">
        <v>2828</v>
      </c>
    </row>
    <row r="267" spans="1:11" x14ac:dyDescent="0.55000000000000004">
      <c r="A267" s="821"/>
      <c r="K267" s="826" t="s">
        <v>2828</v>
      </c>
    </row>
    <row r="268" spans="1:11" x14ac:dyDescent="0.55000000000000004">
      <c r="A268" s="821"/>
      <c r="K268" s="826" t="s">
        <v>2828</v>
      </c>
    </row>
    <row r="269" spans="1:11" x14ac:dyDescent="0.55000000000000004">
      <c r="A269" s="821"/>
      <c r="K269" s="826" t="s">
        <v>2828</v>
      </c>
    </row>
    <row r="270" spans="1:11" x14ac:dyDescent="0.55000000000000004">
      <c r="A270" s="821"/>
      <c r="K270" s="826" t="s">
        <v>2828</v>
      </c>
    </row>
    <row r="271" spans="1:11" x14ac:dyDescent="0.55000000000000004">
      <c r="A271" s="821"/>
      <c r="K271" s="826" t="s">
        <v>2828</v>
      </c>
    </row>
    <row r="272" spans="1:11" x14ac:dyDescent="0.55000000000000004">
      <c r="A272" s="821"/>
      <c r="K272" s="826" t="s">
        <v>2828</v>
      </c>
    </row>
    <row r="273" spans="1:11" x14ac:dyDescent="0.55000000000000004">
      <c r="A273" s="821"/>
      <c r="K273" s="826" t="s">
        <v>2828</v>
      </c>
    </row>
    <row r="274" spans="1:11" x14ac:dyDescent="0.55000000000000004">
      <c r="A274" s="821"/>
      <c r="K274" s="826" t="s">
        <v>2828</v>
      </c>
    </row>
    <row r="275" spans="1:11" x14ac:dyDescent="0.55000000000000004">
      <c r="A275" s="821"/>
      <c r="K275" s="826" t="s">
        <v>2828</v>
      </c>
    </row>
    <row r="276" spans="1:11" x14ac:dyDescent="0.55000000000000004">
      <c r="A276" s="821"/>
      <c r="K276" s="826" t="s">
        <v>2828</v>
      </c>
    </row>
    <row r="277" spans="1:11" x14ac:dyDescent="0.55000000000000004">
      <c r="A277" s="821"/>
      <c r="K277" s="826" t="s">
        <v>2828</v>
      </c>
    </row>
    <row r="278" spans="1:11" x14ac:dyDescent="0.55000000000000004">
      <c r="A278" s="821"/>
      <c r="K278" s="826" t="s">
        <v>2828</v>
      </c>
    </row>
    <row r="279" spans="1:11" x14ac:dyDescent="0.55000000000000004">
      <c r="A279" s="821"/>
      <c r="K279" s="826" t="s">
        <v>2828</v>
      </c>
    </row>
    <row r="280" spans="1:11" x14ac:dyDescent="0.55000000000000004">
      <c r="A280" s="821"/>
      <c r="K280" s="826" t="s">
        <v>2828</v>
      </c>
    </row>
    <row r="281" spans="1:11" x14ac:dyDescent="0.55000000000000004">
      <c r="A281" s="821"/>
      <c r="K281" s="826" t="s">
        <v>2828</v>
      </c>
    </row>
    <row r="282" spans="1:11" x14ac:dyDescent="0.55000000000000004">
      <c r="A282" s="821"/>
      <c r="K282" s="826" t="s">
        <v>2828</v>
      </c>
    </row>
    <row r="283" spans="1:11" x14ac:dyDescent="0.55000000000000004">
      <c r="A283" s="821"/>
      <c r="K283" s="826" t="s">
        <v>2828</v>
      </c>
    </row>
    <row r="284" spans="1:11" x14ac:dyDescent="0.55000000000000004">
      <c r="A284" s="821"/>
      <c r="K284" s="826" t="s">
        <v>2828</v>
      </c>
    </row>
    <row r="285" spans="1:11" x14ac:dyDescent="0.55000000000000004">
      <c r="A285" s="821"/>
      <c r="K285" s="826" t="s">
        <v>2828</v>
      </c>
    </row>
    <row r="286" spans="1:11" x14ac:dyDescent="0.55000000000000004">
      <c r="A286" s="821"/>
      <c r="K286" s="826" t="s">
        <v>2828</v>
      </c>
    </row>
    <row r="287" spans="1:11" x14ac:dyDescent="0.55000000000000004">
      <c r="A287" s="821"/>
      <c r="K287" s="826" t="s">
        <v>2828</v>
      </c>
    </row>
    <row r="288" spans="1:11" x14ac:dyDescent="0.55000000000000004">
      <c r="A288" s="821"/>
      <c r="K288" s="826" t="s">
        <v>2828</v>
      </c>
    </row>
    <row r="289" spans="1:11" x14ac:dyDescent="0.55000000000000004">
      <c r="A289" s="821"/>
      <c r="K289" s="826" t="s">
        <v>2828</v>
      </c>
    </row>
    <row r="290" spans="1:11" x14ac:dyDescent="0.55000000000000004">
      <c r="A290" s="821"/>
      <c r="K290" s="826" t="s">
        <v>2828</v>
      </c>
    </row>
    <row r="291" spans="1:11" x14ac:dyDescent="0.55000000000000004">
      <c r="A291" s="821"/>
      <c r="K291" s="826" t="s">
        <v>2828</v>
      </c>
    </row>
    <row r="292" spans="1:11" x14ac:dyDescent="0.55000000000000004">
      <c r="A292" s="821"/>
      <c r="K292" s="826" t="s">
        <v>2828</v>
      </c>
    </row>
    <row r="293" spans="1:11" x14ac:dyDescent="0.55000000000000004">
      <c r="A293" s="821"/>
      <c r="K293" s="826" t="s">
        <v>2828</v>
      </c>
    </row>
    <row r="294" spans="1:11" x14ac:dyDescent="0.55000000000000004">
      <c r="A294" s="821"/>
      <c r="K294" s="826" t="s">
        <v>2828</v>
      </c>
    </row>
    <row r="295" spans="1:11" x14ac:dyDescent="0.55000000000000004">
      <c r="A295" s="821"/>
      <c r="K295" s="826" t="s">
        <v>2828</v>
      </c>
    </row>
    <row r="296" spans="1:11" x14ac:dyDescent="0.55000000000000004">
      <c r="A296" s="821"/>
      <c r="K296" s="826" t="s">
        <v>2828</v>
      </c>
    </row>
    <row r="297" spans="1:11" x14ac:dyDescent="0.55000000000000004">
      <c r="A297" s="821"/>
      <c r="K297" s="826" t="s">
        <v>2828</v>
      </c>
    </row>
    <row r="298" spans="1:11" x14ac:dyDescent="0.55000000000000004">
      <c r="A298" s="821"/>
      <c r="K298" s="826" t="s">
        <v>2828</v>
      </c>
    </row>
    <row r="299" spans="1:11" x14ac:dyDescent="0.55000000000000004">
      <c r="A299" s="821"/>
      <c r="K299" s="826" t="s">
        <v>2828</v>
      </c>
    </row>
    <row r="300" spans="1:11" x14ac:dyDescent="0.55000000000000004">
      <c r="A300" s="821"/>
      <c r="K300" s="826" t="s">
        <v>2828</v>
      </c>
    </row>
    <row r="301" spans="1:11" x14ac:dyDescent="0.55000000000000004">
      <c r="A301" s="821"/>
      <c r="K301" s="826" t="s">
        <v>2828</v>
      </c>
    </row>
    <row r="302" spans="1:11" x14ac:dyDescent="0.55000000000000004">
      <c r="A302" s="821"/>
      <c r="K302" s="826" t="s">
        <v>2828</v>
      </c>
    </row>
    <row r="303" spans="1:11" x14ac:dyDescent="0.55000000000000004">
      <c r="A303" s="821"/>
      <c r="K303" s="826" t="s">
        <v>2828</v>
      </c>
    </row>
    <row r="304" spans="1:11" x14ac:dyDescent="0.55000000000000004">
      <c r="A304" s="821"/>
      <c r="K304" s="826" t="s">
        <v>2828</v>
      </c>
    </row>
    <row r="305" spans="1:11" x14ac:dyDescent="0.55000000000000004">
      <c r="A305" s="821"/>
      <c r="K305" s="826" t="s">
        <v>2828</v>
      </c>
    </row>
    <row r="306" spans="1:11" x14ac:dyDescent="0.55000000000000004">
      <c r="A306" s="821"/>
      <c r="K306" s="826" t="s">
        <v>2828</v>
      </c>
    </row>
    <row r="307" spans="1:11" x14ac:dyDescent="0.55000000000000004">
      <c r="A307" s="821"/>
      <c r="K307" s="826" t="s">
        <v>2828</v>
      </c>
    </row>
    <row r="308" spans="1:11" x14ac:dyDescent="0.55000000000000004">
      <c r="A308" s="821"/>
      <c r="K308" s="826" t="s">
        <v>2828</v>
      </c>
    </row>
    <row r="309" spans="1:11" x14ac:dyDescent="0.55000000000000004">
      <c r="A309" s="821"/>
      <c r="K309" s="826" t="s">
        <v>2828</v>
      </c>
    </row>
    <row r="310" spans="1:11" x14ac:dyDescent="0.55000000000000004">
      <c r="A310" s="821"/>
      <c r="K310" s="826" t="s">
        <v>2828</v>
      </c>
    </row>
    <row r="311" spans="1:11" x14ac:dyDescent="0.55000000000000004">
      <c r="A311" s="821"/>
      <c r="K311" s="826" t="s">
        <v>2828</v>
      </c>
    </row>
    <row r="312" spans="1:11" x14ac:dyDescent="0.55000000000000004">
      <c r="A312" s="821"/>
      <c r="K312" s="826" t="s">
        <v>2828</v>
      </c>
    </row>
    <row r="313" spans="1:11" x14ac:dyDescent="0.55000000000000004">
      <c r="A313" s="821"/>
      <c r="K313" s="826" t="s">
        <v>2828</v>
      </c>
    </row>
    <row r="314" spans="1:11" x14ac:dyDescent="0.55000000000000004">
      <c r="A314" s="821"/>
      <c r="K314" s="826" t="s">
        <v>2828</v>
      </c>
    </row>
    <row r="315" spans="1:11" x14ac:dyDescent="0.55000000000000004">
      <c r="A315" s="821"/>
      <c r="K315" s="826" t="s">
        <v>2828</v>
      </c>
    </row>
    <row r="316" spans="1:11" x14ac:dyDescent="0.55000000000000004">
      <c r="A316" s="821"/>
      <c r="K316" s="826" t="s">
        <v>2828</v>
      </c>
    </row>
    <row r="317" spans="1:11" x14ac:dyDescent="0.55000000000000004">
      <c r="A317" s="821"/>
      <c r="K317" s="826" t="s">
        <v>2828</v>
      </c>
    </row>
    <row r="318" spans="1:11" x14ac:dyDescent="0.55000000000000004">
      <c r="A318" s="821"/>
      <c r="K318" s="826" t="s">
        <v>2828</v>
      </c>
    </row>
    <row r="319" spans="1:11" x14ac:dyDescent="0.55000000000000004">
      <c r="A319" s="821"/>
      <c r="K319" s="826" t="s">
        <v>2828</v>
      </c>
    </row>
    <row r="320" spans="1:11" x14ac:dyDescent="0.55000000000000004">
      <c r="A320" s="821"/>
      <c r="K320" s="826" t="s">
        <v>2828</v>
      </c>
    </row>
    <row r="321" spans="1:11" x14ac:dyDescent="0.55000000000000004">
      <c r="A321" s="821"/>
      <c r="K321" s="826" t="s">
        <v>2828</v>
      </c>
    </row>
    <row r="322" spans="1:11" x14ac:dyDescent="0.55000000000000004">
      <c r="A322" s="821"/>
      <c r="K322" s="826" t="s">
        <v>2828</v>
      </c>
    </row>
    <row r="323" spans="1:11" x14ac:dyDescent="0.55000000000000004">
      <c r="A323" s="821"/>
      <c r="K323" s="826" t="s">
        <v>2828</v>
      </c>
    </row>
    <row r="324" spans="1:11" x14ac:dyDescent="0.55000000000000004">
      <c r="A324" s="821"/>
      <c r="K324" s="826" t="s">
        <v>2828</v>
      </c>
    </row>
    <row r="325" spans="1:11" x14ac:dyDescent="0.55000000000000004">
      <c r="A325" s="821"/>
      <c r="K325" s="826" t="s">
        <v>2828</v>
      </c>
    </row>
    <row r="326" spans="1:11" x14ac:dyDescent="0.55000000000000004">
      <c r="A326" s="821"/>
      <c r="K326" s="826" t="s">
        <v>2828</v>
      </c>
    </row>
    <row r="327" spans="1:11" x14ac:dyDescent="0.55000000000000004">
      <c r="A327" s="821"/>
      <c r="K327" s="826" t="s">
        <v>2828</v>
      </c>
    </row>
    <row r="328" spans="1:11" x14ac:dyDescent="0.55000000000000004">
      <c r="A328" s="821"/>
      <c r="K328" s="826" t="s">
        <v>2828</v>
      </c>
    </row>
    <row r="329" spans="1:11" x14ac:dyDescent="0.55000000000000004">
      <c r="A329" s="821"/>
      <c r="K329" s="826" t="s">
        <v>2828</v>
      </c>
    </row>
    <row r="330" spans="1:11" x14ac:dyDescent="0.55000000000000004">
      <c r="A330" s="821"/>
      <c r="K330" s="826" t="s">
        <v>2828</v>
      </c>
    </row>
    <row r="331" spans="1:11" x14ac:dyDescent="0.55000000000000004">
      <c r="A331" s="821"/>
      <c r="K331" s="826" t="s">
        <v>2828</v>
      </c>
    </row>
    <row r="332" spans="1:11" x14ac:dyDescent="0.55000000000000004">
      <c r="A332" s="821"/>
      <c r="K332" s="826" t="s">
        <v>2828</v>
      </c>
    </row>
    <row r="333" spans="1:11" x14ac:dyDescent="0.55000000000000004">
      <c r="A333" s="821"/>
      <c r="K333" s="826" t="s">
        <v>2828</v>
      </c>
    </row>
    <row r="334" spans="1:11" x14ac:dyDescent="0.55000000000000004">
      <c r="A334" s="821"/>
      <c r="K334" s="826" t="s">
        <v>2828</v>
      </c>
    </row>
    <row r="335" spans="1:11" x14ac:dyDescent="0.55000000000000004">
      <c r="A335" s="821"/>
      <c r="K335" s="826" t="s">
        <v>2828</v>
      </c>
    </row>
    <row r="336" spans="1:11" x14ac:dyDescent="0.55000000000000004">
      <c r="A336" s="821"/>
      <c r="K336" s="826" t="s">
        <v>2828</v>
      </c>
    </row>
    <row r="337" spans="1:11" x14ac:dyDescent="0.55000000000000004">
      <c r="A337" s="821"/>
      <c r="K337" s="826" t="s">
        <v>2828</v>
      </c>
    </row>
    <row r="338" spans="1:11" x14ac:dyDescent="0.55000000000000004">
      <c r="A338" s="821"/>
      <c r="K338" s="826" t="s">
        <v>2828</v>
      </c>
    </row>
    <row r="339" spans="1:11" x14ac:dyDescent="0.55000000000000004">
      <c r="A339" s="821"/>
      <c r="K339" s="826" t="s">
        <v>2828</v>
      </c>
    </row>
    <row r="340" spans="1:11" x14ac:dyDescent="0.55000000000000004">
      <c r="A340" s="821"/>
      <c r="K340" s="826" t="s">
        <v>2828</v>
      </c>
    </row>
    <row r="341" spans="1:11" x14ac:dyDescent="0.55000000000000004">
      <c r="A341" s="821"/>
      <c r="K341" s="826" t="s">
        <v>2828</v>
      </c>
    </row>
    <row r="342" spans="1:11" x14ac:dyDescent="0.55000000000000004">
      <c r="A342" s="821"/>
      <c r="K342" s="826" t="s">
        <v>2828</v>
      </c>
    </row>
    <row r="343" spans="1:11" x14ac:dyDescent="0.55000000000000004">
      <c r="A343" s="821"/>
      <c r="K343" s="826" t="s">
        <v>2828</v>
      </c>
    </row>
    <row r="344" spans="1:11" x14ac:dyDescent="0.55000000000000004">
      <c r="A344" s="821"/>
      <c r="K344" s="826" t="s">
        <v>2828</v>
      </c>
    </row>
    <row r="345" spans="1:11" x14ac:dyDescent="0.55000000000000004">
      <c r="A345" s="821"/>
      <c r="K345" s="826" t="s">
        <v>2828</v>
      </c>
    </row>
    <row r="346" spans="1:11" x14ac:dyDescent="0.55000000000000004">
      <c r="A346" s="821"/>
      <c r="K346" s="826" t="s">
        <v>2828</v>
      </c>
    </row>
    <row r="347" spans="1:11" x14ac:dyDescent="0.55000000000000004">
      <c r="A347" s="821"/>
      <c r="K347" s="826" t="s">
        <v>2828</v>
      </c>
    </row>
    <row r="348" spans="1:11" x14ac:dyDescent="0.55000000000000004">
      <c r="A348" s="821"/>
      <c r="K348" s="826" t="s">
        <v>2828</v>
      </c>
    </row>
    <row r="349" spans="1:11" x14ac:dyDescent="0.55000000000000004">
      <c r="A349" s="821"/>
      <c r="K349" s="826" t="s">
        <v>2828</v>
      </c>
    </row>
    <row r="350" spans="1:11" x14ac:dyDescent="0.55000000000000004">
      <c r="A350" s="821"/>
      <c r="K350" s="826" t="s">
        <v>2828</v>
      </c>
    </row>
    <row r="351" spans="1:11" x14ac:dyDescent="0.55000000000000004">
      <c r="A351" s="821"/>
      <c r="K351" s="826" t="s">
        <v>2828</v>
      </c>
    </row>
    <row r="352" spans="1:11" x14ac:dyDescent="0.55000000000000004">
      <c r="A352" s="821"/>
      <c r="K352" s="826" t="s">
        <v>2828</v>
      </c>
    </row>
    <row r="353" spans="1:11" x14ac:dyDescent="0.55000000000000004">
      <c r="A353" s="821"/>
      <c r="K353" s="826" t="s">
        <v>2828</v>
      </c>
    </row>
    <row r="354" spans="1:11" x14ac:dyDescent="0.55000000000000004">
      <c r="A354" s="821"/>
      <c r="K354" s="826" t="s">
        <v>2828</v>
      </c>
    </row>
    <row r="355" spans="1:11" x14ac:dyDescent="0.55000000000000004">
      <c r="A355" s="821"/>
      <c r="K355" s="826" t="s">
        <v>2828</v>
      </c>
    </row>
    <row r="356" spans="1:11" x14ac:dyDescent="0.55000000000000004">
      <c r="A356" s="821"/>
      <c r="K356" s="826" t="s">
        <v>2828</v>
      </c>
    </row>
    <row r="357" spans="1:11" x14ac:dyDescent="0.55000000000000004">
      <c r="A357" s="821"/>
      <c r="K357" s="826" t="s">
        <v>2828</v>
      </c>
    </row>
    <row r="358" spans="1:11" x14ac:dyDescent="0.55000000000000004">
      <c r="A358" s="821"/>
      <c r="K358" s="826" t="s">
        <v>2828</v>
      </c>
    </row>
    <row r="359" spans="1:11" x14ac:dyDescent="0.55000000000000004">
      <c r="A359" s="821"/>
      <c r="K359" s="826" t="s">
        <v>2828</v>
      </c>
    </row>
    <row r="360" spans="1:11" x14ac:dyDescent="0.55000000000000004">
      <c r="A360" s="821"/>
      <c r="K360" s="826" t="s">
        <v>2828</v>
      </c>
    </row>
    <row r="361" spans="1:11" x14ac:dyDescent="0.55000000000000004">
      <c r="A361" s="821"/>
      <c r="K361" s="826" t="s">
        <v>2828</v>
      </c>
    </row>
    <row r="362" spans="1:11" x14ac:dyDescent="0.55000000000000004">
      <c r="A362" s="821"/>
      <c r="K362" s="826" t="s">
        <v>2828</v>
      </c>
    </row>
    <row r="363" spans="1:11" x14ac:dyDescent="0.55000000000000004">
      <c r="A363" s="821"/>
      <c r="K363" s="826" t="s">
        <v>2828</v>
      </c>
    </row>
    <row r="364" spans="1:11" x14ac:dyDescent="0.55000000000000004">
      <c r="A364" s="821"/>
      <c r="K364" s="826" t="s">
        <v>2828</v>
      </c>
    </row>
    <row r="365" spans="1:11" x14ac:dyDescent="0.55000000000000004">
      <c r="A365" s="821"/>
      <c r="K365" s="826" t="s">
        <v>2828</v>
      </c>
    </row>
    <row r="366" spans="1:11" x14ac:dyDescent="0.55000000000000004">
      <c r="A366" s="821"/>
      <c r="K366" s="826" t="s">
        <v>2828</v>
      </c>
    </row>
    <row r="367" spans="1:11" x14ac:dyDescent="0.55000000000000004">
      <c r="A367" s="821"/>
      <c r="K367" s="826" t="s">
        <v>2828</v>
      </c>
    </row>
    <row r="368" spans="1:11" x14ac:dyDescent="0.55000000000000004">
      <c r="A368" s="821"/>
      <c r="K368" s="826" t="s">
        <v>2828</v>
      </c>
    </row>
    <row r="369" spans="1:11" x14ac:dyDescent="0.55000000000000004">
      <c r="A369" s="821"/>
      <c r="K369" s="826" t="s">
        <v>2828</v>
      </c>
    </row>
    <row r="370" spans="1:11" x14ac:dyDescent="0.55000000000000004">
      <c r="A370" s="821"/>
      <c r="K370" s="826" t="s">
        <v>2828</v>
      </c>
    </row>
    <row r="371" spans="1:11" x14ac:dyDescent="0.55000000000000004">
      <c r="A371" s="821"/>
      <c r="K371" s="826" t="s">
        <v>2828</v>
      </c>
    </row>
    <row r="372" spans="1:11" x14ac:dyDescent="0.55000000000000004">
      <c r="A372" s="821"/>
      <c r="K372" s="826" t="s">
        <v>2828</v>
      </c>
    </row>
    <row r="373" spans="1:11" x14ac:dyDescent="0.55000000000000004">
      <c r="A373" s="821"/>
      <c r="K373" s="826" t="s">
        <v>2828</v>
      </c>
    </row>
    <row r="374" spans="1:11" x14ac:dyDescent="0.55000000000000004">
      <c r="A374" s="821"/>
      <c r="K374" s="826" t="s">
        <v>2828</v>
      </c>
    </row>
    <row r="375" spans="1:11" x14ac:dyDescent="0.55000000000000004">
      <c r="A375" s="821"/>
      <c r="K375" s="826" t="s">
        <v>2828</v>
      </c>
    </row>
    <row r="376" spans="1:11" x14ac:dyDescent="0.55000000000000004">
      <c r="A376" s="821"/>
      <c r="K376" s="826" t="s">
        <v>2828</v>
      </c>
    </row>
    <row r="377" spans="1:11" x14ac:dyDescent="0.55000000000000004">
      <c r="A377" s="821"/>
      <c r="K377" s="826" t="s">
        <v>2828</v>
      </c>
    </row>
    <row r="378" spans="1:11" x14ac:dyDescent="0.55000000000000004">
      <c r="A378" s="821"/>
      <c r="K378" s="826" t="s">
        <v>2828</v>
      </c>
    </row>
    <row r="379" spans="1:11" x14ac:dyDescent="0.55000000000000004">
      <c r="A379" s="821"/>
      <c r="K379" s="826" t="s">
        <v>2828</v>
      </c>
    </row>
    <row r="380" spans="1:11" x14ac:dyDescent="0.55000000000000004">
      <c r="A380" s="821"/>
      <c r="K380" s="826" t="s">
        <v>2828</v>
      </c>
    </row>
    <row r="381" spans="1:11" x14ac:dyDescent="0.55000000000000004">
      <c r="A381" s="821"/>
      <c r="K381" s="826" t="s">
        <v>2828</v>
      </c>
    </row>
    <row r="382" spans="1:11" x14ac:dyDescent="0.55000000000000004">
      <c r="A382" s="821"/>
      <c r="K382" s="826" t="s">
        <v>2828</v>
      </c>
    </row>
    <row r="383" spans="1:11" x14ac:dyDescent="0.55000000000000004">
      <c r="A383" s="821"/>
      <c r="K383" s="826" t="s">
        <v>2828</v>
      </c>
    </row>
    <row r="384" spans="1:11" x14ac:dyDescent="0.55000000000000004">
      <c r="A384" s="821"/>
      <c r="K384" s="826" t="s">
        <v>2828</v>
      </c>
    </row>
    <row r="385" spans="1:11" x14ac:dyDescent="0.55000000000000004">
      <c r="A385" s="821"/>
      <c r="K385" s="826" t="s">
        <v>2828</v>
      </c>
    </row>
    <row r="386" spans="1:11" x14ac:dyDescent="0.55000000000000004">
      <c r="A386" s="821"/>
      <c r="K386" s="826" t="s">
        <v>2828</v>
      </c>
    </row>
    <row r="387" spans="1:11" x14ac:dyDescent="0.55000000000000004">
      <c r="A387" s="821"/>
      <c r="K387" s="826" t="s">
        <v>2828</v>
      </c>
    </row>
    <row r="388" spans="1:11" x14ac:dyDescent="0.55000000000000004">
      <c r="A388" s="821"/>
      <c r="K388" s="826" t="s">
        <v>2828</v>
      </c>
    </row>
    <row r="389" spans="1:11" x14ac:dyDescent="0.55000000000000004">
      <c r="A389" s="821"/>
      <c r="K389" s="826" t="s">
        <v>2828</v>
      </c>
    </row>
    <row r="390" spans="1:11" x14ac:dyDescent="0.55000000000000004">
      <c r="A390" s="821"/>
      <c r="K390" s="826" t="s">
        <v>2828</v>
      </c>
    </row>
    <row r="391" spans="1:11" x14ac:dyDescent="0.55000000000000004">
      <c r="A391" s="821"/>
      <c r="K391" s="826" t="s">
        <v>2828</v>
      </c>
    </row>
    <row r="392" spans="1:11" x14ac:dyDescent="0.55000000000000004">
      <c r="A392" s="821"/>
      <c r="K392" s="826" t="s">
        <v>2828</v>
      </c>
    </row>
    <row r="393" spans="1:11" x14ac:dyDescent="0.55000000000000004">
      <c r="A393" s="821"/>
      <c r="K393" s="826" t="s">
        <v>2828</v>
      </c>
    </row>
    <row r="394" spans="1:11" x14ac:dyDescent="0.55000000000000004">
      <c r="A394" s="821"/>
      <c r="K394" s="826" t="s">
        <v>2828</v>
      </c>
    </row>
    <row r="395" spans="1:11" x14ac:dyDescent="0.55000000000000004">
      <c r="A395" s="821"/>
      <c r="K395" s="826" t="s">
        <v>2828</v>
      </c>
    </row>
    <row r="396" spans="1:11" x14ac:dyDescent="0.55000000000000004">
      <c r="A396" s="821"/>
      <c r="K396" s="826" t="s">
        <v>2828</v>
      </c>
    </row>
    <row r="397" spans="1:11" x14ac:dyDescent="0.55000000000000004">
      <c r="A397" s="821"/>
      <c r="K397" s="826" t="s">
        <v>2828</v>
      </c>
    </row>
    <row r="398" spans="1:11" x14ac:dyDescent="0.55000000000000004">
      <c r="A398" s="821"/>
      <c r="K398" s="826" t="s">
        <v>2828</v>
      </c>
    </row>
    <row r="399" spans="1:11" x14ac:dyDescent="0.55000000000000004">
      <c r="A399" s="821"/>
      <c r="K399" s="826" t="s">
        <v>2828</v>
      </c>
    </row>
    <row r="400" spans="1:11" x14ac:dyDescent="0.55000000000000004">
      <c r="A400" s="821"/>
      <c r="K400" s="826" t="s">
        <v>2828</v>
      </c>
    </row>
    <row r="401" spans="1:11" x14ac:dyDescent="0.55000000000000004">
      <c r="A401" s="821"/>
      <c r="K401" s="826" t="s">
        <v>2828</v>
      </c>
    </row>
    <row r="402" spans="1:11" x14ac:dyDescent="0.55000000000000004">
      <c r="A402" s="821"/>
      <c r="K402" s="826" t="s">
        <v>2828</v>
      </c>
    </row>
    <row r="403" spans="1:11" x14ac:dyDescent="0.55000000000000004">
      <c r="A403" s="821"/>
      <c r="K403" s="826" t="s">
        <v>2828</v>
      </c>
    </row>
    <row r="404" spans="1:11" x14ac:dyDescent="0.55000000000000004">
      <c r="A404" s="821"/>
      <c r="K404" s="826" t="s">
        <v>2828</v>
      </c>
    </row>
    <row r="405" spans="1:11" x14ac:dyDescent="0.55000000000000004">
      <c r="A405" s="821"/>
      <c r="K405" s="826" t="s">
        <v>2828</v>
      </c>
    </row>
    <row r="406" spans="1:11" x14ac:dyDescent="0.55000000000000004">
      <c r="A406" s="821"/>
      <c r="K406" s="826" t="s">
        <v>2828</v>
      </c>
    </row>
    <row r="407" spans="1:11" x14ac:dyDescent="0.55000000000000004">
      <c r="A407" s="821"/>
      <c r="K407" s="826" t="s">
        <v>2828</v>
      </c>
    </row>
    <row r="408" spans="1:11" x14ac:dyDescent="0.55000000000000004">
      <c r="A408" s="821"/>
      <c r="K408" s="826" t="s">
        <v>2828</v>
      </c>
    </row>
    <row r="409" spans="1:11" x14ac:dyDescent="0.55000000000000004">
      <c r="A409" s="821"/>
      <c r="K409" s="826" t="s">
        <v>2828</v>
      </c>
    </row>
    <row r="410" spans="1:11" x14ac:dyDescent="0.55000000000000004">
      <c r="A410" s="821"/>
      <c r="K410" s="826" t="s">
        <v>2828</v>
      </c>
    </row>
    <row r="411" spans="1:11" x14ac:dyDescent="0.55000000000000004">
      <c r="A411" s="821"/>
      <c r="K411" s="826" t="s">
        <v>2828</v>
      </c>
    </row>
    <row r="412" spans="1:11" x14ac:dyDescent="0.55000000000000004">
      <c r="A412" s="821"/>
      <c r="K412" s="826" t="s">
        <v>2828</v>
      </c>
    </row>
    <row r="413" spans="1:11" x14ac:dyDescent="0.55000000000000004">
      <c r="A413" s="821"/>
      <c r="K413" s="826" t="s">
        <v>2828</v>
      </c>
    </row>
    <row r="414" spans="1:11" x14ac:dyDescent="0.55000000000000004">
      <c r="A414" s="821"/>
      <c r="K414" s="826" t="s">
        <v>2828</v>
      </c>
    </row>
    <row r="415" spans="1:11" x14ac:dyDescent="0.55000000000000004">
      <c r="A415" s="821"/>
      <c r="K415" s="826" t="s">
        <v>2828</v>
      </c>
    </row>
    <row r="416" spans="1:11" x14ac:dyDescent="0.55000000000000004">
      <c r="A416" s="821"/>
      <c r="K416" s="826" t="s">
        <v>2828</v>
      </c>
    </row>
    <row r="417" spans="1:11" x14ac:dyDescent="0.55000000000000004">
      <c r="A417" s="821"/>
      <c r="K417" s="826" t="s">
        <v>2828</v>
      </c>
    </row>
    <row r="418" spans="1:11" x14ac:dyDescent="0.55000000000000004">
      <c r="A418" s="821"/>
      <c r="K418" s="826" t="s">
        <v>2828</v>
      </c>
    </row>
    <row r="419" spans="1:11" x14ac:dyDescent="0.55000000000000004">
      <c r="A419" s="821"/>
      <c r="K419" s="826" t="s">
        <v>2828</v>
      </c>
    </row>
    <row r="420" spans="1:11" x14ac:dyDescent="0.55000000000000004">
      <c r="A420" s="821"/>
      <c r="K420" s="826" t="s">
        <v>2828</v>
      </c>
    </row>
    <row r="421" spans="1:11" x14ac:dyDescent="0.55000000000000004">
      <c r="A421" s="821"/>
      <c r="K421" s="826" t="s">
        <v>2828</v>
      </c>
    </row>
    <row r="422" spans="1:11" x14ac:dyDescent="0.55000000000000004">
      <c r="A422" s="821"/>
      <c r="K422" s="826" t="s">
        <v>2828</v>
      </c>
    </row>
    <row r="423" spans="1:11" x14ac:dyDescent="0.55000000000000004">
      <c r="A423" s="821"/>
      <c r="K423" s="826" t="s">
        <v>2828</v>
      </c>
    </row>
    <row r="424" spans="1:11" x14ac:dyDescent="0.55000000000000004">
      <c r="A424" s="821"/>
      <c r="K424" s="826" t="s">
        <v>2828</v>
      </c>
    </row>
    <row r="425" spans="1:11" x14ac:dyDescent="0.55000000000000004">
      <c r="A425" s="821"/>
      <c r="K425" s="826" t="s">
        <v>2828</v>
      </c>
    </row>
    <row r="426" spans="1:11" x14ac:dyDescent="0.55000000000000004">
      <c r="A426" s="821"/>
      <c r="K426" s="826" t="s">
        <v>2828</v>
      </c>
    </row>
    <row r="427" spans="1:11" x14ac:dyDescent="0.55000000000000004">
      <c r="A427" s="821"/>
      <c r="K427" s="826" t="s">
        <v>2828</v>
      </c>
    </row>
    <row r="428" spans="1:11" x14ac:dyDescent="0.55000000000000004">
      <c r="A428" s="821"/>
      <c r="K428" s="826" t="s">
        <v>2828</v>
      </c>
    </row>
    <row r="429" spans="1:11" x14ac:dyDescent="0.55000000000000004">
      <c r="A429" s="821"/>
      <c r="K429" s="826" t="s">
        <v>2828</v>
      </c>
    </row>
    <row r="430" spans="1:11" x14ac:dyDescent="0.55000000000000004">
      <c r="A430" s="821"/>
      <c r="K430" s="826" t="s">
        <v>2828</v>
      </c>
    </row>
    <row r="431" spans="1:11" x14ac:dyDescent="0.55000000000000004">
      <c r="A431" s="821"/>
      <c r="K431" s="826" t="s">
        <v>2828</v>
      </c>
    </row>
    <row r="432" spans="1:11" x14ac:dyDescent="0.55000000000000004">
      <c r="A432" s="821"/>
      <c r="K432" s="826" t="s">
        <v>2828</v>
      </c>
    </row>
    <row r="433" spans="1:11" x14ac:dyDescent="0.55000000000000004">
      <c r="A433" s="821"/>
      <c r="K433" s="826" t="s">
        <v>2828</v>
      </c>
    </row>
    <row r="434" spans="1:11" x14ac:dyDescent="0.55000000000000004">
      <c r="A434" s="821"/>
      <c r="K434" s="826" t="s">
        <v>2828</v>
      </c>
    </row>
    <row r="435" spans="1:11" x14ac:dyDescent="0.55000000000000004">
      <c r="A435" s="821"/>
      <c r="K435" s="826" t="s">
        <v>2828</v>
      </c>
    </row>
    <row r="436" spans="1:11" x14ac:dyDescent="0.55000000000000004">
      <c r="A436" s="821"/>
      <c r="K436" s="826" t="s">
        <v>2828</v>
      </c>
    </row>
    <row r="437" spans="1:11" x14ac:dyDescent="0.55000000000000004">
      <c r="A437" s="821"/>
      <c r="K437" s="826" t="s">
        <v>2828</v>
      </c>
    </row>
    <row r="438" spans="1:11" x14ac:dyDescent="0.55000000000000004">
      <c r="A438" s="821"/>
      <c r="K438" s="826" t="s">
        <v>2828</v>
      </c>
    </row>
    <row r="439" spans="1:11" x14ac:dyDescent="0.55000000000000004">
      <c r="A439" s="821"/>
      <c r="K439" s="826" t="s">
        <v>2828</v>
      </c>
    </row>
    <row r="440" spans="1:11" x14ac:dyDescent="0.55000000000000004">
      <c r="A440" s="821"/>
      <c r="K440" s="826" t="s">
        <v>2828</v>
      </c>
    </row>
    <row r="441" spans="1:11" x14ac:dyDescent="0.55000000000000004">
      <c r="A441" s="821"/>
      <c r="K441" s="826" t="s">
        <v>2828</v>
      </c>
    </row>
    <row r="442" spans="1:11" x14ac:dyDescent="0.55000000000000004">
      <c r="A442" s="821"/>
      <c r="K442" s="826" t="s">
        <v>2828</v>
      </c>
    </row>
    <row r="443" spans="1:11" x14ac:dyDescent="0.55000000000000004">
      <c r="A443" s="821"/>
      <c r="K443" s="826" t="s">
        <v>2828</v>
      </c>
    </row>
    <row r="444" spans="1:11" x14ac:dyDescent="0.55000000000000004">
      <c r="A444" s="821"/>
      <c r="K444" s="826" t="s">
        <v>2828</v>
      </c>
    </row>
    <row r="445" spans="1:11" x14ac:dyDescent="0.55000000000000004">
      <c r="A445" s="821"/>
      <c r="K445" s="826" t="s">
        <v>2828</v>
      </c>
    </row>
    <row r="446" spans="1:11" x14ac:dyDescent="0.55000000000000004">
      <c r="A446" s="821"/>
      <c r="K446" s="826" t="s">
        <v>2828</v>
      </c>
    </row>
    <row r="447" spans="1:11" x14ac:dyDescent="0.55000000000000004">
      <c r="A447" s="821"/>
      <c r="K447" s="826" t="s">
        <v>2828</v>
      </c>
    </row>
    <row r="448" spans="1:11" x14ac:dyDescent="0.55000000000000004">
      <c r="A448" s="821"/>
      <c r="K448" s="826" t="s">
        <v>2828</v>
      </c>
    </row>
    <row r="449" spans="1:11" x14ac:dyDescent="0.55000000000000004">
      <c r="A449" s="821"/>
      <c r="K449" s="826" t="s">
        <v>2828</v>
      </c>
    </row>
    <row r="450" spans="1:11" x14ac:dyDescent="0.55000000000000004">
      <c r="A450" s="821"/>
      <c r="K450" s="826" t="s">
        <v>2828</v>
      </c>
    </row>
    <row r="451" spans="1:11" x14ac:dyDescent="0.55000000000000004">
      <c r="A451" s="821"/>
      <c r="K451" s="826" t="s">
        <v>2828</v>
      </c>
    </row>
    <row r="452" spans="1:11" x14ac:dyDescent="0.55000000000000004">
      <c r="A452" s="821"/>
      <c r="K452" s="826" t="s">
        <v>2828</v>
      </c>
    </row>
    <row r="453" spans="1:11" x14ac:dyDescent="0.55000000000000004">
      <c r="A453" s="821"/>
      <c r="K453" s="826" t="s">
        <v>2828</v>
      </c>
    </row>
    <row r="454" spans="1:11" x14ac:dyDescent="0.55000000000000004">
      <c r="A454" s="821"/>
      <c r="K454" s="826" t="s">
        <v>2828</v>
      </c>
    </row>
    <row r="455" spans="1:11" x14ac:dyDescent="0.55000000000000004">
      <c r="A455" s="821"/>
      <c r="K455" s="826" t="s">
        <v>2828</v>
      </c>
    </row>
    <row r="456" spans="1:11" x14ac:dyDescent="0.55000000000000004">
      <c r="A456" s="821"/>
      <c r="K456" s="826" t="s">
        <v>2828</v>
      </c>
    </row>
    <row r="457" spans="1:11" x14ac:dyDescent="0.55000000000000004">
      <c r="A457" s="821"/>
      <c r="K457" s="826" t="s">
        <v>2828</v>
      </c>
    </row>
    <row r="458" spans="1:11" x14ac:dyDescent="0.55000000000000004">
      <c r="A458" s="821"/>
      <c r="K458" s="826" t="s">
        <v>2828</v>
      </c>
    </row>
    <row r="459" spans="1:11" x14ac:dyDescent="0.55000000000000004">
      <c r="A459" s="821"/>
      <c r="K459" s="826" t="s">
        <v>2828</v>
      </c>
    </row>
    <row r="460" spans="1:11" x14ac:dyDescent="0.55000000000000004">
      <c r="A460" s="821"/>
      <c r="K460" s="826" t="s">
        <v>2828</v>
      </c>
    </row>
    <row r="461" spans="1:11" x14ac:dyDescent="0.55000000000000004">
      <c r="A461" s="821"/>
      <c r="K461" s="826" t="s">
        <v>2828</v>
      </c>
    </row>
    <row r="462" spans="1:11" x14ac:dyDescent="0.55000000000000004">
      <c r="A462" s="821"/>
      <c r="K462" s="826" t="s">
        <v>2828</v>
      </c>
    </row>
    <row r="463" spans="1:11" x14ac:dyDescent="0.55000000000000004">
      <c r="A463" s="821"/>
      <c r="K463" s="826" t="s">
        <v>2828</v>
      </c>
    </row>
    <row r="464" spans="1:11" x14ac:dyDescent="0.55000000000000004">
      <c r="A464" s="821"/>
      <c r="K464" s="826" t="s">
        <v>2828</v>
      </c>
    </row>
    <row r="465" spans="1:11" x14ac:dyDescent="0.55000000000000004">
      <c r="A465" s="821"/>
      <c r="K465" s="826" t="s">
        <v>2828</v>
      </c>
    </row>
    <row r="466" spans="1:11" x14ac:dyDescent="0.55000000000000004">
      <c r="A466" s="821"/>
      <c r="K466" s="826" t="s">
        <v>2828</v>
      </c>
    </row>
    <row r="467" spans="1:11" x14ac:dyDescent="0.55000000000000004">
      <c r="A467" s="821"/>
      <c r="K467" s="826" t="s">
        <v>2828</v>
      </c>
    </row>
    <row r="468" spans="1:11" x14ac:dyDescent="0.55000000000000004">
      <c r="A468" s="821"/>
      <c r="K468" s="826" t="s">
        <v>2828</v>
      </c>
    </row>
    <row r="469" spans="1:11" x14ac:dyDescent="0.55000000000000004">
      <c r="A469" s="821"/>
      <c r="K469" s="826" t="s">
        <v>2828</v>
      </c>
    </row>
    <row r="470" spans="1:11" x14ac:dyDescent="0.55000000000000004">
      <c r="A470" s="821"/>
      <c r="K470" s="826" t="s">
        <v>2828</v>
      </c>
    </row>
    <row r="471" spans="1:11" x14ac:dyDescent="0.55000000000000004">
      <c r="A471" s="821"/>
      <c r="K471" s="826" t="s">
        <v>2828</v>
      </c>
    </row>
    <row r="472" spans="1:11" x14ac:dyDescent="0.55000000000000004">
      <c r="A472" s="821"/>
      <c r="K472" s="826" t="s">
        <v>2828</v>
      </c>
    </row>
    <row r="473" spans="1:11" x14ac:dyDescent="0.55000000000000004">
      <c r="A473" s="821"/>
      <c r="K473" s="826" t="s">
        <v>2828</v>
      </c>
    </row>
    <row r="474" spans="1:11" x14ac:dyDescent="0.55000000000000004">
      <c r="A474" s="821"/>
      <c r="K474" s="826" t="s">
        <v>2828</v>
      </c>
    </row>
    <row r="475" spans="1:11" x14ac:dyDescent="0.55000000000000004">
      <c r="A475" s="821"/>
      <c r="K475" s="826" t="s">
        <v>2828</v>
      </c>
    </row>
    <row r="476" spans="1:11" x14ac:dyDescent="0.55000000000000004">
      <c r="A476" s="821"/>
      <c r="K476" s="826" t="s">
        <v>2828</v>
      </c>
    </row>
    <row r="477" spans="1:11" x14ac:dyDescent="0.55000000000000004">
      <c r="A477" s="821"/>
      <c r="K477" s="826" t="s">
        <v>2828</v>
      </c>
    </row>
    <row r="478" spans="1:11" x14ac:dyDescent="0.55000000000000004">
      <c r="A478" s="821"/>
      <c r="K478" s="826" t="s">
        <v>2828</v>
      </c>
    </row>
    <row r="479" spans="1:11" x14ac:dyDescent="0.55000000000000004">
      <c r="A479" s="821"/>
      <c r="K479" s="826" t="s">
        <v>2828</v>
      </c>
    </row>
    <row r="480" spans="1:11" x14ac:dyDescent="0.55000000000000004">
      <c r="A480" s="821"/>
      <c r="K480" s="826" t="s">
        <v>2828</v>
      </c>
    </row>
    <row r="481" spans="1:11" x14ac:dyDescent="0.55000000000000004">
      <c r="A481" s="821"/>
      <c r="K481" s="826" t="s">
        <v>2828</v>
      </c>
    </row>
    <row r="482" spans="1:11" x14ac:dyDescent="0.55000000000000004">
      <c r="A482" s="821"/>
      <c r="K482" s="826" t="s">
        <v>2828</v>
      </c>
    </row>
    <row r="483" spans="1:11" x14ac:dyDescent="0.55000000000000004">
      <c r="A483" s="821"/>
      <c r="K483" s="826" t="s">
        <v>2828</v>
      </c>
    </row>
    <row r="484" spans="1:11" x14ac:dyDescent="0.55000000000000004">
      <c r="A484" s="821"/>
      <c r="K484" s="826" t="s">
        <v>2828</v>
      </c>
    </row>
    <row r="485" spans="1:11" x14ac:dyDescent="0.55000000000000004">
      <c r="A485" s="821"/>
      <c r="K485" s="826" t="s">
        <v>2828</v>
      </c>
    </row>
    <row r="486" spans="1:11" x14ac:dyDescent="0.55000000000000004">
      <c r="A486" s="821"/>
      <c r="K486" s="826" t="s">
        <v>2828</v>
      </c>
    </row>
    <row r="487" spans="1:11" x14ac:dyDescent="0.55000000000000004">
      <c r="A487" s="821"/>
      <c r="K487" s="826" t="s">
        <v>2828</v>
      </c>
    </row>
    <row r="488" spans="1:11" x14ac:dyDescent="0.55000000000000004">
      <c r="A488" s="821"/>
      <c r="K488" s="826" t="s">
        <v>2828</v>
      </c>
    </row>
    <row r="489" spans="1:11" x14ac:dyDescent="0.55000000000000004">
      <c r="A489" s="821"/>
      <c r="K489" s="826" t="s">
        <v>2828</v>
      </c>
    </row>
    <row r="490" spans="1:11" x14ac:dyDescent="0.55000000000000004">
      <c r="A490" s="821"/>
      <c r="K490" s="826" t="s">
        <v>2828</v>
      </c>
    </row>
    <row r="491" spans="1:11" x14ac:dyDescent="0.55000000000000004">
      <c r="A491" s="821"/>
      <c r="K491" s="826" t="s">
        <v>2828</v>
      </c>
    </row>
    <row r="492" spans="1:11" x14ac:dyDescent="0.55000000000000004">
      <c r="A492" s="821"/>
      <c r="K492" s="826" t="s">
        <v>2828</v>
      </c>
    </row>
    <row r="493" spans="1:11" x14ac:dyDescent="0.55000000000000004">
      <c r="A493" s="821"/>
      <c r="K493" s="826" t="s">
        <v>2828</v>
      </c>
    </row>
    <row r="494" spans="1:11" x14ac:dyDescent="0.55000000000000004">
      <c r="A494" s="821"/>
      <c r="K494" s="826" t="s">
        <v>2828</v>
      </c>
    </row>
    <row r="495" spans="1:11" x14ac:dyDescent="0.55000000000000004">
      <c r="A495" s="821"/>
      <c r="K495" s="826" t="s">
        <v>2828</v>
      </c>
    </row>
    <row r="496" spans="1:11" x14ac:dyDescent="0.55000000000000004">
      <c r="A496" s="821"/>
      <c r="K496" s="826" t="s">
        <v>2828</v>
      </c>
    </row>
    <row r="497" spans="1:11" x14ac:dyDescent="0.55000000000000004">
      <c r="A497" s="821"/>
      <c r="K497" s="826" t="s">
        <v>2828</v>
      </c>
    </row>
    <row r="498" spans="1:11" x14ac:dyDescent="0.55000000000000004">
      <c r="A498" s="821"/>
      <c r="K498" s="826" t="s">
        <v>2828</v>
      </c>
    </row>
    <row r="499" spans="1:11" x14ac:dyDescent="0.55000000000000004">
      <c r="A499" s="821"/>
      <c r="K499" s="826" t="s">
        <v>2828</v>
      </c>
    </row>
    <row r="500" spans="1:11" x14ac:dyDescent="0.55000000000000004">
      <c r="A500" s="821"/>
      <c r="K500" s="826" t="s">
        <v>2828</v>
      </c>
    </row>
    <row r="501" spans="1:11" x14ac:dyDescent="0.55000000000000004">
      <c r="A501" s="821"/>
      <c r="K501" s="826" t="s">
        <v>2828</v>
      </c>
    </row>
    <row r="502" spans="1:11" x14ac:dyDescent="0.55000000000000004">
      <c r="A502" s="821"/>
      <c r="K502" s="826" t="s">
        <v>2828</v>
      </c>
    </row>
    <row r="503" spans="1:11" x14ac:dyDescent="0.55000000000000004">
      <c r="A503" s="821"/>
      <c r="K503" s="826" t="s">
        <v>2828</v>
      </c>
    </row>
    <row r="504" spans="1:11" x14ac:dyDescent="0.55000000000000004">
      <c r="A504" s="821"/>
      <c r="K504" s="826" t="s">
        <v>2828</v>
      </c>
    </row>
    <row r="505" spans="1:11" x14ac:dyDescent="0.55000000000000004">
      <c r="A505" s="821"/>
      <c r="K505" s="826" t="s">
        <v>2828</v>
      </c>
    </row>
    <row r="506" spans="1:11" x14ac:dyDescent="0.55000000000000004">
      <c r="A506" s="821"/>
      <c r="K506" s="826" t="s">
        <v>2828</v>
      </c>
    </row>
    <row r="507" spans="1:11" x14ac:dyDescent="0.55000000000000004">
      <c r="A507" s="821"/>
      <c r="K507" s="826" t="s">
        <v>2828</v>
      </c>
    </row>
    <row r="508" spans="1:11" x14ac:dyDescent="0.55000000000000004">
      <c r="A508" s="821"/>
      <c r="K508" s="826" t="s">
        <v>2828</v>
      </c>
    </row>
    <row r="509" spans="1:11" x14ac:dyDescent="0.55000000000000004">
      <c r="A509" s="821"/>
      <c r="K509" s="826" t="s">
        <v>2828</v>
      </c>
    </row>
    <row r="510" spans="1:11" x14ac:dyDescent="0.55000000000000004">
      <c r="A510" s="821"/>
      <c r="K510" s="826" t="s">
        <v>2828</v>
      </c>
    </row>
    <row r="511" spans="1:11" x14ac:dyDescent="0.55000000000000004">
      <c r="A511" s="821"/>
      <c r="K511" s="826" t="s">
        <v>2828</v>
      </c>
    </row>
    <row r="512" spans="1:11" x14ac:dyDescent="0.55000000000000004">
      <c r="A512" s="821"/>
      <c r="K512" s="826" t="s">
        <v>2828</v>
      </c>
    </row>
    <row r="513" spans="1:11" x14ac:dyDescent="0.55000000000000004">
      <c r="A513" s="821"/>
      <c r="K513" s="826" t="s">
        <v>2828</v>
      </c>
    </row>
    <row r="514" spans="1:11" x14ac:dyDescent="0.55000000000000004">
      <c r="A514" s="821"/>
      <c r="K514" s="826" t="s">
        <v>2828</v>
      </c>
    </row>
    <row r="515" spans="1:11" x14ac:dyDescent="0.55000000000000004">
      <c r="A515" s="821"/>
      <c r="K515" s="826" t="s">
        <v>2828</v>
      </c>
    </row>
    <row r="516" spans="1:11" x14ac:dyDescent="0.55000000000000004">
      <c r="A516" s="821"/>
      <c r="K516" s="826" t="s">
        <v>2828</v>
      </c>
    </row>
    <row r="517" spans="1:11" x14ac:dyDescent="0.55000000000000004">
      <c r="A517" s="821"/>
      <c r="K517" s="826" t="s">
        <v>2828</v>
      </c>
    </row>
    <row r="518" spans="1:11" x14ac:dyDescent="0.55000000000000004">
      <c r="A518" s="821"/>
      <c r="K518" s="826" t="s">
        <v>2828</v>
      </c>
    </row>
    <row r="519" spans="1:11" x14ac:dyDescent="0.55000000000000004">
      <c r="A519" s="821"/>
      <c r="K519" s="826" t="s">
        <v>2828</v>
      </c>
    </row>
    <row r="520" spans="1:11" x14ac:dyDescent="0.55000000000000004">
      <c r="A520" s="821"/>
      <c r="K520" s="826" t="s">
        <v>2828</v>
      </c>
    </row>
    <row r="521" spans="1:11" x14ac:dyDescent="0.55000000000000004">
      <c r="A521" s="821"/>
      <c r="K521" s="826" t="s">
        <v>2828</v>
      </c>
    </row>
    <row r="522" spans="1:11" x14ac:dyDescent="0.55000000000000004">
      <c r="A522" s="821"/>
      <c r="K522" s="826" t="s">
        <v>2828</v>
      </c>
    </row>
    <row r="523" spans="1:11" x14ac:dyDescent="0.55000000000000004">
      <c r="A523" s="821"/>
      <c r="K523" s="826" t="s">
        <v>2828</v>
      </c>
    </row>
    <row r="524" spans="1:11" x14ac:dyDescent="0.55000000000000004">
      <c r="A524" s="821"/>
      <c r="K524" s="826" t="s">
        <v>2828</v>
      </c>
    </row>
    <row r="525" spans="1:11" x14ac:dyDescent="0.55000000000000004">
      <c r="A525" s="821"/>
      <c r="K525" s="826" t="s">
        <v>2828</v>
      </c>
    </row>
    <row r="526" spans="1:11" x14ac:dyDescent="0.55000000000000004">
      <c r="A526" s="821"/>
      <c r="K526" s="826" t="s">
        <v>2828</v>
      </c>
    </row>
    <row r="527" spans="1:11" x14ac:dyDescent="0.55000000000000004">
      <c r="A527" s="821"/>
      <c r="K527" s="826" t="s">
        <v>2828</v>
      </c>
    </row>
    <row r="528" spans="1:11" x14ac:dyDescent="0.55000000000000004">
      <c r="A528" s="821"/>
      <c r="K528" s="826" t="s">
        <v>2828</v>
      </c>
    </row>
    <row r="529" spans="1:11" x14ac:dyDescent="0.55000000000000004">
      <c r="A529" s="821"/>
      <c r="K529" s="826" t="s">
        <v>2828</v>
      </c>
    </row>
    <row r="530" spans="1:11" x14ac:dyDescent="0.55000000000000004">
      <c r="A530" s="821"/>
      <c r="K530" s="826" t="s">
        <v>2828</v>
      </c>
    </row>
    <row r="531" spans="1:11" x14ac:dyDescent="0.55000000000000004">
      <c r="A531" s="821"/>
      <c r="K531" s="826" t="s">
        <v>2828</v>
      </c>
    </row>
    <row r="532" spans="1:11" x14ac:dyDescent="0.55000000000000004">
      <c r="A532" s="821"/>
      <c r="K532" s="826" t="s">
        <v>2828</v>
      </c>
    </row>
    <row r="533" spans="1:11" x14ac:dyDescent="0.55000000000000004">
      <c r="A533" s="821"/>
      <c r="K533" s="826" t="s">
        <v>2828</v>
      </c>
    </row>
    <row r="534" spans="1:11" x14ac:dyDescent="0.55000000000000004">
      <c r="A534" s="821"/>
      <c r="K534" s="826" t="s">
        <v>2828</v>
      </c>
    </row>
    <row r="535" spans="1:11" x14ac:dyDescent="0.55000000000000004">
      <c r="A535" s="821"/>
      <c r="K535" s="826" t="s">
        <v>2828</v>
      </c>
    </row>
    <row r="536" spans="1:11" x14ac:dyDescent="0.55000000000000004">
      <c r="A536" s="821"/>
      <c r="K536" s="826" t="s">
        <v>2828</v>
      </c>
    </row>
    <row r="537" spans="1:11" x14ac:dyDescent="0.55000000000000004">
      <c r="A537" s="821"/>
      <c r="K537" s="826" t="s">
        <v>2828</v>
      </c>
    </row>
    <row r="538" spans="1:11" x14ac:dyDescent="0.55000000000000004">
      <c r="A538" s="821"/>
      <c r="K538" s="826" t="s">
        <v>2828</v>
      </c>
    </row>
    <row r="539" spans="1:11" x14ac:dyDescent="0.55000000000000004">
      <c r="A539" s="821"/>
      <c r="K539" s="826" t="s">
        <v>2828</v>
      </c>
    </row>
    <row r="540" spans="1:11" x14ac:dyDescent="0.55000000000000004">
      <c r="A540" s="821"/>
      <c r="K540" s="826" t="s">
        <v>2828</v>
      </c>
    </row>
    <row r="541" spans="1:11" x14ac:dyDescent="0.55000000000000004">
      <c r="A541" s="821"/>
      <c r="K541" s="826" t="s">
        <v>2828</v>
      </c>
    </row>
    <row r="542" spans="1:11" x14ac:dyDescent="0.55000000000000004">
      <c r="A542" s="821"/>
      <c r="K542" s="826" t="s">
        <v>2828</v>
      </c>
    </row>
    <row r="543" spans="1:11" x14ac:dyDescent="0.55000000000000004">
      <c r="A543" s="821"/>
      <c r="K543" s="826" t="s">
        <v>2828</v>
      </c>
    </row>
    <row r="544" spans="1:11" x14ac:dyDescent="0.55000000000000004">
      <c r="A544" s="821"/>
      <c r="K544" s="826" t="s">
        <v>2828</v>
      </c>
    </row>
    <row r="545" spans="1:11" x14ac:dyDescent="0.55000000000000004">
      <c r="A545" s="821"/>
      <c r="K545" s="826" t="s">
        <v>2828</v>
      </c>
    </row>
    <row r="546" spans="1:11" x14ac:dyDescent="0.55000000000000004">
      <c r="A546" s="821"/>
      <c r="K546" s="826" t="s">
        <v>2828</v>
      </c>
    </row>
    <row r="547" spans="1:11" x14ac:dyDescent="0.55000000000000004">
      <c r="A547" s="821"/>
      <c r="K547" s="826" t="s">
        <v>2828</v>
      </c>
    </row>
    <row r="548" spans="1:11" x14ac:dyDescent="0.55000000000000004">
      <c r="A548" s="821"/>
      <c r="K548" s="826" t="s">
        <v>2828</v>
      </c>
    </row>
    <row r="549" spans="1:11" x14ac:dyDescent="0.55000000000000004">
      <c r="A549" s="821"/>
      <c r="K549" s="826" t="s">
        <v>2828</v>
      </c>
    </row>
    <row r="550" spans="1:11" x14ac:dyDescent="0.55000000000000004">
      <c r="A550" s="821"/>
      <c r="K550" s="826" t="s">
        <v>2828</v>
      </c>
    </row>
    <row r="551" spans="1:11" x14ac:dyDescent="0.55000000000000004">
      <c r="A551" s="821"/>
      <c r="K551" s="826" t="s">
        <v>2828</v>
      </c>
    </row>
    <row r="552" spans="1:11" x14ac:dyDescent="0.55000000000000004">
      <c r="A552" s="821"/>
      <c r="K552" s="826" t="s">
        <v>2828</v>
      </c>
    </row>
    <row r="553" spans="1:11" x14ac:dyDescent="0.55000000000000004">
      <c r="A553" s="821"/>
      <c r="K553" s="826" t="s">
        <v>2828</v>
      </c>
    </row>
    <row r="554" spans="1:11" x14ac:dyDescent="0.55000000000000004">
      <c r="A554" s="821"/>
      <c r="K554" s="826" t="s">
        <v>2828</v>
      </c>
    </row>
    <row r="555" spans="1:11" x14ac:dyDescent="0.55000000000000004">
      <c r="A555" s="821"/>
      <c r="K555" s="826" t="s">
        <v>2828</v>
      </c>
    </row>
    <row r="556" spans="1:11" x14ac:dyDescent="0.55000000000000004">
      <c r="A556" s="821"/>
      <c r="K556" s="826" t="s">
        <v>2828</v>
      </c>
    </row>
    <row r="557" spans="1:11" x14ac:dyDescent="0.55000000000000004">
      <c r="A557" s="821"/>
      <c r="K557" s="826" t="s">
        <v>2828</v>
      </c>
    </row>
    <row r="558" spans="1:11" x14ac:dyDescent="0.55000000000000004">
      <c r="A558" s="821"/>
      <c r="K558" s="826" t="s">
        <v>2828</v>
      </c>
    </row>
    <row r="559" spans="1:11" x14ac:dyDescent="0.55000000000000004">
      <c r="A559" s="821"/>
      <c r="K559" s="826" t="s">
        <v>2828</v>
      </c>
    </row>
    <row r="560" spans="1:11" x14ac:dyDescent="0.55000000000000004">
      <c r="A560" s="821"/>
      <c r="K560" s="826" t="s">
        <v>2828</v>
      </c>
    </row>
    <row r="561" spans="1:11" x14ac:dyDescent="0.55000000000000004">
      <c r="A561" s="821"/>
      <c r="K561" s="826" t="s">
        <v>2828</v>
      </c>
    </row>
    <row r="562" spans="1:11" x14ac:dyDescent="0.55000000000000004">
      <c r="A562" s="821"/>
      <c r="K562" s="826" t="s">
        <v>2828</v>
      </c>
    </row>
    <row r="563" spans="1:11" x14ac:dyDescent="0.55000000000000004">
      <c r="A563" s="821"/>
      <c r="K563" s="826" t="s">
        <v>2828</v>
      </c>
    </row>
    <row r="564" spans="1:11" x14ac:dyDescent="0.55000000000000004">
      <c r="A564" s="821"/>
      <c r="K564" s="826" t="s">
        <v>2828</v>
      </c>
    </row>
    <row r="565" spans="1:11" x14ac:dyDescent="0.55000000000000004">
      <c r="A565" s="821"/>
      <c r="K565" s="826" t="s">
        <v>2828</v>
      </c>
    </row>
    <row r="566" spans="1:11" x14ac:dyDescent="0.55000000000000004">
      <c r="A566" s="821"/>
      <c r="K566" s="826" t="s">
        <v>2828</v>
      </c>
    </row>
    <row r="567" spans="1:11" x14ac:dyDescent="0.55000000000000004">
      <c r="A567" s="821"/>
      <c r="K567" s="826" t="s">
        <v>2828</v>
      </c>
    </row>
    <row r="568" spans="1:11" x14ac:dyDescent="0.55000000000000004">
      <c r="A568" s="821"/>
      <c r="K568" s="826" t="s">
        <v>2828</v>
      </c>
    </row>
    <row r="569" spans="1:11" x14ac:dyDescent="0.55000000000000004">
      <c r="A569" s="821"/>
      <c r="K569" s="826" t="s">
        <v>2828</v>
      </c>
    </row>
    <row r="570" spans="1:11" x14ac:dyDescent="0.55000000000000004">
      <c r="A570" s="821"/>
      <c r="K570" s="826" t="s">
        <v>2828</v>
      </c>
    </row>
    <row r="571" spans="1:11" x14ac:dyDescent="0.55000000000000004">
      <c r="A571" s="821"/>
      <c r="K571" s="826" t="s">
        <v>2828</v>
      </c>
    </row>
    <row r="572" spans="1:11" x14ac:dyDescent="0.55000000000000004">
      <c r="A572" s="821"/>
      <c r="K572" s="826" t="s">
        <v>2828</v>
      </c>
    </row>
    <row r="573" spans="1:11" x14ac:dyDescent="0.55000000000000004">
      <c r="A573" s="821"/>
      <c r="K573" s="826" t="s">
        <v>2828</v>
      </c>
    </row>
    <row r="574" spans="1:11" x14ac:dyDescent="0.55000000000000004">
      <c r="A574" s="821"/>
      <c r="K574" s="826" t="s">
        <v>2828</v>
      </c>
    </row>
    <row r="575" spans="1:11" x14ac:dyDescent="0.55000000000000004">
      <c r="A575" s="821"/>
      <c r="K575" s="826" t="s">
        <v>2828</v>
      </c>
    </row>
    <row r="576" spans="1:11" x14ac:dyDescent="0.55000000000000004">
      <c r="A576" s="821"/>
      <c r="K576" s="826" t="s">
        <v>2828</v>
      </c>
    </row>
    <row r="577" spans="1:11" x14ac:dyDescent="0.55000000000000004">
      <c r="A577" s="821"/>
      <c r="K577" s="826" t="s">
        <v>2828</v>
      </c>
    </row>
    <row r="578" spans="1:11" x14ac:dyDescent="0.55000000000000004">
      <c r="A578" s="821"/>
      <c r="K578" s="826" t="s">
        <v>2828</v>
      </c>
    </row>
    <row r="579" spans="1:11" x14ac:dyDescent="0.55000000000000004">
      <c r="A579" s="821"/>
      <c r="K579" s="826" t="s">
        <v>2828</v>
      </c>
    </row>
    <row r="580" spans="1:11" x14ac:dyDescent="0.55000000000000004">
      <c r="A580" s="821"/>
      <c r="K580" s="826" t="s">
        <v>2828</v>
      </c>
    </row>
    <row r="581" spans="1:11" x14ac:dyDescent="0.55000000000000004">
      <c r="A581" s="821"/>
      <c r="K581" s="826" t="s">
        <v>2828</v>
      </c>
    </row>
    <row r="582" spans="1:11" x14ac:dyDescent="0.55000000000000004">
      <c r="A582" s="821"/>
      <c r="K582" s="826" t="s">
        <v>2828</v>
      </c>
    </row>
    <row r="583" spans="1:11" x14ac:dyDescent="0.55000000000000004">
      <c r="A583" s="821"/>
      <c r="K583" s="826" t="s">
        <v>2828</v>
      </c>
    </row>
    <row r="584" spans="1:11" x14ac:dyDescent="0.55000000000000004">
      <c r="A584" s="821"/>
      <c r="K584" s="826" t="s">
        <v>2828</v>
      </c>
    </row>
    <row r="585" spans="1:11" x14ac:dyDescent="0.55000000000000004">
      <c r="A585" s="821"/>
      <c r="K585" s="826" t="s">
        <v>2828</v>
      </c>
    </row>
    <row r="586" spans="1:11" x14ac:dyDescent="0.55000000000000004">
      <c r="A586" s="821"/>
      <c r="K586" s="826" t="s">
        <v>2828</v>
      </c>
    </row>
    <row r="587" spans="1:11" x14ac:dyDescent="0.55000000000000004">
      <c r="A587" s="821"/>
      <c r="K587" s="826" t="s">
        <v>2828</v>
      </c>
    </row>
    <row r="588" spans="1:11" x14ac:dyDescent="0.55000000000000004">
      <c r="A588" s="821"/>
      <c r="K588" s="826" t="s">
        <v>2828</v>
      </c>
    </row>
    <row r="589" spans="1:11" x14ac:dyDescent="0.55000000000000004">
      <c r="A589" s="821"/>
      <c r="K589" s="826" t="s">
        <v>2828</v>
      </c>
    </row>
    <row r="590" spans="1:11" x14ac:dyDescent="0.55000000000000004">
      <c r="A590" s="821"/>
      <c r="K590" s="826" t="s">
        <v>2828</v>
      </c>
    </row>
    <row r="591" spans="1:11" x14ac:dyDescent="0.55000000000000004">
      <c r="A591" s="821"/>
      <c r="K591" s="826" t="s">
        <v>2828</v>
      </c>
    </row>
    <row r="592" spans="1:11" x14ac:dyDescent="0.55000000000000004">
      <c r="A592" s="821"/>
      <c r="K592" s="826" t="s">
        <v>2828</v>
      </c>
    </row>
    <row r="593" spans="1:11" x14ac:dyDescent="0.55000000000000004">
      <c r="A593" s="821"/>
      <c r="K593" s="826" t="s">
        <v>2828</v>
      </c>
    </row>
    <row r="594" spans="1:11" x14ac:dyDescent="0.55000000000000004">
      <c r="A594" s="821"/>
      <c r="K594" s="826" t="s">
        <v>2828</v>
      </c>
    </row>
    <row r="595" spans="1:11" x14ac:dyDescent="0.55000000000000004">
      <c r="A595" s="821"/>
      <c r="K595" s="826" t="s">
        <v>2828</v>
      </c>
    </row>
    <row r="596" spans="1:11" x14ac:dyDescent="0.55000000000000004">
      <c r="A596" s="821"/>
      <c r="K596" s="826" t="s">
        <v>2828</v>
      </c>
    </row>
    <row r="597" spans="1:11" x14ac:dyDescent="0.55000000000000004">
      <c r="A597" s="821"/>
      <c r="K597" s="826" t="s">
        <v>2828</v>
      </c>
    </row>
    <row r="598" spans="1:11" x14ac:dyDescent="0.55000000000000004">
      <c r="A598" s="821"/>
      <c r="K598" s="826" t="s">
        <v>2828</v>
      </c>
    </row>
    <row r="599" spans="1:11" x14ac:dyDescent="0.55000000000000004">
      <c r="A599" s="821"/>
      <c r="K599" s="826" t="s">
        <v>2828</v>
      </c>
    </row>
    <row r="600" spans="1:11" x14ac:dyDescent="0.55000000000000004">
      <c r="A600" s="821"/>
      <c r="K600" s="826" t="s">
        <v>2828</v>
      </c>
    </row>
    <row r="601" spans="1:11" x14ac:dyDescent="0.55000000000000004">
      <c r="A601" s="821"/>
      <c r="K601" s="826" t="s">
        <v>2828</v>
      </c>
    </row>
    <row r="602" spans="1:11" x14ac:dyDescent="0.55000000000000004">
      <c r="A602" s="821"/>
      <c r="K602" s="826" t="s">
        <v>2828</v>
      </c>
    </row>
    <row r="603" spans="1:11" x14ac:dyDescent="0.55000000000000004">
      <c r="A603" s="821"/>
      <c r="K603" s="826" t="s">
        <v>2828</v>
      </c>
    </row>
    <row r="604" spans="1:11" x14ac:dyDescent="0.55000000000000004">
      <c r="A604" s="821"/>
      <c r="K604" s="826" t="s">
        <v>2828</v>
      </c>
    </row>
    <row r="605" spans="1:11" x14ac:dyDescent="0.55000000000000004">
      <c r="A605" s="821"/>
      <c r="K605" s="826" t="s">
        <v>2828</v>
      </c>
    </row>
    <row r="606" spans="1:11" x14ac:dyDescent="0.55000000000000004">
      <c r="A606" s="821"/>
      <c r="K606" s="826" t="s">
        <v>2828</v>
      </c>
    </row>
    <row r="607" spans="1:11" x14ac:dyDescent="0.55000000000000004">
      <c r="A607" s="821"/>
      <c r="K607" s="826" t="s">
        <v>2828</v>
      </c>
    </row>
    <row r="608" spans="1:11" x14ac:dyDescent="0.55000000000000004">
      <c r="A608" s="821"/>
      <c r="K608" s="826" t="s">
        <v>2828</v>
      </c>
    </row>
    <row r="609" spans="1:11" x14ac:dyDescent="0.55000000000000004">
      <c r="A609" s="821"/>
      <c r="K609" s="826" t="s">
        <v>2828</v>
      </c>
    </row>
    <row r="610" spans="1:11" x14ac:dyDescent="0.55000000000000004">
      <c r="A610" s="821"/>
      <c r="K610" s="826" t="s">
        <v>2828</v>
      </c>
    </row>
    <row r="611" spans="1:11" x14ac:dyDescent="0.55000000000000004">
      <c r="A611" s="821"/>
      <c r="K611" s="826" t="s">
        <v>2828</v>
      </c>
    </row>
    <row r="612" spans="1:11" x14ac:dyDescent="0.55000000000000004">
      <c r="A612" s="821"/>
      <c r="K612" s="826" t="s">
        <v>2828</v>
      </c>
    </row>
    <row r="613" spans="1:11" x14ac:dyDescent="0.55000000000000004">
      <c r="A613" s="821"/>
      <c r="K613" s="826" t="s">
        <v>2828</v>
      </c>
    </row>
    <row r="614" spans="1:11" x14ac:dyDescent="0.55000000000000004">
      <c r="A614" s="821"/>
      <c r="K614" s="826" t="s">
        <v>2828</v>
      </c>
    </row>
    <row r="615" spans="1:11" x14ac:dyDescent="0.55000000000000004">
      <c r="A615" s="821"/>
      <c r="K615" s="826" t="s">
        <v>2828</v>
      </c>
    </row>
    <row r="616" spans="1:11" x14ac:dyDescent="0.55000000000000004">
      <c r="A616" s="821"/>
      <c r="K616" s="826" t="s">
        <v>2828</v>
      </c>
    </row>
    <row r="617" spans="1:11" x14ac:dyDescent="0.55000000000000004">
      <c r="A617" s="821"/>
      <c r="K617" s="826" t="s">
        <v>2828</v>
      </c>
    </row>
    <row r="618" spans="1:11" x14ac:dyDescent="0.55000000000000004">
      <c r="A618" s="821"/>
      <c r="K618" s="826" t="s">
        <v>2828</v>
      </c>
    </row>
    <row r="619" spans="1:11" x14ac:dyDescent="0.55000000000000004">
      <c r="A619" s="821"/>
      <c r="K619" s="826" t="s">
        <v>2828</v>
      </c>
    </row>
    <row r="620" spans="1:11" x14ac:dyDescent="0.55000000000000004">
      <c r="A620" s="821"/>
      <c r="K620" s="826" t="s">
        <v>2828</v>
      </c>
    </row>
    <row r="621" spans="1:11" x14ac:dyDescent="0.55000000000000004">
      <c r="A621" s="821"/>
      <c r="K621" s="826" t="s">
        <v>2828</v>
      </c>
    </row>
    <row r="622" spans="1:11" x14ac:dyDescent="0.55000000000000004">
      <c r="A622" s="821"/>
      <c r="K622" s="826" t="s">
        <v>2828</v>
      </c>
    </row>
    <row r="623" spans="1:11" x14ac:dyDescent="0.55000000000000004">
      <c r="A623" s="821"/>
      <c r="K623" s="826" t="s">
        <v>2828</v>
      </c>
    </row>
    <row r="624" spans="1:11" x14ac:dyDescent="0.55000000000000004">
      <c r="A624" s="821"/>
      <c r="K624" s="826" t="s">
        <v>2828</v>
      </c>
    </row>
    <row r="625" spans="1:11" x14ac:dyDescent="0.55000000000000004">
      <c r="A625" s="821"/>
      <c r="K625" s="826" t="s">
        <v>2828</v>
      </c>
    </row>
    <row r="626" spans="1:11" x14ac:dyDescent="0.55000000000000004">
      <c r="A626" s="821"/>
      <c r="K626" s="826" t="s">
        <v>2828</v>
      </c>
    </row>
    <row r="627" spans="1:11" x14ac:dyDescent="0.55000000000000004">
      <c r="A627" s="821"/>
      <c r="K627" s="826" t="s">
        <v>2828</v>
      </c>
    </row>
    <row r="628" spans="1:11" x14ac:dyDescent="0.55000000000000004">
      <c r="A628" s="821"/>
      <c r="K628" s="826" t="s">
        <v>2828</v>
      </c>
    </row>
    <row r="629" spans="1:11" x14ac:dyDescent="0.55000000000000004">
      <c r="A629" s="821"/>
      <c r="K629" s="826" t="s">
        <v>2828</v>
      </c>
    </row>
    <row r="630" spans="1:11" x14ac:dyDescent="0.55000000000000004">
      <c r="A630" s="821"/>
      <c r="K630" s="826" t="s">
        <v>2828</v>
      </c>
    </row>
    <row r="631" spans="1:11" x14ac:dyDescent="0.55000000000000004">
      <c r="A631" s="821"/>
      <c r="K631" s="826" t="s">
        <v>2828</v>
      </c>
    </row>
    <row r="632" spans="1:11" x14ac:dyDescent="0.55000000000000004">
      <c r="A632" s="821"/>
      <c r="K632" s="826" t="s">
        <v>2828</v>
      </c>
    </row>
    <row r="633" spans="1:11" x14ac:dyDescent="0.55000000000000004">
      <c r="A633" s="821"/>
      <c r="K633" s="826" t="s">
        <v>2828</v>
      </c>
    </row>
    <row r="634" spans="1:11" x14ac:dyDescent="0.55000000000000004">
      <c r="A634" s="821"/>
      <c r="K634" s="826" t="s">
        <v>2828</v>
      </c>
    </row>
    <row r="635" spans="1:11" x14ac:dyDescent="0.55000000000000004">
      <c r="A635" s="821"/>
      <c r="K635" s="826" t="s">
        <v>2828</v>
      </c>
    </row>
    <row r="636" spans="1:11" x14ac:dyDescent="0.55000000000000004">
      <c r="A636" s="821"/>
      <c r="K636" s="826" t="s">
        <v>2828</v>
      </c>
    </row>
    <row r="637" spans="1:11" x14ac:dyDescent="0.55000000000000004">
      <c r="A637" s="821"/>
      <c r="K637" s="826" t="s">
        <v>2828</v>
      </c>
    </row>
    <row r="638" spans="1:11" x14ac:dyDescent="0.55000000000000004">
      <c r="A638" s="821"/>
      <c r="K638" s="826" t="s">
        <v>2828</v>
      </c>
    </row>
    <row r="639" spans="1:11" x14ac:dyDescent="0.55000000000000004">
      <c r="A639" s="821"/>
      <c r="K639" s="826" t="s">
        <v>2828</v>
      </c>
    </row>
    <row r="640" spans="1:11" x14ac:dyDescent="0.55000000000000004">
      <c r="A640" s="821"/>
      <c r="K640" s="826" t="s">
        <v>2828</v>
      </c>
    </row>
    <row r="641" spans="1:11" x14ac:dyDescent="0.55000000000000004">
      <c r="A641" s="821"/>
      <c r="K641" s="826" t="s">
        <v>2828</v>
      </c>
    </row>
    <row r="642" spans="1:11" x14ac:dyDescent="0.55000000000000004">
      <c r="A642" s="821"/>
      <c r="K642" s="826" t="s">
        <v>2828</v>
      </c>
    </row>
    <row r="643" spans="1:11" x14ac:dyDescent="0.55000000000000004">
      <c r="A643" s="821"/>
      <c r="K643" s="826" t="s">
        <v>2828</v>
      </c>
    </row>
    <row r="644" spans="1:11" x14ac:dyDescent="0.55000000000000004">
      <c r="A644" s="821"/>
      <c r="K644" s="826" t="s">
        <v>2828</v>
      </c>
    </row>
    <row r="645" spans="1:11" x14ac:dyDescent="0.55000000000000004">
      <c r="A645" s="821"/>
      <c r="K645" s="826" t="s">
        <v>2828</v>
      </c>
    </row>
    <row r="646" spans="1:11" x14ac:dyDescent="0.55000000000000004">
      <c r="A646" s="821"/>
      <c r="K646" s="826" t="s">
        <v>2828</v>
      </c>
    </row>
    <row r="647" spans="1:11" x14ac:dyDescent="0.55000000000000004">
      <c r="A647" s="821"/>
      <c r="K647" s="826" t="s">
        <v>2828</v>
      </c>
    </row>
    <row r="648" spans="1:11" x14ac:dyDescent="0.55000000000000004">
      <c r="A648" s="821"/>
      <c r="K648" s="826" t="s">
        <v>2828</v>
      </c>
    </row>
    <row r="649" spans="1:11" x14ac:dyDescent="0.55000000000000004">
      <c r="A649" s="821"/>
      <c r="K649" s="826" t="s">
        <v>2828</v>
      </c>
    </row>
    <row r="650" spans="1:11" x14ac:dyDescent="0.55000000000000004">
      <c r="A650" s="821"/>
      <c r="K650" s="826" t="s">
        <v>2828</v>
      </c>
    </row>
    <row r="651" spans="1:11" x14ac:dyDescent="0.55000000000000004">
      <c r="A651" s="821"/>
      <c r="K651" s="826" t="s">
        <v>2828</v>
      </c>
    </row>
    <row r="652" spans="1:11" x14ac:dyDescent="0.55000000000000004">
      <c r="A652" s="821"/>
      <c r="K652" s="826" t="s">
        <v>2828</v>
      </c>
    </row>
    <row r="653" spans="1:11" x14ac:dyDescent="0.55000000000000004">
      <c r="A653" s="821"/>
      <c r="K653" s="826" t="s">
        <v>2828</v>
      </c>
    </row>
    <row r="654" spans="1:11" x14ac:dyDescent="0.55000000000000004">
      <c r="A654" s="821"/>
      <c r="K654" s="826" t="s">
        <v>2828</v>
      </c>
    </row>
    <row r="655" spans="1:11" x14ac:dyDescent="0.55000000000000004">
      <c r="A655" s="821"/>
      <c r="K655" s="826" t="s">
        <v>2828</v>
      </c>
    </row>
    <row r="656" spans="1:11" x14ac:dyDescent="0.55000000000000004">
      <c r="A656" s="821"/>
      <c r="K656" s="826" t="s">
        <v>2828</v>
      </c>
    </row>
    <row r="657" spans="1:11" x14ac:dyDescent="0.55000000000000004">
      <c r="A657" s="821"/>
      <c r="K657" s="826" t="s">
        <v>2828</v>
      </c>
    </row>
    <row r="658" spans="1:11" x14ac:dyDescent="0.55000000000000004">
      <c r="A658" s="821"/>
      <c r="K658" s="826" t="s">
        <v>2828</v>
      </c>
    </row>
    <row r="659" spans="1:11" x14ac:dyDescent="0.55000000000000004">
      <c r="A659" s="821"/>
      <c r="K659" s="826" t="s">
        <v>2828</v>
      </c>
    </row>
    <row r="660" spans="1:11" x14ac:dyDescent="0.55000000000000004">
      <c r="A660" s="821"/>
      <c r="K660" s="826" t="s">
        <v>2828</v>
      </c>
    </row>
    <row r="661" spans="1:11" x14ac:dyDescent="0.55000000000000004">
      <c r="A661" s="821"/>
      <c r="K661" s="826" t="s">
        <v>2828</v>
      </c>
    </row>
    <row r="662" spans="1:11" x14ac:dyDescent="0.55000000000000004">
      <c r="A662" s="821"/>
      <c r="K662" s="826" t="s">
        <v>2828</v>
      </c>
    </row>
    <row r="663" spans="1:11" x14ac:dyDescent="0.55000000000000004">
      <c r="A663" s="821"/>
      <c r="K663" s="826" t="s">
        <v>2828</v>
      </c>
    </row>
    <row r="664" spans="1:11" x14ac:dyDescent="0.55000000000000004">
      <c r="A664" s="821"/>
      <c r="K664" s="826" t="s">
        <v>2828</v>
      </c>
    </row>
    <row r="665" spans="1:11" x14ac:dyDescent="0.55000000000000004">
      <c r="A665" s="821"/>
      <c r="K665" s="826" t="s">
        <v>2828</v>
      </c>
    </row>
    <row r="666" spans="1:11" x14ac:dyDescent="0.55000000000000004">
      <c r="A666" s="821"/>
      <c r="K666" s="826" t="s">
        <v>2828</v>
      </c>
    </row>
    <row r="667" spans="1:11" x14ac:dyDescent="0.55000000000000004">
      <c r="A667" s="821"/>
      <c r="K667" s="826" t="s">
        <v>2828</v>
      </c>
    </row>
    <row r="668" spans="1:11" x14ac:dyDescent="0.55000000000000004">
      <c r="A668" s="821"/>
      <c r="K668" s="826" t="s">
        <v>2828</v>
      </c>
    </row>
    <row r="669" spans="1:11" x14ac:dyDescent="0.55000000000000004">
      <c r="A669" s="821"/>
      <c r="K669" s="826" t="s">
        <v>2828</v>
      </c>
    </row>
    <row r="670" spans="1:11" x14ac:dyDescent="0.55000000000000004">
      <c r="A670" s="821"/>
      <c r="K670" s="826" t="s">
        <v>2828</v>
      </c>
    </row>
    <row r="671" spans="1:11" x14ac:dyDescent="0.55000000000000004">
      <c r="A671" s="821"/>
      <c r="K671" s="826" t="s">
        <v>2828</v>
      </c>
    </row>
    <row r="672" spans="1:11" x14ac:dyDescent="0.55000000000000004">
      <c r="A672" s="821"/>
      <c r="K672" s="826" t="s">
        <v>2828</v>
      </c>
    </row>
    <row r="673" spans="1:11" x14ac:dyDescent="0.55000000000000004">
      <c r="A673" s="821"/>
      <c r="K673" s="826" t="s">
        <v>2828</v>
      </c>
    </row>
    <row r="674" spans="1:11" x14ac:dyDescent="0.55000000000000004">
      <c r="A674" s="821"/>
      <c r="K674" s="826" t="s">
        <v>2828</v>
      </c>
    </row>
    <row r="675" spans="1:11" x14ac:dyDescent="0.55000000000000004">
      <c r="A675" s="821"/>
      <c r="K675" s="826" t="s">
        <v>2828</v>
      </c>
    </row>
    <row r="676" spans="1:11" x14ac:dyDescent="0.55000000000000004">
      <c r="A676" s="821"/>
      <c r="K676" s="826" t="s">
        <v>2828</v>
      </c>
    </row>
    <row r="677" spans="1:11" x14ac:dyDescent="0.55000000000000004">
      <c r="A677" s="821"/>
      <c r="K677" s="826" t="s">
        <v>2828</v>
      </c>
    </row>
    <row r="678" spans="1:11" x14ac:dyDescent="0.55000000000000004">
      <c r="A678" s="821"/>
      <c r="K678" s="826" t="s">
        <v>2828</v>
      </c>
    </row>
    <row r="679" spans="1:11" x14ac:dyDescent="0.55000000000000004">
      <c r="A679" s="821"/>
      <c r="K679" s="826" t="s">
        <v>2828</v>
      </c>
    </row>
    <row r="680" spans="1:11" x14ac:dyDescent="0.55000000000000004">
      <c r="A680" s="821"/>
      <c r="K680" s="826" t="s">
        <v>2828</v>
      </c>
    </row>
    <row r="681" spans="1:11" x14ac:dyDescent="0.55000000000000004">
      <c r="A681" s="821"/>
      <c r="K681" s="826" t="s">
        <v>2828</v>
      </c>
    </row>
    <row r="682" spans="1:11" x14ac:dyDescent="0.55000000000000004">
      <c r="A682" s="821"/>
      <c r="K682" s="826" t="s">
        <v>2828</v>
      </c>
    </row>
    <row r="683" spans="1:11" x14ac:dyDescent="0.55000000000000004">
      <c r="A683" s="821"/>
      <c r="K683" s="826" t="s">
        <v>2828</v>
      </c>
    </row>
    <row r="684" spans="1:11" x14ac:dyDescent="0.55000000000000004">
      <c r="A684" s="821"/>
      <c r="K684" s="826" t="s">
        <v>2828</v>
      </c>
    </row>
    <row r="685" spans="1:11" x14ac:dyDescent="0.55000000000000004">
      <c r="A685" s="821"/>
      <c r="K685" s="826" t="s">
        <v>2828</v>
      </c>
    </row>
    <row r="686" spans="1:11" x14ac:dyDescent="0.55000000000000004">
      <c r="A686" s="821"/>
      <c r="K686" s="826" t="s">
        <v>2828</v>
      </c>
    </row>
    <row r="687" spans="1:11" x14ac:dyDescent="0.55000000000000004">
      <c r="A687" s="821"/>
      <c r="K687" s="826" t="s">
        <v>2828</v>
      </c>
    </row>
    <row r="688" spans="1:11" x14ac:dyDescent="0.55000000000000004">
      <c r="A688" s="821"/>
      <c r="K688" s="826" t="s">
        <v>2828</v>
      </c>
    </row>
    <row r="689" spans="1:11" x14ac:dyDescent="0.55000000000000004">
      <c r="A689" s="821"/>
      <c r="K689" s="826" t="s">
        <v>2828</v>
      </c>
    </row>
    <row r="690" spans="1:11" x14ac:dyDescent="0.55000000000000004">
      <c r="A690" s="821"/>
      <c r="K690" s="826" t="s">
        <v>2828</v>
      </c>
    </row>
    <row r="691" spans="1:11" x14ac:dyDescent="0.55000000000000004">
      <c r="A691" s="821"/>
      <c r="K691" s="826" t="s">
        <v>2828</v>
      </c>
    </row>
    <row r="692" spans="1:11" x14ac:dyDescent="0.55000000000000004">
      <c r="A692" s="821"/>
      <c r="K692" s="826" t="s">
        <v>2828</v>
      </c>
    </row>
    <row r="693" spans="1:11" x14ac:dyDescent="0.55000000000000004">
      <c r="A693" s="821"/>
      <c r="K693" s="826" t="s">
        <v>2828</v>
      </c>
    </row>
    <row r="694" spans="1:11" x14ac:dyDescent="0.55000000000000004">
      <c r="A694" s="821"/>
      <c r="K694" s="826" t="s">
        <v>2828</v>
      </c>
    </row>
    <row r="695" spans="1:11" x14ac:dyDescent="0.55000000000000004">
      <c r="A695" s="821"/>
      <c r="K695" s="826" t="s">
        <v>2828</v>
      </c>
    </row>
    <row r="696" spans="1:11" x14ac:dyDescent="0.55000000000000004">
      <c r="A696" s="821"/>
      <c r="K696" s="826" t="s">
        <v>2828</v>
      </c>
    </row>
    <row r="697" spans="1:11" x14ac:dyDescent="0.55000000000000004">
      <c r="A697" s="821"/>
      <c r="K697" s="826" t="s">
        <v>2828</v>
      </c>
    </row>
    <row r="698" spans="1:11" x14ac:dyDescent="0.55000000000000004">
      <c r="A698" s="821"/>
      <c r="K698" s="826" t="s">
        <v>2828</v>
      </c>
    </row>
    <row r="699" spans="1:11" x14ac:dyDescent="0.55000000000000004">
      <c r="A699" s="821"/>
      <c r="K699" s="826" t="s">
        <v>2828</v>
      </c>
    </row>
    <row r="700" spans="1:11" x14ac:dyDescent="0.55000000000000004">
      <c r="A700" s="821"/>
      <c r="K700" s="826" t="s">
        <v>2828</v>
      </c>
    </row>
    <row r="701" spans="1:11" x14ac:dyDescent="0.55000000000000004">
      <c r="A701" s="821"/>
      <c r="K701" s="826" t="s">
        <v>2828</v>
      </c>
    </row>
    <row r="702" spans="1:11" x14ac:dyDescent="0.55000000000000004">
      <c r="A702" s="821"/>
      <c r="K702" s="826" t="s">
        <v>2828</v>
      </c>
    </row>
    <row r="703" spans="1:11" x14ac:dyDescent="0.55000000000000004">
      <c r="A703" s="821"/>
      <c r="K703" s="826" t="s">
        <v>2828</v>
      </c>
    </row>
    <row r="704" spans="1:11" x14ac:dyDescent="0.55000000000000004">
      <c r="A704" s="821"/>
      <c r="K704" s="826" t="s">
        <v>2828</v>
      </c>
    </row>
    <row r="705" spans="1:11" x14ac:dyDescent="0.55000000000000004">
      <c r="A705" s="821"/>
      <c r="K705" s="826" t="s">
        <v>2828</v>
      </c>
    </row>
    <row r="706" spans="1:11" x14ac:dyDescent="0.55000000000000004">
      <c r="A706" s="821"/>
      <c r="K706" s="826" t="s">
        <v>2828</v>
      </c>
    </row>
    <row r="707" spans="1:11" x14ac:dyDescent="0.55000000000000004">
      <c r="A707" s="821"/>
      <c r="K707" s="826" t="s">
        <v>2828</v>
      </c>
    </row>
    <row r="708" spans="1:11" x14ac:dyDescent="0.55000000000000004">
      <c r="A708" s="821"/>
      <c r="K708" s="826" t="s">
        <v>2828</v>
      </c>
    </row>
    <row r="709" spans="1:11" x14ac:dyDescent="0.55000000000000004">
      <c r="A709" s="821"/>
      <c r="K709" s="826" t="s">
        <v>2828</v>
      </c>
    </row>
    <row r="710" spans="1:11" x14ac:dyDescent="0.55000000000000004">
      <c r="A710" s="821"/>
      <c r="K710" s="826" t="s">
        <v>2828</v>
      </c>
    </row>
    <row r="711" spans="1:11" x14ac:dyDescent="0.55000000000000004">
      <c r="A711" s="821"/>
      <c r="K711" s="826" t="s">
        <v>2828</v>
      </c>
    </row>
    <row r="712" spans="1:11" x14ac:dyDescent="0.55000000000000004">
      <c r="A712" s="821"/>
      <c r="K712" s="826" t="s">
        <v>2828</v>
      </c>
    </row>
    <row r="713" spans="1:11" x14ac:dyDescent="0.55000000000000004">
      <c r="A713" s="821"/>
      <c r="K713" s="826" t="s">
        <v>2828</v>
      </c>
    </row>
    <row r="714" spans="1:11" x14ac:dyDescent="0.55000000000000004">
      <c r="A714" s="821"/>
      <c r="K714" s="826" t="s">
        <v>2828</v>
      </c>
    </row>
    <row r="715" spans="1:11" x14ac:dyDescent="0.55000000000000004">
      <c r="A715" s="821"/>
      <c r="K715" s="826" t="s">
        <v>2828</v>
      </c>
    </row>
    <row r="716" spans="1:11" x14ac:dyDescent="0.55000000000000004">
      <c r="A716" s="821"/>
      <c r="K716" s="826" t="s">
        <v>2828</v>
      </c>
    </row>
    <row r="717" spans="1:11" x14ac:dyDescent="0.55000000000000004">
      <c r="A717" s="821"/>
      <c r="K717" s="826" t="s">
        <v>2828</v>
      </c>
    </row>
    <row r="718" spans="1:11" x14ac:dyDescent="0.55000000000000004">
      <c r="A718" s="821"/>
      <c r="K718" s="826" t="s">
        <v>2828</v>
      </c>
    </row>
    <row r="719" spans="1:11" x14ac:dyDescent="0.55000000000000004">
      <c r="A719" s="821"/>
      <c r="K719" s="826" t="s">
        <v>2828</v>
      </c>
    </row>
    <row r="720" spans="1:11" x14ac:dyDescent="0.55000000000000004">
      <c r="A720" s="821"/>
      <c r="K720" s="826" t="s">
        <v>2828</v>
      </c>
    </row>
    <row r="721" spans="1:11" x14ac:dyDescent="0.55000000000000004">
      <c r="A721" s="821"/>
      <c r="K721" s="826" t="s">
        <v>2828</v>
      </c>
    </row>
    <row r="722" spans="1:11" x14ac:dyDescent="0.55000000000000004">
      <c r="A722" s="821"/>
      <c r="K722" s="826" t="s">
        <v>2828</v>
      </c>
    </row>
    <row r="723" spans="1:11" x14ac:dyDescent="0.55000000000000004">
      <c r="A723" s="821"/>
      <c r="K723" s="826" t="s">
        <v>2828</v>
      </c>
    </row>
    <row r="724" spans="1:11" x14ac:dyDescent="0.55000000000000004">
      <c r="A724" s="821"/>
      <c r="K724" s="826" t="s">
        <v>2828</v>
      </c>
    </row>
    <row r="725" spans="1:11" x14ac:dyDescent="0.55000000000000004">
      <c r="A725" s="821"/>
      <c r="K725" s="826" t="s">
        <v>2828</v>
      </c>
    </row>
    <row r="726" spans="1:11" x14ac:dyDescent="0.55000000000000004">
      <c r="A726" s="821"/>
      <c r="K726" s="826" t="s">
        <v>2828</v>
      </c>
    </row>
    <row r="727" spans="1:11" x14ac:dyDescent="0.55000000000000004">
      <c r="A727" s="821"/>
      <c r="K727" s="826" t="s">
        <v>2828</v>
      </c>
    </row>
    <row r="728" spans="1:11" x14ac:dyDescent="0.55000000000000004">
      <c r="A728" s="821"/>
      <c r="K728" s="826" t="s">
        <v>2828</v>
      </c>
    </row>
    <row r="729" spans="1:11" x14ac:dyDescent="0.55000000000000004">
      <c r="A729" s="821"/>
      <c r="K729" s="826" t="s">
        <v>2828</v>
      </c>
    </row>
    <row r="730" spans="1:11" x14ac:dyDescent="0.55000000000000004">
      <c r="A730" s="821"/>
      <c r="K730" s="826" t="s">
        <v>2828</v>
      </c>
    </row>
    <row r="731" spans="1:11" x14ac:dyDescent="0.55000000000000004">
      <c r="A731" s="821"/>
      <c r="K731" s="826" t="s">
        <v>2828</v>
      </c>
    </row>
    <row r="732" spans="1:11" x14ac:dyDescent="0.55000000000000004">
      <c r="A732" s="821"/>
      <c r="K732" s="826" t="s">
        <v>2828</v>
      </c>
    </row>
    <row r="733" spans="1:11" x14ac:dyDescent="0.55000000000000004">
      <c r="A733" s="821"/>
      <c r="K733" s="826" t="s">
        <v>2828</v>
      </c>
    </row>
    <row r="734" spans="1:11" x14ac:dyDescent="0.55000000000000004">
      <c r="A734" s="821"/>
      <c r="K734" s="826" t="s">
        <v>2828</v>
      </c>
    </row>
    <row r="735" spans="1:11" x14ac:dyDescent="0.55000000000000004">
      <c r="A735" s="821"/>
      <c r="K735" s="826" t="s">
        <v>2828</v>
      </c>
    </row>
    <row r="736" spans="1:11" x14ac:dyDescent="0.55000000000000004">
      <c r="A736" s="821"/>
      <c r="K736" s="826" t="s">
        <v>2828</v>
      </c>
    </row>
    <row r="737" spans="1:11" x14ac:dyDescent="0.55000000000000004">
      <c r="A737" s="821"/>
      <c r="K737" s="826" t="s">
        <v>2828</v>
      </c>
    </row>
    <row r="738" spans="1:11" x14ac:dyDescent="0.55000000000000004">
      <c r="A738" s="821"/>
      <c r="K738" s="826" t="s">
        <v>2828</v>
      </c>
    </row>
    <row r="739" spans="1:11" x14ac:dyDescent="0.55000000000000004">
      <c r="A739" s="821"/>
      <c r="K739" s="826" t="s">
        <v>2828</v>
      </c>
    </row>
    <row r="740" spans="1:11" x14ac:dyDescent="0.55000000000000004">
      <c r="A740" s="821"/>
      <c r="K740" s="826" t="s">
        <v>2828</v>
      </c>
    </row>
    <row r="741" spans="1:11" x14ac:dyDescent="0.55000000000000004">
      <c r="A741" s="821"/>
      <c r="K741" s="826" t="s">
        <v>2828</v>
      </c>
    </row>
    <row r="742" spans="1:11" x14ac:dyDescent="0.55000000000000004">
      <c r="A742" s="821"/>
      <c r="K742" s="826" t="s">
        <v>2828</v>
      </c>
    </row>
    <row r="743" spans="1:11" x14ac:dyDescent="0.55000000000000004">
      <c r="A743" s="821"/>
      <c r="K743" s="826" t="s">
        <v>2828</v>
      </c>
    </row>
    <row r="744" spans="1:11" x14ac:dyDescent="0.55000000000000004">
      <c r="A744" s="821"/>
      <c r="K744" s="826" t="s">
        <v>2828</v>
      </c>
    </row>
    <row r="745" spans="1:11" x14ac:dyDescent="0.55000000000000004">
      <c r="A745" s="821"/>
      <c r="K745" s="826" t="s">
        <v>2828</v>
      </c>
    </row>
    <row r="746" spans="1:11" x14ac:dyDescent="0.55000000000000004">
      <c r="A746" s="821"/>
      <c r="K746" s="826" t="s">
        <v>2828</v>
      </c>
    </row>
    <row r="747" spans="1:11" x14ac:dyDescent="0.55000000000000004">
      <c r="A747" s="821"/>
      <c r="K747" s="826" t="s">
        <v>2828</v>
      </c>
    </row>
    <row r="748" spans="1:11" x14ac:dyDescent="0.55000000000000004">
      <c r="A748" s="821"/>
      <c r="K748" s="826" t="s">
        <v>2828</v>
      </c>
    </row>
    <row r="749" spans="1:11" x14ac:dyDescent="0.55000000000000004">
      <c r="A749" s="821"/>
      <c r="K749" s="826" t="s">
        <v>2828</v>
      </c>
    </row>
    <row r="750" spans="1:11" x14ac:dyDescent="0.55000000000000004">
      <c r="A750" s="821"/>
      <c r="K750" s="826" t="s">
        <v>2828</v>
      </c>
    </row>
    <row r="751" spans="1:11" x14ac:dyDescent="0.55000000000000004">
      <c r="A751" s="821"/>
      <c r="K751" s="826" t="s">
        <v>2828</v>
      </c>
    </row>
    <row r="752" spans="1:11" x14ac:dyDescent="0.55000000000000004">
      <c r="A752" s="821"/>
      <c r="K752" s="826" t="s">
        <v>2828</v>
      </c>
    </row>
    <row r="753" spans="1:11" x14ac:dyDescent="0.55000000000000004">
      <c r="A753" s="821"/>
      <c r="K753" s="826" t="s">
        <v>2828</v>
      </c>
    </row>
    <row r="754" spans="1:11" x14ac:dyDescent="0.55000000000000004">
      <c r="A754" s="821"/>
      <c r="K754" s="826" t="s">
        <v>2828</v>
      </c>
    </row>
    <row r="755" spans="1:11" x14ac:dyDescent="0.55000000000000004">
      <c r="A755" s="821"/>
      <c r="K755" s="826" t="s">
        <v>2828</v>
      </c>
    </row>
    <row r="756" spans="1:11" x14ac:dyDescent="0.55000000000000004">
      <c r="A756" s="821"/>
      <c r="K756" s="826" t="s">
        <v>2828</v>
      </c>
    </row>
    <row r="757" spans="1:11" x14ac:dyDescent="0.55000000000000004">
      <c r="A757" s="821"/>
      <c r="K757" s="826" t="s">
        <v>2828</v>
      </c>
    </row>
    <row r="758" spans="1:11" x14ac:dyDescent="0.55000000000000004">
      <c r="A758" s="821"/>
      <c r="K758" s="826" t="s">
        <v>2828</v>
      </c>
    </row>
    <row r="759" spans="1:11" x14ac:dyDescent="0.55000000000000004">
      <c r="A759" s="821"/>
      <c r="K759" s="826" t="s">
        <v>2828</v>
      </c>
    </row>
    <row r="760" spans="1:11" x14ac:dyDescent="0.55000000000000004">
      <c r="A760" s="821"/>
      <c r="K760" s="826" t="s">
        <v>2828</v>
      </c>
    </row>
    <row r="761" spans="1:11" x14ac:dyDescent="0.55000000000000004">
      <c r="A761" s="821"/>
      <c r="K761" s="826" t="s">
        <v>2828</v>
      </c>
    </row>
    <row r="762" spans="1:11" x14ac:dyDescent="0.55000000000000004">
      <c r="A762" s="821"/>
      <c r="K762" s="826" t="s">
        <v>2828</v>
      </c>
    </row>
    <row r="763" spans="1:11" x14ac:dyDescent="0.55000000000000004">
      <c r="A763" s="821"/>
      <c r="K763" s="826" t="s">
        <v>2828</v>
      </c>
    </row>
    <row r="764" spans="1:11" x14ac:dyDescent="0.55000000000000004">
      <c r="A764" s="821"/>
      <c r="K764" s="826" t="s">
        <v>2828</v>
      </c>
    </row>
    <row r="765" spans="1:11" x14ac:dyDescent="0.55000000000000004">
      <c r="A765" s="821"/>
      <c r="K765" s="826" t="s">
        <v>2828</v>
      </c>
    </row>
    <row r="766" spans="1:11" x14ac:dyDescent="0.55000000000000004">
      <c r="A766" s="821"/>
      <c r="K766" s="826" t="s">
        <v>2828</v>
      </c>
    </row>
    <row r="767" spans="1:11" x14ac:dyDescent="0.55000000000000004">
      <c r="A767" s="821"/>
      <c r="K767" s="826" t="s">
        <v>2828</v>
      </c>
    </row>
    <row r="768" spans="1:11" x14ac:dyDescent="0.55000000000000004">
      <c r="A768" s="821"/>
      <c r="K768" s="826" t="s">
        <v>2828</v>
      </c>
    </row>
    <row r="769" spans="1:11" x14ac:dyDescent="0.55000000000000004">
      <c r="A769" s="821"/>
      <c r="K769" s="826" t="s">
        <v>2828</v>
      </c>
    </row>
    <row r="770" spans="1:11" x14ac:dyDescent="0.55000000000000004">
      <c r="A770" s="821"/>
      <c r="K770" s="826" t="s">
        <v>2828</v>
      </c>
    </row>
    <row r="771" spans="1:11" x14ac:dyDescent="0.55000000000000004">
      <c r="A771" s="821"/>
      <c r="K771" s="826" t="s">
        <v>2828</v>
      </c>
    </row>
    <row r="772" spans="1:11" x14ac:dyDescent="0.55000000000000004">
      <c r="A772" s="821"/>
      <c r="K772" s="826" t="s">
        <v>2828</v>
      </c>
    </row>
    <row r="773" spans="1:11" x14ac:dyDescent="0.55000000000000004">
      <c r="A773" s="821"/>
      <c r="K773" s="826" t="s">
        <v>2828</v>
      </c>
    </row>
    <row r="774" spans="1:11" x14ac:dyDescent="0.55000000000000004">
      <c r="A774" s="821"/>
      <c r="K774" s="826" t="s">
        <v>2828</v>
      </c>
    </row>
    <row r="775" spans="1:11" x14ac:dyDescent="0.55000000000000004">
      <c r="A775" s="821"/>
      <c r="K775" s="826" t="s">
        <v>2828</v>
      </c>
    </row>
    <row r="776" spans="1:11" x14ac:dyDescent="0.55000000000000004">
      <c r="A776" s="821"/>
      <c r="K776" s="826" t="s">
        <v>2828</v>
      </c>
    </row>
    <row r="777" spans="1:11" x14ac:dyDescent="0.55000000000000004">
      <c r="A777" s="821"/>
      <c r="K777" s="826" t="s">
        <v>2828</v>
      </c>
    </row>
    <row r="778" spans="1:11" x14ac:dyDescent="0.55000000000000004">
      <c r="A778" s="821"/>
      <c r="K778" s="826" t="s">
        <v>2828</v>
      </c>
    </row>
    <row r="779" spans="1:11" x14ac:dyDescent="0.55000000000000004">
      <c r="A779" s="821"/>
      <c r="K779" s="826" t="s">
        <v>2828</v>
      </c>
    </row>
    <row r="780" spans="1:11" x14ac:dyDescent="0.55000000000000004">
      <c r="A780" s="821"/>
      <c r="K780" s="826" t="s">
        <v>2828</v>
      </c>
    </row>
    <row r="781" spans="1:11" x14ac:dyDescent="0.55000000000000004">
      <c r="A781" s="821"/>
      <c r="K781" s="826" t="s">
        <v>2828</v>
      </c>
    </row>
    <row r="782" spans="1:11" x14ac:dyDescent="0.55000000000000004">
      <c r="A782" s="821"/>
      <c r="K782" s="826" t="s">
        <v>2828</v>
      </c>
    </row>
    <row r="783" spans="1:11" x14ac:dyDescent="0.55000000000000004">
      <c r="A783" s="821"/>
      <c r="K783" s="826" t="s">
        <v>2828</v>
      </c>
    </row>
    <row r="784" spans="1:11" x14ac:dyDescent="0.55000000000000004">
      <c r="A784" s="821"/>
      <c r="K784" s="826" t="s">
        <v>2828</v>
      </c>
    </row>
    <row r="785" spans="1:11" x14ac:dyDescent="0.55000000000000004">
      <c r="A785" s="821"/>
      <c r="K785" s="826" t="s">
        <v>2828</v>
      </c>
    </row>
    <row r="786" spans="1:11" x14ac:dyDescent="0.55000000000000004">
      <c r="A786" s="821"/>
      <c r="K786" s="826" t="s">
        <v>2828</v>
      </c>
    </row>
    <row r="787" spans="1:11" x14ac:dyDescent="0.55000000000000004">
      <c r="A787" s="821"/>
      <c r="K787" s="826" t="s">
        <v>2828</v>
      </c>
    </row>
    <row r="788" spans="1:11" x14ac:dyDescent="0.55000000000000004">
      <c r="A788" s="821"/>
      <c r="K788" s="826" t="s">
        <v>2828</v>
      </c>
    </row>
    <row r="789" spans="1:11" x14ac:dyDescent="0.55000000000000004">
      <c r="A789" s="821"/>
      <c r="K789" s="826" t="s">
        <v>2828</v>
      </c>
    </row>
    <row r="790" spans="1:11" x14ac:dyDescent="0.55000000000000004">
      <c r="A790" s="821"/>
      <c r="K790" s="826" t="s">
        <v>2828</v>
      </c>
    </row>
    <row r="791" spans="1:11" x14ac:dyDescent="0.55000000000000004">
      <c r="A791" s="821"/>
      <c r="K791" s="826" t="s">
        <v>2828</v>
      </c>
    </row>
    <row r="792" spans="1:11" x14ac:dyDescent="0.55000000000000004">
      <c r="A792" s="821"/>
      <c r="K792" s="826" t="s">
        <v>2828</v>
      </c>
    </row>
    <row r="793" spans="1:11" x14ac:dyDescent="0.55000000000000004">
      <c r="A793" s="821"/>
      <c r="K793" s="826" t="s">
        <v>2828</v>
      </c>
    </row>
    <row r="794" spans="1:11" x14ac:dyDescent="0.55000000000000004">
      <c r="A794" s="821"/>
      <c r="K794" s="826" t="s">
        <v>2828</v>
      </c>
    </row>
    <row r="795" spans="1:11" x14ac:dyDescent="0.55000000000000004">
      <c r="A795" s="821"/>
      <c r="K795" s="826" t="s">
        <v>2828</v>
      </c>
    </row>
    <row r="796" spans="1:11" x14ac:dyDescent="0.55000000000000004">
      <c r="A796" s="821"/>
      <c r="K796" s="826" t="s">
        <v>2828</v>
      </c>
    </row>
    <row r="797" spans="1:11" x14ac:dyDescent="0.55000000000000004">
      <c r="A797" s="821"/>
      <c r="K797" s="826" t="s">
        <v>2828</v>
      </c>
    </row>
    <row r="798" spans="1:11" x14ac:dyDescent="0.55000000000000004">
      <c r="A798" s="821"/>
      <c r="K798" s="826" t="s">
        <v>2828</v>
      </c>
    </row>
    <row r="799" spans="1:11" x14ac:dyDescent="0.55000000000000004">
      <c r="A799" s="821"/>
      <c r="K799" s="826" t="s">
        <v>2828</v>
      </c>
    </row>
    <row r="800" spans="1:11" x14ac:dyDescent="0.55000000000000004">
      <c r="A800" s="821"/>
      <c r="K800" s="826" t="s">
        <v>2828</v>
      </c>
    </row>
    <row r="801" spans="1:11" x14ac:dyDescent="0.55000000000000004">
      <c r="A801" s="821"/>
      <c r="K801" s="826" t="s">
        <v>2828</v>
      </c>
    </row>
    <row r="802" spans="1:11" x14ac:dyDescent="0.55000000000000004">
      <c r="A802" s="821"/>
      <c r="K802" s="826" t="s">
        <v>2828</v>
      </c>
    </row>
    <row r="803" spans="1:11" x14ac:dyDescent="0.55000000000000004">
      <c r="A803" s="821"/>
      <c r="K803" s="826" t="s">
        <v>2828</v>
      </c>
    </row>
    <row r="804" spans="1:11" x14ac:dyDescent="0.55000000000000004">
      <c r="A804" s="821"/>
      <c r="K804" s="826" t="s">
        <v>2828</v>
      </c>
    </row>
    <row r="805" spans="1:11" x14ac:dyDescent="0.55000000000000004">
      <c r="A805" s="821"/>
      <c r="K805" s="826" t="s">
        <v>2828</v>
      </c>
    </row>
    <row r="806" spans="1:11" x14ac:dyDescent="0.55000000000000004">
      <c r="A806" s="821"/>
      <c r="K806" s="826" t="s">
        <v>2828</v>
      </c>
    </row>
    <row r="807" spans="1:11" x14ac:dyDescent="0.55000000000000004">
      <c r="A807" s="821"/>
      <c r="K807" s="826" t="s">
        <v>2828</v>
      </c>
    </row>
    <row r="808" spans="1:11" x14ac:dyDescent="0.55000000000000004">
      <c r="A808" s="821"/>
      <c r="K808" s="826" t="s">
        <v>2828</v>
      </c>
    </row>
    <row r="809" spans="1:11" x14ac:dyDescent="0.55000000000000004">
      <c r="A809" s="821"/>
      <c r="K809" s="826" t="s">
        <v>2828</v>
      </c>
    </row>
    <row r="810" spans="1:11" x14ac:dyDescent="0.55000000000000004">
      <c r="A810" s="821"/>
      <c r="K810" s="826" t="s">
        <v>2828</v>
      </c>
    </row>
    <row r="811" spans="1:11" x14ac:dyDescent="0.55000000000000004">
      <c r="A811" s="821"/>
      <c r="K811" s="826" t="s">
        <v>2828</v>
      </c>
    </row>
    <row r="812" spans="1:11" x14ac:dyDescent="0.55000000000000004">
      <c r="A812" s="821"/>
      <c r="K812" s="826" t="s">
        <v>2828</v>
      </c>
    </row>
    <row r="813" spans="1:11" x14ac:dyDescent="0.55000000000000004">
      <c r="A813" s="821"/>
      <c r="K813" s="826" t="s">
        <v>2828</v>
      </c>
    </row>
    <row r="814" spans="1:11" x14ac:dyDescent="0.55000000000000004">
      <c r="A814" s="821"/>
      <c r="K814" s="826" t="s">
        <v>2828</v>
      </c>
    </row>
    <row r="815" spans="1:11" x14ac:dyDescent="0.55000000000000004">
      <c r="A815" s="821"/>
      <c r="K815" s="826" t="s">
        <v>2828</v>
      </c>
    </row>
    <row r="816" spans="1:11" x14ac:dyDescent="0.55000000000000004">
      <c r="A816" s="821"/>
      <c r="K816" s="826" t="s">
        <v>2828</v>
      </c>
    </row>
    <row r="817" spans="1:11" x14ac:dyDescent="0.55000000000000004">
      <c r="A817" s="821"/>
      <c r="K817" s="826" t="s">
        <v>2828</v>
      </c>
    </row>
    <row r="818" spans="1:11" x14ac:dyDescent="0.55000000000000004">
      <c r="A818" s="821"/>
      <c r="K818" s="826" t="s">
        <v>2828</v>
      </c>
    </row>
    <row r="819" spans="1:11" x14ac:dyDescent="0.55000000000000004">
      <c r="A819" s="821"/>
      <c r="K819" s="826" t="s">
        <v>2828</v>
      </c>
    </row>
    <row r="820" spans="1:11" x14ac:dyDescent="0.55000000000000004">
      <c r="A820" s="821"/>
      <c r="K820" s="826" t="s">
        <v>2828</v>
      </c>
    </row>
    <row r="821" spans="1:11" x14ac:dyDescent="0.55000000000000004">
      <c r="A821" s="821"/>
      <c r="K821" s="826" t="s">
        <v>2828</v>
      </c>
    </row>
    <row r="822" spans="1:11" x14ac:dyDescent="0.55000000000000004">
      <c r="A822" s="821"/>
      <c r="K822" s="826" t="s">
        <v>2828</v>
      </c>
    </row>
    <row r="823" spans="1:11" x14ac:dyDescent="0.55000000000000004">
      <c r="A823" s="821"/>
      <c r="K823" s="826" t="s">
        <v>2828</v>
      </c>
    </row>
    <row r="824" spans="1:11" x14ac:dyDescent="0.55000000000000004">
      <c r="A824" s="821"/>
      <c r="K824" s="826" t="s">
        <v>2828</v>
      </c>
    </row>
    <row r="825" spans="1:11" x14ac:dyDescent="0.55000000000000004">
      <c r="A825" s="821"/>
      <c r="K825" s="826" t="s">
        <v>2828</v>
      </c>
    </row>
    <row r="826" spans="1:11" x14ac:dyDescent="0.55000000000000004">
      <c r="A826" s="821"/>
      <c r="K826" s="826" t="s">
        <v>2828</v>
      </c>
    </row>
    <row r="827" spans="1:11" x14ac:dyDescent="0.55000000000000004">
      <c r="A827" s="821"/>
      <c r="K827" s="826" t="s">
        <v>2828</v>
      </c>
    </row>
    <row r="828" spans="1:11" x14ac:dyDescent="0.55000000000000004">
      <c r="A828" s="821"/>
      <c r="K828" s="826" t="s">
        <v>2828</v>
      </c>
    </row>
    <row r="829" spans="1:11" x14ac:dyDescent="0.55000000000000004">
      <c r="A829" s="821"/>
      <c r="K829" s="826" t="s">
        <v>2828</v>
      </c>
    </row>
    <row r="830" spans="1:11" x14ac:dyDescent="0.55000000000000004">
      <c r="A830" s="821"/>
      <c r="K830" s="826" t="s">
        <v>2828</v>
      </c>
    </row>
    <row r="831" spans="1:11" x14ac:dyDescent="0.55000000000000004">
      <c r="A831" s="821"/>
      <c r="K831" s="826" t="s">
        <v>2828</v>
      </c>
    </row>
    <row r="832" spans="1:11" x14ac:dyDescent="0.55000000000000004">
      <c r="A832" s="821"/>
      <c r="K832" s="826" t="s">
        <v>2828</v>
      </c>
    </row>
    <row r="833" spans="1:11" x14ac:dyDescent="0.55000000000000004">
      <c r="A833" s="821"/>
      <c r="K833" s="826" t="s">
        <v>2828</v>
      </c>
    </row>
    <row r="834" spans="1:11" x14ac:dyDescent="0.55000000000000004">
      <c r="A834" s="821"/>
      <c r="K834" s="826" t="s">
        <v>2828</v>
      </c>
    </row>
    <row r="835" spans="1:11" x14ac:dyDescent="0.55000000000000004">
      <c r="A835" s="821"/>
      <c r="K835" s="826" t="s">
        <v>2828</v>
      </c>
    </row>
    <row r="836" spans="1:11" x14ac:dyDescent="0.55000000000000004">
      <c r="A836" s="821"/>
      <c r="K836" s="826" t="s">
        <v>2828</v>
      </c>
    </row>
    <row r="837" spans="1:11" x14ac:dyDescent="0.55000000000000004">
      <c r="A837" s="821"/>
      <c r="K837" s="826" t="s">
        <v>2828</v>
      </c>
    </row>
    <row r="838" spans="1:11" x14ac:dyDescent="0.55000000000000004">
      <c r="A838" s="821"/>
      <c r="K838" s="826" t="s">
        <v>2828</v>
      </c>
    </row>
    <row r="839" spans="1:11" x14ac:dyDescent="0.55000000000000004">
      <c r="A839" s="821"/>
      <c r="K839" s="826" t="s">
        <v>2828</v>
      </c>
    </row>
    <row r="840" spans="1:11" x14ac:dyDescent="0.55000000000000004">
      <c r="A840" s="821"/>
      <c r="K840" s="826" t="s">
        <v>2828</v>
      </c>
    </row>
    <row r="841" spans="1:11" x14ac:dyDescent="0.55000000000000004">
      <c r="A841" s="821"/>
      <c r="K841" s="826" t="s">
        <v>2828</v>
      </c>
    </row>
    <row r="842" spans="1:11" x14ac:dyDescent="0.55000000000000004">
      <c r="A842" s="821"/>
      <c r="K842" s="826" t="s">
        <v>2828</v>
      </c>
    </row>
    <row r="843" spans="1:11" x14ac:dyDescent="0.55000000000000004">
      <c r="A843" s="821"/>
      <c r="K843" s="826" t="s">
        <v>2828</v>
      </c>
    </row>
    <row r="844" spans="1:11" x14ac:dyDescent="0.55000000000000004">
      <c r="A844" s="821"/>
      <c r="K844" s="826" t="s">
        <v>2828</v>
      </c>
    </row>
    <row r="845" spans="1:11" x14ac:dyDescent="0.55000000000000004">
      <c r="A845" s="821"/>
      <c r="K845" s="826" t="s">
        <v>2828</v>
      </c>
    </row>
    <row r="846" spans="1:11" x14ac:dyDescent="0.55000000000000004">
      <c r="A846" s="821"/>
      <c r="K846" s="826" t="s">
        <v>2828</v>
      </c>
    </row>
    <row r="847" spans="1:11" x14ac:dyDescent="0.55000000000000004">
      <c r="A847" s="821"/>
      <c r="K847" s="826" t="s">
        <v>2828</v>
      </c>
    </row>
    <row r="848" spans="1:11" x14ac:dyDescent="0.55000000000000004">
      <c r="A848" s="821"/>
      <c r="K848" s="826" t="s">
        <v>2828</v>
      </c>
    </row>
    <row r="849" spans="1:11" x14ac:dyDescent="0.55000000000000004">
      <c r="A849" s="821"/>
      <c r="K849" s="826" t="s">
        <v>2828</v>
      </c>
    </row>
    <row r="850" spans="1:11" x14ac:dyDescent="0.55000000000000004">
      <c r="A850" s="821"/>
      <c r="K850" s="826" t="s">
        <v>2828</v>
      </c>
    </row>
    <row r="851" spans="1:11" x14ac:dyDescent="0.55000000000000004">
      <c r="A851" s="821"/>
      <c r="K851" s="826" t="s">
        <v>2828</v>
      </c>
    </row>
    <row r="852" spans="1:11" x14ac:dyDescent="0.55000000000000004">
      <c r="A852" s="821"/>
      <c r="K852" s="826" t="s">
        <v>2828</v>
      </c>
    </row>
    <row r="853" spans="1:11" x14ac:dyDescent="0.55000000000000004">
      <c r="A853" s="821"/>
      <c r="K853" s="826" t="s">
        <v>2828</v>
      </c>
    </row>
    <row r="854" spans="1:11" x14ac:dyDescent="0.55000000000000004">
      <c r="A854" s="821"/>
      <c r="K854" s="826" t="s">
        <v>2828</v>
      </c>
    </row>
    <row r="855" spans="1:11" x14ac:dyDescent="0.55000000000000004">
      <c r="A855" s="821"/>
      <c r="K855" s="826" t="s">
        <v>2828</v>
      </c>
    </row>
    <row r="856" spans="1:11" x14ac:dyDescent="0.55000000000000004">
      <c r="A856" s="821"/>
      <c r="K856" s="826" t="s">
        <v>2828</v>
      </c>
    </row>
    <row r="857" spans="1:11" x14ac:dyDescent="0.55000000000000004">
      <c r="A857" s="821"/>
      <c r="K857" s="826" t="s">
        <v>2828</v>
      </c>
    </row>
    <row r="858" spans="1:11" x14ac:dyDescent="0.55000000000000004">
      <c r="A858" s="821"/>
      <c r="K858" s="826" t="s">
        <v>2828</v>
      </c>
    </row>
    <row r="859" spans="1:11" x14ac:dyDescent="0.55000000000000004">
      <c r="A859" s="821"/>
      <c r="K859" s="826" t="s">
        <v>2828</v>
      </c>
    </row>
    <row r="860" spans="1:11" x14ac:dyDescent="0.55000000000000004">
      <c r="A860" s="821"/>
      <c r="K860" s="826" t="s">
        <v>2828</v>
      </c>
    </row>
    <row r="861" spans="1:11" x14ac:dyDescent="0.55000000000000004">
      <c r="A861" s="821"/>
      <c r="K861" s="826" t="s">
        <v>2828</v>
      </c>
    </row>
    <row r="862" spans="1:11" x14ac:dyDescent="0.55000000000000004">
      <c r="A862" s="821"/>
      <c r="K862" s="826" t="s">
        <v>2828</v>
      </c>
    </row>
    <row r="863" spans="1:11" x14ac:dyDescent="0.55000000000000004">
      <c r="A863" s="821"/>
      <c r="K863" s="826" t="s">
        <v>2828</v>
      </c>
    </row>
    <row r="864" spans="1:11" x14ac:dyDescent="0.55000000000000004">
      <c r="A864" s="821"/>
      <c r="K864" s="826" t="s">
        <v>2828</v>
      </c>
    </row>
    <row r="865" spans="1:11" x14ac:dyDescent="0.55000000000000004">
      <c r="A865" s="821"/>
      <c r="K865" s="826" t="s">
        <v>2828</v>
      </c>
    </row>
    <row r="866" spans="1:11" x14ac:dyDescent="0.55000000000000004">
      <c r="A866" s="821"/>
      <c r="K866" s="826" t="s">
        <v>2828</v>
      </c>
    </row>
    <row r="867" spans="1:11" x14ac:dyDescent="0.55000000000000004">
      <c r="A867" s="821"/>
      <c r="K867" s="826" t="s">
        <v>2828</v>
      </c>
    </row>
    <row r="868" spans="1:11" x14ac:dyDescent="0.55000000000000004">
      <c r="A868" s="821"/>
      <c r="K868" s="826" t="s">
        <v>2828</v>
      </c>
    </row>
    <row r="869" spans="1:11" x14ac:dyDescent="0.55000000000000004">
      <c r="A869" s="821"/>
      <c r="K869" s="826" t="s">
        <v>2828</v>
      </c>
    </row>
    <row r="870" spans="1:11" x14ac:dyDescent="0.55000000000000004">
      <c r="A870" s="821"/>
      <c r="K870" s="826" t="s">
        <v>2828</v>
      </c>
    </row>
    <row r="871" spans="1:11" x14ac:dyDescent="0.55000000000000004">
      <c r="A871" s="821"/>
      <c r="K871" s="826" t="s">
        <v>2828</v>
      </c>
    </row>
    <row r="872" spans="1:11" x14ac:dyDescent="0.55000000000000004">
      <c r="A872" s="821"/>
      <c r="K872" s="826" t="s">
        <v>2828</v>
      </c>
    </row>
    <row r="873" spans="1:11" x14ac:dyDescent="0.55000000000000004">
      <c r="A873" s="821"/>
      <c r="K873" s="826" t="s">
        <v>2828</v>
      </c>
    </row>
    <row r="874" spans="1:11" x14ac:dyDescent="0.55000000000000004">
      <c r="A874" s="821"/>
      <c r="K874" s="826" t="s">
        <v>2828</v>
      </c>
    </row>
    <row r="875" spans="1:11" x14ac:dyDescent="0.55000000000000004">
      <c r="A875" s="821"/>
      <c r="K875" s="826" t="s">
        <v>2828</v>
      </c>
    </row>
    <row r="876" spans="1:11" x14ac:dyDescent="0.55000000000000004">
      <c r="A876" s="821"/>
      <c r="K876" s="826" t="s">
        <v>2828</v>
      </c>
    </row>
    <row r="877" spans="1:11" x14ac:dyDescent="0.55000000000000004">
      <c r="A877" s="821"/>
      <c r="K877" s="826" t="s">
        <v>2828</v>
      </c>
    </row>
    <row r="878" spans="1:11" x14ac:dyDescent="0.55000000000000004">
      <c r="A878" s="821"/>
      <c r="K878" s="826" t="s">
        <v>2828</v>
      </c>
    </row>
    <row r="879" spans="1:11" x14ac:dyDescent="0.55000000000000004">
      <c r="A879" s="821"/>
      <c r="K879" s="826" t="s">
        <v>2828</v>
      </c>
    </row>
    <row r="880" spans="1:11" x14ac:dyDescent="0.55000000000000004">
      <c r="A880" s="821"/>
      <c r="K880" s="826" t="s">
        <v>2828</v>
      </c>
    </row>
    <row r="881" spans="1:11" x14ac:dyDescent="0.55000000000000004">
      <c r="A881" s="821"/>
      <c r="K881" s="826" t="s">
        <v>2828</v>
      </c>
    </row>
    <row r="882" spans="1:11" x14ac:dyDescent="0.55000000000000004">
      <c r="A882" s="821"/>
      <c r="K882" s="826" t="s">
        <v>2828</v>
      </c>
    </row>
    <row r="883" spans="1:11" x14ac:dyDescent="0.55000000000000004">
      <c r="A883" s="821"/>
      <c r="K883" s="826" t="s">
        <v>2828</v>
      </c>
    </row>
    <row r="884" spans="1:11" x14ac:dyDescent="0.55000000000000004">
      <c r="A884" s="821"/>
      <c r="K884" s="826" t="s">
        <v>2828</v>
      </c>
    </row>
    <row r="885" spans="1:11" x14ac:dyDescent="0.55000000000000004">
      <c r="A885" s="821"/>
      <c r="K885" s="826" t="s">
        <v>2828</v>
      </c>
    </row>
    <row r="886" spans="1:11" x14ac:dyDescent="0.55000000000000004">
      <c r="A886" s="821"/>
      <c r="K886" s="826" t="s">
        <v>2828</v>
      </c>
    </row>
    <row r="887" spans="1:11" x14ac:dyDescent="0.55000000000000004">
      <c r="A887" s="821"/>
      <c r="K887" s="826" t="s">
        <v>2828</v>
      </c>
    </row>
    <row r="888" spans="1:11" x14ac:dyDescent="0.55000000000000004">
      <c r="A888" s="821"/>
      <c r="K888" s="826" t="s">
        <v>2828</v>
      </c>
    </row>
    <row r="889" spans="1:11" x14ac:dyDescent="0.55000000000000004">
      <c r="A889" s="821"/>
      <c r="K889" s="826" t="s">
        <v>2828</v>
      </c>
    </row>
    <row r="890" spans="1:11" x14ac:dyDescent="0.55000000000000004">
      <c r="A890" s="821"/>
      <c r="K890" s="826" t="s">
        <v>2828</v>
      </c>
    </row>
    <row r="891" spans="1:11" x14ac:dyDescent="0.55000000000000004">
      <c r="A891" s="821"/>
      <c r="K891" s="826" t="s">
        <v>2828</v>
      </c>
    </row>
    <row r="892" spans="1:11" x14ac:dyDescent="0.55000000000000004">
      <c r="A892" s="821"/>
      <c r="K892" s="826" t="s">
        <v>2828</v>
      </c>
    </row>
    <row r="893" spans="1:11" x14ac:dyDescent="0.55000000000000004">
      <c r="A893" s="821"/>
      <c r="K893" s="826" t="s">
        <v>2828</v>
      </c>
    </row>
    <row r="894" spans="1:11" x14ac:dyDescent="0.55000000000000004">
      <c r="A894" s="821"/>
      <c r="K894" s="826" t="s">
        <v>2828</v>
      </c>
    </row>
    <row r="895" spans="1:11" x14ac:dyDescent="0.55000000000000004">
      <c r="A895" s="821"/>
      <c r="K895" s="826" t="s">
        <v>2828</v>
      </c>
    </row>
    <row r="896" spans="1:11" x14ac:dyDescent="0.55000000000000004">
      <c r="A896" s="821"/>
      <c r="K896" s="826" t="s">
        <v>2828</v>
      </c>
    </row>
    <row r="897" spans="1:11" x14ac:dyDescent="0.55000000000000004">
      <c r="A897" s="821"/>
      <c r="K897" s="826" t="s">
        <v>2828</v>
      </c>
    </row>
    <row r="898" spans="1:11" x14ac:dyDescent="0.55000000000000004">
      <c r="A898" s="821"/>
      <c r="K898" s="826" t="s">
        <v>2828</v>
      </c>
    </row>
    <row r="899" spans="1:11" x14ac:dyDescent="0.55000000000000004">
      <c r="A899" s="821"/>
      <c r="K899" s="826" t="s">
        <v>2828</v>
      </c>
    </row>
    <row r="900" spans="1:11" x14ac:dyDescent="0.55000000000000004">
      <c r="A900" s="821"/>
      <c r="K900" s="826" t="s">
        <v>2828</v>
      </c>
    </row>
    <row r="901" spans="1:11" x14ac:dyDescent="0.55000000000000004">
      <c r="A901" s="821"/>
      <c r="K901" s="826" t="s">
        <v>2828</v>
      </c>
    </row>
    <row r="902" spans="1:11" x14ac:dyDescent="0.55000000000000004">
      <c r="A902" s="821"/>
      <c r="K902" s="826" t="s">
        <v>2828</v>
      </c>
    </row>
    <row r="903" spans="1:11" x14ac:dyDescent="0.55000000000000004">
      <c r="A903" s="821"/>
      <c r="K903" s="826" t="s">
        <v>2828</v>
      </c>
    </row>
    <row r="904" spans="1:11" x14ac:dyDescent="0.55000000000000004">
      <c r="A904" s="821"/>
      <c r="K904" s="826" t="s">
        <v>2828</v>
      </c>
    </row>
    <row r="905" spans="1:11" x14ac:dyDescent="0.55000000000000004">
      <c r="A905" s="821"/>
      <c r="K905" s="826" t="s">
        <v>2828</v>
      </c>
    </row>
    <row r="906" spans="1:11" x14ac:dyDescent="0.55000000000000004">
      <c r="A906" s="821"/>
      <c r="K906" s="826" t="s">
        <v>2828</v>
      </c>
    </row>
    <row r="907" spans="1:11" x14ac:dyDescent="0.55000000000000004">
      <c r="A907" s="821"/>
      <c r="K907" s="826" t="s">
        <v>2828</v>
      </c>
    </row>
    <row r="908" spans="1:11" x14ac:dyDescent="0.55000000000000004">
      <c r="A908" s="821"/>
      <c r="K908" s="826" t="s">
        <v>2828</v>
      </c>
    </row>
    <row r="909" spans="1:11" x14ac:dyDescent="0.55000000000000004">
      <c r="A909" s="821"/>
      <c r="K909" s="826" t="s">
        <v>2828</v>
      </c>
    </row>
    <row r="910" spans="1:11" x14ac:dyDescent="0.55000000000000004">
      <c r="A910" s="821"/>
      <c r="K910" s="826" t="s">
        <v>2828</v>
      </c>
    </row>
    <row r="911" spans="1:11" x14ac:dyDescent="0.55000000000000004">
      <c r="A911" s="821"/>
      <c r="K911" s="826" t="s">
        <v>2828</v>
      </c>
    </row>
    <row r="912" spans="1:11" x14ac:dyDescent="0.55000000000000004">
      <c r="A912" s="821"/>
      <c r="K912" s="826" t="s">
        <v>2828</v>
      </c>
    </row>
    <row r="913" spans="1:11" x14ac:dyDescent="0.55000000000000004">
      <c r="A913" s="821"/>
      <c r="K913" s="826" t="s">
        <v>2828</v>
      </c>
    </row>
    <row r="914" spans="1:11" x14ac:dyDescent="0.55000000000000004">
      <c r="A914" s="821"/>
      <c r="K914" s="826" t="s">
        <v>2828</v>
      </c>
    </row>
    <row r="915" spans="1:11" x14ac:dyDescent="0.55000000000000004">
      <c r="A915" s="821"/>
      <c r="K915" s="826" t="s">
        <v>2828</v>
      </c>
    </row>
    <row r="916" spans="1:11" x14ac:dyDescent="0.55000000000000004">
      <c r="A916" s="821"/>
      <c r="K916" s="826" t="s">
        <v>2828</v>
      </c>
    </row>
    <row r="917" spans="1:11" x14ac:dyDescent="0.55000000000000004">
      <c r="A917" s="821"/>
      <c r="K917" s="826" t="s">
        <v>2828</v>
      </c>
    </row>
    <row r="918" spans="1:11" x14ac:dyDescent="0.55000000000000004">
      <c r="A918" s="821"/>
      <c r="K918" s="826" t="s">
        <v>2828</v>
      </c>
    </row>
    <row r="919" spans="1:11" x14ac:dyDescent="0.55000000000000004">
      <c r="A919" s="821"/>
      <c r="K919" s="826" t="s">
        <v>2828</v>
      </c>
    </row>
    <row r="920" spans="1:11" x14ac:dyDescent="0.55000000000000004">
      <c r="A920" s="821"/>
      <c r="K920" s="826" t="s">
        <v>2828</v>
      </c>
    </row>
    <row r="921" spans="1:11" x14ac:dyDescent="0.55000000000000004">
      <c r="A921" s="821"/>
      <c r="K921" s="826" t="s">
        <v>2828</v>
      </c>
    </row>
    <row r="922" spans="1:11" x14ac:dyDescent="0.55000000000000004">
      <c r="A922" s="821"/>
      <c r="K922" s="826" t="s">
        <v>2828</v>
      </c>
    </row>
    <row r="923" spans="1:11" x14ac:dyDescent="0.55000000000000004">
      <c r="A923" s="821"/>
      <c r="K923" s="826" t="s">
        <v>2828</v>
      </c>
    </row>
    <row r="924" spans="1:11" x14ac:dyDescent="0.55000000000000004">
      <c r="A924" s="821"/>
      <c r="K924" s="826" t="s">
        <v>2828</v>
      </c>
    </row>
    <row r="925" spans="1:11" x14ac:dyDescent="0.55000000000000004">
      <c r="A925" s="821"/>
      <c r="K925" s="826" t="s">
        <v>2828</v>
      </c>
    </row>
    <row r="926" spans="1:11" x14ac:dyDescent="0.55000000000000004">
      <c r="A926" s="821"/>
      <c r="K926" s="826" t="s">
        <v>2828</v>
      </c>
    </row>
    <row r="927" spans="1:11" x14ac:dyDescent="0.55000000000000004">
      <c r="A927" s="821"/>
      <c r="K927" s="826" t="s">
        <v>2828</v>
      </c>
    </row>
    <row r="928" spans="1:11" x14ac:dyDescent="0.55000000000000004">
      <c r="A928" s="821"/>
      <c r="K928" s="826" t="s">
        <v>2828</v>
      </c>
    </row>
    <row r="929" spans="1:11" x14ac:dyDescent="0.55000000000000004">
      <c r="A929" s="821"/>
      <c r="K929" s="826" t="s">
        <v>2828</v>
      </c>
    </row>
    <row r="930" spans="1:11" x14ac:dyDescent="0.55000000000000004">
      <c r="A930" s="821"/>
      <c r="K930" s="826" t="s">
        <v>2828</v>
      </c>
    </row>
    <row r="931" spans="1:11" x14ac:dyDescent="0.55000000000000004">
      <c r="A931" s="821"/>
      <c r="K931" s="826" t="s">
        <v>2828</v>
      </c>
    </row>
    <row r="932" spans="1:11" x14ac:dyDescent="0.55000000000000004">
      <c r="A932" s="821"/>
      <c r="K932" s="826" t="s">
        <v>2828</v>
      </c>
    </row>
    <row r="933" spans="1:11" x14ac:dyDescent="0.55000000000000004">
      <c r="A933" s="821"/>
      <c r="K933" s="826" t="s">
        <v>2828</v>
      </c>
    </row>
    <row r="934" spans="1:11" x14ac:dyDescent="0.55000000000000004">
      <c r="A934" s="821"/>
      <c r="K934" s="826" t="s">
        <v>2828</v>
      </c>
    </row>
    <row r="935" spans="1:11" x14ac:dyDescent="0.55000000000000004">
      <c r="A935" s="821"/>
      <c r="K935" s="826" t="s">
        <v>2828</v>
      </c>
    </row>
    <row r="936" spans="1:11" x14ac:dyDescent="0.55000000000000004">
      <c r="A936" s="821"/>
      <c r="K936" s="826" t="s">
        <v>2828</v>
      </c>
    </row>
    <row r="937" spans="1:11" x14ac:dyDescent="0.55000000000000004">
      <c r="A937" s="821"/>
      <c r="K937" s="826" t="s">
        <v>2828</v>
      </c>
    </row>
    <row r="938" spans="1:11" x14ac:dyDescent="0.55000000000000004">
      <c r="A938" s="821"/>
      <c r="K938" s="826" t="s">
        <v>2828</v>
      </c>
    </row>
    <row r="939" spans="1:11" x14ac:dyDescent="0.55000000000000004">
      <c r="A939" s="821"/>
      <c r="K939" s="826" t="s">
        <v>2828</v>
      </c>
    </row>
    <row r="940" spans="1:11" x14ac:dyDescent="0.55000000000000004">
      <c r="A940" s="821"/>
      <c r="K940" s="826" t="s">
        <v>2828</v>
      </c>
    </row>
    <row r="941" spans="1:11" x14ac:dyDescent="0.55000000000000004">
      <c r="A941" s="821"/>
      <c r="K941" s="826" t="s">
        <v>2828</v>
      </c>
    </row>
    <row r="942" spans="1:11" x14ac:dyDescent="0.55000000000000004">
      <c r="A942" s="821"/>
      <c r="K942" s="826" t="s">
        <v>2828</v>
      </c>
    </row>
    <row r="943" spans="1:11" x14ac:dyDescent="0.55000000000000004">
      <c r="A943" s="821"/>
      <c r="K943" s="826" t="s">
        <v>2828</v>
      </c>
    </row>
    <row r="944" spans="1:11" x14ac:dyDescent="0.55000000000000004">
      <c r="A944" s="821"/>
      <c r="K944" s="826" t="s">
        <v>2828</v>
      </c>
    </row>
    <row r="945" spans="1:11" x14ac:dyDescent="0.55000000000000004">
      <c r="A945" s="821"/>
      <c r="K945" s="826" t="s">
        <v>2828</v>
      </c>
    </row>
    <row r="946" spans="1:11" x14ac:dyDescent="0.55000000000000004">
      <c r="A946" s="821"/>
      <c r="K946" s="826" t="s">
        <v>2828</v>
      </c>
    </row>
    <row r="947" spans="1:11" x14ac:dyDescent="0.55000000000000004">
      <c r="A947" s="821"/>
      <c r="K947" s="826" t="s">
        <v>2828</v>
      </c>
    </row>
    <row r="948" spans="1:11" x14ac:dyDescent="0.55000000000000004">
      <c r="A948" s="821"/>
      <c r="K948" s="826" t="s">
        <v>2828</v>
      </c>
    </row>
    <row r="949" spans="1:11" x14ac:dyDescent="0.55000000000000004">
      <c r="A949" s="821"/>
      <c r="K949" s="826" t="s">
        <v>2828</v>
      </c>
    </row>
    <row r="950" spans="1:11" x14ac:dyDescent="0.55000000000000004">
      <c r="A950" s="821"/>
      <c r="K950" s="826" t="s">
        <v>2828</v>
      </c>
    </row>
    <row r="951" spans="1:11" x14ac:dyDescent="0.55000000000000004">
      <c r="A951" s="821"/>
      <c r="K951" s="826" t="s">
        <v>2828</v>
      </c>
    </row>
    <row r="952" spans="1:11" x14ac:dyDescent="0.55000000000000004">
      <c r="A952" s="821"/>
      <c r="K952" s="826" t="s">
        <v>2828</v>
      </c>
    </row>
    <row r="953" spans="1:11" x14ac:dyDescent="0.55000000000000004">
      <c r="A953" s="821"/>
      <c r="K953" s="826" t="s">
        <v>2828</v>
      </c>
    </row>
    <row r="954" spans="1:11" x14ac:dyDescent="0.55000000000000004">
      <c r="A954" s="821"/>
      <c r="K954" s="826" t="s">
        <v>2828</v>
      </c>
    </row>
    <row r="955" spans="1:11" x14ac:dyDescent="0.55000000000000004">
      <c r="A955" s="821"/>
      <c r="K955" s="826" t="s">
        <v>2828</v>
      </c>
    </row>
    <row r="956" spans="1:11" x14ac:dyDescent="0.55000000000000004">
      <c r="A956" s="821"/>
      <c r="K956" s="826" t="s">
        <v>2828</v>
      </c>
    </row>
    <row r="957" spans="1:11" x14ac:dyDescent="0.55000000000000004">
      <c r="A957" s="821"/>
      <c r="K957" s="826" t="s">
        <v>2828</v>
      </c>
    </row>
    <row r="958" spans="1:11" x14ac:dyDescent="0.55000000000000004">
      <c r="A958" s="821"/>
      <c r="K958" s="826" t="s">
        <v>2828</v>
      </c>
    </row>
    <row r="959" spans="1:11" x14ac:dyDescent="0.55000000000000004">
      <c r="A959" s="821"/>
      <c r="K959" s="826" t="s">
        <v>2828</v>
      </c>
    </row>
    <row r="960" spans="1:11" x14ac:dyDescent="0.55000000000000004">
      <c r="A960" s="821"/>
      <c r="K960" s="826" t="s">
        <v>2828</v>
      </c>
    </row>
    <row r="961" spans="1:11" x14ac:dyDescent="0.55000000000000004">
      <c r="A961" s="821"/>
      <c r="K961" s="826" t="s">
        <v>2828</v>
      </c>
    </row>
    <row r="962" spans="1:11" x14ac:dyDescent="0.55000000000000004">
      <c r="A962" s="821"/>
      <c r="K962" s="826" t="s">
        <v>2828</v>
      </c>
    </row>
    <row r="963" spans="1:11" x14ac:dyDescent="0.55000000000000004">
      <c r="A963" s="821"/>
      <c r="K963" s="826" t="s">
        <v>2828</v>
      </c>
    </row>
    <row r="964" spans="1:11" x14ac:dyDescent="0.55000000000000004">
      <c r="A964" s="821"/>
      <c r="K964" s="826" t="s">
        <v>2828</v>
      </c>
    </row>
    <row r="965" spans="1:11" x14ac:dyDescent="0.55000000000000004">
      <c r="A965" s="821"/>
      <c r="K965" s="826" t="s">
        <v>2828</v>
      </c>
    </row>
    <row r="966" spans="1:11" x14ac:dyDescent="0.55000000000000004">
      <c r="A966" s="821"/>
      <c r="K966" s="826" t="s">
        <v>2828</v>
      </c>
    </row>
    <row r="967" spans="1:11" x14ac:dyDescent="0.55000000000000004">
      <c r="A967" s="821"/>
      <c r="K967" s="826" t="s">
        <v>2828</v>
      </c>
    </row>
    <row r="968" spans="1:11" x14ac:dyDescent="0.55000000000000004">
      <c r="A968" s="821"/>
      <c r="K968" s="826" t="s">
        <v>2828</v>
      </c>
    </row>
    <row r="969" spans="1:11" x14ac:dyDescent="0.55000000000000004">
      <c r="A969" s="821"/>
      <c r="K969" s="826" t="s">
        <v>2828</v>
      </c>
    </row>
    <row r="970" spans="1:11" x14ac:dyDescent="0.55000000000000004">
      <c r="A970" s="821"/>
      <c r="K970" s="826" t="s">
        <v>2828</v>
      </c>
    </row>
    <row r="971" spans="1:11" x14ac:dyDescent="0.55000000000000004">
      <c r="A971" s="821"/>
      <c r="K971" s="826" t="s">
        <v>2828</v>
      </c>
    </row>
    <row r="972" spans="1:11" x14ac:dyDescent="0.55000000000000004">
      <c r="A972" s="821"/>
      <c r="K972" s="826" t="s">
        <v>2828</v>
      </c>
    </row>
    <row r="973" spans="1:11" x14ac:dyDescent="0.55000000000000004">
      <c r="A973" s="821"/>
      <c r="K973" s="826" t="s">
        <v>2828</v>
      </c>
    </row>
    <row r="974" spans="1:11" x14ac:dyDescent="0.55000000000000004">
      <c r="A974" s="821"/>
      <c r="K974" s="826" t="s">
        <v>2828</v>
      </c>
    </row>
    <row r="975" spans="1:11" x14ac:dyDescent="0.55000000000000004">
      <c r="A975" s="821"/>
      <c r="K975" s="826" t="s">
        <v>2828</v>
      </c>
    </row>
    <row r="976" spans="1:11" x14ac:dyDescent="0.55000000000000004">
      <c r="A976" s="821"/>
      <c r="K976" s="826" t="s">
        <v>2828</v>
      </c>
    </row>
    <row r="977" spans="1:11" x14ac:dyDescent="0.55000000000000004">
      <c r="A977" s="821"/>
      <c r="K977" s="826" t="s">
        <v>2828</v>
      </c>
    </row>
    <row r="978" spans="1:11" x14ac:dyDescent="0.55000000000000004">
      <c r="A978" s="821"/>
      <c r="K978" s="826" t="s">
        <v>2828</v>
      </c>
    </row>
    <row r="979" spans="1:11" x14ac:dyDescent="0.55000000000000004">
      <c r="A979" s="821"/>
      <c r="K979" s="826" t="s">
        <v>2828</v>
      </c>
    </row>
    <row r="980" spans="1:11" x14ac:dyDescent="0.55000000000000004">
      <c r="A980" s="821"/>
      <c r="K980" s="826" t="s">
        <v>2828</v>
      </c>
    </row>
    <row r="981" spans="1:11" x14ac:dyDescent="0.55000000000000004">
      <c r="A981" s="821"/>
      <c r="K981" s="826" t="s">
        <v>2828</v>
      </c>
    </row>
    <row r="982" spans="1:11" x14ac:dyDescent="0.55000000000000004">
      <c r="A982" s="821"/>
      <c r="K982" s="826" t="s">
        <v>2828</v>
      </c>
    </row>
    <row r="983" spans="1:11" x14ac:dyDescent="0.55000000000000004">
      <c r="A983" s="821"/>
      <c r="K983" s="826" t="s">
        <v>2828</v>
      </c>
    </row>
    <row r="984" spans="1:11" x14ac:dyDescent="0.55000000000000004">
      <c r="A984" s="821"/>
      <c r="K984" s="826" t="s">
        <v>2828</v>
      </c>
    </row>
    <row r="985" spans="1:11" x14ac:dyDescent="0.55000000000000004">
      <c r="A985" s="821"/>
      <c r="K985" s="826" t="s">
        <v>2828</v>
      </c>
    </row>
    <row r="986" spans="1:11" x14ac:dyDescent="0.55000000000000004">
      <c r="A986" s="821"/>
      <c r="K986" s="826" t="s">
        <v>2828</v>
      </c>
    </row>
    <row r="987" spans="1:11" x14ac:dyDescent="0.55000000000000004">
      <c r="A987" s="821"/>
      <c r="K987" s="826" t="s">
        <v>2828</v>
      </c>
    </row>
    <row r="988" spans="1:11" x14ac:dyDescent="0.55000000000000004">
      <c r="A988" s="821"/>
      <c r="K988" s="826" t="s">
        <v>2828</v>
      </c>
    </row>
    <row r="989" spans="1:11" x14ac:dyDescent="0.55000000000000004">
      <c r="A989" s="821"/>
      <c r="K989" s="826" t="s">
        <v>2828</v>
      </c>
    </row>
    <row r="990" spans="1:11" x14ac:dyDescent="0.55000000000000004">
      <c r="A990" s="821"/>
      <c r="K990" s="826" t="s">
        <v>2828</v>
      </c>
    </row>
    <row r="991" spans="1:11" x14ac:dyDescent="0.55000000000000004">
      <c r="A991" s="821"/>
      <c r="K991" s="826" t="s">
        <v>2828</v>
      </c>
    </row>
    <row r="992" spans="1:11" x14ac:dyDescent="0.55000000000000004">
      <c r="A992" s="821"/>
      <c r="K992" s="826" t="s">
        <v>2828</v>
      </c>
    </row>
    <row r="993" spans="1:11" x14ac:dyDescent="0.55000000000000004">
      <c r="A993" s="821"/>
      <c r="K993" s="826" t="s">
        <v>2828</v>
      </c>
    </row>
    <row r="994" spans="1:11" x14ac:dyDescent="0.55000000000000004">
      <c r="A994" s="821"/>
      <c r="K994" s="826" t="s">
        <v>2828</v>
      </c>
    </row>
    <row r="995" spans="1:11" x14ac:dyDescent="0.55000000000000004">
      <c r="A995" s="821"/>
      <c r="K995" s="826" t="s">
        <v>2828</v>
      </c>
    </row>
    <row r="996" spans="1:11" x14ac:dyDescent="0.55000000000000004">
      <c r="A996" s="821"/>
      <c r="K996" s="826" t="s">
        <v>2828</v>
      </c>
    </row>
    <row r="997" spans="1:11" x14ac:dyDescent="0.55000000000000004">
      <c r="A997" s="821"/>
      <c r="K997" s="826" t="s">
        <v>2828</v>
      </c>
    </row>
    <row r="998" spans="1:11" x14ac:dyDescent="0.55000000000000004">
      <c r="A998" s="821"/>
      <c r="K998" s="826" t="s">
        <v>2828</v>
      </c>
    </row>
    <row r="999" spans="1:11" x14ac:dyDescent="0.55000000000000004">
      <c r="A999" s="821"/>
      <c r="K999" s="826" t="s">
        <v>2828</v>
      </c>
    </row>
    <row r="1000" spans="1:11" x14ac:dyDescent="0.55000000000000004">
      <c r="A1000" s="821"/>
      <c r="K1000" s="826" t="s">
        <v>2828</v>
      </c>
    </row>
    <row r="1001" spans="1:11" x14ac:dyDescent="0.55000000000000004">
      <c r="A1001" s="821"/>
      <c r="K1001" s="826" t="s">
        <v>2828</v>
      </c>
    </row>
    <row r="1002" spans="1:11" x14ac:dyDescent="0.55000000000000004">
      <c r="A1002" s="821"/>
      <c r="K1002" s="826" t="s">
        <v>2828</v>
      </c>
    </row>
    <row r="1003" spans="1:11" x14ac:dyDescent="0.55000000000000004">
      <c r="A1003" s="821"/>
      <c r="K1003" s="826" t="s">
        <v>2828</v>
      </c>
    </row>
    <row r="1004" spans="1:11" x14ac:dyDescent="0.55000000000000004">
      <c r="A1004" s="821"/>
      <c r="K1004" s="826" t="s">
        <v>2828</v>
      </c>
    </row>
    <row r="1005" spans="1:11" x14ac:dyDescent="0.55000000000000004">
      <c r="A1005" s="821"/>
      <c r="K1005" s="826" t="s">
        <v>2828</v>
      </c>
    </row>
    <row r="1006" spans="1:11" x14ac:dyDescent="0.55000000000000004">
      <c r="A1006" s="821"/>
      <c r="K1006" s="826" t="s">
        <v>2828</v>
      </c>
    </row>
    <row r="1007" spans="1:11" x14ac:dyDescent="0.55000000000000004">
      <c r="A1007" s="821"/>
      <c r="K1007" s="826" t="s">
        <v>2828</v>
      </c>
    </row>
    <row r="1008" spans="1:11" x14ac:dyDescent="0.55000000000000004">
      <c r="A1008" s="821"/>
      <c r="K1008" s="826" t="s">
        <v>2828</v>
      </c>
    </row>
    <row r="1009" spans="1:11" x14ac:dyDescent="0.55000000000000004">
      <c r="A1009" s="821"/>
      <c r="K1009" s="826" t="s">
        <v>2828</v>
      </c>
    </row>
    <row r="1010" spans="1:11" x14ac:dyDescent="0.55000000000000004">
      <c r="A1010" s="821"/>
      <c r="K1010" s="826" t="s">
        <v>2828</v>
      </c>
    </row>
    <row r="1011" spans="1:11" x14ac:dyDescent="0.55000000000000004">
      <c r="A1011" s="821"/>
      <c r="K1011" s="826" t="s">
        <v>2828</v>
      </c>
    </row>
    <row r="1012" spans="1:11" x14ac:dyDescent="0.55000000000000004">
      <c r="A1012" s="821"/>
      <c r="K1012" s="826" t="s">
        <v>2828</v>
      </c>
    </row>
    <row r="1013" spans="1:11" x14ac:dyDescent="0.55000000000000004">
      <c r="A1013" s="821"/>
      <c r="K1013" s="826" t="s">
        <v>2828</v>
      </c>
    </row>
    <row r="1014" spans="1:11" x14ac:dyDescent="0.55000000000000004">
      <c r="A1014" s="821"/>
      <c r="K1014" s="826" t="s">
        <v>2828</v>
      </c>
    </row>
    <row r="1015" spans="1:11" x14ac:dyDescent="0.55000000000000004">
      <c r="A1015" s="821"/>
      <c r="K1015" s="826" t="s">
        <v>2828</v>
      </c>
    </row>
    <row r="1016" spans="1:11" x14ac:dyDescent="0.55000000000000004">
      <c r="A1016" s="821"/>
      <c r="K1016" s="826" t="s">
        <v>2828</v>
      </c>
    </row>
    <row r="1017" spans="1:11" x14ac:dyDescent="0.55000000000000004">
      <c r="A1017" s="821"/>
      <c r="K1017" s="826" t="s">
        <v>2828</v>
      </c>
    </row>
    <row r="1018" spans="1:11" x14ac:dyDescent="0.55000000000000004">
      <c r="A1018" s="821"/>
      <c r="K1018" s="826" t="s">
        <v>2828</v>
      </c>
    </row>
    <row r="1019" spans="1:11" x14ac:dyDescent="0.55000000000000004">
      <c r="A1019" s="821"/>
      <c r="K1019" s="826" t="s">
        <v>2828</v>
      </c>
    </row>
    <row r="1020" spans="1:11" x14ac:dyDescent="0.55000000000000004">
      <c r="A1020" s="821"/>
      <c r="K1020" s="826" t="s">
        <v>2828</v>
      </c>
    </row>
    <row r="1021" spans="1:11" x14ac:dyDescent="0.55000000000000004">
      <c r="A1021" s="821"/>
      <c r="K1021" s="826" t="s">
        <v>2828</v>
      </c>
    </row>
    <row r="1022" spans="1:11" x14ac:dyDescent="0.55000000000000004">
      <c r="A1022" s="821"/>
      <c r="K1022" s="826" t="s">
        <v>2828</v>
      </c>
    </row>
    <row r="1023" spans="1:11" x14ac:dyDescent="0.55000000000000004">
      <c r="A1023" s="821"/>
      <c r="K1023" s="826" t="s">
        <v>2828</v>
      </c>
    </row>
    <row r="1024" spans="1:11" x14ac:dyDescent="0.55000000000000004">
      <c r="A1024" s="821"/>
      <c r="K1024" s="826" t="s">
        <v>2828</v>
      </c>
    </row>
    <row r="1025" spans="1:11" x14ac:dyDescent="0.55000000000000004">
      <c r="A1025" s="821"/>
      <c r="K1025" s="826" t="s">
        <v>2828</v>
      </c>
    </row>
    <row r="1026" spans="1:11" x14ac:dyDescent="0.55000000000000004">
      <c r="A1026" s="821"/>
      <c r="K1026" s="826" t="s">
        <v>2828</v>
      </c>
    </row>
    <row r="1027" spans="1:11" x14ac:dyDescent="0.55000000000000004">
      <c r="A1027" s="821"/>
      <c r="K1027" s="826" t="s">
        <v>2828</v>
      </c>
    </row>
    <row r="1028" spans="1:11" x14ac:dyDescent="0.55000000000000004">
      <c r="A1028" s="821"/>
      <c r="K1028" s="826" t="s">
        <v>2828</v>
      </c>
    </row>
    <row r="1029" spans="1:11" x14ac:dyDescent="0.55000000000000004">
      <c r="A1029" s="821"/>
      <c r="K1029" s="826" t="s">
        <v>2828</v>
      </c>
    </row>
    <row r="1030" spans="1:11" x14ac:dyDescent="0.55000000000000004">
      <c r="A1030" s="821"/>
      <c r="K1030" s="826" t="s">
        <v>2828</v>
      </c>
    </row>
    <row r="1031" spans="1:11" x14ac:dyDescent="0.55000000000000004">
      <c r="A1031" s="821"/>
      <c r="K1031" s="826" t="s">
        <v>2828</v>
      </c>
    </row>
    <row r="1032" spans="1:11" x14ac:dyDescent="0.55000000000000004">
      <c r="A1032" s="821"/>
      <c r="K1032" s="826" t="s">
        <v>2828</v>
      </c>
    </row>
    <row r="1033" spans="1:11" x14ac:dyDescent="0.55000000000000004">
      <c r="A1033" s="821"/>
      <c r="K1033" s="826" t="s">
        <v>2828</v>
      </c>
    </row>
    <row r="1034" spans="1:11" x14ac:dyDescent="0.55000000000000004">
      <c r="A1034" s="821"/>
      <c r="K1034" s="826" t="s">
        <v>2828</v>
      </c>
    </row>
    <row r="1035" spans="1:11" x14ac:dyDescent="0.55000000000000004">
      <c r="A1035" s="821"/>
      <c r="K1035" s="826" t="s">
        <v>2828</v>
      </c>
    </row>
    <row r="1036" spans="1:11" x14ac:dyDescent="0.55000000000000004">
      <c r="A1036" s="821"/>
      <c r="K1036" s="826" t="s">
        <v>2828</v>
      </c>
    </row>
    <row r="1037" spans="1:11" x14ac:dyDescent="0.55000000000000004">
      <c r="A1037" s="821"/>
      <c r="K1037" s="826" t="s">
        <v>2828</v>
      </c>
    </row>
    <row r="1038" spans="1:11" x14ac:dyDescent="0.55000000000000004">
      <c r="A1038" s="821"/>
      <c r="K1038" s="826" t="s">
        <v>2828</v>
      </c>
    </row>
    <row r="1039" spans="1:11" x14ac:dyDescent="0.55000000000000004">
      <c r="A1039" s="821"/>
      <c r="K1039" s="826" t="s">
        <v>2828</v>
      </c>
    </row>
    <row r="1040" spans="1:11" x14ac:dyDescent="0.55000000000000004">
      <c r="A1040" s="821"/>
      <c r="K1040" s="826" t="s">
        <v>2828</v>
      </c>
    </row>
    <row r="1041" spans="1:11" x14ac:dyDescent="0.55000000000000004">
      <c r="A1041" s="821"/>
      <c r="K1041" s="826" t="s">
        <v>2828</v>
      </c>
    </row>
    <row r="1042" spans="1:11" x14ac:dyDescent="0.55000000000000004">
      <c r="A1042" s="821"/>
      <c r="K1042" s="826" t="s">
        <v>2828</v>
      </c>
    </row>
    <row r="1043" spans="1:11" x14ac:dyDescent="0.55000000000000004">
      <c r="A1043" s="821"/>
      <c r="K1043" s="826" t="s">
        <v>2828</v>
      </c>
    </row>
    <row r="1044" spans="1:11" x14ac:dyDescent="0.55000000000000004">
      <c r="A1044" s="821"/>
      <c r="K1044" s="826" t="s">
        <v>2828</v>
      </c>
    </row>
    <row r="1045" spans="1:11" x14ac:dyDescent="0.55000000000000004">
      <c r="A1045" s="821"/>
      <c r="K1045" s="826" t="s">
        <v>2828</v>
      </c>
    </row>
    <row r="1046" spans="1:11" x14ac:dyDescent="0.55000000000000004">
      <c r="A1046" s="821"/>
      <c r="K1046" s="826" t="s">
        <v>2828</v>
      </c>
    </row>
    <row r="1047" spans="1:11" x14ac:dyDescent="0.55000000000000004">
      <c r="A1047" s="821"/>
      <c r="K1047" s="826" t="s">
        <v>2828</v>
      </c>
    </row>
    <row r="1048" spans="1:11" x14ac:dyDescent="0.55000000000000004">
      <c r="A1048" s="821"/>
      <c r="K1048" s="826" t="s">
        <v>2828</v>
      </c>
    </row>
    <row r="1049" spans="1:11" x14ac:dyDescent="0.55000000000000004">
      <c r="A1049" s="821"/>
      <c r="K1049" s="826" t="s">
        <v>2828</v>
      </c>
    </row>
    <row r="1050" spans="1:11" x14ac:dyDescent="0.55000000000000004">
      <c r="A1050" s="821"/>
      <c r="K1050" s="826" t="s">
        <v>2828</v>
      </c>
    </row>
    <row r="1051" spans="1:11" x14ac:dyDescent="0.55000000000000004">
      <c r="A1051" s="821"/>
      <c r="K1051" s="826" t="s">
        <v>2828</v>
      </c>
    </row>
    <row r="1052" spans="1:11" x14ac:dyDescent="0.55000000000000004">
      <c r="A1052" s="821"/>
      <c r="K1052" s="826" t="s">
        <v>2828</v>
      </c>
    </row>
    <row r="1053" spans="1:11" x14ac:dyDescent="0.55000000000000004">
      <c r="A1053" s="821"/>
      <c r="K1053" s="826" t="s">
        <v>2828</v>
      </c>
    </row>
    <row r="1054" spans="1:11" x14ac:dyDescent="0.55000000000000004">
      <c r="A1054" s="821"/>
      <c r="K1054" s="826" t="s">
        <v>2828</v>
      </c>
    </row>
    <row r="1055" spans="1:11" x14ac:dyDescent="0.55000000000000004">
      <c r="A1055" s="821"/>
      <c r="K1055" s="826" t="s">
        <v>2828</v>
      </c>
    </row>
    <row r="1056" spans="1:11" x14ac:dyDescent="0.55000000000000004">
      <c r="A1056" s="821"/>
      <c r="K1056" s="826" t="s">
        <v>2828</v>
      </c>
    </row>
    <row r="1057" spans="1:11" x14ac:dyDescent="0.55000000000000004">
      <c r="A1057" s="821"/>
      <c r="K1057" s="826" t="s">
        <v>2828</v>
      </c>
    </row>
    <row r="1058" spans="1:11" x14ac:dyDescent="0.55000000000000004">
      <c r="A1058" s="821"/>
      <c r="K1058" s="826" t="s">
        <v>2828</v>
      </c>
    </row>
    <row r="1059" spans="1:11" x14ac:dyDescent="0.55000000000000004">
      <c r="A1059" s="821"/>
      <c r="K1059" s="826" t="s">
        <v>2828</v>
      </c>
    </row>
    <row r="1060" spans="1:11" x14ac:dyDescent="0.55000000000000004">
      <c r="A1060" s="821"/>
      <c r="K1060" s="826" t="s">
        <v>2828</v>
      </c>
    </row>
    <row r="1061" spans="1:11" x14ac:dyDescent="0.55000000000000004">
      <c r="A1061" s="821"/>
      <c r="K1061" s="826" t="s">
        <v>2828</v>
      </c>
    </row>
    <row r="1062" spans="1:11" x14ac:dyDescent="0.55000000000000004">
      <c r="A1062" s="821"/>
      <c r="K1062" s="826" t="s">
        <v>2828</v>
      </c>
    </row>
    <row r="1063" spans="1:11" x14ac:dyDescent="0.55000000000000004">
      <c r="A1063" s="821"/>
      <c r="K1063" s="826" t="s">
        <v>2828</v>
      </c>
    </row>
    <row r="1064" spans="1:11" x14ac:dyDescent="0.55000000000000004">
      <c r="A1064" s="821"/>
      <c r="K1064" s="826" t="s">
        <v>2828</v>
      </c>
    </row>
    <row r="1065" spans="1:11" x14ac:dyDescent="0.55000000000000004">
      <c r="A1065" s="821"/>
      <c r="K1065" s="826" t="s">
        <v>2828</v>
      </c>
    </row>
    <row r="1066" spans="1:11" x14ac:dyDescent="0.55000000000000004">
      <c r="A1066" s="821"/>
      <c r="K1066" s="826" t="s">
        <v>2828</v>
      </c>
    </row>
    <row r="1067" spans="1:11" x14ac:dyDescent="0.55000000000000004">
      <c r="A1067" s="821"/>
      <c r="K1067" s="826" t="s">
        <v>2828</v>
      </c>
    </row>
    <row r="1068" spans="1:11" x14ac:dyDescent="0.55000000000000004">
      <c r="A1068" s="821"/>
      <c r="K1068" s="826" t="s">
        <v>2828</v>
      </c>
    </row>
    <row r="1069" spans="1:11" x14ac:dyDescent="0.55000000000000004">
      <c r="A1069" s="821"/>
      <c r="K1069" s="826" t="s">
        <v>2828</v>
      </c>
    </row>
    <row r="1070" spans="1:11" x14ac:dyDescent="0.55000000000000004">
      <c r="A1070" s="821"/>
      <c r="K1070" s="826" t="s">
        <v>2828</v>
      </c>
    </row>
    <row r="1071" spans="1:11" x14ac:dyDescent="0.55000000000000004">
      <c r="A1071" s="821"/>
      <c r="K1071" s="826" t="s">
        <v>2828</v>
      </c>
    </row>
    <row r="1072" spans="1:11" x14ac:dyDescent="0.55000000000000004">
      <c r="A1072" s="821"/>
      <c r="K1072" s="826" t="s">
        <v>2828</v>
      </c>
    </row>
    <row r="1073" spans="1:11" x14ac:dyDescent="0.55000000000000004">
      <c r="A1073" s="821"/>
      <c r="K1073" s="826" t="s">
        <v>2828</v>
      </c>
    </row>
    <row r="1074" spans="1:11" x14ac:dyDescent="0.55000000000000004">
      <c r="A1074" s="821"/>
      <c r="K1074" s="826" t="s">
        <v>2828</v>
      </c>
    </row>
    <row r="1075" spans="1:11" x14ac:dyDescent="0.55000000000000004">
      <c r="A1075" s="821"/>
      <c r="K1075" s="826" t="s">
        <v>2828</v>
      </c>
    </row>
    <row r="1076" spans="1:11" x14ac:dyDescent="0.55000000000000004">
      <c r="A1076" s="821"/>
      <c r="K1076" s="826" t="s">
        <v>2828</v>
      </c>
    </row>
    <row r="1077" spans="1:11" x14ac:dyDescent="0.55000000000000004">
      <c r="A1077" s="821"/>
      <c r="K1077" s="826" t="s">
        <v>2828</v>
      </c>
    </row>
    <row r="1078" spans="1:11" x14ac:dyDescent="0.55000000000000004">
      <c r="A1078" s="821"/>
      <c r="K1078" s="826" t="s">
        <v>2828</v>
      </c>
    </row>
    <row r="1079" spans="1:11" x14ac:dyDescent="0.55000000000000004">
      <c r="A1079" s="821"/>
      <c r="K1079" s="826" t="s">
        <v>2828</v>
      </c>
    </row>
    <row r="1080" spans="1:11" x14ac:dyDescent="0.55000000000000004">
      <c r="A1080" s="821"/>
      <c r="K1080" s="826" t="s">
        <v>2828</v>
      </c>
    </row>
    <row r="1081" spans="1:11" x14ac:dyDescent="0.55000000000000004">
      <c r="A1081" s="821"/>
      <c r="K1081" s="826" t="s">
        <v>2828</v>
      </c>
    </row>
    <row r="1082" spans="1:11" x14ac:dyDescent="0.55000000000000004">
      <c r="A1082" s="821"/>
      <c r="K1082" s="826" t="s">
        <v>2828</v>
      </c>
    </row>
    <row r="1083" spans="1:11" x14ac:dyDescent="0.55000000000000004">
      <c r="A1083" s="821"/>
      <c r="K1083" s="826" t="s">
        <v>2828</v>
      </c>
    </row>
    <row r="1084" spans="1:11" x14ac:dyDescent="0.55000000000000004">
      <c r="A1084" s="821"/>
      <c r="K1084" s="826" t="s">
        <v>2828</v>
      </c>
    </row>
    <row r="1085" spans="1:11" x14ac:dyDescent="0.55000000000000004">
      <c r="A1085" s="821"/>
      <c r="K1085" s="826" t="s">
        <v>2828</v>
      </c>
    </row>
    <row r="1086" spans="1:11" x14ac:dyDescent="0.55000000000000004">
      <c r="A1086" s="821"/>
      <c r="K1086" s="826" t="s">
        <v>2828</v>
      </c>
    </row>
    <row r="1087" spans="1:11" x14ac:dyDescent="0.55000000000000004">
      <c r="A1087" s="821"/>
      <c r="K1087" s="826" t="s">
        <v>2828</v>
      </c>
    </row>
    <row r="1088" spans="1:11" x14ac:dyDescent="0.55000000000000004">
      <c r="A1088" s="821"/>
      <c r="K1088" s="826" t="s">
        <v>2828</v>
      </c>
    </row>
    <row r="1089" spans="1:11" x14ac:dyDescent="0.55000000000000004">
      <c r="A1089" s="821"/>
      <c r="K1089" s="826" t="s">
        <v>2828</v>
      </c>
    </row>
    <row r="1090" spans="1:11" x14ac:dyDescent="0.55000000000000004">
      <c r="A1090" s="821"/>
      <c r="K1090" s="826" t="s">
        <v>2828</v>
      </c>
    </row>
    <row r="1091" spans="1:11" x14ac:dyDescent="0.55000000000000004">
      <c r="A1091" s="821"/>
      <c r="K1091" s="826" t="s">
        <v>2828</v>
      </c>
    </row>
    <row r="1092" spans="1:11" x14ac:dyDescent="0.55000000000000004">
      <c r="A1092" s="821"/>
      <c r="K1092" s="826" t="s">
        <v>2828</v>
      </c>
    </row>
    <row r="1093" spans="1:11" x14ac:dyDescent="0.55000000000000004">
      <c r="A1093" s="821"/>
      <c r="K1093" s="826" t="s">
        <v>2828</v>
      </c>
    </row>
    <row r="1094" spans="1:11" x14ac:dyDescent="0.55000000000000004">
      <c r="A1094" s="821"/>
      <c r="K1094" s="826" t="s">
        <v>2828</v>
      </c>
    </row>
    <row r="1095" spans="1:11" x14ac:dyDescent="0.55000000000000004">
      <c r="A1095" s="821"/>
      <c r="K1095" s="826" t="s">
        <v>2828</v>
      </c>
    </row>
    <row r="1096" spans="1:11" x14ac:dyDescent="0.55000000000000004">
      <c r="A1096" s="821"/>
      <c r="K1096" s="826" t="s">
        <v>2828</v>
      </c>
    </row>
    <row r="1097" spans="1:11" x14ac:dyDescent="0.55000000000000004">
      <c r="A1097" s="821"/>
      <c r="K1097" s="826" t="s">
        <v>2828</v>
      </c>
    </row>
    <row r="1098" spans="1:11" x14ac:dyDescent="0.55000000000000004">
      <c r="A1098" s="821"/>
      <c r="K1098" s="826" t="s">
        <v>2828</v>
      </c>
    </row>
    <row r="1099" spans="1:11" x14ac:dyDescent="0.55000000000000004">
      <c r="A1099" s="821"/>
      <c r="K1099" s="826" t="s">
        <v>2828</v>
      </c>
    </row>
    <row r="1100" spans="1:11" x14ac:dyDescent="0.55000000000000004">
      <c r="A1100" s="821"/>
      <c r="K1100" s="826" t="s">
        <v>2828</v>
      </c>
    </row>
    <row r="1101" spans="1:11" x14ac:dyDescent="0.55000000000000004">
      <c r="A1101" s="821"/>
      <c r="K1101" s="826" t="s">
        <v>2828</v>
      </c>
    </row>
    <row r="1102" spans="1:11" x14ac:dyDescent="0.55000000000000004">
      <c r="A1102" s="821"/>
      <c r="K1102" s="826" t="s">
        <v>2828</v>
      </c>
    </row>
    <row r="1103" spans="1:11" x14ac:dyDescent="0.55000000000000004">
      <c r="A1103" s="821"/>
      <c r="K1103" s="826" t="s">
        <v>2828</v>
      </c>
    </row>
    <row r="1104" spans="1:11" x14ac:dyDescent="0.55000000000000004">
      <c r="A1104" s="821"/>
      <c r="K1104" s="826" t="s">
        <v>2828</v>
      </c>
    </row>
    <row r="1105" spans="1:11" x14ac:dyDescent="0.55000000000000004">
      <c r="A1105" s="821"/>
      <c r="K1105" s="826" t="s">
        <v>2828</v>
      </c>
    </row>
    <row r="1106" spans="1:11" x14ac:dyDescent="0.55000000000000004">
      <c r="A1106" s="821"/>
      <c r="K1106" s="826" t="s">
        <v>2828</v>
      </c>
    </row>
    <row r="1107" spans="1:11" x14ac:dyDescent="0.55000000000000004">
      <c r="A1107" s="821"/>
      <c r="K1107" s="826" t="s">
        <v>2828</v>
      </c>
    </row>
    <row r="1108" spans="1:11" x14ac:dyDescent="0.55000000000000004">
      <c r="A1108" s="821"/>
      <c r="K1108" s="826" t="s">
        <v>2828</v>
      </c>
    </row>
    <row r="1109" spans="1:11" x14ac:dyDescent="0.55000000000000004">
      <c r="A1109" s="821"/>
      <c r="K1109" s="826" t="s">
        <v>2828</v>
      </c>
    </row>
    <row r="1110" spans="1:11" x14ac:dyDescent="0.55000000000000004">
      <c r="A1110" s="821"/>
      <c r="K1110" s="826" t="s">
        <v>2828</v>
      </c>
    </row>
    <row r="1111" spans="1:11" x14ac:dyDescent="0.55000000000000004">
      <c r="A1111" s="821"/>
      <c r="K1111" s="826" t="s">
        <v>2828</v>
      </c>
    </row>
    <row r="1112" spans="1:11" x14ac:dyDescent="0.55000000000000004">
      <c r="A1112" s="821"/>
      <c r="K1112" s="826" t="s">
        <v>2828</v>
      </c>
    </row>
    <row r="1113" spans="1:11" x14ac:dyDescent="0.55000000000000004">
      <c r="A1113" s="821"/>
      <c r="K1113" s="826" t="s">
        <v>2828</v>
      </c>
    </row>
    <row r="1114" spans="1:11" x14ac:dyDescent="0.55000000000000004">
      <c r="A1114" s="821"/>
      <c r="K1114" s="826" t="s">
        <v>2828</v>
      </c>
    </row>
    <row r="1115" spans="1:11" x14ac:dyDescent="0.55000000000000004">
      <c r="A1115" s="821"/>
      <c r="K1115" s="826" t="s">
        <v>2828</v>
      </c>
    </row>
    <row r="1116" spans="1:11" x14ac:dyDescent="0.55000000000000004">
      <c r="A1116" s="821"/>
      <c r="K1116" s="826" t="s">
        <v>2828</v>
      </c>
    </row>
    <row r="1117" spans="1:11" x14ac:dyDescent="0.55000000000000004">
      <c r="A1117" s="821"/>
      <c r="K1117" s="826" t="s">
        <v>2828</v>
      </c>
    </row>
    <row r="1118" spans="1:11" x14ac:dyDescent="0.55000000000000004">
      <c r="A1118" s="821"/>
      <c r="K1118" s="826" t="s">
        <v>2828</v>
      </c>
    </row>
    <row r="1119" spans="1:11" x14ac:dyDescent="0.55000000000000004">
      <c r="A1119" s="821"/>
      <c r="K1119" s="826" t="s">
        <v>2828</v>
      </c>
    </row>
    <row r="1120" spans="1:11" x14ac:dyDescent="0.55000000000000004">
      <c r="A1120" s="821"/>
      <c r="K1120" s="826" t="s">
        <v>2828</v>
      </c>
    </row>
    <row r="1121" spans="1:11" x14ac:dyDescent="0.55000000000000004">
      <c r="A1121" s="821"/>
      <c r="K1121" s="826" t="s">
        <v>2828</v>
      </c>
    </row>
    <row r="1122" spans="1:11" x14ac:dyDescent="0.55000000000000004">
      <c r="A1122" s="821"/>
      <c r="K1122" s="826" t="s">
        <v>2828</v>
      </c>
    </row>
    <row r="1123" spans="1:11" x14ac:dyDescent="0.55000000000000004">
      <c r="A1123" s="821"/>
      <c r="K1123" s="826" t="s">
        <v>2828</v>
      </c>
    </row>
    <row r="1124" spans="1:11" x14ac:dyDescent="0.55000000000000004">
      <c r="A1124" s="821"/>
      <c r="K1124" s="826" t="s">
        <v>2828</v>
      </c>
    </row>
    <row r="1125" spans="1:11" x14ac:dyDescent="0.55000000000000004">
      <c r="A1125" s="821"/>
      <c r="K1125" s="826" t="s">
        <v>2828</v>
      </c>
    </row>
    <row r="1126" spans="1:11" x14ac:dyDescent="0.55000000000000004">
      <c r="A1126" s="821"/>
      <c r="K1126" s="826" t="s">
        <v>2828</v>
      </c>
    </row>
    <row r="1127" spans="1:11" x14ac:dyDescent="0.55000000000000004">
      <c r="A1127" s="821"/>
      <c r="K1127" s="826" t="s">
        <v>2828</v>
      </c>
    </row>
    <row r="1128" spans="1:11" x14ac:dyDescent="0.55000000000000004">
      <c r="A1128" s="821"/>
      <c r="K1128" s="826" t="s">
        <v>2828</v>
      </c>
    </row>
    <row r="1129" spans="1:11" x14ac:dyDescent="0.55000000000000004">
      <c r="A1129" s="821"/>
      <c r="K1129" s="826" t="s">
        <v>2828</v>
      </c>
    </row>
    <row r="1130" spans="1:11" x14ac:dyDescent="0.55000000000000004">
      <c r="A1130" s="821"/>
      <c r="K1130" s="826" t="s">
        <v>2828</v>
      </c>
    </row>
    <row r="1131" spans="1:11" x14ac:dyDescent="0.55000000000000004">
      <c r="A1131" s="821"/>
      <c r="K1131" s="826" t="s">
        <v>2828</v>
      </c>
    </row>
    <row r="1132" spans="1:11" x14ac:dyDescent="0.55000000000000004">
      <c r="A1132" s="821"/>
      <c r="K1132" s="826" t="s">
        <v>2828</v>
      </c>
    </row>
    <row r="1133" spans="1:11" x14ac:dyDescent="0.55000000000000004">
      <c r="A1133" s="821"/>
      <c r="K1133" s="826" t="s">
        <v>2828</v>
      </c>
    </row>
    <row r="1134" spans="1:11" x14ac:dyDescent="0.55000000000000004">
      <c r="A1134" s="821"/>
      <c r="K1134" s="826" t="s">
        <v>2828</v>
      </c>
    </row>
    <row r="1135" spans="1:11" x14ac:dyDescent="0.55000000000000004">
      <c r="A1135" s="821"/>
      <c r="K1135" s="826" t="s">
        <v>2828</v>
      </c>
    </row>
    <row r="1136" spans="1:11" x14ac:dyDescent="0.55000000000000004">
      <c r="A1136" s="821"/>
      <c r="K1136" s="826" t="s">
        <v>2828</v>
      </c>
    </row>
    <row r="1137" spans="1:11" x14ac:dyDescent="0.55000000000000004">
      <c r="A1137" s="821"/>
      <c r="K1137" s="826" t="s">
        <v>2828</v>
      </c>
    </row>
    <row r="1138" spans="1:11" x14ac:dyDescent="0.55000000000000004">
      <c r="A1138" s="821"/>
      <c r="K1138" s="826" t="s">
        <v>2828</v>
      </c>
    </row>
    <row r="1139" spans="1:11" x14ac:dyDescent="0.55000000000000004">
      <c r="A1139" s="821"/>
      <c r="K1139" s="826" t="s">
        <v>2828</v>
      </c>
    </row>
    <row r="1140" spans="1:11" x14ac:dyDescent="0.55000000000000004">
      <c r="A1140" s="821"/>
      <c r="K1140" s="826" t="s">
        <v>2828</v>
      </c>
    </row>
    <row r="1141" spans="1:11" x14ac:dyDescent="0.55000000000000004">
      <c r="A1141" s="821"/>
      <c r="K1141" s="826" t="s">
        <v>2828</v>
      </c>
    </row>
    <row r="1142" spans="1:11" x14ac:dyDescent="0.55000000000000004">
      <c r="A1142" s="821"/>
      <c r="K1142" s="826" t="s">
        <v>2828</v>
      </c>
    </row>
    <row r="1143" spans="1:11" x14ac:dyDescent="0.55000000000000004">
      <c r="A1143" s="821"/>
      <c r="K1143" s="826" t="s">
        <v>2828</v>
      </c>
    </row>
    <row r="1144" spans="1:11" x14ac:dyDescent="0.55000000000000004">
      <c r="A1144" s="821"/>
      <c r="K1144" s="826" t="s">
        <v>2828</v>
      </c>
    </row>
    <row r="1145" spans="1:11" x14ac:dyDescent="0.55000000000000004">
      <c r="A1145" s="821"/>
      <c r="K1145" s="826" t="s">
        <v>2828</v>
      </c>
    </row>
    <row r="1146" spans="1:11" x14ac:dyDescent="0.55000000000000004">
      <c r="A1146" s="821"/>
      <c r="K1146" s="826" t="s">
        <v>2828</v>
      </c>
    </row>
    <row r="1147" spans="1:11" x14ac:dyDescent="0.55000000000000004">
      <c r="A1147" s="821"/>
      <c r="K1147" s="826" t="s">
        <v>2828</v>
      </c>
    </row>
    <row r="1148" spans="1:11" x14ac:dyDescent="0.55000000000000004">
      <c r="A1148" s="821"/>
      <c r="K1148" s="826" t="s">
        <v>2828</v>
      </c>
    </row>
    <row r="1149" spans="1:11" x14ac:dyDescent="0.55000000000000004">
      <c r="A1149" s="821"/>
      <c r="K1149" s="826" t="s">
        <v>2828</v>
      </c>
    </row>
    <row r="1150" spans="1:11" x14ac:dyDescent="0.55000000000000004">
      <c r="A1150" s="821"/>
      <c r="K1150" s="826" t="s">
        <v>2828</v>
      </c>
    </row>
    <row r="1151" spans="1:11" x14ac:dyDescent="0.55000000000000004">
      <c r="A1151" s="821"/>
      <c r="K1151" s="826" t="s">
        <v>2828</v>
      </c>
    </row>
    <row r="1152" spans="1:11" x14ac:dyDescent="0.55000000000000004">
      <c r="A1152" s="821"/>
      <c r="K1152" s="826" t="s">
        <v>2828</v>
      </c>
    </row>
    <row r="1153" spans="1:11" x14ac:dyDescent="0.55000000000000004">
      <c r="A1153" s="821"/>
      <c r="K1153" s="826" t="s">
        <v>2828</v>
      </c>
    </row>
    <row r="1154" spans="1:11" x14ac:dyDescent="0.55000000000000004">
      <c r="A1154" s="821"/>
      <c r="K1154" s="826" t="s">
        <v>2828</v>
      </c>
    </row>
    <row r="1155" spans="1:11" x14ac:dyDescent="0.55000000000000004">
      <c r="A1155" s="821"/>
      <c r="K1155" s="826" t="s">
        <v>2828</v>
      </c>
    </row>
    <row r="1156" spans="1:11" x14ac:dyDescent="0.55000000000000004">
      <c r="A1156" s="821"/>
      <c r="K1156" s="826" t="s">
        <v>2828</v>
      </c>
    </row>
    <row r="1157" spans="1:11" x14ac:dyDescent="0.55000000000000004">
      <c r="A1157" s="821"/>
      <c r="K1157" s="826" t="s">
        <v>2828</v>
      </c>
    </row>
    <row r="1158" spans="1:11" x14ac:dyDescent="0.55000000000000004">
      <c r="A1158" s="821"/>
      <c r="K1158" s="826" t="s">
        <v>2828</v>
      </c>
    </row>
    <row r="1159" spans="1:11" x14ac:dyDescent="0.55000000000000004">
      <c r="A1159" s="821"/>
      <c r="K1159" s="826" t="s">
        <v>2828</v>
      </c>
    </row>
    <row r="1160" spans="1:11" x14ac:dyDescent="0.55000000000000004">
      <c r="A1160" s="821"/>
      <c r="K1160" s="826" t="s">
        <v>2828</v>
      </c>
    </row>
    <row r="1161" spans="1:11" x14ac:dyDescent="0.55000000000000004">
      <c r="A1161" s="821"/>
      <c r="K1161" s="826" t="s">
        <v>2828</v>
      </c>
    </row>
    <row r="1162" spans="1:11" x14ac:dyDescent="0.55000000000000004">
      <c r="A1162" s="821"/>
      <c r="K1162" s="826" t="s">
        <v>2828</v>
      </c>
    </row>
    <row r="1163" spans="1:11" x14ac:dyDescent="0.55000000000000004">
      <c r="A1163" s="821"/>
      <c r="K1163" s="826" t="s">
        <v>2828</v>
      </c>
    </row>
    <row r="1164" spans="1:11" x14ac:dyDescent="0.55000000000000004">
      <c r="A1164" s="821"/>
      <c r="K1164" s="826" t="s">
        <v>2828</v>
      </c>
    </row>
    <row r="1165" spans="1:11" x14ac:dyDescent="0.55000000000000004">
      <c r="A1165" s="821"/>
      <c r="K1165" s="826" t="s">
        <v>2828</v>
      </c>
    </row>
    <row r="1166" spans="1:11" x14ac:dyDescent="0.55000000000000004">
      <c r="A1166" s="821"/>
      <c r="K1166" s="826" t="s">
        <v>2828</v>
      </c>
    </row>
    <row r="1167" spans="1:11" x14ac:dyDescent="0.55000000000000004">
      <c r="A1167" s="821"/>
      <c r="K1167" s="826" t="s">
        <v>2828</v>
      </c>
    </row>
    <row r="1168" spans="1:11" x14ac:dyDescent="0.55000000000000004">
      <c r="A1168" s="821"/>
      <c r="K1168" s="826" t="s">
        <v>2828</v>
      </c>
    </row>
    <row r="1169" spans="1:11" x14ac:dyDescent="0.55000000000000004">
      <c r="A1169" s="821"/>
      <c r="K1169" s="826" t="s">
        <v>2828</v>
      </c>
    </row>
    <row r="1170" spans="1:11" x14ac:dyDescent="0.55000000000000004">
      <c r="A1170" s="821"/>
      <c r="K1170" s="826" t="s">
        <v>2828</v>
      </c>
    </row>
    <row r="1171" spans="1:11" x14ac:dyDescent="0.55000000000000004">
      <c r="A1171" s="821"/>
      <c r="K1171" s="826" t="s">
        <v>2828</v>
      </c>
    </row>
    <row r="1172" spans="1:11" x14ac:dyDescent="0.55000000000000004">
      <c r="A1172" s="821"/>
      <c r="K1172" s="826" t="s">
        <v>2828</v>
      </c>
    </row>
    <row r="1173" spans="1:11" x14ac:dyDescent="0.55000000000000004">
      <c r="A1173" s="821"/>
      <c r="K1173" s="826" t="s">
        <v>2828</v>
      </c>
    </row>
    <row r="1174" spans="1:11" x14ac:dyDescent="0.55000000000000004">
      <c r="A1174" s="821"/>
      <c r="K1174" s="826" t="s">
        <v>2828</v>
      </c>
    </row>
    <row r="1175" spans="1:11" x14ac:dyDescent="0.55000000000000004">
      <c r="A1175" s="821"/>
      <c r="K1175" s="826" t="s">
        <v>2828</v>
      </c>
    </row>
    <row r="1176" spans="1:11" x14ac:dyDescent="0.55000000000000004">
      <c r="A1176" s="821"/>
      <c r="K1176" s="826" t="s">
        <v>2828</v>
      </c>
    </row>
    <row r="1177" spans="1:11" x14ac:dyDescent="0.55000000000000004">
      <c r="A1177" s="821"/>
      <c r="K1177" s="826" t="s">
        <v>2828</v>
      </c>
    </row>
    <row r="1178" spans="1:11" x14ac:dyDescent="0.55000000000000004">
      <c r="A1178" s="821"/>
      <c r="K1178" s="826" t="s">
        <v>2828</v>
      </c>
    </row>
    <row r="1179" spans="1:11" x14ac:dyDescent="0.55000000000000004">
      <c r="A1179" s="821"/>
      <c r="K1179" s="826" t="s">
        <v>2828</v>
      </c>
    </row>
    <row r="1180" spans="1:11" x14ac:dyDescent="0.55000000000000004">
      <c r="A1180" s="821"/>
      <c r="K1180" s="826" t="s">
        <v>2828</v>
      </c>
    </row>
    <row r="1181" spans="1:11" x14ac:dyDescent="0.55000000000000004">
      <c r="A1181" s="821"/>
      <c r="K1181" s="826" t="s">
        <v>2828</v>
      </c>
    </row>
    <row r="1182" spans="1:11" x14ac:dyDescent="0.55000000000000004">
      <c r="A1182" s="821"/>
      <c r="K1182" s="826" t="s">
        <v>2828</v>
      </c>
    </row>
    <row r="1183" spans="1:11" x14ac:dyDescent="0.55000000000000004">
      <c r="A1183" s="821"/>
      <c r="K1183" s="826" t="s">
        <v>2828</v>
      </c>
    </row>
    <row r="1184" spans="1:11" x14ac:dyDescent="0.55000000000000004">
      <c r="A1184" s="821"/>
      <c r="K1184" s="826" t="s">
        <v>2828</v>
      </c>
    </row>
    <row r="1185" spans="1:11" x14ac:dyDescent="0.55000000000000004">
      <c r="A1185" s="821"/>
      <c r="K1185" s="826" t="s">
        <v>2828</v>
      </c>
    </row>
    <row r="1186" spans="1:11" x14ac:dyDescent="0.55000000000000004">
      <c r="A1186" s="821"/>
      <c r="K1186" s="826" t="s">
        <v>2828</v>
      </c>
    </row>
    <row r="1187" spans="1:11" x14ac:dyDescent="0.55000000000000004">
      <c r="A1187" s="821"/>
      <c r="K1187" s="826" t="s">
        <v>2828</v>
      </c>
    </row>
    <row r="1188" spans="1:11" x14ac:dyDescent="0.55000000000000004">
      <c r="A1188" s="821"/>
      <c r="K1188" s="826" t="s">
        <v>2828</v>
      </c>
    </row>
    <row r="1189" spans="1:11" x14ac:dyDescent="0.55000000000000004">
      <c r="A1189" s="821"/>
      <c r="K1189" s="826" t="s">
        <v>2828</v>
      </c>
    </row>
    <row r="1190" spans="1:11" x14ac:dyDescent="0.55000000000000004">
      <c r="A1190" s="821"/>
      <c r="K1190" s="826" t="s">
        <v>2828</v>
      </c>
    </row>
    <row r="1191" spans="1:11" x14ac:dyDescent="0.55000000000000004">
      <c r="A1191" s="821"/>
      <c r="K1191" s="826" t="s">
        <v>2828</v>
      </c>
    </row>
    <row r="1192" spans="1:11" x14ac:dyDescent="0.55000000000000004">
      <c r="A1192" s="821"/>
      <c r="K1192" s="826" t="s">
        <v>2828</v>
      </c>
    </row>
    <row r="1193" spans="1:11" x14ac:dyDescent="0.55000000000000004">
      <c r="A1193" s="821"/>
      <c r="K1193" s="826" t="s">
        <v>2828</v>
      </c>
    </row>
    <row r="1194" spans="1:11" x14ac:dyDescent="0.55000000000000004">
      <c r="A1194" s="821"/>
      <c r="K1194" s="826" t="s">
        <v>2828</v>
      </c>
    </row>
    <row r="1195" spans="1:11" x14ac:dyDescent="0.55000000000000004">
      <c r="A1195" s="821"/>
      <c r="K1195" s="826" t="s">
        <v>2828</v>
      </c>
    </row>
    <row r="1196" spans="1:11" x14ac:dyDescent="0.55000000000000004">
      <c r="A1196" s="821"/>
      <c r="K1196" s="826" t="s">
        <v>2828</v>
      </c>
    </row>
    <row r="1197" spans="1:11" x14ac:dyDescent="0.55000000000000004">
      <c r="A1197" s="821"/>
      <c r="K1197" s="826" t="s">
        <v>2828</v>
      </c>
    </row>
    <row r="1198" spans="1:11" x14ac:dyDescent="0.55000000000000004">
      <c r="A1198" s="821"/>
      <c r="K1198" s="826" t="s">
        <v>2828</v>
      </c>
    </row>
    <row r="1199" spans="1:11" x14ac:dyDescent="0.55000000000000004">
      <c r="A1199" s="821"/>
      <c r="K1199" s="826" t="s">
        <v>2828</v>
      </c>
    </row>
    <row r="1200" spans="1:11" x14ac:dyDescent="0.55000000000000004">
      <c r="A1200" s="821"/>
      <c r="K1200" s="826" t="s">
        <v>2828</v>
      </c>
    </row>
    <row r="1201" spans="1:11" x14ac:dyDescent="0.55000000000000004">
      <c r="A1201" s="821"/>
      <c r="K1201" s="826" t="s">
        <v>2828</v>
      </c>
    </row>
    <row r="1202" spans="1:11" x14ac:dyDescent="0.55000000000000004">
      <c r="A1202" s="821"/>
      <c r="K1202" s="826" t="s">
        <v>2828</v>
      </c>
    </row>
    <row r="1203" spans="1:11" x14ac:dyDescent="0.55000000000000004">
      <c r="A1203" s="821"/>
      <c r="K1203" s="826" t="s">
        <v>2828</v>
      </c>
    </row>
    <row r="1204" spans="1:11" x14ac:dyDescent="0.55000000000000004">
      <c r="A1204" s="821"/>
      <c r="K1204" s="826" t="s">
        <v>2828</v>
      </c>
    </row>
    <row r="1205" spans="1:11" x14ac:dyDescent="0.55000000000000004">
      <c r="A1205" s="821"/>
      <c r="K1205" s="826" t="s">
        <v>2828</v>
      </c>
    </row>
    <row r="1206" spans="1:11" x14ac:dyDescent="0.55000000000000004">
      <c r="A1206" s="821"/>
      <c r="K1206" s="826" t="s">
        <v>2828</v>
      </c>
    </row>
    <row r="1207" spans="1:11" x14ac:dyDescent="0.55000000000000004">
      <c r="A1207" s="821"/>
      <c r="K1207" s="826" t="s">
        <v>2828</v>
      </c>
    </row>
    <row r="1208" spans="1:11" x14ac:dyDescent="0.55000000000000004">
      <c r="A1208" s="821"/>
      <c r="K1208" s="826" t="s">
        <v>2828</v>
      </c>
    </row>
    <row r="1209" spans="1:11" x14ac:dyDescent="0.55000000000000004">
      <c r="A1209" s="821"/>
      <c r="K1209" s="826" t="s">
        <v>2828</v>
      </c>
    </row>
    <row r="1210" spans="1:11" x14ac:dyDescent="0.55000000000000004">
      <c r="A1210" s="821"/>
      <c r="K1210" s="826" t="s">
        <v>2828</v>
      </c>
    </row>
    <row r="1211" spans="1:11" x14ac:dyDescent="0.55000000000000004">
      <c r="A1211" s="821"/>
      <c r="K1211" s="826" t="s">
        <v>2828</v>
      </c>
    </row>
    <row r="1212" spans="1:11" x14ac:dyDescent="0.55000000000000004">
      <c r="A1212" s="821"/>
      <c r="K1212" s="826" t="s">
        <v>2828</v>
      </c>
    </row>
    <row r="1213" spans="1:11" x14ac:dyDescent="0.55000000000000004">
      <c r="A1213" s="821"/>
      <c r="K1213" s="826" t="s">
        <v>2828</v>
      </c>
    </row>
    <row r="1214" spans="1:11" x14ac:dyDescent="0.55000000000000004">
      <c r="A1214" s="821"/>
      <c r="K1214" s="826" t="s">
        <v>2828</v>
      </c>
    </row>
    <row r="1215" spans="1:11" x14ac:dyDescent="0.55000000000000004">
      <c r="A1215" s="821"/>
      <c r="K1215" s="826" t="s">
        <v>2828</v>
      </c>
    </row>
    <row r="1216" spans="1:11" x14ac:dyDescent="0.55000000000000004">
      <c r="A1216" s="821"/>
      <c r="K1216" s="826" t="s">
        <v>2828</v>
      </c>
    </row>
    <row r="1217" spans="1:11" x14ac:dyDescent="0.55000000000000004">
      <c r="A1217" s="821"/>
      <c r="K1217" s="826" t="s">
        <v>2828</v>
      </c>
    </row>
    <row r="1218" spans="1:11" x14ac:dyDescent="0.55000000000000004">
      <c r="A1218" s="821"/>
      <c r="K1218" s="826" t="s">
        <v>2828</v>
      </c>
    </row>
    <row r="1219" spans="1:11" x14ac:dyDescent="0.55000000000000004">
      <c r="A1219" s="821"/>
      <c r="K1219" s="826" t="s">
        <v>2828</v>
      </c>
    </row>
    <row r="1220" spans="1:11" x14ac:dyDescent="0.55000000000000004">
      <c r="A1220" s="821"/>
      <c r="K1220" s="826" t="s">
        <v>2828</v>
      </c>
    </row>
    <row r="1221" spans="1:11" x14ac:dyDescent="0.55000000000000004">
      <c r="A1221" s="821"/>
      <c r="K1221" s="826" t="s">
        <v>2828</v>
      </c>
    </row>
    <row r="1222" spans="1:11" x14ac:dyDescent="0.55000000000000004">
      <c r="A1222" s="821"/>
      <c r="K1222" s="826" t="s">
        <v>2828</v>
      </c>
    </row>
    <row r="1223" spans="1:11" x14ac:dyDescent="0.55000000000000004">
      <c r="A1223" s="821"/>
      <c r="K1223" s="826" t="s">
        <v>2828</v>
      </c>
    </row>
    <row r="1224" spans="1:11" x14ac:dyDescent="0.55000000000000004">
      <c r="A1224" s="821"/>
      <c r="K1224" s="826" t="s">
        <v>2828</v>
      </c>
    </row>
    <row r="1225" spans="1:11" x14ac:dyDescent="0.55000000000000004">
      <c r="A1225" s="821"/>
      <c r="K1225" s="826" t="s">
        <v>2828</v>
      </c>
    </row>
    <row r="1226" spans="1:11" x14ac:dyDescent="0.55000000000000004">
      <c r="A1226" s="821"/>
      <c r="K1226" s="826" t="s">
        <v>2828</v>
      </c>
    </row>
    <row r="1227" spans="1:11" x14ac:dyDescent="0.55000000000000004">
      <c r="A1227" s="821"/>
      <c r="K1227" s="826" t="s">
        <v>2828</v>
      </c>
    </row>
    <row r="1228" spans="1:11" x14ac:dyDescent="0.55000000000000004">
      <c r="A1228" s="821"/>
      <c r="K1228" s="826" t="s">
        <v>2828</v>
      </c>
    </row>
    <row r="1229" spans="1:11" x14ac:dyDescent="0.55000000000000004">
      <c r="A1229" s="821"/>
      <c r="K1229" s="826" t="s">
        <v>2828</v>
      </c>
    </row>
    <row r="1230" spans="1:11" x14ac:dyDescent="0.55000000000000004">
      <c r="A1230" s="821"/>
      <c r="K1230" s="826" t="s">
        <v>2828</v>
      </c>
    </row>
    <row r="1231" spans="1:11" x14ac:dyDescent="0.55000000000000004">
      <c r="A1231" s="821"/>
      <c r="K1231" s="826" t="s">
        <v>2828</v>
      </c>
    </row>
    <row r="1232" spans="1:11" x14ac:dyDescent="0.55000000000000004">
      <c r="A1232" s="821"/>
      <c r="K1232" s="826" t="s">
        <v>2828</v>
      </c>
    </row>
    <row r="1233" spans="1:11" x14ac:dyDescent="0.55000000000000004">
      <c r="A1233" s="821"/>
      <c r="K1233" s="826" t="s">
        <v>2828</v>
      </c>
    </row>
    <row r="1234" spans="1:11" x14ac:dyDescent="0.55000000000000004">
      <c r="A1234" s="821"/>
      <c r="K1234" s="826" t="s">
        <v>2828</v>
      </c>
    </row>
    <row r="1235" spans="1:11" x14ac:dyDescent="0.55000000000000004">
      <c r="A1235" s="821"/>
      <c r="K1235" s="826" t="s">
        <v>2828</v>
      </c>
    </row>
    <row r="1236" spans="1:11" x14ac:dyDescent="0.55000000000000004">
      <c r="A1236" s="821"/>
      <c r="K1236" s="826" t="s">
        <v>2828</v>
      </c>
    </row>
    <row r="1237" spans="1:11" x14ac:dyDescent="0.55000000000000004">
      <c r="A1237" s="821"/>
      <c r="K1237" s="826" t="s">
        <v>2828</v>
      </c>
    </row>
    <row r="1238" spans="1:11" x14ac:dyDescent="0.55000000000000004">
      <c r="A1238" s="821"/>
      <c r="K1238" s="826" t="s">
        <v>2828</v>
      </c>
    </row>
    <row r="1239" spans="1:11" x14ac:dyDescent="0.55000000000000004">
      <c r="A1239" s="821"/>
      <c r="K1239" s="826" t="s">
        <v>2828</v>
      </c>
    </row>
    <row r="1240" spans="1:11" x14ac:dyDescent="0.55000000000000004">
      <c r="A1240" s="821"/>
      <c r="K1240" s="826" t="s">
        <v>2828</v>
      </c>
    </row>
    <row r="1241" spans="1:11" x14ac:dyDescent="0.55000000000000004">
      <c r="A1241" s="821"/>
      <c r="K1241" s="826" t="s">
        <v>2828</v>
      </c>
    </row>
    <row r="1242" spans="1:11" x14ac:dyDescent="0.55000000000000004">
      <c r="A1242" s="821"/>
      <c r="K1242" s="826" t="s">
        <v>2828</v>
      </c>
    </row>
    <row r="1243" spans="1:11" x14ac:dyDescent="0.55000000000000004">
      <c r="A1243" s="821"/>
      <c r="K1243" s="826" t="s">
        <v>2828</v>
      </c>
    </row>
    <row r="1244" spans="1:11" x14ac:dyDescent="0.55000000000000004">
      <c r="A1244" s="821"/>
      <c r="K1244" s="826" t="s">
        <v>2828</v>
      </c>
    </row>
    <row r="1245" spans="1:11" x14ac:dyDescent="0.55000000000000004">
      <c r="A1245" s="821"/>
      <c r="K1245" s="826" t="s">
        <v>2828</v>
      </c>
    </row>
    <row r="1246" spans="1:11" x14ac:dyDescent="0.55000000000000004">
      <c r="A1246" s="821"/>
      <c r="K1246" s="826" t="s">
        <v>2828</v>
      </c>
    </row>
    <row r="1247" spans="1:11" x14ac:dyDescent="0.55000000000000004">
      <c r="A1247" s="821"/>
      <c r="K1247" s="826" t="s">
        <v>2828</v>
      </c>
    </row>
    <row r="1248" spans="1:11" x14ac:dyDescent="0.55000000000000004">
      <c r="A1248" s="821"/>
      <c r="K1248" s="826" t="s">
        <v>2828</v>
      </c>
    </row>
    <row r="1249" spans="1:11" x14ac:dyDescent="0.55000000000000004">
      <c r="A1249" s="821"/>
      <c r="K1249" s="826" t="s">
        <v>2828</v>
      </c>
    </row>
    <row r="1250" spans="1:11" x14ac:dyDescent="0.55000000000000004">
      <c r="A1250" s="821"/>
      <c r="K1250" s="826" t="s">
        <v>2828</v>
      </c>
    </row>
    <row r="1251" spans="1:11" x14ac:dyDescent="0.55000000000000004">
      <c r="A1251" s="821"/>
      <c r="K1251" s="826" t="s">
        <v>2828</v>
      </c>
    </row>
    <row r="1252" spans="1:11" x14ac:dyDescent="0.55000000000000004">
      <c r="A1252" s="821"/>
      <c r="K1252" s="826" t="s">
        <v>2828</v>
      </c>
    </row>
    <row r="1253" spans="1:11" x14ac:dyDescent="0.55000000000000004">
      <c r="A1253" s="821"/>
      <c r="K1253" s="826" t="s">
        <v>2828</v>
      </c>
    </row>
    <row r="1254" spans="1:11" x14ac:dyDescent="0.55000000000000004">
      <c r="A1254" s="821"/>
      <c r="K1254" s="826" t="s">
        <v>2828</v>
      </c>
    </row>
    <row r="1255" spans="1:11" x14ac:dyDescent="0.55000000000000004">
      <c r="A1255" s="821"/>
      <c r="K1255" s="826" t="s">
        <v>2828</v>
      </c>
    </row>
    <row r="1256" spans="1:11" x14ac:dyDescent="0.55000000000000004">
      <c r="A1256" s="821"/>
    </row>
    <row r="1257" spans="1:11" x14ac:dyDescent="0.55000000000000004">
      <c r="A1257" s="821"/>
    </row>
    <row r="1258" spans="1:11" x14ac:dyDescent="0.55000000000000004">
      <c r="A1258" s="821"/>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20F8-E791-4937-B5A6-34DFF7D47FA5}">
  <sheetPr codeName="Sheet43"/>
  <dimension ref="B2:D556"/>
  <sheetViews>
    <sheetView workbookViewId="0"/>
  </sheetViews>
  <sheetFormatPr defaultRowHeight="14.4" x14ac:dyDescent="0.55000000000000004"/>
  <cols>
    <col min="1" max="1" width="3.5234375" customWidth="1"/>
    <col min="2" max="2" width="13.7890625" style="821" bestFit="1" customWidth="1"/>
    <col min="3" max="3" width="13.7890625" style="821" customWidth="1"/>
    <col min="4" max="4" width="13.7890625" bestFit="1" customWidth="1"/>
    <col min="8" max="8" width="9.15625" bestFit="1" customWidth="1"/>
  </cols>
  <sheetData>
    <row r="2" spans="2:4" x14ac:dyDescent="0.55000000000000004">
      <c r="B2" s="817"/>
      <c r="C2" s="817"/>
      <c r="D2" s="52" t="s">
        <v>64</v>
      </c>
    </row>
    <row r="3" spans="2:4" x14ac:dyDescent="0.55000000000000004">
      <c r="B3" s="818" t="s">
        <v>5116</v>
      </c>
      <c r="C3" s="818" t="s">
        <v>5117</v>
      </c>
      <c r="D3" s="819" t="s">
        <v>119</v>
      </c>
    </row>
    <row r="4" spans="2:4" x14ac:dyDescent="0.55000000000000004">
      <c r="B4" s="820">
        <v>45658</v>
      </c>
      <c r="C4" s="821">
        <f>EOMONTH(B4, 0)</f>
        <v>45688</v>
      </c>
      <c r="D4" s="822">
        <v>5.88</v>
      </c>
    </row>
    <row r="5" spans="2:4" x14ac:dyDescent="0.55000000000000004">
      <c r="B5" s="821">
        <v>45627</v>
      </c>
      <c r="C5" s="821">
        <f>EOMONTH(B5, 0)</f>
        <v>45657</v>
      </c>
      <c r="D5">
        <v>5.58</v>
      </c>
    </row>
    <row r="6" spans="2:4" x14ac:dyDescent="0.55000000000000004">
      <c r="B6" s="821">
        <v>45597</v>
      </c>
      <c r="C6" s="821">
        <f t="shared" ref="C6:C69" si="0">EOMONTH(B6, 0)</f>
        <v>45626</v>
      </c>
      <c r="D6">
        <v>5.56</v>
      </c>
    </row>
    <row r="7" spans="2:4" x14ac:dyDescent="0.55000000000000004">
      <c r="B7" s="821">
        <v>45566</v>
      </c>
      <c r="C7" s="821">
        <f t="shared" si="0"/>
        <v>45596</v>
      </c>
      <c r="D7">
        <v>5.41</v>
      </c>
    </row>
    <row r="8" spans="2:4" x14ac:dyDescent="0.55000000000000004">
      <c r="B8" s="821">
        <v>45536</v>
      </c>
      <c r="C8" s="821">
        <f t="shared" si="0"/>
        <v>45565</v>
      </c>
      <c r="D8">
        <v>5.2</v>
      </c>
    </row>
    <row r="9" spans="2:4" x14ac:dyDescent="0.55000000000000004">
      <c r="B9" s="821">
        <v>45505</v>
      </c>
      <c r="C9" s="821">
        <f t="shared" si="0"/>
        <v>45535</v>
      </c>
      <c r="D9">
        <v>5.38</v>
      </c>
    </row>
    <row r="10" spans="2:4" x14ac:dyDescent="0.55000000000000004">
      <c r="B10" s="821">
        <v>45474</v>
      </c>
      <c r="C10" s="821">
        <f t="shared" si="0"/>
        <v>45504</v>
      </c>
      <c r="D10">
        <v>5.64</v>
      </c>
    </row>
    <row r="11" spans="2:4" x14ac:dyDescent="0.55000000000000004">
      <c r="B11" s="821">
        <v>45444</v>
      </c>
      <c r="C11" s="821">
        <f t="shared" si="0"/>
        <v>45473</v>
      </c>
      <c r="D11">
        <v>5.61</v>
      </c>
    </row>
    <row r="12" spans="2:4" x14ac:dyDescent="0.55000000000000004">
      <c r="B12" s="821">
        <v>45413</v>
      </c>
      <c r="C12" s="821">
        <f t="shared" si="0"/>
        <v>45443</v>
      </c>
      <c r="D12">
        <v>5.74</v>
      </c>
    </row>
    <row r="13" spans="2:4" x14ac:dyDescent="0.55000000000000004">
      <c r="B13" s="821">
        <v>45383</v>
      </c>
      <c r="C13" s="821">
        <f t="shared" si="0"/>
        <v>45412</v>
      </c>
      <c r="D13">
        <v>5.79</v>
      </c>
    </row>
    <row r="14" spans="2:4" x14ac:dyDescent="0.55000000000000004">
      <c r="B14" s="821">
        <v>45352</v>
      </c>
      <c r="C14" s="821">
        <f t="shared" si="0"/>
        <v>45382</v>
      </c>
      <c r="D14">
        <v>5.55</v>
      </c>
    </row>
    <row r="15" spans="2:4" x14ac:dyDescent="0.55000000000000004">
      <c r="B15" s="821">
        <v>45323</v>
      </c>
      <c r="C15" s="821">
        <f t="shared" si="0"/>
        <v>45351</v>
      </c>
      <c r="D15">
        <v>5.56</v>
      </c>
    </row>
    <row r="16" spans="2:4" x14ac:dyDescent="0.55000000000000004">
      <c r="B16" s="821">
        <v>45292</v>
      </c>
      <c r="C16" s="821">
        <f t="shared" si="0"/>
        <v>45322</v>
      </c>
      <c r="D16">
        <v>5.48</v>
      </c>
    </row>
    <row r="17" spans="2:4" x14ac:dyDescent="0.55000000000000004">
      <c r="B17" s="821">
        <v>45261</v>
      </c>
      <c r="C17" s="821">
        <f t="shared" si="0"/>
        <v>45291</v>
      </c>
      <c r="D17">
        <v>5.42</v>
      </c>
    </row>
    <row r="18" spans="2:4" x14ac:dyDescent="0.55000000000000004">
      <c r="B18" s="821">
        <v>45231</v>
      </c>
      <c r="C18" s="821">
        <f t="shared" si="0"/>
        <v>45260</v>
      </c>
      <c r="D18">
        <v>6.05</v>
      </c>
    </row>
    <row r="19" spans="2:4" x14ac:dyDescent="0.55000000000000004">
      <c r="B19" s="821">
        <v>45200</v>
      </c>
      <c r="C19" s="821">
        <f t="shared" si="0"/>
        <v>45230</v>
      </c>
      <c r="D19">
        <v>6.34</v>
      </c>
    </row>
    <row r="20" spans="2:4" x14ac:dyDescent="0.55000000000000004">
      <c r="B20" s="821">
        <v>45170</v>
      </c>
      <c r="C20" s="821">
        <f t="shared" si="0"/>
        <v>45199</v>
      </c>
      <c r="D20">
        <v>5.86</v>
      </c>
    </row>
    <row r="21" spans="2:4" x14ac:dyDescent="0.55000000000000004">
      <c r="B21" s="821">
        <v>45139</v>
      </c>
      <c r="C21" s="821">
        <f t="shared" si="0"/>
        <v>45169</v>
      </c>
      <c r="D21">
        <v>5.71</v>
      </c>
    </row>
    <row r="22" spans="2:4" x14ac:dyDescent="0.55000000000000004">
      <c r="B22" s="821">
        <v>45108</v>
      </c>
      <c r="C22" s="821">
        <f t="shared" si="0"/>
        <v>45138</v>
      </c>
      <c r="D22">
        <v>5.41</v>
      </c>
    </row>
    <row r="23" spans="2:4" x14ac:dyDescent="0.55000000000000004">
      <c r="B23" s="821">
        <v>45078</v>
      </c>
      <c r="C23" s="821">
        <f t="shared" si="0"/>
        <v>45107</v>
      </c>
      <c r="D23">
        <v>5.38</v>
      </c>
    </row>
    <row r="24" spans="2:4" x14ac:dyDescent="0.55000000000000004">
      <c r="B24" s="821">
        <v>45047</v>
      </c>
      <c r="C24" s="821">
        <f t="shared" si="0"/>
        <v>45077</v>
      </c>
      <c r="D24">
        <v>5.36</v>
      </c>
    </row>
    <row r="25" spans="2:4" x14ac:dyDescent="0.55000000000000004">
      <c r="B25" s="821">
        <v>45017</v>
      </c>
      <c r="C25" s="821">
        <f t="shared" si="0"/>
        <v>45046</v>
      </c>
      <c r="D25">
        <v>5.13</v>
      </c>
    </row>
    <row r="26" spans="2:4" x14ac:dyDescent="0.55000000000000004">
      <c r="B26" s="821">
        <v>44986</v>
      </c>
      <c r="C26" s="821">
        <f t="shared" si="0"/>
        <v>45016</v>
      </c>
      <c r="D26">
        <v>5.39</v>
      </c>
    </row>
    <row r="27" spans="2:4" x14ac:dyDescent="0.55000000000000004">
      <c r="B27" s="821">
        <v>44958</v>
      </c>
      <c r="C27" s="821">
        <f t="shared" si="0"/>
        <v>44985</v>
      </c>
      <c r="D27">
        <v>5.29</v>
      </c>
    </row>
    <row r="28" spans="2:4" x14ac:dyDescent="0.55000000000000004">
      <c r="B28" s="821">
        <v>44927</v>
      </c>
      <c r="C28" s="821">
        <f t="shared" si="0"/>
        <v>44957</v>
      </c>
      <c r="D28">
        <v>5.2</v>
      </c>
    </row>
    <row r="29" spans="2:4" x14ac:dyDescent="0.55000000000000004">
      <c r="B29" s="821">
        <v>44896</v>
      </c>
      <c r="C29" s="821">
        <f t="shared" si="0"/>
        <v>44926</v>
      </c>
      <c r="D29">
        <v>5.29</v>
      </c>
    </row>
    <row r="30" spans="2:4" x14ac:dyDescent="0.55000000000000004">
      <c r="B30" s="821">
        <v>44866</v>
      </c>
      <c r="C30" s="821">
        <f t="shared" si="0"/>
        <v>44895</v>
      </c>
      <c r="D30">
        <v>5.75</v>
      </c>
    </row>
    <row r="31" spans="2:4" x14ac:dyDescent="0.55000000000000004">
      <c r="B31" s="821">
        <v>44835</v>
      </c>
      <c r="C31" s="821">
        <f t="shared" si="0"/>
        <v>44865</v>
      </c>
      <c r="D31">
        <v>5.88</v>
      </c>
    </row>
    <row r="32" spans="2:4" x14ac:dyDescent="0.55000000000000004">
      <c r="B32" s="821">
        <v>44805</v>
      </c>
      <c r="C32" s="821">
        <f t="shared" si="0"/>
        <v>44834</v>
      </c>
      <c r="D32">
        <v>5.28</v>
      </c>
    </row>
    <row r="33" spans="2:4" x14ac:dyDescent="0.55000000000000004">
      <c r="B33" s="821">
        <v>44774</v>
      </c>
      <c r="C33" s="821">
        <f t="shared" si="0"/>
        <v>44804</v>
      </c>
      <c r="D33">
        <v>4.76</v>
      </c>
    </row>
    <row r="34" spans="2:4" x14ac:dyDescent="0.55000000000000004">
      <c r="B34" s="821">
        <v>44743</v>
      </c>
      <c r="C34" s="821">
        <f t="shared" si="0"/>
        <v>44773</v>
      </c>
      <c r="D34">
        <v>4.78</v>
      </c>
    </row>
    <row r="35" spans="2:4" x14ac:dyDescent="0.55000000000000004">
      <c r="B35" s="821">
        <v>44713</v>
      </c>
      <c r="C35" s="821">
        <f t="shared" si="0"/>
        <v>44742</v>
      </c>
      <c r="D35">
        <v>4.8600000000000003</v>
      </c>
    </row>
    <row r="36" spans="2:4" x14ac:dyDescent="0.55000000000000004">
      <c r="B36" s="821">
        <v>44682</v>
      </c>
      <c r="C36" s="821">
        <f t="shared" si="0"/>
        <v>44712</v>
      </c>
      <c r="D36">
        <v>4.75</v>
      </c>
    </row>
    <row r="37" spans="2:4" x14ac:dyDescent="0.55000000000000004">
      <c r="B37" s="821">
        <v>44652</v>
      </c>
      <c r="C37" s="821">
        <f t="shared" si="0"/>
        <v>44681</v>
      </c>
      <c r="D37">
        <v>4.32</v>
      </c>
    </row>
    <row r="38" spans="2:4" x14ac:dyDescent="0.55000000000000004">
      <c r="B38" s="821">
        <v>44621</v>
      </c>
      <c r="C38" s="821">
        <f t="shared" si="0"/>
        <v>44651</v>
      </c>
      <c r="D38">
        <v>3.98</v>
      </c>
    </row>
    <row r="39" spans="2:4" x14ac:dyDescent="0.55000000000000004">
      <c r="B39" s="821">
        <v>44593</v>
      </c>
      <c r="C39" s="821">
        <f t="shared" si="0"/>
        <v>44620</v>
      </c>
      <c r="D39">
        <v>3.68</v>
      </c>
    </row>
    <row r="40" spans="2:4" x14ac:dyDescent="0.55000000000000004">
      <c r="B40" s="821">
        <v>44562</v>
      </c>
      <c r="C40" s="821">
        <f t="shared" si="0"/>
        <v>44592</v>
      </c>
      <c r="D40">
        <v>3.33</v>
      </c>
    </row>
    <row r="41" spans="2:4" x14ac:dyDescent="0.55000000000000004">
      <c r="B41" s="821">
        <v>44531</v>
      </c>
      <c r="C41" s="821">
        <f t="shared" si="0"/>
        <v>44561</v>
      </c>
      <c r="D41">
        <v>3.04</v>
      </c>
    </row>
    <row r="42" spans="2:4" x14ac:dyDescent="0.55000000000000004">
      <c r="B42" s="821">
        <v>44501</v>
      </c>
      <c r="C42" s="821">
        <f t="shared" si="0"/>
        <v>44530</v>
      </c>
      <c r="D42">
        <v>3.02</v>
      </c>
    </row>
    <row r="43" spans="2:4" x14ac:dyDescent="0.55000000000000004">
      <c r="B43" s="821">
        <v>44470</v>
      </c>
      <c r="C43" s="821">
        <f t="shared" si="0"/>
        <v>44500</v>
      </c>
      <c r="D43">
        <v>3.09</v>
      </c>
    </row>
    <row r="44" spans="2:4" x14ac:dyDescent="0.55000000000000004">
      <c r="B44" s="821">
        <v>44440</v>
      </c>
      <c r="C44" s="821">
        <f t="shared" si="0"/>
        <v>44469</v>
      </c>
      <c r="D44">
        <v>2.96</v>
      </c>
    </row>
    <row r="45" spans="2:4" x14ac:dyDescent="0.55000000000000004">
      <c r="B45" s="821">
        <v>44409</v>
      </c>
      <c r="C45" s="821">
        <f t="shared" si="0"/>
        <v>44439</v>
      </c>
      <c r="D45">
        <v>2.95</v>
      </c>
    </row>
    <row r="46" spans="2:4" x14ac:dyDescent="0.55000000000000004">
      <c r="B46" s="821">
        <v>44378</v>
      </c>
      <c r="C46" s="821">
        <f t="shared" si="0"/>
        <v>44408</v>
      </c>
      <c r="D46">
        <v>2.95</v>
      </c>
    </row>
    <row r="47" spans="2:4" x14ac:dyDescent="0.55000000000000004">
      <c r="B47" s="821">
        <v>44348</v>
      </c>
      <c r="C47" s="821">
        <f t="shared" si="0"/>
        <v>44377</v>
      </c>
      <c r="D47">
        <v>3.16</v>
      </c>
    </row>
    <row r="48" spans="2:4" x14ac:dyDescent="0.55000000000000004">
      <c r="B48" s="821">
        <v>44317</v>
      </c>
      <c r="C48" s="821">
        <f t="shared" si="0"/>
        <v>44347</v>
      </c>
      <c r="D48">
        <v>3.33</v>
      </c>
    </row>
    <row r="49" spans="2:4" x14ac:dyDescent="0.55000000000000004">
      <c r="B49" s="821">
        <v>44287</v>
      </c>
      <c r="C49" s="821">
        <f t="shared" si="0"/>
        <v>44316</v>
      </c>
      <c r="D49">
        <v>3.3</v>
      </c>
    </row>
    <row r="50" spans="2:4" x14ac:dyDescent="0.55000000000000004">
      <c r="B50" s="821">
        <v>44256</v>
      </c>
      <c r="C50" s="821">
        <f t="shared" si="0"/>
        <v>44286</v>
      </c>
      <c r="D50">
        <v>3.44</v>
      </c>
    </row>
    <row r="51" spans="2:4" x14ac:dyDescent="0.55000000000000004">
      <c r="B51" s="821">
        <v>44228</v>
      </c>
      <c r="C51" s="821">
        <f t="shared" si="0"/>
        <v>44255</v>
      </c>
      <c r="D51">
        <v>3.09</v>
      </c>
    </row>
    <row r="52" spans="2:4" x14ac:dyDescent="0.55000000000000004">
      <c r="B52" s="821">
        <v>44197</v>
      </c>
      <c r="C52" s="821">
        <f t="shared" si="0"/>
        <v>44227</v>
      </c>
      <c r="D52">
        <v>2.91</v>
      </c>
    </row>
    <row r="53" spans="2:4" x14ac:dyDescent="0.55000000000000004">
      <c r="B53" s="821">
        <v>44166</v>
      </c>
      <c r="C53" s="821">
        <f t="shared" si="0"/>
        <v>44196</v>
      </c>
      <c r="D53">
        <v>2.77</v>
      </c>
    </row>
    <row r="54" spans="2:4" x14ac:dyDescent="0.55000000000000004">
      <c r="B54" s="821">
        <v>44136</v>
      </c>
      <c r="C54" s="821">
        <f t="shared" si="0"/>
        <v>44165</v>
      </c>
      <c r="D54">
        <v>2.85</v>
      </c>
    </row>
    <row r="55" spans="2:4" x14ac:dyDescent="0.55000000000000004">
      <c r="B55" s="821">
        <v>44105</v>
      </c>
      <c r="C55" s="821">
        <f t="shared" si="0"/>
        <v>44135</v>
      </c>
      <c r="D55">
        <v>2.95</v>
      </c>
    </row>
    <row r="56" spans="2:4" x14ac:dyDescent="0.55000000000000004">
      <c r="B56" s="821">
        <v>44075</v>
      </c>
      <c r="C56" s="821">
        <f t="shared" si="0"/>
        <v>44104</v>
      </c>
      <c r="D56">
        <v>2.84</v>
      </c>
    </row>
    <row r="57" spans="2:4" x14ac:dyDescent="0.55000000000000004">
      <c r="B57" s="821">
        <v>44044</v>
      </c>
      <c r="C57" s="821">
        <f t="shared" si="0"/>
        <v>44074</v>
      </c>
      <c r="D57">
        <v>2.73</v>
      </c>
    </row>
    <row r="58" spans="2:4" x14ac:dyDescent="0.55000000000000004">
      <c r="B58" s="821">
        <v>44013</v>
      </c>
      <c r="C58" s="821">
        <f t="shared" si="0"/>
        <v>44043</v>
      </c>
      <c r="D58">
        <v>2.74</v>
      </c>
    </row>
    <row r="59" spans="2:4" x14ac:dyDescent="0.55000000000000004">
      <c r="B59" s="821">
        <v>43983</v>
      </c>
      <c r="C59" s="821">
        <f t="shared" si="0"/>
        <v>44012</v>
      </c>
      <c r="D59">
        <v>3.07</v>
      </c>
    </row>
    <row r="60" spans="2:4" x14ac:dyDescent="0.55000000000000004">
      <c r="B60" s="821">
        <v>43952</v>
      </c>
      <c r="C60" s="821">
        <f t="shared" si="0"/>
        <v>43982</v>
      </c>
      <c r="D60">
        <v>3.14</v>
      </c>
    </row>
    <row r="61" spans="2:4" x14ac:dyDescent="0.55000000000000004">
      <c r="B61" s="821">
        <v>43922</v>
      </c>
      <c r="C61" s="821">
        <f t="shared" si="0"/>
        <v>43951</v>
      </c>
      <c r="D61">
        <v>3.19</v>
      </c>
    </row>
    <row r="62" spans="2:4" x14ac:dyDescent="0.55000000000000004">
      <c r="B62" s="821">
        <v>43891</v>
      </c>
      <c r="C62" s="821">
        <f t="shared" si="0"/>
        <v>43921</v>
      </c>
      <c r="D62">
        <v>3.5</v>
      </c>
    </row>
    <row r="63" spans="2:4" x14ac:dyDescent="0.55000000000000004">
      <c r="B63" s="821">
        <v>43862</v>
      </c>
      <c r="C63" s="821">
        <f t="shared" si="0"/>
        <v>43890</v>
      </c>
      <c r="D63">
        <v>3.11</v>
      </c>
    </row>
    <row r="64" spans="2:4" x14ac:dyDescent="0.55000000000000004">
      <c r="B64" s="821">
        <v>43831</v>
      </c>
      <c r="C64" s="821">
        <f t="shared" si="0"/>
        <v>43861</v>
      </c>
      <c r="D64">
        <v>3.2800000000000002</v>
      </c>
    </row>
    <row r="65" spans="2:4" x14ac:dyDescent="0.55000000000000004">
      <c r="B65" s="821">
        <v>43800</v>
      </c>
      <c r="C65" s="821">
        <f t="shared" si="0"/>
        <v>43830</v>
      </c>
      <c r="D65">
        <v>3.4</v>
      </c>
    </row>
    <row r="66" spans="2:4" x14ac:dyDescent="0.55000000000000004">
      <c r="B66" s="821">
        <v>43770</v>
      </c>
      <c r="C66" s="821">
        <f t="shared" si="0"/>
        <v>43799</v>
      </c>
      <c r="D66">
        <v>3.42</v>
      </c>
    </row>
    <row r="67" spans="2:4" x14ac:dyDescent="0.55000000000000004">
      <c r="B67" s="821">
        <v>43739</v>
      </c>
      <c r="C67" s="821">
        <f t="shared" si="0"/>
        <v>43769</v>
      </c>
      <c r="D67">
        <v>3.39</v>
      </c>
    </row>
    <row r="68" spans="2:4" x14ac:dyDescent="0.55000000000000004">
      <c r="B68" s="821">
        <v>43709</v>
      </c>
      <c r="C68" s="821">
        <f t="shared" si="0"/>
        <v>43738</v>
      </c>
      <c r="D68">
        <v>3.37</v>
      </c>
    </row>
    <row r="69" spans="2:4" x14ac:dyDescent="0.55000000000000004">
      <c r="B69" s="821">
        <v>43678</v>
      </c>
      <c r="C69" s="821">
        <f t="shared" si="0"/>
        <v>43708</v>
      </c>
      <c r="D69">
        <v>3.29</v>
      </c>
    </row>
    <row r="70" spans="2:4" x14ac:dyDescent="0.55000000000000004">
      <c r="B70" s="821">
        <v>43647</v>
      </c>
      <c r="C70" s="821">
        <f t="shared" ref="C70:C133" si="1">EOMONTH(B70, 0)</f>
        <v>43677</v>
      </c>
      <c r="D70">
        <v>3.69</v>
      </c>
    </row>
    <row r="71" spans="2:4" x14ac:dyDescent="0.55000000000000004">
      <c r="B71" s="821">
        <v>43617</v>
      </c>
      <c r="C71" s="821">
        <f t="shared" si="1"/>
        <v>43646</v>
      </c>
      <c r="D71">
        <v>3.82</v>
      </c>
    </row>
    <row r="72" spans="2:4" x14ac:dyDescent="0.55000000000000004">
      <c r="B72" s="821">
        <v>43586</v>
      </c>
      <c r="C72" s="821">
        <f t="shared" si="1"/>
        <v>43616</v>
      </c>
      <c r="D72">
        <v>3.98</v>
      </c>
    </row>
    <row r="73" spans="2:4" x14ac:dyDescent="0.55000000000000004">
      <c r="B73" s="821">
        <v>43556</v>
      </c>
      <c r="C73" s="821">
        <f t="shared" si="1"/>
        <v>43585</v>
      </c>
      <c r="D73">
        <v>4.08</v>
      </c>
    </row>
    <row r="74" spans="2:4" x14ac:dyDescent="0.55000000000000004">
      <c r="B74" s="821">
        <v>43525</v>
      </c>
      <c r="C74" s="821">
        <f t="shared" si="1"/>
        <v>43555</v>
      </c>
      <c r="D74">
        <v>4.16</v>
      </c>
    </row>
    <row r="75" spans="2:4" x14ac:dyDescent="0.55000000000000004">
      <c r="B75" s="821">
        <v>43497</v>
      </c>
      <c r="C75" s="821">
        <f t="shared" si="1"/>
        <v>43524</v>
      </c>
      <c r="D75">
        <v>4.25</v>
      </c>
    </row>
    <row r="76" spans="2:4" x14ac:dyDescent="0.55000000000000004">
      <c r="B76" s="821">
        <v>43466</v>
      </c>
      <c r="C76" s="821">
        <f t="shared" si="1"/>
        <v>43496</v>
      </c>
      <c r="D76">
        <v>4.3499999999999996</v>
      </c>
    </row>
    <row r="77" spans="2:4" x14ac:dyDescent="0.55000000000000004">
      <c r="B77" s="821">
        <v>43435</v>
      </c>
      <c r="C77" s="821">
        <f t="shared" si="1"/>
        <v>43465</v>
      </c>
      <c r="D77">
        <v>4.37</v>
      </c>
    </row>
    <row r="78" spans="2:4" x14ac:dyDescent="0.55000000000000004">
      <c r="B78" s="821">
        <v>43405</v>
      </c>
      <c r="C78" s="821">
        <f t="shared" si="1"/>
        <v>43434</v>
      </c>
      <c r="D78">
        <v>4.5199999999999996</v>
      </c>
    </row>
    <row r="79" spans="2:4" x14ac:dyDescent="0.55000000000000004">
      <c r="B79" s="821">
        <v>43374</v>
      </c>
      <c r="C79" s="821">
        <f t="shared" si="1"/>
        <v>43404</v>
      </c>
      <c r="D79">
        <v>4.45</v>
      </c>
    </row>
    <row r="80" spans="2:4" x14ac:dyDescent="0.55000000000000004">
      <c r="B80" s="821">
        <v>43344</v>
      </c>
      <c r="C80" s="821">
        <f t="shared" si="1"/>
        <v>43373</v>
      </c>
      <c r="D80">
        <v>4.26</v>
      </c>
    </row>
    <row r="81" spans="2:4" x14ac:dyDescent="0.55000000000000004">
      <c r="B81" s="821">
        <v>43313</v>
      </c>
      <c r="C81" s="821">
        <f t="shared" si="1"/>
        <v>43343</v>
      </c>
      <c r="D81">
        <v>4.26</v>
      </c>
    </row>
    <row r="82" spans="2:4" x14ac:dyDescent="0.55000000000000004">
      <c r="B82" s="821">
        <v>43282</v>
      </c>
      <c r="C82" s="821">
        <f t="shared" si="1"/>
        <v>43312</v>
      </c>
      <c r="D82">
        <v>4.2699999999999996</v>
      </c>
    </row>
    <row r="83" spans="2:4" x14ac:dyDescent="0.55000000000000004">
      <c r="B83" s="821">
        <v>43252</v>
      </c>
      <c r="C83" s="821">
        <f t="shared" si="1"/>
        <v>43281</v>
      </c>
      <c r="D83">
        <v>4.2699999999999996</v>
      </c>
    </row>
    <row r="84" spans="2:4" x14ac:dyDescent="0.55000000000000004">
      <c r="B84" s="821">
        <v>43221</v>
      </c>
      <c r="C84" s="821">
        <f t="shared" si="1"/>
        <v>43251</v>
      </c>
      <c r="D84">
        <v>4.28</v>
      </c>
    </row>
    <row r="85" spans="2:4" x14ac:dyDescent="0.55000000000000004">
      <c r="B85" s="821">
        <v>43191</v>
      </c>
      <c r="C85" s="821">
        <f t="shared" si="1"/>
        <v>43220</v>
      </c>
      <c r="D85">
        <v>4.17</v>
      </c>
    </row>
    <row r="86" spans="2:4" x14ac:dyDescent="0.55000000000000004">
      <c r="B86" s="821">
        <v>43160</v>
      </c>
      <c r="C86" s="821">
        <f t="shared" si="1"/>
        <v>43190</v>
      </c>
      <c r="D86">
        <v>4.13</v>
      </c>
    </row>
    <row r="87" spans="2:4" x14ac:dyDescent="0.55000000000000004">
      <c r="B87" s="821">
        <v>43132</v>
      </c>
      <c r="C87" s="821">
        <f t="shared" si="1"/>
        <v>43159</v>
      </c>
      <c r="D87">
        <v>3.86</v>
      </c>
    </row>
    <row r="88" spans="2:4" x14ac:dyDescent="0.55000000000000004">
      <c r="B88" s="821">
        <v>43101</v>
      </c>
      <c r="C88" s="821">
        <f t="shared" si="1"/>
        <v>43131</v>
      </c>
      <c r="D88">
        <v>3.7900000000000005</v>
      </c>
    </row>
    <row r="89" spans="2:4" x14ac:dyDescent="0.55000000000000004">
      <c r="B89" s="821">
        <v>43070</v>
      </c>
      <c r="C89" s="821">
        <f t="shared" si="1"/>
        <v>43100</v>
      </c>
      <c r="D89">
        <v>3.7900000000000005</v>
      </c>
    </row>
    <row r="90" spans="2:4" x14ac:dyDescent="0.55000000000000004">
      <c r="B90" s="821">
        <v>43040</v>
      </c>
      <c r="C90" s="821">
        <f t="shared" si="1"/>
        <v>43069</v>
      </c>
      <c r="D90">
        <v>3.91</v>
      </c>
    </row>
    <row r="91" spans="2:4" x14ac:dyDescent="0.55000000000000004">
      <c r="B91" s="821">
        <v>43009</v>
      </c>
      <c r="C91" s="821">
        <f t="shared" si="1"/>
        <v>43039</v>
      </c>
      <c r="D91">
        <v>3.91</v>
      </c>
    </row>
    <row r="92" spans="2:4" x14ac:dyDescent="0.55000000000000004">
      <c r="B92" s="821">
        <v>42979</v>
      </c>
      <c r="C92" s="821">
        <f t="shared" si="1"/>
        <v>43008</v>
      </c>
      <c r="D92">
        <v>3.86</v>
      </c>
    </row>
    <row r="93" spans="2:4" x14ac:dyDescent="0.55000000000000004">
      <c r="B93" s="821">
        <v>42948</v>
      </c>
      <c r="C93" s="821">
        <f t="shared" si="1"/>
        <v>42978</v>
      </c>
      <c r="D93">
        <v>3.99</v>
      </c>
    </row>
    <row r="94" spans="2:4" x14ac:dyDescent="0.55000000000000004">
      <c r="B94" s="821">
        <v>42917</v>
      </c>
      <c r="C94" s="821">
        <f t="shared" si="1"/>
        <v>42947</v>
      </c>
      <c r="D94">
        <v>4.05</v>
      </c>
    </row>
    <row r="95" spans="2:4" x14ac:dyDescent="0.55000000000000004">
      <c r="B95" s="821">
        <v>42887</v>
      </c>
      <c r="C95" s="821">
        <f t="shared" si="1"/>
        <v>42916</v>
      </c>
      <c r="D95">
        <v>3.9399999999999995</v>
      </c>
    </row>
    <row r="96" spans="2:4" x14ac:dyDescent="0.55000000000000004">
      <c r="B96" s="821">
        <v>42856</v>
      </c>
      <c r="C96" s="821">
        <f t="shared" si="1"/>
        <v>42886</v>
      </c>
      <c r="D96">
        <v>4.13</v>
      </c>
    </row>
    <row r="97" spans="2:4" x14ac:dyDescent="0.55000000000000004">
      <c r="B97" s="821">
        <v>42826</v>
      </c>
      <c r="C97" s="821">
        <f t="shared" si="1"/>
        <v>42855</v>
      </c>
      <c r="D97">
        <v>4.12</v>
      </c>
    </row>
    <row r="98" spans="2:4" x14ac:dyDescent="0.55000000000000004">
      <c r="B98" s="821">
        <v>42795</v>
      </c>
      <c r="C98" s="821">
        <f t="shared" si="1"/>
        <v>42825</v>
      </c>
      <c r="D98">
        <v>4.18</v>
      </c>
    </row>
    <row r="99" spans="2:4" x14ac:dyDescent="0.55000000000000004">
      <c r="B99" s="821">
        <v>42767</v>
      </c>
      <c r="C99" s="821">
        <f t="shared" si="1"/>
        <v>42794</v>
      </c>
      <c r="D99">
        <v>4.1100000000000003</v>
      </c>
    </row>
    <row r="100" spans="2:4" x14ac:dyDescent="0.55000000000000004">
      <c r="B100" s="821">
        <v>42736</v>
      </c>
      <c r="C100" s="821">
        <f t="shared" si="1"/>
        <v>42766</v>
      </c>
      <c r="D100">
        <v>4.1399999999999997</v>
      </c>
    </row>
    <row r="101" spans="2:4" x14ac:dyDescent="0.55000000000000004">
      <c r="B101" s="821">
        <v>42705</v>
      </c>
      <c r="C101" s="821">
        <f t="shared" si="1"/>
        <v>42735</v>
      </c>
      <c r="D101">
        <v>4.2699999999999996</v>
      </c>
    </row>
    <row r="102" spans="2:4" x14ac:dyDescent="0.55000000000000004">
      <c r="B102" s="821">
        <v>42675</v>
      </c>
      <c r="C102" s="821">
        <f t="shared" si="1"/>
        <v>42704</v>
      </c>
      <c r="D102">
        <v>4.08</v>
      </c>
    </row>
    <row r="103" spans="2:4" x14ac:dyDescent="0.55000000000000004">
      <c r="B103" s="821">
        <v>42644</v>
      </c>
      <c r="C103" s="821">
        <f t="shared" si="1"/>
        <v>42674</v>
      </c>
      <c r="D103">
        <v>3.6599999999999997</v>
      </c>
    </row>
    <row r="104" spans="2:4" x14ac:dyDescent="0.55000000000000004">
      <c r="B104" s="821">
        <v>42614</v>
      </c>
      <c r="C104" s="821">
        <f t="shared" si="1"/>
        <v>42643</v>
      </c>
      <c r="D104">
        <v>3.6599999999999997</v>
      </c>
    </row>
    <row r="105" spans="2:4" x14ac:dyDescent="0.55000000000000004">
      <c r="B105" s="821">
        <v>42583</v>
      </c>
      <c r="C105" s="821">
        <f t="shared" si="1"/>
        <v>42613</v>
      </c>
      <c r="D105">
        <v>3.5899999999999994</v>
      </c>
    </row>
    <row r="106" spans="2:4" x14ac:dyDescent="0.55000000000000004">
      <c r="B106" s="821">
        <v>42552</v>
      </c>
      <c r="C106" s="821">
        <f t="shared" si="1"/>
        <v>42582</v>
      </c>
      <c r="D106">
        <v>3.57</v>
      </c>
    </row>
    <row r="107" spans="2:4" x14ac:dyDescent="0.55000000000000004">
      <c r="B107" s="821">
        <v>42522</v>
      </c>
      <c r="C107" s="821">
        <f t="shared" si="1"/>
        <v>42551</v>
      </c>
      <c r="D107">
        <v>3.7800000000000002</v>
      </c>
    </row>
    <row r="108" spans="2:4" x14ac:dyDescent="0.55000000000000004">
      <c r="B108" s="821">
        <v>42491</v>
      </c>
      <c r="C108" s="821">
        <f t="shared" si="1"/>
        <v>42521</v>
      </c>
      <c r="D108">
        <v>3.93</v>
      </c>
    </row>
    <row r="109" spans="2:4" x14ac:dyDescent="0.55000000000000004">
      <c r="B109" s="821">
        <v>42461</v>
      </c>
      <c r="C109" s="821">
        <f t="shared" si="1"/>
        <v>42490</v>
      </c>
      <c r="D109">
        <v>4.16</v>
      </c>
    </row>
    <row r="110" spans="2:4" x14ac:dyDescent="0.55000000000000004">
      <c r="B110" s="821">
        <v>42430</v>
      </c>
      <c r="C110" s="821">
        <f t="shared" si="1"/>
        <v>42460</v>
      </c>
      <c r="D110">
        <v>4.16</v>
      </c>
    </row>
    <row r="111" spans="2:4" x14ac:dyDescent="0.55000000000000004">
      <c r="B111" s="821">
        <v>42401</v>
      </c>
      <c r="C111" s="821">
        <f t="shared" si="1"/>
        <v>42429</v>
      </c>
      <c r="D111">
        <v>4.1100000000000003</v>
      </c>
    </row>
    <row r="112" spans="2:4" x14ac:dyDescent="0.55000000000000004">
      <c r="B112" s="821">
        <v>42370</v>
      </c>
      <c r="C112" s="821">
        <f t="shared" si="1"/>
        <v>42400</v>
      </c>
      <c r="D112">
        <v>4.2699999999999996</v>
      </c>
    </row>
    <row r="113" spans="2:4" x14ac:dyDescent="0.55000000000000004">
      <c r="B113" s="821">
        <v>42339</v>
      </c>
      <c r="C113" s="821">
        <f t="shared" si="1"/>
        <v>42369</v>
      </c>
      <c r="D113">
        <v>4.3499999999999996</v>
      </c>
    </row>
    <row r="114" spans="2:4" x14ac:dyDescent="0.55000000000000004">
      <c r="B114" s="821">
        <v>42309</v>
      </c>
      <c r="C114" s="821">
        <f t="shared" si="1"/>
        <v>42338</v>
      </c>
      <c r="D114">
        <v>4.4000000000000004</v>
      </c>
    </row>
    <row r="115" spans="2:4" x14ac:dyDescent="0.55000000000000004">
      <c r="B115" s="821">
        <v>42278</v>
      </c>
      <c r="C115" s="821">
        <f t="shared" si="1"/>
        <v>42308</v>
      </c>
      <c r="D115">
        <v>4.29</v>
      </c>
    </row>
    <row r="116" spans="2:4" x14ac:dyDescent="0.55000000000000004">
      <c r="B116" s="821">
        <v>42248</v>
      </c>
      <c r="C116" s="821">
        <f t="shared" si="1"/>
        <v>42277</v>
      </c>
      <c r="D116">
        <v>4.3899999999999997</v>
      </c>
    </row>
    <row r="117" spans="2:4" x14ac:dyDescent="0.55000000000000004">
      <c r="B117" s="821">
        <v>42217</v>
      </c>
      <c r="C117" s="821">
        <f t="shared" si="1"/>
        <v>42247</v>
      </c>
      <c r="D117">
        <v>4.25</v>
      </c>
    </row>
    <row r="118" spans="2:4" x14ac:dyDescent="0.55000000000000004">
      <c r="B118" s="821">
        <v>42186</v>
      </c>
      <c r="C118" s="821">
        <f t="shared" si="1"/>
        <v>42216</v>
      </c>
      <c r="D118">
        <v>4.4000000000000004</v>
      </c>
    </row>
    <row r="119" spans="2:4" x14ac:dyDescent="0.55000000000000004">
      <c r="B119" s="821">
        <v>42156</v>
      </c>
      <c r="C119" s="821">
        <f t="shared" si="1"/>
        <v>42185</v>
      </c>
      <c r="D119">
        <v>4.3890909090909087</v>
      </c>
    </row>
    <row r="120" spans="2:4" x14ac:dyDescent="0.55000000000000004">
      <c r="B120" s="821">
        <v>42125</v>
      </c>
      <c r="C120" s="821">
        <f t="shared" si="1"/>
        <v>42155</v>
      </c>
      <c r="D120">
        <v>4.17</v>
      </c>
    </row>
    <row r="121" spans="2:4" x14ac:dyDescent="0.55000000000000004">
      <c r="B121" s="821">
        <v>42095</v>
      </c>
      <c r="C121" s="821">
        <f t="shared" si="1"/>
        <v>42124</v>
      </c>
      <c r="D121">
        <v>3.7499999999999996</v>
      </c>
    </row>
    <row r="122" spans="2:4" x14ac:dyDescent="0.55000000000000004">
      <c r="B122" s="821">
        <v>42064</v>
      </c>
      <c r="C122" s="821">
        <f t="shared" si="1"/>
        <v>42094</v>
      </c>
      <c r="D122">
        <v>3.74</v>
      </c>
    </row>
    <row r="123" spans="2:4" x14ac:dyDescent="0.55000000000000004">
      <c r="B123" s="821">
        <v>42036</v>
      </c>
      <c r="C123" s="821">
        <f t="shared" si="1"/>
        <v>42063</v>
      </c>
      <c r="D123">
        <v>3.6700000000000004</v>
      </c>
    </row>
    <row r="124" spans="2:4" x14ac:dyDescent="0.55000000000000004">
      <c r="B124" s="821">
        <v>42005</v>
      </c>
      <c r="C124" s="821">
        <f t="shared" si="1"/>
        <v>42035</v>
      </c>
      <c r="D124">
        <v>3.5799999999999996</v>
      </c>
    </row>
    <row r="125" spans="2:4" x14ac:dyDescent="0.55000000000000004">
      <c r="B125" s="821">
        <v>41974</v>
      </c>
      <c r="C125" s="821">
        <f t="shared" si="1"/>
        <v>42004</v>
      </c>
      <c r="D125">
        <v>3.95</v>
      </c>
    </row>
    <row r="126" spans="2:4" x14ac:dyDescent="0.55000000000000004">
      <c r="B126" s="821">
        <v>41944</v>
      </c>
      <c r="C126" s="821">
        <f t="shared" si="1"/>
        <v>41973</v>
      </c>
      <c r="D126">
        <v>4.09</v>
      </c>
    </row>
    <row r="127" spans="2:4" x14ac:dyDescent="0.55000000000000004">
      <c r="B127" s="821">
        <v>41913</v>
      </c>
      <c r="C127" s="821">
        <f t="shared" si="1"/>
        <v>41943</v>
      </c>
      <c r="D127">
        <v>4.0599999999999996</v>
      </c>
    </row>
    <row r="128" spans="2:4" x14ac:dyDescent="0.55000000000000004">
      <c r="B128" s="821">
        <v>41883</v>
      </c>
      <c r="C128" s="821">
        <f t="shared" si="1"/>
        <v>41912</v>
      </c>
      <c r="D128">
        <v>4.24</v>
      </c>
    </row>
    <row r="129" spans="2:4" x14ac:dyDescent="0.55000000000000004">
      <c r="B129" s="821">
        <v>41852</v>
      </c>
      <c r="C129" s="821">
        <f t="shared" si="1"/>
        <v>41882</v>
      </c>
      <c r="D129">
        <v>4.13</v>
      </c>
    </row>
    <row r="130" spans="2:4" x14ac:dyDescent="0.55000000000000004">
      <c r="B130" s="821">
        <v>41821</v>
      </c>
      <c r="C130" s="821">
        <f t="shared" si="1"/>
        <v>41851</v>
      </c>
      <c r="D130">
        <v>4.2300000000000004</v>
      </c>
    </row>
    <row r="131" spans="2:4" x14ac:dyDescent="0.55000000000000004">
      <c r="B131" s="821">
        <v>41791</v>
      </c>
      <c r="C131" s="821">
        <f t="shared" si="1"/>
        <v>41820</v>
      </c>
      <c r="D131">
        <v>4.29</v>
      </c>
    </row>
    <row r="132" spans="2:4" x14ac:dyDescent="0.55000000000000004">
      <c r="B132" s="821">
        <v>41760</v>
      </c>
      <c r="C132" s="821">
        <f t="shared" si="1"/>
        <v>41790</v>
      </c>
      <c r="D132">
        <v>4.26</v>
      </c>
    </row>
    <row r="133" spans="2:4" x14ac:dyDescent="0.55000000000000004">
      <c r="B133" s="821">
        <v>41730</v>
      </c>
      <c r="C133" s="821">
        <f t="shared" si="1"/>
        <v>41759</v>
      </c>
      <c r="D133">
        <v>4.41</v>
      </c>
    </row>
    <row r="134" spans="2:4" x14ac:dyDescent="0.55000000000000004">
      <c r="B134" s="821">
        <v>41699</v>
      </c>
      <c r="C134" s="821">
        <f t="shared" ref="C134:C197" si="2">EOMONTH(B134, 0)</f>
        <v>41729</v>
      </c>
      <c r="D134">
        <v>4.51</v>
      </c>
    </row>
    <row r="135" spans="2:4" x14ac:dyDescent="0.55000000000000004">
      <c r="B135" s="821">
        <v>41671</v>
      </c>
      <c r="C135" s="821">
        <f t="shared" si="2"/>
        <v>41698</v>
      </c>
      <c r="D135">
        <v>4.53</v>
      </c>
    </row>
    <row r="136" spans="2:4" x14ac:dyDescent="0.55000000000000004">
      <c r="B136" s="821">
        <v>41640</v>
      </c>
      <c r="C136" s="821">
        <f t="shared" si="2"/>
        <v>41670</v>
      </c>
      <c r="D136">
        <v>4.63</v>
      </c>
    </row>
    <row r="137" spans="2:4" x14ac:dyDescent="0.55000000000000004">
      <c r="B137" s="821">
        <v>41609</v>
      </c>
      <c r="C137" s="821">
        <f t="shared" si="2"/>
        <v>41639</v>
      </c>
      <c r="D137">
        <v>4.8099999999999996</v>
      </c>
    </row>
    <row r="138" spans="2:4" x14ac:dyDescent="0.55000000000000004">
      <c r="B138" s="821">
        <v>41579</v>
      </c>
      <c r="C138" s="821">
        <f t="shared" si="2"/>
        <v>41608</v>
      </c>
      <c r="D138">
        <v>4.7699999999999996</v>
      </c>
    </row>
    <row r="139" spans="2:4" x14ac:dyDescent="0.55000000000000004">
      <c r="B139" s="821">
        <v>41548</v>
      </c>
      <c r="C139" s="821">
        <f t="shared" si="2"/>
        <v>41578</v>
      </c>
      <c r="D139">
        <v>4.7</v>
      </c>
    </row>
    <row r="140" spans="2:4" x14ac:dyDescent="0.55000000000000004">
      <c r="B140" s="821">
        <v>41518</v>
      </c>
      <c r="C140" s="821">
        <f t="shared" si="2"/>
        <v>41547</v>
      </c>
      <c r="D140">
        <v>4.8</v>
      </c>
    </row>
    <row r="141" spans="2:4" x14ac:dyDescent="0.55000000000000004">
      <c r="B141" s="821">
        <v>41487</v>
      </c>
      <c r="C141" s="821">
        <f t="shared" si="2"/>
        <v>41517</v>
      </c>
      <c r="D141">
        <v>4.7300000000000004</v>
      </c>
    </row>
    <row r="142" spans="2:4" x14ac:dyDescent="0.55000000000000004">
      <c r="B142" s="821">
        <v>41456</v>
      </c>
      <c r="C142" s="821">
        <f t="shared" si="2"/>
        <v>41486</v>
      </c>
      <c r="D142">
        <v>4.68</v>
      </c>
    </row>
    <row r="143" spans="2:4" x14ac:dyDescent="0.55000000000000004">
      <c r="B143" s="821">
        <v>41426</v>
      </c>
      <c r="C143" s="821">
        <f t="shared" si="2"/>
        <v>41455</v>
      </c>
      <c r="D143">
        <v>4.53</v>
      </c>
    </row>
    <row r="144" spans="2:4" x14ac:dyDescent="0.55000000000000004">
      <c r="B144" s="821">
        <v>41395</v>
      </c>
      <c r="C144" s="821">
        <f t="shared" si="2"/>
        <v>41425</v>
      </c>
      <c r="D144">
        <v>4.17</v>
      </c>
    </row>
    <row r="145" spans="2:4" x14ac:dyDescent="0.55000000000000004">
      <c r="B145" s="821">
        <v>41365</v>
      </c>
      <c r="C145" s="821">
        <f t="shared" si="2"/>
        <v>41394</v>
      </c>
      <c r="D145">
        <v>4</v>
      </c>
    </row>
    <row r="146" spans="2:4" x14ac:dyDescent="0.55000000000000004">
      <c r="B146" s="821">
        <v>41334</v>
      </c>
      <c r="C146" s="821">
        <f t="shared" si="2"/>
        <v>41364</v>
      </c>
      <c r="D146">
        <v>4.2</v>
      </c>
    </row>
    <row r="147" spans="2:4" x14ac:dyDescent="0.55000000000000004">
      <c r="B147" s="821">
        <v>41306</v>
      </c>
      <c r="C147" s="821">
        <f t="shared" si="2"/>
        <v>41333</v>
      </c>
      <c r="D147">
        <v>4.18</v>
      </c>
    </row>
    <row r="148" spans="2:4" x14ac:dyDescent="0.55000000000000004">
      <c r="B148" s="821">
        <v>41275</v>
      </c>
      <c r="C148" s="821">
        <f t="shared" si="2"/>
        <v>41305</v>
      </c>
      <c r="D148">
        <v>4.1500000000000004</v>
      </c>
    </row>
    <row r="149" spans="2:4" x14ac:dyDescent="0.55000000000000004">
      <c r="B149" s="821">
        <v>41244</v>
      </c>
      <c r="C149" s="821">
        <f t="shared" si="2"/>
        <v>41274</v>
      </c>
      <c r="D149">
        <v>4</v>
      </c>
    </row>
    <row r="150" spans="2:4" x14ac:dyDescent="0.55000000000000004">
      <c r="B150" s="821">
        <v>41214</v>
      </c>
      <c r="C150" s="821">
        <f t="shared" si="2"/>
        <v>41243</v>
      </c>
      <c r="D150">
        <v>3.84</v>
      </c>
    </row>
    <row r="151" spans="2:4" x14ac:dyDescent="0.55000000000000004">
      <c r="B151" s="821">
        <v>41183</v>
      </c>
      <c r="C151" s="821">
        <f t="shared" si="2"/>
        <v>41213</v>
      </c>
      <c r="D151">
        <v>3.91</v>
      </c>
    </row>
    <row r="152" spans="2:4" x14ac:dyDescent="0.55000000000000004">
      <c r="B152" s="821">
        <v>41153</v>
      </c>
      <c r="C152" s="821">
        <f t="shared" si="2"/>
        <v>41182</v>
      </c>
      <c r="D152">
        <v>4.0199999999999996</v>
      </c>
    </row>
    <row r="153" spans="2:4" x14ac:dyDescent="0.55000000000000004">
      <c r="B153" s="821">
        <v>41122</v>
      </c>
      <c r="C153" s="821">
        <f t="shared" si="2"/>
        <v>41152</v>
      </c>
      <c r="D153">
        <v>4</v>
      </c>
    </row>
    <row r="154" spans="2:4" x14ac:dyDescent="0.55000000000000004">
      <c r="B154" s="821">
        <v>41091</v>
      </c>
      <c r="C154" s="821">
        <f t="shared" si="2"/>
        <v>41121</v>
      </c>
      <c r="D154">
        <v>3.93</v>
      </c>
    </row>
    <row r="155" spans="2:4" x14ac:dyDescent="0.55000000000000004">
      <c r="B155" s="821">
        <v>41061</v>
      </c>
      <c r="C155" s="821">
        <f t="shared" si="2"/>
        <v>41090</v>
      </c>
      <c r="D155">
        <v>4.08</v>
      </c>
    </row>
    <row r="156" spans="2:4" x14ac:dyDescent="0.55000000000000004">
      <c r="B156" s="821">
        <v>41030</v>
      </c>
      <c r="C156" s="821">
        <f t="shared" si="2"/>
        <v>41060</v>
      </c>
      <c r="D156">
        <v>4.2</v>
      </c>
    </row>
    <row r="157" spans="2:4" x14ac:dyDescent="0.55000000000000004">
      <c r="B157" s="821">
        <v>41000</v>
      </c>
      <c r="C157" s="821">
        <f t="shared" si="2"/>
        <v>41029</v>
      </c>
      <c r="D157">
        <v>4.4000000000000004</v>
      </c>
    </row>
    <row r="158" spans="2:4" x14ac:dyDescent="0.55000000000000004">
      <c r="B158" s="821">
        <v>40969</v>
      </c>
      <c r="C158" s="821">
        <f t="shared" si="2"/>
        <v>40999</v>
      </c>
      <c r="D158">
        <v>4.4800000000000004</v>
      </c>
    </row>
    <row r="159" spans="2:4" x14ac:dyDescent="0.55000000000000004">
      <c r="B159" s="821">
        <v>40940</v>
      </c>
      <c r="C159" s="821">
        <f t="shared" si="2"/>
        <v>40968</v>
      </c>
      <c r="D159">
        <v>4.3600000000000003</v>
      </c>
    </row>
    <row r="160" spans="2:4" x14ac:dyDescent="0.55000000000000004">
      <c r="B160" s="821">
        <v>40909</v>
      </c>
      <c r="C160" s="821">
        <f t="shared" si="2"/>
        <v>40939</v>
      </c>
      <c r="D160">
        <v>4.34</v>
      </c>
    </row>
    <row r="161" spans="2:4" x14ac:dyDescent="0.55000000000000004">
      <c r="B161" s="821">
        <v>40878</v>
      </c>
      <c r="C161" s="821">
        <f t="shared" si="2"/>
        <v>40908</v>
      </c>
      <c r="D161">
        <v>4.33</v>
      </c>
    </row>
    <row r="162" spans="2:4" x14ac:dyDescent="0.55000000000000004">
      <c r="B162" s="821">
        <v>40848</v>
      </c>
      <c r="C162" s="821">
        <f t="shared" si="2"/>
        <v>40877</v>
      </c>
      <c r="D162">
        <v>4.25</v>
      </c>
    </row>
    <row r="163" spans="2:4" x14ac:dyDescent="0.55000000000000004">
      <c r="B163" s="821">
        <v>40817</v>
      </c>
      <c r="C163" s="821">
        <f t="shared" si="2"/>
        <v>40847</v>
      </c>
      <c r="D163">
        <v>4.5199999999999996</v>
      </c>
    </row>
    <row r="164" spans="2:4" x14ac:dyDescent="0.55000000000000004">
      <c r="B164" s="821">
        <v>40787</v>
      </c>
      <c r="C164" s="821">
        <f t="shared" si="2"/>
        <v>40816</v>
      </c>
      <c r="D164">
        <v>4.4800000000000004</v>
      </c>
    </row>
    <row r="165" spans="2:4" x14ac:dyDescent="0.55000000000000004">
      <c r="B165" s="821">
        <v>40756</v>
      </c>
      <c r="C165" s="821">
        <f t="shared" si="2"/>
        <v>40786</v>
      </c>
      <c r="D165">
        <v>4.6900000000000004</v>
      </c>
    </row>
    <row r="166" spans="2:4" x14ac:dyDescent="0.55000000000000004">
      <c r="B166" s="821">
        <v>40725</v>
      </c>
      <c r="C166" s="821">
        <f t="shared" si="2"/>
        <v>40755</v>
      </c>
      <c r="D166">
        <v>5.27</v>
      </c>
    </row>
    <row r="167" spans="2:4" x14ac:dyDescent="0.55000000000000004">
      <c r="B167" s="821">
        <v>40695</v>
      </c>
      <c r="C167" s="821">
        <f t="shared" si="2"/>
        <v>40724</v>
      </c>
      <c r="D167">
        <v>5.26</v>
      </c>
    </row>
    <row r="168" spans="2:4" x14ac:dyDescent="0.55000000000000004">
      <c r="B168" s="821">
        <v>40664</v>
      </c>
      <c r="C168" s="821">
        <f t="shared" si="2"/>
        <v>40694</v>
      </c>
      <c r="D168">
        <v>5.32</v>
      </c>
    </row>
    <row r="169" spans="2:4" x14ac:dyDescent="0.55000000000000004">
      <c r="B169" s="821">
        <v>40634</v>
      </c>
      <c r="C169" s="821">
        <f t="shared" si="2"/>
        <v>40663</v>
      </c>
      <c r="D169">
        <v>5.55</v>
      </c>
    </row>
    <row r="170" spans="2:4" x14ac:dyDescent="0.55000000000000004">
      <c r="B170" s="821">
        <v>40603</v>
      </c>
      <c r="C170" s="821">
        <f t="shared" si="2"/>
        <v>40633</v>
      </c>
      <c r="D170">
        <v>5.56</v>
      </c>
    </row>
    <row r="171" spans="2:4" x14ac:dyDescent="0.55000000000000004">
      <c r="B171" s="821">
        <v>40575</v>
      </c>
      <c r="C171" s="821">
        <f t="shared" si="2"/>
        <v>40602</v>
      </c>
      <c r="D171">
        <v>5.68</v>
      </c>
    </row>
    <row r="172" spans="2:4" x14ac:dyDescent="0.55000000000000004">
      <c r="B172" s="821">
        <v>40544</v>
      </c>
      <c r="C172" s="821">
        <f t="shared" si="2"/>
        <v>40574</v>
      </c>
      <c r="D172">
        <v>5.57</v>
      </c>
    </row>
    <row r="173" spans="2:4" x14ac:dyDescent="0.55000000000000004">
      <c r="B173" s="821">
        <v>40513</v>
      </c>
      <c r="C173" s="821">
        <f t="shared" si="2"/>
        <v>40543</v>
      </c>
      <c r="D173">
        <v>5.56</v>
      </c>
    </row>
    <row r="174" spans="2:4" x14ac:dyDescent="0.55000000000000004">
      <c r="B174" s="821">
        <v>40483</v>
      </c>
      <c r="C174" s="821">
        <f t="shared" si="2"/>
        <v>40512</v>
      </c>
      <c r="D174">
        <v>5.37</v>
      </c>
    </row>
    <row r="175" spans="2:4" x14ac:dyDescent="0.55000000000000004">
      <c r="B175" s="821">
        <v>40452</v>
      </c>
      <c r="C175" s="821">
        <f t="shared" si="2"/>
        <v>40482</v>
      </c>
      <c r="D175">
        <v>5.0999999999999996</v>
      </c>
    </row>
    <row r="176" spans="2:4" x14ac:dyDescent="0.55000000000000004">
      <c r="B176" s="821">
        <v>40422</v>
      </c>
      <c r="C176" s="821">
        <f t="shared" si="2"/>
        <v>40451</v>
      </c>
      <c r="D176">
        <v>5.01</v>
      </c>
    </row>
    <row r="177" spans="2:4" x14ac:dyDescent="0.55000000000000004">
      <c r="B177" s="821">
        <v>40391</v>
      </c>
      <c r="C177" s="821">
        <f t="shared" si="2"/>
        <v>40421</v>
      </c>
      <c r="D177">
        <v>5.01</v>
      </c>
    </row>
    <row r="178" spans="2:4" x14ac:dyDescent="0.55000000000000004">
      <c r="B178" s="821">
        <v>40360</v>
      </c>
      <c r="C178" s="821">
        <f t="shared" si="2"/>
        <v>40390</v>
      </c>
      <c r="D178">
        <v>5.26</v>
      </c>
    </row>
    <row r="179" spans="2:4" x14ac:dyDescent="0.55000000000000004">
      <c r="B179" s="821">
        <v>40330</v>
      </c>
      <c r="C179" s="821">
        <f t="shared" si="2"/>
        <v>40359</v>
      </c>
      <c r="D179">
        <v>5.46</v>
      </c>
    </row>
    <row r="180" spans="2:4" x14ac:dyDescent="0.55000000000000004">
      <c r="B180" s="821">
        <v>40299</v>
      </c>
      <c r="C180" s="821">
        <f t="shared" si="2"/>
        <v>40329</v>
      </c>
      <c r="D180">
        <v>5.5</v>
      </c>
    </row>
    <row r="181" spans="2:4" x14ac:dyDescent="0.55000000000000004">
      <c r="B181" s="821">
        <v>40269</v>
      </c>
      <c r="C181" s="821">
        <f t="shared" si="2"/>
        <v>40298</v>
      </c>
      <c r="D181">
        <v>5.81</v>
      </c>
    </row>
    <row r="182" spans="2:4" x14ac:dyDescent="0.55000000000000004">
      <c r="B182" s="821">
        <v>40238</v>
      </c>
      <c r="C182" s="821">
        <f t="shared" si="2"/>
        <v>40268</v>
      </c>
      <c r="D182">
        <v>5.84</v>
      </c>
    </row>
    <row r="183" spans="2:4" x14ac:dyDescent="0.55000000000000004">
      <c r="B183" s="821">
        <v>40210</v>
      </c>
      <c r="C183" s="821">
        <f t="shared" si="2"/>
        <v>40237</v>
      </c>
      <c r="D183">
        <v>5.87</v>
      </c>
    </row>
    <row r="184" spans="2:4" x14ac:dyDescent="0.55000000000000004">
      <c r="B184" s="821">
        <v>40179</v>
      </c>
      <c r="C184" s="821">
        <f t="shared" si="2"/>
        <v>40209</v>
      </c>
      <c r="D184">
        <v>5.77</v>
      </c>
    </row>
    <row r="185" spans="2:4" x14ac:dyDescent="0.55000000000000004">
      <c r="B185" s="821">
        <v>40148</v>
      </c>
      <c r="C185" s="821">
        <f t="shared" si="2"/>
        <v>40178</v>
      </c>
      <c r="D185">
        <v>5.79</v>
      </c>
    </row>
    <row r="186" spans="2:4" x14ac:dyDescent="0.55000000000000004">
      <c r="B186" s="821">
        <v>40118</v>
      </c>
      <c r="C186" s="821">
        <f t="shared" si="2"/>
        <v>40147</v>
      </c>
      <c r="D186">
        <v>5.64</v>
      </c>
    </row>
    <row r="187" spans="2:4" x14ac:dyDescent="0.55000000000000004">
      <c r="B187" s="821">
        <v>40087</v>
      </c>
      <c r="C187" s="821">
        <f t="shared" si="2"/>
        <v>40117</v>
      </c>
      <c r="D187">
        <v>5.55</v>
      </c>
    </row>
    <row r="188" spans="2:4" x14ac:dyDescent="0.55000000000000004">
      <c r="B188" s="821">
        <v>40057</v>
      </c>
      <c r="C188" s="821">
        <f t="shared" si="2"/>
        <v>40086</v>
      </c>
      <c r="D188">
        <v>5.53</v>
      </c>
    </row>
    <row r="189" spans="2:4" x14ac:dyDescent="0.55000000000000004">
      <c r="B189" s="821">
        <v>40026</v>
      </c>
      <c r="C189" s="821">
        <f t="shared" si="2"/>
        <v>40056</v>
      </c>
      <c r="D189">
        <v>5.71</v>
      </c>
    </row>
    <row r="190" spans="2:4" x14ac:dyDescent="0.55000000000000004">
      <c r="B190" s="821">
        <v>39995</v>
      </c>
      <c r="C190" s="821">
        <f t="shared" si="2"/>
        <v>40025</v>
      </c>
      <c r="D190">
        <v>5.97</v>
      </c>
    </row>
    <row r="191" spans="2:4" x14ac:dyDescent="0.55000000000000004">
      <c r="B191" s="821">
        <v>39965</v>
      </c>
      <c r="C191" s="821">
        <f t="shared" si="2"/>
        <v>39994</v>
      </c>
      <c r="D191">
        <v>6.2</v>
      </c>
    </row>
    <row r="192" spans="2:4" x14ac:dyDescent="0.55000000000000004">
      <c r="B192" s="821">
        <v>39934</v>
      </c>
      <c r="C192" s="821">
        <f t="shared" si="2"/>
        <v>39964</v>
      </c>
      <c r="D192">
        <v>6.49</v>
      </c>
    </row>
    <row r="193" spans="2:4" x14ac:dyDescent="0.55000000000000004">
      <c r="B193" s="821">
        <v>39904</v>
      </c>
      <c r="C193" s="821">
        <f t="shared" si="2"/>
        <v>39933</v>
      </c>
      <c r="D193">
        <v>6.48</v>
      </c>
    </row>
    <row r="194" spans="2:4" x14ac:dyDescent="0.55000000000000004">
      <c r="B194" s="821">
        <v>39873</v>
      </c>
      <c r="C194" s="821">
        <f t="shared" si="2"/>
        <v>39903</v>
      </c>
      <c r="D194">
        <v>6.42</v>
      </c>
    </row>
    <row r="195" spans="2:4" x14ac:dyDescent="0.55000000000000004">
      <c r="B195" s="821">
        <v>39845</v>
      </c>
      <c r="C195" s="821">
        <f t="shared" si="2"/>
        <v>39872</v>
      </c>
      <c r="D195">
        <v>6.3</v>
      </c>
    </row>
    <row r="196" spans="2:4" x14ac:dyDescent="0.55000000000000004">
      <c r="B196" s="821">
        <v>39814</v>
      </c>
      <c r="C196" s="821">
        <f t="shared" si="2"/>
        <v>39844</v>
      </c>
      <c r="D196">
        <v>6.39</v>
      </c>
    </row>
    <row r="197" spans="2:4" x14ac:dyDescent="0.55000000000000004">
      <c r="B197" s="821">
        <v>39783</v>
      </c>
      <c r="C197" s="821">
        <f t="shared" si="2"/>
        <v>39813</v>
      </c>
      <c r="D197">
        <v>6.54</v>
      </c>
    </row>
    <row r="198" spans="2:4" x14ac:dyDescent="0.55000000000000004">
      <c r="B198" s="821">
        <v>39753</v>
      </c>
      <c r="C198" s="821">
        <f t="shared" ref="C198:C261" si="3">EOMONTH(B198, 0)</f>
        <v>39782</v>
      </c>
      <c r="D198">
        <v>7.6</v>
      </c>
    </row>
    <row r="199" spans="2:4" x14ac:dyDescent="0.55000000000000004">
      <c r="B199" s="821">
        <v>39722</v>
      </c>
      <c r="C199" s="821">
        <f t="shared" si="3"/>
        <v>39752</v>
      </c>
      <c r="D199">
        <v>7.5600000000000005</v>
      </c>
    </row>
    <row r="200" spans="2:4" x14ac:dyDescent="0.55000000000000004">
      <c r="B200" s="821">
        <v>39692</v>
      </c>
      <c r="C200" s="821">
        <f t="shared" si="3"/>
        <v>39721</v>
      </c>
      <c r="D200">
        <v>6.49</v>
      </c>
    </row>
    <row r="201" spans="2:4" x14ac:dyDescent="0.55000000000000004">
      <c r="B201" s="821">
        <v>39661</v>
      </c>
      <c r="C201" s="821">
        <f t="shared" si="3"/>
        <v>39691</v>
      </c>
      <c r="D201">
        <v>6.370000000000001</v>
      </c>
    </row>
    <row r="202" spans="2:4" x14ac:dyDescent="0.55000000000000004">
      <c r="B202" s="821">
        <v>39630</v>
      </c>
      <c r="C202" s="821">
        <f t="shared" si="3"/>
        <v>39660</v>
      </c>
      <c r="D202">
        <v>6.4</v>
      </c>
    </row>
    <row r="203" spans="2:4" x14ac:dyDescent="0.55000000000000004">
      <c r="B203" s="821">
        <v>39600</v>
      </c>
      <c r="C203" s="821">
        <f t="shared" si="3"/>
        <v>39629</v>
      </c>
      <c r="D203">
        <v>6.38</v>
      </c>
    </row>
    <row r="204" spans="2:4" x14ac:dyDescent="0.55000000000000004">
      <c r="B204" s="821">
        <v>39569</v>
      </c>
      <c r="C204" s="821">
        <f t="shared" si="3"/>
        <v>39599</v>
      </c>
      <c r="D204">
        <v>6.27</v>
      </c>
    </row>
    <row r="205" spans="2:4" x14ac:dyDescent="0.55000000000000004">
      <c r="B205" s="821">
        <v>39539</v>
      </c>
      <c r="C205" s="821">
        <f t="shared" si="3"/>
        <v>39568</v>
      </c>
      <c r="D205">
        <v>6.29</v>
      </c>
    </row>
    <row r="206" spans="2:4" x14ac:dyDescent="0.55000000000000004">
      <c r="B206" s="821">
        <v>39508</v>
      </c>
      <c r="C206" s="821">
        <f t="shared" si="3"/>
        <v>39538</v>
      </c>
      <c r="D206">
        <v>6.21</v>
      </c>
    </row>
    <row r="207" spans="2:4" x14ac:dyDescent="0.55000000000000004">
      <c r="B207" s="821">
        <v>39479</v>
      </c>
      <c r="C207" s="821">
        <f t="shared" si="3"/>
        <v>39507</v>
      </c>
      <c r="D207">
        <v>6.21</v>
      </c>
    </row>
    <row r="208" spans="2:4" x14ac:dyDescent="0.55000000000000004">
      <c r="B208" s="821">
        <v>39448</v>
      </c>
      <c r="C208" s="821">
        <f t="shared" si="3"/>
        <v>39478</v>
      </c>
      <c r="D208">
        <v>6.02</v>
      </c>
    </row>
    <row r="209" spans="2:4" x14ac:dyDescent="0.55000000000000004">
      <c r="B209" s="821">
        <v>39417</v>
      </c>
      <c r="C209" s="821">
        <f t="shared" si="3"/>
        <v>39447</v>
      </c>
      <c r="D209">
        <v>6.16</v>
      </c>
    </row>
    <row r="210" spans="2:4" x14ac:dyDescent="0.55000000000000004">
      <c r="B210" s="821">
        <v>39387</v>
      </c>
      <c r="C210" s="821">
        <f t="shared" si="3"/>
        <v>39416</v>
      </c>
      <c r="D210">
        <v>5.97</v>
      </c>
    </row>
    <row r="211" spans="2:4" x14ac:dyDescent="0.55000000000000004">
      <c r="B211" s="821">
        <v>39356</v>
      </c>
      <c r="C211" s="821">
        <f t="shared" si="3"/>
        <v>39386</v>
      </c>
      <c r="D211">
        <v>6.11</v>
      </c>
    </row>
    <row r="212" spans="2:4" x14ac:dyDescent="0.55000000000000004">
      <c r="B212" s="821">
        <v>39326</v>
      </c>
      <c r="C212" s="821">
        <f t="shared" si="3"/>
        <v>39355</v>
      </c>
      <c r="D212">
        <v>6.18</v>
      </c>
    </row>
    <row r="213" spans="2:4" x14ac:dyDescent="0.55000000000000004">
      <c r="B213" s="821">
        <v>39295</v>
      </c>
      <c r="C213" s="821">
        <f t="shared" si="3"/>
        <v>39325</v>
      </c>
      <c r="D213">
        <v>6.24</v>
      </c>
    </row>
    <row r="214" spans="2:4" x14ac:dyDescent="0.55000000000000004">
      <c r="B214" s="821">
        <v>39264</v>
      </c>
      <c r="C214" s="821">
        <f t="shared" si="3"/>
        <v>39294</v>
      </c>
      <c r="D214">
        <v>6.25</v>
      </c>
    </row>
    <row r="215" spans="2:4" x14ac:dyDescent="0.55000000000000004">
      <c r="B215" s="821">
        <v>39234</v>
      </c>
      <c r="C215" s="821">
        <f t="shared" si="3"/>
        <v>39263</v>
      </c>
      <c r="D215">
        <v>6.3</v>
      </c>
    </row>
    <row r="216" spans="2:4" x14ac:dyDescent="0.55000000000000004">
      <c r="B216" s="821">
        <v>39203</v>
      </c>
      <c r="C216" s="821">
        <f t="shared" si="3"/>
        <v>39233</v>
      </c>
      <c r="D216">
        <v>5.99</v>
      </c>
    </row>
    <row r="217" spans="2:4" x14ac:dyDescent="0.55000000000000004">
      <c r="B217" s="821">
        <v>39173</v>
      </c>
      <c r="C217" s="821">
        <f t="shared" si="3"/>
        <v>39202</v>
      </c>
      <c r="D217">
        <v>5.97</v>
      </c>
    </row>
    <row r="218" spans="2:4" x14ac:dyDescent="0.55000000000000004">
      <c r="B218" s="821">
        <v>39142</v>
      </c>
      <c r="C218" s="821">
        <f t="shared" si="3"/>
        <v>39172</v>
      </c>
      <c r="D218">
        <v>5.8500000000000005</v>
      </c>
    </row>
    <row r="219" spans="2:4" x14ac:dyDescent="0.55000000000000004">
      <c r="B219" s="821">
        <v>39114</v>
      </c>
      <c r="C219" s="821">
        <f t="shared" si="3"/>
        <v>39141</v>
      </c>
      <c r="D219">
        <v>5.9</v>
      </c>
    </row>
    <row r="220" spans="2:4" x14ac:dyDescent="0.55000000000000004">
      <c r="B220" s="821">
        <v>39083</v>
      </c>
      <c r="C220" s="821">
        <f t="shared" si="3"/>
        <v>39113</v>
      </c>
      <c r="D220">
        <v>5.96</v>
      </c>
    </row>
    <row r="221" spans="2:4" x14ac:dyDescent="0.55000000000000004">
      <c r="B221" s="821">
        <v>39052</v>
      </c>
      <c r="C221" s="821">
        <f t="shared" si="3"/>
        <v>39082</v>
      </c>
      <c r="D221">
        <v>5.8100000000000005</v>
      </c>
    </row>
    <row r="222" spans="2:4" x14ac:dyDescent="0.55000000000000004">
      <c r="B222" s="821">
        <v>39022</v>
      </c>
      <c r="C222" s="821">
        <f t="shared" si="3"/>
        <v>39051</v>
      </c>
      <c r="D222">
        <v>5.8</v>
      </c>
    </row>
    <row r="223" spans="2:4" x14ac:dyDescent="0.55000000000000004">
      <c r="B223" s="821">
        <v>38991</v>
      </c>
      <c r="C223" s="821">
        <f t="shared" si="3"/>
        <v>39021</v>
      </c>
      <c r="D223">
        <v>5.98</v>
      </c>
    </row>
    <row r="224" spans="2:4" x14ac:dyDescent="0.55000000000000004">
      <c r="B224" s="821">
        <v>38961</v>
      </c>
      <c r="C224" s="821">
        <f t="shared" si="3"/>
        <v>38990</v>
      </c>
      <c r="D224">
        <v>6</v>
      </c>
    </row>
    <row r="225" spans="2:4" x14ac:dyDescent="0.55000000000000004">
      <c r="B225" s="821">
        <v>38930</v>
      </c>
      <c r="C225" s="821">
        <f t="shared" si="3"/>
        <v>38960</v>
      </c>
      <c r="D225">
        <v>6.2</v>
      </c>
    </row>
    <row r="226" spans="2:4" x14ac:dyDescent="0.55000000000000004">
      <c r="B226" s="821">
        <v>38899</v>
      </c>
      <c r="C226" s="821">
        <f t="shared" si="3"/>
        <v>38929</v>
      </c>
      <c r="D226">
        <v>6.37</v>
      </c>
    </row>
    <row r="227" spans="2:4" x14ac:dyDescent="0.55000000000000004">
      <c r="B227" s="821">
        <v>38869</v>
      </c>
      <c r="C227" s="821">
        <f t="shared" si="3"/>
        <v>38898</v>
      </c>
      <c r="D227">
        <v>6.4</v>
      </c>
    </row>
    <row r="228" spans="2:4" x14ac:dyDescent="0.55000000000000004">
      <c r="B228" s="821">
        <v>38838</v>
      </c>
      <c r="C228" s="821">
        <f t="shared" si="3"/>
        <v>38868</v>
      </c>
      <c r="D228">
        <v>6.42</v>
      </c>
    </row>
    <row r="229" spans="2:4" x14ac:dyDescent="0.55000000000000004">
      <c r="B229" s="821">
        <v>38808</v>
      </c>
      <c r="C229" s="821">
        <f t="shared" si="3"/>
        <v>38837</v>
      </c>
      <c r="D229">
        <v>6.29</v>
      </c>
    </row>
    <row r="230" spans="2:4" x14ac:dyDescent="0.55000000000000004">
      <c r="B230" s="821">
        <v>38777</v>
      </c>
      <c r="C230" s="821">
        <f t="shared" si="3"/>
        <v>38807</v>
      </c>
      <c r="D230">
        <v>5.98</v>
      </c>
    </row>
    <row r="231" spans="2:4" x14ac:dyDescent="0.55000000000000004">
      <c r="B231" s="821">
        <v>38749</v>
      </c>
      <c r="C231" s="821">
        <f t="shared" si="3"/>
        <v>38776</v>
      </c>
      <c r="D231">
        <v>5.82</v>
      </c>
    </row>
    <row r="232" spans="2:4" x14ac:dyDescent="0.55000000000000004">
      <c r="B232" s="821">
        <v>38718</v>
      </c>
      <c r="C232" s="821">
        <f t="shared" si="3"/>
        <v>38748</v>
      </c>
      <c r="D232">
        <v>5.75</v>
      </c>
    </row>
    <row r="233" spans="2:4" x14ac:dyDescent="0.55000000000000004">
      <c r="B233" s="821">
        <v>38687</v>
      </c>
      <c r="C233" s="821">
        <f t="shared" si="3"/>
        <v>38717</v>
      </c>
      <c r="D233">
        <v>5.8178000000000001</v>
      </c>
    </row>
    <row r="234" spans="2:4" x14ac:dyDescent="0.55000000000000004">
      <c r="B234" s="821">
        <v>38657</v>
      </c>
      <c r="C234" s="821">
        <f t="shared" si="3"/>
        <v>38686</v>
      </c>
      <c r="D234">
        <v>5.8784000000000001</v>
      </c>
    </row>
    <row r="235" spans="2:4" x14ac:dyDescent="0.55000000000000004">
      <c r="B235" s="821">
        <v>38626</v>
      </c>
      <c r="C235" s="821">
        <f t="shared" si="3"/>
        <v>38656</v>
      </c>
      <c r="D235">
        <v>5.7747999999999999</v>
      </c>
    </row>
    <row r="236" spans="2:4" x14ac:dyDescent="0.55000000000000004">
      <c r="B236" s="821">
        <v>38596</v>
      </c>
      <c r="C236" s="821">
        <f t="shared" si="3"/>
        <v>38625</v>
      </c>
      <c r="D236">
        <v>5.5023999999999997</v>
      </c>
    </row>
    <row r="237" spans="2:4" x14ac:dyDescent="0.55000000000000004">
      <c r="B237" s="821">
        <v>38565</v>
      </c>
      <c r="C237" s="821">
        <f t="shared" si="3"/>
        <v>38595</v>
      </c>
      <c r="D237">
        <v>5.5091000000000001</v>
      </c>
    </row>
    <row r="238" spans="2:4" x14ac:dyDescent="0.55000000000000004">
      <c r="B238" s="821">
        <v>38534</v>
      </c>
      <c r="C238" s="821">
        <f t="shared" si="3"/>
        <v>38564</v>
      </c>
      <c r="D238">
        <v>5.4995000000000003</v>
      </c>
    </row>
    <row r="239" spans="2:4" x14ac:dyDescent="0.55000000000000004">
      <c r="B239" s="821">
        <v>38504</v>
      </c>
      <c r="C239" s="821">
        <f t="shared" si="3"/>
        <v>38533</v>
      </c>
      <c r="D239">
        <v>5.4023000000000003</v>
      </c>
    </row>
    <row r="240" spans="2:4" x14ac:dyDescent="0.55000000000000004">
      <c r="B240" s="821">
        <v>38473</v>
      </c>
      <c r="C240" s="821">
        <f t="shared" si="3"/>
        <v>38503</v>
      </c>
      <c r="D240">
        <v>5.5395000000000003</v>
      </c>
    </row>
    <row r="241" spans="2:4" x14ac:dyDescent="0.55000000000000004">
      <c r="B241" s="821">
        <v>38443</v>
      </c>
      <c r="C241" s="821">
        <f t="shared" si="3"/>
        <v>38472</v>
      </c>
      <c r="D241">
        <v>5.6494999999999997</v>
      </c>
    </row>
    <row r="242" spans="2:4" x14ac:dyDescent="0.55000000000000004">
      <c r="B242" s="821">
        <v>38412</v>
      </c>
      <c r="C242" s="821">
        <f t="shared" si="3"/>
        <v>38442</v>
      </c>
      <c r="D242">
        <v>5.8263999999999996</v>
      </c>
    </row>
    <row r="243" spans="2:4" x14ac:dyDescent="0.55000000000000004">
      <c r="B243" s="821">
        <v>38384</v>
      </c>
      <c r="C243" s="821">
        <f t="shared" si="3"/>
        <v>38411</v>
      </c>
      <c r="D243">
        <v>5.6142000000000003</v>
      </c>
    </row>
    <row r="244" spans="2:4" x14ac:dyDescent="0.55000000000000004">
      <c r="B244" s="821">
        <v>38353</v>
      </c>
      <c r="C244" s="821">
        <f t="shared" si="3"/>
        <v>38383</v>
      </c>
      <c r="D244">
        <v>5.7934999999999999</v>
      </c>
    </row>
    <row r="245" spans="2:4" x14ac:dyDescent="0.55000000000000004">
      <c r="B245" s="821">
        <v>38322</v>
      </c>
      <c r="C245" s="821">
        <f t="shared" si="3"/>
        <v>38352</v>
      </c>
      <c r="D245">
        <v>5.9267000000000003</v>
      </c>
    </row>
    <row r="246" spans="2:4" x14ac:dyDescent="0.55000000000000004">
      <c r="B246" s="821">
        <v>38292</v>
      </c>
      <c r="C246" s="821">
        <f t="shared" si="3"/>
        <v>38321</v>
      </c>
      <c r="D246">
        <v>5.9553000000000003</v>
      </c>
    </row>
    <row r="247" spans="2:4" x14ac:dyDescent="0.55000000000000004">
      <c r="B247" s="821">
        <v>38261</v>
      </c>
      <c r="C247" s="821">
        <f t="shared" si="3"/>
        <v>38291</v>
      </c>
      <c r="D247">
        <v>5.9904999999999999</v>
      </c>
    </row>
    <row r="248" spans="2:4" x14ac:dyDescent="0.55000000000000004">
      <c r="B248" s="821">
        <v>38231</v>
      </c>
      <c r="C248" s="821">
        <f t="shared" si="3"/>
        <v>38260</v>
      </c>
      <c r="D248">
        <v>5.9824000000000002</v>
      </c>
    </row>
    <row r="249" spans="2:4" x14ac:dyDescent="0.55000000000000004">
      <c r="B249" s="821">
        <v>38200</v>
      </c>
      <c r="C249" s="821">
        <f t="shared" si="3"/>
        <v>38230</v>
      </c>
      <c r="D249">
        <v>6.1482000000000001</v>
      </c>
    </row>
    <row r="250" spans="2:4" x14ac:dyDescent="0.55000000000000004">
      <c r="B250" s="821">
        <v>38169</v>
      </c>
      <c r="C250" s="821">
        <f t="shared" si="3"/>
        <v>38199</v>
      </c>
      <c r="D250">
        <v>6.2724000000000002</v>
      </c>
    </row>
    <row r="251" spans="2:4" x14ac:dyDescent="0.55000000000000004">
      <c r="B251" s="821">
        <v>38139</v>
      </c>
      <c r="C251" s="821">
        <f t="shared" si="3"/>
        <v>38168</v>
      </c>
      <c r="D251">
        <v>6.4652000000000003</v>
      </c>
    </row>
    <row r="252" spans="2:4" x14ac:dyDescent="0.55000000000000004">
      <c r="B252" s="821">
        <v>38108</v>
      </c>
      <c r="C252" s="821">
        <f t="shared" si="3"/>
        <v>38138</v>
      </c>
      <c r="D252">
        <v>6.6204999999999998</v>
      </c>
    </row>
    <row r="253" spans="2:4" x14ac:dyDescent="0.55000000000000004">
      <c r="B253" s="821">
        <v>38078</v>
      </c>
      <c r="C253" s="821">
        <f t="shared" si="3"/>
        <v>38107</v>
      </c>
      <c r="D253">
        <v>6.3251999999999997</v>
      </c>
    </row>
    <row r="254" spans="2:4" x14ac:dyDescent="0.55000000000000004">
      <c r="B254" s="821">
        <v>38047</v>
      </c>
      <c r="C254" s="821">
        <f t="shared" si="3"/>
        <v>38077</v>
      </c>
      <c r="D254">
        <v>5.9703999999999997</v>
      </c>
    </row>
    <row r="255" spans="2:4" x14ac:dyDescent="0.55000000000000004">
      <c r="B255" s="821">
        <v>38018</v>
      </c>
      <c r="C255" s="821">
        <f t="shared" si="3"/>
        <v>38046</v>
      </c>
      <c r="D255">
        <v>6.15</v>
      </c>
    </row>
    <row r="256" spans="2:4" x14ac:dyDescent="0.55000000000000004">
      <c r="B256" s="821">
        <v>37987</v>
      </c>
      <c r="C256" s="821">
        <f t="shared" si="3"/>
        <v>38017</v>
      </c>
      <c r="D256">
        <v>6.1536999999999997</v>
      </c>
    </row>
    <row r="257" spans="2:4" x14ac:dyDescent="0.55000000000000004">
      <c r="B257" s="821">
        <v>37956</v>
      </c>
      <c r="C257" s="821">
        <f t="shared" si="3"/>
        <v>37986</v>
      </c>
      <c r="D257">
        <v>6.2789999999999999</v>
      </c>
    </row>
    <row r="258" spans="2:4" x14ac:dyDescent="0.55000000000000004">
      <c r="B258" s="821">
        <v>37926</v>
      </c>
      <c r="C258" s="821">
        <f t="shared" si="3"/>
        <v>37955</v>
      </c>
      <c r="D258">
        <v>6.3712</v>
      </c>
    </row>
    <row r="259" spans="2:4" x14ac:dyDescent="0.55000000000000004">
      <c r="B259" s="821">
        <v>37895</v>
      </c>
      <c r="C259" s="821">
        <f t="shared" si="3"/>
        <v>37925</v>
      </c>
      <c r="D259">
        <v>6.42</v>
      </c>
    </row>
    <row r="260" spans="2:4" x14ac:dyDescent="0.55000000000000004">
      <c r="B260" s="821">
        <v>37865</v>
      </c>
      <c r="C260" s="821">
        <f t="shared" si="3"/>
        <v>37894</v>
      </c>
      <c r="D260">
        <v>6.5842999999999998</v>
      </c>
    </row>
    <row r="261" spans="2:4" x14ac:dyDescent="0.55000000000000004">
      <c r="B261" s="821">
        <v>37834</v>
      </c>
      <c r="C261" s="821">
        <f t="shared" si="3"/>
        <v>37864</v>
      </c>
      <c r="D261">
        <v>6.7910000000000004</v>
      </c>
    </row>
    <row r="262" spans="2:4" x14ac:dyDescent="0.55000000000000004">
      <c r="B262" s="821">
        <v>37803</v>
      </c>
      <c r="C262" s="821">
        <f t="shared" ref="C262:C325" si="4">EOMONTH(B262, 0)</f>
        <v>37833</v>
      </c>
      <c r="D262">
        <v>6.5481999999999996</v>
      </c>
    </row>
    <row r="263" spans="2:4" x14ac:dyDescent="0.55000000000000004">
      <c r="B263" s="821">
        <v>37773</v>
      </c>
      <c r="C263" s="821">
        <f t="shared" si="4"/>
        <v>37802</v>
      </c>
      <c r="D263">
        <v>6.2076000000000002</v>
      </c>
    </row>
    <row r="264" spans="2:4" x14ac:dyDescent="0.55000000000000004">
      <c r="B264" s="821">
        <v>37742</v>
      </c>
      <c r="C264" s="821">
        <f t="shared" si="4"/>
        <v>37772</v>
      </c>
      <c r="D264">
        <v>6.3723999999999998</v>
      </c>
    </row>
    <row r="265" spans="2:4" x14ac:dyDescent="0.55000000000000004">
      <c r="B265" s="821">
        <v>37712</v>
      </c>
      <c r="C265" s="821">
        <f t="shared" si="4"/>
        <v>37741</v>
      </c>
      <c r="D265">
        <v>6.6481000000000003</v>
      </c>
    </row>
    <row r="266" spans="2:4" x14ac:dyDescent="0.55000000000000004">
      <c r="B266" s="821">
        <v>37681</v>
      </c>
      <c r="C266" s="821">
        <f t="shared" si="4"/>
        <v>37711</v>
      </c>
      <c r="D266">
        <v>6.7952000000000004</v>
      </c>
    </row>
    <row r="267" spans="2:4" x14ac:dyDescent="0.55000000000000004">
      <c r="B267" s="821">
        <v>37653</v>
      </c>
      <c r="C267" s="821">
        <f t="shared" si="4"/>
        <v>37680</v>
      </c>
      <c r="D267">
        <v>6.9330999999999996</v>
      </c>
    </row>
    <row r="268" spans="2:4" x14ac:dyDescent="0.55000000000000004">
      <c r="B268" s="821">
        <v>37622</v>
      </c>
      <c r="C268" s="821">
        <f t="shared" si="4"/>
        <v>37652</v>
      </c>
      <c r="D268">
        <v>7.0643000000000002</v>
      </c>
    </row>
    <row r="269" spans="2:4" x14ac:dyDescent="0.55000000000000004">
      <c r="B269" s="821">
        <v>37591</v>
      </c>
      <c r="C269" s="821">
        <f t="shared" si="4"/>
        <v>37621</v>
      </c>
      <c r="D269">
        <v>7.0757000000000003</v>
      </c>
    </row>
    <row r="270" spans="2:4" x14ac:dyDescent="0.55000000000000004">
      <c r="B270" s="821">
        <v>37561</v>
      </c>
      <c r="C270" s="821">
        <f t="shared" si="4"/>
        <v>37590</v>
      </c>
      <c r="D270">
        <v>7.1428000000000003</v>
      </c>
    </row>
    <row r="271" spans="2:4" x14ac:dyDescent="0.55000000000000004">
      <c r="B271" s="821">
        <v>37530</v>
      </c>
      <c r="C271" s="821">
        <f t="shared" si="4"/>
        <v>37560</v>
      </c>
      <c r="D271">
        <v>7.2195</v>
      </c>
    </row>
    <row r="272" spans="2:4" x14ac:dyDescent="0.55000000000000004">
      <c r="B272" s="821">
        <v>37500</v>
      </c>
      <c r="C272" s="821">
        <f t="shared" si="4"/>
        <v>37529</v>
      </c>
      <c r="D272">
        <v>7.0875000000000004</v>
      </c>
    </row>
    <row r="273" spans="2:4" x14ac:dyDescent="0.55000000000000004">
      <c r="B273" s="821">
        <v>37469</v>
      </c>
      <c r="C273" s="821">
        <f t="shared" si="4"/>
        <v>37499</v>
      </c>
      <c r="D273">
        <v>7.1745000000000001</v>
      </c>
    </row>
    <row r="274" spans="2:4" x14ac:dyDescent="0.55000000000000004">
      <c r="B274" s="821">
        <v>37438</v>
      </c>
      <c r="C274" s="821">
        <f t="shared" si="4"/>
        <v>37468</v>
      </c>
      <c r="D274">
        <v>7.3209999999999997</v>
      </c>
    </row>
    <row r="275" spans="2:4" x14ac:dyDescent="0.55000000000000004">
      <c r="B275" s="821">
        <v>37408</v>
      </c>
      <c r="C275" s="821">
        <f t="shared" si="4"/>
        <v>37437</v>
      </c>
      <c r="D275">
        <v>7.4165000000000001</v>
      </c>
    </row>
    <row r="276" spans="2:4" x14ac:dyDescent="0.55000000000000004">
      <c r="B276" s="821">
        <v>37377</v>
      </c>
      <c r="C276" s="821">
        <f t="shared" si="4"/>
        <v>37407</v>
      </c>
      <c r="D276">
        <v>7.5267999999999997</v>
      </c>
    </row>
    <row r="277" spans="2:4" x14ac:dyDescent="0.55000000000000004">
      <c r="B277" s="821">
        <v>37347</v>
      </c>
      <c r="C277" s="821">
        <f t="shared" si="4"/>
        <v>37376</v>
      </c>
      <c r="D277">
        <v>7.5791000000000004</v>
      </c>
    </row>
    <row r="278" spans="2:4" x14ac:dyDescent="0.55000000000000004">
      <c r="B278" s="821">
        <v>37316</v>
      </c>
      <c r="C278" s="821">
        <f t="shared" si="4"/>
        <v>37346</v>
      </c>
      <c r="D278">
        <v>7.7435</v>
      </c>
    </row>
    <row r="279" spans="2:4" x14ac:dyDescent="0.55000000000000004">
      <c r="B279" s="821">
        <v>37288</v>
      </c>
      <c r="C279" s="821">
        <f t="shared" si="4"/>
        <v>37315</v>
      </c>
      <c r="D279">
        <v>7.54</v>
      </c>
    </row>
    <row r="280" spans="2:4" x14ac:dyDescent="0.55000000000000004">
      <c r="B280" s="821">
        <v>37257</v>
      </c>
      <c r="C280" s="821">
        <f t="shared" si="4"/>
        <v>37287</v>
      </c>
      <c r="D280">
        <v>7.6642999999999999</v>
      </c>
    </row>
    <row r="281" spans="2:4" x14ac:dyDescent="0.55000000000000004">
      <c r="B281" s="821">
        <v>37226</v>
      </c>
      <c r="C281" s="821">
        <f t="shared" si="4"/>
        <v>37256</v>
      </c>
      <c r="D281">
        <v>7.8311000000000002</v>
      </c>
    </row>
    <row r="282" spans="2:4" x14ac:dyDescent="0.55000000000000004">
      <c r="B282" s="821">
        <v>37196</v>
      </c>
      <c r="C282" s="821">
        <f t="shared" si="4"/>
        <v>37225</v>
      </c>
      <c r="D282">
        <v>7.5446999999999997</v>
      </c>
    </row>
    <row r="283" spans="2:4" x14ac:dyDescent="0.55000000000000004">
      <c r="B283" s="821">
        <v>37165</v>
      </c>
      <c r="C283" s="821">
        <f t="shared" si="4"/>
        <v>37195</v>
      </c>
      <c r="D283">
        <v>7.6471</v>
      </c>
    </row>
    <row r="284" spans="2:4" x14ac:dyDescent="0.55000000000000004">
      <c r="B284" s="821">
        <v>37135</v>
      </c>
      <c r="C284" s="821">
        <f t="shared" si="4"/>
        <v>37164</v>
      </c>
      <c r="D284">
        <v>7.7073</v>
      </c>
    </row>
    <row r="285" spans="2:4" x14ac:dyDescent="0.55000000000000004">
      <c r="B285" s="821">
        <v>37104</v>
      </c>
      <c r="C285" s="821">
        <f t="shared" si="4"/>
        <v>37134</v>
      </c>
      <c r="D285">
        <v>7.5942999999999996</v>
      </c>
    </row>
    <row r="286" spans="2:4" x14ac:dyDescent="0.55000000000000004">
      <c r="B286" s="821">
        <v>37073</v>
      </c>
      <c r="C286" s="821">
        <f t="shared" si="4"/>
        <v>37103</v>
      </c>
      <c r="D286">
        <v>7.7929000000000004</v>
      </c>
    </row>
    <row r="287" spans="2:4" x14ac:dyDescent="0.55000000000000004">
      <c r="B287" s="821">
        <v>37043</v>
      </c>
      <c r="C287" s="821">
        <f t="shared" si="4"/>
        <v>37072</v>
      </c>
      <c r="D287">
        <v>7.8552</v>
      </c>
    </row>
    <row r="288" spans="2:4" x14ac:dyDescent="0.55000000000000004">
      <c r="B288" s="821">
        <v>37012</v>
      </c>
      <c r="C288" s="821">
        <f t="shared" si="4"/>
        <v>37042</v>
      </c>
      <c r="D288">
        <v>7.9954999999999998</v>
      </c>
    </row>
    <row r="289" spans="2:4" x14ac:dyDescent="0.55000000000000004">
      <c r="B289" s="821">
        <v>36982</v>
      </c>
      <c r="C289" s="821">
        <f t="shared" si="4"/>
        <v>37011</v>
      </c>
      <c r="D289">
        <v>7.9240000000000004</v>
      </c>
    </row>
    <row r="290" spans="2:4" x14ac:dyDescent="0.55000000000000004">
      <c r="B290" s="821">
        <v>36951</v>
      </c>
      <c r="C290" s="821">
        <f t="shared" si="4"/>
        <v>36981</v>
      </c>
      <c r="D290">
        <v>7.6722999999999999</v>
      </c>
    </row>
    <row r="291" spans="2:4" x14ac:dyDescent="0.55000000000000004">
      <c r="B291" s="821">
        <v>36923</v>
      </c>
      <c r="C291" s="821">
        <f t="shared" si="4"/>
        <v>36950</v>
      </c>
      <c r="D291">
        <v>7.7389000000000001</v>
      </c>
    </row>
    <row r="292" spans="2:4" x14ac:dyDescent="0.55000000000000004">
      <c r="B292" s="821">
        <v>36892</v>
      </c>
      <c r="C292" s="821">
        <f t="shared" si="4"/>
        <v>36922</v>
      </c>
      <c r="D292">
        <v>7.7986000000000004</v>
      </c>
    </row>
    <row r="293" spans="2:4" x14ac:dyDescent="0.55000000000000004">
      <c r="B293" s="821">
        <v>36861</v>
      </c>
      <c r="C293" s="821">
        <f t="shared" si="4"/>
        <v>36891</v>
      </c>
      <c r="D293">
        <v>7.8558000000000003</v>
      </c>
    </row>
    <row r="294" spans="2:4" x14ac:dyDescent="0.55000000000000004">
      <c r="B294" s="821">
        <v>36831</v>
      </c>
      <c r="C294" s="821">
        <f t="shared" si="4"/>
        <v>36860</v>
      </c>
      <c r="D294">
        <v>8.1259999999999994</v>
      </c>
    </row>
    <row r="295" spans="2:4" x14ac:dyDescent="0.55000000000000004">
      <c r="B295" s="821">
        <v>36800</v>
      </c>
      <c r="C295" s="821">
        <f t="shared" si="4"/>
        <v>36830</v>
      </c>
      <c r="D295">
        <v>8.1441999999999997</v>
      </c>
    </row>
    <row r="296" spans="2:4" x14ac:dyDescent="0.55000000000000004">
      <c r="B296" s="821">
        <v>36770</v>
      </c>
      <c r="C296" s="821">
        <f t="shared" si="4"/>
        <v>36799</v>
      </c>
      <c r="D296">
        <v>8.2240000000000002</v>
      </c>
    </row>
    <row r="297" spans="2:4" x14ac:dyDescent="0.55000000000000004">
      <c r="B297" s="821">
        <v>36739</v>
      </c>
      <c r="C297" s="821">
        <f t="shared" si="4"/>
        <v>36769</v>
      </c>
      <c r="D297">
        <v>8.1287000000000003</v>
      </c>
    </row>
    <row r="298" spans="2:4" x14ac:dyDescent="0.55000000000000004">
      <c r="B298" s="821">
        <v>36708</v>
      </c>
      <c r="C298" s="821">
        <f t="shared" si="4"/>
        <v>36738</v>
      </c>
      <c r="D298">
        <v>8.2584</v>
      </c>
    </row>
    <row r="299" spans="2:4" x14ac:dyDescent="0.55000000000000004">
      <c r="B299" s="821">
        <v>36678</v>
      </c>
      <c r="C299" s="821">
        <f t="shared" si="4"/>
        <v>36707</v>
      </c>
      <c r="D299">
        <v>8.3755000000000006</v>
      </c>
    </row>
    <row r="300" spans="2:4" x14ac:dyDescent="0.55000000000000004">
      <c r="B300" s="821">
        <v>36647</v>
      </c>
      <c r="C300" s="821">
        <f t="shared" si="4"/>
        <v>36677</v>
      </c>
      <c r="D300">
        <v>8.6922999999999995</v>
      </c>
    </row>
    <row r="301" spans="2:4" x14ac:dyDescent="0.55000000000000004">
      <c r="B301" s="821">
        <v>36617</v>
      </c>
      <c r="C301" s="821">
        <f t="shared" si="4"/>
        <v>36646</v>
      </c>
      <c r="D301">
        <v>8.2779000000000007</v>
      </c>
    </row>
    <row r="302" spans="2:4" x14ac:dyDescent="0.55000000000000004">
      <c r="B302" s="821">
        <v>36586</v>
      </c>
      <c r="C302" s="821">
        <f t="shared" si="4"/>
        <v>36616</v>
      </c>
      <c r="D302">
        <v>8.2870000000000008</v>
      </c>
    </row>
    <row r="303" spans="2:4" x14ac:dyDescent="0.55000000000000004">
      <c r="B303" s="821">
        <v>36557</v>
      </c>
      <c r="C303" s="821">
        <f t="shared" si="4"/>
        <v>36585</v>
      </c>
      <c r="D303">
        <v>8.2484999999999999</v>
      </c>
    </row>
    <row r="304" spans="2:4" x14ac:dyDescent="0.55000000000000004">
      <c r="B304" s="821">
        <v>36526</v>
      </c>
      <c r="C304" s="821">
        <f t="shared" si="4"/>
        <v>36556</v>
      </c>
      <c r="D304">
        <v>8.3475000000000001</v>
      </c>
    </row>
    <row r="305" spans="2:4" x14ac:dyDescent="0.55000000000000004">
      <c r="B305" s="821">
        <v>36495</v>
      </c>
      <c r="C305" s="821">
        <f t="shared" si="4"/>
        <v>36525</v>
      </c>
      <c r="D305">
        <v>8.1189999999999998</v>
      </c>
    </row>
    <row r="306" spans="2:4" x14ac:dyDescent="0.55000000000000004">
      <c r="B306" s="821">
        <v>36465</v>
      </c>
      <c r="C306" s="821">
        <f t="shared" si="4"/>
        <v>36494</v>
      </c>
      <c r="D306">
        <v>7.9314999999999998</v>
      </c>
    </row>
    <row r="307" spans="2:4" x14ac:dyDescent="0.55000000000000004">
      <c r="B307" s="821">
        <v>36434</v>
      </c>
      <c r="C307" s="821">
        <f t="shared" si="4"/>
        <v>36464</v>
      </c>
      <c r="D307">
        <v>8.0647000000000002</v>
      </c>
    </row>
    <row r="308" spans="2:4" x14ac:dyDescent="0.55000000000000004">
      <c r="B308" s="821">
        <v>36404</v>
      </c>
      <c r="C308" s="821">
        <f t="shared" si="4"/>
        <v>36433</v>
      </c>
      <c r="D308">
        <v>7.9318999999999997</v>
      </c>
    </row>
    <row r="309" spans="2:4" x14ac:dyDescent="0.55000000000000004">
      <c r="B309" s="821">
        <v>36373</v>
      </c>
      <c r="C309" s="821">
        <f t="shared" si="4"/>
        <v>36403</v>
      </c>
      <c r="D309">
        <v>7.9073000000000002</v>
      </c>
    </row>
    <row r="310" spans="2:4" x14ac:dyDescent="0.55000000000000004">
      <c r="B310" s="821">
        <v>36342</v>
      </c>
      <c r="C310" s="821">
        <f t="shared" si="4"/>
        <v>36372</v>
      </c>
      <c r="D310">
        <v>7.7019000000000002</v>
      </c>
    </row>
    <row r="311" spans="2:4" x14ac:dyDescent="0.55000000000000004">
      <c r="B311" s="821">
        <v>36312</v>
      </c>
      <c r="C311" s="821">
        <f t="shared" si="4"/>
        <v>36341</v>
      </c>
      <c r="D311">
        <v>7.7344999999999997</v>
      </c>
    </row>
    <row r="312" spans="2:4" x14ac:dyDescent="0.55000000000000004">
      <c r="B312" s="821">
        <v>36281</v>
      </c>
      <c r="C312" s="821">
        <f t="shared" si="4"/>
        <v>36311</v>
      </c>
      <c r="D312">
        <v>7.4569999999999999</v>
      </c>
    </row>
    <row r="313" spans="2:4" x14ac:dyDescent="0.55000000000000004">
      <c r="B313" s="821">
        <v>36251</v>
      </c>
      <c r="C313" s="821">
        <f t="shared" si="4"/>
        <v>36280</v>
      </c>
      <c r="D313">
        <v>7.2142999999999997</v>
      </c>
    </row>
    <row r="314" spans="2:4" x14ac:dyDescent="0.55000000000000004">
      <c r="B314" s="821">
        <v>36220</v>
      </c>
      <c r="C314" s="821">
        <f t="shared" si="4"/>
        <v>36250</v>
      </c>
      <c r="D314">
        <v>7.2552000000000003</v>
      </c>
    </row>
    <row r="315" spans="2:4" x14ac:dyDescent="0.55000000000000004">
      <c r="B315" s="821">
        <v>36192</v>
      </c>
      <c r="C315" s="821">
        <f t="shared" si="4"/>
        <v>36219</v>
      </c>
      <c r="D315">
        <v>7.0758000000000001</v>
      </c>
    </row>
    <row r="316" spans="2:4" x14ac:dyDescent="0.55000000000000004">
      <c r="B316" s="821">
        <v>36161</v>
      </c>
      <c r="C316" s="821">
        <f t="shared" si="4"/>
        <v>36191</v>
      </c>
      <c r="D316">
        <v>6.97</v>
      </c>
    </row>
    <row r="317" spans="2:4" x14ac:dyDescent="0.55000000000000004">
      <c r="B317" s="821">
        <v>36130</v>
      </c>
      <c r="C317" s="821">
        <f t="shared" si="4"/>
        <v>36160</v>
      </c>
      <c r="D317">
        <v>6.9081999999999999</v>
      </c>
    </row>
    <row r="318" spans="2:4" x14ac:dyDescent="0.55000000000000004">
      <c r="B318" s="821">
        <v>36100</v>
      </c>
      <c r="C318" s="821">
        <f t="shared" si="4"/>
        <v>36129</v>
      </c>
      <c r="D318">
        <v>7.0362999999999998</v>
      </c>
    </row>
    <row r="319" spans="2:4" x14ac:dyDescent="0.55000000000000004">
      <c r="B319" s="821">
        <v>36069</v>
      </c>
      <c r="C319" s="821">
        <f t="shared" si="4"/>
        <v>36099</v>
      </c>
      <c r="D319">
        <v>6.9554999999999998</v>
      </c>
    </row>
    <row r="320" spans="2:4" x14ac:dyDescent="0.55000000000000004">
      <c r="B320" s="821">
        <v>36039</v>
      </c>
      <c r="C320" s="821">
        <f t="shared" si="4"/>
        <v>36068</v>
      </c>
      <c r="D320">
        <v>6.9362000000000004</v>
      </c>
    </row>
    <row r="321" spans="2:4" x14ac:dyDescent="0.55000000000000004">
      <c r="B321" s="821">
        <v>36008</v>
      </c>
      <c r="C321" s="821">
        <f t="shared" si="4"/>
        <v>36038</v>
      </c>
      <c r="D321">
        <v>7.0019</v>
      </c>
    </row>
    <row r="322" spans="2:4" x14ac:dyDescent="0.55000000000000004">
      <c r="B322" s="821">
        <v>35977</v>
      </c>
      <c r="C322" s="821">
        <f t="shared" si="4"/>
        <v>36007</v>
      </c>
      <c r="D322">
        <v>7.0240999999999998</v>
      </c>
    </row>
    <row r="323" spans="2:4" x14ac:dyDescent="0.55000000000000004">
      <c r="B323" s="821">
        <v>35947</v>
      </c>
      <c r="C323" s="821">
        <f t="shared" si="4"/>
        <v>35976</v>
      </c>
      <c r="D323">
        <v>7.0364000000000004</v>
      </c>
    </row>
    <row r="324" spans="2:4" x14ac:dyDescent="0.55000000000000004">
      <c r="B324" s="821">
        <v>35916</v>
      </c>
      <c r="C324" s="821">
        <f t="shared" si="4"/>
        <v>35946</v>
      </c>
      <c r="D324">
        <v>7.1630000000000003</v>
      </c>
    </row>
    <row r="325" spans="2:4" x14ac:dyDescent="0.55000000000000004">
      <c r="B325" s="821">
        <v>35886</v>
      </c>
      <c r="C325" s="821">
        <f t="shared" si="4"/>
        <v>35915</v>
      </c>
      <c r="D325">
        <v>7.1619000000000002</v>
      </c>
    </row>
    <row r="326" spans="2:4" x14ac:dyDescent="0.55000000000000004">
      <c r="B326" s="821">
        <v>35855</v>
      </c>
      <c r="C326" s="821">
        <f t="shared" ref="C326:C389" si="5">EOMONTH(B326, 0)</f>
        <v>35885</v>
      </c>
      <c r="D326">
        <v>7.1618000000000004</v>
      </c>
    </row>
    <row r="327" spans="2:4" x14ac:dyDescent="0.55000000000000004">
      <c r="B327" s="821">
        <v>35827</v>
      </c>
      <c r="C327" s="821">
        <f t="shared" si="5"/>
        <v>35854</v>
      </c>
      <c r="D327">
        <v>7.1178999999999997</v>
      </c>
    </row>
    <row r="328" spans="2:4" x14ac:dyDescent="0.55000000000000004">
      <c r="B328" s="821">
        <v>35796</v>
      </c>
      <c r="C328" s="821">
        <f t="shared" si="5"/>
        <v>35826</v>
      </c>
      <c r="D328">
        <v>7.0540000000000003</v>
      </c>
    </row>
    <row r="329" spans="2:4" x14ac:dyDescent="0.55000000000000004">
      <c r="B329" s="821">
        <v>35765</v>
      </c>
      <c r="C329" s="821">
        <f t="shared" si="5"/>
        <v>35795</v>
      </c>
      <c r="D329">
        <v>7.1635999999999997</v>
      </c>
    </row>
    <row r="330" spans="2:4" x14ac:dyDescent="0.55000000000000004">
      <c r="B330" s="821">
        <v>35735</v>
      </c>
      <c r="C330" s="821">
        <f t="shared" si="5"/>
        <v>35764</v>
      </c>
      <c r="D330">
        <v>7.2468000000000004</v>
      </c>
    </row>
    <row r="331" spans="2:4" x14ac:dyDescent="0.55000000000000004">
      <c r="B331" s="821">
        <v>35704</v>
      </c>
      <c r="C331" s="821">
        <f t="shared" si="5"/>
        <v>35734</v>
      </c>
      <c r="D331">
        <v>7.3564999999999996</v>
      </c>
    </row>
    <row r="332" spans="2:4" x14ac:dyDescent="0.55000000000000004">
      <c r="B332" s="821">
        <v>35674</v>
      </c>
      <c r="C332" s="821">
        <f t="shared" si="5"/>
        <v>35703</v>
      </c>
      <c r="D332">
        <v>7.4743000000000004</v>
      </c>
    </row>
    <row r="333" spans="2:4" x14ac:dyDescent="0.55000000000000004">
      <c r="B333" s="821">
        <v>35643</v>
      </c>
      <c r="C333" s="821">
        <f t="shared" si="5"/>
        <v>35673</v>
      </c>
      <c r="D333">
        <v>7.4970999999999997</v>
      </c>
    </row>
    <row r="334" spans="2:4" x14ac:dyDescent="0.55000000000000004">
      <c r="B334" s="821">
        <v>35612</v>
      </c>
      <c r="C334" s="821">
        <f t="shared" si="5"/>
        <v>35642</v>
      </c>
      <c r="D334">
        <v>7.4890999999999996</v>
      </c>
    </row>
    <row r="335" spans="2:4" x14ac:dyDescent="0.55000000000000004">
      <c r="B335" s="821">
        <v>35582</v>
      </c>
      <c r="C335" s="821">
        <f t="shared" si="5"/>
        <v>35611</v>
      </c>
      <c r="D335">
        <v>7.7248000000000001</v>
      </c>
    </row>
    <row r="336" spans="2:4" x14ac:dyDescent="0.55000000000000004">
      <c r="B336" s="821">
        <v>35551</v>
      </c>
      <c r="C336" s="821">
        <f t="shared" si="5"/>
        <v>35581</v>
      </c>
      <c r="D336">
        <v>7.8905000000000003</v>
      </c>
    </row>
    <row r="337" spans="2:4" x14ac:dyDescent="0.55000000000000004">
      <c r="B337" s="821">
        <v>35521</v>
      </c>
      <c r="C337" s="821">
        <f t="shared" si="5"/>
        <v>35550</v>
      </c>
      <c r="D337">
        <v>8.0367999999999995</v>
      </c>
    </row>
    <row r="338" spans="2:4" x14ac:dyDescent="0.55000000000000004">
      <c r="B338" s="821">
        <v>35490</v>
      </c>
      <c r="C338" s="821">
        <f t="shared" si="5"/>
        <v>35520</v>
      </c>
      <c r="D338">
        <v>7.8654999999999999</v>
      </c>
    </row>
    <row r="339" spans="2:4" x14ac:dyDescent="0.55000000000000004">
      <c r="B339" s="821">
        <v>35462</v>
      </c>
      <c r="C339" s="821">
        <f t="shared" si="5"/>
        <v>35489</v>
      </c>
      <c r="D339">
        <v>7.6425999999999998</v>
      </c>
    </row>
    <row r="340" spans="2:4" x14ac:dyDescent="0.55000000000000004">
      <c r="B340" s="821">
        <v>35431</v>
      </c>
      <c r="C340" s="821">
        <f t="shared" si="5"/>
        <v>35461</v>
      </c>
      <c r="D340">
        <v>7.7667000000000002</v>
      </c>
    </row>
    <row r="341" spans="2:4" x14ac:dyDescent="0.55000000000000004">
      <c r="B341" s="821">
        <v>35400</v>
      </c>
      <c r="C341" s="821">
        <f t="shared" si="5"/>
        <v>35430</v>
      </c>
      <c r="D341">
        <v>7.5709999999999997</v>
      </c>
    </row>
    <row r="342" spans="2:4" x14ac:dyDescent="0.55000000000000004">
      <c r="B342" s="821">
        <v>35370</v>
      </c>
      <c r="C342" s="821">
        <f t="shared" si="5"/>
        <v>35399</v>
      </c>
      <c r="D342">
        <v>7.5033000000000003</v>
      </c>
    </row>
    <row r="343" spans="2:4" x14ac:dyDescent="0.55000000000000004">
      <c r="B343" s="821">
        <v>35339</v>
      </c>
      <c r="C343" s="821">
        <f t="shared" si="5"/>
        <v>35369</v>
      </c>
      <c r="D343">
        <v>7.7785000000000002</v>
      </c>
    </row>
    <row r="344" spans="2:4" x14ac:dyDescent="0.55000000000000004">
      <c r="B344" s="821">
        <v>35309</v>
      </c>
      <c r="C344" s="821">
        <f t="shared" si="5"/>
        <v>35338</v>
      </c>
      <c r="D344">
        <v>8.0175000000000001</v>
      </c>
    </row>
    <row r="345" spans="2:4" x14ac:dyDescent="0.55000000000000004">
      <c r="B345" s="821">
        <v>35278</v>
      </c>
      <c r="C345" s="821">
        <f t="shared" si="5"/>
        <v>35308</v>
      </c>
      <c r="D345">
        <v>7.8381999999999996</v>
      </c>
    </row>
    <row r="346" spans="2:4" x14ac:dyDescent="0.55000000000000004">
      <c r="B346" s="821">
        <v>35247</v>
      </c>
      <c r="C346" s="821">
        <f t="shared" si="5"/>
        <v>35277</v>
      </c>
      <c r="D346">
        <v>8.0251999999999999</v>
      </c>
    </row>
    <row r="347" spans="2:4" x14ac:dyDescent="0.55000000000000004">
      <c r="B347" s="821">
        <v>35217</v>
      </c>
      <c r="C347" s="821">
        <f t="shared" si="5"/>
        <v>35246</v>
      </c>
      <c r="D347">
        <v>8.0640000000000001</v>
      </c>
    </row>
    <row r="348" spans="2:4" x14ac:dyDescent="0.55000000000000004">
      <c r="B348" s="821">
        <v>35186</v>
      </c>
      <c r="C348" s="821">
        <f t="shared" si="5"/>
        <v>35216</v>
      </c>
      <c r="D348">
        <v>7.9805000000000001</v>
      </c>
    </row>
    <row r="349" spans="2:4" x14ac:dyDescent="0.55000000000000004">
      <c r="B349" s="821">
        <v>35156</v>
      </c>
      <c r="C349" s="821">
        <f t="shared" si="5"/>
        <v>35185</v>
      </c>
      <c r="D349">
        <v>7.8837999999999999</v>
      </c>
    </row>
    <row r="350" spans="2:4" x14ac:dyDescent="0.55000000000000004">
      <c r="B350" s="821">
        <v>35125</v>
      </c>
      <c r="C350" s="821">
        <f t="shared" si="5"/>
        <v>35155</v>
      </c>
      <c r="D350">
        <v>7.7224000000000004</v>
      </c>
    </row>
    <row r="351" spans="2:4" x14ac:dyDescent="0.55000000000000004">
      <c r="B351" s="821">
        <v>35096</v>
      </c>
      <c r="C351" s="821">
        <f t="shared" si="5"/>
        <v>35124</v>
      </c>
      <c r="D351">
        <v>7.3500000000000005</v>
      </c>
    </row>
    <row r="352" spans="2:4" x14ac:dyDescent="0.55000000000000004">
      <c r="B352" s="821">
        <v>35065</v>
      </c>
      <c r="C352" s="821">
        <f t="shared" si="5"/>
        <v>35095</v>
      </c>
      <c r="D352">
        <v>7.2068000000000003</v>
      </c>
    </row>
    <row r="353" spans="2:4" x14ac:dyDescent="0.55000000000000004">
      <c r="B353" s="821">
        <v>35034</v>
      </c>
      <c r="C353" s="821">
        <f t="shared" si="5"/>
        <v>35064</v>
      </c>
      <c r="D353">
        <v>7.2537000000000003</v>
      </c>
    </row>
    <row r="354" spans="2:4" x14ac:dyDescent="0.55000000000000004">
      <c r="B354" s="821">
        <v>35004</v>
      </c>
      <c r="C354" s="821">
        <f t="shared" si="5"/>
        <v>35033</v>
      </c>
      <c r="D354">
        <v>7.44</v>
      </c>
    </row>
    <row r="355" spans="2:4" x14ac:dyDescent="0.55000000000000004">
      <c r="B355" s="821">
        <v>34973</v>
      </c>
      <c r="C355" s="821">
        <f t="shared" si="5"/>
        <v>35003</v>
      </c>
      <c r="D355">
        <v>7.4686000000000003</v>
      </c>
    </row>
    <row r="356" spans="2:4" x14ac:dyDescent="0.55000000000000004">
      <c r="B356" s="821">
        <v>34943</v>
      </c>
      <c r="C356" s="821">
        <f t="shared" si="5"/>
        <v>34972</v>
      </c>
      <c r="D356">
        <v>7.62</v>
      </c>
    </row>
    <row r="357" spans="2:4" x14ac:dyDescent="0.55000000000000004">
      <c r="B357" s="821">
        <v>34912</v>
      </c>
      <c r="C357" s="821">
        <f t="shared" si="5"/>
        <v>34942</v>
      </c>
      <c r="D357">
        <v>7.8387000000000002</v>
      </c>
    </row>
    <row r="358" spans="2:4" x14ac:dyDescent="0.55000000000000004">
      <c r="B358" s="821">
        <v>34881</v>
      </c>
      <c r="C358" s="821">
        <f t="shared" si="5"/>
        <v>34911</v>
      </c>
      <c r="D358">
        <v>7.6894999999999998</v>
      </c>
    </row>
    <row r="359" spans="2:4" x14ac:dyDescent="0.55000000000000004">
      <c r="B359" s="821">
        <v>34851</v>
      </c>
      <c r="C359" s="821">
        <f t="shared" si="5"/>
        <v>34880</v>
      </c>
      <c r="D359">
        <v>7.6032000000000002</v>
      </c>
    </row>
    <row r="360" spans="2:4" x14ac:dyDescent="0.55000000000000004">
      <c r="B360" s="821">
        <v>34820</v>
      </c>
      <c r="C360" s="821">
        <f t="shared" si="5"/>
        <v>34850</v>
      </c>
      <c r="D360">
        <v>7.9322999999999997</v>
      </c>
    </row>
    <row r="361" spans="2:4" x14ac:dyDescent="0.55000000000000004">
      <c r="B361" s="821">
        <v>34790</v>
      </c>
      <c r="C361" s="821">
        <f t="shared" si="5"/>
        <v>34819</v>
      </c>
      <c r="D361">
        <v>8.2779000000000007</v>
      </c>
    </row>
    <row r="362" spans="2:4" x14ac:dyDescent="0.55000000000000004">
      <c r="B362" s="821">
        <v>34759</v>
      </c>
      <c r="C362" s="821">
        <f t="shared" si="5"/>
        <v>34789</v>
      </c>
      <c r="D362">
        <v>8.3742999999999999</v>
      </c>
    </row>
    <row r="363" spans="2:4" x14ac:dyDescent="0.55000000000000004">
      <c r="B363" s="821">
        <v>34731</v>
      </c>
      <c r="C363" s="821">
        <f t="shared" si="5"/>
        <v>34758</v>
      </c>
      <c r="D363">
        <v>8.5299999999999994</v>
      </c>
    </row>
    <row r="364" spans="2:4" x14ac:dyDescent="0.55000000000000004">
      <c r="B364" s="821">
        <v>34700</v>
      </c>
      <c r="C364" s="821">
        <f t="shared" si="5"/>
        <v>34730</v>
      </c>
      <c r="D364">
        <v>8.7454999999999998</v>
      </c>
    </row>
    <row r="365" spans="2:4" x14ac:dyDescent="0.55000000000000004">
      <c r="B365" s="821">
        <v>34669</v>
      </c>
      <c r="C365" s="821">
        <f t="shared" si="5"/>
        <v>34699</v>
      </c>
      <c r="D365">
        <v>8.7681000000000004</v>
      </c>
    </row>
    <row r="366" spans="2:4" x14ac:dyDescent="0.55000000000000004">
      <c r="B366" s="821">
        <v>34639</v>
      </c>
      <c r="C366" s="821">
        <f t="shared" si="5"/>
        <v>34668</v>
      </c>
      <c r="D366">
        <v>8.9834999999999994</v>
      </c>
    </row>
    <row r="367" spans="2:4" x14ac:dyDescent="0.55000000000000004">
      <c r="B367" s="821">
        <v>34608</v>
      </c>
      <c r="C367" s="821">
        <f t="shared" si="5"/>
        <v>34638</v>
      </c>
      <c r="D367">
        <v>8.8523999999999994</v>
      </c>
    </row>
    <row r="368" spans="2:4" x14ac:dyDescent="0.55000000000000004">
      <c r="B368" s="821">
        <v>34578</v>
      </c>
      <c r="C368" s="821">
        <f t="shared" si="5"/>
        <v>34607</v>
      </c>
      <c r="D368">
        <v>8.6242999999999999</v>
      </c>
    </row>
    <row r="369" spans="2:4" x14ac:dyDescent="0.55000000000000004">
      <c r="B369" s="821">
        <v>34547</v>
      </c>
      <c r="C369" s="821">
        <f t="shared" si="5"/>
        <v>34577</v>
      </c>
      <c r="D369">
        <v>8.407</v>
      </c>
    </row>
    <row r="370" spans="2:4" x14ac:dyDescent="0.55000000000000004">
      <c r="B370" s="821">
        <v>34516</v>
      </c>
      <c r="C370" s="821">
        <f t="shared" si="5"/>
        <v>34546</v>
      </c>
      <c r="D370">
        <v>8.4753000000000007</v>
      </c>
    </row>
    <row r="371" spans="2:4" x14ac:dyDescent="0.55000000000000004">
      <c r="B371" s="821">
        <v>34486</v>
      </c>
      <c r="C371" s="821">
        <f t="shared" si="5"/>
        <v>34515</v>
      </c>
      <c r="D371">
        <v>8.3080999999999996</v>
      </c>
    </row>
    <row r="372" spans="2:4" x14ac:dyDescent="0.55000000000000004">
      <c r="B372" s="821">
        <v>34455</v>
      </c>
      <c r="C372" s="821">
        <f t="shared" si="5"/>
        <v>34485</v>
      </c>
      <c r="D372">
        <v>8.3262</v>
      </c>
    </row>
    <row r="373" spans="2:4" x14ac:dyDescent="0.55000000000000004">
      <c r="B373" s="821">
        <v>34425</v>
      </c>
      <c r="C373" s="821">
        <f t="shared" si="5"/>
        <v>34454</v>
      </c>
      <c r="D373">
        <v>8.2217000000000002</v>
      </c>
    </row>
    <row r="374" spans="2:4" x14ac:dyDescent="0.55000000000000004">
      <c r="B374" s="821">
        <v>34394</v>
      </c>
      <c r="C374" s="821">
        <f t="shared" si="5"/>
        <v>34424</v>
      </c>
      <c r="D374">
        <v>7.8331999999999997</v>
      </c>
    </row>
    <row r="375" spans="2:4" x14ac:dyDescent="0.55000000000000004">
      <c r="B375" s="821">
        <v>34366</v>
      </c>
      <c r="C375" s="821">
        <f t="shared" si="5"/>
        <v>34393</v>
      </c>
      <c r="D375">
        <v>7.4462999999999999</v>
      </c>
    </row>
    <row r="376" spans="2:4" x14ac:dyDescent="0.55000000000000004">
      <c r="B376" s="821">
        <v>34335</v>
      </c>
      <c r="C376" s="821">
        <f t="shared" si="5"/>
        <v>34365</v>
      </c>
      <c r="D376">
        <v>7.3325000000000005</v>
      </c>
    </row>
    <row r="377" spans="2:4" x14ac:dyDescent="0.55000000000000004">
      <c r="B377" s="821">
        <v>34304</v>
      </c>
      <c r="C377" s="821">
        <f t="shared" si="5"/>
        <v>34334</v>
      </c>
      <c r="D377">
        <v>7.3357999999999999</v>
      </c>
    </row>
    <row r="378" spans="2:4" x14ac:dyDescent="0.55000000000000004">
      <c r="B378" s="821">
        <v>34274</v>
      </c>
      <c r="C378" s="821">
        <f t="shared" si="5"/>
        <v>34303</v>
      </c>
      <c r="D378">
        <v>7.2805</v>
      </c>
    </row>
    <row r="379" spans="2:4" x14ac:dyDescent="0.55000000000000004">
      <c r="B379" s="821">
        <v>34243</v>
      </c>
      <c r="C379" s="821">
        <f t="shared" si="5"/>
        <v>34273</v>
      </c>
      <c r="D379">
        <v>7.0281000000000002</v>
      </c>
    </row>
    <row r="380" spans="2:4" x14ac:dyDescent="0.55000000000000004">
      <c r="B380" s="821">
        <v>34213</v>
      </c>
      <c r="C380" s="821">
        <f t="shared" si="5"/>
        <v>34242</v>
      </c>
      <c r="D380">
        <v>7.0362</v>
      </c>
    </row>
    <row r="381" spans="2:4" x14ac:dyDescent="0.55000000000000004">
      <c r="B381" s="821">
        <v>34182</v>
      </c>
      <c r="C381" s="821">
        <f t="shared" si="5"/>
        <v>34212</v>
      </c>
      <c r="D381">
        <v>7.2705000000000002</v>
      </c>
    </row>
    <row r="382" spans="2:4" x14ac:dyDescent="0.55000000000000004">
      <c r="B382" s="821">
        <v>34151</v>
      </c>
      <c r="C382" s="821">
        <f t="shared" si="5"/>
        <v>34181</v>
      </c>
      <c r="D382">
        <v>7.5414000000000003</v>
      </c>
    </row>
    <row r="383" spans="2:4" x14ac:dyDescent="0.55000000000000004">
      <c r="B383" s="821">
        <v>34121</v>
      </c>
      <c r="C383" s="821">
        <f t="shared" si="5"/>
        <v>34150</v>
      </c>
      <c r="D383">
        <v>7.7632000000000003</v>
      </c>
    </row>
    <row r="384" spans="2:4" x14ac:dyDescent="0.55000000000000004">
      <c r="B384" s="821">
        <v>34090</v>
      </c>
      <c r="C384" s="821">
        <f t="shared" si="5"/>
        <v>34120</v>
      </c>
      <c r="D384">
        <v>7.859</v>
      </c>
    </row>
    <row r="385" spans="2:4" x14ac:dyDescent="0.55000000000000004">
      <c r="B385" s="821">
        <v>34060</v>
      </c>
      <c r="C385" s="821">
        <f t="shared" si="5"/>
        <v>34089</v>
      </c>
      <c r="D385">
        <v>7.8175999999999997</v>
      </c>
    </row>
    <row r="386" spans="2:4" x14ac:dyDescent="0.55000000000000004">
      <c r="B386" s="821">
        <v>34029</v>
      </c>
      <c r="C386" s="821">
        <f t="shared" si="5"/>
        <v>34059</v>
      </c>
      <c r="D386">
        <v>7.9025999999999996</v>
      </c>
    </row>
    <row r="387" spans="2:4" x14ac:dyDescent="0.55000000000000004">
      <c r="B387" s="821">
        <v>34001</v>
      </c>
      <c r="C387" s="821">
        <f t="shared" si="5"/>
        <v>34028</v>
      </c>
      <c r="D387">
        <v>8.0447000000000006</v>
      </c>
    </row>
    <row r="388" spans="2:4" x14ac:dyDescent="0.55000000000000004">
      <c r="B388" s="821">
        <v>33970</v>
      </c>
      <c r="C388" s="821">
        <f t="shared" si="5"/>
        <v>34000</v>
      </c>
      <c r="D388">
        <v>8.2811000000000003</v>
      </c>
    </row>
    <row r="389" spans="2:4" x14ac:dyDescent="0.55000000000000004">
      <c r="B389" s="821">
        <v>33939</v>
      </c>
      <c r="C389" s="821">
        <f t="shared" si="5"/>
        <v>33969</v>
      </c>
      <c r="D389">
        <v>8.4504999999999999</v>
      </c>
    </row>
    <row r="390" spans="2:4" x14ac:dyDescent="0.55000000000000004">
      <c r="B390" s="821">
        <v>33909</v>
      </c>
      <c r="C390" s="821">
        <f t="shared" ref="C390:C453" si="6">EOMONTH(B390, 0)</f>
        <v>33938</v>
      </c>
      <c r="D390">
        <v>8.6311</v>
      </c>
    </row>
    <row r="391" spans="2:4" x14ac:dyDescent="0.55000000000000004">
      <c r="B391" s="821">
        <v>33878</v>
      </c>
      <c r="C391" s="821">
        <f t="shared" si="6"/>
        <v>33908</v>
      </c>
      <c r="D391">
        <v>8.5267999999999997</v>
      </c>
    </row>
    <row r="392" spans="2:4" x14ac:dyDescent="0.55000000000000004">
      <c r="B392" s="821">
        <v>33848</v>
      </c>
      <c r="C392" s="821">
        <f t="shared" si="6"/>
        <v>33877</v>
      </c>
      <c r="D392">
        <v>8.4070999999999998</v>
      </c>
    </row>
    <row r="393" spans="2:4" x14ac:dyDescent="0.55000000000000004">
      <c r="B393" s="821">
        <v>33817</v>
      </c>
      <c r="C393" s="821">
        <f t="shared" si="6"/>
        <v>33847</v>
      </c>
      <c r="D393">
        <v>8.4375999999999998</v>
      </c>
    </row>
    <row r="394" spans="2:4" x14ac:dyDescent="0.55000000000000004">
      <c r="B394" s="821">
        <v>33786</v>
      </c>
      <c r="C394" s="821">
        <f t="shared" si="6"/>
        <v>33816</v>
      </c>
      <c r="D394">
        <v>8.5791000000000004</v>
      </c>
    </row>
    <row r="395" spans="2:4" x14ac:dyDescent="0.55000000000000004">
      <c r="B395" s="821">
        <v>33756</v>
      </c>
      <c r="C395" s="821">
        <f t="shared" si="6"/>
        <v>33785</v>
      </c>
      <c r="D395">
        <v>8.7876999999999992</v>
      </c>
    </row>
    <row r="396" spans="2:4" x14ac:dyDescent="0.55000000000000004">
      <c r="B396" s="821">
        <v>33725</v>
      </c>
      <c r="C396" s="821">
        <f t="shared" si="6"/>
        <v>33755</v>
      </c>
      <c r="D396">
        <v>8.8795000000000002</v>
      </c>
    </row>
    <row r="397" spans="2:4" x14ac:dyDescent="0.55000000000000004">
      <c r="B397" s="821">
        <v>33695</v>
      </c>
      <c r="C397" s="821">
        <f t="shared" si="6"/>
        <v>33724</v>
      </c>
      <c r="D397">
        <v>8.9257000000000009</v>
      </c>
    </row>
    <row r="398" spans="2:4" x14ac:dyDescent="0.55000000000000004">
      <c r="B398" s="821">
        <v>33664</v>
      </c>
      <c r="C398" s="821">
        <f t="shared" si="6"/>
        <v>33694</v>
      </c>
      <c r="D398">
        <v>8.9672999999999998</v>
      </c>
    </row>
    <row r="399" spans="2:4" x14ac:dyDescent="0.55000000000000004">
      <c r="B399" s="821">
        <v>33635</v>
      </c>
      <c r="C399" s="821">
        <f t="shared" si="6"/>
        <v>33663</v>
      </c>
      <c r="D399">
        <v>8.9305000000000003</v>
      </c>
    </row>
    <row r="400" spans="2:4" x14ac:dyDescent="0.55000000000000004">
      <c r="B400" s="821">
        <v>33604</v>
      </c>
      <c r="C400" s="821">
        <f t="shared" si="6"/>
        <v>33634</v>
      </c>
      <c r="D400">
        <v>8.8323</v>
      </c>
    </row>
    <row r="401" spans="2:4" x14ac:dyDescent="0.55000000000000004">
      <c r="B401" s="821">
        <v>33573</v>
      </c>
      <c r="C401" s="821">
        <f t="shared" si="6"/>
        <v>33603</v>
      </c>
      <c r="D401">
        <v>8.8994999999999997</v>
      </c>
    </row>
    <row r="402" spans="2:4" x14ac:dyDescent="0.55000000000000004">
      <c r="B402" s="821">
        <v>33543</v>
      </c>
      <c r="C402" s="821">
        <f t="shared" si="6"/>
        <v>33572</v>
      </c>
      <c r="D402">
        <v>9.0534999999999997</v>
      </c>
    </row>
    <row r="403" spans="2:4" x14ac:dyDescent="0.55000000000000004">
      <c r="B403" s="821">
        <v>33512</v>
      </c>
      <c r="C403" s="821">
        <f t="shared" si="6"/>
        <v>33542</v>
      </c>
      <c r="D403">
        <v>9.1209000000000007</v>
      </c>
    </row>
    <row r="404" spans="2:4" x14ac:dyDescent="0.55000000000000004">
      <c r="B404" s="821">
        <v>33482</v>
      </c>
      <c r="C404" s="821">
        <f t="shared" si="6"/>
        <v>33511</v>
      </c>
      <c r="D404">
        <v>9.1660000000000004</v>
      </c>
    </row>
    <row r="405" spans="2:4" x14ac:dyDescent="0.55000000000000004">
      <c r="B405" s="821">
        <v>33451</v>
      </c>
      <c r="C405" s="821">
        <f t="shared" si="6"/>
        <v>33481</v>
      </c>
      <c r="D405">
        <v>9.3049999999999997</v>
      </c>
    </row>
    <row r="406" spans="2:4" x14ac:dyDescent="0.55000000000000004">
      <c r="B406" s="821">
        <v>33420</v>
      </c>
      <c r="C406" s="821">
        <f t="shared" si="6"/>
        <v>33450</v>
      </c>
      <c r="D406">
        <v>9.5477000000000007</v>
      </c>
    </row>
    <row r="407" spans="2:4" x14ac:dyDescent="0.55000000000000004">
      <c r="B407" s="821">
        <v>33390</v>
      </c>
      <c r="C407" s="821">
        <f t="shared" si="6"/>
        <v>33419</v>
      </c>
      <c r="D407">
        <v>9.5835000000000008</v>
      </c>
    </row>
    <row r="408" spans="2:4" x14ac:dyDescent="0.55000000000000004">
      <c r="B408" s="821">
        <v>33359</v>
      </c>
      <c r="C408" s="821">
        <f t="shared" si="6"/>
        <v>33389</v>
      </c>
      <c r="D408">
        <v>9.4322999999999997</v>
      </c>
    </row>
    <row r="409" spans="2:4" x14ac:dyDescent="0.55000000000000004">
      <c r="B409" s="821">
        <v>33329</v>
      </c>
      <c r="C409" s="821">
        <f t="shared" si="6"/>
        <v>33358</v>
      </c>
      <c r="D409">
        <v>9.4644999999999992</v>
      </c>
    </row>
    <row r="410" spans="2:4" x14ac:dyDescent="0.55000000000000004">
      <c r="B410" s="821">
        <v>33298</v>
      </c>
      <c r="C410" s="821">
        <f t="shared" si="6"/>
        <v>33328</v>
      </c>
      <c r="D410">
        <v>9.5530000000000008</v>
      </c>
    </row>
    <row r="411" spans="2:4" x14ac:dyDescent="0.55000000000000004">
      <c r="B411" s="821">
        <v>33270</v>
      </c>
      <c r="C411" s="821">
        <f t="shared" si="6"/>
        <v>33297</v>
      </c>
      <c r="D411">
        <v>9.4773999999999994</v>
      </c>
    </row>
    <row r="412" spans="2:4" x14ac:dyDescent="0.55000000000000004">
      <c r="B412" s="821">
        <v>33239</v>
      </c>
      <c r="C412" s="821">
        <f t="shared" si="6"/>
        <v>33269</v>
      </c>
      <c r="D412">
        <v>9.7126999999999999</v>
      </c>
    </row>
    <row r="413" spans="2:4" x14ac:dyDescent="0.55000000000000004">
      <c r="B413" s="821">
        <v>33208</v>
      </c>
      <c r="C413" s="821">
        <f t="shared" si="6"/>
        <v>33238</v>
      </c>
      <c r="D413">
        <v>9.7309999999999999</v>
      </c>
    </row>
    <row r="414" spans="2:4" x14ac:dyDescent="0.55000000000000004">
      <c r="B414" s="821">
        <v>33178</v>
      </c>
      <c r="C414" s="821">
        <f t="shared" si="6"/>
        <v>33207</v>
      </c>
      <c r="D414">
        <v>9.9123999999999999</v>
      </c>
    </row>
    <row r="415" spans="2:4" x14ac:dyDescent="0.55000000000000004">
      <c r="B415" s="821">
        <v>33147</v>
      </c>
      <c r="C415" s="821">
        <f t="shared" si="6"/>
        <v>33177</v>
      </c>
      <c r="D415">
        <v>10.0626</v>
      </c>
    </row>
    <row r="416" spans="2:4" x14ac:dyDescent="0.55000000000000004">
      <c r="B416" s="821">
        <v>33117</v>
      </c>
      <c r="C416" s="821">
        <f t="shared" si="6"/>
        <v>33146</v>
      </c>
      <c r="D416">
        <v>10.1168</v>
      </c>
    </row>
    <row r="417" spans="2:4" x14ac:dyDescent="0.55000000000000004">
      <c r="B417" s="821">
        <v>33086</v>
      </c>
      <c r="C417" s="821">
        <f t="shared" si="6"/>
        <v>33116</v>
      </c>
      <c r="D417">
        <v>9.8956999999999997</v>
      </c>
    </row>
    <row r="418" spans="2:4" x14ac:dyDescent="0.55000000000000004">
      <c r="B418" s="821">
        <v>33055</v>
      </c>
      <c r="C418" s="821">
        <f t="shared" si="6"/>
        <v>33085</v>
      </c>
      <c r="D418">
        <v>9.7581000000000007</v>
      </c>
    </row>
    <row r="419" spans="2:4" x14ac:dyDescent="0.55000000000000004">
      <c r="B419" s="821">
        <v>33025</v>
      </c>
      <c r="C419" s="821">
        <f t="shared" si="6"/>
        <v>33054</v>
      </c>
      <c r="D419">
        <v>9.81</v>
      </c>
    </row>
    <row r="420" spans="2:4" x14ac:dyDescent="0.55000000000000004">
      <c r="B420" s="821">
        <v>32994</v>
      </c>
      <c r="C420" s="821">
        <f t="shared" si="6"/>
        <v>33024</v>
      </c>
      <c r="D420">
        <v>10.0059</v>
      </c>
    </row>
    <row r="421" spans="2:4" x14ac:dyDescent="0.55000000000000004">
      <c r="B421" s="821">
        <v>32964</v>
      </c>
      <c r="C421" s="821">
        <f t="shared" si="6"/>
        <v>32993</v>
      </c>
      <c r="D421">
        <v>9.9105000000000008</v>
      </c>
    </row>
    <row r="422" spans="2:4" x14ac:dyDescent="0.55000000000000004">
      <c r="B422" s="821">
        <v>32933</v>
      </c>
      <c r="C422" s="821">
        <f t="shared" si="6"/>
        <v>32963</v>
      </c>
      <c r="D422">
        <v>9.8463999999999992</v>
      </c>
    </row>
    <row r="423" spans="2:4" x14ac:dyDescent="0.55000000000000004">
      <c r="B423" s="821">
        <v>32905</v>
      </c>
      <c r="C423" s="821">
        <f t="shared" si="6"/>
        <v>32932</v>
      </c>
      <c r="D423">
        <v>9.7562999999999995</v>
      </c>
    </row>
    <row r="424" spans="2:4" x14ac:dyDescent="0.55000000000000004">
      <c r="B424" s="821">
        <v>32874</v>
      </c>
      <c r="C424" s="821">
        <f t="shared" si="6"/>
        <v>32904</v>
      </c>
      <c r="D424">
        <v>9.5477000000000007</v>
      </c>
    </row>
    <row r="425" spans="2:4" x14ac:dyDescent="0.55000000000000004">
      <c r="B425" s="821">
        <v>32843</v>
      </c>
      <c r="C425" s="821">
        <f t="shared" si="6"/>
        <v>32873</v>
      </c>
      <c r="D425">
        <v>9.4335000000000004</v>
      </c>
    </row>
    <row r="426" spans="2:4" x14ac:dyDescent="0.55000000000000004">
      <c r="B426" s="821">
        <v>32813</v>
      </c>
      <c r="C426" s="821">
        <f t="shared" si="6"/>
        <v>32842</v>
      </c>
      <c r="D426">
        <v>9.5157000000000007</v>
      </c>
    </row>
    <row r="427" spans="2:4" x14ac:dyDescent="0.55000000000000004">
      <c r="B427" s="821">
        <v>32782</v>
      </c>
      <c r="C427" s="821">
        <f t="shared" si="6"/>
        <v>32812</v>
      </c>
      <c r="D427">
        <v>9.5381999999999998</v>
      </c>
    </row>
    <row r="428" spans="2:4" x14ac:dyDescent="0.55000000000000004">
      <c r="B428" s="821">
        <v>32752</v>
      </c>
      <c r="C428" s="821">
        <f t="shared" si="6"/>
        <v>32781</v>
      </c>
      <c r="D428">
        <v>9.5839999999999996</v>
      </c>
    </row>
    <row r="429" spans="2:4" x14ac:dyDescent="0.55000000000000004">
      <c r="B429" s="821">
        <v>32721</v>
      </c>
      <c r="C429" s="821">
        <f t="shared" si="6"/>
        <v>32751</v>
      </c>
      <c r="D429">
        <v>9.5147999999999993</v>
      </c>
    </row>
    <row r="430" spans="2:4" x14ac:dyDescent="0.55000000000000004">
      <c r="B430" s="821">
        <v>32690</v>
      </c>
      <c r="C430" s="821">
        <f t="shared" si="6"/>
        <v>32720</v>
      </c>
      <c r="D430">
        <v>9.5045000000000002</v>
      </c>
    </row>
    <row r="431" spans="2:4" x14ac:dyDescent="0.55000000000000004">
      <c r="B431" s="821">
        <v>32660</v>
      </c>
      <c r="C431" s="821">
        <f t="shared" si="6"/>
        <v>32689</v>
      </c>
      <c r="D431">
        <v>9.6582000000000008</v>
      </c>
    </row>
    <row r="432" spans="2:4" x14ac:dyDescent="0.55000000000000004">
      <c r="B432" s="821">
        <v>32629</v>
      </c>
      <c r="C432" s="821">
        <f t="shared" si="6"/>
        <v>32659</v>
      </c>
      <c r="D432">
        <v>10.0009</v>
      </c>
    </row>
    <row r="433" spans="2:4" x14ac:dyDescent="0.55000000000000004">
      <c r="B433" s="821">
        <v>32599</v>
      </c>
      <c r="C433" s="821">
        <f t="shared" si="6"/>
        <v>32628</v>
      </c>
      <c r="D433">
        <v>10.1905</v>
      </c>
    </row>
    <row r="434" spans="2:4" x14ac:dyDescent="0.55000000000000004">
      <c r="B434" s="821">
        <v>32568</v>
      </c>
      <c r="C434" s="821">
        <f t="shared" si="6"/>
        <v>32598</v>
      </c>
      <c r="D434">
        <v>10.241400000000001</v>
      </c>
    </row>
    <row r="435" spans="2:4" x14ac:dyDescent="0.55000000000000004">
      <c r="B435" s="821">
        <v>32540</v>
      </c>
      <c r="C435" s="821">
        <f t="shared" si="6"/>
        <v>32567</v>
      </c>
      <c r="D435">
        <v>10.0595</v>
      </c>
    </row>
    <row r="436" spans="2:4" x14ac:dyDescent="0.55000000000000004">
      <c r="B436" s="821">
        <v>32509</v>
      </c>
      <c r="C436" s="821">
        <f t="shared" si="6"/>
        <v>32539</v>
      </c>
      <c r="D436">
        <v>10.0848</v>
      </c>
    </row>
    <row r="437" spans="2:4" x14ac:dyDescent="0.55000000000000004">
      <c r="B437" s="821">
        <v>32478</v>
      </c>
      <c r="C437" s="821">
        <f t="shared" si="6"/>
        <v>32508</v>
      </c>
      <c r="D437">
        <v>10.0519</v>
      </c>
    </row>
    <row r="438" spans="2:4" x14ac:dyDescent="0.55000000000000004">
      <c r="B438" s="821">
        <v>32448</v>
      </c>
      <c r="C438" s="821">
        <f t="shared" si="6"/>
        <v>32477</v>
      </c>
      <c r="D438">
        <v>9.89</v>
      </c>
    </row>
    <row r="439" spans="2:4" x14ac:dyDescent="0.55000000000000004">
      <c r="B439" s="821">
        <v>32417</v>
      </c>
      <c r="C439" s="821">
        <f t="shared" si="6"/>
        <v>32447</v>
      </c>
      <c r="D439">
        <v>9.9814000000000007</v>
      </c>
    </row>
    <row r="440" spans="2:4" x14ac:dyDescent="0.55000000000000004">
      <c r="B440" s="821">
        <v>32387</v>
      </c>
      <c r="C440" s="821">
        <f t="shared" si="6"/>
        <v>32416</v>
      </c>
      <c r="D440">
        <v>10.6662</v>
      </c>
    </row>
    <row r="441" spans="2:4" x14ac:dyDescent="0.55000000000000004">
      <c r="B441" s="821">
        <v>32356</v>
      </c>
      <c r="C441" s="821">
        <f t="shared" si="6"/>
        <v>32386</v>
      </c>
      <c r="D441">
        <v>11.169600000000001</v>
      </c>
    </row>
    <row r="442" spans="2:4" x14ac:dyDescent="0.55000000000000004">
      <c r="B442" s="821">
        <v>32325</v>
      </c>
      <c r="C442" s="821">
        <f t="shared" si="6"/>
        <v>32355</v>
      </c>
      <c r="D442">
        <v>11.023999999999999</v>
      </c>
    </row>
    <row r="443" spans="2:4" x14ac:dyDescent="0.55000000000000004">
      <c r="B443" s="821">
        <v>32295</v>
      </c>
      <c r="C443" s="821">
        <f t="shared" si="6"/>
        <v>32324</v>
      </c>
      <c r="D443">
        <v>10.8055</v>
      </c>
    </row>
    <row r="444" spans="2:4" x14ac:dyDescent="0.55000000000000004">
      <c r="B444" s="821">
        <v>32264</v>
      </c>
      <c r="C444" s="821">
        <f t="shared" si="6"/>
        <v>32294</v>
      </c>
      <c r="D444">
        <v>10.7919</v>
      </c>
    </row>
    <row r="445" spans="2:4" x14ac:dyDescent="0.55000000000000004">
      <c r="B445" s="821">
        <v>32234</v>
      </c>
      <c r="C445" s="821">
        <f t="shared" si="6"/>
        <v>32263</v>
      </c>
      <c r="D445">
        <v>10.522</v>
      </c>
    </row>
    <row r="446" spans="2:4" x14ac:dyDescent="0.55000000000000004">
      <c r="B446" s="821">
        <v>32203</v>
      </c>
      <c r="C446" s="821">
        <f t="shared" si="6"/>
        <v>32233</v>
      </c>
      <c r="D446">
        <v>10.0748</v>
      </c>
    </row>
    <row r="447" spans="2:4" x14ac:dyDescent="0.55000000000000004">
      <c r="B447" s="821">
        <v>32174</v>
      </c>
      <c r="C447" s="821">
        <f t="shared" si="6"/>
        <v>32202</v>
      </c>
      <c r="D447">
        <v>10.115500000000001</v>
      </c>
    </row>
    <row r="448" spans="2:4" x14ac:dyDescent="0.55000000000000004">
      <c r="B448" s="821">
        <v>32143</v>
      </c>
      <c r="C448" s="821">
        <f t="shared" si="6"/>
        <v>32173</v>
      </c>
      <c r="D448">
        <v>10.798</v>
      </c>
    </row>
    <row r="449" spans="2:4" x14ac:dyDescent="0.55000000000000004">
      <c r="B449" s="821">
        <v>32112</v>
      </c>
      <c r="C449" s="821">
        <f t="shared" si="6"/>
        <v>32142</v>
      </c>
      <c r="D449">
        <v>10.9368</v>
      </c>
    </row>
    <row r="450" spans="2:4" x14ac:dyDescent="0.55000000000000004">
      <c r="B450" s="821">
        <v>32082</v>
      </c>
      <c r="C450" s="821">
        <f t="shared" si="6"/>
        <v>32111</v>
      </c>
      <c r="D450">
        <v>10.8245</v>
      </c>
    </row>
    <row r="451" spans="2:4" x14ac:dyDescent="0.55000000000000004">
      <c r="B451" s="821">
        <v>32051</v>
      </c>
      <c r="C451" s="821">
        <f t="shared" si="6"/>
        <v>32081</v>
      </c>
      <c r="D451">
        <v>11.358599999999999</v>
      </c>
    </row>
    <row r="452" spans="2:4" x14ac:dyDescent="0.55000000000000004">
      <c r="B452" s="821">
        <v>32021</v>
      </c>
      <c r="C452" s="821">
        <f t="shared" si="6"/>
        <v>32050</v>
      </c>
      <c r="D452">
        <v>11.1762</v>
      </c>
    </row>
    <row r="453" spans="2:4" x14ac:dyDescent="0.55000000000000004">
      <c r="B453" s="821">
        <v>31990</v>
      </c>
      <c r="C453" s="821">
        <f t="shared" si="6"/>
        <v>32020</v>
      </c>
      <c r="D453">
        <v>10.443300000000001</v>
      </c>
    </row>
    <row r="454" spans="2:4" x14ac:dyDescent="0.55000000000000004">
      <c r="B454" s="821">
        <v>31959</v>
      </c>
      <c r="C454" s="821">
        <f t="shared" ref="C454:C517" si="7">EOMONTH(B454, 0)</f>
        <v>31989</v>
      </c>
      <c r="D454">
        <v>10.135</v>
      </c>
    </row>
    <row r="455" spans="2:4" x14ac:dyDescent="0.55000000000000004">
      <c r="B455" s="821">
        <v>31929</v>
      </c>
      <c r="C455" s="821">
        <f t="shared" si="7"/>
        <v>31958</v>
      </c>
      <c r="D455">
        <v>10.0182</v>
      </c>
    </row>
    <row r="456" spans="2:4" x14ac:dyDescent="0.55000000000000004">
      <c r="B456" s="821">
        <v>31898</v>
      </c>
      <c r="C456" s="821">
        <f t="shared" si="7"/>
        <v>31928</v>
      </c>
      <c r="D456">
        <v>9.8650000000000002</v>
      </c>
    </row>
    <row r="457" spans="2:4" x14ac:dyDescent="0.55000000000000004">
      <c r="B457" s="821">
        <v>31868</v>
      </c>
      <c r="C457" s="821">
        <f t="shared" si="7"/>
        <v>31897</v>
      </c>
      <c r="D457">
        <v>9.3529</v>
      </c>
    </row>
    <row r="458" spans="2:4" x14ac:dyDescent="0.55000000000000004">
      <c r="B458" s="821">
        <v>31837</v>
      </c>
      <c r="C458" s="821">
        <f t="shared" si="7"/>
        <v>31867</v>
      </c>
      <c r="D458">
        <v>8.9291</v>
      </c>
    </row>
    <row r="459" spans="2:4" x14ac:dyDescent="0.55000000000000004">
      <c r="B459" s="821">
        <v>31809</v>
      </c>
      <c r="C459" s="821">
        <f t="shared" si="7"/>
        <v>31836</v>
      </c>
      <c r="D459">
        <v>9.0037000000000003</v>
      </c>
    </row>
    <row r="460" spans="2:4" x14ac:dyDescent="0.55000000000000004">
      <c r="B460" s="821">
        <v>31778</v>
      </c>
      <c r="C460" s="821">
        <f t="shared" si="7"/>
        <v>31808</v>
      </c>
      <c r="D460">
        <v>8.9444999999999997</v>
      </c>
    </row>
    <row r="461" spans="2:4" x14ac:dyDescent="0.55000000000000004">
      <c r="B461" s="821">
        <v>31747</v>
      </c>
      <c r="C461" s="821">
        <f t="shared" si="7"/>
        <v>31777</v>
      </c>
      <c r="D461">
        <v>9.1195000000000004</v>
      </c>
    </row>
    <row r="462" spans="2:4" x14ac:dyDescent="0.55000000000000004">
      <c r="B462" s="821">
        <v>31717</v>
      </c>
      <c r="C462" s="821">
        <f t="shared" si="7"/>
        <v>31746</v>
      </c>
      <c r="D462">
        <v>9.2936999999999994</v>
      </c>
    </row>
    <row r="463" spans="2:4" x14ac:dyDescent="0.55000000000000004">
      <c r="B463" s="821">
        <v>31686</v>
      </c>
      <c r="C463" s="821">
        <f t="shared" si="7"/>
        <v>31716</v>
      </c>
      <c r="D463">
        <v>9.5274000000000001</v>
      </c>
    </row>
    <row r="464" spans="2:4" x14ac:dyDescent="0.55000000000000004">
      <c r="B464" s="821">
        <v>31656</v>
      </c>
      <c r="C464" s="821">
        <f t="shared" si="7"/>
        <v>31685</v>
      </c>
      <c r="D464">
        <v>9.5032999999999994</v>
      </c>
    </row>
    <row r="465" spans="2:4" x14ac:dyDescent="0.55000000000000004">
      <c r="B465" s="821">
        <v>31625</v>
      </c>
      <c r="C465" s="821">
        <f t="shared" si="7"/>
        <v>31655</v>
      </c>
      <c r="D465">
        <v>9.3066999999999993</v>
      </c>
    </row>
    <row r="466" spans="2:4" x14ac:dyDescent="0.55000000000000004">
      <c r="B466" s="821">
        <v>31594</v>
      </c>
      <c r="C466" s="821">
        <f t="shared" si="7"/>
        <v>31624</v>
      </c>
      <c r="D466">
        <v>9.3544999999999998</v>
      </c>
    </row>
    <row r="467" spans="2:4" x14ac:dyDescent="0.55000000000000004">
      <c r="B467" s="821">
        <v>31564</v>
      </c>
      <c r="C467" s="821">
        <f t="shared" si="7"/>
        <v>31593</v>
      </c>
      <c r="D467">
        <v>9.6547999999999998</v>
      </c>
    </row>
    <row r="468" spans="2:4" x14ac:dyDescent="0.55000000000000004">
      <c r="B468" s="821">
        <v>31533</v>
      </c>
      <c r="C468" s="821">
        <f t="shared" si="7"/>
        <v>31563</v>
      </c>
      <c r="D468">
        <v>9.5667000000000009</v>
      </c>
    </row>
    <row r="469" spans="2:4" x14ac:dyDescent="0.55000000000000004">
      <c r="B469" s="821">
        <v>31503</v>
      </c>
      <c r="C469" s="821">
        <f t="shared" si="7"/>
        <v>31532</v>
      </c>
      <c r="D469">
        <v>9.1309000000000005</v>
      </c>
    </row>
    <row r="470" spans="2:4" x14ac:dyDescent="0.55000000000000004">
      <c r="B470" s="821">
        <v>31472</v>
      </c>
      <c r="C470" s="821">
        <f t="shared" si="7"/>
        <v>31502</v>
      </c>
      <c r="D470">
        <v>9.5129999999999999</v>
      </c>
    </row>
    <row r="471" spans="2:4" x14ac:dyDescent="0.55000000000000004">
      <c r="B471" s="821">
        <v>31444</v>
      </c>
      <c r="C471" s="821">
        <f t="shared" si="7"/>
        <v>31471</v>
      </c>
      <c r="D471">
        <v>10.3163</v>
      </c>
    </row>
    <row r="472" spans="2:4" x14ac:dyDescent="0.55000000000000004">
      <c r="B472" s="821">
        <v>31413</v>
      </c>
      <c r="C472" s="821">
        <f t="shared" si="7"/>
        <v>31443</v>
      </c>
      <c r="D472">
        <v>10.7986</v>
      </c>
    </row>
    <row r="473" spans="2:4" x14ac:dyDescent="0.55000000000000004">
      <c r="B473" s="821">
        <v>31382</v>
      </c>
      <c r="C473" s="821">
        <f t="shared" si="7"/>
        <v>31412</v>
      </c>
      <c r="D473">
        <v>11.007999999999999</v>
      </c>
    </row>
    <row r="474" spans="2:4" x14ac:dyDescent="0.55000000000000004">
      <c r="B474" s="821">
        <v>31352</v>
      </c>
      <c r="C474" s="821">
        <f t="shared" si="7"/>
        <v>31381</v>
      </c>
      <c r="D474">
        <v>11.513999999999999</v>
      </c>
    </row>
    <row r="475" spans="2:4" x14ac:dyDescent="0.55000000000000004">
      <c r="B475" s="821">
        <v>31321</v>
      </c>
      <c r="C475" s="821">
        <f t="shared" si="7"/>
        <v>31351</v>
      </c>
      <c r="D475">
        <v>12.0139</v>
      </c>
    </row>
    <row r="476" spans="2:4" x14ac:dyDescent="0.55000000000000004">
      <c r="B476" s="821">
        <v>31291</v>
      </c>
      <c r="C476" s="821">
        <f t="shared" si="7"/>
        <v>31320</v>
      </c>
      <c r="D476">
        <v>12.132099999999999</v>
      </c>
    </row>
    <row r="477" spans="2:4" x14ac:dyDescent="0.55000000000000004">
      <c r="B477" s="821">
        <v>31260</v>
      </c>
      <c r="C477" s="821">
        <f t="shared" si="7"/>
        <v>31290</v>
      </c>
      <c r="D477">
        <v>12.1373</v>
      </c>
    </row>
    <row r="478" spans="2:4" x14ac:dyDescent="0.55000000000000004">
      <c r="B478" s="821">
        <v>31229</v>
      </c>
      <c r="C478" s="821">
        <f t="shared" si="7"/>
        <v>31259</v>
      </c>
      <c r="D478">
        <v>12.064500000000001</v>
      </c>
    </row>
    <row r="479" spans="2:4" x14ac:dyDescent="0.55000000000000004">
      <c r="B479" s="821">
        <v>31199</v>
      </c>
      <c r="C479" s="821">
        <f t="shared" si="7"/>
        <v>31228</v>
      </c>
      <c r="D479">
        <v>12.1435</v>
      </c>
    </row>
    <row r="480" spans="2:4" x14ac:dyDescent="0.55000000000000004">
      <c r="B480" s="821">
        <v>31168</v>
      </c>
      <c r="C480" s="821">
        <f t="shared" si="7"/>
        <v>31198</v>
      </c>
      <c r="D480">
        <v>13.174099999999999</v>
      </c>
    </row>
    <row r="481" spans="2:4" x14ac:dyDescent="0.55000000000000004">
      <c r="B481" s="821">
        <v>31138</v>
      </c>
      <c r="C481" s="821">
        <f t="shared" si="7"/>
        <v>31167</v>
      </c>
      <c r="D481">
        <v>13.5867</v>
      </c>
    </row>
    <row r="482" spans="2:4" x14ac:dyDescent="0.55000000000000004">
      <c r="B482" s="821">
        <v>31107</v>
      </c>
      <c r="C482" s="821">
        <f t="shared" si="7"/>
        <v>31137</v>
      </c>
      <c r="D482">
        <v>13.801399999999999</v>
      </c>
    </row>
    <row r="483" spans="2:4" x14ac:dyDescent="0.55000000000000004">
      <c r="B483" s="821">
        <v>31079</v>
      </c>
      <c r="C483" s="821">
        <f t="shared" si="7"/>
        <v>31106</v>
      </c>
      <c r="D483">
        <v>13.0342</v>
      </c>
    </row>
    <row r="484" spans="2:4" x14ac:dyDescent="0.55000000000000004">
      <c r="B484" s="821">
        <v>31048</v>
      </c>
      <c r="C484" s="821">
        <f t="shared" si="7"/>
        <v>31078</v>
      </c>
      <c r="D484">
        <v>12.985900000000001</v>
      </c>
    </row>
    <row r="485" spans="2:4" x14ac:dyDescent="0.55000000000000004">
      <c r="B485" s="821">
        <v>31017</v>
      </c>
      <c r="C485" s="821">
        <f t="shared" si="7"/>
        <v>31047</v>
      </c>
      <c r="D485">
        <v>13.0695</v>
      </c>
    </row>
    <row r="486" spans="2:4" x14ac:dyDescent="0.55000000000000004">
      <c r="B486" s="821">
        <v>30987</v>
      </c>
      <c r="C486" s="821">
        <f t="shared" si="7"/>
        <v>31016</v>
      </c>
      <c r="D486">
        <v>13.246700000000001</v>
      </c>
    </row>
    <row r="487" spans="2:4" x14ac:dyDescent="0.55000000000000004">
      <c r="B487" s="821">
        <v>30956</v>
      </c>
      <c r="C487" s="821">
        <f t="shared" si="7"/>
        <v>30986</v>
      </c>
      <c r="D487">
        <v>13.829599999999999</v>
      </c>
    </row>
    <row r="488" spans="2:4" x14ac:dyDescent="0.55000000000000004">
      <c r="B488" s="821">
        <v>30926</v>
      </c>
      <c r="C488" s="821">
        <f t="shared" si="7"/>
        <v>30955</v>
      </c>
      <c r="D488">
        <v>14.1874</v>
      </c>
    </row>
    <row r="489" spans="2:4" x14ac:dyDescent="0.55000000000000004">
      <c r="B489" s="821">
        <v>30895</v>
      </c>
      <c r="C489" s="821">
        <f t="shared" si="7"/>
        <v>30925</v>
      </c>
      <c r="D489">
        <v>14.4291</v>
      </c>
    </row>
    <row r="490" spans="2:4" x14ac:dyDescent="0.55000000000000004">
      <c r="B490" s="821">
        <v>30864</v>
      </c>
      <c r="C490" s="821">
        <f t="shared" si="7"/>
        <v>30894</v>
      </c>
      <c r="D490">
        <v>14.8605</v>
      </c>
    </row>
    <row r="491" spans="2:4" x14ac:dyDescent="0.55000000000000004">
      <c r="B491" s="821">
        <v>30834</v>
      </c>
      <c r="C491" s="821">
        <f t="shared" si="7"/>
        <v>30863</v>
      </c>
      <c r="D491">
        <v>15.097099999999999</v>
      </c>
    </row>
    <row r="492" spans="2:4" x14ac:dyDescent="0.55000000000000004">
      <c r="B492" s="821">
        <v>30803</v>
      </c>
      <c r="C492" s="821">
        <f t="shared" si="7"/>
        <v>30833</v>
      </c>
      <c r="D492">
        <v>14.8795</v>
      </c>
    </row>
    <row r="493" spans="2:4" x14ac:dyDescent="0.55000000000000004">
      <c r="B493" s="821">
        <v>30773</v>
      </c>
      <c r="C493" s="821">
        <f t="shared" si="7"/>
        <v>30802</v>
      </c>
      <c r="D493">
        <v>14.129</v>
      </c>
    </row>
    <row r="494" spans="2:4" x14ac:dyDescent="0.55000000000000004">
      <c r="B494" s="821">
        <v>30742</v>
      </c>
      <c r="C494" s="821">
        <f t="shared" si="7"/>
        <v>30772</v>
      </c>
      <c r="D494">
        <v>13.7723</v>
      </c>
    </row>
    <row r="495" spans="2:4" x14ac:dyDescent="0.55000000000000004">
      <c r="B495" s="821">
        <v>30713</v>
      </c>
      <c r="C495" s="821">
        <f t="shared" si="7"/>
        <v>30741</v>
      </c>
      <c r="D495">
        <v>13.397</v>
      </c>
    </row>
    <row r="496" spans="2:4" x14ac:dyDescent="0.55000000000000004">
      <c r="B496" s="821">
        <v>30682</v>
      </c>
      <c r="C496" s="821">
        <f t="shared" si="7"/>
        <v>30712</v>
      </c>
      <c r="D496">
        <v>13.400499999999999</v>
      </c>
    </row>
    <row r="497" spans="2:4" x14ac:dyDescent="0.55000000000000004">
      <c r="B497" s="821">
        <v>30651</v>
      </c>
      <c r="C497" s="821">
        <f t="shared" si="7"/>
        <v>30681</v>
      </c>
      <c r="D497">
        <v>13.517099999999999</v>
      </c>
    </row>
    <row r="498" spans="2:4" x14ac:dyDescent="0.55000000000000004">
      <c r="B498" s="821">
        <v>30621</v>
      </c>
      <c r="C498" s="821">
        <f t="shared" si="7"/>
        <v>30650</v>
      </c>
      <c r="D498">
        <v>13.3833</v>
      </c>
    </row>
    <row r="499" spans="2:4" x14ac:dyDescent="0.55000000000000004">
      <c r="B499" s="821">
        <v>30590</v>
      </c>
      <c r="C499" s="821">
        <f t="shared" si="7"/>
        <v>30620</v>
      </c>
      <c r="D499">
        <v>13.2524</v>
      </c>
    </row>
    <row r="500" spans="2:4" x14ac:dyDescent="0.55000000000000004">
      <c r="B500" s="821">
        <v>30560</v>
      </c>
      <c r="C500" s="821">
        <f t="shared" si="7"/>
        <v>30589</v>
      </c>
      <c r="D500">
        <v>13.4367</v>
      </c>
    </row>
    <row r="501" spans="2:4" x14ac:dyDescent="0.55000000000000004">
      <c r="B501" s="821">
        <v>30529</v>
      </c>
      <c r="C501" s="821">
        <f t="shared" si="7"/>
        <v>30559</v>
      </c>
      <c r="D501">
        <v>13.567</v>
      </c>
    </row>
    <row r="502" spans="2:4" x14ac:dyDescent="0.55000000000000004">
      <c r="B502" s="821">
        <v>30498</v>
      </c>
      <c r="C502" s="821">
        <f t="shared" si="7"/>
        <v>30528</v>
      </c>
      <c r="D502">
        <v>13.571999999999999</v>
      </c>
    </row>
    <row r="503" spans="2:4" x14ac:dyDescent="0.55000000000000004">
      <c r="B503" s="821">
        <v>30468</v>
      </c>
      <c r="C503" s="821">
        <f t="shared" si="7"/>
        <v>30497</v>
      </c>
      <c r="D503">
        <v>13.6473</v>
      </c>
    </row>
    <row r="504" spans="2:4" x14ac:dyDescent="0.55000000000000004">
      <c r="B504" s="821">
        <v>30437</v>
      </c>
      <c r="C504" s="821">
        <f t="shared" si="7"/>
        <v>30467</v>
      </c>
      <c r="D504">
        <v>13.491400000000001</v>
      </c>
    </row>
    <row r="505" spans="2:4" x14ac:dyDescent="0.55000000000000004">
      <c r="B505" s="821">
        <v>30407</v>
      </c>
      <c r="C505" s="821">
        <f t="shared" si="7"/>
        <v>30436</v>
      </c>
      <c r="D505">
        <v>13.637500000000001</v>
      </c>
    </row>
    <row r="506" spans="2:4" x14ac:dyDescent="0.55000000000000004">
      <c r="B506" s="821">
        <v>30376</v>
      </c>
      <c r="C506" s="821">
        <f t="shared" si="7"/>
        <v>30406</v>
      </c>
      <c r="D506">
        <v>14.0274</v>
      </c>
    </row>
    <row r="507" spans="2:4" x14ac:dyDescent="0.55000000000000004">
      <c r="B507" s="821">
        <v>30348</v>
      </c>
      <c r="C507" s="821">
        <f t="shared" si="7"/>
        <v>30375</v>
      </c>
      <c r="D507">
        <v>14.277900000000001</v>
      </c>
    </row>
    <row r="508" spans="2:4" x14ac:dyDescent="0.55000000000000004">
      <c r="B508" s="821">
        <v>30317</v>
      </c>
      <c r="C508" s="821">
        <f t="shared" si="7"/>
        <v>30347</v>
      </c>
      <c r="D508">
        <v>14.241</v>
      </c>
    </row>
    <row r="509" spans="2:4" x14ac:dyDescent="0.55000000000000004">
      <c r="B509" s="821">
        <v>30286</v>
      </c>
      <c r="C509" s="821">
        <f t="shared" si="7"/>
        <v>30316</v>
      </c>
      <c r="D509">
        <v>14.425599999999999</v>
      </c>
    </row>
    <row r="510" spans="2:4" x14ac:dyDescent="0.55000000000000004">
      <c r="B510" s="821">
        <v>30256</v>
      </c>
      <c r="C510" s="821">
        <f t="shared" si="7"/>
        <v>30285</v>
      </c>
      <c r="D510">
        <v>14.4625</v>
      </c>
    </row>
    <row r="511" spans="2:4" x14ac:dyDescent="0.55000000000000004">
      <c r="B511" s="821">
        <v>30225</v>
      </c>
      <c r="C511" s="821">
        <f t="shared" si="7"/>
        <v>30255</v>
      </c>
      <c r="D511">
        <v>14.984</v>
      </c>
    </row>
    <row r="512" spans="2:4" x14ac:dyDescent="0.55000000000000004">
      <c r="B512" s="821">
        <v>30195</v>
      </c>
      <c r="C512" s="821">
        <f t="shared" si="7"/>
        <v>30224</v>
      </c>
      <c r="D512">
        <v>15.450000000000001</v>
      </c>
    </row>
    <row r="513" spans="2:4" x14ac:dyDescent="0.55000000000000004">
      <c r="B513" s="821">
        <v>30164</v>
      </c>
      <c r="C513" s="821">
        <f t="shared" si="7"/>
        <v>30194</v>
      </c>
      <c r="D513">
        <v>15.92</v>
      </c>
    </row>
    <row r="514" spans="2:4" x14ac:dyDescent="0.55000000000000004">
      <c r="B514" s="821">
        <v>30133</v>
      </c>
      <c r="C514" s="821">
        <f t="shared" si="7"/>
        <v>30163</v>
      </c>
      <c r="D514">
        <v>16.46</v>
      </c>
    </row>
    <row r="515" spans="2:4" x14ac:dyDescent="0.55000000000000004">
      <c r="B515" s="821">
        <v>30103</v>
      </c>
      <c r="C515" s="821">
        <f t="shared" si="7"/>
        <v>30132</v>
      </c>
      <c r="D515">
        <v>16.34</v>
      </c>
    </row>
    <row r="516" spans="2:4" x14ac:dyDescent="0.55000000000000004">
      <c r="B516" s="821">
        <v>30072</v>
      </c>
      <c r="C516" s="821">
        <f t="shared" si="7"/>
        <v>30102</v>
      </c>
      <c r="D516">
        <v>16.079999999999998</v>
      </c>
    </row>
    <row r="517" spans="2:4" x14ac:dyDescent="0.55000000000000004">
      <c r="B517" s="821">
        <v>30042</v>
      </c>
      <c r="C517" s="821">
        <f t="shared" si="7"/>
        <v>30071</v>
      </c>
      <c r="D517">
        <v>16.397500000000001</v>
      </c>
    </row>
    <row r="518" spans="2:4" x14ac:dyDescent="0.55000000000000004">
      <c r="B518" s="821">
        <v>30011</v>
      </c>
      <c r="C518" s="821">
        <f t="shared" ref="C518:C556" si="8">EOMONTH(B518, 0)</f>
        <v>30041</v>
      </c>
      <c r="D518">
        <v>16.488</v>
      </c>
    </row>
    <row r="519" spans="2:4" x14ac:dyDescent="0.55000000000000004">
      <c r="B519" s="821">
        <v>29983</v>
      </c>
      <c r="C519" s="821">
        <f t="shared" si="8"/>
        <v>30010</v>
      </c>
      <c r="D519">
        <v>16.914999999999999</v>
      </c>
    </row>
    <row r="520" spans="2:4" x14ac:dyDescent="0.55000000000000004">
      <c r="B520" s="821">
        <v>29952</v>
      </c>
      <c r="C520" s="821">
        <f t="shared" si="8"/>
        <v>29982</v>
      </c>
      <c r="D520">
        <v>16.8</v>
      </c>
    </row>
    <row r="521" spans="2:4" x14ac:dyDescent="0.55000000000000004">
      <c r="B521" s="821">
        <v>29921</v>
      </c>
      <c r="C521" s="821">
        <f t="shared" si="8"/>
        <v>29951</v>
      </c>
      <c r="D521">
        <v>16.161999999999999</v>
      </c>
    </row>
    <row r="522" spans="2:4" x14ac:dyDescent="0.55000000000000004">
      <c r="B522" s="821">
        <v>29891</v>
      </c>
      <c r="C522" s="821">
        <f t="shared" si="8"/>
        <v>29920</v>
      </c>
      <c r="D522">
        <v>16.414999999999999</v>
      </c>
    </row>
    <row r="523" spans="2:4" x14ac:dyDescent="0.55000000000000004">
      <c r="B523" s="821">
        <v>29860</v>
      </c>
      <c r="C523" s="821">
        <f t="shared" si="8"/>
        <v>29890</v>
      </c>
      <c r="D523">
        <v>17.254999999999999</v>
      </c>
    </row>
    <row r="524" spans="2:4" x14ac:dyDescent="0.55000000000000004">
      <c r="B524" s="821">
        <v>29830</v>
      </c>
      <c r="C524" s="821">
        <f t="shared" si="8"/>
        <v>29859</v>
      </c>
      <c r="D524">
        <v>17.03</v>
      </c>
    </row>
    <row r="525" spans="2:4" x14ac:dyDescent="0.55000000000000004">
      <c r="B525" s="821">
        <v>29799</v>
      </c>
      <c r="C525" s="821">
        <f t="shared" si="8"/>
        <v>29829</v>
      </c>
      <c r="D525">
        <v>16.447500000000002</v>
      </c>
    </row>
    <row r="526" spans="2:4" x14ac:dyDescent="0.55000000000000004">
      <c r="B526" s="821">
        <v>29768</v>
      </c>
      <c r="C526" s="821">
        <f t="shared" si="8"/>
        <v>29798</v>
      </c>
      <c r="D526">
        <v>16.071999999999999</v>
      </c>
    </row>
    <row r="527" spans="2:4" x14ac:dyDescent="0.55000000000000004">
      <c r="B527" s="821">
        <v>29738</v>
      </c>
      <c r="C527" s="821">
        <f t="shared" si="8"/>
        <v>29767</v>
      </c>
      <c r="D527">
        <v>15.7925</v>
      </c>
    </row>
    <row r="528" spans="2:4" x14ac:dyDescent="0.55000000000000004">
      <c r="B528" s="821">
        <v>29707</v>
      </c>
      <c r="C528" s="821">
        <f t="shared" si="8"/>
        <v>29737</v>
      </c>
      <c r="D528">
        <v>16.116</v>
      </c>
    </row>
    <row r="529" spans="2:4" x14ac:dyDescent="0.55000000000000004">
      <c r="B529" s="821">
        <v>29677</v>
      </c>
      <c r="C529" s="821">
        <f t="shared" si="8"/>
        <v>29706</v>
      </c>
      <c r="D529">
        <v>15.25</v>
      </c>
    </row>
    <row r="530" spans="2:4" x14ac:dyDescent="0.55000000000000004">
      <c r="B530" s="821">
        <v>29646</v>
      </c>
      <c r="C530" s="821">
        <f t="shared" si="8"/>
        <v>29676</v>
      </c>
      <c r="D530">
        <v>15.125</v>
      </c>
    </row>
    <row r="531" spans="2:4" x14ac:dyDescent="0.55000000000000004">
      <c r="B531" s="821">
        <v>29618</v>
      </c>
      <c r="C531" s="821">
        <f t="shared" si="8"/>
        <v>29645</v>
      </c>
      <c r="D531">
        <v>14.68</v>
      </c>
    </row>
    <row r="532" spans="2:4" x14ac:dyDescent="0.55000000000000004">
      <c r="B532" s="821">
        <v>29587</v>
      </c>
      <c r="C532" s="821">
        <f t="shared" si="8"/>
        <v>29617</v>
      </c>
      <c r="D532">
        <v>14.273999999999999</v>
      </c>
    </row>
    <row r="533" spans="2:4" x14ac:dyDescent="0.55000000000000004">
      <c r="B533" s="821">
        <v>29556</v>
      </c>
      <c r="C533" s="821">
        <f t="shared" si="8"/>
        <v>29586</v>
      </c>
      <c r="D533">
        <v>14.66</v>
      </c>
    </row>
    <row r="534" spans="2:4" x14ac:dyDescent="0.55000000000000004">
      <c r="B534" s="821">
        <v>29526</v>
      </c>
      <c r="C534" s="821">
        <f t="shared" si="8"/>
        <v>29555</v>
      </c>
      <c r="D534">
        <v>14.012500000000001</v>
      </c>
    </row>
    <row r="535" spans="2:4" x14ac:dyDescent="0.55000000000000004">
      <c r="B535" s="821">
        <v>29495</v>
      </c>
      <c r="C535" s="821">
        <f t="shared" si="8"/>
        <v>29525</v>
      </c>
      <c r="D535">
        <v>13.536</v>
      </c>
    </row>
    <row r="536" spans="2:4" x14ac:dyDescent="0.55000000000000004">
      <c r="B536" s="821">
        <v>29465</v>
      </c>
      <c r="C536" s="821">
        <f t="shared" si="8"/>
        <v>29494</v>
      </c>
      <c r="D536">
        <v>13.2925</v>
      </c>
    </row>
    <row r="537" spans="2:4" x14ac:dyDescent="0.55000000000000004">
      <c r="B537" s="821">
        <v>29434</v>
      </c>
      <c r="C537" s="821">
        <f t="shared" si="8"/>
        <v>29464</v>
      </c>
      <c r="D537">
        <v>12.66</v>
      </c>
    </row>
    <row r="538" spans="2:4" x14ac:dyDescent="0.55000000000000004">
      <c r="B538" s="821">
        <v>29403</v>
      </c>
      <c r="C538" s="821">
        <f t="shared" si="8"/>
        <v>29433</v>
      </c>
      <c r="D538">
        <v>12.1525</v>
      </c>
    </row>
    <row r="539" spans="2:4" x14ac:dyDescent="0.55000000000000004">
      <c r="B539" s="821">
        <v>29373</v>
      </c>
      <c r="C539" s="821">
        <f t="shared" si="8"/>
        <v>29402</v>
      </c>
      <c r="D539">
        <v>12.397500000000001</v>
      </c>
    </row>
    <row r="540" spans="2:4" x14ac:dyDescent="0.55000000000000004">
      <c r="B540" s="821">
        <v>29342</v>
      </c>
      <c r="C540" s="821">
        <f t="shared" si="8"/>
        <v>29372</v>
      </c>
      <c r="D540">
        <v>12.736000000000001</v>
      </c>
    </row>
    <row r="541" spans="2:4" x14ac:dyDescent="0.55000000000000004">
      <c r="B541" s="821">
        <v>29312</v>
      </c>
      <c r="C541" s="821">
        <f t="shared" si="8"/>
        <v>29341</v>
      </c>
      <c r="D541">
        <v>14.290000000000001</v>
      </c>
    </row>
    <row r="542" spans="2:4" x14ac:dyDescent="0.55000000000000004">
      <c r="B542" s="821">
        <v>29281</v>
      </c>
      <c r="C542" s="821">
        <f t="shared" si="8"/>
        <v>29311</v>
      </c>
      <c r="D542">
        <v>14.59</v>
      </c>
    </row>
    <row r="543" spans="2:4" x14ac:dyDescent="0.55000000000000004">
      <c r="B543" s="821">
        <v>29252</v>
      </c>
      <c r="C543" s="821">
        <f t="shared" si="8"/>
        <v>29280</v>
      </c>
      <c r="D543">
        <v>13.234</v>
      </c>
    </row>
    <row r="544" spans="2:4" x14ac:dyDescent="0.55000000000000004">
      <c r="B544" s="821">
        <v>29221</v>
      </c>
      <c r="C544" s="821">
        <f t="shared" si="8"/>
        <v>29251</v>
      </c>
      <c r="D544">
        <v>12.2125</v>
      </c>
    </row>
    <row r="545" spans="2:4" x14ac:dyDescent="0.55000000000000004">
      <c r="B545" s="821">
        <v>29190</v>
      </c>
      <c r="C545" s="821">
        <f t="shared" si="8"/>
        <v>29220</v>
      </c>
      <c r="D545">
        <v>12.15</v>
      </c>
    </row>
    <row r="546" spans="2:4" x14ac:dyDescent="0.55000000000000004">
      <c r="B546" s="821">
        <v>29160</v>
      </c>
      <c r="C546" s="821">
        <f t="shared" si="8"/>
        <v>29189</v>
      </c>
      <c r="D546">
        <v>11.89</v>
      </c>
    </row>
    <row r="547" spans="2:4" x14ac:dyDescent="0.55000000000000004">
      <c r="B547" s="821">
        <v>29129</v>
      </c>
      <c r="C547" s="821">
        <f t="shared" si="8"/>
        <v>29159</v>
      </c>
      <c r="D547">
        <v>11.4</v>
      </c>
    </row>
    <row r="548" spans="2:4" x14ac:dyDescent="0.55000000000000004">
      <c r="B548" s="821">
        <v>29099</v>
      </c>
      <c r="C548" s="821">
        <f t="shared" si="8"/>
        <v>29128</v>
      </c>
      <c r="D548">
        <v>10.36</v>
      </c>
    </row>
    <row r="549" spans="2:4" x14ac:dyDescent="0.55000000000000004">
      <c r="B549" s="821">
        <v>29068</v>
      </c>
      <c r="C549" s="821">
        <f t="shared" si="8"/>
        <v>29098</v>
      </c>
      <c r="D549">
        <v>10.14</v>
      </c>
    </row>
    <row r="550" spans="2:4" x14ac:dyDescent="0.55000000000000004">
      <c r="B550" s="821">
        <v>29037</v>
      </c>
      <c r="C550" s="821">
        <f t="shared" si="8"/>
        <v>29067</v>
      </c>
      <c r="D550">
        <v>9.98</v>
      </c>
    </row>
    <row r="551" spans="2:4" x14ac:dyDescent="0.55000000000000004">
      <c r="B551" s="821">
        <v>29007</v>
      </c>
      <c r="C551" s="821">
        <f t="shared" si="8"/>
        <v>29036</v>
      </c>
      <c r="D551">
        <v>10.14</v>
      </c>
    </row>
    <row r="552" spans="2:4" x14ac:dyDescent="0.55000000000000004">
      <c r="B552" s="821">
        <v>28976</v>
      </c>
      <c r="C552" s="821">
        <f t="shared" si="8"/>
        <v>29006</v>
      </c>
      <c r="D552">
        <v>10.3</v>
      </c>
    </row>
    <row r="553" spans="2:4" x14ac:dyDescent="0.55000000000000004">
      <c r="B553" s="821">
        <v>28946</v>
      </c>
      <c r="C553" s="821">
        <f t="shared" si="8"/>
        <v>28975</v>
      </c>
      <c r="D553">
        <v>10.1</v>
      </c>
    </row>
    <row r="554" spans="2:4" x14ac:dyDescent="0.55000000000000004">
      <c r="B554" s="821">
        <v>28915</v>
      </c>
      <c r="C554" s="821">
        <f t="shared" si="8"/>
        <v>28945</v>
      </c>
      <c r="D554">
        <v>10.039999999999999</v>
      </c>
    </row>
    <row r="555" spans="2:4" x14ac:dyDescent="0.55000000000000004">
      <c r="B555" s="821">
        <v>28887</v>
      </c>
      <c r="C555" s="821">
        <f t="shared" si="8"/>
        <v>28914</v>
      </c>
      <c r="D555">
        <v>9.84</v>
      </c>
    </row>
    <row r="556" spans="2:4" x14ac:dyDescent="0.55000000000000004">
      <c r="B556" s="821">
        <v>28856</v>
      </c>
      <c r="C556" s="821">
        <f t="shared" si="8"/>
        <v>28886</v>
      </c>
      <c r="D556">
        <v>9.9</v>
      </c>
    </row>
  </sheetData>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D3B25-7637-4D03-AA0C-435425F5B090}">
  <sheetPr codeName="Sheet44">
    <pageSetUpPr fitToPage="1"/>
  </sheetPr>
  <dimension ref="A1:R61"/>
  <sheetViews>
    <sheetView zoomScale="90" zoomScaleNormal="90" zoomScalePageLayoutView="130" workbookViewId="0"/>
  </sheetViews>
  <sheetFormatPr defaultColWidth="8.7890625" defaultRowHeight="12.3" x14ac:dyDescent="0.4"/>
  <cols>
    <col min="1" max="1" width="2.734375" style="895" customWidth="1"/>
    <col min="2" max="2" width="10" style="895" customWidth="1"/>
    <col min="3" max="3" width="16.47265625" style="895" customWidth="1"/>
    <col min="4" max="4" width="12.26171875" style="895" customWidth="1"/>
    <col min="5" max="5" width="9" style="895" customWidth="1"/>
    <col min="6" max="8" width="8.734375" style="895" bestFit="1" customWidth="1"/>
    <col min="9" max="9" width="1.26171875" style="895" customWidth="1"/>
    <col min="10" max="10" width="10.15625" style="895" customWidth="1"/>
    <col min="11" max="11" width="1.47265625" style="895" customWidth="1"/>
    <col min="12" max="16384" width="8.7890625" style="895"/>
  </cols>
  <sheetData>
    <row r="1" spans="1:18" x14ac:dyDescent="0.4">
      <c r="J1" s="902"/>
    </row>
    <row r="2" spans="1:18" ht="12" customHeight="1" x14ac:dyDescent="0.4">
      <c r="J2" s="902"/>
    </row>
    <row r="3" spans="1:18" x14ac:dyDescent="0.4">
      <c r="A3" s="893"/>
      <c r="B3" s="894"/>
      <c r="C3" s="894"/>
      <c r="D3" s="894"/>
      <c r="E3" s="894"/>
      <c r="F3" s="903"/>
      <c r="G3" s="903"/>
      <c r="H3" s="903"/>
      <c r="I3" s="903"/>
      <c r="J3" s="903"/>
    </row>
    <row r="4" spans="1:18" x14ac:dyDescent="0.4">
      <c r="B4" s="894"/>
      <c r="C4" s="893" t="s">
        <v>6511</v>
      </c>
      <c r="D4" s="894"/>
      <c r="E4" s="894"/>
      <c r="F4" s="903"/>
      <c r="G4" s="903"/>
      <c r="H4" s="903"/>
      <c r="I4" s="903"/>
      <c r="J4" s="903"/>
      <c r="K4" s="894"/>
      <c r="L4" s="894"/>
      <c r="M4" s="894"/>
      <c r="N4" s="894"/>
      <c r="O4" s="894"/>
    </row>
    <row r="5" spans="1:18" x14ac:dyDescent="0.4">
      <c r="B5" s="894"/>
      <c r="C5" s="893" t="s">
        <v>6512</v>
      </c>
      <c r="D5" s="894"/>
      <c r="E5" s="894"/>
      <c r="F5" s="903"/>
      <c r="G5" s="903"/>
      <c r="H5" s="903"/>
      <c r="I5" s="903"/>
      <c r="J5" s="903"/>
      <c r="K5" s="894"/>
      <c r="L5" s="894"/>
      <c r="M5" s="894"/>
      <c r="N5" s="894"/>
      <c r="O5" s="894"/>
    </row>
    <row r="6" spans="1:18" ht="12.75" customHeight="1" x14ac:dyDescent="0.4">
      <c r="J6" s="896"/>
    </row>
    <row r="7" spans="1:18" x14ac:dyDescent="0.4">
      <c r="E7" s="904"/>
      <c r="F7" s="904"/>
      <c r="G7" s="904"/>
      <c r="H7" s="904"/>
      <c r="I7" s="904"/>
      <c r="J7" s="905"/>
    </row>
    <row r="8" spans="1:18" ht="12.75" customHeight="1" x14ac:dyDescent="0.4">
      <c r="C8" s="901" t="s">
        <v>23</v>
      </c>
      <c r="E8" s="906" t="s">
        <v>121</v>
      </c>
      <c r="F8" s="907"/>
      <c r="G8" s="907"/>
      <c r="H8" s="908"/>
      <c r="J8" s="896"/>
      <c r="K8" s="909"/>
      <c r="L8" s="910" t="s">
        <v>126</v>
      </c>
      <c r="M8" s="910"/>
      <c r="N8" s="910"/>
      <c r="O8" s="910"/>
      <c r="P8" s="909"/>
      <c r="Q8" s="909"/>
    </row>
    <row r="9" spans="1:18" x14ac:dyDescent="0.4">
      <c r="B9" s="900"/>
      <c r="E9" s="911" t="s">
        <v>6513</v>
      </c>
      <c r="F9" s="911" t="s">
        <v>6514</v>
      </c>
      <c r="G9" s="911" t="s">
        <v>6515</v>
      </c>
      <c r="H9" s="911" t="s">
        <v>6516</v>
      </c>
      <c r="I9" s="912"/>
      <c r="J9" s="897" t="s">
        <v>6517</v>
      </c>
      <c r="L9" s="911" t="s">
        <v>6513</v>
      </c>
      <c r="M9" s="911" t="s">
        <v>6514</v>
      </c>
      <c r="N9" s="911" t="s">
        <v>6515</v>
      </c>
      <c r="O9" s="911" t="s">
        <v>6516</v>
      </c>
    </row>
    <row r="10" spans="1:18" ht="11.2" customHeight="1" x14ac:dyDescent="0.4">
      <c r="E10" s="912"/>
      <c r="F10" s="912"/>
      <c r="G10" s="912"/>
      <c r="H10" s="912"/>
      <c r="I10" s="912"/>
      <c r="J10" s="912"/>
    </row>
    <row r="11" spans="1:18" x14ac:dyDescent="0.4">
      <c r="B11" s="895">
        <v>1</v>
      </c>
      <c r="C11" s="895" t="s">
        <v>4517</v>
      </c>
      <c r="E11" s="913">
        <v>140.91904761904766</v>
      </c>
      <c r="F11" s="913">
        <v>143.19682926829267</v>
      </c>
      <c r="G11" s="913">
        <v>142.24890624999998</v>
      </c>
      <c r="H11" s="913">
        <v>135.36210937499996</v>
      </c>
      <c r="I11" s="914"/>
      <c r="J11" s="915">
        <v>3.48</v>
      </c>
      <c r="L11" s="916">
        <f>$J11/E11</f>
        <v>2.4695029229885437E-2</v>
      </c>
      <c r="M11" s="916">
        <f t="shared" ref="M11:O17" si="0">$J11/F11</f>
        <v>2.430221407682075E-2</v>
      </c>
      <c r="N11" s="916">
        <f t="shared" si="0"/>
        <v>2.4464159983655413E-2</v>
      </c>
      <c r="O11" s="916">
        <f t="shared" si="0"/>
        <v>2.5708819226207488E-2</v>
      </c>
      <c r="R11" s="917"/>
    </row>
    <row r="12" spans="1:18" x14ac:dyDescent="0.4">
      <c r="B12" s="895">
        <f>B11+1</f>
        <v>2</v>
      </c>
      <c r="C12" s="895" t="s">
        <v>6444</v>
      </c>
      <c r="E12" s="913">
        <v>124.9942857142857</v>
      </c>
      <c r="F12" s="913">
        <v>125.88414634146339</v>
      </c>
      <c r="G12" s="913">
        <v>123.89484375000001</v>
      </c>
      <c r="H12" s="913">
        <v>120.34499999999994</v>
      </c>
      <c r="I12" s="918"/>
      <c r="J12" s="919">
        <v>2.56</v>
      </c>
      <c r="L12" s="916">
        <f t="shared" ref="L12:L17" si="1">$J12/E12</f>
        <v>2.0480936271372409E-2</v>
      </c>
      <c r="M12" s="916">
        <f t="shared" si="0"/>
        <v>2.0336158876241225E-2</v>
      </c>
      <c r="N12" s="916">
        <f t="shared" si="0"/>
        <v>2.0662683954512834E-2</v>
      </c>
      <c r="O12" s="916">
        <f t="shared" si="0"/>
        <v>2.1272175827828338E-2</v>
      </c>
      <c r="R12" s="917"/>
    </row>
    <row r="13" spans="1:18" x14ac:dyDescent="0.4">
      <c r="B13" s="895">
        <f t="shared" ref="B13:B17" si="2">B12+1</f>
        <v>3</v>
      </c>
      <c r="C13" s="895" t="s">
        <v>2887</v>
      </c>
      <c r="E13" s="913">
        <v>47.787142857142847</v>
      </c>
      <c r="F13" s="913">
        <v>48.057317073170722</v>
      </c>
      <c r="G13" s="913">
        <v>47.40312500000001</v>
      </c>
      <c r="H13" s="913">
        <v>46.531328125000016</v>
      </c>
      <c r="I13" s="898"/>
      <c r="J13" s="919">
        <v>1.8</v>
      </c>
      <c r="L13" s="916">
        <f t="shared" si="1"/>
        <v>3.7667035365160993E-2</v>
      </c>
      <c r="M13" s="916">
        <f t="shared" si="0"/>
        <v>3.7455274443626778E-2</v>
      </c>
      <c r="N13" s="916">
        <f t="shared" si="0"/>
        <v>3.7972180104159793E-2</v>
      </c>
      <c r="O13" s="916">
        <f t="shared" si="0"/>
        <v>3.8683615373379145E-2</v>
      </c>
      <c r="R13" s="917"/>
    </row>
    <row r="14" spans="1:18" x14ac:dyDescent="0.4">
      <c r="B14" s="895">
        <f t="shared" si="2"/>
        <v>4</v>
      </c>
      <c r="C14" s="895" t="s">
        <v>6491</v>
      </c>
      <c r="E14" s="913">
        <v>36.640476190476186</v>
      </c>
      <c r="F14" s="913">
        <v>36.594390243902438</v>
      </c>
      <c r="G14" s="913">
        <v>35.904062499999995</v>
      </c>
      <c r="H14" s="913">
        <v>33.906874999999999</v>
      </c>
      <c r="J14" s="919">
        <v>1.06</v>
      </c>
      <c r="L14" s="916">
        <f t="shared" si="1"/>
        <v>2.8929755019819356E-2</v>
      </c>
      <c r="M14" s="916">
        <f t="shared" si="0"/>
        <v>2.8966188340209417E-2</v>
      </c>
      <c r="N14" s="916">
        <f t="shared" si="0"/>
        <v>2.9523121513059983E-2</v>
      </c>
      <c r="O14" s="916">
        <f t="shared" si="0"/>
        <v>3.1262096551215646E-2</v>
      </c>
      <c r="R14" s="917"/>
    </row>
    <row r="15" spans="1:18" x14ac:dyDescent="0.4">
      <c r="B15" s="895">
        <f t="shared" si="2"/>
        <v>5</v>
      </c>
      <c r="C15" s="895" t="s">
        <v>2867</v>
      </c>
      <c r="E15" s="913">
        <v>40.968571428571423</v>
      </c>
      <c r="F15" s="913">
        <v>41.25658536585366</v>
      </c>
      <c r="G15" s="913">
        <v>40.788593750000011</v>
      </c>
      <c r="H15" s="913">
        <v>39.922265625000009</v>
      </c>
      <c r="J15" s="919">
        <v>1.96</v>
      </c>
      <c r="L15" s="916">
        <f t="shared" si="1"/>
        <v>4.7841551014715121E-2</v>
      </c>
      <c r="M15" s="916">
        <f t="shared" si="0"/>
        <v>4.7507567158531966E-2</v>
      </c>
      <c r="N15" s="916">
        <f t="shared" si="0"/>
        <v>4.8052649522882837E-2</v>
      </c>
      <c r="O15" s="916">
        <f t="shared" si="0"/>
        <v>4.9095410025342207E-2</v>
      </c>
      <c r="R15" s="917"/>
    </row>
    <row r="16" spans="1:18" x14ac:dyDescent="0.4">
      <c r="B16" s="895">
        <f t="shared" si="2"/>
        <v>6</v>
      </c>
      <c r="C16" s="895" t="s">
        <v>6464</v>
      </c>
      <c r="E16" s="913">
        <v>71.056666666666672</v>
      </c>
      <c r="F16" s="913">
        <v>73.007317073170753</v>
      </c>
      <c r="G16" s="913">
        <v>72.97765625000001</v>
      </c>
      <c r="H16" s="913">
        <v>70.876328125000001</v>
      </c>
      <c r="I16" s="912"/>
      <c r="J16" s="919">
        <v>2.64</v>
      </c>
      <c r="L16" s="916">
        <f t="shared" si="1"/>
        <v>3.71534456067927E-2</v>
      </c>
      <c r="M16" s="916">
        <f t="shared" si="0"/>
        <v>3.6160759028496969E-2</v>
      </c>
      <c r="N16" s="916">
        <f t="shared" si="0"/>
        <v>3.6175456100647242E-2</v>
      </c>
      <c r="O16" s="916">
        <f t="shared" si="0"/>
        <v>3.7247979259647915E-2</v>
      </c>
      <c r="R16" s="917"/>
    </row>
    <row r="17" spans="2:18" x14ac:dyDescent="0.4">
      <c r="B17" s="895">
        <f t="shared" si="2"/>
        <v>7</v>
      </c>
      <c r="C17" s="895" t="s">
        <v>6492</v>
      </c>
      <c r="E17" s="913">
        <v>68.487619047619063</v>
      </c>
      <c r="F17" s="913">
        <v>68.050975609756122</v>
      </c>
      <c r="G17" s="913">
        <v>67.006406250000012</v>
      </c>
      <c r="H17" s="913">
        <v>65.965156250000035</v>
      </c>
      <c r="I17" s="920"/>
      <c r="J17" s="921">
        <v>3.14</v>
      </c>
      <c r="L17" s="916">
        <f t="shared" si="1"/>
        <v>4.5847702747802858E-2</v>
      </c>
      <c r="M17" s="916">
        <f t="shared" si="0"/>
        <v>4.6141880727861809E-2</v>
      </c>
      <c r="N17" s="916">
        <f t="shared" si="0"/>
        <v>4.6861190977541788E-2</v>
      </c>
      <c r="O17" s="916">
        <f t="shared" si="0"/>
        <v>4.7600887779296337E-2</v>
      </c>
      <c r="R17" s="917"/>
    </row>
    <row r="18" spans="2:18" x14ac:dyDescent="0.4">
      <c r="E18" s="922"/>
      <c r="F18" s="922"/>
      <c r="G18" s="922"/>
      <c r="H18" s="922"/>
      <c r="I18" s="922"/>
      <c r="J18" s="922"/>
      <c r="K18" s="918"/>
      <c r="L18" s="918"/>
      <c r="M18" s="918"/>
      <c r="N18" s="918"/>
      <c r="O18" s="918"/>
    </row>
    <row r="19" spans="2:18" x14ac:dyDescent="0.4">
      <c r="C19" s="895" t="s">
        <v>6518</v>
      </c>
      <c r="E19" s="898"/>
      <c r="F19" s="898"/>
      <c r="G19" s="898"/>
      <c r="H19" s="898"/>
      <c r="I19" s="898"/>
      <c r="J19" s="898"/>
      <c r="L19" s="898">
        <f>AVERAGE(L11:L17)</f>
        <v>3.4659350750792697E-2</v>
      </c>
      <c r="M19" s="898">
        <f>AVERAGE(M11:M17)</f>
        <v>3.4410006093112698E-2</v>
      </c>
      <c r="N19" s="898">
        <f>AVERAGE(N11:N17)</f>
        <v>3.4815920308065698E-2</v>
      </c>
      <c r="O19" s="898">
        <f>AVERAGE(O11:O17)</f>
        <v>3.5838712006131014E-2</v>
      </c>
    </row>
    <row r="20" spans="2:18" x14ac:dyDescent="0.4">
      <c r="C20" s="895" t="s">
        <v>6519</v>
      </c>
      <c r="E20" s="898"/>
      <c r="F20" s="898"/>
      <c r="L20" s="898">
        <f>AVERAGE(L17,L16,L15,L14,L13,L11)</f>
        <v>3.7022419830696075E-2</v>
      </c>
      <c r="M20" s="898">
        <f>AVERAGE(M17,M16,M15,M14,M13,M11)</f>
        <v>3.6755647295924621E-2</v>
      </c>
      <c r="N20" s="898">
        <f>AVERAGE(N17,N16,N15,N14,N13,N11)</f>
        <v>3.7174793033657845E-2</v>
      </c>
      <c r="O20" s="898">
        <f>AVERAGE(O17,O16,O15,O14,O13,O11)</f>
        <v>3.8266468035848121E-2</v>
      </c>
    </row>
    <row r="21" spans="2:18" x14ac:dyDescent="0.4">
      <c r="B21" s="923"/>
    </row>
    <row r="22" spans="2:18" x14ac:dyDescent="0.4">
      <c r="B22" s="924"/>
      <c r="C22" s="895" t="s">
        <v>6494</v>
      </c>
      <c r="D22" s="895" t="s">
        <v>6520</v>
      </c>
      <c r="E22" s="912"/>
      <c r="F22" s="912"/>
      <c r="G22" s="912"/>
      <c r="H22" s="912"/>
      <c r="I22" s="912"/>
      <c r="J22" s="912"/>
    </row>
    <row r="23" spans="2:18" x14ac:dyDescent="0.4">
      <c r="B23" s="923"/>
      <c r="D23" s="895" t="s">
        <v>6521</v>
      </c>
      <c r="E23" s="912"/>
      <c r="F23" s="912"/>
      <c r="G23" s="912"/>
      <c r="H23" s="912"/>
      <c r="I23" s="912"/>
      <c r="J23" s="912"/>
    </row>
    <row r="24" spans="2:18" x14ac:dyDescent="0.4">
      <c r="B24" s="923"/>
      <c r="E24" s="920"/>
      <c r="F24" s="920"/>
      <c r="G24" s="914"/>
      <c r="H24" s="914"/>
      <c r="I24" s="914"/>
      <c r="J24" s="914"/>
    </row>
    <row r="25" spans="2:18" x14ac:dyDescent="0.4">
      <c r="B25" s="923"/>
      <c r="E25" s="918"/>
      <c r="F25" s="918"/>
      <c r="G25" s="918"/>
      <c r="H25" s="918"/>
      <c r="I25" s="918"/>
      <c r="J25" s="918"/>
    </row>
    <row r="26" spans="2:18" x14ac:dyDescent="0.4">
      <c r="B26" s="923"/>
      <c r="E26" s="898"/>
      <c r="F26" s="898"/>
      <c r="G26" s="898"/>
      <c r="H26" s="898"/>
      <c r="I26" s="898"/>
      <c r="J26" s="898"/>
    </row>
    <row r="27" spans="2:18" x14ac:dyDescent="0.4">
      <c r="B27" s="923"/>
      <c r="E27" s="898"/>
      <c r="F27" s="898"/>
    </row>
    <row r="28" spans="2:18" x14ac:dyDescent="0.4">
      <c r="B28" s="923"/>
    </row>
    <row r="29" spans="2:18" x14ac:dyDescent="0.4">
      <c r="B29" s="900"/>
      <c r="E29" s="912"/>
      <c r="F29" s="912"/>
      <c r="G29" s="912"/>
      <c r="H29" s="912"/>
      <c r="I29" s="912"/>
      <c r="J29" s="912"/>
    </row>
    <row r="30" spans="2:18" x14ac:dyDescent="0.4">
      <c r="E30" s="912"/>
      <c r="F30" s="912"/>
      <c r="G30" s="912"/>
      <c r="H30" s="912"/>
      <c r="I30" s="912"/>
      <c r="J30" s="912"/>
    </row>
    <row r="31" spans="2:18" x14ac:dyDescent="0.4">
      <c r="E31" s="914"/>
      <c r="F31" s="914"/>
      <c r="G31" s="914"/>
      <c r="H31" s="914"/>
      <c r="I31" s="914"/>
      <c r="J31" s="914"/>
    </row>
    <row r="32" spans="2:18" x14ac:dyDescent="0.4">
      <c r="E32" s="922"/>
      <c r="F32" s="922"/>
      <c r="G32" s="922"/>
      <c r="H32" s="922"/>
      <c r="I32" s="922"/>
      <c r="J32" s="922"/>
    </row>
    <row r="33" spans="2:10" x14ac:dyDescent="0.4">
      <c r="E33" s="898"/>
      <c r="F33" s="898"/>
      <c r="G33" s="898"/>
      <c r="H33" s="898"/>
      <c r="I33" s="898"/>
      <c r="J33" s="898"/>
    </row>
    <row r="34" spans="2:10" x14ac:dyDescent="0.4">
      <c r="E34" s="898"/>
      <c r="F34" s="898"/>
    </row>
    <row r="35" spans="2:10" x14ac:dyDescent="0.4">
      <c r="B35" s="923"/>
    </row>
    <row r="36" spans="2:10" x14ac:dyDescent="0.4">
      <c r="B36" s="924"/>
      <c r="E36" s="912"/>
      <c r="F36" s="912"/>
      <c r="G36" s="912"/>
      <c r="H36" s="912"/>
      <c r="I36" s="912"/>
      <c r="J36" s="912"/>
    </row>
    <row r="37" spans="2:10" x14ac:dyDescent="0.4">
      <c r="B37" s="923"/>
      <c r="E37" s="912"/>
      <c r="F37" s="912"/>
      <c r="G37" s="912"/>
      <c r="H37" s="912"/>
      <c r="I37" s="912"/>
      <c r="J37" s="912"/>
    </row>
    <row r="38" spans="2:10" x14ac:dyDescent="0.4">
      <c r="B38" s="923"/>
      <c r="E38" s="914"/>
      <c r="F38" s="914"/>
      <c r="G38" s="914"/>
      <c r="H38" s="914"/>
      <c r="I38" s="914"/>
      <c r="J38" s="914"/>
    </row>
    <row r="39" spans="2:10" x14ac:dyDescent="0.4">
      <c r="B39" s="923"/>
      <c r="E39" s="918"/>
      <c r="F39" s="918"/>
      <c r="G39" s="918"/>
      <c r="H39" s="918"/>
      <c r="I39" s="918"/>
      <c r="J39" s="918"/>
    </row>
    <row r="40" spans="2:10" x14ac:dyDescent="0.4">
      <c r="B40" s="923"/>
      <c r="E40" s="898"/>
      <c r="F40" s="898"/>
      <c r="G40" s="898"/>
      <c r="H40" s="898"/>
      <c r="I40" s="898"/>
      <c r="J40" s="898"/>
    </row>
    <row r="41" spans="2:10" x14ac:dyDescent="0.4">
      <c r="B41" s="923"/>
      <c r="E41" s="898"/>
      <c r="F41" s="898"/>
    </row>
    <row r="42" spans="2:10" x14ac:dyDescent="0.4">
      <c r="B42" s="923"/>
    </row>
    <row r="43" spans="2:10" x14ac:dyDescent="0.4">
      <c r="B43" s="924"/>
      <c r="E43" s="912"/>
      <c r="F43" s="912"/>
      <c r="G43" s="912"/>
      <c r="H43" s="912"/>
      <c r="I43" s="912"/>
      <c r="J43" s="912"/>
    </row>
    <row r="44" spans="2:10" x14ac:dyDescent="0.4">
      <c r="B44" s="923"/>
      <c r="E44" s="912"/>
      <c r="F44" s="912"/>
      <c r="G44" s="912"/>
      <c r="H44" s="912"/>
      <c r="I44" s="912"/>
      <c r="J44" s="912"/>
    </row>
    <row r="45" spans="2:10" x14ac:dyDescent="0.4">
      <c r="B45" s="923"/>
      <c r="E45" s="914"/>
      <c r="F45" s="914"/>
      <c r="G45" s="914"/>
      <c r="H45" s="914"/>
      <c r="I45" s="914"/>
      <c r="J45" s="914"/>
    </row>
    <row r="46" spans="2:10" x14ac:dyDescent="0.4">
      <c r="B46" s="923"/>
      <c r="E46" s="918"/>
      <c r="F46" s="918"/>
      <c r="G46" s="918"/>
      <c r="H46" s="918"/>
      <c r="I46" s="918"/>
      <c r="J46" s="918"/>
    </row>
    <row r="47" spans="2:10" x14ac:dyDescent="0.4">
      <c r="B47" s="923"/>
      <c r="E47" s="898"/>
      <c r="F47" s="898"/>
      <c r="G47" s="898"/>
      <c r="H47" s="898"/>
      <c r="I47" s="898"/>
      <c r="J47" s="898"/>
    </row>
    <row r="48" spans="2:10" x14ac:dyDescent="0.4">
      <c r="B48" s="923"/>
      <c r="E48" s="898"/>
      <c r="F48" s="898"/>
    </row>
    <row r="49" spans="2:11" x14ac:dyDescent="0.4">
      <c r="B49" s="923"/>
    </row>
    <row r="50" spans="2:11" x14ac:dyDescent="0.4">
      <c r="B50" s="924"/>
      <c r="E50" s="917"/>
      <c r="F50" s="917"/>
      <c r="G50" s="917"/>
      <c r="H50" s="912"/>
      <c r="I50" s="912"/>
      <c r="J50" s="912"/>
    </row>
    <row r="51" spans="2:11" x14ac:dyDescent="0.4">
      <c r="B51" s="923"/>
      <c r="E51" s="917"/>
      <c r="F51" s="917"/>
      <c r="G51" s="917"/>
      <c r="H51" s="912"/>
      <c r="I51" s="912"/>
      <c r="J51" s="912"/>
    </row>
    <row r="52" spans="2:11" x14ac:dyDescent="0.4">
      <c r="B52" s="923"/>
      <c r="E52" s="914"/>
      <c r="F52" s="914"/>
      <c r="G52" s="914"/>
      <c r="H52" s="914"/>
      <c r="I52" s="914"/>
      <c r="J52" s="914"/>
    </row>
    <row r="53" spans="2:11" x14ac:dyDescent="0.4">
      <c r="B53" s="923"/>
      <c r="E53" s="918"/>
      <c r="F53" s="918"/>
      <c r="G53" s="918"/>
      <c r="H53" s="918"/>
      <c r="I53" s="918"/>
      <c r="J53" s="918"/>
    </row>
    <row r="54" spans="2:11" x14ac:dyDescent="0.4">
      <c r="B54" s="923"/>
      <c r="E54" s="898"/>
      <c r="F54" s="898"/>
      <c r="G54" s="898"/>
      <c r="H54" s="898"/>
      <c r="I54" s="898"/>
      <c r="J54" s="898"/>
    </row>
    <row r="55" spans="2:11" x14ac:dyDescent="0.4">
      <c r="B55" s="923"/>
      <c r="E55" s="898"/>
      <c r="F55" s="898"/>
    </row>
    <row r="57" spans="2:11" x14ac:dyDescent="0.4">
      <c r="B57" s="900"/>
      <c r="E57" s="898"/>
      <c r="F57" s="898"/>
      <c r="G57" s="898"/>
      <c r="H57" s="898"/>
      <c r="I57" s="898"/>
      <c r="J57" s="898"/>
      <c r="K57" s="898"/>
    </row>
    <row r="58" spans="2:11" x14ac:dyDescent="0.4">
      <c r="B58" s="900"/>
      <c r="D58" s="899"/>
      <c r="E58" s="898"/>
    </row>
    <row r="59" spans="2:11" x14ac:dyDescent="0.4">
      <c r="B59" s="900"/>
      <c r="E59" s="898"/>
    </row>
    <row r="60" spans="2:11" x14ac:dyDescent="0.4">
      <c r="E60" s="898"/>
    </row>
    <row r="61" spans="2:11" x14ac:dyDescent="0.4">
      <c r="B61" s="900"/>
    </row>
  </sheetData>
  <printOptions horizontalCentered="1"/>
  <pageMargins left="0.25" right="0.25" top="0.75" bottom="0.75" header="0.3" footer="0.3"/>
  <pageSetup scale="91" orientation="portrait" r:id="rId1"/>
  <rowBreaks count="1" manualBreakCount="1">
    <brk id="4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26FA-5375-4EA6-BEB7-9066D4AC1863}">
  <sheetPr codeName="Sheet45"/>
  <dimension ref="A1:L106"/>
  <sheetViews>
    <sheetView zoomScaleNormal="100" zoomScalePageLayoutView="130" workbookViewId="0"/>
  </sheetViews>
  <sheetFormatPr defaultColWidth="8.7890625" defaultRowHeight="12.3" x14ac:dyDescent="0.4"/>
  <cols>
    <col min="1" max="1" width="4.15625" style="293" customWidth="1"/>
    <col min="2" max="2" width="13" style="293" customWidth="1"/>
    <col min="3" max="3" width="11.26171875" style="293" customWidth="1"/>
    <col min="4" max="4" width="8.7890625" style="293" customWidth="1"/>
    <col min="5" max="5" width="3.7890625" style="293" customWidth="1"/>
    <col min="6" max="6" width="14.7890625" style="293" customWidth="1"/>
    <col min="7" max="7" width="14.734375" style="293" customWidth="1"/>
    <col min="8" max="8" width="9.7890625" style="293" customWidth="1"/>
    <col min="9" max="9" width="11.734375" style="293" customWidth="1"/>
    <col min="10" max="10" width="10.47265625" style="293" customWidth="1"/>
    <col min="11" max="16384" width="8.7890625" style="293"/>
  </cols>
  <sheetData>
    <row r="1" spans="1:9" x14ac:dyDescent="0.4">
      <c r="I1" s="925"/>
    </row>
    <row r="2" spans="1:9" x14ac:dyDescent="0.4">
      <c r="I2" s="925"/>
    </row>
    <row r="3" spans="1:9" x14ac:dyDescent="0.4">
      <c r="A3" s="926" t="s">
        <v>6511</v>
      </c>
      <c r="B3" s="927"/>
      <c r="C3" s="927"/>
      <c r="D3" s="927"/>
      <c r="E3" s="927"/>
      <c r="F3" s="928"/>
      <c r="G3" s="928"/>
      <c r="H3" s="928"/>
      <c r="I3" s="927"/>
    </row>
    <row r="4" spans="1:9" x14ac:dyDescent="0.4">
      <c r="A4" s="926" t="s">
        <v>6554</v>
      </c>
      <c r="B4" s="927"/>
      <c r="C4" s="927"/>
      <c r="D4" s="927"/>
      <c r="E4" s="927"/>
      <c r="F4" s="927"/>
      <c r="G4" s="927"/>
      <c r="H4" s="927"/>
      <c r="I4" s="927"/>
    </row>
    <row r="5" spans="1:9" x14ac:dyDescent="0.4">
      <c r="A5" s="926"/>
      <c r="B5" s="927"/>
      <c r="C5" s="927"/>
      <c r="D5" s="927"/>
      <c r="E5" s="927"/>
      <c r="F5" s="927"/>
      <c r="G5" s="927"/>
      <c r="H5" s="927"/>
      <c r="I5" s="927"/>
    </row>
    <row r="6" spans="1:9" x14ac:dyDescent="0.4">
      <c r="A6" s="926" t="s">
        <v>6555</v>
      </c>
      <c r="B6" s="927"/>
      <c r="C6" s="927"/>
      <c r="D6" s="927"/>
      <c r="E6" s="927"/>
      <c r="F6" s="927"/>
      <c r="G6" s="927"/>
      <c r="H6" s="927"/>
      <c r="I6" s="927"/>
    </row>
    <row r="7" spans="1:9" ht="7" customHeight="1" x14ac:dyDescent="0.4"/>
    <row r="8" spans="1:9" x14ac:dyDescent="0.4">
      <c r="A8" s="815" t="s">
        <v>6556</v>
      </c>
      <c r="G8" s="815"/>
      <c r="H8" s="815"/>
    </row>
    <row r="9" spans="1:9" x14ac:dyDescent="0.4">
      <c r="A9" s="929" t="s">
        <v>6557</v>
      </c>
      <c r="B9" s="930"/>
      <c r="C9" s="930"/>
      <c r="D9" s="930"/>
      <c r="E9" s="930"/>
      <c r="F9" s="930"/>
      <c r="G9" s="929"/>
      <c r="I9" s="929" t="s">
        <v>77</v>
      </c>
    </row>
    <row r="10" spans="1:9" ht="7" customHeight="1" x14ac:dyDescent="0.4"/>
    <row r="11" spans="1:9" x14ac:dyDescent="0.4">
      <c r="A11" s="293">
        <v>1</v>
      </c>
      <c r="B11" s="293" t="s">
        <v>6558</v>
      </c>
      <c r="I11" s="931">
        <f>D53</f>
        <v>0.11834199677184941</v>
      </c>
    </row>
    <row r="12" spans="1:9" x14ac:dyDescent="0.4">
      <c r="G12" s="931"/>
      <c r="I12" s="931"/>
    </row>
    <row r="13" spans="1:9" x14ac:dyDescent="0.4">
      <c r="A13" s="293">
        <v>2</v>
      </c>
      <c r="B13" s="293" t="s">
        <v>6559</v>
      </c>
      <c r="G13" s="931"/>
      <c r="I13" s="931">
        <f>D39</f>
        <v>4.58E-2</v>
      </c>
    </row>
    <row r="14" spans="1:9" x14ac:dyDescent="0.4">
      <c r="G14" s="931"/>
      <c r="I14" s="931"/>
    </row>
    <row r="15" spans="1:9" x14ac:dyDescent="0.4">
      <c r="A15" s="293">
        <f>A13+1</f>
        <v>3</v>
      </c>
      <c r="B15" s="932" t="s">
        <v>6560</v>
      </c>
      <c r="G15" s="931"/>
      <c r="I15" s="931"/>
    </row>
    <row r="16" spans="1:9" x14ac:dyDescent="0.4">
      <c r="A16" s="293">
        <f>A15+1</f>
        <v>4</v>
      </c>
      <c r="C16" s="293" t="s">
        <v>6561</v>
      </c>
      <c r="G16" s="931"/>
      <c r="I16" s="931">
        <f>I11-I13</f>
        <v>7.2541996771849415E-2</v>
      </c>
    </row>
    <row r="17" spans="1:9" x14ac:dyDescent="0.4">
      <c r="B17" s="932"/>
      <c r="G17" s="931"/>
      <c r="I17" s="931"/>
    </row>
    <row r="18" spans="1:9" x14ac:dyDescent="0.4">
      <c r="A18" s="293">
        <f>A16+1</f>
        <v>5</v>
      </c>
      <c r="B18" s="293" t="s">
        <v>6562</v>
      </c>
      <c r="G18" s="933"/>
      <c r="I18" s="933">
        <f>I44</f>
        <v>0.82844285714285726</v>
      </c>
    </row>
    <row r="19" spans="1:9" x14ac:dyDescent="0.4">
      <c r="B19" s="932"/>
      <c r="G19" s="931"/>
      <c r="I19" s="931"/>
    </row>
    <row r="20" spans="1:9" x14ac:dyDescent="0.4">
      <c r="A20" s="293">
        <f>A18+1</f>
        <v>6</v>
      </c>
      <c r="B20" s="293" t="s">
        <v>6563</v>
      </c>
      <c r="G20" s="931"/>
      <c r="I20" s="931"/>
    </row>
    <row r="21" spans="1:9" x14ac:dyDescent="0.4">
      <c r="A21" s="293">
        <f>A20+1</f>
        <v>7</v>
      </c>
      <c r="C21" s="293" t="s">
        <v>6564</v>
      </c>
      <c r="G21" s="931"/>
      <c r="I21" s="931">
        <f>I16*I18</f>
        <v>6.0096899068518859E-2</v>
      </c>
    </row>
    <row r="22" spans="1:9" x14ac:dyDescent="0.4">
      <c r="I22" s="931"/>
    </row>
    <row r="23" spans="1:9" x14ac:dyDescent="0.4">
      <c r="A23" s="293">
        <f>A21+1</f>
        <v>8</v>
      </c>
      <c r="B23" s="293" t="s">
        <v>6565</v>
      </c>
      <c r="I23" s="931"/>
    </row>
    <row r="24" spans="1:9" x14ac:dyDescent="0.4">
      <c r="A24" s="293">
        <f>A23+1</f>
        <v>9</v>
      </c>
      <c r="C24" s="293" t="s">
        <v>6566</v>
      </c>
      <c r="G24" s="931"/>
      <c r="I24" s="934">
        <f>I21+I13</f>
        <v>0.10589689906851886</v>
      </c>
    </row>
    <row r="25" spans="1:9" x14ac:dyDescent="0.4">
      <c r="G25" s="931"/>
      <c r="I25" s="934"/>
    </row>
    <row r="26" spans="1:9" x14ac:dyDescent="0.4">
      <c r="A26" s="293">
        <f>A24+1</f>
        <v>10</v>
      </c>
      <c r="B26" s="293" t="s">
        <v>6567</v>
      </c>
      <c r="G26" s="931"/>
      <c r="I26" s="934">
        <f>I21*0.75+I16*0.25+I13</f>
        <v>0.10900817349435149</v>
      </c>
    </row>
    <row r="27" spans="1:9" x14ac:dyDescent="0.4">
      <c r="A27" s="293">
        <f>A26+1</f>
        <v>11</v>
      </c>
      <c r="C27" s="293" t="s">
        <v>6566</v>
      </c>
      <c r="G27" s="931"/>
      <c r="I27" s="934"/>
    </row>
    <row r="28" spans="1:9" x14ac:dyDescent="0.4">
      <c r="G28" s="931"/>
      <c r="I28" s="931"/>
    </row>
    <row r="29" spans="1:9" x14ac:dyDescent="0.4">
      <c r="A29" s="926" t="s">
        <v>6568</v>
      </c>
      <c r="B29" s="927"/>
      <c r="C29" s="927"/>
      <c r="D29" s="927"/>
      <c r="E29" s="927"/>
      <c r="F29" s="927"/>
      <c r="G29" s="927"/>
      <c r="H29" s="927"/>
      <c r="I29" s="927"/>
    </row>
    <row r="30" spans="1:9" x14ac:dyDescent="0.4">
      <c r="A30" s="926"/>
      <c r="F30" s="935"/>
      <c r="G30" s="927"/>
      <c r="I30" s="815" t="s">
        <v>6569</v>
      </c>
    </row>
    <row r="31" spans="1:9" x14ac:dyDescent="0.4">
      <c r="A31" s="926"/>
      <c r="B31" s="930" t="s">
        <v>6570</v>
      </c>
      <c r="C31" s="930"/>
      <c r="D31" s="930"/>
      <c r="E31" s="930"/>
      <c r="F31" s="930" t="s">
        <v>6571</v>
      </c>
      <c r="H31" s="929" t="s">
        <v>6488</v>
      </c>
      <c r="I31" s="929" t="s">
        <v>6556</v>
      </c>
    </row>
    <row r="32" spans="1:9" x14ac:dyDescent="0.4">
      <c r="A32" s="926"/>
      <c r="I32" s="933"/>
    </row>
    <row r="33" spans="1:12" x14ac:dyDescent="0.4">
      <c r="A33" s="926"/>
      <c r="D33" s="929" t="s">
        <v>6572</v>
      </c>
      <c r="E33" s="936"/>
      <c r="F33" s="935" t="s">
        <v>4517</v>
      </c>
      <c r="H33" s="937">
        <f>L33</f>
        <v>0.80570000000000008</v>
      </c>
      <c r="I33" s="938">
        <v>0.9</v>
      </c>
      <c r="K33" s="937">
        <v>0.71</v>
      </c>
      <c r="L33" s="939">
        <f>(0.67*K33)+0.33</f>
        <v>0.80570000000000008</v>
      </c>
    </row>
    <row r="34" spans="1:12" x14ac:dyDescent="0.4">
      <c r="A34" s="926"/>
      <c r="B34" s="940">
        <v>45474</v>
      </c>
      <c r="D34" s="931">
        <v>4.4600000000000001E-2</v>
      </c>
      <c r="E34" s="931"/>
      <c r="F34" s="935" t="s">
        <v>6444</v>
      </c>
      <c r="H34" s="937">
        <f t="shared" ref="H34:H38" si="0">L34</f>
        <v>0.7722</v>
      </c>
      <c r="I34" s="938">
        <v>0.85</v>
      </c>
      <c r="K34" s="937">
        <v>0.66</v>
      </c>
      <c r="L34" s="939">
        <f t="shared" ref="L34:L38" si="1">(0.67*K34)+0.33</f>
        <v>0.7722</v>
      </c>
    </row>
    <row r="35" spans="1:12" x14ac:dyDescent="0.4">
      <c r="A35" s="926"/>
      <c r="B35" s="940">
        <v>45505</v>
      </c>
      <c r="D35" s="931">
        <v>4.1500000000000002E-2</v>
      </c>
      <c r="E35" s="941"/>
      <c r="F35" s="935" t="s">
        <v>2887</v>
      </c>
      <c r="H35" s="937">
        <f t="shared" si="0"/>
        <v>0.7722</v>
      </c>
      <c r="I35" s="938">
        <v>1</v>
      </c>
      <c r="K35" s="937">
        <v>0.66</v>
      </c>
      <c r="L35" s="939">
        <f t="shared" si="1"/>
        <v>0.7722</v>
      </c>
    </row>
    <row r="36" spans="1:12" x14ac:dyDescent="0.4">
      <c r="A36" s="926"/>
      <c r="B36" s="940">
        <v>45536</v>
      </c>
      <c r="D36" s="931">
        <v>4.0399999999999998E-2</v>
      </c>
      <c r="E36" s="941"/>
      <c r="F36" s="935" t="s">
        <v>6491</v>
      </c>
      <c r="H36" s="937">
        <f t="shared" si="0"/>
        <v>0.68510000000000004</v>
      </c>
      <c r="I36" s="938">
        <v>0.95</v>
      </c>
      <c r="K36" s="937">
        <v>0.53</v>
      </c>
      <c r="L36" s="939">
        <f t="shared" si="1"/>
        <v>0.68510000000000004</v>
      </c>
    </row>
    <row r="37" spans="1:12" x14ac:dyDescent="0.4">
      <c r="A37" s="926"/>
      <c r="B37" s="940">
        <v>45566</v>
      </c>
      <c r="D37" s="931">
        <v>4.3799999999999999E-2</v>
      </c>
      <c r="E37" s="941"/>
      <c r="F37" s="935" t="s">
        <v>2867</v>
      </c>
      <c r="H37" s="937">
        <f t="shared" si="0"/>
        <v>0.73870000000000002</v>
      </c>
      <c r="I37" s="938">
        <v>0.85</v>
      </c>
      <c r="K37" s="937">
        <v>0.61</v>
      </c>
      <c r="L37" s="939">
        <f t="shared" si="1"/>
        <v>0.73870000000000002</v>
      </c>
    </row>
    <row r="38" spans="1:12" x14ac:dyDescent="0.4">
      <c r="A38" s="926"/>
      <c r="B38" s="940">
        <v>45597</v>
      </c>
      <c r="D38" s="931">
        <v>4.5400000000000003E-2</v>
      </c>
      <c r="E38" s="941"/>
      <c r="F38" s="935" t="s">
        <v>6464</v>
      </c>
      <c r="H38" s="937">
        <f t="shared" si="0"/>
        <v>0.79899999999999993</v>
      </c>
      <c r="I38" s="938">
        <v>0.85</v>
      </c>
      <c r="K38" s="937">
        <v>0.7</v>
      </c>
      <c r="L38" s="939">
        <f t="shared" si="1"/>
        <v>0.79899999999999993</v>
      </c>
    </row>
    <row r="39" spans="1:12" x14ac:dyDescent="0.4">
      <c r="B39" s="940">
        <v>45627</v>
      </c>
      <c r="D39" s="941">
        <v>4.58E-2</v>
      </c>
      <c r="E39" s="941"/>
      <c r="F39" s="935" t="s">
        <v>6492</v>
      </c>
      <c r="H39" s="942">
        <f>L39</f>
        <v>0.72530000000000006</v>
      </c>
      <c r="I39" s="943">
        <v>0.9</v>
      </c>
      <c r="K39" s="942">
        <v>0.59</v>
      </c>
      <c r="L39" s="939">
        <f>(0.67*K39)+0.33</f>
        <v>0.72530000000000006</v>
      </c>
    </row>
    <row r="40" spans="1:12" x14ac:dyDescent="0.4">
      <c r="B40" s="293" t="s">
        <v>6573</v>
      </c>
      <c r="D40" s="931">
        <f>AVERAGE(D34:D39)</f>
        <v>4.3583333333333335E-2</v>
      </c>
      <c r="E40" s="931"/>
    </row>
    <row r="41" spans="1:12" x14ac:dyDescent="0.4">
      <c r="D41" s="931"/>
      <c r="E41" s="931"/>
      <c r="F41" s="935" t="s">
        <v>1082</v>
      </c>
      <c r="H41" s="938">
        <f>AVERAGE(H33:H39)</f>
        <v>0.75688571428571438</v>
      </c>
      <c r="I41" s="938">
        <f>AVERAGE(I33:I39)</f>
        <v>0.9</v>
      </c>
    </row>
    <row r="42" spans="1:12" x14ac:dyDescent="0.4">
      <c r="B42" s="293" t="s">
        <v>6574</v>
      </c>
      <c r="F42" s="293" t="s">
        <v>6575</v>
      </c>
      <c r="H42" s="937">
        <f>AVERAGE(H39,H38,H37,H36,H35,H33)</f>
        <v>0.7543333333333333</v>
      </c>
      <c r="I42" s="937">
        <f>AVERAGE(I39,I38,I37,I36,I35,I33)</f>
        <v>0.90833333333333333</v>
      </c>
    </row>
    <row r="44" spans="1:12" x14ac:dyDescent="0.4">
      <c r="B44" s="930" t="s">
        <v>6576</v>
      </c>
      <c r="F44" s="293" t="s">
        <v>6577</v>
      </c>
      <c r="I44" s="938">
        <f>AVERAGE(I41,H41)</f>
        <v>0.82844285714285726</v>
      </c>
    </row>
    <row r="45" spans="1:12" x14ac:dyDescent="0.4">
      <c r="F45" s="293" t="s">
        <v>6578</v>
      </c>
      <c r="I45" s="937">
        <f>AVERAGE(I42,H42)</f>
        <v>0.83133333333333326</v>
      </c>
    </row>
    <row r="46" spans="1:12" x14ac:dyDescent="0.4">
      <c r="B46" s="293" t="s">
        <v>6579</v>
      </c>
      <c r="D46" s="944">
        <v>2.1000000000000001E-2</v>
      </c>
      <c r="I46" s="938"/>
    </row>
    <row r="47" spans="1:12" x14ac:dyDescent="0.4">
      <c r="D47" s="945"/>
      <c r="E47" s="931"/>
      <c r="F47" s="935" t="s">
        <v>6580</v>
      </c>
    </row>
    <row r="48" spans="1:12" x14ac:dyDescent="0.4">
      <c r="B48" s="946" t="s">
        <v>6581</v>
      </c>
      <c r="D48" s="945">
        <v>0.45</v>
      </c>
      <c r="E48" s="931"/>
    </row>
    <row r="49" spans="1:10" x14ac:dyDescent="0.4">
      <c r="E49" s="941"/>
    </row>
    <row r="50" spans="1:10" x14ac:dyDescent="0.4">
      <c r="B50" s="293" t="s">
        <v>6582</v>
      </c>
      <c r="D50" s="941"/>
      <c r="E50" s="941"/>
      <c r="F50" s="935"/>
      <c r="I50" s="937"/>
    </row>
    <row r="51" spans="1:10" x14ac:dyDescent="0.4">
      <c r="B51" s="293" t="s">
        <v>6583</v>
      </c>
      <c r="D51" s="944">
        <f>((1+D48)^0.25)-1</f>
        <v>9.7341996771849404E-2</v>
      </c>
      <c r="E51" s="931"/>
      <c r="F51" s="935"/>
      <c r="I51" s="937"/>
    </row>
    <row r="52" spans="1:10" x14ac:dyDescent="0.4">
      <c r="E52" s="931"/>
      <c r="F52" s="935"/>
      <c r="I52" s="938"/>
    </row>
    <row r="53" spans="1:10" x14ac:dyDescent="0.4">
      <c r="B53" s="293" t="s">
        <v>6584</v>
      </c>
      <c r="D53" s="931">
        <f>D51+D46</f>
        <v>0.11834199677184941</v>
      </c>
      <c r="E53" s="931"/>
      <c r="F53" s="935"/>
      <c r="I53" s="938"/>
    </row>
    <row r="54" spans="1:10" x14ac:dyDescent="0.4">
      <c r="E54" s="931"/>
      <c r="F54" s="935"/>
      <c r="I54" s="938"/>
    </row>
    <row r="55" spans="1:10" x14ac:dyDescent="0.4">
      <c r="B55" s="947" t="s">
        <v>6585</v>
      </c>
      <c r="D55" s="933"/>
      <c r="E55" s="931"/>
      <c r="F55" s="935"/>
      <c r="I55" s="938"/>
    </row>
    <row r="56" spans="1:10" x14ac:dyDescent="0.4">
      <c r="B56" s="947" t="s">
        <v>6586</v>
      </c>
      <c r="D56" s="933"/>
      <c r="E56" s="931"/>
    </row>
    <row r="57" spans="1:10" x14ac:dyDescent="0.4">
      <c r="D57" s="933"/>
      <c r="E57" s="931"/>
    </row>
    <row r="58" spans="1:10" x14ac:dyDescent="0.4">
      <c r="I58" s="931"/>
    </row>
    <row r="59" spans="1:10" x14ac:dyDescent="0.4">
      <c r="B59" s="926" t="s">
        <v>6511</v>
      </c>
      <c r="C59" s="927"/>
      <c r="D59" s="927"/>
      <c r="E59" s="927"/>
      <c r="F59" s="927"/>
      <c r="G59" s="927"/>
      <c r="H59" s="927"/>
      <c r="I59" s="927"/>
      <c r="J59" s="927"/>
    </row>
    <row r="60" spans="1:10" x14ac:dyDescent="0.4">
      <c r="B60" s="926" t="s">
        <v>6554</v>
      </c>
      <c r="C60" s="927"/>
      <c r="D60" s="927"/>
      <c r="E60" s="927"/>
      <c r="F60" s="927"/>
      <c r="G60" s="927"/>
      <c r="H60" s="927"/>
      <c r="I60" s="927"/>
      <c r="J60" s="927"/>
    </row>
    <row r="61" spans="1:10" x14ac:dyDescent="0.4">
      <c r="B61" s="926" t="s">
        <v>6587</v>
      </c>
      <c r="C61" s="927"/>
      <c r="D61" s="927"/>
      <c r="E61" s="927"/>
      <c r="F61" s="927"/>
      <c r="G61" s="927"/>
      <c r="H61" s="927"/>
      <c r="I61" s="927"/>
      <c r="J61" s="927"/>
    </row>
    <row r="62" spans="1:10" x14ac:dyDescent="0.4">
      <c r="A62" s="927"/>
    </row>
    <row r="63" spans="1:10" x14ac:dyDescent="0.4">
      <c r="H63" s="815" t="s">
        <v>6588</v>
      </c>
      <c r="I63" s="815" t="s">
        <v>6589</v>
      </c>
    </row>
    <row r="64" spans="1:10" x14ac:dyDescent="0.4">
      <c r="G64" s="815" t="s">
        <v>6529</v>
      </c>
      <c r="H64" s="815" t="s">
        <v>6590</v>
      </c>
      <c r="I64" s="815" t="s">
        <v>6591</v>
      </c>
    </row>
    <row r="65" spans="2:12" x14ac:dyDescent="0.4">
      <c r="G65" s="948" t="s">
        <v>1151</v>
      </c>
      <c r="H65" s="948" t="s">
        <v>6592</v>
      </c>
      <c r="I65" s="948" t="s">
        <v>6593</v>
      </c>
    </row>
    <row r="66" spans="2:12" x14ac:dyDescent="0.4">
      <c r="G66" s="815"/>
      <c r="H66" s="815"/>
    </row>
    <row r="68" spans="2:12" x14ac:dyDescent="0.4">
      <c r="B68" s="293" t="s">
        <v>6535</v>
      </c>
      <c r="G68" s="949">
        <v>0.12039999999999999</v>
      </c>
    </row>
    <row r="69" spans="2:12" x14ac:dyDescent="0.4">
      <c r="G69" s="949"/>
    </row>
    <row r="70" spans="2:12" x14ac:dyDescent="0.4">
      <c r="B70" s="293" t="s">
        <v>6594</v>
      </c>
      <c r="G70" s="950">
        <v>4.87E-2</v>
      </c>
    </row>
    <row r="71" spans="2:12" x14ac:dyDescent="0.4">
      <c r="G71" s="949"/>
    </row>
    <row r="72" spans="2:12" ht="14.4" x14ac:dyDescent="0.55000000000000004">
      <c r="B72" s="293" t="s">
        <v>6542</v>
      </c>
      <c r="G72" s="949">
        <f>G68-G70</f>
        <v>7.1699999999999986E-2</v>
      </c>
      <c r="H72" s="951">
        <v>6.2199999999999998E-2</v>
      </c>
      <c r="I72" s="952">
        <v>5.2400000000000002E-2</v>
      </c>
    </row>
    <row r="74" spans="2:12" ht="14.2" customHeight="1" x14ac:dyDescent="0.4">
      <c r="B74" s="293" t="s">
        <v>6543</v>
      </c>
      <c r="G74" s="942">
        <f>I44</f>
        <v>0.82844285714285726</v>
      </c>
      <c r="H74" s="942">
        <f>G74</f>
        <v>0.82844285714285726</v>
      </c>
      <c r="I74" s="942">
        <f>H74</f>
        <v>0.82844285714285726</v>
      </c>
    </row>
    <row r="76" spans="2:12" x14ac:dyDescent="0.4">
      <c r="B76" s="293" t="s">
        <v>6539</v>
      </c>
      <c r="G76" s="949">
        <f>G74*G72</f>
        <v>5.9399352857142852E-2</v>
      </c>
      <c r="H76" s="953">
        <f>H74*H72</f>
        <v>5.1529145714285719E-2</v>
      </c>
      <c r="I76" s="953">
        <f>I74*I72</f>
        <v>4.341040571428572E-2</v>
      </c>
    </row>
    <row r="78" spans="2:12" x14ac:dyDescent="0.4">
      <c r="B78" s="293" t="s">
        <v>6595</v>
      </c>
      <c r="G78" s="941">
        <f>I13</f>
        <v>4.58E-2</v>
      </c>
      <c r="H78" s="941">
        <f>G78</f>
        <v>4.58E-2</v>
      </c>
      <c r="I78" s="941">
        <f>H78</f>
        <v>4.58E-2</v>
      </c>
    </row>
    <row r="80" spans="2:12" x14ac:dyDescent="0.4">
      <c r="B80" s="954" t="s">
        <v>6596</v>
      </c>
      <c r="C80" s="954"/>
      <c r="D80" s="954"/>
      <c r="E80" s="954"/>
      <c r="F80" s="954"/>
      <c r="G80" s="934">
        <f>G78+G76</f>
        <v>0.10519935285714285</v>
      </c>
      <c r="H80" s="934">
        <f>H78+H76</f>
        <v>9.732914571428572E-2</v>
      </c>
      <c r="I80" s="934">
        <f>I78+I76</f>
        <v>8.921040571428572E-2</v>
      </c>
      <c r="L80" s="931"/>
    </row>
    <row r="81" spans="2:10" x14ac:dyDescent="0.4">
      <c r="H81" s="949"/>
    </row>
    <row r="82" spans="2:10" x14ac:dyDescent="0.4">
      <c r="B82" s="954"/>
      <c r="H82" s="926"/>
      <c r="I82" s="955"/>
      <c r="J82" s="926"/>
    </row>
    <row r="83" spans="2:10" x14ac:dyDescent="0.4">
      <c r="H83" s="949"/>
    </row>
    <row r="84" spans="2:10" x14ac:dyDescent="0.4">
      <c r="B84" s="293" t="s">
        <v>6597</v>
      </c>
      <c r="C84" s="293" t="s">
        <v>6598</v>
      </c>
      <c r="H84" s="949"/>
      <c r="J84" s="949"/>
    </row>
    <row r="85" spans="2:10" x14ac:dyDescent="0.4">
      <c r="H85" s="949"/>
    </row>
    <row r="86" spans="2:10" ht="12.6" x14ac:dyDescent="0.45">
      <c r="C86" s="956"/>
      <c r="H86" s="957"/>
      <c r="J86" s="957"/>
    </row>
    <row r="87" spans="2:10" ht="12.6" x14ac:dyDescent="0.45">
      <c r="C87" s="956"/>
      <c r="H87" s="949"/>
    </row>
    <row r="88" spans="2:10" x14ac:dyDescent="0.4">
      <c r="H88" s="949"/>
      <c r="J88" s="949"/>
    </row>
    <row r="90" spans="2:10" ht="14.4" x14ac:dyDescent="0.55000000000000004">
      <c r="B90" s="926" t="s">
        <v>6511</v>
      </c>
      <c r="C90" s="927"/>
      <c r="D90" s="927"/>
      <c r="E90" s="927"/>
      <c r="F90" s="927"/>
      <c r="G90" s="927"/>
      <c r="H90" s="927"/>
      <c r="I90" s="927"/>
      <c r="J90" s="958"/>
    </row>
    <row r="91" spans="2:10" x14ac:dyDescent="0.4">
      <c r="B91" s="926" t="s">
        <v>6554</v>
      </c>
      <c r="C91" s="927"/>
      <c r="D91" s="927"/>
      <c r="E91" s="927"/>
      <c r="F91" s="927"/>
      <c r="G91" s="927"/>
      <c r="H91" s="927"/>
      <c r="I91" s="927"/>
    </row>
    <row r="92" spans="2:10" x14ac:dyDescent="0.4">
      <c r="B92" s="926" t="s">
        <v>6599</v>
      </c>
      <c r="C92" s="927"/>
      <c r="D92" s="927"/>
      <c r="E92" s="927"/>
      <c r="F92" s="927"/>
      <c r="G92" s="927"/>
      <c r="H92" s="927"/>
      <c r="I92" s="927"/>
      <c r="J92" s="959"/>
    </row>
    <row r="93" spans="2:10" x14ac:dyDescent="0.4">
      <c r="I93" s="815" t="s">
        <v>6600</v>
      </c>
    </row>
    <row r="94" spans="2:10" x14ac:dyDescent="0.4">
      <c r="F94" s="960" t="s">
        <v>6601</v>
      </c>
      <c r="G94" s="948" t="s">
        <v>6602</v>
      </c>
      <c r="H94" s="948" t="s">
        <v>6526</v>
      </c>
      <c r="I94" s="948" t="s">
        <v>6603</v>
      </c>
      <c r="J94" s="815"/>
    </row>
    <row r="96" spans="2:10" ht="14.4" x14ac:dyDescent="0.55000000000000004">
      <c r="B96" s="293" t="s">
        <v>6537</v>
      </c>
      <c r="F96" s="952">
        <v>5.5E-2</v>
      </c>
      <c r="G96" s="952">
        <v>0.05</v>
      </c>
      <c r="H96" s="952">
        <v>0.05</v>
      </c>
      <c r="I96" s="952">
        <f>AVERAGE(0.04,0.0433,0.0615,0.0415,0.0381)</f>
        <v>4.4879999999999996E-2</v>
      </c>
      <c r="J96" s="952"/>
    </row>
    <row r="98" spans="2:11" x14ac:dyDescent="0.4">
      <c r="B98" s="293" t="s">
        <v>6604</v>
      </c>
      <c r="F98" s="937">
        <f>G98</f>
        <v>0.82844285714285726</v>
      </c>
      <c r="G98" s="937">
        <f>H98</f>
        <v>0.82844285714285726</v>
      </c>
      <c r="H98" s="937">
        <f>G74</f>
        <v>0.82844285714285726</v>
      </c>
      <c r="I98" s="937">
        <f>H98</f>
        <v>0.82844285714285726</v>
      </c>
      <c r="J98" s="937"/>
    </row>
    <row r="100" spans="2:11" ht="14.4" x14ac:dyDescent="0.55000000000000004">
      <c r="B100" s="293" t="s">
        <v>6605</v>
      </c>
      <c r="F100" s="952">
        <f>F98*F96</f>
        <v>4.5564357142857149E-2</v>
      </c>
      <c r="G100" s="952">
        <f>G98*G96</f>
        <v>4.1422142857142866E-2</v>
      </c>
      <c r="H100" s="952">
        <f>H98*H96</f>
        <v>4.1422142857142866E-2</v>
      </c>
      <c r="I100" s="952">
        <f>I98*I96</f>
        <v>3.7180515428571433E-2</v>
      </c>
      <c r="J100" s="952"/>
    </row>
    <row r="102" spans="2:11" x14ac:dyDescent="0.4">
      <c r="B102" s="293" t="s">
        <v>6595</v>
      </c>
      <c r="F102" s="941">
        <f>I13</f>
        <v>4.58E-2</v>
      </c>
      <c r="G102" s="941">
        <f>F102</f>
        <v>4.58E-2</v>
      </c>
      <c r="H102" s="941">
        <f>G102</f>
        <v>4.58E-2</v>
      </c>
      <c r="I102" s="941">
        <f>H102</f>
        <v>4.58E-2</v>
      </c>
      <c r="J102" s="941"/>
    </row>
    <row r="104" spans="2:11" x14ac:dyDescent="0.4">
      <c r="B104" s="954" t="s">
        <v>6540</v>
      </c>
      <c r="C104" s="954"/>
      <c r="D104" s="954"/>
      <c r="E104" s="954"/>
      <c r="F104" s="934">
        <f>F102+F100</f>
        <v>9.136435714285715E-2</v>
      </c>
      <c r="G104" s="934">
        <f>G102+G100</f>
        <v>8.7222142857142859E-2</v>
      </c>
      <c r="H104" s="934">
        <f>H102+H100</f>
        <v>8.7222142857142859E-2</v>
      </c>
      <c r="I104" s="934">
        <f>I102+I100</f>
        <v>8.2980515428571433E-2</v>
      </c>
      <c r="J104" s="931"/>
    </row>
    <row r="106" spans="2:11" x14ac:dyDescent="0.4">
      <c r="I106" s="934"/>
      <c r="K106" s="931"/>
    </row>
  </sheetData>
  <printOptions horizontalCentered="1"/>
  <pageMargins left="0.47" right="0.36" top="0.75" bottom="0.5" header="0.5" footer="0.5"/>
  <pageSetup orientation="portrait" r:id="rId1"/>
  <rowBreaks count="2" manualBreakCount="2">
    <brk id="58" max="10" man="1"/>
    <brk id="89"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F45AF-CA4F-4837-99E7-F0BEC823F77E}">
  <sheetPr codeName="Sheet46"/>
  <dimension ref="A1:G11522"/>
  <sheetViews>
    <sheetView workbookViewId="0"/>
  </sheetViews>
  <sheetFormatPr defaultRowHeight="14.4" x14ac:dyDescent="0.55000000000000004"/>
  <cols>
    <col min="2" max="2" width="11.5234375" bestFit="1" customWidth="1"/>
    <col min="3" max="3" width="10.15625" customWidth="1"/>
    <col min="7" max="7" width="11.5234375" bestFit="1" customWidth="1"/>
  </cols>
  <sheetData>
    <row r="1" spans="1:7" x14ac:dyDescent="0.55000000000000004">
      <c r="B1" t="s">
        <v>5118</v>
      </c>
    </row>
    <row r="2" spans="1:7" x14ac:dyDescent="0.55000000000000004">
      <c r="B2" t="s">
        <v>120</v>
      </c>
      <c r="C2" t="s">
        <v>119</v>
      </c>
    </row>
    <row r="3" spans="1:7" x14ac:dyDescent="0.55000000000000004">
      <c r="A3">
        <f>YEAR(B3)</f>
        <v>2025</v>
      </c>
      <c r="B3" s="821">
        <v>45688</v>
      </c>
      <c r="C3">
        <v>4.83</v>
      </c>
      <c r="D3">
        <f>IF(C3&gt;4,1,0)</f>
        <v>1</v>
      </c>
      <c r="F3" s="823" t="s">
        <v>5119</v>
      </c>
      <c r="G3" s="824" t="s">
        <v>5120</v>
      </c>
    </row>
    <row r="4" spans="1:7" x14ac:dyDescent="0.55000000000000004">
      <c r="A4">
        <f t="shared" ref="A4:A67" si="0">YEAR(B4)</f>
        <v>2025</v>
      </c>
      <c r="B4" s="821">
        <v>45687</v>
      </c>
      <c r="C4">
        <v>4.76</v>
      </c>
      <c r="D4">
        <f t="shared" ref="D4:D67" si="1">IF(C4&gt;4,1,0)</f>
        <v>1</v>
      </c>
      <c r="F4">
        <v>2006</v>
      </c>
      <c r="G4">
        <f>SUMIF($A$3:$A$11522,F4,$D$3:$D$11522)</f>
        <v>250</v>
      </c>
    </row>
    <row r="5" spans="1:7" x14ac:dyDescent="0.55000000000000004">
      <c r="A5">
        <f t="shared" si="0"/>
        <v>2025</v>
      </c>
      <c r="B5" s="821">
        <v>45686</v>
      </c>
      <c r="C5">
        <v>4.79</v>
      </c>
      <c r="D5">
        <f t="shared" si="1"/>
        <v>1</v>
      </c>
      <c r="F5">
        <f>F4+1</f>
        <v>2007</v>
      </c>
      <c r="G5">
        <f t="shared" ref="G5:G23" si="2">SUMIF($A$3:$A$11522,F5,$D$3:$D$11522)</f>
        <v>251</v>
      </c>
    </row>
    <row r="6" spans="1:7" x14ac:dyDescent="0.55000000000000004">
      <c r="A6">
        <f t="shared" si="0"/>
        <v>2025</v>
      </c>
      <c r="B6" s="821">
        <v>45685</v>
      </c>
      <c r="C6">
        <v>4.78</v>
      </c>
      <c r="D6">
        <f t="shared" si="1"/>
        <v>1</v>
      </c>
      <c r="F6">
        <f t="shared" ref="F6:F23" si="3">F5+1</f>
        <v>2008</v>
      </c>
      <c r="G6">
        <f t="shared" si="2"/>
        <v>220</v>
      </c>
    </row>
    <row r="7" spans="1:7" x14ac:dyDescent="0.55000000000000004">
      <c r="A7">
        <f t="shared" si="0"/>
        <v>2025</v>
      </c>
      <c r="B7" s="821">
        <v>45684</v>
      </c>
      <c r="C7">
        <v>4.76</v>
      </c>
      <c r="D7">
        <f t="shared" si="1"/>
        <v>1</v>
      </c>
      <c r="F7">
        <f t="shared" si="3"/>
        <v>2009</v>
      </c>
      <c r="G7">
        <f t="shared" si="2"/>
        <v>168</v>
      </c>
    </row>
    <row r="8" spans="1:7" x14ac:dyDescent="0.55000000000000004">
      <c r="A8">
        <f t="shared" si="0"/>
        <v>2025</v>
      </c>
      <c r="B8" s="821">
        <v>45681</v>
      </c>
      <c r="C8">
        <v>4.8499999999999996</v>
      </c>
      <c r="D8">
        <f t="shared" si="1"/>
        <v>1</v>
      </c>
      <c r="F8">
        <f t="shared" si="3"/>
        <v>2010</v>
      </c>
      <c r="G8">
        <f t="shared" si="2"/>
        <v>180</v>
      </c>
    </row>
    <row r="9" spans="1:7" x14ac:dyDescent="0.55000000000000004">
      <c r="A9">
        <f t="shared" si="0"/>
        <v>2025</v>
      </c>
      <c r="B9" s="821">
        <v>45680</v>
      </c>
      <c r="C9">
        <v>4.87</v>
      </c>
      <c r="D9">
        <f t="shared" si="1"/>
        <v>1</v>
      </c>
      <c r="F9">
        <f t="shared" si="3"/>
        <v>2011</v>
      </c>
      <c r="G9">
        <f t="shared" si="2"/>
        <v>146</v>
      </c>
    </row>
    <row r="10" spans="1:7" x14ac:dyDescent="0.55000000000000004">
      <c r="A10">
        <f t="shared" si="0"/>
        <v>2025</v>
      </c>
      <c r="B10" s="821">
        <v>45679</v>
      </c>
      <c r="C10">
        <v>4.82</v>
      </c>
      <c r="D10">
        <f t="shared" si="1"/>
        <v>1</v>
      </c>
      <c r="F10">
        <f t="shared" si="3"/>
        <v>2012</v>
      </c>
      <c r="G10">
        <f t="shared" si="2"/>
        <v>0</v>
      </c>
    </row>
    <row r="11" spans="1:7" x14ac:dyDescent="0.55000000000000004">
      <c r="A11">
        <f t="shared" si="0"/>
        <v>2025</v>
      </c>
      <c r="B11" s="821">
        <v>45678</v>
      </c>
      <c r="C11">
        <v>4.8</v>
      </c>
      <c r="D11">
        <f t="shared" si="1"/>
        <v>1</v>
      </c>
      <c r="F11">
        <f t="shared" si="3"/>
        <v>2013</v>
      </c>
      <c r="G11">
        <f t="shared" si="2"/>
        <v>0</v>
      </c>
    </row>
    <row r="12" spans="1:7" x14ac:dyDescent="0.55000000000000004">
      <c r="A12">
        <f t="shared" si="0"/>
        <v>2025</v>
      </c>
      <c r="B12" s="821">
        <v>45674</v>
      </c>
      <c r="C12">
        <v>4.84</v>
      </c>
      <c r="D12">
        <f t="shared" si="1"/>
        <v>1</v>
      </c>
      <c r="F12">
        <f t="shared" si="3"/>
        <v>2014</v>
      </c>
      <c r="G12">
        <f t="shared" si="2"/>
        <v>0</v>
      </c>
    </row>
    <row r="13" spans="1:7" x14ac:dyDescent="0.55000000000000004">
      <c r="A13">
        <f t="shared" si="0"/>
        <v>2025</v>
      </c>
      <c r="B13" s="821">
        <v>45673</v>
      </c>
      <c r="C13">
        <v>4.84</v>
      </c>
      <c r="D13">
        <f t="shared" si="1"/>
        <v>1</v>
      </c>
      <c r="F13">
        <f t="shared" si="3"/>
        <v>2015</v>
      </c>
      <c r="G13">
        <f t="shared" si="2"/>
        <v>0</v>
      </c>
    </row>
    <row r="14" spans="1:7" x14ac:dyDescent="0.55000000000000004">
      <c r="A14">
        <f t="shared" si="0"/>
        <v>2025</v>
      </c>
      <c r="B14" s="821">
        <v>45672</v>
      </c>
      <c r="C14">
        <v>4.88</v>
      </c>
      <c r="D14">
        <f t="shared" si="1"/>
        <v>1</v>
      </c>
      <c r="F14">
        <f t="shared" si="3"/>
        <v>2016</v>
      </c>
      <c r="G14">
        <f t="shared" si="2"/>
        <v>0</v>
      </c>
    </row>
    <row r="15" spans="1:7" x14ac:dyDescent="0.55000000000000004">
      <c r="A15">
        <f t="shared" si="0"/>
        <v>2025</v>
      </c>
      <c r="B15" s="821">
        <v>45671</v>
      </c>
      <c r="C15">
        <v>4.9800000000000004</v>
      </c>
      <c r="D15">
        <f t="shared" si="1"/>
        <v>1</v>
      </c>
      <c r="F15">
        <f t="shared" si="3"/>
        <v>2017</v>
      </c>
      <c r="G15">
        <f t="shared" si="2"/>
        <v>0</v>
      </c>
    </row>
    <row r="16" spans="1:7" x14ac:dyDescent="0.55000000000000004">
      <c r="A16">
        <f t="shared" si="0"/>
        <v>2025</v>
      </c>
      <c r="B16" s="821">
        <v>45670</v>
      </c>
      <c r="C16">
        <v>4.97</v>
      </c>
      <c r="D16">
        <f t="shared" si="1"/>
        <v>1</v>
      </c>
      <c r="F16">
        <f t="shared" si="3"/>
        <v>2018</v>
      </c>
      <c r="G16">
        <f t="shared" si="2"/>
        <v>0</v>
      </c>
    </row>
    <row r="17" spans="1:7" x14ac:dyDescent="0.55000000000000004">
      <c r="A17">
        <f t="shared" si="0"/>
        <v>2025</v>
      </c>
      <c r="B17" s="821">
        <v>45667</v>
      </c>
      <c r="C17">
        <v>4.96</v>
      </c>
      <c r="D17">
        <f t="shared" si="1"/>
        <v>1</v>
      </c>
      <c r="F17">
        <f t="shared" si="3"/>
        <v>2019</v>
      </c>
      <c r="G17">
        <f t="shared" si="2"/>
        <v>0</v>
      </c>
    </row>
    <row r="18" spans="1:7" x14ac:dyDescent="0.55000000000000004">
      <c r="A18">
        <f t="shared" si="0"/>
        <v>2025</v>
      </c>
      <c r="B18" s="821">
        <v>45666</v>
      </c>
      <c r="C18">
        <v>4.92</v>
      </c>
      <c r="D18">
        <f t="shared" si="1"/>
        <v>1</v>
      </c>
      <c r="F18">
        <f t="shared" si="3"/>
        <v>2020</v>
      </c>
      <c r="G18">
        <f t="shared" si="2"/>
        <v>0</v>
      </c>
    </row>
    <row r="19" spans="1:7" x14ac:dyDescent="0.55000000000000004">
      <c r="A19">
        <f t="shared" si="0"/>
        <v>2025</v>
      </c>
      <c r="B19" s="821">
        <v>45665</v>
      </c>
      <c r="C19">
        <v>4.91</v>
      </c>
      <c r="D19">
        <f t="shared" si="1"/>
        <v>1</v>
      </c>
      <c r="F19">
        <f t="shared" si="3"/>
        <v>2021</v>
      </c>
      <c r="G19">
        <f t="shared" si="2"/>
        <v>0</v>
      </c>
    </row>
    <row r="20" spans="1:7" x14ac:dyDescent="0.55000000000000004">
      <c r="A20">
        <f t="shared" si="0"/>
        <v>2025</v>
      </c>
      <c r="B20" s="821">
        <v>45664</v>
      </c>
      <c r="C20">
        <v>4.91</v>
      </c>
      <c r="D20">
        <f t="shared" si="1"/>
        <v>1</v>
      </c>
      <c r="F20">
        <f t="shared" si="3"/>
        <v>2022</v>
      </c>
      <c r="G20">
        <f t="shared" si="2"/>
        <v>20</v>
      </c>
    </row>
    <row r="21" spans="1:7" x14ac:dyDescent="0.55000000000000004">
      <c r="A21">
        <f t="shared" si="0"/>
        <v>2025</v>
      </c>
      <c r="B21" s="821">
        <v>45663</v>
      </c>
      <c r="C21">
        <v>4.8499999999999996</v>
      </c>
      <c r="D21">
        <f t="shared" si="1"/>
        <v>1</v>
      </c>
      <c r="F21">
        <f t="shared" si="3"/>
        <v>2023</v>
      </c>
      <c r="G21">
        <f t="shared" si="2"/>
        <v>110</v>
      </c>
    </row>
    <row r="22" spans="1:7" x14ac:dyDescent="0.55000000000000004">
      <c r="A22">
        <f t="shared" si="0"/>
        <v>2025</v>
      </c>
      <c r="B22" s="821">
        <v>45660</v>
      </c>
      <c r="C22">
        <v>4.82</v>
      </c>
      <c r="D22">
        <f t="shared" si="1"/>
        <v>1</v>
      </c>
      <c r="F22">
        <f t="shared" si="3"/>
        <v>2024</v>
      </c>
      <c r="G22">
        <f t="shared" si="2"/>
        <v>243</v>
      </c>
    </row>
    <row r="23" spans="1:7" x14ac:dyDescent="0.55000000000000004">
      <c r="A23">
        <f t="shared" si="0"/>
        <v>2025</v>
      </c>
      <c r="B23" s="821">
        <v>45659</v>
      </c>
      <c r="C23">
        <v>4.79</v>
      </c>
      <c r="D23">
        <f t="shared" si="1"/>
        <v>1</v>
      </c>
      <c r="F23">
        <f t="shared" si="3"/>
        <v>2025</v>
      </c>
      <c r="G23">
        <f t="shared" si="2"/>
        <v>21</v>
      </c>
    </row>
    <row r="24" spans="1:7" x14ac:dyDescent="0.55000000000000004">
      <c r="A24">
        <f t="shared" si="0"/>
        <v>2024</v>
      </c>
      <c r="B24" s="821">
        <v>45657</v>
      </c>
      <c r="C24">
        <v>4.78</v>
      </c>
      <c r="D24">
        <f t="shared" si="1"/>
        <v>1</v>
      </c>
    </row>
    <row r="25" spans="1:7" x14ac:dyDescent="0.55000000000000004">
      <c r="A25">
        <f t="shared" si="0"/>
        <v>2024</v>
      </c>
      <c r="B25" s="821">
        <v>45656</v>
      </c>
      <c r="C25">
        <v>4.7699999999999996</v>
      </c>
      <c r="D25">
        <f t="shared" si="1"/>
        <v>1</v>
      </c>
    </row>
    <row r="26" spans="1:7" x14ac:dyDescent="0.55000000000000004">
      <c r="A26">
        <f t="shared" si="0"/>
        <v>2024</v>
      </c>
      <c r="B26" s="821">
        <v>45653</v>
      </c>
      <c r="C26">
        <v>4.82</v>
      </c>
      <c r="D26">
        <f t="shared" si="1"/>
        <v>1</v>
      </c>
    </row>
    <row r="27" spans="1:7" x14ac:dyDescent="0.55000000000000004">
      <c r="A27">
        <f t="shared" si="0"/>
        <v>2024</v>
      </c>
      <c r="B27" s="821">
        <v>45652</v>
      </c>
      <c r="C27">
        <v>4.76</v>
      </c>
      <c r="D27">
        <f t="shared" si="1"/>
        <v>1</v>
      </c>
    </row>
    <row r="28" spans="1:7" x14ac:dyDescent="0.55000000000000004">
      <c r="A28">
        <f t="shared" si="0"/>
        <v>2024</v>
      </c>
      <c r="B28" s="821">
        <v>45650</v>
      </c>
      <c r="C28">
        <v>4.76</v>
      </c>
      <c r="D28">
        <f t="shared" si="1"/>
        <v>1</v>
      </c>
    </row>
    <row r="29" spans="1:7" x14ac:dyDescent="0.55000000000000004">
      <c r="A29">
        <f t="shared" si="0"/>
        <v>2024</v>
      </c>
      <c r="B29" s="821">
        <v>45649</v>
      </c>
      <c r="C29">
        <v>4.78</v>
      </c>
      <c r="D29">
        <f t="shared" si="1"/>
        <v>1</v>
      </c>
    </row>
    <row r="30" spans="1:7" x14ac:dyDescent="0.55000000000000004">
      <c r="A30">
        <f t="shared" si="0"/>
        <v>2024</v>
      </c>
      <c r="B30" s="821">
        <v>45646</v>
      </c>
      <c r="C30">
        <v>4.72</v>
      </c>
      <c r="D30">
        <f t="shared" si="1"/>
        <v>1</v>
      </c>
    </row>
    <row r="31" spans="1:7" x14ac:dyDescent="0.55000000000000004">
      <c r="A31">
        <f t="shared" si="0"/>
        <v>2024</v>
      </c>
      <c r="B31" s="821">
        <v>45645</v>
      </c>
      <c r="C31">
        <v>4.74</v>
      </c>
      <c r="D31">
        <f t="shared" si="1"/>
        <v>1</v>
      </c>
    </row>
    <row r="32" spans="1:7" x14ac:dyDescent="0.55000000000000004">
      <c r="A32">
        <f t="shared" si="0"/>
        <v>2024</v>
      </c>
      <c r="B32" s="821">
        <v>45644</v>
      </c>
      <c r="C32">
        <v>4.6500000000000004</v>
      </c>
      <c r="D32">
        <f t="shared" si="1"/>
        <v>1</v>
      </c>
    </row>
    <row r="33" spans="1:4" x14ac:dyDescent="0.55000000000000004">
      <c r="A33">
        <f t="shared" si="0"/>
        <v>2024</v>
      </c>
      <c r="B33" s="821">
        <v>45643</v>
      </c>
      <c r="C33">
        <v>4.59</v>
      </c>
      <c r="D33">
        <f t="shared" si="1"/>
        <v>1</v>
      </c>
    </row>
    <row r="34" spans="1:4" x14ac:dyDescent="0.55000000000000004">
      <c r="A34">
        <f t="shared" si="0"/>
        <v>2024</v>
      </c>
      <c r="B34" s="821">
        <v>45642</v>
      </c>
      <c r="C34">
        <v>4.5999999999999996</v>
      </c>
      <c r="D34">
        <f t="shared" si="1"/>
        <v>1</v>
      </c>
    </row>
    <row r="35" spans="1:4" x14ac:dyDescent="0.55000000000000004">
      <c r="A35">
        <f t="shared" si="0"/>
        <v>2024</v>
      </c>
      <c r="B35" s="821">
        <v>45639</v>
      </c>
      <c r="C35">
        <v>4.6100000000000003</v>
      </c>
      <c r="D35">
        <f t="shared" si="1"/>
        <v>1</v>
      </c>
    </row>
    <row r="36" spans="1:4" x14ac:dyDescent="0.55000000000000004">
      <c r="A36">
        <f t="shared" si="0"/>
        <v>2024</v>
      </c>
      <c r="B36" s="821">
        <v>45638</v>
      </c>
      <c r="C36">
        <v>4.55</v>
      </c>
      <c r="D36">
        <f t="shared" si="1"/>
        <v>1</v>
      </c>
    </row>
    <row r="37" spans="1:4" x14ac:dyDescent="0.55000000000000004">
      <c r="A37">
        <f t="shared" si="0"/>
        <v>2024</v>
      </c>
      <c r="B37" s="821">
        <v>45637</v>
      </c>
      <c r="C37">
        <v>4.4800000000000004</v>
      </c>
      <c r="D37">
        <f t="shared" si="1"/>
        <v>1</v>
      </c>
    </row>
    <row r="38" spans="1:4" x14ac:dyDescent="0.55000000000000004">
      <c r="A38">
        <f t="shared" si="0"/>
        <v>2024</v>
      </c>
      <c r="B38" s="821">
        <v>45636</v>
      </c>
      <c r="C38">
        <v>4.41</v>
      </c>
      <c r="D38">
        <f t="shared" si="1"/>
        <v>1</v>
      </c>
    </row>
    <row r="39" spans="1:4" x14ac:dyDescent="0.55000000000000004">
      <c r="A39">
        <f t="shared" si="0"/>
        <v>2024</v>
      </c>
      <c r="B39" s="821">
        <v>45635</v>
      </c>
      <c r="C39">
        <v>4.3899999999999997</v>
      </c>
      <c r="D39">
        <f t="shared" si="1"/>
        <v>1</v>
      </c>
    </row>
    <row r="40" spans="1:4" x14ac:dyDescent="0.55000000000000004">
      <c r="A40">
        <f t="shared" si="0"/>
        <v>2024</v>
      </c>
      <c r="B40" s="821">
        <v>45632</v>
      </c>
      <c r="C40">
        <v>4.34</v>
      </c>
      <c r="D40">
        <f t="shared" si="1"/>
        <v>1</v>
      </c>
    </row>
    <row r="41" spans="1:4" x14ac:dyDescent="0.55000000000000004">
      <c r="A41">
        <f t="shared" si="0"/>
        <v>2024</v>
      </c>
      <c r="B41" s="821">
        <v>45631</v>
      </c>
      <c r="C41">
        <v>4.33</v>
      </c>
      <c r="D41">
        <f t="shared" si="1"/>
        <v>1</v>
      </c>
    </row>
    <row r="42" spans="1:4" x14ac:dyDescent="0.55000000000000004">
      <c r="A42">
        <f t="shared" si="0"/>
        <v>2024</v>
      </c>
      <c r="B42" s="821">
        <v>45630</v>
      </c>
      <c r="C42">
        <v>4.3499999999999996</v>
      </c>
      <c r="D42">
        <f t="shared" si="1"/>
        <v>1</v>
      </c>
    </row>
    <row r="43" spans="1:4" x14ac:dyDescent="0.55000000000000004">
      <c r="A43">
        <f t="shared" si="0"/>
        <v>2024</v>
      </c>
      <c r="B43" s="821">
        <v>45629</v>
      </c>
      <c r="C43">
        <v>4.4000000000000004</v>
      </c>
      <c r="D43">
        <f t="shared" si="1"/>
        <v>1</v>
      </c>
    </row>
    <row r="44" spans="1:4" x14ac:dyDescent="0.55000000000000004">
      <c r="A44">
        <f t="shared" si="0"/>
        <v>2024</v>
      </c>
      <c r="B44" s="821">
        <v>45628</v>
      </c>
      <c r="C44">
        <v>4.3600000000000003</v>
      </c>
      <c r="D44">
        <f t="shared" si="1"/>
        <v>1</v>
      </c>
    </row>
    <row r="45" spans="1:4" x14ac:dyDescent="0.55000000000000004">
      <c r="A45">
        <f t="shared" si="0"/>
        <v>2024</v>
      </c>
      <c r="B45" s="821">
        <v>45625</v>
      </c>
      <c r="C45">
        <v>4.3600000000000003</v>
      </c>
      <c r="D45">
        <f t="shared" si="1"/>
        <v>1</v>
      </c>
    </row>
    <row r="46" spans="1:4" x14ac:dyDescent="0.55000000000000004">
      <c r="A46">
        <f t="shared" si="0"/>
        <v>2024</v>
      </c>
      <c r="B46" s="821">
        <v>45623</v>
      </c>
      <c r="C46">
        <v>4.4400000000000004</v>
      </c>
      <c r="D46">
        <f t="shared" si="1"/>
        <v>1</v>
      </c>
    </row>
    <row r="47" spans="1:4" x14ac:dyDescent="0.55000000000000004">
      <c r="A47">
        <f t="shared" si="0"/>
        <v>2024</v>
      </c>
      <c r="B47" s="821">
        <v>45622</v>
      </c>
      <c r="C47">
        <v>4.4800000000000004</v>
      </c>
      <c r="D47">
        <f t="shared" si="1"/>
        <v>1</v>
      </c>
    </row>
    <row r="48" spans="1:4" x14ac:dyDescent="0.55000000000000004">
      <c r="A48">
        <f t="shared" si="0"/>
        <v>2024</v>
      </c>
      <c r="B48" s="821">
        <v>45621</v>
      </c>
      <c r="C48">
        <v>4.45</v>
      </c>
      <c r="D48">
        <f t="shared" si="1"/>
        <v>1</v>
      </c>
    </row>
    <row r="49" spans="1:4" x14ac:dyDescent="0.55000000000000004">
      <c r="A49">
        <f t="shared" si="0"/>
        <v>2024</v>
      </c>
      <c r="B49" s="821">
        <v>45618</v>
      </c>
      <c r="C49">
        <v>4.5999999999999996</v>
      </c>
      <c r="D49">
        <f t="shared" si="1"/>
        <v>1</v>
      </c>
    </row>
    <row r="50" spans="1:4" x14ac:dyDescent="0.55000000000000004">
      <c r="A50">
        <f t="shared" si="0"/>
        <v>2024</v>
      </c>
      <c r="B50" s="821">
        <v>45617</v>
      </c>
      <c r="C50">
        <v>4.6100000000000003</v>
      </c>
      <c r="D50">
        <f t="shared" si="1"/>
        <v>1</v>
      </c>
    </row>
    <row r="51" spans="1:4" x14ac:dyDescent="0.55000000000000004">
      <c r="A51">
        <f t="shared" si="0"/>
        <v>2024</v>
      </c>
      <c r="B51" s="821">
        <v>45616</v>
      </c>
      <c r="C51">
        <v>4.59</v>
      </c>
      <c r="D51">
        <f t="shared" si="1"/>
        <v>1</v>
      </c>
    </row>
    <row r="52" spans="1:4" x14ac:dyDescent="0.55000000000000004">
      <c r="A52">
        <f t="shared" si="0"/>
        <v>2024</v>
      </c>
      <c r="B52" s="821">
        <v>45615</v>
      </c>
      <c r="C52">
        <v>4.57</v>
      </c>
      <c r="D52">
        <f t="shared" si="1"/>
        <v>1</v>
      </c>
    </row>
    <row r="53" spans="1:4" x14ac:dyDescent="0.55000000000000004">
      <c r="A53">
        <f t="shared" si="0"/>
        <v>2024</v>
      </c>
      <c r="B53" s="821">
        <v>45614</v>
      </c>
      <c r="C53">
        <v>4.6100000000000003</v>
      </c>
      <c r="D53">
        <f t="shared" si="1"/>
        <v>1</v>
      </c>
    </row>
    <row r="54" spans="1:4" x14ac:dyDescent="0.55000000000000004">
      <c r="A54">
        <f t="shared" si="0"/>
        <v>2024</v>
      </c>
      <c r="B54" s="821">
        <v>45611</v>
      </c>
      <c r="C54">
        <v>4.5999999999999996</v>
      </c>
      <c r="D54">
        <f t="shared" si="1"/>
        <v>1</v>
      </c>
    </row>
    <row r="55" spans="1:4" x14ac:dyDescent="0.55000000000000004">
      <c r="A55">
        <f t="shared" si="0"/>
        <v>2024</v>
      </c>
      <c r="B55" s="821">
        <v>45610</v>
      </c>
      <c r="C55">
        <v>4.58</v>
      </c>
      <c r="D55">
        <f t="shared" si="1"/>
        <v>1</v>
      </c>
    </row>
    <row r="56" spans="1:4" x14ac:dyDescent="0.55000000000000004">
      <c r="A56">
        <f t="shared" si="0"/>
        <v>2024</v>
      </c>
      <c r="B56" s="821">
        <v>45609</v>
      </c>
      <c r="C56">
        <v>4.63</v>
      </c>
      <c r="D56">
        <f t="shared" si="1"/>
        <v>1</v>
      </c>
    </row>
    <row r="57" spans="1:4" x14ac:dyDescent="0.55000000000000004">
      <c r="A57">
        <f t="shared" si="0"/>
        <v>2024</v>
      </c>
      <c r="B57" s="821">
        <v>45608</v>
      </c>
      <c r="C57">
        <v>4.58</v>
      </c>
      <c r="D57">
        <f t="shared" si="1"/>
        <v>1</v>
      </c>
    </row>
    <row r="58" spans="1:4" x14ac:dyDescent="0.55000000000000004">
      <c r="A58">
        <f t="shared" si="0"/>
        <v>2024</v>
      </c>
      <c r="B58" s="821">
        <v>45604</v>
      </c>
      <c r="C58">
        <v>4.47</v>
      </c>
      <c r="D58">
        <f t="shared" si="1"/>
        <v>1</v>
      </c>
    </row>
    <row r="59" spans="1:4" x14ac:dyDescent="0.55000000000000004">
      <c r="A59">
        <f t="shared" si="0"/>
        <v>2024</v>
      </c>
      <c r="B59" s="821">
        <v>45603</v>
      </c>
      <c r="C59">
        <v>4.5199999999999996</v>
      </c>
      <c r="D59">
        <f t="shared" si="1"/>
        <v>1</v>
      </c>
    </row>
    <row r="60" spans="1:4" x14ac:dyDescent="0.55000000000000004">
      <c r="A60">
        <f t="shared" si="0"/>
        <v>2024</v>
      </c>
      <c r="B60" s="821">
        <v>45602</v>
      </c>
      <c r="C60">
        <v>4.5999999999999996</v>
      </c>
      <c r="D60">
        <f t="shared" si="1"/>
        <v>1</v>
      </c>
    </row>
    <row r="61" spans="1:4" x14ac:dyDescent="0.55000000000000004">
      <c r="A61">
        <f t="shared" si="0"/>
        <v>2024</v>
      </c>
      <c r="B61" s="821">
        <v>45601</v>
      </c>
      <c r="C61">
        <v>4.4400000000000004</v>
      </c>
      <c r="D61">
        <f t="shared" si="1"/>
        <v>1</v>
      </c>
    </row>
    <row r="62" spans="1:4" x14ac:dyDescent="0.55000000000000004">
      <c r="A62">
        <f t="shared" si="0"/>
        <v>2024</v>
      </c>
      <c r="B62" s="821">
        <v>45600</v>
      </c>
      <c r="C62">
        <v>4.5</v>
      </c>
      <c r="D62">
        <f t="shared" si="1"/>
        <v>1</v>
      </c>
    </row>
    <row r="63" spans="1:4" x14ac:dyDescent="0.55000000000000004">
      <c r="A63">
        <f t="shared" si="0"/>
        <v>2024</v>
      </c>
      <c r="B63" s="821">
        <v>45597</v>
      </c>
      <c r="C63">
        <v>4.57</v>
      </c>
      <c r="D63">
        <f t="shared" si="1"/>
        <v>1</v>
      </c>
    </row>
    <row r="64" spans="1:4" x14ac:dyDescent="0.55000000000000004">
      <c r="A64">
        <f t="shared" si="0"/>
        <v>2024</v>
      </c>
      <c r="B64" s="821">
        <v>45596</v>
      </c>
      <c r="C64">
        <v>4.47</v>
      </c>
      <c r="D64">
        <f t="shared" si="1"/>
        <v>1</v>
      </c>
    </row>
    <row r="65" spans="1:4" x14ac:dyDescent="0.55000000000000004">
      <c r="A65">
        <f t="shared" si="0"/>
        <v>2024</v>
      </c>
      <c r="B65" s="821">
        <v>45595</v>
      </c>
      <c r="C65">
        <v>4.49</v>
      </c>
      <c r="D65">
        <f t="shared" si="1"/>
        <v>1</v>
      </c>
    </row>
    <row r="66" spans="1:4" x14ac:dyDescent="0.55000000000000004">
      <c r="A66">
        <f t="shared" si="0"/>
        <v>2024</v>
      </c>
      <c r="B66" s="821">
        <v>45594</v>
      </c>
      <c r="C66">
        <v>4.5199999999999996</v>
      </c>
      <c r="D66">
        <f t="shared" si="1"/>
        <v>1</v>
      </c>
    </row>
    <row r="67" spans="1:4" x14ac:dyDescent="0.55000000000000004">
      <c r="A67">
        <f t="shared" si="0"/>
        <v>2024</v>
      </c>
      <c r="B67" s="821">
        <v>45593</v>
      </c>
      <c r="C67">
        <v>4.53</v>
      </c>
      <c r="D67">
        <f t="shared" si="1"/>
        <v>1</v>
      </c>
    </row>
    <row r="68" spans="1:4" x14ac:dyDescent="0.55000000000000004">
      <c r="A68">
        <f t="shared" ref="A68:A131" si="4">YEAR(B68)</f>
        <v>2024</v>
      </c>
      <c r="B68" s="821">
        <v>45590</v>
      </c>
      <c r="C68">
        <v>4.51</v>
      </c>
      <c r="D68">
        <f t="shared" ref="D68:D131" si="5">IF(C68&gt;4,1,0)</f>
        <v>1</v>
      </c>
    </row>
    <row r="69" spans="1:4" x14ac:dyDescent="0.55000000000000004">
      <c r="A69">
        <f t="shared" si="4"/>
        <v>2024</v>
      </c>
      <c r="B69" s="821">
        <v>45589</v>
      </c>
      <c r="C69">
        <v>4.47</v>
      </c>
      <c r="D69">
        <f t="shared" si="5"/>
        <v>1</v>
      </c>
    </row>
    <row r="70" spans="1:4" x14ac:dyDescent="0.55000000000000004">
      <c r="A70">
        <f t="shared" si="4"/>
        <v>2024</v>
      </c>
      <c r="B70" s="821">
        <v>45588</v>
      </c>
      <c r="C70">
        <v>4.51</v>
      </c>
      <c r="D70">
        <f t="shared" si="5"/>
        <v>1</v>
      </c>
    </row>
    <row r="71" spans="1:4" x14ac:dyDescent="0.55000000000000004">
      <c r="A71">
        <f t="shared" si="4"/>
        <v>2024</v>
      </c>
      <c r="B71" s="821">
        <v>45587</v>
      </c>
      <c r="C71">
        <v>4.49</v>
      </c>
      <c r="D71">
        <f t="shared" si="5"/>
        <v>1</v>
      </c>
    </row>
    <row r="72" spans="1:4" x14ac:dyDescent="0.55000000000000004">
      <c r="A72">
        <f t="shared" si="4"/>
        <v>2024</v>
      </c>
      <c r="B72" s="821">
        <v>45586</v>
      </c>
      <c r="C72">
        <v>4.49</v>
      </c>
      <c r="D72">
        <f t="shared" si="5"/>
        <v>1</v>
      </c>
    </row>
    <row r="73" spans="1:4" x14ac:dyDescent="0.55000000000000004">
      <c r="A73">
        <f t="shared" si="4"/>
        <v>2024</v>
      </c>
      <c r="B73" s="821">
        <v>45583</v>
      </c>
      <c r="C73">
        <v>4.38</v>
      </c>
      <c r="D73">
        <f t="shared" si="5"/>
        <v>1</v>
      </c>
    </row>
    <row r="74" spans="1:4" x14ac:dyDescent="0.55000000000000004">
      <c r="A74">
        <f t="shared" si="4"/>
        <v>2024</v>
      </c>
      <c r="B74" s="821">
        <v>45582</v>
      </c>
      <c r="C74">
        <v>4.3899999999999997</v>
      </c>
      <c r="D74">
        <f t="shared" si="5"/>
        <v>1</v>
      </c>
    </row>
    <row r="75" spans="1:4" x14ac:dyDescent="0.55000000000000004">
      <c r="A75">
        <f t="shared" si="4"/>
        <v>2024</v>
      </c>
      <c r="B75" s="821">
        <v>45581</v>
      </c>
      <c r="C75">
        <v>4.3</v>
      </c>
      <c r="D75">
        <f t="shared" si="5"/>
        <v>1</v>
      </c>
    </row>
    <row r="76" spans="1:4" x14ac:dyDescent="0.55000000000000004">
      <c r="A76">
        <f t="shared" si="4"/>
        <v>2024</v>
      </c>
      <c r="B76" s="821">
        <v>45580</v>
      </c>
      <c r="C76">
        <v>4.32</v>
      </c>
      <c r="D76">
        <f t="shared" si="5"/>
        <v>1</v>
      </c>
    </row>
    <row r="77" spans="1:4" x14ac:dyDescent="0.55000000000000004">
      <c r="A77">
        <f t="shared" si="4"/>
        <v>2024</v>
      </c>
      <c r="B77" s="821">
        <v>45576</v>
      </c>
      <c r="C77">
        <v>4.3899999999999997</v>
      </c>
      <c r="D77">
        <f t="shared" si="5"/>
        <v>1</v>
      </c>
    </row>
    <row r="78" spans="1:4" x14ac:dyDescent="0.55000000000000004">
      <c r="A78">
        <f t="shared" si="4"/>
        <v>2024</v>
      </c>
      <c r="B78" s="821">
        <v>45575</v>
      </c>
      <c r="C78">
        <v>4.38</v>
      </c>
      <c r="D78">
        <f t="shared" si="5"/>
        <v>1</v>
      </c>
    </row>
    <row r="79" spans="1:4" x14ac:dyDescent="0.55000000000000004">
      <c r="A79">
        <f t="shared" si="4"/>
        <v>2024</v>
      </c>
      <c r="B79" s="821">
        <v>45574</v>
      </c>
      <c r="C79">
        <v>4.34</v>
      </c>
      <c r="D79">
        <f t="shared" si="5"/>
        <v>1</v>
      </c>
    </row>
    <row r="80" spans="1:4" x14ac:dyDescent="0.55000000000000004">
      <c r="A80">
        <f t="shared" si="4"/>
        <v>2024</v>
      </c>
      <c r="B80" s="821">
        <v>45573</v>
      </c>
      <c r="C80">
        <v>4.32</v>
      </c>
      <c r="D80">
        <f t="shared" si="5"/>
        <v>1</v>
      </c>
    </row>
    <row r="81" spans="1:4" x14ac:dyDescent="0.55000000000000004">
      <c r="A81">
        <f t="shared" si="4"/>
        <v>2024</v>
      </c>
      <c r="B81" s="821">
        <v>45572</v>
      </c>
      <c r="C81">
        <v>4.3</v>
      </c>
      <c r="D81">
        <f t="shared" si="5"/>
        <v>1</v>
      </c>
    </row>
    <row r="82" spans="1:4" x14ac:dyDescent="0.55000000000000004">
      <c r="A82">
        <f t="shared" si="4"/>
        <v>2024</v>
      </c>
      <c r="B82" s="821">
        <v>45569</v>
      </c>
      <c r="C82">
        <v>4.26</v>
      </c>
      <c r="D82">
        <f t="shared" si="5"/>
        <v>1</v>
      </c>
    </row>
    <row r="83" spans="1:4" x14ac:dyDescent="0.55000000000000004">
      <c r="A83">
        <f t="shared" si="4"/>
        <v>2024</v>
      </c>
      <c r="B83" s="821">
        <v>45568</v>
      </c>
      <c r="C83">
        <v>4.18</v>
      </c>
      <c r="D83">
        <f t="shared" si="5"/>
        <v>1</v>
      </c>
    </row>
    <row r="84" spans="1:4" x14ac:dyDescent="0.55000000000000004">
      <c r="A84">
        <f t="shared" si="4"/>
        <v>2024</v>
      </c>
      <c r="B84" s="821">
        <v>45567</v>
      </c>
      <c r="C84">
        <v>4.1399999999999997</v>
      </c>
      <c r="D84">
        <f t="shared" si="5"/>
        <v>1</v>
      </c>
    </row>
    <row r="85" spans="1:4" x14ac:dyDescent="0.55000000000000004">
      <c r="A85">
        <f t="shared" si="4"/>
        <v>2024</v>
      </c>
      <c r="B85" s="821">
        <v>45566</v>
      </c>
      <c r="C85">
        <v>4.08</v>
      </c>
      <c r="D85">
        <f t="shared" si="5"/>
        <v>1</v>
      </c>
    </row>
    <row r="86" spans="1:4" x14ac:dyDescent="0.55000000000000004">
      <c r="A86">
        <f t="shared" si="4"/>
        <v>2024</v>
      </c>
      <c r="B86" s="821">
        <v>45565</v>
      </c>
      <c r="C86">
        <v>4.1399999999999997</v>
      </c>
      <c r="D86">
        <f t="shared" si="5"/>
        <v>1</v>
      </c>
    </row>
    <row r="87" spans="1:4" x14ac:dyDescent="0.55000000000000004">
      <c r="A87">
        <f t="shared" si="4"/>
        <v>2024</v>
      </c>
      <c r="B87" s="821">
        <v>45562</v>
      </c>
      <c r="C87">
        <v>4.0999999999999996</v>
      </c>
      <c r="D87">
        <f t="shared" si="5"/>
        <v>1</v>
      </c>
    </row>
    <row r="88" spans="1:4" x14ac:dyDescent="0.55000000000000004">
      <c r="A88">
        <f t="shared" si="4"/>
        <v>2024</v>
      </c>
      <c r="B88" s="821">
        <v>45561</v>
      </c>
      <c r="C88">
        <v>4.12</v>
      </c>
      <c r="D88">
        <f t="shared" si="5"/>
        <v>1</v>
      </c>
    </row>
    <row r="89" spans="1:4" x14ac:dyDescent="0.55000000000000004">
      <c r="A89">
        <f t="shared" si="4"/>
        <v>2024</v>
      </c>
      <c r="B89" s="821">
        <v>45560</v>
      </c>
      <c r="C89">
        <v>4.1399999999999997</v>
      </c>
      <c r="D89">
        <f t="shared" si="5"/>
        <v>1</v>
      </c>
    </row>
    <row r="90" spans="1:4" x14ac:dyDescent="0.55000000000000004">
      <c r="A90">
        <f t="shared" si="4"/>
        <v>2024</v>
      </c>
      <c r="B90" s="821">
        <v>45559</v>
      </c>
      <c r="C90">
        <v>4.09</v>
      </c>
      <c r="D90">
        <f t="shared" si="5"/>
        <v>1</v>
      </c>
    </row>
    <row r="91" spans="1:4" x14ac:dyDescent="0.55000000000000004">
      <c r="A91">
        <f t="shared" si="4"/>
        <v>2024</v>
      </c>
      <c r="B91" s="821">
        <v>45558</v>
      </c>
      <c r="C91">
        <v>4.09</v>
      </c>
      <c r="D91">
        <f t="shared" si="5"/>
        <v>1</v>
      </c>
    </row>
    <row r="92" spans="1:4" x14ac:dyDescent="0.55000000000000004">
      <c r="A92">
        <f t="shared" si="4"/>
        <v>2024</v>
      </c>
      <c r="B92" s="821">
        <v>45555</v>
      </c>
      <c r="C92">
        <v>4.07</v>
      </c>
      <c r="D92">
        <f t="shared" si="5"/>
        <v>1</v>
      </c>
    </row>
    <row r="93" spans="1:4" x14ac:dyDescent="0.55000000000000004">
      <c r="A93">
        <f t="shared" si="4"/>
        <v>2024</v>
      </c>
      <c r="B93" s="821">
        <v>45554</v>
      </c>
      <c r="C93">
        <v>4.0599999999999996</v>
      </c>
      <c r="D93">
        <f t="shared" si="5"/>
        <v>1</v>
      </c>
    </row>
    <row r="94" spans="1:4" x14ac:dyDescent="0.55000000000000004">
      <c r="A94">
        <f t="shared" si="4"/>
        <v>2024</v>
      </c>
      <c r="B94" s="821">
        <v>45553</v>
      </c>
      <c r="C94">
        <v>4.03</v>
      </c>
      <c r="D94">
        <f t="shared" si="5"/>
        <v>1</v>
      </c>
    </row>
    <row r="95" spans="1:4" x14ac:dyDescent="0.55000000000000004">
      <c r="A95">
        <f t="shared" si="4"/>
        <v>2024</v>
      </c>
      <c r="B95" s="821">
        <v>45552</v>
      </c>
      <c r="C95">
        <v>3.96</v>
      </c>
      <c r="D95">
        <f t="shared" si="5"/>
        <v>0</v>
      </c>
    </row>
    <row r="96" spans="1:4" x14ac:dyDescent="0.55000000000000004">
      <c r="A96">
        <f t="shared" si="4"/>
        <v>2024</v>
      </c>
      <c r="B96" s="821">
        <v>45551</v>
      </c>
      <c r="C96">
        <v>3.94</v>
      </c>
      <c r="D96">
        <f t="shared" si="5"/>
        <v>0</v>
      </c>
    </row>
    <row r="97" spans="1:4" x14ac:dyDescent="0.55000000000000004">
      <c r="A97">
        <f t="shared" si="4"/>
        <v>2024</v>
      </c>
      <c r="B97" s="821">
        <v>45548</v>
      </c>
      <c r="C97">
        <v>3.98</v>
      </c>
      <c r="D97">
        <f t="shared" si="5"/>
        <v>0</v>
      </c>
    </row>
    <row r="98" spans="1:4" x14ac:dyDescent="0.55000000000000004">
      <c r="A98">
        <f t="shared" si="4"/>
        <v>2024</v>
      </c>
      <c r="B98" s="821">
        <v>45547</v>
      </c>
      <c r="C98">
        <v>4</v>
      </c>
      <c r="D98">
        <f t="shared" si="5"/>
        <v>0</v>
      </c>
    </row>
    <row r="99" spans="1:4" x14ac:dyDescent="0.55000000000000004">
      <c r="A99">
        <f t="shared" si="4"/>
        <v>2024</v>
      </c>
      <c r="B99" s="821">
        <v>45546</v>
      </c>
      <c r="C99">
        <v>3.96</v>
      </c>
      <c r="D99">
        <f t="shared" si="5"/>
        <v>0</v>
      </c>
    </row>
    <row r="100" spans="1:4" x14ac:dyDescent="0.55000000000000004">
      <c r="A100">
        <f t="shared" si="4"/>
        <v>2024</v>
      </c>
      <c r="B100" s="821">
        <v>45545</v>
      </c>
      <c r="C100">
        <v>3.97</v>
      </c>
      <c r="D100">
        <f t="shared" si="5"/>
        <v>0</v>
      </c>
    </row>
    <row r="101" spans="1:4" x14ac:dyDescent="0.55000000000000004">
      <c r="A101">
        <f t="shared" si="4"/>
        <v>2024</v>
      </c>
      <c r="B101" s="821">
        <v>45544</v>
      </c>
      <c r="C101">
        <v>4</v>
      </c>
      <c r="D101">
        <f t="shared" si="5"/>
        <v>0</v>
      </c>
    </row>
    <row r="102" spans="1:4" x14ac:dyDescent="0.55000000000000004">
      <c r="A102">
        <f t="shared" si="4"/>
        <v>2024</v>
      </c>
      <c r="B102" s="821">
        <v>45541</v>
      </c>
      <c r="C102">
        <v>4.03</v>
      </c>
      <c r="D102">
        <f t="shared" si="5"/>
        <v>1</v>
      </c>
    </row>
    <row r="103" spans="1:4" x14ac:dyDescent="0.55000000000000004">
      <c r="A103">
        <f t="shared" si="4"/>
        <v>2024</v>
      </c>
      <c r="B103" s="821">
        <v>45540</v>
      </c>
      <c r="C103">
        <v>4.0199999999999996</v>
      </c>
      <c r="D103">
        <f t="shared" si="5"/>
        <v>1</v>
      </c>
    </row>
    <row r="104" spans="1:4" x14ac:dyDescent="0.55000000000000004">
      <c r="A104">
        <f t="shared" si="4"/>
        <v>2024</v>
      </c>
      <c r="B104" s="821">
        <v>45539</v>
      </c>
      <c r="C104">
        <v>4.0599999999999996</v>
      </c>
      <c r="D104">
        <f t="shared" si="5"/>
        <v>1</v>
      </c>
    </row>
    <row r="105" spans="1:4" x14ac:dyDescent="0.55000000000000004">
      <c r="A105">
        <f t="shared" si="4"/>
        <v>2024</v>
      </c>
      <c r="B105" s="821">
        <v>45538</v>
      </c>
      <c r="C105">
        <v>4.13</v>
      </c>
      <c r="D105">
        <f t="shared" si="5"/>
        <v>1</v>
      </c>
    </row>
    <row r="106" spans="1:4" x14ac:dyDescent="0.55000000000000004">
      <c r="A106">
        <f t="shared" si="4"/>
        <v>2024</v>
      </c>
      <c r="B106" s="821">
        <v>45534</v>
      </c>
      <c r="C106">
        <v>4.2</v>
      </c>
      <c r="D106">
        <f t="shared" si="5"/>
        <v>1</v>
      </c>
    </row>
    <row r="107" spans="1:4" x14ac:dyDescent="0.55000000000000004">
      <c r="A107">
        <f t="shared" si="4"/>
        <v>2024</v>
      </c>
      <c r="B107" s="821">
        <v>45533</v>
      </c>
      <c r="C107">
        <v>4.1500000000000004</v>
      </c>
      <c r="D107">
        <f t="shared" si="5"/>
        <v>1</v>
      </c>
    </row>
    <row r="108" spans="1:4" x14ac:dyDescent="0.55000000000000004">
      <c r="A108">
        <f t="shared" si="4"/>
        <v>2024</v>
      </c>
      <c r="B108" s="821">
        <v>45532</v>
      </c>
      <c r="C108">
        <v>4.13</v>
      </c>
      <c r="D108">
        <f t="shared" si="5"/>
        <v>1</v>
      </c>
    </row>
    <row r="109" spans="1:4" x14ac:dyDescent="0.55000000000000004">
      <c r="A109">
        <f t="shared" si="4"/>
        <v>2024</v>
      </c>
      <c r="B109" s="821">
        <v>45531</v>
      </c>
      <c r="C109">
        <v>4.13</v>
      </c>
      <c r="D109">
        <f t="shared" si="5"/>
        <v>1</v>
      </c>
    </row>
    <row r="110" spans="1:4" x14ac:dyDescent="0.55000000000000004">
      <c r="A110">
        <f t="shared" si="4"/>
        <v>2024</v>
      </c>
      <c r="B110" s="821">
        <v>45530</v>
      </c>
      <c r="C110">
        <v>4.1100000000000003</v>
      </c>
      <c r="D110">
        <f t="shared" si="5"/>
        <v>1</v>
      </c>
    </row>
    <row r="111" spans="1:4" x14ac:dyDescent="0.55000000000000004">
      <c r="A111">
        <f t="shared" si="4"/>
        <v>2024</v>
      </c>
      <c r="B111" s="821">
        <v>45527</v>
      </c>
      <c r="C111">
        <v>4.0999999999999996</v>
      </c>
      <c r="D111">
        <f t="shared" si="5"/>
        <v>1</v>
      </c>
    </row>
    <row r="112" spans="1:4" x14ac:dyDescent="0.55000000000000004">
      <c r="A112">
        <f t="shared" si="4"/>
        <v>2024</v>
      </c>
      <c r="B112" s="821">
        <v>45526</v>
      </c>
      <c r="C112">
        <v>4.13</v>
      </c>
      <c r="D112">
        <f t="shared" si="5"/>
        <v>1</v>
      </c>
    </row>
    <row r="113" spans="1:4" x14ac:dyDescent="0.55000000000000004">
      <c r="A113">
        <f t="shared" si="4"/>
        <v>2024</v>
      </c>
      <c r="B113" s="821">
        <v>45525</v>
      </c>
      <c r="C113">
        <v>4.0599999999999996</v>
      </c>
      <c r="D113">
        <f t="shared" si="5"/>
        <v>1</v>
      </c>
    </row>
    <row r="114" spans="1:4" x14ac:dyDescent="0.55000000000000004">
      <c r="A114">
        <f t="shared" si="4"/>
        <v>2024</v>
      </c>
      <c r="B114" s="821">
        <v>45524</v>
      </c>
      <c r="C114">
        <v>4.07</v>
      </c>
      <c r="D114">
        <f t="shared" si="5"/>
        <v>1</v>
      </c>
    </row>
    <row r="115" spans="1:4" x14ac:dyDescent="0.55000000000000004">
      <c r="A115">
        <f t="shared" si="4"/>
        <v>2024</v>
      </c>
      <c r="B115" s="821">
        <v>45523</v>
      </c>
      <c r="C115">
        <v>4.1100000000000003</v>
      </c>
      <c r="D115">
        <f t="shared" si="5"/>
        <v>1</v>
      </c>
    </row>
    <row r="116" spans="1:4" x14ac:dyDescent="0.55000000000000004">
      <c r="A116">
        <f t="shared" si="4"/>
        <v>2024</v>
      </c>
      <c r="B116" s="821">
        <v>45520</v>
      </c>
      <c r="C116">
        <v>4.1500000000000004</v>
      </c>
      <c r="D116">
        <f t="shared" si="5"/>
        <v>1</v>
      </c>
    </row>
    <row r="117" spans="1:4" x14ac:dyDescent="0.55000000000000004">
      <c r="A117">
        <f t="shared" si="4"/>
        <v>2024</v>
      </c>
      <c r="B117" s="821">
        <v>45519</v>
      </c>
      <c r="C117">
        <v>4.18</v>
      </c>
      <c r="D117">
        <f t="shared" si="5"/>
        <v>1</v>
      </c>
    </row>
    <row r="118" spans="1:4" x14ac:dyDescent="0.55000000000000004">
      <c r="A118">
        <f t="shared" si="4"/>
        <v>2024</v>
      </c>
      <c r="B118" s="821">
        <v>45518</v>
      </c>
      <c r="C118">
        <v>4.12</v>
      </c>
      <c r="D118">
        <f t="shared" si="5"/>
        <v>1</v>
      </c>
    </row>
    <row r="119" spans="1:4" x14ac:dyDescent="0.55000000000000004">
      <c r="A119">
        <f t="shared" si="4"/>
        <v>2024</v>
      </c>
      <c r="B119" s="821">
        <v>45517</v>
      </c>
      <c r="C119">
        <v>4.16</v>
      </c>
      <c r="D119">
        <f t="shared" si="5"/>
        <v>1</v>
      </c>
    </row>
    <row r="120" spans="1:4" x14ac:dyDescent="0.55000000000000004">
      <c r="A120">
        <f t="shared" si="4"/>
        <v>2024</v>
      </c>
      <c r="B120" s="821">
        <v>45516</v>
      </c>
      <c r="C120">
        <v>4.1900000000000004</v>
      </c>
      <c r="D120">
        <f t="shared" si="5"/>
        <v>1</v>
      </c>
    </row>
    <row r="121" spans="1:4" x14ac:dyDescent="0.55000000000000004">
      <c r="A121">
        <f t="shared" si="4"/>
        <v>2024</v>
      </c>
      <c r="B121" s="821">
        <v>45513</v>
      </c>
      <c r="C121">
        <v>4.2300000000000004</v>
      </c>
      <c r="D121">
        <f t="shared" si="5"/>
        <v>1</v>
      </c>
    </row>
    <row r="122" spans="1:4" x14ac:dyDescent="0.55000000000000004">
      <c r="A122">
        <f t="shared" si="4"/>
        <v>2024</v>
      </c>
      <c r="B122" s="821">
        <v>45512</v>
      </c>
      <c r="C122">
        <v>4.28</v>
      </c>
      <c r="D122">
        <f t="shared" si="5"/>
        <v>1</v>
      </c>
    </row>
    <row r="123" spans="1:4" x14ac:dyDescent="0.55000000000000004">
      <c r="A123">
        <f t="shared" si="4"/>
        <v>2024</v>
      </c>
      <c r="B123" s="821">
        <v>45511</v>
      </c>
      <c r="C123">
        <v>4.26</v>
      </c>
      <c r="D123">
        <f t="shared" si="5"/>
        <v>1</v>
      </c>
    </row>
    <row r="124" spans="1:4" x14ac:dyDescent="0.55000000000000004">
      <c r="A124">
        <f t="shared" si="4"/>
        <v>2024</v>
      </c>
      <c r="B124" s="821">
        <v>45510</v>
      </c>
      <c r="C124">
        <v>4.18</v>
      </c>
      <c r="D124">
        <f t="shared" si="5"/>
        <v>1</v>
      </c>
    </row>
    <row r="125" spans="1:4" x14ac:dyDescent="0.55000000000000004">
      <c r="A125">
        <f t="shared" si="4"/>
        <v>2024</v>
      </c>
      <c r="B125" s="821">
        <v>45509</v>
      </c>
      <c r="C125">
        <v>4.0599999999999996</v>
      </c>
      <c r="D125">
        <f t="shared" si="5"/>
        <v>1</v>
      </c>
    </row>
    <row r="126" spans="1:4" x14ac:dyDescent="0.55000000000000004">
      <c r="A126">
        <f t="shared" si="4"/>
        <v>2024</v>
      </c>
      <c r="B126" s="821">
        <v>45506</v>
      </c>
      <c r="C126">
        <v>4.1100000000000003</v>
      </c>
      <c r="D126">
        <f t="shared" si="5"/>
        <v>1</v>
      </c>
    </row>
    <row r="127" spans="1:4" x14ac:dyDescent="0.55000000000000004">
      <c r="A127">
        <f t="shared" si="4"/>
        <v>2024</v>
      </c>
      <c r="B127" s="821">
        <v>45505</v>
      </c>
      <c r="C127">
        <v>4.2699999999999996</v>
      </c>
      <c r="D127">
        <f t="shared" si="5"/>
        <v>1</v>
      </c>
    </row>
    <row r="128" spans="1:4" x14ac:dyDescent="0.55000000000000004">
      <c r="A128">
        <f t="shared" si="4"/>
        <v>2024</v>
      </c>
      <c r="B128" s="821">
        <v>45504</v>
      </c>
      <c r="C128">
        <v>4.3499999999999996</v>
      </c>
      <c r="D128">
        <f t="shared" si="5"/>
        <v>1</v>
      </c>
    </row>
    <row r="129" spans="1:4" x14ac:dyDescent="0.55000000000000004">
      <c r="A129">
        <f t="shared" si="4"/>
        <v>2024</v>
      </c>
      <c r="B129" s="821">
        <v>45503</v>
      </c>
      <c r="C129">
        <v>4.4000000000000004</v>
      </c>
      <c r="D129">
        <f t="shared" si="5"/>
        <v>1</v>
      </c>
    </row>
    <row r="130" spans="1:4" x14ac:dyDescent="0.55000000000000004">
      <c r="A130">
        <f t="shared" si="4"/>
        <v>2024</v>
      </c>
      <c r="B130" s="821">
        <v>45502</v>
      </c>
      <c r="C130">
        <v>4.42</v>
      </c>
      <c r="D130">
        <f t="shared" si="5"/>
        <v>1</v>
      </c>
    </row>
    <row r="131" spans="1:4" x14ac:dyDescent="0.55000000000000004">
      <c r="A131">
        <f t="shared" si="4"/>
        <v>2024</v>
      </c>
      <c r="B131" s="821">
        <v>45499</v>
      </c>
      <c r="C131">
        <v>4.45</v>
      </c>
      <c r="D131">
        <f t="shared" si="5"/>
        <v>1</v>
      </c>
    </row>
    <row r="132" spans="1:4" x14ac:dyDescent="0.55000000000000004">
      <c r="A132">
        <f t="shared" ref="A132:A195" si="6">YEAR(B132)</f>
        <v>2024</v>
      </c>
      <c r="B132" s="821">
        <v>45498</v>
      </c>
      <c r="C132">
        <v>4.5</v>
      </c>
      <c r="D132">
        <f t="shared" ref="D132:D195" si="7">IF(C132&gt;4,1,0)</f>
        <v>1</v>
      </c>
    </row>
    <row r="133" spans="1:4" x14ac:dyDescent="0.55000000000000004">
      <c r="A133">
        <f t="shared" si="6"/>
        <v>2024</v>
      </c>
      <c r="B133" s="821">
        <v>45497</v>
      </c>
      <c r="C133">
        <v>4.54</v>
      </c>
      <c r="D133">
        <f t="shared" si="7"/>
        <v>1</v>
      </c>
    </row>
    <row r="134" spans="1:4" x14ac:dyDescent="0.55000000000000004">
      <c r="A134">
        <f t="shared" si="6"/>
        <v>2024</v>
      </c>
      <c r="B134" s="821">
        <v>45496</v>
      </c>
      <c r="C134">
        <v>4.4800000000000004</v>
      </c>
      <c r="D134">
        <f t="shared" si="7"/>
        <v>1</v>
      </c>
    </row>
    <row r="135" spans="1:4" x14ac:dyDescent="0.55000000000000004">
      <c r="A135">
        <f t="shared" si="6"/>
        <v>2024</v>
      </c>
      <c r="B135" s="821">
        <v>45495</v>
      </c>
      <c r="C135">
        <v>4.4800000000000004</v>
      </c>
      <c r="D135">
        <f t="shared" si="7"/>
        <v>1</v>
      </c>
    </row>
    <row r="136" spans="1:4" x14ac:dyDescent="0.55000000000000004">
      <c r="A136">
        <f t="shared" si="6"/>
        <v>2024</v>
      </c>
      <c r="B136" s="821">
        <v>45492</v>
      </c>
      <c r="C136">
        <v>4.45</v>
      </c>
      <c r="D136">
        <f t="shared" si="7"/>
        <v>1</v>
      </c>
    </row>
    <row r="137" spans="1:4" x14ac:dyDescent="0.55000000000000004">
      <c r="A137">
        <f t="shared" si="6"/>
        <v>2024</v>
      </c>
      <c r="B137" s="821">
        <v>45491</v>
      </c>
      <c r="C137">
        <v>4.41</v>
      </c>
      <c r="D137">
        <f t="shared" si="7"/>
        <v>1</v>
      </c>
    </row>
    <row r="138" spans="1:4" x14ac:dyDescent="0.55000000000000004">
      <c r="A138">
        <f t="shared" si="6"/>
        <v>2024</v>
      </c>
      <c r="B138" s="821">
        <v>45490</v>
      </c>
      <c r="C138">
        <v>4.37</v>
      </c>
      <c r="D138">
        <f t="shared" si="7"/>
        <v>1</v>
      </c>
    </row>
    <row r="139" spans="1:4" x14ac:dyDescent="0.55000000000000004">
      <c r="A139">
        <f t="shared" si="6"/>
        <v>2024</v>
      </c>
      <c r="B139" s="821">
        <v>45489</v>
      </c>
      <c r="C139">
        <v>4.38</v>
      </c>
      <c r="D139">
        <f t="shared" si="7"/>
        <v>1</v>
      </c>
    </row>
    <row r="140" spans="1:4" x14ac:dyDescent="0.55000000000000004">
      <c r="A140">
        <f t="shared" si="6"/>
        <v>2024</v>
      </c>
      <c r="B140" s="821">
        <v>45488</v>
      </c>
      <c r="C140">
        <v>4.46</v>
      </c>
      <c r="D140">
        <f t="shared" si="7"/>
        <v>1</v>
      </c>
    </row>
    <row r="141" spans="1:4" x14ac:dyDescent="0.55000000000000004">
      <c r="A141">
        <f t="shared" si="6"/>
        <v>2024</v>
      </c>
      <c r="B141" s="821">
        <v>45485</v>
      </c>
      <c r="C141">
        <v>4.3899999999999997</v>
      </c>
      <c r="D141">
        <f t="shared" si="7"/>
        <v>1</v>
      </c>
    </row>
    <row r="142" spans="1:4" x14ac:dyDescent="0.55000000000000004">
      <c r="A142">
        <f t="shared" si="6"/>
        <v>2024</v>
      </c>
      <c r="B142" s="821">
        <v>45484</v>
      </c>
      <c r="C142">
        <v>4.41</v>
      </c>
      <c r="D142">
        <f t="shared" si="7"/>
        <v>1</v>
      </c>
    </row>
    <row r="143" spans="1:4" x14ac:dyDescent="0.55000000000000004">
      <c r="A143">
        <f t="shared" si="6"/>
        <v>2024</v>
      </c>
      <c r="B143" s="821">
        <v>45483</v>
      </c>
      <c r="C143">
        <v>4.47</v>
      </c>
      <c r="D143">
        <f t="shared" si="7"/>
        <v>1</v>
      </c>
    </row>
    <row r="144" spans="1:4" x14ac:dyDescent="0.55000000000000004">
      <c r="A144">
        <f t="shared" si="6"/>
        <v>2024</v>
      </c>
      <c r="B144" s="821">
        <v>45482</v>
      </c>
      <c r="C144">
        <v>4.49</v>
      </c>
      <c r="D144">
        <f t="shared" si="7"/>
        <v>1</v>
      </c>
    </row>
    <row r="145" spans="1:4" x14ac:dyDescent="0.55000000000000004">
      <c r="A145">
        <f t="shared" si="6"/>
        <v>2024</v>
      </c>
      <c r="B145" s="821">
        <v>45481</v>
      </c>
      <c r="C145">
        <v>4.46</v>
      </c>
      <c r="D145">
        <f t="shared" si="7"/>
        <v>1</v>
      </c>
    </row>
    <row r="146" spans="1:4" x14ac:dyDescent="0.55000000000000004">
      <c r="A146">
        <f t="shared" si="6"/>
        <v>2024</v>
      </c>
      <c r="B146" s="821">
        <v>45478</v>
      </c>
      <c r="C146">
        <v>4.47</v>
      </c>
      <c r="D146">
        <f t="shared" si="7"/>
        <v>1</v>
      </c>
    </row>
    <row r="147" spans="1:4" x14ac:dyDescent="0.55000000000000004">
      <c r="A147">
        <f t="shared" si="6"/>
        <v>2024</v>
      </c>
      <c r="B147" s="821">
        <v>45476</v>
      </c>
      <c r="C147">
        <v>4.53</v>
      </c>
      <c r="D147">
        <f t="shared" si="7"/>
        <v>1</v>
      </c>
    </row>
    <row r="148" spans="1:4" x14ac:dyDescent="0.55000000000000004">
      <c r="A148">
        <f t="shared" si="6"/>
        <v>2024</v>
      </c>
      <c r="B148" s="821">
        <v>45475</v>
      </c>
      <c r="C148">
        <v>4.5999999999999996</v>
      </c>
      <c r="D148">
        <f t="shared" si="7"/>
        <v>1</v>
      </c>
    </row>
    <row r="149" spans="1:4" x14ac:dyDescent="0.55000000000000004">
      <c r="A149">
        <f t="shared" si="6"/>
        <v>2024</v>
      </c>
      <c r="B149" s="821">
        <v>45474</v>
      </c>
      <c r="C149">
        <v>4.6399999999999997</v>
      </c>
      <c r="D149">
        <f t="shared" si="7"/>
        <v>1</v>
      </c>
    </row>
    <row r="150" spans="1:4" x14ac:dyDescent="0.55000000000000004">
      <c r="A150">
        <f t="shared" si="6"/>
        <v>2024</v>
      </c>
      <c r="B150" s="821">
        <v>45471</v>
      </c>
      <c r="C150">
        <v>4.51</v>
      </c>
      <c r="D150">
        <f t="shared" si="7"/>
        <v>1</v>
      </c>
    </row>
    <row r="151" spans="1:4" x14ac:dyDescent="0.55000000000000004">
      <c r="A151">
        <f t="shared" si="6"/>
        <v>2024</v>
      </c>
      <c r="B151" s="821">
        <v>45470</v>
      </c>
      <c r="C151">
        <v>4.43</v>
      </c>
      <c r="D151">
        <f t="shared" si="7"/>
        <v>1</v>
      </c>
    </row>
    <row r="152" spans="1:4" x14ac:dyDescent="0.55000000000000004">
      <c r="A152">
        <f t="shared" si="6"/>
        <v>2024</v>
      </c>
      <c r="B152" s="821">
        <v>45469</v>
      </c>
      <c r="C152">
        <v>4.45</v>
      </c>
      <c r="D152">
        <f t="shared" si="7"/>
        <v>1</v>
      </c>
    </row>
    <row r="153" spans="1:4" x14ac:dyDescent="0.55000000000000004">
      <c r="A153">
        <f t="shared" si="6"/>
        <v>2024</v>
      </c>
      <c r="B153" s="821">
        <v>45468</v>
      </c>
      <c r="C153">
        <v>4.3600000000000003</v>
      </c>
      <c r="D153">
        <f t="shared" si="7"/>
        <v>1</v>
      </c>
    </row>
    <row r="154" spans="1:4" x14ac:dyDescent="0.55000000000000004">
      <c r="A154">
        <f t="shared" si="6"/>
        <v>2024</v>
      </c>
      <c r="B154" s="821">
        <v>45467</v>
      </c>
      <c r="C154">
        <v>4.38</v>
      </c>
      <c r="D154">
        <f t="shared" si="7"/>
        <v>1</v>
      </c>
    </row>
    <row r="155" spans="1:4" x14ac:dyDescent="0.55000000000000004">
      <c r="A155">
        <f t="shared" si="6"/>
        <v>2024</v>
      </c>
      <c r="B155" s="821">
        <v>45464</v>
      </c>
      <c r="C155">
        <v>4.3899999999999997</v>
      </c>
      <c r="D155">
        <f t="shared" si="7"/>
        <v>1</v>
      </c>
    </row>
    <row r="156" spans="1:4" x14ac:dyDescent="0.55000000000000004">
      <c r="A156">
        <f t="shared" si="6"/>
        <v>2024</v>
      </c>
      <c r="B156" s="821">
        <v>45463</v>
      </c>
      <c r="C156">
        <v>4.3899999999999997</v>
      </c>
      <c r="D156">
        <f t="shared" si="7"/>
        <v>1</v>
      </c>
    </row>
    <row r="157" spans="1:4" x14ac:dyDescent="0.55000000000000004">
      <c r="A157">
        <f t="shared" si="6"/>
        <v>2024</v>
      </c>
      <c r="B157" s="821">
        <v>45461</v>
      </c>
      <c r="C157">
        <v>4.3600000000000003</v>
      </c>
      <c r="D157">
        <f t="shared" si="7"/>
        <v>1</v>
      </c>
    </row>
    <row r="158" spans="1:4" x14ac:dyDescent="0.55000000000000004">
      <c r="A158">
        <f t="shared" si="6"/>
        <v>2024</v>
      </c>
      <c r="B158" s="821">
        <v>45460</v>
      </c>
      <c r="C158">
        <v>4.4000000000000004</v>
      </c>
      <c r="D158">
        <f t="shared" si="7"/>
        <v>1</v>
      </c>
    </row>
    <row r="159" spans="1:4" x14ac:dyDescent="0.55000000000000004">
      <c r="A159">
        <f t="shared" si="6"/>
        <v>2024</v>
      </c>
      <c r="B159" s="821">
        <v>45457</v>
      </c>
      <c r="C159">
        <v>4.34</v>
      </c>
      <c r="D159">
        <f t="shared" si="7"/>
        <v>1</v>
      </c>
    </row>
    <row r="160" spans="1:4" x14ac:dyDescent="0.55000000000000004">
      <c r="A160">
        <f t="shared" si="6"/>
        <v>2024</v>
      </c>
      <c r="B160" s="821">
        <v>45456</v>
      </c>
      <c r="C160">
        <v>4.4000000000000004</v>
      </c>
      <c r="D160">
        <f t="shared" si="7"/>
        <v>1</v>
      </c>
    </row>
    <row r="161" spans="1:4" x14ac:dyDescent="0.55000000000000004">
      <c r="A161">
        <f t="shared" si="6"/>
        <v>2024</v>
      </c>
      <c r="B161" s="821">
        <v>45455</v>
      </c>
      <c r="C161">
        <v>4.47</v>
      </c>
      <c r="D161">
        <f t="shared" si="7"/>
        <v>1</v>
      </c>
    </row>
    <row r="162" spans="1:4" x14ac:dyDescent="0.55000000000000004">
      <c r="A162">
        <f t="shared" si="6"/>
        <v>2024</v>
      </c>
      <c r="B162" s="821">
        <v>45454</v>
      </c>
      <c r="C162">
        <v>4.53</v>
      </c>
      <c r="D162">
        <f t="shared" si="7"/>
        <v>1</v>
      </c>
    </row>
    <row r="163" spans="1:4" x14ac:dyDescent="0.55000000000000004">
      <c r="A163">
        <f t="shared" si="6"/>
        <v>2024</v>
      </c>
      <c r="B163" s="821">
        <v>45453</v>
      </c>
      <c r="C163">
        <v>4.59</v>
      </c>
      <c r="D163">
        <f t="shared" si="7"/>
        <v>1</v>
      </c>
    </row>
    <row r="164" spans="1:4" x14ac:dyDescent="0.55000000000000004">
      <c r="A164">
        <f t="shared" si="6"/>
        <v>2024</v>
      </c>
      <c r="B164" s="821">
        <v>45450</v>
      </c>
      <c r="C164">
        <v>4.55</v>
      </c>
      <c r="D164">
        <f t="shared" si="7"/>
        <v>1</v>
      </c>
    </row>
    <row r="165" spans="1:4" x14ac:dyDescent="0.55000000000000004">
      <c r="A165">
        <f t="shared" si="6"/>
        <v>2024</v>
      </c>
      <c r="B165" s="821">
        <v>45449</v>
      </c>
      <c r="C165">
        <v>4.43</v>
      </c>
      <c r="D165">
        <f t="shared" si="7"/>
        <v>1</v>
      </c>
    </row>
    <row r="166" spans="1:4" x14ac:dyDescent="0.55000000000000004">
      <c r="A166">
        <f t="shared" si="6"/>
        <v>2024</v>
      </c>
      <c r="B166" s="821">
        <v>45448</v>
      </c>
      <c r="C166">
        <v>4.4400000000000004</v>
      </c>
      <c r="D166">
        <f t="shared" si="7"/>
        <v>1</v>
      </c>
    </row>
    <row r="167" spans="1:4" x14ac:dyDescent="0.55000000000000004">
      <c r="A167">
        <f t="shared" si="6"/>
        <v>2024</v>
      </c>
      <c r="B167" s="821">
        <v>45447</v>
      </c>
      <c r="C167">
        <v>4.4800000000000004</v>
      </c>
      <c r="D167">
        <f t="shared" si="7"/>
        <v>1</v>
      </c>
    </row>
    <row r="168" spans="1:4" x14ac:dyDescent="0.55000000000000004">
      <c r="A168">
        <f t="shared" si="6"/>
        <v>2024</v>
      </c>
      <c r="B168" s="821">
        <v>45446</v>
      </c>
      <c r="C168">
        <v>4.55</v>
      </c>
      <c r="D168">
        <f t="shared" si="7"/>
        <v>1</v>
      </c>
    </row>
    <row r="169" spans="1:4" x14ac:dyDescent="0.55000000000000004">
      <c r="A169">
        <f t="shared" si="6"/>
        <v>2024</v>
      </c>
      <c r="B169" s="821">
        <v>45443</v>
      </c>
      <c r="C169">
        <v>4.6500000000000004</v>
      </c>
      <c r="D169">
        <f t="shared" si="7"/>
        <v>1</v>
      </c>
    </row>
    <row r="170" spans="1:4" x14ac:dyDescent="0.55000000000000004">
      <c r="A170">
        <f t="shared" si="6"/>
        <v>2024</v>
      </c>
      <c r="B170" s="821">
        <v>45442</v>
      </c>
      <c r="C170">
        <v>4.6900000000000004</v>
      </c>
      <c r="D170">
        <f t="shared" si="7"/>
        <v>1</v>
      </c>
    </row>
    <row r="171" spans="1:4" x14ac:dyDescent="0.55000000000000004">
      <c r="A171">
        <f t="shared" si="6"/>
        <v>2024</v>
      </c>
      <c r="B171" s="821">
        <v>45441</v>
      </c>
      <c r="C171">
        <v>4.74</v>
      </c>
      <c r="D171">
        <f t="shared" si="7"/>
        <v>1</v>
      </c>
    </row>
    <row r="172" spans="1:4" x14ac:dyDescent="0.55000000000000004">
      <c r="A172">
        <f t="shared" si="6"/>
        <v>2024</v>
      </c>
      <c r="B172" s="821">
        <v>45440</v>
      </c>
      <c r="C172">
        <v>4.66</v>
      </c>
      <c r="D172">
        <f t="shared" si="7"/>
        <v>1</v>
      </c>
    </row>
    <row r="173" spans="1:4" x14ac:dyDescent="0.55000000000000004">
      <c r="A173">
        <f t="shared" si="6"/>
        <v>2024</v>
      </c>
      <c r="B173" s="821">
        <v>45436</v>
      </c>
      <c r="C173">
        <v>4.57</v>
      </c>
      <c r="D173">
        <f t="shared" si="7"/>
        <v>1</v>
      </c>
    </row>
    <row r="174" spans="1:4" x14ac:dyDescent="0.55000000000000004">
      <c r="A174">
        <f t="shared" si="6"/>
        <v>2024</v>
      </c>
      <c r="B174" s="821">
        <v>45435</v>
      </c>
      <c r="C174">
        <v>4.58</v>
      </c>
      <c r="D174">
        <f t="shared" si="7"/>
        <v>1</v>
      </c>
    </row>
    <row r="175" spans="1:4" x14ac:dyDescent="0.55000000000000004">
      <c r="A175">
        <f t="shared" si="6"/>
        <v>2024</v>
      </c>
      <c r="B175" s="821">
        <v>45434</v>
      </c>
      <c r="C175">
        <v>4.55</v>
      </c>
      <c r="D175">
        <f t="shared" si="7"/>
        <v>1</v>
      </c>
    </row>
    <row r="176" spans="1:4" x14ac:dyDescent="0.55000000000000004">
      <c r="A176">
        <f t="shared" si="6"/>
        <v>2024</v>
      </c>
      <c r="B176" s="821">
        <v>45433</v>
      </c>
      <c r="C176">
        <v>4.55</v>
      </c>
      <c r="D176">
        <f t="shared" si="7"/>
        <v>1</v>
      </c>
    </row>
    <row r="177" spans="1:4" x14ac:dyDescent="0.55000000000000004">
      <c r="A177">
        <f t="shared" si="6"/>
        <v>2024</v>
      </c>
      <c r="B177" s="821">
        <v>45432</v>
      </c>
      <c r="C177">
        <v>4.58</v>
      </c>
      <c r="D177">
        <f t="shared" si="7"/>
        <v>1</v>
      </c>
    </row>
    <row r="178" spans="1:4" x14ac:dyDescent="0.55000000000000004">
      <c r="A178">
        <f t="shared" si="6"/>
        <v>2024</v>
      </c>
      <c r="B178" s="821">
        <v>45429</v>
      </c>
      <c r="C178">
        <v>4.5599999999999996</v>
      </c>
      <c r="D178">
        <f t="shared" si="7"/>
        <v>1</v>
      </c>
    </row>
    <row r="179" spans="1:4" x14ac:dyDescent="0.55000000000000004">
      <c r="A179">
        <f t="shared" si="6"/>
        <v>2024</v>
      </c>
      <c r="B179" s="821">
        <v>45428</v>
      </c>
      <c r="C179">
        <v>4.5199999999999996</v>
      </c>
      <c r="D179">
        <f t="shared" si="7"/>
        <v>1</v>
      </c>
    </row>
    <row r="180" spans="1:4" x14ac:dyDescent="0.55000000000000004">
      <c r="A180">
        <f t="shared" si="6"/>
        <v>2024</v>
      </c>
      <c r="B180" s="821">
        <v>45427</v>
      </c>
      <c r="C180">
        <v>4.5199999999999996</v>
      </c>
      <c r="D180">
        <f t="shared" si="7"/>
        <v>1</v>
      </c>
    </row>
    <row r="181" spans="1:4" x14ac:dyDescent="0.55000000000000004">
      <c r="A181">
        <f t="shared" si="6"/>
        <v>2024</v>
      </c>
      <c r="B181" s="821">
        <v>45426</v>
      </c>
      <c r="C181">
        <v>4.59</v>
      </c>
      <c r="D181">
        <f t="shared" si="7"/>
        <v>1</v>
      </c>
    </row>
    <row r="182" spans="1:4" x14ac:dyDescent="0.55000000000000004">
      <c r="A182">
        <f t="shared" si="6"/>
        <v>2024</v>
      </c>
      <c r="B182" s="821">
        <v>45425</v>
      </c>
      <c r="C182">
        <v>4.63</v>
      </c>
      <c r="D182">
        <f t="shared" si="7"/>
        <v>1</v>
      </c>
    </row>
    <row r="183" spans="1:4" x14ac:dyDescent="0.55000000000000004">
      <c r="A183">
        <f t="shared" si="6"/>
        <v>2024</v>
      </c>
      <c r="B183" s="821">
        <v>45422</v>
      </c>
      <c r="C183">
        <v>4.6399999999999997</v>
      </c>
      <c r="D183">
        <f t="shared" si="7"/>
        <v>1</v>
      </c>
    </row>
    <row r="184" spans="1:4" x14ac:dyDescent="0.55000000000000004">
      <c r="A184">
        <f t="shared" si="6"/>
        <v>2024</v>
      </c>
      <c r="B184" s="821">
        <v>45421</v>
      </c>
      <c r="C184">
        <v>4.5999999999999996</v>
      </c>
      <c r="D184">
        <f t="shared" si="7"/>
        <v>1</v>
      </c>
    </row>
    <row r="185" spans="1:4" x14ac:dyDescent="0.55000000000000004">
      <c r="A185">
        <f t="shared" si="6"/>
        <v>2024</v>
      </c>
      <c r="B185" s="821">
        <v>45420</v>
      </c>
      <c r="C185">
        <v>4.6399999999999997</v>
      </c>
      <c r="D185">
        <f t="shared" si="7"/>
        <v>1</v>
      </c>
    </row>
    <row r="186" spans="1:4" x14ac:dyDescent="0.55000000000000004">
      <c r="A186">
        <f t="shared" si="6"/>
        <v>2024</v>
      </c>
      <c r="B186" s="821">
        <v>45419</v>
      </c>
      <c r="C186">
        <v>4.6100000000000003</v>
      </c>
      <c r="D186">
        <f t="shared" si="7"/>
        <v>1</v>
      </c>
    </row>
    <row r="187" spans="1:4" x14ac:dyDescent="0.55000000000000004">
      <c r="A187">
        <f t="shared" si="6"/>
        <v>2024</v>
      </c>
      <c r="B187" s="821">
        <v>45418</v>
      </c>
      <c r="C187">
        <v>4.6399999999999997</v>
      </c>
      <c r="D187">
        <f t="shared" si="7"/>
        <v>1</v>
      </c>
    </row>
    <row r="188" spans="1:4" x14ac:dyDescent="0.55000000000000004">
      <c r="A188">
        <f t="shared" si="6"/>
        <v>2024</v>
      </c>
      <c r="B188" s="821">
        <v>45415</v>
      </c>
      <c r="C188">
        <v>4.66</v>
      </c>
      <c r="D188">
        <f t="shared" si="7"/>
        <v>1</v>
      </c>
    </row>
    <row r="189" spans="1:4" x14ac:dyDescent="0.55000000000000004">
      <c r="A189">
        <f t="shared" si="6"/>
        <v>2024</v>
      </c>
      <c r="B189" s="821">
        <v>45414</v>
      </c>
      <c r="C189">
        <v>4.72</v>
      </c>
      <c r="D189">
        <f t="shared" si="7"/>
        <v>1</v>
      </c>
    </row>
    <row r="190" spans="1:4" x14ac:dyDescent="0.55000000000000004">
      <c r="A190">
        <f t="shared" si="6"/>
        <v>2024</v>
      </c>
      <c r="B190" s="821">
        <v>45413</v>
      </c>
      <c r="C190">
        <v>4.74</v>
      </c>
      <c r="D190">
        <f t="shared" si="7"/>
        <v>1</v>
      </c>
    </row>
    <row r="191" spans="1:4" x14ac:dyDescent="0.55000000000000004">
      <c r="A191">
        <f t="shared" si="6"/>
        <v>2024</v>
      </c>
      <c r="B191" s="821">
        <v>45412</v>
      </c>
      <c r="C191">
        <v>4.79</v>
      </c>
      <c r="D191">
        <f t="shared" si="7"/>
        <v>1</v>
      </c>
    </row>
    <row r="192" spans="1:4" x14ac:dyDescent="0.55000000000000004">
      <c r="A192">
        <f t="shared" si="6"/>
        <v>2024</v>
      </c>
      <c r="B192" s="821">
        <v>45411</v>
      </c>
      <c r="C192">
        <v>4.75</v>
      </c>
      <c r="D192">
        <f t="shared" si="7"/>
        <v>1</v>
      </c>
    </row>
    <row r="193" spans="1:4" x14ac:dyDescent="0.55000000000000004">
      <c r="A193">
        <f t="shared" si="6"/>
        <v>2024</v>
      </c>
      <c r="B193" s="821">
        <v>45408</v>
      </c>
      <c r="C193">
        <v>4.78</v>
      </c>
      <c r="D193">
        <f t="shared" si="7"/>
        <v>1</v>
      </c>
    </row>
    <row r="194" spans="1:4" x14ac:dyDescent="0.55000000000000004">
      <c r="A194">
        <f t="shared" si="6"/>
        <v>2024</v>
      </c>
      <c r="B194" s="821">
        <v>45407</v>
      </c>
      <c r="C194">
        <v>4.82</v>
      </c>
      <c r="D194">
        <f t="shared" si="7"/>
        <v>1</v>
      </c>
    </row>
    <row r="195" spans="1:4" x14ac:dyDescent="0.55000000000000004">
      <c r="A195">
        <f t="shared" si="6"/>
        <v>2024</v>
      </c>
      <c r="B195" s="821">
        <v>45406</v>
      </c>
      <c r="C195">
        <v>4.78</v>
      </c>
      <c r="D195">
        <f t="shared" si="7"/>
        <v>1</v>
      </c>
    </row>
    <row r="196" spans="1:4" x14ac:dyDescent="0.55000000000000004">
      <c r="A196">
        <f t="shared" ref="A196:A259" si="8">YEAR(B196)</f>
        <v>2024</v>
      </c>
      <c r="B196" s="821">
        <v>45405</v>
      </c>
      <c r="C196">
        <v>4.7300000000000004</v>
      </c>
      <c r="D196">
        <f t="shared" ref="D196:D259" si="9">IF(C196&gt;4,1,0)</f>
        <v>1</v>
      </c>
    </row>
    <row r="197" spans="1:4" x14ac:dyDescent="0.55000000000000004">
      <c r="A197">
        <f t="shared" si="8"/>
        <v>2024</v>
      </c>
      <c r="B197" s="821">
        <v>45404</v>
      </c>
      <c r="C197">
        <v>4.72</v>
      </c>
      <c r="D197">
        <f t="shared" si="9"/>
        <v>1</v>
      </c>
    </row>
    <row r="198" spans="1:4" x14ac:dyDescent="0.55000000000000004">
      <c r="A198">
        <f t="shared" si="8"/>
        <v>2024</v>
      </c>
      <c r="B198" s="821">
        <v>45401</v>
      </c>
      <c r="C198">
        <v>4.72</v>
      </c>
      <c r="D198">
        <f t="shared" si="9"/>
        <v>1</v>
      </c>
    </row>
    <row r="199" spans="1:4" x14ac:dyDescent="0.55000000000000004">
      <c r="A199">
        <f t="shared" si="8"/>
        <v>2024</v>
      </c>
      <c r="B199" s="821">
        <v>45400</v>
      </c>
      <c r="C199">
        <v>4.74</v>
      </c>
      <c r="D199">
        <f t="shared" si="9"/>
        <v>1</v>
      </c>
    </row>
    <row r="200" spans="1:4" x14ac:dyDescent="0.55000000000000004">
      <c r="A200">
        <f t="shared" si="8"/>
        <v>2024</v>
      </c>
      <c r="B200" s="821">
        <v>45399</v>
      </c>
      <c r="C200">
        <v>4.71</v>
      </c>
      <c r="D200">
        <f t="shared" si="9"/>
        <v>1</v>
      </c>
    </row>
    <row r="201" spans="1:4" x14ac:dyDescent="0.55000000000000004">
      <c r="A201">
        <f t="shared" si="8"/>
        <v>2024</v>
      </c>
      <c r="B201" s="821">
        <v>45398</v>
      </c>
      <c r="C201">
        <v>4.7699999999999996</v>
      </c>
      <c r="D201">
        <f t="shared" si="9"/>
        <v>1</v>
      </c>
    </row>
    <row r="202" spans="1:4" x14ac:dyDescent="0.55000000000000004">
      <c r="A202">
        <f t="shared" si="8"/>
        <v>2024</v>
      </c>
      <c r="B202" s="821">
        <v>45397</v>
      </c>
      <c r="C202">
        <v>4.74</v>
      </c>
      <c r="D202">
        <f t="shared" si="9"/>
        <v>1</v>
      </c>
    </row>
    <row r="203" spans="1:4" x14ac:dyDescent="0.55000000000000004">
      <c r="A203">
        <f t="shared" si="8"/>
        <v>2024</v>
      </c>
      <c r="B203" s="821">
        <v>45394</v>
      </c>
      <c r="C203">
        <v>4.6100000000000003</v>
      </c>
      <c r="D203">
        <f t="shared" si="9"/>
        <v>1</v>
      </c>
    </row>
    <row r="204" spans="1:4" x14ac:dyDescent="0.55000000000000004">
      <c r="A204">
        <f t="shared" si="8"/>
        <v>2024</v>
      </c>
      <c r="B204" s="821">
        <v>45393</v>
      </c>
      <c r="C204">
        <v>4.6500000000000004</v>
      </c>
      <c r="D204">
        <f t="shared" si="9"/>
        <v>1</v>
      </c>
    </row>
    <row r="205" spans="1:4" x14ac:dyDescent="0.55000000000000004">
      <c r="A205">
        <f t="shared" si="8"/>
        <v>2024</v>
      </c>
      <c r="B205" s="821">
        <v>45392</v>
      </c>
      <c r="C205">
        <v>4.6399999999999997</v>
      </c>
      <c r="D205">
        <f t="shared" si="9"/>
        <v>1</v>
      </c>
    </row>
    <row r="206" spans="1:4" x14ac:dyDescent="0.55000000000000004">
      <c r="A206">
        <f t="shared" si="8"/>
        <v>2024</v>
      </c>
      <c r="B206" s="821">
        <v>45391</v>
      </c>
      <c r="C206">
        <v>4.5</v>
      </c>
      <c r="D206">
        <f t="shared" si="9"/>
        <v>1</v>
      </c>
    </row>
    <row r="207" spans="1:4" x14ac:dyDescent="0.55000000000000004">
      <c r="A207">
        <f t="shared" si="8"/>
        <v>2024</v>
      </c>
      <c r="B207" s="821">
        <v>45390</v>
      </c>
      <c r="C207">
        <v>4.55</v>
      </c>
      <c r="D207">
        <f t="shared" si="9"/>
        <v>1</v>
      </c>
    </row>
    <row r="208" spans="1:4" x14ac:dyDescent="0.55000000000000004">
      <c r="A208">
        <f t="shared" si="8"/>
        <v>2024</v>
      </c>
      <c r="B208" s="821">
        <v>45387</v>
      </c>
      <c r="C208">
        <v>4.54</v>
      </c>
      <c r="D208">
        <f t="shared" si="9"/>
        <v>1</v>
      </c>
    </row>
    <row r="209" spans="1:4" x14ac:dyDescent="0.55000000000000004">
      <c r="A209">
        <f t="shared" si="8"/>
        <v>2024</v>
      </c>
      <c r="B209" s="821">
        <v>45386</v>
      </c>
      <c r="C209">
        <v>4.47</v>
      </c>
      <c r="D209">
        <f t="shared" si="9"/>
        <v>1</v>
      </c>
    </row>
    <row r="210" spans="1:4" x14ac:dyDescent="0.55000000000000004">
      <c r="A210">
        <f t="shared" si="8"/>
        <v>2024</v>
      </c>
      <c r="B210" s="821">
        <v>45385</v>
      </c>
      <c r="C210">
        <v>4.51</v>
      </c>
      <c r="D210">
        <f t="shared" si="9"/>
        <v>1</v>
      </c>
    </row>
    <row r="211" spans="1:4" x14ac:dyDescent="0.55000000000000004">
      <c r="A211">
        <f t="shared" si="8"/>
        <v>2024</v>
      </c>
      <c r="B211" s="821">
        <v>45384</v>
      </c>
      <c r="C211">
        <v>4.51</v>
      </c>
      <c r="D211">
        <f t="shared" si="9"/>
        <v>1</v>
      </c>
    </row>
    <row r="212" spans="1:4" x14ac:dyDescent="0.55000000000000004">
      <c r="A212">
        <f t="shared" si="8"/>
        <v>2024</v>
      </c>
      <c r="B212" s="821">
        <v>45383</v>
      </c>
      <c r="C212">
        <v>4.47</v>
      </c>
      <c r="D212">
        <f t="shared" si="9"/>
        <v>1</v>
      </c>
    </row>
    <row r="213" spans="1:4" x14ac:dyDescent="0.55000000000000004">
      <c r="A213">
        <f t="shared" si="8"/>
        <v>2024</v>
      </c>
      <c r="B213" s="821">
        <v>45379</v>
      </c>
      <c r="C213">
        <v>4.34</v>
      </c>
      <c r="D213">
        <f t="shared" si="9"/>
        <v>1</v>
      </c>
    </row>
    <row r="214" spans="1:4" x14ac:dyDescent="0.55000000000000004">
      <c r="A214">
        <f t="shared" si="8"/>
        <v>2024</v>
      </c>
      <c r="B214" s="821">
        <v>45378</v>
      </c>
      <c r="C214">
        <v>4.3600000000000003</v>
      </c>
      <c r="D214">
        <f t="shared" si="9"/>
        <v>1</v>
      </c>
    </row>
    <row r="215" spans="1:4" x14ac:dyDescent="0.55000000000000004">
      <c r="A215">
        <f t="shared" si="8"/>
        <v>2024</v>
      </c>
      <c r="B215" s="821">
        <v>45377</v>
      </c>
      <c r="C215">
        <v>4.4000000000000004</v>
      </c>
      <c r="D215">
        <f t="shared" si="9"/>
        <v>1</v>
      </c>
    </row>
    <row r="216" spans="1:4" x14ac:dyDescent="0.55000000000000004">
      <c r="A216">
        <f t="shared" si="8"/>
        <v>2024</v>
      </c>
      <c r="B216" s="821">
        <v>45376</v>
      </c>
      <c r="C216">
        <v>4.42</v>
      </c>
      <c r="D216">
        <f t="shared" si="9"/>
        <v>1</v>
      </c>
    </row>
    <row r="217" spans="1:4" x14ac:dyDescent="0.55000000000000004">
      <c r="A217">
        <f t="shared" si="8"/>
        <v>2024</v>
      </c>
      <c r="B217" s="821">
        <v>45373</v>
      </c>
      <c r="C217">
        <v>4.3899999999999997</v>
      </c>
      <c r="D217">
        <f t="shared" si="9"/>
        <v>1</v>
      </c>
    </row>
    <row r="218" spans="1:4" x14ac:dyDescent="0.55000000000000004">
      <c r="A218">
        <f t="shared" si="8"/>
        <v>2024</v>
      </c>
      <c r="B218" s="821">
        <v>45372</v>
      </c>
      <c r="C218">
        <v>4.4400000000000004</v>
      </c>
      <c r="D218">
        <f t="shared" si="9"/>
        <v>1</v>
      </c>
    </row>
    <row r="219" spans="1:4" x14ac:dyDescent="0.55000000000000004">
      <c r="A219">
        <f t="shared" si="8"/>
        <v>2024</v>
      </c>
      <c r="B219" s="821">
        <v>45371</v>
      </c>
      <c r="C219">
        <v>4.45</v>
      </c>
      <c r="D219">
        <f t="shared" si="9"/>
        <v>1</v>
      </c>
    </row>
    <row r="220" spans="1:4" x14ac:dyDescent="0.55000000000000004">
      <c r="A220">
        <f t="shared" si="8"/>
        <v>2024</v>
      </c>
      <c r="B220" s="821">
        <v>45370</v>
      </c>
      <c r="C220">
        <v>4.4400000000000004</v>
      </c>
      <c r="D220">
        <f t="shared" si="9"/>
        <v>1</v>
      </c>
    </row>
    <row r="221" spans="1:4" x14ac:dyDescent="0.55000000000000004">
      <c r="A221">
        <f t="shared" si="8"/>
        <v>2024</v>
      </c>
      <c r="B221" s="821">
        <v>45369</v>
      </c>
      <c r="C221">
        <v>4.46</v>
      </c>
      <c r="D221">
        <f t="shared" si="9"/>
        <v>1</v>
      </c>
    </row>
    <row r="222" spans="1:4" x14ac:dyDescent="0.55000000000000004">
      <c r="A222">
        <f t="shared" si="8"/>
        <v>2024</v>
      </c>
      <c r="B222" s="821">
        <v>45366</v>
      </c>
      <c r="C222">
        <v>4.43</v>
      </c>
      <c r="D222">
        <f t="shared" si="9"/>
        <v>1</v>
      </c>
    </row>
    <row r="223" spans="1:4" x14ac:dyDescent="0.55000000000000004">
      <c r="A223">
        <f t="shared" si="8"/>
        <v>2024</v>
      </c>
      <c r="B223" s="821">
        <v>45365</v>
      </c>
      <c r="C223">
        <v>4.4400000000000004</v>
      </c>
      <c r="D223">
        <f t="shared" si="9"/>
        <v>1</v>
      </c>
    </row>
    <row r="224" spans="1:4" x14ac:dyDescent="0.55000000000000004">
      <c r="A224">
        <f t="shared" si="8"/>
        <v>2024</v>
      </c>
      <c r="B224" s="821">
        <v>45364</v>
      </c>
      <c r="C224">
        <v>4.3499999999999996</v>
      </c>
      <c r="D224">
        <f t="shared" si="9"/>
        <v>1</v>
      </c>
    </row>
    <row r="225" spans="1:4" x14ac:dyDescent="0.55000000000000004">
      <c r="A225">
        <f t="shared" si="8"/>
        <v>2024</v>
      </c>
      <c r="B225" s="821">
        <v>45363</v>
      </c>
      <c r="C225">
        <v>4.3099999999999996</v>
      </c>
      <c r="D225">
        <f t="shared" si="9"/>
        <v>1</v>
      </c>
    </row>
    <row r="226" spans="1:4" x14ac:dyDescent="0.55000000000000004">
      <c r="A226">
        <f t="shared" si="8"/>
        <v>2024</v>
      </c>
      <c r="B226" s="821">
        <v>45362</v>
      </c>
      <c r="C226">
        <v>4.26</v>
      </c>
      <c r="D226">
        <f t="shared" si="9"/>
        <v>1</v>
      </c>
    </row>
    <row r="227" spans="1:4" x14ac:dyDescent="0.55000000000000004">
      <c r="A227">
        <f t="shared" si="8"/>
        <v>2024</v>
      </c>
      <c r="B227" s="821">
        <v>45359</v>
      </c>
      <c r="C227">
        <v>4.26</v>
      </c>
      <c r="D227">
        <f t="shared" si="9"/>
        <v>1</v>
      </c>
    </row>
    <row r="228" spans="1:4" x14ac:dyDescent="0.55000000000000004">
      <c r="A228">
        <f t="shared" si="8"/>
        <v>2024</v>
      </c>
      <c r="B228" s="821">
        <v>45358</v>
      </c>
      <c r="C228">
        <v>4.25</v>
      </c>
      <c r="D228">
        <f t="shared" si="9"/>
        <v>1</v>
      </c>
    </row>
    <row r="229" spans="1:4" x14ac:dyDescent="0.55000000000000004">
      <c r="A229">
        <f t="shared" si="8"/>
        <v>2024</v>
      </c>
      <c r="B229" s="821">
        <v>45357</v>
      </c>
      <c r="C229">
        <v>4.24</v>
      </c>
      <c r="D229">
        <f t="shared" si="9"/>
        <v>1</v>
      </c>
    </row>
    <row r="230" spans="1:4" x14ac:dyDescent="0.55000000000000004">
      <c r="A230">
        <f t="shared" si="8"/>
        <v>2024</v>
      </c>
      <c r="B230" s="821">
        <v>45356</v>
      </c>
      <c r="C230">
        <v>4.2699999999999996</v>
      </c>
      <c r="D230">
        <f t="shared" si="9"/>
        <v>1</v>
      </c>
    </row>
    <row r="231" spans="1:4" x14ac:dyDescent="0.55000000000000004">
      <c r="A231">
        <f t="shared" si="8"/>
        <v>2024</v>
      </c>
      <c r="B231" s="821">
        <v>45355</v>
      </c>
      <c r="C231">
        <v>4.3600000000000003</v>
      </c>
      <c r="D231">
        <f t="shared" si="9"/>
        <v>1</v>
      </c>
    </row>
    <row r="232" spans="1:4" x14ac:dyDescent="0.55000000000000004">
      <c r="A232">
        <f t="shared" si="8"/>
        <v>2024</v>
      </c>
      <c r="B232" s="821">
        <v>45352</v>
      </c>
      <c r="C232">
        <v>4.33</v>
      </c>
      <c r="D232">
        <f t="shared" si="9"/>
        <v>1</v>
      </c>
    </row>
    <row r="233" spans="1:4" x14ac:dyDescent="0.55000000000000004">
      <c r="A233">
        <f t="shared" si="8"/>
        <v>2024</v>
      </c>
      <c r="B233" s="821">
        <v>45351</v>
      </c>
      <c r="C233">
        <v>4.38</v>
      </c>
      <c r="D233">
        <f t="shared" si="9"/>
        <v>1</v>
      </c>
    </row>
    <row r="234" spans="1:4" x14ac:dyDescent="0.55000000000000004">
      <c r="A234">
        <f t="shared" si="8"/>
        <v>2024</v>
      </c>
      <c r="B234" s="821">
        <v>45350</v>
      </c>
      <c r="C234">
        <v>4.4000000000000004</v>
      </c>
      <c r="D234">
        <f t="shared" si="9"/>
        <v>1</v>
      </c>
    </row>
    <row r="235" spans="1:4" x14ac:dyDescent="0.55000000000000004">
      <c r="A235">
        <f t="shared" si="8"/>
        <v>2024</v>
      </c>
      <c r="B235" s="821">
        <v>45349</v>
      </c>
      <c r="C235">
        <v>4.4400000000000004</v>
      </c>
      <c r="D235">
        <f t="shared" si="9"/>
        <v>1</v>
      </c>
    </row>
    <row r="236" spans="1:4" x14ac:dyDescent="0.55000000000000004">
      <c r="A236">
        <f t="shared" si="8"/>
        <v>2024</v>
      </c>
      <c r="B236" s="821">
        <v>45348</v>
      </c>
      <c r="C236">
        <v>4.4000000000000004</v>
      </c>
      <c r="D236">
        <f t="shared" si="9"/>
        <v>1</v>
      </c>
    </row>
    <row r="237" spans="1:4" x14ac:dyDescent="0.55000000000000004">
      <c r="A237">
        <f t="shared" si="8"/>
        <v>2024</v>
      </c>
      <c r="B237" s="821">
        <v>45345</v>
      </c>
      <c r="C237">
        <v>4.37</v>
      </c>
      <c r="D237">
        <f t="shared" si="9"/>
        <v>1</v>
      </c>
    </row>
    <row r="238" spans="1:4" x14ac:dyDescent="0.55000000000000004">
      <c r="A238">
        <f t="shared" si="8"/>
        <v>2024</v>
      </c>
      <c r="B238" s="821">
        <v>45344</v>
      </c>
      <c r="C238">
        <v>4.47</v>
      </c>
      <c r="D238">
        <f t="shared" si="9"/>
        <v>1</v>
      </c>
    </row>
    <row r="239" spans="1:4" x14ac:dyDescent="0.55000000000000004">
      <c r="A239">
        <f t="shared" si="8"/>
        <v>2024</v>
      </c>
      <c r="B239" s="821">
        <v>45343</v>
      </c>
      <c r="C239">
        <v>4.49</v>
      </c>
      <c r="D239">
        <f t="shared" si="9"/>
        <v>1</v>
      </c>
    </row>
    <row r="240" spans="1:4" x14ac:dyDescent="0.55000000000000004">
      <c r="A240">
        <f t="shared" si="8"/>
        <v>2024</v>
      </c>
      <c r="B240" s="821">
        <v>45342</v>
      </c>
      <c r="C240">
        <v>4.4400000000000004</v>
      </c>
      <c r="D240">
        <f t="shared" si="9"/>
        <v>1</v>
      </c>
    </row>
    <row r="241" spans="1:4" x14ac:dyDescent="0.55000000000000004">
      <c r="A241">
        <f t="shared" si="8"/>
        <v>2024</v>
      </c>
      <c r="B241" s="821">
        <v>45338</v>
      </c>
      <c r="C241">
        <v>4.45</v>
      </c>
      <c r="D241">
        <f t="shared" si="9"/>
        <v>1</v>
      </c>
    </row>
    <row r="242" spans="1:4" x14ac:dyDescent="0.55000000000000004">
      <c r="A242">
        <f t="shared" si="8"/>
        <v>2024</v>
      </c>
      <c r="B242" s="821">
        <v>45337</v>
      </c>
      <c r="C242">
        <v>4.42</v>
      </c>
      <c r="D242">
        <f t="shared" si="9"/>
        <v>1</v>
      </c>
    </row>
    <row r="243" spans="1:4" x14ac:dyDescent="0.55000000000000004">
      <c r="A243">
        <f t="shared" si="8"/>
        <v>2024</v>
      </c>
      <c r="B243" s="821">
        <v>45336</v>
      </c>
      <c r="C243">
        <v>4.45</v>
      </c>
      <c r="D243">
        <f t="shared" si="9"/>
        <v>1</v>
      </c>
    </row>
    <row r="244" spans="1:4" x14ac:dyDescent="0.55000000000000004">
      <c r="A244">
        <f t="shared" si="8"/>
        <v>2024</v>
      </c>
      <c r="B244" s="821">
        <v>45335</v>
      </c>
      <c r="C244">
        <v>4.46</v>
      </c>
      <c r="D244">
        <f t="shared" si="9"/>
        <v>1</v>
      </c>
    </row>
    <row r="245" spans="1:4" x14ac:dyDescent="0.55000000000000004">
      <c r="A245">
        <f t="shared" si="8"/>
        <v>2024</v>
      </c>
      <c r="B245" s="821">
        <v>45334</v>
      </c>
      <c r="C245">
        <v>4.37</v>
      </c>
      <c r="D245">
        <f t="shared" si="9"/>
        <v>1</v>
      </c>
    </row>
    <row r="246" spans="1:4" x14ac:dyDescent="0.55000000000000004">
      <c r="A246">
        <f t="shared" si="8"/>
        <v>2024</v>
      </c>
      <c r="B246" s="821">
        <v>45331</v>
      </c>
      <c r="C246">
        <v>4.37</v>
      </c>
      <c r="D246">
        <f t="shared" si="9"/>
        <v>1</v>
      </c>
    </row>
    <row r="247" spans="1:4" x14ac:dyDescent="0.55000000000000004">
      <c r="A247">
        <f t="shared" si="8"/>
        <v>2024</v>
      </c>
      <c r="B247" s="821">
        <v>45330</v>
      </c>
      <c r="C247">
        <v>4.3600000000000003</v>
      </c>
      <c r="D247">
        <f t="shared" si="9"/>
        <v>1</v>
      </c>
    </row>
    <row r="248" spans="1:4" x14ac:dyDescent="0.55000000000000004">
      <c r="A248">
        <f t="shared" si="8"/>
        <v>2024</v>
      </c>
      <c r="B248" s="821">
        <v>45329</v>
      </c>
      <c r="C248">
        <v>4.3099999999999996</v>
      </c>
      <c r="D248">
        <f t="shared" si="9"/>
        <v>1</v>
      </c>
    </row>
    <row r="249" spans="1:4" x14ac:dyDescent="0.55000000000000004">
      <c r="A249">
        <f t="shared" si="8"/>
        <v>2024</v>
      </c>
      <c r="B249" s="821">
        <v>45328</v>
      </c>
      <c r="C249">
        <v>4.29</v>
      </c>
      <c r="D249">
        <f t="shared" si="9"/>
        <v>1</v>
      </c>
    </row>
    <row r="250" spans="1:4" x14ac:dyDescent="0.55000000000000004">
      <c r="A250">
        <f t="shared" si="8"/>
        <v>2024</v>
      </c>
      <c r="B250" s="821">
        <v>45327</v>
      </c>
      <c r="C250">
        <v>4.3499999999999996</v>
      </c>
      <c r="D250">
        <f t="shared" si="9"/>
        <v>1</v>
      </c>
    </row>
    <row r="251" spans="1:4" x14ac:dyDescent="0.55000000000000004">
      <c r="A251">
        <f t="shared" si="8"/>
        <v>2024</v>
      </c>
      <c r="B251" s="821">
        <v>45324</v>
      </c>
      <c r="C251">
        <v>4.22</v>
      </c>
      <c r="D251">
        <f t="shared" si="9"/>
        <v>1</v>
      </c>
    </row>
    <row r="252" spans="1:4" x14ac:dyDescent="0.55000000000000004">
      <c r="A252">
        <f t="shared" si="8"/>
        <v>2024</v>
      </c>
      <c r="B252" s="821">
        <v>45323</v>
      </c>
      <c r="C252">
        <v>4.0999999999999996</v>
      </c>
      <c r="D252">
        <f t="shared" si="9"/>
        <v>1</v>
      </c>
    </row>
    <row r="253" spans="1:4" x14ac:dyDescent="0.55000000000000004">
      <c r="A253">
        <f t="shared" si="8"/>
        <v>2024</v>
      </c>
      <c r="B253" s="821">
        <v>45322</v>
      </c>
      <c r="C253">
        <v>4.22</v>
      </c>
      <c r="D253">
        <f t="shared" si="9"/>
        <v>1</v>
      </c>
    </row>
    <row r="254" spans="1:4" x14ac:dyDescent="0.55000000000000004">
      <c r="A254">
        <f t="shared" si="8"/>
        <v>2024</v>
      </c>
      <c r="B254" s="821">
        <v>45321</v>
      </c>
      <c r="C254">
        <v>4.28</v>
      </c>
      <c r="D254">
        <f t="shared" si="9"/>
        <v>1</v>
      </c>
    </row>
    <row r="255" spans="1:4" x14ac:dyDescent="0.55000000000000004">
      <c r="A255">
        <f t="shared" si="8"/>
        <v>2024</v>
      </c>
      <c r="B255" s="821">
        <v>45320</v>
      </c>
      <c r="C255">
        <v>4.3099999999999996</v>
      </c>
      <c r="D255">
        <f t="shared" si="9"/>
        <v>1</v>
      </c>
    </row>
    <row r="256" spans="1:4" x14ac:dyDescent="0.55000000000000004">
      <c r="A256">
        <f t="shared" si="8"/>
        <v>2024</v>
      </c>
      <c r="B256" s="821">
        <v>45317</v>
      </c>
      <c r="C256">
        <v>4.38</v>
      </c>
      <c r="D256">
        <f t="shared" si="9"/>
        <v>1</v>
      </c>
    </row>
    <row r="257" spans="1:4" x14ac:dyDescent="0.55000000000000004">
      <c r="A257">
        <f t="shared" si="8"/>
        <v>2024</v>
      </c>
      <c r="B257" s="821">
        <v>45316</v>
      </c>
      <c r="C257">
        <v>4.38</v>
      </c>
      <c r="D257">
        <f t="shared" si="9"/>
        <v>1</v>
      </c>
    </row>
    <row r="258" spans="1:4" x14ac:dyDescent="0.55000000000000004">
      <c r="A258">
        <f t="shared" si="8"/>
        <v>2024</v>
      </c>
      <c r="B258" s="821">
        <v>45315</v>
      </c>
      <c r="C258">
        <v>4.41</v>
      </c>
      <c r="D258">
        <f t="shared" si="9"/>
        <v>1</v>
      </c>
    </row>
    <row r="259" spans="1:4" x14ac:dyDescent="0.55000000000000004">
      <c r="A259">
        <f t="shared" si="8"/>
        <v>2024</v>
      </c>
      <c r="B259" s="821">
        <v>45314</v>
      </c>
      <c r="C259">
        <v>4.38</v>
      </c>
      <c r="D259">
        <f t="shared" si="9"/>
        <v>1</v>
      </c>
    </row>
    <row r="260" spans="1:4" x14ac:dyDescent="0.55000000000000004">
      <c r="A260">
        <f t="shared" ref="A260:A323" si="10">YEAR(B260)</f>
        <v>2024</v>
      </c>
      <c r="B260" s="821">
        <v>45313</v>
      </c>
      <c r="C260">
        <v>4.32</v>
      </c>
      <c r="D260">
        <f t="shared" ref="D260:D323" si="11">IF(C260&gt;4,1,0)</f>
        <v>1</v>
      </c>
    </row>
    <row r="261" spans="1:4" x14ac:dyDescent="0.55000000000000004">
      <c r="A261">
        <f t="shared" si="10"/>
        <v>2024</v>
      </c>
      <c r="B261" s="821">
        <v>45310</v>
      </c>
      <c r="C261">
        <v>4.3600000000000003</v>
      </c>
      <c r="D261">
        <f t="shared" si="11"/>
        <v>1</v>
      </c>
    </row>
    <row r="262" spans="1:4" x14ac:dyDescent="0.55000000000000004">
      <c r="A262">
        <f t="shared" si="10"/>
        <v>2024</v>
      </c>
      <c r="B262" s="821">
        <v>45309</v>
      </c>
      <c r="C262">
        <v>4.37</v>
      </c>
      <c r="D262">
        <f t="shared" si="11"/>
        <v>1</v>
      </c>
    </row>
    <row r="263" spans="1:4" x14ac:dyDescent="0.55000000000000004">
      <c r="A263">
        <f t="shared" si="10"/>
        <v>2024</v>
      </c>
      <c r="B263" s="821">
        <v>45308</v>
      </c>
      <c r="C263">
        <v>4.3099999999999996</v>
      </c>
      <c r="D263">
        <f t="shared" si="11"/>
        <v>1</v>
      </c>
    </row>
    <row r="264" spans="1:4" x14ac:dyDescent="0.55000000000000004">
      <c r="A264">
        <f t="shared" si="10"/>
        <v>2024</v>
      </c>
      <c r="B264" s="821">
        <v>45307</v>
      </c>
      <c r="C264">
        <v>4.3</v>
      </c>
      <c r="D264">
        <f t="shared" si="11"/>
        <v>1</v>
      </c>
    </row>
    <row r="265" spans="1:4" x14ac:dyDescent="0.55000000000000004">
      <c r="A265">
        <f t="shared" si="10"/>
        <v>2024</v>
      </c>
      <c r="B265" s="821">
        <v>45303</v>
      </c>
      <c r="C265">
        <v>4.2</v>
      </c>
      <c r="D265">
        <f t="shared" si="11"/>
        <v>1</v>
      </c>
    </row>
    <row r="266" spans="1:4" x14ac:dyDescent="0.55000000000000004">
      <c r="A266">
        <f t="shared" si="10"/>
        <v>2024</v>
      </c>
      <c r="B266" s="821">
        <v>45302</v>
      </c>
      <c r="C266">
        <v>4.18</v>
      </c>
      <c r="D266">
        <f t="shared" si="11"/>
        <v>1</v>
      </c>
    </row>
    <row r="267" spans="1:4" x14ac:dyDescent="0.55000000000000004">
      <c r="A267">
        <f t="shared" si="10"/>
        <v>2024</v>
      </c>
      <c r="B267" s="821">
        <v>45301</v>
      </c>
      <c r="C267">
        <v>4.2</v>
      </c>
      <c r="D267">
        <f t="shared" si="11"/>
        <v>1</v>
      </c>
    </row>
    <row r="268" spans="1:4" x14ac:dyDescent="0.55000000000000004">
      <c r="A268">
        <f t="shared" si="10"/>
        <v>2024</v>
      </c>
      <c r="B268" s="821">
        <v>45300</v>
      </c>
      <c r="C268">
        <v>4.18</v>
      </c>
      <c r="D268">
        <f t="shared" si="11"/>
        <v>1</v>
      </c>
    </row>
    <row r="269" spans="1:4" x14ac:dyDescent="0.55000000000000004">
      <c r="A269">
        <f t="shared" si="10"/>
        <v>2024</v>
      </c>
      <c r="B269" s="821">
        <v>45299</v>
      </c>
      <c r="C269">
        <v>4.17</v>
      </c>
      <c r="D269">
        <f t="shared" si="11"/>
        <v>1</v>
      </c>
    </row>
    <row r="270" spans="1:4" x14ac:dyDescent="0.55000000000000004">
      <c r="A270">
        <f t="shared" si="10"/>
        <v>2024</v>
      </c>
      <c r="B270" s="821">
        <v>45296</v>
      </c>
      <c r="C270">
        <v>4.21</v>
      </c>
      <c r="D270">
        <f t="shared" si="11"/>
        <v>1</v>
      </c>
    </row>
    <row r="271" spans="1:4" x14ac:dyDescent="0.55000000000000004">
      <c r="A271">
        <f t="shared" si="10"/>
        <v>2024</v>
      </c>
      <c r="B271" s="821">
        <v>45295</v>
      </c>
      <c r="C271">
        <v>4.13</v>
      </c>
      <c r="D271">
        <f t="shared" si="11"/>
        <v>1</v>
      </c>
    </row>
    <row r="272" spans="1:4" x14ac:dyDescent="0.55000000000000004">
      <c r="A272">
        <f t="shared" si="10"/>
        <v>2024</v>
      </c>
      <c r="B272" s="821">
        <v>45294</v>
      </c>
      <c r="C272">
        <v>4.05</v>
      </c>
      <c r="D272">
        <f t="shared" si="11"/>
        <v>1</v>
      </c>
    </row>
    <row r="273" spans="1:4" x14ac:dyDescent="0.55000000000000004">
      <c r="A273">
        <f t="shared" si="10"/>
        <v>2024</v>
      </c>
      <c r="B273" s="821">
        <v>45293</v>
      </c>
      <c r="C273">
        <v>4.08</v>
      </c>
      <c r="D273">
        <f t="shared" si="11"/>
        <v>1</v>
      </c>
    </row>
    <row r="274" spans="1:4" x14ac:dyDescent="0.55000000000000004">
      <c r="A274">
        <f t="shared" si="10"/>
        <v>2023</v>
      </c>
      <c r="B274" s="821">
        <v>45289</v>
      </c>
      <c r="C274">
        <v>4.03</v>
      </c>
      <c r="D274">
        <f t="shared" si="11"/>
        <v>1</v>
      </c>
    </row>
    <row r="275" spans="1:4" x14ac:dyDescent="0.55000000000000004">
      <c r="A275">
        <f t="shared" si="10"/>
        <v>2023</v>
      </c>
      <c r="B275" s="821">
        <v>45288</v>
      </c>
      <c r="C275">
        <v>3.98</v>
      </c>
      <c r="D275">
        <f t="shared" si="11"/>
        <v>0</v>
      </c>
    </row>
    <row r="276" spans="1:4" x14ac:dyDescent="0.55000000000000004">
      <c r="A276">
        <f t="shared" si="10"/>
        <v>2023</v>
      </c>
      <c r="B276" s="821">
        <v>45287</v>
      </c>
      <c r="C276">
        <v>3.95</v>
      </c>
      <c r="D276">
        <f t="shared" si="11"/>
        <v>0</v>
      </c>
    </row>
    <row r="277" spans="1:4" x14ac:dyDescent="0.55000000000000004">
      <c r="A277">
        <f t="shared" si="10"/>
        <v>2023</v>
      </c>
      <c r="B277" s="821">
        <v>45286</v>
      </c>
      <c r="C277">
        <v>4.04</v>
      </c>
      <c r="D277">
        <f t="shared" si="11"/>
        <v>1</v>
      </c>
    </row>
    <row r="278" spans="1:4" x14ac:dyDescent="0.55000000000000004">
      <c r="A278">
        <f t="shared" si="10"/>
        <v>2023</v>
      </c>
      <c r="B278" s="821">
        <v>45282</v>
      </c>
      <c r="C278">
        <v>4.05</v>
      </c>
      <c r="D278">
        <f t="shared" si="11"/>
        <v>1</v>
      </c>
    </row>
    <row r="279" spans="1:4" x14ac:dyDescent="0.55000000000000004">
      <c r="A279">
        <f t="shared" si="10"/>
        <v>2023</v>
      </c>
      <c r="B279" s="821">
        <v>45281</v>
      </c>
      <c r="C279">
        <v>4.03</v>
      </c>
      <c r="D279">
        <f t="shared" si="11"/>
        <v>1</v>
      </c>
    </row>
    <row r="280" spans="1:4" x14ac:dyDescent="0.55000000000000004">
      <c r="A280">
        <f t="shared" si="10"/>
        <v>2023</v>
      </c>
      <c r="B280" s="821">
        <v>45280</v>
      </c>
      <c r="C280">
        <v>3.98</v>
      </c>
      <c r="D280">
        <f t="shared" si="11"/>
        <v>0</v>
      </c>
    </row>
    <row r="281" spans="1:4" x14ac:dyDescent="0.55000000000000004">
      <c r="A281">
        <f t="shared" si="10"/>
        <v>2023</v>
      </c>
      <c r="B281" s="821">
        <v>45279</v>
      </c>
      <c r="C281">
        <v>4.03</v>
      </c>
      <c r="D281">
        <f t="shared" si="11"/>
        <v>1</v>
      </c>
    </row>
    <row r="282" spans="1:4" x14ac:dyDescent="0.55000000000000004">
      <c r="A282">
        <f t="shared" si="10"/>
        <v>2023</v>
      </c>
      <c r="B282" s="821">
        <v>45278</v>
      </c>
      <c r="C282">
        <v>4.05</v>
      </c>
      <c r="D282">
        <f t="shared" si="11"/>
        <v>1</v>
      </c>
    </row>
    <row r="283" spans="1:4" x14ac:dyDescent="0.55000000000000004">
      <c r="A283">
        <f t="shared" si="10"/>
        <v>2023</v>
      </c>
      <c r="B283" s="821">
        <v>45275</v>
      </c>
      <c r="C283">
        <v>4</v>
      </c>
      <c r="D283">
        <f t="shared" si="11"/>
        <v>0</v>
      </c>
    </row>
    <row r="284" spans="1:4" x14ac:dyDescent="0.55000000000000004">
      <c r="A284">
        <f t="shared" si="10"/>
        <v>2023</v>
      </c>
      <c r="B284" s="821">
        <v>45274</v>
      </c>
      <c r="C284">
        <v>4.03</v>
      </c>
      <c r="D284">
        <f t="shared" si="11"/>
        <v>1</v>
      </c>
    </row>
    <row r="285" spans="1:4" x14ac:dyDescent="0.55000000000000004">
      <c r="A285">
        <f t="shared" si="10"/>
        <v>2023</v>
      </c>
      <c r="B285" s="821">
        <v>45273</v>
      </c>
      <c r="C285">
        <v>4.1900000000000004</v>
      </c>
      <c r="D285">
        <f t="shared" si="11"/>
        <v>1</v>
      </c>
    </row>
    <row r="286" spans="1:4" x14ac:dyDescent="0.55000000000000004">
      <c r="A286">
        <f t="shared" si="10"/>
        <v>2023</v>
      </c>
      <c r="B286" s="821">
        <v>45272</v>
      </c>
      <c r="C286">
        <v>4.3</v>
      </c>
      <c r="D286">
        <f t="shared" si="11"/>
        <v>1</v>
      </c>
    </row>
    <row r="287" spans="1:4" x14ac:dyDescent="0.55000000000000004">
      <c r="A287">
        <f t="shared" si="10"/>
        <v>2023</v>
      </c>
      <c r="B287" s="821">
        <v>45271</v>
      </c>
      <c r="C287">
        <v>4.32</v>
      </c>
      <c r="D287">
        <f t="shared" si="11"/>
        <v>1</v>
      </c>
    </row>
    <row r="288" spans="1:4" x14ac:dyDescent="0.55000000000000004">
      <c r="A288">
        <f t="shared" si="10"/>
        <v>2023</v>
      </c>
      <c r="B288" s="821">
        <v>45268</v>
      </c>
      <c r="C288">
        <v>4.3099999999999996</v>
      </c>
      <c r="D288">
        <f t="shared" si="11"/>
        <v>1</v>
      </c>
    </row>
    <row r="289" spans="1:4" x14ac:dyDescent="0.55000000000000004">
      <c r="A289">
        <f t="shared" si="10"/>
        <v>2023</v>
      </c>
      <c r="B289" s="821">
        <v>45267</v>
      </c>
      <c r="C289">
        <v>4.25</v>
      </c>
      <c r="D289">
        <f t="shared" si="11"/>
        <v>1</v>
      </c>
    </row>
    <row r="290" spans="1:4" x14ac:dyDescent="0.55000000000000004">
      <c r="A290">
        <f t="shared" si="10"/>
        <v>2023</v>
      </c>
      <c r="B290" s="821">
        <v>45266</v>
      </c>
      <c r="C290">
        <v>4.22</v>
      </c>
      <c r="D290">
        <f t="shared" si="11"/>
        <v>1</v>
      </c>
    </row>
    <row r="291" spans="1:4" x14ac:dyDescent="0.55000000000000004">
      <c r="A291">
        <f t="shared" si="10"/>
        <v>2023</v>
      </c>
      <c r="B291" s="821">
        <v>45265</v>
      </c>
      <c r="C291">
        <v>4.3</v>
      </c>
      <c r="D291">
        <f t="shared" si="11"/>
        <v>1</v>
      </c>
    </row>
    <row r="292" spans="1:4" x14ac:dyDescent="0.55000000000000004">
      <c r="A292">
        <f t="shared" si="10"/>
        <v>2023</v>
      </c>
      <c r="B292" s="821">
        <v>45264</v>
      </c>
      <c r="C292">
        <v>4.43</v>
      </c>
      <c r="D292">
        <f t="shared" si="11"/>
        <v>1</v>
      </c>
    </row>
    <row r="293" spans="1:4" x14ac:dyDescent="0.55000000000000004">
      <c r="A293">
        <f t="shared" si="10"/>
        <v>2023</v>
      </c>
      <c r="B293" s="821">
        <v>45261</v>
      </c>
      <c r="C293">
        <v>4.4000000000000004</v>
      </c>
      <c r="D293">
        <f t="shared" si="11"/>
        <v>1</v>
      </c>
    </row>
    <row r="294" spans="1:4" x14ac:dyDescent="0.55000000000000004">
      <c r="A294">
        <f t="shared" si="10"/>
        <v>2023</v>
      </c>
      <c r="B294" s="821">
        <v>45260</v>
      </c>
      <c r="C294">
        <v>4.54</v>
      </c>
      <c r="D294">
        <f t="shared" si="11"/>
        <v>1</v>
      </c>
    </row>
    <row r="295" spans="1:4" x14ac:dyDescent="0.55000000000000004">
      <c r="A295">
        <f t="shared" si="10"/>
        <v>2023</v>
      </c>
      <c r="B295" s="821">
        <v>45259</v>
      </c>
      <c r="C295">
        <v>4.4400000000000004</v>
      </c>
      <c r="D295">
        <f t="shared" si="11"/>
        <v>1</v>
      </c>
    </row>
    <row r="296" spans="1:4" x14ac:dyDescent="0.55000000000000004">
      <c r="A296">
        <f t="shared" si="10"/>
        <v>2023</v>
      </c>
      <c r="B296" s="821">
        <v>45258</v>
      </c>
      <c r="C296">
        <v>4.5199999999999996</v>
      </c>
      <c r="D296">
        <f t="shared" si="11"/>
        <v>1</v>
      </c>
    </row>
    <row r="297" spans="1:4" x14ac:dyDescent="0.55000000000000004">
      <c r="A297">
        <f t="shared" si="10"/>
        <v>2023</v>
      </c>
      <c r="B297" s="821">
        <v>45257</v>
      </c>
      <c r="C297">
        <v>4.53</v>
      </c>
      <c r="D297">
        <f t="shared" si="11"/>
        <v>1</v>
      </c>
    </row>
    <row r="298" spans="1:4" x14ac:dyDescent="0.55000000000000004">
      <c r="A298">
        <f t="shared" si="10"/>
        <v>2023</v>
      </c>
      <c r="B298" s="821">
        <v>45254</v>
      </c>
      <c r="C298">
        <v>4.5999999999999996</v>
      </c>
      <c r="D298">
        <f t="shared" si="11"/>
        <v>1</v>
      </c>
    </row>
    <row r="299" spans="1:4" x14ac:dyDescent="0.55000000000000004">
      <c r="A299">
        <f t="shared" si="10"/>
        <v>2023</v>
      </c>
      <c r="B299" s="821">
        <v>45252</v>
      </c>
      <c r="C299">
        <v>4.55</v>
      </c>
      <c r="D299">
        <f t="shared" si="11"/>
        <v>1</v>
      </c>
    </row>
    <row r="300" spans="1:4" x14ac:dyDescent="0.55000000000000004">
      <c r="A300">
        <f t="shared" si="10"/>
        <v>2023</v>
      </c>
      <c r="B300" s="821">
        <v>45251</v>
      </c>
      <c r="C300">
        <v>4.57</v>
      </c>
      <c r="D300">
        <f t="shared" si="11"/>
        <v>1</v>
      </c>
    </row>
    <row r="301" spans="1:4" x14ac:dyDescent="0.55000000000000004">
      <c r="A301">
        <f t="shared" si="10"/>
        <v>2023</v>
      </c>
      <c r="B301" s="821">
        <v>45250</v>
      </c>
      <c r="C301">
        <v>4.57</v>
      </c>
      <c r="D301">
        <f t="shared" si="11"/>
        <v>1</v>
      </c>
    </row>
    <row r="302" spans="1:4" x14ac:dyDescent="0.55000000000000004">
      <c r="A302">
        <f t="shared" si="10"/>
        <v>2023</v>
      </c>
      <c r="B302" s="821">
        <v>45247</v>
      </c>
      <c r="C302">
        <v>4.59</v>
      </c>
      <c r="D302">
        <f t="shared" si="11"/>
        <v>1</v>
      </c>
    </row>
    <row r="303" spans="1:4" x14ac:dyDescent="0.55000000000000004">
      <c r="A303">
        <f t="shared" si="10"/>
        <v>2023</v>
      </c>
      <c r="B303" s="821">
        <v>45246</v>
      </c>
      <c r="C303">
        <v>4.63</v>
      </c>
      <c r="D303">
        <f t="shared" si="11"/>
        <v>1</v>
      </c>
    </row>
    <row r="304" spans="1:4" x14ac:dyDescent="0.55000000000000004">
      <c r="A304">
        <f t="shared" si="10"/>
        <v>2023</v>
      </c>
      <c r="B304" s="821">
        <v>45245</v>
      </c>
      <c r="C304">
        <v>4.68</v>
      </c>
      <c r="D304">
        <f t="shared" si="11"/>
        <v>1</v>
      </c>
    </row>
    <row r="305" spans="1:4" x14ac:dyDescent="0.55000000000000004">
      <c r="A305">
        <f t="shared" si="10"/>
        <v>2023</v>
      </c>
      <c r="B305" s="821">
        <v>45244</v>
      </c>
      <c r="C305">
        <v>4.6100000000000003</v>
      </c>
      <c r="D305">
        <f t="shared" si="11"/>
        <v>1</v>
      </c>
    </row>
    <row r="306" spans="1:4" x14ac:dyDescent="0.55000000000000004">
      <c r="A306">
        <f t="shared" si="10"/>
        <v>2023</v>
      </c>
      <c r="B306" s="821">
        <v>45243</v>
      </c>
      <c r="C306">
        <v>4.75</v>
      </c>
      <c r="D306">
        <f t="shared" si="11"/>
        <v>1</v>
      </c>
    </row>
    <row r="307" spans="1:4" x14ac:dyDescent="0.55000000000000004">
      <c r="A307">
        <f t="shared" si="10"/>
        <v>2023</v>
      </c>
      <c r="B307" s="821">
        <v>45240</v>
      </c>
      <c r="C307">
        <v>4.7300000000000004</v>
      </c>
      <c r="D307">
        <f t="shared" si="11"/>
        <v>1</v>
      </c>
    </row>
    <row r="308" spans="1:4" x14ac:dyDescent="0.55000000000000004">
      <c r="A308">
        <f t="shared" si="10"/>
        <v>2023</v>
      </c>
      <c r="B308" s="821">
        <v>45239</v>
      </c>
      <c r="C308">
        <v>4.7699999999999996</v>
      </c>
      <c r="D308">
        <f t="shared" si="11"/>
        <v>1</v>
      </c>
    </row>
    <row r="309" spans="1:4" x14ac:dyDescent="0.55000000000000004">
      <c r="A309">
        <f t="shared" si="10"/>
        <v>2023</v>
      </c>
      <c r="B309" s="821">
        <v>45238</v>
      </c>
      <c r="C309">
        <v>4.6399999999999997</v>
      </c>
      <c r="D309">
        <f t="shared" si="11"/>
        <v>1</v>
      </c>
    </row>
    <row r="310" spans="1:4" x14ac:dyDescent="0.55000000000000004">
      <c r="A310">
        <f t="shared" si="10"/>
        <v>2023</v>
      </c>
      <c r="B310" s="821">
        <v>45237</v>
      </c>
      <c r="C310">
        <v>4.75</v>
      </c>
      <c r="D310">
        <f t="shared" si="11"/>
        <v>1</v>
      </c>
    </row>
    <row r="311" spans="1:4" x14ac:dyDescent="0.55000000000000004">
      <c r="A311">
        <f t="shared" si="10"/>
        <v>2023</v>
      </c>
      <c r="B311" s="821">
        <v>45236</v>
      </c>
      <c r="C311">
        <v>4.84</v>
      </c>
      <c r="D311">
        <f t="shared" si="11"/>
        <v>1</v>
      </c>
    </row>
    <row r="312" spans="1:4" x14ac:dyDescent="0.55000000000000004">
      <c r="A312">
        <f t="shared" si="10"/>
        <v>2023</v>
      </c>
      <c r="B312" s="821">
        <v>45233</v>
      </c>
      <c r="C312">
        <v>4.7699999999999996</v>
      </c>
      <c r="D312">
        <f t="shared" si="11"/>
        <v>1</v>
      </c>
    </row>
    <row r="313" spans="1:4" x14ac:dyDescent="0.55000000000000004">
      <c r="A313">
        <f t="shared" si="10"/>
        <v>2023</v>
      </c>
      <c r="B313" s="821">
        <v>45232</v>
      </c>
      <c r="C313">
        <v>4.82</v>
      </c>
      <c r="D313">
        <f t="shared" si="11"/>
        <v>1</v>
      </c>
    </row>
    <row r="314" spans="1:4" x14ac:dyDescent="0.55000000000000004">
      <c r="A314">
        <f t="shared" si="10"/>
        <v>2023</v>
      </c>
      <c r="B314" s="821">
        <v>45231</v>
      </c>
      <c r="C314">
        <v>4.96</v>
      </c>
      <c r="D314">
        <f t="shared" si="11"/>
        <v>1</v>
      </c>
    </row>
    <row r="315" spans="1:4" x14ac:dyDescent="0.55000000000000004">
      <c r="A315">
        <f t="shared" si="10"/>
        <v>2023</v>
      </c>
      <c r="B315" s="821">
        <v>45230</v>
      </c>
      <c r="C315">
        <v>5.04</v>
      </c>
      <c r="D315">
        <f t="shared" si="11"/>
        <v>1</v>
      </c>
    </row>
    <row r="316" spans="1:4" x14ac:dyDescent="0.55000000000000004">
      <c r="A316">
        <f t="shared" si="10"/>
        <v>2023</v>
      </c>
      <c r="B316" s="821">
        <v>45229</v>
      </c>
      <c r="C316">
        <v>5.04</v>
      </c>
      <c r="D316">
        <f t="shared" si="11"/>
        <v>1</v>
      </c>
    </row>
    <row r="317" spans="1:4" x14ac:dyDescent="0.55000000000000004">
      <c r="A317">
        <f t="shared" si="10"/>
        <v>2023</v>
      </c>
      <c r="B317" s="821">
        <v>45226</v>
      </c>
      <c r="C317">
        <v>5.03</v>
      </c>
      <c r="D317">
        <f t="shared" si="11"/>
        <v>1</v>
      </c>
    </row>
    <row r="318" spans="1:4" x14ac:dyDescent="0.55000000000000004">
      <c r="A318">
        <f t="shared" si="10"/>
        <v>2023</v>
      </c>
      <c r="B318" s="821">
        <v>45225</v>
      </c>
      <c r="C318">
        <v>5.01</v>
      </c>
      <c r="D318">
        <f t="shared" si="11"/>
        <v>1</v>
      </c>
    </row>
    <row r="319" spans="1:4" x14ac:dyDescent="0.55000000000000004">
      <c r="A319">
        <f t="shared" si="10"/>
        <v>2023</v>
      </c>
      <c r="B319" s="821">
        <v>45224</v>
      </c>
      <c r="C319">
        <v>5.09</v>
      </c>
      <c r="D319">
        <f t="shared" si="11"/>
        <v>1</v>
      </c>
    </row>
    <row r="320" spans="1:4" x14ac:dyDescent="0.55000000000000004">
      <c r="A320">
        <f t="shared" si="10"/>
        <v>2023</v>
      </c>
      <c r="B320" s="821">
        <v>45223</v>
      </c>
      <c r="C320">
        <v>4.96</v>
      </c>
      <c r="D320">
        <f t="shared" si="11"/>
        <v>1</v>
      </c>
    </row>
    <row r="321" spans="1:4" x14ac:dyDescent="0.55000000000000004">
      <c r="A321">
        <f t="shared" si="10"/>
        <v>2023</v>
      </c>
      <c r="B321" s="821">
        <v>45222</v>
      </c>
      <c r="C321">
        <v>5.01</v>
      </c>
      <c r="D321">
        <f t="shared" si="11"/>
        <v>1</v>
      </c>
    </row>
    <row r="322" spans="1:4" x14ac:dyDescent="0.55000000000000004">
      <c r="A322">
        <f t="shared" si="10"/>
        <v>2023</v>
      </c>
      <c r="B322" s="821">
        <v>45219</v>
      </c>
      <c r="C322">
        <v>5.09</v>
      </c>
      <c r="D322">
        <f t="shared" si="11"/>
        <v>1</v>
      </c>
    </row>
    <row r="323" spans="1:4" x14ac:dyDescent="0.55000000000000004">
      <c r="A323">
        <f t="shared" si="10"/>
        <v>2023</v>
      </c>
      <c r="B323" s="821">
        <v>45218</v>
      </c>
      <c r="C323">
        <v>5.1100000000000003</v>
      </c>
      <c r="D323">
        <f t="shared" si="11"/>
        <v>1</v>
      </c>
    </row>
    <row r="324" spans="1:4" x14ac:dyDescent="0.55000000000000004">
      <c r="A324">
        <f t="shared" ref="A324:A387" si="12">YEAR(B324)</f>
        <v>2023</v>
      </c>
      <c r="B324" s="821">
        <v>45217</v>
      </c>
      <c r="C324">
        <v>5</v>
      </c>
      <c r="D324">
        <f t="shared" ref="D324:D387" si="13">IF(C324&gt;4,1,0)</f>
        <v>1</v>
      </c>
    </row>
    <row r="325" spans="1:4" x14ac:dyDescent="0.55000000000000004">
      <c r="A325">
        <f t="shared" si="12"/>
        <v>2023</v>
      </c>
      <c r="B325" s="821">
        <v>45216</v>
      </c>
      <c r="C325">
        <v>4.9400000000000004</v>
      </c>
      <c r="D325">
        <f t="shared" si="13"/>
        <v>1</v>
      </c>
    </row>
    <row r="326" spans="1:4" x14ac:dyDescent="0.55000000000000004">
      <c r="A326">
        <f t="shared" si="12"/>
        <v>2023</v>
      </c>
      <c r="B326" s="821">
        <v>45215</v>
      </c>
      <c r="C326">
        <v>4.87</v>
      </c>
      <c r="D326">
        <f t="shared" si="13"/>
        <v>1</v>
      </c>
    </row>
    <row r="327" spans="1:4" x14ac:dyDescent="0.55000000000000004">
      <c r="A327">
        <f t="shared" si="12"/>
        <v>2023</v>
      </c>
      <c r="B327" s="821">
        <v>45212</v>
      </c>
      <c r="C327">
        <v>4.78</v>
      </c>
      <c r="D327">
        <f t="shared" si="13"/>
        <v>1</v>
      </c>
    </row>
    <row r="328" spans="1:4" x14ac:dyDescent="0.55000000000000004">
      <c r="A328">
        <f t="shared" si="12"/>
        <v>2023</v>
      </c>
      <c r="B328" s="821">
        <v>45211</v>
      </c>
      <c r="C328">
        <v>4.8600000000000003</v>
      </c>
      <c r="D328">
        <f t="shared" si="13"/>
        <v>1</v>
      </c>
    </row>
    <row r="329" spans="1:4" x14ac:dyDescent="0.55000000000000004">
      <c r="A329">
        <f t="shared" si="12"/>
        <v>2023</v>
      </c>
      <c r="B329" s="821">
        <v>45210</v>
      </c>
      <c r="C329">
        <v>4.7300000000000004</v>
      </c>
      <c r="D329">
        <f t="shared" si="13"/>
        <v>1</v>
      </c>
    </row>
    <row r="330" spans="1:4" x14ac:dyDescent="0.55000000000000004">
      <c r="A330">
        <f t="shared" si="12"/>
        <v>2023</v>
      </c>
      <c r="B330" s="821">
        <v>45209</v>
      </c>
      <c r="C330">
        <v>4.8499999999999996</v>
      </c>
      <c r="D330">
        <f t="shared" si="13"/>
        <v>1</v>
      </c>
    </row>
    <row r="331" spans="1:4" x14ac:dyDescent="0.55000000000000004">
      <c r="A331">
        <f t="shared" si="12"/>
        <v>2023</v>
      </c>
      <c r="B331" s="821">
        <v>45205</v>
      </c>
      <c r="C331">
        <v>4.95</v>
      </c>
      <c r="D331">
        <f t="shared" si="13"/>
        <v>1</v>
      </c>
    </row>
    <row r="332" spans="1:4" x14ac:dyDescent="0.55000000000000004">
      <c r="A332">
        <f t="shared" si="12"/>
        <v>2023</v>
      </c>
      <c r="B332" s="821">
        <v>45204</v>
      </c>
      <c r="C332">
        <v>4.8899999999999997</v>
      </c>
      <c r="D332">
        <f t="shared" si="13"/>
        <v>1</v>
      </c>
    </row>
    <row r="333" spans="1:4" x14ac:dyDescent="0.55000000000000004">
      <c r="A333">
        <f t="shared" si="12"/>
        <v>2023</v>
      </c>
      <c r="B333" s="821">
        <v>45203</v>
      </c>
      <c r="C333">
        <v>4.87</v>
      </c>
      <c r="D333">
        <f t="shared" si="13"/>
        <v>1</v>
      </c>
    </row>
    <row r="334" spans="1:4" x14ac:dyDescent="0.55000000000000004">
      <c r="A334">
        <f t="shared" si="12"/>
        <v>2023</v>
      </c>
      <c r="B334" s="821">
        <v>45202</v>
      </c>
      <c r="C334">
        <v>4.95</v>
      </c>
      <c r="D334">
        <f t="shared" si="13"/>
        <v>1</v>
      </c>
    </row>
    <row r="335" spans="1:4" x14ac:dyDescent="0.55000000000000004">
      <c r="A335">
        <f t="shared" si="12"/>
        <v>2023</v>
      </c>
      <c r="B335" s="821">
        <v>45201</v>
      </c>
      <c r="C335">
        <v>4.8099999999999996</v>
      </c>
      <c r="D335">
        <f t="shared" si="13"/>
        <v>1</v>
      </c>
    </row>
    <row r="336" spans="1:4" x14ac:dyDescent="0.55000000000000004">
      <c r="A336">
        <f t="shared" si="12"/>
        <v>2023</v>
      </c>
      <c r="B336" s="821">
        <v>45198</v>
      </c>
      <c r="C336">
        <v>4.7300000000000004</v>
      </c>
      <c r="D336">
        <f t="shared" si="13"/>
        <v>1</v>
      </c>
    </row>
    <row r="337" spans="1:4" x14ac:dyDescent="0.55000000000000004">
      <c r="A337">
        <f t="shared" si="12"/>
        <v>2023</v>
      </c>
      <c r="B337" s="821">
        <v>45197</v>
      </c>
      <c r="C337">
        <v>4.71</v>
      </c>
      <c r="D337">
        <f t="shared" si="13"/>
        <v>1</v>
      </c>
    </row>
    <row r="338" spans="1:4" x14ac:dyDescent="0.55000000000000004">
      <c r="A338">
        <f t="shared" si="12"/>
        <v>2023</v>
      </c>
      <c r="B338" s="821">
        <v>45196</v>
      </c>
      <c r="C338">
        <v>4.7300000000000004</v>
      </c>
      <c r="D338">
        <f t="shared" si="13"/>
        <v>1</v>
      </c>
    </row>
    <row r="339" spans="1:4" x14ac:dyDescent="0.55000000000000004">
      <c r="A339">
        <f t="shared" si="12"/>
        <v>2023</v>
      </c>
      <c r="B339" s="821">
        <v>45195</v>
      </c>
      <c r="C339">
        <v>4.7</v>
      </c>
      <c r="D339">
        <f t="shared" si="13"/>
        <v>1</v>
      </c>
    </row>
    <row r="340" spans="1:4" x14ac:dyDescent="0.55000000000000004">
      <c r="A340">
        <f t="shared" si="12"/>
        <v>2023</v>
      </c>
      <c r="B340" s="821">
        <v>45194</v>
      </c>
      <c r="C340">
        <v>4.67</v>
      </c>
      <c r="D340">
        <f t="shared" si="13"/>
        <v>1</v>
      </c>
    </row>
    <row r="341" spans="1:4" x14ac:dyDescent="0.55000000000000004">
      <c r="A341">
        <f t="shared" si="12"/>
        <v>2023</v>
      </c>
      <c r="B341" s="821">
        <v>45191</v>
      </c>
      <c r="C341">
        <v>4.53</v>
      </c>
      <c r="D341">
        <f t="shared" si="13"/>
        <v>1</v>
      </c>
    </row>
    <row r="342" spans="1:4" x14ac:dyDescent="0.55000000000000004">
      <c r="A342">
        <f t="shared" si="12"/>
        <v>2023</v>
      </c>
      <c r="B342" s="821">
        <v>45190</v>
      </c>
      <c r="C342">
        <v>4.5599999999999996</v>
      </c>
      <c r="D342">
        <f t="shared" si="13"/>
        <v>1</v>
      </c>
    </row>
    <row r="343" spans="1:4" x14ac:dyDescent="0.55000000000000004">
      <c r="A343">
        <f t="shared" si="12"/>
        <v>2023</v>
      </c>
      <c r="B343" s="821">
        <v>45189</v>
      </c>
      <c r="C343">
        <v>4.4000000000000004</v>
      </c>
      <c r="D343">
        <f t="shared" si="13"/>
        <v>1</v>
      </c>
    </row>
    <row r="344" spans="1:4" x14ac:dyDescent="0.55000000000000004">
      <c r="A344">
        <f t="shared" si="12"/>
        <v>2023</v>
      </c>
      <c r="B344" s="821">
        <v>45188</v>
      </c>
      <c r="C344">
        <v>4.43</v>
      </c>
      <c r="D344">
        <f t="shared" si="13"/>
        <v>1</v>
      </c>
    </row>
    <row r="345" spans="1:4" x14ac:dyDescent="0.55000000000000004">
      <c r="A345">
        <f t="shared" si="12"/>
        <v>2023</v>
      </c>
      <c r="B345" s="821">
        <v>45187</v>
      </c>
      <c r="C345">
        <v>4.4000000000000004</v>
      </c>
      <c r="D345">
        <f t="shared" si="13"/>
        <v>1</v>
      </c>
    </row>
    <row r="346" spans="1:4" x14ac:dyDescent="0.55000000000000004">
      <c r="A346">
        <f t="shared" si="12"/>
        <v>2023</v>
      </c>
      <c r="B346" s="821">
        <v>45184</v>
      </c>
      <c r="C346">
        <v>4.42</v>
      </c>
      <c r="D346">
        <f t="shared" si="13"/>
        <v>1</v>
      </c>
    </row>
    <row r="347" spans="1:4" x14ac:dyDescent="0.55000000000000004">
      <c r="A347">
        <f t="shared" si="12"/>
        <v>2023</v>
      </c>
      <c r="B347" s="821">
        <v>45183</v>
      </c>
      <c r="C347">
        <v>4.3899999999999997</v>
      </c>
      <c r="D347">
        <f t="shared" si="13"/>
        <v>1</v>
      </c>
    </row>
    <row r="348" spans="1:4" x14ac:dyDescent="0.55000000000000004">
      <c r="A348">
        <f t="shared" si="12"/>
        <v>2023</v>
      </c>
      <c r="B348" s="821">
        <v>45182</v>
      </c>
      <c r="C348">
        <v>4.34</v>
      </c>
      <c r="D348">
        <f t="shared" si="13"/>
        <v>1</v>
      </c>
    </row>
    <row r="349" spans="1:4" x14ac:dyDescent="0.55000000000000004">
      <c r="A349">
        <f t="shared" si="12"/>
        <v>2023</v>
      </c>
      <c r="B349" s="821">
        <v>45181</v>
      </c>
      <c r="C349">
        <v>4.3499999999999996</v>
      </c>
      <c r="D349">
        <f t="shared" si="13"/>
        <v>1</v>
      </c>
    </row>
    <row r="350" spans="1:4" x14ac:dyDescent="0.55000000000000004">
      <c r="A350">
        <f t="shared" si="12"/>
        <v>2023</v>
      </c>
      <c r="B350" s="821">
        <v>45180</v>
      </c>
      <c r="C350">
        <v>4.37</v>
      </c>
      <c r="D350">
        <f t="shared" si="13"/>
        <v>1</v>
      </c>
    </row>
    <row r="351" spans="1:4" x14ac:dyDescent="0.55000000000000004">
      <c r="A351">
        <f t="shared" si="12"/>
        <v>2023</v>
      </c>
      <c r="B351" s="821">
        <v>45177</v>
      </c>
      <c r="C351">
        <v>4.33</v>
      </c>
      <c r="D351">
        <f t="shared" si="13"/>
        <v>1</v>
      </c>
    </row>
    <row r="352" spans="1:4" x14ac:dyDescent="0.55000000000000004">
      <c r="A352">
        <f t="shared" si="12"/>
        <v>2023</v>
      </c>
      <c r="B352" s="821">
        <v>45176</v>
      </c>
      <c r="C352">
        <v>4.3600000000000003</v>
      </c>
      <c r="D352">
        <f t="shared" si="13"/>
        <v>1</v>
      </c>
    </row>
    <row r="353" spans="1:4" x14ac:dyDescent="0.55000000000000004">
      <c r="A353">
        <f t="shared" si="12"/>
        <v>2023</v>
      </c>
      <c r="B353" s="821">
        <v>45175</v>
      </c>
      <c r="C353">
        <v>4.37</v>
      </c>
      <c r="D353">
        <f t="shared" si="13"/>
        <v>1</v>
      </c>
    </row>
    <row r="354" spans="1:4" x14ac:dyDescent="0.55000000000000004">
      <c r="A354">
        <f t="shared" si="12"/>
        <v>2023</v>
      </c>
      <c r="B354" s="821">
        <v>45174</v>
      </c>
      <c r="C354">
        <v>4.38</v>
      </c>
      <c r="D354">
        <f t="shared" si="13"/>
        <v>1</v>
      </c>
    </row>
    <row r="355" spans="1:4" x14ac:dyDescent="0.55000000000000004">
      <c r="A355">
        <f t="shared" si="12"/>
        <v>2023</v>
      </c>
      <c r="B355" s="821">
        <v>45170</v>
      </c>
      <c r="C355">
        <v>4.29</v>
      </c>
      <c r="D355">
        <f t="shared" si="13"/>
        <v>1</v>
      </c>
    </row>
    <row r="356" spans="1:4" x14ac:dyDescent="0.55000000000000004">
      <c r="A356">
        <f t="shared" si="12"/>
        <v>2023</v>
      </c>
      <c r="B356" s="821">
        <v>45169</v>
      </c>
      <c r="C356">
        <v>4.2</v>
      </c>
      <c r="D356">
        <f t="shared" si="13"/>
        <v>1</v>
      </c>
    </row>
    <row r="357" spans="1:4" x14ac:dyDescent="0.55000000000000004">
      <c r="A357">
        <f t="shared" si="12"/>
        <v>2023</v>
      </c>
      <c r="B357" s="821">
        <v>45168</v>
      </c>
      <c r="C357">
        <v>4.2300000000000004</v>
      </c>
      <c r="D357">
        <f t="shared" si="13"/>
        <v>1</v>
      </c>
    </row>
    <row r="358" spans="1:4" x14ac:dyDescent="0.55000000000000004">
      <c r="A358">
        <f t="shared" si="12"/>
        <v>2023</v>
      </c>
      <c r="B358" s="821">
        <v>45167</v>
      </c>
      <c r="C358">
        <v>4.2300000000000004</v>
      </c>
      <c r="D358">
        <f t="shared" si="13"/>
        <v>1</v>
      </c>
    </row>
    <row r="359" spans="1:4" x14ac:dyDescent="0.55000000000000004">
      <c r="A359">
        <f t="shared" si="12"/>
        <v>2023</v>
      </c>
      <c r="B359" s="821">
        <v>45166</v>
      </c>
      <c r="C359">
        <v>4.29</v>
      </c>
      <c r="D359">
        <f t="shared" si="13"/>
        <v>1</v>
      </c>
    </row>
    <row r="360" spans="1:4" x14ac:dyDescent="0.55000000000000004">
      <c r="A360">
        <f t="shared" si="12"/>
        <v>2023</v>
      </c>
      <c r="B360" s="821">
        <v>45163</v>
      </c>
      <c r="C360">
        <v>4.3</v>
      </c>
      <c r="D360">
        <f t="shared" si="13"/>
        <v>1</v>
      </c>
    </row>
    <row r="361" spans="1:4" x14ac:dyDescent="0.55000000000000004">
      <c r="A361">
        <f t="shared" si="12"/>
        <v>2023</v>
      </c>
      <c r="B361" s="821">
        <v>45162</v>
      </c>
      <c r="C361">
        <v>4.3</v>
      </c>
      <c r="D361">
        <f t="shared" si="13"/>
        <v>1</v>
      </c>
    </row>
    <row r="362" spans="1:4" x14ac:dyDescent="0.55000000000000004">
      <c r="A362">
        <f t="shared" si="12"/>
        <v>2023</v>
      </c>
      <c r="B362" s="821">
        <v>45161</v>
      </c>
      <c r="C362">
        <v>4.2699999999999996</v>
      </c>
      <c r="D362">
        <f t="shared" si="13"/>
        <v>1</v>
      </c>
    </row>
    <row r="363" spans="1:4" x14ac:dyDescent="0.55000000000000004">
      <c r="A363">
        <f t="shared" si="12"/>
        <v>2023</v>
      </c>
      <c r="B363" s="821">
        <v>45160</v>
      </c>
      <c r="C363">
        <v>4.42</v>
      </c>
      <c r="D363">
        <f t="shared" si="13"/>
        <v>1</v>
      </c>
    </row>
    <row r="364" spans="1:4" x14ac:dyDescent="0.55000000000000004">
      <c r="A364">
        <f t="shared" si="12"/>
        <v>2023</v>
      </c>
      <c r="B364" s="821">
        <v>45159</v>
      </c>
      <c r="C364">
        <v>4.45</v>
      </c>
      <c r="D364">
        <f t="shared" si="13"/>
        <v>1</v>
      </c>
    </row>
    <row r="365" spans="1:4" x14ac:dyDescent="0.55000000000000004">
      <c r="A365">
        <f t="shared" si="12"/>
        <v>2023</v>
      </c>
      <c r="B365" s="821">
        <v>45156</v>
      </c>
      <c r="C365">
        <v>4.38</v>
      </c>
      <c r="D365">
        <f t="shared" si="13"/>
        <v>1</v>
      </c>
    </row>
    <row r="366" spans="1:4" x14ac:dyDescent="0.55000000000000004">
      <c r="A366">
        <f t="shared" si="12"/>
        <v>2023</v>
      </c>
      <c r="B366" s="821">
        <v>45155</v>
      </c>
      <c r="C366">
        <v>4.41</v>
      </c>
      <c r="D366">
        <f t="shared" si="13"/>
        <v>1</v>
      </c>
    </row>
    <row r="367" spans="1:4" x14ac:dyDescent="0.55000000000000004">
      <c r="A367">
        <f t="shared" si="12"/>
        <v>2023</v>
      </c>
      <c r="B367" s="821">
        <v>45154</v>
      </c>
      <c r="C367">
        <v>4.38</v>
      </c>
      <c r="D367">
        <f t="shared" si="13"/>
        <v>1</v>
      </c>
    </row>
    <row r="368" spans="1:4" x14ac:dyDescent="0.55000000000000004">
      <c r="A368">
        <f t="shared" si="12"/>
        <v>2023</v>
      </c>
      <c r="B368" s="821">
        <v>45153</v>
      </c>
      <c r="C368">
        <v>4.32</v>
      </c>
      <c r="D368">
        <f t="shared" si="13"/>
        <v>1</v>
      </c>
    </row>
    <row r="369" spans="1:4" x14ac:dyDescent="0.55000000000000004">
      <c r="A369">
        <f t="shared" si="12"/>
        <v>2023</v>
      </c>
      <c r="B369" s="821">
        <v>45152</v>
      </c>
      <c r="C369">
        <v>4.29</v>
      </c>
      <c r="D369">
        <f t="shared" si="13"/>
        <v>1</v>
      </c>
    </row>
    <row r="370" spans="1:4" x14ac:dyDescent="0.55000000000000004">
      <c r="A370">
        <f t="shared" si="12"/>
        <v>2023</v>
      </c>
      <c r="B370" s="821">
        <v>45149</v>
      </c>
      <c r="C370">
        <v>4.2699999999999996</v>
      </c>
      <c r="D370">
        <f t="shared" si="13"/>
        <v>1</v>
      </c>
    </row>
    <row r="371" spans="1:4" x14ac:dyDescent="0.55000000000000004">
      <c r="A371">
        <f t="shared" si="12"/>
        <v>2023</v>
      </c>
      <c r="B371" s="821">
        <v>45148</v>
      </c>
      <c r="C371">
        <v>4.24</v>
      </c>
      <c r="D371">
        <f t="shared" si="13"/>
        <v>1</v>
      </c>
    </row>
    <row r="372" spans="1:4" x14ac:dyDescent="0.55000000000000004">
      <c r="A372">
        <f t="shared" si="12"/>
        <v>2023</v>
      </c>
      <c r="B372" s="821">
        <v>45147</v>
      </c>
      <c r="C372">
        <v>4.18</v>
      </c>
      <c r="D372">
        <f t="shared" si="13"/>
        <v>1</v>
      </c>
    </row>
    <row r="373" spans="1:4" x14ac:dyDescent="0.55000000000000004">
      <c r="A373">
        <f t="shared" si="12"/>
        <v>2023</v>
      </c>
      <c r="B373" s="821">
        <v>45146</v>
      </c>
      <c r="C373">
        <v>4.2</v>
      </c>
      <c r="D373">
        <f t="shared" si="13"/>
        <v>1</v>
      </c>
    </row>
    <row r="374" spans="1:4" x14ac:dyDescent="0.55000000000000004">
      <c r="A374">
        <f t="shared" si="12"/>
        <v>2023</v>
      </c>
      <c r="B374" s="821">
        <v>45145</v>
      </c>
      <c r="C374">
        <v>4.2699999999999996</v>
      </c>
      <c r="D374">
        <f t="shared" si="13"/>
        <v>1</v>
      </c>
    </row>
    <row r="375" spans="1:4" x14ac:dyDescent="0.55000000000000004">
      <c r="A375">
        <f t="shared" si="12"/>
        <v>2023</v>
      </c>
      <c r="B375" s="821">
        <v>45142</v>
      </c>
      <c r="C375">
        <v>4.21</v>
      </c>
      <c r="D375">
        <f t="shared" si="13"/>
        <v>1</v>
      </c>
    </row>
    <row r="376" spans="1:4" x14ac:dyDescent="0.55000000000000004">
      <c r="A376">
        <f t="shared" si="12"/>
        <v>2023</v>
      </c>
      <c r="B376" s="821">
        <v>45141</v>
      </c>
      <c r="C376">
        <v>4.32</v>
      </c>
      <c r="D376">
        <f t="shared" si="13"/>
        <v>1</v>
      </c>
    </row>
    <row r="377" spans="1:4" x14ac:dyDescent="0.55000000000000004">
      <c r="A377">
        <f t="shared" si="12"/>
        <v>2023</v>
      </c>
      <c r="B377" s="821">
        <v>45140</v>
      </c>
      <c r="C377">
        <v>4.17</v>
      </c>
      <c r="D377">
        <f t="shared" si="13"/>
        <v>1</v>
      </c>
    </row>
    <row r="378" spans="1:4" x14ac:dyDescent="0.55000000000000004">
      <c r="A378">
        <f t="shared" si="12"/>
        <v>2023</v>
      </c>
      <c r="B378" s="821">
        <v>45139</v>
      </c>
      <c r="C378">
        <v>4.1100000000000003</v>
      </c>
      <c r="D378">
        <f t="shared" si="13"/>
        <v>1</v>
      </c>
    </row>
    <row r="379" spans="1:4" x14ac:dyDescent="0.55000000000000004">
      <c r="A379">
        <f t="shared" si="12"/>
        <v>2023</v>
      </c>
      <c r="B379" s="821">
        <v>45138</v>
      </c>
      <c r="C379">
        <v>4.0199999999999996</v>
      </c>
      <c r="D379">
        <f t="shared" si="13"/>
        <v>1</v>
      </c>
    </row>
    <row r="380" spans="1:4" x14ac:dyDescent="0.55000000000000004">
      <c r="A380">
        <f t="shared" si="12"/>
        <v>2023</v>
      </c>
      <c r="B380" s="821">
        <v>45135</v>
      </c>
      <c r="C380">
        <v>4.03</v>
      </c>
      <c r="D380">
        <f t="shared" si="13"/>
        <v>1</v>
      </c>
    </row>
    <row r="381" spans="1:4" x14ac:dyDescent="0.55000000000000004">
      <c r="A381">
        <f t="shared" si="12"/>
        <v>2023</v>
      </c>
      <c r="B381" s="821">
        <v>45134</v>
      </c>
      <c r="C381">
        <v>4.0599999999999996</v>
      </c>
      <c r="D381">
        <f t="shared" si="13"/>
        <v>1</v>
      </c>
    </row>
    <row r="382" spans="1:4" x14ac:dyDescent="0.55000000000000004">
      <c r="A382">
        <f t="shared" si="12"/>
        <v>2023</v>
      </c>
      <c r="B382" s="821">
        <v>45133</v>
      </c>
      <c r="C382">
        <v>3.94</v>
      </c>
      <c r="D382">
        <f t="shared" si="13"/>
        <v>0</v>
      </c>
    </row>
    <row r="383" spans="1:4" x14ac:dyDescent="0.55000000000000004">
      <c r="A383">
        <f t="shared" si="12"/>
        <v>2023</v>
      </c>
      <c r="B383" s="821">
        <v>45132</v>
      </c>
      <c r="C383">
        <v>3.95</v>
      </c>
      <c r="D383">
        <f t="shared" si="13"/>
        <v>0</v>
      </c>
    </row>
    <row r="384" spans="1:4" x14ac:dyDescent="0.55000000000000004">
      <c r="A384">
        <f t="shared" si="12"/>
        <v>2023</v>
      </c>
      <c r="B384" s="821">
        <v>45131</v>
      </c>
      <c r="C384">
        <v>3.92</v>
      </c>
      <c r="D384">
        <f t="shared" si="13"/>
        <v>0</v>
      </c>
    </row>
    <row r="385" spans="1:4" x14ac:dyDescent="0.55000000000000004">
      <c r="A385">
        <f t="shared" si="12"/>
        <v>2023</v>
      </c>
      <c r="B385" s="821">
        <v>45128</v>
      </c>
      <c r="C385">
        <v>3.91</v>
      </c>
      <c r="D385">
        <f t="shared" si="13"/>
        <v>0</v>
      </c>
    </row>
    <row r="386" spans="1:4" x14ac:dyDescent="0.55000000000000004">
      <c r="A386">
        <f t="shared" si="12"/>
        <v>2023</v>
      </c>
      <c r="B386" s="821">
        <v>45127</v>
      </c>
      <c r="C386">
        <v>3.91</v>
      </c>
      <c r="D386">
        <f t="shared" si="13"/>
        <v>0</v>
      </c>
    </row>
    <row r="387" spans="1:4" x14ac:dyDescent="0.55000000000000004">
      <c r="A387">
        <f t="shared" si="12"/>
        <v>2023</v>
      </c>
      <c r="B387" s="821">
        <v>45126</v>
      </c>
      <c r="C387">
        <v>3.84</v>
      </c>
      <c r="D387">
        <f t="shared" si="13"/>
        <v>0</v>
      </c>
    </row>
    <row r="388" spans="1:4" x14ac:dyDescent="0.55000000000000004">
      <c r="A388">
        <f t="shared" ref="A388:A451" si="14">YEAR(B388)</f>
        <v>2023</v>
      </c>
      <c r="B388" s="821">
        <v>45125</v>
      </c>
      <c r="C388">
        <v>3.91</v>
      </c>
      <c r="D388">
        <f t="shared" ref="D388:D451" si="15">IF(C388&gt;4,1,0)</f>
        <v>0</v>
      </c>
    </row>
    <row r="389" spans="1:4" x14ac:dyDescent="0.55000000000000004">
      <c r="A389">
        <f t="shared" si="14"/>
        <v>2023</v>
      </c>
      <c r="B389" s="821">
        <v>45124</v>
      </c>
      <c r="C389">
        <v>3.94</v>
      </c>
      <c r="D389">
        <f t="shared" si="15"/>
        <v>0</v>
      </c>
    </row>
    <row r="390" spans="1:4" x14ac:dyDescent="0.55000000000000004">
      <c r="A390">
        <f t="shared" si="14"/>
        <v>2023</v>
      </c>
      <c r="B390" s="821">
        <v>45121</v>
      </c>
      <c r="C390">
        <v>3.93</v>
      </c>
      <c r="D390">
        <f t="shared" si="15"/>
        <v>0</v>
      </c>
    </row>
    <row r="391" spans="1:4" x14ac:dyDescent="0.55000000000000004">
      <c r="A391">
        <f t="shared" si="14"/>
        <v>2023</v>
      </c>
      <c r="B391" s="821">
        <v>45120</v>
      </c>
      <c r="C391">
        <v>3.9</v>
      </c>
      <c r="D391">
        <f t="shared" si="15"/>
        <v>0</v>
      </c>
    </row>
    <row r="392" spans="1:4" x14ac:dyDescent="0.55000000000000004">
      <c r="A392">
        <f t="shared" si="14"/>
        <v>2023</v>
      </c>
      <c r="B392" s="821">
        <v>45119</v>
      </c>
      <c r="C392">
        <v>3.96</v>
      </c>
      <c r="D392">
        <f t="shared" si="15"/>
        <v>0</v>
      </c>
    </row>
    <row r="393" spans="1:4" x14ac:dyDescent="0.55000000000000004">
      <c r="A393">
        <f t="shared" si="14"/>
        <v>2023</v>
      </c>
      <c r="B393" s="821">
        <v>45118</v>
      </c>
      <c r="C393">
        <v>4.03</v>
      </c>
      <c r="D393">
        <f t="shared" si="15"/>
        <v>1</v>
      </c>
    </row>
    <row r="394" spans="1:4" x14ac:dyDescent="0.55000000000000004">
      <c r="A394">
        <f t="shared" si="14"/>
        <v>2023</v>
      </c>
      <c r="B394" s="821">
        <v>45117</v>
      </c>
      <c r="C394">
        <v>4.05</v>
      </c>
      <c r="D394">
        <f t="shared" si="15"/>
        <v>1</v>
      </c>
    </row>
    <row r="395" spans="1:4" x14ac:dyDescent="0.55000000000000004">
      <c r="A395">
        <f t="shared" si="14"/>
        <v>2023</v>
      </c>
      <c r="B395" s="821">
        <v>45114</v>
      </c>
      <c r="C395">
        <v>4.05</v>
      </c>
      <c r="D395">
        <f t="shared" si="15"/>
        <v>1</v>
      </c>
    </row>
    <row r="396" spans="1:4" x14ac:dyDescent="0.55000000000000004">
      <c r="A396">
        <f t="shared" si="14"/>
        <v>2023</v>
      </c>
      <c r="B396" s="821">
        <v>45113</v>
      </c>
      <c r="C396">
        <v>4.01</v>
      </c>
      <c r="D396">
        <f t="shared" si="15"/>
        <v>1</v>
      </c>
    </row>
    <row r="397" spans="1:4" x14ac:dyDescent="0.55000000000000004">
      <c r="A397">
        <f t="shared" si="14"/>
        <v>2023</v>
      </c>
      <c r="B397" s="821">
        <v>45112</v>
      </c>
      <c r="C397">
        <v>3.95</v>
      </c>
      <c r="D397">
        <f t="shared" si="15"/>
        <v>0</v>
      </c>
    </row>
    <row r="398" spans="1:4" x14ac:dyDescent="0.55000000000000004">
      <c r="A398">
        <f t="shared" si="14"/>
        <v>2023</v>
      </c>
      <c r="B398" s="821">
        <v>45110</v>
      </c>
      <c r="C398">
        <v>3.87</v>
      </c>
      <c r="D398">
        <f t="shared" si="15"/>
        <v>0</v>
      </c>
    </row>
    <row r="399" spans="1:4" x14ac:dyDescent="0.55000000000000004">
      <c r="A399">
        <f t="shared" si="14"/>
        <v>2023</v>
      </c>
      <c r="B399" s="821">
        <v>45107</v>
      </c>
      <c r="C399">
        <v>3.85</v>
      </c>
      <c r="D399">
        <f t="shared" si="15"/>
        <v>0</v>
      </c>
    </row>
    <row r="400" spans="1:4" x14ac:dyDescent="0.55000000000000004">
      <c r="A400">
        <f t="shared" si="14"/>
        <v>2023</v>
      </c>
      <c r="B400" s="821">
        <v>45106</v>
      </c>
      <c r="C400">
        <v>3.92</v>
      </c>
      <c r="D400">
        <f t="shared" si="15"/>
        <v>0</v>
      </c>
    </row>
    <row r="401" spans="1:4" x14ac:dyDescent="0.55000000000000004">
      <c r="A401">
        <f t="shared" si="14"/>
        <v>2023</v>
      </c>
      <c r="B401" s="821">
        <v>45105</v>
      </c>
      <c r="C401">
        <v>3.81</v>
      </c>
      <c r="D401">
        <f t="shared" si="15"/>
        <v>0</v>
      </c>
    </row>
    <row r="402" spans="1:4" x14ac:dyDescent="0.55000000000000004">
      <c r="A402">
        <f t="shared" si="14"/>
        <v>2023</v>
      </c>
      <c r="B402" s="821">
        <v>45104</v>
      </c>
      <c r="C402">
        <v>3.84</v>
      </c>
      <c r="D402">
        <f t="shared" si="15"/>
        <v>0</v>
      </c>
    </row>
    <row r="403" spans="1:4" x14ac:dyDescent="0.55000000000000004">
      <c r="A403">
        <f t="shared" si="14"/>
        <v>2023</v>
      </c>
      <c r="B403" s="821">
        <v>45103</v>
      </c>
      <c r="C403">
        <v>3.83</v>
      </c>
      <c r="D403">
        <f t="shared" si="15"/>
        <v>0</v>
      </c>
    </row>
    <row r="404" spans="1:4" x14ac:dyDescent="0.55000000000000004">
      <c r="A404">
        <f t="shared" si="14"/>
        <v>2023</v>
      </c>
      <c r="B404" s="821">
        <v>45100</v>
      </c>
      <c r="C404">
        <v>3.82</v>
      </c>
      <c r="D404">
        <f t="shared" si="15"/>
        <v>0</v>
      </c>
    </row>
    <row r="405" spans="1:4" x14ac:dyDescent="0.55000000000000004">
      <c r="A405">
        <f t="shared" si="14"/>
        <v>2023</v>
      </c>
      <c r="B405" s="821">
        <v>45099</v>
      </c>
      <c r="C405">
        <v>3.88</v>
      </c>
      <c r="D405">
        <f t="shared" si="15"/>
        <v>0</v>
      </c>
    </row>
    <row r="406" spans="1:4" x14ac:dyDescent="0.55000000000000004">
      <c r="A406">
        <f t="shared" si="14"/>
        <v>2023</v>
      </c>
      <c r="B406" s="821">
        <v>45098</v>
      </c>
      <c r="C406">
        <v>3.81</v>
      </c>
      <c r="D406">
        <f t="shared" si="15"/>
        <v>0</v>
      </c>
    </row>
    <row r="407" spans="1:4" x14ac:dyDescent="0.55000000000000004">
      <c r="A407">
        <f t="shared" si="14"/>
        <v>2023</v>
      </c>
      <c r="B407" s="821">
        <v>45097</v>
      </c>
      <c r="C407">
        <v>3.83</v>
      </c>
      <c r="D407">
        <f t="shared" si="15"/>
        <v>0</v>
      </c>
    </row>
    <row r="408" spans="1:4" x14ac:dyDescent="0.55000000000000004">
      <c r="A408">
        <f t="shared" si="14"/>
        <v>2023</v>
      </c>
      <c r="B408" s="821">
        <v>45093</v>
      </c>
      <c r="C408">
        <v>3.86</v>
      </c>
      <c r="D408">
        <f t="shared" si="15"/>
        <v>0</v>
      </c>
    </row>
    <row r="409" spans="1:4" x14ac:dyDescent="0.55000000000000004">
      <c r="A409">
        <f t="shared" si="14"/>
        <v>2023</v>
      </c>
      <c r="B409" s="821">
        <v>45092</v>
      </c>
      <c r="C409">
        <v>3.85</v>
      </c>
      <c r="D409">
        <f t="shared" si="15"/>
        <v>0</v>
      </c>
    </row>
    <row r="410" spans="1:4" x14ac:dyDescent="0.55000000000000004">
      <c r="A410">
        <f t="shared" si="14"/>
        <v>2023</v>
      </c>
      <c r="B410" s="821">
        <v>45091</v>
      </c>
      <c r="C410">
        <v>3.9</v>
      </c>
      <c r="D410">
        <f t="shared" si="15"/>
        <v>0</v>
      </c>
    </row>
    <row r="411" spans="1:4" x14ac:dyDescent="0.55000000000000004">
      <c r="A411">
        <f t="shared" si="14"/>
        <v>2023</v>
      </c>
      <c r="B411" s="821">
        <v>45090</v>
      </c>
      <c r="C411">
        <v>3.94</v>
      </c>
      <c r="D411">
        <f t="shared" si="15"/>
        <v>0</v>
      </c>
    </row>
    <row r="412" spans="1:4" x14ac:dyDescent="0.55000000000000004">
      <c r="A412">
        <f t="shared" si="14"/>
        <v>2023</v>
      </c>
      <c r="B412" s="821">
        <v>45089</v>
      </c>
      <c r="C412">
        <v>3.87</v>
      </c>
      <c r="D412">
        <f t="shared" si="15"/>
        <v>0</v>
      </c>
    </row>
    <row r="413" spans="1:4" x14ac:dyDescent="0.55000000000000004">
      <c r="A413">
        <f t="shared" si="14"/>
        <v>2023</v>
      </c>
      <c r="B413" s="821">
        <v>45086</v>
      </c>
      <c r="C413">
        <v>3.89</v>
      </c>
      <c r="D413">
        <f t="shared" si="15"/>
        <v>0</v>
      </c>
    </row>
    <row r="414" spans="1:4" x14ac:dyDescent="0.55000000000000004">
      <c r="A414">
        <f t="shared" si="14"/>
        <v>2023</v>
      </c>
      <c r="B414" s="821">
        <v>45085</v>
      </c>
      <c r="C414">
        <v>3.89</v>
      </c>
      <c r="D414">
        <f t="shared" si="15"/>
        <v>0</v>
      </c>
    </row>
    <row r="415" spans="1:4" x14ac:dyDescent="0.55000000000000004">
      <c r="A415">
        <f t="shared" si="14"/>
        <v>2023</v>
      </c>
      <c r="B415" s="821">
        <v>45084</v>
      </c>
      <c r="C415">
        <v>3.95</v>
      </c>
      <c r="D415">
        <f t="shared" si="15"/>
        <v>0</v>
      </c>
    </row>
    <row r="416" spans="1:4" x14ac:dyDescent="0.55000000000000004">
      <c r="A416">
        <f t="shared" si="14"/>
        <v>2023</v>
      </c>
      <c r="B416" s="821">
        <v>45083</v>
      </c>
      <c r="C416">
        <v>3.87</v>
      </c>
      <c r="D416">
        <f t="shared" si="15"/>
        <v>0</v>
      </c>
    </row>
    <row r="417" spans="1:4" x14ac:dyDescent="0.55000000000000004">
      <c r="A417">
        <f t="shared" si="14"/>
        <v>2023</v>
      </c>
      <c r="B417" s="821">
        <v>45082</v>
      </c>
      <c r="C417">
        <v>3.89</v>
      </c>
      <c r="D417">
        <f t="shared" si="15"/>
        <v>0</v>
      </c>
    </row>
    <row r="418" spans="1:4" x14ac:dyDescent="0.55000000000000004">
      <c r="A418">
        <f t="shared" si="14"/>
        <v>2023</v>
      </c>
      <c r="B418" s="821">
        <v>45079</v>
      </c>
      <c r="C418">
        <v>3.88</v>
      </c>
      <c r="D418">
        <f t="shared" si="15"/>
        <v>0</v>
      </c>
    </row>
    <row r="419" spans="1:4" x14ac:dyDescent="0.55000000000000004">
      <c r="A419">
        <f t="shared" si="14"/>
        <v>2023</v>
      </c>
      <c r="B419" s="821">
        <v>45078</v>
      </c>
      <c r="C419">
        <v>3.84</v>
      </c>
      <c r="D419">
        <f t="shared" si="15"/>
        <v>0</v>
      </c>
    </row>
    <row r="420" spans="1:4" x14ac:dyDescent="0.55000000000000004">
      <c r="A420">
        <f t="shared" si="14"/>
        <v>2023</v>
      </c>
      <c r="B420" s="821">
        <v>45077</v>
      </c>
      <c r="C420">
        <v>3.85</v>
      </c>
      <c r="D420">
        <f t="shared" si="15"/>
        <v>0</v>
      </c>
    </row>
    <row r="421" spans="1:4" x14ac:dyDescent="0.55000000000000004">
      <c r="A421">
        <f t="shared" si="14"/>
        <v>2023</v>
      </c>
      <c r="B421" s="821">
        <v>45076</v>
      </c>
      <c r="C421">
        <v>3.9</v>
      </c>
      <c r="D421">
        <f t="shared" si="15"/>
        <v>0</v>
      </c>
    </row>
    <row r="422" spans="1:4" x14ac:dyDescent="0.55000000000000004">
      <c r="A422">
        <f t="shared" si="14"/>
        <v>2023</v>
      </c>
      <c r="B422" s="821">
        <v>45072</v>
      </c>
      <c r="C422">
        <v>3.96</v>
      </c>
      <c r="D422">
        <f t="shared" si="15"/>
        <v>0</v>
      </c>
    </row>
    <row r="423" spans="1:4" x14ac:dyDescent="0.55000000000000004">
      <c r="A423">
        <f t="shared" si="14"/>
        <v>2023</v>
      </c>
      <c r="B423" s="821">
        <v>45071</v>
      </c>
      <c r="C423">
        <v>4.01</v>
      </c>
      <c r="D423">
        <f t="shared" si="15"/>
        <v>1</v>
      </c>
    </row>
    <row r="424" spans="1:4" x14ac:dyDescent="0.55000000000000004">
      <c r="A424">
        <f t="shared" si="14"/>
        <v>2023</v>
      </c>
      <c r="B424" s="821">
        <v>45070</v>
      </c>
      <c r="C424">
        <v>3.97</v>
      </c>
      <c r="D424">
        <f t="shared" si="15"/>
        <v>0</v>
      </c>
    </row>
    <row r="425" spans="1:4" x14ac:dyDescent="0.55000000000000004">
      <c r="A425">
        <f t="shared" si="14"/>
        <v>2023</v>
      </c>
      <c r="B425" s="821">
        <v>45069</v>
      </c>
      <c r="C425">
        <v>3.96</v>
      </c>
      <c r="D425">
        <f t="shared" si="15"/>
        <v>0</v>
      </c>
    </row>
    <row r="426" spans="1:4" x14ac:dyDescent="0.55000000000000004">
      <c r="A426">
        <f t="shared" si="14"/>
        <v>2023</v>
      </c>
      <c r="B426" s="821">
        <v>45068</v>
      </c>
      <c r="C426">
        <v>3.97</v>
      </c>
      <c r="D426">
        <f t="shared" si="15"/>
        <v>0</v>
      </c>
    </row>
    <row r="427" spans="1:4" x14ac:dyDescent="0.55000000000000004">
      <c r="A427">
        <f t="shared" si="14"/>
        <v>2023</v>
      </c>
      <c r="B427" s="821">
        <v>45065</v>
      </c>
      <c r="C427">
        <v>3.95</v>
      </c>
      <c r="D427">
        <f t="shared" si="15"/>
        <v>0</v>
      </c>
    </row>
    <row r="428" spans="1:4" x14ac:dyDescent="0.55000000000000004">
      <c r="A428">
        <f t="shared" si="14"/>
        <v>2023</v>
      </c>
      <c r="B428" s="821">
        <v>45064</v>
      </c>
      <c r="C428">
        <v>3.91</v>
      </c>
      <c r="D428">
        <f t="shared" si="15"/>
        <v>0</v>
      </c>
    </row>
    <row r="429" spans="1:4" x14ac:dyDescent="0.55000000000000004">
      <c r="A429">
        <f t="shared" si="14"/>
        <v>2023</v>
      </c>
      <c r="B429" s="821">
        <v>45063</v>
      </c>
      <c r="C429">
        <v>3.88</v>
      </c>
      <c r="D429">
        <f t="shared" si="15"/>
        <v>0</v>
      </c>
    </row>
    <row r="430" spans="1:4" x14ac:dyDescent="0.55000000000000004">
      <c r="A430">
        <f t="shared" si="14"/>
        <v>2023</v>
      </c>
      <c r="B430" s="821">
        <v>45062</v>
      </c>
      <c r="C430">
        <v>3.87</v>
      </c>
      <c r="D430">
        <f t="shared" si="15"/>
        <v>0</v>
      </c>
    </row>
    <row r="431" spans="1:4" x14ac:dyDescent="0.55000000000000004">
      <c r="A431">
        <f t="shared" si="14"/>
        <v>2023</v>
      </c>
      <c r="B431" s="821">
        <v>45061</v>
      </c>
      <c r="C431">
        <v>3.84</v>
      </c>
      <c r="D431">
        <f t="shared" si="15"/>
        <v>0</v>
      </c>
    </row>
    <row r="432" spans="1:4" x14ac:dyDescent="0.55000000000000004">
      <c r="A432">
        <f t="shared" si="14"/>
        <v>2023</v>
      </c>
      <c r="B432" s="821">
        <v>45058</v>
      </c>
      <c r="C432">
        <v>3.78</v>
      </c>
      <c r="D432">
        <f t="shared" si="15"/>
        <v>0</v>
      </c>
    </row>
    <row r="433" spans="1:4" x14ac:dyDescent="0.55000000000000004">
      <c r="A433">
        <f t="shared" si="14"/>
        <v>2023</v>
      </c>
      <c r="B433" s="821">
        <v>45057</v>
      </c>
      <c r="C433">
        <v>3.73</v>
      </c>
      <c r="D433">
        <f t="shared" si="15"/>
        <v>0</v>
      </c>
    </row>
    <row r="434" spans="1:4" x14ac:dyDescent="0.55000000000000004">
      <c r="A434">
        <f t="shared" si="14"/>
        <v>2023</v>
      </c>
      <c r="B434" s="821">
        <v>45056</v>
      </c>
      <c r="C434">
        <v>3.8</v>
      </c>
      <c r="D434">
        <f t="shared" si="15"/>
        <v>0</v>
      </c>
    </row>
    <row r="435" spans="1:4" x14ac:dyDescent="0.55000000000000004">
      <c r="A435">
        <f t="shared" si="14"/>
        <v>2023</v>
      </c>
      <c r="B435" s="821">
        <v>45055</v>
      </c>
      <c r="C435">
        <v>3.85</v>
      </c>
      <c r="D435">
        <f t="shared" si="15"/>
        <v>0</v>
      </c>
    </row>
    <row r="436" spans="1:4" x14ac:dyDescent="0.55000000000000004">
      <c r="A436">
        <f t="shared" si="14"/>
        <v>2023</v>
      </c>
      <c r="B436" s="821">
        <v>45054</v>
      </c>
      <c r="C436">
        <v>3.84</v>
      </c>
      <c r="D436">
        <f t="shared" si="15"/>
        <v>0</v>
      </c>
    </row>
    <row r="437" spans="1:4" x14ac:dyDescent="0.55000000000000004">
      <c r="A437">
        <f t="shared" si="14"/>
        <v>2023</v>
      </c>
      <c r="B437" s="821">
        <v>45051</v>
      </c>
      <c r="C437">
        <v>3.76</v>
      </c>
      <c r="D437">
        <f t="shared" si="15"/>
        <v>0</v>
      </c>
    </row>
    <row r="438" spans="1:4" x14ac:dyDescent="0.55000000000000004">
      <c r="A438">
        <f t="shared" si="14"/>
        <v>2023</v>
      </c>
      <c r="B438" s="821">
        <v>45050</v>
      </c>
      <c r="C438">
        <v>3.73</v>
      </c>
      <c r="D438">
        <f t="shared" si="15"/>
        <v>0</v>
      </c>
    </row>
    <row r="439" spans="1:4" x14ac:dyDescent="0.55000000000000004">
      <c r="A439">
        <f t="shared" si="14"/>
        <v>2023</v>
      </c>
      <c r="B439" s="821">
        <v>45049</v>
      </c>
      <c r="C439">
        <v>3.7</v>
      </c>
      <c r="D439">
        <f t="shared" si="15"/>
        <v>0</v>
      </c>
    </row>
    <row r="440" spans="1:4" x14ac:dyDescent="0.55000000000000004">
      <c r="A440">
        <f t="shared" si="14"/>
        <v>2023</v>
      </c>
      <c r="B440" s="821">
        <v>45048</v>
      </c>
      <c r="C440">
        <v>3.72</v>
      </c>
      <c r="D440">
        <f t="shared" si="15"/>
        <v>0</v>
      </c>
    </row>
    <row r="441" spans="1:4" x14ac:dyDescent="0.55000000000000004">
      <c r="A441">
        <f t="shared" si="14"/>
        <v>2023</v>
      </c>
      <c r="B441" s="821">
        <v>45047</v>
      </c>
      <c r="C441">
        <v>3.84</v>
      </c>
      <c r="D441">
        <f t="shared" si="15"/>
        <v>0</v>
      </c>
    </row>
    <row r="442" spans="1:4" x14ac:dyDescent="0.55000000000000004">
      <c r="A442">
        <f t="shared" si="14"/>
        <v>2023</v>
      </c>
      <c r="B442" s="821">
        <v>45044</v>
      </c>
      <c r="C442">
        <v>3.67</v>
      </c>
      <c r="D442">
        <f t="shared" si="15"/>
        <v>0</v>
      </c>
    </row>
    <row r="443" spans="1:4" x14ac:dyDescent="0.55000000000000004">
      <c r="A443">
        <f t="shared" si="14"/>
        <v>2023</v>
      </c>
      <c r="B443" s="821">
        <v>45043</v>
      </c>
      <c r="C443">
        <v>3.76</v>
      </c>
      <c r="D443">
        <f t="shared" si="15"/>
        <v>0</v>
      </c>
    </row>
    <row r="444" spans="1:4" x14ac:dyDescent="0.55000000000000004">
      <c r="A444">
        <f t="shared" si="14"/>
        <v>2023</v>
      </c>
      <c r="B444" s="821">
        <v>45042</v>
      </c>
      <c r="C444">
        <v>3.7</v>
      </c>
      <c r="D444">
        <f t="shared" si="15"/>
        <v>0</v>
      </c>
    </row>
    <row r="445" spans="1:4" x14ac:dyDescent="0.55000000000000004">
      <c r="A445">
        <f t="shared" si="14"/>
        <v>2023</v>
      </c>
      <c r="B445" s="821">
        <v>45041</v>
      </c>
      <c r="C445">
        <v>3.65</v>
      </c>
      <c r="D445">
        <f t="shared" si="15"/>
        <v>0</v>
      </c>
    </row>
    <row r="446" spans="1:4" x14ac:dyDescent="0.55000000000000004">
      <c r="A446">
        <f t="shared" si="14"/>
        <v>2023</v>
      </c>
      <c r="B446" s="821">
        <v>45040</v>
      </c>
      <c r="C446">
        <v>3.73</v>
      </c>
      <c r="D446">
        <f t="shared" si="15"/>
        <v>0</v>
      </c>
    </row>
    <row r="447" spans="1:4" x14ac:dyDescent="0.55000000000000004">
      <c r="A447">
        <f t="shared" si="14"/>
        <v>2023</v>
      </c>
      <c r="B447" s="821">
        <v>45037</v>
      </c>
      <c r="C447">
        <v>3.78</v>
      </c>
      <c r="D447">
        <f t="shared" si="15"/>
        <v>0</v>
      </c>
    </row>
    <row r="448" spans="1:4" x14ac:dyDescent="0.55000000000000004">
      <c r="A448">
        <f t="shared" si="14"/>
        <v>2023</v>
      </c>
      <c r="B448" s="821">
        <v>45036</v>
      </c>
      <c r="C448">
        <v>3.75</v>
      </c>
      <c r="D448">
        <f t="shared" si="15"/>
        <v>0</v>
      </c>
    </row>
    <row r="449" spans="1:4" x14ac:dyDescent="0.55000000000000004">
      <c r="A449">
        <f t="shared" si="14"/>
        <v>2023</v>
      </c>
      <c r="B449" s="821">
        <v>45035</v>
      </c>
      <c r="C449">
        <v>3.79</v>
      </c>
      <c r="D449">
        <f t="shared" si="15"/>
        <v>0</v>
      </c>
    </row>
    <row r="450" spans="1:4" x14ac:dyDescent="0.55000000000000004">
      <c r="A450">
        <f t="shared" si="14"/>
        <v>2023</v>
      </c>
      <c r="B450" s="821">
        <v>45034</v>
      </c>
      <c r="C450">
        <v>3.79</v>
      </c>
      <c r="D450">
        <f t="shared" si="15"/>
        <v>0</v>
      </c>
    </row>
    <row r="451" spans="1:4" x14ac:dyDescent="0.55000000000000004">
      <c r="A451">
        <f t="shared" si="14"/>
        <v>2023</v>
      </c>
      <c r="B451" s="821">
        <v>45033</v>
      </c>
      <c r="C451">
        <v>3.81</v>
      </c>
      <c r="D451">
        <f t="shared" si="15"/>
        <v>0</v>
      </c>
    </row>
    <row r="452" spans="1:4" x14ac:dyDescent="0.55000000000000004">
      <c r="A452">
        <f t="shared" ref="A452:A515" si="16">YEAR(B452)</f>
        <v>2023</v>
      </c>
      <c r="B452" s="821">
        <v>45030</v>
      </c>
      <c r="C452">
        <v>3.74</v>
      </c>
      <c r="D452">
        <f t="shared" ref="D452:D515" si="17">IF(C452&gt;4,1,0)</f>
        <v>0</v>
      </c>
    </row>
    <row r="453" spans="1:4" x14ac:dyDescent="0.55000000000000004">
      <c r="A453">
        <f t="shared" si="16"/>
        <v>2023</v>
      </c>
      <c r="B453" s="821">
        <v>45029</v>
      </c>
      <c r="C453">
        <v>3.69</v>
      </c>
      <c r="D453">
        <f t="shared" si="17"/>
        <v>0</v>
      </c>
    </row>
    <row r="454" spans="1:4" x14ac:dyDescent="0.55000000000000004">
      <c r="A454">
        <f t="shared" si="16"/>
        <v>2023</v>
      </c>
      <c r="B454" s="821">
        <v>45028</v>
      </c>
      <c r="C454">
        <v>3.64</v>
      </c>
      <c r="D454">
        <f t="shared" si="17"/>
        <v>0</v>
      </c>
    </row>
    <row r="455" spans="1:4" x14ac:dyDescent="0.55000000000000004">
      <c r="A455">
        <f t="shared" si="16"/>
        <v>2023</v>
      </c>
      <c r="B455" s="821">
        <v>45027</v>
      </c>
      <c r="C455">
        <v>3.62</v>
      </c>
      <c r="D455">
        <f t="shared" si="17"/>
        <v>0</v>
      </c>
    </row>
    <row r="456" spans="1:4" x14ac:dyDescent="0.55000000000000004">
      <c r="A456">
        <f t="shared" si="16"/>
        <v>2023</v>
      </c>
      <c r="B456" s="821">
        <v>45026</v>
      </c>
      <c r="C456">
        <v>3.62</v>
      </c>
      <c r="D456">
        <f t="shared" si="17"/>
        <v>0</v>
      </c>
    </row>
    <row r="457" spans="1:4" x14ac:dyDescent="0.55000000000000004">
      <c r="A457">
        <f t="shared" si="16"/>
        <v>2023</v>
      </c>
      <c r="B457" s="821">
        <v>45023</v>
      </c>
      <c r="C457">
        <v>3.61</v>
      </c>
      <c r="D457">
        <f t="shared" si="17"/>
        <v>0</v>
      </c>
    </row>
    <row r="458" spans="1:4" x14ac:dyDescent="0.55000000000000004">
      <c r="A458">
        <f t="shared" si="16"/>
        <v>2023</v>
      </c>
      <c r="B458" s="821">
        <v>45022</v>
      </c>
      <c r="C458">
        <v>3.54</v>
      </c>
      <c r="D458">
        <f t="shared" si="17"/>
        <v>0</v>
      </c>
    </row>
    <row r="459" spans="1:4" x14ac:dyDescent="0.55000000000000004">
      <c r="A459">
        <f t="shared" si="16"/>
        <v>2023</v>
      </c>
      <c r="B459" s="821">
        <v>45021</v>
      </c>
      <c r="C459">
        <v>3.56</v>
      </c>
      <c r="D459">
        <f t="shared" si="17"/>
        <v>0</v>
      </c>
    </row>
    <row r="460" spans="1:4" x14ac:dyDescent="0.55000000000000004">
      <c r="A460">
        <f t="shared" si="16"/>
        <v>2023</v>
      </c>
      <c r="B460" s="821">
        <v>45020</v>
      </c>
      <c r="C460">
        <v>3.6</v>
      </c>
      <c r="D460">
        <f t="shared" si="17"/>
        <v>0</v>
      </c>
    </row>
    <row r="461" spans="1:4" x14ac:dyDescent="0.55000000000000004">
      <c r="A461">
        <f t="shared" si="16"/>
        <v>2023</v>
      </c>
      <c r="B461" s="821">
        <v>45019</v>
      </c>
      <c r="C461">
        <v>3.64</v>
      </c>
      <c r="D461">
        <f t="shared" si="17"/>
        <v>0</v>
      </c>
    </row>
    <row r="462" spans="1:4" x14ac:dyDescent="0.55000000000000004">
      <c r="A462">
        <f t="shared" si="16"/>
        <v>2023</v>
      </c>
      <c r="B462" s="821">
        <v>45016</v>
      </c>
      <c r="C462">
        <v>3.67</v>
      </c>
      <c r="D462">
        <f t="shared" si="17"/>
        <v>0</v>
      </c>
    </row>
    <row r="463" spans="1:4" x14ac:dyDescent="0.55000000000000004">
      <c r="A463">
        <f t="shared" si="16"/>
        <v>2023</v>
      </c>
      <c r="B463" s="821">
        <v>45015</v>
      </c>
      <c r="C463">
        <v>3.74</v>
      </c>
      <c r="D463">
        <f t="shared" si="17"/>
        <v>0</v>
      </c>
    </row>
    <row r="464" spans="1:4" x14ac:dyDescent="0.55000000000000004">
      <c r="A464">
        <f t="shared" si="16"/>
        <v>2023</v>
      </c>
      <c r="B464" s="821">
        <v>45014</v>
      </c>
      <c r="C464">
        <v>3.78</v>
      </c>
      <c r="D464">
        <f t="shared" si="17"/>
        <v>0</v>
      </c>
    </row>
    <row r="465" spans="1:4" x14ac:dyDescent="0.55000000000000004">
      <c r="A465">
        <f t="shared" si="16"/>
        <v>2023</v>
      </c>
      <c r="B465" s="821">
        <v>45013</v>
      </c>
      <c r="C465">
        <v>3.77</v>
      </c>
      <c r="D465">
        <f t="shared" si="17"/>
        <v>0</v>
      </c>
    </row>
    <row r="466" spans="1:4" x14ac:dyDescent="0.55000000000000004">
      <c r="A466">
        <f t="shared" si="16"/>
        <v>2023</v>
      </c>
      <c r="B466" s="821">
        <v>45012</v>
      </c>
      <c r="C466">
        <v>3.77</v>
      </c>
      <c r="D466">
        <f t="shared" si="17"/>
        <v>0</v>
      </c>
    </row>
    <row r="467" spans="1:4" x14ac:dyDescent="0.55000000000000004">
      <c r="A467">
        <f t="shared" si="16"/>
        <v>2023</v>
      </c>
      <c r="B467" s="821">
        <v>45009</v>
      </c>
      <c r="C467">
        <v>3.64</v>
      </c>
      <c r="D467">
        <f t="shared" si="17"/>
        <v>0</v>
      </c>
    </row>
    <row r="468" spans="1:4" x14ac:dyDescent="0.55000000000000004">
      <c r="A468">
        <f t="shared" si="16"/>
        <v>2023</v>
      </c>
      <c r="B468" s="821">
        <v>45008</v>
      </c>
      <c r="C468">
        <v>3.66</v>
      </c>
      <c r="D468">
        <f t="shared" si="17"/>
        <v>0</v>
      </c>
    </row>
    <row r="469" spans="1:4" x14ac:dyDescent="0.55000000000000004">
      <c r="A469">
        <f t="shared" si="16"/>
        <v>2023</v>
      </c>
      <c r="B469" s="821">
        <v>45007</v>
      </c>
      <c r="C469">
        <v>3.68</v>
      </c>
      <c r="D469">
        <f t="shared" si="17"/>
        <v>0</v>
      </c>
    </row>
    <row r="470" spans="1:4" x14ac:dyDescent="0.55000000000000004">
      <c r="A470">
        <f t="shared" si="16"/>
        <v>2023</v>
      </c>
      <c r="B470" s="821">
        <v>45006</v>
      </c>
      <c r="C470">
        <v>3.73</v>
      </c>
      <c r="D470">
        <f t="shared" si="17"/>
        <v>0</v>
      </c>
    </row>
    <row r="471" spans="1:4" x14ac:dyDescent="0.55000000000000004">
      <c r="A471">
        <f t="shared" si="16"/>
        <v>2023</v>
      </c>
      <c r="B471" s="821">
        <v>45005</v>
      </c>
      <c r="C471">
        <v>3.65</v>
      </c>
      <c r="D471">
        <f t="shared" si="17"/>
        <v>0</v>
      </c>
    </row>
    <row r="472" spans="1:4" x14ac:dyDescent="0.55000000000000004">
      <c r="A472">
        <f t="shared" si="16"/>
        <v>2023</v>
      </c>
      <c r="B472" s="821">
        <v>45002</v>
      </c>
      <c r="C472">
        <v>3.6</v>
      </c>
      <c r="D472">
        <f t="shared" si="17"/>
        <v>0</v>
      </c>
    </row>
    <row r="473" spans="1:4" x14ac:dyDescent="0.55000000000000004">
      <c r="A473">
        <f t="shared" si="16"/>
        <v>2023</v>
      </c>
      <c r="B473" s="821">
        <v>45001</v>
      </c>
      <c r="C473">
        <v>3.71</v>
      </c>
      <c r="D473">
        <f t="shared" si="17"/>
        <v>0</v>
      </c>
    </row>
    <row r="474" spans="1:4" x14ac:dyDescent="0.55000000000000004">
      <c r="A474">
        <f t="shared" si="16"/>
        <v>2023</v>
      </c>
      <c r="B474" s="821">
        <v>45000</v>
      </c>
      <c r="C474">
        <v>3.7</v>
      </c>
      <c r="D474">
        <f t="shared" si="17"/>
        <v>0</v>
      </c>
    </row>
    <row r="475" spans="1:4" x14ac:dyDescent="0.55000000000000004">
      <c r="A475">
        <f t="shared" si="16"/>
        <v>2023</v>
      </c>
      <c r="B475" s="821">
        <v>44999</v>
      </c>
      <c r="C475">
        <v>3.77</v>
      </c>
      <c r="D475">
        <f t="shared" si="17"/>
        <v>0</v>
      </c>
    </row>
    <row r="476" spans="1:4" x14ac:dyDescent="0.55000000000000004">
      <c r="A476">
        <f t="shared" si="16"/>
        <v>2023</v>
      </c>
      <c r="B476" s="821">
        <v>44998</v>
      </c>
      <c r="C476">
        <v>3.7</v>
      </c>
      <c r="D476">
        <f t="shared" si="17"/>
        <v>0</v>
      </c>
    </row>
    <row r="477" spans="1:4" x14ac:dyDescent="0.55000000000000004">
      <c r="A477">
        <f t="shared" si="16"/>
        <v>2023</v>
      </c>
      <c r="B477" s="821">
        <v>44995</v>
      </c>
      <c r="C477">
        <v>3.7</v>
      </c>
      <c r="D477">
        <f t="shared" si="17"/>
        <v>0</v>
      </c>
    </row>
    <row r="478" spans="1:4" x14ac:dyDescent="0.55000000000000004">
      <c r="A478">
        <f t="shared" si="16"/>
        <v>2023</v>
      </c>
      <c r="B478" s="821">
        <v>44994</v>
      </c>
      <c r="C478">
        <v>3.88</v>
      </c>
      <c r="D478">
        <f t="shared" si="17"/>
        <v>0</v>
      </c>
    </row>
    <row r="479" spans="1:4" x14ac:dyDescent="0.55000000000000004">
      <c r="A479">
        <f t="shared" si="16"/>
        <v>2023</v>
      </c>
      <c r="B479" s="821">
        <v>44993</v>
      </c>
      <c r="C479">
        <v>3.88</v>
      </c>
      <c r="D479">
        <f t="shared" si="17"/>
        <v>0</v>
      </c>
    </row>
    <row r="480" spans="1:4" x14ac:dyDescent="0.55000000000000004">
      <c r="A480">
        <f t="shared" si="16"/>
        <v>2023</v>
      </c>
      <c r="B480" s="821">
        <v>44992</v>
      </c>
      <c r="C480">
        <v>3.88</v>
      </c>
      <c r="D480">
        <f t="shared" si="17"/>
        <v>0</v>
      </c>
    </row>
    <row r="481" spans="1:4" x14ac:dyDescent="0.55000000000000004">
      <c r="A481">
        <f t="shared" si="16"/>
        <v>2023</v>
      </c>
      <c r="B481" s="821">
        <v>44991</v>
      </c>
      <c r="C481">
        <v>3.92</v>
      </c>
      <c r="D481">
        <f t="shared" si="17"/>
        <v>0</v>
      </c>
    </row>
    <row r="482" spans="1:4" x14ac:dyDescent="0.55000000000000004">
      <c r="A482">
        <f t="shared" si="16"/>
        <v>2023</v>
      </c>
      <c r="B482" s="821">
        <v>44988</v>
      </c>
      <c r="C482">
        <v>3.9</v>
      </c>
      <c r="D482">
        <f t="shared" si="17"/>
        <v>0</v>
      </c>
    </row>
    <row r="483" spans="1:4" x14ac:dyDescent="0.55000000000000004">
      <c r="A483">
        <f t="shared" si="16"/>
        <v>2023</v>
      </c>
      <c r="B483" s="821">
        <v>44987</v>
      </c>
      <c r="C483">
        <v>4.03</v>
      </c>
      <c r="D483">
        <f t="shared" si="17"/>
        <v>1</v>
      </c>
    </row>
    <row r="484" spans="1:4" x14ac:dyDescent="0.55000000000000004">
      <c r="A484">
        <f t="shared" si="16"/>
        <v>2023</v>
      </c>
      <c r="B484" s="821">
        <v>44986</v>
      </c>
      <c r="C484">
        <v>3.97</v>
      </c>
      <c r="D484">
        <f t="shared" si="17"/>
        <v>0</v>
      </c>
    </row>
    <row r="485" spans="1:4" x14ac:dyDescent="0.55000000000000004">
      <c r="A485">
        <f t="shared" si="16"/>
        <v>2023</v>
      </c>
      <c r="B485" s="821">
        <v>44985</v>
      </c>
      <c r="C485">
        <v>3.93</v>
      </c>
      <c r="D485">
        <f t="shared" si="17"/>
        <v>0</v>
      </c>
    </row>
    <row r="486" spans="1:4" x14ac:dyDescent="0.55000000000000004">
      <c r="A486">
        <f t="shared" si="16"/>
        <v>2023</v>
      </c>
      <c r="B486" s="821">
        <v>44984</v>
      </c>
      <c r="C486">
        <v>3.93</v>
      </c>
      <c r="D486">
        <f t="shared" si="17"/>
        <v>0</v>
      </c>
    </row>
    <row r="487" spans="1:4" x14ac:dyDescent="0.55000000000000004">
      <c r="A487">
        <f t="shared" si="16"/>
        <v>2023</v>
      </c>
      <c r="B487" s="821">
        <v>44981</v>
      </c>
      <c r="C487">
        <v>3.93</v>
      </c>
      <c r="D487">
        <f t="shared" si="17"/>
        <v>0</v>
      </c>
    </row>
    <row r="488" spans="1:4" x14ac:dyDescent="0.55000000000000004">
      <c r="A488">
        <f t="shared" si="16"/>
        <v>2023</v>
      </c>
      <c r="B488" s="821">
        <v>44980</v>
      </c>
      <c r="C488">
        <v>3.88</v>
      </c>
      <c r="D488">
        <f t="shared" si="17"/>
        <v>0</v>
      </c>
    </row>
    <row r="489" spans="1:4" x14ac:dyDescent="0.55000000000000004">
      <c r="A489">
        <f t="shared" si="16"/>
        <v>2023</v>
      </c>
      <c r="B489" s="821">
        <v>44979</v>
      </c>
      <c r="C489">
        <v>3.94</v>
      </c>
      <c r="D489">
        <f t="shared" si="17"/>
        <v>0</v>
      </c>
    </row>
    <row r="490" spans="1:4" x14ac:dyDescent="0.55000000000000004">
      <c r="A490">
        <f t="shared" si="16"/>
        <v>2023</v>
      </c>
      <c r="B490" s="821">
        <v>44978</v>
      </c>
      <c r="C490">
        <v>3.98</v>
      </c>
      <c r="D490">
        <f t="shared" si="17"/>
        <v>0</v>
      </c>
    </row>
    <row r="491" spans="1:4" x14ac:dyDescent="0.55000000000000004">
      <c r="A491">
        <f t="shared" si="16"/>
        <v>2023</v>
      </c>
      <c r="B491" s="821">
        <v>44974</v>
      </c>
      <c r="C491">
        <v>3.88</v>
      </c>
      <c r="D491">
        <f t="shared" si="17"/>
        <v>0</v>
      </c>
    </row>
    <row r="492" spans="1:4" x14ac:dyDescent="0.55000000000000004">
      <c r="A492">
        <f t="shared" si="16"/>
        <v>2023</v>
      </c>
      <c r="B492" s="821">
        <v>44973</v>
      </c>
      <c r="C492">
        <v>3.92</v>
      </c>
      <c r="D492">
        <f t="shared" si="17"/>
        <v>0</v>
      </c>
    </row>
    <row r="493" spans="1:4" x14ac:dyDescent="0.55000000000000004">
      <c r="A493">
        <f t="shared" si="16"/>
        <v>2023</v>
      </c>
      <c r="B493" s="821">
        <v>44972</v>
      </c>
      <c r="C493">
        <v>3.85</v>
      </c>
      <c r="D493">
        <f t="shared" si="17"/>
        <v>0</v>
      </c>
    </row>
    <row r="494" spans="1:4" x14ac:dyDescent="0.55000000000000004">
      <c r="A494">
        <f t="shared" si="16"/>
        <v>2023</v>
      </c>
      <c r="B494" s="821">
        <v>44971</v>
      </c>
      <c r="C494">
        <v>3.81</v>
      </c>
      <c r="D494">
        <f t="shared" si="17"/>
        <v>0</v>
      </c>
    </row>
    <row r="495" spans="1:4" x14ac:dyDescent="0.55000000000000004">
      <c r="A495">
        <f t="shared" si="16"/>
        <v>2023</v>
      </c>
      <c r="B495" s="821">
        <v>44970</v>
      </c>
      <c r="C495">
        <v>3.79</v>
      </c>
      <c r="D495">
        <f t="shared" si="17"/>
        <v>0</v>
      </c>
    </row>
    <row r="496" spans="1:4" x14ac:dyDescent="0.55000000000000004">
      <c r="A496">
        <f t="shared" si="16"/>
        <v>2023</v>
      </c>
      <c r="B496" s="821">
        <v>44967</v>
      </c>
      <c r="C496">
        <v>3.83</v>
      </c>
      <c r="D496">
        <f t="shared" si="17"/>
        <v>0</v>
      </c>
    </row>
    <row r="497" spans="1:4" x14ac:dyDescent="0.55000000000000004">
      <c r="A497">
        <f t="shared" si="16"/>
        <v>2023</v>
      </c>
      <c r="B497" s="821">
        <v>44966</v>
      </c>
      <c r="C497">
        <v>3.75</v>
      </c>
      <c r="D497">
        <f t="shared" si="17"/>
        <v>0</v>
      </c>
    </row>
    <row r="498" spans="1:4" x14ac:dyDescent="0.55000000000000004">
      <c r="A498">
        <f t="shared" si="16"/>
        <v>2023</v>
      </c>
      <c r="B498" s="821">
        <v>44965</v>
      </c>
      <c r="C498">
        <v>3.7</v>
      </c>
      <c r="D498">
        <f t="shared" si="17"/>
        <v>0</v>
      </c>
    </row>
    <row r="499" spans="1:4" x14ac:dyDescent="0.55000000000000004">
      <c r="A499">
        <f t="shared" si="16"/>
        <v>2023</v>
      </c>
      <c r="B499" s="821">
        <v>44964</v>
      </c>
      <c r="C499">
        <v>3.72</v>
      </c>
      <c r="D499">
        <f t="shared" si="17"/>
        <v>0</v>
      </c>
    </row>
    <row r="500" spans="1:4" x14ac:dyDescent="0.55000000000000004">
      <c r="A500">
        <f t="shared" si="16"/>
        <v>2023</v>
      </c>
      <c r="B500" s="821">
        <v>44963</v>
      </c>
      <c r="C500">
        <v>3.67</v>
      </c>
      <c r="D500">
        <f t="shared" si="17"/>
        <v>0</v>
      </c>
    </row>
    <row r="501" spans="1:4" x14ac:dyDescent="0.55000000000000004">
      <c r="A501">
        <f t="shared" si="16"/>
        <v>2023</v>
      </c>
      <c r="B501" s="821">
        <v>44960</v>
      </c>
      <c r="C501">
        <v>3.63</v>
      </c>
      <c r="D501">
        <f t="shared" si="17"/>
        <v>0</v>
      </c>
    </row>
    <row r="502" spans="1:4" x14ac:dyDescent="0.55000000000000004">
      <c r="A502">
        <f t="shared" si="16"/>
        <v>2023</v>
      </c>
      <c r="B502" s="821">
        <v>44959</v>
      </c>
      <c r="C502">
        <v>3.55</v>
      </c>
      <c r="D502">
        <f t="shared" si="17"/>
        <v>0</v>
      </c>
    </row>
    <row r="503" spans="1:4" x14ac:dyDescent="0.55000000000000004">
      <c r="A503">
        <f t="shared" si="16"/>
        <v>2023</v>
      </c>
      <c r="B503" s="821">
        <v>44958</v>
      </c>
      <c r="C503">
        <v>3.55</v>
      </c>
      <c r="D503">
        <f t="shared" si="17"/>
        <v>0</v>
      </c>
    </row>
    <row r="504" spans="1:4" x14ac:dyDescent="0.55000000000000004">
      <c r="A504">
        <f t="shared" si="16"/>
        <v>2023</v>
      </c>
      <c r="B504" s="821">
        <v>44957</v>
      </c>
      <c r="C504">
        <v>3.65</v>
      </c>
      <c r="D504">
        <f t="shared" si="17"/>
        <v>0</v>
      </c>
    </row>
    <row r="505" spans="1:4" x14ac:dyDescent="0.55000000000000004">
      <c r="A505">
        <f t="shared" si="16"/>
        <v>2023</v>
      </c>
      <c r="B505" s="821">
        <v>44956</v>
      </c>
      <c r="C505">
        <v>3.66</v>
      </c>
      <c r="D505">
        <f t="shared" si="17"/>
        <v>0</v>
      </c>
    </row>
    <row r="506" spans="1:4" x14ac:dyDescent="0.55000000000000004">
      <c r="A506">
        <f t="shared" si="16"/>
        <v>2023</v>
      </c>
      <c r="B506" s="821">
        <v>44953</v>
      </c>
      <c r="C506">
        <v>3.64</v>
      </c>
      <c r="D506">
        <f t="shared" si="17"/>
        <v>0</v>
      </c>
    </row>
    <row r="507" spans="1:4" x14ac:dyDescent="0.55000000000000004">
      <c r="A507">
        <f t="shared" si="16"/>
        <v>2023</v>
      </c>
      <c r="B507" s="821">
        <v>44952</v>
      </c>
      <c r="C507">
        <v>3.62</v>
      </c>
      <c r="D507">
        <f t="shared" si="17"/>
        <v>0</v>
      </c>
    </row>
    <row r="508" spans="1:4" x14ac:dyDescent="0.55000000000000004">
      <c r="A508">
        <f t="shared" si="16"/>
        <v>2023</v>
      </c>
      <c r="B508" s="821">
        <v>44951</v>
      </c>
      <c r="C508">
        <v>3.62</v>
      </c>
      <c r="D508">
        <f t="shared" si="17"/>
        <v>0</v>
      </c>
    </row>
    <row r="509" spans="1:4" x14ac:dyDescent="0.55000000000000004">
      <c r="A509">
        <f t="shared" si="16"/>
        <v>2023</v>
      </c>
      <c r="B509" s="821">
        <v>44950</v>
      </c>
      <c r="C509">
        <v>3.62</v>
      </c>
      <c r="D509">
        <f t="shared" si="17"/>
        <v>0</v>
      </c>
    </row>
    <row r="510" spans="1:4" x14ac:dyDescent="0.55000000000000004">
      <c r="A510">
        <f t="shared" si="16"/>
        <v>2023</v>
      </c>
      <c r="B510" s="821">
        <v>44949</v>
      </c>
      <c r="C510">
        <v>3.69</v>
      </c>
      <c r="D510">
        <f t="shared" si="17"/>
        <v>0</v>
      </c>
    </row>
    <row r="511" spans="1:4" x14ac:dyDescent="0.55000000000000004">
      <c r="A511">
        <f t="shared" si="16"/>
        <v>2023</v>
      </c>
      <c r="B511" s="821">
        <v>44946</v>
      </c>
      <c r="C511">
        <v>3.66</v>
      </c>
      <c r="D511">
        <f t="shared" si="17"/>
        <v>0</v>
      </c>
    </row>
    <row r="512" spans="1:4" x14ac:dyDescent="0.55000000000000004">
      <c r="A512">
        <f t="shared" si="16"/>
        <v>2023</v>
      </c>
      <c r="B512" s="821">
        <v>44945</v>
      </c>
      <c r="C512">
        <v>3.57</v>
      </c>
      <c r="D512">
        <f t="shared" si="17"/>
        <v>0</v>
      </c>
    </row>
    <row r="513" spans="1:4" x14ac:dyDescent="0.55000000000000004">
      <c r="A513">
        <f t="shared" si="16"/>
        <v>2023</v>
      </c>
      <c r="B513" s="821">
        <v>44944</v>
      </c>
      <c r="C513">
        <v>3.54</v>
      </c>
      <c r="D513">
        <f t="shared" si="17"/>
        <v>0</v>
      </c>
    </row>
    <row r="514" spans="1:4" x14ac:dyDescent="0.55000000000000004">
      <c r="A514">
        <f t="shared" si="16"/>
        <v>2023</v>
      </c>
      <c r="B514" s="821">
        <v>44943</v>
      </c>
      <c r="C514">
        <v>3.64</v>
      </c>
      <c r="D514">
        <f t="shared" si="17"/>
        <v>0</v>
      </c>
    </row>
    <row r="515" spans="1:4" x14ac:dyDescent="0.55000000000000004">
      <c r="A515">
        <f t="shared" si="16"/>
        <v>2023</v>
      </c>
      <c r="B515" s="821">
        <v>44939</v>
      </c>
      <c r="C515">
        <v>3.61</v>
      </c>
      <c r="D515">
        <f t="shared" si="17"/>
        <v>0</v>
      </c>
    </row>
    <row r="516" spans="1:4" x14ac:dyDescent="0.55000000000000004">
      <c r="A516">
        <f t="shared" ref="A516:A579" si="18">YEAR(B516)</f>
        <v>2023</v>
      </c>
      <c r="B516" s="821">
        <v>44938</v>
      </c>
      <c r="C516">
        <v>3.56</v>
      </c>
      <c r="D516">
        <f t="shared" ref="D516:D579" si="19">IF(C516&gt;4,1,0)</f>
        <v>0</v>
      </c>
    </row>
    <row r="517" spans="1:4" x14ac:dyDescent="0.55000000000000004">
      <c r="A517">
        <f t="shared" si="18"/>
        <v>2023</v>
      </c>
      <c r="B517" s="821">
        <v>44937</v>
      </c>
      <c r="C517">
        <v>3.67</v>
      </c>
      <c r="D517">
        <f t="shared" si="19"/>
        <v>0</v>
      </c>
    </row>
    <row r="518" spans="1:4" x14ac:dyDescent="0.55000000000000004">
      <c r="A518">
        <f t="shared" si="18"/>
        <v>2023</v>
      </c>
      <c r="B518" s="821">
        <v>44936</v>
      </c>
      <c r="C518">
        <v>3.74</v>
      </c>
      <c r="D518">
        <f t="shared" si="19"/>
        <v>0</v>
      </c>
    </row>
    <row r="519" spans="1:4" x14ac:dyDescent="0.55000000000000004">
      <c r="A519">
        <f t="shared" si="18"/>
        <v>2023</v>
      </c>
      <c r="B519" s="821">
        <v>44935</v>
      </c>
      <c r="C519">
        <v>3.66</v>
      </c>
      <c r="D519">
        <f t="shared" si="19"/>
        <v>0</v>
      </c>
    </row>
    <row r="520" spans="1:4" x14ac:dyDescent="0.55000000000000004">
      <c r="A520">
        <f t="shared" si="18"/>
        <v>2023</v>
      </c>
      <c r="B520" s="821">
        <v>44932</v>
      </c>
      <c r="C520">
        <v>3.67</v>
      </c>
      <c r="D520">
        <f t="shared" si="19"/>
        <v>0</v>
      </c>
    </row>
    <row r="521" spans="1:4" x14ac:dyDescent="0.55000000000000004">
      <c r="A521">
        <f t="shared" si="18"/>
        <v>2023</v>
      </c>
      <c r="B521" s="821">
        <v>44931</v>
      </c>
      <c r="C521">
        <v>3.78</v>
      </c>
      <c r="D521">
        <f t="shared" si="19"/>
        <v>0</v>
      </c>
    </row>
    <row r="522" spans="1:4" x14ac:dyDescent="0.55000000000000004">
      <c r="A522">
        <f t="shared" si="18"/>
        <v>2023</v>
      </c>
      <c r="B522" s="821">
        <v>44930</v>
      </c>
      <c r="C522">
        <v>3.81</v>
      </c>
      <c r="D522">
        <f t="shared" si="19"/>
        <v>0</v>
      </c>
    </row>
    <row r="523" spans="1:4" x14ac:dyDescent="0.55000000000000004">
      <c r="A523">
        <f t="shared" si="18"/>
        <v>2023</v>
      </c>
      <c r="B523" s="821">
        <v>44929</v>
      </c>
      <c r="C523">
        <v>3.88</v>
      </c>
      <c r="D523">
        <f t="shared" si="19"/>
        <v>0</v>
      </c>
    </row>
    <row r="524" spans="1:4" x14ac:dyDescent="0.55000000000000004">
      <c r="A524">
        <f t="shared" si="18"/>
        <v>2022</v>
      </c>
      <c r="B524" s="821">
        <v>44925</v>
      </c>
      <c r="C524">
        <v>3.97</v>
      </c>
      <c r="D524">
        <f t="shared" si="19"/>
        <v>0</v>
      </c>
    </row>
    <row r="525" spans="1:4" x14ac:dyDescent="0.55000000000000004">
      <c r="A525">
        <f t="shared" si="18"/>
        <v>2022</v>
      </c>
      <c r="B525" s="821">
        <v>44924</v>
      </c>
      <c r="C525">
        <v>3.92</v>
      </c>
      <c r="D525">
        <f t="shared" si="19"/>
        <v>0</v>
      </c>
    </row>
    <row r="526" spans="1:4" x14ac:dyDescent="0.55000000000000004">
      <c r="A526">
        <f t="shared" si="18"/>
        <v>2022</v>
      </c>
      <c r="B526" s="821">
        <v>44923</v>
      </c>
      <c r="C526">
        <v>3.98</v>
      </c>
      <c r="D526">
        <f t="shared" si="19"/>
        <v>0</v>
      </c>
    </row>
    <row r="527" spans="1:4" x14ac:dyDescent="0.55000000000000004">
      <c r="A527">
        <f t="shared" si="18"/>
        <v>2022</v>
      </c>
      <c r="B527" s="821">
        <v>44922</v>
      </c>
      <c r="C527">
        <v>3.93</v>
      </c>
      <c r="D527">
        <f t="shared" si="19"/>
        <v>0</v>
      </c>
    </row>
    <row r="528" spans="1:4" x14ac:dyDescent="0.55000000000000004">
      <c r="A528">
        <f t="shared" si="18"/>
        <v>2022</v>
      </c>
      <c r="B528" s="821">
        <v>44918</v>
      </c>
      <c r="C528">
        <v>3.82</v>
      </c>
      <c r="D528">
        <f t="shared" si="19"/>
        <v>0</v>
      </c>
    </row>
    <row r="529" spans="1:4" x14ac:dyDescent="0.55000000000000004">
      <c r="A529">
        <f t="shared" si="18"/>
        <v>2022</v>
      </c>
      <c r="B529" s="821">
        <v>44917</v>
      </c>
      <c r="C529">
        <v>3.73</v>
      </c>
      <c r="D529">
        <f t="shared" si="19"/>
        <v>0</v>
      </c>
    </row>
    <row r="530" spans="1:4" x14ac:dyDescent="0.55000000000000004">
      <c r="A530">
        <f t="shared" si="18"/>
        <v>2022</v>
      </c>
      <c r="B530" s="821">
        <v>44916</v>
      </c>
      <c r="C530">
        <v>3.74</v>
      </c>
      <c r="D530">
        <f t="shared" si="19"/>
        <v>0</v>
      </c>
    </row>
    <row r="531" spans="1:4" x14ac:dyDescent="0.55000000000000004">
      <c r="A531">
        <f t="shared" si="18"/>
        <v>2022</v>
      </c>
      <c r="B531" s="821">
        <v>44915</v>
      </c>
      <c r="C531">
        <v>3.74</v>
      </c>
      <c r="D531">
        <f t="shared" si="19"/>
        <v>0</v>
      </c>
    </row>
    <row r="532" spans="1:4" x14ac:dyDescent="0.55000000000000004">
      <c r="A532">
        <f t="shared" si="18"/>
        <v>2022</v>
      </c>
      <c r="B532" s="821">
        <v>44914</v>
      </c>
      <c r="C532">
        <v>3.62</v>
      </c>
      <c r="D532">
        <f t="shared" si="19"/>
        <v>0</v>
      </c>
    </row>
    <row r="533" spans="1:4" x14ac:dyDescent="0.55000000000000004">
      <c r="A533">
        <f t="shared" si="18"/>
        <v>2022</v>
      </c>
      <c r="B533" s="821">
        <v>44911</v>
      </c>
      <c r="C533">
        <v>3.53</v>
      </c>
      <c r="D533">
        <f t="shared" si="19"/>
        <v>0</v>
      </c>
    </row>
    <row r="534" spans="1:4" x14ac:dyDescent="0.55000000000000004">
      <c r="A534">
        <f t="shared" si="18"/>
        <v>2022</v>
      </c>
      <c r="B534" s="821">
        <v>44910</v>
      </c>
      <c r="C534">
        <v>3.48</v>
      </c>
      <c r="D534">
        <f t="shared" si="19"/>
        <v>0</v>
      </c>
    </row>
    <row r="535" spans="1:4" x14ac:dyDescent="0.55000000000000004">
      <c r="A535">
        <f t="shared" si="18"/>
        <v>2022</v>
      </c>
      <c r="B535" s="821">
        <v>44909</v>
      </c>
      <c r="C535">
        <v>3.52</v>
      </c>
      <c r="D535">
        <f t="shared" si="19"/>
        <v>0</v>
      </c>
    </row>
    <row r="536" spans="1:4" x14ac:dyDescent="0.55000000000000004">
      <c r="A536">
        <f t="shared" si="18"/>
        <v>2022</v>
      </c>
      <c r="B536" s="821">
        <v>44908</v>
      </c>
      <c r="C536">
        <v>3.53</v>
      </c>
      <c r="D536">
        <f t="shared" si="19"/>
        <v>0</v>
      </c>
    </row>
    <row r="537" spans="1:4" x14ac:dyDescent="0.55000000000000004">
      <c r="A537">
        <f t="shared" si="18"/>
        <v>2022</v>
      </c>
      <c r="B537" s="821">
        <v>44907</v>
      </c>
      <c r="C537">
        <v>3.57</v>
      </c>
      <c r="D537">
        <f t="shared" si="19"/>
        <v>0</v>
      </c>
    </row>
    <row r="538" spans="1:4" x14ac:dyDescent="0.55000000000000004">
      <c r="A538">
        <f t="shared" si="18"/>
        <v>2022</v>
      </c>
      <c r="B538" s="821">
        <v>44904</v>
      </c>
      <c r="C538">
        <v>3.56</v>
      </c>
      <c r="D538">
        <f t="shared" si="19"/>
        <v>0</v>
      </c>
    </row>
    <row r="539" spans="1:4" x14ac:dyDescent="0.55000000000000004">
      <c r="A539">
        <f t="shared" si="18"/>
        <v>2022</v>
      </c>
      <c r="B539" s="821">
        <v>44903</v>
      </c>
      <c r="C539">
        <v>3.44</v>
      </c>
      <c r="D539">
        <f t="shared" si="19"/>
        <v>0</v>
      </c>
    </row>
    <row r="540" spans="1:4" x14ac:dyDescent="0.55000000000000004">
      <c r="A540">
        <f t="shared" si="18"/>
        <v>2022</v>
      </c>
      <c r="B540" s="821">
        <v>44902</v>
      </c>
      <c r="C540">
        <v>3.42</v>
      </c>
      <c r="D540">
        <f t="shared" si="19"/>
        <v>0</v>
      </c>
    </row>
    <row r="541" spans="1:4" x14ac:dyDescent="0.55000000000000004">
      <c r="A541">
        <f t="shared" si="18"/>
        <v>2022</v>
      </c>
      <c r="B541" s="821">
        <v>44901</v>
      </c>
      <c r="C541">
        <v>3.52</v>
      </c>
      <c r="D541">
        <f t="shared" si="19"/>
        <v>0</v>
      </c>
    </row>
    <row r="542" spans="1:4" x14ac:dyDescent="0.55000000000000004">
      <c r="A542">
        <f t="shared" si="18"/>
        <v>2022</v>
      </c>
      <c r="B542" s="821">
        <v>44900</v>
      </c>
      <c r="C542">
        <v>3.62</v>
      </c>
      <c r="D542">
        <f t="shared" si="19"/>
        <v>0</v>
      </c>
    </row>
    <row r="543" spans="1:4" x14ac:dyDescent="0.55000000000000004">
      <c r="A543">
        <f t="shared" si="18"/>
        <v>2022</v>
      </c>
      <c r="B543" s="821">
        <v>44897</v>
      </c>
      <c r="C543">
        <v>3.56</v>
      </c>
      <c r="D543">
        <f t="shared" si="19"/>
        <v>0</v>
      </c>
    </row>
    <row r="544" spans="1:4" x14ac:dyDescent="0.55000000000000004">
      <c r="A544">
        <f t="shared" si="18"/>
        <v>2022</v>
      </c>
      <c r="B544" s="821">
        <v>44896</v>
      </c>
      <c r="C544">
        <v>3.64</v>
      </c>
      <c r="D544">
        <f t="shared" si="19"/>
        <v>0</v>
      </c>
    </row>
    <row r="545" spans="1:4" x14ac:dyDescent="0.55000000000000004">
      <c r="A545">
        <f t="shared" si="18"/>
        <v>2022</v>
      </c>
      <c r="B545" s="821">
        <v>44895</v>
      </c>
      <c r="C545">
        <v>3.8</v>
      </c>
      <c r="D545">
        <f t="shared" si="19"/>
        <v>0</v>
      </c>
    </row>
    <row r="546" spans="1:4" x14ac:dyDescent="0.55000000000000004">
      <c r="A546">
        <f t="shared" si="18"/>
        <v>2022</v>
      </c>
      <c r="B546" s="821">
        <v>44894</v>
      </c>
      <c r="C546">
        <v>3.81</v>
      </c>
      <c r="D546">
        <f t="shared" si="19"/>
        <v>0</v>
      </c>
    </row>
    <row r="547" spans="1:4" x14ac:dyDescent="0.55000000000000004">
      <c r="A547">
        <f t="shared" si="18"/>
        <v>2022</v>
      </c>
      <c r="B547" s="821">
        <v>44893</v>
      </c>
      <c r="C547">
        <v>3.74</v>
      </c>
      <c r="D547">
        <f t="shared" si="19"/>
        <v>0</v>
      </c>
    </row>
    <row r="548" spans="1:4" x14ac:dyDescent="0.55000000000000004">
      <c r="A548">
        <f t="shared" si="18"/>
        <v>2022</v>
      </c>
      <c r="B548" s="821">
        <v>44890</v>
      </c>
      <c r="C548">
        <v>3.74</v>
      </c>
      <c r="D548">
        <f t="shared" si="19"/>
        <v>0</v>
      </c>
    </row>
    <row r="549" spans="1:4" x14ac:dyDescent="0.55000000000000004">
      <c r="A549">
        <f t="shared" si="18"/>
        <v>2022</v>
      </c>
      <c r="B549" s="821">
        <v>44888</v>
      </c>
      <c r="C549">
        <v>3.74</v>
      </c>
      <c r="D549">
        <f t="shared" si="19"/>
        <v>0</v>
      </c>
    </row>
    <row r="550" spans="1:4" x14ac:dyDescent="0.55000000000000004">
      <c r="A550">
        <f t="shared" si="18"/>
        <v>2022</v>
      </c>
      <c r="B550" s="821">
        <v>44887</v>
      </c>
      <c r="C550">
        <v>3.83</v>
      </c>
      <c r="D550">
        <f t="shared" si="19"/>
        <v>0</v>
      </c>
    </row>
    <row r="551" spans="1:4" x14ac:dyDescent="0.55000000000000004">
      <c r="A551">
        <f t="shared" si="18"/>
        <v>2022</v>
      </c>
      <c r="B551" s="821">
        <v>44886</v>
      </c>
      <c r="C551">
        <v>3.91</v>
      </c>
      <c r="D551">
        <f t="shared" si="19"/>
        <v>0</v>
      </c>
    </row>
    <row r="552" spans="1:4" x14ac:dyDescent="0.55000000000000004">
      <c r="A552">
        <f t="shared" si="18"/>
        <v>2022</v>
      </c>
      <c r="B552" s="821">
        <v>44883</v>
      </c>
      <c r="C552">
        <v>3.92</v>
      </c>
      <c r="D552">
        <f t="shared" si="19"/>
        <v>0</v>
      </c>
    </row>
    <row r="553" spans="1:4" x14ac:dyDescent="0.55000000000000004">
      <c r="A553">
        <f t="shared" si="18"/>
        <v>2022</v>
      </c>
      <c r="B553" s="821">
        <v>44882</v>
      </c>
      <c r="C553">
        <v>3.89</v>
      </c>
      <c r="D553">
        <f t="shared" si="19"/>
        <v>0</v>
      </c>
    </row>
    <row r="554" spans="1:4" x14ac:dyDescent="0.55000000000000004">
      <c r="A554">
        <f t="shared" si="18"/>
        <v>2022</v>
      </c>
      <c r="B554" s="821">
        <v>44881</v>
      </c>
      <c r="C554">
        <v>3.85</v>
      </c>
      <c r="D554">
        <f t="shared" si="19"/>
        <v>0</v>
      </c>
    </row>
    <row r="555" spans="1:4" x14ac:dyDescent="0.55000000000000004">
      <c r="A555">
        <f t="shared" si="18"/>
        <v>2022</v>
      </c>
      <c r="B555" s="821">
        <v>44880</v>
      </c>
      <c r="C555">
        <v>3.98</v>
      </c>
      <c r="D555">
        <f t="shared" si="19"/>
        <v>0</v>
      </c>
    </row>
    <row r="556" spans="1:4" x14ac:dyDescent="0.55000000000000004">
      <c r="A556">
        <f t="shared" si="18"/>
        <v>2022</v>
      </c>
      <c r="B556" s="821">
        <v>44879</v>
      </c>
      <c r="C556">
        <v>4.07</v>
      </c>
      <c r="D556">
        <f t="shared" si="19"/>
        <v>1</v>
      </c>
    </row>
    <row r="557" spans="1:4" x14ac:dyDescent="0.55000000000000004">
      <c r="A557">
        <f t="shared" si="18"/>
        <v>2022</v>
      </c>
      <c r="B557" s="821">
        <v>44875</v>
      </c>
      <c r="C557">
        <v>4.03</v>
      </c>
      <c r="D557">
        <f t="shared" si="19"/>
        <v>1</v>
      </c>
    </row>
    <row r="558" spans="1:4" x14ac:dyDescent="0.55000000000000004">
      <c r="A558">
        <f t="shared" si="18"/>
        <v>2022</v>
      </c>
      <c r="B558" s="821">
        <v>44874</v>
      </c>
      <c r="C558">
        <v>4.3099999999999996</v>
      </c>
      <c r="D558">
        <f t="shared" si="19"/>
        <v>1</v>
      </c>
    </row>
    <row r="559" spans="1:4" x14ac:dyDescent="0.55000000000000004">
      <c r="A559">
        <f t="shared" si="18"/>
        <v>2022</v>
      </c>
      <c r="B559" s="821">
        <v>44873</v>
      </c>
      <c r="C559">
        <v>4.28</v>
      </c>
      <c r="D559">
        <f t="shared" si="19"/>
        <v>1</v>
      </c>
    </row>
    <row r="560" spans="1:4" x14ac:dyDescent="0.55000000000000004">
      <c r="A560">
        <f t="shared" si="18"/>
        <v>2022</v>
      </c>
      <c r="B560" s="821">
        <v>44872</v>
      </c>
      <c r="C560">
        <v>4.34</v>
      </c>
      <c r="D560">
        <f t="shared" si="19"/>
        <v>1</v>
      </c>
    </row>
    <row r="561" spans="1:4" x14ac:dyDescent="0.55000000000000004">
      <c r="A561">
        <f t="shared" si="18"/>
        <v>2022</v>
      </c>
      <c r="B561" s="821">
        <v>44869</v>
      </c>
      <c r="C561">
        <v>4.2699999999999996</v>
      </c>
      <c r="D561">
        <f t="shared" si="19"/>
        <v>1</v>
      </c>
    </row>
    <row r="562" spans="1:4" x14ac:dyDescent="0.55000000000000004">
      <c r="A562">
        <f t="shared" si="18"/>
        <v>2022</v>
      </c>
      <c r="B562" s="821">
        <v>44868</v>
      </c>
      <c r="C562">
        <v>4.18</v>
      </c>
      <c r="D562">
        <f t="shared" si="19"/>
        <v>1</v>
      </c>
    </row>
    <row r="563" spans="1:4" x14ac:dyDescent="0.55000000000000004">
      <c r="A563">
        <f t="shared" si="18"/>
        <v>2022</v>
      </c>
      <c r="B563" s="821">
        <v>44867</v>
      </c>
      <c r="C563">
        <v>4.1500000000000004</v>
      </c>
      <c r="D563">
        <f t="shared" si="19"/>
        <v>1</v>
      </c>
    </row>
    <row r="564" spans="1:4" x14ac:dyDescent="0.55000000000000004">
      <c r="A564">
        <f t="shared" si="18"/>
        <v>2022</v>
      </c>
      <c r="B564" s="821">
        <v>44866</v>
      </c>
      <c r="C564">
        <v>4.1399999999999997</v>
      </c>
      <c r="D564">
        <f t="shared" si="19"/>
        <v>1</v>
      </c>
    </row>
    <row r="565" spans="1:4" x14ac:dyDescent="0.55000000000000004">
      <c r="A565">
        <f t="shared" si="18"/>
        <v>2022</v>
      </c>
      <c r="B565" s="821">
        <v>44865</v>
      </c>
      <c r="C565">
        <v>4.22</v>
      </c>
      <c r="D565">
        <f t="shared" si="19"/>
        <v>1</v>
      </c>
    </row>
    <row r="566" spans="1:4" x14ac:dyDescent="0.55000000000000004">
      <c r="A566">
        <f t="shared" si="18"/>
        <v>2022</v>
      </c>
      <c r="B566" s="821">
        <v>44862</v>
      </c>
      <c r="C566">
        <v>4.1500000000000004</v>
      </c>
      <c r="D566">
        <f t="shared" si="19"/>
        <v>1</v>
      </c>
    </row>
    <row r="567" spans="1:4" x14ac:dyDescent="0.55000000000000004">
      <c r="A567">
        <f t="shared" si="18"/>
        <v>2022</v>
      </c>
      <c r="B567" s="821">
        <v>44861</v>
      </c>
      <c r="C567">
        <v>4.12</v>
      </c>
      <c r="D567">
        <f t="shared" si="19"/>
        <v>1</v>
      </c>
    </row>
    <row r="568" spans="1:4" x14ac:dyDescent="0.55000000000000004">
      <c r="A568">
        <f t="shared" si="18"/>
        <v>2022</v>
      </c>
      <c r="B568" s="821">
        <v>44860</v>
      </c>
      <c r="C568">
        <v>4.1900000000000004</v>
      </c>
      <c r="D568">
        <f t="shared" si="19"/>
        <v>1</v>
      </c>
    </row>
    <row r="569" spans="1:4" x14ac:dyDescent="0.55000000000000004">
      <c r="A569">
        <f t="shared" si="18"/>
        <v>2022</v>
      </c>
      <c r="B569" s="821">
        <v>44859</v>
      </c>
      <c r="C569">
        <v>4.26</v>
      </c>
      <c r="D569">
        <f t="shared" si="19"/>
        <v>1</v>
      </c>
    </row>
    <row r="570" spans="1:4" x14ac:dyDescent="0.55000000000000004">
      <c r="A570">
        <f t="shared" si="18"/>
        <v>2022</v>
      </c>
      <c r="B570" s="821">
        <v>44858</v>
      </c>
      <c r="C570">
        <v>4.4000000000000004</v>
      </c>
      <c r="D570">
        <f t="shared" si="19"/>
        <v>1</v>
      </c>
    </row>
    <row r="571" spans="1:4" x14ac:dyDescent="0.55000000000000004">
      <c r="A571">
        <f t="shared" si="18"/>
        <v>2022</v>
      </c>
      <c r="B571" s="821">
        <v>44855</v>
      </c>
      <c r="C571">
        <v>4.33</v>
      </c>
      <c r="D571">
        <f t="shared" si="19"/>
        <v>1</v>
      </c>
    </row>
    <row r="572" spans="1:4" x14ac:dyDescent="0.55000000000000004">
      <c r="A572">
        <f t="shared" si="18"/>
        <v>2022</v>
      </c>
      <c r="B572" s="821">
        <v>44854</v>
      </c>
      <c r="C572">
        <v>4.24</v>
      </c>
      <c r="D572">
        <f t="shared" si="19"/>
        <v>1</v>
      </c>
    </row>
    <row r="573" spans="1:4" x14ac:dyDescent="0.55000000000000004">
      <c r="A573">
        <f t="shared" si="18"/>
        <v>2022</v>
      </c>
      <c r="B573" s="821">
        <v>44853</v>
      </c>
      <c r="C573">
        <v>4.1500000000000004</v>
      </c>
      <c r="D573">
        <f t="shared" si="19"/>
        <v>1</v>
      </c>
    </row>
    <row r="574" spans="1:4" x14ac:dyDescent="0.55000000000000004">
      <c r="A574">
        <f t="shared" si="18"/>
        <v>2022</v>
      </c>
      <c r="B574" s="821">
        <v>44852</v>
      </c>
      <c r="C574">
        <v>4.04</v>
      </c>
      <c r="D574">
        <f t="shared" si="19"/>
        <v>1</v>
      </c>
    </row>
    <row r="575" spans="1:4" x14ac:dyDescent="0.55000000000000004">
      <c r="A575">
        <f t="shared" si="18"/>
        <v>2022</v>
      </c>
      <c r="B575" s="821">
        <v>44851</v>
      </c>
      <c r="C575">
        <v>4.04</v>
      </c>
      <c r="D575">
        <f t="shared" si="19"/>
        <v>1</v>
      </c>
    </row>
    <row r="576" spans="1:4" x14ac:dyDescent="0.55000000000000004">
      <c r="A576">
        <f t="shared" si="18"/>
        <v>2022</v>
      </c>
      <c r="B576" s="821">
        <v>44848</v>
      </c>
      <c r="C576">
        <v>3.99</v>
      </c>
      <c r="D576">
        <f t="shared" si="19"/>
        <v>0</v>
      </c>
    </row>
    <row r="577" spans="1:4" x14ac:dyDescent="0.55000000000000004">
      <c r="A577">
        <f t="shared" si="18"/>
        <v>2022</v>
      </c>
      <c r="B577" s="821">
        <v>44847</v>
      </c>
      <c r="C577">
        <v>3.97</v>
      </c>
      <c r="D577">
        <f t="shared" si="19"/>
        <v>0</v>
      </c>
    </row>
    <row r="578" spans="1:4" x14ac:dyDescent="0.55000000000000004">
      <c r="A578">
        <f t="shared" si="18"/>
        <v>2022</v>
      </c>
      <c r="B578" s="821">
        <v>44846</v>
      </c>
      <c r="C578">
        <v>3.9</v>
      </c>
      <c r="D578">
        <f t="shared" si="19"/>
        <v>0</v>
      </c>
    </row>
    <row r="579" spans="1:4" x14ac:dyDescent="0.55000000000000004">
      <c r="A579">
        <f t="shared" si="18"/>
        <v>2022</v>
      </c>
      <c r="B579" s="821">
        <v>44845</v>
      </c>
      <c r="C579">
        <v>3.92</v>
      </c>
      <c r="D579">
        <f t="shared" si="19"/>
        <v>0</v>
      </c>
    </row>
    <row r="580" spans="1:4" x14ac:dyDescent="0.55000000000000004">
      <c r="A580">
        <f t="shared" ref="A580:A643" si="20">YEAR(B580)</f>
        <v>2022</v>
      </c>
      <c r="B580" s="821">
        <v>44841</v>
      </c>
      <c r="C580">
        <v>3.86</v>
      </c>
      <c r="D580">
        <f t="shared" ref="D580:D643" si="21">IF(C580&gt;4,1,0)</f>
        <v>0</v>
      </c>
    </row>
    <row r="581" spans="1:4" x14ac:dyDescent="0.55000000000000004">
      <c r="A581">
        <f t="shared" si="20"/>
        <v>2022</v>
      </c>
      <c r="B581" s="821">
        <v>44840</v>
      </c>
      <c r="C581">
        <v>3.81</v>
      </c>
      <c r="D581">
        <f t="shared" si="21"/>
        <v>0</v>
      </c>
    </row>
    <row r="582" spans="1:4" x14ac:dyDescent="0.55000000000000004">
      <c r="A582">
        <f t="shared" si="20"/>
        <v>2022</v>
      </c>
      <c r="B582" s="821">
        <v>44839</v>
      </c>
      <c r="C582">
        <v>3.78</v>
      </c>
      <c r="D582">
        <f t="shared" si="21"/>
        <v>0</v>
      </c>
    </row>
    <row r="583" spans="1:4" x14ac:dyDescent="0.55000000000000004">
      <c r="A583">
        <f t="shared" si="20"/>
        <v>2022</v>
      </c>
      <c r="B583" s="821">
        <v>44838</v>
      </c>
      <c r="C583">
        <v>3.7</v>
      </c>
      <c r="D583">
        <f t="shared" si="21"/>
        <v>0</v>
      </c>
    </row>
    <row r="584" spans="1:4" x14ac:dyDescent="0.55000000000000004">
      <c r="A584">
        <f t="shared" si="20"/>
        <v>2022</v>
      </c>
      <c r="B584" s="821">
        <v>44837</v>
      </c>
      <c r="C584">
        <v>3.73</v>
      </c>
      <c r="D584">
        <f t="shared" si="21"/>
        <v>0</v>
      </c>
    </row>
    <row r="585" spans="1:4" x14ac:dyDescent="0.55000000000000004">
      <c r="A585">
        <f t="shared" si="20"/>
        <v>2022</v>
      </c>
      <c r="B585" s="821">
        <v>44834</v>
      </c>
      <c r="C585">
        <v>3.79</v>
      </c>
      <c r="D585">
        <f t="shared" si="21"/>
        <v>0</v>
      </c>
    </row>
    <row r="586" spans="1:4" x14ac:dyDescent="0.55000000000000004">
      <c r="A586">
        <f t="shared" si="20"/>
        <v>2022</v>
      </c>
      <c r="B586" s="821">
        <v>44833</v>
      </c>
      <c r="C586">
        <v>3.71</v>
      </c>
      <c r="D586">
        <f t="shared" si="21"/>
        <v>0</v>
      </c>
    </row>
    <row r="587" spans="1:4" x14ac:dyDescent="0.55000000000000004">
      <c r="A587">
        <f t="shared" si="20"/>
        <v>2022</v>
      </c>
      <c r="B587" s="821">
        <v>44832</v>
      </c>
      <c r="C587">
        <v>3.7</v>
      </c>
      <c r="D587">
        <f t="shared" si="21"/>
        <v>0</v>
      </c>
    </row>
    <row r="588" spans="1:4" x14ac:dyDescent="0.55000000000000004">
      <c r="A588">
        <f t="shared" si="20"/>
        <v>2022</v>
      </c>
      <c r="B588" s="821">
        <v>44831</v>
      </c>
      <c r="C588">
        <v>3.87</v>
      </c>
      <c r="D588">
        <f t="shared" si="21"/>
        <v>0</v>
      </c>
    </row>
    <row r="589" spans="1:4" x14ac:dyDescent="0.55000000000000004">
      <c r="A589">
        <f t="shared" si="20"/>
        <v>2022</v>
      </c>
      <c r="B589" s="821">
        <v>44830</v>
      </c>
      <c r="C589">
        <v>3.72</v>
      </c>
      <c r="D589">
        <f t="shared" si="21"/>
        <v>0</v>
      </c>
    </row>
    <row r="590" spans="1:4" x14ac:dyDescent="0.55000000000000004">
      <c r="A590">
        <f t="shared" si="20"/>
        <v>2022</v>
      </c>
      <c r="B590" s="821">
        <v>44827</v>
      </c>
      <c r="C590">
        <v>3.61</v>
      </c>
      <c r="D590">
        <f t="shared" si="21"/>
        <v>0</v>
      </c>
    </row>
    <row r="591" spans="1:4" x14ac:dyDescent="0.55000000000000004">
      <c r="A591">
        <f t="shared" si="20"/>
        <v>2022</v>
      </c>
      <c r="B591" s="821">
        <v>44826</v>
      </c>
      <c r="C591">
        <v>3.65</v>
      </c>
      <c r="D591">
        <f t="shared" si="21"/>
        <v>0</v>
      </c>
    </row>
    <row r="592" spans="1:4" x14ac:dyDescent="0.55000000000000004">
      <c r="A592">
        <f t="shared" si="20"/>
        <v>2022</v>
      </c>
      <c r="B592" s="821">
        <v>44825</v>
      </c>
      <c r="C592">
        <v>3.5</v>
      </c>
      <c r="D592">
        <f t="shared" si="21"/>
        <v>0</v>
      </c>
    </row>
    <row r="593" spans="1:4" x14ac:dyDescent="0.55000000000000004">
      <c r="A593">
        <f t="shared" si="20"/>
        <v>2022</v>
      </c>
      <c r="B593" s="821">
        <v>44824</v>
      </c>
      <c r="C593">
        <v>3.59</v>
      </c>
      <c r="D593">
        <f t="shared" si="21"/>
        <v>0</v>
      </c>
    </row>
    <row r="594" spans="1:4" x14ac:dyDescent="0.55000000000000004">
      <c r="A594">
        <f t="shared" si="20"/>
        <v>2022</v>
      </c>
      <c r="B594" s="821">
        <v>44823</v>
      </c>
      <c r="C594">
        <v>3.52</v>
      </c>
      <c r="D594">
        <f t="shared" si="21"/>
        <v>0</v>
      </c>
    </row>
    <row r="595" spans="1:4" x14ac:dyDescent="0.55000000000000004">
      <c r="A595">
        <f t="shared" si="20"/>
        <v>2022</v>
      </c>
      <c r="B595" s="821">
        <v>44820</v>
      </c>
      <c r="C595">
        <v>3.52</v>
      </c>
      <c r="D595">
        <f t="shared" si="21"/>
        <v>0</v>
      </c>
    </row>
    <row r="596" spans="1:4" x14ac:dyDescent="0.55000000000000004">
      <c r="A596">
        <f t="shared" si="20"/>
        <v>2022</v>
      </c>
      <c r="B596" s="821">
        <v>44819</v>
      </c>
      <c r="C596">
        <v>3.48</v>
      </c>
      <c r="D596">
        <f t="shared" si="21"/>
        <v>0</v>
      </c>
    </row>
    <row r="597" spans="1:4" x14ac:dyDescent="0.55000000000000004">
      <c r="A597">
        <f t="shared" si="20"/>
        <v>2022</v>
      </c>
      <c r="B597" s="821">
        <v>44818</v>
      </c>
      <c r="C597">
        <v>3.47</v>
      </c>
      <c r="D597">
        <f t="shared" si="21"/>
        <v>0</v>
      </c>
    </row>
    <row r="598" spans="1:4" x14ac:dyDescent="0.55000000000000004">
      <c r="A598">
        <f t="shared" si="20"/>
        <v>2022</v>
      </c>
      <c r="B598" s="821">
        <v>44817</v>
      </c>
      <c r="C598">
        <v>3.51</v>
      </c>
      <c r="D598">
        <f t="shared" si="21"/>
        <v>0</v>
      </c>
    </row>
    <row r="599" spans="1:4" x14ac:dyDescent="0.55000000000000004">
      <c r="A599">
        <f t="shared" si="20"/>
        <v>2022</v>
      </c>
      <c r="B599" s="821">
        <v>44816</v>
      </c>
      <c r="C599">
        <v>3.53</v>
      </c>
      <c r="D599">
        <f t="shared" si="21"/>
        <v>0</v>
      </c>
    </row>
    <row r="600" spans="1:4" x14ac:dyDescent="0.55000000000000004">
      <c r="A600">
        <f t="shared" si="20"/>
        <v>2022</v>
      </c>
      <c r="B600" s="821">
        <v>44813</v>
      </c>
      <c r="C600">
        <v>3.47</v>
      </c>
      <c r="D600">
        <f t="shared" si="21"/>
        <v>0</v>
      </c>
    </row>
    <row r="601" spans="1:4" x14ac:dyDescent="0.55000000000000004">
      <c r="A601">
        <f t="shared" si="20"/>
        <v>2022</v>
      </c>
      <c r="B601" s="821">
        <v>44812</v>
      </c>
      <c r="C601">
        <v>3.45</v>
      </c>
      <c r="D601">
        <f t="shared" si="21"/>
        <v>0</v>
      </c>
    </row>
    <row r="602" spans="1:4" x14ac:dyDescent="0.55000000000000004">
      <c r="A602">
        <f t="shared" si="20"/>
        <v>2022</v>
      </c>
      <c r="B602" s="821">
        <v>44811</v>
      </c>
      <c r="C602">
        <v>3.42</v>
      </c>
      <c r="D602">
        <f t="shared" si="21"/>
        <v>0</v>
      </c>
    </row>
    <row r="603" spans="1:4" x14ac:dyDescent="0.55000000000000004">
      <c r="A603">
        <f t="shared" si="20"/>
        <v>2022</v>
      </c>
      <c r="B603" s="821">
        <v>44810</v>
      </c>
      <c r="C603">
        <v>3.49</v>
      </c>
      <c r="D603">
        <f t="shared" si="21"/>
        <v>0</v>
      </c>
    </row>
    <row r="604" spans="1:4" x14ac:dyDescent="0.55000000000000004">
      <c r="A604">
        <f t="shared" si="20"/>
        <v>2022</v>
      </c>
      <c r="B604" s="821">
        <v>44806</v>
      </c>
      <c r="C604">
        <v>3.35</v>
      </c>
      <c r="D604">
        <f t="shared" si="21"/>
        <v>0</v>
      </c>
    </row>
    <row r="605" spans="1:4" x14ac:dyDescent="0.55000000000000004">
      <c r="A605">
        <f t="shared" si="20"/>
        <v>2022</v>
      </c>
      <c r="B605" s="821">
        <v>44805</v>
      </c>
      <c r="C605">
        <v>3.37</v>
      </c>
      <c r="D605">
        <f t="shared" si="21"/>
        <v>0</v>
      </c>
    </row>
    <row r="606" spans="1:4" x14ac:dyDescent="0.55000000000000004">
      <c r="A606">
        <f t="shared" si="20"/>
        <v>2022</v>
      </c>
      <c r="B606" s="821">
        <v>44804</v>
      </c>
      <c r="C606">
        <v>3.27</v>
      </c>
      <c r="D606">
        <f t="shared" si="21"/>
        <v>0</v>
      </c>
    </row>
    <row r="607" spans="1:4" x14ac:dyDescent="0.55000000000000004">
      <c r="A607">
        <f t="shared" si="20"/>
        <v>2022</v>
      </c>
      <c r="B607" s="821">
        <v>44803</v>
      </c>
      <c r="C607">
        <v>3.23</v>
      </c>
      <c r="D607">
        <f t="shared" si="21"/>
        <v>0</v>
      </c>
    </row>
    <row r="608" spans="1:4" x14ac:dyDescent="0.55000000000000004">
      <c r="A608">
        <f t="shared" si="20"/>
        <v>2022</v>
      </c>
      <c r="B608" s="821">
        <v>44802</v>
      </c>
      <c r="C608">
        <v>3.25</v>
      </c>
      <c r="D608">
        <f t="shared" si="21"/>
        <v>0</v>
      </c>
    </row>
    <row r="609" spans="1:4" x14ac:dyDescent="0.55000000000000004">
      <c r="A609">
        <f t="shared" si="20"/>
        <v>2022</v>
      </c>
      <c r="B609" s="821">
        <v>44799</v>
      </c>
      <c r="C609">
        <v>3.21</v>
      </c>
      <c r="D609">
        <f t="shared" si="21"/>
        <v>0</v>
      </c>
    </row>
    <row r="610" spans="1:4" x14ac:dyDescent="0.55000000000000004">
      <c r="A610">
        <f t="shared" si="20"/>
        <v>2022</v>
      </c>
      <c r="B610" s="821">
        <v>44798</v>
      </c>
      <c r="C610">
        <v>3.25</v>
      </c>
      <c r="D610">
        <f t="shared" si="21"/>
        <v>0</v>
      </c>
    </row>
    <row r="611" spans="1:4" x14ac:dyDescent="0.55000000000000004">
      <c r="A611">
        <f t="shared" si="20"/>
        <v>2022</v>
      </c>
      <c r="B611" s="821">
        <v>44797</v>
      </c>
      <c r="C611">
        <v>3.32</v>
      </c>
      <c r="D611">
        <f t="shared" si="21"/>
        <v>0</v>
      </c>
    </row>
    <row r="612" spans="1:4" x14ac:dyDescent="0.55000000000000004">
      <c r="A612">
        <f t="shared" si="20"/>
        <v>2022</v>
      </c>
      <c r="B612" s="821">
        <v>44796</v>
      </c>
      <c r="C612">
        <v>3.26</v>
      </c>
      <c r="D612">
        <f t="shared" si="21"/>
        <v>0</v>
      </c>
    </row>
    <row r="613" spans="1:4" x14ac:dyDescent="0.55000000000000004">
      <c r="A613">
        <f t="shared" si="20"/>
        <v>2022</v>
      </c>
      <c r="B613" s="821">
        <v>44795</v>
      </c>
      <c r="C613">
        <v>3.24</v>
      </c>
      <c r="D613">
        <f t="shared" si="21"/>
        <v>0</v>
      </c>
    </row>
    <row r="614" spans="1:4" x14ac:dyDescent="0.55000000000000004">
      <c r="A614">
        <f t="shared" si="20"/>
        <v>2022</v>
      </c>
      <c r="B614" s="821">
        <v>44792</v>
      </c>
      <c r="C614">
        <v>3.22</v>
      </c>
      <c r="D614">
        <f t="shared" si="21"/>
        <v>0</v>
      </c>
    </row>
    <row r="615" spans="1:4" x14ac:dyDescent="0.55000000000000004">
      <c r="A615">
        <f t="shared" si="20"/>
        <v>2022</v>
      </c>
      <c r="B615" s="821">
        <v>44791</v>
      </c>
      <c r="C615">
        <v>3.14</v>
      </c>
      <c r="D615">
        <f t="shared" si="21"/>
        <v>0</v>
      </c>
    </row>
    <row r="616" spans="1:4" x14ac:dyDescent="0.55000000000000004">
      <c r="A616">
        <f t="shared" si="20"/>
        <v>2022</v>
      </c>
      <c r="B616" s="821">
        <v>44790</v>
      </c>
      <c r="C616">
        <v>3.15</v>
      </c>
      <c r="D616">
        <f t="shared" si="21"/>
        <v>0</v>
      </c>
    </row>
    <row r="617" spans="1:4" x14ac:dyDescent="0.55000000000000004">
      <c r="A617">
        <f t="shared" si="20"/>
        <v>2022</v>
      </c>
      <c r="B617" s="821">
        <v>44789</v>
      </c>
      <c r="C617">
        <v>3.11</v>
      </c>
      <c r="D617">
        <f t="shared" si="21"/>
        <v>0</v>
      </c>
    </row>
    <row r="618" spans="1:4" x14ac:dyDescent="0.55000000000000004">
      <c r="A618">
        <f t="shared" si="20"/>
        <v>2022</v>
      </c>
      <c r="B618" s="821">
        <v>44788</v>
      </c>
      <c r="C618">
        <v>3.1</v>
      </c>
      <c r="D618">
        <f t="shared" si="21"/>
        <v>0</v>
      </c>
    </row>
    <row r="619" spans="1:4" x14ac:dyDescent="0.55000000000000004">
      <c r="A619">
        <f t="shared" si="20"/>
        <v>2022</v>
      </c>
      <c r="B619" s="821">
        <v>44785</v>
      </c>
      <c r="C619">
        <v>3.12</v>
      </c>
      <c r="D619">
        <f t="shared" si="21"/>
        <v>0</v>
      </c>
    </row>
    <row r="620" spans="1:4" x14ac:dyDescent="0.55000000000000004">
      <c r="A620">
        <f t="shared" si="20"/>
        <v>2022</v>
      </c>
      <c r="B620" s="821">
        <v>44784</v>
      </c>
      <c r="C620">
        <v>3.15</v>
      </c>
      <c r="D620">
        <f t="shared" si="21"/>
        <v>0</v>
      </c>
    </row>
    <row r="621" spans="1:4" x14ac:dyDescent="0.55000000000000004">
      <c r="A621">
        <f t="shared" si="20"/>
        <v>2022</v>
      </c>
      <c r="B621" s="821">
        <v>44783</v>
      </c>
      <c r="C621">
        <v>3.04</v>
      </c>
      <c r="D621">
        <f t="shared" si="21"/>
        <v>0</v>
      </c>
    </row>
    <row r="622" spans="1:4" x14ac:dyDescent="0.55000000000000004">
      <c r="A622">
        <f t="shared" si="20"/>
        <v>2022</v>
      </c>
      <c r="B622" s="821">
        <v>44782</v>
      </c>
      <c r="C622">
        <v>3.01</v>
      </c>
      <c r="D622">
        <f t="shared" si="21"/>
        <v>0</v>
      </c>
    </row>
    <row r="623" spans="1:4" x14ac:dyDescent="0.55000000000000004">
      <c r="A623">
        <f t="shared" si="20"/>
        <v>2022</v>
      </c>
      <c r="B623" s="821">
        <v>44781</v>
      </c>
      <c r="C623">
        <v>3</v>
      </c>
      <c r="D623">
        <f t="shared" si="21"/>
        <v>0</v>
      </c>
    </row>
    <row r="624" spans="1:4" x14ac:dyDescent="0.55000000000000004">
      <c r="A624">
        <f t="shared" si="20"/>
        <v>2022</v>
      </c>
      <c r="B624" s="821">
        <v>44778</v>
      </c>
      <c r="C624">
        <v>3.06</v>
      </c>
      <c r="D624">
        <f t="shared" si="21"/>
        <v>0</v>
      </c>
    </row>
    <row r="625" spans="1:4" x14ac:dyDescent="0.55000000000000004">
      <c r="A625">
        <f t="shared" si="20"/>
        <v>2022</v>
      </c>
      <c r="B625" s="821">
        <v>44777</v>
      </c>
      <c r="C625">
        <v>2.97</v>
      </c>
      <c r="D625">
        <f t="shared" si="21"/>
        <v>0</v>
      </c>
    </row>
    <row r="626" spans="1:4" x14ac:dyDescent="0.55000000000000004">
      <c r="A626">
        <f t="shared" si="20"/>
        <v>2022</v>
      </c>
      <c r="B626" s="821">
        <v>44776</v>
      </c>
      <c r="C626">
        <v>2.96</v>
      </c>
      <c r="D626">
        <f t="shared" si="21"/>
        <v>0</v>
      </c>
    </row>
    <row r="627" spans="1:4" x14ac:dyDescent="0.55000000000000004">
      <c r="A627">
        <f t="shared" si="20"/>
        <v>2022</v>
      </c>
      <c r="B627" s="821">
        <v>44775</v>
      </c>
      <c r="C627">
        <v>3</v>
      </c>
      <c r="D627">
        <f t="shared" si="21"/>
        <v>0</v>
      </c>
    </row>
    <row r="628" spans="1:4" x14ac:dyDescent="0.55000000000000004">
      <c r="A628">
        <f t="shared" si="20"/>
        <v>2022</v>
      </c>
      <c r="B628" s="821">
        <v>44774</v>
      </c>
      <c r="C628">
        <v>2.92</v>
      </c>
      <c r="D628">
        <f t="shared" si="21"/>
        <v>0</v>
      </c>
    </row>
    <row r="629" spans="1:4" x14ac:dyDescent="0.55000000000000004">
      <c r="A629">
        <f t="shared" si="20"/>
        <v>2022</v>
      </c>
      <c r="B629" s="821">
        <v>44771</v>
      </c>
      <c r="C629">
        <v>3</v>
      </c>
      <c r="D629">
        <f t="shared" si="21"/>
        <v>0</v>
      </c>
    </row>
    <row r="630" spans="1:4" x14ac:dyDescent="0.55000000000000004">
      <c r="A630">
        <f t="shared" si="20"/>
        <v>2022</v>
      </c>
      <c r="B630" s="821">
        <v>44770</v>
      </c>
      <c r="C630">
        <v>3.02</v>
      </c>
      <c r="D630">
        <f t="shared" si="21"/>
        <v>0</v>
      </c>
    </row>
    <row r="631" spans="1:4" x14ac:dyDescent="0.55000000000000004">
      <c r="A631">
        <f t="shared" si="20"/>
        <v>2022</v>
      </c>
      <c r="B631" s="821">
        <v>44769</v>
      </c>
      <c r="C631">
        <v>3.03</v>
      </c>
      <c r="D631">
        <f t="shared" si="21"/>
        <v>0</v>
      </c>
    </row>
    <row r="632" spans="1:4" x14ac:dyDescent="0.55000000000000004">
      <c r="A632">
        <f t="shared" si="20"/>
        <v>2022</v>
      </c>
      <c r="B632" s="821">
        <v>44768</v>
      </c>
      <c r="C632">
        <v>3.03</v>
      </c>
      <c r="D632">
        <f t="shared" si="21"/>
        <v>0</v>
      </c>
    </row>
    <row r="633" spans="1:4" x14ac:dyDescent="0.55000000000000004">
      <c r="A633">
        <f t="shared" si="20"/>
        <v>2022</v>
      </c>
      <c r="B633" s="821">
        <v>44767</v>
      </c>
      <c r="C633">
        <v>3.04</v>
      </c>
      <c r="D633">
        <f t="shared" si="21"/>
        <v>0</v>
      </c>
    </row>
    <row r="634" spans="1:4" x14ac:dyDescent="0.55000000000000004">
      <c r="A634">
        <f t="shared" si="20"/>
        <v>2022</v>
      </c>
      <c r="B634" s="821">
        <v>44764</v>
      </c>
      <c r="C634">
        <v>3</v>
      </c>
      <c r="D634">
        <f t="shared" si="21"/>
        <v>0</v>
      </c>
    </row>
    <row r="635" spans="1:4" x14ac:dyDescent="0.55000000000000004">
      <c r="A635">
        <f t="shared" si="20"/>
        <v>2022</v>
      </c>
      <c r="B635" s="821">
        <v>44763</v>
      </c>
      <c r="C635">
        <v>3.08</v>
      </c>
      <c r="D635">
        <f t="shared" si="21"/>
        <v>0</v>
      </c>
    </row>
    <row r="636" spans="1:4" x14ac:dyDescent="0.55000000000000004">
      <c r="A636">
        <f t="shared" si="20"/>
        <v>2022</v>
      </c>
      <c r="B636" s="821">
        <v>44762</v>
      </c>
      <c r="C636">
        <v>3.17</v>
      </c>
      <c r="D636">
        <f t="shared" si="21"/>
        <v>0</v>
      </c>
    </row>
    <row r="637" spans="1:4" x14ac:dyDescent="0.55000000000000004">
      <c r="A637">
        <f t="shared" si="20"/>
        <v>2022</v>
      </c>
      <c r="B637" s="821">
        <v>44761</v>
      </c>
      <c r="C637">
        <v>3.17</v>
      </c>
      <c r="D637">
        <f t="shared" si="21"/>
        <v>0</v>
      </c>
    </row>
    <row r="638" spans="1:4" x14ac:dyDescent="0.55000000000000004">
      <c r="A638">
        <f t="shared" si="20"/>
        <v>2022</v>
      </c>
      <c r="B638" s="821">
        <v>44760</v>
      </c>
      <c r="C638">
        <v>3.14</v>
      </c>
      <c r="D638">
        <f t="shared" si="21"/>
        <v>0</v>
      </c>
    </row>
    <row r="639" spans="1:4" x14ac:dyDescent="0.55000000000000004">
      <c r="A639">
        <f t="shared" si="20"/>
        <v>2022</v>
      </c>
      <c r="B639" s="821">
        <v>44757</v>
      </c>
      <c r="C639">
        <v>3.1</v>
      </c>
      <c r="D639">
        <f t="shared" si="21"/>
        <v>0</v>
      </c>
    </row>
    <row r="640" spans="1:4" x14ac:dyDescent="0.55000000000000004">
      <c r="A640">
        <f t="shared" si="20"/>
        <v>2022</v>
      </c>
      <c r="B640" s="821">
        <v>44756</v>
      </c>
      <c r="C640">
        <v>3.11</v>
      </c>
      <c r="D640">
        <f t="shared" si="21"/>
        <v>0</v>
      </c>
    </row>
    <row r="641" spans="1:4" x14ac:dyDescent="0.55000000000000004">
      <c r="A641">
        <f t="shared" si="20"/>
        <v>2022</v>
      </c>
      <c r="B641" s="821">
        <v>44755</v>
      </c>
      <c r="C641">
        <v>3.08</v>
      </c>
      <c r="D641">
        <f t="shared" si="21"/>
        <v>0</v>
      </c>
    </row>
    <row r="642" spans="1:4" x14ac:dyDescent="0.55000000000000004">
      <c r="A642">
        <f t="shared" si="20"/>
        <v>2022</v>
      </c>
      <c r="B642" s="821">
        <v>44754</v>
      </c>
      <c r="C642">
        <v>3.13</v>
      </c>
      <c r="D642">
        <f t="shared" si="21"/>
        <v>0</v>
      </c>
    </row>
    <row r="643" spans="1:4" x14ac:dyDescent="0.55000000000000004">
      <c r="A643">
        <f t="shared" si="20"/>
        <v>2022</v>
      </c>
      <c r="B643" s="821">
        <v>44753</v>
      </c>
      <c r="C643">
        <v>3.18</v>
      </c>
      <c r="D643">
        <f t="shared" si="21"/>
        <v>0</v>
      </c>
    </row>
    <row r="644" spans="1:4" x14ac:dyDescent="0.55000000000000004">
      <c r="A644">
        <f t="shared" ref="A644:A707" si="22">YEAR(B644)</f>
        <v>2022</v>
      </c>
      <c r="B644" s="821">
        <v>44750</v>
      </c>
      <c r="C644">
        <v>3.27</v>
      </c>
      <c r="D644">
        <f t="shared" ref="D644:D707" si="23">IF(C644&gt;4,1,0)</f>
        <v>0</v>
      </c>
    </row>
    <row r="645" spans="1:4" x14ac:dyDescent="0.55000000000000004">
      <c r="A645">
        <f t="shared" si="22"/>
        <v>2022</v>
      </c>
      <c r="B645" s="821">
        <v>44749</v>
      </c>
      <c r="C645">
        <v>3.2</v>
      </c>
      <c r="D645">
        <f t="shared" si="23"/>
        <v>0</v>
      </c>
    </row>
    <row r="646" spans="1:4" x14ac:dyDescent="0.55000000000000004">
      <c r="A646">
        <f t="shared" si="22"/>
        <v>2022</v>
      </c>
      <c r="B646" s="821">
        <v>44748</v>
      </c>
      <c r="C646">
        <v>3.14</v>
      </c>
      <c r="D646">
        <f t="shared" si="23"/>
        <v>0</v>
      </c>
    </row>
    <row r="647" spans="1:4" x14ac:dyDescent="0.55000000000000004">
      <c r="A647">
        <f t="shared" si="22"/>
        <v>2022</v>
      </c>
      <c r="B647" s="821">
        <v>44747</v>
      </c>
      <c r="C647">
        <v>3.05</v>
      </c>
      <c r="D647">
        <f t="shared" si="23"/>
        <v>0</v>
      </c>
    </row>
    <row r="648" spans="1:4" x14ac:dyDescent="0.55000000000000004">
      <c r="A648">
        <f t="shared" si="22"/>
        <v>2022</v>
      </c>
      <c r="B648" s="821">
        <v>44743</v>
      </c>
      <c r="C648">
        <v>3.11</v>
      </c>
      <c r="D648">
        <f t="shared" si="23"/>
        <v>0</v>
      </c>
    </row>
    <row r="649" spans="1:4" x14ac:dyDescent="0.55000000000000004">
      <c r="A649">
        <f t="shared" si="22"/>
        <v>2022</v>
      </c>
      <c r="B649" s="821">
        <v>44742</v>
      </c>
      <c r="C649">
        <v>3.14</v>
      </c>
      <c r="D649">
        <f t="shared" si="23"/>
        <v>0</v>
      </c>
    </row>
    <row r="650" spans="1:4" x14ac:dyDescent="0.55000000000000004">
      <c r="A650">
        <f t="shared" si="22"/>
        <v>2022</v>
      </c>
      <c r="B650" s="821">
        <v>44741</v>
      </c>
      <c r="C650">
        <v>3.22</v>
      </c>
      <c r="D650">
        <f t="shared" si="23"/>
        <v>0</v>
      </c>
    </row>
    <row r="651" spans="1:4" x14ac:dyDescent="0.55000000000000004">
      <c r="A651">
        <f t="shared" si="22"/>
        <v>2022</v>
      </c>
      <c r="B651" s="821">
        <v>44740</v>
      </c>
      <c r="C651">
        <v>3.3</v>
      </c>
      <c r="D651">
        <f t="shared" si="23"/>
        <v>0</v>
      </c>
    </row>
    <row r="652" spans="1:4" x14ac:dyDescent="0.55000000000000004">
      <c r="A652">
        <f t="shared" si="22"/>
        <v>2022</v>
      </c>
      <c r="B652" s="821">
        <v>44739</v>
      </c>
      <c r="C652">
        <v>3.31</v>
      </c>
      <c r="D652">
        <f t="shared" si="23"/>
        <v>0</v>
      </c>
    </row>
    <row r="653" spans="1:4" x14ac:dyDescent="0.55000000000000004">
      <c r="A653">
        <f t="shared" si="22"/>
        <v>2022</v>
      </c>
      <c r="B653" s="821">
        <v>44736</v>
      </c>
      <c r="C653">
        <v>3.26</v>
      </c>
      <c r="D653">
        <f t="shared" si="23"/>
        <v>0</v>
      </c>
    </row>
    <row r="654" spans="1:4" x14ac:dyDescent="0.55000000000000004">
      <c r="A654">
        <f t="shared" si="22"/>
        <v>2022</v>
      </c>
      <c r="B654" s="821">
        <v>44735</v>
      </c>
      <c r="C654">
        <v>3.21</v>
      </c>
      <c r="D654">
        <f t="shared" si="23"/>
        <v>0</v>
      </c>
    </row>
    <row r="655" spans="1:4" x14ac:dyDescent="0.55000000000000004">
      <c r="A655">
        <f t="shared" si="22"/>
        <v>2022</v>
      </c>
      <c r="B655" s="821">
        <v>44734</v>
      </c>
      <c r="C655">
        <v>3.25</v>
      </c>
      <c r="D655">
        <f t="shared" si="23"/>
        <v>0</v>
      </c>
    </row>
    <row r="656" spans="1:4" x14ac:dyDescent="0.55000000000000004">
      <c r="A656">
        <f t="shared" si="22"/>
        <v>2022</v>
      </c>
      <c r="B656" s="821">
        <v>44733</v>
      </c>
      <c r="C656">
        <v>3.39</v>
      </c>
      <c r="D656">
        <f t="shared" si="23"/>
        <v>0</v>
      </c>
    </row>
    <row r="657" spans="1:4" x14ac:dyDescent="0.55000000000000004">
      <c r="A657">
        <f t="shared" si="22"/>
        <v>2022</v>
      </c>
      <c r="B657" s="821">
        <v>44729</v>
      </c>
      <c r="C657">
        <v>3.3</v>
      </c>
      <c r="D657">
        <f t="shared" si="23"/>
        <v>0</v>
      </c>
    </row>
    <row r="658" spans="1:4" x14ac:dyDescent="0.55000000000000004">
      <c r="A658">
        <f t="shared" si="22"/>
        <v>2022</v>
      </c>
      <c r="B658" s="821">
        <v>44728</v>
      </c>
      <c r="C658">
        <v>3.35</v>
      </c>
      <c r="D658">
        <f t="shared" si="23"/>
        <v>0</v>
      </c>
    </row>
    <row r="659" spans="1:4" x14ac:dyDescent="0.55000000000000004">
      <c r="A659">
        <f t="shared" si="22"/>
        <v>2022</v>
      </c>
      <c r="B659" s="821">
        <v>44727</v>
      </c>
      <c r="C659">
        <v>3.39</v>
      </c>
      <c r="D659">
        <f t="shared" si="23"/>
        <v>0</v>
      </c>
    </row>
    <row r="660" spans="1:4" x14ac:dyDescent="0.55000000000000004">
      <c r="A660">
        <f t="shared" si="22"/>
        <v>2022</v>
      </c>
      <c r="B660" s="821">
        <v>44726</v>
      </c>
      <c r="C660">
        <v>3.45</v>
      </c>
      <c r="D660">
        <f t="shared" si="23"/>
        <v>0</v>
      </c>
    </row>
    <row r="661" spans="1:4" x14ac:dyDescent="0.55000000000000004">
      <c r="A661">
        <f t="shared" si="22"/>
        <v>2022</v>
      </c>
      <c r="B661" s="821">
        <v>44725</v>
      </c>
      <c r="C661">
        <v>3.42</v>
      </c>
      <c r="D661">
        <f t="shared" si="23"/>
        <v>0</v>
      </c>
    </row>
    <row r="662" spans="1:4" x14ac:dyDescent="0.55000000000000004">
      <c r="A662">
        <f t="shared" si="22"/>
        <v>2022</v>
      </c>
      <c r="B662" s="821">
        <v>44722</v>
      </c>
      <c r="C662">
        <v>3.2</v>
      </c>
      <c r="D662">
        <f t="shared" si="23"/>
        <v>0</v>
      </c>
    </row>
    <row r="663" spans="1:4" x14ac:dyDescent="0.55000000000000004">
      <c r="A663">
        <f t="shared" si="22"/>
        <v>2022</v>
      </c>
      <c r="B663" s="821">
        <v>44721</v>
      </c>
      <c r="C663">
        <v>3.18</v>
      </c>
      <c r="D663">
        <f t="shared" si="23"/>
        <v>0</v>
      </c>
    </row>
    <row r="664" spans="1:4" x14ac:dyDescent="0.55000000000000004">
      <c r="A664">
        <f t="shared" si="22"/>
        <v>2022</v>
      </c>
      <c r="B664" s="821">
        <v>44720</v>
      </c>
      <c r="C664">
        <v>3.18</v>
      </c>
      <c r="D664">
        <f t="shared" si="23"/>
        <v>0</v>
      </c>
    </row>
    <row r="665" spans="1:4" x14ac:dyDescent="0.55000000000000004">
      <c r="A665">
        <f t="shared" si="22"/>
        <v>2022</v>
      </c>
      <c r="B665" s="821">
        <v>44719</v>
      </c>
      <c r="C665">
        <v>3.13</v>
      </c>
      <c r="D665">
        <f t="shared" si="23"/>
        <v>0</v>
      </c>
    </row>
    <row r="666" spans="1:4" x14ac:dyDescent="0.55000000000000004">
      <c r="A666">
        <f t="shared" si="22"/>
        <v>2022</v>
      </c>
      <c r="B666" s="821">
        <v>44718</v>
      </c>
      <c r="C666">
        <v>3.19</v>
      </c>
      <c r="D666">
        <f t="shared" si="23"/>
        <v>0</v>
      </c>
    </row>
    <row r="667" spans="1:4" x14ac:dyDescent="0.55000000000000004">
      <c r="A667">
        <f t="shared" si="22"/>
        <v>2022</v>
      </c>
      <c r="B667" s="821">
        <v>44715</v>
      </c>
      <c r="C667">
        <v>3.11</v>
      </c>
      <c r="D667">
        <f t="shared" si="23"/>
        <v>0</v>
      </c>
    </row>
    <row r="668" spans="1:4" x14ac:dyDescent="0.55000000000000004">
      <c r="A668">
        <f t="shared" si="22"/>
        <v>2022</v>
      </c>
      <c r="B668" s="821">
        <v>44714</v>
      </c>
      <c r="C668">
        <v>3.09</v>
      </c>
      <c r="D668">
        <f t="shared" si="23"/>
        <v>0</v>
      </c>
    </row>
    <row r="669" spans="1:4" x14ac:dyDescent="0.55000000000000004">
      <c r="A669">
        <f t="shared" si="22"/>
        <v>2022</v>
      </c>
      <c r="B669" s="821">
        <v>44713</v>
      </c>
      <c r="C669">
        <v>3.09</v>
      </c>
      <c r="D669">
        <f t="shared" si="23"/>
        <v>0</v>
      </c>
    </row>
    <row r="670" spans="1:4" x14ac:dyDescent="0.55000000000000004">
      <c r="A670">
        <f t="shared" si="22"/>
        <v>2022</v>
      </c>
      <c r="B670" s="821">
        <v>44712</v>
      </c>
      <c r="C670">
        <v>3.07</v>
      </c>
      <c r="D670">
        <f t="shared" si="23"/>
        <v>0</v>
      </c>
    </row>
    <row r="671" spans="1:4" x14ac:dyDescent="0.55000000000000004">
      <c r="A671">
        <f t="shared" si="22"/>
        <v>2022</v>
      </c>
      <c r="B671" s="821">
        <v>44708</v>
      </c>
      <c r="C671">
        <v>2.97</v>
      </c>
      <c r="D671">
        <f t="shared" si="23"/>
        <v>0</v>
      </c>
    </row>
    <row r="672" spans="1:4" x14ac:dyDescent="0.55000000000000004">
      <c r="A672">
        <f t="shared" si="22"/>
        <v>2022</v>
      </c>
      <c r="B672" s="821">
        <v>44707</v>
      </c>
      <c r="C672">
        <v>2.99</v>
      </c>
      <c r="D672">
        <f t="shared" si="23"/>
        <v>0</v>
      </c>
    </row>
    <row r="673" spans="1:4" x14ac:dyDescent="0.55000000000000004">
      <c r="A673">
        <f t="shared" si="22"/>
        <v>2022</v>
      </c>
      <c r="B673" s="821">
        <v>44706</v>
      </c>
      <c r="C673">
        <v>2.97</v>
      </c>
      <c r="D673">
        <f t="shared" si="23"/>
        <v>0</v>
      </c>
    </row>
    <row r="674" spans="1:4" x14ac:dyDescent="0.55000000000000004">
      <c r="A674">
        <f t="shared" si="22"/>
        <v>2022</v>
      </c>
      <c r="B674" s="821">
        <v>44705</v>
      </c>
      <c r="C674">
        <v>2.98</v>
      </c>
      <c r="D674">
        <f t="shared" si="23"/>
        <v>0</v>
      </c>
    </row>
    <row r="675" spans="1:4" x14ac:dyDescent="0.55000000000000004">
      <c r="A675">
        <f t="shared" si="22"/>
        <v>2022</v>
      </c>
      <c r="B675" s="821">
        <v>44704</v>
      </c>
      <c r="C675">
        <v>3.08</v>
      </c>
      <c r="D675">
        <f t="shared" si="23"/>
        <v>0</v>
      </c>
    </row>
    <row r="676" spans="1:4" x14ac:dyDescent="0.55000000000000004">
      <c r="A676">
        <f t="shared" si="22"/>
        <v>2022</v>
      </c>
      <c r="B676" s="821">
        <v>44701</v>
      </c>
      <c r="C676">
        <v>2.99</v>
      </c>
      <c r="D676">
        <f t="shared" si="23"/>
        <v>0</v>
      </c>
    </row>
    <row r="677" spans="1:4" x14ac:dyDescent="0.55000000000000004">
      <c r="A677">
        <f t="shared" si="22"/>
        <v>2022</v>
      </c>
      <c r="B677" s="821">
        <v>44700</v>
      </c>
      <c r="C677">
        <v>3.05</v>
      </c>
      <c r="D677">
        <f t="shared" si="23"/>
        <v>0</v>
      </c>
    </row>
    <row r="678" spans="1:4" x14ac:dyDescent="0.55000000000000004">
      <c r="A678">
        <f t="shared" si="22"/>
        <v>2022</v>
      </c>
      <c r="B678" s="821">
        <v>44699</v>
      </c>
      <c r="C678">
        <v>3.07</v>
      </c>
      <c r="D678">
        <f t="shared" si="23"/>
        <v>0</v>
      </c>
    </row>
    <row r="679" spans="1:4" x14ac:dyDescent="0.55000000000000004">
      <c r="A679">
        <f t="shared" si="22"/>
        <v>2022</v>
      </c>
      <c r="B679" s="821">
        <v>44698</v>
      </c>
      <c r="C679">
        <v>3.17</v>
      </c>
      <c r="D679">
        <f t="shared" si="23"/>
        <v>0</v>
      </c>
    </row>
    <row r="680" spans="1:4" x14ac:dyDescent="0.55000000000000004">
      <c r="A680">
        <f t="shared" si="22"/>
        <v>2022</v>
      </c>
      <c r="B680" s="821">
        <v>44697</v>
      </c>
      <c r="C680">
        <v>3.09</v>
      </c>
      <c r="D680">
        <f t="shared" si="23"/>
        <v>0</v>
      </c>
    </row>
    <row r="681" spans="1:4" x14ac:dyDescent="0.55000000000000004">
      <c r="A681">
        <f t="shared" si="22"/>
        <v>2022</v>
      </c>
      <c r="B681" s="821">
        <v>44694</v>
      </c>
      <c r="C681">
        <v>3.1</v>
      </c>
      <c r="D681">
        <f t="shared" si="23"/>
        <v>0</v>
      </c>
    </row>
    <row r="682" spans="1:4" x14ac:dyDescent="0.55000000000000004">
      <c r="A682">
        <f t="shared" si="22"/>
        <v>2022</v>
      </c>
      <c r="B682" s="821">
        <v>44693</v>
      </c>
      <c r="C682">
        <v>3</v>
      </c>
      <c r="D682">
        <f t="shared" si="23"/>
        <v>0</v>
      </c>
    </row>
    <row r="683" spans="1:4" x14ac:dyDescent="0.55000000000000004">
      <c r="A683">
        <f t="shared" si="22"/>
        <v>2022</v>
      </c>
      <c r="B683" s="821">
        <v>44692</v>
      </c>
      <c r="C683">
        <v>3.05</v>
      </c>
      <c r="D683">
        <f t="shared" si="23"/>
        <v>0</v>
      </c>
    </row>
    <row r="684" spans="1:4" x14ac:dyDescent="0.55000000000000004">
      <c r="A684">
        <f t="shared" si="22"/>
        <v>2022</v>
      </c>
      <c r="B684" s="821">
        <v>44691</v>
      </c>
      <c r="C684">
        <v>3.12</v>
      </c>
      <c r="D684">
        <f t="shared" si="23"/>
        <v>0</v>
      </c>
    </row>
    <row r="685" spans="1:4" x14ac:dyDescent="0.55000000000000004">
      <c r="A685">
        <f t="shared" si="22"/>
        <v>2022</v>
      </c>
      <c r="B685" s="821">
        <v>44690</v>
      </c>
      <c r="C685">
        <v>3.19</v>
      </c>
      <c r="D685">
        <f t="shared" si="23"/>
        <v>0</v>
      </c>
    </row>
    <row r="686" spans="1:4" x14ac:dyDescent="0.55000000000000004">
      <c r="A686">
        <f t="shared" si="22"/>
        <v>2022</v>
      </c>
      <c r="B686" s="821">
        <v>44687</v>
      </c>
      <c r="C686">
        <v>3.23</v>
      </c>
      <c r="D686">
        <f t="shared" si="23"/>
        <v>0</v>
      </c>
    </row>
    <row r="687" spans="1:4" x14ac:dyDescent="0.55000000000000004">
      <c r="A687">
        <f t="shared" si="22"/>
        <v>2022</v>
      </c>
      <c r="B687" s="821">
        <v>44686</v>
      </c>
      <c r="C687">
        <v>3.15</v>
      </c>
      <c r="D687">
        <f t="shared" si="23"/>
        <v>0</v>
      </c>
    </row>
    <row r="688" spans="1:4" x14ac:dyDescent="0.55000000000000004">
      <c r="A688">
        <f t="shared" si="22"/>
        <v>2022</v>
      </c>
      <c r="B688" s="821">
        <v>44685</v>
      </c>
      <c r="C688">
        <v>3.01</v>
      </c>
      <c r="D688">
        <f t="shared" si="23"/>
        <v>0</v>
      </c>
    </row>
    <row r="689" spans="1:4" x14ac:dyDescent="0.55000000000000004">
      <c r="A689">
        <f t="shared" si="22"/>
        <v>2022</v>
      </c>
      <c r="B689" s="821">
        <v>44684</v>
      </c>
      <c r="C689">
        <v>3.03</v>
      </c>
      <c r="D689">
        <f t="shared" si="23"/>
        <v>0</v>
      </c>
    </row>
    <row r="690" spans="1:4" x14ac:dyDescent="0.55000000000000004">
      <c r="A690">
        <f t="shared" si="22"/>
        <v>2022</v>
      </c>
      <c r="B690" s="821">
        <v>44683</v>
      </c>
      <c r="C690">
        <v>3.07</v>
      </c>
      <c r="D690">
        <f t="shared" si="23"/>
        <v>0</v>
      </c>
    </row>
    <row r="691" spans="1:4" x14ac:dyDescent="0.55000000000000004">
      <c r="A691">
        <f t="shared" si="22"/>
        <v>2022</v>
      </c>
      <c r="B691" s="821">
        <v>44680</v>
      </c>
      <c r="C691">
        <v>2.96</v>
      </c>
      <c r="D691">
        <f t="shared" si="23"/>
        <v>0</v>
      </c>
    </row>
    <row r="692" spans="1:4" x14ac:dyDescent="0.55000000000000004">
      <c r="A692">
        <f t="shared" si="22"/>
        <v>2022</v>
      </c>
      <c r="B692" s="821">
        <v>44679</v>
      </c>
      <c r="C692">
        <v>2.92</v>
      </c>
      <c r="D692">
        <f t="shared" si="23"/>
        <v>0</v>
      </c>
    </row>
    <row r="693" spans="1:4" x14ac:dyDescent="0.55000000000000004">
      <c r="A693">
        <f t="shared" si="22"/>
        <v>2022</v>
      </c>
      <c r="B693" s="821">
        <v>44678</v>
      </c>
      <c r="C693">
        <v>2.91</v>
      </c>
      <c r="D693">
        <f t="shared" si="23"/>
        <v>0</v>
      </c>
    </row>
    <row r="694" spans="1:4" x14ac:dyDescent="0.55000000000000004">
      <c r="A694">
        <f t="shared" si="22"/>
        <v>2022</v>
      </c>
      <c r="B694" s="821">
        <v>44677</v>
      </c>
      <c r="C694">
        <v>2.86</v>
      </c>
      <c r="D694">
        <f t="shared" si="23"/>
        <v>0</v>
      </c>
    </row>
    <row r="695" spans="1:4" x14ac:dyDescent="0.55000000000000004">
      <c r="A695">
        <f t="shared" si="22"/>
        <v>2022</v>
      </c>
      <c r="B695" s="821">
        <v>44676</v>
      </c>
      <c r="C695">
        <v>2.88</v>
      </c>
      <c r="D695">
        <f t="shared" si="23"/>
        <v>0</v>
      </c>
    </row>
    <row r="696" spans="1:4" x14ac:dyDescent="0.55000000000000004">
      <c r="A696">
        <f t="shared" si="22"/>
        <v>2022</v>
      </c>
      <c r="B696" s="821">
        <v>44673</v>
      </c>
      <c r="C696">
        <v>2.95</v>
      </c>
      <c r="D696">
        <f t="shared" si="23"/>
        <v>0</v>
      </c>
    </row>
    <row r="697" spans="1:4" x14ac:dyDescent="0.55000000000000004">
      <c r="A697">
        <f t="shared" si="22"/>
        <v>2022</v>
      </c>
      <c r="B697" s="821">
        <v>44672</v>
      </c>
      <c r="C697">
        <v>2.94</v>
      </c>
      <c r="D697">
        <f t="shared" si="23"/>
        <v>0</v>
      </c>
    </row>
    <row r="698" spans="1:4" x14ac:dyDescent="0.55000000000000004">
      <c r="A698">
        <f t="shared" si="22"/>
        <v>2022</v>
      </c>
      <c r="B698" s="821">
        <v>44671</v>
      </c>
      <c r="C698">
        <v>2.9</v>
      </c>
      <c r="D698">
        <f t="shared" si="23"/>
        <v>0</v>
      </c>
    </row>
    <row r="699" spans="1:4" x14ac:dyDescent="0.55000000000000004">
      <c r="A699">
        <f t="shared" si="22"/>
        <v>2022</v>
      </c>
      <c r="B699" s="821">
        <v>44670</v>
      </c>
      <c r="C699">
        <v>3.01</v>
      </c>
      <c r="D699">
        <f t="shared" si="23"/>
        <v>0</v>
      </c>
    </row>
    <row r="700" spans="1:4" x14ac:dyDescent="0.55000000000000004">
      <c r="A700">
        <f t="shared" si="22"/>
        <v>2022</v>
      </c>
      <c r="B700" s="821">
        <v>44669</v>
      </c>
      <c r="C700">
        <v>2.95</v>
      </c>
      <c r="D700">
        <f t="shared" si="23"/>
        <v>0</v>
      </c>
    </row>
    <row r="701" spans="1:4" x14ac:dyDescent="0.55000000000000004">
      <c r="A701">
        <f t="shared" si="22"/>
        <v>2022</v>
      </c>
      <c r="B701" s="821">
        <v>44665</v>
      </c>
      <c r="C701">
        <v>2.92</v>
      </c>
      <c r="D701">
        <f t="shared" si="23"/>
        <v>0</v>
      </c>
    </row>
    <row r="702" spans="1:4" x14ac:dyDescent="0.55000000000000004">
      <c r="A702">
        <f t="shared" si="22"/>
        <v>2022</v>
      </c>
      <c r="B702" s="821">
        <v>44664</v>
      </c>
      <c r="C702">
        <v>2.81</v>
      </c>
      <c r="D702">
        <f t="shared" si="23"/>
        <v>0</v>
      </c>
    </row>
    <row r="703" spans="1:4" x14ac:dyDescent="0.55000000000000004">
      <c r="A703">
        <f t="shared" si="22"/>
        <v>2022</v>
      </c>
      <c r="B703" s="821">
        <v>44663</v>
      </c>
      <c r="C703">
        <v>2.82</v>
      </c>
      <c r="D703">
        <f t="shared" si="23"/>
        <v>0</v>
      </c>
    </row>
    <row r="704" spans="1:4" x14ac:dyDescent="0.55000000000000004">
      <c r="A704">
        <f t="shared" si="22"/>
        <v>2022</v>
      </c>
      <c r="B704" s="821">
        <v>44662</v>
      </c>
      <c r="C704">
        <v>2.84</v>
      </c>
      <c r="D704">
        <f t="shared" si="23"/>
        <v>0</v>
      </c>
    </row>
    <row r="705" spans="1:4" x14ac:dyDescent="0.55000000000000004">
      <c r="A705">
        <f t="shared" si="22"/>
        <v>2022</v>
      </c>
      <c r="B705" s="821">
        <v>44659</v>
      </c>
      <c r="C705">
        <v>2.76</v>
      </c>
      <c r="D705">
        <f t="shared" si="23"/>
        <v>0</v>
      </c>
    </row>
    <row r="706" spans="1:4" x14ac:dyDescent="0.55000000000000004">
      <c r="A706">
        <f t="shared" si="22"/>
        <v>2022</v>
      </c>
      <c r="B706" s="821">
        <v>44658</v>
      </c>
      <c r="C706">
        <v>2.69</v>
      </c>
      <c r="D706">
        <f t="shared" si="23"/>
        <v>0</v>
      </c>
    </row>
    <row r="707" spans="1:4" x14ac:dyDescent="0.55000000000000004">
      <c r="A707">
        <f t="shared" si="22"/>
        <v>2022</v>
      </c>
      <c r="B707" s="821">
        <v>44657</v>
      </c>
      <c r="C707">
        <v>2.63</v>
      </c>
      <c r="D707">
        <f t="shared" si="23"/>
        <v>0</v>
      </c>
    </row>
    <row r="708" spans="1:4" x14ac:dyDescent="0.55000000000000004">
      <c r="A708">
        <f t="shared" ref="A708:A771" si="24">YEAR(B708)</f>
        <v>2022</v>
      </c>
      <c r="B708" s="821">
        <v>44656</v>
      </c>
      <c r="C708">
        <v>2.57</v>
      </c>
      <c r="D708">
        <f t="shared" ref="D708:D771" si="25">IF(C708&gt;4,1,0)</f>
        <v>0</v>
      </c>
    </row>
    <row r="709" spans="1:4" x14ac:dyDescent="0.55000000000000004">
      <c r="A709">
        <f t="shared" si="24"/>
        <v>2022</v>
      </c>
      <c r="B709" s="821">
        <v>44655</v>
      </c>
      <c r="C709">
        <v>2.48</v>
      </c>
      <c r="D709">
        <f t="shared" si="25"/>
        <v>0</v>
      </c>
    </row>
    <row r="710" spans="1:4" x14ac:dyDescent="0.55000000000000004">
      <c r="A710">
        <f t="shared" si="24"/>
        <v>2022</v>
      </c>
      <c r="B710" s="821">
        <v>44652</v>
      </c>
      <c r="C710">
        <v>2.44</v>
      </c>
      <c r="D710">
        <f t="shared" si="25"/>
        <v>0</v>
      </c>
    </row>
    <row r="711" spans="1:4" x14ac:dyDescent="0.55000000000000004">
      <c r="A711">
        <f t="shared" si="24"/>
        <v>2022</v>
      </c>
      <c r="B711" s="821">
        <v>44651</v>
      </c>
      <c r="C711">
        <v>2.44</v>
      </c>
      <c r="D711">
        <f t="shared" si="25"/>
        <v>0</v>
      </c>
    </row>
    <row r="712" spans="1:4" x14ac:dyDescent="0.55000000000000004">
      <c r="A712">
        <f t="shared" si="24"/>
        <v>2022</v>
      </c>
      <c r="B712" s="821">
        <v>44650</v>
      </c>
      <c r="C712">
        <v>2.48</v>
      </c>
      <c r="D712">
        <f t="shared" si="25"/>
        <v>0</v>
      </c>
    </row>
    <row r="713" spans="1:4" x14ac:dyDescent="0.55000000000000004">
      <c r="A713">
        <f t="shared" si="24"/>
        <v>2022</v>
      </c>
      <c r="B713" s="821">
        <v>44649</v>
      </c>
      <c r="C713">
        <v>2.5299999999999998</v>
      </c>
      <c r="D713">
        <f t="shared" si="25"/>
        <v>0</v>
      </c>
    </row>
    <row r="714" spans="1:4" x14ac:dyDescent="0.55000000000000004">
      <c r="A714">
        <f t="shared" si="24"/>
        <v>2022</v>
      </c>
      <c r="B714" s="821">
        <v>44648</v>
      </c>
      <c r="C714">
        <v>2.57</v>
      </c>
      <c r="D714">
        <f t="shared" si="25"/>
        <v>0</v>
      </c>
    </row>
    <row r="715" spans="1:4" x14ac:dyDescent="0.55000000000000004">
      <c r="A715">
        <f t="shared" si="24"/>
        <v>2022</v>
      </c>
      <c r="B715" s="821">
        <v>44645</v>
      </c>
      <c r="C715">
        <v>2.6</v>
      </c>
      <c r="D715">
        <f t="shared" si="25"/>
        <v>0</v>
      </c>
    </row>
    <row r="716" spans="1:4" x14ac:dyDescent="0.55000000000000004">
      <c r="A716">
        <f t="shared" si="24"/>
        <v>2022</v>
      </c>
      <c r="B716" s="821">
        <v>44644</v>
      </c>
      <c r="C716">
        <v>2.5099999999999998</v>
      </c>
      <c r="D716">
        <f t="shared" si="25"/>
        <v>0</v>
      </c>
    </row>
    <row r="717" spans="1:4" x14ac:dyDescent="0.55000000000000004">
      <c r="A717">
        <f t="shared" si="24"/>
        <v>2022</v>
      </c>
      <c r="B717" s="821">
        <v>44643</v>
      </c>
      <c r="C717">
        <v>2.52</v>
      </c>
      <c r="D717">
        <f t="shared" si="25"/>
        <v>0</v>
      </c>
    </row>
    <row r="718" spans="1:4" x14ac:dyDescent="0.55000000000000004">
      <c r="A718">
        <f t="shared" si="24"/>
        <v>2022</v>
      </c>
      <c r="B718" s="821">
        <v>44642</v>
      </c>
      <c r="C718">
        <v>2.6</v>
      </c>
      <c r="D718">
        <f t="shared" si="25"/>
        <v>0</v>
      </c>
    </row>
    <row r="719" spans="1:4" x14ac:dyDescent="0.55000000000000004">
      <c r="A719">
        <f t="shared" si="24"/>
        <v>2022</v>
      </c>
      <c r="B719" s="821">
        <v>44641</v>
      </c>
      <c r="C719">
        <v>2.5499999999999998</v>
      </c>
      <c r="D719">
        <f t="shared" si="25"/>
        <v>0</v>
      </c>
    </row>
    <row r="720" spans="1:4" x14ac:dyDescent="0.55000000000000004">
      <c r="A720">
        <f t="shared" si="24"/>
        <v>2022</v>
      </c>
      <c r="B720" s="821">
        <v>44638</v>
      </c>
      <c r="C720">
        <v>2.42</v>
      </c>
      <c r="D720">
        <f t="shared" si="25"/>
        <v>0</v>
      </c>
    </row>
    <row r="721" spans="1:4" x14ac:dyDescent="0.55000000000000004">
      <c r="A721">
        <f t="shared" si="24"/>
        <v>2022</v>
      </c>
      <c r="B721" s="821">
        <v>44637</v>
      </c>
      <c r="C721">
        <v>2.5</v>
      </c>
      <c r="D721">
        <f t="shared" si="25"/>
        <v>0</v>
      </c>
    </row>
    <row r="722" spans="1:4" x14ac:dyDescent="0.55000000000000004">
      <c r="A722">
        <f t="shared" si="24"/>
        <v>2022</v>
      </c>
      <c r="B722" s="821">
        <v>44636</v>
      </c>
      <c r="C722">
        <v>2.46</v>
      </c>
      <c r="D722">
        <f t="shared" si="25"/>
        <v>0</v>
      </c>
    </row>
    <row r="723" spans="1:4" x14ac:dyDescent="0.55000000000000004">
      <c r="A723">
        <f t="shared" si="24"/>
        <v>2022</v>
      </c>
      <c r="B723" s="821">
        <v>44635</v>
      </c>
      <c r="C723">
        <v>2.4900000000000002</v>
      </c>
      <c r="D723">
        <f t="shared" si="25"/>
        <v>0</v>
      </c>
    </row>
    <row r="724" spans="1:4" x14ac:dyDescent="0.55000000000000004">
      <c r="A724">
        <f t="shared" si="24"/>
        <v>2022</v>
      </c>
      <c r="B724" s="821">
        <v>44634</v>
      </c>
      <c r="C724">
        <v>2.4700000000000002</v>
      </c>
      <c r="D724">
        <f t="shared" si="25"/>
        <v>0</v>
      </c>
    </row>
    <row r="725" spans="1:4" x14ac:dyDescent="0.55000000000000004">
      <c r="A725">
        <f t="shared" si="24"/>
        <v>2022</v>
      </c>
      <c r="B725" s="821">
        <v>44631</v>
      </c>
      <c r="C725">
        <v>2.36</v>
      </c>
      <c r="D725">
        <f t="shared" si="25"/>
        <v>0</v>
      </c>
    </row>
    <row r="726" spans="1:4" x14ac:dyDescent="0.55000000000000004">
      <c r="A726">
        <f t="shared" si="24"/>
        <v>2022</v>
      </c>
      <c r="B726" s="821">
        <v>44630</v>
      </c>
      <c r="C726">
        <v>2.38</v>
      </c>
      <c r="D726">
        <f t="shared" si="25"/>
        <v>0</v>
      </c>
    </row>
    <row r="727" spans="1:4" x14ac:dyDescent="0.55000000000000004">
      <c r="A727">
        <f t="shared" si="24"/>
        <v>2022</v>
      </c>
      <c r="B727" s="821">
        <v>44629</v>
      </c>
      <c r="C727">
        <v>2.29</v>
      </c>
      <c r="D727">
        <f t="shared" si="25"/>
        <v>0</v>
      </c>
    </row>
    <row r="728" spans="1:4" x14ac:dyDescent="0.55000000000000004">
      <c r="A728">
        <f t="shared" si="24"/>
        <v>2022</v>
      </c>
      <c r="B728" s="821">
        <v>44628</v>
      </c>
      <c r="C728">
        <v>2.2400000000000002</v>
      </c>
      <c r="D728">
        <f t="shared" si="25"/>
        <v>0</v>
      </c>
    </row>
    <row r="729" spans="1:4" x14ac:dyDescent="0.55000000000000004">
      <c r="A729">
        <f t="shared" si="24"/>
        <v>2022</v>
      </c>
      <c r="B729" s="821">
        <v>44627</v>
      </c>
      <c r="C729">
        <v>2.19</v>
      </c>
      <c r="D729">
        <f t="shared" si="25"/>
        <v>0</v>
      </c>
    </row>
    <row r="730" spans="1:4" x14ac:dyDescent="0.55000000000000004">
      <c r="A730">
        <f t="shared" si="24"/>
        <v>2022</v>
      </c>
      <c r="B730" s="821">
        <v>44624</v>
      </c>
      <c r="C730">
        <v>2.16</v>
      </c>
      <c r="D730">
        <f t="shared" si="25"/>
        <v>0</v>
      </c>
    </row>
    <row r="731" spans="1:4" x14ac:dyDescent="0.55000000000000004">
      <c r="A731">
        <f t="shared" si="24"/>
        <v>2022</v>
      </c>
      <c r="B731" s="821">
        <v>44623</v>
      </c>
      <c r="C731">
        <v>2.2400000000000002</v>
      </c>
      <c r="D731">
        <f t="shared" si="25"/>
        <v>0</v>
      </c>
    </row>
    <row r="732" spans="1:4" x14ac:dyDescent="0.55000000000000004">
      <c r="A732">
        <f t="shared" si="24"/>
        <v>2022</v>
      </c>
      <c r="B732" s="821">
        <v>44622</v>
      </c>
      <c r="C732">
        <v>2.2400000000000002</v>
      </c>
      <c r="D732">
        <f t="shared" si="25"/>
        <v>0</v>
      </c>
    </row>
    <row r="733" spans="1:4" x14ac:dyDescent="0.55000000000000004">
      <c r="A733">
        <f t="shared" si="24"/>
        <v>2022</v>
      </c>
      <c r="B733" s="821">
        <v>44621</v>
      </c>
      <c r="C733">
        <v>2.11</v>
      </c>
      <c r="D733">
        <f t="shared" si="25"/>
        <v>0</v>
      </c>
    </row>
    <row r="734" spans="1:4" x14ac:dyDescent="0.55000000000000004">
      <c r="A734">
        <f t="shared" si="24"/>
        <v>2022</v>
      </c>
      <c r="B734" s="821">
        <v>44620</v>
      </c>
      <c r="C734">
        <v>2.17</v>
      </c>
      <c r="D734">
        <f t="shared" si="25"/>
        <v>0</v>
      </c>
    </row>
    <row r="735" spans="1:4" x14ac:dyDescent="0.55000000000000004">
      <c r="A735">
        <f t="shared" si="24"/>
        <v>2022</v>
      </c>
      <c r="B735" s="821">
        <v>44617</v>
      </c>
      <c r="C735">
        <v>2.29</v>
      </c>
      <c r="D735">
        <f t="shared" si="25"/>
        <v>0</v>
      </c>
    </row>
    <row r="736" spans="1:4" x14ac:dyDescent="0.55000000000000004">
      <c r="A736">
        <f t="shared" si="24"/>
        <v>2022</v>
      </c>
      <c r="B736" s="821">
        <v>44616</v>
      </c>
      <c r="C736">
        <v>2.2799999999999998</v>
      </c>
      <c r="D736">
        <f t="shared" si="25"/>
        <v>0</v>
      </c>
    </row>
    <row r="737" spans="1:4" x14ac:dyDescent="0.55000000000000004">
      <c r="A737">
        <f t="shared" si="24"/>
        <v>2022</v>
      </c>
      <c r="B737" s="821">
        <v>44615</v>
      </c>
      <c r="C737">
        <v>2.29</v>
      </c>
      <c r="D737">
        <f t="shared" si="25"/>
        <v>0</v>
      </c>
    </row>
    <row r="738" spans="1:4" x14ac:dyDescent="0.55000000000000004">
      <c r="A738">
        <f t="shared" si="24"/>
        <v>2022</v>
      </c>
      <c r="B738" s="821">
        <v>44614</v>
      </c>
      <c r="C738">
        <v>2.2400000000000002</v>
      </c>
      <c r="D738">
        <f t="shared" si="25"/>
        <v>0</v>
      </c>
    </row>
    <row r="739" spans="1:4" x14ac:dyDescent="0.55000000000000004">
      <c r="A739">
        <f t="shared" si="24"/>
        <v>2022</v>
      </c>
      <c r="B739" s="821">
        <v>44610</v>
      </c>
      <c r="C739">
        <v>2.2400000000000002</v>
      </c>
      <c r="D739">
        <f t="shared" si="25"/>
        <v>0</v>
      </c>
    </row>
    <row r="740" spans="1:4" x14ac:dyDescent="0.55000000000000004">
      <c r="A740">
        <f t="shared" si="24"/>
        <v>2022</v>
      </c>
      <c r="B740" s="821">
        <v>44609</v>
      </c>
      <c r="C740">
        <v>2.31</v>
      </c>
      <c r="D740">
        <f t="shared" si="25"/>
        <v>0</v>
      </c>
    </row>
    <row r="741" spans="1:4" x14ac:dyDescent="0.55000000000000004">
      <c r="A741">
        <f t="shared" si="24"/>
        <v>2022</v>
      </c>
      <c r="B741" s="821">
        <v>44608</v>
      </c>
      <c r="C741">
        <v>2.34</v>
      </c>
      <c r="D741">
        <f t="shared" si="25"/>
        <v>0</v>
      </c>
    </row>
    <row r="742" spans="1:4" x14ac:dyDescent="0.55000000000000004">
      <c r="A742">
        <f t="shared" si="24"/>
        <v>2022</v>
      </c>
      <c r="B742" s="821">
        <v>44607</v>
      </c>
      <c r="C742">
        <v>2.37</v>
      </c>
      <c r="D742">
        <f t="shared" si="25"/>
        <v>0</v>
      </c>
    </row>
    <row r="743" spans="1:4" x14ac:dyDescent="0.55000000000000004">
      <c r="A743">
        <f t="shared" si="24"/>
        <v>2022</v>
      </c>
      <c r="B743" s="821">
        <v>44606</v>
      </c>
      <c r="C743">
        <v>2.29</v>
      </c>
      <c r="D743">
        <f t="shared" si="25"/>
        <v>0</v>
      </c>
    </row>
    <row r="744" spans="1:4" x14ac:dyDescent="0.55000000000000004">
      <c r="A744">
        <f t="shared" si="24"/>
        <v>2022</v>
      </c>
      <c r="B744" s="821">
        <v>44603</v>
      </c>
      <c r="C744">
        <v>2.2400000000000002</v>
      </c>
      <c r="D744">
        <f t="shared" si="25"/>
        <v>0</v>
      </c>
    </row>
    <row r="745" spans="1:4" x14ac:dyDescent="0.55000000000000004">
      <c r="A745">
        <f t="shared" si="24"/>
        <v>2022</v>
      </c>
      <c r="B745" s="821">
        <v>44602</v>
      </c>
      <c r="C745">
        <v>2.2999999999999998</v>
      </c>
      <c r="D745">
        <f t="shared" si="25"/>
        <v>0</v>
      </c>
    </row>
    <row r="746" spans="1:4" x14ac:dyDescent="0.55000000000000004">
      <c r="A746">
        <f t="shared" si="24"/>
        <v>2022</v>
      </c>
      <c r="B746" s="821">
        <v>44601</v>
      </c>
      <c r="C746">
        <v>2.25</v>
      </c>
      <c r="D746">
        <f t="shared" si="25"/>
        <v>0</v>
      </c>
    </row>
    <row r="747" spans="1:4" x14ac:dyDescent="0.55000000000000004">
      <c r="A747">
        <f t="shared" si="24"/>
        <v>2022</v>
      </c>
      <c r="B747" s="821">
        <v>44600</v>
      </c>
      <c r="C747">
        <v>2.25</v>
      </c>
      <c r="D747">
        <f t="shared" si="25"/>
        <v>0</v>
      </c>
    </row>
    <row r="748" spans="1:4" x14ac:dyDescent="0.55000000000000004">
      <c r="A748">
        <f t="shared" si="24"/>
        <v>2022</v>
      </c>
      <c r="B748" s="821">
        <v>44599</v>
      </c>
      <c r="C748">
        <v>2.2200000000000002</v>
      </c>
      <c r="D748">
        <f t="shared" si="25"/>
        <v>0</v>
      </c>
    </row>
    <row r="749" spans="1:4" x14ac:dyDescent="0.55000000000000004">
      <c r="A749">
        <f t="shared" si="24"/>
        <v>2022</v>
      </c>
      <c r="B749" s="821">
        <v>44596</v>
      </c>
      <c r="C749">
        <v>2.23</v>
      </c>
      <c r="D749">
        <f t="shared" si="25"/>
        <v>0</v>
      </c>
    </row>
    <row r="750" spans="1:4" x14ac:dyDescent="0.55000000000000004">
      <c r="A750">
        <f t="shared" si="24"/>
        <v>2022</v>
      </c>
      <c r="B750" s="821">
        <v>44595</v>
      </c>
      <c r="C750">
        <v>2.14</v>
      </c>
      <c r="D750">
        <f t="shared" si="25"/>
        <v>0</v>
      </c>
    </row>
    <row r="751" spans="1:4" x14ac:dyDescent="0.55000000000000004">
      <c r="A751">
        <f t="shared" si="24"/>
        <v>2022</v>
      </c>
      <c r="B751" s="821">
        <v>44594</v>
      </c>
      <c r="C751">
        <v>2.11</v>
      </c>
      <c r="D751">
        <f t="shared" si="25"/>
        <v>0</v>
      </c>
    </row>
    <row r="752" spans="1:4" x14ac:dyDescent="0.55000000000000004">
      <c r="A752">
        <f t="shared" si="24"/>
        <v>2022</v>
      </c>
      <c r="B752" s="821">
        <v>44593</v>
      </c>
      <c r="C752">
        <v>2.12</v>
      </c>
      <c r="D752">
        <f t="shared" si="25"/>
        <v>0</v>
      </c>
    </row>
    <row r="753" spans="1:4" x14ac:dyDescent="0.55000000000000004">
      <c r="A753">
        <f t="shared" si="24"/>
        <v>2022</v>
      </c>
      <c r="B753" s="821">
        <v>44592</v>
      </c>
      <c r="C753">
        <v>2.11</v>
      </c>
      <c r="D753">
        <f t="shared" si="25"/>
        <v>0</v>
      </c>
    </row>
    <row r="754" spans="1:4" x14ac:dyDescent="0.55000000000000004">
      <c r="A754">
        <f t="shared" si="24"/>
        <v>2022</v>
      </c>
      <c r="B754" s="821">
        <v>44589</v>
      </c>
      <c r="C754">
        <v>2.0699999999999998</v>
      </c>
      <c r="D754">
        <f t="shared" si="25"/>
        <v>0</v>
      </c>
    </row>
    <row r="755" spans="1:4" x14ac:dyDescent="0.55000000000000004">
      <c r="A755">
        <f t="shared" si="24"/>
        <v>2022</v>
      </c>
      <c r="B755" s="821">
        <v>44588</v>
      </c>
      <c r="C755">
        <v>2.09</v>
      </c>
      <c r="D755">
        <f t="shared" si="25"/>
        <v>0</v>
      </c>
    </row>
    <row r="756" spans="1:4" x14ac:dyDescent="0.55000000000000004">
      <c r="A756">
        <f t="shared" si="24"/>
        <v>2022</v>
      </c>
      <c r="B756" s="821">
        <v>44587</v>
      </c>
      <c r="C756">
        <v>2.16</v>
      </c>
      <c r="D756">
        <f t="shared" si="25"/>
        <v>0</v>
      </c>
    </row>
    <row r="757" spans="1:4" x14ac:dyDescent="0.55000000000000004">
      <c r="A757">
        <f t="shared" si="24"/>
        <v>2022</v>
      </c>
      <c r="B757" s="821">
        <v>44586</v>
      </c>
      <c r="C757">
        <v>2.12</v>
      </c>
      <c r="D757">
        <f t="shared" si="25"/>
        <v>0</v>
      </c>
    </row>
    <row r="758" spans="1:4" x14ac:dyDescent="0.55000000000000004">
      <c r="A758">
        <f t="shared" si="24"/>
        <v>2022</v>
      </c>
      <c r="B758" s="821">
        <v>44585</v>
      </c>
      <c r="C758">
        <v>2.1</v>
      </c>
      <c r="D758">
        <f t="shared" si="25"/>
        <v>0</v>
      </c>
    </row>
    <row r="759" spans="1:4" x14ac:dyDescent="0.55000000000000004">
      <c r="A759">
        <f t="shared" si="24"/>
        <v>2022</v>
      </c>
      <c r="B759" s="821">
        <v>44582</v>
      </c>
      <c r="C759">
        <v>2.0699999999999998</v>
      </c>
      <c r="D759">
        <f t="shared" si="25"/>
        <v>0</v>
      </c>
    </row>
    <row r="760" spans="1:4" x14ac:dyDescent="0.55000000000000004">
      <c r="A760">
        <f t="shared" si="24"/>
        <v>2022</v>
      </c>
      <c r="B760" s="821">
        <v>44581</v>
      </c>
      <c r="C760">
        <v>2.14</v>
      </c>
      <c r="D760">
        <f t="shared" si="25"/>
        <v>0</v>
      </c>
    </row>
    <row r="761" spans="1:4" x14ac:dyDescent="0.55000000000000004">
      <c r="A761">
        <f t="shared" si="24"/>
        <v>2022</v>
      </c>
      <c r="B761" s="821">
        <v>44580</v>
      </c>
      <c r="C761">
        <v>2.14</v>
      </c>
      <c r="D761">
        <f t="shared" si="25"/>
        <v>0</v>
      </c>
    </row>
    <row r="762" spans="1:4" x14ac:dyDescent="0.55000000000000004">
      <c r="A762">
        <f t="shared" si="24"/>
        <v>2022</v>
      </c>
      <c r="B762" s="821">
        <v>44579</v>
      </c>
      <c r="C762">
        <v>2.1800000000000002</v>
      </c>
      <c r="D762">
        <f t="shared" si="25"/>
        <v>0</v>
      </c>
    </row>
    <row r="763" spans="1:4" x14ac:dyDescent="0.55000000000000004">
      <c r="A763">
        <f t="shared" si="24"/>
        <v>2022</v>
      </c>
      <c r="B763" s="821">
        <v>44575</v>
      </c>
      <c r="C763">
        <v>2.12</v>
      </c>
      <c r="D763">
        <f t="shared" si="25"/>
        <v>0</v>
      </c>
    </row>
    <row r="764" spans="1:4" x14ac:dyDescent="0.55000000000000004">
      <c r="A764">
        <f t="shared" si="24"/>
        <v>2022</v>
      </c>
      <c r="B764" s="821">
        <v>44574</v>
      </c>
      <c r="C764">
        <v>2.0499999999999998</v>
      </c>
      <c r="D764">
        <f t="shared" si="25"/>
        <v>0</v>
      </c>
    </row>
    <row r="765" spans="1:4" x14ac:dyDescent="0.55000000000000004">
      <c r="A765">
        <f t="shared" si="24"/>
        <v>2022</v>
      </c>
      <c r="B765" s="821">
        <v>44573</v>
      </c>
      <c r="C765">
        <v>2.08</v>
      </c>
      <c r="D765">
        <f t="shared" si="25"/>
        <v>0</v>
      </c>
    </row>
    <row r="766" spans="1:4" x14ac:dyDescent="0.55000000000000004">
      <c r="A766">
        <f t="shared" si="24"/>
        <v>2022</v>
      </c>
      <c r="B766" s="821">
        <v>44572</v>
      </c>
      <c r="C766">
        <v>2.08</v>
      </c>
      <c r="D766">
        <f t="shared" si="25"/>
        <v>0</v>
      </c>
    </row>
    <row r="767" spans="1:4" x14ac:dyDescent="0.55000000000000004">
      <c r="A767">
        <f t="shared" si="24"/>
        <v>2022</v>
      </c>
      <c r="B767" s="821">
        <v>44571</v>
      </c>
      <c r="C767">
        <v>2.11</v>
      </c>
      <c r="D767">
        <f t="shared" si="25"/>
        <v>0</v>
      </c>
    </row>
    <row r="768" spans="1:4" x14ac:dyDescent="0.55000000000000004">
      <c r="A768">
        <f t="shared" si="24"/>
        <v>2022</v>
      </c>
      <c r="B768" s="821">
        <v>44568</v>
      </c>
      <c r="C768">
        <v>2.11</v>
      </c>
      <c r="D768">
        <f t="shared" si="25"/>
        <v>0</v>
      </c>
    </row>
    <row r="769" spans="1:4" x14ac:dyDescent="0.55000000000000004">
      <c r="A769">
        <f t="shared" si="24"/>
        <v>2022</v>
      </c>
      <c r="B769" s="821">
        <v>44567</v>
      </c>
      <c r="C769">
        <v>2.09</v>
      </c>
      <c r="D769">
        <f t="shared" si="25"/>
        <v>0</v>
      </c>
    </row>
    <row r="770" spans="1:4" x14ac:dyDescent="0.55000000000000004">
      <c r="A770">
        <f t="shared" si="24"/>
        <v>2022</v>
      </c>
      <c r="B770" s="821">
        <v>44566</v>
      </c>
      <c r="C770">
        <v>2.09</v>
      </c>
      <c r="D770">
        <f t="shared" si="25"/>
        <v>0</v>
      </c>
    </row>
    <row r="771" spans="1:4" x14ac:dyDescent="0.55000000000000004">
      <c r="A771">
        <f t="shared" si="24"/>
        <v>2022</v>
      </c>
      <c r="B771" s="821">
        <v>44565</v>
      </c>
      <c r="C771">
        <v>2.0699999999999998</v>
      </c>
      <c r="D771">
        <f t="shared" si="25"/>
        <v>0</v>
      </c>
    </row>
    <row r="772" spans="1:4" x14ac:dyDescent="0.55000000000000004">
      <c r="A772">
        <f t="shared" ref="A772:A835" si="26">YEAR(B772)</f>
        <v>2022</v>
      </c>
      <c r="B772" s="821">
        <v>44564</v>
      </c>
      <c r="C772">
        <v>2.0099999999999998</v>
      </c>
      <c r="D772">
        <f t="shared" ref="D772:D835" si="27">IF(C772&gt;4,1,0)</f>
        <v>0</v>
      </c>
    </row>
    <row r="773" spans="1:4" x14ac:dyDescent="0.55000000000000004">
      <c r="A773">
        <f t="shared" si="26"/>
        <v>2021</v>
      </c>
      <c r="B773" s="821">
        <v>44561</v>
      </c>
      <c r="C773">
        <v>1.9</v>
      </c>
      <c r="D773">
        <f t="shared" si="27"/>
        <v>0</v>
      </c>
    </row>
    <row r="774" spans="1:4" x14ac:dyDescent="0.55000000000000004">
      <c r="A774">
        <f t="shared" si="26"/>
        <v>2021</v>
      </c>
      <c r="B774" s="821">
        <v>44560</v>
      </c>
      <c r="C774">
        <v>1.93</v>
      </c>
      <c r="D774">
        <f t="shared" si="27"/>
        <v>0</v>
      </c>
    </row>
    <row r="775" spans="1:4" x14ac:dyDescent="0.55000000000000004">
      <c r="A775">
        <f t="shared" si="26"/>
        <v>2021</v>
      </c>
      <c r="B775" s="821">
        <v>44559</v>
      </c>
      <c r="C775">
        <v>1.96</v>
      </c>
      <c r="D775">
        <f t="shared" si="27"/>
        <v>0</v>
      </c>
    </row>
    <row r="776" spans="1:4" x14ac:dyDescent="0.55000000000000004">
      <c r="A776">
        <f t="shared" si="26"/>
        <v>2021</v>
      </c>
      <c r="B776" s="821">
        <v>44558</v>
      </c>
      <c r="C776">
        <v>1.9</v>
      </c>
      <c r="D776">
        <f t="shared" si="27"/>
        <v>0</v>
      </c>
    </row>
    <row r="777" spans="1:4" x14ac:dyDescent="0.55000000000000004">
      <c r="A777">
        <f t="shared" si="26"/>
        <v>2021</v>
      </c>
      <c r="B777" s="821">
        <v>44557</v>
      </c>
      <c r="C777">
        <v>1.88</v>
      </c>
      <c r="D777">
        <f t="shared" si="27"/>
        <v>0</v>
      </c>
    </row>
    <row r="778" spans="1:4" x14ac:dyDescent="0.55000000000000004">
      <c r="A778">
        <f t="shared" si="26"/>
        <v>2021</v>
      </c>
      <c r="B778" s="821">
        <v>44553</v>
      </c>
      <c r="C778">
        <v>1.91</v>
      </c>
      <c r="D778">
        <f t="shared" si="27"/>
        <v>0</v>
      </c>
    </row>
    <row r="779" spans="1:4" x14ac:dyDescent="0.55000000000000004">
      <c r="A779">
        <f t="shared" si="26"/>
        <v>2021</v>
      </c>
      <c r="B779" s="821">
        <v>44552</v>
      </c>
      <c r="C779">
        <v>1.86</v>
      </c>
      <c r="D779">
        <f t="shared" si="27"/>
        <v>0</v>
      </c>
    </row>
    <row r="780" spans="1:4" x14ac:dyDescent="0.55000000000000004">
      <c r="A780">
        <f t="shared" si="26"/>
        <v>2021</v>
      </c>
      <c r="B780" s="821">
        <v>44551</v>
      </c>
      <c r="C780">
        <v>1.89</v>
      </c>
      <c r="D780">
        <f t="shared" si="27"/>
        <v>0</v>
      </c>
    </row>
    <row r="781" spans="1:4" x14ac:dyDescent="0.55000000000000004">
      <c r="A781">
        <f t="shared" si="26"/>
        <v>2021</v>
      </c>
      <c r="B781" s="821">
        <v>44550</v>
      </c>
      <c r="C781">
        <v>1.85</v>
      </c>
      <c r="D781">
        <f t="shared" si="27"/>
        <v>0</v>
      </c>
    </row>
    <row r="782" spans="1:4" x14ac:dyDescent="0.55000000000000004">
      <c r="A782">
        <f t="shared" si="26"/>
        <v>2021</v>
      </c>
      <c r="B782" s="821">
        <v>44547</v>
      </c>
      <c r="C782">
        <v>1.82</v>
      </c>
      <c r="D782">
        <f t="shared" si="27"/>
        <v>0</v>
      </c>
    </row>
    <row r="783" spans="1:4" x14ac:dyDescent="0.55000000000000004">
      <c r="A783">
        <f t="shared" si="26"/>
        <v>2021</v>
      </c>
      <c r="B783" s="821">
        <v>44546</v>
      </c>
      <c r="C783">
        <v>1.87</v>
      </c>
      <c r="D783">
        <f t="shared" si="27"/>
        <v>0</v>
      </c>
    </row>
    <row r="784" spans="1:4" x14ac:dyDescent="0.55000000000000004">
      <c r="A784">
        <f t="shared" si="26"/>
        <v>2021</v>
      </c>
      <c r="B784" s="821">
        <v>44545</v>
      </c>
      <c r="C784">
        <v>1.86</v>
      </c>
      <c r="D784">
        <f t="shared" si="27"/>
        <v>0</v>
      </c>
    </row>
    <row r="785" spans="1:4" x14ac:dyDescent="0.55000000000000004">
      <c r="A785">
        <f t="shared" si="26"/>
        <v>2021</v>
      </c>
      <c r="B785" s="821">
        <v>44544</v>
      </c>
      <c r="C785">
        <v>1.82</v>
      </c>
      <c r="D785">
        <f t="shared" si="27"/>
        <v>0</v>
      </c>
    </row>
    <row r="786" spans="1:4" x14ac:dyDescent="0.55000000000000004">
      <c r="A786">
        <f t="shared" si="26"/>
        <v>2021</v>
      </c>
      <c r="B786" s="821">
        <v>44543</v>
      </c>
      <c r="C786">
        <v>1.81</v>
      </c>
      <c r="D786">
        <f t="shared" si="27"/>
        <v>0</v>
      </c>
    </row>
    <row r="787" spans="1:4" x14ac:dyDescent="0.55000000000000004">
      <c r="A787">
        <f t="shared" si="26"/>
        <v>2021</v>
      </c>
      <c r="B787" s="821">
        <v>44540</v>
      </c>
      <c r="C787">
        <v>1.88</v>
      </c>
      <c r="D787">
        <f t="shared" si="27"/>
        <v>0</v>
      </c>
    </row>
    <row r="788" spans="1:4" x14ac:dyDescent="0.55000000000000004">
      <c r="A788">
        <f t="shared" si="26"/>
        <v>2021</v>
      </c>
      <c r="B788" s="821">
        <v>44539</v>
      </c>
      <c r="C788">
        <v>1.87</v>
      </c>
      <c r="D788">
        <f t="shared" si="27"/>
        <v>0</v>
      </c>
    </row>
    <row r="789" spans="1:4" x14ac:dyDescent="0.55000000000000004">
      <c r="A789">
        <f t="shared" si="26"/>
        <v>2021</v>
      </c>
      <c r="B789" s="821">
        <v>44538</v>
      </c>
      <c r="C789">
        <v>1.87</v>
      </c>
      <c r="D789">
        <f t="shared" si="27"/>
        <v>0</v>
      </c>
    </row>
    <row r="790" spans="1:4" x14ac:dyDescent="0.55000000000000004">
      <c r="A790">
        <f t="shared" si="26"/>
        <v>2021</v>
      </c>
      <c r="B790" s="821">
        <v>44537</v>
      </c>
      <c r="C790">
        <v>1.8</v>
      </c>
      <c r="D790">
        <f t="shared" si="27"/>
        <v>0</v>
      </c>
    </row>
    <row r="791" spans="1:4" x14ac:dyDescent="0.55000000000000004">
      <c r="A791">
        <f t="shared" si="26"/>
        <v>2021</v>
      </c>
      <c r="B791" s="821">
        <v>44536</v>
      </c>
      <c r="C791">
        <v>1.75</v>
      </c>
      <c r="D791">
        <f t="shared" si="27"/>
        <v>0</v>
      </c>
    </row>
    <row r="792" spans="1:4" x14ac:dyDescent="0.55000000000000004">
      <c r="A792">
        <f t="shared" si="26"/>
        <v>2021</v>
      </c>
      <c r="B792" s="821">
        <v>44533</v>
      </c>
      <c r="C792">
        <v>1.69</v>
      </c>
      <c r="D792">
        <f t="shared" si="27"/>
        <v>0</v>
      </c>
    </row>
    <row r="793" spans="1:4" x14ac:dyDescent="0.55000000000000004">
      <c r="A793">
        <f t="shared" si="26"/>
        <v>2021</v>
      </c>
      <c r="B793" s="821">
        <v>44532</v>
      </c>
      <c r="C793">
        <v>1.76</v>
      </c>
      <c r="D793">
        <f t="shared" si="27"/>
        <v>0</v>
      </c>
    </row>
    <row r="794" spans="1:4" x14ac:dyDescent="0.55000000000000004">
      <c r="A794">
        <f t="shared" si="26"/>
        <v>2021</v>
      </c>
      <c r="B794" s="821">
        <v>44531</v>
      </c>
      <c r="C794">
        <v>1.77</v>
      </c>
      <c r="D794">
        <f t="shared" si="27"/>
        <v>0</v>
      </c>
    </row>
    <row r="795" spans="1:4" x14ac:dyDescent="0.55000000000000004">
      <c r="A795">
        <f t="shared" si="26"/>
        <v>2021</v>
      </c>
      <c r="B795" s="821">
        <v>44530</v>
      </c>
      <c r="C795">
        <v>1.78</v>
      </c>
      <c r="D795">
        <f t="shared" si="27"/>
        <v>0</v>
      </c>
    </row>
    <row r="796" spans="1:4" x14ac:dyDescent="0.55000000000000004">
      <c r="A796">
        <f t="shared" si="26"/>
        <v>2021</v>
      </c>
      <c r="B796" s="821">
        <v>44529</v>
      </c>
      <c r="C796">
        <v>1.87</v>
      </c>
      <c r="D796">
        <f t="shared" si="27"/>
        <v>0</v>
      </c>
    </row>
    <row r="797" spans="1:4" x14ac:dyDescent="0.55000000000000004">
      <c r="A797">
        <f t="shared" si="26"/>
        <v>2021</v>
      </c>
      <c r="B797" s="821">
        <v>44526</v>
      </c>
      <c r="C797">
        <v>1.83</v>
      </c>
      <c r="D797">
        <f t="shared" si="27"/>
        <v>0</v>
      </c>
    </row>
    <row r="798" spans="1:4" x14ac:dyDescent="0.55000000000000004">
      <c r="A798">
        <f t="shared" si="26"/>
        <v>2021</v>
      </c>
      <c r="B798" s="821">
        <v>44524</v>
      </c>
      <c r="C798">
        <v>1.96</v>
      </c>
      <c r="D798">
        <f t="shared" si="27"/>
        <v>0</v>
      </c>
    </row>
    <row r="799" spans="1:4" x14ac:dyDescent="0.55000000000000004">
      <c r="A799">
        <f t="shared" si="26"/>
        <v>2021</v>
      </c>
      <c r="B799" s="821">
        <v>44523</v>
      </c>
      <c r="C799">
        <v>2.02</v>
      </c>
      <c r="D799">
        <f t="shared" si="27"/>
        <v>0</v>
      </c>
    </row>
    <row r="800" spans="1:4" x14ac:dyDescent="0.55000000000000004">
      <c r="A800">
        <f t="shared" si="26"/>
        <v>2021</v>
      </c>
      <c r="B800" s="821">
        <v>44522</v>
      </c>
      <c r="C800">
        <v>1.98</v>
      </c>
      <c r="D800">
        <f t="shared" si="27"/>
        <v>0</v>
      </c>
    </row>
    <row r="801" spans="1:4" x14ac:dyDescent="0.55000000000000004">
      <c r="A801">
        <f t="shared" si="26"/>
        <v>2021</v>
      </c>
      <c r="B801" s="821">
        <v>44519</v>
      </c>
      <c r="C801">
        <v>1.91</v>
      </c>
      <c r="D801">
        <f t="shared" si="27"/>
        <v>0</v>
      </c>
    </row>
    <row r="802" spans="1:4" x14ac:dyDescent="0.55000000000000004">
      <c r="A802">
        <f t="shared" si="26"/>
        <v>2021</v>
      </c>
      <c r="B802" s="821">
        <v>44518</v>
      </c>
      <c r="C802">
        <v>1.97</v>
      </c>
      <c r="D802">
        <f t="shared" si="27"/>
        <v>0</v>
      </c>
    </row>
    <row r="803" spans="1:4" x14ac:dyDescent="0.55000000000000004">
      <c r="A803">
        <f t="shared" si="26"/>
        <v>2021</v>
      </c>
      <c r="B803" s="821">
        <v>44517</v>
      </c>
      <c r="C803">
        <v>2</v>
      </c>
      <c r="D803">
        <f t="shared" si="27"/>
        <v>0</v>
      </c>
    </row>
    <row r="804" spans="1:4" x14ac:dyDescent="0.55000000000000004">
      <c r="A804">
        <f t="shared" si="26"/>
        <v>2021</v>
      </c>
      <c r="B804" s="821">
        <v>44516</v>
      </c>
      <c r="C804">
        <v>2.02</v>
      </c>
      <c r="D804">
        <f t="shared" si="27"/>
        <v>0</v>
      </c>
    </row>
    <row r="805" spans="1:4" x14ac:dyDescent="0.55000000000000004">
      <c r="A805">
        <f t="shared" si="26"/>
        <v>2021</v>
      </c>
      <c r="B805" s="821">
        <v>44515</v>
      </c>
      <c r="C805">
        <v>2.0099999999999998</v>
      </c>
      <c r="D805">
        <f t="shared" si="27"/>
        <v>0</v>
      </c>
    </row>
    <row r="806" spans="1:4" x14ac:dyDescent="0.55000000000000004">
      <c r="A806">
        <f t="shared" si="26"/>
        <v>2021</v>
      </c>
      <c r="B806" s="821">
        <v>44512</v>
      </c>
      <c r="C806">
        <v>1.95</v>
      </c>
      <c r="D806">
        <f t="shared" si="27"/>
        <v>0</v>
      </c>
    </row>
    <row r="807" spans="1:4" x14ac:dyDescent="0.55000000000000004">
      <c r="A807">
        <f t="shared" si="26"/>
        <v>2021</v>
      </c>
      <c r="B807" s="821">
        <v>44510</v>
      </c>
      <c r="C807">
        <v>1.92</v>
      </c>
      <c r="D807">
        <f t="shared" si="27"/>
        <v>0</v>
      </c>
    </row>
    <row r="808" spans="1:4" x14ac:dyDescent="0.55000000000000004">
      <c r="A808">
        <f t="shared" si="26"/>
        <v>2021</v>
      </c>
      <c r="B808" s="821">
        <v>44509</v>
      </c>
      <c r="C808">
        <v>1.83</v>
      </c>
      <c r="D808">
        <f t="shared" si="27"/>
        <v>0</v>
      </c>
    </row>
    <row r="809" spans="1:4" x14ac:dyDescent="0.55000000000000004">
      <c r="A809">
        <f t="shared" si="26"/>
        <v>2021</v>
      </c>
      <c r="B809" s="821">
        <v>44508</v>
      </c>
      <c r="C809">
        <v>1.89</v>
      </c>
      <c r="D809">
        <f t="shared" si="27"/>
        <v>0</v>
      </c>
    </row>
    <row r="810" spans="1:4" x14ac:dyDescent="0.55000000000000004">
      <c r="A810">
        <f t="shared" si="26"/>
        <v>2021</v>
      </c>
      <c r="B810" s="821">
        <v>44505</v>
      </c>
      <c r="C810">
        <v>1.87</v>
      </c>
      <c r="D810">
        <f t="shared" si="27"/>
        <v>0</v>
      </c>
    </row>
    <row r="811" spans="1:4" x14ac:dyDescent="0.55000000000000004">
      <c r="A811">
        <f t="shared" si="26"/>
        <v>2021</v>
      </c>
      <c r="B811" s="821">
        <v>44504</v>
      </c>
      <c r="C811">
        <v>1.96</v>
      </c>
      <c r="D811">
        <f t="shared" si="27"/>
        <v>0</v>
      </c>
    </row>
    <row r="812" spans="1:4" x14ac:dyDescent="0.55000000000000004">
      <c r="A812">
        <f t="shared" si="26"/>
        <v>2021</v>
      </c>
      <c r="B812" s="821">
        <v>44503</v>
      </c>
      <c r="C812">
        <v>2</v>
      </c>
      <c r="D812">
        <f t="shared" si="27"/>
        <v>0</v>
      </c>
    </row>
    <row r="813" spans="1:4" x14ac:dyDescent="0.55000000000000004">
      <c r="A813">
        <f t="shared" si="26"/>
        <v>2021</v>
      </c>
      <c r="B813" s="821">
        <v>44502</v>
      </c>
      <c r="C813">
        <v>1.96</v>
      </c>
      <c r="D813">
        <f t="shared" si="27"/>
        <v>0</v>
      </c>
    </row>
    <row r="814" spans="1:4" x14ac:dyDescent="0.55000000000000004">
      <c r="A814">
        <f t="shared" si="26"/>
        <v>2021</v>
      </c>
      <c r="B814" s="821">
        <v>44501</v>
      </c>
      <c r="C814">
        <v>1.98</v>
      </c>
      <c r="D814">
        <f t="shared" si="27"/>
        <v>0</v>
      </c>
    </row>
    <row r="815" spans="1:4" x14ac:dyDescent="0.55000000000000004">
      <c r="A815">
        <f t="shared" si="26"/>
        <v>2021</v>
      </c>
      <c r="B815" s="821">
        <v>44498</v>
      </c>
      <c r="C815">
        <v>1.93</v>
      </c>
      <c r="D815">
        <f t="shared" si="27"/>
        <v>0</v>
      </c>
    </row>
    <row r="816" spans="1:4" x14ac:dyDescent="0.55000000000000004">
      <c r="A816">
        <f t="shared" si="26"/>
        <v>2021</v>
      </c>
      <c r="B816" s="821">
        <v>44497</v>
      </c>
      <c r="C816">
        <v>1.96</v>
      </c>
      <c r="D816">
        <f t="shared" si="27"/>
        <v>0</v>
      </c>
    </row>
    <row r="817" spans="1:4" x14ac:dyDescent="0.55000000000000004">
      <c r="A817">
        <f t="shared" si="26"/>
        <v>2021</v>
      </c>
      <c r="B817" s="821">
        <v>44496</v>
      </c>
      <c r="C817">
        <v>1.95</v>
      </c>
      <c r="D817">
        <f t="shared" si="27"/>
        <v>0</v>
      </c>
    </row>
    <row r="818" spans="1:4" x14ac:dyDescent="0.55000000000000004">
      <c r="A818">
        <f t="shared" si="26"/>
        <v>2021</v>
      </c>
      <c r="B818" s="821">
        <v>44495</v>
      </c>
      <c r="C818">
        <v>2.0499999999999998</v>
      </c>
      <c r="D818">
        <f t="shared" si="27"/>
        <v>0</v>
      </c>
    </row>
    <row r="819" spans="1:4" x14ac:dyDescent="0.55000000000000004">
      <c r="A819">
        <f t="shared" si="26"/>
        <v>2021</v>
      </c>
      <c r="B819" s="821">
        <v>44494</v>
      </c>
      <c r="C819">
        <v>2.09</v>
      </c>
      <c r="D819">
        <f t="shared" si="27"/>
        <v>0</v>
      </c>
    </row>
    <row r="820" spans="1:4" x14ac:dyDescent="0.55000000000000004">
      <c r="A820">
        <f t="shared" si="26"/>
        <v>2021</v>
      </c>
      <c r="B820" s="821">
        <v>44491</v>
      </c>
      <c r="C820">
        <v>2.08</v>
      </c>
      <c r="D820">
        <f t="shared" si="27"/>
        <v>0</v>
      </c>
    </row>
    <row r="821" spans="1:4" x14ac:dyDescent="0.55000000000000004">
      <c r="A821">
        <f t="shared" si="26"/>
        <v>2021</v>
      </c>
      <c r="B821" s="821">
        <v>44490</v>
      </c>
      <c r="C821">
        <v>2.13</v>
      </c>
      <c r="D821">
        <f t="shared" si="27"/>
        <v>0</v>
      </c>
    </row>
    <row r="822" spans="1:4" x14ac:dyDescent="0.55000000000000004">
      <c r="A822">
        <f t="shared" si="26"/>
        <v>2021</v>
      </c>
      <c r="B822" s="821">
        <v>44489</v>
      </c>
      <c r="C822">
        <v>2.12</v>
      </c>
      <c r="D822">
        <f t="shared" si="27"/>
        <v>0</v>
      </c>
    </row>
    <row r="823" spans="1:4" x14ac:dyDescent="0.55000000000000004">
      <c r="A823">
        <f t="shared" si="26"/>
        <v>2021</v>
      </c>
      <c r="B823" s="821">
        <v>44488</v>
      </c>
      <c r="C823">
        <v>2.09</v>
      </c>
      <c r="D823">
        <f t="shared" si="27"/>
        <v>0</v>
      </c>
    </row>
    <row r="824" spans="1:4" x14ac:dyDescent="0.55000000000000004">
      <c r="A824">
        <f t="shared" si="26"/>
        <v>2021</v>
      </c>
      <c r="B824" s="821">
        <v>44487</v>
      </c>
      <c r="C824">
        <v>2.0099999999999998</v>
      </c>
      <c r="D824">
        <f t="shared" si="27"/>
        <v>0</v>
      </c>
    </row>
    <row r="825" spans="1:4" x14ac:dyDescent="0.55000000000000004">
      <c r="A825">
        <f t="shared" si="26"/>
        <v>2021</v>
      </c>
      <c r="B825" s="821">
        <v>44484</v>
      </c>
      <c r="C825">
        <v>2.0499999999999998</v>
      </c>
      <c r="D825">
        <f t="shared" si="27"/>
        <v>0</v>
      </c>
    </row>
    <row r="826" spans="1:4" x14ac:dyDescent="0.55000000000000004">
      <c r="A826">
        <f t="shared" si="26"/>
        <v>2021</v>
      </c>
      <c r="B826" s="821">
        <v>44483</v>
      </c>
      <c r="C826">
        <v>2.02</v>
      </c>
      <c r="D826">
        <f t="shared" si="27"/>
        <v>0</v>
      </c>
    </row>
    <row r="827" spans="1:4" x14ac:dyDescent="0.55000000000000004">
      <c r="A827">
        <f t="shared" si="26"/>
        <v>2021</v>
      </c>
      <c r="B827" s="821">
        <v>44482</v>
      </c>
      <c r="C827">
        <v>2.0499999999999998</v>
      </c>
      <c r="D827">
        <f t="shared" si="27"/>
        <v>0</v>
      </c>
    </row>
    <row r="828" spans="1:4" x14ac:dyDescent="0.55000000000000004">
      <c r="A828">
        <f t="shared" si="26"/>
        <v>2021</v>
      </c>
      <c r="B828" s="821">
        <v>44481</v>
      </c>
      <c r="C828">
        <v>2.1</v>
      </c>
      <c r="D828">
        <f t="shared" si="27"/>
        <v>0</v>
      </c>
    </row>
    <row r="829" spans="1:4" x14ac:dyDescent="0.55000000000000004">
      <c r="A829">
        <f t="shared" si="26"/>
        <v>2021</v>
      </c>
      <c r="B829" s="821">
        <v>44477</v>
      </c>
      <c r="C829">
        <v>2.16</v>
      </c>
      <c r="D829">
        <f t="shared" si="27"/>
        <v>0</v>
      </c>
    </row>
    <row r="830" spans="1:4" x14ac:dyDescent="0.55000000000000004">
      <c r="A830">
        <f t="shared" si="26"/>
        <v>2021</v>
      </c>
      <c r="B830" s="821">
        <v>44476</v>
      </c>
      <c r="C830">
        <v>2.13</v>
      </c>
      <c r="D830">
        <f t="shared" si="27"/>
        <v>0</v>
      </c>
    </row>
    <row r="831" spans="1:4" x14ac:dyDescent="0.55000000000000004">
      <c r="A831">
        <f t="shared" si="26"/>
        <v>2021</v>
      </c>
      <c r="B831" s="821">
        <v>44475</v>
      </c>
      <c r="C831">
        <v>2.08</v>
      </c>
      <c r="D831">
        <f t="shared" si="27"/>
        <v>0</v>
      </c>
    </row>
    <row r="832" spans="1:4" x14ac:dyDescent="0.55000000000000004">
      <c r="A832">
        <f t="shared" si="26"/>
        <v>2021</v>
      </c>
      <c r="B832" s="821">
        <v>44474</v>
      </c>
      <c r="C832">
        <v>2.1</v>
      </c>
      <c r="D832">
        <f t="shared" si="27"/>
        <v>0</v>
      </c>
    </row>
    <row r="833" spans="1:4" x14ac:dyDescent="0.55000000000000004">
      <c r="A833">
        <f t="shared" si="26"/>
        <v>2021</v>
      </c>
      <c r="B833" s="821">
        <v>44473</v>
      </c>
      <c r="C833">
        <v>2.0499999999999998</v>
      </c>
      <c r="D833">
        <f t="shared" si="27"/>
        <v>0</v>
      </c>
    </row>
    <row r="834" spans="1:4" x14ac:dyDescent="0.55000000000000004">
      <c r="A834">
        <f t="shared" si="26"/>
        <v>2021</v>
      </c>
      <c r="B834" s="821">
        <v>44470</v>
      </c>
      <c r="C834">
        <v>2.04</v>
      </c>
      <c r="D834">
        <f t="shared" si="27"/>
        <v>0</v>
      </c>
    </row>
    <row r="835" spans="1:4" x14ac:dyDescent="0.55000000000000004">
      <c r="A835">
        <f t="shared" si="26"/>
        <v>2021</v>
      </c>
      <c r="B835" s="821">
        <v>44469</v>
      </c>
      <c r="C835">
        <v>2.08</v>
      </c>
      <c r="D835">
        <f t="shared" si="27"/>
        <v>0</v>
      </c>
    </row>
    <row r="836" spans="1:4" x14ac:dyDescent="0.55000000000000004">
      <c r="A836">
        <f t="shared" ref="A836:A899" si="28">YEAR(B836)</f>
        <v>2021</v>
      </c>
      <c r="B836" s="821">
        <v>44468</v>
      </c>
      <c r="C836">
        <v>2.09</v>
      </c>
      <c r="D836">
        <f t="shared" ref="D836:D899" si="29">IF(C836&gt;4,1,0)</f>
        <v>0</v>
      </c>
    </row>
    <row r="837" spans="1:4" x14ac:dyDescent="0.55000000000000004">
      <c r="A837">
        <f t="shared" si="28"/>
        <v>2021</v>
      </c>
      <c r="B837" s="821">
        <v>44467</v>
      </c>
      <c r="C837">
        <v>2.0699999999999998</v>
      </c>
      <c r="D837">
        <f t="shared" si="29"/>
        <v>0</v>
      </c>
    </row>
    <row r="838" spans="1:4" x14ac:dyDescent="0.55000000000000004">
      <c r="A838">
        <f t="shared" si="28"/>
        <v>2021</v>
      </c>
      <c r="B838" s="821">
        <v>44466</v>
      </c>
      <c r="C838">
        <v>1.99</v>
      </c>
      <c r="D838">
        <f t="shared" si="29"/>
        <v>0</v>
      </c>
    </row>
    <row r="839" spans="1:4" x14ac:dyDescent="0.55000000000000004">
      <c r="A839">
        <f t="shared" si="28"/>
        <v>2021</v>
      </c>
      <c r="B839" s="821">
        <v>44463</v>
      </c>
      <c r="C839">
        <v>1.99</v>
      </c>
      <c r="D839">
        <f t="shared" si="29"/>
        <v>0</v>
      </c>
    </row>
    <row r="840" spans="1:4" x14ac:dyDescent="0.55000000000000004">
      <c r="A840">
        <f t="shared" si="28"/>
        <v>2021</v>
      </c>
      <c r="B840" s="821">
        <v>44462</v>
      </c>
      <c r="C840">
        <v>1.92</v>
      </c>
      <c r="D840">
        <f t="shared" si="29"/>
        <v>0</v>
      </c>
    </row>
    <row r="841" spans="1:4" x14ac:dyDescent="0.55000000000000004">
      <c r="A841">
        <f t="shared" si="28"/>
        <v>2021</v>
      </c>
      <c r="B841" s="821">
        <v>44461</v>
      </c>
      <c r="C841">
        <v>1.84</v>
      </c>
      <c r="D841">
        <f t="shared" si="29"/>
        <v>0</v>
      </c>
    </row>
    <row r="842" spans="1:4" x14ac:dyDescent="0.55000000000000004">
      <c r="A842">
        <f t="shared" si="28"/>
        <v>2021</v>
      </c>
      <c r="B842" s="821">
        <v>44460</v>
      </c>
      <c r="C842">
        <v>1.86</v>
      </c>
      <c r="D842">
        <f t="shared" si="29"/>
        <v>0</v>
      </c>
    </row>
    <row r="843" spans="1:4" x14ac:dyDescent="0.55000000000000004">
      <c r="A843">
        <f t="shared" si="28"/>
        <v>2021</v>
      </c>
      <c r="B843" s="821">
        <v>44459</v>
      </c>
      <c r="C843">
        <v>1.85</v>
      </c>
      <c r="D843">
        <f t="shared" si="29"/>
        <v>0</v>
      </c>
    </row>
    <row r="844" spans="1:4" x14ac:dyDescent="0.55000000000000004">
      <c r="A844">
        <f t="shared" si="28"/>
        <v>2021</v>
      </c>
      <c r="B844" s="821">
        <v>44456</v>
      </c>
      <c r="C844">
        <v>1.91</v>
      </c>
      <c r="D844">
        <f t="shared" si="29"/>
        <v>0</v>
      </c>
    </row>
    <row r="845" spans="1:4" x14ac:dyDescent="0.55000000000000004">
      <c r="A845">
        <f t="shared" si="28"/>
        <v>2021</v>
      </c>
      <c r="B845" s="821">
        <v>44455</v>
      </c>
      <c r="C845">
        <v>1.88</v>
      </c>
      <c r="D845">
        <f t="shared" si="29"/>
        <v>0</v>
      </c>
    </row>
    <row r="846" spans="1:4" x14ac:dyDescent="0.55000000000000004">
      <c r="A846">
        <f t="shared" si="28"/>
        <v>2021</v>
      </c>
      <c r="B846" s="821">
        <v>44454</v>
      </c>
      <c r="C846">
        <v>1.87</v>
      </c>
      <c r="D846">
        <f t="shared" si="29"/>
        <v>0</v>
      </c>
    </row>
    <row r="847" spans="1:4" x14ac:dyDescent="0.55000000000000004">
      <c r="A847">
        <f t="shared" si="28"/>
        <v>2021</v>
      </c>
      <c r="B847" s="821">
        <v>44453</v>
      </c>
      <c r="C847">
        <v>1.85</v>
      </c>
      <c r="D847">
        <f t="shared" si="29"/>
        <v>0</v>
      </c>
    </row>
    <row r="848" spans="1:4" x14ac:dyDescent="0.55000000000000004">
      <c r="A848">
        <f t="shared" si="28"/>
        <v>2021</v>
      </c>
      <c r="B848" s="821">
        <v>44452</v>
      </c>
      <c r="C848">
        <v>1.91</v>
      </c>
      <c r="D848">
        <f t="shared" si="29"/>
        <v>0</v>
      </c>
    </row>
    <row r="849" spans="1:4" x14ac:dyDescent="0.55000000000000004">
      <c r="A849">
        <f t="shared" si="28"/>
        <v>2021</v>
      </c>
      <c r="B849" s="821">
        <v>44449</v>
      </c>
      <c r="C849">
        <v>1.94</v>
      </c>
      <c r="D849">
        <f t="shared" si="29"/>
        <v>0</v>
      </c>
    </row>
    <row r="850" spans="1:4" x14ac:dyDescent="0.55000000000000004">
      <c r="A850">
        <f t="shared" si="28"/>
        <v>2021</v>
      </c>
      <c r="B850" s="821">
        <v>44448</v>
      </c>
      <c r="C850">
        <v>1.9</v>
      </c>
      <c r="D850">
        <f t="shared" si="29"/>
        <v>0</v>
      </c>
    </row>
    <row r="851" spans="1:4" x14ac:dyDescent="0.55000000000000004">
      <c r="A851">
        <f t="shared" si="28"/>
        <v>2021</v>
      </c>
      <c r="B851" s="821">
        <v>44447</v>
      </c>
      <c r="C851">
        <v>1.95</v>
      </c>
      <c r="D851">
        <f t="shared" si="29"/>
        <v>0</v>
      </c>
    </row>
    <row r="852" spans="1:4" x14ac:dyDescent="0.55000000000000004">
      <c r="A852">
        <f t="shared" si="28"/>
        <v>2021</v>
      </c>
      <c r="B852" s="821">
        <v>44446</v>
      </c>
      <c r="C852">
        <v>1.99</v>
      </c>
      <c r="D852">
        <f t="shared" si="29"/>
        <v>0</v>
      </c>
    </row>
    <row r="853" spans="1:4" x14ac:dyDescent="0.55000000000000004">
      <c r="A853">
        <f t="shared" si="28"/>
        <v>2021</v>
      </c>
      <c r="B853" s="821">
        <v>44442</v>
      </c>
      <c r="C853">
        <v>1.94</v>
      </c>
      <c r="D853">
        <f t="shared" si="29"/>
        <v>0</v>
      </c>
    </row>
    <row r="854" spans="1:4" x14ac:dyDescent="0.55000000000000004">
      <c r="A854">
        <f t="shared" si="28"/>
        <v>2021</v>
      </c>
      <c r="B854" s="821">
        <v>44441</v>
      </c>
      <c r="C854">
        <v>1.9</v>
      </c>
      <c r="D854">
        <f t="shared" si="29"/>
        <v>0</v>
      </c>
    </row>
    <row r="855" spans="1:4" x14ac:dyDescent="0.55000000000000004">
      <c r="A855">
        <f t="shared" si="28"/>
        <v>2021</v>
      </c>
      <c r="B855" s="821">
        <v>44440</v>
      </c>
      <c r="C855">
        <v>1.92</v>
      </c>
      <c r="D855">
        <f t="shared" si="29"/>
        <v>0</v>
      </c>
    </row>
    <row r="856" spans="1:4" x14ac:dyDescent="0.55000000000000004">
      <c r="A856">
        <f t="shared" si="28"/>
        <v>2021</v>
      </c>
      <c r="B856" s="821">
        <v>44439</v>
      </c>
      <c r="C856">
        <v>1.92</v>
      </c>
      <c r="D856">
        <f t="shared" si="29"/>
        <v>0</v>
      </c>
    </row>
    <row r="857" spans="1:4" x14ac:dyDescent="0.55000000000000004">
      <c r="A857">
        <f t="shared" si="28"/>
        <v>2021</v>
      </c>
      <c r="B857" s="821">
        <v>44438</v>
      </c>
      <c r="C857">
        <v>1.9</v>
      </c>
      <c r="D857">
        <f t="shared" si="29"/>
        <v>0</v>
      </c>
    </row>
    <row r="858" spans="1:4" x14ac:dyDescent="0.55000000000000004">
      <c r="A858">
        <f t="shared" si="28"/>
        <v>2021</v>
      </c>
      <c r="B858" s="821">
        <v>44435</v>
      </c>
      <c r="C858">
        <v>1.91</v>
      </c>
      <c r="D858">
        <f t="shared" si="29"/>
        <v>0</v>
      </c>
    </row>
    <row r="859" spans="1:4" x14ac:dyDescent="0.55000000000000004">
      <c r="A859">
        <f t="shared" si="28"/>
        <v>2021</v>
      </c>
      <c r="B859" s="821">
        <v>44434</v>
      </c>
      <c r="C859">
        <v>1.94</v>
      </c>
      <c r="D859">
        <f t="shared" si="29"/>
        <v>0</v>
      </c>
    </row>
    <row r="860" spans="1:4" x14ac:dyDescent="0.55000000000000004">
      <c r="A860">
        <f t="shared" si="28"/>
        <v>2021</v>
      </c>
      <c r="B860" s="821">
        <v>44433</v>
      </c>
      <c r="C860">
        <v>1.96</v>
      </c>
      <c r="D860">
        <f t="shared" si="29"/>
        <v>0</v>
      </c>
    </row>
    <row r="861" spans="1:4" x14ac:dyDescent="0.55000000000000004">
      <c r="A861">
        <f t="shared" si="28"/>
        <v>2021</v>
      </c>
      <c r="B861" s="821">
        <v>44432</v>
      </c>
      <c r="C861">
        <v>1.91</v>
      </c>
      <c r="D861">
        <f t="shared" si="29"/>
        <v>0</v>
      </c>
    </row>
    <row r="862" spans="1:4" x14ac:dyDescent="0.55000000000000004">
      <c r="A862">
        <f t="shared" si="28"/>
        <v>2021</v>
      </c>
      <c r="B862" s="821">
        <v>44431</v>
      </c>
      <c r="C862">
        <v>1.87</v>
      </c>
      <c r="D862">
        <f t="shared" si="29"/>
        <v>0</v>
      </c>
    </row>
    <row r="863" spans="1:4" x14ac:dyDescent="0.55000000000000004">
      <c r="A863">
        <f t="shared" si="28"/>
        <v>2021</v>
      </c>
      <c r="B863" s="821">
        <v>44428</v>
      </c>
      <c r="C863">
        <v>1.87</v>
      </c>
      <c r="D863">
        <f t="shared" si="29"/>
        <v>0</v>
      </c>
    </row>
    <row r="864" spans="1:4" x14ac:dyDescent="0.55000000000000004">
      <c r="A864">
        <f t="shared" si="28"/>
        <v>2021</v>
      </c>
      <c r="B864" s="821">
        <v>44427</v>
      </c>
      <c r="C864">
        <v>1.88</v>
      </c>
      <c r="D864">
        <f t="shared" si="29"/>
        <v>0</v>
      </c>
    </row>
    <row r="865" spans="1:4" x14ac:dyDescent="0.55000000000000004">
      <c r="A865">
        <f t="shared" si="28"/>
        <v>2021</v>
      </c>
      <c r="B865" s="821">
        <v>44426</v>
      </c>
      <c r="C865">
        <v>1.91</v>
      </c>
      <c r="D865">
        <f t="shared" si="29"/>
        <v>0</v>
      </c>
    </row>
    <row r="866" spans="1:4" x14ac:dyDescent="0.55000000000000004">
      <c r="A866">
        <f t="shared" si="28"/>
        <v>2021</v>
      </c>
      <c r="B866" s="821">
        <v>44425</v>
      </c>
      <c r="C866">
        <v>1.92</v>
      </c>
      <c r="D866">
        <f t="shared" si="29"/>
        <v>0</v>
      </c>
    </row>
    <row r="867" spans="1:4" x14ac:dyDescent="0.55000000000000004">
      <c r="A867">
        <f t="shared" si="28"/>
        <v>2021</v>
      </c>
      <c r="B867" s="821">
        <v>44424</v>
      </c>
      <c r="C867">
        <v>1.92</v>
      </c>
      <c r="D867">
        <f t="shared" si="29"/>
        <v>0</v>
      </c>
    </row>
    <row r="868" spans="1:4" x14ac:dyDescent="0.55000000000000004">
      <c r="A868">
        <f t="shared" si="28"/>
        <v>2021</v>
      </c>
      <c r="B868" s="821">
        <v>44421</v>
      </c>
      <c r="C868">
        <v>1.94</v>
      </c>
      <c r="D868">
        <f t="shared" si="29"/>
        <v>0</v>
      </c>
    </row>
    <row r="869" spans="1:4" x14ac:dyDescent="0.55000000000000004">
      <c r="A869">
        <f t="shared" si="28"/>
        <v>2021</v>
      </c>
      <c r="B869" s="821">
        <v>44420</v>
      </c>
      <c r="C869">
        <v>2.0299999999999998</v>
      </c>
      <c r="D869">
        <f t="shared" si="29"/>
        <v>0</v>
      </c>
    </row>
    <row r="870" spans="1:4" x14ac:dyDescent="0.55000000000000004">
      <c r="A870">
        <f t="shared" si="28"/>
        <v>2021</v>
      </c>
      <c r="B870" s="821">
        <v>44419</v>
      </c>
      <c r="C870">
        <v>1.99</v>
      </c>
      <c r="D870">
        <f t="shared" si="29"/>
        <v>0</v>
      </c>
    </row>
    <row r="871" spans="1:4" x14ac:dyDescent="0.55000000000000004">
      <c r="A871">
        <f t="shared" si="28"/>
        <v>2021</v>
      </c>
      <c r="B871" s="821">
        <v>44418</v>
      </c>
      <c r="C871">
        <v>1.99</v>
      </c>
      <c r="D871">
        <f t="shared" si="29"/>
        <v>0</v>
      </c>
    </row>
    <row r="872" spans="1:4" x14ac:dyDescent="0.55000000000000004">
      <c r="A872">
        <f t="shared" si="28"/>
        <v>2021</v>
      </c>
      <c r="B872" s="821">
        <v>44417</v>
      </c>
      <c r="C872">
        <v>1.96</v>
      </c>
      <c r="D872">
        <f t="shared" si="29"/>
        <v>0</v>
      </c>
    </row>
    <row r="873" spans="1:4" x14ac:dyDescent="0.55000000000000004">
      <c r="A873">
        <f t="shared" si="28"/>
        <v>2021</v>
      </c>
      <c r="B873" s="821">
        <v>44414</v>
      </c>
      <c r="C873">
        <v>1.94</v>
      </c>
      <c r="D873">
        <f t="shared" si="29"/>
        <v>0</v>
      </c>
    </row>
    <row r="874" spans="1:4" x14ac:dyDescent="0.55000000000000004">
      <c r="A874">
        <f t="shared" si="28"/>
        <v>2021</v>
      </c>
      <c r="B874" s="821">
        <v>44413</v>
      </c>
      <c r="C874">
        <v>1.86</v>
      </c>
      <c r="D874">
        <f t="shared" si="29"/>
        <v>0</v>
      </c>
    </row>
    <row r="875" spans="1:4" x14ac:dyDescent="0.55000000000000004">
      <c r="A875">
        <f t="shared" si="28"/>
        <v>2021</v>
      </c>
      <c r="B875" s="821">
        <v>44412</v>
      </c>
      <c r="C875">
        <v>1.83</v>
      </c>
      <c r="D875">
        <f t="shared" si="29"/>
        <v>0</v>
      </c>
    </row>
    <row r="876" spans="1:4" x14ac:dyDescent="0.55000000000000004">
      <c r="A876">
        <f t="shared" si="28"/>
        <v>2021</v>
      </c>
      <c r="B876" s="821">
        <v>44411</v>
      </c>
      <c r="C876">
        <v>1.85</v>
      </c>
      <c r="D876">
        <f t="shared" si="29"/>
        <v>0</v>
      </c>
    </row>
    <row r="877" spans="1:4" x14ac:dyDescent="0.55000000000000004">
      <c r="A877">
        <f t="shared" si="28"/>
        <v>2021</v>
      </c>
      <c r="B877" s="821">
        <v>44410</v>
      </c>
      <c r="C877">
        <v>1.86</v>
      </c>
      <c r="D877">
        <f t="shared" si="29"/>
        <v>0</v>
      </c>
    </row>
    <row r="878" spans="1:4" x14ac:dyDescent="0.55000000000000004">
      <c r="A878">
        <f t="shared" si="28"/>
        <v>2021</v>
      </c>
      <c r="B878" s="821">
        <v>44407</v>
      </c>
      <c r="C878">
        <v>1.89</v>
      </c>
      <c r="D878">
        <f t="shared" si="29"/>
        <v>0</v>
      </c>
    </row>
    <row r="879" spans="1:4" x14ac:dyDescent="0.55000000000000004">
      <c r="A879">
        <f t="shared" si="28"/>
        <v>2021</v>
      </c>
      <c r="B879" s="821">
        <v>44406</v>
      </c>
      <c r="C879">
        <v>1.91</v>
      </c>
      <c r="D879">
        <f t="shared" si="29"/>
        <v>0</v>
      </c>
    </row>
    <row r="880" spans="1:4" x14ac:dyDescent="0.55000000000000004">
      <c r="A880">
        <f t="shared" si="28"/>
        <v>2021</v>
      </c>
      <c r="B880" s="821">
        <v>44405</v>
      </c>
      <c r="C880">
        <v>1.9</v>
      </c>
      <c r="D880">
        <f t="shared" si="29"/>
        <v>0</v>
      </c>
    </row>
    <row r="881" spans="1:4" x14ac:dyDescent="0.55000000000000004">
      <c r="A881">
        <f t="shared" si="28"/>
        <v>2021</v>
      </c>
      <c r="B881" s="821">
        <v>44404</v>
      </c>
      <c r="C881">
        <v>1.89</v>
      </c>
      <c r="D881">
        <f t="shared" si="29"/>
        <v>0</v>
      </c>
    </row>
    <row r="882" spans="1:4" x14ac:dyDescent="0.55000000000000004">
      <c r="A882">
        <f t="shared" si="28"/>
        <v>2021</v>
      </c>
      <c r="B882" s="821">
        <v>44403</v>
      </c>
      <c r="C882">
        <v>1.93</v>
      </c>
      <c r="D882">
        <f t="shared" si="29"/>
        <v>0</v>
      </c>
    </row>
    <row r="883" spans="1:4" x14ac:dyDescent="0.55000000000000004">
      <c r="A883">
        <f t="shared" si="28"/>
        <v>2021</v>
      </c>
      <c r="B883" s="821">
        <v>44400</v>
      </c>
      <c r="C883">
        <v>1.92</v>
      </c>
      <c r="D883">
        <f t="shared" si="29"/>
        <v>0</v>
      </c>
    </row>
    <row r="884" spans="1:4" x14ac:dyDescent="0.55000000000000004">
      <c r="A884">
        <f t="shared" si="28"/>
        <v>2021</v>
      </c>
      <c r="B884" s="821">
        <v>44399</v>
      </c>
      <c r="C884">
        <v>1.9</v>
      </c>
      <c r="D884">
        <f t="shared" si="29"/>
        <v>0</v>
      </c>
    </row>
    <row r="885" spans="1:4" x14ac:dyDescent="0.55000000000000004">
      <c r="A885">
        <f t="shared" si="28"/>
        <v>2021</v>
      </c>
      <c r="B885" s="821">
        <v>44398</v>
      </c>
      <c r="C885">
        <v>1.94</v>
      </c>
      <c r="D885">
        <f t="shared" si="29"/>
        <v>0</v>
      </c>
    </row>
    <row r="886" spans="1:4" x14ac:dyDescent="0.55000000000000004">
      <c r="A886">
        <f t="shared" si="28"/>
        <v>2021</v>
      </c>
      <c r="B886" s="821">
        <v>44397</v>
      </c>
      <c r="C886">
        <v>1.88</v>
      </c>
      <c r="D886">
        <f t="shared" si="29"/>
        <v>0</v>
      </c>
    </row>
    <row r="887" spans="1:4" x14ac:dyDescent="0.55000000000000004">
      <c r="A887">
        <f t="shared" si="28"/>
        <v>2021</v>
      </c>
      <c r="B887" s="821">
        <v>44396</v>
      </c>
      <c r="C887">
        <v>1.81</v>
      </c>
      <c r="D887">
        <f t="shared" si="29"/>
        <v>0</v>
      </c>
    </row>
    <row r="888" spans="1:4" x14ac:dyDescent="0.55000000000000004">
      <c r="A888">
        <f t="shared" si="28"/>
        <v>2021</v>
      </c>
      <c r="B888" s="821">
        <v>44393</v>
      </c>
      <c r="C888">
        <v>1.93</v>
      </c>
      <c r="D888">
        <f t="shared" si="29"/>
        <v>0</v>
      </c>
    </row>
    <row r="889" spans="1:4" x14ac:dyDescent="0.55000000000000004">
      <c r="A889">
        <f t="shared" si="28"/>
        <v>2021</v>
      </c>
      <c r="B889" s="821">
        <v>44392</v>
      </c>
      <c r="C889">
        <v>1.92</v>
      </c>
      <c r="D889">
        <f t="shared" si="29"/>
        <v>0</v>
      </c>
    </row>
    <row r="890" spans="1:4" x14ac:dyDescent="0.55000000000000004">
      <c r="A890">
        <f t="shared" si="28"/>
        <v>2021</v>
      </c>
      <c r="B890" s="821">
        <v>44391</v>
      </c>
      <c r="C890">
        <v>1.98</v>
      </c>
      <c r="D890">
        <f t="shared" si="29"/>
        <v>0</v>
      </c>
    </row>
    <row r="891" spans="1:4" x14ac:dyDescent="0.55000000000000004">
      <c r="A891">
        <f t="shared" si="28"/>
        <v>2021</v>
      </c>
      <c r="B891" s="821">
        <v>44390</v>
      </c>
      <c r="C891">
        <v>2.04</v>
      </c>
      <c r="D891">
        <f t="shared" si="29"/>
        <v>0</v>
      </c>
    </row>
    <row r="892" spans="1:4" x14ac:dyDescent="0.55000000000000004">
      <c r="A892">
        <f t="shared" si="28"/>
        <v>2021</v>
      </c>
      <c r="B892" s="821">
        <v>44389</v>
      </c>
      <c r="C892">
        <v>2</v>
      </c>
      <c r="D892">
        <f t="shared" si="29"/>
        <v>0</v>
      </c>
    </row>
    <row r="893" spans="1:4" x14ac:dyDescent="0.55000000000000004">
      <c r="A893">
        <f t="shared" si="28"/>
        <v>2021</v>
      </c>
      <c r="B893" s="821">
        <v>44386</v>
      </c>
      <c r="C893">
        <v>1.99</v>
      </c>
      <c r="D893">
        <f t="shared" si="29"/>
        <v>0</v>
      </c>
    </row>
    <row r="894" spans="1:4" x14ac:dyDescent="0.55000000000000004">
      <c r="A894">
        <f t="shared" si="28"/>
        <v>2021</v>
      </c>
      <c r="B894" s="821">
        <v>44385</v>
      </c>
      <c r="C894">
        <v>1.91</v>
      </c>
      <c r="D894">
        <f t="shared" si="29"/>
        <v>0</v>
      </c>
    </row>
    <row r="895" spans="1:4" x14ac:dyDescent="0.55000000000000004">
      <c r="A895">
        <f t="shared" si="28"/>
        <v>2021</v>
      </c>
      <c r="B895" s="821">
        <v>44384</v>
      </c>
      <c r="C895">
        <v>1.94</v>
      </c>
      <c r="D895">
        <f t="shared" si="29"/>
        <v>0</v>
      </c>
    </row>
    <row r="896" spans="1:4" x14ac:dyDescent="0.55000000000000004">
      <c r="A896">
        <f t="shared" si="28"/>
        <v>2021</v>
      </c>
      <c r="B896" s="821">
        <v>44383</v>
      </c>
      <c r="C896">
        <v>2</v>
      </c>
      <c r="D896">
        <f t="shared" si="29"/>
        <v>0</v>
      </c>
    </row>
    <row r="897" spans="1:4" x14ac:dyDescent="0.55000000000000004">
      <c r="A897">
        <f t="shared" si="28"/>
        <v>2021</v>
      </c>
      <c r="B897" s="821">
        <v>44379</v>
      </c>
      <c r="C897">
        <v>2.0499999999999998</v>
      </c>
      <c r="D897">
        <f t="shared" si="29"/>
        <v>0</v>
      </c>
    </row>
    <row r="898" spans="1:4" x14ac:dyDescent="0.55000000000000004">
      <c r="A898">
        <f t="shared" si="28"/>
        <v>2021</v>
      </c>
      <c r="B898" s="821">
        <v>44378</v>
      </c>
      <c r="C898">
        <v>2.0699999999999998</v>
      </c>
      <c r="D898">
        <f t="shared" si="29"/>
        <v>0</v>
      </c>
    </row>
    <row r="899" spans="1:4" x14ac:dyDescent="0.55000000000000004">
      <c r="A899">
        <f t="shared" si="28"/>
        <v>2021</v>
      </c>
      <c r="B899" s="821">
        <v>44377</v>
      </c>
      <c r="C899">
        <v>2.06</v>
      </c>
      <c r="D899">
        <f t="shared" si="29"/>
        <v>0</v>
      </c>
    </row>
    <row r="900" spans="1:4" x14ac:dyDescent="0.55000000000000004">
      <c r="A900">
        <f t="shared" ref="A900:A963" si="30">YEAR(B900)</f>
        <v>2021</v>
      </c>
      <c r="B900" s="821">
        <v>44376</v>
      </c>
      <c r="C900">
        <v>2.1</v>
      </c>
      <c r="D900">
        <f t="shared" ref="D900:D963" si="31">IF(C900&gt;4,1,0)</f>
        <v>0</v>
      </c>
    </row>
    <row r="901" spans="1:4" x14ac:dyDescent="0.55000000000000004">
      <c r="A901">
        <f t="shared" si="30"/>
        <v>2021</v>
      </c>
      <c r="B901" s="821">
        <v>44375</v>
      </c>
      <c r="C901">
        <v>2.1</v>
      </c>
      <c r="D901">
        <f t="shared" si="31"/>
        <v>0</v>
      </c>
    </row>
    <row r="902" spans="1:4" x14ac:dyDescent="0.55000000000000004">
      <c r="A902">
        <f t="shared" si="30"/>
        <v>2021</v>
      </c>
      <c r="B902" s="821">
        <v>44372</v>
      </c>
      <c r="C902">
        <v>2.16</v>
      </c>
      <c r="D902">
        <f t="shared" si="31"/>
        <v>0</v>
      </c>
    </row>
    <row r="903" spans="1:4" x14ac:dyDescent="0.55000000000000004">
      <c r="A903">
        <f t="shared" si="30"/>
        <v>2021</v>
      </c>
      <c r="B903" s="821">
        <v>44371</v>
      </c>
      <c r="C903">
        <v>2.1</v>
      </c>
      <c r="D903">
        <f t="shared" si="31"/>
        <v>0</v>
      </c>
    </row>
    <row r="904" spans="1:4" x14ac:dyDescent="0.55000000000000004">
      <c r="A904">
        <f t="shared" si="30"/>
        <v>2021</v>
      </c>
      <c r="B904" s="821">
        <v>44370</v>
      </c>
      <c r="C904">
        <v>2.11</v>
      </c>
      <c r="D904">
        <f t="shared" si="31"/>
        <v>0</v>
      </c>
    </row>
    <row r="905" spans="1:4" x14ac:dyDescent="0.55000000000000004">
      <c r="A905">
        <f t="shared" si="30"/>
        <v>2021</v>
      </c>
      <c r="B905" s="821">
        <v>44369</v>
      </c>
      <c r="C905">
        <v>2.1</v>
      </c>
      <c r="D905">
        <f t="shared" si="31"/>
        <v>0</v>
      </c>
    </row>
    <row r="906" spans="1:4" x14ac:dyDescent="0.55000000000000004">
      <c r="A906">
        <f t="shared" si="30"/>
        <v>2021</v>
      </c>
      <c r="B906" s="821">
        <v>44368</v>
      </c>
      <c r="C906">
        <v>2.11</v>
      </c>
      <c r="D906">
        <f t="shared" si="31"/>
        <v>0</v>
      </c>
    </row>
    <row r="907" spans="1:4" x14ac:dyDescent="0.55000000000000004">
      <c r="A907">
        <f t="shared" si="30"/>
        <v>2021</v>
      </c>
      <c r="B907" s="821">
        <v>44365</v>
      </c>
      <c r="C907">
        <v>2.0099999999999998</v>
      </c>
      <c r="D907">
        <f t="shared" si="31"/>
        <v>0</v>
      </c>
    </row>
    <row r="908" spans="1:4" x14ac:dyDescent="0.55000000000000004">
      <c r="A908">
        <f t="shared" si="30"/>
        <v>2021</v>
      </c>
      <c r="B908" s="821">
        <v>44364</v>
      </c>
      <c r="C908">
        <v>2.11</v>
      </c>
      <c r="D908">
        <f t="shared" si="31"/>
        <v>0</v>
      </c>
    </row>
    <row r="909" spans="1:4" x14ac:dyDescent="0.55000000000000004">
      <c r="A909">
        <f t="shared" si="30"/>
        <v>2021</v>
      </c>
      <c r="B909" s="821">
        <v>44363</v>
      </c>
      <c r="C909">
        <v>2.2000000000000002</v>
      </c>
      <c r="D909">
        <f t="shared" si="31"/>
        <v>0</v>
      </c>
    </row>
    <row r="910" spans="1:4" x14ac:dyDescent="0.55000000000000004">
      <c r="A910">
        <f t="shared" si="30"/>
        <v>2021</v>
      </c>
      <c r="B910" s="821">
        <v>44362</v>
      </c>
      <c r="C910">
        <v>2.2000000000000002</v>
      </c>
      <c r="D910">
        <f t="shared" si="31"/>
        <v>0</v>
      </c>
    </row>
    <row r="911" spans="1:4" x14ac:dyDescent="0.55000000000000004">
      <c r="A911">
        <f t="shared" si="30"/>
        <v>2021</v>
      </c>
      <c r="B911" s="821">
        <v>44361</v>
      </c>
      <c r="C911">
        <v>2.19</v>
      </c>
      <c r="D911">
        <f t="shared" si="31"/>
        <v>0</v>
      </c>
    </row>
    <row r="912" spans="1:4" x14ac:dyDescent="0.55000000000000004">
      <c r="A912">
        <f t="shared" si="30"/>
        <v>2021</v>
      </c>
      <c r="B912" s="821">
        <v>44358</v>
      </c>
      <c r="C912">
        <v>2.15</v>
      </c>
      <c r="D912">
        <f t="shared" si="31"/>
        <v>0</v>
      </c>
    </row>
    <row r="913" spans="1:4" x14ac:dyDescent="0.55000000000000004">
      <c r="A913">
        <f t="shared" si="30"/>
        <v>2021</v>
      </c>
      <c r="B913" s="821">
        <v>44357</v>
      </c>
      <c r="C913">
        <v>2.15</v>
      </c>
      <c r="D913">
        <f t="shared" si="31"/>
        <v>0</v>
      </c>
    </row>
    <row r="914" spans="1:4" x14ac:dyDescent="0.55000000000000004">
      <c r="A914">
        <f t="shared" si="30"/>
        <v>2021</v>
      </c>
      <c r="B914" s="821">
        <v>44356</v>
      </c>
      <c r="C914">
        <v>2.17</v>
      </c>
      <c r="D914">
        <f t="shared" si="31"/>
        <v>0</v>
      </c>
    </row>
    <row r="915" spans="1:4" x14ac:dyDescent="0.55000000000000004">
      <c r="A915">
        <f t="shared" si="30"/>
        <v>2021</v>
      </c>
      <c r="B915" s="821">
        <v>44355</v>
      </c>
      <c r="C915">
        <v>2.21</v>
      </c>
      <c r="D915">
        <f t="shared" si="31"/>
        <v>0</v>
      </c>
    </row>
    <row r="916" spans="1:4" x14ac:dyDescent="0.55000000000000004">
      <c r="A916">
        <f t="shared" si="30"/>
        <v>2021</v>
      </c>
      <c r="B916" s="821">
        <v>44354</v>
      </c>
      <c r="C916">
        <v>2.25</v>
      </c>
      <c r="D916">
        <f t="shared" si="31"/>
        <v>0</v>
      </c>
    </row>
    <row r="917" spans="1:4" x14ac:dyDescent="0.55000000000000004">
      <c r="A917">
        <f t="shared" si="30"/>
        <v>2021</v>
      </c>
      <c r="B917" s="821">
        <v>44351</v>
      </c>
      <c r="C917">
        <v>2.2400000000000002</v>
      </c>
      <c r="D917">
        <f t="shared" si="31"/>
        <v>0</v>
      </c>
    </row>
    <row r="918" spans="1:4" x14ac:dyDescent="0.55000000000000004">
      <c r="A918">
        <f t="shared" si="30"/>
        <v>2021</v>
      </c>
      <c r="B918" s="821">
        <v>44350</v>
      </c>
      <c r="C918">
        <v>2.2999999999999998</v>
      </c>
      <c r="D918">
        <f t="shared" si="31"/>
        <v>0</v>
      </c>
    </row>
    <row r="919" spans="1:4" x14ac:dyDescent="0.55000000000000004">
      <c r="A919">
        <f t="shared" si="30"/>
        <v>2021</v>
      </c>
      <c r="B919" s="821">
        <v>44349</v>
      </c>
      <c r="C919">
        <v>2.2799999999999998</v>
      </c>
      <c r="D919">
        <f t="shared" si="31"/>
        <v>0</v>
      </c>
    </row>
    <row r="920" spans="1:4" x14ac:dyDescent="0.55000000000000004">
      <c r="A920">
        <f t="shared" si="30"/>
        <v>2021</v>
      </c>
      <c r="B920" s="821">
        <v>44348</v>
      </c>
      <c r="C920">
        <v>2.2999999999999998</v>
      </c>
      <c r="D920">
        <f t="shared" si="31"/>
        <v>0</v>
      </c>
    </row>
    <row r="921" spans="1:4" x14ac:dyDescent="0.55000000000000004">
      <c r="A921">
        <f t="shared" si="30"/>
        <v>2021</v>
      </c>
      <c r="B921" s="821">
        <v>44344</v>
      </c>
      <c r="C921">
        <v>2.2599999999999998</v>
      </c>
      <c r="D921">
        <f t="shared" si="31"/>
        <v>0</v>
      </c>
    </row>
    <row r="922" spans="1:4" x14ac:dyDescent="0.55000000000000004">
      <c r="A922">
        <f t="shared" si="30"/>
        <v>2021</v>
      </c>
      <c r="B922" s="821">
        <v>44343</v>
      </c>
      <c r="C922">
        <v>2.29</v>
      </c>
      <c r="D922">
        <f t="shared" si="31"/>
        <v>0</v>
      </c>
    </row>
    <row r="923" spans="1:4" x14ac:dyDescent="0.55000000000000004">
      <c r="A923">
        <f t="shared" si="30"/>
        <v>2021</v>
      </c>
      <c r="B923" s="821">
        <v>44342</v>
      </c>
      <c r="C923">
        <v>2.27</v>
      </c>
      <c r="D923">
        <f t="shared" si="31"/>
        <v>0</v>
      </c>
    </row>
    <row r="924" spans="1:4" x14ac:dyDescent="0.55000000000000004">
      <c r="A924">
        <f t="shared" si="30"/>
        <v>2021</v>
      </c>
      <c r="B924" s="821">
        <v>44341</v>
      </c>
      <c r="C924">
        <v>2.2599999999999998</v>
      </c>
      <c r="D924">
        <f t="shared" si="31"/>
        <v>0</v>
      </c>
    </row>
    <row r="925" spans="1:4" x14ac:dyDescent="0.55000000000000004">
      <c r="A925">
        <f t="shared" si="30"/>
        <v>2021</v>
      </c>
      <c r="B925" s="821">
        <v>44340</v>
      </c>
      <c r="C925">
        <v>2.31</v>
      </c>
      <c r="D925">
        <f t="shared" si="31"/>
        <v>0</v>
      </c>
    </row>
    <row r="926" spans="1:4" x14ac:dyDescent="0.55000000000000004">
      <c r="A926">
        <f t="shared" si="30"/>
        <v>2021</v>
      </c>
      <c r="B926" s="821">
        <v>44337</v>
      </c>
      <c r="C926">
        <v>2.33</v>
      </c>
      <c r="D926">
        <f t="shared" si="31"/>
        <v>0</v>
      </c>
    </row>
    <row r="927" spans="1:4" x14ac:dyDescent="0.55000000000000004">
      <c r="A927">
        <f t="shared" si="30"/>
        <v>2021</v>
      </c>
      <c r="B927" s="821">
        <v>44336</v>
      </c>
      <c r="C927">
        <v>2.34</v>
      </c>
      <c r="D927">
        <f t="shared" si="31"/>
        <v>0</v>
      </c>
    </row>
    <row r="928" spans="1:4" x14ac:dyDescent="0.55000000000000004">
      <c r="A928">
        <f t="shared" si="30"/>
        <v>2021</v>
      </c>
      <c r="B928" s="821">
        <v>44335</v>
      </c>
      <c r="C928">
        <v>2.38</v>
      </c>
      <c r="D928">
        <f t="shared" si="31"/>
        <v>0</v>
      </c>
    </row>
    <row r="929" spans="1:4" x14ac:dyDescent="0.55000000000000004">
      <c r="A929">
        <f t="shared" si="30"/>
        <v>2021</v>
      </c>
      <c r="B929" s="821">
        <v>44334</v>
      </c>
      <c r="C929">
        <v>2.37</v>
      </c>
      <c r="D929">
        <f t="shared" si="31"/>
        <v>0</v>
      </c>
    </row>
    <row r="930" spans="1:4" x14ac:dyDescent="0.55000000000000004">
      <c r="A930">
        <f t="shared" si="30"/>
        <v>2021</v>
      </c>
      <c r="B930" s="821">
        <v>44333</v>
      </c>
      <c r="C930">
        <v>2.36</v>
      </c>
      <c r="D930">
        <f t="shared" si="31"/>
        <v>0</v>
      </c>
    </row>
    <row r="931" spans="1:4" x14ac:dyDescent="0.55000000000000004">
      <c r="A931">
        <f t="shared" si="30"/>
        <v>2021</v>
      </c>
      <c r="B931" s="821">
        <v>44330</v>
      </c>
      <c r="C931">
        <v>2.35</v>
      </c>
      <c r="D931">
        <f t="shared" si="31"/>
        <v>0</v>
      </c>
    </row>
    <row r="932" spans="1:4" x14ac:dyDescent="0.55000000000000004">
      <c r="A932">
        <f t="shared" si="30"/>
        <v>2021</v>
      </c>
      <c r="B932" s="821">
        <v>44329</v>
      </c>
      <c r="C932">
        <v>2.39</v>
      </c>
      <c r="D932">
        <f t="shared" si="31"/>
        <v>0</v>
      </c>
    </row>
    <row r="933" spans="1:4" x14ac:dyDescent="0.55000000000000004">
      <c r="A933">
        <f t="shared" si="30"/>
        <v>2021</v>
      </c>
      <c r="B933" s="821">
        <v>44328</v>
      </c>
      <c r="C933">
        <v>2.4</v>
      </c>
      <c r="D933">
        <f t="shared" si="31"/>
        <v>0</v>
      </c>
    </row>
    <row r="934" spans="1:4" x14ac:dyDescent="0.55000000000000004">
      <c r="A934">
        <f t="shared" si="30"/>
        <v>2021</v>
      </c>
      <c r="B934" s="821">
        <v>44327</v>
      </c>
      <c r="C934">
        <v>2.35</v>
      </c>
      <c r="D934">
        <f t="shared" si="31"/>
        <v>0</v>
      </c>
    </row>
    <row r="935" spans="1:4" x14ac:dyDescent="0.55000000000000004">
      <c r="A935">
        <f t="shared" si="30"/>
        <v>2021</v>
      </c>
      <c r="B935" s="821">
        <v>44326</v>
      </c>
      <c r="C935">
        <v>2.3199999999999998</v>
      </c>
      <c r="D935">
        <f t="shared" si="31"/>
        <v>0</v>
      </c>
    </row>
    <row r="936" spans="1:4" x14ac:dyDescent="0.55000000000000004">
      <c r="A936">
        <f t="shared" si="30"/>
        <v>2021</v>
      </c>
      <c r="B936" s="821">
        <v>44323</v>
      </c>
      <c r="C936">
        <v>2.2799999999999998</v>
      </c>
      <c r="D936">
        <f t="shared" si="31"/>
        <v>0</v>
      </c>
    </row>
    <row r="937" spans="1:4" x14ac:dyDescent="0.55000000000000004">
      <c r="A937">
        <f t="shared" si="30"/>
        <v>2021</v>
      </c>
      <c r="B937" s="821">
        <v>44322</v>
      </c>
      <c r="C937">
        <v>2.2400000000000002</v>
      </c>
      <c r="D937">
        <f t="shared" si="31"/>
        <v>0</v>
      </c>
    </row>
    <row r="938" spans="1:4" x14ac:dyDescent="0.55000000000000004">
      <c r="A938">
        <f t="shared" si="30"/>
        <v>2021</v>
      </c>
      <c r="B938" s="821">
        <v>44321</v>
      </c>
      <c r="C938">
        <v>2.25</v>
      </c>
      <c r="D938">
        <f t="shared" si="31"/>
        <v>0</v>
      </c>
    </row>
    <row r="939" spans="1:4" x14ac:dyDescent="0.55000000000000004">
      <c r="A939">
        <f t="shared" si="30"/>
        <v>2021</v>
      </c>
      <c r="B939" s="821">
        <v>44320</v>
      </c>
      <c r="C939">
        <v>2.27</v>
      </c>
      <c r="D939">
        <f t="shared" si="31"/>
        <v>0</v>
      </c>
    </row>
    <row r="940" spans="1:4" x14ac:dyDescent="0.55000000000000004">
      <c r="A940">
        <f t="shared" si="30"/>
        <v>2021</v>
      </c>
      <c r="B940" s="821">
        <v>44319</v>
      </c>
      <c r="C940">
        <v>2.2999999999999998</v>
      </c>
      <c r="D940">
        <f t="shared" si="31"/>
        <v>0</v>
      </c>
    </row>
    <row r="941" spans="1:4" x14ac:dyDescent="0.55000000000000004">
      <c r="A941">
        <f t="shared" si="30"/>
        <v>2021</v>
      </c>
      <c r="B941" s="821">
        <v>44316</v>
      </c>
      <c r="C941">
        <v>2.2999999999999998</v>
      </c>
      <c r="D941">
        <f t="shared" si="31"/>
        <v>0</v>
      </c>
    </row>
    <row r="942" spans="1:4" x14ac:dyDescent="0.55000000000000004">
      <c r="A942">
        <f t="shared" si="30"/>
        <v>2021</v>
      </c>
      <c r="B942" s="821">
        <v>44315</v>
      </c>
      <c r="C942">
        <v>2.31</v>
      </c>
      <c r="D942">
        <f t="shared" si="31"/>
        <v>0</v>
      </c>
    </row>
    <row r="943" spans="1:4" x14ac:dyDescent="0.55000000000000004">
      <c r="A943">
        <f t="shared" si="30"/>
        <v>2021</v>
      </c>
      <c r="B943" s="821">
        <v>44314</v>
      </c>
      <c r="C943">
        <v>2.29</v>
      </c>
      <c r="D943">
        <f t="shared" si="31"/>
        <v>0</v>
      </c>
    </row>
    <row r="944" spans="1:4" x14ac:dyDescent="0.55000000000000004">
      <c r="A944">
        <f t="shared" si="30"/>
        <v>2021</v>
      </c>
      <c r="B944" s="821">
        <v>44313</v>
      </c>
      <c r="C944">
        <v>2.29</v>
      </c>
      <c r="D944">
        <f t="shared" si="31"/>
        <v>0</v>
      </c>
    </row>
    <row r="945" spans="1:4" x14ac:dyDescent="0.55000000000000004">
      <c r="A945">
        <f t="shared" si="30"/>
        <v>2021</v>
      </c>
      <c r="B945" s="821">
        <v>44312</v>
      </c>
      <c r="C945">
        <v>2.2400000000000002</v>
      </c>
      <c r="D945">
        <f t="shared" si="31"/>
        <v>0</v>
      </c>
    </row>
    <row r="946" spans="1:4" x14ac:dyDescent="0.55000000000000004">
      <c r="A946">
        <f t="shared" si="30"/>
        <v>2021</v>
      </c>
      <c r="B946" s="821">
        <v>44309</v>
      </c>
      <c r="C946">
        <v>2.25</v>
      </c>
      <c r="D946">
        <f t="shared" si="31"/>
        <v>0</v>
      </c>
    </row>
    <row r="947" spans="1:4" x14ac:dyDescent="0.55000000000000004">
      <c r="A947">
        <f t="shared" si="30"/>
        <v>2021</v>
      </c>
      <c r="B947" s="821">
        <v>44308</v>
      </c>
      <c r="C947">
        <v>2.2400000000000002</v>
      </c>
      <c r="D947">
        <f t="shared" si="31"/>
        <v>0</v>
      </c>
    </row>
    <row r="948" spans="1:4" x14ac:dyDescent="0.55000000000000004">
      <c r="A948">
        <f t="shared" si="30"/>
        <v>2021</v>
      </c>
      <c r="B948" s="821">
        <v>44307</v>
      </c>
      <c r="C948">
        <v>2.2599999999999998</v>
      </c>
      <c r="D948">
        <f t="shared" si="31"/>
        <v>0</v>
      </c>
    </row>
    <row r="949" spans="1:4" x14ac:dyDescent="0.55000000000000004">
      <c r="A949">
        <f t="shared" si="30"/>
        <v>2021</v>
      </c>
      <c r="B949" s="821">
        <v>44306</v>
      </c>
      <c r="C949">
        <v>2.27</v>
      </c>
      <c r="D949">
        <f t="shared" si="31"/>
        <v>0</v>
      </c>
    </row>
    <row r="950" spans="1:4" x14ac:dyDescent="0.55000000000000004">
      <c r="A950">
        <f t="shared" si="30"/>
        <v>2021</v>
      </c>
      <c r="B950" s="821">
        <v>44305</v>
      </c>
      <c r="C950">
        <v>2.29</v>
      </c>
      <c r="D950">
        <f t="shared" si="31"/>
        <v>0</v>
      </c>
    </row>
    <row r="951" spans="1:4" x14ac:dyDescent="0.55000000000000004">
      <c r="A951">
        <f t="shared" si="30"/>
        <v>2021</v>
      </c>
      <c r="B951" s="821">
        <v>44302</v>
      </c>
      <c r="C951">
        <v>2.2599999999999998</v>
      </c>
      <c r="D951">
        <f t="shared" si="31"/>
        <v>0</v>
      </c>
    </row>
    <row r="952" spans="1:4" x14ac:dyDescent="0.55000000000000004">
      <c r="A952">
        <f t="shared" si="30"/>
        <v>2021</v>
      </c>
      <c r="B952" s="821">
        <v>44301</v>
      </c>
      <c r="C952">
        <v>2.23</v>
      </c>
      <c r="D952">
        <f t="shared" si="31"/>
        <v>0</v>
      </c>
    </row>
    <row r="953" spans="1:4" x14ac:dyDescent="0.55000000000000004">
      <c r="A953">
        <f t="shared" si="30"/>
        <v>2021</v>
      </c>
      <c r="B953" s="821">
        <v>44300</v>
      </c>
      <c r="C953">
        <v>2.3199999999999998</v>
      </c>
      <c r="D953">
        <f t="shared" si="31"/>
        <v>0</v>
      </c>
    </row>
    <row r="954" spans="1:4" x14ac:dyDescent="0.55000000000000004">
      <c r="A954">
        <f t="shared" si="30"/>
        <v>2021</v>
      </c>
      <c r="B954" s="821">
        <v>44299</v>
      </c>
      <c r="C954">
        <v>2.3199999999999998</v>
      </c>
      <c r="D954">
        <f t="shared" si="31"/>
        <v>0</v>
      </c>
    </row>
    <row r="955" spans="1:4" x14ac:dyDescent="0.55000000000000004">
      <c r="A955">
        <f t="shared" si="30"/>
        <v>2021</v>
      </c>
      <c r="B955" s="821">
        <v>44298</v>
      </c>
      <c r="C955">
        <v>2.34</v>
      </c>
      <c r="D955">
        <f t="shared" si="31"/>
        <v>0</v>
      </c>
    </row>
    <row r="956" spans="1:4" x14ac:dyDescent="0.55000000000000004">
      <c r="A956">
        <f t="shared" si="30"/>
        <v>2021</v>
      </c>
      <c r="B956" s="821">
        <v>44295</v>
      </c>
      <c r="C956">
        <v>2.34</v>
      </c>
      <c r="D956">
        <f t="shared" si="31"/>
        <v>0</v>
      </c>
    </row>
    <row r="957" spans="1:4" x14ac:dyDescent="0.55000000000000004">
      <c r="A957">
        <f t="shared" si="30"/>
        <v>2021</v>
      </c>
      <c r="B957" s="821">
        <v>44294</v>
      </c>
      <c r="C957">
        <v>2.3199999999999998</v>
      </c>
      <c r="D957">
        <f t="shared" si="31"/>
        <v>0</v>
      </c>
    </row>
    <row r="958" spans="1:4" x14ac:dyDescent="0.55000000000000004">
      <c r="A958">
        <f t="shared" si="30"/>
        <v>2021</v>
      </c>
      <c r="B958" s="821">
        <v>44293</v>
      </c>
      <c r="C958">
        <v>2.35</v>
      </c>
      <c r="D958">
        <f t="shared" si="31"/>
        <v>0</v>
      </c>
    </row>
    <row r="959" spans="1:4" x14ac:dyDescent="0.55000000000000004">
      <c r="A959">
        <f t="shared" si="30"/>
        <v>2021</v>
      </c>
      <c r="B959" s="821">
        <v>44292</v>
      </c>
      <c r="C959">
        <v>2.3199999999999998</v>
      </c>
      <c r="D959">
        <f t="shared" si="31"/>
        <v>0</v>
      </c>
    </row>
    <row r="960" spans="1:4" x14ac:dyDescent="0.55000000000000004">
      <c r="A960">
        <f t="shared" si="30"/>
        <v>2021</v>
      </c>
      <c r="B960" s="821">
        <v>44291</v>
      </c>
      <c r="C960">
        <v>2.36</v>
      </c>
      <c r="D960">
        <f t="shared" si="31"/>
        <v>0</v>
      </c>
    </row>
    <row r="961" spans="1:4" x14ac:dyDescent="0.55000000000000004">
      <c r="A961">
        <f t="shared" si="30"/>
        <v>2021</v>
      </c>
      <c r="B961" s="821">
        <v>44288</v>
      </c>
      <c r="C961">
        <v>2.35</v>
      </c>
      <c r="D961">
        <f t="shared" si="31"/>
        <v>0</v>
      </c>
    </row>
    <row r="962" spans="1:4" x14ac:dyDescent="0.55000000000000004">
      <c r="A962">
        <f t="shared" si="30"/>
        <v>2021</v>
      </c>
      <c r="B962" s="821">
        <v>44287</v>
      </c>
      <c r="C962">
        <v>2.34</v>
      </c>
      <c r="D962">
        <f t="shared" si="31"/>
        <v>0</v>
      </c>
    </row>
    <row r="963" spans="1:4" x14ac:dyDescent="0.55000000000000004">
      <c r="A963">
        <f t="shared" si="30"/>
        <v>2021</v>
      </c>
      <c r="B963" s="821">
        <v>44286</v>
      </c>
      <c r="C963">
        <v>2.41</v>
      </c>
      <c r="D963">
        <f t="shared" si="31"/>
        <v>0</v>
      </c>
    </row>
    <row r="964" spans="1:4" x14ac:dyDescent="0.55000000000000004">
      <c r="A964">
        <f t="shared" ref="A964:A1027" si="32">YEAR(B964)</f>
        <v>2021</v>
      </c>
      <c r="B964" s="821">
        <v>44285</v>
      </c>
      <c r="C964">
        <v>2.38</v>
      </c>
      <c r="D964">
        <f t="shared" ref="D964:D1027" si="33">IF(C964&gt;4,1,0)</f>
        <v>0</v>
      </c>
    </row>
    <row r="965" spans="1:4" x14ac:dyDescent="0.55000000000000004">
      <c r="A965">
        <f t="shared" si="32"/>
        <v>2021</v>
      </c>
      <c r="B965" s="821">
        <v>44284</v>
      </c>
      <c r="C965">
        <v>2.4300000000000002</v>
      </c>
      <c r="D965">
        <f t="shared" si="33"/>
        <v>0</v>
      </c>
    </row>
    <row r="966" spans="1:4" x14ac:dyDescent="0.55000000000000004">
      <c r="A966">
        <f t="shared" si="32"/>
        <v>2021</v>
      </c>
      <c r="B966" s="821">
        <v>44281</v>
      </c>
      <c r="C966">
        <v>2.37</v>
      </c>
      <c r="D966">
        <f t="shared" si="33"/>
        <v>0</v>
      </c>
    </row>
    <row r="967" spans="1:4" x14ac:dyDescent="0.55000000000000004">
      <c r="A967">
        <f t="shared" si="32"/>
        <v>2021</v>
      </c>
      <c r="B967" s="821">
        <v>44280</v>
      </c>
      <c r="C967">
        <v>2.34</v>
      </c>
      <c r="D967">
        <f t="shared" si="33"/>
        <v>0</v>
      </c>
    </row>
    <row r="968" spans="1:4" x14ac:dyDescent="0.55000000000000004">
      <c r="A968">
        <f t="shared" si="32"/>
        <v>2021</v>
      </c>
      <c r="B968" s="821">
        <v>44279</v>
      </c>
      <c r="C968">
        <v>2.31</v>
      </c>
      <c r="D968">
        <f t="shared" si="33"/>
        <v>0</v>
      </c>
    </row>
    <row r="969" spans="1:4" x14ac:dyDescent="0.55000000000000004">
      <c r="A969">
        <f t="shared" si="32"/>
        <v>2021</v>
      </c>
      <c r="B969" s="821">
        <v>44278</v>
      </c>
      <c r="C969">
        <v>2.34</v>
      </c>
      <c r="D969">
        <f t="shared" si="33"/>
        <v>0</v>
      </c>
    </row>
    <row r="970" spans="1:4" x14ac:dyDescent="0.55000000000000004">
      <c r="A970">
        <f t="shared" si="32"/>
        <v>2021</v>
      </c>
      <c r="B970" s="821">
        <v>44277</v>
      </c>
      <c r="C970">
        <v>2.38</v>
      </c>
      <c r="D970">
        <f t="shared" si="33"/>
        <v>0</v>
      </c>
    </row>
    <row r="971" spans="1:4" x14ac:dyDescent="0.55000000000000004">
      <c r="A971">
        <f t="shared" si="32"/>
        <v>2021</v>
      </c>
      <c r="B971" s="821">
        <v>44274</v>
      </c>
      <c r="C971">
        <v>2.4500000000000002</v>
      </c>
      <c r="D971">
        <f t="shared" si="33"/>
        <v>0</v>
      </c>
    </row>
    <row r="972" spans="1:4" x14ac:dyDescent="0.55000000000000004">
      <c r="A972">
        <f t="shared" si="32"/>
        <v>2021</v>
      </c>
      <c r="B972" s="821">
        <v>44273</v>
      </c>
      <c r="C972">
        <v>2.4500000000000002</v>
      </c>
      <c r="D972">
        <f t="shared" si="33"/>
        <v>0</v>
      </c>
    </row>
    <row r="973" spans="1:4" x14ac:dyDescent="0.55000000000000004">
      <c r="A973">
        <f t="shared" si="32"/>
        <v>2021</v>
      </c>
      <c r="B973" s="821">
        <v>44272</v>
      </c>
      <c r="C973">
        <v>2.42</v>
      </c>
      <c r="D973">
        <f t="shared" si="33"/>
        <v>0</v>
      </c>
    </row>
    <row r="974" spans="1:4" x14ac:dyDescent="0.55000000000000004">
      <c r="A974">
        <f t="shared" si="32"/>
        <v>2021</v>
      </c>
      <c r="B974" s="821">
        <v>44271</v>
      </c>
      <c r="C974">
        <v>2.38</v>
      </c>
      <c r="D974">
        <f t="shared" si="33"/>
        <v>0</v>
      </c>
    </row>
    <row r="975" spans="1:4" x14ac:dyDescent="0.55000000000000004">
      <c r="A975">
        <f t="shared" si="32"/>
        <v>2021</v>
      </c>
      <c r="B975" s="821">
        <v>44270</v>
      </c>
      <c r="C975">
        <v>2.37</v>
      </c>
      <c r="D975">
        <f t="shared" si="33"/>
        <v>0</v>
      </c>
    </row>
    <row r="976" spans="1:4" x14ac:dyDescent="0.55000000000000004">
      <c r="A976">
        <f t="shared" si="32"/>
        <v>2021</v>
      </c>
      <c r="B976" s="821">
        <v>44267</v>
      </c>
      <c r="C976">
        <v>2.4</v>
      </c>
      <c r="D976">
        <f t="shared" si="33"/>
        <v>0</v>
      </c>
    </row>
    <row r="977" spans="1:4" x14ac:dyDescent="0.55000000000000004">
      <c r="A977">
        <f t="shared" si="32"/>
        <v>2021</v>
      </c>
      <c r="B977" s="821">
        <v>44266</v>
      </c>
      <c r="C977">
        <v>2.29</v>
      </c>
      <c r="D977">
        <f t="shared" si="33"/>
        <v>0</v>
      </c>
    </row>
    <row r="978" spans="1:4" x14ac:dyDescent="0.55000000000000004">
      <c r="A978">
        <f t="shared" si="32"/>
        <v>2021</v>
      </c>
      <c r="B978" s="821">
        <v>44265</v>
      </c>
      <c r="C978">
        <v>2.2400000000000002</v>
      </c>
      <c r="D978">
        <f t="shared" si="33"/>
        <v>0</v>
      </c>
    </row>
    <row r="979" spans="1:4" x14ac:dyDescent="0.55000000000000004">
      <c r="A979">
        <f t="shared" si="32"/>
        <v>2021</v>
      </c>
      <c r="B979" s="821">
        <v>44264</v>
      </c>
      <c r="C979">
        <v>2.2599999999999998</v>
      </c>
      <c r="D979">
        <f t="shared" si="33"/>
        <v>0</v>
      </c>
    </row>
    <row r="980" spans="1:4" x14ac:dyDescent="0.55000000000000004">
      <c r="A980">
        <f t="shared" si="32"/>
        <v>2021</v>
      </c>
      <c r="B980" s="821">
        <v>44263</v>
      </c>
      <c r="C980">
        <v>2.31</v>
      </c>
      <c r="D980">
        <f t="shared" si="33"/>
        <v>0</v>
      </c>
    </row>
    <row r="981" spans="1:4" x14ac:dyDescent="0.55000000000000004">
      <c r="A981">
        <f t="shared" si="32"/>
        <v>2021</v>
      </c>
      <c r="B981" s="821">
        <v>44260</v>
      </c>
      <c r="C981">
        <v>2.2799999999999998</v>
      </c>
      <c r="D981">
        <f t="shared" si="33"/>
        <v>0</v>
      </c>
    </row>
    <row r="982" spans="1:4" x14ac:dyDescent="0.55000000000000004">
      <c r="A982">
        <f t="shared" si="32"/>
        <v>2021</v>
      </c>
      <c r="B982" s="821">
        <v>44259</v>
      </c>
      <c r="C982">
        <v>2.2999999999999998</v>
      </c>
      <c r="D982">
        <f t="shared" si="33"/>
        <v>0</v>
      </c>
    </row>
    <row r="983" spans="1:4" x14ac:dyDescent="0.55000000000000004">
      <c r="A983">
        <f t="shared" si="32"/>
        <v>2021</v>
      </c>
      <c r="B983" s="821">
        <v>44258</v>
      </c>
      <c r="C983">
        <v>2.25</v>
      </c>
      <c r="D983">
        <f t="shared" si="33"/>
        <v>0</v>
      </c>
    </row>
    <row r="984" spans="1:4" x14ac:dyDescent="0.55000000000000004">
      <c r="A984">
        <f t="shared" si="32"/>
        <v>2021</v>
      </c>
      <c r="B984" s="821">
        <v>44257</v>
      </c>
      <c r="C984">
        <v>2.21</v>
      </c>
      <c r="D984">
        <f t="shared" si="33"/>
        <v>0</v>
      </c>
    </row>
    <row r="985" spans="1:4" x14ac:dyDescent="0.55000000000000004">
      <c r="A985">
        <f t="shared" si="32"/>
        <v>2021</v>
      </c>
      <c r="B985" s="821">
        <v>44256</v>
      </c>
      <c r="C985">
        <v>2.23</v>
      </c>
      <c r="D985">
        <f t="shared" si="33"/>
        <v>0</v>
      </c>
    </row>
    <row r="986" spans="1:4" x14ac:dyDescent="0.55000000000000004">
      <c r="A986">
        <f t="shared" si="32"/>
        <v>2021</v>
      </c>
      <c r="B986" s="821">
        <v>44253</v>
      </c>
      <c r="C986">
        <v>2.17</v>
      </c>
      <c r="D986">
        <f t="shared" si="33"/>
        <v>0</v>
      </c>
    </row>
    <row r="987" spans="1:4" x14ac:dyDescent="0.55000000000000004">
      <c r="A987">
        <f t="shared" si="32"/>
        <v>2021</v>
      </c>
      <c r="B987" s="821">
        <v>44252</v>
      </c>
      <c r="C987">
        <v>2.33</v>
      </c>
      <c r="D987">
        <f t="shared" si="33"/>
        <v>0</v>
      </c>
    </row>
    <row r="988" spans="1:4" x14ac:dyDescent="0.55000000000000004">
      <c r="A988">
        <f t="shared" si="32"/>
        <v>2021</v>
      </c>
      <c r="B988" s="821">
        <v>44251</v>
      </c>
      <c r="C988">
        <v>2.2400000000000002</v>
      </c>
      <c r="D988">
        <f t="shared" si="33"/>
        <v>0</v>
      </c>
    </row>
    <row r="989" spans="1:4" x14ac:dyDescent="0.55000000000000004">
      <c r="A989">
        <f t="shared" si="32"/>
        <v>2021</v>
      </c>
      <c r="B989" s="821">
        <v>44250</v>
      </c>
      <c r="C989">
        <v>2.21</v>
      </c>
      <c r="D989">
        <f t="shared" si="33"/>
        <v>0</v>
      </c>
    </row>
    <row r="990" spans="1:4" x14ac:dyDescent="0.55000000000000004">
      <c r="A990">
        <f t="shared" si="32"/>
        <v>2021</v>
      </c>
      <c r="B990" s="821">
        <v>44249</v>
      </c>
      <c r="C990">
        <v>2.19</v>
      </c>
      <c r="D990">
        <f t="shared" si="33"/>
        <v>0</v>
      </c>
    </row>
    <row r="991" spans="1:4" x14ac:dyDescent="0.55000000000000004">
      <c r="A991">
        <f t="shared" si="32"/>
        <v>2021</v>
      </c>
      <c r="B991" s="821">
        <v>44246</v>
      </c>
      <c r="C991">
        <v>2.14</v>
      </c>
      <c r="D991">
        <f t="shared" si="33"/>
        <v>0</v>
      </c>
    </row>
    <row r="992" spans="1:4" x14ac:dyDescent="0.55000000000000004">
      <c r="A992">
        <f t="shared" si="32"/>
        <v>2021</v>
      </c>
      <c r="B992" s="821">
        <v>44245</v>
      </c>
      <c r="C992">
        <v>2.08</v>
      </c>
      <c r="D992">
        <f t="shared" si="33"/>
        <v>0</v>
      </c>
    </row>
    <row r="993" spans="1:4" x14ac:dyDescent="0.55000000000000004">
      <c r="A993">
        <f t="shared" si="32"/>
        <v>2021</v>
      </c>
      <c r="B993" s="821">
        <v>44244</v>
      </c>
      <c r="C993">
        <v>2.06</v>
      </c>
      <c r="D993">
        <f t="shared" si="33"/>
        <v>0</v>
      </c>
    </row>
    <row r="994" spans="1:4" x14ac:dyDescent="0.55000000000000004">
      <c r="A994">
        <f t="shared" si="32"/>
        <v>2021</v>
      </c>
      <c r="B994" s="821">
        <v>44243</v>
      </c>
      <c r="C994">
        <v>2.08</v>
      </c>
      <c r="D994">
        <f t="shared" si="33"/>
        <v>0</v>
      </c>
    </row>
    <row r="995" spans="1:4" x14ac:dyDescent="0.55000000000000004">
      <c r="A995">
        <f t="shared" si="32"/>
        <v>2021</v>
      </c>
      <c r="B995" s="821">
        <v>44239</v>
      </c>
      <c r="C995">
        <v>2.0099999999999998</v>
      </c>
      <c r="D995">
        <f t="shared" si="33"/>
        <v>0</v>
      </c>
    </row>
    <row r="996" spans="1:4" x14ac:dyDescent="0.55000000000000004">
      <c r="A996">
        <f t="shared" si="32"/>
        <v>2021</v>
      </c>
      <c r="B996" s="821">
        <v>44238</v>
      </c>
      <c r="C996">
        <v>1.94</v>
      </c>
      <c r="D996">
        <f t="shared" si="33"/>
        <v>0</v>
      </c>
    </row>
    <row r="997" spans="1:4" x14ac:dyDescent="0.55000000000000004">
      <c r="A997">
        <f t="shared" si="32"/>
        <v>2021</v>
      </c>
      <c r="B997" s="821">
        <v>44237</v>
      </c>
      <c r="C997">
        <v>1.92</v>
      </c>
      <c r="D997">
        <f t="shared" si="33"/>
        <v>0</v>
      </c>
    </row>
    <row r="998" spans="1:4" x14ac:dyDescent="0.55000000000000004">
      <c r="A998">
        <f t="shared" si="32"/>
        <v>2021</v>
      </c>
      <c r="B998" s="821">
        <v>44236</v>
      </c>
      <c r="C998">
        <v>1.95</v>
      </c>
      <c r="D998">
        <f t="shared" si="33"/>
        <v>0</v>
      </c>
    </row>
    <row r="999" spans="1:4" x14ac:dyDescent="0.55000000000000004">
      <c r="A999">
        <f t="shared" si="32"/>
        <v>2021</v>
      </c>
      <c r="B999" s="821">
        <v>44235</v>
      </c>
      <c r="C999">
        <v>1.96</v>
      </c>
      <c r="D999">
        <f t="shared" si="33"/>
        <v>0</v>
      </c>
    </row>
    <row r="1000" spans="1:4" x14ac:dyDescent="0.55000000000000004">
      <c r="A1000">
        <f t="shared" si="32"/>
        <v>2021</v>
      </c>
      <c r="B1000" s="821">
        <v>44232</v>
      </c>
      <c r="C1000">
        <v>1.97</v>
      </c>
      <c r="D1000">
        <f t="shared" si="33"/>
        <v>0</v>
      </c>
    </row>
    <row r="1001" spans="1:4" x14ac:dyDescent="0.55000000000000004">
      <c r="A1001">
        <f t="shared" si="32"/>
        <v>2021</v>
      </c>
      <c r="B1001" s="821">
        <v>44231</v>
      </c>
      <c r="C1001">
        <v>1.93</v>
      </c>
      <c r="D1001">
        <f t="shared" si="33"/>
        <v>0</v>
      </c>
    </row>
    <row r="1002" spans="1:4" x14ac:dyDescent="0.55000000000000004">
      <c r="A1002">
        <f t="shared" si="32"/>
        <v>2021</v>
      </c>
      <c r="B1002" s="821">
        <v>44230</v>
      </c>
      <c r="C1002">
        <v>1.92</v>
      </c>
      <c r="D1002">
        <f t="shared" si="33"/>
        <v>0</v>
      </c>
    </row>
    <row r="1003" spans="1:4" x14ac:dyDescent="0.55000000000000004">
      <c r="A1003">
        <f t="shared" si="32"/>
        <v>2021</v>
      </c>
      <c r="B1003" s="821">
        <v>44229</v>
      </c>
      <c r="C1003">
        <v>1.87</v>
      </c>
      <c r="D1003">
        <f t="shared" si="33"/>
        <v>0</v>
      </c>
    </row>
    <row r="1004" spans="1:4" x14ac:dyDescent="0.55000000000000004">
      <c r="A1004">
        <f t="shared" si="32"/>
        <v>2021</v>
      </c>
      <c r="B1004" s="821">
        <v>44228</v>
      </c>
      <c r="C1004">
        <v>1.84</v>
      </c>
      <c r="D1004">
        <f t="shared" si="33"/>
        <v>0</v>
      </c>
    </row>
    <row r="1005" spans="1:4" x14ac:dyDescent="0.55000000000000004">
      <c r="A1005">
        <f t="shared" si="32"/>
        <v>2021</v>
      </c>
      <c r="B1005" s="821">
        <v>44225</v>
      </c>
      <c r="C1005">
        <v>1.87</v>
      </c>
      <c r="D1005">
        <f t="shared" si="33"/>
        <v>0</v>
      </c>
    </row>
    <row r="1006" spans="1:4" x14ac:dyDescent="0.55000000000000004">
      <c r="A1006">
        <f t="shared" si="32"/>
        <v>2021</v>
      </c>
      <c r="B1006" s="821">
        <v>44224</v>
      </c>
      <c r="C1006">
        <v>1.81</v>
      </c>
      <c r="D1006">
        <f t="shared" si="33"/>
        <v>0</v>
      </c>
    </row>
    <row r="1007" spans="1:4" x14ac:dyDescent="0.55000000000000004">
      <c r="A1007">
        <f t="shared" si="32"/>
        <v>2021</v>
      </c>
      <c r="B1007" s="821">
        <v>44223</v>
      </c>
      <c r="C1007">
        <v>1.79</v>
      </c>
      <c r="D1007">
        <f t="shared" si="33"/>
        <v>0</v>
      </c>
    </row>
    <row r="1008" spans="1:4" x14ac:dyDescent="0.55000000000000004">
      <c r="A1008">
        <f t="shared" si="32"/>
        <v>2021</v>
      </c>
      <c r="B1008" s="821">
        <v>44222</v>
      </c>
      <c r="C1008">
        <v>1.8</v>
      </c>
      <c r="D1008">
        <f t="shared" si="33"/>
        <v>0</v>
      </c>
    </row>
    <row r="1009" spans="1:4" x14ac:dyDescent="0.55000000000000004">
      <c r="A1009">
        <f t="shared" si="32"/>
        <v>2021</v>
      </c>
      <c r="B1009" s="821">
        <v>44221</v>
      </c>
      <c r="C1009">
        <v>1.8</v>
      </c>
      <c r="D1009">
        <f t="shared" si="33"/>
        <v>0</v>
      </c>
    </row>
    <row r="1010" spans="1:4" x14ac:dyDescent="0.55000000000000004">
      <c r="A1010">
        <f t="shared" si="32"/>
        <v>2021</v>
      </c>
      <c r="B1010" s="821">
        <v>44218</v>
      </c>
      <c r="C1010">
        <v>1.85</v>
      </c>
      <c r="D1010">
        <f t="shared" si="33"/>
        <v>0</v>
      </c>
    </row>
    <row r="1011" spans="1:4" x14ac:dyDescent="0.55000000000000004">
      <c r="A1011">
        <f t="shared" si="32"/>
        <v>2021</v>
      </c>
      <c r="B1011" s="821">
        <v>44217</v>
      </c>
      <c r="C1011">
        <v>1.87</v>
      </c>
      <c r="D1011">
        <f t="shared" si="33"/>
        <v>0</v>
      </c>
    </row>
    <row r="1012" spans="1:4" x14ac:dyDescent="0.55000000000000004">
      <c r="A1012">
        <f t="shared" si="32"/>
        <v>2021</v>
      </c>
      <c r="B1012" s="821">
        <v>44216</v>
      </c>
      <c r="C1012">
        <v>1.84</v>
      </c>
      <c r="D1012">
        <f t="shared" si="33"/>
        <v>0</v>
      </c>
    </row>
    <row r="1013" spans="1:4" x14ac:dyDescent="0.55000000000000004">
      <c r="A1013">
        <f t="shared" si="32"/>
        <v>2021</v>
      </c>
      <c r="B1013" s="821">
        <v>44215</v>
      </c>
      <c r="C1013">
        <v>1.84</v>
      </c>
      <c r="D1013">
        <f t="shared" si="33"/>
        <v>0</v>
      </c>
    </row>
    <row r="1014" spans="1:4" x14ac:dyDescent="0.55000000000000004">
      <c r="A1014">
        <f t="shared" si="32"/>
        <v>2021</v>
      </c>
      <c r="B1014" s="821">
        <v>44211</v>
      </c>
      <c r="C1014">
        <v>1.85</v>
      </c>
      <c r="D1014">
        <f t="shared" si="33"/>
        <v>0</v>
      </c>
    </row>
    <row r="1015" spans="1:4" x14ac:dyDescent="0.55000000000000004">
      <c r="A1015">
        <f t="shared" si="32"/>
        <v>2021</v>
      </c>
      <c r="B1015" s="821">
        <v>44210</v>
      </c>
      <c r="C1015">
        <v>1.88</v>
      </c>
      <c r="D1015">
        <f t="shared" si="33"/>
        <v>0</v>
      </c>
    </row>
    <row r="1016" spans="1:4" x14ac:dyDescent="0.55000000000000004">
      <c r="A1016">
        <f t="shared" si="32"/>
        <v>2021</v>
      </c>
      <c r="B1016" s="821">
        <v>44209</v>
      </c>
      <c r="C1016">
        <v>1.82</v>
      </c>
      <c r="D1016">
        <f t="shared" si="33"/>
        <v>0</v>
      </c>
    </row>
    <row r="1017" spans="1:4" x14ac:dyDescent="0.55000000000000004">
      <c r="A1017">
        <f t="shared" si="32"/>
        <v>2021</v>
      </c>
      <c r="B1017" s="821">
        <v>44208</v>
      </c>
      <c r="C1017">
        <v>1.88</v>
      </c>
      <c r="D1017">
        <f t="shared" si="33"/>
        <v>0</v>
      </c>
    </row>
    <row r="1018" spans="1:4" x14ac:dyDescent="0.55000000000000004">
      <c r="A1018">
        <f t="shared" si="32"/>
        <v>2021</v>
      </c>
      <c r="B1018" s="821">
        <v>44207</v>
      </c>
      <c r="C1018">
        <v>1.88</v>
      </c>
      <c r="D1018">
        <f t="shared" si="33"/>
        <v>0</v>
      </c>
    </row>
    <row r="1019" spans="1:4" x14ac:dyDescent="0.55000000000000004">
      <c r="A1019">
        <f t="shared" si="32"/>
        <v>2021</v>
      </c>
      <c r="B1019" s="821">
        <v>44204</v>
      </c>
      <c r="C1019">
        <v>1.87</v>
      </c>
      <c r="D1019">
        <f t="shared" si="33"/>
        <v>0</v>
      </c>
    </row>
    <row r="1020" spans="1:4" x14ac:dyDescent="0.55000000000000004">
      <c r="A1020">
        <f t="shared" si="32"/>
        <v>2021</v>
      </c>
      <c r="B1020" s="821">
        <v>44203</v>
      </c>
      <c r="C1020">
        <v>1.85</v>
      </c>
      <c r="D1020">
        <f t="shared" si="33"/>
        <v>0</v>
      </c>
    </row>
    <row r="1021" spans="1:4" x14ac:dyDescent="0.55000000000000004">
      <c r="A1021">
        <f t="shared" si="32"/>
        <v>2021</v>
      </c>
      <c r="B1021" s="821">
        <v>44202</v>
      </c>
      <c r="C1021">
        <v>1.81</v>
      </c>
      <c r="D1021">
        <f t="shared" si="33"/>
        <v>0</v>
      </c>
    </row>
    <row r="1022" spans="1:4" x14ac:dyDescent="0.55000000000000004">
      <c r="A1022">
        <f t="shared" si="32"/>
        <v>2021</v>
      </c>
      <c r="B1022" s="821">
        <v>44201</v>
      </c>
      <c r="C1022">
        <v>1.7</v>
      </c>
      <c r="D1022">
        <f t="shared" si="33"/>
        <v>0</v>
      </c>
    </row>
    <row r="1023" spans="1:4" x14ac:dyDescent="0.55000000000000004">
      <c r="A1023">
        <f t="shared" si="32"/>
        <v>2021</v>
      </c>
      <c r="B1023" s="821">
        <v>44200</v>
      </c>
      <c r="C1023">
        <v>1.66</v>
      </c>
      <c r="D1023">
        <f t="shared" si="33"/>
        <v>0</v>
      </c>
    </row>
    <row r="1024" spans="1:4" x14ac:dyDescent="0.55000000000000004">
      <c r="A1024">
        <f t="shared" si="32"/>
        <v>2020</v>
      </c>
      <c r="B1024" s="821">
        <v>44196</v>
      </c>
      <c r="C1024">
        <v>1.65</v>
      </c>
      <c r="D1024">
        <f t="shared" si="33"/>
        <v>0</v>
      </c>
    </row>
    <row r="1025" spans="1:4" x14ac:dyDescent="0.55000000000000004">
      <c r="A1025">
        <f t="shared" si="32"/>
        <v>2020</v>
      </c>
      <c r="B1025" s="821">
        <v>44195</v>
      </c>
      <c r="C1025">
        <v>1.66</v>
      </c>
      <c r="D1025">
        <f t="shared" si="33"/>
        <v>0</v>
      </c>
    </row>
    <row r="1026" spans="1:4" x14ac:dyDescent="0.55000000000000004">
      <c r="A1026">
        <f t="shared" si="32"/>
        <v>2020</v>
      </c>
      <c r="B1026" s="821">
        <v>44194</v>
      </c>
      <c r="C1026">
        <v>1.67</v>
      </c>
      <c r="D1026">
        <f t="shared" si="33"/>
        <v>0</v>
      </c>
    </row>
    <row r="1027" spans="1:4" x14ac:dyDescent="0.55000000000000004">
      <c r="A1027">
        <f t="shared" si="32"/>
        <v>2020</v>
      </c>
      <c r="B1027" s="821">
        <v>44193</v>
      </c>
      <c r="C1027">
        <v>1.67</v>
      </c>
      <c r="D1027">
        <f t="shared" si="33"/>
        <v>0</v>
      </c>
    </row>
    <row r="1028" spans="1:4" x14ac:dyDescent="0.55000000000000004">
      <c r="A1028">
        <f t="shared" ref="A1028:A1091" si="34">YEAR(B1028)</f>
        <v>2020</v>
      </c>
      <c r="B1028" s="821">
        <v>44189</v>
      </c>
      <c r="C1028">
        <v>1.66</v>
      </c>
      <c r="D1028">
        <f t="shared" ref="D1028:D1091" si="35">IF(C1028&gt;4,1,0)</f>
        <v>0</v>
      </c>
    </row>
    <row r="1029" spans="1:4" x14ac:dyDescent="0.55000000000000004">
      <c r="A1029">
        <f t="shared" si="34"/>
        <v>2020</v>
      </c>
      <c r="B1029" s="821">
        <v>44188</v>
      </c>
      <c r="C1029">
        <v>1.7</v>
      </c>
      <c r="D1029">
        <f t="shared" si="35"/>
        <v>0</v>
      </c>
    </row>
    <row r="1030" spans="1:4" x14ac:dyDescent="0.55000000000000004">
      <c r="A1030">
        <f t="shared" si="34"/>
        <v>2020</v>
      </c>
      <c r="B1030" s="821">
        <v>44187</v>
      </c>
      <c r="C1030">
        <v>1.65</v>
      </c>
      <c r="D1030">
        <f t="shared" si="35"/>
        <v>0</v>
      </c>
    </row>
    <row r="1031" spans="1:4" x14ac:dyDescent="0.55000000000000004">
      <c r="A1031">
        <f t="shared" si="34"/>
        <v>2020</v>
      </c>
      <c r="B1031" s="821">
        <v>44186</v>
      </c>
      <c r="C1031">
        <v>1.68</v>
      </c>
      <c r="D1031">
        <f t="shared" si="35"/>
        <v>0</v>
      </c>
    </row>
    <row r="1032" spans="1:4" x14ac:dyDescent="0.55000000000000004">
      <c r="A1032">
        <f t="shared" si="34"/>
        <v>2020</v>
      </c>
      <c r="B1032" s="821">
        <v>44183</v>
      </c>
      <c r="C1032">
        <v>1.7</v>
      </c>
      <c r="D1032">
        <f t="shared" si="35"/>
        <v>0</v>
      </c>
    </row>
    <row r="1033" spans="1:4" x14ac:dyDescent="0.55000000000000004">
      <c r="A1033">
        <f t="shared" si="34"/>
        <v>2020</v>
      </c>
      <c r="B1033" s="821">
        <v>44182</v>
      </c>
      <c r="C1033">
        <v>1.68</v>
      </c>
      <c r="D1033">
        <f t="shared" si="35"/>
        <v>0</v>
      </c>
    </row>
    <row r="1034" spans="1:4" x14ac:dyDescent="0.55000000000000004">
      <c r="A1034">
        <f t="shared" si="34"/>
        <v>2020</v>
      </c>
      <c r="B1034" s="821">
        <v>44181</v>
      </c>
      <c r="C1034">
        <v>1.66</v>
      </c>
      <c r="D1034">
        <f t="shared" si="35"/>
        <v>0</v>
      </c>
    </row>
    <row r="1035" spans="1:4" x14ac:dyDescent="0.55000000000000004">
      <c r="A1035">
        <f t="shared" si="34"/>
        <v>2020</v>
      </c>
      <c r="B1035" s="821">
        <v>44180</v>
      </c>
      <c r="C1035">
        <v>1.65</v>
      </c>
      <c r="D1035">
        <f t="shared" si="35"/>
        <v>0</v>
      </c>
    </row>
    <row r="1036" spans="1:4" x14ac:dyDescent="0.55000000000000004">
      <c r="A1036">
        <f t="shared" si="34"/>
        <v>2020</v>
      </c>
      <c r="B1036" s="821">
        <v>44179</v>
      </c>
      <c r="C1036">
        <v>1.63</v>
      </c>
      <c r="D1036">
        <f t="shared" si="35"/>
        <v>0</v>
      </c>
    </row>
    <row r="1037" spans="1:4" x14ac:dyDescent="0.55000000000000004">
      <c r="A1037">
        <f t="shared" si="34"/>
        <v>2020</v>
      </c>
      <c r="B1037" s="821">
        <v>44176</v>
      </c>
      <c r="C1037">
        <v>1.63</v>
      </c>
      <c r="D1037">
        <f t="shared" si="35"/>
        <v>0</v>
      </c>
    </row>
    <row r="1038" spans="1:4" x14ac:dyDescent="0.55000000000000004">
      <c r="A1038">
        <f t="shared" si="34"/>
        <v>2020</v>
      </c>
      <c r="B1038" s="821">
        <v>44175</v>
      </c>
      <c r="C1038">
        <v>1.65</v>
      </c>
      <c r="D1038">
        <f t="shared" si="35"/>
        <v>0</v>
      </c>
    </row>
    <row r="1039" spans="1:4" x14ac:dyDescent="0.55000000000000004">
      <c r="A1039">
        <f t="shared" si="34"/>
        <v>2020</v>
      </c>
      <c r="B1039" s="821">
        <v>44174</v>
      </c>
      <c r="C1039">
        <v>1.69</v>
      </c>
      <c r="D1039">
        <f t="shared" si="35"/>
        <v>0</v>
      </c>
    </row>
    <row r="1040" spans="1:4" x14ac:dyDescent="0.55000000000000004">
      <c r="A1040">
        <f t="shared" si="34"/>
        <v>2020</v>
      </c>
      <c r="B1040" s="821">
        <v>44173</v>
      </c>
      <c r="C1040">
        <v>1.67</v>
      </c>
      <c r="D1040">
        <f t="shared" si="35"/>
        <v>0</v>
      </c>
    </row>
    <row r="1041" spans="1:4" x14ac:dyDescent="0.55000000000000004">
      <c r="A1041">
        <f t="shared" si="34"/>
        <v>2020</v>
      </c>
      <c r="B1041" s="821">
        <v>44172</v>
      </c>
      <c r="C1041">
        <v>1.69</v>
      </c>
      <c r="D1041">
        <f t="shared" si="35"/>
        <v>0</v>
      </c>
    </row>
    <row r="1042" spans="1:4" x14ac:dyDescent="0.55000000000000004">
      <c r="A1042">
        <f t="shared" si="34"/>
        <v>2020</v>
      </c>
      <c r="B1042" s="821">
        <v>44169</v>
      </c>
      <c r="C1042">
        <v>1.73</v>
      </c>
      <c r="D1042">
        <f t="shared" si="35"/>
        <v>0</v>
      </c>
    </row>
    <row r="1043" spans="1:4" x14ac:dyDescent="0.55000000000000004">
      <c r="A1043">
        <f t="shared" si="34"/>
        <v>2020</v>
      </c>
      <c r="B1043" s="821">
        <v>44168</v>
      </c>
      <c r="C1043">
        <v>1.67</v>
      </c>
      <c r="D1043">
        <f t="shared" si="35"/>
        <v>0</v>
      </c>
    </row>
    <row r="1044" spans="1:4" x14ac:dyDescent="0.55000000000000004">
      <c r="A1044">
        <f t="shared" si="34"/>
        <v>2020</v>
      </c>
      <c r="B1044" s="821">
        <v>44167</v>
      </c>
      <c r="C1044">
        <v>1.7</v>
      </c>
      <c r="D1044">
        <f t="shared" si="35"/>
        <v>0</v>
      </c>
    </row>
    <row r="1045" spans="1:4" x14ac:dyDescent="0.55000000000000004">
      <c r="A1045">
        <f t="shared" si="34"/>
        <v>2020</v>
      </c>
      <c r="B1045" s="821">
        <v>44166</v>
      </c>
      <c r="C1045">
        <v>1.66</v>
      </c>
      <c r="D1045">
        <f t="shared" si="35"/>
        <v>0</v>
      </c>
    </row>
    <row r="1046" spans="1:4" x14ac:dyDescent="0.55000000000000004">
      <c r="A1046">
        <f t="shared" si="34"/>
        <v>2020</v>
      </c>
      <c r="B1046" s="821">
        <v>44165</v>
      </c>
      <c r="C1046">
        <v>1.58</v>
      </c>
      <c r="D1046">
        <f t="shared" si="35"/>
        <v>0</v>
      </c>
    </row>
    <row r="1047" spans="1:4" x14ac:dyDescent="0.55000000000000004">
      <c r="A1047">
        <f t="shared" si="34"/>
        <v>2020</v>
      </c>
      <c r="B1047" s="821">
        <v>44162</v>
      </c>
      <c r="C1047">
        <v>1.57</v>
      </c>
      <c r="D1047">
        <f t="shared" si="35"/>
        <v>0</v>
      </c>
    </row>
    <row r="1048" spans="1:4" x14ac:dyDescent="0.55000000000000004">
      <c r="A1048">
        <f t="shared" si="34"/>
        <v>2020</v>
      </c>
      <c r="B1048" s="821">
        <v>44160</v>
      </c>
      <c r="C1048">
        <v>1.62</v>
      </c>
      <c r="D1048">
        <f t="shared" si="35"/>
        <v>0</v>
      </c>
    </row>
    <row r="1049" spans="1:4" x14ac:dyDescent="0.55000000000000004">
      <c r="A1049">
        <f t="shared" si="34"/>
        <v>2020</v>
      </c>
      <c r="B1049" s="821">
        <v>44159</v>
      </c>
      <c r="C1049">
        <v>1.6</v>
      </c>
      <c r="D1049">
        <f t="shared" si="35"/>
        <v>0</v>
      </c>
    </row>
    <row r="1050" spans="1:4" x14ac:dyDescent="0.55000000000000004">
      <c r="A1050">
        <f t="shared" si="34"/>
        <v>2020</v>
      </c>
      <c r="B1050" s="821">
        <v>44158</v>
      </c>
      <c r="C1050">
        <v>1.56</v>
      </c>
      <c r="D1050">
        <f t="shared" si="35"/>
        <v>0</v>
      </c>
    </row>
    <row r="1051" spans="1:4" x14ac:dyDescent="0.55000000000000004">
      <c r="A1051">
        <f t="shared" si="34"/>
        <v>2020</v>
      </c>
      <c r="B1051" s="821">
        <v>44155</v>
      </c>
      <c r="C1051">
        <v>1.53</v>
      </c>
      <c r="D1051">
        <f t="shared" si="35"/>
        <v>0</v>
      </c>
    </row>
    <row r="1052" spans="1:4" x14ac:dyDescent="0.55000000000000004">
      <c r="A1052">
        <f t="shared" si="34"/>
        <v>2020</v>
      </c>
      <c r="B1052" s="821">
        <v>44154</v>
      </c>
      <c r="C1052">
        <v>1.58</v>
      </c>
      <c r="D1052">
        <f t="shared" si="35"/>
        <v>0</v>
      </c>
    </row>
    <row r="1053" spans="1:4" x14ac:dyDescent="0.55000000000000004">
      <c r="A1053">
        <f t="shared" si="34"/>
        <v>2020</v>
      </c>
      <c r="B1053" s="821">
        <v>44153</v>
      </c>
      <c r="C1053">
        <v>1.62</v>
      </c>
      <c r="D1053">
        <f t="shared" si="35"/>
        <v>0</v>
      </c>
    </row>
    <row r="1054" spans="1:4" x14ac:dyDescent="0.55000000000000004">
      <c r="A1054">
        <f t="shared" si="34"/>
        <v>2020</v>
      </c>
      <c r="B1054" s="821">
        <v>44152</v>
      </c>
      <c r="C1054">
        <v>1.62</v>
      </c>
      <c r="D1054">
        <f t="shared" si="35"/>
        <v>0</v>
      </c>
    </row>
    <row r="1055" spans="1:4" x14ac:dyDescent="0.55000000000000004">
      <c r="A1055">
        <f t="shared" si="34"/>
        <v>2020</v>
      </c>
      <c r="B1055" s="821">
        <v>44151</v>
      </c>
      <c r="C1055">
        <v>1.66</v>
      </c>
      <c r="D1055">
        <f t="shared" si="35"/>
        <v>0</v>
      </c>
    </row>
    <row r="1056" spans="1:4" x14ac:dyDescent="0.55000000000000004">
      <c r="A1056">
        <f t="shared" si="34"/>
        <v>2020</v>
      </c>
      <c r="B1056" s="821">
        <v>44148</v>
      </c>
      <c r="C1056">
        <v>1.65</v>
      </c>
      <c r="D1056">
        <f t="shared" si="35"/>
        <v>0</v>
      </c>
    </row>
    <row r="1057" spans="1:4" x14ac:dyDescent="0.55000000000000004">
      <c r="A1057">
        <f t="shared" si="34"/>
        <v>2020</v>
      </c>
      <c r="B1057" s="821">
        <v>44147</v>
      </c>
      <c r="C1057">
        <v>1.64</v>
      </c>
      <c r="D1057">
        <f t="shared" si="35"/>
        <v>0</v>
      </c>
    </row>
    <row r="1058" spans="1:4" x14ac:dyDescent="0.55000000000000004">
      <c r="A1058">
        <f t="shared" si="34"/>
        <v>2020</v>
      </c>
      <c r="B1058" s="821">
        <v>44145</v>
      </c>
      <c r="C1058">
        <v>1.75</v>
      </c>
      <c r="D1058">
        <f t="shared" si="35"/>
        <v>0</v>
      </c>
    </row>
    <row r="1059" spans="1:4" x14ac:dyDescent="0.55000000000000004">
      <c r="A1059">
        <f t="shared" si="34"/>
        <v>2020</v>
      </c>
      <c r="B1059" s="821">
        <v>44144</v>
      </c>
      <c r="C1059">
        <v>1.73</v>
      </c>
      <c r="D1059">
        <f t="shared" si="35"/>
        <v>0</v>
      </c>
    </row>
    <row r="1060" spans="1:4" x14ac:dyDescent="0.55000000000000004">
      <c r="A1060">
        <f t="shared" si="34"/>
        <v>2020</v>
      </c>
      <c r="B1060" s="821">
        <v>44141</v>
      </c>
      <c r="C1060">
        <v>1.6</v>
      </c>
      <c r="D1060">
        <f t="shared" si="35"/>
        <v>0</v>
      </c>
    </row>
    <row r="1061" spans="1:4" x14ac:dyDescent="0.55000000000000004">
      <c r="A1061">
        <f t="shared" si="34"/>
        <v>2020</v>
      </c>
      <c r="B1061" s="821">
        <v>44140</v>
      </c>
      <c r="C1061">
        <v>1.54</v>
      </c>
      <c r="D1061">
        <f t="shared" si="35"/>
        <v>0</v>
      </c>
    </row>
    <row r="1062" spans="1:4" x14ac:dyDescent="0.55000000000000004">
      <c r="A1062">
        <f t="shared" si="34"/>
        <v>2020</v>
      </c>
      <c r="B1062" s="821">
        <v>44139</v>
      </c>
      <c r="C1062">
        <v>1.55</v>
      </c>
      <c r="D1062">
        <f t="shared" si="35"/>
        <v>0</v>
      </c>
    </row>
    <row r="1063" spans="1:4" x14ac:dyDescent="0.55000000000000004">
      <c r="A1063">
        <f t="shared" si="34"/>
        <v>2020</v>
      </c>
      <c r="B1063" s="821">
        <v>44138</v>
      </c>
      <c r="C1063">
        <v>1.66</v>
      </c>
      <c r="D1063">
        <f t="shared" si="35"/>
        <v>0</v>
      </c>
    </row>
    <row r="1064" spans="1:4" x14ac:dyDescent="0.55000000000000004">
      <c r="A1064">
        <f t="shared" si="34"/>
        <v>2020</v>
      </c>
      <c r="B1064" s="821">
        <v>44137</v>
      </c>
      <c r="C1064">
        <v>1.63</v>
      </c>
      <c r="D1064">
        <f t="shared" si="35"/>
        <v>0</v>
      </c>
    </row>
    <row r="1065" spans="1:4" x14ac:dyDescent="0.55000000000000004">
      <c r="A1065">
        <f t="shared" si="34"/>
        <v>2020</v>
      </c>
      <c r="B1065" s="821">
        <v>44134</v>
      </c>
      <c r="C1065">
        <v>1.65</v>
      </c>
      <c r="D1065">
        <f t="shared" si="35"/>
        <v>0</v>
      </c>
    </row>
    <row r="1066" spans="1:4" x14ac:dyDescent="0.55000000000000004">
      <c r="A1066">
        <f t="shared" si="34"/>
        <v>2020</v>
      </c>
      <c r="B1066" s="821">
        <v>44133</v>
      </c>
      <c r="C1066">
        <v>1.62</v>
      </c>
      <c r="D1066">
        <f t="shared" si="35"/>
        <v>0</v>
      </c>
    </row>
    <row r="1067" spans="1:4" x14ac:dyDescent="0.55000000000000004">
      <c r="A1067">
        <f t="shared" si="34"/>
        <v>2020</v>
      </c>
      <c r="B1067" s="821">
        <v>44132</v>
      </c>
      <c r="C1067">
        <v>1.56</v>
      </c>
      <c r="D1067">
        <f t="shared" si="35"/>
        <v>0</v>
      </c>
    </row>
    <row r="1068" spans="1:4" x14ac:dyDescent="0.55000000000000004">
      <c r="A1068">
        <f t="shared" si="34"/>
        <v>2020</v>
      </c>
      <c r="B1068" s="821">
        <v>44131</v>
      </c>
      <c r="C1068">
        <v>1.57</v>
      </c>
      <c r="D1068">
        <f t="shared" si="35"/>
        <v>0</v>
      </c>
    </row>
    <row r="1069" spans="1:4" x14ac:dyDescent="0.55000000000000004">
      <c r="A1069">
        <f t="shared" si="34"/>
        <v>2020</v>
      </c>
      <c r="B1069" s="821">
        <v>44130</v>
      </c>
      <c r="C1069">
        <v>1.59</v>
      </c>
      <c r="D1069">
        <f t="shared" si="35"/>
        <v>0</v>
      </c>
    </row>
    <row r="1070" spans="1:4" x14ac:dyDescent="0.55000000000000004">
      <c r="A1070">
        <f t="shared" si="34"/>
        <v>2020</v>
      </c>
      <c r="B1070" s="821">
        <v>44127</v>
      </c>
      <c r="C1070">
        <v>1.64</v>
      </c>
      <c r="D1070">
        <f t="shared" si="35"/>
        <v>0</v>
      </c>
    </row>
    <row r="1071" spans="1:4" x14ac:dyDescent="0.55000000000000004">
      <c r="A1071">
        <f t="shared" si="34"/>
        <v>2020</v>
      </c>
      <c r="B1071" s="821">
        <v>44126</v>
      </c>
      <c r="C1071">
        <v>1.67</v>
      </c>
      <c r="D1071">
        <f t="shared" si="35"/>
        <v>0</v>
      </c>
    </row>
    <row r="1072" spans="1:4" x14ac:dyDescent="0.55000000000000004">
      <c r="A1072">
        <f t="shared" si="34"/>
        <v>2020</v>
      </c>
      <c r="B1072" s="821">
        <v>44125</v>
      </c>
      <c r="C1072">
        <v>1.62</v>
      </c>
      <c r="D1072">
        <f t="shared" si="35"/>
        <v>0</v>
      </c>
    </row>
    <row r="1073" spans="1:4" x14ac:dyDescent="0.55000000000000004">
      <c r="A1073">
        <f t="shared" si="34"/>
        <v>2020</v>
      </c>
      <c r="B1073" s="821">
        <v>44124</v>
      </c>
      <c r="C1073">
        <v>1.6</v>
      </c>
      <c r="D1073">
        <f t="shared" si="35"/>
        <v>0</v>
      </c>
    </row>
    <row r="1074" spans="1:4" x14ac:dyDescent="0.55000000000000004">
      <c r="A1074">
        <f t="shared" si="34"/>
        <v>2020</v>
      </c>
      <c r="B1074" s="821">
        <v>44123</v>
      </c>
      <c r="C1074">
        <v>1.55</v>
      </c>
      <c r="D1074">
        <f t="shared" si="35"/>
        <v>0</v>
      </c>
    </row>
    <row r="1075" spans="1:4" x14ac:dyDescent="0.55000000000000004">
      <c r="A1075">
        <f t="shared" si="34"/>
        <v>2020</v>
      </c>
      <c r="B1075" s="821">
        <v>44120</v>
      </c>
      <c r="C1075">
        <v>1.52</v>
      </c>
      <c r="D1075">
        <f t="shared" si="35"/>
        <v>0</v>
      </c>
    </row>
    <row r="1076" spans="1:4" x14ac:dyDescent="0.55000000000000004">
      <c r="A1076">
        <f t="shared" si="34"/>
        <v>2020</v>
      </c>
      <c r="B1076" s="821">
        <v>44119</v>
      </c>
      <c r="C1076">
        <v>1.52</v>
      </c>
      <c r="D1076">
        <f t="shared" si="35"/>
        <v>0</v>
      </c>
    </row>
    <row r="1077" spans="1:4" x14ac:dyDescent="0.55000000000000004">
      <c r="A1077">
        <f t="shared" si="34"/>
        <v>2020</v>
      </c>
      <c r="B1077" s="821">
        <v>44118</v>
      </c>
      <c r="C1077">
        <v>1.5</v>
      </c>
      <c r="D1077">
        <f t="shared" si="35"/>
        <v>0</v>
      </c>
    </row>
    <row r="1078" spans="1:4" x14ac:dyDescent="0.55000000000000004">
      <c r="A1078">
        <f t="shared" si="34"/>
        <v>2020</v>
      </c>
      <c r="B1078" s="821">
        <v>44117</v>
      </c>
      <c r="C1078">
        <v>1.52</v>
      </c>
      <c r="D1078">
        <f t="shared" si="35"/>
        <v>0</v>
      </c>
    </row>
    <row r="1079" spans="1:4" x14ac:dyDescent="0.55000000000000004">
      <c r="A1079">
        <f t="shared" si="34"/>
        <v>2020</v>
      </c>
      <c r="B1079" s="821">
        <v>44113</v>
      </c>
      <c r="C1079">
        <v>1.58</v>
      </c>
      <c r="D1079">
        <f t="shared" si="35"/>
        <v>0</v>
      </c>
    </row>
    <row r="1080" spans="1:4" x14ac:dyDescent="0.55000000000000004">
      <c r="A1080">
        <f t="shared" si="34"/>
        <v>2020</v>
      </c>
      <c r="B1080" s="821">
        <v>44112</v>
      </c>
      <c r="C1080">
        <v>1.57</v>
      </c>
      <c r="D1080">
        <f t="shared" si="35"/>
        <v>0</v>
      </c>
    </row>
    <row r="1081" spans="1:4" x14ac:dyDescent="0.55000000000000004">
      <c r="A1081">
        <f t="shared" si="34"/>
        <v>2020</v>
      </c>
      <c r="B1081" s="821">
        <v>44111</v>
      </c>
      <c r="C1081">
        <v>1.6</v>
      </c>
      <c r="D1081">
        <f t="shared" si="35"/>
        <v>0</v>
      </c>
    </row>
    <row r="1082" spans="1:4" x14ac:dyDescent="0.55000000000000004">
      <c r="A1082">
        <f t="shared" si="34"/>
        <v>2020</v>
      </c>
      <c r="B1082" s="821">
        <v>44110</v>
      </c>
      <c r="C1082">
        <v>1.56</v>
      </c>
      <c r="D1082">
        <f t="shared" si="35"/>
        <v>0</v>
      </c>
    </row>
    <row r="1083" spans="1:4" x14ac:dyDescent="0.55000000000000004">
      <c r="A1083">
        <f t="shared" si="34"/>
        <v>2020</v>
      </c>
      <c r="B1083" s="821">
        <v>44109</v>
      </c>
      <c r="C1083">
        <v>1.57</v>
      </c>
      <c r="D1083">
        <f t="shared" si="35"/>
        <v>0</v>
      </c>
    </row>
    <row r="1084" spans="1:4" x14ac:dyDescent="0.55000000000000004">
      <c r="A1084">
        <f t="shared" si="34"/>
        <v>2020</v>
      </c>
      <c r="B1084" s="821">
        <v>44106</v>
      </c>
      <c r="C1084">
        <v>1.48</v>
      </c>
      <c r="D1084">
        <f t="shared" si="35"/>
        <v>0</v>
      </c>
    </row>
    <row r="1085" spans="1:4" x14ac:dyDescent="0.55000000000000004">
      <c r="A1085">
        <f t="shared" si="34"/>
        <v>2020</v>
      </c>
      <c r="B1085" s="821">
        <v>44105</v>
      </c>
      <c r="C1085">
        <v>1.45</v>
      </c>
      <c r="D1085">
        <f t="shared" si="35"/>
        <v>0</v>
      </c>
    </row>
    <row r="1086" spans="1:4" x14ac:dyDescent="0.55000000000000004">
      <c r="A1086">
        <f t="shared" si="34"/>
        <v>2020</v>
      </c>
      <c r="B1086" s="821">
        <v>44104</v>
      </c>
      <c r="C1086">
        <v>1.46</v>
      </c>
      <c r="D1086">
        <f t="shared" si="35"/>
        <v>0</v>
      </c>
    </row>
    <row r="1087" spans="1:4" x14ac:dyDescent="0.55000000000000004">
      <c r="A1087">
        <f t="shared" si="34"/>
        <v>2020</v>
      </c>
      <c r="B1087" s="821">
        <v>44103</v>
      </c>
      <c r="C1087">
        <v>1.41</v>
      </c>
      <c r="D1087">
        <f t="shared" si="35"/>
        <v>0</v>
      </c>
    </row>
    <row r="1088" spans="1:4" x14ac:dyDescent="0.55000000000000004">
      <c r="A1088">
        <f t="shared" si="34"/>
        <v>2020</v>
      </c>
      <c r="B1088" s="821">
        <v>44102</v>
      </c>
      <c r="C1088">
        <v>1.42</v>
      </c>
      <c r="D1088">
        <f t="shared" si="35"/>
        <v>0</v>
      </c>
    </row>
    <row r="1089" spans="1:4" x14ac:dyDescent="0.55000000000000004">
      <c r="A1089">
        <f t="shared" si="34"/>
        <v>2020</v>
      </c>
      <c r="B1089" s="821">
        <v>44099</v>
      </c>
      <c r="C1089">
        <v>1.4</v>
      </c>
      <c r="D1089">
        <f t="shared" si="35"/>
        <v>0</v>
      </c>
    </row>
    <row r="1090" spans="1:4" x14ac:dyDescent="0.55000000000000004">
      <c r="A1090">
        <f t="shared" si="34"/>
        <v>2020</v>
      </c>
      <c r="B1090" s="821">
        <v>44098</v>
      </c>
      <c r="C1090">
        <v>1.4</v>
      </c>
      <c r="D1090">
        <f t="shared" si="35"/>
        <v>0</v>
      </c>
    </row>
    <row r="1091" spans="1:4" x14ac:dyDescent="0.55000000000000004">
      <c r="A1091">
        <f t="shared" si="34"/>
        <v>2020</v>
      </c>
      <c r="B1091" s="821">
        <v>44097</v>
      </c>
      <c r="C1091">
        <v>1.42</v>
      </c>
      <c r="D1091">
        <f t="shared" si="35"/>
        <v>0</v>
      </c>
    </row>
    <row r="1092" spans="1:4" x14ac:dyDescent="0.55000000000000004">
      <c r="A1092">
        <f t="shared" ref="A1092:A1155" si="36">YEAR(B1092)</f>
        <v>2020</v>
      </c>
      <c r="B1092" s="821">
        <v>44096</v>
      </c>
      <c r="C1092">
        <v>1.42</v>
      </c>
      <c r="D1092">
        <f t="shared" ref="D1092:D1155" si="37">IF(C1092&gt;4,1,0)</f>
        <v>0</v>
      </c>
    </row>
    <row r="1093" spans="1:4" x14ac:dyDescent="0.55000000000000004">
      <c r="A1093">
        <f t="shared" si="36"/>
        <v>2020</v>
      </c>
      <c r="B1093" s="821">
        <v>44095</v>
      </c>
      <c r="C1093">
        <v>1.43</v>
      </c>
      <c r="D1093">
        <f t="shared" si="37"/>
        <v>0</v>
      </c>
    </row>
    <row r="1094" spans="1:4" x14ac:dyDescent="0.55000000000000004">
      <c r="A1094">
        <f t="shared" si="36"/>
        <v>2020</v>
      </c>
      <c r="B1094" s="821">
        <v>44092</v>
      </c>
      <c r="C1094">
        <v>1.45</v>
      </c>
      <c r="D1094">
        <f t="shared" si="37"/>
        <v>0</v>
      </c>
    </row>
    <row r="1095" spans="1:4" x14ac:dyDescent="0.55000000000000004">
      <c r="A1095">
        <f t="shared" si="36"/>
        <v>2020</v>
      </c>
      <c r="B1095" s="821">
        <v>44091</v>
      </c>
      <c r="C1095">
        <v>1.43</v>
      </c>
      <c r="D1095">
        <f t="shared" si="37"/>
        <v>0</v>
      </c>
    </row>
    <row r="1096" spans="1:4" x14ac:dyDescent="0.55000000000000004">
      <c r="A1096">
        <f t="shared" si="36"/>
        <v>2020</v>
      </c>
      <c r="B1096" s="821">
        <v>44090</v>
      </c>
      <c r="C1096">
        <v>1.45</v>
      </c>
      <c r="D1096">
        <f t="shared" si="37"/>
        <v>0</v>
      </c>
    </row>
    <row r="1097" spans="1:4" x14ac:dyDescent="0.55000000000000004">
      <c r="A1097">
        <f t="shared" si="36"/>
        <v>2020</v>
      </c>
      <c r="B1097" s="821">
        <v>44089</v>
      </c>
      <c r="C1097">
        <v>1.43</v>
      </c>
      <c r="D1097">
        <f t="shared" si="37"/>
        <v>0</v>
      </c>
    </row>
    <row r="1098" spans="1:4" x14ac:dyDescent="0.55000000000000004">
      <c r="A1098">
        <f t="shared" si="36"/>
        <v>2020</v>
      </c>
      <c r="B1098" s="821">
        <v>44088</v>
      </c>
      <c r="C1098">
        <v>1.42</v>
      </c>
      <c r="D1098">
        <f t="shared" si="37"/>
        <v>0</v>
      </c>
    </row>
    <row r="1099" spans="1:4" x14ac:dyDescent="0.55000000000000004">
      <c r="A1099">
        <f t="shared" si="36"/>
        <v>2020</v>
      </c>
      <c r="B1099" s="821">
        <v>44085</v>
      </c>
      <c r="C1099">
        <v>1.42</v>
      </c>
      <c r="D1099">
        <f t="shared" si="37"/>
        <v>0</v>
      </c>
    </row>
    <row r="1100" spans="1:4" x14ac:dyDescent="0.55000000000000004">
      <c r="A1100">
        <f t="shared" si="36"/>
        <v>2020</v>
      </c>
      <c r="B1100" s="821">
        <v>44084</v>
      </c>
      <c r="C1100">
        <v>1.43</v>
      </c>
      <c r="D1100">
        <f t="shared" si="37"/>
        <v>0</v>
      </c>
    </row>
    <row r="1101" spans="1:4" x14ac:dyDescent="0.55000000000000004">
      <c r="A1101">
        <f t="shared" si="36"/>
        <v>2020</v>
      </c>
      <c r="B1101" s="821">
        <v>44083</v>
      </c>
      <c r="C1101">
        <v>1.45</v>
      </c>
      <c r="D1101">
        <f t="shared" si="37"/>
        <v>0</v>
      </c>
    </row>
    <row r="1102" spans="1:4" x14ac:dyDescent="0.55000000000000004">
      <c r="A1102">
        <f t="shared" si="36"/>
        <v>2020</v>
      </c>
      <c r="B1102" s="821">
        <v>44082</v>
      </c>
      <c r="C1102">
        <v>1.43</v>
      </c>
      <c r="D1102">
        <f t="shared" si="37"/>
        <v>0</v>
      </c>
    </row>
    <row r="1103" spans="1:4" x14ac:dyDescent="0.55000000000000004">
      <c r="A1103">
        <f t="shared" si="36"/>
        <v>2020</v>
      </c>
      <c r="B1103" s="821">
        <v>44078</v>
      </c>
      <c r="C1103">
        <v>1.46</v>
      </c>
      <c r="D1103">
        <f t="shared" si="37"/>
        <v>0</v>
      </c>
    </row>
    <row r="1104" spans="1:4" x14ac:dyDescent="0.55000000000000004">
      <c r="A1104">
        <f t="shared" si="36"/>
        <v>2020</v>
      </c>
      <c r="B1104" s="821">
        <v>44077</v>
      </c>
      <c r="C1104">
        <v>1.34</v>
      </c>
      <c r="D1104">
        <f t="shared" si="37"/>
        <v>0</v>
      </c>
    </row>
    <row r="1105" spans="1:4" x14ac:dyDescent="0.55000000000000004">
      <c r="A1105">
        <f t="shared" si="36"/>
        <v>2020</v>
      </c>
      <c r="B1105" s="821">
        <v>44076</v>
      </c>
      <c r="C1105">
        <v>1.38</v>
      </c>
      <c r="D1105">
        <f t="shared" si="37"/>
        <v>0</v>
      </c>
    </row>
    <row r="1106" spans="1:4" x14ac:dyDescent="0.55000000000000004">
      <c r="A1106">
        <f t="shared" si="36"/>
        <v>2020</v>
      </c>
      <c r="B1106" s="821">
        <v>44075</v>
      </c>
      <c r="C1106">
        <v>1.43</v>
      </c>
      <c r="D1106">
        <f t="shared" si="37"/>
        <v>0</v>
      </c>
    </row>
    <row r="1107" spans="1:4" x14ac:dyDescent="0.55000000000000004">
      <c r="A1107">
        <f t="shared" si="36"/>
        <v>2020</v>
      </c>
      <c r="B1107" s="821">
        <v>44074</v>
      </c>
      <c r="C1107">
        <v>1.49</v>
      </c>
      <c r="D1107">
        <f t="shared" si="37"/>
        <v>0</v>
      </c>
    </row>
    <row r="1108" spans="1:4" x14ac:dyDescent="0.55000000000000004">
      <c r="A1108">
        <f t="shared" si="36"/>
        <v>2020</v>
      </c>
      <c r="B1108" s="821">
        <v>44071</v>
      </c>
      <c r="C1108">
        <v>1.52</v>
      </c>
      <c r="D1108">
        <f t="shared" si="37"/>
        <v>0</v>
      </c>
    </row>
    <row r="1109" spans="1:4" x14ac:dyDescent="0.55000000000000004">
      <c r="A1109">
        <f t="shared" si="36"/>
        <v>2020</v>
      </c>
      <c r="B1109" s="821">
        <v>44070</v>
      </c>
      <c r="C1109">
        <v>1.5</v>
      </c>
      <c r="D1109">
        <f t="shared" si="37"/>
        <v>0</v>
      </c>
    </row>
    <row r="1110" spans="1:4" x14ac:dyDescent="0.55000000000000004">
      <c r="A1110">
        <f t="shared" si="36"/>
        <v>2020</v>
      </c>
      <c r="B1110" s="821">
        <v>44069</v>
      </c>
      <c r="C1110">
        <v>1.41</v>
      </c>
      <c r="D1110">
        <f t="shared" si="37"/>
        <v>0</v>
      </c>
    </row>
    <row r="1111" spans="1:4" x14ac:dyDescent="0.55000000000000004">
      <c r="A1111">
        <f t="shared" si="36"/>
        <v>2020</v>
      </c>
      <c r="B1111" s="821">
        <v>44068</v>
      </c>
      <c r="C1111">
        <v>1.39</v>
      </c>
      <c r="D1111">
        <f t="shared" si="37"/>
        <v>0</v>
      </c>
    </row>
    <row r="1112" spans="1:4" x14ac:dyDescent="0.55000000000000004">
      <c r="A1112">
        <f t="shared" si="36"/>
        <v>2020</v>
      </c>
      <c r="B1112" s="821">
        <v>44067</v>
      </c>
      <c r="C1112">
        <v>1.35</v>
      </c>
      <c r="D1112">
        <f t="shared" si="37"/>
        <v>0</v>
      </c>
    </row>
    <row r="1113" spans="1:4" x14ac:dyDescent="0.55000000000000004">
      <c r="A1113">
        <f t="shared" si="36"/>
        <v>2020</v>
      </c>
      <c r="B1113" s="821">
        <v>44064</v>
      </c>
      <c r="C1113">
        <v>1.35</v>
      </c>
      <c r="D1113">
        <f t="shared" si="37"/>
        <v>0</v>
      </c>
    </row>
    <row r="1114" spans="1:4" x14ac:dyDescent="0.55000000000000004">
      <c r="A1114">
        <f t="shared" si="36"/>
        <v>2020</v>
      </c>
      <c r="B1114" s="821">
        <v>44063</v>
      </c>
      <c r="C1114">
        <v>1.38</v>
      </c>
      <c r="D1114">
        <f t="shared" si="37"/>
        <v>0</v>
      </c>
    </row>
    <row r="1115" spans="1:4" x14ac:dyDescent="0.55000000000000004">
      <c r="A1115">
        <f t="shared" si="36"/>
        <v>2020</v>
      </c>
      <c r="B1115" s="821">
        <v>44062</v>
      </c>
      <c r="C1115">
        <v>1.42</v>
      </c>
      <c r="D1115">
        <f t="shared" si="37"/>
        <v>0</v>
      </c>
    </row>
    <row r="1116" spans="1:4" x14ac:dyDescent="0.55000000000000004">
      <c r="A1116">
        <f t="shared" si="36"/>
        <v>2020</v>
      </c>
      <c r="B1116" s="821">
        <v>44061</v>
      </c>
      <c r="C1116">
        <v>1.4</v>
      </c>
      <c r="D1116">
        <f t="shared" si="37"/>
        <v>0</v>
      </c>
    </row>
    <row r="1117" spans="1:4" x14ac:dyDescent="0.55000000000000004">
      <c r="A1117">
        <f t="shared" si="36"/>
        <v>2020</v>
      </c>
      <c r="B1117" s="821">
        <v>44060</v>
      </c>
      <c r="C1117">
        <v>1.43</v>
      </c>
      <c r="D1117">
        <f t="shared" si="37"/>
        <v>0</v>
      </c>
    </row>
    <row r="1118" spans="1:4" x14ac:dyDescent="0.55000000000000004">
      <c r="A1118">
        <f t="shared" si="36"/>
        <v>2020</v>
      </c>
      <c r="B1118" s="821">
        <v>44057</v>
      </c>
      <c r="C1118">
        <v>1.45</v>
      </c>
      <c r="D1118">
        <f t="shared" si="37"/>
        <v>0</v>
      </c>
    </row>
    <row r="1119" spans="1:4" x14ac:dyDescent="0.55000000000000004">
      <c r="A1119">
        <f t="shared" si="36"/>
        <v>2020</v>
      </c>
      <c r="B1119" s="821">
        <v>44056</v>
      </c>
      <c r="C1119">
        <v>1.42</v>
      </c>
      <c r="D1119">
        <f t="shared" si="37"/>
        <v>0</v>
      </c>
    </row>
    <row r="1120" spans="1:4" x14ac:dyDescent="0.55000000000000004">
      <c r="A1120">
        <f t="shared" si="36"/>
        <v>2020</v>
      </c>
      <c r="B1120" s="821">
        <v>44055</v>
      </c>
      <c r="C1120">
        <v>1.37</v>
      </c>
      <c r="D1120">
        <f t="shared" si="37"/>
        <v>0</v>
      </c>
    </row>
    <row r="1121" spans="1:4" x14ac:dyDescent="0.55000000000000004">
      <c r="A1121">
        <f t="shared" si="36"/>
        <v>2020</v>
      </c>
      <c r="B1121" s="821">
        <v>44054</v>
      </c>
      <c r="C1121">
        <v>1.32</v>
      </c>
      <c r="D1121">
        <f t="shared" si="37"/>
        <v>0</v>
      </c>
    </row>
    <row r="1122" spans="1:4" x14ac:dyDescent="0.55000000000000004">
      <c r="A1122">
        <f t="shared" si="36"/>
        <v>2020</v>
      </c>
      <c r="B1122" s="821">
        <v>44053</v>
      </c>
      <c r="C1122">
        <v>1.25</v>
      </c>
      <c r="D1122">
        <f t="shared" si="37"/>
        <v>0</v>
      </c>
    </row>
    <row r="1123" spans="1:4" x14ac:dyDescent="0.55000000000000004">
      <c r="A1123">
        <f t="shared" si="36"/>
        <v>2020</v>
      </c>
      <c r="B1123" s="821">
        <v>44050</v>
      </c>
      <c r="C1123">
        <v>1.23</v>
      </c>
      <c r="D1123">
        <f t="shared" si="37"/>
        <v>0</v>
      </c>
    </row>
    <row r="1124" spans="1:4" x14ac:dyDescent="0.55000000000000004">
      <c r="A1124">
        <f t="shared" si="36"/>
        <v>2020</v>
      </c>
      <c r="B1124" s="821">
        <v>44049</v>
      </c>
      <c r="C1124">
        <v>1.2</v>
      </c>
      <c r="D1124">
        <f t="shared" si="37"/>
        <v>0</v>
      </c>
    </row>
    <row r="1125" spans="1:4" x14ac:dyDescent="0.55000000000000004">
      <c r="A1125">
        <f t="shared" si="36"/>
        <v>2020</v>
      </c>
      <c r="B1125" s="821">
        <v>44048</v>
      </c>
      <c r="C1125">
        <v>1.22</v>
      </c>
      <c r="D1125">
        <f t="shared" si="37"/>
        <v>0</v>
      </c>
    </row>
    <row r="1126" spans="1:4" x14ac:dyDescent="0.55000000000000004">
      <c r="A1126">
        <f t="shared" si="36"/>
        <v>2020</v>
      </c>
      <c r="B1126" s="821">
        <v>44047</v>
      </c>
      <c r="C1126">
        <v>1.19</v>
      </c>
      <c r="D1126">
        <f t="shared" si="37"/>
        <v>0</v>
      </c>
    </row>
    <row r="1127" spans="1:4" x14ac:dyDescent="0.55000000000000004">
      <c r="A1127">
        <f t="shared" si="36"/>
        <v>2020</v>
      </c>
      <c r="B1127" s="821">
        <v>44046</v>
      </c>
      <c r="C1127">
        <v>1.23</v>
      </c>
      <c r="D1127">
        <f t="shared" si="37"/>
        <v>0</v>
      </c>
    </row>
    <row r="1128" spans="1:4" x14ac:dyDescent="0.55000000000000004">
      <c r="A1128">
        <f t="shared" si="36"/>
        <v>2020</v>
      </c>
      <c r="B1128" s="821">
        <v>44043</v>
      </c>
      <c r="C1128">
        <v>1.2</v>
      </c>
      <c r="D1128">
        <f t="shared" si="37"/>
        <v>0</v>
      </c>
    </row>
    <row r="1129" spans="1:4" x14ac:dyDescent="0.55000000000000004">
      <c r="A1129">
        <f t="shared" si="36"/>
        <v>2020</v>
      </c>
      <c r="B1129" s="821">
        <v>44042</v>
      </c>
      <c r="C1129">
        <v>1.2</v>
      </c>
      <c r="D1129">
        <f t="shared" si="37"/>
        <v>0</v>
      </c>
    </row>
    <row r="1130" spans="1:4" x14ac:dyDescent="0.55000000000000004">
      <c r="A1130">
        <f t="shared" si="36"/>
        <v>2020</v>
      </c>
      <c r="B1130" s="821">
        <v>44041</v>
      </c>
      <c r="C1130">
        <v>1.24</v>
      </c>
      <c r="D1130">
        <f t="shared" si="37"/>
        <v>0</v>
      </c>
    </row>
    <row r="1131" spans="1:4" x14ac:dyDescent="0.55000000000000004">
      <c r="A1131">
        <f t="shared" si="36"/>
        <v>2020</v>
      </c>
      <c r="B1131" s="821">
        <v>44040</v>
      </c>
      <c r="C1131">
        <v>1.22</v>
      </c>
      <c r="D1131">
        <f t="shared" si="37"/>
        <v>0</v>
      </c>
    </row>
    <row r="1132" spans="1:4" x14ac:dyDescent="0.55000000000000004">
      <c r="A1132">
        <f t="shared" si="36"/>
        <v>2020</v>
      </c>
      <c r="B1132" s="821">
        <v>44039</v>
      </c>
      <c r="C1132">
        <v>1.25</v>
      </c>
      <c r="D1132">
        <f t="shared" si="37"/>
        <v>0</v>
      </c>
    </row>
    <row r="1133" spans="1:4" x14ac:dyDescent="0.55000000000000004">
      <c r="A1133">
        <f t="shared" si="36"/>
        <v>2020</v>
      </c>
      <c r="B1133" s="821">
        <v>44036</v>
      </c>
      <c r="C1133">
        <v>1.23</v>
      </c>
      <c r="D1133">
        <f t="shared" si="37"/>
        <v>0</v>
      </c>
    </row>
    <row r="1134" spans="1:4" x14ac:dyDescent="0.55000000000000004">
      <c r="A1134">
        <f t="shared" si="36"/>
        <v>2020</v>
      </c>
      <c r="B1134" s="821">
        <v>44035</v>
      </c>
      <c r="C1134">
        <v>1.24</v>
      </c>
      <c r="D1134">
        <f t="shared" si="37"/>
        <v>0</v>
      </c>
    </row>
    <row r="1135" spans="1:4" x14ac:dyDescent="0.55000000000000004">
      <c r="A1135">
        <f t="shared" si="36"/>
        <v>2020</v>
      </c>
      <c r="B1135" s="821">
        <v>44034</v>
      </c>
      <c r="C1135">
        <v>1.29</v>
      </c>
      <c r="D1135">
        <f t="shared" si="37"/>
        <v>0</v>
      </c>
    </row>
    <row r="1136" spans="1:4" x14ac:dyDescent="0.55000000000000004">
      <c r="A1136">
        <f t="shared" si="36"/>
        <v>2020</v>
      </c>
      <c r="B1136" s="821">
        <v>44033</v>
      </c>
      <c r="C1136">
        <v>1.31</v>
      </c>
      <c r="D1136">
        <f t="shared" si="37"/>
        <v>0</v>
      </c>
    </row>
    <row r="1137" spans="1:4" x14ac:dyDescent="0.55000000000000004">
      <c r="A1137">
        <f t="shared" si="36"/>
        <v>2020</v>
      </c>
      <c r="B1137" s="821">
        <v>44032</v>
      </c>
      <c r="C1137">
        <v>1.32</v>
      </c>
      <c r="D1137">
        <f t="shared" si="37"/>
        <v>0</v>
      </c>
    </row>
    <row r="1138" spans="1:4" x14ac:dyDescent="0.55000000000000004">
      <c r="A1138">
        <f t="shared" si="36"/>
        <v>2020</v>
      </c>
      <c r="B1138" s="821">
        <v>44029</v>
      </c>
      <c r="C1138">
        <v>1.33</v>
      </c>
      <c r="D1138">
        <f t="shared" si="37"/>
        <v>0</v>
      </c>
    </row>
    <row r="1139" spans="1:4" x14ac:dyDescent="0.55000000000000004">
      <c r="A1139">
        <f t="shared" si="36"/>
        <v>2020</v>
      </c>
      <c r="B1139" s="821">
        <v>44028</v>
      </c>
      <c r="C1139">
        <v>1.31</v>
      </c>
      <c r="D1139">
        <f t="shared" si="37"/>
        <v>0</v>
      </c>
    </row>
    <row r="1140" spans="1:4" x14ac:dyDescent="0.55000000000000004">
      <c r="A1140">
        <f t="shared" si="36"/>
        <v>2020</v>
      </c>
      <c r="B1140" s="821">
        <v>44027</v>
      </c>
      <c r="C1140">
        <v>1.33</v>
      </c>
      <c r="D1140">
        <f t="shared" si="37"/>
        <v>0</v>
      </c>
    </row>
    <row r="1141" spans="1:4" x14ac:dyDescent="0.55000000000000004">
      <c r="A1141">
        <f t="shared" si="36"/>
        <v>2020</v>
      </c>
      <c r="B1141" s="821">
        <v>44026</v>
      </c>
      <c r="C1141">
        <v>1.3</v>
      </c>
      <c r="D1141">
        <f t="shared" si="37"/>
        <v>0</v>
      </c>
    </row>
    <row r="1142" spans="1:4" x14ac:dyDescent="0.55000000000000004">
      <c r="A1142">
        <f t="shared" si="36"/>
        <v>2020</v>
      </c>
      <c r="B1142" s="821">
        <v>44025</v>
      </c>
      <c r="C1142">
        <v>1.33</v>
      </c>
      <c r="D1142">
        <f t="shared" si="37"/>
        <v>0</v>
      </c>
    </row>
    <row r="1143" spans="1:4" x14ac:dyDescent="0.55000000000000004">
      <c r="A1143">
        <f t="shared" si="36"/>
        <v>2020</v>
      </c>
      <c r="B1143" s="821">
        <v>44022</v>
      </c>
      <c r="C1143">
        <v>1.33</v>
      </c>
      <c r="D1143">
        <f t="shared" si="37"/>
        <v>0</v>
      </c>
    </row>
    <row r="1144" spans="1:4" x14ac:dyDescent="0.55000000000000004">
      <c r="A1144">
        <f t="shared" si="36"/>
        <v>2020</v>
      </c>
      <c r="B1144" s="821">
        <v>44021</v>
      </c>
      <c r="C1144">
        <v>1.32</v>
      </c>
      <c r="D1144">
        <f t="shared" si="37"/>
        <v>0</v>
      </c>
    </row>
    <row r="1145" spans="1:4" x14ac:dyDescent="0.55000000000000004">
      <c r="A1145">
        <f t="shared" si="36"/>
        <v>2020</v>
      </c>
      <c r="B1145" s="821">
        <v>44020</v>
      </c>
      <c r="C1145">
        <v>1.39</v>
      </c>
      <c r="D1145">
        <f t="shared" si="37"/>
        <v>0</v>
      </c>
    </row>
    <row r="1146" spans="1:4" x14ac:dyDescent="0.55000000000000004">
      <c r="A1146">
        <f t="shared" si="36"/>
        <v>2020</v>
      </c>
      <c r="B1146" s="821">
        <v>44019</v>
      </c>
      <c r="C1146">
        <v>1.38</v>
      </c>
      <c r="D1146">
        <f t="shared" si="37"/>
        <v>0</v>
      </c>
    </row>
    <row r="1147" spans="1:4" x14ac:dyDescent="0.55000000000000004">
      <c r="A1147">
        <f t="shared" si="36"/>
        <v>2020</v>
      </c>
      <c r="B1147" s="821">
        <v>44018</v>
      </c>
      <c r="C1147">
        <v>1.45</v>
      </c>
      <c r="D1147">
        <f t="shared" si="37"/>
        <v>0</v>
      </c>
    </row>
    <row r="1148" spans="1:4" x14ac:dyDescent="0.55000000000000004">
      <c r="A1148">
        <f t="shared" si="36"/>
        <v>2020</v>
      </c>
      <c r="B1148" s="821">
        <v>44014</v>
      </c>
      <c r="C1148">
        <v>1.43</v>
      </c>
      <c r="D1148">
        <f t="shared" si="37"/>
        <v>0</v>
      </c>
    </row>
    <row r="1149" spans="1:4" x14ac:dyDescent="0.55000000000000004">
      <c r="A1149">
        <f t="shared" si="36"/>
        <v>2020</v>
      </c>
      <c r="B1149" s="821">
        <v>44013</v>
      </c>
      <c r="C1149">
        <v>1.43</v>
      </c>
      <c r="D1149">
        <f t="shared" si="37"/>
        <v>0</v>
      </c>
    </row>
    <row r="1150" spans="1:4" x14ac:dyDescent="0.55000000000000004">
      <c r="A1150">
        <f t="shared" si="36"/>
        <v>2020</v>
      </c>
      <c r="B1150" s="821">
        <v>44012</v>
      </c>
      <c r="C1150">
        <v>1.41</v>
      </c>
      <c r="D1150">
        <f t="shared" si="37"/>
        <v>0</v>
      </c>
    </row>
    <row r="1151" spans="1:4" x14ac:dyDescent="0.55000000000000004">
      <c r="A1151">
        <f t="shared" si="36"/>
        <v>2020</v>
      </c>
      <c r="B1151" s="821">
        <v>44011</v>
      </c>
      <c r="C1151">
        <v>1.39</v>
      </c>
      <c r="D1151">
        <f t="shared" si="37"/>
        <v>0</v>
      </c>
    </row>
    <row r="1152" spans="1:4" x14ac:dyDescent="0.55000000000000004">
      <c r="A1152">
        <f t="shared" si="36"/>
        <v>2020</v>
      </c>
      <c r="B1152" s="821">
        <v>44008</v>
      </c>
      <c r="C1152">
        <v>1.37</v>
      </c>
      <c r="D1152">
        <f t="shared" si="37"/>
        <v>0</v>
      </c>
    </row>
    <row r="1153" spans="1:4" x14ac:dyDescent="0.55000000000000004">
      <c r="A1153">
        <f t="shared" si="36"/>
        <v>2020</v>
      </c>
      <c r="B1153" s="821">
        <v>44007</v>
      </c>
      <c r="C1153">
        <v>1.43</v>
      </c>
      <c r="D1153">
        <f t="shared" si="37"/>
        <v>0</v>
      </c>
    </row>
    <row r="1154" spans="1:4" x14ac:dyDescent="0.55000000000000004">
      <c r="A1154">
        <f t="shared" si="36"/>
        <v>2020</v>
      </c>
      <c r="B1154" s="821">
        <v>44006</v>
      </c>
      <c r="C1154">
        <v>1.44</v>
      </c>
      <c r="D1154">
        <f t="shared" si="37"/>
        <v>0</v>
      </c>
    </row>
    <row r="1155" spans="1:4" x14ac:dyDescent="0.55000000000000004">
      <c r="A1155">
        <f t="shared" si="36"/>
        <v>2020</v>
      </c>
      <c r="B1155" s="821">
        <v>44005</v>
      </c>
      <c r="C1155">
        <v>1.49</v>
      </c>
      <c r="D1155">
        <f t="shared" si="37"/>
        <v>0</v>
      </c>
    </row>
    <row r="1156" spans="1:4" x14ac:dyDescent="0.55000000000000004">
      <c r="A1156">
        <f t="shared" ref="A1156:A1219" si="38">YEAR(B1156)</f>
        <v>2020</v>
      </c>
      <c r="B1156" s="821">
        <v>44004</v>
      </c>
      <c r="C1156">
        <v>1.46</v>
      </c>
      <c r="D1156">
        <f t="shared" ref="D1156:D1219" si="39">IF(C1156&gt;4,1,0)</f>
        <v>0</v>
      </c>
    </row>
    <row r="1157" spans="1:4" x14ac:dyDescent="0.55000000000000004">
      <c r="A1157">
        <f t="shared" si="38"/>
        <v>2020</v>
      </c>
      <c r="B1157" s="821">
        <v>44001</v>
      </c>
      <c r="C1157">
        <v>1.47</v>
      </c>
      <c r="D1157">
        <f t="shared" si="39"/>
        <v>0</v>
      </c>
    </row>
    <row r="1158" spans="1:4" x14ac:dyDescent="0.55000000000000004">
      <c r="A1158">
        <f t="shared" si="38"/>
        <v>2020</v>
      </c>
      <c r="B1158" s="821">
        <v>44000</v>
      </c>
      <c r="C1158">
        <v>1.47</v>
      </c>
      <c r="D1158">
        <f t="shared" si="39"/>
        <v>0</v>
      </c>
    </row>
    <row r="1159" spans="1:4" x14ac:dyDescent="0.55000000000000004">
      <c r="A1159">
        <f t="shared" si="38"/>
        <v>2020</v>
      </c>
      <c r="B1159" s="821">
        <v>43999</v>
      </c>
      <c r="C1159">
        <v>1.52</v>
      </c>
      <c r="D1159">
        <f t="shared" si="39"/>
        <v>0</v>
      </c>
    </row>
    <row r="1160" spans="1:4" x14ac:dyDescent="0.55000000000000004">
      <c r="A1160">
        <f t="shared" si="38"/>
        <v>2020</v>
      </c>
      <c r="B1160" s="821">
        <v>43998</v>
      </c>
      <c r="C1160">
        <v>1.54</v>
      </c>
      <c r="D1160">
        <f t="shared" si="39"/>
        <v>0</v>
      </c>
    </row>
    <row r="1161" spans="1:4" x14ac:dyDescent="0.55000000000000004">
      <c r="A1161">
        <f t="shared" si="38"/>
        <v>2020</v>
      </c>
      <c r="B1161" s="821">
        <v>43997</v>
      </c>
      <c r="C1161">
        <v>1.45</v>
      </c>
      <c r="D1161">
        <f t="shared" si="39"/>
        <v>0</v>
      </c>
    </row>
    <row r="1162" spans="1:4" x14ac:dyDescent="0.55000000000000004">
      <c r="A1162">
        <f t="shared" si="38"/>
        <v>2020</v>
      </c>
      <c r="B1162" s="821">
        <v>43994</v>
      </c>
      <c r="C1162">
        <v>1.45</v>
      </c>
      <c r="D1162">
        <f t="shared" si="39"/>
        <v>0</v>
      </c>
    </row>
    <row r="1163" spans="1:4" x14ac:dyDescent="0.55000000000000004">
      <c r="A1163">
        <f t="shared" si="38"/>
        <v>2020</v>
      </c>
      <c r="B1163" s="821">
        <v>43993</v>
      </c>
      <c r="C1163">
        <v>1.41</v>
      </c>
      <c r="D1163">
        <f t="shared" si="39"/>
        <v>0</v>
      </c>
    </row>
    <row r="1164" spans="1:4" x14ac:dyDescent="0.55000000000000004">
      <c r="A1164">
        <f t="shared" si="38"/>
        <v>2020</v>
      </c>
      <c r="B1164" s="821">
        <v>43992</v>
      </c>
      <c r="C1164">
        <v>1.53</v>
      </c>
      <c r="D1164">
        <f t="shared" si="39"/>
        <v>0</v>
      </c>
    </row>
    <row r="1165" spans="1:4" x14ac:dyDescent="0.55000000000000004">
      <c r="A1165">
        <f t="shared" si="38"/>
        <v>2020</v>
      </c>
      <c r="B1165" s="821">
        <v>43991</v>
      </c>
      <c r="C1165">
        <v>1.59</v>
      </c>
      <c r="D1165">
        <f t="shared" si="39"/>
        <v>0</v>
      </c>
    </row>
    <row r="1166" spans="1:4" x14ac:dyDescent="0.55000000000000004">
      <c r="A1166">
        <f t="shared" si="38"/>
        <v>2020</v>
      </c>
      <c r="B1166" s="821">
        <v>43990</v>
      </c>
      <c r="C1166">
        <v>1.65</v>
      </c>
      <c r="D1166">
        <f t="shared" si="39"/>
        <v>0</v>
      </c>
    </row>
    <row r="1167" spans="1:4" x14ac:dyDescent="0.55000000000000004">
      <c r="A1167">
        <f t="shared" si="38"/>
        <v>2020</v>
      </c>
      <c r="B1167" s="821">
        <v>43987</v>
      </c>
      <c r="C1167">
        <v>1.68</v>
      </c>
      <c r="D1167">
        <f t="shared" si="39"/>
        <v>0</v>
      </c>
    </row>
    <row r="1168" spans="1:4" x14ac:dyDescent="0.55000000000000004">
      <c r="A1168">
        <f t="shared" si="38"/>
        <v>2020</v>
      </c>
      <c r="B1168" s="821">
        <v>43986</v>
      </c>
      <c r="C1168">
        <v>1.61</v>
      </c>
      <c r="D1168">
        <f t="shared" si="39"/>
        <v>0</v>
      </c>
    </row>
    <row r="1169" spans="1:4" x14ac:dyDescent="0.55000000000000004">
      <c r="A1169">
        <f t="shared" si="38"/>
        <v>2020</v>
      </c>
      <c r="B1169" s="821">
        <v>43985</v>
      </c>
      <c r="C1169">
        <v>1.56</v>
      </c>
      <c r="D1169">
        <f t="shared" si="39"/>
        <v>0</v>
      </c>
    </row>
    <row r="1170" spans="1:4" x14ac:dyDescent="0.55000000000000004">
      <c r="A1170">
        <f t="shared" si="38"/>
        <v>2020</v>
      </c>
      <c r="B1170" s="821">
        <v>43984</v>
      </c>
      <c r="C1170">
        <v>1.48</v>
      </c>
      <c r="D1170">
        <f t="shared" si="39"/>
        <v>0</v>
      </c>
    </row>
    <row r="1171" spans="1:4" x14ac:dyDescent="0.55000000000000004">
      <c r="A1171">
        <f t="shared" si="38"/>
        <v>2020</v>
      </c>
      <c r="B1171" s="821">
        <v>43983</v>
      </c>
      <c r="C1171">
        <v>1.46</v>
      </c>
      <c r="D1171">
        <f t="shared" si="39"/>
        <v>0</v>
      </c>
    </row>
    <row r="1172" spans="1:4" x14ac:dyDescent="0.55000000000000004">
      <c r="A1172">
        <f t="shared" si="38"/>
        <v>2020</v>
      </c>
      <c r="B1172" s="821">
        <v>43980</v>
      </c>
      <c r="C1172">
        <v>1.41</v>
      </c>
      <c r="D1172">
        <f t="shared" si="39"/>
        <v>0</v>
      </c>
    </row>
    <row r="1173" spans="1:4" x14ac:dyDescent="0.55000000000000004">
      <c r="A1173">
        <f t="shared" si="38"/>
        <v>2020</v>
      </c>
      <c r="B1173" s="821">
        <v>43979</v>
      </c>
      <c r="C1173">
        <v>1.47</v>
      </c>
      <c r="D1173">
        <f t="shared" si="39"/>
        <v>0</v>
      </c>
    </row>
    <row r="1174" spans="1:4" x14ac:dyDescent="0.55000000000000004">
      <c r="A1174">
        <f t="shared" si="38"/>
        <v>2020</v>
      </c>
      <c r="B1174" s="821">
        <v>43978</v>
      </c>
      <c r="C1174">
        <v>1.44</v>
      </c>
      <c r="D1174">
        <f t="shared" si="39"/>
        <v>0</v>
      </c>
    </row>
    <row r="1175" spans="1:4" x14ac:dyDescent="0.55000000000000004">
      <c r="A1175">
        <f t="shared" si="38"/>
        <v>2020</v>
      </c>
      <c r="B1175" s="821">
        <v>43977</v>
      </c>
      <c r="C1175">
        <v>1.43</v>
      </c>
      <c r="D1175">
        <f t="shared" si="39"/>
        <v>0</v>
      </c>
    </row>
    <row r="1176" spans="1:4" x14ac:dyDescent="0.55000000000000004">
      <c r="A1176">
        <f t="shared" si="38"/>
        <v>2020</v>
      </c>
      <c r="B1176" s="821">
        <v>43973</v>
      </c>
      <c r="C1176">
        <v>1.37</v>
      </c>
      <c r="D1176">
        <f t="shared" si="39"/>
        <v>0</v>
      </c>
    </row>
    <row r="1177" spans="1:4" x14ac:dyDescent="0.55000000000000004">
      <c r="A1177">
        <f t="shared" si="38"/>
        <v>2020</v>
      </c>
      <c r="B1177" s="821">
        <v>43972</v>
      </c>
      <c r="C1177">
        <v>1.4</v>
      </c>
      <c r="D1177">
        <f t="shared" si="39"/>
        <v>0</v>
      </c>
    </row>
    <row r="1178" spans="1:4" x14ac:dyDescent="0.55000000000000004">
      <c r="A1178">
        <f t="shared" si="38"/>
        <v>2020</v>
      </c>
      <c r="B1178" s="821">
        <v>43971</v>
      </c>
      <c r="C1178">
        <v>1.4</v>
      </c>
      <c r="D1178">
        <f t="shared" si="39"/>
        <v>0</v>
      </c>
    </row>
    <row r="1179" spans="1:4" x14ac:dyDescent="0.55000000000000004">
      <c r="A1179">
        <f t="shared" si="38"/>
        <v>2020</v>
      </c>
      <c r="B1179" s="821">
        <v>43970</v>
      </c>
      <c r="C1179">
        <v>1.43</v>
      </c>
      <c r="D1179">
        <f t="shared" si="39"/>
        <v>0</v>
      </c>
    </row>
    <row r="1180" spans="1:4" x14ac:dyDescent="0.55000000000000004">
      <c r="A1180">
        <f t="shared" si="38"/>
        <v>2020</v>
      </c>
      <c r="B1180" s="821">
        <v>43969</v>
      </c>
      <c r="C1180">
        <v>1.44</v>
      </c>
      <c r="D1180">
        <f t="shared" si="39"/>
        <v>0</v>
      </c>
    </row>
    <row r="1181" spans="1:4" x14ac:dyDescent="0.55000000000000004">
      <c r="A1181">
        <f t="shared" si="38"/>
        <v>2020</v>
      </c>
      <c r="B1181" s="821">
        <v>43966</v>
      </c>
      <c r="C1181">
        <v>1.32</v>
      </c>
      <c r="D1181">
        <f t="shared" si="39"/>
        <v>0</v>
      </c>
    </row>
    <row r="1182" spans="1:4" x14ac:dyDescent="0.55000000000000004">
      <c r="A1182">
        <f t="shared" si="38"/>
        <v>2020</v>
      </c>
      <c r="B1182" s="821">
        <v>43965</v>
      </c>
      <c r="C1182">
        <v>1.3</v>
      </c>
      <c r="D1182">
        <f t="shared" si="39"/>
        <v>0</v>
      </c>
    </row>
    <row r="1183" spans="1:4" x14ac:dyDescent="0.55000000000000004">
      <c r="A1183">
        <f t="shared" si="38"/>
        <v>2020</v>
      </c>
      <c r="B1183" s="821">
        <v>43964</v>
      </c>
      <c r="C1183">
        <v>1.35</v>
      </c>
      <c r="D1183">
        <f t="shared" si="39"/>
        <v>0</v>
      </c>
    </row>
    <row r="1184" spans="1:4" x14ac:dyDescent="0.55000000000000004">
      <c r="A1184">
        <f t="shared" si="38"/>
        <v>2020</v>
      </c>
      <c r="B1184" s="821">
        <v>43963</v>
      </c>
      <c r="C1184">
        <v>1.38</v>
      </c>
      <c r="D1184">
        <f t="shared" si="39"/>
        <v>0</v>
      </c>
    </row>
    <row r="1185" spans="1:4" x14ac:dyDescent="0.55000000000000004">
      <c r="A1185">
        <f t="shared" si="38"/>
        <v>2020</v>
      </c>
      <c r="B1185" s="821">
        <v>43962</v>
      </c>
      <c r="C1185">
        <v>1.43</v>
      </c>
      <c r="D1185">
        <f t="shared" si="39"/>
        <v>0</v>
      </c>
    </row>
    <row r="1186" spans="1:4" x14ac:dyDescent="0.55000000000000004">
      <c r="A1186">
        <f t="shared" si="38"/>
        <v>2020</v>
      </c>
      <c r="B1186" s="821">
        <v>43959</v>
      </c>
      <c r="C1186">
        <v>1.39</v>
      </c>
      <c r="D1186">
        <f t="shared" si="39"/>
        <v>0</v>
      </c>
    </row>
    <row r="1187" spans="1:4" x14ac:dyDescent="0.55000000000000004">
      <c r="A1187">
        <f t="shared" si="38"/>
        <v>2020</v>
      </c>
      <c r="B1187" s="821">
        <v>43958</v>
      </c>
      <c r="C1187">
        <v>1.31</v>
      </c>
      <c r="D1187">
        <f t="shared" si="39"/>
        <v>0</v>
      </c>
    </row>
    <row r="1188" spans="1:4" x14ac:dyDescent="0.55000000000000004">
      <c r="A1188">
        <f t="shared" si="38"/>
        <v>2020</v>
      </c>
      <c r="B1188" s="821">
        <v>43957</v>
      </c>
      <c r="C1188">
        <v>1.41</v>
      </c>
      <c r="D1188">
        <f t="shared" si="39"/>
        <v>0</v>
      </c>
    </row>
    <row r="1189" spans="1:4" x14ac:dyDescent="0.55000000000000004">
      <c r="A1189">
        <f t="shared" si="38"/>
        <v>2020</v>
      </c>
      <c r="B1189" s="821">
        <v>43956</v>
      </c>
      <c r="C1189">
        <v>1.32</v>
      </c>
      <c r="D1189">
        <f t="shared" si="39"/>
        <v>0</v>
      </c>
    </row>
    <row r="1190" spans="1:4" x14ac:dyDescent="0.55000000000000004">
      <c r="A1190">
        <f t="shared" si="38"/>
        <v>2020</v>
      </c>
      <c r="B1190" s="821">
        <v>43955</v>
      </c>
      <c r="C1190">
        <v>1.29</v>
      </c>
      <c r="D1190">
        <f t="shared" si="39"/>
        <v>0</v>
      </c>
    </row>
    <row r="1191" spans="1:4" x14ac:dyDescent="0.55000000000000004">
      <c r="A1191">
        <f t="shared" si="38"/>
        <v>2020</v>
      </c>
      <c r="B1191" s="821">
        <v>43952</v>
      </c>
      <c r="C1191">
        <v>1.27</v>
      </c>
      <c r="D1191">
        <f t="shared" si="39"/>
        <v>0</v>
      </c>
    </row>
    <row r="1192" spans="1:4" x14ac:dyDescent="0.55000000000000004">
      <c r="A1192">
        <f t="shared" si="38"/>
        <v>2020</v>
      </c>
      <c r="B1192" s="821">
        <v>43951</v>
      </c>
      <c r="C1192">
        <v>1.28</v>
      </c>
      <c r="D1192">
        <f t="shared" si="39"/>
        <v>0</v>
      </c>
    </row>
    <row r="1193" spans="1:4" x14ac:dyDescent="0.55000000000000004">
      <c r="A1193">
        <f t="shared" si="38"/>
        <v>2020</v>
      </c>
      <c r="B1193" s="821">
        <v>43950</v>
      </c>
      <c r="C1193">
        <v>1.24</v>
      </c>
      <c r="D1193">
        <f t="shared" si="39"/>
        <v>0</v>
      </c>
    </row>
    <row r="1194" spans="1:4" x14ac:dyDescent="0.55000000000000004">
      <c r="A1194">
        <f t="shared" si="38"/>
        <v>2020</v>
      </c>
      <c r="B1194" s="821">
        <v>43949</v>
      </c>
      <c r="C1194">
        <v>1.2</v>
      </c>
      <c r="D1194">
        <f t="shared" si="39"/>
        <v>0</v>
      </c>
    </row>
    <row r="1195" spans="1:4" x14ac:dyDescent="0.55000000000000004">
      <c r="A1195">
        <f t="shared" si="38"/>
        <v>2020</v>
      </c>
      <c r="B1195" s="821">
        <v>43948</v>
      </c>
      <c r="C1195">
        <v>1.25</v>
      </c>
      <c r="D1195">
        <f t="shared" si="39"/>
        <v>0</v>
      </c>
    </row>
    <row r="1196" spans="1:4" x14ac:dyDescent="0.55000000000000004">
      <c r="A1196">
        <f t="shared" si="38"/>
        <v>2020</v>
      </c>
      <c r="B1196" s="821">
        <v>43945</v>
      </c>
      <c r="C1196">
        <v>1.17</v>
      </c>
      <c r="D1196">
        <f t="shared" si="39"/>
        <v>0</v>
      </c>
    </row>
    <row r="1197" spans="1:4" x14ac:dyDescent="0.55000000000000004">
      <c r="A1197">
        <f t="shared" si="38"/>
        <v>2020</v>
      </c>
      <c r="B1197" s="821">
        <v>43944</v>
      </c>
      <c r="C1197">
        <v>1.18</v>
      </c>
      <c r="D1197">
        <f t="shared" si="39"/>
        <v>0</v>
      </c>
    </row>
    <row r="1198" spans="1:4" x14ac:dyDescent="0.55000000000000004">
      <c r="A1198">
        <f t="shared" si="38"/>
        <v>2020</v>
      </c>
      <c r="B1198" s="821">
        <v>43943</v>
      </c>
      <c r="C1198">
        <v>1.22</v>
      </c>
      <c r="D1198">
        <f t="shared" si="39"/>
        <v>0</v>
      </c>
    </row>
    <row r="1199" spans="1:4" x14ac:dyDescent="0.55000000000000004">
      <c r="A1199">
        <f t="shared" si="38"/>
        <v>2020</v>
      </c>
      <c r="B1199" s="821">
        <v>43942</v>
      </c>
      <c r="C1199">
        <v>1.17</v>
      </c>
      <c r="D1199">
        <f t="shared" si="39"/>
        <v>0</v>
      </c>
    </row>
    <row r="1200" spans="1:4" x14ac:dyDescent="0.55000000000000004">
      <c r="A1200">
        <f t="shared" si="38"/>
        <v>2020</v>
      </c>
      <c r="B1200" s="821">
        <v>43941</v>
      </c>
      <c r="C1200">
        <v>1.23</v>
      </c>
      <c r="D1200">
        <f t="shared" si="39"/>
        <v>0</v>
      </c>
    </row>
    <row r="1201" spans="1:4" x14ac:dyDescent="0.55000000000000004">
      <c r="A1201">
        <f t="shared" si="38"/>
        <v>2020</v>
      </c>
      <c r="B1201" s="821">
        <v>43938</v>
      </c>
      <c r="C1201">
        <v>1.27</v>
      </c>
      <c r="D1201">
        <f t="shared" si="39"/>
        <v>0</v>
      </c>
    </row>
    <row r="1202" spans="1:4" x14ac:dyDescent="0.55000000000000004">
      <c r="A1202">
        <f t="shared" si="38"/>
        <v>2020</v>
      </c>
      <c r="B1202" s="821">
        <v>43937</v>
      </c>
      <c r="C1202">
        <v>1.21</v>
      </c>
      <c r="D1202">
        <f t="shared" si="39"/>
        <v>0</v>
      </c>
    </row>
    <row r="1203" spans="1:4" x14ac:dyDescent="0.55000000000000004">
      <c r="A1203">
        <f t="shared" si="38"/>
        <v>2020</v>
      </c>
      <c r="B1203" s="821">
        <v>43936</v>
      </c>
      <c r="C1203">
        <v>1.27</v>
      </c>
      <c r="D1203">
        <f t="shared" si="39"/>
        <v>0</v>
      </c>
    </row>
    <row r="1204" spans="1:4" x14ac:dyDescent="0.55000000000000004">
      <c r="A1204">
        <f t="shared" si="38"/>
        <v>2020</v>
      </c>
      <c r="B1204" s="821">
        <v>43935</v>
      </c>
      <c r="C1204">
        <v>1.41</v>
      </c>
      <c r="D1204">
        <f t="shared" si="39"/>
        <v>0</v>
      </c>
    </row>
    <row r="1205" spans="1:4" x14ac:dyDescent="0.55000000000000004">
      <c r="A1205">
        <f t="shared" si="38"/>
        <v>2020</v>
      </c>
      <c r="B1205" s="821">
        <v>43934</v>
      </c>
      <c r="C1205">
        <v>1.39</v>
      </c>
      <c r="D1205">
        <f t="shared" si="39"/>
        <v>0</v>
      </c>
    </row>
    <row r="1206" spans="1:4" x14ac:dyDescent="0.55000000000000004">
      <c r="A1206">
        <f t="shared" si="38"/>
        <v>2020</v>
      </c>
      <c r="B1206" s="821">
        <v>43930</v>
      </c>
      <c r="C1206">
        <v>1.35</v>
      </c>
      <c r="D1206">
        <f t="shared" si="39"/>
        <v>0</v>
      </c>
    </row>
    <row r="1207" spans="1:4" x14ac:dyDescent="0.55000000000000004">
      <c r="A1207">
        <f t="shared" si="38"/>
        <v>2020</v>
      </c>
      <c r="B1207" s="821">
        <v>43929</v>
      </c>
      <c r="C1207">
        <v>1.37</v>
      </c>
      <c r="D1207">
        <f t="shared" si="39"/>
        <v>0</v>
      </c>
    </row>
    <row r="1208" spans="1:4" x14ac:dyDescent="0.55000000000000004">
      <c r="A1208">
        <f t="shared" si="38"/>
        <v>2020</v>
      </c>
      <c r="B1208" s="821">
        <v>43928</v>
      </c>
      <c r="C1208">
        <v>1.32</v>
      </c>
      <c r="D1208">
        <f t="shared" si="39"/>
        <v>0</v>
      </c>
    </row>
    <row r="1209" spans="1:4" x14ac:dyDescent="0.55000000000000004">
      <c r="A1209">
        <f t="shared" si="38"/>
        <v>2020</v>
      </c>
      <c r="B1209" s="821">
        <v>43927</v>
      </c>
      <c r="C1209">
        <v>1.27</v>
      </c>
      <c r="D1209">
        <f t="shared" si="39"/>
        <v>0</v>
      </c>
    </row>
    <row r="1210" spans="1:4" x14ac:dyDescent="0.55000000000000004">
      <c r="A1210">
        <f t="shared" si="38"/>
        <v>2020</v>
      </c>
      <c r="B1210" s="821">
        <v>43924</v>
      </c>
      <c r="C1210">
        <v>1.24</v>
      </c>
      <c r="D1210">
        <f t="shared" si="39"/>
        <v>0</v>
      </c>
    </row>
    <row r="1211" spans="1:4" x14ac:dyDescent="0.55000000000000004">
      <c r="A1211">
        <f t="shared" si="38"/>
        <v>2020</v>
      </c>
      <c r="B1211" s="821">
        <v>43923</v>
      </c>
      <c r="C1211">
        <v>1.26</v>
      </c>
      <c r="D1211">
        <f t="shared" si="39"/>
        <v>0</v>
      </c>
    </row>
    <row r="1212" spans="1:4" x14ac:dyDescent="0.55000000000000004">
      <c r="A1212">
        <f t="shared" si="38"/>
        <v>2020</v>
      </c>
      <c r="B1212" s="821">
        <v>43922</v>
      </c>
      <c r="C1212">
        <v>1.27</v>
      </c>
      <c r="D1212">
        <f t="shared" si="39"/>
        <v>0</v>
      </c>
    </row>
    <row r="1213" spans="1:4" x14ac:dyDescent="0.55000000000000004">
      <c r="A1213">
        <f t="shared" si="38"/>
        <v>2020</v>
      </c>
      <c r="B1213" s="821">
        <v>43921</v>
      </c>
      <c r="C1213">
        <v>1.35</v>
      </c>
      <c r="D1213">
        <f t="shared" si="39"/>
        <v>0</v>
      </c>
    </row>
    <row r="1214" spans="1:4" x14ac:dyDescent="0.55000000000000004">
      <c r="A1214">
        <f t="shared" si="38"/>
        <v>2020</v>
      </c>
      <c r="B1214" s="821">
        <v>43920</v>
      </c>
      <c r="C1214">
        <v>1.31</v>
      </c>
      <c r="D1214">
        <f t="shared" si="39"/>
        <v>0</v>
      </c>
    </row>
    <row r="1215" spans="1:4" x14ac:dyDescent="0.55000000000000004">
      <c r="A1215">
        <f t="shared" si="38"/>
        <v>2020</v>
      </c>
      <c r="B1215" s="821">
        <v>43917</v>
      </c>
      <c r="C1215">
        <v>1.29</v>
      </c>
      <c r="D1215">
        <f t="shared" si="39"/>
        <v>0</v>
      </c>
    </row>
    <row r="1216" spans="1:4" x14ac:dyDescent="0.55000000000000004">
      <c r="A1216">
        <f t="shared" si="38"/>
        <v>2020</v>
      </c>
      <c r="B1216" s="821">
        <v>43916</v>
      </c>
      <c r="C1216">
        <v>1.42</v>
      </c>
      <c r="D1216">
        <f t="shared" si="39"/>
        <v>0</v>
      </c>
    </row>
    <row r="1217" spans="1:4" x14ac:dyDescent="0.55000000000000004">
      <c r="A1217">
        <f t="shared" si="38"/>
        <v>2020</v>
      </c>
      <c r="B1217" s="821">
        <v>43915</v>
      </c>
      <c r="C1217">
        <v>1.45</v>
      </c>
      <c r="D1217">
        <f t="shared" si="39"/>
        <v>0</v>
      </c>
    </row>
    <row r="1218" spans="1:4" x14ac:dyDescent="0.55000000000000004">
      <c r="A1218">
        <f t="shared" si="38"/>
        <v>2020</v>
      </c>
      <c r="B1218" s="821">
        <v>43914</v>
      </c>
      <c r="C1218">
        <v>1.39</v>
      </c>
      <c r="D1218">
        <f t="shared" si="39"/>
        <v>0</v>
      </c>
    </row>
    <row r="1219" spans="1:4" x14ac:dyDescent="0.55000000000000004">
      <c r="A1219">
        <f t="shared" si="38"/>
        <v>2020</v>
      </c>
      <c r="B1219" s="821">
        <v>43913</v>
      </c>
      <c r="C1219">
        <v>1.33</v>
      </c>
      <c r="D1219">
        <f t="shared" si="39"/>
        <v>0</v>
      </c>
    </row>
    <row r="1220" spans="1:4" x14ac:dyDescent="0.55000000000000004">
      <c r="A1220">
        <f t="shared" ref="A1220:A1283" si="40">YEAR(B1220)</f>
        <v>2020</v>
      </c>
      <c r="B1220" s="821">
        <v>43910</v>
      </c>
      <c r="C1220">
        <v>1.55</v>
      </c>
      <c r="D1220">
        <f t="shared" ref="D1220:D1283" si="41">IF(C1220&gt;4,1,0)</f>
        <v>0</v>
      </c>
    </row>
    <row r="1221" spans="1:4" x14ac:dyDescent="0.55000000000000004">
      <c r="A1221">
        <f t="shared" si="40"/>
        <v>2020</v>
      </c>
      <c r="B1221" s="821">
        <v>43909</v>
      </c>
      <c r="C1221">
        <v>1.78</v>
      </c>
      <c r="D1221">
        <f t="shared" si="41"/>
        <v>0</v>
      </c>
    </row>
    <row r="1222" spans="1:4" x14ac:dyDescent="0.55000000000000004">
      <c r="A1222">
        <f t="shared" si="40"/>
        <v>2020</v>
      </c>
      <c r="B1222" s="821">
        <v>43908</v>
      </c>
      <c r="C1222">
        <v>1.77</v>
      </c>
      <c r="D1222">
        <f t="shared" si="41"/>
        <v>0</v>
      </c>
    </row>
    <row r="1223" spans="1:4" x14ac:dyDescent="0.55000000000000004">
      <c r="A1223">
        <f t="shared" si="40"/>
        <v>2020</v>
      </c>
      <c r="B1223" s="821">
        <v>43907</v>
      </c>
      <c r="C1223">
        <v>1.63</v>
      </c>
      <c r="D1223">
        <f t="shared" si="41"/>
        <v>0</v>
      </c>
    </row>
    <row r="1224" spans="1:4" x14ac:dyDescent="0.55000000000000004">
      <c r="A1224">
        <f t="shared" si="40"/>
        <v>2020</v>
      </c>
      <c r="B1224" s="821">
        <v>43906</v>
      </c>
      <c r="C1224">
        <v>1.34</v>
      </c>
      <c r="D1224">
        <f t="shared" si="41"/>
        <v>0</v>
      </c>
    </row>
    <row r="1225" spans="1:4" x14ac:dyDescent="0.55000000000000004">
      <c r="A1225">
        <f t="shared" si="40"/>
        <v>2020</v>
      </c>
      <c r="B1225" s="821">
        <v>43903</v>
      </c>
      <c r="C1225">
        <v>1.56</v>
      </c>
      <c r="D1225">
        <f t="shared" si="41"/>
        <v>0</v>
      </c>
    </row>
    <row r="1226" spans="1:4" x14ac:dyDescent="0.55000000000000004">
      <c r="A1226">
        <f t="shared" si="40"/>
        <v>2020</v>
      </c>
      <c r="B1226" s="821">
        <v>43902</v>
      </c>
      <c r="C1226">
        <v>1.49</v>
      </c>
      <c r="D1226">
        <f t="shared" si="41"/>
        <v>0</v>
      </c>
    </row>
    <row r="1227" spans="1:4" x14ac:dyDescent="0.55000000000000004">
      <c r="A1227">
        <f t="shared" si="40"/>
        <v>2020</v>
      </c>
      <c r="B1227" s="821">
        <v>43901</v>
      </c>
      <c r="C1227">
        <v>1.3</v>
      </c>
      <c r="D1227">
        <f t="shared" si="41"/>
        <v>0</v>
      </c>
    </row>
    <row r="1228" spans="1:4" x14ac:dyDescent="0.55000000000000004">
      <c r="A1228">
        <f t="shared" si="40"/>
        <v>2020</v>
      </c>
      <c r="B1228" s="821">
        <v>43900</v>
      </c>
      <c r="C1228">
        <v>1.28</v>
      </c>
      <c r="D1228">
        <f t="shared" si="41"/>
        <v>0</v>
      </c>
    </row>
    <row r="1229" spans="1:4" x14ac:dyDescent="0.55000000000000004">
      <c r="A1229">
        <f t="shared" si="40"/>
        <v>2020</v>
      </c>
      <c r="B1229" s="821">
        <v>43899</v>
      </c>
      <c r="C1229">
        <v>0.99</v>
      </c>
      <c r="D1229">
        <f t="shared" si="41"/>
        <v>0</v>
      </c>
    </row>
    <row r="1230" spans="1:4" x14ac:dyDescent="0.55000000000000004">
      <c r="A1230">
        <f t="shared" si="40"/>
        <v>2020</v>
      </c>
      <c r="B1230" s="821">
        <v>43896</v>
      </c>
      <c r="C1230">
        <v>1.25</v>
      </c>
      <c r="D1230">
        <f t="shared" si="41"/>
        <v>0</v>
      </c>
    </row>
    <row r="1231" spans="1:4" x14ac:dyDescent="0.55000000000000004">
      <c r="A1231">
        <f t="shared" si="40"/>
        <v>2020</v>
      </c>
      <c r="B1231" s="821">
        <v>43895</v>
      </c>
      <c r="C1231">
        <v>1.56</v>
      </c>
      <c r="D1231">
        <f t="shared" si="41"/>
        <v>0</v>
      </c>
    </row>
    <row r="1232" spans="1:4" x14ac:dyDescent="0.55000000000000004">
      <c r="A1232">
        <f t="shared" si="40"/>
        <v>2020</v>
      </c>
      <c r="B1232" s="821">
        <v>43894</v>
      </c>
      <c r="C1232">
        <v>1.67</v>
      </c>
      <c r="D1232">
        <f t="shared" si="41"/>
        <v>0</v>
      </c>
    </row>
    <row r="1233" spans="1:4" x14ac:dyDescent="0.55000000000000004">
      <c r="A1233">
        <f t="shared" si="40"/>
        <v>2020</v>
      </c>
      <c r="B1233" s="821">
        <v>43893</v>
      </c>
      <c r="C1233">
        <v>1.64</v>
      </c>
      <c r="D1233">
        <f t="shared" si="41"/>
        <v>0</v>
      </c>
    </row>
    <row r="1234" spans="1:4" x14ac:dyDescent="0.55000000000000004">
      <c r="A1234">
        <f t="shared" si="40"/>
        <v>2020</v>
      </c>
      <c r="B1234" s="821">
        <v>43892</v>
      </c>
      <c r="C1234">
        <v>1.66</v>
      </c>
      <c r="D1234">
        <f t="shared" si="41"/>
        <v>0</v>
      </c>
    </row>
    <row r="1235" spans="1:4" x14ac:dyDescent="0.55000000000000004">
      <c r="A1235">
        <f t="shared" si="40"/>
        <v>2020</v>
      </c>
      <c r="B1235" s="821">
        <v>43889</v>
      </c>
      <c r="C1235">
        <v>1.65</v>
      </c>
      <c r="D1235">
        <f t="shared" si="41"/>
        <v>0</v>
      </c>
    </row>
    <row r="1236" spans="1:4" x14ac:dyDescent="0.55000000000000004">
      <c r="A1236">
        <f t="shared" si="40"/>
        <v>2020</v>
      </c>
      <c r="B1236" s="821">
        <v>43888</v>
      </c>
      <c r="C1236">
        <v>1.79</v>
      </c>
      <c r="D1236">
        <f t="shared" si="41"/>
        <v>0</v>
      </c>
    </row>
    <row r="1237" spans="1:4" x14ac:dyDescent="0.55000000000000004">
      <c r="A1237">
        <f t="shared" si="40"/>
        <v>2020</v>
      </c>
      <c r="B1237" s="821">
        <v>43887</v>
      </c>
      <c r="C1237">
        <v>1.81</v>
      </c>
      <c r="D1237">
        <f t="shared" si="41"/>
        <v>0</v>
      </c>
    </row>
    <row r="1238" spans="1:4" x14ac:dyDescent="0.55000000000000004">
      <c r="A1238">
        <f t="shared" si="40"/>
        <v>2020</v>
      </c>
      <c r="B1238" s="821">
        <v>43886</v>
      </c>
      <c r="C1238">
        <v>1.8</v>
      </c>
      <c r="D1238">
        <f t="shared" si="41"/>
        <v>0</v>
      </c>
    </row>
    <row r="1239" spans="1:4" x14ac:dyDescent="0.55000000000000004">
      <c r="A1239">
        <f t="shared" si="40"/>
        <v>2020</v>
      </c>
      <c r="B1239" s="821">
        <v>43885</v>
      </c>
      <c r="C1239">
        <v>1.84</v>
      </c>
      <c r="D1239">
        <f t="shared" si="41"/>
        <v>0</v>
      </c>
    </row>
    <row r="1240" spans="1:4" x14ac:dyDescent="0.55000000000000004">
      <c r="A1240">
        <f t="shared" si="40"/>
        <v>2020</v>
      </c>
      <c r="B1240" s="821">
        <v>43882</v>
      </c>
      <c r="C1240">
        <v>1.9</v>
      </c>
      <c r="D1240">
        <f t="shared" si="41"/>
        <v>0</v>
      </c>
    </row>
    <row r="1241" spans="1:4" x14ac:dyDescent="0.55000000000000004">
      <c r="A1241">
        <f t="shared" si="40"/>
        <v>2020</v>
      </c>
      <c r="B1241" s="821">
        <v>43881</v>
      </c>
      <c r="C1241">
        <v>1.97</v>
      </c>
      <c r="D1241">
        <f t="shared" si="41"/>
        <v>0</v>
      </c>
    </row>
    <row r="1242" spans="1:4" x14ac:dyDescent="0.55000000000000004">
      <c r="A1242">
        <f t="shared" si="40"/>
        <v>2020</v>
      </c>
      <c r="B1242" s="821">
        <v>43880</v>
      </c>
      <c r="C1242">
        <v>2.0099999999999998</v>
      </c>
      <c r="D1242">
        <f t="shared" si="41"/>
        <v>0</v>
      </c>
    </row>
    <row r="1243" spans="1:4" x14ac:dyDescent="0.55000000000000004">
      <c r="A1243">
        <f t="shared" si="40"/>
        <v>2020</v>
      </c>
      <c r="B1243" s="821">
        <v>43879</v>
      </c>
      <c r="C1243">
        <v>2</v>
      </c>
      <c r="D1243">
        <f t="shared" si="41"/>
        <v>0</v>
      </c>
    </row>
    <row r="1244" spans="1:4" x14ac:dyDescent="0.55000000000000004">
      <c r="A1244">
        <f t="shared" si="40"/>
        <v>2020</v>
      </c>
      <c r="B1244" s="821">
        <v>43875</v>
      </c>
      <c r="C1244">
        <v>2.04</v>
      </c>
      <c r="D1244">
        <f t="shared" si="41"/>
        <v>0</v>
      </c>
    </row>
    <row r="1245" spans="1:4" x14ac:dyDescent="0.55000000000000004">
      <c r="A1245">
        <f t="shared" si="40"/>
        <v>2020</v>
      </c>
      <c r="B1245" s="821">
        <v>43874</v>
      </c>
      <c r="C1245">
        <v>2.0699999999999998</v>
      </c>
      <c r="D1245">
        <f t="shared" si="41"/>
        <v>0</v>
      </c>
    </row>
    <row r="1246" spans="1:4" x14ac:dyDescent="0.55000000000000004">
      <c r="A1246">
        <f t="shared" si="40"/>
        <v>2020</v>
      </c>
      <c r="B1246" s="821">
        <v>43873</v>
      </c>
      <c r="C1246">
        <v>2.09</v>
      </c>
      <c r="D1246">
        <f t="shared" si="41"/>
        <v>0</v>
      </c>
    </row>
    <row r="1247" spans="1:4" x14ac:dyDescent="0.55000000000000004">
      <c r="A1247">
        <f t="shared" si="40"/>
        <v>2020</v>
      </c>
      <c r="B1247" s="821">
        <v>43872</v>
      </c>
      <c r="C1247">
        <v>2.0499999999999998</v>
      </c>
      <c r="D1247">
        <f t="shared" si="41"/>
        <v>0</v>
      </c>
    </row>
    <row r="1248" spans="1:4" x14ac:dyDescent="0.55000000000000004">
      <c r="A1248">
        <f t="shared" si="40"/>
        <v>2020</v>
      </c>
      <c r="B1248" s="821">
        <v>43871</v>
      </c>
      <c r="C1248">
        <v>2.0299999999999998</v>
      </c>
      <c r="D1248">
        <f t="shared" si="41"/>
        <v>0</v>
      </c>
    </row>
    <row r="1249" spans="1:4" x14ac:dyDescent="0.55000000000000004">
      <c r="A1249">
        <f t="shared" si="40"/>
        <v>2020</v>
      </c>
      <c r="B1249" s="821">
        <v>43868</v>
      </c>
      <c r="C1249">
        <v>2.0499999999999998</v>
      </c>
      <c r="D1249">
        <f t="shared" si="41"/>
        <v>0</v>
      </c>
    </row>
    <row r="1250" spans="1:4" x14ac:dyDescent="0.55000000000000004">
      <c r="A1250">
        <f t="shared" si="40"/>
        <v>2020</v>
      </c>
      <c r="B1250" s="821">
        <v>43867</v>
      </c>
      <c r="C1250">
        <v>2.11</v>
      </c>
      <c r="D1250">
        <f t="shared" si="41"/>
        <v>0</v>
      </c>
    </row>
    <row r="1251" spans="1:4" x14ac:dyDescent="0.55000000000000004">
      <c r="A1251">
        <f t="shared" si="40"/>
        <v>2020</v>
      </c>
      <c r="B1251" s="821">
        <v>43866</v>
      </c>
      <c r="C1251">
        <v>2.14</v>
      </c>
      <c r="D1251">
        <f t="shared" si="41"/>
        <v>0</v>
      </c>
    </row>
    <row r="1252" spans="1:4" x14ac:dyDescent="0.55000000000000004">
      <c r="A1252">
        <f t="shared" si="40"/>
        <v>2020</v>
      </c>
      <c r="B1252" s="821">
        <v>43865</v>
      </c>
      <c r="C1252">
        <v>2.08</v>
      </c>
      <c r="D1252">
        <f t="shared" si="41"/>
        <v>0</v>
      </c>
    </row>
    <row r="1253" spans="1:4" x14ac:dyDescent="0.55000000000000004">
      <c r="A1253">
        <f t="shared" si="40"/>
        <v>2020</v>
      </c>
      <c r="B1253" s="821">
        <v>43864</v>
      </c>
      <c r="C1253">
        <v>2.0099999999999998</v>
      </c>
      <c r="D1253">
        <f t="shared" si="41"/>
        <v>0</v>
      </c>
    </row>
    <row r="1254" spans="1:4" x14ac:dyDescent="0.55000000000000004">
      <c r="A1254">
        <f t="shared" si="40"/>
        <v>2020</v>
      </c>
      <c r="B1254" s="821">
        <v>43861</v>
      </c>
      <c r="C1254">
        <v>1.99</v>
      </c>
      <c r="D1254">
        <f t="shared" si="41"/>
        <v>0</v>
      </c>
    </row>
    <row r="1255" spans="1:4" x14ac:dyDescent="0.55000000000000004">
      <c r="A1255">
        <f t="shared" si="40"/>
        <v>2020</v>
      </c>
      <c r="B1255" s="821">
        <v>43860</v>
      </c>
      <c r="C1255">
        <v>2.04</v>
      </c>
      <c r="D1255">
        <f t="shared" si="41"/>
        <v>0</v>
      </c>
    </row>
    <row r="1256" spans="1:4" x14ac:dyDescent="0.55000000000000004">
      <c r="A1256">
        <f t="shared" si="40"/>
        <v>2020</v>
      </c>
      <c r="B1256" s="821">
        <v>43859</v>
      </c>
      <c r="C1256">
        <v>2.0499999999999998</v>
      </c>
      <c r="D1256">
        <f t="shared" si="41"/>
        <v>0</v>
      </c>
    </row>
    <row r="1257" spans="1:4" x14ac:dyDescent="0.55000000000000004">
      <c r="A1257">
        <f t="shared" si="40"/>
        <v>2020</v>
      </c>
      <c r="B1257" s="821">
        <v>43858</v>
      </c>
      <c r="C1257">
        <v>2.1</v>
      </c>
      <c r="D1257">
        <f t="shared" si="41"/>
        <v>0</v>
      </c>
    </row>
    <row r="1258" spans="1:4" x14ac:dyDescent="0.55000000000000004">
      <c r="A1258">
        <f t="shared" si="40"/>
        <v>2020</v>
      </c>
      <c r="B1258" s="821">
        <v>43857</v>
      </c>
      <c r="C1258">
        <v>2.0499999999999998</v>
      </c>
      <c r="D1258">
        <f t="shared" si="41"/>
        <v>0</v>
      </c>
    </row>
    <row r="1259" spans="1:4" x14ac:dyDescent="0.55000000000000004">
      <c r="A1259">
        <f t="shared" si="40"/>
        <v>2020</v>
      </c>
      <c r="B1259" s="821">
        <v>43854</v>
      </c>
      <c r="C1259">
        <v>2.14</v>
      </c>
      <c r="D1259">
        <f t="shared" si="41"/>
        <v>0</v>
      </c>
    </row>
    <row r="1260" spans="1:4" x14ac:dyDescent="0.55000000000000004">
      <c r="A1260">
        <f t="shared" si="40"/>
        <v>2020</v>
      </c>
      <c r="B1260" s="821">
        <v>43853</v>
      </c>
      <c r="C1260">
        <v>2.1800000000000002</v>
      </c>
      <c r="D1260">
        <f t="shared" si="41"/>
        <v>0</v>
      </c>
    </row>
    <row r="1261" spans="1:4" x14ac:dyDescent="0.55000000000000004">
      <c r="A1261">
        <f t="shared" si="40"/>
        <v>2020</v>
      </c>
      <c r="B1261" s="821">
        <v>43852</v>
      </c>
      <c r="C1261">
        <v>2.2200000000000002</v>
      </c>
      <c r="D1261">
        <f t="shared" si="41"/>
        <v>0</v>
      </c>
    </row>
    <row r="1262" spans="1:4" x14ac:dyDescent="0.55000000000000004">
      <c r="A1262">
        <f t="shared" si="40"/>
        <v>2020</v>
      </c>
      <c r="B1262" s="821">
        <v>43851</v>
      </c>
      <c r="C1262">
        <v>2.23</v>
      </c>
      <c r="D1262">
        <f t="shared" si="41"/>
        <v>0</v>
      </c>
    </row>
    <row r="1263" spans="1:4" x14ac:dyDescent="0.55000000000000004">
      <c r="A1263">
        <f t="shared" si="40"/>
        <v>2020</v>
      </c>
      <c r="B1263" s="821">
        <v>43847</v>
      </c>
      <c r="C1263">
        <v>2.29</v>
      </c>
      <c r="D1263">
        <f t="shared" si="41"/>
        <v>0</v>
      </c>
    </row>
    <row r="1264" spans="1:4" x14ac:dyDescent="0.55000000000000004">
      <c r="A1264">
        <f t="shared" si="40"/>
        <v>2020</v>
      </c>
      <c r="B1264" s="821">
        <v>43846</v>
      </c>
      <c r="C1264">
        <v>2.2599999999999998</v>
      </c>
      <c r="D1264">
        <f t="shared" si="41"/>
        <v>0</v>
      </c>
    </row>
    <row r="1265" spans="1:4" x14ac:dyDescent="0.55000000000000004">
      <c r="A1265">
        <f t="shared" si="40"/>
        <v>2020</v>
      </c>
      <c r="B1265" s="821">
        <v>43845</v>
      </c>
      <c r="C1265">
        <v>2.23</v>
      </c>
      <c r="D1265">
        <f t="shared" si="41"/>
        <v>0</v>
      </c>
    </row>
    <row r="1266" spans="1:4" x14ac:dyDescent="0.55000000000000004">
      <c r="A1266">
        <f t="shared" si="40"/>
        <v>2020</v>
      </c>
      <c r="B1266" s="821">
        <v>43844</v>
      </c>
      <c r="C1266">
        <v>2.27</v>
      </c>
      <c r="D1266">
        <f t="shared" si="41"/>
        <v>0</v>
      </c>
    </row>
    <row r="1267" spans="1:4" x14ac:dyDescent="0.55000000000000004">
      <c r="A1267">
        <f t="shared" si="40"/>
        <v>2020</v>
      </c>
      <c r="B1267" s="821">
        <v>43843</v>
      </c>
      <c r="C1267">
        <v>2.2999999999999998</v>
      </c>
      <c r="D1267">
        <f t="shared" si="41"/>
        <v>0</v>
      </c>
    </row>
    <row r="1268" spans="1:4" x14ac:dyDescent="0.55000000000000004">
      <c r="A1268">
        <f t="shared" si="40"/>
        <v>2020</v>
      </c>
      <c r="B1268" s="821">
        <v>43840</v>
      </c>
      <c r="C1268">
        <v>2.2799999999999998</v>
      </c>
      <c r="D1268">
        <f t="shared" si="41"/>
        <v>0</v>
      </c>
    </row>
    <row r="1269" spans="1:4" x14ac:dyDescent="0.55000000000000004">
      <c r="A1269">
        <f t="shared" si="40"/>
        <v>2020</v>
      </c>
      <c r="B1269" s="821">
        <v>43839</v>
      </c>
      <c r="C1269">
        <v>2.38</v>
      </c>
      <c r="D1269">
        <f t="shared" si="41"/>
        <v>0</v>
      </c>
    </row>
    <row r="1270" spans="1:4" x14ac:dyDescent="0.55000000000000004">
      <c r="A1270">
        <f t="shared" si="40"/>
        <v>2020</v>
      </c>
      <c r="B1270" s="821">
        <v>43838</v>
      </c>
      <c r="C1270">
        <v>2.35</v>
      </c>
      <c r="D1270">
        <f t="shared" si="41"/>
        <v>0</v>
      </c>
    </row>
    <row r="1271" spans="1:4" x14ac:dyDescent="0.55000000000000004">
      <c r="A1271">
        <f t="shared" si="40"/>
        <v>2020</v>
      </c>
      <c r="B1271" s="821">
        <v>43837</v>
      </c>
      <c r="C1271">
        <v>2.31</v>
      </c>
      <c r="D1271">
        <f t="shared" si="41"/>
        <v>0</v>
      </c>
    </row>
    <row r="1272" spans="1:4" x14ac:dyDescent="0.55000000000000004">
      <c r="A1272">
        <f t="shared" si="40"/>
        <v>2020</v>
      </c>
      <c r="B1272" s="821">
        <v>43836</v>
      </c>
      <c r="C1272">
        <v>2.2799999999999998</v>
      </c>
      <c r="D1272">
        <f t="shared" si="41"/>
        <v>0</v>
      </c>
    </row>
    <row r="1273" spans="1:4" x14ac:dyDescent="0.55000000000000004">
      <c r="A1273">
        <f t="shared" si="40"/>
        <v>2020</v>
      </c>
      <c r="B1273" s="821">
        <v>43833</v>
      </c>
      <c r="C1273">
        <v>2.2599999999999998</v>
      </c>
      <c r="D1273">
        <f t="shared" si="41"/>
        <v>0</v>
      </c>
    </row>
    <row r="1274" spans="1:4" x14ac:dyDescent="0.55000000000000004">
      <c r="A1274">
        <f t="shared" si="40"/>
        <v>2020</v>
      </c>
      <c r="B1274" s="821">
        <v>43832</v>
      </c>
      <c r="C1274">
        <v>2.33</v>
      </c>
      <c r="D1274">
        <f t="shared" si="41"/>
        <v>0</v>
      </c>
    </row>
    <row r="1275" spans="1:4" x14ac:dyDescent="0.55000000000000004">
      <c r="A1275">
        <f t="shared" si="40"/>
        <v>2019</v>
      </c>
      <c r="B1275" s="821">
        <v>43830</v>
      </c>
      <c r="C1275">
        <v>2.39</v>
      </c>
      <c r="D1275">
        <f t="shared" si="41"/>
        <v>0</v>
      </c>
    </row>
    <row r="1276" spans="1:4" x14ac:dyDescent="0.55000000000000004">
      <c r="A1276">
        <f t="shared" si="40"/>
        <v>2019</v>
      </c>
      <c r="B1276" s="821">
        <v>43829</v>
      </c>
      <c r="C1276">
        <v>2.34</v>
      </c>
      <c r="D1276">
        <f t="shared" si="41"/>
        <v>0</v>
      </c>
    </row>
    <row r="1277" spans="1:4" x14ac:dyDescent="0.55000000000000004">
      <c r="A1277">
        <f t="shared" si="40"/>
        <v>2019</v>
      </c>
      <c r="B1277" s="821">
        <v>43826</v>
      </c>
      <c r="C1277">
        <v>2.3199999999999998</v>
      </c>
      <c r="D1277">
        <f t="shared" si="41"/>
        <v>0</v>
      </c>
    </row>
    <row r="1278" spans="1:4" x14ac:dyDescent="0.55000000000000004">
      <c r="A1278">
        <f t="shared" si="40"/>
        <v>2019</v>
      </c>
      <c r="B1278" s="821">
        <v>43825</v>
      </c>
      <c r="C1278">
        <v>2.33</v>
      </c>
      <c r="D1278">
        <f t="shared" si="41"/>
        <v>0</v>
      </c>
    </row>
    <row r="1279" spans="1:4" x14ac:dyDescent="0.55000000000000004">
      <c r="A1279">
        <f t="shared" si="40"/>
        <v>2019</v>
      </c>
      <c r="B1279" s="821">
        <v>43823</v>
      </c>
      <c r="C1279">
        <v>2.33</v>
      </c>
      <c r="D1279">
        <f t="shared" si="41"/>
        <v>0</v>
      </c>
    </row>
    <row r="1280" spans="1:4" x14ac:dyDescent="0.55000000000000004">
      <c r="A1280">
        <f t="shared" si="40"/>
        <v>2019</v>
      </c>
      <c r="B1280" s="821">
        <v>43822</v>
      </c>
      <c r="C1280">
        <v>2.35</v>
      </c>
      <c r="D1280">
        <f t="shared" si="41"/>
        <v>0</v>
      </c>
    </row>
    <row r="1281" spans="1:4" x14ac:dyDescent="0.55000000000000004">
      <c r="A1281">
        <f t="shared" si="40"/>
        <v>2019</v>
      </c>
      <c r="B1281" s="821">
        <v>43819</v>
      </c>
      <c r="C1281">
        <v>2.34</v>
      </c>
      <c r="D1281">
        <f t="shared" si="41"/>
        <v>0</v>
      </c>
    </row>
    <row r="1282" spans="1:4" x14ac:dyDescent="0.55000000000000004">
      <c r="A1282">
        <f t="shared" si="40"/>
        <v>2019</v>
      </c>
      <c r="B1282" s="821">
        <v>43818</v>
      </c>
      <c r="C1282">
        <v>2.35</v>
      </c>
      <c r="D1282">
        <f t="shared" si="41"/>
        <v>0</v>
      </c>
    </row>
    <row r="1283" spans="1:4" x14ac:dyDescent="0.55000000000000004">
      <c r="A1283">
        <f t="shared" si="40"/>
        <v>2019</v>
      </c>
      <c r="B1283" s="821">
        <v>43817</v>
      </c>
      <c r="C1283">
        <v>2.35</v>
      </c>
      <c r="D1283">
        <f t="shared" si="41"/>
        <v>0</v>
      </c>
    </row>
    <row r="1284" spans="1:4" x14ac:dyDescent="0.55000000000000004">
      <c r="A1284">
        <f t="shared" ref="A1284:A1347" si="42">YEAR(B1284)</f>
        <v>2019</v>
      </c>
      <c r="B1284" s="821">
        <v>43816</v>
      </c>
      <c r="C1284">
        <v>2.31</v>
      </c>
      <c r="D1284">
        <f t="shared" ref="D1284:D1347" si="43">IF(C1284&gt;4,1,0)</f>
        <v>0</v>
      </c>
    </row>
    <row r="1285" spans="1:4" x14ac:dyDescent="0.55000000000000004">
      <c r="A1285">
        <f t="shared" si="42"/>
        <v>2019</v>
      </c>
      <c r="B1285" s="821">
        <v>43815</v>
      </c>
      <c r="C1285">
        <v>2.2999999999999998</v>
      </c>
      <c r="D1285">
        <f t="shared" si="43"/>
        <v>0</v>
      </c>
    </row>
    <row r="1286" spans="1:4" x14ac:dyDescent="0.55000000000000004">
      <c r="A1286">
        <f t="shared" si="42"/>
        <v>2019</v>
      </c>
      <c r="B1286" s="821">
        <v>43812</v>
      </c>
      <c r="C1286">
        <v>2.2599999999999998</v>
      </c>
      <c r="D1286">
        <f t="shared" si="43"/>
        <v>0</v>
      </c>
    </row>
    <row r="1287" spans="1:4" x14ac:dyDescent="0.55000000000000004">
      <c r="A1287">
        <f t="shared" si="42"/>
        <v>2019</v>
      </c>
      <c r="B1287" s="821">
        <v>43811</v>
      </c>
      <c r="C1287">
        <v>2.3199999999999998</v>
      </c>
      <c r="D1287">
        <f t="shared" si="43"/>
        <v>0</v>
      </c>
    </row>
    <row r="1288" spans="1:4" x14ac:dyDescent="0.55000000000000004">
      <c r="A1288">
        <f t="shared" si="42"/>
        <v>2019</v>
      </c>
      <c r="B1288" s="821">
        <v>43810</v>
      </c>
      <c r="C1288">
        <v>2.23</v>
      </c>
      <c r="D1288">
        <f t="shared" si="43"/>
        <v>0</v>
      </c>
    </row>
    <row r="1289" spans="1:4" x14ac:dyDescent="0.55000000000000004">
      <c r="A1289">
        <f t="shared" si="42"/>
        <v>2019</v>
      </c>
      <c r="B1289" s="821">
        <v>43809</v>
      </c>
      <c r="C1289">
        <v>2.2599999999999998</v>
      </c>
      <c r="D1289">
        <f t="shared" si="43"/>
        <v>0</v>
      </c>
    </row>
    <row r="1290" spans="1:4" x14ac:dyDescent="0.55000000000000004">
      <c r="A1290">
        <f t="shared" si="42"/>
        <v>2019</v>
      </c>
      <c r="B1290" s="821">
        <v>43808</v>
      </c>
      <c r="C1290">
        <v>2.27</v>
      </c>
      <c r="D1290">
        <f t="shared" si="43"/>
        <v>0</v>
      </c>
    </row>
    <row r="1291" spans="1:4" x14ac:dyDescent="0.55000000000000004">
      <c r="A1291">
        <f t="shared" si="42"/>
        <v>2019</v>
      </c>
      <c r="B1291" s="821">
        <v>43805</v>
      </c>
      <c r="C1291">
        <v>2.29</v>
      </c>
      <c r="D1291">
        <f t="shared" si="43"/>
        <v>0</v>
      </c>
    </row>
    <row r="1292" spans="1:4" x14ac:dyDescent="0.55000000000000004">
      <c r="A1292">
        <f t="shared" si="42"/>
        <v>2019</v>
      </c>
      <c r="B1292" s="821">
        <v>43804</v>
      </c>
      <c r="C1292">
        <v>2.2400000000000002</v>
      </c>
      <c r="D1292">
        <f t="shared" si="43"/>
        <v>0</v>
      </c>
    </row>
    <row r="1293" spans="1:4" x14ac:dyDescent="0.55000000000000004">
      <c r="A1293">
        <f t="shared" si="42"/>
        <v>2019</v>
      </c>
      <c r="B1293" s="821">
        <v>43803</v>
      </c>
      <c r="C1293">
        <v>2.2200000000000002</v>
      </c>
      <c r="D1293">
        <f t="shared" si="43"/>
        <v>0</v>
      </c>
    </row>
    <row r="1294" spans="1:4" x14ac:dyDescent="0.55000000000000004">
      <c r="A1294">
        <f t="shared" si="42"/>
        <v>2019</v>
      </c>
      <c r="B1294" s="821">
        <v>43802</v>
      </c>
      <c r="C1294">
        <v>2.17</v>
      </c>
      <c r="D1294">
        <f t="shared" si="43"/>
        <v>0</v>
      </c>
    </row>
    <row r="1295" spans="1:4" x14ac:dyDescent="0.55000000000000004">
      <c r="A1295">
        <f t="shared" si="42"/>
        <v>2019</v>
      </c>
      <c r="B1295" s="821">
        <v>43801</v>
      </c>
      <c r="C1295">
        <v>2.2799999999999998</v>
      </c>
      <c r="D1295">
        <f t="shared" si="43"/>
        <v>0</v>
      </c>
    </row>
    <row r="1296" spans="1:4" x14ac:dyDescent="0.55000000000000004">
      <c r="A1296">
        <f t="shared" si="42"/>
        <v>2019</v>
      </c>
      <c r="B1296" s="821">
        <v>43798</v>
      </c>
      <c r="C1296">
        <v>2.21</v>
      </c>
      <c r="D1296">
        <f t="shared" si="43"/>
        <v>0</v>
      </c>
    </row>
    <row r="1297" spans="1:4" x14ac:dyDescent="0.55000000000000004">
      <c r="A1297">
        <f t="shared" si="42"/>
        <v>2019</v>
      </c>
      <c r="B1297" s="821">
        <v>43796</v>
      </c>
      <c r="C1297">
        <v>2.19</v>
      </c>
      <c r="D1297">
        <f t="shared" si="43"/>
        <v>0</v>
      </c>
    </row>
    <row r="1298" spans="1:4" x14ac:dyDescent="0.55000000000000004">
      <c r="A1298">
        <f t="shared" si="42"/>
        <v>2019</v>
      </c>
      <c r="B1298" s="821">
        <v>43795</v>
      </c>
      <c r="C1298">
        <v>2.1800000000000002</v>
      </c>
      <c r="D1298">
        <f t="shared" si="43"/>
        <v>0</v>
      </c>
    </row>
    <row r="1299" spans="1:4" x14ac:dyDescent="0.55000000000000004">
      <c r="A1299">
        <f t="shared" si="42"/>
        <v>2019</v>
      </c>
      <c r="B1299" s="821">
        <v>43794</v>
      </c>
      <c r="C1299">
        <v>2.21</v>
      </c>
      <c r="D1299">
        <f t="shared" si="43"/>
        <v>0</v>
      </c>
    </row>
    <row r="1300" spans="1:4" x14ac:dyDescent="0.55000000000000004">
      <c r="A1300">
        <f t="shared" si="42"/>
        <v>2019</v>
      </c>
      <c r="B1300" s="821">
        <v>43791</v>
      </c>
      <c r="C1300">
        <v>2.2200000000000002</v>
      </c>
      <c r="D1300">
        <f t="shared" si="43"/>
        <v>0</v>
      </c>
    </row>
    <row r="1301" spans="1:4" x14ac:dyDescent="0.55000000000000004">
      <c r="A1301">
        <f t="shared" si="42"/>
        <v>2019</v>
      </c>
      <c r="B1301" s="821">
        <v>43790</v>
      </c>
      <c r="C1301">
        <v>2.2400000000000002</v>
      </c>
      <c r="D1301">
        <f t="shared" si="43"/>
        <v>0</v>
      </c>
    </row>
    <row r="1302" spans="1:4" x14ac:dyDescent="0.55000000000000004">
      <c r="A1302">
        <f t="shared" si="42"/>
        <v>2019</v>
      </c>
      <c r="B1302" s="821">
        <v>43789</v>
      </c>
      <c r="C1302">
        <v>2.2000000000000002</v>
      </c>
      <c r="D1302">
        <f t="shared" si="43"/>
        <v>0</v>
      </c>
    </row>
    <row r="1303" spans="1:4" x14ac:dyDescent="0.55000000000000004">
      <c r="A1303">
        <f t="shared" si="42"/>
        <v>2019</v>
      </c>
      <c r="B1303" s="821">
        <v>43788</v>
      </c>
      <c r="C1303">
        <v>2.2599999999999998</v>
      </c>
      <c r="D1303">
        <f t="shared" si="43"/>
        <v>0</v>
      </c>
    </row>
    <row r="1304" spans="1:4" x14ac:dyDescent="0.55000000000000004">
      <c r="A1304">
        <f t="shared" si="42"/>
        <v>2019</v>
      </c>
      <c r="B1304" s="821">
        <v>43787</v>
      </c>
      <c r="C1304">
        <v>2.2999999999999998</v>
      </c>
      <c r="D1304">
        <f t="shared" si="43"/>
        <v>0</v>
      </c>
    </row>
    <row r="1305" spans="1:4" x14ac:dyDescent="0.55000000000000004">
      <c r="A1305">
        <f t="shared" si="42"/>
        <v>2019</v>
      </c>
      <c r="B1305" s="821">
        <v>43784</v>
      </c>
      <c r="C1305">
        <v>2.31</v>
      </c>
      <c r="D1305">
        <f t="shared" si="43"/>
        <v>0</v>
      </c>
    </row>
    <row r="1306" spans="1:4" x14ac:dyDescent="0.55000000000000004">
      <c r="A1306">
        <f t="shared" si="42"/>
        <v>2019</v>
      </c>
      <c r="B1306" s="821">
        <v>43783</v>
      </c>
      <c r="C1306">
        <v>2.31</v>
      </c>
      <c r="D1306">
        <f t="shared" si="43"/>
        <v>0</v>
      </c>
    </row>
    <row r="1307" spans="1:4" x14ac:dyDescent="0.55000000000000004">
      <c r="A1307">
        <f t="shared" si="42"/>
        <v>2019</v>
      </c>
      <c r="B1307" s="821">
        <v>43782</v>
      </c>
      <c r="C1307">
        <v>2.36</v>
      </c>
      <c r="D1307">
        <f t="shared" si="43"/>
        <v>0</v>
      </c>
    </row>
    <row r="1308" spans="1:4" x14ac:dyDescent="0.55000000000000004">
      <c r="A1308">
        <f t="shared" si="42"/>
        <v>2019</v>
      </c>
      <c r="B1308" s="821">
        <v>43781</v>
      </c>
      <c r="C1308">
        <v>2.39</v>
      </c>
      <c r="D1308">
        <f t="shared" si="43"/>
        <v>0</v>
      </c>
    </row>
    <row r="1309" spans="1:4" x14ac:dyDescent="0.55000000000000004">
      <c r="A1309">
        <f t="shared" si="42"/>
        <v>2019</v>
      </c>
      <c r="B1309" s="821">
        <v>43777</v>
      </c>
      <c r="C1309">
        <v>2.4300000000000002</v>
      </c>
      <c r="D1309">
        <f t="shared" si="43"/>
        <v>0</v>
      </c>
    </row>
    <row r="1310" spans="1:4" x14ac:dyDescent="0.55000000000000004">
      <c r="A1310">
        <f t="shared" si="42"/>
        <v>2019</v>
      </c>
      <c r="B1310" s="821">
        <v>43776</v>
      </c>
      <c r="C1310">
        <v>2.4</v>
      </c>
      <c r="D1310">
        <f t="shared" si="43"/>
        <v>0</v>
      </c>
    </row>
    <row r="1311" spans="1:4" x14ac:dyDescent="0.55000000000000004">
      <c r="A1311">
        <f t="shared" si="42"/>
        <v>2019</v>
      </c>
      <c r="B1311" s="821">
        <v>43775</v>
      </c>
      <c r="C1311">
        <v>2.2999999999999998</v>
      </c>
      <c r="D1311">
        <f t="shared" si="43"/>
        <v>0</v>
      </c>
    </row>
    <row r="1312" spans="1:4" x14ac:dyDescent="0.55000000000000004">
      <c r="A1312">
        <f t="shared" si="42"/>
        <v>2019</v>
      </c>
      <c r="B1312" s="821">
        <v>43774</v>
      </c>
      <c r="C1312">
        <v>2.34</v>
      </c>
      <c r="D1312">
        <f t="shared" si="43"/>
        <v>0</v>
      </c>
    </row>
    <row r="1313" spans="1:4" x14ac:dyDescent="0.55000000000000004">
      <c r="A1313">
        <f t="shared" si="42"/>
        <v>2019</v>
      </c>
      <c r="B1313" s="821">
        <v>43773</v>
      </c>
      <c r="C1313">
        <v>2.27</v>
      </c>
      <c r="D1313">
        <f t="shared" si="43"/>
        <v>0</v>
      </c>
    </row>
    <row r="1314" spans="1:4" x14ac:dyDescent="0.55000000000000004">
      <c r="A1314">
        <f t="shared" si="42"/>
        <v>2019</v>
      </c>
      <c r="B1314" s="821">
        <v>43770</v>
      </c>
      <c r="C1314">
        <v>2.21</v>
      </c>
      <c r="D1314">
        <f t="shared" si="43"/>
        <v>0</v>
      </c>
    </row>
    <row r="1315" spans="1:4" x14ac:dyDescent="0.55000000000000004">
      <c r="A1315">
        <f t="shared" si="42"/>
        <v>2019</v>
      </c>
      <c r="B1315" s="821">
        <v>43769</v>
      </c>
      <c r="C1315">
        <v>2.17</v>
      </c>
      <c r="D1315">
        <f t="shared" si="43"/>
        <v>0</v>
      </c>
    </row>
    <row r="1316" spans="1:4" x14ac:dyDescent="0.55000000000000004">
      <c r="A1316">
        <f t="shared" si="42"/>
        <v>2019</v>
      </c>
      <c r="B1316" s="821">
        <v>43768</v>
      </c>
      <c r="C1316">
        <v>2.2599999999999998</v>
      </c>
      <c r="D1316">
        <f t="shared" si="43"/>
        <v>0</v>
      </c>
    </row>
    <row r="1317" spans="1:4" x14ac:dyDescent="0.55000000000000004">
      <c r="A1317">
        <f t="shared" si="42"/>
        <v>2019</v>
      </c>
      <c r="B1317" s="821">
        <v>43767</v>
      </c>
      <c r="C1317">
        <v>2.33</v>
      </c>
      <c r="D1317">
        <f t="shared" si="43"/>
        <v>0</v>
      </c>
    </row>
    <row r="1318" spans="1:4" x14ac:dyDescent="0.55000000000000004">
      <c r="A1318">
        <f t="shared" si="42"/>
        <v>2019</v>
      </c>
      <c r="B1318" s="821">
        <v>43766</v>
      </c>
      <c r="C1318">
        <v>2.34</v>
      </c>
      <c r="D1318">
        <f t="shared" si="43"/>
        <v>0</v>
      </c>
    </row>
    <row r="1319" spans="1:4" x14ac:dyDescent="0.55000000000000004">
      <c r="A1319">
        <f t="shared" si="42"/>
        <v>2019</v>
      </c>
      <c r="B1319" s="821">
        <v>43763</v>
      </c>
      <c r="C1319">
        <v>2.29</v>
      </c>
      <c r="D1319">
        <f t="shared" si="43"/>
        <v>0</v>
      </c>
    </row>
    <row r="1320" spans="1:4" x14ac:dyDescent="0.55000000000000004">
      <c r="A1320">
        <f t="shared" si="42"/>
        <v>2019</v>
      </c>
      <c r="B1320" s="821">
        <v>43762</v>
      </c>
      <c r="C1320">
        <v>2.2599999999999998</v>
      </c>
      <c r="D1320">
        <f t="shared" si="43"/>
        <v>0</v>
      </c>
    </row>
    <row r="1321" spans="1:4" x14ac:dyDescent="0.55000000000000004">
      <c r="A1321">
        <f t="shared" si="42"/>
        <v>2019</v>
      </c>
      <c r="B1321" s="821">
        <v>43761</v>
      </c>
      <c r="C1321">
        <v>2.25</v>
      </c>
      <c r="D1321">
        <f t="shared" si="43"/>
        <v>0</v>
      </c>
    </row>
    <row r="1322" spans="1:4" x14ac:dyDescent="0.55000000000000004">
      <c r="A1322">
        <f t="shared" si="42"/>
        <v>2019</v>
      </c>
      <c r="B1322" s="821">
        <v>43760</v>
      </c>
      <c r="C1322">
        <v>2.2599999999999998</v>
      </c>
      <c r="D1322">
        <f t="shared" si="43"/>
        <v>0</v>
      </c>
    </row>
    <row r="1323" spans="1:4" x14ac:dyDescent="0.55000000000000004">
      <c r="A1323">
        <f t="shared" si="42"/>
        <v>2019</v>
      </c>
      <c r="B1323" s="821">
        <v>43759</v>
      </c>
      <c r="C1323">
        <v>2.2799999999999998</v>
      </c>
      <c r="D1323">
        <f t="shared" si="43"/>
        <v>0</v>
      </c>
    </row>
    <row r="1324" spans="1:4" x14ac:dyDescent="0.55000000000000004">
      <c r="A1324">
        <f t="shared" si="42"/>
        <v>2019</v>
      </c>
      <c r="B1324" s="821">
        <v>43756</v>
      </c>
      <c r="C1324">
        <v>2.25</v>
      </c>
      <c r="D1324">
        <f t="shared" si="43"/>
        <v>0</v>
      </c>
    </row>
    <row r="1325" spans="1:4" x14ac:dyDescent="0.55000000000000004">
      <c r="A1325">
        <f t="shared" si="42"/>
        <v>2019</v>
      </c>
      <c r="B1325" s="821">
        <v>43755</v>
      </c>
      <c r="C1325">
        <v>2.2400000000000002</v>
      </c>
      <c r="D1325">
        <f t="shared" si="43"/>
        <v>0</v>
      </c>
    </row>
    <row r="1326" spans="1:4" x14ac:dyDescent="0.55000000000000004">
      <c r="A1326">
        <f t="shared" si="42"/>
        <v>2019</v>
      </c>
      <c r="B1326" s="821">
        <v>43754</v>
      </c>
      <c r="C1326">
        <v>2.23</v>
      </c>
      <c r="D1326">
        <f t="shared" si="43"/>
        <v>0</v>
      </c>
    </row>
    <row r="1327" spans="1:4" x14ac:dyDescent="0.55000000000000004">
      <c r="A1327">
        <f t="shared" si="42"/>
        <v>2019</v>
      </c>
      <c r="B1327" s="821">
        <v>43753</v>
      </c>
      <c r="C1327">
        <v>2.23</v>
      </c>
      <c r="D1327">
        <f t="shared" si="43"/>
        <v>0</v>
      </c>
    </row>
    <row r="1328" spans="1:4" x14ac:dyDescent="0.55000000000000004">
      <c r="A1328">
        <f t="shared" si="42"/>
        <v>2019</v>
      </c>
      <c r="B1328" s="821">
        <v>43749</v>
      </c>
      <c r="C1328">
        <v>2.2200000000000002</v>
      </c>
      <c r="D1328">
        <f t="shared" si="43"/>
        <v>0</v>
      </c>
    </row>
    <row r="1329" spans="1:4" x14ac:dyDescent="0.55000000000000004">
      <c r="A1329">
        <f t="shared" si="42"/>
        <v>2019</v>
      </c>
      <c r="B1329" s="821">
        <v>43748</v>
      </c>
      <c r="C1329">
        <v>2.16</v>
      </c>
      <c r="D1329">
        <f t="shared" si="43"/>
        <v>0</v>
      </c>
    </row>
    <row r="1330" spans="1:4" x14ac:dyDescent="0.55000000000000004">
      <c r="A1330">
        <f t="shared" si="42"/>
        <v>2019</v>
      </c>
      <c r="B1330" s="821">
        <v>43747</v>
      </c>
      <c r="C1330">
        <v>2.08</v>
      </c>
      <c r="D1330">
        <f t="shared" si="43"/>
        <v>0</v>
      </c>
    </row>
    <row r="1331" spans="1:4" x14ac:dyDescent="0.55000000000000004">
      <c r="A1331">
        <f t="shared" si="42"/>
        <v>2019</v>
      </c>
      <c r="B1331" s="821">
        <v>43746</v>
      </c>
      <c r="C1331">
        <v>2.04</v>
      </c>
      <c r="D1331">
        <f t="shared" si="43"/>
        <v>0</v>
      </c>
    </row>
    <row r="1332" spans="1:4" x14ac:dyDescent="0.55000000000000004">
      <c r="A1332">
        <f t="shared" si="42"/>
        <v>2019</v>
      </c>
      <c r="B1332" s="821">
        <v>43745</v>
      </c>
      <c r="C1332">
        <v>2.0499999999999998</v>
      </c>
      <c r="D1332">
        <f t="shared" si="43"/>
        <v>0</v>
      </c>
    </row>
    <row r="1333" spans="1:4" x14ac:dyDescent="0.55000000000000004">
      <c r="A1333">
        <f t="shared" si="42"/>
        <v>2019</v>
      </c>
      <c r="B1333" s="821">
        <v>43742</v>
      </c>
      <c r="C1333">
        <v>2.0099999999999998</v>
      </c>
      <c r="D1333">
        <f t="shared" si="43"/>
        <v>0</v>
      </c>
    </row>
    <row r="1334" spans="1:4" x14ac:dyDescent="0.55000000000000004">
      <c r="A1334">
        <f t="shared" si="42"/>
        <v>2019</v>
      </c>
      <c r="B1334" s="821">
        <v>43741</v>
      </c>
      <c r="C1334">
        <v>2.04</v>
      </c>
      <c r="D1334">
        <f t="shared" si="43"/>
        <v>0</v>
      </c>
    </row>
    <row r="1335" spans="1:4" x14ac:dyDescent="0.55000000000000004">
      <c r="A1335">
        <f t="shared" si="42"/>
        <v>2019</v>
      </c>
      <c r="B1335" s="821">
        <v>43740</v>
      </c>
      <c r="C1335">
        <v>2.09</v>
      </c>
      <c r="D1335">
        <f t="shared" si="43"/>
        <v>0</v>
      </c>
    </row>
    <row r="1336" spans="1:4" x14ac:dyDescent="0.55000000000000004">
      <c r="A1336">
        <f t="shared" si="42"/>
        <v>2019</v>
      </c>
      <c r="B1336" s="821">
        <v>43739</v>
      </c>
      <c r="C1336">
        <v>2.11</v>
      </c>
      <c r="D1336">
        <f t="shared" si="43"/>
        <v>0</v>
      </c>
    </row>
    <row r="1337" spans="1:4" x14ac:dyDescent="0.55000000000000004">
      <c r="A1337">
        <f t="shared" si="42"/>
        <v>2019</v>
      </c>
      <c r="B1337" s="821">
        <v>43738</v>
      </c>
      <c r="C1337">
        <v>2.12</v>
      </c>
      <c r="D1337">
        <f t="shared" si="43"/>
        <v>0</v>
      </c>
    </row>
    <row r="1338" spans="1:4" x14ac:dyDescent="0.55000000000000004">
      <c r="A1338">
        <f t="shared" si="42"/>
        <v>2019</v>
      </c>
      <c r="B1338" s="821">
        <v>43735</v>
      </c>
      <c r="C1338">
        <v>2.13</v>
      </c>
      <c r="D1338">
        <f t="shared" si="43"/>
        <v>0</v>
      </c>
    </row>
    <row r="1339" spans="1:4" x14ac:dyDescent="0.55000000000000004">
      <c r="A1339">
        <f t="shared" si="42"/>
        <v>2019</v>
      </c>
      <c r="B1339" s="821">
        <v>43734</v>
      </c>
      <c r="C1339">
        <v>2.15</v>
      </c>
      <c r="D1339">
        <f t="shared" si="43"/>
        <v>0</v>
      </c>
    </row>
    <row r="1340" spans="1:4" x14ac:dyDescent="0.55000000000000004">
      <c r="A1340">
        <f t="shared" si="42"/>
        <v>2019</v>
      </c>
      <c r="B1340" s="821">
        <v>43733</v>
      </c>
      <c r="C1340">
        <v>2.1800000000000002</v>
      </c>
      <c r="D1340">
        <f t="shared" si="43"/>
        <v>0</v>
      </c>
    </row>
    <row r="1341" spans="1:4" x14ac:dyDescent="0.55000000000000004">
      <c r="A1341">
        <f t="shared" si="42"/>
        <v>2019</v>
      </c>
      <c r="B1341" s="821">
        <v>43732</v>
      </c>
      <c r="C1341">
        <v>2.09</v>
      </c>
      <c r="D1341">
        <f t="shared" si="43"/>
        <v>0</v>
      </c>
    </row>
    <row r="1342" spans="1:4" x14ac:dyDescent="0.55000000000000004">
      <c r="A1342">
        <f t="shared" si="42"/>
        <v>2019</v>
      </c>
      <c r="B1342" s="821">
        <v>43731</v>
      </c>
      <c r="C1342">
        <v>2.16</v>
      </c>
      <c r="D1342">
        <f t="shared" si="43"/>
        <v>0</v>
      </c>
    </row>
    <row r="1343" spans="1:4" x14ac:dyDescent="0.55000000000000004">
      <c r="A1343">
        <f t="shared" si="42"/>
        <v>2019</v>
      </c>
      <c r="B1343" s="821">
        <v>43728</v>
      </c>
      <c r="C1343">
        <v>2.17</v>
      </c>
      <c r="D1343">
        <f t="shared" si="43"/>
        <v>0</v>
      </c>
    </row>
    <row r="1344" spans="1:4" x14ac:dyDescent="0.55000000000000004">
      <c r="A1344">
        <f t="shared" si="42"/>
        <v>2019</v>
      </c>
      <c r="B1344" s="821">
        <v>43727</v>
      </c>
      <c r="C1344">
        <v>2.2200000000000002</v>
      </c>
      <c r="D1344">
        <f t="shared" si="43"/>
        <v>0</v>
      </c>
    </row>
    <row r="1345" spans="1:4" x14ac:dyDescent="0.55000000000000004">
      <c r="A1345">
        <f t="shared" si="42"/>
        <v>2019</v>
      </c>
      <c r="B1345" s="821">
        <v>43726</v>
      </c>
      <c r="C1345">
        <v>2.25</v>
      </c>
      <c r="D1345">
        <f t="shared" si="43"/>
        <v>0</v>
      </c>
    </row>
    <row r="1346" spans="1:4" x14ac:dyDescent="0.55000000000000004">
      <c r="A1346">
        <f t="shared" si="42"/>
        <v>2019</v>
      </c>
      <c r="B1346" s="821">
        <v>43725</v>
      </c>
      <c r="C1346">
        <v>2.27</v>
      </c>
      <c r="D1346">
        <f t="shared" si="43"/>
        <v>0</v>
      </c>
    </row>
    <row r="1347" spans="1:4" x14ac:dyDescent="0.55000000000000004">
      <c r="A1347">
        <f t="shared" si="42"/>
        <v>2019</v>
      </c>
      <c r="B1347" s="821">
        <v>43724</v>
      </c>
      <c r="C1347">
        <v>2.31</v>
      </c>
      <c r="D1347">
        <f t="shared" si="43"/>
        <v>0</v>
      </c>
    </row>
    <row r="1348" spans="1:4" x14ac:dyDescent="0.55000000000000004">
      <c r="A1348">
        <f t="shared" ref="A1348:A1411" si="44">YEAR(B1348)</f>
        <v>2019</v>
      </c>
      <c r="B1348" s="821">
        <v>43721</v>
      </c>
      <c r="C1348">
        <v>2.37</v>
      </c>
      <c r="D1348">
        <f t="shared" ref="D1348:D1411" si="45">IF(C1348&gt;4,1,0)</f>
        <v>0</v>
      </c>
    </row>
    <row r="1349" spans="1:4" x14ac:dyDescent="0.55000000000000004">
      <c r="A1349">
        <f t="shared" si="44"/>
        <v>2019</v>
      </c>
      <c r="B1349" s="821">
        <v>43720</v>
      </c>
      <c r="C1349">
        <v>2.2200000000000002</v>
      </c>
      <c r="D1349">
        <f t="shared" si="45"/>
        <v>0</v>
      </c>
    </row>
    <row r="1350" spans="1:4" x14ac:dyDescent="0.55000000000000004">
      <c r="A1350">
        <f t="shared" si="44"/>
        <v>2019</v>
      </c>
      <c r="B1350" s="821">
        <v>43719</v>
      </c>
      <c r="C1350">
        <v>2.2200000000000002</v>
      </c>
      <c r="D1350">
        <f t="shared" si="45"/>
        <v>0</v>
      </c>
    </row>
    <row r="1351" spans="1:4" x14ac:dyDescent="0.55000000000000004">
      <c r="A1351">
        <f t="shared" si="44"/>
        <v>2019</v>
      </c>
      <c r="B1351" s="821">
        <v>43718</v>
      </c>
      <c r="C1351">
        <v>2.19</v>
      </c>
      <c r="D1351">
        <f t="shared" si="45"/>
        <v>0</v>
      </c>
    </row>
    <row r="1352" spans="1:4" x14ac:dyDescent="0.55000000000000004">
      <c r="A1352">
        <f t="shared" si="44"/>
        <v>2019</v>
      </c>
      <c r="B1352" s="821">
        <v>43717</v>
      </c>
      <c r="C1352">
        <v>2.11</v>
      </c>
      <c r="D1352">
        <f t="shared" si="45"/>
        <v>0</v>
      </c>
    </row>
    <row r="1353" spans="1:4" x14ac:dyDescent="0.55000000000000004">
      <c r="A1353">
        <f t="shared" si="44"/>
        <v>2019</v>
      </c>
      <c r="B1353" s="821">
        <v>43714</v>
      </c>
      <c r="C1353">
        <v>2.02</v>
      </c>
      <c r="D1353">
        <f t="shared" si="45"/>
        <v>0</v>
      </c>
    </row>
    <row r="1354" spans="1:4" x14ac:dyDescent="0.55000000000000004">
      <c r="A1354">
        <f t="shared" si="44"/>
        <v>2019</v>
      </c>
      <c r="B1354" s="821">
        <v>43713</v>
      </c>
      <c r="C1354">
        <v>2.06</v>
      </c>
      <c r="D1354">
        <f t="shared" si="45"/>
        <v>0</v>
      </c>
    </row>
    <row r="1355" spans="1:4" x14ac:dyDescent="0.55000000000000004">
      <c r="A1355">
        <f t="shared" si="44"/>
        <v>2019</v>
      </c>
      <c r="B1355" s="821">
        <v>43712</v>
      </c>
      <c r="C1355">
        <v>1.97</v>
      </c>
      <c r="D1355">
        <f t="shared" si="45"/>
        <v>0</v>
      </c>
    </row>
    <row r="1356" spans="1:4" x14ac:dyDescent="0.55000000000000004">
      <c r="A1356">
        <f t="shared" si="44"/>
        <v>2019</v>
      </c>
      <c r="B1356" s="821">
        <v>43711</v>
      </c>
      <c r="C1356">
        <v>1.95</v>
      </c>
      <c r="D1356">
        <f t="shared" si="45"/>
        <v>0</v>
      </c>
    </row>
    <row r="1357" spans="1:4" x14ac:dyDescent="0.55000000000000004">
      <c r="A1357">
        <f t="shared" si="44"/>
        <v>2019</v>
      </c>
      <c r="B1357" s="821">
        <v>43707</v>
      </c>
      <c r="C1357">
        <v>1.96</v>
      </c>
      <c r="D1357">
        <f t="shared" si="45"/>
        <v>0</v>
      </c>
    </row>
    <row r="1358" spans="1:4" x14ac:dyDescent="0.55000000000000004">
      <c r="A1358">
        <f t="shared" si="44"/>
        <v>2019</v>
      </c>
      <c r="B1358" s="821">
        <v>43706</v>
      </c>
      <c r="C1358">
        <v>1.97</v>
      </c>
      <c r="D1358">
        <f t="shared" si="45"/>
        <v>0</v>
      </c>
    </row>
    <row r="1359" spans="1:4" x14ac:dyDescent="0.55000000000000004">
      <c r="A1359">
        <f t="shared" si="44"/>
        <v>2019</v>
      </c>
      <c r="B1359" s="821">
        <v>43705</v>
      </c>
      <c r="C1359">
        <v>1.94</v>
      </c>
      <c r="D1359">
        <f t="shared" si="45"/>
        <v>0</v>
      </c>
    </row>
    <row r="1360" spans="1:4" x14ac:dyDescent="0.55000000000000004">
      <c r="A1360">
        <f t="shared" si="44"/>
        <v>2019</v>
      </c>
      <c r="B1360" s="821">
        <v>43704</v>
      </c>
      <c r="C1360">
        <v>1.97</v>
      </c>
      <c r="D1360">
        <f t="shared" si="45"/>
        <v>0</v>
      </c>
    </row>
    <row r="1361" spans="1:4" x14ac:dyDescent="0.55000000000000004">
      <c r="A1361">
        <f t="shared" si="44"/>
        <v>2019</v>
      </c>
      <c r="B1361" s="821">
        <v>43703</v>
      </c>
      <c r="C1361">
        <v>2.04</v>
      </c>
      <c r="D1361">
        <f t="shared" si="45"/>
        <v>0</v>
      </c>
    </row>
    <row r="1362" spans="1:4" x14ac:dyDescent="0.55000000000000004">
      <c r="A1362">
        <f t="shared" si="44"/>
        <v>2019</v>
      </c>
      <c r="B1362" s="821">
        <v>43700</v>
      </c>
      <c r="C1362">
        <v>2.02</v>
      </c>
      <c r="D1362">
        <f t="shared" si="45"/>
        <v>0</v>
      </c>
    </row>
    <row r="1363" spans="1:4" x14ac:dyDescent="0.55000000000000004">
      <c r="A1363">
        <f t="shared" si="44"/>
        <v>2019</v>
      </c>
      <c r="B1363" s="821">
        <v>43699</v>
      </c>
      <c r="C1363">
        <v>2.11</v>
      </c>
      <c r="D1363">
        <f t="shared" si="45"/>
        <v>0</v>
      </c>
    </row>
    <row r="1364" spans="1:4" x14ac:dyDescent="0.55000000000000004">
      <c r="A1364">
        <f t="shared" si="44"/>
        <v>2019</v>
      </c>
      <c r="B1364" s="821">
        <v>43698</v>
      </c>
      <c r="C1364">
        <v>2.0699999999999998</v>
      </c>
      <c r="D1364">
        <f t="shared" si="45"/>
        <v>0</v>
      </c>
    </row>
    <row r="1365" spans="1:4" x14ac:dyDescent="0.55000000000000004">
      <c r="A1365">
        <f t="shared" si="44"/>
        <v>2019</v>
      </c>
      <c r="B1365" s="821">
        <v>43697</v>
      </c>
      <c r="C1365">
        <v>2.04</v>
      </c>
      <c r="D1365">
        <f t="shared" si="45"/>
        <v>0</v>
      </c>
    </row>
    <row r="1366" spans="1:4" x14ac:dyDescent="0.55000000000000004">
      <c r="A1366">
        <f t="shared" si="44"/>
        <v>2019</v>
      </c>
      <c r="B1366" s="821">
        <v>43696</v>
      </c>
      <c r="C1366">
        <v>2.08</v>
      </c>
      <c r="D1366">
        <f t="shared" si="45"/>
        <v>0</v>
      </c>
    </row>
    <row r="1367" spans="1:4" x14ac:dyDescent="0.55000000000000004">
      <c r="A1367">
        <f t="shared" si="44"/>
        <v>2019</v>
      </c>
      <c r="B1367" s="821">
        <v>43693</v>
      </c>
      <c r="C1367">
        <v>2.0099999999999998</v>
      </c>
      <c r="D1367">
        <f t="shared" si="45"/>
        <v>0</v>
      </c>
    </row>
    <row r="1368" spans="1:4" x14ac:dyDescent="0.55000000000000004">
      <c r="A1368">
        <f t="shared" si="44"/>
        <v>2019</v>
      </c>
      <c r="B1368" s="821">
        <v>43692</v>
      </c>
      <c r="C1368">
        <v>1.98</v>
      </c>
      <c r="D1368">
        <f t="shared" si="45"/>
        <v>0</v>
      </c>
    </row>
    <row r="1369" spans="1:4" x14ac:dyDescent="0.55000000000000004">
      <c r="A1369">
        <f t="shared" si="44"/>
        <v>2019</v>
      </c>
      <c r="B1369" s="821">
        <v>43691</v>
      </c>
      <c r="C1369">
        <v>2.0299999999999998</v>
      </c>
      <c r="D1369">
        <f t="shared" si="45"/>
        <v>0</v>
      </c>
    </row>
    <row r="1370" spans="1:4" x14ac:dyDescent="0.55000000000000004">
      <c r="A1370">
        <f t="shared" si="44"/>
        <v>2019</v>
      </c>
      <c r="B1370" s="821">
        <v>43690</v>
      </c>
      <c r="C1370">
        <v>2.15</v>
      </c>
      <c r="D1370">
        <f t="shared" si="45"/>
        <v>0</v>
      </c>
    </row>
    <row r="1371" spans="1:4" x14ac:dyDescent="0.55000000000000004">
      <c r="A1371">
        <f t="shared" si="44"/>
        <v>2019</v>
      </c>
      <c r="B1371" s="821">
        <v>43689</v>
      </c>
      <c r="C1371">
        <v>2.14</v>
      </c>
      <c r="D1371">
        <f t="shared" si="45"/>
        <v>0</v>
      </c>
    </row>
    <row r="1372" spans="1:4" x14ac:dyDescent="0.55000000000000004">
      <c r="A1372">
        <f t="shared" si="44"/>
        <v>2019</v>
      </c>
      <c r="B1372" s="821">
        <v>43686</v>
      </c>
      <c r="C1372">
        <v>2.2599999999999998</v>
      </c>
      <c r="D1372">
        <f t="shared" si="45"/>
        <v>0</v>
      </c>
    </row>
    <row r="1373" spans="1:4" x14ac:dyDescent="0.55000000000000004">
      <c r="A1373">
        <f t="shared" si="44"/>
        <v>2019</v>
      </c>
      <c r="B1373" s="821">
        <v>43685</v>
      </c>
      <c r="C1373">
        <v>2.25</v>
      </c>
      <c r="D1373">
        <f t="shared" si="45"/>
        <v>0</v>
      </c>
    </row>
    <row r="1374" spans="1:4" x14ac:dyDescent="0.55000000000000004">
      <c r="A1374">
        <f t="shared" si="44"/>
        <v>2019</v>
      </c>
      <c r="B1374" s="821">
        <v>43684</v>
      </c>
      <c r="C1374">
        <v>2.2200000000000002</v>
      </c>
      <c r="D1374">
        <f t="shared" si="45"/>
        <v>0</v>
      </c>
    </row>
    <row r="1375" spans="1:4" x14ac:dyDescent="0.55000000000000004">
      <c r="A1375">
        <f t="shared" si="44"/>
        <v>2019</v>
      </c>
      <c r="B1375" s="821">
        <v>43683</v>
      </c>
      <c r="C1375">
        <v>2.25</v>
      </c>
      <c r="D1375">
        <f t="shared" si="45"/>
        <v>0</v>
      </c>
    </row>
    <row r="1376" spans="1:4" x14ac:dyDescent="0.55000000000000004">
      <c r="A1376">
        <f t="shared" si="44"/>
        <v>2019</v>
      </c>
      <c r="B1376" s="821">
        <v>43682</v>
      </c>
      <c r="C1376">
        <v>2.2999999999999998</v>
      </c>
      <c r="D1376">
        <f t="shared" si="45"/>
        <v>0</v>
      </c>
    </row>
    <row r="1377" spans="1:4" x14ac:dyDescent="0.55000000000000004">
      <c r="A1377">
        <f t="shared" si="44"/>
        <v>2019</v>
      </c>
      <c r="B1377" s="821">
        <v>43679</v>
      </c>
      <c r="C1377">
        <v>2.39</v>
      </c>
      <c r="D1377">
        <f t="shared" si="45"/>
        <v>0</v>
      </c>
    </row>
    <row r="1378" spans="1:4" x14ac:dyDescent="0.55000000000000004">
      <c r="A1378">
        <f t="shared" si="44"/>
        <v>2019</v>
      </c>
      <c r="B1378" s="821">
        <v>43678</v>
      </c>
      <c r="C1378">
        <v>2.44</v>
      </c>
      <c r="D1378">
        <f t="shared" si="45"/>
        <v>0</v>
      </c>
    </row>
    <row r="1379" spans="1:4" x14ac:dyDescent="0.55000000000000004">
      <c r="A1379">
        <f t="shared" si="44"/>
        <v>2019</v>
      </c>
      <c r="B1379" s="821">
        <v>43677</v>
      </c>
      <c r="C1379">
        <v>2.5299999999999998</v>
      </c>
      <c r="D1379">
        <f t="shared" si="45"/>
        <v>0</v>
      </c>
    </row>
    <row r="1380" spans="1:4" x14ac:dyDescent="0.55000000000000004">
      <c r="A1380">
        <f t="shared" si="44"/>
        <v>2019</v>
      </c>
      <c r="B1380" s="821">
        <v>43676</v>
      </c>
      <c r="C1380">
        <v>2.58</v>
      </c>
      <c r="D1380">
        <f t="shared" si="45"/>
        <v>0</v>
      </c>
    </row>
    <row r="1381" spans="1:4" x14ac:dyDescent="0.55000000000000004">
      <c r="A1381">
        <f t="shared" si="44"/>
        <v>2019</v>
      </c>
      <c r="B1381" s="821">
        <v>43675</v>
      </c>
      <c r="C1381">
        <v>2.59</v>
      </c>
      <c r="D1381">
        <f t="shared" si="45"/>
        <v>0</v>
      </c>
    </row>
    <row r="1382" spans="1:4" x14ac:dyDescent="0.55000000000000004">
      <c r="A1382">
        <f t="shared" si="44"/>
        <v>2019</v>
      </c>
      <c r="B1382" s="821">
        <v>43672</v>
      </c>
      <c r="C1382">
        <v>2.59</v>
      </c>
      <c r="D1382">
        <f t="shared" si="45"/>
        <v>0</v>
      </c>
    </row>
    <row r="1383" spans="1:4" x14ac:dyDescent="0.55000000000000004">
      <c r="A1383">
        <f t="shared" si="44"/>
        <v>2019</v>
      </c>
      <c r="B1383" s="821">
        <v>43671</v>
      </c>
      <c r="C1383">
        <v>2.6</v>
      </c>
      <c r="D1383">
        <f t="shared" si="45"/>
        <v>0</v>
      </c>
    </row>
    <row r="1384" spans="1:4" x14ac:dyDescent="0.55000000000000004">
      <c r="A1384">
        <f t="shared" si="44"/>
        <v>2019</v>
      </c>
      <c r="B1384" s="821">
        <v>43670</v>
      </c>
      <c r="C1384">
        <v>2.58</v>
      </c>
      <c r="D1384">
        <f t="shared" si="45"/>
        <v>0</v>
      </c>
    </row>
    <row r="1385" spans="1:4" x14ac:dyDescent="0.55000000000000004">
      <c r="A1385">
        <f t="shared" si="44"/>
        <v>2019</v>
      </c>
      <c r="B1385" s="821">
        <v>43669</v>
      </c>
      <c r="C1385">
        <v>2.61</v>
      </c>
      <c r="D1385">
        <f t="shared" si="45"/>
        <v>0</v>
      </c>
    </row>
    <row r="1386" spans="1:4" x14ac:dyDescent="0.55000000000000004">
      <c r="A1386">
        <f t="shared" si="44"/>
        <v>2019</v>
      </c>
      <c r="B1386" s="821">
        <v>43668</v>
      </c>
      <c r="C1386">
        <v>2.58</v>
      </c>
      <c r="D1386">
        <f t="shared" si="45"/>
        <v>0</v>
      </c>
    </row>
    <row r="1387" spans="1:4" x14ac:dyDescent="0.55000000000000004">
      <c r="A1387">
        <f t="shared" si="44"/>
        <v>2019</v>
      </c>
      <c r="B1387" s="821">
        <v>43665</v>
      </c>
      <c r="C1387">
        <v>2.57</v>
      </c>
      <c r="D1387">
        <f t="shared" si="45"/>
        <v>0</v>
      </c>
    </row>
    <row r="1388" spans="1:4" x14ac:dyDescent="0.55000000000000004">
      <c r="A1388">
        <f t="shared" si="44"/>
        <v>2019</v>
      </c>
      <c r="B1388" s="821">
        <v>43664</v>
      </c>
      <c r="C1388">
        <v>2.56</v>
      </c>
      <c r="D1388">
        <f t="shared" si="45"/>
        <v>0</v>
      </c>
    </row>
    <row r="1389" spans="1:4" x14ac:dyDescent="0.55000000000000004">
      <c r="A1389">
        <f t="shared" si="44"/>
        <v>2019</v>
      </c>
      <c r="B1389" s="821">
        <v>43663</v>
      </c>
      <c r="C1389">
        <v>2.57</v>
      </c>
      <c r="D1389">
        <f t="shared" si="45"/>
        <v>0</v>
      </c>
    </row>
    <row r="1390" spans="1:4" x14ac:dyDescent="0.55000000000000004">
      <c r="A1390">
        <f t="shared" si="44"/>
        <v>2019</v>
      </c>
      <c r="B1390" s="821">
        <v>43662</v>
      </c>
      <c r="C1390">
        <v>2.63</v>
      </c>
      <c r="D1390">
        <f t="shared" si="45"/>
        <v>0</v>
      </c>
    </row>
    <row r="1391" spans="1:4" x14ac:dyDescent="0.55000000000000004">
      <c r="A1391">
        <f t="shared" si="44"/>
        <v>2019</v>
      </c>
      <c r="B1391" s="821">
        <v>43661</v>
      </c>
      <c r="C1391">
        <v>2.61</v>
      </c>
      <c r="D1391">
        <f t="shared" si="45"/>
        <v>0</v>
      </c>
    </row>
    <row r="1392" spans="1:4" x14ac:dyDescent="0.55000000000000004">
      <c r="A1392">
        <f t="shared" si="44"/>
        <v>2019</v>
      </c>
      <c r="B1392" s="821">
        <v>43658</v>
      </c>
      <c r="C1392">
        <v>2.64</v>
      </c>
      <c r="D1392">
        <f t="shared" si="45"/>
        <v>0</v>
      </c>
    </row>
    <row r="1393" spans="1:4" x14ac:dyDescent="0.55000000000000004">
      <c r="A1393">
        <f t="shared" si="44"/>
        <v>2019</v>
      </c>
      <c r="B1393" s="821">
        <v>43657</v>
      </c>
      <c r="C1393">
        <v>2.65</v>
      </c>
      <c r="D1393">
        <f t="shared" si="45"/>
        <v>0</v>
      </c>
    </row>
    <row r="1394" spans="1:4" x14ac:dyDescent="0.55000000000000004">
      <c r="A1394">
        <f t="shared" si="44"/>
        <v>2019</v>
      </c>
      <c r="B1394" s="821">
        <v>43656</v>
      </c>
      <c r="C1394">
        <v>2.57</v>
      </c>
      <c r="D1394">
        <f t="shared" si="45"/>
        <v>0</v>
      </c>
    </row>
    <row r="1395" spans="1:4" x14ac:dyDescent="0.55000000000000004">
      <c r="A1395">
        <f t="shared" si="44"/>
        <v>2019</v>
      </c>
      <c r="B1395" s="821">
        <v>43655</v>
      </c>
      <c r="C1395">
        <v>2.54</v>
      </c>
      <c r="D1395">
        <f t="shared" si="45"/>
        <v>0</v>
      </c>
    </row>
    <row r="1396" spans="1:4" x14ac:dyDescent="0.55000000000000004">
      <c r="A1396">
        <f t="shared" si="44"/>
        <v>2019</v>
      </c>
      <c r="B1396" s="821">
        <v>43654</v>
      </c>
      <c r="C1396">
        <v>2.5299999999999998</v>
      </c>
      <c r="D1396">
        <f t="shared" si="45"/>
        <v>0</v>
      </c>
    </row>
    <row r="1397" spans="1:4" x14ac:dyDescent="0.55000000000000004">
      <c r="A1397">
        <f t="shared" si="44"/>
        <v>2019</v>
      </c>
      <c r="B1397" s="821">
        <v>43651</v>
      </c>
      <c r="C1397">
        <v>2.54</v>
      </c>
      <c r="D1397">
        <f t="shared" si="45"/>
        <v>0</v>
      </c>
    </row>
    <row r="1398" spans="1:4" x14ac:dyDescent="0.55000000000000004">
      <c r="A1398">
        <f t="shared" si="44"/>
        <v>2019</v>
      </c>
      <c r="B1398" s="821">
        <v>43649</v>
      </c>
      <c r="C1398">
        <v>2.4700000000000002</v>
      </c>
      <c r="D1398">
        <f t="shared" si="45"/>
        <v>0</v>
      </c>
    </row>
    <row r="1399" spans="1:4" x14ac:dyDescent="0.55000000000000004">
      <c r="A1399">
        <f t="shared" si="44"/>
        <v>2019</v>
      </c>
      <c r="B1399" s="821">
        <v>43648</v>
      </c>
      <c r="C1399">
        <v>2.5099999999999998</v>
      </c>
      <c r="D1399">
        <f t="shared" si="45"/>
        <v>0</v>
      </c>
    </row>
    <row r="1400" spans="1:4" x14ac:dyDescent="0.55000000000000004">
      <c r="A1400">
        <f t="shared" si="44"/>
        <v>2019</v>
      </c>
      <c r="B1400" s="821">
        <v>43647</v>
      </c>
      <c r="C1400">
        <v>2.5499999999999998</v>
      </c>
      <c r="D1400">
        <f t="shared" si="45"/>
        <v>0</v>
      </c>
    </row>
    <row r="1401" spans="1:4" x14ac:dyDescent="0.55000000000000004">
      <c r="A1401">
        <f t="shared" si="44"/>
        <v>2019</v>
      </c>
      <c r="B1401" s="821">
        <v>43644</v>
      </c>
      <c r="C1401">
        <v>2.52</v>
      </c>
      <c r="D1401">
        <f t="shared" si="45"/>
        <v>0</v>
      </c>
    </row>
    <row r="1402" spans="1:4" x14ac:dyDescent="0.55000000000000004">
      <c r="A1402">
        <f t="shared" si="44"/>
        <v>2019</v>
      </c>
      <c r="B1402" s="821">
        <v>43643</v>
      </c>
      <c r="C1402">
        <v>2.52</v>
      </c>
      <c r="D1402">
        <f t="shared" si="45"/>
        <v>0</v>
      </c>
    </row>
    <row r="1403" spans="1:4" x14ac:dyDescent="0.55000000000000004">
      <c r="A1403">
        <f t="shared" si="44"/>
        <v>2019</v>
      </c>
      <c r="B1403" s="821">
        <v>43642</v>
      </c>
      <c r="C1403">
        <v>2.57</v>
      </c>
      <c r="D1403">
        <f t="shared" si="45"/>
        <v>0</v>
      </c>
    </row>
    <row r="1404" spans="1:4" x14ac:dyDescent="0.55000000000000004">
      <c r="A1404">
        <f t="shared" si="44"/>
        <v>2019</v>
      </c>
      <c r="B1404" s="821">
        <v>43641</v>
      </c>
      <c r="C1404">
        <v>2.5299999999999998</v>
      </c>
      <c r="D1404">
        <f t="shared" si="45"/>
        <v>0</v>
      </c>
    </row>
    <row r="1405" spans="1:4" x14ac:dyDescent="0.55000000000000004">
      <c r="A1405">
        <f t="shared" si="44"/>
        <v>2019</v>
      </c>
      <c r="B1405" s="821">
        <v>43640</v>
      </c>
      <c r="C1405">
        <v>2.5499999999999998</v>
      </c>
      <c r="D1405">
        <f t="shared" si="45"/>
        <v>0</v>
      </c>
    </row>
    <row r="1406" spans="1:4" x14ac:dyDescent="0.55000000000000004">
      <c r="A1406">
        <f t="shared" si="44"/>
        <v>2019</v>
      </c>
      <c r="B1406" s="821">
        <v>43637</v>
      </c>
      <c r="C1406">
        <v>2.59</v>
      </c>
      <c r="D1406">
        <f t="shared" si="45"/>
        <v>0</v>
      </c>
    </row>
    <row r="1407" spans="1:4" x14ac:dyDescent="0.55000000000000004">
      <c r="A1407">
        <f t="shared" si="44"/>
        <v>2019</v>
      </c>
      <c r="B1407" s="821">
        <v>43636</v>
      </c>
      <c r="C1407">
        <v>2.5299999999999998</v>
      </c>
      <c r="D1407">
        <f t="shared" si="45"/>
        <v>0</v>
      </c>
    </row>
    <row r="1408" spans="1:4" x14ac:dyDescent="0.55000000000000004">
      <c r="A1408">
        <f t="shared" si="44"/>
        <v>2019</v>
      </c>
      <c r="B1408" s="821">
        <v>43635</v>
      </c>
      <c r="C1408">
        <v>2.54</v>
      </c>
      <c r="D1408">
        <f t="shared" si="45"/>
        <v>0</v>
      </c>
    </row>
    <row r="1409" spans="1:4" x14ac:dyDescent="0.55000000000000004">
      <c r="A1409">
        <f t="shared" si="44"/>
        <v>2019</v>
      </c>
      <c r="B1409" s="821">
        <v>43634</v>
      </c>
      <c r="C1409">
        <v>2.5499999999999998</v>
      </c>
      <c r="D1409">
        <f t="shared" si="45"/>
        <v>0</v>
      </c>
    </row>
    <row r="1410" spans="1:4" x14ac:dyDescent="0.55000000000000004">
      <c r="A1410">
        <f t="shared" si="44"/>
        <v>2019</v>
      </c>
      <c r="B1410" s="821">
        <v>43633</v>
      </c>
      <c r="C1410">
        <v>2.58</v>
      </c>
      <c r="D1410">
        <f t="shared" si="45"/>
        <v>0</v>
      </c>
    </row>
    <row r="1411" spans="1:4" x14ac:dyDescent="0.55000000000000004">
      <c r="A1411">
        <f t="shared" si="44"/>
        <v>2019</v>
      </c>
      <c r="B1411" s="821">
        <v>43630</v>
      </c>
      <c r="C1411">
        <v>2.59</v>
      </c>
      <c r="D1411">
        <f t="shared" si="45"/>
        <v>0</v>
      </c>
    </row>
    <row r="1412" spans="1:4" x14ac:dyDescent="0.55000000000000004">
      <c r="A1412">
        <f t="shared" ref="A1412:A1475" si="46">YEAR(B1412)</f>
        <v>2019</v>
      </c>
      <c r="B1412" s="821">
        <v>43629</v>
      </c>
      <c r="C1412">
        <v>2.61</v>
      </c>
      <c r="D1412">
        <f t="shared" ref="D1412:D1475" si="47">IF(C1412&gt;4,1,0)</f>
        <v>0</v>
      </c>
    </row>
    <row r="1413" spans="1:4" x14ac:dyDescent="0.55000000000000004">
      <c r="A1413">
        <f t="shared" si="46"/>
        <v>2019</v>
      </c>
      <c r="B1413" s="821">
        <v>43628</v>
      </c>
      <c r="C1413">
        <v>2.62</v>
      </c>
      <c r="D1413">
        <f t="shared" si="47"/>
        <v>0</v>
      </c>
    </row>
    <row r="1414" spans="1:4" x14ac:dyDescent="0.55000000000000004">
      <c r="A1414">
        <f t="shared" si="46"/>
        <v>2019</v>
      </c>
      <c r="B1414" s="821">
        <v>43627</v>
      </c>
      <c r="C1414">
        <v>2.62</v>
      </c>
      <c r="D1414">
        <f t="shared" si="47"/>
        <v>0</v>
      </c>
    </row>
    <row r="1415" spans="1:4" x14ac:dyDescent="0.55000000000000004">
      <c r="A1415">
        <f t="shared" si="46"/>
        <v>2019</v>
      </c>
      <c r="B1415" s="821">
        <v>43626</v>
      </c>
      <c r="C1415">
        <v>2.62</v>
      </c>
      <c r="D1415">
        <f t="shared" si="47"/>
        <v>0</v>
      </c>
    </row>
    <row r="1416" spans="1:4" x14ac:dyDescent="0.55000000000000004">
      <c r="A1416">
        <f t="shared" si="46"/>
        <v>2019</v>
      </c>
      <c r="B1416" s="821">
        <v>43623</v>
      </c>
      <c r="C1416">
        <v>2.57</v>
      </c>
      <c r="D1416">
        <f t="shared" si="47"/>
        <v>0</v>
      </c>
    </row>
    <row r="1417" spans="1:4" x14ac:dyDescent="0.55000000000000004">
      <c r="A1417">
        <f t="shared" si="46"/>
        <v>2019</v>
      </c>
      <c r="B1417" s="821">
        <v>43622</v>
      </c>
      <c r="C1417">
        <v>2.62</v>
      </c>
      <c r="D1417">
        <f t="shared" si="47"/>
        <v>0</v>
      </c>
    </row>
    <row r="1418" spans="1:4" x14ac:dyDescent="0.55000000000000004">
      <c r="A1418">
        <f t="shared" si="46"/>
        <v>2019</v>
      </c>
      <c r="B1418" s="821">
        <v>43621</v>
      </c>
      <c r="C1418">
        <v>2.63</v>
      </c>
      <c r="D1418">
        <f t="shared" si="47"/>
        <v>0</v>
      </c>
    </row>
    <row r="1419" spans="1:4" x14ac:dyDescent="0.55000000000000004">
      <c r="A1419">
        <f t="shared" si="46"/>
        <v>2019</v>
      </c>
      <c r="B1419" s="821">
        <v>43620</v>
      </c>
      <c r="C1419">
        <v>2.6</v>
      </c>
      <c r="D1419">
        <f t="shared" si="47"/>
        <v>0</v>
      </c>
    </row>
    <row r="1420" spans="1:4" x14ac:dyDescent="0.55000000000000004">
      <c r="A1420">
        <f t="shared" si="46"/>
        <v>2019</v>
      </c>
      <c r="B1420" s="821">
        <v>43619</v>
      </c>
      <c r="C1420">
        <v>2.5299999999999998</v>
      </c>
      <c r="D1420">
        <f t="shared" si="47"/>
        <v>0</v>
      </c>
    </row>
    <row r="1421" spans="1:4" x14ac:dyDescent="0.55000000000000004">
      <c r="A1421">
        <f t="shared" si="46"/>
        <v>2019</v>
      </c>
      <c r="B1421" s="821">
        <v>43616</v>
      </c>
      <c r="C1421">
        <v>2.58</v>
      </c>
      <c r="D1421">
        <f t="shared" si="47"/>
        <v>0</v>
      </c>
    </row>
    <row r="1422" spans="1:4" x14ac:dyDescent="0.55000000000000004">
      <c r="A1422">
        <f t="shared" si="46"/>
        <v>2019</v>
      </c>
      <c r="B1422" s="821">
        <v>43615</v>
      </c>
      <c r="C1422">
        <v>2.65</v>
      </c>
      <c r="D1422">
        <f t="shared" si="47"/>
        <v>0</v>
      </c>
    </row>
    <row r="1423" spans="1:4" x14ac:dyDescent="0.55000000000000004">
      <c r="A1423">
        <f t="shared" si="46"/>
        <v>2019</v>
      </c>
      <c r="B1423" s="821">
        <v>43614</v>
      </c>
      <c r="C1423">
        <v>2.69</v>
      </c>
      <c r="D1423">
        <f t="shared" si="47"/>
        <v>0</v>
      </c>
    </row>
    <row r="1424" spans="1:4" x14ac:dyDescent="0.55000000000000004">
      <c r="A1424">
        <f t="shared" si="46"/>
        <v>2019</v>
      </c>
      <c r="B1424" s="821">
        <v>43613</v>
      </c>
      <c r="C1424">
        <v>2.7</v>
      </c>
      <c r="D1424">
        <f t="shared" si="47"/>
        <v>0</v>
      </c>
    </row>
    <row r="1425" spans="1:4" x14ac:dyDescent="0.55000000000000004">
      <c r="A1425">
        <f t="shared" si="46"/>
        <v>2019</v>
      </c>
      <c r="B1425" s="821">
        <v>43609</v>
      </c>
      <c r="C1425">
        <v>2.75</v>
      </c>
      <c r="D1425">
        <f t="shared" si="47"/>
        <v>0</v>
      </c>
    </row>
    <row r="1426" spans="1:4" x14ac:dyDescent="0.55000000000000004">
      <c r="A1426">
        <f t="shared" si="46"/>
        <v>2019</v>
      </c>
      <c r="B1426" s="821">
        <v>43608</v>
      </c>
      <c r="C1426">
        <v>2.75</v>
      </c>
      <c r="D1426">
        <f t="shared" si="47"/>
        <v>0</v>
      </c>
    </row>
    <row r="1427" spans="1:4" x14ac:dyDescent="0.55000000000000004">
      <c r="A1427">
        <f t="shared" si="46"/>
        <v>2019</v>
      </c>
      <c r="B1427" s="821">
        <v>43607</v>
      </c>
      <c r="C1427">
        <v>2.82</v>
      </c>
      <c r="D1427">
        <f t="shared" si="47"/>
        <v>0</v>
      </c>
    </row>
    <row r="1428" spans="1:4" x14ac:dyDescent="0.55000000000000004">
      <c r="A1428">
        <f t="shared" si="46"/>
        <v>2019</v>
      </c>
      <c r="B1428" s="821">
        <v>43606</v>
      </c>
      <c r="C1428">
        <v>2.84</v>
      </c>
      <c r="D1428">
        <f t="shared" si="47"/>
        <v>0</v>
      </c>
    </row>
    <row r="1429" spans="1:4" x14ac:dyDescent="0.55000000000000004">
      <c r="A1429">
        <f t="shared" si="46"/>
        <v>2019</v>
      </c>
      <c r="B1429" s="821">
        <v>43605</v>
      </c>
      <c r="C1429">
        <v>2.83</v>
      </c>
      <c r="D1429">
        <f t="shared" si="47"/>
        <v>0</v>
      </c>
    </row>
    <row r="1430" spans="1:4" x14ac:dyDescent="0.55000000000000004">
      <c r="A1430">
        <f t="shared" si="46"/>
        <v>2019</v>
      </c>
      <c r="B1430" s="821">
        <v>43602</v>
      </c>
      <c r="C1430">
        <v>2.82</v>
      </c>
      <c r="D1430">
        <f t="shared" si="47"/>
        <v>0</v>
      </c>
    </row>
    <row r="1431" spans="1:4" x14ac:dyDescent="0.55000000000000004">
      <c r="A1431">
        <f t="shared" si="46"/>
        <v>2019</v>
      </c>
      <c r="B1431" s="821">
        <v>43601</v>
      </c>
      <c r="C1431">
        <v>2.84</v>
      </c>
      <c r="D1431">
        <f t="shared" si="47"/>
        <v>0</v>
      </c>
    </row>
    <row r="1432" spans="1:4" x14ac:dyDescent="0.55000000000000004">
      <c r="A1432">
        <f t="shared" si="46"/>
        <v>2019</v>
      </c>
      <c r="B1432" s="821">
        <v>43600</v>
      </c>
      <c r="C1432">
        <v>2.82</v>
      </c>
      <c r="D1432">
        <f t="shared" si="47"/>
        <v>0</v>
      </c>
    </row>
    <row r="1433" spans="1:4" x14ac:dyDescent="0.55000000000000004">
      <c r="A1433">
        <f t="shared" si="46"/>
        <v>2019</v>
      </c>
      <c r="B1433" s="821">
        <v>43599</v>
      </c>
      <c r="C1433">
        <v>2.86</v>
      </c>
      <c r="D1433">
        <f t="shared" si="47"/>
        <v>0</v>
      </c>
    </row>
    <row r="1434" spans="1:4" x14ac:dyDescent="0.55000000000000004">
      <c r="A1434">
        <f t="shared" si="46"/>
        <v>2019</v>
      </c>
      <c r="B1434" s="821">
        <v>43598</v>
      </c>
      <c r="C1434">
        <v>2.83</v>
      </c>
      <c r="D1434">
        <f t="shared" si="47"/>
        <v>0</v>
      </c>
    </row>
    <row r="1435" spans="1:4" x14ac:dyDescent="0.55000000000000004">
      <c r="A1435">
        <f t="shared" si="46"/>
        <v>2019</v>
      </c>
      <c r="B1435" s="821">
        <v>43595</v>
      </c>
      <c r="C1435">
        <v>2.89</v>
      </c>
      <c r="D1435">
        <f t="shared" si="47"/>
        <v>0</v>
      </c>
    </row>
    <row r="1436" spans="1:4" x14ac:dyDescent="0.55000000000000004">
      <c r="A1436">
        <f t="shared" si="46"/>
        <v>2019</v>
      </c>
      <c r="B1436" s="821">
        <v>43594</v>
      </c>
      <c r="C1436">
        <v>2.87</v>
      </c>
      <c r="D1436">
        <f t="shared" si="47"/>
        <v>0</v>
      </c>
    </row>
    <row r="1437" spans="1:4" x14ac:dyDescent="0.55000000000000004">
      <c r="A1437">
        <f t="shared" si="46"/>
        <v>2019</v>
      </c>
      <c r="B1437" s="821">
        <v>43593</v>
      </c>
      <c r="C1437">
        <v>2.89</v>
      </c>
      <c r="D1437">
        <f t="shared" si="47"/>
        <v>0</v>
      </c>
    </row>
    <row r="1438" spans="1:4" x14ac:dyDescent="0.55000000000000004">
      <c r="A1438">
        <f t="shared" si="46"/>
        <v>2019</v>
      </c>
      <c r="B1438" s="821">
        <v>43592</v>
      </c>
      <c r="C1438">
        <v>2.86</v>
      </c>
      <c r="D1438">
        <f t="shared" si="47"/>
        <v>0</v>
      </c>
    </row>
    <row r="1439" spans="1:4" x14ac:dyDescent="0.55000000000000004">
      <c r="A1439">
        <f t="shared" si="46"/>
        <v>2019</v>
      </c>
      <c r="B1439" s="821">
        <v>43591</v>
      </c>
      <c r="C1439">
        <v>2.91</v>
      </c>
      <c r="D1439">
        <f t="shared" si="47"/>
        <v>0</v>
      </c>
    </row>
    <row r="1440" spans="1:4" x14ac:dyDescent="0.55000000000000004">
      <c r="A1440">
        <f t="shared" si="46"/>
        <v>2019</v>
      </c>
      <c r="B1440" s="821">
        <v>43588</v>
      </c>
      <c r="C1440">
        <v>2.93</v>
      </c>
      <c r="D1440">
        <f t="shared" si="47"/>
        <v>0</v>
      </c>
    </row>
    <row r="1441" spans="1:4" x14ac:dyDescent="0.55000000000000004">
      <c r="A1441">
        <f t="shared" si="46"/>
        <v>2019</v>
      </c>
      <c r="B1441" s="821">
        <v>43587</v>
      </c>
      <c r="C1441">
        <v>2.94</v>
      </c>
      <c r="D1441">
        <f t="shared" si="47"/>
        <v>0</v>
      </c>
    </row>
    <row r="1442" spans="1:4" x14ac:dyDescent="0.55000000000000004">
      <c r="A1442">
        <f t="shared" si="46"/>
        <v>2019</v>
      </c>
      <c r="B1442" s="821">
        <v>43586</v>
      </c>
      <c r="C1442">
        <v>2.92</v>
      </c>
      <c r="D1442">
        <f t="shared" si="47"/>
        <v>0</v>
      </c>
    </row>
    <row r="1443" spans="1:4" x14ac:dyDescent="0.55000000000000004">
      <c r="A1443">
        <f t="shared" si="46"/>
        <v>2019</v>
      </c>
      <c r="B1443" s="821">
        <v>43585</v>
      </c>
      <c r="C1443">
        <v>2.93</v>
      </c>
      <c r="D1443">
        <f t="shared" si="47"/>
        <v>0</v>
      </c>
    </row>
    <row r="1444" spans="1:4" x14ac:dyDescent="0.55000000000000004">
      <c r="A1444">
        <f t="shared" si="46"/>
        <v>2019</v>
      </c>
      <c r="B1444" s="821">
        <v>43584</v>
      </c>
      <c r="C1444">
        <v>2.96</v>
      </c>
      <c r="D1444">
        <f t="shared" si="47"/>
        <v>0</v>
      </c>
    </row>
    <row r="1445" spans="1:4" x14ac:dyDescent="0.55000000000000004">
      <c r="A1445">
        <f t="shared" si="46"/>
        <v>2019</v>
      </c>
      <c r="B1445" s="821">
        <v>43581</v>
      </c>
      <c r="C1445">
        <v>2.92</v>
      </c>
      <c r="D1445">
        <f t="shared" si="47"/>
        <v>0</v>
      </c>
    </row>
    <row r="1446" spans="1:4" x14ac:dyDescent="0.55000000000000004">
      <c r="A1446">
        <f t="shared" si="46"/>
        <v>2019</v>
      </c>
      <c r="B1446" s="821">
        <v>43580</v>
      </c>
      <c r="C1446">
        <v>2.94</v>
      </c>
      <c r="D1446">
        <f t="shared" si="47"/>
        <v>0</v>
      </c>
    </row>
    <row r="1447" spans="1:4" x14ac:dyDescent="0.55000000000000004">
      <c r="A1447">
        <f t="shared" si="46"/>
        <v>2019</v>
      </c>
      <c r="B1447" s="821">
        <v>43579</v>
      </c>
      <c r="C1447">
        <v>2.94</v>
      </c>
      <c r="D1447">
        <f t="shared" si="47"/>
        <v>0</v>
      </c>
    </row>
    <row r="1448" spans="1:4" x14ac:dyDescent="0.55000000000000004">
      <c r="A1448">
        <f t="shared" si="46"/>
        <v>2019</v>
      </c>
      <c r="B1448" s="821">
        <v>43578</v>
      </c>
      <c r="C1448">
        <v>2.98</v>
      </c>
      <c r="D1448">
        <f t="shared" si="47"/>
        <v>0</v>
      </c>
    </row>
    <row r="1449" spans="1:4" x14ac:dyDescent="0.55000000000000004">
      <c r="A1449">
        <f t="shared" si="46"/>
        <v>2019</v>
      </c>
      <c r="B1449" s="821">
        <v>43577</v>
      </c>
      <c r="C1449">
        <v>2.99</v>
      </c>
      <c r="D1449">
        <f t="shared" si="47"/>
        <v>0</v>
      </c>
    </row>
    <row r="1450" spans="1:4" x14ac:dyDescent="0.55000000000000004">
      <c r="A1450">
        <f t="shared" si="46"/>
        <v>2019</v>
      </c>
      <c r="B1450" s="821">
        <v>43573</v>
      </c>
      <c r="C1450">
        <v>2.96</v>
      </c>
      <c r="D1450">
        <f t="shared" si="47"/>
        <v>0</v>
      </c>
    </row>
    <row r="1451" spans="1:4" x14ac:dyDescent="0.55000000000000004">
      <c r="A1451">
        <f t="shared" si="46"/>
        <v>2019</v>
      </c>
      <c r="B1451" s="821">
        <v>43572</v>
      </c>
      <c r="C1451">
        <v>2.99</v>
      </c>
      <c r="D1451">
        <f t="shared" si="47"/>
        <v>0</v>
      </c>
    </row>
    <row r="1452" spans="1:4" x14ac:dyDescent="0.55000000000000004">
      <c r="A1452">
        <f t="shared" si="46"/>
        <v>2019</v>
      </c>
      <c r="B1452" s="821">
        <v>43571</v>
      </c>
      <c r="C1452">
        <v>2.99</v>
      </c>
      <c r="D1452">
        <f t="shared" si="47"/>
        <v>0</v>
      </c>
    </row>
    <row r="1453" spans="1:4" x14ac:dyDescent="0.55000000000000004">
      <c r="A1453">
        <f t="shared" si="46"/>
        <v>2019</v>
      </c>
      <c r="B1453" s="821">
        <v>43570</v>
      </c>
      <c r="C1453">
        <v>2.96</v>
      </c>
      <c r="D1453">
        <f t="shared" si="47"/>
        <v>0</v>
      </c>
    </row>
    <row r="1454" spans="1:4" x14ac:dyDescent="0.55000000000000004">
      <c r="A1454">
        <f t="shared" si="46"/>
        <v>2019</v>
      </c>
      <c r="B1454" s="821">
        <v>43567</v>
      </c>
      <c r="C1454">
        <v>2.97</v>
      </c>
      <c r="D1454">
        <f t="shared" si="47"/>
        <v>0</v>
      </c>
    </row>
    <row r="1455" spans="1:4" x14ac:dyDescent="0.55000000000000004">
      <c r="A1455">
        <f t="shared" si="46"/>
        <v>2019</v>
      </c>
      <c r="B1455" s="821">
        <v>43566</v>
      </c>
      <c r="C1455">
        <v>2.94</v>
      </c>
      <c r="D1455">
        <f t="shared" si="47"/>
        <v>0</v>
      </c>
    </row>
    <row r="1456" spans="1:4" x14ac:dyDescent="0.55000000000000004">
      <c r="A1456">
        <f t="shared" si="46"/>
        <v>2019</v>
      </c>
      <c r="B1456" s="821">
        <v>43565</v>
      </c>
      <c r="C1456">
        <v>2.9</v>
      </c>
      <c r="D1456">
        <f t="shared" si="47"/>
        <v>0</v>
      </c>
    </row>
    <row r="1457" spans="1:4" x14ac:dyDescent="0.55000000000000004">
      <c r="A1457">
        <f t="shared" si="46"/>
        <v>2019</v>
      </c>
      <c r="B1457" s="821">
        <v>43564</v>
      </c>
      <c r="C1457">
        <v>2.92</v>
      </c>
      <c r="D1457">
        <f t="shared" si="47"/>
        <v>0</v>
      </c>
    </row>
    <row r="1458" spans="1:4" x14ac:dyDescent="0.55000000000000004">
      <c r="A1458">
        <f t="shared" si="46"/>
        <v>2019</v>
      </c>
      <c r="B1458" s="821">
        <v>43563</v>
      </c>
      <c r="C1458">
        <v>2.93</v>
      </c>
      <c r="D1458">
        <f t="shared" si="47"/>
        <v>0</v>
      </c>
    </row>
    <row r="1459" spans="1:4" x14ac:dyDescent="0.55000000000000004">
      <c r="A1459">
        <f t="shared" si="46"/>
        <v>2019</v>
      </c>
      <c r="B1459" s="821">
        <v>43560</v>
      </c>
      <c r="C1459">
        <v>2.91</v>
      </c>
      <c r="D1459">
        <f t="shared" si="47"/>
        <v>0</v>
      </c>
    </row>
    <row r="1460" spans="1:4" x14ac:dyDescent="0.55000000000000004">
      <c r="A1460">
        <f t="shared" si="46"/>
        <v>2019</v>
      </c>
      <c r="B1460" s="821">
        <v>43559</v>
      </c>
      <c r="C1460">
        <v>2.92</v>
      </c>
      <c r="D1460">
        <f t="shared" si="47"/>
        <v>0</v>
      </c>
    </row>
    <row r="1461" spans="1:4" x14ac:dyDescent="0.55000000000000004">
      <c r="A1461">
        <f t="shared" si="46"/>
        <v>2019</v>
      </c>
      <c r="B1461" s="821">
        <v>43558</v>
      </c>
      <c r="C1461">
        <v>2.93</v>
      </c>
      <c r="D1461">
        <f t="shared" si="47"/>
        <v>0</v>
      </c>
    </row>
    <row r="1462" spans="1:4" x14ac:dyDescent="0.55000000000000004">
      <c r="A1462">
        <f t="shared" si="46"/>
        <v>2019</v>
      </c>
      <c r="B1462" s="821">
        <v>43557</v>
      </c>
      <c r="C1462">
        <v>2.88</v>
      </c>
      <c r="D1462">
        <f t="shared" si="47"/>
        <v>0</v>
      </c>
    </row>
    <row r="1463" spans="1:4" x14ac:dyDescent="0.55000000000000004">
      <c r="A1463">
        <f t="shared" si="46"/>
        <v>2019</v>
      </c>
      <c r="B1463" s="821">
        <v>43556</v>
      </c>
      <c r="C1463">
        <v>2.89</v>
      </c>
      <c r="D1463">
        <f t="shared" si="47"/>
        <v>0</v>
      </c>
    </row>
    <row r="1464" spans="1:4" x14ac:dyDescent="0.55000000000000004">
      <c r="A1464">
        <f t="shared" si="46"/>
        <v>2019</v>
      </c>
      <c r="B1464" s="821">
        <v>43553</v>
      </c>
      <c r="C1464">
        <v>2.81</v>
      </c>
      <c r="D1464">
        <f t="shared" si="47"/>
        <v>0</v>
      </c>
    </row>
    <row r="1465" spans="1:4" x14ac:dyDescent="0.55000000000000004">
      <c r="A1465">
        <f t="shared" si="46"/>
        <v>2019</v>
      </c>
      <c r="B1465" s="821">
        <v>43552</v>
      </c>
      <c r="C1465">
        <v>2.81</v>
      </c>
      <c r="D1465">
        <f t="shared" si="47"/>
        <v>0</v>
      </c>
    </row>
    <row r="1466" spans="1:4" x14ac:dyDescent="0.55000000000000004">
      <c r="A1466">
        <f t="shared" si="46"/>
        <v>2019</v>
      </c>
      <c r="B1466" s="821">
        <v>43551</v>
      </c>
      <c r="C1466">
        <v>2.83</v>
      </c>
      <c r="D1466">
        <f t="shared" si="47"/>
        <v>0</v>
      </c>
    </row>
    <row r="1467" spans="1:4" x14ac:dyDescent="0.55000000000000004">
      <c r="A1467">
        <f t="shared" si="46"/>
        <v>2019</v>
      </c>
      <c r="B1467" s="821">
        <v>43550</v>
      </c>
      <c r="C1467">
        <v>2.86</v>
      </c>
      <c r="D1467">
        <f t="shared" si="47"/>
        <v>0</v>
      </c>
    </row>
    <row r="1468" spans="1:4" x14ac:dyDescent="0.55000000000000004">
      <c r="A1468">
        <f t="shared" si="46"/>
        <v>2019</v>
      </c>
      <c r="B1468" s="821">
        <v>43549</v>
      </c>
      <c r="C1468">
        <v>2.87</v>
      </c>
      <c r="D1468">
        <f t="shared" si="47"/>
        <v>0</v>
      </c>
    </row>
    <row r="1469" spans="1:4" x14ac:dyDescent="0.55000000000000004">
      <c r="A1469">
        <f t="shared" si="46"/>
        <v>2019</v>
      </c>
      <c r="B1469" s="821">
        <v>43546</v>
      </c>
      <c r="C1469">
        <v>2.88</v>
      </c>
      <c r="D1469">
        <f t="shared" si="47"/>
        <v>0</v>
      </c>
    </row>
    <row r="1470" spans="1:4" x14ac:dyDescent="0.55000000000000004">
      <c r="A1470">
        <f t="shared" si="46"/>
        <v>2019</v>
      </c>
      <c r="B1470" s="821">
        <v>43545</v>
      </c>
      <c r="C1470">
        <v>2.96</v>
      </c>
      <c r="D1470">
        <f t="shared" si="47"/>
        <v>0</v>
      </c>
    </row>
    <row r="1471" spans="1:4" x14ac:dyDescent="0.55000000000000004">
      <c r="A1471">
        <f t="shared" si="46"/>
        <v>2019</v>
      </c>
      <c r="B1471" s="821">
        <v>43544</v>
      </c>
      <c r="C1471">
        <v>2.98</v>
      </c>
      <c r="D1471">
        <f t="shared" si="47"/>
        <v>0</v>
      </c>
    </row>
    <row r="1472" spans="1:4" x14ac:dyDescent="0.55000000000000004">
      <c r="A1472">
        <f t="shared" si="46"/>
        <v>2019</v>
      </c>
      <c r="B1472" s="821">
        <v>43543</v>
      </c>
      <c r="C1472">
        <v>3.02</v>
      </c>
      <c r="D1472">
        <f t="shared" si="47"/>
        <v>0</v>
      </c>
    </row>
    <row r="1473" spans="1:4" x14ac:dyDescent="0.55000000000000004">
      <c r="A1473">
        <f t="shared" si="46"/>
        <v>2019</v>
      </c>
      <c r="B1473" s="821">
        <v>43542</v>
      </c>
      <c r="C1473">
        <v>3.01</v>
      </c>
      <c r="D1473">
        <f t="shared" si="47"/>
        <v>0</v>
      </c>
    </row>
    <row r="1474" spans="1:4" x14ac:dyDescent="0.55000000000000004">
      <c r="A1474">
        <f t="shared" si="46"/>
        <v>2019</v>
      </c>
      <c r="B1474" s="821">
        <v>43539</v>
      </c>
      <c r="C1474">
        <v>3.02</v>
      </c>
      <c r="D1474">
        <f t="shared" si="47"/>
        <v>0</v>
      </c>
    </row>
    <row r="1475" spans="1:4" x14ac:dyDescent="0.55000000000000004">
      <c r="A1475">
        <f t="shared" si="46"/>
        <v>2019</v>
      </c>
      <c r="B1475" s="821">
        <v>43538</v>
      </c>
      <c r="C1475">
        <v>3.04</v>
      </c>
      <c r="D1475">
        <f t="shared" si="47"/>
        <v>0</v>
      </c>
    </row>
    <row r="1476" spans="1:4" x14ac:dyDescent="0.55000000000000004">
      <c r="A1476">
        <f t="shared" ref="A1476:A1539" si="48">YEAR(B1476)</f>
        <v>2019</v>
      </c>
      <c r="B1476" s="821">
        <v>43537</v>
      </c>
      <c r="C1476">
        <v>3.02</v>
      </c>
      <c r="D1476">
        <f t="shared" ref="D1476:D1539" si="49">IF(C1476&gt;4,1,0)</f>
        <v>0</v>
      </c>
    </row>
    <row r="1477" spans="1:4" x14ac:dyDescent="0.55000000000000004">
      <c r="A1477">
        <f t="shared" si="48"/>
        <v>2019</v>
      </c>
      <c r="B1477" s="821">
        <v>43536</v>
      </c>
      <c r="C1477">
        <v>3</v>
      </c>
      <c r="D1477">
        <f t="shared" si="49"/>
        <v>0</v>
      </c>
    </row>
    <row r="1478" spans="1:4" x14ac:dyDescent="0.55000000000000004">
      <c r="A1478">
        <f t="shared" si="48"/>
        <v>2019</v>
      </c>
      <c r="B1478" s="821">
        <v>43535</v>
      </c>
      <c r="C1478">
        <v>3.03</v>
      </c>
      <c r="D1478">
        <f t="shared" si="49"/>
        <v>0</v>
      </c>
    </row>
    <row r="1479" spans="1:4" x14ac:dyDescent="0.55000000000000004">
      <c r="A1479">
        <f t="shared" si="48"/>
        <v>2019</v>
      </c>
      <c r="B1479" s="821">
        <v>43532</v>
      </c>
      <c r="C1479">
        <v>3</v>
      </c>
      <c r="D1479">
        <f t="shared" si="49"/>
        <v>0</v>
      </c>
    </row>
    <row r="1480" spans="1:4" x14ac:dyDescent="0.55000000000000004">
      <c r="A1480">
        <f t="shared" si="48"/>
        <v>2019</v>
      </c>
      <c r="B1480" s="821">
        <v>43531</v>
      </c>
      <c r="C1480">
        <v>3.03</v>
      </c>
      <c r="D1480">
        <f t="shared" si="49"/>
        <v>0</v>
      </c>
    </row>
    <row r="1481" spans="1:4" x14ac:dyDescent="0.55000000000000004">
      <c r="A1481">
        <f t="shared" si="48"/>
        <v>2019</v>
      </c>
      <c r="B1481" s="821">
        <v>43530</v>
      </c>
      <c r="C1481">
        <v>3.06</v>
      </c>
      <c r="D1481">
        <f t="shared" si="49"/>
        <v>0</v>
      </c>
    </row>
    <row r="1482" spans="1:4" x14ac:dyDescent="0.55000000000000004">
      <c r="A1482">
        <f t="shared" si="48"/>
        <v>2019</v>
      </c>
      <c r="B1482" s="821">
        <v>43529</v>
      </c>
      <c r="C1482">
        <v>3.08</v>
      </c>
      <c r="D1482">
        <f t="shared" si="49"/>
        <v>0</v>
      </c>
    </row>
    <row r="1483" spans="1:4" x14ac:dyDescent="0.55000000000000004">
      <c r="A1483">
        <f t="shared" si="48"/>
        <v>2019</v>
      </c>
      <c r="B1483" s="821">
        <v>43528</v>
      </c>
      <c r="C1483">
        <v>3.09</v>
      </c>
      <c r="D1483">
        <f t="shared" si="49"/>
        <v>0</v>
      </c>
    </row>
    <row r="1484" spans="1:4" x14ac:dyDescent="0.55000000000000004">
      <c r="A1484">
        <f t="shared" si="48"/>
        <v>2019</v>
      </c>
      <c r="B1484" s="821">
        <v>43525</v>
      </c>
      <c r="C1484">
        <v>3.13</v>
      </c>
      <c r="D1484">
        <f t="shared" si="49"/>
        <v>0</v>
      </c>
    </row>
    <row r="1485" spans="1:4" x14ac:dyDescent="0.55000000000000004">
      <c r="A1485">
        <f t="shared" si="48"/>
        <v>2019</v>
      </c>
      <c r="B1485" s="821">
        <v>43524</v>
      </c>
      <c r="C1485">
        <v>3.09</v>
      </c>
      <c r="D1485">
        <f t="shared" si="49"/>
        <v>0</v>
      </c>
    </row>
    <row r="1486" spans="1:4" x14ac:dyDescent="0.55000000000000004">
      <c r="A1486">
        <f t="shared" si="48"/>
        <v>2019</v>
      </c>
      <c r="B1486" s="821">
        <v>43523</v>
      </c>
      <c r="C1486">
        <v>3.07</v>
      </c>
      <c r="D1486">
        <f t="shared" si="49"/>
        <v>0</v>
      </c>
    </row>
    <row r="1487" spans="1:4" x14ac:dyDescent="0.55000000000000004">
      <c r="A1487">
        <f t="shared" si="48"/>
        <v>2019</v>
      </c>
      <c r="B1487" s="821">
        <v>43522</v>
      </c>
      <c r="C1487">
        <v>3.01</v>
      </c>
      <c r="D1487">
        <f t="shared" si="49"/>
        <v>0</v>
      </c>
    </row>
    <row r="1488" spans="1:4" x14ac:dyDescent="0.55000000000000004">
      <c r="A1488">
        <f t="shared" si="48"/>
        <v>2019</v>
      </c>
      <c r="B1488" s="821">
        <v>43521</v>
      </c>
      <c r="C1488">
        <v>3.03</v>
      </c>
      <c r="D1488">
        <f t="shared" si="49"/>
        <v>0</v>
      </c>
    </row>
    <row r="1489" spans="1:4" x14ac:dyDescent="0.55000000000000004">
      <c r="A1489">
        <f t="shared" si="48"/>
        <v>2019</v>
      </c>
      <c r="B1489" s="821">
        <v>43518</v>
      </c>
      <c r="C1489">
        <v>3.02</v>
      </c>
      <c r="D1489">
        <f t="shared" si="49"/>
        <v>0</v>
      </c>
    </row>
    <row r="1490" spans="1:4" x14ac:dyDescent="0.55000000000000004">
      <c r="A1490">
        <f t="shared" si="48"/>
        <v>2019</v>
      </c>
      <c r="B1490" s="821">
        <v>43517</v>
      </c>
      <c r="C1490">
        <v>3.05</v>
      </c>
      <c r="D1490">
        <f t="shared" si="49"/>
        <v>0</v>
      </c>
    </row>
    <row r="1491" spans="1:4" x14ac:dyDescent="0.55000000000000004">
      <c r="A1491">
        <f t="shared" si="48"/>
        <v>2019</v>
      </c>
      <c r="B1491" s="821">
        <v>43516</v>
      </c>
      <c r="C1491">
        <v>3</v>
      </c>
      <c r="D1491">
        <f t="shared" si="49"/>
        <v>0</v>
      </c>
    </row>
    <row r="1492" spans="1:4" x14ac:dyDescent="0.55000000000000004">
      <c r="A1492">
        <f t="shared" si="48"/>
        <v>2019</v>
      </c>
      <c r="B1492" s="821">
        <v>43515</v>
      </c>
      <c r="C1492">
        <v>2.99</v>
      </c>
      <c r="D1492">
        <f t="shared" si="49"/>
        <v>0</v>
      </c>
    </row>
    <row r="1493" spans="1:4" x14ac:dyDescent="0.55000000000000004">
      <c r="A1493">
        <f t="shared" si="48"/>
        <v>2019</v>
      </c>
      <c r="B1493" s="821">
        <v>43511</v>
      </c>
      <c r="C1493">
        <v>3</v>
      </c>
      <c r="D1493">
        <f t="shared" si="49"/>
        <v>0</v>
      </c>
    </row>
    <row r="1494" spans="1:4" x14ac:dyDescent="0.55000000000000004">
      <c r="A1494">
        <f t="shared" si="48"/>
        <v>2019</v>
      </c>
      <c r="B1494" s="821">
        <v>43510</v>
      </c>
      <c r="C1494">
        <v>3.01</v>
      </c>
      <c r="D1494">
        <f t="shared" si="49"/>
        <v>0</v>
      </c>
    </row>
    <row r="1495" spans="1:4" x14ac:dyDescent="0.55000000000000004">
      <c r="A1495">
        <f t="shared" si="48"/>
        <v>2019</v>
      </c>
      <c r="B1495" s="821">
        <v>43509</v>
      </c>
      <c r="C1495">
        <v>3.04</v>
      </c>
      <c r="D1495">
        <f t="shared" si="49"/>
        <v>0</v>
      </c>
    </row>
    <row r="1496" spans="1:4" x14ac:dyDescent="0.55000000000000004">
      <c r="A1496">
        <f t="shared" si="48"/>
        <v>2019</v>
      </c>
      <c r="B1496" s="821">
        <v>43508</v>
      </c>
      <c r="C1496">
        <v>3.02</v>
      </c>
      <c r="D1496">
        <f t="shared" si="49"/>
        <v>0</v>
      </c>
    </row>
    <row r="1497" spans="1:4" x14ac:dyDescent="0.55000000000000004">
      <c r="A1497">
        <f t="shared" si="48"/>
        <v>2019</v>
      </c>
      <c r="B1497" s="821">
        <v>43507</v>
      </c>
      <c r="C1497">
        <v>3</v>
      </c>
      <c r="D1497">
        <f t="shared" si="49"/>
        <v>0</v>
      </c>
    </row>
    <row r="1498" spans="1:4" x14ac:dyDescent="0.55000000000000004">
      <c r="A1498">
        <f t="shared" si="48"/>
        <v>2019</v>
      </c>
      <c r="B1498" s="821">
        <v>43504</v>
      </c>
      <c r="C1498">
        <v>2.97</v>
      </c>
      <c r="D1498">
        <f t="shared" si="49"/>
        <v>0</v>
      </c>
    </row>
    <row r="1499" spans="1:4" x14ac:dyDescent="0.55000000000000004">
      <c r="A1499">
        <f t="shared" si="48"/>
        <v>2019</v>
      </c>
      <c r="B1499" s="821">
        <v>43503</v>
      </c>
      <c r="C1499">
        <v>3</v>
      </c>
      <c r="D1499">
        <f t="shared" si="49"/>
        <v>0</v>
      </c>
    </row>
    <row r="1500" spans="1:4" x14ac:dyDescent="0.55000000000000004">
      <c r="A1500">
        <f t="shared" si="48"/>
        <v>2019</v>
      </c>
      <c r="B1500" s="821">
        <v>43502</v>
      </c>
      <c r="C1500">
        <v>3.03</v>
      </c>
      <c r="D1500">
        <f t="shared" si="49"/>
        <v>0</v>
      </c>
    </row>
    <row r="1501" spans="1:4" x14ac:dyDescent="0.55000000000000004">
      <c r="A1501">
        <f t="shared" si="48"/>
        <v>2019</v>
      </c>
      <c r="B1501" s="821">
        <v>43501</v>
      </c>
      <c r="C1501">
        <v>3.03</v>
      </c>
      <c r="D1501">
        <f t="shared" si="49"/>
        <v>0</v>
      </c>
    </row>
    <row r="1502" spans="1:4" x14ac:dyDescent="0.55000000000000004">
      <c r="A1502">
        <f t="shared" si="48"/>
        <v>2019</v>
      </c>
      <c r="B1502" s="821">
        <v>43500</v>
      </c>
      <c r="C1502">
        <v>3.06</v>
      </c>
      <c r="D1502">
        <f t="shared" si="49"/>
        <v>0</v>
      </c>
    </row>
    <row r="1503" spans="1:4" x14ac:dyDescent="0.55000000000000004">
      <c r="A1503">
        <f t="shared" si="48"/>
        <v>2019</v>
      </c>
      <c r="B1503" s="821">
        <v>43497</v>
      </c>
      <c r="C1503">
        <v>3.03</v>
      </c>
      <c r="D1503">
        <f t="shared" si="49"/>
        <v>0</v>
      </c>
    </row>
    <row r="1504" spans="1:4" x14ac:dyDescent="0.55000000000000004">
      <c r="A1504">
        <f t="shared" si="48"/>
        <v>2019</v>
      </c>
      <c r="B1504" s="821">
        <v>43496</v>
      </c>
      <c r="C1504">
        <v>2.99</v>
      </c>
      <c r="D1504">
        <f t="shared" si="49"/>
        <v>0</v>
      </c>
    </row>
    <row r="1505" spans="1:4" x14ac:dyDescent="0.55000000000000004">
      <c r="A1505">
        <f t="shared" si="48"/>
        <v>2019</v>
      </c>
      <c r="B1505" s="821">
        <v>43495</v>
      </c>
      <c r="C1505">
        <v>3.06</v>
      </c>
      <c r="D1505">
        <f t="shared" si="49"/>
        <v>0</v>
      </c>
    </row>
    <row r="1506" spans="1:4" x14ac:dyDescent="0.55000000000000004">
      <c r="A1506">
        <f t="shared" si="48"/>
        <v>2019</v>
      </c>
      <c r="B1506" s="821">
        <v>43494</v>
      </c>
      <c r="C1506">
        <v>3.04</v>
      </c>
      <c r="D1506">
        <f t="shared" si="49"/>
        <v>0</v>
      </c>
    </row>
    <row r="1507" spans="1:4" x14ac:dyDescent="0.55000000000000004">
      <c r="A1507">
        <f t="shared" si="48"/>
        <v>2019</v>
      </c>
      <c r="B1507" s="821">
        <v>43493</v>
      </c>
      <c r="C1507">
        <v>3.06</v>
      </c>
      <c r="D1507">
        <f t="shared" si="49"/>
        <v>0</v>
      </c>
    </row>
    <row r="1508" spans="1:4" x14ac:dyDescent="0.55000000000000004">
      <c r="A1508">
        <f t="shared" si="48"/>
        <v>2019</v>
      </c>
      <c r="B1508" s="821">
        <v>43490</v>
      </c>
      <c r="C1508">
        <v>3.06</v>
      </c>
      <c r="D1508">
        <f t="shared" si="49"/>
        <v>0</v>
      </c>
    </row>
    <row r="1509" spans="1:4" x14ac:dyDescent="0.55000000000000004">
      <c r="A1509">
        <f t="shared" si="48"/>
        <v>2019</v>
      </c>
      <c r="B1509" s="821">
        <v>43489</v>
      </c>
      <c r="C1509">
        <v>3.04</v>
      </c>
      <c r="D1509">
        <f t="shared" si="49"/>
        <v>0</v>
      </c>
    </row>
    <row r="1510" spans="1:4" x14ac:dyDescent="0.55000000000000004">
      <c r="A1510">
        <f t="shared" si="48"/>
        <v>2019</v>
      </c>
      <c r="B1510" s="821">
        <v>43488</v>
      </c>
      <c r="C1510">
        <v>3.07</v>
      </c>
      <c r="D1510">
        <f t="shared" si="49"/>
        <v>0</v>
      </c>
    </row>
    <row r="1511" spans="1:4" x14ac:dyDescent="0.55000000000000004">
      <c r="A1511">
        <f t="shared" si="48"/>
        <v>2019</v>
      </c>
      <c r="B1511" s="821">
        <v>43487</v>
      </c>
      <c r="C1511">
        <v>3.06</v>
      </c>
      <c r="D1511">
        <f t="shared" si="49"/>
        <v>0</v>
      </c>
    </row>
    <row r="1512" spans="1:4" x14ac:dyDescent="0.55000000000000004">
      <c r="A1512">
        <f t="shared" si="48"/>
        <v>2019</v>
      </c>
      <c r="B1512" s="821">
        <v>43483</v>
      </c>
      <c r="C1512">
        <v>3.09</v>
      </c>
      <c r="D1512">
        <f t="shared" si="49"/>
        <v>0</v>
      </c>
    </row>
    <row r="1513" spans="1:4" x14ac:dyDescent="0.55000000000000004">
      <c r="A1513">
        <f t="shared" si="48"/>
        <v>2019</v>
      </c>
      <c r="B1513" s="821">
        <v>43482</v>
      </c>
      <c r="C1513">
        <v>3.07</v>
      </c>
      <c r="D1513">
        <f t="shared" si="49"/>
        <v>0</v>
      </c>
    </row>
    <row r="1514" spans="1:4" x14ac:dyDescent="0.55000000000000004">
      <c r="A1514">
        <f t="shared" si="48"/>
        <v>2019</v>
      </c>
      <c r="B1514" s="821">
        <v>43481</v>
      </c>
      <c r="C1514">
        <v>3.07</v>
      </c>
      <c r="D1514">
        <f t="shared" si="49"/>
        <v>0</v>
      </c>
    </row>
    <row r="1515" spans="1:4" x14ac:dyDescent="0.55000000000000004">
      <c r="A1515">
        <f t="shared" si="48"/>
        <v>2019</v>
      </c>
      <c r="B1515" s="821">
        <v>43480</v>
      </c>
      <c r="C1515">
        <v>3.08</v>
      </c>
      <c r="D1515">
        <f t="shared" si="49"/>
        <v>0</v>
      </c>
    </row>
    <row r="1516" spans="1:4" x14ac:dyDescent="0.55000000000000004">
      <c r="A1516">
        <f t="shared" si="48"/>
        <v>2019</v>
      </c>
      <c r="B1516" s="821">
        <v>43479</v>
      </c>
      <c r="C1516">
        <v>3.06</v>
      </c>
      <c r="D1516">
        <f t="shared" si="49"/>
        <v>0</v>
      </c>
    </row>
    <row r="1517" spans="1:4" x14ac:dyDescent="0.55000000000000004">
      <c r="A1517">
        <f t="shared" si="48"/>
        <v>2019</v>
      </c>
      <c r="B1517" s="821">
        <v>43476</v>
      </c>
      <c r="C1517">
        <v>3.04</v>
      </c>
      <c r="D1517">
        <f t="shared" si="49"/>
        <v>0</v>
      </c>
    </row>
    <row r="1518" spans="1:4" x14ac:dyDescent="0.55000000000000004">
      <c r="A1518">
        <f t="shared" si="48"/>
        <v>2019</v>
      </c>
      <c r="B1518" s="821">
        <v>43475</v>
      </c>
      <c r="C1518">
        <v>3.06</v>
      </c>
      <c r="D1518">
        <f t="shared" si="49"/>
        <v>0</v>
      </c>
    </row>
    <row r="1519" spans="1:4" x14ac:dyDescent="0.55000000000000004">
      <c r="A1519">
        <f t="shared" si="48"/>
        <v>2019</v>
      </c>
      <c r="B1519" s="821">
        <v>43474</v>
      </c>
      <c r="C1519">
        <v>3.03</v>
      </c>
      <c r="D1519">
        <f t="shared" si="49"/>
        <v>0</v>
      </c>
    </row>
    <row r="1520" spans="1:4" x14ac:dyDescent="0.55000000000000004">
      <c r="A1520">
        <f t="shared" si="48"/>
        <v>2019</v>
      </c>
      <c r="B1520" s="821">
        <v>43473</v>
      </c>
      <c r="C1520">
        <v>3</v>
      </c>
      <c r="D1520">
        <f t="shared" si="49"/>
        <v>0</v>
      </c>
    </row>
    <row r="1521" spans="1:4" x14ac:dyDescent="0.55000000000000004">
      <c r="A1521">
        <f t="shared" si="48"/>
        <v>2019</v>
      </c>
      <c r="B1521" s="821">
        <v>43472</v>
      </c>
      <c r="C1521">
        <v>2.99</v>
      </c>
      <c r="D1521">
        <f t="shared" si="49"/>
        <v>0</v>
      </c>
    </row>
    <row r="1522" spans="1:4" x14ac:dyDescent="0.55000000000000004">
      <c r="A1522">
        <f t="shared" si="48"/>
        <v>2019</v>
      </c>
      <c r="B1522" s="821">
        <v>43469</v>
      </c>
      <c r="C1522">
        <v>2.98</v>
      </c>
      <c r="D1522">
        <f t="shared" si="49"/>
        <v>0</v>
      </c>
    </row>
    <row r="1523" spans="1:4" x14ac:dyDescent="0.55000000000000004">
      <c r="A1523">
        <f t="shared" si="48"/>
        <v>2019</v>
      </c>
      <c r="B1523" s="821">
        <v>43468</v>
      </c>
      <c r="C1523">
        <v>2.92</v>
      </c>
      <c r="D1523">
        <f t="shared" si="49"/>
        <v>0</v>
      </c>
    </row>
    <row r="1524" spans="1:4" x14ac:dyDescent="0.55000000000000004">
      <c r="A1524">
        <f t="shared" si="48"/>
        <v>2019</v>
      </c>
      <c r="B1524" s="821">
        <v>43467</v>
      </c>
      <c r="C1524">
        <v>2.97</v>
      </c>
      <c r="D1524">
        <f t="shared" si="49"/>
        <v>0</v>
      </c>
    </row>
    <row r="1525" spans="1:4" x14ac:dyDescent="0.55000000000000004">
      <c r="A1525">
        <f t="shared" si="48"/>
        <v>2018</v>
      </c>
      <c r="B1525" s="821">
        <v>43465</v>
      </c>
      <c r="C1525">
        <v>3.02</v>
      </c>
      <c r="D1525">
        <f t="shared" si="49"/>
        <v>0</v>
      </c>
    </row>
    <row r="1526" spans="1:4" x14ac:dyDescent="0.55000000000000004">
      <c r="A1526">
        <f t="shared" si="48"/>
        <v>2018</v>
      </c>
      <c r="B1526" s="821">
        <v>43462</v>
      </c>
      <c r="C1526">
        <v>3.04</v>
      </c>
      <c r="D1526">
        <f t="shared" si="49"/>
        <v>0</v>
      </c>
    </row>
    <row r="1527" spans="1:4" x14ac:dyDescent="0.55000000000000004">
      <c r="A1527">
        <f t="shared" si="48"/>
        <v>2018</v>
      </c>
      <c r="B1527" s="821">
        <v>43461</v>
      </c>
      <c r="C1527">
        <v>3.05</v>
      </c>
      <c r="D1527">
        <f t="shared" si="49"/>
        <v>0</v>
      </c>
    </row>
    <row r="1528" spans="1:4" x14ac:dyDescent="0.55000000000000004">
      <c r="A1528">
        <f t="shared" si="48"/>
        <v>2018</v>
      </c>
      <c r="B1528" s="821">
        <v>43460</v>
      </c>
      <c r="C1528">
        <v>3.06</v>
      </c>
      <c r="D1528">
        <f t="shared" si="49"/>
        <v>0</v>
      </c>
    </row>
    <row r="1529" spans="1:4" x14ac:dyDescent="0.55000000000000004">
      <c r="A1529">
        <f t="shared" si="48"/>
        <v>2018</v>
      </c>
      <c r="B1529" s="821">
        <v>43458</v>
      </c>
      <c r="C1529">
        <v>3</v>
      </c>
      <c r="D1529">
        <f t="shared" si="49"/>
        <v>0</v>
      </c>
    </row>
    <row r="1530" spans="1:4" x14ac:dyDescent="0.55000000000000004">
      <c r="A1530">
        <f t="shared" si="48"/>
        <v>2018</v>
      </c>
      <c r="B1530" s="821">
        <v>43455</v>
      </c>
      <c r="C1530">
        <v>3.03</v>
      </c>
      <c r="D1530">
        <f t="shared" si="49"/>
        <v>0</v>
      </c>
    </row>
    <row r="1531" spans="1:4" x14ac:dyDescent="0.55000000000000004">
      <c r="A1531">
        <f t="shared" si="48"/>
        <v>2018</v>
      </c>
      <c r="B1531" s="821">
        <v>43454</v>
      </c>
      <c r="C1531">
        <v>3.02</v>
      </c>
      <c r="D1531">
        <f t="shared" si="49"/>
        <v>0</v>
      </c>
    </row>
    <row r="1532" spans="1:4" x14ac:dyDescent="0.55000000000000004">
      <c r="A1532">
        <f t="shared" si="48"/>
        <v>2018</v>
      </c>
      <c r="B1532" s="821">
        <v>43453</v>
      </c>
      <c r="C1532">
        <v>3</v>
      </c>
      <c r="D1532">
        <f t="shared" si="49"/>
        <v>0</v>
      </c>
    </row>
    <row r="1533" spans="1:4" x14ac:dyDescent="0.55000000000000004">
      <c r="A1533">
        <f t="shared" si="48"/>
        <v>2018</v>
      </c>
      <c r="B1533" s="821">
        <v>43452</v>
      </c>
      <c r="C1533">
        <v>3.07</v>
      </c>
      <c r="D1533">
        <f t="shared" si="49"/>
        <v>0</v>
      </c>
    </row>
    <row r="1534" spans="1:4" x14ac:dyDescent="0.55000000000000004">
      <c r="A1534">
        <f t="shared" si="48"/>
        <v>2018</v>
      </c>
      <c r="B1534" s="821">
        <v>43451</v>
      </c>
      <c r="C1534">
        <v>3.11</v>
      </c>
      <c r="D1534">
        <f t="shared" si="49"/>
        <v>0</v>
      </c>
    </row>
    <row r="1535" spans="1:4" x14ac:dyDescent="0.55000000000000004">
      <c r="A1535">
        <f t="shared" si="48"/>
        <v>2018</v>
      </c>
      <c r="B1535" s="821">
        <v>43448</v>
      </c>
      <c r="C1535">
        <v>3.14</v>
      </c>
      <c r="D1535">
        <f t="shared" si="49"/>
        <v>0</v>
      </c>
    </row>
    <row r="1536" spans="1:4" x14ac:dyDescent="0.55000000000000004">
      <c r="A1536">
        <f t="shared" si="48"/>
        <v>2018</v>
      </c>
      <c r="B1536" s="821">
        <v>43447</v>
      </c>
      <c r="C1536">
        <v>3.16</v>
      </c>
      <c r="D1536">
        <f t="shared" si="49"/>
        <v>0</v>
      </c>
    </row>
    <row r="1537" spans="1:4" x14ac:dyDescent="0.55000000000000004">
      <c r="A1537">
        <f t="shared" si="48"/>
        <v>2018</v>
      </c>
      <c r="B1537" s="821">
        <v>43446</v>
      </c>
      <c r="C1537">
        <v>3.15</v>
      </c>
      <c r="D1537">
        <f t="shared" si="49"/>
        <v>0</v>
      </c>
    </row>
    <row r="1538" spans="1:4" x14ac:dyDescent="0.55000000000000004">
      <c r="A1538">
        <f t="shared" si="48"/>
        <v>2018</v>
      </c>
      <c r="B1538" s="821">
        <v>43445</v>
      </c>
      <c r="C1538">
        <v>3.13</v>
      </c>
      <c r="D1538">
        <f t="shared" si="49"/>
        <v>0</v>
      </c>
    </row>
    <row r="1539" spans="1:4" x14ac:dyDescent="0.55000000000000004">
      <c r="A1539">
        <f t="shared" si="48"/>
        <v>2018</v>
      </c>
      <c r="B1539" s="821">
        <v>43444</v>
      </c>
      <c r="C1539">
        <v>3.13</v>
      </c>
      <c r="D1539">
        <f t="shared" si="49"/>
        <v>0</v>
      </c>
    </row>
    <row r="1540" spans="1:4" x14ac:dyDescent="0.55000000000000004">
      <c r="A1540">
        <f t="shared" ref="A1540:A1603" si="50">YEAR(B1540)</f>
        <v>2018</v>
      </c>
      <c r="B1540" s="821">
        <v>43441</v>
      </c>
      <c r="C1540">
        <v>3.14</v>
      </c>
      <c r="D1540">
        <f t="shared" ref="D1540:D1603" si="51">IF(C1540&gt;4,1,0)</f>
        <v>0</v>
      </c>
    </row>
    <row r="1541" spans="1:4" x14ac:dyDescent="0.55000000000000004">
      <c r="A1541">
        <f t="shared" si="50"/>
        <v>2018</v>
      </c>
      <c r="B1541" s="821">
        <v>43440</v>
      </c>
      <c r="C1541">
        <v>3.14</v>
      </c>
      <c r="D1541">
        <f t="shared" si="51"/>
        <v>0</v>
      </c>
    </row>
    <row r="1542" spans="1:4" x14ac:dyDescent="0.55000000000000004">
      <c r="A1542">
        <f t="shared" si="50"/>
        <v>2018</v>
      </c>
      <c r="B1542" s="821">
        <v>43438</v>
      </c>
      <c r="C1542">
        <v>3.16</v>
      </c>
      <c r="D1542">
        <f t="shared" si="51"/>
        <v>0</v>
      </c>
    </row>
    <row r="1543" spans="1:4" x14ac:dyDescent="0.55000000000000004">
      <c r="A1543">
        <f t="shared" si="50"/>
        <v>2018</v>
      </c>
      <c r="B1543" s="821">
        <v>43437</v>
      </c>
      <c r="C1543">
        <v>3.27</v>
      </c>
      <c r="D1543">
        <f t="shared" si="51"/>
        <v>0</v>
      </c>
    </row>
    <row r="1544" spans="1:4" x14ac:dyDescent="0.55000000000000004">
      <c r="A1544">
        <f t="shared" si="50"/>
        <v>2018</v>
      </c>
      <c r="B1544" s="821">
        <v>43434</v>
      </c>
      <c r="C1544">
        <v>3.3</v>
      </c>
      <c r="D1544">
        <f t="shared" si="51"/>
        <v>0</v>
      </c>
    </row>
    <row r="1545" spans="1:4" x14ac:dyDescent="0.55000000000000004">
      <c r="A1545">
        <f t="shared" si="50"/>
        <v>2018</v>
      </c>
      <c r="B1545" s="821">
        <v>43433</v>
      </c>
      <c r="C1545">
        <v>3.33</v>
      </c>
      <c r="D1545">
        <f t="shared" si="51"/>
        <v>0</v>
      </c>
    </row>
    <row r="1546" spans="1:4" x14ac:dyDescent="0.55000000000000004">
      <c r="A1546">
        <f t="shared" si="50"/>
        <v>2018</v>
      </c>
      <c r="B1546" s="821">
        <v>43432</v>
      </c>
      <c r="C1546">
        <v>3.34</v>
      </c>
      <c r="D1546">
        <f t="shared" si="51"/>
        <v>0</v>
      </c>
    </row>
    <row r="1547" spans="1:4" x14ac:dyDescent="0.55000000000000004">
      <c r="A1547">
        <f t="shared" si="50"/>
        <v>2018</v>
      </c>
      <c r="B1547" s="821">
        <v>43431</v>
      </c>
      <c r="C1547">
        <v>3.32</v>
      </c>
      <c r="D1547">
        <f t="shared" si="51"/>
        <v>0</v>
      </c>
    </row>
    <row r="1548" spans="1:4" x14ac:dyDescent="0.55000000000000004">
      <c r="A1548">
        <f t="shared" si="50"/>
        <v>2018</v>
      </c>
      <c r="B1548" s="821">
        <v>43430</v>
      </c>
      <c r="C1548">
        <v>3.32</v>
      </c>
      <c r="D1548">
        <f t="shared" si="51"/>
        <v>0</v>
      </c>
    </row>
    <row r="1549" spans="1:4" x14ac:dyDescent="0.55000000000000004">
      <c r="A1549">
        <f t="shared" si="50"/>
        <v>2018</v>
      </c>
      <c r="B1549" s="821">
        <v>43427</v>
      </c>
      <c r="C1549">
        <v>3.31</v>
      </c>
      <c r="D1549">
        <f t="shared" si="51"/>
        <v>0</v>
      </c>
    </row>
    <row r="1550" spans="1:4" x14ac:dyDescent="0.55000000000000004">
      <c r="A1550">
        <f t="shared" si="50"/>
        <v>2018</v>
      </c>
      <c r="B1550" s="821">
        <v>43425</v>
      </c>
      <c r="C1550">
        <v>3.31</v>
      </c>
      <c r="D1550">
        <f t="shared" si="51"/>
        <v>0</v>
      </c>
    </row>
    <row r="1551" spans="1:4" x14ac:dyDescent="0.55000000000000004">
      <c r="A1551">
        <f t="shared" si="50"/>
        <v>2018</v>
      </c>
      <c r="B1551" s="821">
        <v>43424</v>
      </c>
      <c r="C1551">
        <v>3.31</v>
      </c>
      <c r="D1551">
        <f t="shared" si="51"/>
        <v>0</v>
      </c>
    </row>
    <row r="1552" spans="1:4" x14ac:dyDescent="0.55000000000000004">
      <c r="A1552">
        <f t="shared" si="50"/>
        <v>2018</v>
      </c>
      <c r="B1552" s="821">
        <v>43423</v>
      </c>
      <c r="C1552">
        <v>3.32</v>
      </c>
      <c r="D1552">
        <f t="shared" si="51"/>
        <v>0</v>
      </c>
    </row>
    <row r="1553" spans="1:4" x14ac:dyDescent="0.55000000000000004">
      <c r="A1553">
        <f t="shared" si="50"/>
        <v>2018</v>
      </c>
      <c r="B1553" s="821">
        <v>43420</v>
      </c>
      <c r="C1553">
        <v>3.33</v>
      </c>
      <c r="D1553">
        <f t="shared" si="51"/>
        <v>0</v>
      </c>
    </row>
    <row r="1554" spans="1:4" x14ac:dyDescent="0.55000000000000004">
      <c r="A1554">
        <f t="shared" si="50"/>
        <v>2018</v>
      </c>
      <c r="B1554" s="821">
        <v>43419</v>
      </c>
      <c r="C1554">
        <v>3.36</v>
      </c>
      <c r="D1554">
        <f t="shared" si="51"/>
        <v>0</v>
      </c>
    </row>
    <row r="1555" spans="1:4" x14ac:dyDescent="0.55000000000000004">
      <c r="A1555">
        <f t="shared" si="50"/>
        <v>2018</v>
      </c>
      <c r="B1555" s="821">
        <v>43418</v>
      </c>
      <c r="C1555">
        <v>3.35</v>
      </c>
      <c r="D1555">
        <f t="shared" si="51"/>
        <v>0</v>
      </c>
    </row>
    <row r="1556" spans="1:4" x14ac:dyDescent="0.55000000000000004">
      <c r="A1556">
        <f t="shared" si="50"/>
        <v>2018</v>
      </c>
      <c r="B1556" s="821">
        <v>43417</v>
      </c>
      <c r="C1556">
        <v>3.36</v>
      </c>
      <c r="D1556">
        <f t="shared" si="51"/>
        <v>0</v>
      </c>
    </row>
    <row r="1557" spans="1:4" x14ac:dyDescent="0.55000000000000004">
      <c r="A1557">
        <f t="shared" si="50"/>
        <v>2018</v>
      </c>
      <c r="B1557" s="821">
        <v>43413</v>
      </c>
      <c r="C1557">
        <v>3.4</v>
      </c>
      <c r="D1557">
        <f t="shared" si="51"/>
        <v>0</v>
      </c>
    </row>
    <row r="1558" spans="1:4" x14ac:dyDescent="0.55000000000000004">
      <c r="A1558">
        <f t="shared" si="50"/>
        <v>2018</v>
      </c>
      <c r="B1558" s="821">
        <v>43412</v>
      </c>
      <c r="C1558">
        <v>3.43</v>
      </c>
      <c r="D1558">
        <f t="shared" si="51"/>
        <v>0</v>
      </c>
    </row>
    <row r="1559" spans="1:4" x14ac:dyDescent="0.55000000000000004">
      <c r="A1559">
        <f t="shared" si="50"/>
        <v>2018</v>
      </c>
      <c r="B1559" s="821">
        <v>43411</v>
      </c>
      <c r="C1559">
        <v>3.43</v>
      </c>
      <c r="D1559">
        <f t="shared" si="51"/>
        <v>0</v>
      </c>
    </row>
    <row r="1560" spans="1:4" x14ac:dyDescent="0.55000000000000004">
      <c r="A1560">
        <f t="shared" si="50"/>
        <v>2018</v>
      </c>
      <c r="B1560" s="821">
        <v>43410</v>
      </c>
      <c r="C1560">
        <v>3.43</v>
      </c>
      <c r="D1560">
        <f t="shared" si="51"/>
        <v>0</v>
      </c>
    </row>
    <row r="1561" spans="1:4" x14ac:dyDescent="0.55000000000000004">
      <c r="A1561">
        <f t="shared" si="50"/>
        <v>2018</v>
      </c>
      <c r="B1561" s="821">
        <v>43409</v>
      </c>
      <c r="C1561">
        <v>3.43</v>
      </c>
      <c r="D1561">
        <f t="shared" si="51"/>
        <v>0</v>
      </c>
    </row>
    <row r="1562" spans="1:4" x14ac:dyDescent="0.55000000000000004">
      <c r="A1562">
        <f t="shared" si="50"/>
        <v>2018</v>
      </c>
      <c r="B1562" s="821">
        <v>43406</v>
      </c>
      <c r="C1562">
        <v>3.46</v>
      </c>
      <c r="D1562">
        <f t="shared" si="51"/>
        <v>0</v>
      </c>
    </row>
    <row r="1563" spans="1:4" x14ac:dyDescent="0.55000000000000004">
      <c r="A1563">
        <f t="shared" si="50"/>
        <v>2018</v>
      </c>
      <c r="B1563" s="821">
        <v>43405</v>
      </c>
      <c r="C1563">
        <v>3.38</v>
      </c>
      <c r="D1563">
        <f t="shared" si="51"/>
        <v>0</v>
      </c>
    </row>
    <row r="1564" spans="1:4" x14ac:dyDescent="0.55000000000000004">
      <c r="A1564">
        <f t="shared" si="50"/>
        <v>2018</v>
      </c>
      <c r="B1564" s="821">
        <v>43404</v>
      </c>
      <c r="C1564">
        <v>3.39</v>
      </c>
      <c r="D1564">
        <f t="shared" si="51"/>
        <v>0</v>
      </c>
    </row>
    <row r="1565" spans="1:4" x14ac:dyDescent="0.55000000000000004">
      <c r="A1565">
        <f t="shared" si="50"/>
        <v>2018</v>
      </c>
      <c r="B1565" s="821">
        <v>43403</v>
      </c>
      <c r="C1565">
        <v>3.36</v>
      </c>
      <c r="D1565">
        <f t="shared" si="51"/>
        <v>0</v>
      </c>
    </row>
    <row r="1566" spans="1:4" x14ac:dyDescent="0.55000000000000004">
      <c r="A1566">
        <f t="shared" si="50"/>
        <v>2018</v>
      </c>
      <c r="B1566" s="821">
        <v>43402</v>
      </c>
      <c r="C1566">
        <v>3.33</v>
      </c>
      <c r="D1566">
        <f t="shared" si="51"/>
        <v>0</v>
      </c>
    </row>
    <row r="1567" spans="1:4" x14ac:dyDescent="0.55000000000000004">
      <c r="A1567">
        <f t="shared" si="50"/>
        <v>2018</v>
      </c>
      <c r="B1567" s="821">
        <v>43399</v>
      </c>
      <c r="C1567">
        <v>3.32</v>
      </c>
      <c r="D1567">
        <f t="shared" si="51"/>
        <v>0</v>
      </c>
    </row>
    <row r="1568" spans="1:4" x14ac:dyDescent="0.55000000000000004">
      <c r="A1568">
        <f t="shared" si="50"/>
        <v>2018</v>
      </c>
      <c r="B1568" s="821">
        <v>43398</v>
      </c>
      <c r="C1568">
        <v>3.35</v>
      </c>
      <c r="D1568">
        <f t="shared" si="51"/>
        <v>0</v>
      </c>
    </row>
    <row r="1569" spans="1:4" x14ac:dyDescent="0.55000000000000004">
      <c r="A1569">
        <f t="shared" si="50"/>
        <v>2018</v>
      </c>
      <c r="B1569" s="821">
        <v>43397</v>
      </c>
      <c r="C1569">
        <v>3.33</v>
      </c>
      <c r="D1569">
        <f t="shared" si="51"/>
        <v>0</v>
      </c>
    </row>
    <row r="1570" spans="1:4" x14ac:dyDescent="0.55000000000000004">
      <c r="A1570">
        <f t="shared" si="50"/>
        <v>2018</v>
      </c>
      <c r="B1570" s="821">
        <v>43396</v>
      </c>
      <c r="C1570">
        <v>3.37</v>
      </c>
      <c r="D1570">
        <f t="shared" si="51"/>
        <v>0</v>
      </c>
    </row>
    <row r="1571" spans="1:4" x14ac:dyDescent="0.55000000000000004">
      <c r="A1571">
        <f t="shared" si="50"/>
        <v>2018</v>
      </c>
      <c r="B1571" s="821">
        <v>43395</v>
      </c>
      <c r="C1571">
        <v>3.38</v>
      </c>
      <c r="D1571">
        <f t="shared" si="51"/>
        <v>0</v>
      </c>
    </row>
    <row r="1572" spans="1:4" x14ac:dyDescent="0.55000000000000004">
      <c r="A1572">
        <f t="shared" si="50"/>
        <v>2018</v>
      </c>
      <c r="B1572" s="821">
        <v>43392</v>
      </c>
      <c r="C1572">
        <v>3.38</v>
      </c>
      <c r="D1572">
        <f t="shared" si="51"/>
        <v>0</v>
      </c>
    </row>
    <row r="1573" spans="1:4" x14ac:dyDescent="0.55000000000000004">
      <c r="A1573">
        <f t="shared" si="50"/>
        <v>2018</v>
      </c>
      <c r="B1573" s="821">
        <v>43391</v>
      </c>
      <c r="C1573">
        <v>3.36</v>
      </c>
      <c r="D1573">
        <f t="shared" si="51"/>
        <v>0</v>
      </c>
    </row>
    <row r="1574" spans="1:4" x14ac:dyDescent="0.55000000000000004">
      <c r="A1574">
        <f t="shared" si="50"/>
        <v>2018</v>
      </c>
      <c r="B1574" s="821">
        <v>43390</v>
      </c>
      <c r="C1574">
        <v>3.35</v>
      </c>
      <c r="D1574">
        <f t="shared" si="51"/>
        <v>0</v>
      </c>
    </row>
    <row r="1575" spans="1:4" x14ac:dyDescent="0.55000000000000004">
      <c r="A1575">
        <f t="shared" si="50"/>
        <v>2018</v>
      </c>
      <c r="B1575" s="821">
        <v>43389</v>
      </c>
      <c r="C1575">
        <v>3.32</v>
      </c>
      <c r="D1575">
        <f t="shared" si="51"/>
        <v>0</v>
      </c>
    </row>
    <row r="1576" spans="1:4" x14ac:dyDescent="0.55000000000000004">
      <c r="A1576">
        <f t="shared" si="50"/>
        <v>2018</v>
      </c>
      <c r="B1576" s="821">
        <v>43388</v>
      </c>
      <c r="C1576">
        <v>3.34</v>
      </c>
      <c r="D1576">
        <f t="shared" si="51"/>
        <v>0</v>
      </c>
    </row>
    <row r="1577" spans="1:4" x14ac:dyDescent="0.55000000000000004">
      <c r="A1577">
        <f t="shared" si="50"/>
        <v>2018</v>
      </c>
      <c r="B1577" s="821">
        <v>43385</v>
      </c>
      <c r="C1577">
        <v>3.32</v>
      </c>
      <c r="D1577">
        <f t="shared" si="51"/>
        <v>0</v>
      </c>
    </row>
    <row r="1578" spans="1:4" x14ac:dyDescent="0.55000000000000004">
      <c r="A1578">
        <f t="shared" si="50"/>
        <v>2018</v>
      </c>
      <c r="B1578" s="821">
        <v>43384</v>
      </c>
      <c r="C1578">
        <v>3.32</v>
      </c>
      <c r="D1578">
        <f t="shared" si="51"/>
        <v>0</v>
      </c>
    </row>
    <row r="1579" spans="1:4" x14ac:dyDescent="0.55000000000000004">
      <c r="A1579">
        <f t="shared" si="50"/>
        <v>2018</v>
      </c>
      <c r="B1579" s="821">
        <v>43383</v>
      </c>
      <c r="C1579">
        <v>3.39</v>
      </c>
      <c r="D1579">
        <f t="shared" si="51"/>
        <v>0</v>
      </c>
    </row>
    <row r="1580" spans="1:4" x14ac:dyDescent="0.55000000000000004">
      <c r="A1580">
        <f t="shared" si="50"/>
        <v>2018</v>
      </c>
      <c r="B1580" s="821">
        <v>43382</v>
      </c>
      <c r="C1580">
        <v>3.37</v>
      </c>
      <c r="D1580">
        <f t="shared" si="51"/>
        <v>0</v>
      </c>
    </row>
    <row r="1581" spans="1:4" x14ac:dyDescent="0.55000000000000004">
      <c r="A1581">
        <f t="shared" si="50"/>
        <v>2018</v>
      </c>
      <c r="B1581" s="821">
        <v>43378</v>
      </c>
      <c r="C1581">
        <v>3.4</v>
      </c>
      <c r="D1581">
        <f t="shared" si="51"/>
        <v>0</v>
      </c>
    </row>
    <row r="1582" spans="1:4" x14ac:dyDescent="0.55000000000000004">
      <c r="A1582">
        <f t="shared" si="50"/>
        <v>2018</v>
      </c>
      <c r="B1582" s="821">
        <v>43377</v>
      </c>
      <c r="C1582">
        <v>3.35</v>
      </c>
      <c r="D1582">
        <f t="shared" si="51"/>
        <v>0</v>
      </c>
    </row>
    <row r="1583" spans="1:4" x14ac:dyDescent="0.55000000000000004">
      <c r="A1583">
        <f t="shared" si="50"/>
        <v>2018</v>
      </c>
      <c r="B1583" s="821">
        <v>43376</v>
      </c>
      <c r="C1583">
        <v>3.3</v>
      </c>
      <c r="D1583">
        <f t="shared" si="51"/>
        <v>0</v>
      </c>
    </row>
    <row r="1584" spans="1:4" x14ac:dyDescent="0.55000000000000004">
      <c r="A1584">
        <f t="shared" si="50"/>
        <v>2018</v>
      </c>
      <c r="B1584" s="821">
        <v>43375</v>
      </c>
      <c r="C1584">
        <v>3.2</v>
      </c>
      <c r="D1584">
        <f t="shared" si="51"/>
        <v>0</v>
      </c>
    </row>
    <row r="1585" spans="1:4" x14ac:dyDescent="0.55000000000000004">
      <c r="A1585">
        <f t="shared" si="50"/>
        <v>2018</v>
      </c>
      <c r="B1585" s="821">
        <v>43374</v>
      </c>
      <c r="C1585">
        <v>3.24</v>
      </c>
      <c r="D1585">
        <f t="shared" si="51"/>
        <v>0</v>
      </c>
    </row>
    <row r="1586" spans="1:4" x14ac:dyDescent="0.55000000000000004">
      <c r="A1586">
        <f t="shared" si="50"/>
        <v>2018</v>
      </c>
      <c r="B1586" s="821">
        <v>43371</v>
      </c>
      <c r="C1586">
        <v>3.19</v>
      </c>
      <c r="D1586">
        <f t="shared" si="51"/>
        <v>0</v>
      </c>
    </row>
    <row r="1587" spans="1:4" x14ac:dyDescent="0.55000000000000004">
      <c r="A1587">
        <f t="shared" si="50"/>
        <v>2018</v>
      </c>
      <c r="B1587" s="821">
        <v>43370</v>
      </c>
      <c r="C1587">
        <v>3.19</v>
      </c>
      <c r="D1587">
        <f t="shared" si="51"/>
        <v>0</v>
      </c>
    </row>
    <row r="1588" spans="1:4" x14ac:dyDescent="0.55000000000000004">
      <c r="A1588">
        <f t="shared" si="50"/>
        <v>2018</v>
      </c>
      <c r="B1588" s="821">
        <v>43369</v>
      </c>
      <c r="C1588">
        <v>3.19</v>
      </c>
      <c r="D1588">
        <f t="shared" si="51"/>
        <v>0</v>
      </c>
    </row>
    <row r="1589" spans="1:4" x14ac:dyDescent="0.55000000000000004">
      <c r="A1589">
        <f t="shared" si="50"/>
        <v>2018</v>
      </c>
      <c r="B1589" s="821">
        <v>43368</v>
      </c>
      <c r="C1589">
        <v>3.23</v>
      </c>
      <c r="D1589">
        <f t="shared" si="51"/>
        <v>0</v>
      </c>
    </row>
    <row r="1590" spans="1:4" x14ac:dyDescent="0.55000000000000004">
      <c r="A1590">
        <f t="shared" si="50"/>
        <v>2018</v>
      </c>
      <c r="B1590" s="821">
        <v>43367</v>
      </c>
      <c r="C1590">
        <v>3.21</v>
      </c>
      <c r="D1590">
        <f t="shared" si="51"/>
        <v>0</v>
      </c>
    </row>
    <row r="1591" spans="1:4" x14ac:dyDescent="0.55000000000000004">
      <c r="A1591">
        <f t="shared" si="50"/>
        <v>2018</v>
      </c>
      <c r="B1591" s="821">
        <v>43364</v>
      </c>
      <c r="C1591">
        <v>3.2</v>
      </c>
      <c r="D1591">
        <f t="shared" si="51"/>
        <v>0</v>
      </c>
    </row>
    <row r="1592" spans="1:4" x14ac:dyDescent="0.55000000000000004">
      <c r="A1592">
        <f t="shared" si="50"/>
        <v>2018</v>
      </c>
      <c r="B1592" s="821">
        <v>43363</v>
      </c>
      <c r="C1592">
        <v>3.21</v>
      </c>
      <c r="D1592">
        <f t="shared" si="51"/>
        <v>0</v>
      </c>
    </row>
    <row r="1593" spans="1:4" x14ac:dyDescent="0.55000000000000004">
      <c r="A1593">
        <f t="shared" si="50"/>
        <v>2018</v>
      </c>
      <c r="B1593" s="821">
        <v>43362</v>
      </c>
      <c r="C1593">
        <v>3.23</v>
      </c>
      <c r="D1593">
        <f t="shared" si="51"/>
        <v>0</v>
      </c>
    </row>
    <row r="1594" spans="1:4" x14ac:dyDescent="0.55000000000000004">
      <c r="A1594">
        <f t="shared" si="50"/>
        <v>2018</v>
      </c>
      <c r="B1594" s="821">
        <v>43361</v>
      </c>
      <c r="C1594">
        <v>3.2</v>
      </c>
      <c r="D1594">
        <f t="shared" si="51"/>
        <v>0</v>
      </c>
    </row>
    <row r="1595" spans="1:4" x14ac:dyDescent="0.55000000000000004">
      <c r="A1595">
        <f t="shared" si="50"/>
        <v>2018</v>
      </c>
      <c r="B1595" s="821">
        <v>43360</v>
      </c>
      <c r="C1595">
        <v>3.13</v>
      </c>
      <c r="D1595">
        <f t="shared" si="51"/>
        <v>0</v>
      </c>
    </row>
    <row r="1596" spans="1:4" x14ac:dyDescent="0.55000000000000004">
      <c r="A1596">
        <f t="shared" si="50"/>
        <v>2018</v>
      </c>
      <c r="B1596" s="821">
        <v>43357</v>
      </c>
      <c r="C1596">
        <v>3.13</v>
      </c>
      <c r="D1596">
        <f t="shared" si="51"/>
        <v>0</v>
      </c>
    </row>
    <row r="1597" spans="1:4" x14ac:dyDescent="0.55000000000000004">
      <c r="A1597">
        <f t="shared" si="50"/>
        <v>2018</v>
      </c>
      <c r="B1597" s="821">
        <v>43356</v>
      </c>
      <c r="C1597">
        <v>3.11</v>
      </c>
      <c r="D1597">
        <f t="shared" si="51"/>
        <v>0</v>
      </c>
    </row>
    <row r="1598" spans="1:4" x14ac:dyDescent="0.55000000000000004">
      <c r="A1598">
        <f t="shared" si="50"/>
        <v>2018</v>
      </c>
      <c r="B1598" s="821">
        <v>43355</v>
      </c>
      <c r="C1598">
        <v>3.11</v>
      </c>
      <c r="D1598">
        <f t="shared" si="51"/>
        <v>0</v>
      </c>
    </row>
    <row r="1599" spans="1:4" x14ac:dyDescent="0.55000000000000004">
      <c r="A1599">
        <f t="shared" si="50"/>
        <v>2018</v>
      </c>
      <c r="B1599" s="821">
        <v>43354</v>
      </c>
      <c r="C1599">
        <v>3.13</v>
      </c>
      <c r="D1599">
        <f t="shared" si="51"/>
        <v>0</v>
      </c>
    </row>
    <row r="1600" spans="1:4" x14ac:dyDescent="0.55000000000000004">
      <c r="A1600">
        <f t="shared" si="50"/>
        <v>2018</v>
      </c>
      <c r="B1600" s="821">
        <v>43353</v>
      </c>
      <c r="C1600">
        <v>3.09</v>
      </c>
      <c r="D1600">
        <f t="shared" si="51"/>
        <v>0</v>
      </c>
    </row>
    <row r="1601" spans="1:4" x14ac:dyDescent="0.55000000000000004">
      <c r="A1601">
        <f t="shared" si="50"/>
        <v>2018</v>
      </c>
      <c r="B1601" s="821">
        <v>43350</v>
      </c>
      <c r="C1601">
        <v>3.11</v>
      </c>
      <c r="D1601">
        <f t="shared" si="51"/>
        <v>0</v>
      </c>
    </row>
    <row r="1602" spans="1:4" x14ac:dyDescent="0.55000000000000004">
      <c r="A1602">
        <f t="shared" si="50"/>
        <v>2018</v>
      </c>
      <c r="B1602" s="821">
        <v>43349</v>
      </c>
      <c r="C1602">
        <v>3.06</v>
      </c>
      <c r="D1602">
        <f t="shared" si="51"/>
        <v>0</v>
      </c>
    </row>
    <row r="1603" spans="1:4" x14ac:dyDescent="0.55000000000000004">
      <c r="A1603">
        <f t="shared" si="50"/>
        <v>2018</v>
      </c>
      <c r="B1603" s="821">
        <v>43348</v>
      </c>
      <c r="C1603">
        <v>3.08</v>
      </c>
      <c r="D1603">
        <f t="shared" si="51"/>
        <v>0</v>
      </c>
    </row>
    <row r="1604" spans="1:4" x14ac:dyDescent="0.55000000000000004">
      <c r="A1604">
        <f t="shared" ref="A1604:A1667" si="52">YEAR(B1604)</f>
        <v>2018</v>
      </c>
      <c r="B1604" s="821">
        <v>43347</v>
      </c>
      <c r="C1604">
        <v>3.07</v>
      </c>
      <c r="D1604">
        <f t="shared" ref="D1604:D1667" si="53">IF(C1604&gt;4,1,0)</f>
        <v>0</v>
      </c>
    </row>
    <row r="1605" spans="1:4" x14ac:dyDescent="0.55000000000000004">
      <c r="A1605">
        <f t="shared" si="52"/>
        <v>2018</v>
      </c>
      <c r="B1605" s="821">
        <v>43343</v>
      </c>
      <c r="C1605">
        <v>3.02</v>
      </c>
      <c r="D1605">
        <f t="shared" si="53"/>
        <v>0</v>
      </c>
    </row>
    <row r="1606" spans="1:4" x14ac:dyDescent="0.55000000000000004">
      <c r="A1606">
        <f t="shared" si="52"/>
        <v>2018</v>
      </c>
      <c r="B1606" s="821">
        <v>43342</v>
      </c>
      <c r="C1606">
        <v>3</v>
      </c>
      <c r="D1606">
        <f t="shared" si="53"/>
        <v>0</v>
      </c>
    </row>
    <row r="1607" spans="1:4" x14ac:dyDescent="0.55000000000000004">
      <c r="A1607">
        <f t="shared" si="52"/>
        <v>2018</v>
      </c>
      <c r="B1607" s="821">
        <v>43341</v>
      </c>
      <c r="C1607">
        <v>3.02</v>
      </c>
      <c r="D1607">
        <f t="shared" si="53"/>
        <v>0</v>
      </c>
    </row>
    <row r="1608" spans="1:4" x14ac:dyDescent="0.55000000000000004">
      <c r="A1608">
        <f t="shared" si="52"/>
        <v>2018</v>
      </c>
      <c r="B1608" s="821">
        <v>43340</v>
      </c>
      <c r="C1608">
        <v>3.03</v>
      </c>
      <c r="D1608">
        <f t="shared" si="53"/>
        <v>0</v>
      </c>
    </row>
    <row r="1609" spans="1:4" x14ac:dyDescent="0.55000000000000004">
      <c r="A1609">
        <f t="shared" si="52"/>
        <v>2018</v>
      </c>
      <c r="B1609" s="821">
        <v>43339</v>
      </c>
      <c r="C1609">
        <v>3</v>
      </c>
      <c r="D1609">
        <f t="shared" si="53"/>
        <v>0</v>
      </c>
    </row>
    <row r="1610" spans="1:4" x14ac:dyDescent="0.55000000000000004">
      <c r="A1610">
        <f t="shared" si="52"/>
        <v>2018</v>
      </c>
      <c r="B1610" s="821">
        <v>43336</v>
      </c>
      <c r="C1610">
        <v>2.97</v>
      </c>
      <c r="D1610">
        <f t="shared" si="53"/>
        <v>0</v>
      </c>
    </row>
    <row r="1611" spans="1:4" x14ac:dyDescent="0.55000000000000004">
      <c r="A1611">
        <f t="shared" si="52"/>
        <v>2018</v>
      </c>
      <c r="B1611" s="821">
        <v>43335</v>
      </c>
      <c r="C1611">
        <v>2.97</v>
      </c>
      <c r="D1611">
        <f t="shared" si="53"/>
        <v>0</v>
      </c>
    </row>
    <row r="1612" spans="1:4" x14ac:dyDescent="0.55000000000000004">
      <c r="A1612">
        <f t="shared" si="52"/>
        <v>2018</v>
      </c>
      <c r="B1612" s="821">
        <v>43334</v>
      </c>
      <c r="C1612">
        <v>2.99</v>
      </c>
      <c r="D1612">
        <f t="shared" si="53"/>
        <v>0</v>
      </c>
    </row>
    <row r="1613" spans="1:4" x14ac:dyDescent="0.55000000000000004">
      <c r="A1613">
        <f t="shared" si="52"/>
        <v>2018</v>
      </c>
      <c r="B1613" s="821">
        <v>43333</v>
      </c>
      <c r="C1613">
        <v>3</v>
      </c>
      <c r="D1613">
        <f t="shared" si="53"/>
        <v>0</v>
      </c>
    </row>
    <row r="1614" spans="1:4" x14ac:dyDescent="0.55000000000000004">
      <c r="A1614">
        <f t="shared" si="52"/>
        <v>2018</v>
      </c>
      <c r="B1614" s="821">
        <v>43332</v>
      </c>
      <c r="C1614">
        <v>2.99</v>
      </c>
      <c r="D1614">
        <f t="shared" si="53"/>
        <v>0</v>
      </c>
    </row>
    <row r="1615" spans="1:4" x14ac:dyDescent="0.55000000000000004">
      <c r="A1615">
        <f t="shared" si="52"/>
        <v>2018</v>
      </c>
      <c r="B1615" s="821">
        <v>43329</v>
      </c>
      <c r="C1615">
        <v>3.03</v>
      </c>
      <c r="D1615">
        <f t="shared" si="53"/>
        <v>0</v>
      </c>
    </row>
    <row r="1616" spans="1:4" x14ac:dyDescent="0.55000000000000004">
      <c r="A1616">
        <f t="shared" si="52"/>
        <v>2018</v>
      </c>
      <c r="B1616" s="821">
        <v>43328</v>
      </c>
      <c r="C1616">
        <v>3.03</v>
      </c>
      <c r="D1616">
        <f t="shared" si="53"/>
        <v>0</v>
      </c>
    </row>
    <row r="1617" spans="1:4" x14ac:dyDescent="0.55000000000000004">
      <c r="A1617">
        <f t="shared" si="52"/>
        <v>2018</v>
      </c>
      <c r="B1617" s="821">
        <v>43327</v>
      </c>
      <c r="C1617">
        <v>3.03</v>
      </c>
      <c r="D1617">
        <f t="shared" si="53"/>
        <v>0</v>
      </c>
    </row>
    <row r="1618" spans="1:4" x14ac:dyDescent="0.55000000000000004">
      <c r="A1618">
        <f t="shared" si="52"/>
        <v>2018</v>
      </c>
      <c r="B1618" s="821">
        <v>43326</v>
      </c>
      <c r="C1618">
        <v>3.06</v>
      </c>
      <c r="D1618">
        <f t="shared" si="53"/>
        <v>0</v>
      </c>
    </row>
    <row r="1619" spans="1:4" x14ac:dyDescent="0.55000000000000004">
      <c r="A1619">
        <f t="shared" si="52"/>
        <v>2018</v>
      </c>
      <c r="B1619" s="821">
        <v>43325</v>
      </c>
      <c r="C1619">
        <v>3.05</v>
      </c>
      <c r="D1619">
        <f t="shared" si="53"/>
        <v>0</v>
      </c>
    </row>
    <row r="1620" spans="1:4" x14ac:dyDescent="0.55000000000000004">
      <c r="A1620">
        <f t="shared" si="52"/>
        <v>2018</v>
      </c>
      <c r="B1620" s="821">
        <v>43322</v>
      </c>
      <c r="C1620">
        <v>3.03</v>
      </c>
      <c r="D1620">
        <f t="shared" si="53"/>
        <v>0</v>
      </c>
    </row>
    <row r="1621" spans="1:4" x14ac:dyDescent="0.55000000000000004">
      <c r="A1621">
        <f t="shared" si="52"/>
        <v>2018</v>
      </c>
      <c r="B1621" s="821">
        <v>43321</v>
      </c>
      <c r="C1621">
        <v>3.08</v>
      </c>
      <c r="D1621">
        <f t="shared" si="53"/>
        <v>0</v>
      </c>
    </row>
    <row r="1622" spans="1:4" x14ac:dyDescent="0.55000000000000004">
      <c r="A1622">
        <f t="shared" si="52"/>
        <v>2018</v>
      </c>
      <c r="B1622" s="821">
        <v>43320</v>
      </c>
      <c r="C1622">
        <v>3.12</v>
      </c>
      <c r="D1622">
        <f t="shared" si="53"/>
        <v>0</v>
      </c>
    </row>
    <row r="1623" spans="1:4" x14ac:dyDescent="0.55000000000000004">
      <c r="A1623">
        <f t="shared" si="52"/>
        <v>2018</v>
      </c>
      <c r="B1623" s="821">
        <v>43319</v>
      </c>
      <c r="C1623">
        <v>3.12</v>
      </c>
      <c r="D1623">
        <f t="shared" si="53"/>
        <v>0</v>
      </c>
    </row>
    <row r="1624" spans="1:4" x14ac:dyDescent="0.55000000000000004">
      <c r="A1624">
        <f t="shared" si="52"/>
        <v>2018</v>
      </c>
      <c r="B1624" s="821">
        <v>43318</v>
      </c>
      <c r="C1624">
        <v>3.08</v>
      </c>
      <c r="D1624">
        <f t="shared" si="53"/>
        <v>0</v>
      </c>
    </row>
    <row r="1625" spans="1:4" x14ac:dyDescent="0.55000000000000004">
      <c r="A1625">
        <f t="shared" si="52"/>
        <v>2018</v>
      </c>
      <c r="B1625" s="821">
        <v>43315</v>
      </c>
      <c r="C1625">
        <v>3.09</v>
      </c>
      <c r="D1625">
        <f t="shared" si="53"/>
        <v>0</v>
      </c>
    </row>
    <row r="1626" spans="1:4" x14ac:dyDescent="0.55000000000000004">
      <c r="A1626">
        <f t="shared" si="52"/>
        <v>2018</v>
      </c>
      <c r="B1626" s="821">
        <v>43314</v>
      </c>
      <c r="C1626">
        <v>3.12</v>
      </c>
      <c r="D1626">
        <f t="shared" si="53"/>
        <v>0</v>
      </c>
    </row>
    <row r="1627" spans="1:4" x14ac:dyDescent="0.55000000000000004">
      <c r="A1627">
        <f t="shared" si="52"/>
        <v>2018</v>
      </c>
      <c r="B1627" s="821">
        <v>43313</v>
      </c>
      <c r="C1627">
        <v>3.13</v>
      </c>
      <c r="D1627">
        <f t="shared" si="53"/>
        <v>0</v>
      </c>
    </row>
    <row r="1628" spans="1:4" x14ac:dyDescent="0.55000000000000004">
      <c r="A1628">
        <f t="shared" si="52"/>
        <v>2018</v>
      </c>
      <c r="B1628" s="821">
        <v>43312</v>
      </c>
      <c r="C1628">
        <v>3.08</v>
      </c>
      <c r="D1628">
        <f t="shared" si="53"/>
        <v>0</v>
      </c>
    </row>
    <row r="1629" spans="1:4" x14ac:dyDescent="0.55000000000000004">
      <c r="A1629">
        <f t="shared" si="52"/>
        <v>2018</v>
      </c>
      <c r="B1629" s="821">
        <v>43311</v>
      </c>
      <c r="C1629">
        <v>3.11</v>
      </c>
      <c r="D1629">
        <f t="shared" si="53"/>
        <v>0</v>
      </c>
    </row>
    <row r="1630" spans="1:4" x14ac:dyDescent="0.55000000000000004">
      <c r="A1630">
        <f t="shared" si="52"/>
        <v>2018</v>
      </c>
      <c r="B1630" s="821">
        <v>43308</v>
      </c>
      <c r="C1630">
        <v>3.09</v>
      </c>
      <c r="D1630">
        <f t="shared" si="53"/>
        <v>0</v>
      </c>
    </row>
    <row r="1631" spans="1:4" x14ac:dyDescent="0.55000000000000004">
      <c r="A1631">
        <f t="shared" si="52"/>
        <v>2018</v>
      </c>
      <c r="B1631" s="821">
        <v>43307</v>
      </c>
      <c r="C1631">
        <v>3.1</v>
      </c>
      <c r="D1631">
        <f t="shared" si="53"/>
        <v>0</v>
      </c>
    </row>
    <row r="1632" spans="1:4" x14ac:dyDescent="0.55000000000000004">
      <c r="A1632">
        <f t="shared" si="52"/>
        <v>2018</v>
      </c>
      <c r="B1632" s="821">
        <v>43306</v>
      </c>
      <c r="C1632">
        <v>3.06</v>
      </c>
      <c r="D1632">
        <f t="shared" si="53"/>
        <v>0</v>
      </c>
    </row>
    <row r="1633" spans="1:4" x14ac:dyDescent="0.55000000000000004">
      <c r="A1633">
        <f t="shared" si="52"/>
        <v>2018</v>
      </c>
      <c r="B1633" s="821">
        <v>43305</v>
      </c>
      <c r="C1633">
        <v>3.08</v>
      </c>
      <c r="D1633">
        <f t="shared" si="53"/>
        <v>0</v>
      </c>
    </row>
    <row r="1634" spans="1:4" x14ac:dyDescent="0.55000000000000004">
      <c r="A1634">
        <f t="shared" si="52"/>
        <v>2018</v>
      </c>
      <c r="B1634" s="821">
        <v>43304</v>
      </c>
      <c r="C1634">
        <v>3.1</v>
      </c>
      <c r="D1634">
        <f t="shared" si="53"/>
        <v>0</v>
      </c>
    </row>
    <row r="1635" spans="1:4" x14ac:dyDescent="0.55000000000000004">
      <c r="A1635">
        <f t="shared" si="52"/>
        <v>2018</v>
      </c>
      <c r="B1635" s="821">
        <v>43301</v>
      </c>
      <c r="C1635">
        <v>3.03</v>
      </c>
      <c r="D1635">
        <f t="shared" si="53"/>
        <v>0</v>
      </c>
    </row>
    <row r="1636" spans="1:4" x14ac:dyDescent="0.55000000000000004">
      <c r="A1636">
        <f t="shared" si="52"/>
        <v>2018</v>
      </c>
      <c r="B1636" s="821">
        <v>43300</v>
      </c>
      <c r="C1636">
        <v>2.96</v>
      </c>
      <c r="D1636">
        <f t="shared" si="53"/>
        <v>0</v>
      </c>
    </row>
    <row r="1637" spans="1:4" x14ac:dyDescent="0.55000000000000004">
      <c r="A1637">
        <f t="shared" si="52"/>
        <v>2018</v>
      </c>
      <c r="B1637" s="821">
        <v>43299</v>
      </c>
      <c r="C1637">
        <v>2.99</v>
      </c>
      <c r="D1637">
        <f t="shared" si="53"/>
        <v>0</v>
      </c>
    </row>
    <row r="1638" spans="1:4" x14ac:dyDescent="0.55000000000000004">
      <c r="A1638">
        <f t="shared" si="52"/>
        <v>2018</v>
      </c>
      <c r="B1638" s="821">
        <v>43298</v>
      </c>
      <c r="C1638">
        <v>2.97</v>
      </c>
      <c r="D1638">
        <f t="shared" si="53"/>
        <v>0</v>
      </c>
    </row>
    <row r="1639" spans="1:4" x14ac:dyDescent="0.55000000000000004">
      <c r="A1639">
        <f t="shared" si="52"/>
        <v>2018</v>
      </c>
      <c r="B1639" s="821">
        <v>43297</v>
      </c>
      <c r="C1639">
        <v>2.96</v>
      </c>
      <c r="D1639">
        <f t="shared" si="53"/>
        <v>0</v>
      </c>
    </row>
    <row r="1640" spans="1:4" x14ac:dyDescent="0.55000000000000004">
      <c r="A1640">
        <f t="shared" si="52"/>
        <v>2018</v>
      </c>
      <c r="B1640" s="821">
        <v>43294</v>
      </c>
      <c r="C1640">
        <v>2.94</v>
      </c>
      <c r="D1640">
        <f t="shared" si="53"/>
        <v>0</v>
      </c>
    </row>
    <row r="1641" spans="1:4" x14ac:dyDescent="0.55000000000000004">
      <c r="A1641">
        <f t="shared" si="52"/>
        <v>2018</v>
      </c>
      <c r="B1641" s="821">
        <v>43293</v>
      </c>
      <c r="C1641">
        <v>2.95</v>
      </c>
      <c r="D1641">
        <f t="shared" si="53"/>
        <v>0</v>
      </c>
    </row>
    <row r="1642" spans="1:4" x14ac:dyDescent="0.55000000000000004">
      <c r="A1642">
        <f t="shared" si="52"/>
        <v>2018</v>
      </c>
      <c r="B1642" s="821">
        <v>43292</v>
      </c>
      <c r="C1642">
        <v>2.95</v>
      </c>
      <c r="D1642">
        <f t="shared" si="53"/>
        <v>0</v>
      </c>
    </row>
    <row r="1643" spans="1:4" x14ac:dyDescent="0.55000000000000004">
      <c r="A1643">
        <f t="shared" si="52"/>
        <v>2018</v>
      </c>
      <c r="B1643" s="821">
        <v>43291</v>
      </c>
      <c r="C1643">
        <v>2.97</v>
      </c>
      <c r="D1643">
        <f t="shared" si="53"/>
        <v>0</v>
      </c>
    </row>
    <row r="1644" spans="1:4" x14ac:dyDescent="0.55000000000000004">
      <c r="A1644">
        <f t="shared" si="52"/>
        <v>2018</v>
      </c>
      <c r="B1644" s="821">
        <v>43290</v>
      </c>
      <c r="C1644">
        <v>2.96</v>
      </c>
      <c r="D1644">
        <f t="shared" si="53"/>
        <v>0</v>
      </c>
    </row>
    <row r="1645" spans="1:4" x14ac:dyDescent="0.55000000000000004">
      <c r="A1645">
        <f t="shared" si="52"/>
        <v>2018</v>
      </c>
      <c r="B1645" s="821">
        <v>43287</v>
      </c>
      <c r="C1645">
        <v>2.94</v>
      </c>
      <c r="D1645">
        <f t="shared" si="53"/>
        <v>0</v>
      </c>
    </row>
    <row r="1646" spans="1:4" x14ac:dyDescent="0.55000000000000004">
      <c r="A1646">
        <f t="shared" si="52"/>
        <v>2018</v>
      </c>
      <c r="B1646" s="821">
        <v>43286</v>
      </c>
      <c r="C1646">
        <v>2.95</v>
      </c>
      <c r="D1646">
        <f t="shared" si="53"/>
        <v>0</v>
      </c>
    </row>
    <row r="1647" spans="1:4" x14ac:dyDescent="0.55000000000000004">
      <c r="A1647">
        <f t="shared" si="52"/>
        <v>2018</v>
      </c>
      <c r="B1647" s="821">
        <v>43284</v>
      </c>
      <c r="C1647">
        <v>2.96</v>
      </c>
      <c r="D1647">
        <f t="shared" si="53"/>
        <v>0</v>
      </c>
    </row>
    <row r="1648" spans="1:4" x14ac:dyDescent="0.55000000000000004">
      <c r="A1648">
        <f t="shared" si="52"/>
        <v>2018</v>
      </c>
      <c r="B1648" s="821">
        <v>43283</v>
      </c>
      <c r="C1648">
        <v>2.99</v>
      </c>
      <c r="D1648">
        <f t="shared" si="53"/>
        <v>0</v>
      </c>
    </row>
    <row r="1649" spans="1:4" x14ac:dyDescent="0.55000000000000004">
      <c r="A1649">
        <f t="shared" si="52"/>
        <v>2018</v>
      </c>
      <c r="B1649" s="821">
        <v>43280</v>
      </c>
      <c r="C1649">
        <v>2.98</v>
      </c>
      <c r="D1649">
        <f t="shared" si="53"/>
        <v>0</v>
      </c>
    </row>
    <row r="1650" spans="1:4" x14ac:dyDescent="0.55000000000000004">
      <c r="A1650">
        <f t="shared" si="52"/>
        <v>2018</v>
      </c>
      <c r="B1650" s="821">
        <v>43279</v>
      </c>
      <c r="C1650">
        <v>2.97</v>
      </c>
      <c r="D1650">
        <f t="shared" si="53"/>
        <v>0</v>
      </c>
    </row>
    <row r="1651" spans="1:4" x14ac:dyDescent="0.55000000000000004">
      <c r="A1651">
        <f t="shared" si="52"/>
        <v>2018</v>
      </c>
      <c r="B1651" s="821">
        <v>43278</v>
      </c>
      <c r="C1651">
        <v>2.97</v>
      </c>
      <c r="D1651">
        <f t="shared" si="53"/>
        <v>0</v>
      </c>
    </row>
    <row r="1652" spans="1:4" x14ac:dyDescent="0.55000000000000004">
      <c r="A1652">
        <f t="shared" si="52"/>
        <v>2018</v>
      </c>
      <c r="B1652" s="821">
        <v>43277</v>
      </c>
      <c r="C1652">
        <v>3.03</v>
      </c>
      <c r="D1652">
        <f t="shared" si="53"/>
        <v>0</v>
      </c>
    </row>
    <row r="1653" spans="1:4" x14ac:dyDescent="0.55000000000000004">
      <c r="A1653">
        <f t="shared" si="52"/>
        <v>2018</v>
      </c>
      <c r="B1653" s="821">
        <v>43276</v>
      </c>
      <c r="C1653">
        <v>3.02</v>
      </c>
      <c r="D1653">
        <f t="shared" si="53"/>
        <v>0</v>
      </c>
    </row>
    <row r="1654" spans="1:4" x14ac:dyDescent="0.55000000000000004">
      <c r="A1654">
        <f t="shared" si="52"/>
        <v>2018</v>
      </c>
      <c r="B1654" s="821">
        <v>43273</v>
      </c>
      <c r="C1654">
        <v>3.04</v>
      </c>
      <c r="D1654">
        <f t="shared" si="53"/>
        <v>0</v>
      </c>
    </row>
    <row r="1655" spans="1:4" x14ac:dyDescent="0.55000000000000004">
      <c r="A1655">
        <f t="shared" si="52"/>
        <v>2018</v>
      </c>
      <c r="B1655" s="821">
        <v>43272</v>
      </c>
      <c r="C1655">
        <v>3.04</v>
      </c>
      <c r="D1655">
        <f t="shared" si="53"/>
        <v>0</v>
      </c>
    </row>
    <row r="1656" spans="1:4" x14ac:dyDescent="0.55000000000000004">
      <c r="A1656">
        <f t="shared" si="52"/>
        <v>2018</v>
      </c>
      <c r="B1656" s="821">
        <v>43271</v>
      </c>
      <c r="C1656">
        <v>3.06</v>
      </c>
      <c r="D1656">
        <f t="shared" si="53"/>
        <v>0</v>
      </c>
    </row>
    <row r="1657" spans="1:4" x14ac:dyDescent="0.55000000000000004">
      <c r="A1657">
        <f t="shared" si="52"/>
        <v>2018</v>
      </c>
      <c r="B1657" s="821">
        <v>43270</v>
      </c>
      <c r="C1657">
        <v>3.02</v>
      </c>
      <c r="D1657">
        <f t="shared" si="53"/>
        <v>0</v>
      </c>
    </row>
    <row r="1658" spans="1:4" x14ac:dyDescent="0.55000000000000004">
      <c r="A1658">
        <f t="shared" si="52"/>
        <v>2018</v>
      </c>
      <c r="B1658" s="821">
        <v>43269</v>
      </c>
      <c r="C1658">
        <v>3.05</v>
      </c>
      <c r="D1658">
        <f t="shared" si="53"/>
        <v>0</v>
      </c>
    </row>
    <row r="1659" spans="1:4" x14ac:dyDescent="0.55000000000000004">
      <c r="A1659">
        <f t="shared" si="52"/>
        <v>2018</v>
      </c>
      <c r="B1659" s="821">
        <v>43266</v>
      </c>
      <c r="C1659">
        <v>3.05</v>
      </c>
      <c r="D1659">
        <f t="shared" si="53"/>
        <v>0</v>
      </c>
    </row>
    <row r="1660" spans="1:4" x14ac:dyDescent="0.55000000000000004">
      <c r="A1660">
        <f t="shared" si="52"/>
        <v>2018</v>
      </c>
      <c r="B1660" s="821">
        <v>43265</v>
      </c>
      <c r="C1660">
        <v>3.05</v>
      </c>
      <c r="D1660">
        <f t="shared" si="53"/>
        <v>0</v>
      </c>
    </row>
    <row r="1661" spans="1:4" x14ac:dyDescent="0.55000000000000004">
      <c r="A1661">
        <f t="shared" si="52"/>
        <v>2018</v>
      </c>
      <c r="B1661" s="821">
        <v>43264</v>
      </c>
      <c r="C1661">
        <v>3.1</v>
      </c>
      <c r="D1661">
        <f t="shared" si="53"/>
        <v>0</v>
      </c>
    </row>
    <row r="1662" spans="1:4" x14ac:dyDescent="0.55000000000000004">
      <c r="A1662">
        <f t="shared" si="52"/>
        <v>2018</v>
      </c>
      <c r="B1662" s="821">
        <v>43263</v>
      </c>
      <c r="C1662">
        <v>3.09</v>
      </c>
      <c r="D1662">
        <f t="shared" si="53"/>
        <v>0</v>
      </c>
    </row>
    <row r="1663" spans="1:4" x14ac:dyDescent="0.55000000000000004">
      <c r="A1663">
        <f t="shared" si="52"/>
        <v>2018</v>
      </c>
      <c r="B1663" s="821">
        <v>43262</v>
      </c>
      <c r="C1663">
        <v>3.1</v>
      </c>
      <c r="D1663">
        <f t="shared" si="53"/>
        <v>0</v>
      </c>
    </row>
    <row r="1664" spans="1:4" x14ac:dyDescent="0.55000000000000004">
      <c r="A1664">
        <f t="shared" si="52"/>
        <v>2018</v>
      </c>
      <c r="B1664" s="821">
        <v>43259</v>
      </c>
      <c r="C1664">
        <v>3.08</v>
      </c>
      <c r="D1664">
        <f t="shared" si="53"/>
        <v>0</v>
      </c>
    </row>
    <row r="1665" spans="1:4" x14ac:dyDescent="0.55000000000000004">
      <c r="A1665">
        <f t="shared" si="52"/>
        <v>2018</v>
      </c>
      <c r="B1665" s="821">
        <v>43258</v>
      </c>
      <c r="C1665">
        <v>3.08</v>
      </c>
      <c r="D1665">
        <f t="shared" si="53"/>
        <v>0</v>
      </c>
    </row>
    <row r="1666" spans="1:4" x14ac:dyDescent="0.55000000000000004">
      <c r="A1666">
        <f t="shared" si="52"/>
        <v>2018</v>
      </c>
      <c r="B1666" s="821">
        <v>43257</v>
      </c>
      <c r="C1666">
        <v>3.13</v>
      </c>
      <c r="D1666">
        <f t="shared" si="53"/>
        <v>0</v>
      </c>
    </row>
    <row r="1667" spans="1:4" x14ac:dyDescent="0.55000000000000004">
      <c r="A1667">
        <f t="shared" si="52"/>
        <v>2018</v>
      </c>
      <c r="B1667" s="821">
        <v>43256</v>
      </c>
      <c r="C1667">
        <v>3.07</v>
      </c>
      <c r="D1667">
        <f t="shared" si="53"/>
        <v>0</v>
      </c>
    </row>
    <row r="1668" spans="1:4" x14ac:dyDescent="0.55000000000000004">
      <c r="A1668">
        <f t="shared" ref="A1668:A1731" si="54">YEAR(B1668)</f>
        <v>2018</v>
      </c>
      <c r="B1668" s="821">
        <v>43255</v>
      </c>
      <c r="C1668">
        <v>3.08</v>
      </c>
      <c r="D1668">
        <f t="shared" ref="D1668:D1731" si="55">IF(C1668&gt;4,1,0)</f>
        <v>0</v>
      </c>
    </row>
    <row r="1669" spans="1:4" x14ac:dyDescent="0.55000000000000004">
      <c r="A1669">
        <f t="shared" si="54"/>
        <v>2018</v>
      </c>
      <c r="B1669" s="821">
        <v>43252</v>
      </c>
      <c r="C1669">
        <v>3.04</v>
      </c>
      <c r="D1669">
        <f t="shared" si="55"/>
        <v>0</v>
      </c>
    </row>
    <row r="1670" spans="1:4" x14ac:dyDescent="0.55000000000000004">
      <c r="A1670">
        <f t="shared" si="54"/>
        <v>2018</v>
      </c>
      <c r="B1670" s="821">
        <v>43251</v>
      </c>
      <c r="C1670">
        <v>3</v>
      </c>
      <c r="D1670">
        <f t="shared" si="55"/>
        <v>0</v>
      </c>
    </row>
    <row r="1671" spans="1:4" x14ac:dyDescent="0.55000000000000004">
      <c r="A1671">
        <f t="shared" si="54"/>
        <v>2018</v>
      </c>
      <c r="B1671" s="821">
        <v>43250</v>
      </c>
      <c r="C1671">
        <v>3.01</v>
      </c>
      <c r="D1671">
        <f t="shared" si="55"/>
        <v>0</v>
      </c>
    </row>
    <row r="1672" spans="1:4" x14ac:dyDescent="0.55000000000000004">
      <c r="A1672">
        <f t="shared" si="54"/>
        <v>2018</v>
      </c>
      <c r="B1672" s="821">
        <v>43249</v>
      </c>
      <c r="C1672">
        <v>2.96</v>
      </c>
      <c r="D1672">
        <f t="shared" si="55"/>
        <v>0</v>
      </c>
    </row>
    <row r="1673" spans="1:4" x14ac:dyDescent="0.55000000000000004">
      <c r="A1673">
        <f t="shared" si="54"/>
        <v>2018</v>
      </c>
      <c r="B1673" s="821">
        <v>43245</v>
      </c>
      <c r="C1673">
        <v>3.09</v>
      </c>
      <c r="D1673">
        <f t="shared" si="55"/>
        <v>0</v>
      </c>
    </row>
    <row r="1674" spans="1:4" x14ac:dyDescent="0.55000000000000004">
      <c r="A1674">
        <f t="shared" si="54"/>
        <v>2018</v>
      </c>
      <c r="B1674" s="821">
        <v>43244</v>
      </c>
      <c r="C1674">
        <v>3.13</v>
      </c>
      <c r="D1674">
        <f t="shared" si="55"/>
        <v>0</v>
      </c>
    </row>
    <row r="1675" spans="1:4" x14ac:dyDescent="0.55000000000000004">
      <c r="A1675">
        <f t="shared" si="54"/>
        <v>2018</v>
      </c>
      <c r="B1675" s="821">
        <v>43243</v>
      </c>
      <c r="C1675">
        <v>3.17</v>
      </c>
      <c r="D1675">
        <f t="shared" si="55"/>
        <v>0</v>
      </c>
    </row>
    <row r="1676" spans="1:4" x14ac:dyDescent="0.55000000000000004">
      <c r="A1676">
        <f t="shared" si="54"/>
        <v>2018</v>
      </c>
      <c r="B1676" s="821">
        <v>43242</v>
      </c>
      <c r="C1676">
        <v>3.21</v>
      </c>
      <c r="D1676">
        <f t="shared" si="55"/>
        <v>0</v>
      </c>
    </row>
    <row r="1677" spans="1:4" x14ac:dyDescent="0.55000000000000004">
      <c r="A1677">
        <f t="shared" si="54"/>
        <v>2018</v>
      </c>
      <c r="B1677" s="821">
        <v>43241</v>
      </c>
      <c r="C1677">
        <v>3.2</v>
      </c>
      <c r="D1677">
        <f t="shared" si="55"/>
        <v>0</v>
      </c>
    </row>
    <row r="1678" spans="1:4" x14ac:dyDescent="0.55000000000000004">
      <c r="A1678">
        <f t="shared" si="54"/>
        <v>2018</v>
      </c>
      <c r="B1678" s="821">
        <v>43238</v>
      </c>
      <c r="C1678">
        <v>3.2</v>
      </c>
      <c r="D1678">
        <f t="shared" si="55"/>
        <v>0</v>
      </c>
    </row>
    <row r="1679" spans="1:4" x14ac:dyDescent="0.55000000000000004">
      <c r="A1679">
        <f t="shared" si="54"/>
        <v>2018</v>
      </c>
      <c r="B1679" s="821">
        <v>43237</v>
      </c>
      <c r="C1679">
        <v>3.25</v>
      </c>
      <c r="D1679">
        <f t="shared" si="55"/>
        <v>0</v>
      </c>
    </row>
    <row r="1680" spans="1:4" x14ac:dyDescent="0.55000000000000004">
      <c r="A1680">
        <f t="shared" si="54"/>
        <v>2018</v>
      </c>
      <c r="B1680" s="821">
        <v>43236</v>
      </c>
      <c r="C1680">
        <v>3.21</v>
      </c>
      <c r="D1680">
        <f t="shared" si="55"/>
        <v>0</v>
      </c>
    </row>
    <row r="1681" spans="1:4" x14ac:dyDescent="0.55000000000000004">
      <c r="A1681">
        <f t="shared" si="54"/>
        <v>2018</v>
      </c>
      <c r="B1681" s="821">
        <v>43235</v>
      </c>
      <c r="C1681">
        <v>3.2</v>
      </c>
      <c r="D1681">
        <f t="shared" si="55"/>
        <v>0</v>
      </c>
    </row>
    <row r="1682" spans="1:4" x14ac:dyDescent="0.55000000000000004">
      <c r="A1682">
        <f t="shared" si="54"/>
        <v>2018</v>
      </c>
      <c r="B1682" s="821">
        <v>43234</v>
      </c>
      <c r="C1682">
        <v>3.13</v>
      </c>
      <c r="D1682">
        <f t="shared" si="55"/>
        <v>0</v>
      </c>
    </row>
    <row r="1683" spans="1:4" x14ac:dyDescent="0.55000000000000004">
      <c r="A1683">
        <f t="shared" si="54"/>
        <v>2018</v>
      </c>
      <c r="B1683" s="821">
        <v>43231</v>
      </c>
      <c r="C1683">
        <v>3.1</v>
      </c>
      <c r="D1683">
        <f t="shared" si="55"/>
        <v>0</v>
      </c>
    </row>
    <row r="1684" spans="1:4" x14ac:dyDescent="0.55000000000000004">
      <c r="A1684">
        <f t="shared" si="54"/>
        <v>2018</v>
      </c>
      <c r="B1684" s="821">
        <v>43230</v>
      </c>
      <c r="C1684">
        <v>3.12</v>
      </c>
      <c r="D1684">
        <f t="shared" si="55"/>
        <v>0</v>
      </c>
    </row>
    <row r="1685" spans="1:4" x14ac:dyDescent="0.55000000000000004">
      <c r="A1685">
        <f t="shared" si="54"/>
        <v>2018</v>
      </c>
      <c r="B1685" s="821">
        <v>43229</v>
      </c>
      <c r="C1685">
        <v>3.16</v>
      </c>
      <c r="D1685">
        <f t="shared" si="55"/>
        <v>0</v>
      </c>
    </row>
    <row r="1686" spans="1:4" x14ac:dyDescent="0.55000000000000004">
      <c r="A1686">
        <f t="shared" si="54"/>
        <v>2018</v>
      </c>
      <c r="B1686" s="821">
        <v>43228</v>
      </c>
      <c r="C1686">
        <v>3.13</v>
      </c>
      <c r="D1686">
        <f t="shared" si="55"/>
        <v>0</v>
      </c>
    </row>
    <row r="1687" spans="1:4" x14ac:dyDescent="0.55000000000000004">
      <c r="A1687">
        <f t="shared" si="54"/>
        <v>2018</v>
      </c>
      <c r="B1687" s="821">
        <v>43227</v>
      </c>
      <c r="C1687">
        <v>3.12</v>
      </c>
      <c r="D1687">
        <f t="shared" si="55"/>
        <v>0</v>
      </c>
    </row>
    <row r="1688" spans="1:4" x14ac:dyDescent="0.55000000000000004">
      <c r="A1688">
        <f t="shared" si="54"/>
        <v>2018</v>
      </c>
      <c r="B1688" s="821">
        <v>43224</v>
      </c>
      <c r="C1688">
        <v>3.12</v>
      </c>
      <c r="D1688">
        <f t="shared" si="55"/>
        <v>0</v>
      </c>
    </row>
    <row r="1689" spans="1:4" x14ac:dyDescent="0.55000000000000004">
      <c r="A1689">
        <f t="shared" si="54"/>
        <v>2018</v>
      </c>
      <c r="B1689" s="821">
        <v>43223</v>
      </c>
      <c r="C1689">
        <v>3.12</v>
      </c>
      <c r="D1689">
        <f t="shared" si="55"/>
        <v>0</v>
      </c>
    </row>
    <row r="1690" spans="1:4" x14ac:dyDescent="0.55000000000000004">
      <c r="A1690">
        <f t="shared" si="54"/>
        <v>2018</v>
      </c>
      <c r="B1690" s="821">
        <v>43222</v>
      </c>
      <c r="C1690">
        <v>3.14</v>
      </c>
      <c r="D1690">
        <f t="shared" si="55"/>
        <v>0</v>
      </c>
    </row>
    <row r="1691" spans="1:4" x14ac:dyDescent="0.55000000000000004">
      <c r="A1691">
        <f t="shared" si="54"/>
        <v>2018</v>
      </c>
      <c r="B1691" s="821">
        <v>43221</v>
      </c>
      <c r="C1691">
        <v>3.13</v>
      </c>
      <c r="D1691">
        <f t="shared" si="55"/>
        <v>0</v>
      </c>
    </row>
    <row r="1692" spans="1:4" x14ac:dyDescent="0.55000000000000004">
      <c r="A1692">
        <f t="shared" si="54"/>
        <v>2018</v>
      </c>
      <c r="B1692" s="821">
        <v>43220</v>
      </c>
      <c r="C1692">
        <v>3.11</v>
      </c>
      <c r="D1692">
        <f t="shared" si="55"/>
        <v>0</v>
      </c>
    </row>
    <row r="1693" spans="1:4" x14ac:dyDescent="0.55000000000000004">
      <c r="A1693">
        <f t="shared" si="54"/>
        <v>2018</v>
      </c>
      <c r="B1693" s="821">
        <v>43217</v>
      </c>
      <c r="C1693">
        <v>3.13</v>
      </c>
      <c r="D1693">
        <f t="shared" si="55"/>
        <v>0</v>
      </c>
    </row>
    <row r="1694" spans="1:4" x14ac:dyDescent="0.55000000000000004">
      <c r="A1694">
        <f t="shared" si="54"/>
        <v>2018</v>
      </c>
      <c r="B1694" s="821">
        <v>43216</v>
      </c>
      <c r="C1694">
        <v>3.18</v>
      </c>
      <c r="D1694">
        <f t="shared" si="55"/>
        <v>0</v>
      </c>
    </row>
    <row r="1695" spans="1:4" x14ac:dyDescent="0.55000000000000004">
      <c r="A1695">
        <f t="shared" si="54"/>
        <v>2018</v>
      </c>
      <c r="B1695" s="821">
        <v>43215</v>
      </c>
      <c r="C1695">
        <v>3.21</v>
      </c>
      <c r="D1695">
        <f t="shared" si="55"/>
        <v>0</v>
      </c>
    </row>
    <row r="1696" spans="1:4" x14ac:dyDescent="0.55000000000000004">
      <c r="A1696">
        <f t="shared" si="54"/>
        <v>2018</v>
      </c>
      <c r="B1696" s="821">
        <v>43214</v>
      </c>
      <c r="C1696">
        <v>3.18</v>
      </c>
      <c r="D1696">
        <f t="shared" si="55"/>
        <v>0</v>
      </c>
    </row>
    <row r="1697" spans="1:4" x14ac:dyDescent="0.55000000000000004">
      <c r="A1697">
        <f t="shared" si="54"/>
        <v>2018</v>
      </c>
      <c r="B1697" s="821">
        <v>43213</v>
      </c>
      <c r="C1697">
        <v>3.15</v>
      </c>
      <c r="D1697">
        <f t="shared" si="55"/>
        <v>0</v>
      </c>
    </row>
    <row r="1698" spans="1:4" x14ac:dyDescent="0.55000000000000004">
      <c r="A1698">
        <f t="shared" si="54"/>
        <v>2018</v>
      </c>
      <c r="B1698" s="821">
        <v>43210</v>
      </c>
      <c r="C1698">
        <v>3.14</v>
      </c>
      <c r="D1698">
        <f t="shared" si="55"/>
        <v>0</v>
      </c>
    </row>
    <row r="1699" spans="1:4" x14ac:dyDescent="0.55000000000000004">
      <c r="A1699">
        <f t="shared" si="54"/>
        <v>2018</v>
      </c>
      <c r="B1699" s="821">
        <v>43209</v>
      </c>
      <c r="C1699">
        <v>3.11</v>
      </c>
      <c r="D1699">
        <f t="shared" si="55"/>
        <v>0</v>
      </c>
    </row>
    <row r="1700" spans="1:4" x14ac:dyDescent="0.55000000000000004">
      <c r="A1700">
        <f t="shared" si="54"/>
        <v>2018</v>
      </c>
      <c r="B1700" s="821">
        <v>43208</v>
      </c>
      <c r="C1700">
        <v>3.06</v>
      </c>
      <c r="D1700">
        <f t="shared" si="55"/>
        <v>0</v>
      </c>
    </row>
    <row r="1701" spans="1:4" x14ac:dyDescent="0.55000000000000004">
      <c r="A1701">
        <f t="shared" si="54"/>
        <v>2018</v>
      </c>
      <c r="B1701" s="821">
        <v>43207</v>
      </c>
      <c r="C1701">
        <v>3</v>
      </c>
      <c r="D1701">
        <f t="shared" si="55"/>
        <v>0</v>
      </c>
    </row>
    <row r="1702" spans="1:4" x14ac:dyDescent="0.55000000000000004">
      <c r="A1702">
        <f t="shared" si="54"/>
        <v>2018</v>
      </c>
      <c r="B1702" s="821">
        <v>43206</v>
      </c>
      <c r="C1702">
        <v>3.03</v>
      </c>
      <c r="D1702">
        <f t="shared" si="55"/>
        <v>0</v>
      </c>
    </row>
    <row r="1703" spans="1:4" x14ac:dyDescent="0.55000000000000004">
      <c r="A1703">
        <f t="shared" si="54"/>
        <v>2018</v>
      </c>
      <c r="B1703" s="821">
        <v>43203</v>
      </c>
      <c r="C1703">
        <v>3.03</v>
      </c>
      <c r="D1703">
        <f t="shared" si="55"/>
        <v>0</v>
      </c>
    </row>
    <row r="1704" spans="1:4" x14ac:dyDescent="0.55000000000000004">
      <c r="A1704">
        <f t="shared" si="54"/>
        <v>2018</v>
      </c>
      <c r="B1704" s="821">
        <v>43202</v>
      </c>
      <c r="C1704">
        <v>3.05</v>
      </c>
      <c r="D1704">
        <f t="shared" si="55"/>
        <v>0</v>
      </c>
    </row>
    <row r="1705" spans="1:4" x14ac:dyDescent="0.55000000000000004">
      <c r="A1705">
        <f t="shared" si="54"/>
        <v>2018</v>
      </c>
      <c r="B1705" s="821">
        <v>43201</v>
      </c>
      <c r="C1705">
        <v>2.99</v>
      </c>
      <c r="D1705">
        <f t="shared" si="55"/>
        <v>0</v>
      </c>
    </row>
    <row r="1706" spans="1:4" x14ac:dyDescent="0.55000000000000004">
      <c r="A1706">
        <f t="shared" si="54"/>
        <v>2018</v>
      </c>
      <c r="B1706" s="821">
        <v>43200</v>
      </c>
      <c r="C1706">
        <v>3.02</v>
      </c>
      <c r="D1706">
        <f t="shared" si="55"/>
        <v>0</v>
      </c>
    </row>
    <row r="1707" spans="1:4" x14ac:dyDescent="0.55000000000000004">
      <c r="A1707">
        <f t="shared" si="54"/>
        <v>2018</v>
      </c>
      <c r="B1707" s="821">
        <v>43199</v>
      </c>
      <c r="C1707">
        <v>3.02</v>
      </c>
      <c r="D1707">
        <f t="shared" si="55"/>
        <v>0</v>
      </c>
    </row>
    <row r="1708" spans="1:4" x14ac:dyDescent="0.55000000000000004">
      <c r="A1708">
        <f t="shared" si="54"/>
        <v>2018</v>
      </c>
      <c r="B1708" s="821">
        <v>43196</v>
      </c>
      <c r="C1708">
        <v>3.01</v>
      </c>
      <c r="D1708">
        <f t="shared" si="55"/>
        <v>0</v>
      </c>
    </row>
    <row r="1709" spans="1:4" x14ac:dyDescent="0.55000000000000004">
      <c r="A1709">
        <f t="shared" si="54"/>
        <v>2018</v>
      </c>
      <c r="B1709" s="821">
        <v>43195</v>
      </c>
      <c r="C1709">
        <v>3.07</v>
      </c>
      <c r="D1709">
        <f t="shared" si="55"/>
        <v>0</v>
      </c>
    </row>
    <row r="1710" spans="1:4" x14ac:dyDescent="0.55000000000000004">
      <c r="A1710">
        <f t="shared" si="54"/>
        <v>2018</v>
      </c>
      <c r="B1710" s="821">
        <v>43194</v>
      </c>
      <c r="C1710">
        <v>3.03</v>
      </c>
      <c r="D1710">
        <f t="shared" si="55"/>
        <v>0</v>
      </c>
    </row>
    <row r="1711" spans="1:4" x14ac:dyDescent="0.55000000000000004">
      <c r="A1711">
        <f t="shared" si="54"/>
        <v>2018</v>
      </c>
      <c r="B1711" s="821">
        <v>43193</v>
      </c>
      <c r="C1711">
        <v>3.02</v>
      </c>
      <c r="D1711">
        <f t="shared" si="55"/>
        <v>0</v>
      </c>
    </row>
    <row r="1712" spans="1:4" x14ac:dyDescent="0.55000000000000004">
      <c r="A1712">
        <f t="shared" si="54"/>
        <v>2018</v>
      </c>
      <c r="B1712" s="821">
        <v>43192</v>
      </c>
      <c r="C1712">
        <v>2.97</v>
      </c>
      <c r="D1712">
        <f t="shared" si="55"/>
        <v>0</v>
      </c>
    </row>
    <row r="1713" spans="1:4" x14ac:dyDescent="0.55000000000000004">
      <c r="A1713">
        <f t="shared" si="54"/>
        <v>2018</v>
      </c>
      <c r="B1713" s="821">
        <v>43188</v>
      </c>
      <c r="C1713">
        <v>2.97</v>
      </c>
      <c r="D1713">
        <f t="shared" si="55"/>
        <v>0</v>
      </c>
    </row>
    <row r="1714" spans="1:4" x14ac:dyDescent="0.55000000000000004">
      <c r="A1714">
        <f t="shared" si="54"/>
        <v>2018</v>
      </c>
      <c r="B1714" s="821">
        <v>43187</v>
      </c>
      <c r="C1714">
        <v>3.01</v>
      </c>
      <c r="D1714">
        <f t="shared" si="55"/>
        <v>0</v>
      </c>
    </row>
    <row r="1715" spans="1:4" x14ac:dyDescent="0.55000000000000004">
      <c r="A1715">
        <f t="shared" si="54"/>
        <v>2018</v>
      </c>
      <c r="B1715" s="821">
        <v>43186</v>
      </c>
      <c r="C1715">
        <v>3.03</v>
      </c>
      <c r="D1715">
        <f t="shared" si="55"/>
        <v>0</v>
      </c>
    </row>
    <row r="1716" spans="1:4" x14ac:dyDescent="0.55000000000000004">
      <c r="A1716">
        <f t="shared" si="54"/>
        <v>2018</v>
      </c>
      <c r="B1716" s="821">
        <v>43185</v>
      </c>
      <c r="C1716">
        <v>3.08</v>
      </c>
      <c r="D1716">
        <f t="shared" si="55"/>
        <v>0</v>
      </c>
    </row>
    <row r="1717" spans="1:4" x14ac:dyDescent="0.55000000000000004">
      <c r="A1717">
        <f t="shared" si="54"/>
        <v>2018</v>
      </c>
      <c r="B1717" s="821">
        <v>43182</v>
      </c>
      <c r="C1717">
        <v>3.06</v>
      </c>
      <c r="D1717">
        <f t="shared" si="55"/>
        <v>0</v>
      </c>
    </row>
    <row r="1718" spans="1:4" x14ac:dyDescent="0.55000000000000004">
      <c r="A1718">
        <f t="shared" si="54"/>
        <v>2018</v>
      </c>
      <c r="B1718" s="821">
        <v>43181</v>
      </c>
      <c r="C1718">
        <v>3.06</v>
      </c>
      <c r="D1718">
        <f t="shared" si="55"/>
        <v>0</v>
      </c>
    </row>
    <row r="1719" spans="1:4" x14ac:dyDescent="0.55000000000000004">
      <c r="A1719">
        <f t="shared" si="54"/>
        <v>2018</v>
      </c>
      <c r="B1719" s="821">
        <v>43180</v>
      </c>
      <c r="C1719">
        <v>3.12</v>
      </c>
      <c r="D1719">
        <f t="shared" si="55"/>
        <v>0</v>
      </c>
    </row>
    <row r="1720" spans="1:4" x14ac:dyDescent="0.55000000000000004">
      <c r="A1720">
        <f t="shared" si="54"/>
        <v>2018</v>
      </c>
      <c r="B1720" s="821">
        <v>43179</v>
      </c>
      <c r="C1720">
        <v>3.12</v>
      </c>
      <c r="D1720">
        <f t="shared" si="55"/>
        <v>0</v>
      </c>
    </row>
    <row r="1721" spans="1:4" x14ac:dyDescent="0.55000000000000004">
      <c r="A1721">
        <f t="shared" si="54"/>
        <v>2018</v>
      </c>
      <c r="B1721" s="821">
        <v>43178</v>
      </c>
      <c r="C1721">
        <v>3.09</v>
      </c>
      <c r="D1721">
        <f t="shared" si="55"/>
        <v>0</v>
      </c>
    </row>
    <row r="1722" spans="1:4" x14ac:dyDescent="0.55000000000000004">
      <c r="A1722">
        <f t="shared" si="54"/>
        <v>2018</v>
      </c>
      <c r="B1722" s="821">
        <v>43175</v>
      </c>
      <c r="C1722">
        <v>3.08</v>
      </c>
      <c r="D1722">
        <f t="shared" si="55"/>
        <v>0</v>
      </c>
    </row>
    <row r="1723" spans="1:4" x14ac:dyDescent="0.55000000000000004">
      <c r="A1723">
        <f t="shared" si="54"/>
        <v>2018</v>
      </c>
      <c r="B1723" s="821">
        <v>43174</v>
      </c>
      <c r="C1723">
        <v>3.05</v>
      </c>
      <c r="D1723">
        <f t="shared" si="55"/>
        <v>0</v>
      </c>
    </row>
    <row r="1724" spans="1:4" x14ac:dyDescent="0.55000000000000004">
      <c r="A1724">
        <f t="shared" si="54"/>
        <v>2018</v>
      </c>
      <c r="B1724" s="821">
        <v>43173</v>
      </c>
      <c r="C1724">
        <v>3.05</v>
      </c>
      <c r="D1724">
        <f t="shared" si="55"/>
        <v>0</v>
      </c>
    </row>
    <row r="1725" spans="1:4" x14ac:dyDescent="0.55000000000000004">
      <c r="A1725">
        <f t="shared" si="54"/>
        <v>2018</v>
      </c>
      <c r="B1725" s="821">
        <v>43172</v>
      </c>
      <c r="C1725">
        <v>3.1</v>
      </c>
      <c r="D1725">
        <f t="shared" si="55"/>
        <v>0</v>
      </c>
    </row>
    <row r="1726" spans="1:4" x14ac:dyDescent="0.55000000000000004">
      <c r="A1726">
        <f t="shared" si="54"/>
        <v>2018</v>
      </c>
      <c r="B1726" s="821">
        <v>43171</v>
      </c>
      <c r="C1726">
        <v>3.13</v>
      </c>
      <c r="D1726">
        <f t="shared" si="55"/>
        <v>0</v>
      </c>
    </row>
    <row r="1727" spans="1:4" x14ac:dyDescent="0.55000000000000004">
      <c r="A1727">
        <f t="shared" si="54"/>
        <v>2018</v>
      </c>
      <c r="B1727" s="821">
        <v>43168</v>
      </c>
      <c r="C1727">
        <v>3.16</v>
      </c>
      <c r="D1727">
        <f t="shared" si="55"/>
        <v>0</v>
      </c>
    </row>
    <row r="1728" spans="1:4" x14ac:dyDescent="0.55000000000000004">
      <c r="A1728">
        <f t="shared" si="54"/>
        <v>2018</v>
      </c>
      <c r="B1728" s="821">
        <v>43167</v>
      </c>
      <c r="C1728">
        <v>3.13</v>
      </c>
      <c r="D1728">
        <f t="shared" si="55"/>
        <v>0</v>
      </c>
    </row>
    <row r="1729" spans="1:4" x14ac:dyDescent="0.55000000000000004">
      <c r="A1729">
        <f t="shared" si="54"/>
        <v>2018</v>
      </c>
      <c r="B1729" s="821">
        <v>43166</v>
      </c>
      <c r="C1729">
        <v>3.15</v>
      </c>
      <c r="D1729">
        <f t="shared" si="55"/>
        <v>0</v>
      </c>
    </row>
    <row r="1730" spans="1:4" x14ac:dyDescent="0.55000000000000004">
      <c r="A1730">
        <f t="shared" si="54"/>
        <v>2018</v>
      </c>
      <c r="B1730" s="821">
        <v>43165</v>
      </c>
      <c r="C1730">
        <v>3.14</v>
      </c>
      <c r="D1730">
        <f t="shared" si="55"/>
        <v>0</v>
      </c>
    </row>
    <row r="1731" spans="1:4" x14ac:dyDescent="0.55000000000000004">
      <c r="A1731">
        <f t="shared" si="54"/>
        <v>2018</v>
      </c>
      <c r="B1731" s="821">
        <v>43164</v>
      </c>
      <c r="C1731">
        <v>3.16</v>
      </c>
      <c r="D1731">
        <f t="shared" si="55"/>
        <v>0</v>
      </c>
    </row>
    <row r="1732" spans="1:4" x14ac:dyDescent="0.55000000000000004">
      <c r="A1732">
        <f t="shared" ref="A1732:A1795" si="56">YEAR(B1732)</f>
        <v>2018</v>
      </c>
      <c r="B1732" s="821">
        <v>43161</v>
      </c>
      <c r="C1732">
        <v>3.14</v>
      </c>
      <c r="D1732">
        <f t="shared" ref="D1732:D1795" si="57">IF(C1732&gt;4,1,0)</f>
        <v>0</v>
      </c>
    </row>
    <row r="1733" spans="1:4" x14ac:dyDescent="0.55000000000000004">
      <c r="A1733">
        <f t="shared" si="56"/>
        <v>2018</v>
      </c>
      <c r="B1733" s="821">
        <v>43160</v>
      </c>
      <c r="C1733">
        <v>3.09</v>
      </c>
      <c r="D1733">
        <f t="shared" si="57"/>
        <v>0</v>
      </c>
    </row>
    <row r="1734" spans="1:4" x14ac:dyDescent="0.55000000000000004">
      <c r="A1734">
        <f t="shared" si="56"/>
        <v>2018</v>
      </c>
      <c r="B1734" s="821">
        <v>43159</v>
      </c>
      <c r="C1734">
        <v>3.13</v>
      </c>
      <c r="D1734">
        <f t="shared" si="57"/>
        <v>0</v>
      </c>
    </row>
    <row r="1735" spans="1:4" x14ac:dyDescent="0.55000000000000004">
      <c r="A1735">
        <f t="shared" si="56"/>
        <v>2018</v>
      </c>
      <c r="B1735" s="821">
        <v>43158</v>
      </c>
      <c r="C1735">
        <v>3.17</v>
      </c>
      <c r="D1735">
        <f t="shared" si="57"/>
        <v>0</v>
      </c>
    </row>
    <row r="1736" spans="1:4" x14ac:dyDescent="0.55000000000000004">
      <c r="A1736">
        <f t="shared" si="56"/>
        <v>2018</v>
      </c>
      <c r="B1736" s="821">
        <v>43157</v>
      </c>
      <c r="C1736">
        <v>3.15</v>
      </c>
      <c r="D1736">
        <f t="shared" si="57"/>
        <v>0</v>
      </c>
    </row>
    <row r="1737" spans="1:4" x14ac:dyDescent="0.55000000000000004">
      <c r="A1737">
        <f t="shared" si="56"/>
        <v>2018</v>
      </c>
      <c r="B1737" s="821">
        <v>43154</v>
      </c>
      <c r="C1737">
        <v>3.16</v>
      </c>
      <c r="D1737">
        <f t="shared" si="57"/>
        <v>0</v>
      </c>
    </row>
    <row r="1738" spans="1:4" x14ac:dyDescent="0.55000000000000004">
      <c r="A1738">
        <f t="shared" si="56"/>
        <v>2018</v>
      </c>
      <c r="B1738" s="821">
        <v>43153</v>
      </c>
      <c r="C1738">
        <v>3.21</v>
      </c>
      <c r="D1738">
        <f t="shared" si="57"/>
        <v>0</v>
      </c>
    </row>
    <row r="1739" spans="1:4" x14ac:dyDescent="0.55000000000000004">
      <c r="A1739">
        <f t="shared" si="56"/>
        <v>2018</v>
      </c>
      <c r="B1739" s="821">
        <v>43152</v>
      </c>
      <c r="C1739">
        <v>3.22</v>
      </c>
      <c r="D1739">
        <f t="shared" si="57"/>
        <v>0</v>
      </c>
    </row>
    <row r="1740" spans="1:4" x14ac:dyDescent="0.55000000000000004">
      <c r="A1740">
        <f t="shared" si="56"/>
        <v>2018</v>
      </c>
      <c r="B1740" s="821">
        <v>43151</v>
      </c>
      <c r="C1740">
        <v>3.15</v>
      </c>
      <c r="D1740">
        <f t="shared" si="57"/>
        <v>0</v>
      </c>
    </row>
    <row r="1741" spans="1:4" x14ac:dyDescent="0.55000000000000004">
      <c r="A1741">
        <f t="shared" si="56"/>
        <v>2018</v>
      </c>
      <c r="B1741" s="821">
        <v>43147</v>
      </c>
      <c r="C1741">
        <v>3.13</v>
      </c>
      <c r="D1741">
        <f t="shared" si="57"/>
        <v>0</v>
      </c>
    </row>
    <row r="1742" spans="1:4" x14ac:dyDescent="0.55000000000000004">
      <c r="A1742">
        <f t="shared" si="56"/>
        <v>2018</v>
      </c>
      <c r="B1742" s="821">
        <v>43146</v>
      </c>
      <c r="C1742">
        <v>3.15</v>
      </c>
      <c r="D1742">
        <f t="shared" si="57"/>
        <v>0</v>
      </c>
    </row>
    <row r="1743" spans="1:4" x14ac:dyDescent="0.55000000000000004">
      <c r="A1743">
        <f t="shared" si="56"/>
        <v>2018</v>
      </c>
      <c r="B1743" s="821">
        <v>43145</v>
      </c>
      <c r="C1743">
        <v>3.18</v>
      </c>
      <c r="D1743">
        <f t="shared" si="57"/>
        <v>0</v>
      </c>
    </row>
    <row r="1744" spans="1:4" x14ac:dyDescent="0.55000000000000004">
      <c r="A1744">
        <f t="shared" si="56"/>
        <v>2018</v>
      </c>
      <c r="B1744" s="821">
        <v>43144</v>
      </c>
      <c r="C1744">
        <v>3.11</v>
      </c>
      <c r="D1744">
        <f t="shared" si="57"/>
        <v>0</v>
      </c>
    </row>
    <row r="1745" spans="1:4" x14ac:dyDescent="0.55000000000000004">
      <c r="A1745">
        <f t="shared" si="56"/>
        <v>2018</v>
      </c>
      <c r="B1745" s="821">
        <v>43143</v>
      </c>
      <c r="C1745">
        <v>3.14</v>
      </c>
      <c r="D1745">
        <f t="shared" si="57"/>
        <v>0</v>
      </c>
    </row>
    <row r="1746" spans="1:4" x14ac:dyDescent="0.55000000000000004">
      <c r="A1746">
        <f t="shared" si="56"/>
        <v>2018</v>
      </c>
      <c r="B1746" s="821">
        <v>43140</v>
      </c>
      <c r="C1746">
        <v>3.14</v>
      </c>
      <c r="D1746">
        <f t="shared" si="57"/>
        <v>0</v>
      </c>
    </row>
    <row r="1747" spans="1:4" x14ac:dyDescent="0.55000000000000004">
      <c r="A1747">
        <f t="shared" si="56"/>
        <v>2018</v>
      </c>
      <c r="B1747" s="821">
        <v>43139</v>
      </c>
      <c r="C1747">
        <v>3.14</v>
      </c>
      <c r="D1747">
        <f t="shared" si="57"/>
        <v>0</v>
      </c>
    </row>
    <row r="1748" spans="1:4" x14ac:dyDescent="0.55000000000000004">
      <c r="A1748">
        <f t="shared" si="56"/>
        <v>2018</v>
      </c>
      <c r="B1748" s="821">
        <v>43138</v>
      </c>
      <c r="C1748">
        <v>3.12</v>
      </c>
      <c r="D1748">
        <f t="shared" si="57"/>
        <v>0</v>
      </c>
    </row>
    <row r="1749" spans="1:4" x14ac:dyDescent="0.55000000000000004">
      <c r="A1749">
        <f t="shared" si="56"/>
        <v>2018</v>
      </c>
      <c r="B1749" s="821">
        <v>43137</v>
      </c>
      <c r="C1749">
        <v>3.06</v>
      </c>
      <c r="D1749">
        <f t="shared" si="57"/>
        <v>0</v>
      </c>
    </row>
    <row r="1750" spans="1:4" x14ac:dyDescent="0.55000000000000004">
      <c r="A1750">
        <f t="shared" si="56"/>
        <v>2018</v>
      </c>
      <c r="B1750" s="821">
        <v>43136</v>
      </c>
      <c r="C1750">
        <v>3.04</v>
      </c>
      <c r="D1750">
        <f t="shared" si="57"/>
        <v>0</v>
      </c>
    </row>
    <row r="1751" spans="1:4" x14ac:dyDescent="0.55000000000000004">
      <c r="A1751">
        <f t="shared" si="56"/>
        <v>2018</v>
      </c>
      <c r="B1751" s="821">
        <v>43133</v>
      </c>
      <c r="C1751">
        <v>3.08</v>
      </c>
      <c r="D1751">
        <f t="shared" si="57"/>
        <v>0</v>
      </c>
    </row>
    <row r="1752" spans="1:4" x14ac:dyDescent="0.55000000000000004">
      <c r="A1752">
        <f t="shared" si="56"/>
        <v>2018</v>
      </c>
      <c r="B1752" s="821">
        <v>43132</v>
      </c>
      <c r="C1752">
        <v>3.01</v>
      </c>
      <c r="D1752">
        <f t="shared" si="57"/>
        <v>0</v>
      </c>
    </row>
    <row r="1753" spans="1:4" x14ac:dyDescent="0.55000000000000004">
      <c r="A1753">
        <f t="shared" si="56"/>
        <v>2018</v>
      </c>
      <c r="B1753" s="821">
        <v>43131</v>
      </c>
      <c r="C1753">
        <v>2.95</v>
      </c>
      <c r="D1753">
        <f t="shared" si="57"/>
        <v>0</v>
      </c>
    </row>
    <row r="1754" spans="1:4" x14ac:dyDescent="0.55000000000000004">
      <c r="A1754">
        <f t="shared" si="56"/>
        <v>2018</v>
      </c>
      <c r="B1754" s="821">
        <v>43130</v>
      </c>
      <c r="C1754">
        <v>2.98</v>
      </c>
      <c r="D1754">
        <f t="shared" si="57"/>
        <v>0</v>
      </c>
    </row>
    <row r="1755" spans="1:4" x14ac:dyDescent="0.55000000000000004">
      <c r="A1755">
        <f t="shared" si="56"/>
        <v>2018</v>
      </c>
      <c r="B1755" s="821">
        <v>43129</v>
      </c>
      <c r="C1755">
        <v>2.94</v>
      </c>
      <c r="D1755">
        <f t="shared" si="57"/>
        <v>0</v>
      </c>
    </row>
    <row r="1756" spans="1:4" x14ac:dyDescent="0.55000000000000004">
      <c r="A1756">
        <f t="shared" si="56"/>
        <v>2018</v>
      </c>
      <c r="B1756" s="821">
        <v>43126</v>
      </c>
      <c r="C1756">
        <v>2.91</v>
      </c>
      <c r="D1756">
        <f t="shared" si="57"/>
        <v>0</v>
      </c>
    </row>
    <row r="1757" spans="1:4" x14ac:dyDescent="0.55000000000000004">
      <c r="A1757">
        <f t="shared" si="56"/>
        <v>2018</v>
      </c>
      <c r="B1757" s="821">
        <v>43125</v>
      </c>
      <c r="C1757">
        <v>2.89</v>
      </c>
      <c r="D1757">
        <f t="shared" si="57"/>
        <v>0</v>
      </c>
    </row>
    <row r="1758" spans="1:4" x14ac:dyDescent="0.55000000000000004">
      <c r="A1758">
        <f t="shared" si="56"/>
        <v>2018</v>
      </c>
      <c r="B1758" s="821">
        <v>43124</v>
      </c>
      <c r="C1758">
        <v>2.93</v>
      </c>
      <c r="D1758">
        <f t="shared" si="57"/>
        <v>0</v>
      </c>
    </row>
    <row r="1759" spans="1:4" x14ac:dyDescent="0.55000000000000004">
      <c r="A1759">
        <f t="shared" si="56"/>
        <v>2018</v>
      </c>
      <c r="B1759" s="821">
        <v>43123</v>
      </c>
      <c r="C1759">
        <v>2.9</v>
      </c>
      <c r="D1759">
        <f t="shared" si="57"/>
        <v>0</v>
      </c>
    </row>
    <row r="1760" spans="1:4" x14ac:dyDescent="0.55000000000000004">
      <c r="A1760">
        <f t="shared" si="56"/>
        <v>2018</v>
      </c>
      <c r="B1760" s="821">
        <v>43122</v>
      </c>
      <c r="C1760">
        <v>2.93</v>
      </c>
      <c r="D1760">
        <f t="shared" si="57"/>
        <v>0</v>
      </c>
    </row>
    <row r="1761" spans="1:4" x14ac:dyDescent="0.55000000000000004">
      <c r="A1761">
        <f t="shared" si="56"/>
        <v>2018</v>
      </c>
      <c r="B1761" s="821">
        <v>43119</v>
      </c>
      <c r="C1761">
        <v>2.91</v>
      </c>
      <c r="D1761">
        <f t="shared" si="57"/>
        <v>0</v>
      </c>
    </row>
    <row r="1762" spans="1:4" x14ac:dyDescent="0.55000000000000004">
      <c r="A1762">
        <f t="shared" si="56"/>
        <v>2018</v>
      </c>
      <c r="B1762" s="821">
        <v>43118</v>
      </c>
      <c r="C1762">
        <v>2.9</v>
      </c>
      <c r="D1762">
        <f t="shared" si="57"/>
        <v>0</v>
      </c>
    </row>
    <row r="1763" spans="1:4" x14ac:dyDescent="0.55000000000000004">
      <c r="A1763">
        <f t="shared" si="56"/>
        <v>2018</v>
      </c>
      <c r="B1763" s="821">
        <v>43117</v>
      </c>
      <c r="C1763">
        <v>2.84</v>
      </c>
      <c r="D1763">
        <f t="shared" si="57"/>
        <v>0</v>
      </c>
    </row>
    <row r="1764" spans="1:4" x14ac:dyDescent="0.55000000000000004">
      <c r="A1764">
        <f t="shared" si="56"/>
        <v>2018</v>
      </c>
      <c r="B1764" s="821">
        <v>43116</v>
      </c>
      <c r="C1764">
        <v>2.83</v>
      </c>
      <c r="D1764">
        <f t="shared" si="57"/>
        <v>0</v>
      </c>
    </row>
    <row r="1765" spans="1:4" x14ac:dyDescent="0.55000000000000004">
      <c r="A1765">
        <f t="shared" si="56"/>
        <v>2018</v>
      </c>
      <c r="B1765" s="821">
        <v>43112</v>
      </c>
      <c r="C1765">
        <v>2.85</v>
      </c>
      <c r="D1765">
        <f t="shared" si="57"/>
        <v>0</v>
      </c>
    </row>
    <row r="1766" spans="1:4" x14ac:dyDescent="0.55000000000000004">
      <c r="A1766">
        <f t="shared" si="56"/>
        <v>2018</v>
      </c>
      <c r="B1766" s="821">
        <v>43111</v>
      </c>
      <c r="C1766">
        <v>2.91</v>
      </c>
      <c r="D1766">
        <f t="shared" si="57"/>
        <v>0</v>
      </c>
    </row>
    <row r="1767" spans="1:4" x14ac:dyDescent="0.55000000000000004">
      <c r="A1767">
        <f t="shared" si="56"/>
        <v>2018</v>
      </c>
      <c r="B1767" s="821">
        <v>43110</v>
      </c>
      <c r="C1767">
        <v>2.88</v>
      </c>
      <c r="D1767">
        <f t="shared" si="57"/>
        <v>0</v>
      </c>
    </row>
    <row r="1768" spans="1:4" x14ac:dyDescent="0.55000000000000004">
      <c r="A1768">
        <f t="shared" si="56"/>
        <v>2018</v>
      </c>
      <c r="B1768" s="821">
        <v>43109</v>
      </c>
      <c r="C1768">
        <v>2.88</v>
      </c>
      <c r="D1768">
        <f t="shared" si="57"/>
        <v>0</v>
      </c>
    </row>
    <row r="1769" spans="1:4" x14ac:dyDescent="0.55000000000000004">
      <c r="A1769">
        <f t="shared" si="56"/>
        <v>2018</v>
      </c>
      <c r="B1769" s="821">
        <v>43108</v>
      </c>
      <c r="C1769">
        <v>2.81</v>
      </c>
      <c r="D1769">
        <f t="shared" si="57"/>
        <v>0</v>
      </c>
    </row>
    <row r="1770" spans="1:4" x14ac:dyDescent="0.55000000000000004">
      <c r="A1770">
        <f t="shared" si="56"/>
        <v>2018</v>
      </c>
      <c r="B1770" s="821">
        <v>43105</v>
      </c>
      <c r="C1770">
        <v>2.81</v>
      </c>
      <c r="D1770">
        <f t="shared" si="57"/>
        <v>0</v>
      </c>
    </row>
    <row r="1771" spans="1:4" x14ac:dyDescent="0.55000000000000004">
      <c r="A1771">
        <f t="shared" si="56"/>
        <v>2018</v>
      </c>
      <c r="B1771" s="821">
        <v>43104</v>
      </c>
      <c r="C1771">
        <v>2.79</v>
      </c>
      <c r="D1771">
        <f t="shared" si="57"/>
        <v>0</v>
      </c>
    </row>
    <row r="1772" spans="1:4" x14ac:dyDescent="0.55000000000000004">
      <c r="A1772">
        <f t="shared" si="56"/>
        <v>2018</v>
      </c>
      <c r="B1772" s="821">
        <v>43103</v>
      </c>
      <c r="C1772">
        <v>2.78</v>
      </c>
      <c r="D1772">
        <f t="shared" si="57"/>
        <v>0</v>
      </c>
    </row>
    <row r="1773" spans="1:4" x14ac:dyDescent="0.55000000000000004">
      <c r="A1773">
        <f t="shared" si="56"/>
        <v>2018</v>
      </c>
      <c r="B1773" s="821">
        <v>43102</v>
      </c>
      <c r="C1773">
        <v>2.81</v>
      </c>
      <c r="D1773">
        <f t="shared" si="57"/>
        <v>0</v>
      </c>
    </row>
    <row r="1774" spans="1:4" x14ac:dyDescent="0.55000000000000004">
      <c r="A1774">
        <f t="shared" si="56"/>
        <v>2017</v>
      </c>
      <c r="B1774" s="821">
        <v>43098</v>
      </c>
      <c r="C1774">
        <v>2.74</v>
      </c>
      <c r="D1774">
        <f t="shared" si="57"/>
        <v>0</v>
      </c>
    </row>
    <row r="1775" spans="1:4" x14ac:dyDescent="0.55000000000000004">
      <c r="A1775">
        <f t="shared" si="56"/>
        <v>2017</v>
      </c>
      <c r="B1775" s="821">
        <v>43097</v>
      </c>
      <c r="C1775">
        <v>2.75</v>
      </c>
      <c r="D1775">
        <f t="shared" si="57"/>
        <v>0</v>
      </c>
    </row>
    <row r="1776" spans="1:4" x14ac:dyDescent="0.55000000000000004">
      <c r="A1776">
        <f t="shared" si="56"/>
        <v>2017</v>
      </c>
      <c r="B1776" s="821">
        <v>43096</v>
      </c>
      <c r="C1776">
        <v>2.75</v>
      </c>
      <c r="D1776">
        <f t="shared" si="57"/>
        <v>0</v>
      </c>
    </row>
    <row r="1777" spans="1:4" x14ac:dyDescent="0.55000000000000004">
      <c r="A1777">
        <f t="shared" si="56"/>
        <v>2017</v>
      </c>
      <c r="B1777" s="821">
        <v>43095</v>
      </c>
      <c r="C1777">
        <v>2.82</v>
      </c>
      <c r="D1777">
        <f t="shared" si="57"/>
        <v>0</v>
      </c>
    </row>
    <row r="1778" spans="1:4" x14ac:dyDescent="0.55000000000000004">
      <c r="A1778">
        <f t="shared" si="56"/>
        <v>2017</v>
      </c>
      <c r="B1778" s="821">
        <v>43091</v>
      </c>
      <c r="C1778">
        <v>2.83</v>
      </c>
      <c r="D1778">
        <f t="shared" si="57"/>
        <v>0</v>
      </c>
    </row>
    <row r="1779" spans="1:4" x14ac:dyDescent="0.55000000000000004">
      <c r="A1779">
        <f t="shared" si="56"/>
        <v>2017</v>
      </c>
      <c r="B1779" s="821">
        <v>43090</v>
      </c>
      <c r="C1779">
        <v>2.84</v>
      </c>
      <c r="D1779">
        <f t="shared" si="57"/>
        <v>0</v>
      </c>
    </row>
    <row r="1780" spans="1:4" x14ac:dyDescent="0.55000000000000004">
      <c r="A1780">
        <f t="shared" si="56"/>
        <v>2017</v>
      </c>
      <c r="B1780" s="821">
        <v>43089</v>
      </c>
      <c r="C1780">
        <v>2.88</v>
      </c>
      <c r="D1780">
        <f t="shared" si="57"/>
        <v>0</v>
      </c>
    </row>
    <row r="1781" spans="1:4" x14ac:dyDescent="0.55000000000000004">
      <c r="A1781">
        <f t="shared" si="56"/>
        <v>2017</v>
      </c>
      <c r="B1781" s="821">
        <v>43088</v>
      </c>
      <c r="C1781">
        <v>2.82</v>
      </c>
      <c r="D1781">
        <f t="shared" si="57"/>
        <v>0</v>
      </c>
    </row>
    <row r="1782" spans="1:4" x14ac:dyDescent="0.55000000000000004">
      <c r="A1782">
        <f t="shared" si="56"/>
        <v>2017</v>
      </c>
      <c r="B1782" s="821">
        <v>43087</v>
      </c>
      <c r="C1782">
        <v>2.74</v>
      </c>
      <c r="D1782">
        <f t="shared" si="57"/>
        <v>0</v>
      </c>
    </row>
    <row r="1783" spans="1:4" x14ac:dyDescent="0.55000000000000004">
      <c r="A1783">
        <f t="shared" si="56"/>
        <v>2017</v>
      </c>
      <c r="B1783" s="821">
        <v>43084</v>
      </c>
      <c r="C1783">
        <v>2.68</v>
      </c>
      <c r="D1783">
        <f t="shared" si="57"/>
        <v>0</v>
      </c>
    </row>
    <row r="1784" spans="1:4" x14ac:dyDescent="0.55000000000000004">
      <c r="A1784">
        <f t="shared" si="56"/>
        <v>2017</v>
      </c>
      <c r="B1784" s="821">
        <v>43083</v>
      </c>
      <c r="C1784">
        <v>2.71</v>
      </c>
      <c r="D1784">
        <f t="shared" si="57"/>
        <v>0</v>
      </c>
    </row>
    <row r="1785" spans="1:4" x14ac:dyDescent="0.55000000000000004">
      <c r="A1785">
        <f t="shared" si="56"/>
        <v>2017</v>
      </c>
      <c r="B1785" s="821">
        <v>43082</v>
      </c>
      <c r="C1785">
        <v>2.74</v>
      </c>
      <c r="D1785">
        <f t="shared" si="57"/>
        <v>0</v>
      </c>
    </row>
    <row r="1786" spans="1:4" x14ac:dyDescent="0.55000000000000004">
      <c r="A1786">
        <f t="shared" si="56"/>
        <v>2017</v>
      </c>
      <c r="B1786" s="821">
        <v>43081</v>
      </c>
      <c r="C1786">
        <v>2.79</v>
      </c>
      <c r="D1786">
        <f t="shared" si="57"/>
        <v>0</v>
      </c>
    </row>
    <row r="1787" spans="1:4" x14ac:dyDescent="0.55000000000000004">
      <c r="A1787">
        <f t="shared" si="56"/>
        <v>2017</v>
      </c>
      <c r="B1787" s="821">
        <v>43080</v>
      </c>
      <c r="C1787">
        <v>2.77</v>
      </c>
      <c r="D1787">
        <f t="shared" si="57"/>
        <v>0</v>
      </c>
    </row>
    <row r="1788" spans="1:4" x14ac:dyDescent="0.55000000000000004">
      <c r="A1788">
        <f t="shared" si="56"/>
        <v>2017</v>
      </c>
      <c r="B1788" s="821">
        <v>43077</v>
      </c>
      <c r="C1788">
        <v>2.77</v>
      </c>
      <c r="D1788">
        <f t="shared" si="57"/>
        <v>0</v>
      </c>
    </row>
    <row r="1789" spans="1:4" x14ac:dyDescent="0.55000000000000004">
      <c r="A1789">
        <f t="shared" si="56"/>
        <v>2017</v>
      </c>
      <c r="B1789" s="821">
        <v>43076</v>
      </c>
      <c r="C1789">
        <v>2.76</v>
      </c>
      <c r="D1789">
        <f t="shared" si="57"/>
        <v>0</v>
      </c>
    </row>
    <row r="1790" spans="1:4" x14ac:dyDescent="0.55000000000000004">
      <c r="A1790">
        <f t="shared" si="56"/>
        <v>2017</v>
      </c>
      <c r="B1790" s="821">
        <v>43075</v>
      </c>
      <c r="C1790">
        <v>2.71</v>
      </c>
      <c r="D1790">
        <f t="shared" si="57"/>
        <v>0</v>
      </c>
    </row>
    <row r="1791" spans="1:4" x14ac:dyDescent="0.55000000000000004">
      <c r="A1791">
        <f t="shared" si="56"/>
        <v>2017</v>
      </c>
      <c r="B1791" s="821">
        <v>43074</v>
      </c>
      <c r="C1791">
        <v>2.73</v>
      </c>
      <c r="D1791">
        <f t="shared" si="57"/>
        <v>0</v>
      </c>
    </row>
    <row r="1792" spans="1:4" x14ac:dyDescent="0.55000000000000004">
      <c r="A1792">
        <f t="shared" si="56"/>
        <v>2017</v>
      </c>
      <c r="B1792" s="821">
        <v>43073</v>
      </c>
      <c r="C1792">
        <v>2.77</v>
      </c>
      <c r="D1792">
        <f t="shared" si="57"/>
        <v>0</v>
      </c>
    </row>
    <row r="1793" spans="1:4" x14ac:dyDescent="0.55000000000000004">
      <c r="A1793">
        <f t="shared" si="56"/>
        <v>2017</v>
      </c>
      <c r="B1793" s="821">
        <v>43070</v>
      </c>
      <c r="C1793">
        <v>2.76</v>
      </c>
      <c r="D1793">
        <f t="shared" si="57"/>
        <v>0</v>
      </c>
    </row>
    <row r="1794" spans="1:4" x14ac:dyDescent="0.55000000000000004">
      <c r="A1794">
        <f t="shared" si="56"/>
        <v>2017</v>
      </c>
      <c r="B1794" s="821">
        <v>43069</v>
      </c>
      <c r="C1794">
        <v>2.83</v>
      </c>
      <c r="D1794">
        <f t="shared" si="57"/>
        <v>0</v>
      </c>
    </row>
    <row r="1795" spans="1:4" x14ac:dyDescent="0.55000000000000004">
      <c r="A1795">
        <f t="shared" si="56"/>
        <v>2017</v>
      </c>
      <c r="B1795" s="821">
        <v>43068</v>
      </c>
      <c r="C1795">
        <v>2.81</v>
      </c>
      <c r="D1795">
        <f t="shared" si="57"/>
        <v>0</v>
      </c>
    </row>
    <row r="1796" spans="1:4" x14ac:dyDescent="0.55000000000000004">
      <c r="A1796">
        <f t="shared" ref="A1796:A1859" si="58">YEAR(B1796)</f>
        <v>2017</v>
      </c>
      <c r="B1796" s="821">
        <v>43067</v>
      </c>
      <c r="C1796">
        <v>2.77</v>
      </c>
      <c r="D1796">
        <f t="shared" ref="D1796:D1859" si="59">IF(C1796&gt;4,1,0)</f>
        <v>0</v>
      </c>
    </row>
    <row r="1797" spans="1:4" x14ac:dyDescent="0.55000000000000004">
      <c r="A1797">
        <f t="shared" si="58"/>
        <v>2017</v>
      </c>
      <c r="B1797" s="821">
        <v>43066</v>
      </c>
      <c r="C1797">
        <v>2.76</v>
      </c>
      <c r="D1797">
        <f t="shared" si="59"/>
        <v>0</v>
      </c>
    </row>
    <row r="1798" spans="1:4" x14ac:dyDescent="0.55000000000000004">
      <c r="A1798">
        <f t="shared" si="58"/>
        <v>2017</v>
      </c>
      <c r="B1798" s="821">
        <v>43063</v>
      </c>
      <c r="C1798">
        <v>2.76</v>
      </c>
      <c r="D1798">
        <f t="shared" si="59"/>
        <v>0</v>
      </c>
    </row>
    <row r="1799" spans="1:4" x14ac:dyDescent="0.55000000000000004">
      <c r="A1799">
        <f t="shared" si="58"/>
        <v>2017</v>
      </c>
      <c r="B1799" s="821">
        <v>43061</v>
      </c>
      <c r="C1799">
        <v>2.75</v>
      </c>
      <c r="D1799">
        <f t="shared" si="59"/>
        <v>0</v>
      </c>
    </row>
    <row r="1800" spans="1:4" x14ac:dyDescent="0.55000000000000004">
      <c r="A1800">
        <f t="shared" si="58"/>
        <v>2017</v>
      </c>
      <c r="B1800" s="821">
        <v>43060</v>
      </c>
      <c r="C1800">
        <v>2.76</v>
      </c>
      <c r="D1800">
        <f t="shared" si="59"/>
        <v>0</v>
      </c>
    </row>
    <row r="1801" spans="1:4" x14ac:dyDescent="0.55000000000000004">
      <c r="A1801">
        <f t="shared" si="58"/>
        <v>2017</v>
      </c>
      <c r="B1801" s="821">
        <v>43059</v>
      </c>
      <c r="C1801">
        <v>2.78</v>
      </c>
      <c r="D1801">
        <f t="shared" si="59"/>
        <v>0</v>
      </c>
    </row>
    <row r="1802" spans="1:4" x14ac:dyDescent="0.55000000000000004">
      <c r="A1802">
        <f t="shared" si="58"/>
        <v>2017</v>
      </c>
      <c r="B1802" s="821">
        <v>43056</v>
      </c>
      <c r="C1802">
        <v>2.78</v>
      </c>
      <c r="D1802">
        <f t="shared" si="59"/>
        <v>0</v>
      </c>
    </row>
    <row r="1803" spans="1:4" x14ac:dyDescent="0.55000000000000004">
      <c r="A1803">
        <f t="shared" si="58"/>
        <v>2017</v>
      </c>
      <c r="B1803" s="821">
        <v>43055</v>
      </c>
      <c r="C1803">
        <v>2.81</v>
      </c>
      <c r="D1803">
        <f t="shared" si="59"/>
        <v>0</v>
      </c>
    </row>
    <row r="1804" spans="1:4" x14ac:dyDescent="0.55000000000000004">
      <c r="A1804">
        <f t="shared" si="58"/>
        <v>2017</v>
      </c>
      <c r="B1804" s="821">
        <v>43054</v>
      </c>
      <c r="C1804">
        <v>2.77</v>
      </c>
      <c r="D1804">
        <f t="shared" si="59"/>
        <v>0</v>
      </c>
    </row>
    <row r="1805" spans="1:4" x14ac:dyDescent="0.55000000000000004">
      <c r="A1805">
        <f t="shared" si="58"/>
        <v>2017</v>
      </c>
      <c r="B1805" s="821">
        <v>43053</v>
      </c>
      <c r="C1805">
        <v>2.84</v>
      </c>
      <c r="D1805">
        <f t="shared" si="59"/>
        <v>0</v>
      </c>
    </row>
    <row r="1806" spans="1:4" x14ac:dyDescent="0.55000000000000004">
      <c r="A1806">
        <f t="shared" si="58"/>
        <v>2017</v>
      </c>
      <c r="B1806" s="821">
        <v>43052</v>
      </c>
      <c r="C1806">
        <v>2.87</v>
      </c>
      <c r="D1806">
        <f t="shared" si="59"/>
        <v>0</v>
      </c>
    </row>
    <row r="1807" spans="1:4" x14ac:dyDescent="0.55000000000000004">
      <c r="A1807">
        <f t="shared" si="58"/>
        <v>2017</v>
      </c>
      <c r="B1807" s="821">
        <v>43049</v>
      </c>
      <c r="C1807">
        <v>2.88</v>
      </c>
      <c r="D1807">
        <f t="shared" si="59"/>
        <v>0</v>
      </c>
    </row>
    <row r="1808" spans="1:4" x14ac:dyDescent="0.55000000000000004">
      <c r="A1808">
        <f t="shared" si="58"/>
        <v>2017</v>
      </c>
      <c r="B1808" s="821">
        <v>43048</v>
      </c>
      <c r="C1808">
        <v>2.81</v>
      </c>
      <c r="D1808">
        <f t="shared" si="59"/>
        <v>0</v>
      </c>
    </row>
    <row r="1809" spans="1:4" x14ac:dyDescent="0.55000000000000004">
      <c r="A1809">
        <f t="shared" si="58"/>
        <v>2017</v>
      </c>
      <c r="B1809" s="821">
        <v>43047</v>
      </c>
      <c r="C1809">
        <v>2.79</v>
      </c>
      <c r="D1809">
        <f t="shared" si="59"/>
        <v>0</v>
      </c>
    </row>
    <row r="1810" spans="1:4" x14ac:dyDescent="0.55000000000000004">
      <c r="A1810">
        <f t="shared" si="58"/>
        <v>2017</v>
      </c>
      <c r="B1810" s="821">
        <v>43046</v>
      </c>
      <c r="C1810">
        <v>2.77</v>
      </c>
      <c r="D1810">
        <f t="shared" si="59"/>
        <v>0</v>
      </c>
    </row>
    <row r="1811" spans="1:4" x14ac:dyDescent="0.55000000000000004">
      <c r="A1811">
        <f t="shared" si="58"/>
        <v>2017</v>
      </c>
      <c r="B1811" s="821">
        <v>43045</v>
      </c>
      <c r="C1811">
        <v>2.8</v>
      </c>
      <c r="D1811">
        <f t="shared" si="59"/>
        <v>0</v>
      </c>
    </row>
    <row r="1812" spans="1:4" x14ac:dyDescent="0.55000000000000004">
      <c r="A1812">
        <f t="shared" si="58"/>
        <v>2017</v>
      </c>
      <c r="B1812" s="821">
        <v>43042</v>
      </c>
      <c r="C1812">
        <v>2.82</v>
      </c>
      <c r="D1812">
        <f t="shared" si="59"/>
        <v>0</v>
      </c>
    </row>
    <row r="1813" spans="1:4" x14ac:dyDescent="0.55000000000000004">
      <c r="A1813">
        <f t="shared" si="58"/>
        <v>2017</v>
      </c>
      <c r="B1813" s="821">
        <v>43041</v>
      </c>
      <c r="C1813">
        <v>2.83</v>
      </c>
      <c r="D1813">
        <f t="shared" si="59"/>
        <v>0</v>
      </c>
    </row>
    <row r="1814" spans="1:4" x14ac:dyDescent="0.55000000000000004">
      <c r="A1814">
        <f t="shared" si="58"/>
        <v>2017</v>
      </c>
      <c r="B1814" s="821">
        <v>43040</v>
      </c>
      <c r="C1814">
        <v>2.85</v>
      </c>
      <c r="D1814">
        <f t="shared" si="59"/>
        <v>0</v>
      </c>
    </row>
    <row r="1815" spans="1:4" x14ac:dyDescent="0.55000000000000004">
      <c r="A1815">
        <f t="shared" si="58"/>
        <v>2017</v>
      </c>
      <c r="B1815" s="821">
        <v>43039</v>
      </c>
      <c r="C1815">
        <v>2.88</v>
      </c>
      <c r="D1815">
        <f t="shared" si="59"/>
        <v>0</v>
      </c>
    </row>
    <row r="1816" spans="1:4" x14ac:dyDescent="0.55000000000000004">
      <c r="A1816">
        <f t="shared" si="58"/>
        <v>2017</v>
      </c>
      <c r="B1816" s="821">
        <v>43038</v>
      </c>
      <c r="C1816">
        <v>2.88</v>
      </c>
      <c r="D1816">
        <f t="shared" si="59"/>
        <v>0</v>
      </c>
    </row>
    <row r="1817" spans="1:4" x14ac:dyDescent="0.55000000000000004">
      <c r="A1817">
        <f t="shared" si="58"/>
        <v>2017</v>
      </c>
      <c r="B1817" s="821">
        <v>43035</v>
      </c>
      <c r="C1817">
        <v>2.93</v>
      </c>
      <c r="D1817">
        <f t="shared" si="59"/>
        <v>0</v>
      </c>
    </row>
    <row r="1818" spans="1:4" x14ac:dyDescent="0.55000000000000004">
      <c r="A1818">
        <f t="shared" si="58"/>
        <v>2017</v>
      </c>
      <c r="B1818" s="821">
        <v>43034</v>
      </c>
      <c r="C1818">
        <v>2.96</v>
      </c>
      <c r="D1818">
        <f t="shared" si="59"/>
        <v>0</v>
      </c>
    </row>
    <row r="1819" spans="1:4" x14ac:dyDescent="0.55000000000000004">
      <c r="A1819">
        <f t="shared" si="58"/>
        <v>2017</v>
      </c>
      <c r="B1819" s="821">
        <v>43033</v>
      </c>
      <c r="C1819">
        <v>2.95</v>
      </c>
      <c r="D1819">
        <f t="shared" si="59"/>
        <v>0</v>
      </c>
    </row>
    <row r="1820" spans="1:4" x14ac:dyDescent="0.55000000000000004">
      <c r="A1820">
        <f t="shared" si="58"/>
        <v>2017</v>
      </c>
      <c r="B1820" s="821">
        <v>43032</v>
      </c>
      <c r="C1820">
        <v>2.92</v>
      </c>
      <c r="D1820">
        <f t="shared" si="59"/>
        <v>0</v>
      </c>
    </row>
    <row r="1821" spans="1:4" x14ac:dyDescent="0.55000000000000004">
      <c r="A1821">
        <f t="shared" si="58"/>
        <v>2017</v>
      </c>
      <c r="B1821" s="821">
        <v>43031</v>
      </c>
      <c r="C1821">
        <v>2.89</v>
      </c>
      <c r="D1821">
        <f t="shared" si="59"/>
        <v>0</v>
      </c>
    </row>
    <row r="1822" spans="1:4" x14ac:dyDescent="0.55000000000000004">
      <c r="A1822">
        <f t="shared" si="58"/>
        <v>2017</v>
      </c>
      <c r="B1822" s="821">
        <v>43028</v>
      </c>
      <c r="C1822">
        <v>2.89</v>
      </c>
      <c r="D1822">
        <f t="shared" si="59"/>
        <v>0</v>
      </c>
    </row>
    <row r="1823" spans="1:4" x14ac:dyDescent="0.55000000000000004">
      <c r="A1823">
        <f t="shared" si="58"/>
        <v>2017</v>
      </c>
      <c r="B1823" s="821">
        <v>43027</v>
      </c>
      <c r="C1823">
        <v>2.83</v>
      </c>
      <c r="D1823">
        <f t="shared" si="59"/>
        <v>0</v>
      </c>
    </row>
    <row r="1824" spans="1:4" x14ac:dyDescent="0.55000000000000004">
      <c r="A1824">
        <f t="shared" si="58"/>
        <v>2017</v>
      </c>
      <c r="B1824" s="821">
        <v>43026</v>
      </c>
      <c r="C1824">
        <v>2.85</v>
      </c>
      <c r="D1824">
        <f t="shared" si="59"/>
        <v>0</v>
      </c>
    </row>
    <row r="1825" spans="1:4" x14ac:dyDescent="0.55000000000000004">
      <c r="A1825">
        <f t="shared" si="58"/>
        <v>2017</v>
      </c>
      <c r="B1825" s="821">
        <v>43025</v>
      </c>
      <c r="C1825">
        <v>2.8</v>
      </c>
      <c r="D1825">
        <f t="shared" si="59"/>
        <v>0</v>
      </c>
    </row>
    <row r="1826" spans="1:4" x14ac:dyDescent="0.55000000000000004">
      <c r="A1826">
        <f t="shared" si="58"/>
        <v>2017</v>
      </c>
      <c r="B1826" s="821">
        <v>43024</v>
      </c>
      <c r="C1826">
        <v>2.82</v>
      </c>
      <c r="D1826">
        <f t="shared" si="59"/>
        <v>0</v>
      </c>
    </row>
    <row r="1827" spans="1:4" x14ac:dyDescent="0.55000000000000004">
      <c r="A1827">
        <f t="shared" si="58"/>
        <v>2017</v>
      </c>
      <c r="B1827" s="821">
        <v>43021</v>
      </c>
      <c r="C1827">
        <v>2.81</v>
      </c>
      <c r="D1827">
        <f t="shared" si="59"/>
        <v>0</v>
      </c>
    </row>
    <row r="1828" spans="1:4" x14ac:dyDescent="0.55000000000000004">
      <c r="A1828">
        <f t="shared" si="58"/>
        <v>2017</v>
      </c>
      <c r="B1828" s="821">
        <v>43020</v>
      </c>
      <c r="C1828">
        <v>2.86</v>
      </c>
      <c r="D1828">
        <f t="shared" si="59"/>
        <v>0</v>
      </c>
    </row>
    <row r="1829" spans="1:4" x14ac:dyDescent="0.55000000000000004">
      <c r="A1829">
        <f t="shared" si="58"/>
        <v>2017</v>
      </c>
      <c r="B1829" s="821">
        <v>43019</v>
      </c>
      <c r="C1829">
        <v>2.88</v>
      </c>
      <c r="D1829">
        <f t="shared" si="59"/>
        <v>0</v>
      </c>
    </row>
    <row r="1830" spans="1:4" x14ac:dyDescent="0.55000000000000004">
      <c r="A1830">
        <f t="shared" si="58"/>
        <v>2017</v>
      </c>
      <c r="B1830" s="821">
        <v>43018</v>
      </c>
      <c r="C1830">
        <v>2.88</v>
      </c>
      <c r="D1830">
        <f t="shared" si="59"/>
        <v>0</v>
      </c>
    </row>
    <row r="1831" spans="1:4" x14ac:dyDescent="0.55000000000000004">
      <c r="A1831">
        <f t="shared" si="58"/>
        <v>2017</v>
      </c>
      <c r="B1831" s="821">
        <v>43014</v>
      </c>
      <c r="C1831">
        <v>2.91</v>
      </c>
      <c r="D1831">
        <f t="shared" si="59"/>
        <v>0</v>
      </c>
    </row>
    <row r="1832" spans="1:4" x14ac:dyDescent="0.55000000000000004">
      <c r="A1832">
        <f t="shared" si="58"/>
        <v>2017</v>
      </c>
      <c r="B1832" s="821">
        <v>43013</v>
      </c>
      <c r="C1832">
        <v>2.89</v>
      </c>
      <c r="D1832">
        <f t="shared" si="59"/>
        <v>0</v>
      </c>
    </row>
    <row r="1833" spans="1:4" x14ac:dyDescent="0.55000000000000004">
      <c r="A1833">
        <f t="shared" si="58"/>
        <v>2017</v>
      </c>
      <c r="B1833" s="821">
        <v>43012</v>
      </c>
      <c r="C1833">
        <v>2.87</v>
      </c>
      <c r="D1833">
        <f t="shared" si="59"/>
        <v>0</v>
      </c>
    </row>
    <row r="1834" spans="1:4" x14ac:dyDescent="0.55000000000000004">
      <c r="A1834">
        <f t="shared" si="58"/>
        <v>2017</v>
      </c>
      <c r="B1834" s="821">
        <v>43011</v>
      </c>
      <c r="C1834">
        <v>2.87</v>
      </c>
      <c r="D1834">
        <f t="shared" si="59"/>
        <v>0</v>
      </c>
    </row>
    <row r="1835" spans="1:4" x14ac:dyDescent="0.55000000000000004">
      <c r="A1835">
        <f t="shared" si="58"/>
        <v>2017</v>
      </c>
      <c r="B1835" s="821">
        <v>43010</v>
      </c>
      <c r="C1835">
        <v>2.87</v>
      </c>
      <c r="D1835">
        <f t="shared" si="59"/>
        <v>0</v>
      </c>
    </row>
    <row r="1836" spans="1:4" x14ac:dyDescent="0.55000000000000004">
      <c r="A1836">
        <f t="shared" si="58"/>
        <v>2017</v>
      </c>
      <c r="B1836" s="821">
        <v>43007</v>
      </c>
      <c r="C1836">
        <v>2.86</v>
      </c>
      <c r="D1836">
        <f t="shared" si="59"/>
        <v>0</v>
      </c>
    </row>
    <row r="1837" spans="1:4" x14ac:dyDescent="0.55000000000000004">
      <c r="A1837">
        <f t="shared" si="58"/>
        <v>2017</v>
      </c>
      <c r="B1837" s="821">
        <v>43006</v>
      </c>
      <c r="C1837">
        <v>2.87</v>
      </c>
      <c r="D1837">
        <f t="shared" si="59"/>
        <v>0</v>
      </c>
    </row>
    <row r="1838" spans="1:4" x14ac:dyDescent="0.55000000000000004">
      <c r="A1838">
        <f t="shared" si="58"/>
        <v>2017</v>
      </c>
      <c r="B1838" s="821">
        <v>43005</v>
      </c>
      <c r="C1838">
        <v>2.86</v>
      </c>
      <c r="D1838">
        <f t="shared" si="59"/>
        <v>0</v>
      </c>
    </row>
    <row r="1839" spans="1:4" x14ac:dyDescent="0.55000000000000004">
      <c r="A1839">
        <f t="shared" si="58"/>
        <v>2017</v>
      </c>
      <c r="B1839" s="821">
        <v>43004</v>
      </c>
      <c r="C1839">
        <v>2.78</v>
      </c>
      <c r="D1839">
        <f t="shared" si="59"/>
        <v>0</v>
      </c>
    </row>
    <row r="1840" spans="1:4" x14ac:dyDescent="0.55000000000000004">
      <c r="A1840">
        <f t="shared" si="58"/>
        <v>2017</v>
      </c>
      <c r="B1840" s="821">
        <v>43003</v>
      </c>
      <c r="C1840">
        <v>2.76</v>
      </c>
      <c r="D1840">
        <f t="shared" si="59"/>
        <v>0</v>
      </c>
    </row>
    <row r="1841" spans="1:4" x14ac:dyDescent="0.55000000000000004">
      <c r="A1841">
        <f t="shared" si="58"/>
        <v>2017</v>
      </c>
      <c r="B1841" s="821">
        <v>43000</v>
      </c>
      <c r="C1841">
        <v>2.8</v>
      </c>
      <c r="D1841">
        <f t="shared" si="59"/>
        <v>0</v>
      </c>
    </row>
    <row r="1842" spans="1:4" x14ac:dyDescent="0.55000000000000004">
      <c r="A1842">
        <f t="shared" si="58"/>
        <v>2017</v>
      </c>
      <c r="B1842" s="821">
        <v>42999</v>
      </c>
      <c r="C1842">
        <v>2.8</v>
      </c>
      <c r="D1842">
        <f t="shared" si="59"/>
        <v>0</v>
      </c>
    </row>
    <row r="1843" spans="1:4" x14ac:dyDescent="0.55000000000000004">
      <c r="A1843">
        <f t="shared" si="58"/>
        <v>2017</v>
      </c>
      <c r="B1843" s="821">
        <v>42998</v>
      </c>
      <c r="C1843">
        <v>2.82</v>
      </c>
      <c r="D1843">
        <f t="shared" si="59"/>
        <v>0</v>
      </c>
    </row>
    <row r="1844" spans="1:4" x14ac:dyDescent="0.55000000000000004">
      <c r="A1844">
        <f t="shared" si="58"/>
        <v>2017</v>
      </c>
      <c r="B1844" s="821">
        <v>42997</v>
      </c>
      <c r="C1844">
        <v>2.81</v>
      </c>
      <c r="D1844">
        <f t="shared" si="59"/>
        <v>0</v>
      </c>
    </row>
    <row r="1845" spans="1:4" x14ac:dyDescent="0.55000000000000004">
      <c r="A1845">
        <f t="shared" si="58"/>
        <v>2017</v>
      </c>
      <c r="B1845" s="821">
        <v>42996</v>
      </c>
      <c r="C1845">
        <v>2.8</v>
      </c>
      <c r="D1845">
        <f t="shared" si="59"/>
        <v>0</v>
      </c>
    </row>
    <row r="1846" spans="1:4" x14ac:dyDescent="0.55000000000000004">
      <c r="A1846">
        <f t="shared" si="58"/>
        <v>2017</v>
      </c>
      <c r="B1846" s="821">
        <v>42993</v>
      </c>
      <c r="C1846">
        <v>2.77</v>
      </c>
      <c r="D1846">
        <f t="shared" si="59"/>
        <v>0</v>
      </c>
    </row>
    <row r="1847" spans="1:4" x14ac:dyDescent="0.55000000000000004">
      <c r="A1847">
        <f t="shared" si="58"/>
        <v>2017</v>
      </c>
      <c r="B1847" s="821">
        <v>42992</v>
      </c>
      <c r="C1847">
        <v>2.77</v>
      </c>
      <c r="D1847">
        <f t="shared" si="59"/>
        <v>0</v>
      </c>
    </row>
    <row r="1848" spans="1:4" x14ac:dyDescent="0.55000000000000004">
      <c r="A1848">
        <f t="shared" si="58"/>
        <v>2017</v>
      </c>
      <c r="B1848" s="821">
        <v>42991</v>
      </c>
      <c r="C1848">
        <v>2.79</v>
      </c>
      <c r="D1848">
        <f t="shared" si="59"/>
        <v>0</v>
      </c>
    </row>
    <row r="1849" spans="1:4" x14ac:dyDescent="0.55000000000000004">
      <c r="A1849">
        <f t="shared" si="58"/>
        <v>2017</v>
      </c>
      <c r="B1849" s="821">
        <v>42990</v>
      </c>
      <c r="C1849">
        <v>2.78</v>
      </c>
      <c r="D1849">
        <f t="shared" si="59"/>
        <v>0</v>
      </c>
    </row>
    <row r="1850" spans="1:4" x14ac:dyDescent="0.55000000000000004">
      <c r="A1850">
        <f t="shared" si="58"/>
        <v>2017</v>
      </c>
      <c r="B1850" s="821">
        <v>42989</v>
      </c>
      <c r="C1850">
        <v>2.75</v>
      </c>
      <c r="D1850">
        <f t="shared" si="59"/>
        <v>0</v>
      </c>
    </row>
    <row r="1851" spans="1:4" x14ac:dyDescent="0.55000000000000004">
      <c r="A1851">
        <f t="shared" si="58"/>
        <v>2017</v>
      </c>
      <c r="B1851" s="821">
        <v>42986</v>
      </c>
      <c r="C1851">
        <v>2.67</v>
      </c>
      <c r="D1851">
        <f t="shared" si="59"/>
        <v>0</v>
      </c>
    </row>
    <row r="1852" spans="1:4" x14ac:dyDescent="0.55000000000000004">
      <c r="A1852">
        <f t="shared" si="58"/>
        <v>2017</v>
      </c>
      <c r="B1852" s="821">
        <v>42985</v>
      </c>
      <c r="C1852">
        <v>2.66</v>
      </c>
      <c r="D1852">
        <f t="shared" si="59"/>
        <v>0</v>
      </c>
    </row>
    <row r="1853" spans="1:4" x14ac:dyDescent="0.55000000000000004">
      <c r="A1853">
        <f t="shared" si="58"/>
        <v>2017</v>
      </c>
      <c r="B1853" s="821">
        <v>42984</v>
      </c>
      <c r="C1853">
        <v>2.72</v>
      </c>
      <c r="D1853">
        <f t="shared" si="59"/>
        <v>0</v>
      </c>
    </row>
    <row r="1854" spans="1:4" x14ac:dyDescent="0.55000000000000004">
      <c r="A1854">
        <f t="shared" si="58"/>
        <v>2017</v>
      </c>
      <c r="B1854" s="821">
        <v>42983</v>
      </c>
      <c r="C1854">
        <v>2.69</v>
      </c>
      <c r="D1854">
        <f t="shared" si="59"/>
        <v>0</v>
      </c>
    </row>
    <row r="1855" spans="1:4" x14ac:dyDescent="0.55000000000000004">
      <c r="A1855">
        <f t="shared" si="58"/>
        <v>2017</v>
      </c>
      <c r="B1855" s="821">
        <v>42979</v>
      </c>
      <c r="C1855">
        <v>2.77</v>
      </c>
      <c r="D1855">
        <f t="shared" si="59"/>
        <v>0</v>
      </c>
    </row>
    <row r="1856" spans="1:4" x14ac:dyDescent="0.55000000000000004">
      <c r="A1856">
        <f t="shared" si="58"/>
        <v>2017</v>
      </c>
      <c r="B1856" s="821">
        <v>42978</v>
      </c>
      <c r="C1856">
        <v>2.73</v>
      </c>
      <c r="D1856">
        <f t="shared" si="59"/>
        <v>0</v>
      </c>
    </row>
    <row r="1857" spans="1:4" x14ac:dyDescent="0.55000000000000004">
      <c r="A1857">
        <f t="shared" si="58"/>
        <v>2017</v>
      </c>
      <c r="B1857" s="821">
        <v>42977</v>
      </c>
      <c r="C1857">
        <v>2.75</v>
      </c>
      <c r="D1857">
        <f t="shared" si="59"/>
        <v>0</v>
      </c>
    </row>
    <row r="1858" spans="1:4" x14ac:dyDescent="0.55000000000000004">
      <c r="A1858">
        <f t="shared" si="58"/>
        <v>2017</v>
      </c>
      <c r="B1858" s="821">
        <v>42976</v>
      </c>
      <c r="C1858">
        <v>2.74</v>
      </c>
      <c r="D1858">
        <f t="shared" si="59"/>
        <v>0</v>
      </c>
    </row>
    <row r="1859" spans="1:4" x14ac:dyDescent="0.55000000000000004">
      <c r="A1859">
        <f t="shared" si="58"/>
        <v>2017</v>
      </c>
      <c r="B1859" s="821">
        <v>42975</v>
      </c>
      <c r="C1859">
        <v>2.76</v>
      </c>
      <c r="D1859">
        <f t="shared" si="59"/>
        <v>0</v>
      </c>
    </row>
    <row r="1860" spans="1:4" x14ac:dyDescent="0.55000000000000004">
      <c r="A1860">
        <f t="shared" ref="A1860:A1923" si="60">YEAR(B1860)</f>
        <v>2017</v>
      </c>
      <c r="B1860" s="821">
        <v>42972</v>
      </c>
      <c r="C1860">
        <v>2.75</v>
      </c>
      <c r="D1860">
        <f t="shared" ref="D1860:D1923" si="61">IF(C1860&gt;4,1,0)</f>
        <v>0</v>
      </c>
    </row>
    <row r="1861" spans="1:4" x14ac:dyDescent="0.55000000000000004">
      <c r="A1861">
        <f t="shared" si="60"/>
        <v>2017</v>
      </c>
      <c r="B1861" s="821">
        <v>42971</v>
      </c>
      <c r="C1861">
        <v>2.77</v>
      </c>
      <c r="D1861">
        <f t="shared" si="61"/>
        <v>0</v>
      </c>
    </row>
    <row r="1862" spans="1:4" x14ac:dyDescent="0.55000000000000004">
      <c r="A1862">
        <f t="shared" si="60"/>
        <v>2017</v>
      </c>
      <c r="B1862" s="821">
        <v>42970</v>
      </c>
      <c r="C1862">
        <v>2.75</v>
      </c>
      <c r="D1862">
        <f t="shared" si="61"/>
        <v>0</v>
      </c>
    </row>
    <row r="1863" spans="1:4" x14ac:dyDescent="0.55000000000000004">
      <c r="A1863">
        <f t="shared" si="60"/>
        <v>2017</v>
      </c>
      <c r="B1863" s="821">
        <v>42969</v>
      </c>
      <c r="C1863">
        <v>2.79</v>
      </c>
      <c r="D1863">
        <f t="shared" si="61"/>
        <v>0</v>
      </c>
    </row>
    <row r="1864" spans="1:4" x14ac:dyDescent="0.55000000000000004">
      <c r="A1864">
        <f t="shared" si="60"/>
        <v>2017</v>
      </c>
      <c r="B1864" s="821">
        <v>42968</v>
      </c>
      <c r="C1864">
        <v>2.77</v>
      </c>
      <c r="D1864">
        <f t="shared" si="61"/>
        <v>0</v>
      </c>
    </row>
    <row r="1865" spans="1:4" x14ac:dyDescent="0.55000000000000004">
      <c r="A1865">
        <f t="shared" si="60"/>
        <v>2017</v>
      </c>
      <c r="B1865" s="821">
        <v>42965</v>
      </c>
      <c r="C1865">
        <v>2.78</v>
      </c>
      <c r="D1865">
        <f t="shared" si="61"/>
        <v>0</v>
      </c>
    </row>
    <row r="1866" spans="1:4" x14ac:dyDescent="0.55000000000000004">
      <c r="A1866">
        <f t="shared" si="60"/>
        <v>2017</v>
      </c>
      <c r="B1866" s="821">
        <v>42964</v>
      </c>
      <c r="C1866">
        <v>2.78</v>
      </c>
      <c r="D1866">
        <f t="shared" si="61"/>
        <v>0</v>
      </c>
    </row>
    <row r="1867" spans="1:4" x14ac:dyDescent="0.55000000000000004">
      <c r="A1867">
        <f t="shared" si="60"/>
        <v>2017</v>
      </c>
      <c r="B1867" s="821">
        <v>42963</v>
      </c>
      <c r="C1867">
        <v>2.81</v>
      </c>
      <c r="D1867">
        <f t="shared" si="61"/>
        <v>0</v>
      </c>
    </row>
    <row r="1868" spans="1:4" x14ac:dyDescent="0.55000000000000004">
      <c r="A1868">
        <f t="shared" si="60"/>
        <v>2017</v>
      </c>
      <c r="B1868" s="821">
        <v>42962</v>
      </c>
      <c r="C1868">
        <v>2.84</v>
      </c>
      <c r="D1868">
        <f t="shared" si="61"/>
        <v>0</v>
      </c>
    </row>
    <row r="1869" spans="1:4" x14ac:dyDescent="0.55000000000000004">
      <c r="A1869">
        <f t="shared" si="60"/>
        <v>2017</v>
      </c>
      <c r="B1869" s="821">
        <v>42961</v>
      </c>
      <c r="C1869">
        <v>2.81</v>
      </c>
      <c r="D1869">
        <f t="shared" si="61"/>
        <v>0</v>
      </c>
    </row>
    <row r="1870" spans="1:4" x14ac:dyDescent="0.55000000000000004">
      <c r="A1870">
        <f t="shared" si="60"/>
        <v>2017</v>
      </c>
      <c r="B1870" s="821">
        <v>42958</v>
      </c>
      <c r="C1870">
        <v>2.79</v>
      </c>
      <c r="D1870">
        <f t="shared" si="61"/>
        <v>0</v>
      </c>
    </row>
    <row r="1871" spans="1:4" x14ac:dyDescent="0.55000000000000004">
      <c r="A1871">
        <f t="shared" si="60"/>
        <v>2017</v>
      </c>
      <c r="B1871" s="821">
        <v>42957</v>
      </c>
      <c r="C1871">
        <v>2.79</v>
      </c>
      <c r="D1871">
        <f t="shared" si="61"/>
        <v>0</v>
      </c>
    </row>
    <row r="1872" spans="1:4" x14ac:dyDescent="0.55000000000000004">
      <c r="A1872">
        <f t="shared" si="60"/>
        <v>2017</v>
      </c>
      <c r="B1872" s="821">
        <v>42956</v>
      </c>
      <c r="C1872">
        <v>2.82</v>
      </c>
      <c r="D1872">
        <f t="shared" si="61"/>
        <v>0</v>
      </c>
    </row>
    <row r="1873" spans="1:4" x14ac:dyDescent="0.55000000000000004">
      <c r="A1873">
        <f t="shared" si="60"/>
        <v>2017</v>
      </c>
      <c r="B1873" s="821">
        <v>42955</v>
      </c>
      <c r="C1873">
        <v>2.86</v>
      </c>
      <c r="D1873">
        <f t="shared" si="61"/>
        <v>0</v>
      </c>
    </row>
    <row r="1874" spans="1:4" x14ac:dyDescent="0.55000000000000004">
      <c r="A1874">
        <f t="shared" si="60"/>
        <v>2017</v>
      </c>
      <c r="B1874" s="821">
        <v>42954</v>
      </c>
      <c r="C1874">
        <v>2.84</v>
      </c>
      <c r="D1874">
        <f t="shared" si="61"/>
        <v>0</v>
      </c>
    </row>
    <row r="1875" spans="1:4" x14ac:dyDescent="0.55000000000000004">
      <c r="A1875">
        <f t="shared" si="60"/>
        <v>2017</v>
      </c>
      <c r="B1875" s="821">
        <v>42951</v>
      </c>
      <c r="C1875">
        <v>2.84</v>
      </c>
      <c r="D1875">
        <f t="shared" si="61"/>
        <v>0</v>
      </c>
    </row>
    <row r="1876" spans="1:4" x14ac:dyDescent="0.55000000000000004">
      <c r="A1876">
        <f t="shared" si="60"/>
        <v>2017</v>
      </c>
      <c r="B1876" s="821">
        <v>42950</v>
      </c>
      <c r="C1876">
        <v>2.81</v>
      </c>
      <c r="D1876">
        <f t="shared" si="61"/>
        <v>0</v>
      </c>
    </row>
    <row r="1877" spans="1:4" x14ac:dyDescent="0.55000000000000004">
      <c r="A1877">
        <f t="shared" si="60"/>
        <v>2017</v>
      </c>
      <c r="B1877" s="821">
        <v>42949</v>
      </c>
      <c r="C1877">
        <v>2.85</v>
      </c>
      <c r="D1877">
        <f t="shared" si="61"/>
        <v>0</v>
      </c>
    </row>
    <row r="1878" spans="1:4" x14ac:dyDescent="0.55000000000000004">
      <c r="A1878">
        <f t="shared" si="60"/>
        <v>2017</v>
      </c>
      <c r="B1878" s="821">
        <v>42948</v>
      </c>
      <c r="C1878">
        <v>2.86</v>
      </c>
      <c r="D1878">
        <f t="shared" si="61"/>
        <v>0</v>
      </c>
    </row>
    <row r="1879" spans="1:4" x14ac:dyDescent="0.55000000000000004">
      <c r="A1879">
        <f t="shared" si="60"/>
        <v>2017</v>
      </c>
      <c r="B1879" s="821">
        <v>42947</v>
      </c>
      <c r="C1879">
        <v>2.89</v>
      </c>
      <c r="D1879">
        <f t="shared" si="61"/>
        <v>0</v>
      </c>
    </row>
    <row r="1880" spans="1:4" x14ac:dyDescent="0.55000000000000004">
      <c r="A1880">
        <f t="shared" si="60"/>
        <v>2017</v>
      </c>
      <c r="B1880" s="821">
        <v>42944</v>
      </c>
      <c r="C1880">
        <v>2.89</v>
      </c>
      <c r="D1880">
        <f t="shared" si="61"/>
        <v>0</v>
      </c>
    </row>
    <row r="1881" spans="1:4" x14ac:dyDescent="0.55000000000000004">
      <c r="A1881">
        <f t="shared" si="60"/>
        <v>2017</v>
      </c>
      <c r="B1881" s="821">
        <v>42943</v>
      </c>
      <c r="C1881">
        <v>2.93</v>
      </c>
      <c r="D1881">
        <f t="shared" si="61"/>
        <v>0</v>
      </c>
    </row>
    <row r="1882" spans="1:4" x14ac:dyDescent="0.55000000000000004">
      <c r="A1882">
        <f t="shared" si="60"/>
        <v>2017</v>
      </c>
      <c r="B1882" s="821">
        <v>42942</v>
      </c>
      <c r="C1882">
        <v>2.89</v>
      </c>
      <c r="D1882">
        <f t="shared" si="61"/>
        <v>0</v>
      </c>
    </row>
    <row r="1883" spans="1:4" x14ac:dyDescent="0.55000000000000004">
      <c r="A1883">
        <f t="shared" si="60"/>
        <v>2017</v>
      </c>
      <c r="B1883" s="821">
        <v>42941</v>
      </c>
      <c r="C1883">
        <v>2.91</v>
      </c>
      <c r="D1883">
        <f t="shared" si="61"/>
        <v>0</v>
      </c>
    </row>
    <row r="1884" spans="1:4" x14ac:dyDescent="0.55000000000000004">
      <c r="A1884">
        <f t="shared" si="60"/>
        <v>2017</v>
      </c>
      <c r="B1884" s="821">
        <v>42940</v>
      </c>
      <c r="C1884">
        <v>2.83</v>
      </c>
      <c r="D1884">
        <f t="shared" si="61"/>
        <v>0</v>
      </c>
    </row>
    <row r="1885" spans="1:4" x14ac:dyDescent="0.55000000000000004">
      <c r="A1885">
        <f t="shared" si="60"/>
        <v>2017</v>
      </c>
      <c r="B1885" s="821">
        <v>42937</v>
      </c>
      <c r="C1885">
        <v>2.81</v>
      </c>
      <c r="D1885">
        <f t="shared" si="61"/>
        <v>0</v>
      </c>
    </row>
    <row r="1886" spans="1:4" x14ac:dyDescent="0.55000000000000004">
      <c r="A1886">
        <f t="shared" si="60"/>
        <v>2017</v>
      </c>
      <c r="B1886" s="821">
        <v>42936</v>
      </c>
      <c r="C1886">
        <v>2.83</v>
      </c>
      <c r="D1886">
        <f t="shared" si="61"/>
        <v>0</v>
      </c>
    </row>
    <row r="1887" spans="1:4" x14ac:dyDescent="0.55000000000000004">
      <c r="A1887">
        <f t="shared" si="60"/>
        <v>2017</v>
      </c>
      <c r="B1887" s="821">
        <v>42935</v>
      </c>
      <c r="C1887">
        <v>2.85</v>
      </c>
      <c r="D1887">
        <f t="shared" si="61"/>
        <v>0</v>
      </c>
    </row>
    <row r="1888" spans="1:4" x14ac:dyDescent="0.55000000000000004">
      <c r="A1888">
        <f t="shared" si="60"/>
        <v>2017</v>
      </c>
      <c r="B1888" s="821">
        <v>42934</v>
      </c>
      <c r="C1888">
        <v>2.85</v>
      </c>
      <c r="D1888">
        <f t="shared" si="61"/>
        <v>0</v>
      </c>
    </row>
    <row r="1889" spans="1:4" x14ac:dyDescent="0.55000000000000004">
      <c r="A1889">
        <f t="shared" si="60"/>
        <v>2017</v>
      </c>
      <c r="B1889" s="821">
        <v>42933</v>
      </c>
      <c r="C1889">
        <v>2.89</v>
      </c>
      <c r="D1889">
        <f t="shared" si="61"/>
        <v>0</v>
      </c>
    </row>
    <row r="1890" spans="1:4" x14ac:dyDescent="0.55000000000000004">
      <c r="A1890">
        <f t="shared" si="60"/>
        <v>2017</v>
      </c>
      <c r="B1890" s="821">
        <v>42930</v>
      </c>
      <c r="C1890">
        <v>2.91</v>
      </c>
      <c r="D1890">
        <f t="shared" si="61"/>
        <v>0</v>
      </c>
    </row>
    <row r="1891" spans="1:4" x14ac:dyDescent="0.55000000000000004">
      <c r="A1891">
        <f t="shared" si="60"/>
        <v>2017</v>
      </c>
      <c r="B1891" s="821">
        <v>42929</v>
      </c>
      <c r="C1891">
        <v>2.92</v>
      </c>
      <c r="D1891">
        <f t="shared" si="61"/>
        <v>0</v>
      </c>
    </row>
    <row r="1892" spans="1:4" x14ac:dyDescent="0.55000000000000004">
      <c r="A1892">
        <f t="shared" si="60"/>
        <v>2017</v>
      </c>
      <c r="B1892" s="821">
        <v>42928</v>
      </c>
      <c r="C1892">
        <v>2.89</v>
      </c>
      <c r="D1892">
        <f t="shared" si="61"/>
        <v>0</v>
      </c>
    </row>
    <row r="1893" spans="1:4" x14ac:dyDescent="0.55000000000000004">
      <c r="A1893">
        <f t="shared" si="60"/>
        <v>2017</v>
      </c>
      <c r="B1893" s="821">
        <v>42927</v>
      </c>
      <c r="C1893">
        <v>2.92</v>
      </c>
      <c r="D1893">
        <f t="shared" si="61"/>
        <v>0</v>
      </c>
    </row>
    <row r="1894" spans="1:4" x14ac:dyDescent="0.55000000000000004">
      <c r="A1894">
        <f t="shared" si="60"/>
        <v>2017</v>
      </c>
      <c r="B1894" s="821">
        <v>42926</v>
      </c>
      <c r="C1894">
        <v>2.93</v>
      </c>
      <c r="D1894">
        <f t="shared" si="61"/>
        <v>0</v>
      </c>
    </row>
    <row r="1895" spans="1:4" x14ac:dyDescent="0.55000000000000004">
      <c r="A1895">
        <f t="shared" si="60"/>
        <v>2017</v>
      </c>
      <c r="B1895" s="821">
        <v>42923</v>
      </c>
      <c r="C1895">
        <v>2.93</v>
      </c>
      <c r="D1895">
        <f t="shared" si="61"/>
        <v>0</v>
      </c>
    </row>
    <row r="1896" spans="1:4" x14ac:dyDescent="0.55000000000000004">
      <c r="A1896">
        <f t="shared" si="60"/>
        <v>2017</v>
      </c>
      <c r="B1896" s="821">
        <v>42922</v>
      </c>
      <c r="C1896">
        <v>2.9</v>
      </c>
      <c r="D1896">
        <f t="shared" si="61"/>
        <v>0</v>
      </c>
    </row>
    <row r="1897" spans="1:4" x14ac:dyDescent="0.55000000000000004">
      <c r="A1897">
        <f t="shared" si="60"/>
        <v>2017</v>
      </c>
      <c r="B1897" s="821">
        <v>42921</v>
      </c>
      <c r="C1897">
        <v>2.85</v>
      </c>
      <c r="D1897">
        <f t="shared" si="61"/>
        <v>0</v>
      </c>
    </row>
    <row r="1898" spans="1:4" x14ac:dyDescent="0.55000000000000004">
      <c r="A1898">
        <f t="shared" si="60"/>
        <v>2017</v>
      </c>
      <c r="B1898" s="821">
        <v>42919</v>
      </c>
      <c r="C1898">
        <v>2.86</v>
      </c>
      <c r="D1898">
        <f t="shared" si="61"/>
        <v>0</v>
      </c>
    </row>
    <row r="1899" spans="1:4" x14ac:dyDescent="0.55000000000000004">
      <c r="A1899">
        <f t="shared" si="60"/>
        <v>2017</v>
      </c>
      <c r="B1899" s="821">
        <v>42916</v>
      </c>
      <c r="C1899">
        <v>2.84</v>
      </c>
      <c r="D1899">
        <f t="shared" si="61"/>
        <v>0</v>
      </c>
    </row>
    <row r="1900" spans="1:4" x14ac:dyDescent="0.55000000000000004">
      <c r="A1900">
        <f t="shared" si="60"/>
        <v>2017</v>
      </c>
      <c r="B1900" s="821">
        <v>42915</v>
      </c>
      <c r="C1900">
        <v>2.82</v>
      </c>
      <c r="D1900">
        <f t="shared" si="61"/>
        <v>0</v>
      </c>
    </row>
    <row r="1901" spans="1:4" x14ac:dyDescent="0.55000000000000004">
      <c r="A1901">
        <f t="shared" si="60"/>
        <v>2017</v>
      </c>
      <c r="B1901" s="821">
        <v>42914</v>
      </c>
      <c r="C1901">
        <v>2.77</v>
      </c>
      <c r="D1901">
        <f t="shared" si="61"/>
        <v>0</v>
      </c>
    </row>
    <row r="1902" spans="1:4" x14ac:dyDescent="0.55000000000000004">
      <c r="A1902">
        <f t="shared" si="60"/>
        <v>2017</v>
      </c>
      <c r="B1902" s="821">
        <v>42913</v>
      </c>
      <c r="C1902">
        <v>2.75</v>
      </c>
      <c r="D1902">
        <f t="shared" si="61"/>
        <v>0</v>
      </c>
    </row>
    <row r="1903" spans="1:4" x14ac:dyDescent="0.55000000000000004">
      <c r="A1903">
        <f t="shared" si="60"/>
        <v>2017</v>
      </c>
      <c r="B1903" s="821">
        <v>42912</v>
      </c>
      <c r="C1903">
        <v>2.7</v>
      </c>
      <c r="D1903">
        <f t="shared" si="61"/>
        <v>0</v>
      </c>
    </row>
    <row r="1904" spans="1:4" x14ac:dyDescent="0.55000000000000004">
      <c r="A1904">
        <f t="shared" si="60"/>
        <v>2017</v>
      </c>
      <c r="B1904" s="821">
        <v>42909</v>
      </c>
      <c r="C1904">
        <v>2.71</v>
      </c>
      <c r="D1904">
        <f t="shared" si="61"/>
        <v>0</v>
      </c>
    </row>
    <row r="1905" spans="1:4" x14ac:dyDescent="0.55000000000000004">
      <c r="A1905">
        <f t="shared" si="60"/>
        <v>2017</v>
      </c>
      <c r="B1905" s="821">
        <v>42908</v>
      </c>
      <c r="C1905">
        <v>2.72</v>
      </c>
      <c r="D1905">
        <f t="shared" si="61"/>
        <v>0</v>
      </c>
    </row>
    <row r="1906" spans="1:4" x14ac:dyDescent="0.55000000000000004">
      <c r="A1906">
        <f t="shared" si="60"/>
        <v>2017</v>
      </c>
      <c r="B1906" s="821">
        <v>42907</v>
      </c>
      <c r="C1906">
        <v>2.73</v>
      </c>
      <c r="D1906">
        <f t="shared" si="61"/>
        <v>0</v>
      </c>
    </row>
    <row r="1907" spans="1:4" x14ac:dyDescent="0.55000000000000004">
      <c r="A1907">
        <f t="shared" si="60"/>
        <v>2017</v>
      </c>
      <c r="B1907" s="821">
        <v>42906</v>
      </c>
      <c r="C1907">
        <v>2.74</v>
      </c>
      <c r="D1907">
        <f t="shared" si="61"/>
        <v>0</v>
      </c>
    </row>
    <row r="1908" spans="1:4" x14ac:dyDescent="0.55000000000000004">
      <c r="A1908">
        <f t="shared" si="60"/>
        <v>2017</v>
      </c>
      <c r="B1908" s="821">
        <v>42905</v>
      </c>
      <c r="C1908">
        <v>2.79</v>
      </c>
      <c r="D1908">
        <f t="shared" si="61"/>
        <v>0</v>
      </c>
    </row>
    <row r="1909" spans="1:4" x14ac:dyDescent="0.55000000000000004">
      <c r="A1909">
        <f t="shared" si="60"/>
        <v>2017</v>
      </c>
      <c r="B1909" s="821">
        <v>42902</v>
      </c>
      <c r="C1909">
        <v>2.78</v>
      </c>
      <c r="D1909">
        <f t="shared" si="61"/>
        <v>0</v>
      </c>
    </row>
    <row r="1910" spans="1:4" x14ac:dyDescent="0.55000000000000004">
      <c r="A1910">
        <f t="shared" si="60"/>
        <v>2017</v>
      </c>
      <c r="B1910" s="821">
        <v>42901</v>
      </c>
      <c r="C1910">
        <v>2.78</v>
      </c>
      <c r="D1910">
        <f t="shared" si="61"/>
        <v>0</v>
      </c>
    </row>
    <row r="1911" spans="1:4" x14ac:dyDescent="0.55000000000000004">
      <c r="A1911">
        <f t="shared" si="60"/>
        <v>2017</v>
      </c>
      <c r="B1911" s="821">
        <v>42900</v>
      </c>
      <c r="C1911">
        <v>2.79</v>
      </c>
      <c r="D1911">
        <f t="shared" si="61"/>
        <v>0</v>
      </c>
    </row>
    <row r="1912" spans="1:4" x14ac:dyDescent="0.55000000000000004">
      <c r="A1912">
        <f t="shared" si="60"/>
        <v>2017</v>
      </c>
      <c r="B1912" s="821">
        <v>42899</v>
      </c>
      <c r="C1912">
        <v>2.87</v>
      </c>
      <c r="D1912">
        <f t="shared" si="61"/>
        <v>0</v>
      </c>
    </row>
    <row r="1913" spans="1:4" x14ac:dyDescent="0.55000000000000004">
      <c r="A1913">
        <f t="shared" si="60"/>
        <v>2017</v>
      </c>
      <c r="B1913" s="821">
        <v>42898</v>
      </c>
      <c r="C1913">
        <v>2.86</v>
      </c>
      <c r="D1913">
        <f t="shared" si="61"/>
        <v>0</v>
      </c>
    </row>
    <row r="1914" spans="1:4" x14ac:dyDescent="0.55000000000000004">
      <c r="A1914">
        <f t="shared" si="60"/>
        <v>2017</v>
      </c>
      <c r="B1914" s="821">
        <v>42895</v>
      </c>
      <c r="C1914">
        <v>2.86</v>
      </c>
      <c r="D1914">
        <f t="shared" si="61"/>
        <v>0</v>
      </c>
    </row>
    <row r="1915" spans="1:4" x14ac:dyDescent="0.55000000000000004">
      <c r="A1915">
        <f t="shared" si="60"/>
        <v>2017</v>
      </c>
      <c r="B1915" s="821">
        <v>42894</v>
      </c>
      <c r="C1915">
        <v>2.85</v>
      </c>
      <c r="D1915">
        <f t="shared" si="61"/>
        <v>0</v>
      </c>
    </row>
    <row r="1916" spans="1:4" x14ac:dyDescent="0.55000000000000004">
      <c r="A1916">
        <f t="shared" si="60"/>
        <v>2017</v>
      </c>
      <c r="B1916" s="821">
        <v>42893</v>
      </c>
      <c r="C1916">
        <v>2.84</v>
      </c>
      <c r="D1916">
        <f t="shared" si="61"/>
        <v>0</v>
      </c>
    </row>
    <row r="1917" spans="1:4" x14ac:dyDescent="0.55000000000000004">
      <c r="A1917">
        <f t="shared" si="60"/>
        <v>2017</v>
      </c>
      <c r="B1917" s="821">
        <v>42892</v>
      </c>
      <c r="C1917">
        <v>2.81</v>
      </c>
      <c r="D1917">
        <f t="shared" si="61"/>
        <v>0</v>
      </c>
    </row>
    <row r="1918" spans="1:4" x14ac:dyDescent="0.55000000000000004">
      <c r="A1918">
        <f t="shared" si="60"/>
        <v>2017</v>
      </c>
      <c r="B1918" s="821">
        <v>42891</v>
      </c>
      <c r="C1918">
        <v>2.84</v>
      </c>
      <c r="D1918">
        <f t="shared" si="61"/>
        <v>0</v>
      </c>
    </row>
    <row r="1919" spans="1:4" x14ac:dyDescent="0.55000000000000004">
      <c r="A1919">
        <f t="shared" si="60"/>
        <v>2017</v>
      </c>
      <c r="B1919" s="821">
        <v>42888</v>
      </c>
      <c r="C1919">
        <v>2.8</v>
      </c>
      <c r="D1919">
        <f t="shared" si="61"/>
        <v>0</v>
      </c>
    </row>
    <row r="1920" spans="1:4" x14ac:dyDescent="0.55000000000000004">
      <c r="A1920">
        <f t="shared" si="60"/>
        <v>2017</v>
      </c>
      <c r="B1920" s="821">
        <v>42887</v>
      </c>
      <c r="C1920">
        <v>2.87</v>
      </c>
      <c r="D1920">
        <f t="shared" si="61"/>
        <v>0</v>
      </c>
    </row>
    <row r="1921" spans="1:4" x14ac:dyDescent="0.55000000000000004">
      <c r="A1921">
        <f t="shared" si="60"/>
        <v>2017</v>
      </c>
      <c r="B1921" s="821">
        <v>42886</v>
      </c>
      <c r="C1921">
        <v>2.87</v>
      </c>
      <c r="D1921">
        <f t="shared" si="61"/>
        <v>0</v>
      </c>
    </row>
    <row r="1922" spans="1:4" x14ac:dyDescent="0.55000000000000004">
      <c r="A1922">
        <f t="shared" si="60"/>
        <v>2017</v>
      </c>
      <c r="B1922" s="821">
        <v>42885</v>
      </c>
      <c r="C1922">
        <v>2.88</v>
      </c>
      <c r="D1922">
        <f t="shared" si="61"/>
        <v>0</v>
      </c>
    </row>
    <row r="1923" spans="1:4" x14ac:dyDescent="0.55000000000000004">
      <c r="A1923">
        <f t="shared" si="60"/>
        <v>2017</v>
      </c>
      <c r="B1923" s="821">
        <v>42881</v>
      </c>
      <c r="C1923">
        <v>2.92</v>
      </c>
      <c r="D1923">
        <f t="shared" si="61"/>
        <v>0</v>
      </c>
    </row>
    <row r="1924" spans="1:4" x14ac:dyDescent="0.55000000000000004">
      <c r="A1924">
        <f t="shared" ref="A1924:A1987" si="62">YEAR(B1924)</f>
        <v>2017</v>
      </c>
      <c r="B1924" s="821">
        <v>42880</v>
      </c>
      <c r="C1924">
        <v>2.92</v>
      </c>
      <c r="D1924">
        <f t="shared" ref="D1924:D1987" si="63">IF(C1924&gt;4,1,0)</f>
        <v>0</v>
      </c>
    </row>
    <row r="1925" spans="1:4" x14ac:dyDescent="0.55000000000000004">
      <c r="A1925">
        <f t="shared" si="62"/>
        <v>2017</v>
      </c>
      <c r="B1925" s="821">
        <v>42879</v>
      </c>
      <c r="C1925">
        <v>2.92</v>
      </c>
      <c r="D1925">
        <f t="shared" si="63"/>
        <v>0</v>
      </c>
    </row>
    <row r="1926" spans="1:4" x14ac:dyDescent="0.55000000000000004">
      <c r="A1926">
        <f t="shared" si="62"/>
        <v>2017</v>
      </c>
      <c r="B1926" s="821">
        <v>42878</v>
      </c>
      <c r="C1926">
        <v>2.95</v>
      </c>
      <c r="D1926">
        <f t="shared" si="63"/>
        <v>0</v>
      </c>
    </row>
    <row r="1927" spans="1:4" x14ac:dyDescent="0.55000000000000004">
      <c r="A1927">
        <f t="shared" si="62"/>
        <v>2017</v>
      </c>
      <c r="B1927" s="821">
        <v>42877</v>
      </c>
      <c r="C1927">
        <v>2.91</v>
      </c>
      <c r="D1927">
        <f t="shared" si="63"/>
        <v>0</v>
      </c>
    </row>
    <row r="1928" spans="1:4" x14ac:dyDescent="0.55000000000000004">
      <c r="A1928">
        <f t="shared" si="62"/>
        <v>2017</v>
      </c>
      <c r="B1928" s="821">
        <v>42874</v>
      </c>
      <c r="C1928">
        <v>2.9</v>
      </c>
      <c r="D1928">
        <f t="shared" si="63"/>
        <v>0</v>
      </c>
    </row>
    <row r="1929" spans="1:4" x14ac:dyDescent="0.55000000000000004">
      <c r="A1929">
        <f t="shared" si="62"/>
        <v>2017</v>
      </c>
      <c r="B1929" s="821">
        <v>42873</v>
      </c>
      <c r="C1929">
        <v>2.9</v>
      </c>
      <c r="D1929">
        <f t="shared" si="63"/>
        <v>0</v>
      </c>
    </row>
    <row r="1930" spans="1:4" x14ac:dyDescent="0.55000000000000004">
      <c r="A1930">
        <f t="shared" si="62"/>
        <v>2017</v>
      </c>
      <c r="B1930" s="821">
        <v>42872</v>
      </c>
      <c r="C1930">
        <v>2.91</v>
      </c>
      <c r="D1930">
        <f t="shared" si="63"/>
        <v>0</v>
      </c>
    </row>
    <row r="1931" spans="1:4" x14ac:dyDescent="0.55000000000000004">
      <c r="A1931">
        <f t="shared" si="62"/>
        <v>2017</v>
      </c>
      <c r="B1931" s="821">
        <v>42871</v>
      </c>
      <c r="C1931">
        <v>2.99</v>
      </c>
      <c r="D1931">
        <f t="shared" si="63"/>
        <v>0</v>
      </c>
    </row>
    <row r="1932" spans="1:4" x14ac:dyDescent="0.55000000000000004">
      <c r="A1932">
        <f t="shared" si="62"/>
        <v>2017</v>
      </c>
      <c r="B1932" s="821">
        <v>42870</v>
      </c>
      <c r="C1932">
        <v>3</v>
      </c>
      <c r="D1932">
        <f t="shared" si="63"/>
        <v>0</v>
      </c>
    </row>
    <row r="1933" spans="1:4" x14ac:dyDescent="0.55000000000000004">
      <c r="A1933">
        <f t="shared" si="62"/>
        <v>2017</v>
      </c>
      <c r="B1933" s="821">
        <v>42867</v>
      </c>
      <c r="C1933">
        <v>2.98</v>
      </c>
      <c r="D1933">
        <f t="shared" si="63"/>
        <v>0</v>
      </c>
    </row>
    <row r="1934" spans="1:4" x14ac:dyDescent="0.55000000000000004">
      <c r="A1934">
        <f t="shared" si="62"/>
        <v>2017</v>
      </c>
      <c r="B1934" s="821">
        <v>42866</v>
      </c>
      <c r="C1934">
        <v>3.03</v>
      </c>
      <c r="D1934">
        <f t="shared" si="63"/>
        <v>0</v>
      </c>
    </row>
    <row r="1935" spans="1:4" x14ac:dyDescent="0.55000000000000004">
      <c r="A1935">
        <f t="shared" si="62"/>
        <v>2017</v>
      </c>
      <c r="B1935" s="821">
        <v>42865</v>
      </c>
      <c r="C1935">
        <v>3.03</v>
      </c>
      <c r="D1935">
        <f t="shared" si="63"/>
        <v>0</v>
      </c>
    </row>
    <row r="1936" spans="1:4" x14ac:dyDescent="0.55000000000000004">
      <c r="A1936">
        <f t="shared" si="62"/>
        <v>2017</v>
      </c>
      <c r="B1936" s="821">
        <v>42864</v>
      </c>
      <c r="C1936">
        <v>3.04</v>
      </c>
      <c r="D1936">
        <f t="shared" si="63"/>
        <v>0</v>
      </c>
    </row>
    <row r="1937" spans="1:4" x14ac:dyDescent="0.55000000000000004">
      <c r="A1937">
        <f t="shared" si="62"/>
        <v>2017</v>
      </c>
      <c r="B1937" s="821">
        <v>42863</v>
      </c>
      <c r="C1937">
        <v>3.02</v>
      </c>
      <c r="D1937">
        <f t="shared" si="63"/>
        <v>0</v>
      </c>
    </row>
    <row r="1938" spans="1:4" x14ac:dyDescent="0.55000000000000004">
      <c r="A1938">
        <f t="shared" si="62"/>
        <v>2017</v>
      </c>
      <c r="B1938" s="821">
        <v>42860</v>
      </c>
      <c r="C1938">
        <v>2.99</v>
      </c>
      <c r="D1938">
        <f t="shared" si="63"/>
        <v>0</v>
      </c>
    </row>
    <row r="1939" spans="1:4" x14ac:dyDescent="0.55000000000000004">
      <c r="A1939">
        <f t="shared" si="62"/>
        <v>2017</v>
      </c>
      <c r="B1939" s="821">
        <v>42859</v>
      </c>
      <c r="C1939">
        <v>3</v>
      </c>
      <c r="D1939">
        <f t="shared" si="63"/>
        <v>0</v>
      </c>
    </row>
    <row r="1940" spans="1:4" x14ac:dyDescent="0.55000000000000004">
      <c r="A1940">
        <f t="shared" si="62"/>
        <v>2017</v>
      </c>
      <c r="B1940" s="821">
        <v>42858</v>
      </c>
      <c r="C1940">
        <v>2.97</v>
      </c>
      <c r="D1940">
        <f t="shared" si="63"/>
        <v>0</v>
      </c>
    </row>
    <row r="1941" spans="1:4" x14ac:dyDescent="0.55000000000000004">
      <c r="A1941">
        <f t="shared" si="62"/>
        <v>2017</v>
      </c>
      <c r="B1941" s="821">
        <v>42857</v>
      </c>
      <c r="C1941">
        <v>2.97</v>
      </c>
      <c r="D1941">
        <f t="shared" si="63"/>
        <v>0</v>
      </c>
    </row>
    <row r="1942" spans="1:4" x14ac:dyDescent="0.55000000000000004">
      <c r="A1942">
        <f t="shared" si="62"/>
        <v>2017</v>
      </c>
      <c r="B1942" s="821">
        <v>42856</v>
      </c>
      <c r="C1942">
        <v>3</v>
      </c>
      <c r="D1942">
        <f t="shared" si="63"/>
        <v>0</v>
      </c>
    </row>
    <row r="1943" spans="1:4" x14ac:dyDescent="0.55000000000000004">
      <c r="A1943">
        <f t="shared" si="62"/>
        <v>2017</v>
      </c>
      <c r="B1943" s="821">
        <v>42853</v>
      </c>
      <c r="C1943">
        <v>2.96</v>
      </c>
      <c r="D1943">
        <f t="shared" si="63"/>
        <v>0</v>
      </c>
    </row>
    <row r="1944" spans="1:4" x14ac:dyDescent="0.55000000000000004">
      <c r="A1944">
        <f t="shared" si="62"/>
        <v>2017</v>
      </c>
      <c r="B1944" s="821">
        <v>42852</v>
      </c>
      <c r="C1944">
        <v>2.96</v>
      </c>
      <c r="D1944">
        <f t="shared" si="63"/>
        <v>0</v>
      </c>
    </row>
    <row r="1945" spans="1:4" x14ac:dyDescent="0.55000000000000004">
      <c r="A1945">
        <f t="shared" si="62"/>
        <v>2017</v>
      </c>
      <c r="B1945" s="821">
        <v>42851</v>
      </c>
      <c r="C1945">
        <v>2.97</v>
      </c>
      <c r="D1945">
        <f t="shared" si="63"/>
        <v>0</v>
      </c>
    </row>
    <row r="1946" spans="1:4" x14ac:dyDescent="0.55000000000000004">
      <c r="A1946">
        <f t="shared" si="62"/>
        <v>2017</v>
      </c>
      <c r="B1946" s="821">
        <v>42850</v>
      </c>
      <c r="C1946">
        <v>2.99</v>
      </c>
      <c r="D1946">
        <f t="shared" si="63"/>
        <v>0</v>
      </c>
    </row>
    <row r="1947" spans="1:4" x14ac:dyDescent="0.55000000000000004">
      <c r="A1947">
        <f t="shared" si="62"/>
        <v>2017</v>
      </c>
      <c r="B1947" s="821">
        <v>42849</v>
      </c>
      <c r="C1947">
        <v>2.93</v>
      </c>
      <c r="D1947">
        <f t="shared" si="63"/>
        <v>0</v>
      </c>
    </row>
    <row r="1948" spans="1:4" x14ac:dyDescent="0.55000000000000004">
      <c r="A1948">
        <f t="shared" si="62"/>
        <v>2017</v>
      </c>
      <c r="B1948" s="821">
        <v>42846</v>
      </c>
      <c r="C1948">
        <v>2.89</v>
      </c>
      <c r="D1948">
        <f t="shared" si="63"/>
        <v>0</v>
      </c>
    </row>
    <row r="1949" spans="1:4" x14ac:dyDescent="0.55000000000000004">
      <c r="A1949">
        <f t="shared" si="62"/>
        <v>2017</v>
      </c>
      <c r="B1949" s="821">
        <v>42845</v>
      </c>
      <c r="C1949">
        <v>2.89</v>
      </c>
      <c r="D1949">
        <f t="shared" si="63"/>
        <v>0</v>
      </c>
    </row>
    <row r="1950" spans="1:4" x14ac:dyDescent="0.55000000000000004">
      <c r="A1950">
        <f t="shared" si="62"/>
        <v>2017</v>
      </c>
      <c r="B1950" s="821">
        <v>42844</v>
      </c>
      <c r="C1950">
        <v>2.87</v>
      </c>
      <c r="D1950">
        <f t="shared" si="63"/>
        <v>0</v>
      </c>
    </row>
    <row r="1951" spans="1:4" x14ac:dyDescent="0.55000000000000004">
      <c r="A1951">
        <f t="shared" si="62"/>
        <v>2017</v>
      </c>
      <c r="B1951" s="821">
        <v>42843</v>
      </c>
      <c r="C1951">
        <v>2.84</v>
      </c>
      <c r="D1951">
        <f t="shared" si="63"/>
        <v>0</v>
      </c>
    </row>
    <row r="1952" spans="1:4" x14ac:dyDescent="0.55000000000000004">
      <c r="A1952">
        <f t="shared" si="62"/>
        <v>2017</v>
      </c>
      <c r="B1952" s="821">
        <v>42842</v>
      </c>
      <c r="C1952">
        <v>2.92</v>
      </c>
      <c r="D1952">
        <f t="shared" si="63"/>
        <v>0</v>
      </c>
    </row>
    <row r="1953" spans="1:4" x14ac:dyDescent="0.55000000000000004">
      <c r="A1953">
        <f t="shared" si="62"/>
        <v>2017</v>
      </c>
      <c r="B1953" s="821">
        <v>42838</v>
      </c>
      <c r="C1953">
        <v>2.89</v>
      </c>
      <c r="D1953">
        <f t="shared" si="63"/>
        <v>0</v>
      </c>
    </row>
    <row r="1954" spans="1:4" x14ac:dyDescent="0.55000000000000004">
      <c r="A1954">
        <f t="shared" si="62"/>
        <v>2017</v>
      </c>
      <c r="B1954" s="821">
        <v>42837</v>
      </c>
      <c r="C1954">
        <v>2.92</v>
      </c>
      <c r="D1954">
        <f t="shared" si="63"/>
        <v>0</v>
      </c>
    </row>
    <row r="1955" spans="1:4" x14ac:dyDescent="0.55000000000000004">
      <c r="A1955">
        <f t="shared" si="62"/>
        <v>2017</v>
      </c>
      <c r="B1955" s="821">
        <v>42836</v>
      </c>
      <c r="C1955">
        <v>2.93</v>
      </c>
      <c r="D1955">
        <f t="shared" si="63"/>
        <v>0</v>
      </c>
    </row>
    <row r="1956" spans="1:4" x14ac:dyDescent="0.55000000000000004">
      <c r="A1956">
        <f t="shared" si="62"/>
        <v>2017</v>
      </c>
      <c r="B1956" s="821">
        <v>42835</v>
      </c>
      <c r="C1956">
        <v>2.99</v>
      </c>
      <c r="D1956">
        <f t="shared" si="63"/>
        <v>0</v>
      </c>
    </row>
    <row r="1957" spans="1:4" x14ac:dyDescent="0.55000000000000004">
      <c r="A1957">
        <f t="shared" si="62"/>
        <v>2017</v>
      </c>
      <c r="B1957" s="821">
        <v>42832</v>
      </c>
      <c r="C1957">
        <v>3</v>
      </c>
      <c r="D1957">
        <f t="shared" si="63"/>
        <v>0</v>
      </c>
    </row>
    <row r="1958" spans="1:4" x14ac:dyDescent="0.55000000000000004">
      <c r="A1958">
        <f t="shared" si="62"/>
        <v>2017</v>
      </c>
      <c r="B1958" s="821">
        <v>42831</v>
      </c>
      <c r="C1958">
        <v>2.99</v>
      </c>
      <c r="D1958">
        <f t="shared" si="63"/>
        <v>0</v>
      </c>
    </row>
    <row r="1959" spans="1:4" x14ac:dyDescent="0.55000000000000004">
      <c r="A1959">
        <f t="shared" si="62"/>
        <v>2017</v>
      </c>
      <c r="B1959" s="821">
        <v>42830</v>
      </c>
      <c r="C1959">
        <v>2.98</v>
      </c>
      <c r="D1959">
        <f t="shared" si="63"/>
        <v>0</v>
      </c>
    </row>
    <row r="1960" spans="1:4" x14ac:dyDescent="0.55000000000000004">
      <c r="A1960">
        <f t="shared" si="62"/>
        <v>2017</v>
      </c>
      <c r="B1960" s="821">
        <v>42829</v>
      </c>
      <c r="C1960">
        <v>2.99</v>
      </c>
      <c r="D1960">
        <f t="shared" si="63"/>
        <v>0</v>
      </c>
    </row>
    <row r="1961" spans="1:4" x14ac:dyDescent="0.55000000000000004">
      <c r="A1961">
        <f t="shared" si="62"/>
        <v>2017</v>
      </c>
      <c r="B1961" s="821">
        <v>42828</v>
      </c>
      <c r="C1961">
        <v>2.98</v>
      </c>
      <c r="D1961">
        <f t="shared" si="63"/>
        <v>0</v>
      </c>
    </row>
    <row r="1962" spans="1:4" x14ac:dyDescent="0.55000000000000004">
      <c r="A1962">
        <f t="shared" si="62"/>
        <v>2017</v>
      </c>
      <c r="B1962" s="821">
        <v>42825</v>
      </c>
      <c r="C1962">
        <v>3.02</v>
      </c>
      <c r="D1962">
        <f t="shared" si="63"/>
        <v>0</v>
      </c>
    </row>
    <row r="1963" spans="1:4" x14ac:dyDescent="0.55000000000000004">
      <c r="A1963">
        <f t="shared" si="62"/>
        <v>2017</v>
      </c>
      <c r="B1963" s="821">
        <v>42824</v>
      </c>
      <c r="C1963">
        <v>3.03</v>
      </c>
      <c r="D1963">
        <f t="shared" si="63"/>
        <v>0</v>
      </c>
    </row>
    <row r="1964" spans="1:4" x14ac:dyDescent="0.55000000000000004">
      <c r="A1964">
        <f t="shared" si="62"/>
        <v>2017</v>
      </c>
      <c r="B1964" s="821">
        <v>42823</v>
      </c>
      <c r="C1964">
        <v>2.99</v>
      </c>
      <c r="D1964">
        <f t="shared" si="63"/>
        <v>0</v>
      </c>
    </row>
    <row r="1965" spans="1:4" x14ac:dyDescent="0.55000000000000004">
      <c r="A1965">
        <f t="shared" si="62"/>
        <v>2017</v>
      </c>
      <c r="B1965" s="821">
        <v>42822</v>
      </c>
      <c r="C1965">
        <v>3.02</v>
      </c>
      <c r="D1965">
        <f t="shared" si="63"/>
        <v>0</v>
      </c>
    </row>
    <row r="1966" spans="1:4" x14ac:dyDescent="0.55000000000000004">
      <c r="A1966">
        <f t="shared" si="62"/>
        <v>2017</v>
      </c>
      <c r="B1966" s="821">
        <v>42821</v>
      </c>
      <c r="C1966">
        <v>2.98</v>
      </c>
      <c r="D1966">
        <f t="shared" si="63"/>
        <v>0</v>
      </c>
    </row>
    <row r="1967" spans="1:4" x14ac:dyDescent="0.55000000000000004">
      <c r="A1967">
        <f t="shared" si="62"/>
        <v>2017</v>
      </c>
      <c r="B1967" s="821">
        <v>42818</v>
      </c>
      <c r="C1967">
        <v>3</v>
      </c>
      <c r="D1967">
        <f t="shared" si="63"/>
        <v>0</v>
      </c>
    </row>
    <row r="1968" spans="1:4" x14ac:dyDescent="0.55000000000000004">
      <c r="A1968">
        <f t="shared" si="62"/>
        <v>2017</v>
      </c>
      <c r="B1968" s="821">
        <v>42817</v>
      </c>
      <c r="C1968">
        <v>3.02</v>
      </c>
      <c r="D1968">
        <f t="shared" si="63"/>
        <v>0</v>
      </c>
    </row>
    <row r="1969" spans="1:4" x14ac:dyDescent="0.55000000000000004">
      <c r="A1969">
        <f t="shared" si="62"/>
        <v>2017</v>
      </c>
      <c r="B1969" s="821">
        <v>42816</v>
      </c>
      <c r="C1969">
        <v>3.02</v>
      </c>
      <c r="D1969">
        <f t="shared" si="63"/>
        <v>0</v>
      </c>
    </row>
    <row r="1970" spans="1:4" x14ac:dyDescent="0.55000000000000004">
      <c r="A1970">
        <f t="shared" si="62"/>
        <v>2017</v>
      </c>
      <c r="B1970" s="821">
        <v>42815</v>
      </c>
      <c r="C1970">
        <v>3.04</v>
      </c>
      <c r="D1970">
        <f t="shared" si="63"/>
        <v>0</v>
      </c>
    </row>
    <row r="1971" spans="1:4" x14ac:dyDescent="0.55000000000000004">
      <c r="A1971">
        <f t="shared" si="62"/>
        <v>2017</v>
      </c>
      <c r="B1971" s="821">
        <v>42814</v>
      </c>
      <c r="C1971">
        <v>3.08</v>
      </c>
      <c r="D1971">
        <f t="shared" si="63"/>
        <v>0</v>
      </c>
    </row>
    <row r="1972" spans="1:4" x14ac:dyDescent="0.55000000000000004">
      <c r="A1972">
        <f t="shared" si="62"/>
        <v>2017</v>
      </c>
      <c r="B1972" s="821">
        <v>42811</v>
      </c>
      <c r="C1972">
        <v>3.11</v>
      </c>
      <c r="D1972">
        <f t="shared" si="63"/>
        <v>0</v>
      </c>
    </row>
    <row r="1973" spans="1:4" x14ac:dyDescent="0.55000000000000004">
      <c r="A1973">
        <f t="shared" si="62"/>
        <v>2017</v>
      </c>
      <c r="B1973" s="821">
        <v>42810</v>
      </c>
      <c r="C1973">
        <v>3.14</v>
      </c>
      <c r="D1973">
        <f t="shared" si="63"/>
        <v>0</v>
      </c>
    </row>
    <row r="1974" spans="1:4" x14ac:dyDescent="0.55000000000000004">
      <c r="A1974">
        <f t="shared" si="62"/>
        <v>2017</v>
      </c>
      <c r="B1974" s="821">
        <v>42809</v>
      </c>
      <c r="C1974">
        <v>3.11</v>
      </c>
      <c r="D1974">
        <f t="shared" si="63"/>
        <v>0</v>
      </c>
    </row>
    <row r="1975" spans="1:4" x14ac:dyDescent="0.55000000000000004">
      <c r="A1975">
        <f t="shared" si="62"/>
        <v>2017</v>
      </c>
      <c r="B1975" s="821">
        <v>42808</v>
      </c>
      <c r="C1975">
        <v>3.17</v>
      </c>
      <c r="D1975">
        <f t="shared" si="63"/>
        <v>0</v>
      </c>
    </row>
    <row r="1976" spans="1:4" x14ac:dyDescent="0.55000000000000004">
      <c r="A1976">
        <f t="shared" si="62"/>
        <v>2017</v>
      </c>
      <c r="B1976" s="821">
        <v>42807</v>
      </c>
      <c r="C1976">
        <v>3.2</v>
      </c>
      <c r="D1976">
        <f t="shared" si="63"/>
        <v>0</v>
      </c>
    </row>
    <row r="1977" spans="1:4" x14ac:dyDescent="0.55000000000000004">
      <c r="A1977">
        <f t="shared" si="62"/>
        <v>2017</v>
      </c>
      <c r="B1977" s="821">
        <v>42804</v>
      </c>
      <c r="C1977">
        <v>3.16</v>
      </c>
      <c r="D1977">
        <f t="shared" si="63"/>
        <v>0</v>
      </c>
    </row>
    <row r="1978" spans="1:4" x14ac:dyDescent="0.55000000000000004">
      <c r="A1978">
        <f t="shared" si="62"/>
        <v>2017</v>
      </c>
      <c r="B1978" s="821">
        <v>42803</v>
      </c>
      <c r="C1978">
        <v>3.19</v>
      </c>
      <c r="D1978">
        <f t="shared" si="63"/>
        <v>0</v>
      </c>
    </row>
    <row r="1979" spans="1:4" x14ac:dyDescent="0.55000000000000004">
      <c r="A1979">
        <f t="shared" si="62"/>
        <v>2017</v>
      </c>
      <c r="B1979" s="821">
        <v>42802</v>
      </c>
      <c r="C1979">
        <v>3.15</v>
      </c>
      <c r="D1979">
        <f t="shared" si="63"/>
        <v>0</v>
      </c>
    </row>
    <row r="1980" spans="1:4" x14ac:dyDescent="0.55000000000000004">
      <c r="A1980">
        <f t="shared" si="62"/>
        <v>2017</v>
      </c>
      <c r="B1980" s="821">
        <v>42801</v>
      </c>
      <c r="C1980">
        <v>3.11</v>
      </c>
      <c r="D1980">
        <f t="shared" si="63"/>
        <v>0</v>
      </c>
    </row>
    <row r="1981" spans="1:4" x14ac:dyDescent="0.55000000000000004">
      <c r="A1981">
        <f t="shared" si="62"/>
        <v>2017</v>
      </c>
      <c r="B1981" s="821">
        <v>42800</v>
      </c>
      <c r="C1981">
        <v>3.1</v>
      </c>
      <c r="D1981">
        <f t="shared" si="63"/>
        <v>0</v>
      </c>
    </row>
    <row r="1982" spans="1:4" x14ac:dyDescent="0.55000000000000004">
      <c r="A1982">
        <f t="shared" si="62"/>
        <v>2017</v>
      </c>
      <c r="B1982" s="821">
        <v>42797</v>
      </c>
      <c r="C1982">
        <v>3.08</v>
      </c>
      <c r="D1982">
        <f t="shared" si="63"/>
        <v>0</v>
      </c>
    </row>
    <row r="1983" spans="1:4" x14ac:dyDescent="0.55000000000000004">
      <c r="A1983">
        <f t="shared" si="62"/>
        <v>2017</v>
      </c>
      <c r="B1983" s="821">
        <v>42796</v>
      </c>
      <c r="C1983">
        <v>3.09</v>
      </c>
      <c r="D1983">
        <f t="shared" si="63"/>
        <v>0</v>
      </c>
    </row>
    <row r="1984" spans="1:4" x14ac:dyDescent="0.55000000000000004">
      <c r="A1984">
        <f t="shared" si="62"/>
        <v>2017</v>
      </c>
      <c r="B1984" s="821">
        <v>42795</v>
      </c>
      <c r="C1984">
        <v>3.06</v>
      </c>
      <c r="D1984">
        <f t="shared" si="63"/>
        <v>0</v>
      </c>
    </row>
    <row r="1985" spans="1:4" x14ac:dyDescent="0.55000000000000004">
      <c r="A1985">
        <f t="shared" si="62"/>
        <v>2017</v>
      </c>
      <c r="B1985" s="821">
        <v>42794</v>
      </c>
      <c r="C1985">
        <v>2.97</v>
      </c>
      <c r="D1985">
        <f t="shared" si="63"/>
        <v>0</v>
      </c>
    </row>
    <row r="1986" spans="1:4" x14ac:dyDescent="0.55000000000000004">
      <c r="A1986">
        <f t="shared" si="62"/>
        <v>2017</v>
      </c>
      <c r="B1986" s="821">
        <v>42793</v>
      </c>
      <c r="C1986">
        <v>2.98</v>
      </c>
      <c r="D1986">
        <f t="shared" si="63"/>
        <v>0</v>
      </c>
    </row>
    <row r="1987" spans="1:4" x14ac:dyDescent="0.55000000000000004">
      <c r="A1987">
        <f t="shared" si="62"/>
        <v>2017</v>
      </c>
      <c r="B1987" s="821">
        <v>42790</v>
      </c>
      <c r="C1987">
        <v>2.95</v>
      </c>
      <c r="D1987">
        <f t="shared" si="63"/>
        <v>0</v>
      </c>
    </row>
    <row r="1988" spans="1:4" x14ac:dyDescent="0.55000000000000004">
      <c r="A1988">
        <f t="shared" ref="A1988:A2051" si="64">YEAR(B1988)</f>
        <v>2017</v>
      </c>
      <c r="B1988" s="821">
        <v>42789</v>
      </c>
      <c r="C1988">
        <v>3.02</v>
      </c>
      <c r="D1988">
        <f t="shared" ref="D1988:D2051" si="65">IF(C1988&gt;4,1,0)</f>
        <v>0</v>
      </c>
    </row>
    <row r="1989" spans="1:4" x14ac:dyDescent="0.55000000000000004">
      <c r="A1989">
        <f t="shared" si="64"/>
        <v>2017</v>
      </c>
      <c r="B1989" s="821">
        <v>42788</v>
      </c>
      <c r="C1989">
        <v>3.04</v>
      </c>
      <c r="D1989">
        <f t="shared" si="65"/>
        <v>0</v>
      </c>
    </row>
    <row r="1990" spans="1:4" x14ac:dyDescent="0.55000000000000004">
      <c r="A1990">
        <f t="shared" si="64"/>
        <v>2017</v>
      </c>
      <c r="B1990" s="821">
        <v>42787</v>
      </c>
      <c r="C1990">
        <v>3.04</v>
      </c>
      <c r="D1990">
        <f t="shared" si="65"/>
        <v>0</v>
      </c>
    </row>
    <row r="1991" spans="1:4" x14ac:dyDescent="0.55000000000000004">
      <c r="A1991">
        <f t="shared" si="64"/>
        <v>2017</v>
      </c>
      <c r="B1991" s="821">
        <v>42783</v>
      </c>
      <c r="C1991">
        <v>3.03</v>
      </c>
      <c r="D1991">
        <f t="shared" si="65"/>
        <v>0</v>
      </c>
    </row>
    <row r="1992" spans="1:4" x14ac:dyDescent="0.55000000000000004">
      <c r="A1992">
        <f t="shared" si="64"/>
        <v>2017</v>
      </c>
      <c r="B1992" s="821">
        <v>42782</v>
      </c>
      <c r="C1992">
        <v>3.05</v>
      </c>
      <c r="D1992">
        <f t="shared" si="65"/>
        <v>0</v>
      </c>
    </row>
    <row r="1993" spans="1:4" x14ac:dyDescent="0.55000000000000004">
      <c r="A1993">
        <f t="shared" si="64"/>
        <v>2017</v>
      </c>
      <c r="B1993" s="821">
        <v>42781</v>
      </c>
      <c r="C1993">
        <v>3.09</v>
      </c>
      <c r="D1993">
        <f t="shared" si="65"/>
        <v>0</v>
      </c>
    </row>
    <row r="1994" spans="1:4" x14ac:dyDescent="0.55000000000000004">
      <c r="A1994">
        <f t="shared" si="64"/>
        <v>2017</v>
      </c>
      <c r="B1994" s="821">
        <v>42780</v>
      </c>
      <c r="C1994">
        <v>3.07</v>
      </c>
      <c r="D1994">
        <f t="shared" si="65"/>
        <v>0</v>
      </c>
    </row>
    <row r="1995" spans="1:4" x14ac:dyDescent="0.55000000000000004">
      <c r="A1995">
        <f t="shared" si="64"/>
        <v>2017</v>
      </c>
      <c r="B1995" s="821">
        <v>42779</v>
      </c>
      <c r="C1995">
        <v>3.03</v>
      </c>
      <c r="D1995">
        <f t="shared" si="65"/>
        <v>0</v>
      </c>
    </row>
    <row r="1996" spans="1:4" x14ac:dyDescent="0.55000000000000004">
      <c r="A1996">
        <f t="shared" si="64"/>
        <v>2017</v>
      </c>
      <c r="B1996" s="821">
        <v>42776</v>
      </c>
      <c r="C1996">
        <v>3.01</v>
      </c>
      <c r="D1996">
        <f t="shared" si="65"/>
        <v>0</v>
      </c>
    </row>
    <row r="1997" spans="1:4" x14ac:dyDescent="0.55000000000000004">
      <c r="A1997">
        <f t="shared" si="64"/>
        <v>2017</v>
      </c>
      <c r="B1997" s="821">
        <v>42775</v>
      </c>
      <c r="C1997">
        <v>3.02</v>
      </c>
      <c r="D1997">
        <f t="shared" si="65"/>
        <v>0</v>
      </c>
    </row>
    <row r="1998" spans="1:4" x14ac:dyDescent="0.55000000000000004">
      <c r="A1998">
        <f t="shared" si="64"/>
        <v>2017</v>
      </c>
      <c r="B1998" s="821">
        <v>42774</v>
      </c>
      <c r="C1998">
        <v>2.96</v>
      </c>
      <c r="D1998">
        <f t="shared" si="65"/>
        <v>0</v>
      </c>
    </row>
    <row r="1999" spans="1:4" x14ac:dyDescent="0.55000000000000004">
      <c r="A1999">
        <f t="shared" si="64"/>
        <v>2017</v>
      </c>
      <c r="B1999" s="821">
        <v>42773</v>
      </c>
      <c r="C1999">
        <v>3.02</v>
      </c>
      <c r="D1999">
        <f t="shared" si="65"/>
        <v>0</v>
      </c>
    </row>
    <row r="2000" spans="1:4" x14ac:dyDescent="0.55000000000000004">
      <c r="A2000">
        <f t="shared" si="64"/>
        <v>2017</v>
      </c>
      <c r="B2000" s="821">
        <v>42772</v>
      </c>
      <c r="C2000">
        <v>3.05</v>
      </c>
      <c r="D2000">
        <f t="shared" si="65"/>
        <v>0</v>
      </c>
    </row>
    <row r="2001" spans="1:4" x14ac:dyDescent="0.55000000000000004">
      <c r="A2001">
        <f t="shared" si="64"/>
        <v>2017</v>
      </c>
      <c r="B2001" s="821">
        <v>42769</v>
      </c>
      <c r="C2001">
        <v>3.11</v>
      </c>
      <c r="D2001">
        <f t="shared" si="65"/>
        <v>0</v>
      </c>
    </row>
    <row r="2002" spans="1:4" x14ac:dyDescent="0.55000000000000004">
      <c r="A2002">
        <f t="shared" si="64"/>
        <v>2017</v>
      </c>
      <c r="B2002" s="821">
        <v>42768</v>
      </c>
      <c r="C2002">
        <v>3.09</v>
      </c>
      <c r="D2002">
        <f t="shared" si="65"/>
        <v>0</v>
      </c>
    </row>
    <row r="2003" spans="1:4" x14ac:dyDescent="0.55000000000000004">
      <c r="A2003">
        <f t="shared" si="64"/>
        <v>2017</v>
      </c>
      <c r="B2003" s="821">
        <v>42767</v>
      </c>
      <c r="C2003">
        <v>3.08</v>
      </c>
      <c r="D2003">
        <f t="shared" si="65"/>
        <v>0</v>
      </c>
    </row>
    <row r="2004" spans="1:4" x14ac:dyDescent="0.55000000000000004">
      <c r="A2004">
        <f t="shared" si="64"/>
        <v>2017</v>
      </c>
      <c r="B2004" s="821">
        <v>42766</v>
      </c>
      <c r="C2004">
        <v>3.05</v>
      </c>
      <c r="D2004">
        <f t="shared" si="65"/>
        <v>0</v>
      </c>
    </row>
    <row r="2005" spans="1:4" x14ac:dyDescent="0.55000000000000004">
      <c r="A2005">
        <f t="shared" si="64"/>
        <v>2017</v>
      </c>
      <c r="B2005" s="821">
        <v>42765</v>
      </c>
      <c r="C2005">
        <v>3.08</v>
      </c>
      <c r="D2005">
        <f t="shared" si="65"/>
        <v>0</v>
      </c>
    </row>
    <row r="2006" spans="1:4" x14ac:dyDescent="0.55000000000000004">
      <c r="A2006">
        <f t="shared" si="64"/>
        <v>2017</v>
      </c>
      <c r="B2006" s="821">
        <v>42762</v>
      </c>
      <c r="C2006">
        <v>3.06</v>
      </c>
      <c r="D2006">
        <f t="shared" si="65"/>
        <v>0</v>
      </c>
    </row>
    <row r="2007" spans="1:4" x14ac:dyDescent="0.55000000000000004">
      <c r="A2007">
        <f t="shared" si="64"/>
        <v>2017</v>
      </c>
      <c r="B2007" s="821">
        <v>42761</v>
      </c>
      <c r="C2007">
        <v>3.08</v>
      </c>
      <c r="D2007">
        <f t="shared" si="65"/>
        <v>0</v>
      </c>
    </row>
    <row r="2008" spans="1:4" x14ac:dyDescent="0.55000000000000004">
      <c r="A2008">
        <f t="shared" si="64"/>
        <v>2017</v>
      </c>
      <c r="B2008" s="821">
        <v>42760</v>
      </c>
      <c r="C2008">
        <v>3.1</v>
      </c>
      <c r="D2008">
        <f t="shared" si="65"/>
        <v>0</v>
      </c>
    </row>
    <row r="2009" spans="1:4" x14ac:dyDescent="0.55000000000000004">
      <c r="A2009">
        <f t="shared" si="64"/>
        <v>2017</v>
      </c>
      <c r="B2009" s="821">
        <v>42759</v>
      </c>
      <c r="C2009">
        <v>3.05</v>
      </c>
      <c r="D2009">
        <f t="shared" si="65"/>
        <v>0</v>
      </c>
    </row>
    <row r="2010" spans="1:4" x14ac:dyDescent="0.55000000000000004">
      <c r="A2010">
        <f t="shared" si="64"/>
        <v>2017</v>
      </c>
      <c r="B2010" s="821">
        <v>42758</v>
      </c>
      <c r="C2010">
        <v>2.99</v>
      </c>
      <c r="D2010">
        <f t="shared" si="65"/>
        <v>0</v>
      </c>
    </row>
    <row r="2011" spans="1:4" x14ac:dyDescent="0.55000000000000004">
      <c r="A2011">
        <f t="shared" si="64"/>
        <v>2017</v>
      </c>
      <c r="B2011" s="821">
        <v>42755</v>
      </c>
      <c r="C2011">
        <v>3.05</v>
      </c>
      <c r="D2011">
        <f t="shared" si="65"/>
        <v>0</v>
      </c>
    </row>
    <row r="2012" spans="1:4" x14ac:dyDescent="0.55000000000000004">
      <c r="A2012">
        <f t="shared" si="64"/>
        <v>2017</v>
      </c>
      <c r="B2012" s="821">
        <v>42754</v>
      </c>
      <c r="C2012">
        <v>3.04</v>
      </c>
      <c r="D2012">
        <f t="shared" si="65"/>
        <v>0</v>
      </c>
    </row>
    <row r="2013" spans="1:4" x14ac:dyDescent="0.55000000000000004">
      <c r="A2013">
        <f t="shared" si="64"/>
        <v>2017</v>
      </c>
      <c r="B2013" s="821">
        <v>42753</v>
      </c>
      <c r="C2013">
        <v>3</v>
      </c>
      <c r="D2013">
        <f t="shared" si="65"/>
        <v>0</v>
      </c>
    </row>
    <row r="2014" spans="1:4" x14ac:dyDescent="0.55000000000000004">
      <c r="A2014">
        <f t="shared" si="64"/>
        <v>2017</v>
      </c>
      <c r="B2014" s="821">
        <v>42752</v>
      </c>
      <c r="C2014">
        <v>2.93</v>
      </c>
      <c r="D2014">
        <f t="shared" si="65"/>
        <v>0</v>
      </c>
    </row>
    <row r="2015" spans="1:4" x14ac:dyDescent="0.55000000000000004">
      <c r="A2015">
        <f t="shared" si="64"/>
        <v>2017</v>
      </c>
      <c r="B2015" s="821">
        <v>42748</v>
      </c>
      <c r="C2015">
        <v>2.99</v>
      </c>
      <c r="D2015">
        <f t="shared" si="65"/>
        <v>0</v>
      </c>
    </row>
    <row r="2016" spans="1:4" x14ac:dyDescent="0.55000000000000004">
      <c r="A2016">
        <f t="shared" si="64"/>
        <v>2017</v>
      </c>
      <c r="B2016" s="821">
        <v>42747</v>
      </c>
      <c r="C2016">
        <v>3.01</v>
      </c>
      <c r="D2016">
        <f t="shared" si="65"/>
        <v>0</v>
      </c>
    </row>
    <row r="2017" spans="1:4" x14ac:dyDescent="0.55000000000000004">
      <c r="A2017">
        <f t="shared" si="64"/>
        <v>2017</v>
      </c>
      <c r="B2017" s="821">
        <v>42746</v>
      </c>
      <c r="C2017">
        <v>2.96</v>
      </c>
      <c r="D2017">
        <f t="shared" si="65"/>
        <v>0</v>
      </c>
    </row>
    <row r="2018" spans="1:4" x14ac:dyDescent="0.55000000000000004">
      <c r="A2018">
        <f t="shared" si="64"/>
        <v>2017</v>
      </c>
      <c r="B2018" s="821">
        <v>42745</v>
      </c>
      <c r="C2018">
        <v>2.97</v>
      </c>
      <c r="D2018">
        <f t="shared" si="65"/>
        <v>0</v>
      </c>
    </row>
    <row r="2019" spans="1:4" x14ac:dyDescent="0.55000000000000004">
      <c r="A2019">
        <f t="shared" si="64"/>
        <v>2017</v>
      </c>
      <c r="B2019" s="821">
        <v>42744</v>
      </c>
      <c r="C2019">
        <v>2.97</v>
      </c>
      <c r="D2019">
        <f t="shared" si="65"/>
        <v>0</v>
      </c>
    </row>
    <row r="2020" spans="1:4" x14ac:dyDescent="0.55000000000000004">
      <c r="A2020">
        <f t="shared" si="64"/>
        <v>2017</v>
      </c>
      <c r="B2020" s="821">
        <v>42741</v>
      </c>
      <c r="C2020">
        <v>3</v>
      </c>
      <c r="D2020">
        <f t="shared" si="65"/>
        <v>0</v>
      </c>
    </row>
    <row r="2021" spans="1:4" x14ac:dyDescent="0.55000000000000004">
      <c r="A2021">
        <f t="shared" si="64"/>
        <v>2017</v>
      </c>
      <c r="B2021" s="821">
        <v>42740</v>
      </c>
      <c r="C2021">
        <v>2.96</v>
      </c>
      <c r="D2021">
        <f t="shared" si="65"/>
        <v>0</v>
      </c>
    </row>
    <row r="2022" spans="1:4" x14ac:dyDescent="0.55000000000000004">
      <c r="A2022">
        <f t="shared" si="64"/>
        <v>2017</v>
      </c>
      <c r="B2022" s="821">
        <v>42739</v>
      </c>
      <c r="C2022">
        <v>3.05</v>
      </c>
      <c r="D2022">
        <f t="shared" si="65"/>
        <v>0</v>
      </c>
    </row>
    <row r="2023" spans="1:4" x14ac:dyDescent="0.55000000000000004">
      <c r="A2023">
        <f t="shared" si="64"/>
        <v>2017</v>
      </c>
      <c r="B2023" s="821">
        <v>42738</v>
      </c>
      <c r="C2023">
        <v>3.04</v>
      </c>
      <c r="D2023">
        <f t="shared" si="65"/>
        <v>0</v>
      </c>
    </row>
    <row r="2024" spans="1:4" x14ac:dyDescent="0.55000000000000004">
      <c r="A2024">
        <f t="shared" si="64"/>
        <v>2016</v>
      </c>
      <c r="B2024" s="821">
        <v>42734</v>
      </c>
      <c r="C2024">
        <v>3.06</v>
      </c>
      <c r="D2024">
        <f t="shared" si="65"/>
        <v>0</v>
      </c>
    </row>
    <row r="2025" spans="1:4" x14ac:dyDescent="0.55000000000000004">
      <c r="A2025">
        <f t="shared" si="64"/>
        <v>2016</v>
      </c>
      <c r="B2025" s="821">
        <v>42733</v>
      </c>
      <c r="C2025">
        <v>3.08</v>
      </c>
      <c r="D2025">
        <f t="shared" si="65"/>
        <v>0</v>
      </c>
    </row>
    <row r="2026" spans="1:4" x14ac:dyDescent="0.55000000000000004">
      <c r="A2026">
        <f t="shared" si="64"/>
        <v>2016</v>
      </c>
      <c r="B2026" s="821">
        <v>42732</v>
      </c>
      <c r="C2026">
        <v>3.09</v>
      </c>
      <c r="D2026">
        <f t="shared" si="65"/>
        <v>0</v>
      </c>
    </row>
    <row r="2027" spans="1:4" x14ac:dyDescent="0.55000000000000004">
      <c r="A2027">
        <f t="shared" si="64"/>
        <v>2016</v>
      </c>
      <c r="B2027" s="821">
        <v>42731</v>
      </c>
      <c r="C2027">
        <v>3.14</v>
      </c>
      <c r="D2027">
        <f t="shared" si="65"/>
        <v>0</v>
      </c>
    </row>
    <row r="2028" spans="1:4" x14ac:dyDescent="0.55000000000000004">
      <c r="A2028">
        <f t="shared" si="64"/>
        <v>2016</v>
      </c>
      <c r="B2028" s="821">
        <v>42727</v>
      </c>
      <c r="C2028">
        <v>3.12</v>
      </c>
      <c r="D2028">
        <f t="shared" si="65"/>
        <v>0</v>
      </c>
    </row>
    <row r="2029" spans="1:4" x14ac:dyDescent="0.55000000000000004">
      <c r="A2029">
        <f t="shared" si="64"/>
        <v>2016</v>
      </c>
      <c r="B2029" s="821">
        <v>42726</v>
      </c>
      <c r="C2029">
        <v>3.12</v>
      </c>
      <c r="D2029">
        <f t="shared" si="65"/>
        <v>0</v>
      </c>
    </row>
    <row r="2030" spans="1:4" x14ac:dyDescent="0.55000000000000004">
      <c r="A2030">
        <f t="shared" si="64"/>
        <v>2016</v>
      </c>
      <c r="B2030" s="821">
        <v>42725</v>
      </c>
      <c r="C2030">
        <v>3.12</v>
      </c>
      <c r="D2030">
        <f t="shared" si="65"/>
        <v>0</v>
      </c>
    </row>
    <row r="2031" spans="1:4" x14ac:dyDescent="0.55000000000000004">
      <c r="A2031">
        <f t="shared" si="64"/>
        <v>2016</v>
      </c>
      <c r="B2031" s="821">
        <v>42724</v>
      </c>
      <c r="C2031">
        <v>3.15</v>
      </c>
      <c r="D2031">
        <f t="shared" si="65"/>
        <v>0</v>
      </c>
    </row>
    <row r="2032" spans="1:4" x14ac:dyDescent="0.55000000000000004">
      <c r="A2032">
        <f t="shared" si="64"/>
        <v>2016</v>
      </c>
      <c r="B2032" s="821">
        <v>42723</v>
      </c>
      <c r="C2032">
        <v>3.12</v>
      </c>
      <c r="D2032">
        <f t="shared" si="65"/>
        <v>0</v>
      </c>
    </row>
    <row r="2033" spans="1:4" x14ac:dyDescent="0.55000000000000004">
      <c r="A2033">
        <f t="shared" si="64"/>
        <v>2016</v>
      </c>
      <c r="B2033" s="821">
        <v>42720</v>
      </c>
      <c r="C2033">
        <v>3.19</v>
      </c>
      <c r="D2033">
        <f t="shared" si="65"/>
        <v>0</v>
      </c>
    </row>
    <row r="2034" spans="1:4" x14ac:dyDescent="0.55000000000000004">
      <c r="A2034">
        <f t="shared" si="64"/>
        <v>2016</v>
      </c>
      <c r="B2034" s="821">
        <v>42719</v>
      </c>
      <c r="C2034">
        <v>3.16</v>
      </c>
      <c r="D2034">
        <f t="shared" si="65"/>
        <v>0</v>
      </c>
    </row>
    <row r="2035" spans="1:4" x14ac:dyDescent="0.55000000000000004">
      <c r="A2035">
        <f t="shared" si="64"/>
        <v>2016</v>
      </c>
      <c r="B2035" s="821">
        <v>42718</v>
      </c>
      <c r="C2035">
        <v>3.14</v>
      </c>
      <c r="D2035">
        <f t="shared" si="65"/>
        <v>0</v>
      </c>
    </row>
    <row r="2036" spans="1:4" x14ac:dyDescent="0.55000000000000004">
      <c r="A2036">
        <f t="shared" si="64"/>
        <v>2016</v>
      </c>
      <c r="B2036" s="821">
        <v>42717</v>
      </c>
      <c r="C2036">
        <v>3.14</v>
      </c>
      <c r="D2036">
        <f t="shared" si="65"/>
        <v>0</v>
      </c>
    </row>
    <row r="2037" spans="1:4" x14ac:dyDescent="0.55000000000000004">
      <c r="A2037">
        <f t="shared" si="64"/>
        <v>2016</v>
      </c>
      <c r="B2037" s="821">
        <v>42716</v>
      </c>
      <c r="C2037">
        <v>3.16</v>
      </c>
      <c r="D2037">
        <f t="shared" si="65"/>
        <v>0</v>
      </c>
    </row>
    <row r="2038" spans="1:4" x14ac:dyDescent="0.55000000000000004">
      <c r="A2038">
        <f t="shared" si="64"/>
        <v>2016</v>
      </c>
      <c r="B2038" s="821">
        <v>42713</v>
      </c>
      <c r="C2038">
        <v>3.16</v>
      </c>
      <c r="D2038">
        <f t="shared" si="65"/>
        <v>0</v>
      </c>
    </row>
    <row r="2039" spans="1:4" x14ac:dyDescent="0.55000000000000004">
      <c r="A2039">
        <f t="shared" si="64"/>
        <v>2016</v>
      </c>
      <c r="B2039" s="821">
        <v>42712</v>
      </c>
      <c r="C2039">
        <v>3.1</v>
      </c>
      <c r="D2039">
        <f t="shared" si="65"/>
        <v>0</v>
      </c>
    </row>
    <row r="2040" spans="1:4" x14ac:dyDescent="0.55000000000000004">
      <c r="A2040">
        <f t="shared" si="64"/>
        <v>2016</v>
      </c>
      <c r="B2040" s="821">
        <v>42711</v>
      </c>
      <c r="C2040">
        <v>3.02</v>
      </c>
      <c r="D2040">
        <f t="shared" si="65"/>
        <v>0</v>
      </c>
    </row>
    <row r="2041" spans="1:4" x14ac:dyDescent="0.55000000000000004">
      <c r="A2041">
        <f t="shared" si="64"/>
        <v>2016</v>
      </c>
      <c r="B2041" s="821">
        <v>42710</v>
      </c>
      <c r="C2041">
        <v>3.08</v>
      </c>
      <c r="D2041">
        <f t="shared" si="65"/>
        <v>0</v>
      </c>
    </row>
    <row r="2042" spans="1:4" x14ac:dyDescent="0.55000000000000004">
      <c r="A2042">
        <f t="shared" si="64"/>
        <v>2016</v>
      </c>
      <c r="B2042" s="821">
        <v>42709</v>
      </c>
      <c r="C2042">
        <v>3.05</v>
      </c>
      <c r="D2042">
        <f t="shared" si="65"/>
        <v>0</v>
      </c>
    </row>
    <row r="2043" spans="1:4" x14ac:dyDescent="0.55000000000000004">
      <c r="A2043">
        <f t="shared" si="64"/>
        <v>2016</v>
      </c>
      <c r="B2043" s="821">
        <v>42706</v>
      </c>
      <c r="C2043">
        <v>3.08</v>
      </c>
      <c r="D2043">
        <f t="shared" si="65"/>
        <v>0</v>
      </c>
    </row>
    <row r="2044" spans="1:4" x14ac:dyDescent="0.55000000000000004">
      <c r="A2044">
        <f t="shared" si="64"/>
        <v>2016</v>
      </c>
      <c r="B2044" s="821">
        <v>42705</v>
      </c>
      <c r="C2044">
        <v>3.1</v>
      </c>
      <c r="D2044">
        <f t="shared" si="65"/>
        <v>0</v>
      </c>
    </row>
    <row r="2045" spans="1:4" x14ac:dyDescent="0.55000000000000004">
      <c r="A2045">
        <f t="shared" si="64"/>
        <v>2016</v>
      </c>
      <c r="B2045" s="821">
        <v>42704</v>
      </c>
      <c r="C2045">
        <v>3.02</v>
      </c>
      <c r="D2045">
        <f t="shared" si="65"/>
        <v>0</v>
      </c>
    </row>
    <row r="2046" spans="1:4" x14ac:dyDescent="0.55000000000000004">
      <c r="A2046">
        <f t="shared" si="64"/>
        <v>2016</v>
      </c>
      <c r="B2046" s="821">
        <v>42703</v>
      </c>
      <c r="C2046">
        <v>2.95</v>
      </c>
      <c r="D2046">
        <f t="shared" si="65"/>
        <v>0</v>
      </c>
    </row>
    <row r="2047" spans="1:4" x14ac:dyDescent="0.55000000000000004">
      <c r="A2047">
        <f t="shared" si="64"/>
        <v>2016</v>
      </c>
      <c r="B2047" s="821">
        <v>42702</v>
      </c>
      <c r="C2047">
        <v>2.99</v>
      </c>
      <c r="D2047">
        <f t="shared" si="65"/>
        <v>0</v>
      </c>
    </row>
    <row r="2048" spans="1:4" x14ac:dyDescent="0.55000000000000004">
      <c r="A2048">
        <f t="shared" si="64"/>
        <v>2016</v>
      </c>
      <c r="B2048" s="821">
        <v>42699</v>
      </c>
      <c r="C2048">
        <v>3.01</v>
      </c>
      <c r="D2048">
        <f t="shared" si="65"/>
        <v>0</v>
      </c>
    </row>
    <row r="2049" spans="1:4" x14ac:dyDescent="0.55000000000000004">
      <c r="A2049">
        <f t="shared" si="64"/>
        <v>2016</v>
      </c>
      <c r="B2049" s="821">
        <v>42697</v>
      </c>
      <c r="C2049">
        <v>3.02</v>
      </c>
      <c r="D2049">
        <f t="shared" si="65"/>
        <v>0</v>
      </c>
    </row>
    <row r="2050" spans="1:4" x14ac:dyDescent="0.55000000000000004">
      <c r="A2050">
        <f t="shared" si="64"/>
        <v>2016</v>
      </c>
      <c r="B2050" s="821">
        <v>42696</v>
      </c>
      <c r="C2050">
        <v>3</v>
      </c>
      <c r="D2050">
        <f t="shared" si="65"/>
        <v>0</v>
      </c>
    </row>
    <row r="2051" spans="1:4" x14ac:dyDescent="0.55000000000000004">
      <c r="A2051">
        <f t="shared" si="64"/>
        <v>2016</v>
      </c>
      <c r="B2051" s="821">
        <v>42695</v>
      </c>
      <c r="C2051">
        <v>3</v>
      </c>
      <c r="D2051">
        <f t="shared" si="65"/>
        <v>0</v>
      </c>
    </row>
    <row r="2052" spans="1:4" x14ac:dyDescent="0.55000000000000004">
      <c r="A2052">
        <f t="shared" ref="A2052:A2115" si="66">YEAR(B2052)</f>
        <v>2016</v>
      </c>
      <c r="B2052" s="821">
        <v>42692</v>
      </c>
      <c r="C2052">
        <v>3.01</v>
      </c>
      <c r="D2052">
        <f t="shared" ref="D2052:D2115" si="67">IF(C2052&gt;4,1,0)</f>
        <v>0</v>
      </c>
    </row>
    <row r="2053" spans="1:4" x14ac:dyDescent="0.55000000000000004">
      <c r="A2053">
        <f t="shared" si="66"/>
        <v>2016</v>
      </c>
      <c r="B2053" s="821">
        <v>42691</v>
      </c>
      <c r="C2053">
        <v>3.01</v>
      </c>
      <c r="D2053">
        <f t="shared" si="67"/>
        <v>0</v>
      </c>
    </row>
    <row r="2054" spans="1:4" x14ac:dyDescent="0.55000000000000004">
      <c r="A2054">
        <f t="shared" si="66"/>
        <v>2016</v>
      </c>
      <c r="B2054" s="821">
        <v>42690</v>
      </c>
      <c r="C2054">
        <v>2.92</v>
      </c>
      <c r="D2054">
        <f t="shared" si="67"/>
        <v>0</v>
      </c>
    </row>
    <row r="2055" spans="1:4" x14ac:dyDescent="0.55000000000000004">
      <c r="A2055">
        <f t="shared" si="66"/>
        <v>2016</v>
      </c>
      <c r="B2055" s="821">
        <v>42689</v>
      </c>
      <c r="C2055">
        <v>2.97</v>
      </c>
      <c r="D2055">
        <f t="shared" si="67"/>
        <v>0</v>
      </c>
    </row>
    <row r="2056" spans="1:4" x14ac:dyDescent="0.55000000000000004">
      <c r="A2056">
        <f t="shared" si="66"/>
        <v>2016</v>
      </c>
      <c r="B2056" s="821">
        <v>42688</v>
      </c>
      <c r="C2056">
        <v>2.99</v>
      </c>
      <c r="D2056">
        <f t="shared" si="67"/>
        <v>0</v>
      </c>
    </row>
    <row r="2057" spans="1:4" x14ac:dyDescent="0.55000000000000004">
      <c r="A2057">
        <f t="shared" si="66"/>
        <v>2016</v>
      </c>
      <c r="B2057" s="821">
        <v>42684</v>
      </c>
      <c r="C2057">
        <v>2.94</v>
      </c>
      <c r="D2057">
        <f t="shared" si="67"/>
        <v>0</v>
      </c>
    </row>
    <row r="2058" spans="1:4" x14ac:dyDescent="0.55000000000000004">
      <c r="A2058">
        <f t="shared" si="66"/>
        <v>2016</v>
      </c>
      <c r="B2058" s="821">
        <v>42683</v>
      </c>
      <c r="C2058">
        <v>2.88</v>
      </c>
      <c r="D2058">
        <f t="shared" si="67"/>
        <v>0</v>
      </c>
    </row>
    <row r="2059" spans="1:4" x14ac:dyDescent="0.55000000000000004">
      <c r="A2059">
        <f t="shared" si="66"/>
        <v>2016</v>
      </c>
      <c r="B2059" s="821">
        <v>42682</v>
      </c>
      <c r="C2059">
        <v>2.63</v>
      </c>
      <c r="D2059">
        <f t="shared" si="67"/>
        <v>0</v>
      </c>
    </row>
    <row r="2060" spans="1:4" x14ac:dyDescent="0.55000000000000004">
      <c r="A2060">
        <f t="shared" si="66"/>
        <v>2016</v>
      </c>
      <c r="B2060" s="821">
        <v>42681</v>
      </c>
      <c r="C2060">
        <v>2.6</v>
      </c>
      <c r="D2060">
        <f t="shared" si="67"/>
        <v>0</v>
      </c>
    </row>
    <row r="2061" spans="1:4" x14ac:dyDescent="0.55000000000000004">
      <c r="A2061">
        <f t="shared" si="66"/>
        <v>2016</v>
      </c>
      <c r="B2061" s="821">
        <v>42678</v>
      </c>
      <c r="C2061">
        <v>2.56</v>
      </c>
      <c r="D2061">
        <f t="shared" si="67"/>
        <v>0</v>
      </c>
    </row>
    <row r="2062" spans="1:4" x14ac:dyDescent="0.55000000000000004">
      <c r="A2062">
        <f t="shared" si="66"/>
        <v>2016</v>
      </c>
      <c r="B2062" s="821">
        <v>42677</v>
      </c>
      <c r="C2062">
        <v>2.6</v>
      </c>
      <c r="D2062">
        <f t="shared" si="67"/>
        <v>0</v>
      </c>
    </row>
    <row r="2063" spans="1:4" x14ac:dyDescent="0.55000000000000004">
      <c r="A2063">
        <f t="shared" si="66"/>
        <v>2016</v>
      </c>
      <c r="B2063" s="821">
        <v>42676</v>
      </c>
      <c r="C2063">
        <v>2.56</v>
      </c>
      <c r="D2063">
        <f t="shared" si="67"/>
        <v>0</v>
      </c>
    </row>
    <row r="2064" spans="1:4" x14ac:dyDescent="0.55000000000000004">
      <c r="A2064">
        <f t="shared" si="66"/>
        <v>2016</v>
      </c>
      <c r="B2064" s="821">
        <v>42675</v>
      </c>
      <c r="C2064">
        <v>2.58</v>
      </c>
      <c r="D2064">
        <f t="shared" si="67"/>
        <v>0</v>
      </c>
    </row>
    <row r="2065" spans="1:4" x14ac:dyDescent="0.55000000000000004">
      <c r="A2065">
        <f t="shared" si="66"/>
        <v>2016</v>
      </c>
      <c r="B2065" s="821">
        <v>42674</v>
      </c>
      <c r="C2065">
        <v>2.58</v>
      </c>
      <c r="D2065">
        <f t="shared" si="67"/>
        <v>0</v>
      </c>
    </row>
    <row r="2066" spans="1:4" x14ac:dyDescent="0.55000000000000004">
      <c r="A2066">
        <f t="shared" si="66"/>
        <v>2016</v>
      </c>
      <c r="B2066" s="821">
        <v>42671</v>
      </c>
      <c r="C2066">
        <v>2.62</v>
      </c>
      <c r="D2066">
        <f t="shared" si="67"/>
        <v>0</v>
      </c>
    </row>
    <row r="2067" spans="1:4" x14ac:dyDescent="0.55000000000000004">
      <c r="A2067">
        <f t="shared" si="66"/>
        <v>2016</v>
      </c>
      <c r="B2067" s="821">
        <v>42670</v>
      </c>
      <c r="C2067">
        <v>2.6</v>
      </c>
      <c r="D2067">
        <f t="shared" si="67"/>
        <v>0</v>
      </c>
    </row>
    <row r="2068" spans="1:4" x14ac:dyDescent="0.55000000000000004">
      <c r="A2068">
        <f t="shared" si="66"/>
        <v>2016</v>
      </c>
      <c r="B2068" s="821">
        <v>42669</v>
      </c>
      <c r="C2068">
        <v>2.5299999999999998</v>
      </c>
      <c r="D2068">
        <f t="shared" si="67"/>
        <v>0</v>
      </c>
    </row>
    <row r="2069" spans="1:4" x14ac:dyDescent="0.55000000000000004">
      <c r="A2069">
        <f t="shared" si="66"/>
        <v>2016</v>
      </c>
      <c r="B2069" s="821">
        <v>42668</v>
      </c>
      <c r="C2069">
        <v>2.5</v>
      </c>
      <c r="D2069">
        <f t="shared" si="67"/>
        <v>0</v>
      </c>
    </row>
    <row r="2070" spans="1:4" x14ac:dyDescent="0.55000000000000004">
      <c r="A2070">
        <f t="shared" si="66"/>
        <v>2016</v>
      </c>
      <c r="B2070" s="821">
        <v>42667</v>
      </c>
      <c r="C2070">
        <v>2.52</v>
      </c>
      <c r="D2070">
        <f t="shared" si="67"/>
        <v>0</v>
      </c>
    </row>
    <row r="2071" spans="1:4" x14ac:dyDescent="0.55000000000000004">
      <c r="A2071">
        <f t="shared" si="66"/>
        <v>2016</v>
      </c>
      <c r="B2071" s="821">
        <v>42664</v>
      </c>
      <c r="C2071">
        <v>2.48</v>
      </c>
      <c r="D2071">
        <f t="shared" si="67"/>
        <v>0</v>
      </c>
    </row>
    <row r="2072" spans="1:4" x14ac:dyDescent="0.55000000000000004">
      <c r="A2072">
        <f t="shared" si="66"/>
        <v>2016</v>
      </c>
      <c r="B2072" s="821">
        <v>42663</v>
      </c>
      <c r="C2072">
        <v>2.5</v>
      </c>
      <c r="D2072">
        <f t="shared" si="67"/>
        <v>0</v>
      </c>
    </row>
    <row r="2073" spans="1:4" x14ac:dyDescent="0.55000000000000004">
      <c r="A2073">
        <f t="shared" si="66"/>
        <v>2016</v>
      </c>
      <c r="B2073" s="821">
        <v>42662</v>
      </c>
      <c r="C2073">
        <v>2.5099999999999998</v>
      </c>
      <c r="D2073">
        <f t="shared" si="67"/>
        <v>0</v>
      </c>
    </row>
    <row r="2074" spans="1:4" x14ac:dyDescent="0.55000000000000004">
      <c r="A2074">
        <f t="shared" si="66"/>
        <v>2016</v>
      </c>
      <c r="B2074" s="821">
        <v>42661</v>
      </c>
      <c r="C2074">
        <v>2.5099999999999998</v>
      </c>
      <c r="D2074">
        <f t="shared" si="67"/>
        <v>0</v>
      </c>
    </row>
    <row r="2075" spans="1:4" x14ac:dyDescent="0.55000000000000004">
      <c r="A2075">
        <f t="shared" si="66"/>
        <v>2016</v>
      </c>
      <c r="B2075" s="821">
        <v>42660</v>
      </c>
      <c r="C2075">
        <v>2.52</v>
      </c>
      <c r="D2075">
        <f t="shared" si="67"/>
        <v>0</v>
      </c>
    </row>
    <row r="2076" spans="1:4" x14ac:dyDescent="0.55000000000000004">
      <c r="A2076">
        <f t="shared" si="66"/>
        <v>2016</v>
      </c>
      <c r="B2076" s="821">
        <v>42657</v>
      </c>
      <c r="C2076">
        <v>2.5499999999999998</v>
      </c>
      <c r="D2076">
        <f t="shared" si="67"/>
        <v>0</v>
      </c>
    </row>
    <row r="2077" spans="1:4" x14ac:dyDescent="0.55000000000000004">
      <c r="A2077">
        <f t="shared" si="66"/>
        <v>2016</v>
      </c>
      <c r="B2077" s="821">
        <v>42656</v>
      </c>
      <c r="C2077">
        <v>2.48</v>
      </c>
      <c r="D2077">
        <f t="shared" si="67"/>
        <v>0</v>
      </c>
    </row>
    <row r="2078" spans="1:4" x14ac:dyDescent="0.55000000000000004">
      <c r="A2078">
        <f t="shared" si="66"/>
        <v>2016</v>
      </c>
      <c r="B2078" s="821">
        <v>42655</v>
      </c>
      <c r="C2078">
        <v>2.5099999999999998</v>
      </c>
      <c r="D2078">
        <f t="shared" si="67"/>
        <v>0</v>
      </c>
    </row>
    <row r="2079" spans="1:4" x14ac:dyDescent="0.55000000000000004">
      <c r="A2079">
        <f t="shared" si="66"/>
        <v>2016</v>
      </c>
      <c r="B2079" s="821">
        <v>42654</v>
      </c>
      <c r="C2079">
        <v>2.5</v>
      </c>
      <c r="D2079">
        <f t="shared" si="67"/>
        <v>0</v>
      </c>
    </row>
    <row r="2080" spans="1:4" x14ac:dyDescent="0.55000000000000004">
      <c r="A2080">
        <f t="shared" si="66"/>
        <v>2016</v>
      </c>
      <c r="B2080" s="821">
        <v>42650</v>
      </c>
      <c r="C2080">
        <v>2.46</v>
      </c>
      <c r="D2080">
        <f t="shared" si="67"/>
        <v>0</v>
      </c>
    </row>
    <row r="2081" spans="1:4" x14ac:dyDescent="0.55000000000000004">
      <c r="A2081">
        <f t="shared" si="66"/>
        <v>2016</v>
      </c>
      <c r="B2081" s="821">
        <v>42649</v>
      </c>
      <c r="C2081">
        <v>2.46</v>
      </c>
      <c r="D2081">
        <f t="shared" si="67"/>
        <v>0</v>
      </c>
    </row>
    <row r="2082" spans="1:4" x14ac:dyDescent="0.55000000000000004">
      <c r="A2082">
        <f t="shared" si="66"/>
        <v>2016</v>
      </c>
      <c r="B2082" s="821">
        <v>42648</v>
      </c>
      <c r="C2082">
        <v>2.44</v>
      </c>
      <c r="D2082">
        <f t="shared" si="67"/>
        <v>0</v>
      </c>
    </row>
    <row r="2083" spans="1:4" x14ac:dyDescent="0.55000000000000004">
      <c r="A2083">
        <f t="shared" si="66"/>
        <v>2016</v>
      </c>
      <c r="B2083" s="821">
        <v>42647</v>
      </c>
      <c r="C2083">
        <v>2.4</v>
      </c>
      <c r="D2083">
        <f t="shared" si="67"/>
        <v>0</v>
      </c>
    </row>
    <row r="2084" spans="1:4" x14ac:dyDescent="0.55000000000000004">
      <c r="A2084">
        <f t="shared" si="66"/>
        <v>2016</v>
      </c>
      <c r="B2084" s="821">
        <v>42646</v>
      </c>
      <c r="C2084">
        <v>2.34</v>
      </c>
      <c r="D2084">
        <f t="shared" si="67"/>
        <v>0</v>
      </c>
    </row>
    <row r="2085" spans="1:4" x14ac:dyDescent="0.55000000000000004">
      <c r="A2085">
        <f t="shared" si="66"/>
        <v>2016</v>
      </c>
      <c r="B2085" s="821">
        <v>42643</v>
      </c>
      <c r="C2085">
        <v>2.3199999999999998</v>
      </c>
      <c r="D2085">
        <f t="shared" si="67"/>
        <v>0</v>
      </c>
    </row>
    <row r="2086" spans="1:4" x14ac:dyDescent="0.55000000000000004">
      <c r="A2086">
        <f t="shared" si="66"/>
        <v>2016</v>
      </c>
      <c r="B2086" s="821">
        <v>42642</v>
      </c>
      <c r="C2086">
        <v>2.2799999999999998</v>
      </c>
      <c r="D2086">
        <f t="shared" si="67"/>
        <v>0</v>
      </c>
    </row>
    <row r="2087" spans="1:4" x14ac:dyDescent="0.55000000000000004">
      <c r="A2087">
        <f t="shared" si="66"/>
        <v>2016</v>
      </c>
      <c r="B2087" s="821">
        <v>42641</v>
      </c>
      <c r="C2087">
        <v>2.29</v>
      </c>
      <c r="D2087">
        <f t="shared" si="67"/>
        <v>0</v>
      </c>
    </row>
    <row r="2088" spans="1:4" x14ac:dyDescent="0.55000000000000004">
      <c r="A2088">
        <f t="shared" si="66"/>
        <v>2016</v>
      </c>
      <c r="B2088" s="821">
        <v>42640</v>
      </c>
      <c r="C2088">
        <v>2.2799999999999998</v>
      </c>
      <c r="D2088">
        <f t="shared" si="67"/>
        <v>0</v>
      </c>
    </row>
    <row r="2089" spans="1:4" x14ac:dyDescent="0.55000000000000004">
      <c r="A2089">
        <f t="shared" si="66"/>
        <v>2016</v>
      </c>
      <c r="B2089" s="821">
        <v>42639</v>
      </c>
      <c r="C2089">
        <v>2.3199999999999998</v>
      </c>
      <c r="D2089">
        <f t="shared" si="67"/>
        <v>0</v>
      </c>
    </row>
    <row r="2090" spans="1:4" x14ac:dyDescent="0.55000000000000004">
      <c r="A2090">
        <f t="shared" si="66"/>
        <v>2016</v>
      </c>
      <c r="B2090" s="821">
        <v>42636</v>
      </c>
      <c r="C2090">
        <v>2.34</v>
      </c>
      <c r="D2090">
        <f t="shared" si="67"/>
        <v>0</v>
      </c>
    </row>
    <row r="2091" spans="1:4" x14ac:dyDescent="0.55000000000000004">
      <c r="A2091">
        <f t="shared" si="66"/>
        <v>2016</v>
      </c>
      <c r="B2091" s="821">
        <v>42635</v>
      </c>
      <c r="C2091">
        <v>2.34</v>
      </c>
      <c r="D2091">
        <f t="shared" si="67"/>
        <v>0</v>
      </c>
    </row>
    <row r="2092" spans="1:4" x14ac:dyDescent="0.55000000000000004">
      <c r="A2092">
        <f t="shared" si="66"/>
        <v>2016</v>
      </c>
      <c r="B2092" s="821">
        <v>42634</v>
      </c>
      <c r="C2092">
        <v>2.39</v>
      </c>
      <c r="D2092">
        <f t="shared" si="67"/>
        <v>0</v>
      </c>
    </row>
    <row r="2093" spans="1:4" x14ac:dyDescent="0.55000000000000004">
      <c r="A2093">
        <f t="shared" si="66"/>
        <v>2016</v>
      </c>
      <c r="B2093" s="821">
        <v>42633</v>
      </c>
      <c r="C2093">
        <v>2.4300000000000002</v>
      </c>
      <c r="D2093">
        <f t="shared" si="67"/>
        <v>0</v>
      </c>
    </row>
    <row r="2094" spans="1:4" x14ac:dyDescent="0.55000000000000004">
      <c r="A2094">
        <f t="shared" si="66"/>
        <v>2016</v>
      </c>
      <c r="B2094" s="821">
        <v>42632</v>
      </c>
      <c r="C2094">
        <v>2.4500000000000002</v>
      </c>
      <c r="D2094">
        <f t="shared" si="67"/>
        <v>0</v>
      </c>
    </row>
    <row r="2095" spans="1:4" x14ac:dyDescent="0.55000000000000004">
      <c r="A2095">
        <f t="shared" si="66"/>
        <v>2016</v>
      </c>
      <c r="B2095" s="821">
        <v>42629</v>
      </c>
      <c r="C2095">
        <v>2.44</v>
      </c>
      <c r="D2095">
        <f t="shared" si="67"/>
        <v>0</v>
      </c>
    </row>
    <row r="2096" spans="1:4" x14ac:dyDescent="0.55000000000000004">
      <c r="A2096">
        <f t="shared" si="66"/>
        <v>2016</v>
      </c>
      <c r="B2096" s="821">
        <v>42628</v>
      </c>
      <c r="C2096">
        <v>2.48</v>
      </c>
      <c r="D2096">
        <f t="shared" si="67"/>
        <v>0</v>
      </c>
    </row>
    <row r="2097" spans="1:4" x14ac:dyDescent="0.55000000000000004">
      <c r="A2097">
        <f t="shared" si="66"/>
        <v>2016</v>
      </c>
      <c r="B2097" s="821">
        <v>42627</v>
      </c>
      <c r="C2097">
        <v>2.44</v>
      </c>
      <c r="D2097">
        <f t="shared" si="67"/>
        <v>0</v>
      </c>
    </row>
    <row r="2098" spans="1:4" x14ac:dyDescent="0.55000000000000004">
      <c r="A2098">
        <f t="shared" si="66"/>
        <v>2016</v>
      </c>
      <c r="B2098" s="821">
        <v>42626</v>
      </c>
      <c r="C2098">
        <v>2.4700000000000002</v>
      </c>
      <c r="D2098">
        <f t="shared" si="67"/>
        <v>0</v>
      </c>
    </row>
    <row r="2099" spans="1:4" x14ac:dyDescent="0.55000000000000004">
      <c r="A2099">
        <f t="shared" si="66"/>
        <v>2016</v>
      </c>
      <c r="B2099" s="821">
        <v>42625</v>
      </c>
      <c r="C2099">
        <v>2.4</v>
      </c>
      <c r="D2099">
        <f t="shared" si="67"/>
        <v>0</v>
      </c>
    </row>
    <row r="2100" spans="1:4" x14ac:dyDescent="0.55000000000000004">
      <c r="A2100">
        <f t="shared" si="66"/>
        <v>2016</v>
      </c>
      <c r="B2100" s="821">
        <v>42622</v>
      </c>
      <c r="C2100">
        <v>2.39</v>
      </c>
      <c r="D2100">
        <f t="shared" si="67"/>
        <v>0</v>
      </c>
    </row>
    <row r="2101" spans="1:4" x14ac:dyDescent="0.55000000000000004">
      <c r="A2101">
        <f t="shared" si="66"/>
        <v>2016</v>
      </c>
      <c r="B2101" s="821">
        <v>42621</v>
      </c>
      <c r="C2101">
        <v>2.3199999999999998</v>
      </c>
      <c r="D2101">
        <f t="shared" si="67"/>
        <v>0</v>
      </c>
    </row>
    <row r="2102" spans="1:4" x14ac:dyDescent="0.55000000000000004">
      <c r="A2102">
        <f t="shared" si="66"/>
        <v>2016</v>
      </c>
      <c r="B2102" s="821">
        <v>42620</v>
      </c>
      <c r="C2102">
        <v>2.23</v>
      </c>
      <c r="D2102">
        <f t="shared" si="67"/>
        <v>0</v>
      </c>
    </row>
    <row r="2103" spans="1:4" x14ac:dyDescent="0.55000000000000004">
      <c r="A2103">
        <f t="shared" si="66"/>
        <v>2016</v>
      </c>
      <c r="B2103" s="821">
        <v>42619</v>
      </c>
      <c r="C2103">
        <v>2.2400000000000002</v>
      </c>
      <c r="D2103">
        <f t="shared" si="67"/>
        <v>0</v>
      </c>
    </row>
    <row r="2104" spans="1:4" x14ac:dyDescent="0.55000000000000004">
      <c r="A2104">
        <f t="shared" si="66"/>
        <v>2016</v>
      </c>
      <c r="B2104" s="821">
        <v>42615</v>
      </c>
      <c r="C2104">
        <v>2.2799999999999998</v>
      </c>
      <c r="D2104">
        <f t="shared" si="67"/>
        <v>0</v>
      </c>
    </row>
    <row r="2105" spans="1:4" x14ac:dyDescent="0.55000000000000004">
      <c r="A2105">
        <f t="shared" si="66"/>
        <v>2016</v>
      </c>
      <c r="B2105" s="821">
        <v>42614</v>
      </c>
      <c r="C2105">
        <v>2.23</v>
      </c>
      <c r="D2105">
        <f t="shared" si="67"/>
        <v>0</v>
      </c>
    </row>
    <row r="2106" spans="1:4" x14ac:dyDescent="0.55000000000000004">
      <c r="A2106">
        <f t="shared" si="66"/>
        <v>2016</v>
      </c>
      <c r="B2106" s="821">
        <v>42613</v>
      </c>
      <c r="C2106">
        <v>2.23</v>
      </c>
      <c r="D2106">
        <f t="shared" si="67"/>
        <v>0</v>
      </c>
    </row>
    <row r="2107" spans="1:4" x14ac:dyDescent="0.55000000000000004">
      <c r="A2107">
        <f t="shared" si="66"/>
        <v>2016</v>
      </c>
      <c r="B2107" s="821">
        <v>42612</v>
      </c>
      <c r="C2107">
        <v>2.23</v>
      </c>
      <c r="D2107">
        <f t="shared" si="67"/>
        <v>0</v>
      </c>
    </row>
    <row r="2108" spans="1:4" x14ac:dyDescent="0.55000000000000004">
      <c r="A2108">
        <f t="shared" si="66"/>
        <v>2016</v>
      </c>
      <c r="B2108" s="821">
        <v>42611</v>
      </c>
      <c r="C2108">
        <v>2.2200000000000002</v>
      </c>
      <c r="D2108">
        <f t="shared" si="67"/>
        <v>0</v>
      </c>
    </row>
    <row r="2109" spans="1:4" x14ac:dyDescent="0.55000000000000004">
      <c r="A2109">
        <f t="shared" si="66"/>
        <v>2016</v>
      </c>
      <c r="B2109" s="821">
        <v>42608</v>
      </c>
      <c r="C2109">
        <v>2.29</v>
      </c>
      <c r="D2109">
        <f t="shared" si="67"/>
        <v>0</v>
      </c>
    </row>
    <row r="2110" spans="1:4" x14ac:dyDescent="0.55000000000000004">
      <c r="A2110">
        <f t="shared" si="66"/>
        <v>2016</v>
      </c>
      <c r="B2110" s="821">
        <v>42607</v>
      </c>
      <c r="C2110">
        <v>2.27</v>
      </c>
      <c r="D2110">
        <f t="shared" si="67"/>
        <v>0</v>
      </c>
    </row>
    <row r="2111" spans="1:4" x14ac:dyDescent="0.55000000000000004">
      <c r="A2111">
        <f t="shared" si="66"/>
        <v>2016</v>
      </c>
      <c r="B2111" s="821">
        <v>42606</v>
      </c>
      <c r="C2111">
        <v>2.2400000000000002</v>
      </c>
      <c r="D2111">
        <f t="shared" si="67"/>
        <v>0</v>
      </c>
    </row>
    <row r="2112" spans="1:4" x14ac:dyDescent="0.55000000000000004">
      <c r="A2112">
        <f t="shared" si="66"/>
        <v>2016</v>
      </c>
      <c r="B2112" s="821">
        <v>42605</v>
      </c>
      <c r="C2112">
        <v>2.2400000000000002</v>
      </c>
      <c r="D2112">
        <f t="shared" si="67"/>
        <v>0</v>
      </c>
    </row>
    <row r="2113" spans="1:4" x14ac:dyDescent="0.55000000000000004">
      <c r="A2113">
        <f t="shared" si="66"/>
        <v>2016</v>
      </c>
      <c r="B2113" s="821">
        <v>42604</v>
      </c>
      <c r="C2113">
        <v>2.2400000000000002</v>
      </c>
      <c r="D2113">
        <f t="shared" si="67"/>
        <v>0</v>
      </c>
    </row>
    <row r="2114" spans="1:4" x14ac:dyDescent="0.55000000000000004">
      <c r="A2114">
        <f t="shared" si="66"/>
        <v>2016</v>
      </c>
      <c r="B2114" s="821">
        <v>42601</v>
      </c>
      <c r="C2114">
        <v>2.29</v>
      </c>
      <c r="D2114">
        <f t="shared" si="67"/>
        <v>0</v>
      </c>
    </row>
    <row r="2115" spans="1:4" x14ac:dyDescent="0.55000000000000004">
      <c r="A2115">
        <f t="shared" si="66"/>
        <v>2016</v>
      </c>
      <c r="B2115" s="821">
        <v>42600</v>
      </c>
      <c r="C2115">
        <v>2.2599999999999998</v>
      </c>
      <c r="D2115">
        <f t="shared" si="67"/>
        <v>0</v>
      </c>
    </row>
    <row r="2116" spans="1:4" x14ac:dyDescent="0.55000000000000004">
      <c r="A2116">
        <f t="shared" ref="A2116:A2179" si="68">YEAR(B2116)</f>
        <v>2016</v>
      </c>
      <c r="B2116" s="821">
        <v>42599</v>
      </c>
      <c r="C2116">
        <v>2.27</v>
      </c>
      <c r="D2116">
        <f t="shared" ref="D2116:D2179" si="69">IF(C2116&gt;4,1,0)</f>
        <v>0</v>
      </c>
    </row>
    <row r="2117" spans="1:4" x14ac:dyDescent="0.55000000000000004">
      <c r="A2117">
        <f t="shared" si="68"/>
        <v>2016</v>
      </c>
      <c r="B2117" s="821">
        <v>42598</v>
      </c>
      <c r="C2117">
        <v>2.29</v>
      </c>
      <c r="D2117">
        <f t="shared" si="69"/>
        <v>0</v>
      </c>
    </row>
    <row r="2118" spans="1:4" x14ac:dyDescent="0.55000000000000004">
      <c r="A2118">
        <f t="shared" si="68"/>
        <v>2016</v>
      </c>
      <c r="B2118" s="821">
        <v>42597</v>
      </c>
      <c r="C2118">
        <v>2.27</v>
      </c>
      <c r="D2118">
        <f t="shared" si="69"/>
        <v>0</v>
      </c>
    </row>
    <row r="2119" spans="1:4" x14ac:dyDescent="0.55000000000000004">
      <c r="A2119">
        <f t="shared" si="68"/>
        <v>2016</v>
      </c>
      <c r="B2119" s="821">
        <v>42594</v>
      </c>
      <c r="C2119">
        <v>2.23</v>
      </c>
      <c r="D2119">
        <f t="shared" si="69"/>
        <v>0</v>
      </c>
    </row>
    <row r="2120" spans="1:4" x14ac:dyDescent="0.55000000000000004">
      <c r="A2120">
        <f t="shared" si="68"/>
        <v>2016</v>
      </c>
      <c r="B2120" s="821">
        <v>42593</v>
      </c>
      <c r="C2120">
        <v>2.2799999999999998</v>
      </c>
      <c r="D2120">
        <f t="shared" si="69"/>
        <v>0</v>
      </c>
    </row>
    <row r="2121" spans="1:4" x14ac:dyDescent="0.55000000000000004">
      <c r="A2121">
        <f t="shared" si="68"/>
        <v>2016</v>
      </c>
      <c r="B2121" s="821">
        <v>42592</v>
      </c>
      <c r="C2121">
        <v>2.23</v>
      </c>
      <c r="D2121">
        <f t="shared" si="69"/>
        <v>0</v>
      </c>
    </row>
    <row r="2122" spans="1:4" x14ac:dyDescent="0.55000000000000004">
      <c r="A2122">
        <f t="shared" si="68"/>
        <v>2016</v>
      </c>
      <c r="B2122" s="821">
        <v>42591</v>
      </c>
      <c r="C2122">
        <v>2.25</v>
      </c>
      <c r="D2122">
        <f t="shared" si="69"/>
        <v>0</v>
      </c>
    </row>
    <row r="2123" spans="1:4" x14ac:dyDescent="0.55000000000000004">
      <c r="A2123">
        <f t="shared" si="68"/>
        <v>2016</v>
      </c>
      <c r="B2123" s="821">
        <v>42590</v>
      </c>
      <c r="C2123">
        <v>2.2999999999999998</v>
      </c>
      <c r="D2123">
        <f t="shared" si="69"/>
        <v>0</v>
      </c>
    </row>
    <row r="2124" spans="1:4" x14ac:dyDescent="0.55000000000000004">
      <c r="A2124">
        <f t="shared" si="68"/>
        <v>2016</v>
      </c>
      <c r="B2124" s="821">
        <v>42587</v>
      </c>
      <c r="C2124">
        <v>2.3199999999999998</v>
      </c>
      <c r="D2124">
        <f t="shared" si="69"/>
        <v>0</v>
      </c>
    </row>
    <row r="2125" spans="1:4" x14ac:dyDescent="0.55000000000000004">
      <c r="A2125">
        <f t="shared" si="68"/>
        <v>2016</v>
      </c>
      <c r="B2125" s="821">
        <v>42586</v>
      </c>
      <c r="C2125">
        <v>2.25</v>
      </c>
      <c r="D2125">
        <f t="shared" si="69"/>
        <v>0</v>
      </c>
    </row>
    <row r="2126" spans="1:4" x14ac:dyDescent="0.55000000000000004">
      <c r="A2126">
        <f t="shared" si="68"/>
        <v>2016</v>
      </c>
      <c r="B2126" s="821">
        <v>42585</v>
      </c>
      <c r="C2126">
        <v>2.29</v>
      </c>
      <c r="D2126">
        <f t="shared" si="69"/>
        <v>0</v>
      </c>
    </row>
    <row r="2127" spans="1:4" x14ac:dyDescent="0.55000000000000004">
      <c r="A2127">
        <f t="shared" si="68"/>
        <v>2016</v>
      </c>
      <c r="B2127" s="821">
        <v>42584</v>
      </c>
      <c r="C2127">
        <v>2.29</v>
      </c>
      <c r="D2127">
        <f t="shared" si="69"/>
        <v>0</v>
      </c>
    </row>
    <row r="2128" spans="1:4" x14ac:dyDescent="0.55000000000000004">
      <c r="A2128">
        <f t="shared" si="68"/>
        <v>2016</v>
      </c>
      <c r="B2128" s="821">
        <v>42583</v>
      </c>
      <c r="C2128">
        <v>2.2400000000000002</v>
      </c>
      <c r="D2128">
        <f t="shared" si="69"/>
        <v>0</v>
      </c>
    </row>
    <row r="2129" spans="1:4" x14ac:dyDescent="0.55000000000000004">
      <c r="A2129">
        <f t="shared" si="68"/>
        <v>2016</v>
      </c>
      <c r="B2129" s="821">
        <v>42580</v>
      </c>
      <c r="C2129">
        <v>2.1800000000000002</v>
      </c>
      <c r="D2129">
        <f t="shared" si="69"/>
        <v>0</v>
      </c>
    </row>
    <row r="2130" spans="1:4" x14ac:dyDescent="0.55000000000000004">
      <c r="A2130">
        <f t="shared" si="68"/>
        <v>2016</v>
      </c>
      <c r="B2130" s="821">
        <v>42579</v>
      </c>
      <c r="C2130">
        <v>2.23</v>
      </c>
      <c r="D2130">
        <f t="shared" si="69"/>
        <v>0</v>
      </c>
    </row>
    <row r="2131" spans="1:4" x14ac:dyDescent="0.55000000000000004">
      <c r="A2131">
        <f t="shared" si="68"/>
        <v>2016</v>
      </c>
      <c r="B2131" s="821">
        <v>42578</v>
      </c>
      <c r="C2131">
        <v>2.23</v>
      </c>
      <c r="D2131">
        <f t="shared" si="69"/>
        <v>0</v>
      </c>
    </row>
    <row r="2132" spans="1:4" x14ac:dyDescent="0.55000000000000004">
      <c r="A2132">
        <f t="shared" si="68"/>
        <v>2016</v>
      </c>
      <c r="B2132" s="821">
        <v>42577</v>
      </c>
      <c r="C2132">
        <v>2.2799999999999998</v>
      </c>
      <c r="D2132">
        <f t="shared" si="69"/>
        <v>0</v>
      </c>
    </row>
    <row r="2133" spans="1:4" x14ac:dyDescent="0.55000000000000004">
      <c r="A2133">
        <f t="shared" si="68"/>
        <v>2016</v>
      </c>
      <c r="B2133" s="821">
        <v>42576</v>
      </c>
      <c r="C2133">
        <v>2.29</v>
      </c>
      <c r="D2133">
        <f t="shared" si="69"/>
        <v>0</v>
      </c>
    </row>
    <row r="2134" spans="1:4" x14ac:dyDescent="0.55000000000000004">
      <c r="A2134">
        <f t="shared" si="68"/>
        <v>2016</v>
      </c>
      <c r="B2134" s="821">
        <v>42573</v>
      </c>
      <c r="C2134">
        <v>2.29</v>
      </c>
      <c r="D2134">
        <f t="shared" si="69"/>
        <v>0</v>
      </c>
    </row>
    <row r="2135" spans="1:4" x14ac:dyDescent="0.55000000000000004">
      <c r="A2135">
        <f t="shared" si="68"/>
        <v>2016</v>
      </c>
      <c r="B2135" s="821">
        <v>42572</v>
      </c>
      <c r="C2135">
        <v>2.29</v>
      </c>
      <c r="D2135">
        <f t="shared" si="69"/>
        <v>0</v>
      </c>
    </row>
    <row r="2136" spans="1:4" x14ac:dyDescent="0.55000000000000004">
      <c r="A2136">
        <f t="shared" si="68"/>
        <v>2016</v>
      </c>
      <c r="B2136" s="821">
        <v>42571</v>
      </c>
      <c r="C2136">
        <v>2.2999999999999998</v>
      </c>
      <c r="D2136">
        <f t="shared" si="69"/>
        <v>0</v>
      </c>
    </row>
    <row r="2137" spans="1:4" x14ac:dyDescent="0.55000000000000004">
      <c r="A2137">
        <f t="shared" si="68"/>
        <v>2016</v>
      </c>
      <c r="B2137" s="821">
        <v>42570</v>
      </c>
      <c r="C2137">
        <v>2.27</v>
      </c>
      <c r="D2137">
        <f t="shared" si="69"/>
        <v>0</v>
      </c>
    </row>
    <row r="2138" spans="1:4" x14ac:dyDescent="0.55000000000000004">
      <c r="A2138">
        <f t="shared" si="68"/>
        <v>2016</v>
      </c>
      <c r="B2138" s="821">
        <v>42569</v>
      </c>
      <c r="C2138">
        <v>2.2999999999999998</v>
      </c>
      <c r="D2138">
        <f t="shared" si="69"/>
        <v>0</v>
      </c>
    </row>
    <row r="2139" spans="1:4" x14ac:dyDescent="0.55000000000000004">
      <c r="A2139">
        <f t="shared" si="68"/>
        <v>2016</v>
      </c>
      <c r="B2139" s="821">
        <v>42566</v>
      </c>
      <c r="C2139">
        <v>2.2999999999999998</v>
      </c>
      <c r="D2139">
        <f t="shared" si="69"/>
        <v>0</v>
      </c>
    </row>
    <row r="2140" spans="1:4" x14ac:dyDescent="0.55000000000000004">
      <c r="A2140">
        <f t="shared" si="68"/>
        <v>2016</v>
      </c>
      <c r="B2140" s="821">
        <v>42565</v>
      </c>
      <c r="C2140">
        <v>2.25</v>
      </c>
      <c r="D2140">
        <f t="shared" si="69"/>
        <v>0</v>
      </c>
    </row>
    <row r="2141" spans="1:4" x14ac:dyDescent="0.55000000000000004">
      <c r="A2141">
        <f t="shared" si="68"/>
        <v>2016</v>
      </c>
      <c r="B2141" s="821">
        <v>42564</v>
      </c>
      <c r="C2141">
        <v>2.1800000000000002</v>
      </c>
      <c r="D2141">
        <f t="shared" si="69"/>
        <v>0</v>
      </c>
    </row>
    <row r="2142" spans="1:4" x14ac:dyDescent="0.55000000000000004">
      <c r="A2142">
        <f t="shared" si="68"/>
        <v>2016</v>
      </c>
      <c r="B2142" s="821">
        <v>42563</v>
      </c>
      <c r="C2142">
        <v>2.2400000000000002</v>
      </c>
      <c r="D2142">
        <f t="shared" si="69"/>
        <v>0</v>
      </c>
    </row>
    <row r="2143" spans="1:4" x14ac:dyDescent="0.55000000000000004">
      <c r="A2143">
        <f t="shared" si="68"/>
        <v>2016</v>
      </c>
      <c r="B2143" s="821">
        <v>42562</v>
      </c>
      <c r="C2143">
        <v>2.14</v>
      </c>
      <c r="D2143">
        <f t="shared" si="69"/>
        <v>0</v>
      </c>
    </row>
    <row r="2144" spans="1:4" x14ac:dyDescent="0.55000000000000004">
      <c r="A2144">
        <f t="shared" si="68"/>
        <v>2016</v>
      </c>
      <c r="B2144" s="821">
        <v>42559</v>
      </c>
      <c r="C2144">
        <v>2.11</v>
      </c>
      <c r="D2144">
        <f t="shared" si="69"/>
        <v>0</v>
      </c>
    </row>
    <row r="2145" spans="1:4" x14ac:dyDescent="0.55000000000000004">
      <c r="A2145">
        <f t="shared" si="68"/>
        <v>2016</v>
      </c>
      <c r="B2145" s="821">
        <v>42558</v>
      </c>
      <c r="C2145">
        <v>2.14</v>
      </c>
      <c r="D2145">
        <f t="shared" si="69"/>
        <v>0</v>
      </c>
    </row>
    <row r="2146" spans="1:4" x14ac:dyDescent="0.55000000000000004">
      <c r="A2146">
        <f t="shared" si="68"/>
        <v>2016</v>
      </c>
      <c r="B2146" s="821">
        <v>42557</v>
      </c>
      <c r="C2146">
        <v>2.14</v>
      </c>
      <c r="D2146">
        <f t="shared" si="69"/>
        <v>0</v>
      </c>
    </row>
    <row r="2147" spans="1:4" x14ac:dyDescent="0.55000000000000004">
      <c r="A2147">
        <f t="shared" si="68"/>
        <v>2016</v>
      </c>
      <c r="B2147" s="821">
        <v>42556</v>
      </c>
      <c r="C2147">
        <v>2.14</v>
      </c>
      <c r="D2147">
        <f t="shared" si="69"/>
        <v>0</v>
      </c>
    </row>
    <row r="2148" spans="1:4" x14ac:dyDescent="0.55000000000000004">
      <c r="A2148">
        <f t="shared" si="68"/>
        <v>2016</v>
      </c>
      <c r="B2148" s="821">
        <v>42552</v>
      </c>
      <c r="C2148">
        <v>2.2400000000000002</v>
      </c>
      <c r="D2148">
        <f t="shared" si="69"/>
        <v>0</v>
      </c>
    </row>
    <row r="2149" spans="1:4" x14ac:dyDescent="0.55000000000000004">
      <c r="A2149">
        <f t="shared" si="68"/>
        <v>2016</v>
      </c>
      <c r="B2149" s="821">
        <v>42551</v>
      </c>
      <c r="C2149">
        <v>2.2999999999999998</v>
      </c>
      <c r="D2149">
        <f t="shared" si="69"/>
        <v>0</v>
      </c>
    </row>
    <row r="2150" spans="1:4" x14ac:dyDescent="0.55000000000000004">
      <c r="A2150">
        <f t="shared" si="68"/>
        <v>2016</v>
      </c>
      <c r="B2150" s="821">
        <v>42550</v>
      </c>
      <c r="C2150">
        <v>2.2999999999999998</v>
      </c>
      <c r="D2150">
        <f t="shared" si="69"/>
        <v>0</v>
      </c>
    </row>
    <row r="2151" spans="1:4" x14ac:dyDescent="0.55000000000000004">
      <c r="A2151">
        <f t="shared" si="68"/>
        <v>2016</v>
      </c>
      <c r="B2151" s="821">
        <v>42549</v>
      </c>
      <c r="C2151">
        <v>2.27</v>
      </c>
      <c r="D2151">
        <f t="shared" si="69"/>
        <v>0</v>
      </c>
    </row>
    <row r="2152" spans="1:4" x14ac:dyDescent="0.55000000000000004">
      <c r="A2152">
        <f t="shared" si="68"/>
        <v>2016</v>
      </c>
      <c r="B2152" s="821">
        <v>42548</v>
      </c>
      <c r="C2152">
        <v>2.2799999999999998</v>
      </c>
      <c r="D2152">
        <f t="shared" si="69"/>
        <v>0</v>
      </c>
    </row>
    <row r="2153" spans="1:4" x14ac:dyDescent="0.55000000000000004">
      <c r="A2153">
        <f t="shared" si="68"/>
        <v>2016</v>
      </c>
      <c r="B2153" s="821">
        <v>42545</v>
      </c>
      <c r="C2153">
        <v>2.42</v>
      </c>
      <c r="D2153">
        <f t="shared" si="69"/>
        <v>0</v>
      </c>
    </row>
    <row r="2154" spans="1:4" x14ac:dyDescent="0.55000000000000004">
      <c r="A2154">
        <f t="shared" si="68"/>
        <v>2016</v>
      </c>
      <c r="B2154" s="821">
        <v>42544</v>
      </c>
      <c r="C2154">
        <v>2.5499999999999998</v>
      </c>
      <c r="D2154">
        <f t="shared" si="69"/>
        <v>0</v>
      </c>
    </row>
    <row r="2155" spans="1:4" x14ac:dyDescent="0.55000000000000004">
      <c r="A2155">
        <f t="shared" si="68"/>
        <v>2016</v>
      </c>
      <c r="B2155" s="821">
        <v>42543</v>
      </c>
      <c r="C2155">
        <v>2.5</v>
      </c>
      <c r="D2155">
        <f t="shared" si="69"/>
        <v>0</v>
      </c>
    </row>
    <row r="2156" spans="1:4" x14ac:dyDescent="0.55000000000000004">
      <c r="A2156">
        <f t="shared" si="68"/>
        <v>2016</v>
      </c>
      <c r="B2156" s="821">
        <v>42542</v>
      </c>
      <c r="C2156">
        <v>2.5</v>
      </c>
      <c r="D2156">
        <f t="shared" si="69"/>
        <v>0</v>
      </c>
    </row>
    <row r="2157" spans="1:4" x14ac:dyDescent="0.55000000000000004">
      <c r="A2157">
        <f t="shared" si="68"/>
        <v>2016</v>
      </c>
      <c r="B2157" s="821">
        <v>42541</v>
      </c>
      <c r="C2157">
        <v>2.4700000000000002</v>
      </c>
      <c r="D2157">
        <f t="shared" si="69"/>
        <v>0</v>
      </c>
    </row>
    <row r="2158" spans="1:4" x14ac:dyDescent="0.55000000000000004">
      <c r="A2158">
        <f t="shared" si="68"/>
        <v>2016</v>
      </c>
      <c r="B2158" s="821">
        <v>42538</v>
      </c>
      <c r="C2158">
        <v>2.4300000000000002</v>
      </c>
      <c r="D2158">
        <f t="shared" si="69"/>
        <v>0</v>
      </c>
    </row>
    <row r="2159" spans="1:4" x14ac:dyDescent="0.55000000000000004">
      <c r="A2159">
        <f t="shared" si="68"/>
        <v>2016</v>
      </c>
      <c r="B2159" s="821">
        <v>42537</v>
      </c>
      <c r="C2159">
        <v>2.39</v>
      </c>
      <c r="D2159">
        <f t="shared" si="69"/>
        <v>0</v>
      </c>
    </row>
    <row r="2160" spans="1:4" x14ac:dyDescent="0.55000000000000004">
      <c r="A2160">
        <f t="shared" si="68"/>
        <v>2016</v>
      </c>
      <c r="B2160" s="821">
        <v>42536</v>
      </c>
      <c r="C2160">
        <v>2.4300000000000002</v>
      </c>
      <c r="D2160">
        <f t="shared" si="69"/>
        <v>0</v>
      </c>
    </row>
    <row r="2161" spans="1:4" x14ac:dyDescent="0.55000000000000004">
      <c r="A2161">
        <f t="shared" si="68"/>
        <v>2016</v>
      </c>
      <c r="B2161" s="821">
        <v>42535</v>
      </c>
      <c r="C2161">
        <v>2.4300000000000002</v>
      </c>
      <c r="D2161">
        <f t="shared" si="69"/>
        <v>0</v>
      </c>
    </row>
    <row r="2162" spans="1:4" x14ac:dyDescent="0.55000000000000004">
      <c r="A2162">
        <f t="shared" si="68"/>
        <v>2016</v>
      </c>
      <c r="B2162" s="821">
        <v>42534</v>
      </c>
      <c r="C2162">
        <v>2.4300000000000002</v>
      </c>
      <c r="D2162">
        <f t="shared" si="69"/>
        <v>0</v>
      </c>
    </row>
    <row r="2163" spans="1:4" x14ac:dyDescent="0.55000000000000004">
      <c r="A2163">
        <f t="shared" si="68"/>
        <v>2016</v>
      </c>
      <c r="B2163" s="821">
        <v>42531</v>
      </c>
      <c r="C2163">
        <v>2.44</v>
      </c>
      <c r="D2163">
        <f t="shared" si="69"/>
        <v>0</v>
      </c>
    </row>
    <row r="2164" spans="1:4" x14ac:dyDescent="0.55000000000000004">
      <c r="A2164">
        <f t="shared" si="68"/>
        <v>2016</v>
      </c>
      <c r="B2164" s="821">
        <v>42530</v>
      </c>
      <c r="C2164">
        <v>2.48</v>
      </c>
      <c r="D2164">
        <f t="shared" si="69"/>
        <v>0</v>
      </c>
    </row>
    <row r="2165" spans="1:4" x14ac:dyDescent="0.55000000000000004">
      <c r="A2165">
        <f t="shared" si="68"/>
        <v>2016</v>
      </c>
      <c r="B2165" s="821">
        <v>42529</v>
      </c>
      <c r="C2165">
        <v>2.5099999999999998</v>
      </c>
      <c r="D2165">
        <f t="shared" si="69"/>
        <v>0</v>
      </c>
    </row>
    <row r="2166" spans="1:4" x14ac:dyDescent="0.55000000000000004">
      <c r="A2166">
        <f t="shared" si="68"/>
        <v>2016</v>
      </c>
      <c r="B2166" s="821">
        <v>42528</v>
      </c>
      <c r="C2166">
        <v>2.54</v>
      </c>
      <c r="D2166">
        <f t="shared" si="69"/>
        <v>0</v>
      </c>
    </row>
    <row r="2167" spans="1:4" x14ac:dyDescent="0.55000000000000004">
      <c r="A2167">
        <f t="shared" si="68"/>
        <v>2016</v>
      </c>
      <c r="B2167" s="821">
        <v>42527</v>
      </c>
      <c r="C2167">
        <v>2.5499999999999998</v>
      </c>
      <c r="D2167">
        <f t="shared" si="69"/>
        <v>0</v>
      </c>
    </row>
    <row r="2168" spans="1:4" x14ac:dyDescent="0.55000000000000004">
      <c r="A2168">
        <f t="shared" si="68"/>
        <v>2016</v>
      </c>
      <c r="B2168" s="821">
        <v>42524</v>
      </c>
      <c r="C2168">
        <v>2.52</v>
      </c>
      <c r="D2168">
        <f t="shared" si="69"/>
        <v>0</v>
      </c>
    </row>
    <row r="2169" spans="1:4" x14ac:dyDescent="0.55000000000000004">
      <c r="A2169">
        <f t="shared" si="68"/>
        <v>2016</v>
      </c>
      <c r="B2169" s="821">
        <v>42523</v>
      </c>
      <c r="C2169">
        <v>2.58</v>
      </c>
      <c r="D2169">
        <f t="shared" si="69"/>
        <v>0</v>
      </c>
    </row>
    <row r="2170" spans="1:4" x14ac:dyDescent="0.55000000000000004">
      <c r="A2170">
        <f t="shared" si="68"/>
        <v>2016</v>
      </c>
      <c r="B2170" s="821">
        <v>42522</v>
      </c>
      <c r="C2170">
        <v>2.63</v>
      </c>
      <c r="D2170">
        <f t="shared" si="69"/>
        <v>0</v>
      </c>
    </row>
    <row r="2171" spans="1:4" x14ac:dyDescent="0.55000000000000004">
      <c r="A2171">
        <f t="shared" si="68"/>
        <v>2016</v>
      </c>
      <c r="B2171" s="821">
        <v>42521</v>
      </c>
      <c r="C2171">
        <v>2.64</v>
      </c>
      <c r="D2171">
        <f t="shared" si="69"/>
        <v>0</v>
      </c>
    </row>
    <row r="2172" spans="1:4" x14ac:dyDescent="0.55000000000000004">
      <c r="A2172">
        <f t="shared" si="68"/>
        <v>2016</v>
      </c>
      <c r="B2172" s="821">
        <v>42517</v>
      </c>
      <c r="C2172">
        <v>2.65</v>
      </c>
      <c r="D2172">
        <f t="shared" si="69"/>
        <v>0</v>
      </c>
    </row>
    <row r="2173" spans="1:4" x14ac:dyDescent="0.55000000000000004">
      <c r="A2173">
        <f t="shared" si="68"/>
        <v>2016</v>
      </c>
      <c r="B2173" s="821">
        <v>42516</v>
      </c>
      <c r="C2173">
        <v>2.64</v>
      </c>
      <c r="D2173">
        <f t="shared" si="69"/>
        <v>0</v>
      </c>
    </row>
    <row r="2174" spans="1:4" x14ac:dyDescent="0.55000000000000004">
      <c r="A2174">
        <f t="shared" si="68"/>
        <v>2016</v>
      </c>
      <c r="B2174" s="821">
        <v>42515</v>
      </c>
      <c r="C2174">
        <v>2.67</v>
      </c>
      <c r="D2174">
        <f t="shared" si="69"/>
        <v>0</v>
      </c>
    </row>
    <row r="2175" spans="1:4" x14ac:dyDescent="0.55000000000000004">
      <c r="A2175">
        <f t="shared" si="68"/>
        <v>2016</v>
      </c>
      <c r="B2175" s="821">
        <v>42514</v>
      </c>
      <c r="C2175">
        <v>2.65</v>
      </c>
      <c r="D2175">
        <f t="shared" si="69"/>
        <v>0</v>
      </c>
    </row>
    <row r="2176" spans="1:4" x14ac:dyDescent="0.55000000000000004">
      <c r="A2176">
        <f t="shared" si="68"/>
        <v>2016</v>
      </c>
      <c r="B2176" s="821">
        <v>42513</v>
      </c>
      <c r="C2176">
        <v>2.63</v>
      </c>
      <c r="D2176">
        <f t="shared" si="69"/>
        <v>0</v>
      </c>
    </row>
    <row r="2177" spans="1:4" x14ac:dyDescent="0.55000000000000004">
      <c r="A2177">
        <f t="shared" si="68"/>
        <v>2016</v>
      </c>
      <c r="B2177" s="821">
        <v>42510</v>
      </c>
      <c r="C2177">
        <v>2.63</v>
      </c>
      <c r="D2177">
        <f t="shared" si="69"/>
        <v>0</v>
      </c>
    </row>
    <row r="2178" spans="1:4" x14ac:dyDescent="0.55000000000000004">
      <c r="A2178">
        <f t="shared" si="68"/>
        <v>2016</v>
      </c>
      <c r="B2178" s="821">
        <v>42509</v>
      </c>
      <c r="C2178">
        <v>2.64</v>
      </c>
      <c r="D2178">
        <f t="shared" si="69"/>
        <v>0</v>
      </c>
    </row>
    <row r="2179" spans="1:4" x14ac:dyDescent="0.55000000000000004">
      <c r="A2179">
        <f t="shared" si="68"/>
        <v>2016</v>
      </c>
      <c r="B2179" s="821">
        <v>42508</v>
      </c>
      <c r="C2179">
        <v>2.67</v>
      </c>
      <c r="D2179">
        <f t="shared" si="69"/>
        <v>0</v>
      </c>
    </row>
    <row r="2180" spans="1:4" x14ac:dyDescent="0.55000000000000004">
      <c r="A2180">
        <f t="shared" ref="A2180:A2243" si="70">YEAR(B2180)</f>
        <v>2016</v>
      </c>
      <c r="B2180" s="821">
        <v>42507</v>
      </c>
      <c r="C2180">
        <v>2.59</v>
      </c>
      <c r="D2180">
        <f t="shared" ref="D2180:D2243" si="71">IF(C2180&gt;4,1,0)</f>
        <v>0</v>
      </c>
    </row>
    <row r="2181" spans="1:4" x14ac:dyDescent="0.55000000000000004">
      <c r="A2181">
        <f t="shared" si="70"/>
        <v>2016</v>
      </c>
      <c r="B2181" s="821">
        <v>42506</v>
      </c>
      <c r="C2181">
        <v>2.59</v>
      </c>
      <c r="D2181">
        <f t="shared" si="71"/>
        <v>0</v>
      </c>
    </row>
    <row r="2182" spans="1:4" x14ac:dyDescent="0.55000000000000004">
      <c r="A2182">
        <f t="shared" si="70"/>
        <v>2016</v>
      </c>
      <c r="B2182" s="821">
        <v>42503</v>
      </c>
      <c r="C2182">
        <v>2.5499999999999998</v>
      </c>
      <c r="D2182">
        <f t="shared" si="71"/>
        <v>0</v>
      </c>
    </row>
    <row r="2183" spans="1:4" x14ac:dyDescent="0.55000000000000004">
      <c r="A2183">
        <f t="shared" si="70"/>
        <v>2016</v>
      </c>
      <c r="B2183" s="821">
        <v>42502</v>
      </c>
      <c r="C2183">
        <v>2.6</v>
      </c>
      <c r="D2183">
        <f t="shared" si="71"/>
        <v>0</v>
      </c>
    </row>
    <row r="2184" spans="1:4" x14ac:dyDescent="0.55000000000000004">
      <c r="A2184">
        <f t="shared" si="70"/>
        <v>2016</v>
      </c>
      <c r="B2184" s="821">
        <v>42501</v>
      </c>
      <c r="C2184">
        <v>2.58</v>
      </c>
      <c r="D2184">
        <f t="shared" si="71"/>
        <v>0</v>
      </c>
    </row>
    <row r="2185" spans="1:4" x14ac:dyDescent="0.55000000000000004">
      <c r="A2185">
        <f t="shared" si="70"/>
        <v>2016</v>
      </c>
      <c r="B2185" s="821">
        <v>42500</v>
      </c>
      <c r="C2185">
        <v>2.61</v>
      </c>
      <c r="D2185">
        <f t="shared" si="71"/>
        <v>0</v>
      </c>
    </row>
    <row r="2186" spans="1:4" x14ac:dyDescent="0.55000000000000004">
      <c r="A2186">
        <f t="shared" si="70"/>
        <v>2016</v>
      </c>
      <c r="B2186" s="821">
        <v>42499</v>
      </c>
      <c r="C2186">
        <v>2.61</v>
      </c>
      <c r="D2186">
        <f t="shared" si="71"/>
        <v>0</v>
      </c>
    </row>
    <row r="2187" spans="1:4" x14ac:dyDescent="0.55000000000000004">
      <c r="A2187">
        <f t="shared" si="70"/>
        <v>2016</v>
      </c>
      <c r="B2187" s="821">
        <v>42496</v>
      </c>
      <c r="C2187">
        <v>2.62</v>
      </c>
      <c r="D2187">
        <f t="shared" si="71"/>
        <v>0</v>
      </c>
    </row>
    <row r="2188" spans="1:4" x14ac:dyDescent="0.55000000000000004">
      <c r="A2188">
        <f t="shared" si="70"/>
        <v>2016</v>
      </c>
      <c r="B2188" s="821">
        <v>42495</v>
      </c>
      <c r="C2188">
        <v>2.6</v>
      </c>
      <c r="D2188">
        <f t="shared" si="71"/>
        <v>0</v>
      </c>
    </row>
    <row r="2189" spans="1:4" x14ac:dyDescent="0.55000000000000004">
      <c r="A2189">
        <f t="shared" si="70"/>
        <v>2016</v>
      </c>
      <c r="B2189" s="821">
        <v>42494</v>
      </c>
      <c r="C2189">
        <v>2.64</v>
      </c>
      <c r="D2189">
        <f t="shared" si="71"/>
        <v>0</v>
      </c>
    </row>
    <row r="2190" spans="1:4" x14ac:dyDescent="0.55000000000000004">
      <c r="A2190">
        <f t="shared" si="70"/>
        <v>2016</v>
      </c>
      <c r="B2190" s="821">
        <v>42493</v>
      </c>
      <c r="C2190">
        <v>2.66</v>
      </c>
      <c r="D2190">
        <f t="shared" si="71"/>
        <v>0</v>
      </c>
    </row>
    <row r="2191" spans="1:4" x14ac:dyDescent="0.55000000000000004">
      <c r="A2191">
        <f t="shared" si="70"/>
        <v>2016</v>
      </c>
      <c r="B2191" s="821">
        <v>42492</v>
      </c>
      <c r="C2191">
        <v>2.71</v>
      </c>
      <c r="D2191">
        <f t="shared" si="71"/>
        <v>0</v>
      </c>
    </row>
    <row r="2192" spans="1:4" x14ac:dyDescent="0.55000000000000004">
      <c r="A2192">
        <f t="shared" si="70"/>
        <v>2016</v>
      </c>
      <c r="B2192" s="821">
        <v>42489</v>
      </c>
      <c r="C2192">
        <v>2.66</v>
      </c>
      <c r="D2192">
        <f t="shared" si="71"/>
        <v>0</v>
      </c>
    </row>
    <row r="2193" spans="1:4" x14ac:dyDescent="0.55000000000000004">
      <c r="A2193">
        <f t="shared" si="70"/>
        <v>2016</v>
      </c>
      <c r="B2193" s="821">
        <v>42488</v>
      </c>
      <c r="C2193">
        <v>2.68</v>
      </c>
      <c r="D2193">
        <f t="shared" si="71"/>
        <v>0</v>
      </c>
    </row>
    <row r="2194" spans="1:4" x14ac:dyDescent="0.55000000000000004">
      <c r="A2194">
        <f t="shared" si="70"/>
        <v>2016</v>
      </c>
      <c r="B2194" s="821">
        <v>42487</v>
      </c>
      <c r="C2194">
        <v>2.71</v>
      </c>
      <c r="D2194">
        <f t="shared" si="71"/>
        <v>0</v>
      </c>
    </row>
    <row r="2195" spans="1:4" x14ac:dyDescent="0.55000000000000004">
      <c r="A2195">
        <f t="shared" si="70"/>
        <v>2016</v>
      </c>
      <c r="B2195" s="821">
        <v>42486</v>
      </c>
      <c r="C2195">
        <v>2.76</v>
      </c>
      <c r="D2195">
        <f t="shared" si="71"/>
        <v>0</v>
      </c>
    </row>
    <row r="2196" spans="1:4" x14ac:dyDescent="0.55000000000000004">
      <c r="A2196">
        <f t="shared" si="70"/>
        <v>2016</v>
      </c>
      <c r="B2196" s="821">
        <v>42485</v>
      </c>
      <c r="C2196">
        <v>2.72</v>
      </c>
      <c r="D2196">
        <f t="shared" si="71"/>
        <v>0</v>
      </c>
    </row>
    <row r="2197" spans="1:4" x14ac:dyDescent="0.55000000000000004">
      <c r="A2197">
        <f t="shared" si="70"/>
        <v>2016</v>
      </c>
      <c r="B2197" s="821">
        <v>42482</v>
      </c>
      <c r="C2197">
        <v>2.7</v>
      </c>
      <c r="D2197">
        <f t="shared" si="71"/>
        <v>0</v>
      </c>
    </row>
    <row r="2198" spans="1:4" x14ac:dyDescent="0.55000000000000004">
      <c r="A2198">
        <f t="shared" si="70"/>
        <v>2016</v>
      </c>
      <c r="B2198" s="821">
        <v>42481</v>
      </c>
      <c r="C2198">
        <v>2.69</v>
      </c>
      <c r="D2198">
        <f t="shared" si="71"/>
        <v>0</v>
      </c>
    </row>
    <row r="2199" spans="1:4" x14ac:dyDescent="0.55000000000000004">
      <c r="A2199">
        <f t="shared" si="70"/>
        <v>2016</v>
      </c>
      <c r="B2199" s="821">
        <v>42480</v>
      </c>
      <c r="C2199">
        <v>2.66</v>
      </c>
      <c r="D2199">
        <f t="shared" si="71"/>
        <v>0</v>
      </c>
    </row>
    <row r="2200" spans="1:4" x14ac:dyDescent="0.55000000000000004">
      <c r="A2200">
        <f t="shared" si="70"/>
        <v>2016</v>
      </c>
      <c r="B2200" s="821">
        <v>42479</v>
      </c>
      <c r="C2200">
        <v>2.6</v>
      </c>
      <c r="D2200">
        <f t="shared" si="71"/>
        <v>0</v>
      </c>
    </row>
    <row r="2201" spans="1:4" x14ac:dyDescent="0.55000000000000004">
      <c r="A2201">
        <f t="shared" si="70"/>
        <v>2016</v>
      </c>
      <c r="B2201" s="821">
        <v>42478</v>
      </c>
      <c r="C2201">
        <v>2.58</v>
      </c>
      <c r="D2201">
        <f t="shared" si="71"/>
        <v>0</v>
      </c>
    </row>
    <row r="2202" spans="1:4" x14ac:dyDescent="0.55000000000000004">
      <c r="A2202">
        <f t="shared" si="70"/>
        <v>2016</v>
      </c>
      <c r="B2202" s="821">
        <v>42475</v>
      </c>
      <c r="C2202">
        <v>2.56</v>
      </c>
      <c r="D2202">
        <f t="shared" si="71"/>
        <v>0</v>
      </c>
    </row>
    <row r="2203" spans="1:4" x14ac:dyDescent="0.55000000000000004">
      <c r="A2203">
        <f t="shared" si="70"/>
        <v>2016</v>
      </c>
      <c r="B2203" s="821">
        <v>42474</v>
      </c>
      <c r="C2203">
        <v>2.61</v>
      </c>
      <c r="D2203">
        <f t="shared" si="71"/>
        <v>0</v>
      </c>
    </row>
    <row r="2204" spans="1:4" x14ac:dyDescent="0.55000000000000004">
      <c r="A2204">
        <f t="shared" si="70"/>
        <v>2016</v>
      </c>
      <c r="B2204" s="821">
        <v>42473</v>
      </c>
      <c r="C2204">
        <v>2.58</v>
      </c>
      <c r="D2204">
        <f t="shared" si="71"/>
        <v>0</v>
      </c>
    </row>
    <row r="2205" spans="1:4" x14ac:dyDescent="0.55000000000000004">
      <c r="A2205">
        <f t="shared" si="70"/>
        <v>2016</v>
      </c>
      <c r="B2205" s="821">
        <v>42472</v>
      </c>
      <c r="C2205">
        <v>2.61</v>
      </c>
      <c r="D2205">
        <f t="shared" si="71"/>
        <v>0</v>
      </c>
    </row>
    <row r="2206" spans="1:4" x14ac:dyDescent="0.55000000000000004">
      <c r="A2206">
        <f t="shared" si="70"/>
        <v>2016</v>
      </c>
      <c r="B2206" s="821">
        <v>42471</v>
      </c>
      <c r="C2206">
        <v>2.56</v>
      </c>
      <c r="D2206">
        <f t="shared" si="71"/>
        <v>0</v>
      </c>
    </row>
    <row r="2207" spans="1:4" x14ac:dyDescent="0.55000000000000004">
      <c r="A2207">
        <f t="shared" si="70"/>
        <v>2016</v>
      </c>
      <c r="B2207" s="821">
        <v>42468</v>
      </c>
      <c r="C2207">
        <v>2.5499999999999998</v>
      </c>
      <c r="D2207">
        <f t="shared" si="71"/>
        <v>0</v>
      </c>
    </row>
    <row r="2208" spans="1:4" x14ac:dyDescent="0.55000000000000004">
      <c r="A2208">
        <f t="shared" si="70"/>
        <v>2016</v>
      </c>
      <c r="B2208" s="821">
        <v>42467</v>
      </c>
      <c r="C2208">
        <v>2.52</v>
      </c>
      <c r="D2208">
        <f t="shared" si="71"/>
        <v>0</v>
      </c>
    </row>
    <row r="2209" spans="1:4" x14ac:dyDescent="0.55000000000000004">
      <c r="A2209">
        <f t="shared" si="70"/>
        <v>2016</v>
      </c>
      <c r="B2209" s="821">
        <v>42466</v>
      </c>
      <c r="C2209">
        <v>2.58</v>
      </c>
      <c r="D2209">
        <f t="shared" si="71"/>
        <v>0</v>
      </c>
    </row>
    <row r="2210" spans="1:4" x14ac:dyDescent="0.55000000000000004">
      <c r="A2210">
        <f t="shared" si="70"/>
        <v>2016</v>
      </c>
      <c r="B2210" s="821">
        <v>42465</v>
      </c>
      <c r="C2210">
        <v>2.54</v>
      </c>
      <c r="D2210">
        <f t="shared" si="71"/>
        <v>0</v>
      </c>
    </row>
    <row r="2211" spans="1:4" x14ac:dyDescent="0.55000000000000004">
      <c r="A2211">
        <f t="shared" si="70"/>
        <v>2016</v>
      </c>
      <c r="B2211" s="821">
        <v>42464</v>
      </c>
      <c r="C2211">
        <v>2.6</v>
      </c>
      <c r="D2211">
        <f t="shared" si="71"/>
        <v>0</v>
      </c>
    </row>
    <row r="2212" spans="1:4" x14ac:dyDescent="0.55000000000000004">
      <c r="A2212">
        <f t="shared" si="70"/>
        <v>2016</v>
      </c>
      <c r="B2212" s="821">
        <v>42461</v>
      </c>
      <c r="C2212">
        <v>2.62</v>
      </c>
      <c r="D2212">
        <f t="shared" si="71"/>
        <v>0</v>
      </c>
    </row>
    <row r="2213" spans="1:4" x14ac:dyDescent="0.55000000000000004">
      <c r="A2213">
        <f t="shared" si="70"/>
        <v>2016</v>
      </c>
      <c r="B2213" s="821">
        <v>42460</v>
      </c>
      <c r="C2213">
        <v>2.61</v>
      </c>
      <c r="D2213">
        <f t="shared" si="71"/>
        <v>0</v>
      </c>
    </row>
    <row r="2214" spans="1:4" x14ac:dyDescent="0.55000000000000004">
      <c r="A2214">
        <f t="shared" si="70"/>
        <v>2016</v>
      </c>
      <c r="B2214" s="821">
        <v>42459</v>
      </c>
      <c r="C2214">
        <v>2.65</v>
      </c>
      <c r="D2214">
        <f t="shared" si="71"/>
        <v>0</v>
      </c>
    </row>
    <row r="2215" spans="1:4" x14ac:dyDescent="0.55000000000000004">
      <c r="A2215">
        <f t="shared" si="70"/>
        <v>2016</v>
      </c>
      <c r="B2215" s="821">
        <v>42458</v>
      </c>
      <c r="C2215">
        <v>2.6</v>
      </c>
      <c r="D2215">
        <f t="shared" si="71"/>
        <v>0</v>
      </c>
    </row>
    <row r="2216" spans="1:4" x14ac:dyDescent="0.55000000000000004">
      <c r="A2216">
        <f t="shared" si="70"/>
        <v>2016</v>
      </c>
      <c r="B2216" s="821">
        <v>42457</v>
      </c>
      <c r="C2216">
        <v>2.66</v>
      </c>
      <c r="D2216">
        <f t="shared" si="71"/>
        <v>0</v>
      </c>
    </row>
    <row r="2217" spans="1:4" x14ac:dyDescent="0.55000000000000004">
      <c r="A2217">
        <f t="shared" si="70"/>
        <v>2016</v>
      </c>
      <c r="B2217" s="821">
        <v>42453</v>
      </c>
      <c r="C2217">
        <v>2.67</v>
      </c>
      <c r="D2217">
        <f t="shared" si="71"/>
        <v>0</v>
      </c>
    </row>
    <row r="2218" spans="1:4" x14ac:dyDescent="0.55000000000000004">
      <c r="A2218">
        <f t="shared" si="70"/>
        <v>2016</v>
      </c>
      <c r="B2218" s="821">
        <v>42452</v>
      </c>
      <c r="C2218">
        <v>2.65</v>
      </c>
      <c r="D2218">
        <f t="shared" si="71"/>
        <v>0</v>
      </c>
    </row>
    <row r="2219" spans="1:4" x14ac:dyDescent="0.55000000000000004">
      <c r="A2219">
        <f t="shared" si="70"/>
        <v>2016</v>
      </c>
      <c r="B2219" s="821">
        <v>42451</v>
      </c>
      <c r="C2219">
        <v>2.72</v>
      </c>
      <c r="D2219">
        <f t="shared" si="71"/>
        <v>0</v>
      </c>
    </row>
    <row r="2220" spans="1:4" x14ac:dyDescent="0.55000000000000004">
      <c r="A2220">
        <f t="shared" si="70"/>
        <v>2016</v>
      </c>
      <c r="B2220" s="821">
        <v>42450</v>
      </c>
      <c r="C2220">
        <v>2.72</v>
      </c>
      <c r="D2220">
        <f t="shared" si="71"/>
        <v>0</v>
      </c>
    </row>
    <row r="2221" spans="1:4" x14ac:dyDescent="0.55000000000000004">
      <c r="A2221">
        <f t="shared" si="70"/>
        <v>2016</v>
      </c>
      <c r="B2221" s="821">
        <v>42447</v>
      </c>
      <c r="C2221">
        <v>2.68</v>
      </c>
      <c r="D2221">
        <f t="shared" si="71"/>
        <v>0</v>
      </c>
    </row>
    <row r="2222" spans="1:4" x14ac:dyDescent="0.55000000000000004">
      <c r="A2222">
        <f t="shared" si="70"/>
        <v>2016</v>
      </c>
      <c r="B2222" s="821">
        <v>42446</v>
      </c>
      <c r="C2222">
        <v>2.69</v>
      </c>
      <c r="D2222">
        <f t="shared" si="71"/>
        <v>0</v>
      </c>
    </row>
    <row r="2223" spans="1:4" x14ac:dyDescent="0.55000000000000004">
      <c r="A2223">
        <f t="shared" si="70"/>
        <v>2016</v>
      </c>
      <c r="B2223" s="821">
        <v>42445</v>
      </c>
      <c r="C2223">
        <v>2.73</v>
      </c>
      <c r="D2223">
        <f t="shared" si="71"/>
        <v>0</v>
      </c>
    </row>
    <row r="2224" spans="1:4" x14ac:dyDescent="0.55000000000000004">
      <c r="A2224">
        <f t="shared" si="70"/>
        <v>2016</v>
      </c>
      <c r="B2224" s="821">
        <v>42444</v>
      </c>
      <c r="C2224">
        <v>2.73</v>
      </c>
      <c r="D2224">
        <f t="shared" si="71"/>
        <v>0</v>
      </c>
    </row>
    <row r="2225" spans="1:4" x14ac:dyDescent="0.55000000000000004">
      <c r="A2225">
        <f t="shared" si="70"/>
        <v>2016</v>
      </c>
      <c r="B2225" s="821">
        <v>42443</v>
      </c>
      <c r="C2225">
        <v>2.74</v>
      </c>
      <c r="D2225">
        <f t="shared" si="71"/>
        <v>0</v>
      </c>
    </row>
    <row r="2226" spans="1:4" x14ac:dyDescent="0.55000000000000004">
      <c r="A2226">
        <f t="shared" si="70"/>
        <v>2016</v>
      </c>
      <c r="B2226" s="821">
        <v>42440</v>
      </c>
      <c r="C2226">
        <v>2.75</v>
      </c>
      <c r="D2226">
        <f t="shared" si="71"/>
        <v>0</v>
      </c>
    </row>
    <row r="2227" spans="1:4" x14ac:dyDescent="0.55000000000000004">
      <c r="A2227">
        <f t="shared" si="70"/>
        <v>2016</v>
      </c>
      <c r="B2227" s="821">
        <v>42439</v>
      </c>
      <c r="C2227">
        <v>2.7</v>
      </c>
      <c r="D2227">
        <f t="shared" si="71"/>
        <v>0</v>
      </c>
    </row>
    <row r="2228" spans="1:4" x14ac:dyDescent="0.55000000000000004">
      <c r="A2228">
        <f t="shared" si="70"/>
        <v>2016</v>
      </c>
      <c r="B2228" s="821">
        <v>42438</v>
      </c>
      <c r="C2228">
        <v>2.68</v>
      </c>
      <c r="D2228">
        <f t="shared" si="71"/>
        <v>0</v>
      </c>
    </row>
    <row r="2229" spans="1:4" x14ac:dyDescent="0.55000000000000004">
      <c r="A2229">
        <f t="shared" si="70"/>
        <v>2016</v>
      </c>
      <c r="B2229" s="821">
        <v>42437</v>
      </c>
      <c r="C2229">
        <v>2.63</v>
      </c>
      <c r="D2229">
        <f t="shared" si="71"/>
        <v>0</v>
      </c>
    </row>
    <row r="2230" spans="1:4" x14ac:dyDescent="0.55000000000000004">
      <c r="A2230">
        <f t="shared" si="70"/>
        <v>2016</v>
      </c>
      <c r="B2230" s="821">
        <v>42436</v>
      </c>
      <c r="C2230">
        <v>2.71</v>
      </c>
      <c r="D2230">
        <f t="shared" si="71"/>
        <v>0</v>
      </c>
    </row>
    <row r="2231" spans="1:4" x14ac:dyDescent="0.55000000000000004">
      <c r="A2231">
        <f t="shared" si="70"/>
        <v>2016</v>
      </c>
      <c r="B2231" s="821">
        <v>42433</v>
      </c>
      <c r="C2231">
        <v>2.7</v>
      </c>
      <c r="D2231">
        <f t="shared" si="71"/>
        <v>0</v>
      </c>
    </row>
    <row r="2232" spans="1:4" x14ac:dyDescent="0.55000000000000004">
      <c r="A2232">
        <f t="shared" si="70"/>
        <v>2016</v>
      </c>
      <c r="B2232" s="821">
        <v>42432</v>
      </c>
      <c r="C2232">
        <v>2.65</v>
      </c>
      <c r="D2232">
        <f t="shared" si="71"/>
        <v>0</v>
      </c>
    </row>
    <row r="2233" spans="1:4" x14ac:dyDescent="0.55000000000000004">
      <c r="A2233">
        <f t="shared" si="70"/>
        <v>2016</v>
      </c>
      <c r="B2233" s="821">
        <v>42431</v>
      </c>
      <c r="C2233">
        <v>2.69</v>
      </c>
      <c r="D2233">
        <f t="shared" si="71"/>
        <v>0</v>
      </c>
    </row>
    <row r="2234" spans="1:4" x14ac:dyDescent="0.55000000000000004">
      <c r="A2234">
        <f t="shared" si="70"/>
        <v>2016</v>
      </c>
      <c r="B2234" s="821">
        <v>42430</v>
      </c>
      <c r="C2234">
        <v>2.7</v>
      </c>
      <c r="D2234">
        <f t="shared" si="71"/>
        <v>0</v>
      </c>
    </row>
    <row r="2235" spans="1:4" x14ac:dyDescent="0.55000000000000004">
      <c r="A2235">
        <f t="shared" si="70"/>
        <v>2016</v>
      </c>
      <c r="B2235" s="821">
        <v>42429</v>
      </c>
      <c r="C2235">
        <v>2.61</v>
      </c>
      <c r="D2235">
        <f t="shared" si="71"/>
        <v>0</v>
      </c>
    </row>
    <row r="2236" spans="1:4" x14ac:dyDescent="0.55000000000000004">
      <c r="A2236">
        <f t="shared" si="70"/>
        <v>2016</v>
      </c>
      <c r="B2236" s="821">
        <v>42426</v>
      </c>
      <c r="C2236">
        <v>2.63</v>
      </c>
      <c r="D2236">
        <f t="shared" si="71"/>
        <v>0</v>
      </c>
    </row>
    <row r="2237" spans="1:4" x14ac:dyDescent="0.55000000000000004">
      <c r="A2237">
        <f t="shared" si="70"/>
        <v>2016</v>
      </c>
      <c r="B2237" s="821">
        <v>42425</v>
      </c>
      <c r="C2237">
        <v>2.58</v>
      </c>
      <c r="D2237">
        <f t="shared" si="71"/>
        <v>0</v>
      </c>
    </row>
    <row r="2238" spans="1:4" x14ac:dyDescent="0.55000000000000004">
      <c r="A2238">
        <f t="shared" si="70"/>
        <v>2016</v>
      </c>
      <c r="B2238" s="821">
        <v>42424</v>
      </c>
      <c r="C2238">
        <v>2.61</v>
      </c>
      <c r="D2238">
        <f t="shared" si="71"/>
        <v>0</v>
      </c>
    </row>
    <row r="2239" spans="1:4" x14ac:dyDescent="0.55000000000000004">
      <c r="A2239">
        <f t="shared" si="70"/>
        <v>2016</v>
      </c>
      <c r="B2239" s="821">
        <v>42423</v>
      </c>
      <c r="C2239">
        <v>2.6</v>
      </c>
      <c r="D2239">
        <f t="shared" si="71"/>
        <v>0</v>
      </c>
    </row>
    <row r="2240" spans="1:4" x14ac:dyDescent="0.55000000000000004">
      <c r="A2240">
        <f t="shared" si="70"/>
        <v>2016</v>
      </c>
      <c r="B2240" s="821">
        <v>42422</v>
      </c>
      <c r="C2240">
        <v>2.62</v>
      </c>
      <c r="D2240">
        <f t="shared" si="71"/>
        <v>0</v>
      </c>
    </row>
    <row r="2241" spans="1:4" x14ac:dyDescent="0.55000000000000004">
      <c r="A2241">
        <f t="shared" si="70"/>
        <v>2016</v>
      </c>
      <c r="B2241" s="821">
        <v>42419</v>
      </c>
      <c r="C2241">
        <v>2.61</v>
      </c>
      <c r="D2241">
        <f t="shared" si="71"/>
        <v>0</v>
      </c>
    </row>
    <row r="2242" spans="1:4" x14ac:dyDescent="0.55000000000000004">
      <c r="A2242">
        <f t="shared" si="70"/>
        <v>2016</v>
      </c>
      <c r="B2242" s="821">
        <v>42418</v>
      </c>
      <c r="C2242">
        <v>2.62</v>
      </c>
      <c r="D2242">
        <f t="shared" si="71"/>
        <v>0</v>
      </c>
    </row>
    <row r="2243" spans="1:4" x14ac:dyDescent="0.55000000000000004">
      <c r="A2243">
        <f t="shared" si="70"/>
        <v>2016</v>
      </c>
      <c r="B2243" s="821">
        <v>42417</v>
      </c>
      <c r="C2243">
        <v>2.68</v>
      </c>
      <c r="D2243">
        <f t="shared" si="71"/>
        <v>0</v>
      </c>
    </row>
    <row r="2244" spans="1:4" x14ac:dyDescent="0.55000000000000004">
      <c r="A2244">
        <f t="shared" ref="A2244:A2307" si="72">YEAR(B2244)</f>
        <v>2016</v>
      </c>
      <c r="B2244" s="821">
        <v>42416</v>
      </c>
      <c r="C2244">
        <v>2.64</v>
      </c>
      <c r="D2244">
        <f t="shared" ref="D2244:D2307" si="73">IF(C2244&gt;4,1,0)</f>
        <v>0</v>
      </c>
    </row>
    <row r="2245" spans="1:4" x14ac:dyDescent="0.55000000000000004">
      <c r="A2245">
        <f t="shared" si="72"/>
        <v>2016</v>
      </c>
      <c r="B2245" s="821">
        <v>42412</v>
      </c>
      <c r="C2245">
        <v>2.6</v>
      </c>
      <c r="D2245">
        <f t="shared" si="73"/>
        <v>0</v>
      </c>
    </row>
    <row r="2246" spans="1:4" x14ac:dyDescent="0.55000000000000004">
      <c r="A2246">
        <f t="shared" si="72"/>
        <v>2016</v>
      </c>
      <c r="B2246" s="821">
        <v>42411</v>
      </c>
      <c r="C2246">
        <v>2.5</v>
      </c>
      <c r="D2246">
        <f t="shared" si="73"/>
        <v>0</v>
      </c>
    </row>
    <row r="2247" spans="1:4" x14ac:dyDescent="0.55000000000000004">
      <c r="A2247">
        <f t="shared" si="72"/>
        <v>2016</v>
      </c>
      <c r="B2247" s="821">
        <v>42410</v>
      </c>
      <c r="C2247">
        <v>2.5299999999999998</v>
      </c>
      <c r="D2247">
        <f t="shared" si="73"/>
        <v>0</v>
      </c>
    </row>
    <row r="2248" spans="1:4" x14ac:dyDescent="0.55000000000000004">
      <c r="A2248">
        <f t="shared" si="72"/>
        <v>2016</v>
      </c>
      <c r="B2248" s="821">
        <v>42409</v>
      </c>
      <c r="C2248">
        <v>2.5499999999999998</v>
      </c>
      <c r="D2248">
        <f t="shared" si="73"/>
        <v>0</v>
      </c>
    </row>
    <row r="2249" spans="1:4" x14ac:dyDescent="0.55000000000000004">
      <c r="A2249">
        <f t="shared" si="72"/>
        <v>2016</v>
      </c>
      <c r="B2249" s="821">
        <v>42408</v>
      </c>
      <c r="C2249">
        <v>2.56</v>
      </c>
      <c r="D2249">
        <f t="shared" si="73"/>
        <v>0</v>
      </c>
    </row>
    <row r="2250" spans="1:4" x14ac:dyDescent="0.55000000000000004">
      <c r="A2250">
        <f t="shared" si="72"/>
        <v>2016</v>
      </c>
      <c r="B2250" s="821">
        <v>42405</v>
      </c>
      <c r="C2250">
        <v>2.68</v>
      </c>
      <c r="D2250">
        <f t="shared" si="73"/>
        <v>0</v>
      </c>
    </row>
    <row r="2251" spans="1:4" x14ac:dyDescent="0.55000000000000004">
      <c r="A2251">
        <f t="shared" si="72"/>
        <v>2016</v>
      </c>
      <c r="B2251" s="821">
        <v>42404</v>
      </c>
      <c r="C2251">
        <v>2.7</v>
      </c>
      <c r="D2251">
        <f t="shared" si="73"/>
        <v>0</v>
      </c>
    </row>
    <row r="2252" spans="1:4" x14ac:dyDescent="0.55000000000000004">
      <c r="A2252">
        <f t="shared" si="72"/>
        <v>2016</v>
      </c>
      <c r="B2252" s="821">
        <v>42403</v>
      </c>
      <c r="C2252">
        <v>2.7</v>
      </c>
      <c r="D2252">
        <f t="shared" si="73"/>
        <v>0</v>
      </c>
    </row>
    <row r="2253" spans="1:4" x14ac:dyDescent="0.55000000000000004">
      <c r="A2253">
        <f t="shared" si="72"/>
        <v>2016</v>
      </c>
      <c r="B2253" s="821">
        <v>42402</v>
      </c>
      <c r="C2253">
        <v>2.67</v>
      </c>
      <c r="D2253">
        <f t="shared" si="73"/>
        <v>0</v>
      </c>
    </row>
    <row r="2254" spans="1:4" x14ac:dyDescent="0.55000000000000004">
      <c r="A2254">
        <f t="shared" si="72"/>
        <v>2016</v>
      </c>
      <c r="B2254" s="821">
        <v>42401</v>
      </c>
      <c r="C2254">
        <v>2.77</v>
      </c>
      <c r="D2254">
        <f t="shared" si="73"/>
        <v>0</v>
      </c>
    </row>
    <row r="2255" spans="1:4" x14ac:dyDescent="0.55000000000000004">
      <c r="A2255">
        <f t="shared" si="72"/>
        <v>2016</v>
      </c>
      <c r="B2255" s="821">
        <v>42398</v>
      </c>
      <c r="C2255">
        <v>2.75</v>
      </c>
      <c r="D2255">
        <f t="shared" si="73"/>
        <v>0</v>
      </c>
    </row>
    <row r="2256" spans="1:4" x14ac:dyDescent="0.55000000000000004">
      <c r="A2256">
        <f t="shared" si="72"/>
        <v>2016</v>
      </c>
      <c r="B2256" s="821">
        <v>42397</v>
      </c>
      <c r="C2256">
        <v>2.79</v>
      </c>
      <c r="D2256">
        <f t="shared" si="73"/>
        <v>0</v>
      </c>
    </row>
    <row r="2257" spans="1:4" x14ac:dyDescent="0.55000000000000004">
      <c r="A2257">
        <f t="shared" si="72"/>
        <v>2016</v>
      </c>
      <c r="B2257" s="821">
        <v>42396</v>
      </c>
      <c r="C2257">
        <v>2.8</v>
      </c>
      <c r="D2257">
        <f t="shared" si="73"/>
        <v>0</v>
      </c>
    </row>
    <row r="2258" spans="1:4" x14ac:dyDescent="0.55000000000000004">
      <c r="A2258">
        <f t="shared" si="72"/>
        <v>2016</v>
      </c>
      <c r="B2258" s="821">
        <v>42395</v>
      </c>
      <c r="C2258">
        <v>2.79</v>
      </c>
      <c r="D2258">
        <f t="shared" si="73"/>
        <v>0</v>
      </c>
    </row>
    <row r="2259" spans="1:4" x14ac:dyDescent="0.55000000000000004">
      <c r="A2259">
        <f t="shared" si="72"/>
        <v>2016</v>
      </c>
      <c r="B2259" s="821">
        <v>42394</v>
      </c>
      <c r="C2259">
        <v>2.8</v>
      </c>
      <c r="D2259">
        <f t="shared" si="73"/>
        <v>0</v>
      </c>
    </row>
    <row r="2260" spans="1:4" x14ac:dyDescent="0.55000000000000004">
      <c r="A2260">
        <f t="shared" si="72"/>
        <v>2016</v>
      </c>
      <c r="B2260" s="821">
        <v>42391</v>
      </c>
      <c r="C2260">
        <v>2.83</v>
      </c>
      <c r="D2260">
        <f t="shared" si="73"/>
        <v>0</v>
      </c>
    </row>
    <row r="2261" spans="1:4" x14ac:dyDescent="0.55000000000000004">
      <c r="A2261">
        <f t="shared" si="72"/>
        <v>2016</v>
      </c>
      <c r="B2261" s="821">
        <v>42390</v>
      </c>
      <c r="C2261">
        <v>2.79</v>
      </c>
      <c r="D2261">
        <f t="shared" si="73"/>
        <v>0</v>
      </c>
    </row>
    <row r="2262" spans="1:4" x14ac:dyDescent="0.55000000000000004">
      <c r="A2262">
        <f t="shared" si="72"/>
        <v>2016</v>
      </c>
      <c r="B2262" s="821">
        <v>42389</v>
      </c>
      <c r="C2262">
        <v>2.77</v>
      </c>
      <c r="D2262">
        <f t="shared" si="73"/>
        <v>0</v>
      </c>
    </row>
    <row r="2263" spans="1:4" x14ac:dyDescent="0.55000000000000004">
      <c r="A2263">
        <f t="shared" si="72"/>
        <v>2016</v>
      </c>
      <c r="B2263" s="821">
        <v>42388</v>
      </c>
      <c r="C2263">
        <v>2.82</v>
      </c>
      <c r="D2263">
        <f t="shared" si="73"/>
        <v>0</v>
      </c>
    </row>
    <row r="2264" spans="1:4" x14ac:dyDescent="0.55000000000000004">
      <c r="A2264">
        <f t="shared" si="72"/>
        <v>2016</v>
      </c>
      <c r="B2264" s="821">
        <v>42384</v>
      </c>
      <c r="C2264">
        <v>2.81</v>
      </c>
      <c r="D2264">
        <f t="shared" si="73"/>
        <v>0</v>
      </c>
    </row>
    <row r="2265" spans="1:4" x14ac:dyDescent="0.55000000000000004">
      <c r="A2265">
        <f t="shared" si="72"/>
        <v>2016</v>
      </c>
      <c r="B2265" s="821">
        <v>42383</v>
      </c>
      <c r="C2265">
        <v>2.9</v>
      </c>
      <c r="D2265">
        <f t="shared" si="73"/>
        <v>0</v>
      </c>
    </row>
    <row r="2266" spans="1:4" x14ac:dyDescent="0.55000000000000004">
      <c r="A2266">
        <f t="shared" si="72"/>
        <v>2016</v>
      </c>
      <c r="B2266" s="821">
        <v>42382</v>
      </c>
      <c r="C2266">
        <v>2.85</v>
      </c>
      <c r="D2266">
        <f t="shared" si="73"/>
        <v>0</v>
      </c>
    </row>
    <row r="2267" spans="1:4" x14ac:dyDescent="0.55000000000000004">
      <c r="A2267">
        <f t="shared" si="72"/>
        <v>2016</v>
      </c>
      <c r="B2267" s="821">
        <v>42381</v>
      </c>
      <c r="C2267">
        <v>2.89</v>
      </c>
      <c r="D2267">
        <f t="shared" si="73"/>
        <v>0</v>
      </c>
    </row>
    <row r="2268" spans="1:4" x14ac:dyDescent="0.55000000000000004">
      <c r="A2268">
        <f t="shared" si="72"/>
        <v>2016</v>
      </c>
      <c r="B2268" s="821">
        <v>42380</v>
      </c>
      <c r="C2268">
        <v>2.96</v>
      </c>
      <c r="D2268">
        <f t="shared" si="73"/>
        <v>0</v>
      </c>
    </row>
    <row r="2269" spans="1:4" x14ac:dyDescent="0.55000000000000004">
      <c r="A2269">
        <f t="shared" si="72"/>
        <v>2016</v>
      </c>
      <c r="B2269" s="821">
        <v>42377</v>
      </c>
      <c r="C2269">
        <v>2.91</v>
      </c>
      <c r="D2269">
        <f t="shared" si="73"/>
        <v>0</v>
      </c>
    </row>
    <row r="2270" spans="1:4" x14ac:dyDescent="0.55000000000000004">
      <c r="A2270">
        <f t="shared" si="72"/>
        <v>2016</v>
      </c>
      <c r="B2270" s="821">
        <v>42376</v>
      </c>
      <c r="C2270">
        <v>2.92</v>
      </c>
      <c r="D2270">
        <f t="shared" si="73"/>
        <v>0</v>
      </c>
    </row>
    <row r="2271" spans="1:4" x14ac:dyDescent="0.55000000000000004">
      <c r="A2271">
        <f t="shared" si="72"/>
        <v>2016</v>
      </c>
      <c r="B2271" s="821">
        <v>42375</v>
      </c>
      <c r="C2271">
        <v>2.94</v>
      </c>
      <c r="D2271">
        <f t="shared" si="73"/>
        <v>0</v>
      </c>
    </row>
    <row r="2272" spans="1:4" x14ac:dyDescent="0.55000000000000004">
      <c r="A2272">
        <f t="shared" si="72"/>
        <v>2016</v>
      </c>
      <c r="B2272" s="821">
        <v>42374</v>
      </c>
      <c r="C2272">
        <v>3.01</v>
      </c>
      <c r="D2272">
        <f t="shared" si="73"/>
        <v>0</v>
      </c>
    </row>
    <row r="2273" spans="1:4" x14ac:dyDescent="0.55000000000000004">
      <c r="A2273">
        <f t="shared" si="72"/>
        <v>2016</v>
      </c>
      <c r="B2273" s="821">
        <v>42373</v>
      </c>
      <c r="C2273">
        <v>2.98</v>
      </c>
      <c r="D2273">
        <f t="shared" si="73"/>
        <v>0</v>
      </c>
    </row>
    <row r="2274" spans="1:4" x14ac:dyDescent="0.55000000000000004">
      <c r="A2274">
        <f t="shared" si="72"/>
        <v>2015</v>
      </c>
      <c r="B2274" s="821">
        <v>42369</v>
      </c>
      <c r="C2274">
        <v>3.01</v>
      </c>
      <c r="D2274">
        <f t="shared" si="73"/>
        <v>0</v>
      </c>
    </row>
    <row r="2275" spans="1:4" x14ac:dyDescent="0.55000000000000004">
      <c r="A2275">
        <f t="shared" si="72"/>
        <v>2015</v>
      </c>
      <c r="B2275" s="821">
        <v>42368</v>
      </c>
      <c r="C2275">
        <v>3.04</v>
      </c>
      <c r="D2275">
        <f t="shared" si="73"/>
        <v>0</v>
      </c>
    </row>
    <row r="2276" spans="1:4" x14ac:dyDescent="0.55000000000000004">
      <c r="A2276">
        <f t="shared" si="72"/>
        <v>2015</v>
      </c>
      <c r="B2276" s="821">
        <v>42367</v>
      </c>
      <c r="C2276">
        <v>3.04</v>
      </c>
      <c r="D2276">
        <f t="shared" si="73"/>
        <v>0</v>
      </c>
    </row>
    <row r="2277" spans="1:4" x14ac:dyDescent="0.55000000000000004">
      <c r="A2277">
        <f t="shared" si="72"/>
        <v>2015</v>
      </c>
      <c r="B2277" s="821">
        <v>42366</v>
      </c>
      <c r="C2277">
        <v>2.95</v>
      </c>
      <c r="D2277">
        <f t="shared" si="73"/>
        <v>0</v>
      </c>
    </row>
    <row r="2278" spans="1:4" x14ac:dyDescent="0.55000000000000004">
      <c r="A2278">
        <f t="shared" si="72"/>
        <v>2015</v>
      </c>
      <c r="B2278" s="821">
        <v>42362</v>
      </c>
      <c r="C2278">
        <v>2.96</v>
      </c>
      <c r="D2278">
        <f t="shared" si="73"/>
        <v>0</v>
      </c>
    </row>
    <row r="2279" spans="1:4" x14ac:dyDescent="0.55000000000000004">
      <c r="A2279">
        <f t="shared" si="72"/>
        <v>2015</v>
      </c>
      <c r="B2279" s="821">
        <v>42361</v>
      </c>
      <c r="C2279">
        <v>3</v>
      </c>
      <c r="D2279">
        <f t="shared" si="73"/>
        <v>0</v>
      </c>
    </row>
    <row r="2280" spans="1:4" x14ac:dyDescent="0.55000000000000004">
      <c r="A2280">
        <f t="shared" si="72"/>
        <v>2015</v>
      </c>
      <c r="B2280" s="821">
        <v>42360</v>
      </c>
      <c r="C2280">
        <v>2.96</v>
      </c>
      <c r="D2280">
        <f t="shared" si="73"/>
        <v>0</v>
      </c>
    </row>
    <row r="2281" spans="1:4" x14ac:dyDescent="0.55000000000000004">
      <c r="A2281">
        <f t="shared" si="72"/>
        <v>2015</v>
      </c>
      <c r="B2281" s="821">
        <v>42359</v>
      </c>
      <c r="C2281">
        <v>2.92</v>
      </c>
      <c r="D2281">
        <f t="shared" si="73"/>
        <v>0</v>
      </c>
    </row>
    <row r="2282" spans="1:4" x14ac:dyDescent="0.55000000000000004">
      <c r="A2282">
        <f t="shared" si="72"/>
        <v>2015</v>
      </c>
      <c r="B2282" s="821">
        <v>42356</v>
      </c>
      <c r="C2282">
        <v>2.9</v>
      </c>
      <c r="D2282">
        <f t="shared" si="73"/>
        <v>0</v>
      </c>
    </row>
    <row r="2283" spans="1:4" x14ac:dyDescent="0.55000000000000004">
      <c r="A2283">
        <f t="shared" si="72"/>
        <v>2015</v>
      </c>
      <c r="B2283" s="821">
        <v>42355</v>
      </c>
      <c r="C2283">
        <v>2.94</v>
      </c>
      <c r="D2283">
        <f t="shared" si="73"/>
        <v>0</v>
      </c>
    </row>
    <row r="2284" spans="1:4" x14ac:dyDescent="0.55000000000000004">
      <c r="A2284">
        <f t="shared" si="72"/>
        <v>2015</v>
      </c>
      <c r="B2284" s="821">
        <v>42354</v>
      </c>
      <c r="C2284">
        <v>3.02</v>
      </c>
      <c r="D2284">
        <f t="shared" si="73"/>
        <v>0</v>
      </c>
    </row>
    <row r="2285" spans="1:4" x14ac:dyDescent="0.55000000000000004">
      <c r="A2285">
        <f t="shared" si="72"/>
        <v>2015</v>
      </c>
      <c r="B2285" s="821">
        <v>42353</v>
      </c>
      <c r="C2285">
        <v>3</v>
      </c>
      <c r="D2285">
        <f t="shared" si="73"/>
        <v>0</v>
      </c>
    </row>
    <row r="2286" spans="1:4" x14ac:dyDescent="0.55000000000000004">
      <c r="A2286">
        <f t="shared" si="72"/>
        <v>2015</v>
      </c>
      <c r="B2286" s="821">
        <v>42352</v>
      </c>
      <c r="C2286">
        <v>2.96</v>
      </c>
      <c r="D2286">
        <f t="shared" si="73"/>
        <v>0</v>
      </c>
    </row>
    <row r="2287" spans="1:4" x14ac:dyDescent="0.55000000000000004">
      <c r="A2287">
        <f t="shared" si="72"/>
        <v>2015</v>
      </c>
      <c r="B2287" s="821">
        <v>42349</v>
      </c>
      <c r="C2287">
        <v>2.87</v>
      </c>
      <c r="D2287">
        <f t="shared" si="73"/>
        <v>0</v>
      </c>
    </row>
    <row r="2288" spans="1:4" x14ac:dyDescent="0.55000000000000004">
      <c r="A2288">
        <f t="shared" si="72"/>
        <v>2015</v>
      </c>
      <c r="B2288" s="821">
        <v>42348</v>
      </c>
      <c r="C2288">
        <v>2.98</v>
      </c>
      <c r="D2288">
        <f t="shared" si="73"/>
        <v>0</v>
      </c>
    </row>
    <row r="2289" spans="1:4" x14ac:dyDescent="0.55000000000000004">
      <c r="A2289">
        <f t="shared" si="72"/>
        <v>2015</v>
      </c>
      <c r="B2289" s="821">
        <v>42347</v>
      </c>
      <c r="C2289">
        <v>2.97</v>
      </c>
      <c r="D2289">
        <f t="shared" si="73"/>
        <v>0</v>
      </c>
    </row>
    <row r="2290" spans="1:4" x14ac:dyDescent="0.55000000000000004">
      <c r="A2290">
        <f t="shared" si="72"/>
        <v>2015</v>
      </c>
      <c r="B2290" s="821">
        <v>42346</v>
      </c>
      <c r="C2290">
        <v>2.97</v>
      </c>
      <c r="D2290">
        <f t="shared" si="73"/>
        <v>0</v>
      </c>
    </row>
    <row r="2291" spans="1:4" x14ac:dyDescent="0.55000000000000004">
      <c r="A2291">
        <f t="shared" si="72"/>
        <v>2015</v>
      </c>
      <c r="B2291" s="821">
        <v>42345</v>
      </c>
      <c r="C2291">
        <v>2.95</v>
      </c>
      <c r="D2291">
        <f t="shared" si="73"/>
        <v>0</v>
      </c>
    </row>
    <row r="2292" spans="1:4" x14ac:dyDescent="0.55000000000000004">
      <c r="A2292">
        <f t="shared" si="72"/>
        <v>2015</v>
      </c>
      <c r="B2292" s="821">
        <v>42342</v>
      </c>
      <c r="C2292">
        <v>3.01</v>
      </c>
      <c r="D2292">
        <f t="shared" si="73"/>
        <v>0</v>
      </c>
    </row>
    <row r="2293" spans="1:4" x14ac:dyDescent="0.55000000000000004">
      <c r="A2293">
        <f t="shared" si="72"/>
        <v>2015</v>
      </c>
      <c r="B2293" s="821">
        <v>42341</v>
      </c>
      <c r="C2293">
        <v>3.07</v>
      </c>
      <c r="D2293">
        <f t="shared" si="73"/>
        <v>0</v>
      </c>
    </row>
    <row r="2294" spans="1:4" x14ac:dyDescent="0.55000000000000004">
      <c r="A2294">
        <f t="shared" si="72"/>
        <v>2015</v>
      </c>
      <c r="B2294" s="821">
        <v>42340</v>
      </c>
      <c r="C2294">
        <v>2.91</v>
      </c>
      <c r="D2294">
        <f t="shared" si="73"/>
        <v>0</v>
      </c>
    </row>
    <row r="2295" spans="1:4" x14ac:dyDescent="0.55000000000000004">
      <c r="A2295">
        <f t="shared" si="72"/>
        <v>2015</v>
      </c>
      <c r="B2295" s="821">
        <v>42339</v>
      </c>
      <c r="C2295">
        <v>2.91</v>
      </c>
      <c r="D2295">
        <f t="shared" si="73"/>
        <v>0</v>
      </c>
    </row>
    <row r="2296" spans="1:4" x14ac:dyDescent="0.55000000000000004">
      <c r="A2296">
        <f t="shared" si="72"/>
        <v>2015</v>
      </c>
      <c r="B2296" s="821">
        <v>42338</v>
      </c>
      <c r="C2296">
        <v>2.98</v>
      </c>
      <c r="D2296">
        <f t="shared" si="73"/>
        <v>0</v>
      </c>
    </row>
    <row r="2297" spans="1:4" x14ac:dyDescent="0.55000000000000004">
      <c r="A2297">
        <f t="shared" si="72"/>
        <v>2015</v>
      </c>
      <c r="B2297" s="821">
        <v>42335</v>
      </c>
      <c r="C2297">
        <v>3</v>
      </c>
      <c r="D2297">
        <f t="shared" si="73"/>
        <v>0</v>
      </c>
    </row>
    <row r="2298" spans="1:4" x14ac:dyDescent="0.55000000000000004">
      <c r="A2298">
        <f t="shared" si="72"/>
        <v>2015</v>
      </c>
      <c r="B2298" s="821">
        <v>42333</v>
      </c>
      <c r="C2298">
        <v>3</v>
      </c>
      <c r="D2298">
        <f t="shared" si="73"/>
        <v>0</v>
      </c>
    </row>
    <row r="2299" spans="1:4" x14ac:dyDescent="0.55000000000000004">
      <c r="A2299">
        <f t="shared" si="72"/>
        <v>2015</v>
      </c>
      <c r="B2299" s="821">
        <v>42332</v>
      </c>
      <c r="C2299">
        <v>3</v>
      </c>
      <c r="D2299">
        <f t="shared" si="73"/>
        <v>0</v>
      </c>
    </row>
    <row r="2300" spans="1:4" x14ac:dyDescent="0.55000000000000004">
      <c r="A2300">
        <f t="shared" si="72"/>
        <v>2015</v>
      </c>
      <c r="B2300" s="821">
        <v>42331</v>
      </c>
      <c r="C2300">
        <v>3</v>
      </c>
      <c r="D2300">
        <f t="shared" si="73"/>
        <v>0</v>
      </c>
    </row>
    <row r="2301" spans="1:4" x14ac:dyDescent="0.55000000000000004">
      <c r="A2301">
        <f t="shared" si="72"/>
        <v>2015</v>
      </c>
      <c r="B2301" s="821">
        <v>42328</v>
      </c>
      <c r="C2301">
        <v>3.02</v>
      </c>
      <c r="D2301">
        <f t="shared" si="73"/>
        <v>0</v>
      </c>
    </row>
    <row r="2302" spans="1:4" x14ac:dyDescent="0.55000000000000004">
      <c r="A2302">
        <f t="shared" si="72"/>
        <v>2015</v>
      </c>
      <c r="B2302" s="821">
        <v>42327</v>
      </c>
      <c r="C2302">
        <v>3</v>
      </c>
      <c r="D2302">
        <f t="shared" si="73"/>
        <v>0</v>
      </c>
    </row>
    <row r="2303" spans="1:4" x14ac:dyDescent="0.55000000000000004">
      <c r="A2303">
        <f t="shared" si="72"/>
        <v>2015</v>
      </c>
      <c r="B2303" s="821">
        <v>42326</v>
      </c>
      <c r="C2303">
        <v>3.04</v>
      </c>
      <c r="D2303">
        <f t="shared" si="73"/>
        <v>0</v>
      </c>
    </row>
    <row r="2304" spans="1:4" x14ac:dyDescent="0.55000000000000004">
      <c r="A2304">
        <f t="shared" si="72"/>
        <v>2015</v>
      </c>
      <c r="B2304" s="821">
        <v>42325</v>
      </c>
      <c r="C2304">
        <v>3.04</v>
      </c>
      <c r="D2304">
        <f t="shared" si="73"/>
        <v>0</v>
      </c>
    </row>
    <row r="2305" spans="1:4" x14ac:dyDescent="0.55000000000000004">
      <c r="A2305">
        <f t="shared" si="72"/>
        <v>2015</v>
      </c>
      <c r="B2305" s="821">
        <v>42324</v>
      </c>
      <c r="C2305">
        <v>3.07</v>
      </c>
      <c r="D2305">
        <f t="shared" si="73"/>
        <v>0</v>
      </c>
    </row>
    <row r="2306" spans="1:4" x14ac:dyDescent="0.55000000000000004">
      <c r="A2306">
        <f t="shared" si="72"/>
        <v>2015</v>
      </c>
      <c r="B2306" s="821">
        <v>42321</v>
      </c>
      <c r="C2306">
        <v>3.06</v>
      </c>
      <c r="D2306">
        <f t="shared" si="73"/>
        <v>0</v>
      </c>
    </row>
    <row r="2307" spans="1:4" x14ac:dyDescent="0.55000000000000004">
      <c r="A2307">
        <f t="shared" si="72"/>
        <v>2015</v>
      </c>
      <c r="B2307" s="821">
        <v>42320</v>
      </c>
      <c r="C2307">
        <v>3.09</v>
      </c>
      <c r="D2307">
        <f t="shared" si="73"/>
        <v>0</v>
      </c>
    </row>
    <row r="2308" spans="1:4" x14ac:dyDescent="0.55000000000000004">
      <c r="A2308">
        <f t="shared" ref="A2308:A2371" si="74">YEAR(B2308)</f>
        <v>2015</v>
      </c>
      <c r="B2308" s="821">
        <v>42318</v>
      </c>
      <c r="C2308">
        <v>3.1</v>
      </c>
      <c r="D2308">
        <f t="shared" ref="D2308:D2371" si="75">IF(C2308&gt;4,1,0)</f>
        <v>0</v>
      </c>
    </row>
    <row r="2309" spans="1:4" x14ac:dyDescent="0.55000000000000004">
      <c r="A2309">
        <f t="shared" si="74"/>
        <v>2015</v>
      </c>
      <c r="B2309" s="821">
        <v>42317</v>
      </c>
      <c r="C2309">
        <v>3.12</v>
      </c>
      <c r="D2309">
        <f t="shared" si="75"/>
        <v>0</v>
      </c>
    </row>
    <row r="2310" spans="1:4" x14ac:dyDescent="0.55000000000000004">
      <c r="A2310">
        <f t="shared" si="74"/>
        <v>2015</v>
      </c>
      <c r="B2310" s="821">
        <v>42314</v>
      </c>
      <c r="C2310">
        <v>3.09</v>
      </c>
      <c r="D2310">
        <f t="shared" si="75"/>
        <v>0</v>
      </c>
    </row>
    <row r="2311" spans="1:4" x14ac:dyDescent="0.55000000000000004">
      <c r="A2311">
        <f t="shared" si="74"/>
        <v>2015</v>
      </c>
      <c r="B2311" s="821">
        <v>42313</v>
      </c>
      <c r="C2311">
        <v>3.01</v>
      </c>
      <c r="D2311">
        <f t="shared" si="75"/>
        <v>0</v>
      </c>
    </row>
    <row r="2312" spans="1:4" x14ac:dyDescent="0.55000000000000004">
      <c r="A2312">
        <f t="shared" si="74"/>
        <v>2015</v>
      </c>
      <c r="B2312" s="821">
        <v>42312</v>
      </c>
      <c r="C2312">
        <v>3</v>
      </c>
      <c r="D2312">
        <f t="shared" si="75"/>
        <v>0</v>
      </c>
    </row>
    <row r="2313" spans="1:4" x14ac:dyDescent="0.55000000000000004">
      <c r="A2313">
        <f t="shared" si="74"/>
        <v>2015</v>
      </c>
      <c r="B2313" s="821">
        <v>42311</v>
      </c>
      <c r="C2313">
        <v>3</v>
      </c>
      <c r="D2313">
        <f t="shared" si="75"/>
        <v>0</v>
      </c>
    </row>
    <row r="2314" spans="1:4" x14ac:dyDescent="0.55000000000000004">
      <c r="A2314">
        <f t="shared" si="74"/>
        <v>2015</v>
      </c>
      <c r="B2314" s="821">
        <v>42310</v>
      </c>
      <c r="C2314">
        <v>2.95</v>
      </c>
      <c r="D2314">
        <f t="shared" si="75"/>
        <v>0</v>
      </c>
    </row>
    <row r="2315" spans="1:4" x14ac:dyDescent="0.55000000000000004">
      <c r="A2315">
        <f t="shared" si="74"/>
        <v>2015</v>
      </c>
      <c r="B2315" s="821">
        <v>42307</v>
      </c>
      <c r="C2315">
        <v>2.93</v>
      </c>
      <c r="D2315">
        <f t="shared" si="75"/>
        <v>0</v>
      </c>
    </row>
    <row r="2316" spans="1:4" x14ac:dyDescent="0.55000000000000004">
      <c r="A2316">
        <f t="shared" si="74"/>
        <v>2015</v>
      </c>
      <c r="B2316" s="821">
        <v>42306</v>
      </c>
      <c r="C2316">
        <v>2.96</v>
      </c>
      <c r="D2316">
        <f t="shared" si="75"/>
        <v>0</v>
      </c>
    </row>
    <row r="2317" spans="1:4" x14ac:dyDescent="0.55000000000000004">
      <c r="A2317">
        <f t="shared" si="74"/>
        <v>2015</v>
      </c>
      <c r="B2317" s="821">
        <v>42305</v>
      </c>
      <c r="C2317">
        <v>2.87</v>
      </c>
      <c r="D2317">
        <f t="shared" si="75"/>
        <v>0</v>
      </c>
    </row>
    <row r="2318" spans="1:4" x14ac:dyDescent="0.55000000000000004">
      <c r="A2318">
        <f t="shared" si="74"/>
        <v>2015</v>
      </c>
      <c r="B2318" s="821">
        <v>42304</v>
      </c>
      <c r="C2318">
        <v>2.86</v>
      </c>
      <c r="D2318">
        <f t="shared" si="75"/>
        <v>0</v>
      </c>
    </row>
    <row r="2319" spans="1:4" x14ac:dyDescent="0.55000000000000004">
      <c r="A2319">
        <f t="shared" si="74"/>
        <v>2015</v>
      </c>
      <c r="B2319" s="821">
        <v>42303</v>
      </c>
      <c r="C2319">
        <v>2.87</v>
      </c>
      <c r="D2319">
        <f t="shared" si="75"/>
        <v>0</v>
      </c>
    </row>
    <row r="2320" spans="1:4" x14ac:dyDescent="0.55000000000000004">
      <c r="A2320">
        <f t="shared" si="74"/>
        <v>2015</v>
      </c>
      <c r="B2320" s="821">
        <v>42300</v>
      </c>
      <c r="C2320">
        <v>2.9</v>
      </c>
      <c r="D2320">
        <f t="shared" si="75"/>
        <v>0</v>
      </c>
    </row>
    <row r="2321" spans="1:4" x14ac:dyDescent="0.55000000000000004">
      <c r="A2321">
        <f t="shared" si="74"/>
        <v>2015</v>
      </c>
      <c r="B2321" s="821">
        <v>42299</v>
      </c>
      <c r="C2321">
        <v>2.87</v>
      </c>
      <c r="D2321">
        <f t="shared" si="75"/>
        <v>0</v>
      </c>
    </row>
    <row r="2322" spans="1:4" x14ac:dyDescent="0.55000000000000004">
      <c r="A2322">
        <f t="shared" si="74"/>
        <v>2015</v>
      </c>
      <c r="B2322" s="821">
        <v>42298</v>
      </c>
      <c r="C2322">
        <v>2.87</v>
      </c>
      <c r="D2322">
        <f t="shared" si="75"/>
        <v>0</v>
      </c>
    </row>
    <row r="2323" spans="1:4" x14ac:dyDescent="0.55000000000000004">
      <c r="A2323">
        <f t="shared" si="74"/>
        <v>2015</v>
      </c>
      <c r="B2323" s="821">
        <v>42297</v>
      </c>
      <c r="C2323">
        <v>2.92</v>
      </c>
      <c r="D2323">
        <f t="shared" si="75"/>
        <v>0</v>
      </c>
    </row>
    <row r="2324" spans="1:4" x14ac:dyDescent="0.55000000000000004">
      <c r="A2324">
        <f t="shared" si="74"/>
        <v>2015</v>
      </c>
      <c r="B2324" s="821">
        <v>42296</v>
      </c>
      <c r="C2324">
        <v>2.89</v>
      </c>
      <c r="D2324">
        <f t="shared" si="75"/>
        <v>0</v>
      </c>
    </row>
    <row r="2325" spans="1:4" x14ac:dyDescent="0.55000000000000004">
      <c r="A2325">
        <f t="shared" si="74"/>
        <v>2015</v>
      </c>
      <c r="B2325" s="821">
        <v>42293</v>
      </c>
      <c r="C2325">
        <v>2.87</v>
      </c>
      <c r="D2325">
        <f t="shared" si="75"/>
        <v>0</v>
      </c>
    </row>
    <row r="2326" spans="1:4" x14ac:dyDescent="0.55000000000000004">
      <c r="A2326">
        <f t="shared" si="74"/>
        <v>2015</v>
      </c>
      <c r="B2326" s="821">
        <v>42292</v>
      </c>
      <c r="C2326">
        <v>2.87</v>
      </c>
      <c r="D2326">
        <f t="shared" si="75"/>
        <v>0</v>
      </c>
    </row>
    <row r="2327" spans="1:4" x14ac:dyDescent="0.55000000000000004">
      <c r="A2327">
        <f t="shared" si="74"/>
        <v>2015</v>
      </c>
      <c r="B2327" s="821">
        <v>42291</v>
      </c>
      <c r="C2327">
        <v>2.84</v>
      </c>
      <c r="D2327">
        <f t="shared" si="75"/>
        <v>0</v>
      </c>
    </row>
    <row r="2328" spans="1:4" x14ac:dyDescent="0.55000000000000004">
      <c r="A2328">
        <f t="shared" si="74"/>
        <v>2015</v>
      </c>
      <c r="B2328" s="821">
        <v>42290</v>
      </c>
      <c r="C2328">
        <v>2.89</v>
      </c>
      <c r="D2328">
        <f t="shared" si="75"/>
        <v>0</v>
      </c>
    </row>
    <row r="2329" spans="1:4" x14ac:dyDescent="0.55000000000000004">
      <c r="A2329">
        <f t="shared" si="74"/>
        <v>2015</v>
      </c>
      <c r="B2329" s="821">
        <v>42286</v>
      </c>
      <c r="C2329">
        <v>2.94</v>
      </c>
      <c r="D2329">
        <f t="shared" si="75"/>
        <v>0</v>
      </c>
    </row>
    <row r="2330" spans="1:4" x14ac:dyDescent="0.55000000000000004">
      <c r="A2330">
        <f t="shared" si="74"/>
        <v>2015</v>
      </c>
      <c r="B2330" s="821">
        <v>42285</v>
      </c>
      <c r="C2330">
        <v>2.96</v>
      </c>
      <c r="D2330">
        <f t="shared" si="75"/>
        <v>0</v>
      </c>
    </row>
    <row r="2331" spans="1:4" x14ac:dyDescent="0.55000000000000004">
      <c r="A2331">
        <f t="shared" si="74"/>
        <v>2015</v>
      </c>
      <c r="B2331" s="821">
        <v>42284</v>
      </c>
      <c r="C2331">
        <v>2.89</v>
      </c>
      <c r="D2331">
        <f t="shared" si="75"/>
        <v>0</v>
      </c>
    </row>
    <row r="2332" spans="1:4" x14ac:dyDescent="0.55000000000000004">
      <c r="A2332">
        <f t="shared" si="74"/>
        <v>2015</v>
      </c>
      <c r="B2332" s="821">
        <v>42283</v>
      </c>
      <c r="C2332">
        <v>2.88</v>
      </c>
      <c r="D2332">
        <f t="shared" si="75"/>
        <v>0</v>
      </c>
    </row>
    <row r="2333" spans="1:4" x14ac:dyDescent="0.55000000000000004">
      <c r="A2333">
        <f t="shared" si="74"/>
        <v>2015</v>
      </c>
      <c r="B2333" s="821">
        <v>42282</v>
      </c>
      <c r="C2333">
        <v>2.9</v>
      </c>
      <c r="D2333">
        <f t="shared" si="75"/>
        <v>0</v>
      </c>
    </row>
    <row r="2334" spans="1:4" x14ac:dyDescent="0.55000000000000004">
      <c r="A2334">
        <f t="shared" si="74"/>
        <v>2015</v>
      </c>
      <c r="B2334" s="821">
        <v>42279</v>
      </c>
      <c r="C2334">
        <v>2.82</v>
      </c>
      <c r="D2334">
        <f t="shared" si="75"/>
        <v>0</v>
      </c>
    </row>
    <row r="2335" spans="1:4" x14ac:dyDescent="0.55000000000000004">
      <c r="A2335">
        <f t="shared" si="74"/>
        <v>2015</v>
      </c>
      <c r="B2335" s="821">
        <v>42278</v>
      </c>
      <c r="C2335">
        <v>2.85</v>
      </c>
      <c r="D2335">
        <f t="shared" si="75"/>
        <v>0</v>
      </c>
    </row>
    <row r="2336" spans="1:4" x14ac:dyDescent="0.55000000000000004">
      <c r="A2336">
        <f t="shared" si="74"/>
        <v>2015</v>
      </c>
      <c r="B2336" s="821">
        <v>42277</v>
      </c>
      <c r="C2336">
        <v>2.87</v>
      </c>
      <c r="D2336">
        <f t="shared" si="75"/>
        <v>0</v>
      </c>
    </row>
    <row r="2337" spans="1:4" x14ac:dyDescent="0.55000000000000004">
      <c r="A2337">
        <f t="shared" si="74"/>
        <v>2015</v>
      </c>
      <c r="B2337" s="821">
        <v>42276</v>
      </c>
      <c r="C2337">
        <v>2.85</v>
      </c>
      <c r="D2337">
        <f t="shared" si="75"/>
        <v>0</v>
      </c>
    </row>
    <row r="2338" spans="1:4" x14ac:dyDescent="0.55000000000000004">
      <c r="A2338">
        <f t="shared" si="74"/>
        <v>2015</v>
      </c>
      <c r="B2338" s="821">
        <v>42275</v>
      </c>
      <c r="C2338">
        <v>2.87</v>
      </c>
      <c r="D2338">
        <f t="shared" si="75"/>
        <v>0</v>
      </c>
    </row>
    <row r="2339" spans="1:4" x14ac:dyDescent="0.55000000000000004">
      <c r="A2339">
        <f t="shared" si="74"/>
        <v>2015</v>
      </c>
      <c r="B2339" s="821">
        <v>42272</v>
      </c>
      <c r="C2339">
        <v>2.96</v>
      </c>
      <c r="D2339">
        <f t="shared" si="75"/>
        <v>0</v>
      </c>
    </row>
    <row r="2340" spans="1:4" x14ac:dyDescent="0.55000000000000004">
      <c r="A2340">
        <f t="shared" si="74"/>
        <v>2015</v>
      </c>
      <c r="B2340" s="821">
        <v>42271</v>
      </c>
      <c r="C2340">
        <v>2.91</v>
      </c>
      <c r="D2340">
        <f t="shared" si="75"/>
        <v>0</v>
      </c>
    </row>
    <row r="2341" spans="1:4" x14ac:dyDescent="0.55000000000000004">
      <c r="A2341">
        <f t="shared" si="74"/>
        <v>2015</v>
      </c>
      <c r="B2341" s="821">
        <v>42270</v>
      </c>
      <c r="C2341">
        <v>2.95</v>
      </c>
      <c r="D2341">
        <f t="shared" si="75"/>
        <v>0</v>
      </c>
    </row>
    <row r="2342" spans="1:4" x14ac:dyDescent="0.55000000000000004">
      <c r="A2342">
        <f t="shared" si="74"/>
        <v>2015</v>
      </c>
      <c r="B2342" s="821">
        <v>42269</v>
      </c>
      <c r="C2342">
        <v>2.94</v>
      </c>
      <c r="D2342">
        <f t="shared" si="75"/>
        <v>0</v>
      </c>
    </row>
    <row r="2343" spans="1:4" x14ac:dyDescent="0.55000000000000004">
      <c r="A2343">
        <f t="shared" si="74"/>
        <v>2015</v>
      </c>
      <c r="B2343" s="821">
        <v>42268</v>
      </c>
      <c r="C2343">
        <v>3.02</v>
      </c>
      <c r="D2343">
        <f t="shared" si="75"/>
        <v>0</v>
      </c>
    </row>
    <row r="2344" spans="1:4" x14ac:dyDescent="0.55000000000000004">
      <c r="A2344">
        <f t="shared" si="74"/>
        <v>2015</v>
      </c>
      <c r="B2344" s="821">
        <v>42265</v>
      </c>
      <c r="C2344">
        <v>2.93</v>
      </c>
      <c r="D2344">
        <f t="shared" si="75"/>
        <v>0</v>
      </c>
    </row>
    <row r="2345" spans="1:4" x14ac:dyDescent="0.55000000000000004">
      <c r="A2345">
        <f t="shared" si="74"/>
        <v>2015</v>
      </c>
      <c r="B2345" s="821">
        <v>42264</v>
      </c>
      <c r="C2345">
        <v>3.02</v>
      </c>
      <c r="D2345">
        <f t="shared" si="75"/>
        <v>0</v>
      </c>
    </row>
    <row r="2346" spans="1:4" x14ac:dyDescent="0.55000000000000004">
      <c r="A2346">
        <f t="shared" si="74"/>
        <v>2015</v>
      </c>
      <c r="B2346" s="821">
        <v>42263</v>
      </c>
      <c r="C2346">
        <v>3.08</v>
      </c>
      <c r="D2346">
        <f t="shared" si="75"/>
        <v>0</v>
      </c>
    </row>
    <row r="2347" spans="1:4" x14ac:dyDescent="0.55000000000000004">
      <c r="A2347">
        <f t="shared" si="74"/>
        <v>2015</v>
      </c>
      <c r="B2347" s="821">
        <v>42262</v>
      </c>
      <c r="C2347">
        <v>3.06</v>
      </c>
      <c r="D2347">
        <f t="shared" si="75"/>
        <v>0</v>
      </c>
    </row>
    <row r="2348" spans="1:4" x14ac:dyDescent="0.55000000000000004">
      <c r="A2348">
        <f t="shared" si="74"/>
        <v>2015</v>
      </c>
      <c r="B2348" s="821">
        <v>42261</v>
      </c>
      <c r="C2348">
        <v>2.95</v>
      </c>
      <c r="D2348">
        <f t="shared" si="75"/>
        <v>0</v>
      </c>
    </row>
    <row r="2349" spans="1:4" x14ac:dyDescent="0.55000000000000004">
      <c r="A2349">
        <f t="shared" si="74"/>
        <v>2015</v>
      </c>
      <c r="B2349" s="821">
        <v>42258</v>
      </c>
      <c r="C2349">
        <v>2.95</v>
      </c>
      <c r="D2349">
        <f t="shared" si="75"/>
        <v>0</v>
      </c>
    </row>
    <row r="2350" spans="1:4" x14ac:dyDescent="0.55000000000000004">
      <c r="A2350">
        <f t="shared" si="74"/>
        <v>2015</v>
      </c>
      <c r="B2350" s="821">
        <v>42257</v>
      </c>
      <c r="C2350">
        <v>2.98</v>
      </c>
      <c r="D2350">
        <f t="shared" si="75"/>
        <v>0</v>
      </c>
    </row>
    <row r="2351" spans="1:4" x14ac:dyDescent="0.55000000000000004">
      <c r="A2351">
        <f t="shared" si="74"/>
        <v>2015</v>
      </c>
      <c r="B2351" s="821">
        <v>42256</v>
      </c>
      <c r="C2351">
        <v>2.96</v>
      </c>
      <c r="D2351">
        <f t="shared" si="75"/>
        <v>0</v>
      </c>
    </row>
    <row r="2352" spans="1:4" x14ac:dyDescent="0.55000000000000004">
      <c r="A2352">
        <f t="shared" si="74"/>
        <v>2015</v>
      </c>
      <c r="B2352" s="821">
        <v>42255</v>
      </c>
      <c r="C2352">
        <v>2.97</v>
      </c>
      <c r="D2352">
        <f t="shared" si="75"/>
        <v>0</v>
      </c>
    </row>
    <row r="2353" spans="1:4" x14ac:dyDescent="0.55000000000000004">
      <c r="A2353">
        <f t="shared" si="74"/>
        <v>2015</v>
      </c>
      <c r="B2353" s="821">
        <v>42251</v>
      </c>
      <c r="C2353">
        <v>2.89</v>
      </c>
      <c r="D2353">
        <f t="shared" si="75"/>
        <v>0</v>
      </c>
    </row>
    <row r="2354" spans="1:4" x14ac:dyDescent="0.55000000000000004">
      <c r="A2354">
        <f t="shared" si="74"/>
        <v>2015</v>
      </c>
      <c r="B2354" s="821">
        <v>42250</v>
      </c>
      <c r="C2354">
        <v>2.95</v>
      </c>
      <c r="D2354">
        <f t="shared" si="75"/>
        <v>0</v>
      </c>
    </row>
    <row r="2355" spans="1:4" x14ac:dyDescent="0.55000000000000004">
      <c r="A2355">
        <f t="shared" si="74"/>
        <v>2015</v>
      </c>
      <c r="B2355" s="821">
        <v>42249</v>
      </c>
      <c r="C2355">
        <v>2.97</v>
      </c>
      <c r="D2355">
        <f t="shared" si="75"/>
        <v>0</v>
      </c>
    </row>
    <row r="2356" spans="1:4" x14ac:dyDescent="0.55000000000000004">
      <c r="A2356">
        <f t="shared" si="74"/>
        <v>2015</v>
      </c>
      <c r="B2356" s="821">
        <v>42248</v>
      </c>
      <c r="C2356">
        <v>2.93</v>
      </c>
      <c r="D2356">
        <f t="shared" si="75"/>
        <v>0</v>
      </c>
    </row>
    <row r="2357" spans="1:4" x14ac:dyDescent="0.55000000000000004">
      <c r="A2357">
        <f t="shared" si="74"/>
        <v>2015</v>
      </c>
      <c r="B2357" s="821">
        <v>42247</v>
      </c>
      <c r="C2357">
        <v>2.95</v>
      </c>
      <c r="D2357">
        <f t="shared" si="75"/>
        <v>0</v>
      </c>
    </row>
    <row r="2358" spans="1:4" x14ac:dyDescent="0.55000000000000004">
      <c r="A2358">
        <f t="shared" si="74"/>
        <v>2015</v>
      </c>
      <c r="B2358" s="821">
        <v>42244</v>
      </c>
      <c r="C2358">
        <v>2.92</v>
      </c>
      <c r="D2358">
        <f t="shared" si="75"/>
        <v>0</v>
      </c>
    </row>
    <row r="2359" spans="1:4" x14ac:dyDescent="0.55000000000000004">
      <c r="A2359">
        <f t="shared" si="74"/>
        <v>2015</v>
      </c>
      <c r="B2359" s="821">
        <v>42243</v>
      </c>
      <c r="C2359">
        <v>2.93</v>
      </c>
      <c r="D2359">
        <f t="shared" si="75"/>
        <v>0</v>
      </c>
    </row>
    <row r="2360" spans="1:4" x14ac:dyDescent="0.55000000000000004">
      <c r="A2360">
        <f t="shared" si="74"/>
        <v>2015</v>
      </c>
      <c r="B2360" s="821">
        <v>42242</v>
      </c>
      <c r="C2360">
        <v>2.94</v>
      </c>
      <c r="D2360">
        <f t="shared" si="75"/>
        <v>0</v>
      </c>
    </row>
    <row r="2361" spans="1:4" x14ac:dyDescent="0.55000000000000004">
      <c r="A2361">
        <f t="shared" si="74"/>
        <v>2015</v>
      </c>
      <c r="B2361" s="821">
        <v>42241</v>
      </c>
      <c r="C2361">
        <v>2.84</v>
      </c>
      <c r="D2361">
        <f t="shared" si="75"/>
        <v>0</v>
      </c>
    </row>
    <row r="2362" spans="1:4" x14ac:dyDescent="0.55000000000000004">
      <c r="A2362">
        <f t="shared" si="74"/>
        <v>2015</v>
      </c>
      <c r="B2362" s="821">
        <v>42240</v>
      </c>
      <c r="C2362">
        <v>2.73</v>
      </c>
      <c r="D2362">
        <f t="shared" si="75"/>
        <v>0</v>
      </c>
    </row>
    <row r="2363" spans="1:4" x14ac:dyDescent="0.55000000000000004">
      <c r="A2363">
        <f t="shared" si="74"/>
        <v>2015</v>
      </c>
      <c r="B2363" s="821">
        <v>42237</v>
      </c>
      <c r="C2363">
        <v>2.74</v>
      </c>
      <c r="D2363">
        <f t="shared" si="75"/>
        <v>0</v>
      </c>
    </row>
    <row r="2364" spans="1:4" x14ac:dyDescent="0.55000000000000004">
      <c r="A2364">
        <f t="shared" si="74"/>
        <v>2015</v>
      </c>
      <c r="B2364" s="821">
        <v>42236</v>
      </c>
      <c r="C2364">
        <v>2.76</v>
      </c>
      <c r="D2364">
        <f t="shared" si="75"/>
        <v>0</v>
      </c>
    </row>
    <row r="2365" spans="1:4" x14ac:dyDescent="0.55000000000000004">
      <c r="A2365">
        <f t="shared" si="74"/>
        <v>2015</v>
      </c>
      <c r="B2365" s="821">
        <v>42235</v>
      </c>
      <c r="C2365">
        <v>2.81</v>
      </c>
      <c r="D2365">
        <f t="shared" si="75"/>
        <v>0</v>
      </c>
    </row>
    <row r="2366" spans="1:4" x14ac:dyDescent="0.55000000000000004">
      <c r="A2366">
        <f t="shared" si="74"/>
        <v>2015</v>
      </c>
      <c r="B2366" s="821">
        <v>42234</v>
      </c>
      <c r="C2366">
        <v>2.87</v>
      </c>
      <c r="D2366">
        <f t="shared" si="75"/>
        <v>0</v>
      </c>
    </row>
    <row r="2367" spans="1:4" x14ac:dyDescent="0.55000000000000004">
      <c r="A2367">
        <f t="shared" si="74"/>
        <v>2015</v>
      </c>
      <c r="B2367" s="821">
        <v>42233</v>
      </c>
      <c r="C2367">
        <v>2.81</v>
      </c>
      <c r="D2367">
        <f t="shared" si="75"/>
        <v>0</v>
      </c>
    </row>
    <row r="2368" spans="1:4" x14ac:dyDescent="0.55000000000000004">
      <c r="A2368">
        <f t="shared" si="74"/>
        <v>2015</v>
      </c>
      <c r="B2368" s="821">
        <v>42230</v>
      </c>
      <c r="C2368">
        <v>2.84</v>
      </c>
      <c r="D2368">
        <f t="shared" si="75"/>
        <v>0</v>
      </c>
    </row>
    <row r="2369" spans="1:4" x14ac:dyDescent="0.55000000000000004">
      <c r="A2369">
        <f t="shared" si="74"/>
        <v>2015</v>
      </c>
      <c r="B2369" s="821">
        <v>42229</v>
      </c>
      <c r="C2369">
        <v>2.86</v>
      </c>
      <c r="D2369">
        <f t="shared" si="75"/>
        <v>0</v>
      </c>
    </row>
    <row r="2370" spans="1:4" x14ac:dyDescent="0.55000000000000004">
      <c r="A2370">
        <f t="shared" si="74"/>
        <v>2015</v>
      </c>
      <c r="B2370" s="821">
        <v>42228</v>
      </c>
      <c r="C2370">
        <v>2.84</v>
      </c>
      <c r="D2370">
        <f t="shared" si="75"/>
        <v>0</v>
      </c>
    </row>
    <row r="2371" spans="1:4" x14ac:dyDescent="0.55000000000000004">
      <c r="A2371">
        <f t="shared" si="74"/>
        <v>2015</v>
      </c>
      <c r="B2371" s="821">
        <v>42227</v>
      </c>
      <c r="C2371">
        <v>2.81</v>
      </c>
      <c r="D2371">
        <f t="shared" si="75"/>
        <v>0</v>
      </c>
    </row>
    <row r="2372" spans="1:4" x14ac:dyDescent="0.55000000000000004">
      <c r="A2372">
        <f t="shared" ref="A2372:A2435" si="76">YEAR(B2372)</f>
        <v>2015</v>
      </c>
      <c r="B2372" s="821">
        <v>42226</v>
      </c>
      <c r="C2372">
        <v>2.89</v>
      </c>
      <c r="D2372">
        <f t="shared" ref="D2372:D2435" si="77">IF(C2372&gt;4,1,0)</f>
        <v>0</v>
      </c>
    </row>
    <row r="2373" spans="1:4" x14ac:dyDescent="0.55000000000000004">
      <c r="A2373">
        <f t="shared" si="76"/>
        <v>2015</v>
      </c>
      <c r="B2373" s="821">
        <v>42223</v>
      </c>
      <c r="C2373">
        <v>2.83</v>
      </c>
      <c r="D2373">
        <f t="shared" si="77"/>
        <v>0</v>
      </c>
    </row>
    <row r="2374" spans="1:4" x14ac:dyDescent="0.55000000000000004">
      <c r="A2374">
        <f t="shared" si="76"/>
        <v>2015</v>
      </c>
      <c r="B2374" s="821">
        <v>42222</v>
      </c>
      <c r="C2374">
        <v>2.9</v>
      </c>
      <c r="D2374">
        <f t="shared" si="77"/>
        <v>0</v>
      </c>
    </row>
    <row r="2375" spans="1:4" x14ac:dyDescent="0.55000000000000004">
      <c r="A2375">
        <f t="shared" si="76"/>
        <v>2015</v>
      </c>
      <c r="B2375" s="821">
        <v>42221</v>
      </c>
      <c r="C2375">
        <v>2.94</v>
      </c>
      <c r="D2375">
        <f t="shared" si="77"/>
        <v>0</v>
      </c>
    </row>
    <row r="2376" spans="1:4" x14ac:dyDescent="0.55000000000000004">
      <c r="A2376">
        <f t="shared" si="76"/>
        <v>2015</v>
      </c>
      <c r="B2376" s="821">
        <v>42220</v>
      </c>
      <c r="C2376">
        <v>2.9</v>
      </c>
      <c r="D2376">
        <f t="shared" si="77"/>
        <v>0</v>
      </c>
    </row>
    <row r="2377" spans="1:4" x14ac:dyDescent="0.55000000000000004">
      <c r="A2377">
        <f t="shared" si="76"/>
        <v>2015</v>
      </c>
      <c r="B2377" s="821">
        <v>42219</v>
      </c>
      <c r="C2377">
        <v>2.86</v>
      </c>
      <c r="D2377">
        <f t="shared" si="77"/>
        <v>0</v>
      </c>
    </row>
    <row r="2378" spans="1:4" x14ac:dyDescent="0.55000000000000004">
      <c r="A2378">
        <f t="shared" si="76"/>
        <v>2015</v>
      </c>
      <c r="B2378" s="821">
        <v>42216</v>
      </c>
      <c r="C2378">
        <v>2.92</v>
      </c>
      <c r="D2378">
        <f t="shared" si="77"/>
        <v>0</v>
      </c>
    </row>
    <row r="2379" spans="1:4" x14ac:dyDescent="0.55000000000000004">
      <c r="A2379">
        <f t="shared" si="76"/>
        <v>2015</v>
      </c>
      <c r="B2379" s="821">
        <v>42215</v>
      </c>
      <c r="C2379">
        <v>2.96</v>
      </c>
      <c r="D2379">
        <f t="shared" si="77"/>
        <v>0</v>
      </c>
    </row>
    <row r="2380" spans="1:4" x14ac:dyDescent="0.55000000000000004">
      <c r="A2380">
        <f t="shared" si="76"/>
        <v>2015</v>
      </c>
      <c r="B2380" s="821">
        <v>42214</v>
      </c>
      <c r="C2380">
        <v>2.99</v>
      </c>
      <c r="D2380">
        <f t="shared" si="77"/>
        <v>0</v>
      </c>
    </row>
    <row r="2381" spans="1:4" x14ac:dyDescent="0.55000000000000004">
      <c r="A2381">
        <f t="shared" si="76"/>
        <v>2015</v>
      </c>
      <c r="B2381" s="821">
        <v>42213</v>
      </c>
      <c r="C2381">
        <v>2.96</v>
      </c>
      <c r="D2381">
        <f t="shared" si="77"/>
        <v>0</v>
      </c>
    </row>
    <row r="2382" spans="1:4" x14ac:dyDescent="0.55000000000000004">
      <c r="A2382">
        <f t="shared" si="76"/>
        <v>2015</v>
      </c>
      <c r="B2382" s="821">
        <v>42212</v>
      </c>
      <c r="C2382">
        <v>2.93</v>
      </c>
      <c r="D2382">
        <f t="shared" si="77"/>
        <v>0</v>
      </c>
    </row>
    <row r="2383" spans="1:4" x14ac:dyDescent="0.55000000000000004">
      <c r="A2383">
        <f t="shared" si="76"/>
        <v>2015</v>
      </c>
      <c r="B2383" s="821">
        <v>42209</v>
      </c>
      <c r="C2383">
        <v>2.96</v>
      </c>
      <c r="D2383">
        <f t="shared" si="77"/>
        <v>0</v>
      </c>
    </row>
    <row r="2384" spans="1:4" x14ac:dyDescent="0.55000000000000004">
      <c r="A2384">
        <f t="shared" si="76"/>
        <v>2015</v>
      </c>
      <c r="B2384" s="821">
        <v>42208</v>
      </c>
      <c r="C2384">
        <v>2.98</v>
      </c>
      <c r="D2384">
        <f t="shared" si="77"/>
        <v>0</v>
      </c>
    </row>
    <row r="2385" spans="1:4" x14ac:dyDescent="0.55000000000000004">
      <c r="A2385">
        <f t="shared" si="76"/>
        <v>2015</v>
      </c>
      <c r="B2385" s="821">
        <v>42207</v>
      </c>
      <c r="C2385">
        <v>3.04</v>
      </c>
      <c r="D2385">
        <f t="shared" si="77"/>
        <v>0</v>
      </c>
    </row>
    <row r="2386" spans="1:4" x14ac:dyDescent="0.55000000000000004">
      <c r="A2386">
        <f t="shared" si="76"/>
        <v>2015</v>
      </c>
      <c r="B2386" s="821">
        <v>42206</v>
      </c>
      <c r="C2386">
        <v>3.08</v>
      </c>
      <c r="D2386">
        <f t="shared" si="77"/>
        <v>0</v>
      </c>
    </row>
    <row r="2387" spans="1:4" x14ac:dyDescent="0.55000000000000004">
      <c r="A2387">
        <f t="shared" si="76"/>
        <v>2015</v>
      </c>
      <c r="B2387" s="821">
        <v>42205</v>
      </c>
      <c r="C2387">
        <v>3.1</v>
      </c>
      <c r="D2387">
        <f t="shared" si="77"/>
        <v>0</v>
      </c>
    </row>
    <row r="2388" spans="1:4" x14ac:dyDescent="0.55000000000000004">
      <c r="A2388">
        <f t="shared" si="76"/>
        <v>2015</v>
      </c>
      <c r="B2388" s="821">
        <v>42202</v>
      </c>
      <c r="C2388">
        <v>3.08</v>
      </c>
      <c r="D2388">
        <f t="shared" si="77"/>
        <v>0</v>
      </c>
    </row>
    <row r="2389" spans="1:4" x14ac:dyDescent="0.55000000000000004">
      <c r="A2389">
        <f t="shared" si="76"/>
        <v>2015</v>
      </c>
      <c r="B2389" s="821">
        <v>42201</v>
      </c>
      <c r="C2389">
        <v>3.11</v>
      </c>
      <c r="D2389">
        <f t="shared" si="77"/>
        <v>0</v>
      </c>
    </row>
    <row r="2390" spans="1:4" x14ac:dyDescent="0.55000000000000004">
      <c r="A2390">
        <f t="shared" si="76"/>
        <v>2015</v>
      </c>
      <c r="B2390" s="821">
        <v>42200</v>
      </c>
      <c r="C2390">
        <v>3.13</v>
      </c>
      <c r="D2390">
        <f t="shared" si="77"/>
        <v>0</v>
      </c>
    </row>
    <row r="2391" spans="1:4" x14ac:dyDescent="0.55000000000000004">
      <c r="A2391">
        <f t="shared" si="76"/>
        <v>2015</v>
      </c>
      <c r="B2391" s="821">
        <v>42199</v>
      </c>
      <c r="C2391">
        <v>3.2</v>
      </c>
      <c r="D2391">
        <f t="shared" si="77"/>
        <v>0</v>
      </c>
    </row>
    <row r="2392" spans="1:4" x14ac:dyDescent="0.55000000000000004">
      <c r="A2392">
        <f t="shared" si="76"/>
        <v>2015</v>
      </c>
      <c r="B2392" s="821">
        <v>42198</v>
      </c>
      <c r="C2392">
        <v>3.21</v>
      </c>
      <c r="D2392">
        <f t="shared" si="77"/>
        <v>0</v>
      </c>
    </row>
    <row r="2393" spans="1:4" x14ac:dyDescent="0.55000000000000004">
      <c r="A2393">
        <f t="shared" si="76"/>
        <v>2015</v>
      </c>
      <c r="B2393" s="821">
        <v>42195</v>
      </c>
      <c r="C2393">
        <v>3.2</v>
      </c>
      <c r="D2393">
        <f t="shared" si="77"/>
        <v>0</v>
      </c>
    </row>
    <row r="2394" spans="1:4" x14ac:dyDescent="0.55000000000000004">
      <c r="A2394">
        <f t="shared" si="76"/>
        <v>2015</v>
      </c>
      <c r="B2394" s="821">
        <v>42194</v>
      </c>
      <c r="C2394">
        <v>3.11</v>
      </c>
      <c r="D2394">
        <f t="shared" si="77"/>
        <v>0</v>
      </c>
    </row>
    <row r="2395" spans="1:4" x14ac:dyDescent="0.55000000000000004">
      <c r="A2395">
        <f t="shared" si="76"/>
        <v>2015</v>
      </c>
      <c r="B2395" s="821">
        <v>42193</v>
      </c>
      <c r="C2395">
        <v>2.99</v>
      </c>
      <c r="D2395">
        <f t="shared" si="77"/>
        <v>0</v>
      </c>
    </row>
    <row r="2396" spans="1:4" x14ac:dyDescent="0.55000000000000004">
      <c r="A2396">
        <f t="shared" si="76"/>
        <v>2015</v>
      </c>
      <c r="B2396" s="821">
        <v>42192</v>
      </c>
      <c r="C2396">
        <v>3.04</v>
      </c>
      <c r="D2396">
        <f t="shared" si="77"/>
        <v>0</v>
      </c>
    </row>
    <row r="2397" spans="1:4" x14ac:dyDescent="0.55000000000000004">
      <c r="A2397">
        <f t="shared" si="76"/>
        <v>2015</v>
      </c>
      <c r="B2397" s="821">
        <v>42191</v>
      </c>
      <c r="C2397">
        <v>3.08</v>
      </c>
      <c r="D2397">
        <f t="shared" si="77"/>
        <v>0</v>
      </c>
    </row>
    <row r="2398" spans="1:4" x14ac:dyDescent="0.55000000000000004">
      <c r="A2398">
        <f t="shared" si="76"/>
        <v>2015</v>
      </c>
      <c r="B2398" s="821">
        <v>42187</v>
      </c>
      <c r="C2398">
        <v>3.19</v>
      </c>
      <c r="D2398">
        <f t="shared" si="77"/>
        <v>0</v>
      </c>
    </row>
    <row r="2399" spans="1:4" x14ac:dyDescent="0.55000000000000004">
      <c r="A2399">
        <f t="shared" si="76"/>
        <v>2015</v>
      </c>
      <c r="B2399" s="821">
        <v>42186</v>
      </c>
      <c r="C2399">
        <v>3.2</v>
      </c>
      <c r="D2399">
        <f t="shared" si="77"/>
        <v>0</v>
      </c>
    </row>
    <row r="2400" spans="1:4" x14ac:dyDescent="0.55000000000000004">
      <c r="A2400">
        <f t="shared" si="76"/>
        <v>2015</v>
      </c>
      <c r="B2400" s="821">
        <v>42185</v>
      </c>
      <c r="C2400">
        <v>3.11</v>
      </c>
      <c r="D2400">
        <f t="shared" si="77"/>
        <v>0</v>
      </c>
    </row>
    <row r="2401" spans="1:4" x14ac:dyDescent="0.55000000000000004">
      <c r="A2401">
        <f t="shared" si="76"/>
        <v>2015</v>
      </c>
      <c r="B2401" s="821">
        <v>42184</v>
      </c>
      <c r="C2401">
        <v>3.09</v>
      </c>
      <c r="D2401">
        <f t="shared" si="77"/>
        <v>0</v>
      </c>
    </row>
    <row r="2402" spans="1:4" x14ac:dyDescent="0.55000000000000004">
      <c r="A2402">
        <f t="shared" si="76"/>
        <v>2015</v>
      </c>
      <c r="B2402" s="821">
        <v>42181</v>
      </c>
      <c r="C2402">
        <v>3.25</v>
      </c>
      <c r="D2402">
        <f t="shared" si="77"/>
        <v>0</v>
      </c>
    </row>
    <row r="2403" spans="1:4" x14ac:dyDescent="0.55000000000000004">
      <c r="A2403">
        <f t="shared" si="76"/>
        <v>2015</v>
      </c>
      <c r="B2403" s="821">
        <v>42180</v>
      </c>
      <c r="C2403">
        <v>3.16</v>
      </c>
      <c r="D2403">
        <f t="shared" si="77"/>
        <v>0</v>
      </c>
    </row>
    <row r="2404" spans="1:4" x14ac:dyDescent="0.55000000000000004">
      <c r="A2404">
        <f t="shared" si="76"/>
        <v>2015</v>
      </c>
      <c r="B2404" s="821">
        <v>42179</v>
      </c>
      <c r="C2404">
        <v>3.16</v>
      </c>
      <c r="D2404">
        <f t="shared" si="77"/>
        <v>0</v>
      </c>
    </row>
    <row r="2405" spans="1:4" x14ac:dyDescent="0.55000000000000004">
      <c r="A2405">
        <f t="shared" si="76"/>
        <v>2015</v>
      </c>
      <c r="B2405" s="821">
        <v>42178</v>
      </c>
      <c r="C2405">
        <v>3.2</v>
      </c>
      <c r="D2405">
        <f t="shared" si="77"/>
        <v>0</v>
      </c>
    </row>
    <row r="2406" spans="1:4" x14ac:dyDescent="0.55000000000000004">
      <c r="A2406">
        <f t="shared" si="76"/>
        <v>2015</v>
      </c>
      <c r="B2406" s="821">
        <v>42177</v>
      </c>
      <c r="C2406">
        <v>3.16</v>
      </c>
      <c r="D2406">
        <f t="shared" si="77"/>
        <v>0</v>
      </c>
    </row>
    <row r="2407" spans="1:4" x14ac:dyDescent="0.55000000000000004">
      <c r="A2407">
        <f t="shared" si="76"/>
        <v>2015</v>
      </c>
      <c r="B2407" s="821">
        <v>42174</v>
      </c>
      <c r="C2407">
        <v>3.05</v>
      </c>
      <c r="D2407">
        <f t="shared" si="77"/>
        <v>0</v>
      </c>
    </row>
    <row r="2408" spans="1:4" x14ac:dyDescent="0.55000000000000004">
      <c r="A2408">
        <f t="shared" si="76"/>
        <v>2015</v>
      </c>
      <c r="B2408" s="821">
        <v>42173</v>
      </c>
      <c r="C2408">
        <v>3.14</v>
      </c>
      <c r="D2408">
        <f t="shared" si="77"/>
        <v>0</v>
      </c>
    </row>
    <row r="2409" spans="1:4" x14ac:dyDescent="0.55000000000000004">
      <c r="A2409">
        <f t="shared" si="76"/>
        <v>2015</v>
      </c>
      <c r="B2409" s="821">
        <v>42172</v>
      </c>
      <c r="C2409">
        <v>3.09</v>
      </c>
      <c r="D2409">
        <f t="shared" si="77"/>
        <v>0</v>
      </c>
    </row>
    <row r="2410" spans="1:4" x14ac:dyDescent="0.55000000000000004">
      <c r="A2410">
        <f t="shared" si="76"/>
        <v>2015</v>
      </c>
      <c r="B2410" s="821">
        <v>42171</v>
      </c>
      <c r="C2410">
        <v>3.06</v>
      </c>
      <c r="D2410">
        <f t="shared" si="77"/>
        <v>0</v>
      </c>
    </row>
    <row r="2411" spans="1:4" x14ac:dyDescent="0.55000000000000004">
      <c r="A2411">
        <f t="shared" si="76"/>
        <v>2015</v>
      </c>
      <c r="B2411" s="821">
        <v>42170</v>
      </c>
      <c r="C2411">
        <v>3.09</v>
      </c>
      <c r="D2411">
        <f t="shared" si="77"/>
        <v>0</v>
      </c>
    </row>
    <row r="2412" spans="1:4" x14ac:dyDescent="0.55000000000000004">
      <c r="A2412">
        <f t="shared" si="76"/>
        <v>2015</v>
      </c>
      <c r="B2412" s="821">
        <v>42167</v>
      </c>
      <c r="C2412">
        <v>3.1</v>
      </c>
      <c r="D2412">
        <f t="shared" si="77"/>
        <v>0</v>
      </c>
    </row>
    <row r="2413" spans="1:4" x14ac:dyDescent="0.55000000000000004">
      <c r="A2413">
        <f t="shared" si="76"/>
        <v>2015</v>
      </c>
      <c r="B2413" s="821">
        <v>42166</v>
      </c>
      <c r="C2413">
        <v>3.11</v>
      </c>
      <c r="D2413">
        <f t="shared" si="77"/>
        <v>0</v>
      </c>
    </row>
    <row r="2414" spans="1:4" x14ac:dyDescent="0.55000000000000004">
      <c r="A2414">
        <f t="shared" si="76"/>
        <v>2015</v>
      </c>
      <c r="B2414" s="821">
        <v>42165</v>
      </c>
      <c r="C2414">
        <v>3.22</v>
      </c>
      <c r="D2414">
        <f t="shared" si="77"/>
        <v>0</v>
      </c>
    </row>
    <row r="2415" spans="1:4" x14ac:dyDescent="0.55000000000000004">
      <c r="A2415">
        <f t="shared" si="76"/>
        <v>2015</v>
      </c>
      <c r="B2415" s="821">
        <v>42164</v>
      </c>
      <c r="C2415">
        <v>3.15</v>
      </c>
      <c r="D2415">
        <f t="shared" si="77"/>
        <v>0</v>
      </c>
    </row>
    <row r="2416" spans="1:4" x14ac:dyDescent="0.55000000000000004">
      <c r="A2416">
        <f t="shared" si="76"/>
        <v>2015</v>
      </c>
      <c r="B2416" s="821">
        <v>42163</v>
      </c>
      <c r="C2416">
        <v>3.11</v>
      </c>
      <c r="D2416">
        <f t="shared" si="77"/>
        <v>0</v>
      </c>
    </row>
    <row r="2417" spans="1:4" x14ac:dyDescent="0.55000000000000004">
      <c r="A2417">
        <f t="shared" si="76"/>
        <v>2015</v>
      </c>
      <c r="B2417" s="821">
        <v>42160</v>
      </c>
      <c r="C2417">
        <v>3.11</v>
      </c>
      <c r="D2417">
        <f t="shared" si="77"/>
        <v>0</v>
      </c>
    </row>
    <row r="2418" spans="1:4" x14ac:dyDescent="0.55000000000000004">
      <c r="A2418">
        <f t="shared" si="76"/>
        <v>2015</v>
      </c>
      <c r="B2418" s="821">
        <v>42159</v>
      </c>
      <c r="C2418">
        <v>3.03</v>
      </c>
      <c r="D2418">
        <f t="shared" si="77"/>
        <v>0</v>
      </c>
    </row>
    <row r="2419" spans="1:4" x14ac:dyDescent="0.55000000000000004">
      <c r="A2419">
        <f t="shared" si="76"/>
        <v>2015</v>
      </c>
      <c r="B2419" s="821">
        <v>42158</v>
      </c>
      <c r="C2419">
        <v>3.11</v>
      </c>
      <c r="D2419">
        <f t="shared" si="77"/>
        <v>0</v>
      </c>
    </row>
    <row r="2420" spans="1:4" x14ac:dyDescent="0.55000000000000004">
      <c r="A2420">
        <f t="shared" si="76"/>
        <v>2015</v>
      </c>
      <c r="B2420" s="821">
        <v>42157</v>
      </c>
      <c r="C2420">
        <v>3.02</v>
      </c>
      <c r="D2420">
        <f t="shared" si="77"/>
        <v>0</v>
      </c>
    </row>
    <row r="2421" spans="1:4" x14ac:dyDescent="0.55000000000000004">
      <c r="A2421">
        <f t="shared" si="76"/>
        <v>2015</v>
      </c>
      <c r="B2421" s="821">
        <v>42156</v>
      </c>
      <c r="C2421">
        <v>2.94</v>
      </c>
      <c r="D2421">
        <f t="shared" si="77"/>
        <v>0</v>
      </c>
    </row>
    <row r="2422" spans="1:4" x14ac:dyDescent="0.55000000000000004">
      <c r="A2422">
        <f t="shared" si="76"/>
        <v>2015</v>
      </c>
      <c r="B2422" s="821">
        <v>42153</v>
      </c>
      <c r="C2422">
        <v>2.88</v>
      </c>
      <c r="D2422">
        <f t="shared" si="77"/>
        <v>0</v>
      </c>
    </row>
    <row r="2423" spans="1:4" x14ac:dyDescent="0.55000000000000004">
      <c r="A2423">
        <f t="shared" si="76"/>
        <v>2015</v>
      </c>
      <c r="B2423" s="821">
        <v>42152</v>
      </c>
      <c r="C2423">
        <v>2.89</v>
      </c>
      <c r="D2423">
        <f t="shared" si="77"/>
        <v>0</v>
      </c>
    </row>
    <row r="2424" spans="1:4" x14ac:dyDescent="0.55000000000000004">
      <c r="A2424">
        <f t="shared" si="76"/>
        <v>2015</v>
      </c>
      <c r="B2424" s="821">
        <v>42151</v>
      </c>
      <c r="C2424">
        <v>2.88</v>
      </c>
      <c r="D2424">
        <f t="shared" si="77"/>
        <v>0</v>
      </c>
    </row>
    <row r="2425" spans="1:4" x14ac:dyDescent="0.55000000000000004">
      <c r="A2425">
        <f t="shared" si="76"/>
        <v>2015</v>
      </c>
      <c r="B2425" s="821">
        <v>42150</v>
      </c>
      <c r="C2425">
        <v>2.89</v>
      </c>
      <c r="D2425">
        <f t="shared" si="77"/>
        <v>0</v>
      </c>
    </row>
    <row r="2426" spans="1:4" x14ac:dyDescent="0.55000000000000004">
      <c r="A2426">
        <f t="shared" si="76"/>
        <v>2015</v>
      </c>
      <c r="B2426" s="821">
        <v>42146</v>
      </c>
      <c r="C2426">
        <v>2.99</v>
      </c>
      <c r="D2426">
        <f t="shared" si="77"/>
        <v>0</v>
      </c>
    </row>
    <row r="2427" spans="1:4" x14ac:dyDescent="0.55000000000000004">
      <c r="A2427">
        <f t="shared" si="76"/>
        <v>2015</v>
      </c>
      <c r="B2427" s="821">
        <v>42145</v>
      </c>
      <c r="C2427">
        <v>2.98</v>
      </c>
      <c r="D2427">
        <f t="shared" si="77"/>
        <v>0</v>
      </c>
    </row>
    <row r="2428" spans="1:4" x14ac:dyDescent="0.55000000000000004">
      <c r="A2428">
        <f t="shared" si="76"/>
        <v>2015</v>
      </c>
      <c r="B2428" s="821">
        <v>42144</v>
      </c>
      <c r="C2428">
        <v>3.06</v>
      </c>
      <c r="D2428">
        <f t="shared" si="77"/>
        <v>0</v>
      </c>
    </row>
    <row r="2429" spans="1:4" x14ac:dyDescent="0.55000000000000004">
      <c r="A2429">
        <f t="shared" si="76"/>
        <v>2015</v>
      </c>
      <c r="B2429" s="821">
        <v>42143</v>
      </c>
      <c r="C2429">
        <v>3.05</v>
      </c>
      <c r="D2429">
        <f t="shared" si="77"/>
        <v>0</v>
      </c>
    </row>
    <row r="2430" spans="1:4" x14ac:dyDescent="0.55000000000000004">
      <c r="A2430">
        <f t="shared" si="76"/>
        <v>2015</v>
      </c>
      <c r="B2430" s="821">
        <v>42142</v>
      </c>
      <c r="C2430">
        <v>3.02</v>
      </c>
      <c r="D2430">
        <f t="shared" si="77"/>
        <v>0</v>
      </c>
    </row>
    <row r="2431" spans="1:4" x14ac:dyDescent="0.55000000000000004">
      <c r="A2431">
        <f t="shared" si="76"/>
        <v>2015</v>
      </c>
      <c r="B2431" s="821">
        <v>42139</v>
      </c>
      <c r="C2431">
        <v>2.93</v>
      </c>
      <c r="D2431">
        <f t="shared" si="77"/>
        <v>0</v>
      </c>
    </row>
    <row r="2432" spans="1:4" x14ac:dyDescent="0.55000000000000004">
      <c r="A2432">
        <f t="shared" si="76"/>
        <v>2015</v>
      </c>
      <c r="B2432" s="821">
        <v>42138</v>
      </c>
      <c r="C2432">
        <v>3.03</v>
      </c>
      <c r="D2432">
        <f t="shared" si="77"/>
        <v>0</v>
      </c>
    </row>
    <row r="2433" spans="1:4" x14ac:dyDescent="0.55000000000000004">
      <c r="A2433">
        <f t="shared" si="76"/>
        <v>2015</v>
      </c>
      <c r="B2433" s="821">
        <v>42137</v>
      </c>
      <c r="C2433">
        <v>3.07</v>
      </c>
      <c r="D2433">
        <f t="shared" si="77"/>
        <v>0</v>
      </c>
    </row>
    <row r="2434" spans="1:4" x14ac:dyDescent="0.55000000000000004">
      <c r="A2434">
        <f t="shared" si="76"/>
        <v>2015</v>
      </c>
      <c r="B2434" s="821">
        <v>42136</v>
      </c>
      <c r="C2434">
        <v>3.02</v>
      </c>
      <c r="D2434">
        <f t="shared" si="77"/>
        <v>0</v>
      </c>
    </row>
    <row r="2435" spans="1:4" x14ac:dyDescent="0.55000000000000004">
      <c r="A2435">
        <f t="shared" si="76"/>
        <v>2015</v>
      </c>
      <c r="B2435" s="821">
        <v>42135</v>
      </c>
      <c r="C2435">
        <v>3.03</v>
      </c>
      <c r="D2435">
        <f t="shared" si="77"/>
        <v>0</v>
      </c>
    </row>
    <row r="2436" spans="1:4" x14ac:dyDescent="0.55000000000000004">
      <c r="A2436">
        <f t="shared" ref="A2436:A2499" si="78">YEAR(B2436)</f>
        <v>2015</v>
      </c>
      <c r="B2436" s="821">
        <v>42132</v>
      </c>
      <c r="C2436">
        <v>2.9</v>
      </c>
      <c r="D2436">
        <f t="shared" ref="D2436:D2499" si="79">IF(C2436&gt;4,1,0)</f>
        <v>0</v>
      </c>
    </row>
    <row r="2437" spans="1:4" x14ac:dyDescent="0.55000000000000004">
      <c r="A2437">
        <f t="shared" si="78"/>
        <v>2015</v>
      </c>
      <c r="B2437" s="821">
        <v>42131</v>
      </c>
      <c r="C2437">
        <v>2.9</v>
      </c>
      <c r="D2437">
        <f t="shared" si="79"/>
        <v>0</v>
      </c>
    </row>
    <row r="2438" spans="1:4" x14ac:dyDescent="0.55000000000000004">
      <c r="A2438">
        <f t="shared" si="78"/>
        <v>2015</v>
      </c>
      <c r="B2438" s="821">
        <v>42130</v>
      </c>
      <c r="C2438">
        <v>2.98</v>
      </c>
      <c r="D2438">
        <f t="shared" si="79"/>
        <v>0</v>
      </c>
    </row>
    <row r="2439" spans="1:4" x14ac:dyDescent="0.55000000000000004">
      <c r="A2439">
        <f t="shared" si="78"/>
        <v>2015</v>
      </c>
      <c r="B2439" s="821">
        <v>42129</v>
      </c>
      <c r="C2439">
        <v>2.9</v>
      </c>
      <c r="D2439">
        <f t="shared" si="79"/>
        <v>0</v>
      </c>
    </row>
    <row r="2440" spans="1:4" x14ac:dyDescent="0.55000000000000004">
      <c r="A2440">
        <f t="shared" si="78"/>
        <v>2015</v>
      </c>
      <c r="B2440" s="821">
        <v>42128</v>
      </c>
      <c r="C2440">
        <v>2.88</v>
      </c>
      <c r="D2440">
        <f t="shared" si="79"/>
        <v>0</v>
      </c>
    </row>
    <row r="2441" spans="1:4" x14ac:dyDescent="0.55000000000000004">
      <c r="A2441">
        <f t="shared" si="78"/>
        <v>2015</v>
      </c>
      <c r="B2441" s="821">
        <v>42125</v>
      </c>
      <c r="C2441">
        <v>2.82</v>
      </c>
      <c r="D2441">
        <f t="shared" si="79"/>
        <v>0</v>
      </c>
    </row>
    <row r="2442" spans="1:4" x14ac:dyDescent="0.55000000000000004">
      <c r="A2442">
        <f t="shared" si="78"/>
        <v>2015</v>
      </c>
      <c r="B2442" s="821">
        <v>42124</v>
      </c>
      <c r="C2442">
        <v>2.75</v>
      </c>
      <c r="D2442">
        <f t="shared" si="79"/>
        <v>0</v>
      </c>
    </row>
    <row r="2443" spans="1:4" x14ac:dyDescent="0.55000000000000004">
      <c r="A2443">
        <f t="shared" si="78"/>
        <v>2015</v>
      </c>
      <c r="B2443" s="821">
        <v>42123</v>
      </c>
      <c r="C2443">
        <v>2.76</v>
      </c>
      <c r="D2443">
        <f t="shared" si="79"/>
        <v>0</v>
      </c>
    </row>
    <row r="2444" spans="1:4" x14ac:dyDescent="0.55000000000000004">
      <c r="A2444">
        <f t="shared" si="78"/>
        <v>2015</v>
      </c>
      <c r="B2444" s="821">
        <v>42122</v>
      </c>
      <c r="C2444">
        <v>2.68</v>
      </c>
      <c r="D2444">
        <f t="shared" si="79"/>
        <v>0</v>
      </c>
    </row>
    <row r="2445" spans="1:4" x14ac:dyDescent="0.55000000000000004">
      <c r="A2445">
        <f t="shared" si="78"/>
        <v>2015</v>
      </c>
      <c r="B2445" s="821">
        <v>42121</v>
      </c>
      <c r="C2445">
        <v>2.61</v>
      </c>
      <c r="D2445">
        <f t="shared" si="79"/>
        <v>0</v>
      </c>
    </row>
    <row r="2446" spans="1:4" x14ac:dyDescent="0.55000000000000004">
      <c r="A2446">
        <f t="shared" si="78"/>
        <v>2015</v>
      </c>
      <c r="B2446" s="821">
        <v>42118</v>
      </c>
      <c r="C2446">
        <v>2.62</v>
      </c>
      <c r="D2446">
        <f t="shared" si="79"/>
        <v>0</v>
      </c>
    </row>
    <row r="2447" spans="1:4" x14ac:dyDescent="0.55000000000000004">
      <c r="A2447">
        <f t="shared" si="78"/>
        <v>2015</v>
      </c>
      <c r="B2447" s="821">
        <v>42117</v>
      </c>
      <c r="C2447">
        <v>2.63</v>
      </c>
      <c r="D2447">
        <f t="shared" si="79"/>
        <v>0</v>
      </c>
    </row>
    <row r="2448" spans="1:4" x14ac:dyDescent="0.55000000000000004">
      <c r="A2448">
        <f t="shared" si="78"/>
        <v>2015</v>
      </c>
      <c r="B2448" s="821">
        <v>42116</v>
      </c>
      <c r="C2448">
        <v>2.66</v>
      </c>
      <c r="D2448">
        <f t="shared" si="79"/>
        <v>0</v>
      </c>
    </row>
    <row r="2449" spans="1:4" x14ac:dyDescent="0.55000000000000004">
      <c r="A2449">
        <f t="shared" si="78"/>
        <v>2015</v>
      </c>
      <c r="B2449" s="821">
        <v>42115</v>
      </c>
      <c r="C2449">
        <v>2.58</v>
      </c>
      <c r="D2449">
        <f t="shared" si="79"/>
        <v>0</v>
      </c>
    </row>
    <row r="2450" spans="1:4" x14ac:dyDescent="0.55000000000000004">
      <c r="A2450">
        <f t="shared" si="78"/>
        <v>2015</v>
      </c>
      <c r="B2450" s="821">
        <v>42114</v>
      </c>
      <c r="C2450">
        <v>2.56</v>
      </c>
      <c r="D2450">
        <f t="shared" si="79"/>
        <v>0</v>
      </c>
    </row>
    <row r="2451" spans="1:4" x14ac:dyDescent="0.55000000000000004">
      <c r="A2451">
        <f t="shared" si="78"/>
        <v>2015</v>
      </c>
      <c r="B2451" s="821">
        <v>42111</v>
      </c>
      <c r="C2451">
        <v>2.5099999999999998</v>
      </c>
      <c r="D2451">
        <f t="shared" si="79"/>
        <v>0</v>
      </c>
    </row>
    <row r="2452" spans="1:4" x14ac:dyDescent="0.55000000000000004">
      <c r="A2452">
        <f t="shared" si="78"/>
        <v>2015</v>
      </c>
      <c r="B2452" s="821">
        <v>42110</v>
      </c>
      <c r="C2452">
        <v>2.56</v>
      </c>
      <c r="D2452">
        <f t="shared" si="79"/>
        <v>0</v>
      </c>
    </row>
    <row r="2453" spans="1:4" x14ac:dyDescent="0.55000000000000004">
      <c r="A2453">
        <f t="shared" si="78"/>
        <v>2015</v>
      </c>
      <c r="B2453" s="821">
        <v>42109</v>
      </c>
      <c r="C2453">
        <v>2.5499999999999998</v>
      </c>
      <c r="D2453">
        <f t="shared" si="79"/>
        <v>0</v>
      </c>
    </row>
    <row r="2454" spans="1:4" x14ac:dyDescent="0.55000000000000004">
      <c r="A2454">
        <f t="shared" si="78"/>
        <v>2015</v>
      </c>
      <c r="B2454" s="821">
        <v>42108</v>
      </c>
      <c r="C2454">
        <v>2.54</v>
      </c>
      <c r="D2454">
        <f t="shared" si="79"/>
        <v>0</v>
      </c>
    </row>
    <row r="2455" spans="1:4" x14ac:dyDescent="0.55000000000000004">
      <c r="A2455">
        <f t="shared" si="78"/>
        <v>2015</v>
      </c>
      <c r="B2455" s="821">
        <v>42107</v>
      </c>
      <c r="C2455">
        <v>2.58</v>
      </c>
      <c r="D2455">
        <f t="shared" si="79"/>
        <v>0</v>
      </c>
    </row>
    <row r="2456" spans="1:4" x14ac:dyDescent="0.55000000000000004">
      <c r="A2456">
        <f t="shared" si="78"/>
        <v>2015</v>
      </c>
      <c r="B2456" s="821">
        <v>42104</v>
      </c>
      <c r="C2456">
        <v>2.58</v>
      </c>
      <c r="D2456">
        <f t="shared" si="79"/>
        <v>0</v>
      </c>
    </row>
    <row r="2457" spans="1:4" x14ac:dyDescent="0.55000000000000004">
      <c r="A2457">
        <f t="shared" si="78"/>
        <v>2015</v>
      </c>
      <c r="B2457" s="821">
        <v>42103</v>
      </c>
      <c r="C2457">
        <v>2.61</v>
      </c>
      <c r="D2457">
        <f t="shared" si="79"/>
        <v>0</v>
      </c>
    </row>
    <row r="2458" spans="1:4" x14ac:dyDescent="0.55000000000000004">
      <c r="A2458">
        <f t="shared" si="78"/>
        <v>2015</v>
      </c>
      <c r="B2458" s="821">
        <v>42102</v>
      </c>
      <c r="C2458">
        <v>2.5299999999999998</v>
      </c>
      <c r="D2458">
        <f t="shared" si="79"/>
        <v>0</v>
      </c>
    </row>
    <row r="2459" spans="1:4" x14ac:dyDescent="0.55000000000000004">
      <c r="A2459">
        <f t="shared" si="78"/>
        <v>2015</v>
      </c>
      <c r="B2459" s="821">
        <v>42101</v>
      </c>
      <c r="C2459">
        <v>2.52</v>
      </c>
      <c r="D2459">
        <f t="shared" si="79"/>
        <v>0</v>
      </c>
    </row>
    <row r="2460" spans="1:4" x14ac:dyDescent="0.55000000000000004">
      <c r="A2460">
        <f t="shared" si="78"/>
        <v>2015</v>
      </c>
      <c r="B2460" s="821">
        <v>42100</v>
      </c>
      <c r="C2460">
        <v>2.57</v>
      </c>
      <c r="D2460">
        <f t="shared" si="79"/>
        <v>0</v>
      </c>
    </row>
    <row r="2461" spans="1:4" x14ac:dyDescent="0.55000000000000004">
      <c r="A2461">
        <f t="shared" si="78"/>
        <v>2015</v>
      </c>
      <c r="B2461" s="821">
        <v>42097</v>
      </c>
      <c r="C2461">
        <v>2.4900000000000002</v>
      </c>
      <c r="D2461">
        <f t="shared" si="79"/>
        <v>0</v>
      </c>
    </row>
    <row r="2462" spans="1:4" x14ac:dyDescent="0.55000000000000004">
      <c r="A2462">
        <f t="shared" si="78"/>
        <v>2015</v>
      </c>
      <c r="B2462" s="821">
        <v>42096</v>
      </c>
      <c r="C2462">
        <v>2.5299999999999998</v>
      </c>
      <c r="D2462">
        <f t="shared" si="79"/>
        <v>0</v>
      </c>
    </row>
    <row r="2463" spans="1:4" x14ac:dyDescent="0.55000000000000004">
      <c r="A2463">
        <f t="shared" si="78"/>
        <v>2015</v>
      </c>
      <c r="B2463" s="821">
        <v>42095</v>
      </c>
      <c r="C2463">
        <v>2.4700000000000002</v>
      </c>
      <c r="D2463">
        <f t="shared" si="79"/>
        <v>0</v>
      </c>
    </row>
    <row r="2464" spans="1:4" x14ac:dyDescent="0.55000000000000004">
      <c r="A2464">
        <f t="shared" si="78"/>
        <v>2015</v>
      </c>
      <c r="B2464" s="821">
        <v>42094</v>
      </c>
      <c r="C2464">
        <v>2.54</v>
      </c>
      <c r="D2464">
        <f t="shared" si="79"/>
        <v>0</v>
      </c>
    </row>
    <row r="2465" spans="1:4" x14ac:dyDescent="0.55000000000000004">
      <c r="A2465">
        <f t="shared" si="78"/>
        <v>2015</v>
      </c>
      <c r="B2465" s="821">
        <v>42093</v>
      </c>
      <c r="C2465">
        <v>2.5499999999999998</v>
      </c>
      <c r="D2465">
        <f t="shared" si="79"/>
        <v>0</v>
      </c>
    </row>
    <row r="2466" spans="1:4" x14ac:dyDescent="0.55000000000000004">
      <c r="A2466">
        <f t="shared" si="78"/>
        <v>2015</v>
      </c>
      <c r="B2466" s="821">
        <v>42090</v>
      </c>
      <c r="C2466">
        <v>2.5299999999999998</v>
      </c>
      <c r="D2466">
        <f t="shared" si="79"/>
        <v>0</v>
      </c>
    </row>
    <row r="2467" spans="1:4" x14ac:dyDescent="0.55000000000000004">
      <c r="A2467">
        <f t="shared" si="78"/>
        <v>2015</v>
      </c>
      <c r="B2467" s="821">
        <v>42089</v>
      </c>
      <c r="C2467">
        <v>2.6</v>
      </c>
      <c r="D2467">
        <f t="shared" si="79"/>
        <v>0</v>
      </c>
    </row>
    <row r="2468" spans="1:4" x14ac:dyDescent="0.55000000000000004">
      <c r="A2468">
        <f t="shared" si="78"/>
        <v>2015</v>
      </c>
      <c r="B2468" s="821">
        <v>42088</v>
      </c>
      <c r="C2468">
        <v>2.5</v>
      </c>
      <c r="D2468">
        <f t="shared" si="79"/>
        <v>0</v>
      </c>
    </row>
    <row r="2469" spans="1:4" x14ac:dyDescent="0.55000000000000004">
      <c r="A2469">
        <f t="shared" si="78"/>
        <v>2015</v>
      </c>
      <c r="B2469" s="821">
        <v>42087</v>
      </c>
      <c r="C2469">
        <v>2.46</v>
      </c>
      <c r="D2469">
        <f t="shared" si="79"/>
        <v>0</v>
      </c>
    </row>
    <row r="2470" spans="1:4" x14ac:dyDescent="0.55000000000000004">
      <c r="A2470">
        <f t="shared" si="78"/>
        <v>2015</v>
      </c>
      <c r="B2470" s="821">
        <v>42086</v>
      </c>
      <c r="C2470">
        <v>2.5099999999999998</v>
      </c>
      <c r="D2470">
        <f t="shared" si="79"/>
        <v>0</v>
      </c>
    </row>
    <row r="2471" spans="1:4" x14ac:dyDescent="0.55000000000000004">
      <c r="A2471">
        <f t="shared" si="78"/>
        <v>2015</v>
      </c>
      <c r="B2471" s="821">
        <v>42083</v>
      </c>
      <c r="C2471">
        <v>2.5</v>
      </c>
      <c r="D2471">
        <f t="shared" si="79"/>
        <v>0</v>
      </c>
    </row>
    <row r="2472" spans="1:4" x14ac:dyDescent="0.55000000000000004">
      <c r="A2472">
        <f t="shared" si="78"/>
        <v>2015</v>
      </c>
      <c r="B2472" s="821">
        <v>42082</v>
      </c>
      <c r="C2472">
        <v>2.54</v>
      </c>
      <c r="D2472">
        <f t="shared" si="79"/>
        <v>0</v>
      </c>
    </row>
    <row r="2473" spans="1:4" x14ac:dyDescent="0.55000000000000004">
      <c r="A2473">
        <f t="shared" si="78"/>
        <v>2015</v>
      </c>
      <c r="B2473" s="821">
        <v>42081</v>
      </c>
      <c r="C2473">
        <v>2.5099999999999998</v>
      </c>
      <c r="D2473">
        <f t="shared" si="79"/>
        <v>0</v>
      </c>
    </row>
    <row r="2474" spans="1:4" x14ac:dyDescent="0.55000000000000004">
      <c r="A2474">
        <f t="shared" si="78"/>
        <v>2015</v>
      </c>
      <c r="B2474" s="821">
        <v>42080</v>
      </c>
      <c r="C2474">
        <v>2.61</v>
      </c>
      <c r="D2474">
        <f t="shared" si="79"/>
        <v>0</v>
      </c>
    </row>
    <row r="2475" spans="1:4" x14ac:dyDescent="0.55000000000000004">
      <c r="A2475">
        <f t="shared" si="78"/>
        <v>2015</v>
      </c>
      <c r="B2475" s="821">
        <v>42079</v>
      </c>
      <c r="C2475">
        <v>2.67</v>
      </c>
      <c r="D2475">
        <f t="shared" si="79"/>
        <v>0</v>
      </c>
    </row>
    <row r="2476" spans="1:4" x14ac:dyDescent="0.55000000000000004">
      <c r="A2476">
        <f t="shared" si="78"/>
        <v>2015</v>
      </c>
      <c r="B2476" s="821">
        <v>42076</v>
      </c>
      <c r="C2476">
        <v>2.7</v>
      </c>
      <c r="D2476">
        <f t="shared" si="79"/>
        <v>0</v>
      </c>
    </row>
    <row r="2477" spans="1:4" x14ac:dyDescent="0.55000000000000004">
      <c r="A2477">
        <f t="shared" si="78"/>
        <v>2015</v>
      </c>
      <c r="B2477" s="821">
        <v>42075</v>
      </c>
      <c r="C2477">
        <v>2.69</v>
      </c>
      <c r="D2477">
        <f t="shared" si="79"/>
        <v>0</v>
      </c>
    </row>
    <row r="2478" spans="1:4" x14ac:dyDescent="0.55000000000000004">
      <c r="A2478">
        <f t="shared" si="78"/>
        <v>2015</v>
      </c>
      <c r="B2478" s="821">
        <v>42074</v>
      </c>
      <c r="C2478">
        <v>2.69</v>
      </c>
      <c r="D2478">
        <f t="shared" si="79"/>
        <v>0</v>
      </c>
    </row>
    <row r="2479" spans="1:4" x14ac:dyDescent="0.55000000000000004">
      <c r="A2479">
        <f t="shared" si="78"/>
        <v>2015</v>
      </c>
      <c r="B2479" s="821">
        <v>42073</v>
      </c>
      <c r="C2479">
        <v>2.73</v>
      </c>
      <c r="D2479">
        <f t="shared" si="79"/>
        <v>0</v>
      </c>
    </row>
    <row r="2480" spans="1:4" x14ac:dyDescent="0.55000000000000004">
      <c r="A2480">
        <f t="shared" si="78"/>
        <v>2015</v>
      </c>
      <c r="B2480" s="821">
        <v>42072</v>
      </c>
      <c r="C2480">
        <v>2.8</v>
      </c>
      <c r="D2480">
        <f t="shared" si="79"/>
        <v>0</v>
      </c>
    </row>
    <row r="2481" spans="1:4" x14ac:dyDescent="0.55000000000000004">
      <c r="A2481">
        <f t="shared" si="78"/>
        <v>2015</v>
      </c>
      <c r="B2481" s="821">
        <v>42069</v>
      </c>
      <c r="C2481">
        <v>2.83</v>
      </c>
      <c r="D2481">
        <f t="shared" si="79"/>
        <v>0</v>
      </c>
    </row>
    <row r="2482" spans="1:4" x14ac:dyDescent="0.55000000000000004">
      <c r="A2482">
        <f t="shared" si="78"/>
        <v>2015</v>
      </c>
      <c r="B2482" s="821">
        <v>42068</v>
      </c>
      <c r="C2482">
        <v>2.71</v>
      </c>
      <c r="D2482">
        <f t="shared" si="79"/>
        <v>0</v>
      </c>
    </row>
    <row r="2483" spans="1:4" x14ac:dyDescent="0.55000000000000004">
      <c r="A2483">
        <f t="shared" si="78"/>
        <v>2015</v>
      </c>
      <c r="B2483" s="821">
        <v>42067</v>
      </c>
      <c r="C2483">
        <v>2.72</v>
      </c>
      <c r="D2483">
        <f t="shared" si="79"/>
        <v>0</v>
      </c>
    </row>
    <row r="2484" spans="1:4" x14ac:dyDescent="0.55000000000000004">
      <c r="A2484">
        <f t="shared" si="78"/>
        <v>2015</v>
      </c>
      <c r="B2484" s="821">
        <v>42066</v>
      </c>
      <c r="C2484">
        <v>2.71</v>
      </c>
      <c r="D2484">
        <f t="shared" si="79"/>
        <v>0</v>
      </c>
    </row>
    <row r="2485" spans="1:4" x14ac:dyDescent="0.55000000000000004">
      <c r="A2485">
        <f t="shared" si="78"/>
        <v>2015</v>
      </c>
      <c r="B2485" s="821">
        <v>42065</v>
      </c>
      <c r="C2485">
        <v>2.68</v>
      </c>
      <c r="D2485">
        <f t="shared" si="79"/>
        <v>0</v>
      </c>
    </row>
    <row r="2486" spans="1:4" x14ac:dyDescent="0.55000000000000004">
      <c r="A2486">
        <f t="shared" si="78"/>
        <v>2015</v>
      </c>
      <c r="B2486" s="821">
        <v>42062</v>
      </c>
      <c r="C2486">
        <v>2.6</v>
      </c>
      <c r="D2486">
        <f t="shared" si="79"/>
        <v>0</v>
      </c>
    </row>
    <row r="2487" spans="1:4" x14ac:dyDescent="0.55000000000000004">
      <c r="A2487">
        <f t="shared" si="78"/>
        <v>2015</v>
      </c>
      <c r="B2487" s="821">
        <v>42061</v>
      </c>
      <c r="C2487">
        <v>2.63</v>
      </c>
      <c r="D2487">
        <f t="shared" si="79"/>
        <v>0</v>
      </c>
    </row>
    <row r="2488" spans="1:4" x14ac:dyDescent="0.55000000000000004">
      <c r="A2488">
        <f t="shared" si="78"/>
        <v>2015</v>
      </c>
      <c r="B2488" s="821">
        <v>42060</v>
      </c>
      <c r="C2488">
        <v>2.56</v>
      </c>
      <c r="D2488">
        <f t="shared" si="79"/>
        <v>0</v>
      </c>
    </row>
    <row r="2489" spans="1:4" x14ac:dyDescent="0.55000000000000004">
      <c r="A2489">
        <f t="shared" si="78"/>
        <v>2015</v>
      </c>
      <c r="B2489" s="821">
        <v>42059</v>
      </c>
      <c r="C2489">
        <v>2.6</v>
      </c>
      <c r="D2489">
        <f t="shared" si="79"/>
        <v>0</v>
      </c>
    </row>
    <row r="2490" spans="1:4" x14ac:dyDescent="0.55000000000000004">
      <c r="A2490">
        <f t="shared" si="78"/>
        <v>2015</v>
      </c>
      <c r="B2490" s="821">
        <v>42058</v>
      </c>
      <c r="C2490">
        <v>2.66</v>
      </c>
      <c r="D2490">
        <f t="shared" si="79"/>
        <v>0</v>
      </c>
    </row>
    <row r="2491" spans="1:4" x14ac:dyDescent="0.55000000000000004">
      <c r="A2491">
        <f t="shared" si="78"/>
        <v>2015</v>
      </c>
      <c r="B2491" s="821">
        <v>42055</v>
      </c>
      <c r="C2491">
        <v>2.73</v>
      </c>
      <c r="D2491">
        <f t="shared" si="79"/>
        <v>0</v>
      </c>
    </row>
    <row r="2492" spans="1:4" x14ac:dyDescent="0.55000000000000004">
      <c r="A2492">
        <f t="shared" si="78"/>
        <v>2015</v>
      </c>
      <c r="B2492" s="821">
        <v>42054</v>
      </c>
      <c r="C2492">
        <v>2.73</v>
      </c>
      <c r="D2492">
        <f t="shared" si="79"/>
        <v>0</v>
      </c>
    </row>
    <row r="2493" spans="1:4" x14ac:dyDescent="0.55000000000000004">
      <c r="A2493">
        <f t="shared" si="78"/>
        <v>2015</v>
      </c>
      <c r="B2493" s="821">
        <v>42053</v>
      </c>
      <c r="C2493">
        <v>2.7</v>
      </c>
      <c r="D2493">
        <f t="shared" si="79"/>
        <v>0</v>
      </c>
    </row>
    <row r="2494" spans="1:4" x14ac:dyDescent="0.55000000000000004">
      <c r="A2494">
        <f t="shared" si="78"/>
        <v>2015</v>
      </c>
      <c r="B2494" s="821">
        <v>42052</v>
      </c>
      <c r="C2494">
        <v>2.73</v>
      </c>
      <c r="D2494">
        <f t="shared" si="79"/>
        <v>0</v>
      </c>
    </row>
    <row r="2495" spans="1:4" x14ac:dyDescent="0.55000000000000004">
      <c r="A2495">
        <f t="shared" si="78"/>
        <v>2015</v>
      </c>
      <c r="B2495" s="821">
        <v>42048</v>
      </c>
      <c r="C2495">
        <v>2.63</v>
      </c>
      <c r="D2495">
        <f t="shared" si="79"/>
        <v>0</v>
      </c>
    </row>
    <row r="2496" spans="1:4" x14ac:dyDescent="0.55000000000000004">
      <c r="A2496">
        <f t="shared" si="78"/>
        <v>2015</v>
      </c>
      <c r="B2496" s="821">
        <v>42047</v>
      </c>
      <c r="C2496">
        <v>2.58</v>
      </c>
      <c r="D2496">
        <f t="shared" si="79"/>
        <v>0</v>
      </c>
    </row>
    <row r="2497" spans="1:4" x14ac:dyDescent="0.55000000000000004">
      <c r="A2497">
        <f t="shared" si="78"/>
        <v>2015</v>
      </c>
      <c r="B2497" s="821">
        <v>42046</v>
      </c>
      <c r="C2497">
        <v>2.57</v>
      </c>
      <c r="D2497">
        <f t="shared" si="79"/>
        <v>0</v>
      </c>
    </row>
    <row r="2498" spans="1:4" x14ac:dyDescent="0.55000000000000004">
      <c r="A2498">
        <f t="shared" si="78"/>
        <v>2015</v>
      </c>
      <c r="B2498" s="821">
        <v>42045</v>
      </c>
      <c r="C2498">
        <v>2.58</v>
      </c>
      <c r="D2498">
        <f t="shared" si="79"/>
        <v>0</v>
      </c>
    </row>
    <row r="2499" spans="1:4" x14ac:dyDescent="0.55000000000000004">
      <c r="A2499">
        <f t="shared" si="78"/>
        <v>2015</v>
      </c>
      <c r="B2499" s="821">
        <v>42044</v>
      </c>
      <c r="C2499">
        <v>2.52</v>
      </c>
      <c r="D2499">
        <f t="shared" si="79"/>
        <v>0</v>
      </c>
    </row>
    <row r="2500" spans="1:4" x14ac:dyDescent="0.55000000000000004">
      <c r="A2500">
        <f t="shared" ref="A2500:A2563" si="80">YEAR(B2500)</f>
        <v>2015</v>
      </c>
      <c r="B2500" s="821">
        <v>42041</v>
      </c>
      <c r="C2500">
        <v>2.5099999999999998</v>
      </c>
      <c r="D2500">
        <f t="shared" ref="D2500:D2563" si="81">IF(C2500&gt;4,1,0)</f>
        <v>0</v>
      </c>
    </row>
    <row r="2501" spans="1:4" x14ac:dyDescent="0.55000000000000004">
      <c r="A2501">
        <f t="shared" si="80"/>
        <v>2015</v>
      </c>
      <c r="B2501" s="821">
        <v>42040</v>
      </c>
      <c r="C2501">
        <v>2.42</v>
      </c>
      <c r="D2501">
        <f t="shared" si="81"/>
        <v>0</v>
      </c>
    </row>
    <row r="2502" spans="1:4" x14ac:dyDescent="0.55000000000000004">
      <c r="A2502">
        <f t="shared" si="80"/>
        <v>2015</v>
      </c>
      <c r="B2502" s="821">
        <v>42039</v>
      </c>
      <c r="C2502">
        <v>2.39</v>
      </c>
      <c r="D2502">
        <f t="shared" si="81"/>
        <v>0</v>
      </c>
    </row>
    <row r="2503" spans="1:4" x14ac:dyDescent="0.55000000000000004">
      <c r="A2503">
        <f t="shared" si="80"/>
        <v>2015</v>
      </c>
      <c r="B2503" s="821">
        <v>42038</v>
      </c>
      <c r="C2503">
        <v>2.37</v>
      </c>
      <c r="D2503">
        <f t="shared" si="81"/>
        <v>0</v>
      </c>
    </row>
    <row r="2504" spans="1:4" x14ac:dyDescent="0.55000000000000004">
      <c r="A2504">
        <f t="shared" si="80"/>
        <v>2015</v>
      </c>
      <c r="B2504" s="821">
        <v>42037</v>
      </c>
      <c r="C2504">
        <v>2.25</v>
      </c>
      <c r="D2504">
        <f t="shared" si="81"/>
        <v>0</v>
      </c>
    </row>
    <row r="2505" spans="1:4" x14ac:dyDescent="0.55000000000000004">
      <c r="A2505">
        <f t="shared" si="80"/>
        <v>2015</v>
      </c>
      <c r="B2505" s="821">
        <v>42034</v>
      </c>
      <c r="C2505">
        <v>2.25</v>
      </c>
      <c r="D2505">
        <f t="shared" si="81"/>
        <v>0</v>
      </c>
    </row>
    <row r="2506" spans="1:4" x14ac:dyDescent="0.55000000000000004">
      <c r="A2506">
        <f t="shared" si="80"/>
        <v>2015</v>
      </c>
      <c r="B2506" s="821">
        <v>42033</v>
      </c>
      <c r="C2506">
        <v>2.33</v>
      </c>
      <c r="D2506">
        <f t="shared" si="81"/>
        <v>0</v>
      </c>
    </row>
    <row r="2507" spans="1:4" x14ac:dyDescent="0.55000000000000004">
      <c r="A2507">
        <f t="shared" si="80"/>
        <v>2015</v>
      </c>
      <c r="B2507" s="821">
        <v>42032</v>
      </c>
      <c r="C2507">
        <v>2.29</v>
      </c>
      <c r="D2507">
        <f t="shared" si="81"/>
        <v>0</v>
      </c>
    </row>
    <row r="2508" spans="1:4" x14ac:dyDescent="0.55000000000000004">
      <c r="A2508">
        <f t="shared" si="80"/>
        <v>2015</v>
      </c>
      <c r="B2508" s="821">
        <v>42031</v>
      </c>
      <c r="C2508">
        <v>2.4</v>
      </c>
      <c r="D2508">
        <f t="shared" si="81"/>
        <v>0</v>
      </c>
    </row>
    <row r="2509" spans="1:4" x14ac:dyDescent="0.55000000000000004">
      <c r="A2509">
        <f t="shared" si="80"/>
        <v>2015</v>
      </c>
      <c r="B2509" s="821">
        <v>42030</v>
      </c>
      <c r="C2509">
        <v>2.4</v>
      </c>
      <c r="D2509">
        <f t="shared" si="81"/>
        <v>0</v>
      </c>
    </row>
    <row r="2510" spans="1:4" x14ac:dyDescent="0.55000000000000004">
      <c r="A2510">
        <f t="shared" si="80"/>
        <v>2015</v>
      </c>
      <c r="B2510" s="821">
        <v>42027</v>
      </c>
      <c r="C2510">
        <v>2.38</v>
      </c>
      <c r="D2510">
        <f t="shared" si="81"/>
        <v>0</v>
      </c>
    </row>
    <row r="2511" spans="1:4" x14ac:dyDescent="0.55000000000000004">
      <c r="A2511">
        <f t="shared" si="80"/>
        <v>2015</v>
      </c>
      <c r="B2511" s="821">
        <v>42026</v>
      </c>
      <c r="C2511">
        <v>2.46</v>
      </c>
      <c r="D2511">
        <f t="shared" si="81"/>
        <v>0</v>
      </c>
    </row>
    <row r="2512" spans="1:4" x14ac:dyDescent="0.55000000000000004">
      <c r="A2512">
        <f t="shared" si="80"/>
        <v>2015</v>
      </c>
      <c r="B2512" s="821">
        <v>42025</v>
      </c>
      <c r="C2512">
        <v>2.44</v>
      </c>
      <c r="D2512">
        <f t="shared" si="81"/>
        <v>0</v>
      </c>
    </row>
    <row r="2513" spans="1:4" x14ac:dyDescent="0.55000000000000004">
      <c r="A2513">
        <f t="shared" si="80"/>
        <v>2015</v>
      </c>
      <c r="B2513" s="821">
        <v>42024</v>
      </c>
      <c r="C2513">
        <v>2.39</v>
      </c>
      <c r="D2513">
        <f t="shared" si="81"/>
        <v>0</v>
      </c>
    </row>
    <row r="2514" spans="1:4" x14ac:dyDescent="0.55000000000000004">
      <c r="A2514">
        <f t="shared" si="80"/>
        <v>2015</v>
      </c>
      <c r="B2514" s="821">
        <v>42020</v>
      </c>
      <c r="C2514">
        <v>2.44</v>
      </c>
      <c r="D2514">
        <f t="shared" si="81"/>
        <v>0</v>
      </c>
    </row>
    <row r="2515" spans="1:4" x14ac:dyDescent="0.55000000000000004">
      <c r="A2515">
        <f t="shared" si="80"/>
        <v>2015</v>
      </c>
      <c r="B2515" s="821">
        <v>42019</v>
      </c>
      <c r="C2515">
        <v>2.4</v>
      </c>
      <c r="D2515">
        <f t="shared" si="81"/>
        <v>0</v>
      </c>
    </row>
    <row r="2516" spans="1:4" x14ac:dyDescent="0.55000000000000004">
      <c r="A2516">
        <f t="shared" si="80"/>
        <v>2015</v>
      </c>
      <c r="B2516" s="821">
        <v>42018</v>
      </c>
      <c r="C2516">
        <v>2.4700000000000002</v>
      </c>
      <c r="D2516">
        <f t="shared" si="81"/>
        <v>0</v>
      </c>
    </row>
    <row r="2517" spans="1:4" x14ac:dyDescent="0.55000000000000004">
      <c r="A2517">
        <f t="shared" si="80"/>
        <v>2015</v>
      </c>
      <c r="B2517" s="821">
        <v>42017</v>
      </c>
      <c r="C2517">
        <v>2.4900000000000002</v>
      </c>
      <c r="D2517">
        <f t="shared" si="81"/>
        <v>0</v>
      </c>
    </row>
    <row r="2518" spans="1:4" x14ac:dyDescent="0.55000000000000004">
      <c r="A2518">
        <f t="shared" si="80"/>
        <v>2015</v>
      </c>
      <c r="B2518" s="821">
        <v>42016</v>
      </c>
      <c r="C2518">
        <v>2.4900000000000002</v>
      </c>
      <c r="D2518">
        <f t="shared" si="81"/>
        <v>0</v>
      </c>
    </row>
    <row r="2519" spans="1:4" x14ac:dyDescent="0.55000000000000004">
      <c r="A2519">
        <f t="shared" si="80"/>
        <v>2015</v>
      </c>
      <c r="B2519" s="821">
        <v>42013</v>
      </c>
      <c r="C2519">
        <v>2.5499999999999998</v>
      </c>
      <c r="D2519">
        <f t="shared" si="81"/>
        <v>0</v>
      </c>
    </row>
    <row r="2520" spans="1:4" x14ac:dyDescent="0.55000000000000004">
      <c r="A2520">
        <f t="shared" si="80"/>
        <v>2015</v>
      </c>
      <c r="B2520" s="821">
        <v>42012</v>
      </c>
      <c r="C2520">
        <v>2.59</v>
      </c>
      <c r="D2520">
        <f t="shared" si="81"/>
        <v>0</v>
      </c>
    </row>
    <row r="2521" spans="1:4" x14ac:dyDescent="0.55000000000000004">
      <c r="A2521">
        <f t="shared" si="80"/>
        <v>2015</v>
      </c>
      <c r="B2521" s="821">
        <v>42011</v>
      </c>
      <c r="C2521">
        <v>2.52</v>
      </c>
      <c r="D2521">
        <f t="shared" si="81"/>
        <v>0</v>
      </c>
    </row>
    <row r="2522" spans="1:4" x14ac:dyDescent="0.55000000000000004">
      <c r="A2522">
        <f t="shared" si="80"/>
        <v>2015</v>
      </c>
      <c r="B2522" s="821">
        <v>42010</v>
      </c>
      <c r="C2522">
        <v>2.52</v>
      </c>
      <c r="D2522">
        <f t="shared" si="81"/>
        <v>0</v>
      </c>
    </row>
    <row r="2523" spans="1:4" x14ac:dyDescent="0.55000000000000004">
      <c r="A2523">
        <f t="shared" si="80"/>
        <v>2015</v>
      </c>
      <c r="B2523" s="821">
        <v>42009</v>
      </c>
      <c r="C2523">
        <v>2.6</v>
      </c>
      <c r="D2523">
        <f t="shared" si="81"/>
        <v>0</v>
      </c>
    </row>
    <row r="2524" spans="1:4" x14ac:dyDescent="0.55000000000000004">
      <c r="A2524">
        <f t="shared" si="80"/>
        <v>2015</v>
      </c>
      <c r="B2524" s="821">
        <v>42006</v>
      </c>
      <c r="C2524">
        <v>2.69</v>
      </c>
      <c r="D2524">
        <f t="shared" si="81"/>
        <v>0</v>
      </c>
    </row>
    <row r="2525" spans="1:4" x14ac:dyDescent="0.55000000000000004">
      <c r="A2525">
        <f t="shared" si="80"/>
        <v>2014</v>
      </c>
      <c r="B2525" s="821">
        <v>42004</v>
      </c>
      <c r="C2525">
        <v>2.75</v>
      </c>
      <c r="D2525">
        <f t="shared" si="81"/>
        <v>0</v>
      </c>
    </row>
    <row r="2526" spans="1:4" x14ac:dyDescent="0.55000000000000004">
      <c r="A2526">
        <f t="shared" si="80"/>
        <v>2014</v>
      </c>
      <c r="B2526" s="821">
        <v>42003</v>
      </c>
      <c r="C2526">
        <v>2.76</v>
      </c>
      <c r="D2526">
        <f t="shared" si="81"/>
        <v>0</v>
      </c>
    </row>
    <row r="2527" spans="1:4" x14ac:dyDescent="0.55000000000000004">
      <c r="A2527">
        <f t="shared" si="80"/>
        <v>2014</v>
      </c>
      <c r="B2527" s="821">
        <v>42002</v>
      </c>
      <c r="C2527">
        <v>2.78</v>
      </c>
      <c r="D2527">
        <f t="shared" si="81"/>
        <v>0</v>
      </c>
    </row>
    <row r="2528" spans="1:4" x14ac:dyDescent="0.55000000000000004">
      <c r="A2528">
        <f t="shared" si="80"/>
        <v>2014</v>
      </c>
      <c r="B2528" s="821">
        <v>41999</v>
      </c>
      <c r="C2528">
        <v>2.81</v>
      </c>
      <c r="D2528">
        <f t="shared" si="81"/>
        <v>0</v>
      </c>
    </row>
    <row r="2529" spans="1:4" x14ac:dyDescent="0.55000000000000004">
      <c r="A2529">
        <f t="shared" si="80"/>
        <v>2014</v>
      </c>
      <c r="B2529" s="821">
        <v>41997</v>
      </c>
      <c r="C2529">
        <v>2.83</v>
      </c>
      <c r="D2529">
        <f t="shared" si="81"/>
        <v>0</v>
      </c>
    </row>
    <row r="2530" spans="1:4" x14ac:dyDescent="0.55000000000000004">
      <c r="A2530">
        <f t="shared" si="80"/>
        <v>2014</v>
      </c>
      <c r="B2530" s="821">
        <v>41996</v>
      </c>
      <c r="C2530">
        <v>2.85</v>
      </c>
      <c r="D2530">
        <f t="shared" si="81"/>
        <v>0</v>
      </c>
    </row>
    <row r="2531" spans="1:4" x14ac:dyDescent="0.55000000000000004">
      <c r="A2531">
        <f t="shared" si="80"/>
        <v>2014</v>
      </c>
      <c r="B2531" s="821">
        <v>41995</v>
      </c>
      <c r="C2531">
        <v>2.75</v>
      </c>
      <c r="D2531">
        <f t="shared" si="81"/>
        <v>0</v>
      </c>
    </row>
    <row r="2532" spans="1:4" x14ac:dyDescent="0.55000000000000004">
      <c r="A2532">
        <f t="shared" si="80"/>
        <v>2014</v>
      </c>
      <c r="B2532" s="821">
        <v>41992</v>
      </c>
      <c r="C2532">
        <v>2.77</v>
      </c>
      <c r="D2532">
        <f t="shared" si="81"/>
        <v>0</v>
      </c>
    </row>
    <row r="2533" spans="1:4" x14ac:dyDescent="0.55000000000000004">
      <c r="A2533">
        <f t="shared" si="80"/>
        <v>2014</v>
      </c>
      <c r="B2533" s="821">
        <v>41991</v>
      </c>
      <c r="C2533">
        <v>2.82</v>
      </c>
      <c r="D2533">
        <f t="shared" si="81"/>
        <v>0</v>
      </c>
    </row>
    <row r="2534" spans="1:4" x14ac:dyDescent="0.55000000000000004">
      <c r="A2534">
        <f t="shared" si="80"/>
        <v>2014</v>
      </c>
      <c r="B2534" s="821">
        <v>41990</v>
      </c>
      <c r="C2534">
        <v>2.74</v>
      </c>
      <c r="D2534">
        <f t="shared" si="81"/>
        <v>0</v>
      </c>
    </row>
    <row r="2535" spans="1:4" x14ac:dyDescent="0.55000000000000004">
      <c r="A2535">
        <f t="shared" si="80"/>
        <v>2014</v>
      </c>
      <c r="B2535" s="821">
        <v>41989</v>
      </c>
      <c r="C2535">
        <v>2.69</v>
      </c>
      <c r="D2535">
        <f t="shared" si="81"/>
        <v>0</v>
      </c>
    </row>
    <row r="2536" spans="1:4" x14ac:dyDescent="0.55000000000000004">
      <c r="A2536">
        <f t="shared" si="80"/>
        <v>2014</v>
      </c>
      <c r="B2536" s="821">
        <v>41988</v>
      </c>
      <c r="C2536">
        <v>2.74</v>
      </c>
      <c r="D2536">
        <f t="shared" si="81"/>
        <v>0</v>
      </c>
    </row>
    <row r="2537" spans="1:4" x14ac:dyDescent="0.55000000000000004">
      <c r="A2537">
        <f t="shared" si="80"/>
        <v>2014</v>
      </c>
      <c r="B2537" s="821">
        <v>41985</v>
      </c>
      <c r="C2537">
        <v>2.75</v>
      </c>
      <c r="D2537">
        <f t="shared" si="81"/>
        <v>0</v>
      </c>
    </row>
    <row r="2538" spans="1:4" x14ac:dyDescent="0.55000000000000004">
      <c r="A2538">
        <f t="shared" si="80"/>
        <v>2014</v>
      </c>
      <c r="B2538" s="821">
        <v>41984</v>
      </c>
      <c r="C2538">
        <v>2.84</v>
      </c>
      <c r="D2538">
        <f t="shared" si="81"/>
        <v>0</v>
      </c>
    </row>
    <row r="2539" spans="1:4" x14ac:dyDescent="0.55000000000000004">
      <c r="A2539">
        <f t="shared" si="80"/>
        <v>2014</v>
      </c>
      <c r="B2539" s="821">
        <v>41983</v>
      </c>
      <c r="C2539">
        <v>2.83</v>
      </c>
      <c r="D2539">
        <f t="shared" si="81"/>
        <v>0</v>
      </c>
    </row>
    <row r="2540" spans="1:4" x14ac:dyDescent="0.55000000000000004">
      <c r="A2540">
        <f t="shared" si="80"/>
        <v>2014</v>
      </c>
      <c r="B2540" s="821">
        <v>41982</v>
      </c>
      <c r="C2540">
        <v>2.87</v>
      </c>
      <c r="D2540">
        <f t="shared" si="81"/>
        <v>0</v>
      </c>
    </row>
    <row r="2541" spans="1:4" x14ac:dyDescent="0.55000000000000004">
      <c r="A2541">
        <f t="shared" si="80"/>
        <v>2014</v>
      </c>
      <c r="B2541" s="821">
        <v>41981</v>
      </c>
      <c r="C2541">
        <v>2.9</v>
      </c>
      <c r="D2541">
        <f t="shared" si="81"/>
        <v>0</v>
      </c>
    </row>
    <row r="2542" spans="1:4" x14ac:dyDescent="0.55000000000000004">
      <c r="A2542">
        <f t="shared" si="80"/>
        <v>2014</v>
      </c>
      <c r="B2542" s="821">
        <v>41978</v>
      </c>
      <c r="C2542">
        <v>2.97</v>
      </c>
      <c r="D2542">
        <f t="shared" si="81"/>
        <v>0</v>
      </c>
    </row>
    <row r="2543" spans="1:4" x14ac:dyDescent="0.55000000000000004">
      <c r="A2543">
        <f t="shared" si="80"/>
        <v>2014</v>
      </c>
      <c r="B2543" s="821">
        <v>41977</v>
      </c>
      <c r="C2543">
        <v>2.94</v>
      </c>
      <c r="D2543">
        <f t="shared" si="81"/>
        <v>0</v>
      </c>
    </row>
    <row r="2544" spans="1:4" x14ac:dyDescent="0.55000000000000004">
      <c r="A2544">
        <f t="shared" si="80"/>
        <v>2014</v>
      </c>
      <c r="B2544" s="821">
        <v>41976</v>
      </c>
      <c r="C2544">
        <v>2.99</v>
      </c>
      <c r="D2544">
        <f t="shared" si="81"/>
        <v>0</v>
      </c>
    </row>
    <row r="2545" spans="1:4" x14ac:dyDescent="0.55000000000000004">
      <c r="A2545">
        <f t="shared" si="80"/>
        <v>2014</v>
      </c>
      <c r="B2545" s="821">
        <v>41975</v>
      </c>
      <c r="C2545">
        <v>3</v>
      </c>
      <c r="D2545">
        <f t="shared" si="81"/>
        <v>0</v>
      </c>
    </row>
    <row r="2546" spans="1:4" x14ac:dyDescent="0.55000000000000004">
      <c r="A2546">
        <f t="shared" si="80"/>
        <v>2014</v>
      </c>
      <c r="B2546" s="821">
        <v>41974</v>
      </c>
      <c r="C2546">
        <v>2.95</v>
      </c>
      <c r="D2546">
        <f t="shared" si="81"/>
        <v>0</v>
      </c>
    </row>
    <row r="2547" spans="1:4" x14ac:dyDescent="0.55000000000000004">
      <c r="A2547">
        <f t="shared" si="80"/>
        <v>2014</v>
      </c>
      <c r="B2547" s="821">
        <v>41971</v>
      </c>
      <c r="C2547">
        <v>2.89</v>
      </c>
      <c r="D2547">
        <f t="shared" si="81"/>
        <v>0</v>
      </c>
    </row>
    <row r="2548" spans="1:4" x14ac:dyDescent="0.55000000000000004">
      <c r="A2548">
        <f t="shared" si="80"/>
        <v>2014</v>
      </c>
      <c r="B2548" s="821">
        <v>41969</v>
      </c>
      <c r="C2548">
        <v>2.95</v>
      </c>
      <c r="D2548">
        <f t="shared" si="81"/>
        <v>0</v>
      </c>
    </row>
    <row r="2549" spans="1:4" x14ac:dyDescent="0.55000000000000004">
      <c r="A2549">
        <f t="shared" si="80"/>
        <v>2014</v>
      </c>
      <c r="B2549" s="821">
        <v>41968</v>
      </c>
      <c r="C2549">
        <v>2.97</v>
      </c>
      <c r="D2549">
        <f t="shared" si="81"/>
        <v>0</v>
      </c>
    </row>
    <row r="2550" spans="1:4" x14ac:dyDescent="0.55000000000000004">
      <c r="A2550">
        <f t="shared" si="80"/>
        <v>2014</v>
      </c>
      <c r="B2550" s="821">
        <v>41967</v>
      </c>
      <c r="C2550">
        <v>3.01</v>
      </c>
      <c r="D2550">
        <f t="shared" si="81"/>
        <v>0</v>
      </c>
    </row>
    <row r="2551" spans="1:4" x14ac:dyDescent="0.55000000000000004">
      <c r="A2551">
        <f t="shared" si="80"/>
        <v>2014</v>
      </c>
      <c r="B2551" s="821">
        <v>41964</v>
      </c>
      <c r="C2551">
        <v>3.02</v>
      </c>
      <c r="D2551">
        <f t="shared" si="81"/>
        <v>0</v>
      </c>
    </row>
    <row r="2552" spans="1:4" x14ac:dyDescent="0.55000000000000004">
      <c r="A2552">
        <f t="shared" si="80"/>
        <v>2014</v>
      </c>
      <c r="B2552" s="821">
        <v>41963</v>
      </c>
      <c r="C2552">
        <v>3.05</v>
      </c>
      <c r="D2552">
        <f t="shared" si="81"/>
        <v>0</v>
      </c>
    </row>
    <row r="2553" spans="1:4" x14ac:dyDescent="0.55000000000000004">
      <c r="A2553">
        <f t="shared" si="80"/>
        <v>2014</v>
      </c>
      <c r="B2553" s="821">
        <v>41962</v>
      </c>
      <c r="C2553">
        <v>3.08</v>
      </c>
      <c r="D2553">
        <f t="shared" si="81"/>
        <v>0</v>
      </c>
    </row>
    <row r="2554" spans="1:4" x14ac:dyDescent="0.55000000000000004">
      <c r="A2554">
        <f t="shared" si="80"/>
        <v>2014</v>
      </c>
      <c r="B2554" s="821">
        <v>41961</v>
      </c>
      <c r="C2554">
        <v>3.05</v>
      </c>
      <c r="D2554">
        <f t="shared" si="81"/>
        <v>0</v>
      </c>
    </row>
    <row r="2555" spans="1:4" x14ac:dyDescent="0.55000000000000004">
      <c r="A2555">
        <f t="shared" si="80"/>
        <v>2014</v>
      </c>
      <c r="B2555" s="821">
        <v>41960</v>
      </c>
      <c r="C2555">
        <v>3.06</v>
      </c>
      <c r="D2555">
        <f t="shared" si="81"/>
        <v>0</v>
      </c>
    </row>
    <row r="2556" spans="1:4" x14ac:dyDescent="0.55000000000000004">
      <c r="A2556">
        <f t="shared" si="80"/>
        <v>2014</v>
      </c>
      <c r="B2556" s="821">
        <v>41957</v>
      </c>
      <c r="C2556">
        <v>3.04</v>
      </c>
      <c r="D2556">
        <f t="shared" si="81"/>
        <v>0</v>
      </c>
    </row>
    <row r="2557" spans="1:4" x14ac:dyDescent="0.55000000000000004">
      <c r="A2557">
        <f t="shared" si="80"/>
        <v>2014</v>
      </c>
      <c r="B2557" s="821">
        <v>41956</v>
      </c>
      <c r="C2557">
        <v>3.08</v>
      </c>
      <c r="D2557">
        <f t="shared" si="81"/>
        <v>0</v>
      </c>
    </row>
    <row r="2558" spans="1:4" x14ac:dyDescent="0.55000000000000004">
      <c r="A2558">
        <f t="shared" si="80"/>
        <v>2014</v>
      </c>
      <c r="B2558" s="821">
        <v>41955</v>
      </c>
      <c r="C2558">
        <v>3.09</v>
      </c>
      <c r="D2558">
        <f t="shared" si="81"/>
        <v>0</v>
      </c>
    </row>
    <row r="2559" spans="1:4" x14ac:dyDescent="0.55000000000000004">
      <c r="A2559">
        <f t="shared" si="80"/>
        <v>2014</v>
      </c>
      <c r="B2559" s="821">
        <v>41953</v>
      </c>
      <c r="C2559">
        <v>3.09</v>
      </c>
      <c r="D2559">
        <f t="shared" si="81"/>
        <v>0</v>
      </c>
    </row>
    <row r="2560" spans="1:4" x14ac:dyDescent="0.55000000000000004">
      <c r="A2560">
        <f t="shared" si="80"/>
        <v>2014</v>
      </c>
      <c r="B2560" s="821">
        <v>41950</v>
      </c>
      <c r="C2560">
        <v>3.04</v>
      </c>
      <c r="D2560">
        <f t="shared" si="81"/>
        <v>0</v>
      </c>
    </row>
    <row r="2561" spans="1:4" x14ac:dyDescent="0.55000000000000004">
      <c r="A2561">
        <f t="shared" si="80"/>
        <v>2014</v>
      </c>
      <c r="B2561" s="821">
        <v>41949</v>
      </c>
      <c r="C2561">
        <v>3.09</v>
      </c>
      <c r="D2561">
        <f t="shared" si="81"/>
        <v>0</v>
      </c>
    </row>
    <row r="2562" spans="1:4" x14ac:dyDescent="0.55000000000000004">
      <c r="A2562">
        <f t="shared" si="80"/>
        <v>2014</v>
      </c>
      <c r="B2562" s="821">
        <v>41948</v>
      </c>
      <c r="C2562">
        <v>3.06</v>
      </c>
      <c r="D2562">
        <f t="shared" si="81"/>
        <v>0</v>
      </c>
    </row>
    <row r="2563" spans="1:4" x14ac:dyDescent="0.55000000000000004">
      <c r="A2563">
        <f t="shared" si="80"/>
        <v>2014</v>
      </c>
      <c r="B2563" s="821">
        <v>41947</v>
      </c>
      <c r="C2563">
        <v>3.05</v>
      </c>
      <c r="D2563">
        <f t="shared" si="81"/>
        <v>0</v>
      </c>
    </row>
    <row r="2564" spans="1:4" x14ac:dyDescent="0.55000000000000004">
      <c r="A2564">
        <f t="shared" ref="A2564:A2627" si="82">YEAR(B2564)</f>
        <v>2014</v>
      </c>
      <c r="B2564" s="821">
        <v>41946</v>
      </c>
      <c r="C2564">
        <v>3.07</v>
      </c>
      <c r="D2564">
        <f t="shared" ref="D2564:D2627" si="83">IF(C2564&gt;4,1,0)</f>
        <v>0</v>
      </c>
    </row>
    <row r="2565" spans="1:4" x14ac:dyDescent="0.55000000000000004">
      <c r="A2565">
        <f t="shared" si="82"/>
        <v>2014</v>
      </c>
      <c r="B2565" s="821">
        <v>41943</v>
      </c>
      <c r="C2565">
        <v>3.07</v>
      </c>
      <c r="D2565">
        <f t="shared" si="83"/>
        <v>0</v>
      </c>
    </row>
    <row r="2566" spans="1:4" x14ac:dyDescent="0.55000000000000004">
      <c r="A2566">
        <f t="shared" si="82"/>
        <v>2014</v>
      </c>
      <c r="B2566" s="821">
        <v>41942</v>
      </c>
      <c r="C2566">
        <v>3.04</v>
      </c>
      <c r="D2566">
        <f t="shared" si="83"/>
        <v>0</v>
      </c>
    </row>
    <row r="2567" spans="1:4" x14ac:dyDescent="0.55000000000000004">
      <c r="A2567">
        <f t="shared" si="82"/>
        <v>2014</v>
      </c>
      <c r="B2567" s="821">
        <v>41941</v>
      </c>
      <c r="C2567">
        <v>3.06</v>
      </c>
      <c r="D2567">
        <f t="shared" si="83"/>
        <v>0</v>
      </c>
    </row>
    <row r="2568" spans="1:4" x14ac:dyDescent="0.55000000000000004">
      <c r="A2568">
        <f t="shared" si="82"/>
        <v>2014</v>
      </c>
      <c r="B2568" s="821">
        <v>41940</v>
      </c>
      <c r="C2568">
        <v>3.06</v>
      </c>
      <c r="D2568">
        <f t="shared" si="83"/>
        <v>0</v>
      </c>
    </row>
    <row r="2569" spans="1:4" x14ac:dyDescent="0.55000000000000004">
      <c r="A2569">
        <f t="shared" si="82"/>
        <v>2014</v>
      </c>
      <c r="B2569" s="821">
        <v>41939</v>
      </c>
      <c r="C2569">
        <v>3.04</v>
      </c>
      <c r="D2569">
        <f t="shared" si="83"/>
        <v>0</v>
      </c>
    </row>
    <row r="2570" spans="1:4" x14ac:dyDescent="0.55000000000000004">
      <c r="A2570">
        <f t="shared" si="82"/>
        <v>2014</v>
      </c>
      <c r="B2570" s="821">
        <v>41936</v>
      </c>
      <c r="C2570">
        <v>3.05</v>
      </c>
      <c r="D2570">
        <f t="shared" si="83"/>
        <v>0</v>
      </c>
    </row>
    <row r="2571" spans="1:4" x14ac:dyDescent="0.55000000000000004">
      <c r="A2571">
        <f t="shared" si="82"/>
        <v>2014</v>
      </c>
      <c r="B2571" s="821">
        <v>41935</v>
      </c>
      <c r="C2571">
        <v>3.05</v>
      </c>
      <c r="D2571">
        <f t="shared" si="83"/>
        <v>0</v>
      </c>
    </row>
    <row r="2572" spans="1:4" x14ac:dyDescent="0.55000000000000004">
      <c r="A2572">
        <f t="shared" si="82"/>
        <v>2014</v>
      </c>
      <c r="B2572" s="821">
        <v>41934</v>
      </c>
      <c r="C2572">
        <v>3.01</v>
      </c>
      <c r="D2572">
        <f t="shared" si="83"/>
        <v>0</v>
      </c>
    </row>
    <row r="2573" spans="1:4" x14ac:dyDescent="0.55000000000000004">
      <c r="A2573">
        <f t="shared" si="82"/>
        <v>2014</v>
      </c>
      <c r="B2573" s="821">
        <v>41933</v>
      </c>
      <c r="C2573">
        <v>3</v>
      </c>
      <c r="D2573">
        <f t="shared" si="83"/>
        <v>0</v>
      </c>
    </row>
    <row r="2574" spans="1:4" x14ac:dyDescent="0.55000000000000004">
      <c r="A2574">
        <f t="shared" si="82"/>
        <v>2014</v>
      </c>
      <c r="B2574" s="821">
        <v>41932</v>
      </c>
      <c r="C2574">
        <v>2.96</v>
      </c>
      <c r="D2574">
        <f t="shared" si="83"/>
        <v>0</v>
      </c>
    </row>
    <row r="2575" spans="1:4" x14ac:dyDescent="0.55000000000000004">
      <c r="A2575">
        <f t="shared" si="82"/>
        <v>2014</v>
      </c>
      <c r="B2575" s="821">
        <v>41929</v>
      </c>
      <c r="C2575">
        <v>2.98</v>
      </c>
      <c r="D2575">
        <f t="shared" si="83"/>
        <v>0</v>
      </c>
    </row>
    <row r="2576" spans="1:4" x14ac:dyDescent="0.55000000000000004">
      <c r="A2576">
        <f t="shared" si="82"/>
        <v>2014</v>
      </c>
      <c r="B2576" s="821">
        <v>41928</v>
      </c>
      <c r="C2576">
        <v>2.94</v>
      </c>
      <c r="D2576">
        <f t="shared" si="83"/>
        <v>0</v>
      </c>
    </row>
    <row r="2577" spans="1:4" x14ac:dyDescent="0.55000000000000004">
      <c r="A2577">
        <f t="shared" si="82"/>
        <v>2014</v>
      </c>
      <c r="B2577" s="821">
        <v>41927</v>
      </c>
      <c r="C2577">
        <v>2.92</v>
      </c>
      <c r="D2577">
        <f t="shared" si="83"/>
        <v>0</v>
      </c>
    </row>
    <row r="2578" spans="1:4" x14ac:dyDescent="0.55000000000000004">
      <c r="A2578">
        <f t="shared" si="82"/>
        <v>2014</v>
      </c>
      <c r="B2578" s="821">
        <v>41926</v>
      </c>
      <c r="C2578">
        <v>2.95</v>
      </c>
      <c r="D2578">
        <f t="shared" si="83"/>
        <v>0</v>
      </c>
    </row>
    <row r="2579" spans="1:4" x14ac:dyDescent="0.55000000000000004">
      <c r="A2579">
        <f t="shared" si="82"/>
        <v>2014</v>
      </c>
      <c r="B2579" s="821">
        <v>41922</v>
      </c>
      <c r="C2579">
        <v>3.03</v>
      </c>
      <c r="D2579">
        <f t="shared" si="83"/>
        <v>0</v>
      </c>
    </row>
    <row r="2580" spans="1:4" x14ac:dyDescent="0.55000000000000004">
      <c r="A2580">
        <f t="shared" si="82"/>
        <v>2014</v>
      </c>
      <c r="B2580" s="821">
        <v>41921</v>
      </c>
      <c r="C2580">
        <v>3.07</v>
      </c>
      <c r="D2580">
        <f t="shared" si="83"/>
        <v>0</v>
      </c>
    </row>
    <row r="2581" spans="1:4" x14ac:dyDescent="0.55000000000000004">
      <c r="A2581">
        <f t="shared" si="82"/>
        <v>2014</v>
      </c>
      <c r="B2581" s="821">
        <v>41920</v>
      </c>
      <c r="C2581">
        <v>3.07</v>
      </c>
      <c r="D2581">
        <f t="shared" si="83"/>
        <v>0</v>
      </c>
    </row>
    <row r="2582" spans="1:4" x14ac:dyDescent="0.55000000000000004">
      <c r="A2582">
        <f t="shared" si="82"/>
        <v>2014</v>
      </c>
      <c r="B2582" s="821">
        <v>41919</v>
      </c>
      <c r="C2582">
        <v>3.06</v>
      </c>
      <c r="D2582">
        <f t="shared" si="83"/>
        <v>0</v>
      </c>
    </row>
    <row r="2583" spans="1:4" x14ac:dyDescent="0.55000000000000004">
      <c r="A2583">
        <f t="shared" si="82"/>
        <v>2014</v>
      </c>
      <c r="B2583" s="821">
        <v>41918</v>
      </c>
      <c r="C2583">
        <v>3.12</v>
      </c>
      <c r="D2583">
        <f t="shared" si="83"/>
        <v>0</v>
      </c>
    </row>
    <row r="2584" spans="1:4" x14ac:dyDescent="0.55000000000000004">
      <c r="A2584">
        <f t="shared" si="82"/>
        <v>2014</v>
      </c>
      <c r="B2584" s="821">
        <v>41915</v>
      </c>
      <c r="C2584">
        <v>3.13</v>
      </c>
      <c r="D2584">
        <f t="shared" si="83"/>
        <v>0</v>
      </c>
    </row>
    <row r="2585" spans="1:4" x14ac:dyDescent="0.55000000000000004">
      <c r="A2585">
        <f t="shared" si="82"/>
        <v>2014</v>
      </c>
      <c r="B2585" s="821">
        <v>41914</v>
      </c>
      <c r="C2585">
        <v>3.15</v>
      </c>
      <c r="D2585">
        <f t="shared" si="83"/>
        <v>0</v>
      </c>
    </row>
    <row r="2586" spans="1:4" x14ac:dyDescent="0.55000000000000004">
      <c r="A2586">
        <f t="shared" si="82"/>
        <v>2014</v>
      </c>
      <c r="B2586" s="821">
        <v>41913</v>
      </c>
      <c r="C2586">
        <v>3.12</v>
      </c>
      <c r="D2586">
        <f t="shared" si="83"/>
        <v>0</v>
      </c>
    </row>
    <row r="2587" spans="1:4" x14ac:dyDescent="0.55000000000000004">
      <c r="A2587">
        <f t="shared" si="82"/>
        <v>2014</v>
      </c>
      <c r="B2587" s="821">
        <v>41912</v>
      </c>
      <c r="C2587">
        <v>3.21</v>
      </c>
      <c r="D2587">
        <f t="shared" si="83"/>
        <v>0</v>
      </c>
    </row>
    <row r="2588" spans="1:4" x14ac:dyDescent="0.55000000000000004">
      <c r="A2588">
        <f t="shared" si="82"/>
        <v>2014</v>
      </c>
      <c r="B2588" s="821">
        <v>41911</v>
      </c>
      <c r="C2588">
        <v>3.18</v>
      </c>
      <c r="D2588">
        <f t="shared" si="83"/>
        <v>0</v>
      </c>
    </row>
    <row r="2589" spans="1:4" x14ac:dyDescent="0.55000000000000004">
      <c r="A2589">
        <f t="shared" si="82"/>
        <v>2014</v>
      </c>
      <c r="B2589" s="821">
        <v>41908</v>
      </c>
      <c r="C2589">
        <v>3.22</v>
      </c>
      <c r="D2589">
        <f t="shared" si="83"/>
        <v>0</v>
      </c>
    </row>
    <row r="2590" spans="1:4" x14ac:dyDescent="0.55000000000000004">
      <c r="A2590">
        <f t="shared" si="82"/>
        <v>2014</v>
      </c>
      <c r="B2590" s="821">
        <v>41907</v>
      </c>
      <c r="C2590">
        <v>3.22</v>
      </c>
      <c r="D2590">
        <f t="shared" si="83"/>
        <v>0</v>
      </c>
    </row>
    <row r="2591" spans="1:4" x14ac:dyDescent="0.55000000000000004">
      <c r="A2591">
        <f t="shared" si="82"/>
        <v>2014</v>
      </c>
      <c r="B2591" s="821">
        <v>41906</v>
      </c>
      <c r="C2591">
        <v>3.28</v>
      </c>
      <c r="D2591">
        <f t="shared" si="83"/>
        <v>0</v>
      </c>
    </row>
    <row r="2592" spans="1:4" x14ac:dyDescent="0.55000000000000004">
      <c r="A2592">
        <f t="shared" si="82"/>
        <v>2014</v>
      </c>
      <c r="B2592" s="821">
        <v>41905</v>
      </c>
      <c r="C2592">
        <v>3.25</v>
      </c>
      <c r="D2592">
        <f t="shared" si="83"/>
        <v>0</v>
      </c>
    </row>
    <row r="2593" spans="1:4" x14ac:dyDescent="0.55000000000000004">
      <c r="A2593">
        <f t="shared" si="82"/>
        <v>2014</v>
      </c>
      <c r="B2593" s="821">
        <v>41904</v>
      </c>
      <c r="C2593">
        <v>3.28</v>
      </c>
      <c r="D2593">
        <f t="shared" si="83"/>
        <v>0</v>
      </c>
    </row>
    <row r="2594" spans="1:4" x14ac:dyDescent="0.55000000000000004">
      <c r="A2594">
        <f t="shared" si="82"/>
        <v>2014</v>
      </c>
      <c r="B2594" s="821">
        <v>41901</v>
      </c>
      <c r="C2594">
        <v>3.29</v>
      </c>
      <c r="D2594">
        <f t="shared" si="83"/>
        <v>0</v>
      </c>
    </row>
    <row r="2595" spans="1:4" x14ac:dyDescent="0.55000000000000004">
      <c r="A2595">
        <f t="shared" si="82"/>
        <v>2014</v>
      </c>
      <c r="B2595" s="821">
        <v>41900</v>
      </c>
      <c r="C2595">
        <v>3.36</v>
      </c>
      <c r="D2595">
        <f t="shared" si="83"/>
        <v>0</v>
      </c>
    </row>
    <row r="2596" spans="1:4" x14ac:dyDescent="0.55000000000000004">
      <c r="A2596">
        <f t="shared" si="82"/>
        <v>2014</v>
      </c>
      <c r="B2596" s="821">
        <v>41899</v>
      </c>
      <c r="C2596">
        <v>3.37</v>
      </c>
      <c r="D2596">
        <f t="shared" si="83"/>
        <v>0</v>
      </c>
    </row>
    <row r="2597" spans="1:4" x14ac:dyDescent="0.55000000000000004">
      <c r="A2597">
        <f t="shared" si="82"/>
        <v>2014</v>
      </c>
      <c r="B2597" s="821">
        <v>41898</v>
      </c>
      <c r="C2597">
        <v>3.36</v>
      </c>
      <c r="D2597">
        <f t="shared" si="83"/>
        <v>0</v>
      </c>
    </row>
    <row r="2598" spans="1:4" x14ac:dyDescent="0.55000000000000004">
      <c r="A2598">
        <f t="shared" si="82"/>
        <v>2014</v>
      </c>
      <c r="B2598" s="821">
        <v>41897</v>
      </c>
      <c r="C2598">
        <v>3.34</v>
      </c>
      <c r="D2598">
        <f t="shared" si="83"/>
        <v>0</v>
      </c>
    </row>
    <row r="2599" spans="1:4" x14ac:dyDescent="0.55000000000000004">
      <c r="A2599">
        <f t="shared" si="82"/>
        <v>2014</v>
      </c>
      <c r="B2599" s="821">
        <v>41894</v>
      </c>
      <c r="C2599">
        <v>3.35</v>
      </c>
      <c r="D2599">
        <f t="shared" si="83"/>
        <v>0</v>
      </c>
    </row>
    <row r="2600" spans="1:4" x14ac:dyDescent="0.55000000000000004">
      <c r="A2600">
        <f t="shared" si="82"/>
        <v>2014</v>
      </c>
      <c r="B2600" s="821">
        <v>41893</v>
      </c>
      <c r="C2600">
        <v>3.27</v>
      </c>
      <c r="D2600">
        <f t="shared" si="83"/>
        <v>0</v>
      </c>
    </row>
    <row r="2601" spans="1:4" x14ac:dyDescent="0.55000000000000004">
      <c r="A2601">
        <f t="shared" si="82"/>
        <v>2014</v>
      </c>
      <c r="B2601" s="821">
        <v>41892</v>
      </c>
      <c r="C2601">
        <v>3.26</v>
      </c>
      <c r="D2601">
        <f t="shared" si="83"/>
        <v>0</v>
      </c>
    </row>
    <row r="2602" spans="1:4" x14ac:dyDescent="0.55000000000000004">
      <c r="A2602">
        <f t="shared" si="82"/>
        <v>2014</v>
      </c>
      <c r="B2602" s="821">
        <v>41891</v>
      </c>
      <c r="C2602">
        <v>3.23</v>
      </c>
      <c r="D2602">
        <f t="shared" si="83"/>
        <v>0</v>
      </c>
    </row>
    <row r="2603" spans="1:4" x14ac:dyDescent="0.55000000000000004">
      <c r="A2603">
        <f t="shared" si="82"/>
        <v>2014</v>
      </c>
      <c r="B2603" s="821">
        <v>41890</v>
      </c>
      <c r="C2603">
        <v>3.23</v>
      </c>
      <c r="D2603">
        <f t="shared" si="83"/>
        <v>0</v>
      </c>
    </row>
    <row r="2604" spans="1:4" x14ac:dyDescent="0.55000000000000004">
      <c r="A2604">
        <f t="shared" si="82"/>
        <v>2014</v>
      </c>
      <c r="B2604" s="821">
        <v>41887</v>
      </c>
      <c r="C2604">
        <v>3.23</v>
      </c>
      <c r="D2604">
        <f t="shared" si="83"/>
        <v>0</v>
      </c>
    </row>
    <row r="2605" spans="1:4" x14ac:dyDescent="0.55000000000000004">
      <c r="A2605">
        <f t="shared" si="82"/>
        <v>2014</v>
      </c>
      <c r="B2605" s="821">
        <v>41886</v>
      </c>
      <c r="C2605">
        <v>3.21</v>
      </c>
      <c r="D2605">
        <f t="shared" si="83"/>
        <v>0</v>
      </c>
    </row>
    <row r="2606" spans="1:4" x14ac:dyDescent="0.55000000000000004">
      <c r="A2606">
        <f t="shared" si="82"/>
        <v>2014</v>
      </c>
      <c r="B2606" s="821">
        <v>41885</v>
      </c>
      <c r="C2606">
        <v>3.15</v>
      </c>
      <c r="D2606">
        <f t="shared" si="83"/>
        <v>0</v>
      </c>
    </row>
    <row r="2607" spans="1:4" x14ac:dyDescent="0.55000000000000004">
      <c r="A2607">
        <f t="shared" si="82"/>
        <v>2014</v>
      </c>
      <c r="B2607" s="821">
        <v>41884</v>
      </c>
      <c r="C2607">
        <v>3.17</v>
      </c>
      <c r="D2607">
        <f t="shared" si="83"/>
        <v>0</v>
      </c>
    </row>
    <row r="2608" spans="1:4" x14ac:dyDescent="0.55000000000000004">
      <c r="A2608">
        <f t="shared" si="82"/>
        <v>2014</v>
      </c>
      <c r="B2608" s="821">
        <v>41880</v>
      </c>
      <c r="C2608">
        <v>3.09</v>
      </c>
      <c r="D2608">
        <f t="shared" si="83"/>
        <v>0</v>
      </c>
    </row>
    <row r="2609" spans="1:4" x14ac:dyDescent="0.55000000000000004">
      <c r="A2609">
        <f t="shared" si="82"/>
        <v>2014</v>
      </c>
      <c r="B2609" s="821">
        <v>41879</v>
      </c>
      <c r="C2609">
        <v>3.08</v>
      </c>
      <c r="D2609">
        <f t="shared" si="83"/>
        <v>0</v>
      </c>
    </row>
    <row r="2610" spans="1:4" x14ac:dyDescent="0.55000000000000004">
      <c r="A2610">
        <f t="shared" si="82"/>
        <v>2014</v>
      </c>
      <c r="B2610" s="821">
        <v>41878</v>
      </c>
      <c r="C2610">
        <v>3.11</v>
      </c>
      <c r="D2610">
        <f t="shared" si="83"/>
        <v>0</v>
      </c>
    </row>
    <row r="2611" spans="1:4" x14ac:dyDescent="0.55000000000000004">
      <c r="A2611">
        <f t="shared" si="82"/>
        <v>2014</v>
      </c>
      <c r="B2611" s="821">
        <v>41877</v>
      </c>
      <c r="C2611">
        <v>3.15</v>
      </c>
      <c r="D2611">
        <f t="shared" si="83"/>
        <v>0</v>
      </c>
    </row>
    <row r="2612" spans="1:4" x14ac:dyDescent="0.55000000000000004">
      <c r="A2612">
        <f t="shared" si="82"/>
        <v>2014</v>
      </c>
      <c r="B2612" s="821">
        <v>41876</v>
      </c>
      <c r="C2612">
        <v>3.13</v>
      </c>
      <c r="D2612">
        <f t="shared" si="83"/>
        <v>0</v>
      </c>
    </row>
    <row r="2613" spans="1:4" x14ac:dyDescent="0.55000000000000004">
      <c r="A2613">
        <f t="shared" si="82"/>
        <v>2014</v>
      </c>
      <c r="B2613" s="821">
        <v>41873</v>
      </c>
      <c r="C2613">
        <v>3.16</v>
      </c>
      <c r="D2613">
        <f t="shared" si="83"/>
        <v>0</v>
      </c>
    </row>
    <row r="2614" spans="1:4" x14ac:dyDescent="0.55000000000000004">
      <c r="A2614">
        <f t="shared" si="82"/>
        <v>2014</v>
      </c>
      <c r="B2614" s="821">
        <v>41872</v>
      </c>
      <c r="C2614">
        <v>3.19</v>
      </c>
      <c r="D2614">
        <f t="shared" si="83"/>
        <v>0</v>
      </c>
    </row>
    <row r="2615" spans="1:4" x14ac:dyDescent="0.55000000000000004">
      <c r="A2615">
        <f t="shared" si="82"/>
        <v>2014</v>
      </c>
      <c r="B2615" s="821">
        <v>41871</v>
      </c>
      <c r="C2615">
        <v>3.22</v>
      </c>
      <c r="D2615">
        <f t="shared" si="83"/>
        <v>0</v>
      </c>
    </row>
    <row r="2616" spans="1:4" x14ac:dyDescent="0.55000000000000004">
      <c r="A2616">
        <f t="shared" si="82"/>
        <v>2014</v>
      </c>
      <c r="B2616" s="821">
        <v>41870</v>
      </c>
      <c r="C2616">
        <v>3.21</v>
      </c>
      <c r="D2616">
        <f t="shared" si="83"/>
        <v>0</v>
      </c>
    </row>
    <row r="2617" spans="1:4" x14ac:dyDescent="0.55000000000000004">
      <c r="A2617">
        <f t="shared" si="82"/>
        <v>2014</v>
      </c>
      <c r="B2617" s="821">
        <v>41869</v>
      </c>
      <c r="C2617">
        <v>3.2</v>
      </c>
      <c r="D2617">
        <f t="shared" si="83"/>
        <v>0</v>
      </c>
    </row>
    <row r="2618" spans="1:4" x14ac:dyDescent="0.55000000000000004">
      <c r="A2618">
        <f t="shared" si="82"/>
        <v>2014</v>
      </c>
      <c r="B2618" s="821">
        <v>41866</v>
      </c>
      <c r="C2618">
        <v>3.13</v>
      </c>
      <c r="D2618">
        <f t="shared" si="83"/>
        <v>0</v>
      </c>
    </row>
    <row r="2619" spans="1:4" x14ac:dyDescent="0.55000000000000004">
      <c r="A2619">
        <f t="shared" si="82"/>
        <v>2014</v>
      </c>
      <c r="B2619" s="821">
        <v>41865</v>
      </c>
      <c r="C2619">
        <v>3.2</v>
      </c>
      <c r="D2619">
        <f t="shared" si="83"/>
        <v>0</v>
      </c>
    </row>
    <row r="2620" spans="1:4" x14ac:dyDescent="0.55000000000000004">
      <c r="A2620">
        <f t="shared" si="82"/>
        <v>2014</v>
      </c>
      <c r="B2620" s="821">
        <v>41864</v>
      </c>
      <c r="C2620">
        <v>3.24</v>
      </c>
      <c r="D2620">
        <f t="shared" si="83"/>
        <v>0</v>
      </c>
    </row>
    <row r="2621" spans="1:4" x14ac:dyDescent="0.55000000000000004">
      <c r="A2621">
        <f t="shared" si="82"/>
        <v>2014</v>
      </c>
      <c r="B2621" s="821">
        <v>41863</v>
      </c>
      <c r="C2621">
        <v>3.27</v>
      </c>
      <c r="D2621">
        <f t="shared" si="83"/>
        <v>0</v>
      </c>
    </row>
    <row r="2622" spans="1:4" x14ac:dyDescent="0.55000000000000004">
      <c r="A2622">
        <f t="shared" si="82"/>
        <v>2014</v>
      </c>
      <c r="B2622" s="821">
        <v>41862</v>
      </c>
      <c r="C2622">
        <v>3.24</v>
      </c>
      <c r="D2622">
        <f t="shared" si="83"/>
        <v>0</v>
      </c>
    </row>
    <row r="2623" spans="1:4" x14ac:dyDescent="0.55000000000000004">
      <c r="A2623">
        <f t="shared" si="82"/>
        <v>2014</v>
      </c>
      <c r="B2623" s="821">
        <v>41859</v>
      </c>
      <c r="C2623">
        <v>3.23</v>
      </c>
      <c r="D2623">
        <f t="shared" si="83"/>
        <v>0</v>
      </c>
    </row>
    <row r="2624" spans="1:4" x14ac:dyDescent="0.55000000000000004">
      <c r="A2624">
        <f t="shared" si="82"/>
        <v>2014</v>
      </c>
      <c r="B2624" s="821">
        <v>41858</v>
      </c>
      <c r="C2624">
        <v>3.23</v>
      </c>
      <c r="D2624">
        <f t="shared" si="83"/>
        <v>0</v>
      </c>
    </row>
    <row r="2625" spans="1:4" x14ac:dyDescent="0.55000000000000004">
      <c r="A2625">
        <f t="shared" si="82"/>
        <v>2014</v>
      </c>
      <c r="B2625" s="821">
        <v>41857</v>
      </c>
      <c r="C2625">
        <v>3.27</v>
      </c>
      <c r="D2625">
        <f t="shared" si="83"/>
        <v>0</v>
      </c>
    </row>
    <row r="2626" spans="1:4" x14ac:dyDescent="0.55000000000000004">
      <c r="A2626">
        <f t="shared" si="82"/>
        <v>2014</v>
      </c>
      <c r="B2626" s="821">
        <v>41856</v>
      </c>
      <c r="C2626">
        <v>3.28</v>
      </c>
      <c r="D2626">
        <f t="shared" si="83"/>
        <v>0</v>
      </c>
    </row>
    <row r="2627" spans="1:4" x14ac:dyDescent="0.55000000000000004">
      <c r="A2627">
        <f t="shared" si="82"/>
        <v>2014</v>
      </c>
      <c r="B2627" s="821">
        <v>41855</v>
      </c>
      <c r="C2627">
        <v>3.3</v>
      </c>
      <c r="D2627">
        <f t="shared" si="83"/>
        <v>0</v>
      </c>
    </row>
    <row r="2628" spans="1:4" x14ac:dyDescent="0.55000000000000004">
      <c r="A2628">
        <f t="shared" ref="A2628:A2691" si="84">YEAR(B2628)</f>
        <v>2014</v>
      </c>
      <c r="B2628" s="821">
        <v>41852</v>
      </c>
      <c r="C2628">
        <v>3.29</v>
      </c>
      <c r="D2628">
        <f t="shared" ref="D2628:D2691" si="85">IF(C2628&gt;4,1,0)</f>
        <v>0</v>
      </c>
    </row>
    <row r="2629" spans="1:4" x14ac:dyDescent="0.55000000000000004">
      <c r="A2629">
        <f t="shared" si="84"/>
        <v>2014</v>
      </c>
      <c r="B2629" s="821">
        <v>41851</v>
      </c>
      <c r="C2629">
        <v>3.32</v>
      </c>
      <c r="D2629">
        <f t="shared" si="85"/>
        <v>0</v>
      </c>
    </row>
    <row r="2630" spans="1:4" x14ac:dyDescent="0.55000000000000004">
      <c r="A2630">
        <f t="shared" si="84"/>
        <v>2014</v>
      </c>
      <c r="B2630" s="821">
        <v>41850</v>
      </c>
      <c r="C2630">
        <v>3.31</v>
      </c>
      <c r="D2630">
        <f t="shared" si="85"/>
        <v>0</v>
      </c>
    </row>
    <row r="2631" spans="1:4" x14ac:dyDescent="0.55000000000000004">
      <c r="A2631">
        <f t="shared" si="84"/>
        <v>2014</v>
      </c>
      <c r="B2631" s="821">
        <v>41849</v>
      </c>
      <c r="C2631">
        <v>3.22</v>
      </c>
      <c r="D2631">
        <f t="shared" si="85"/>
        <v>0</v>
      </c>
    </row>
    <row r="2632" spans="1:4" x14ac:dyDescent="0.55000000000000004">
      <c r="A2632">
        <f t="shared" si="84"/>
        <v>2014</v>
      </c>
      <c r="B2632" s="821">
        <v>41848</v>
      </c>
      <c r="C2632">
        <v>3.26</v>
      </c>
      <c r="D2632">
        <f t="shared" si="85"/>
        <v>0</v>
      </c>
    </row>
    <row r="2633" spans="1:4" x14ac:dyDescent="0.55000000000000004">
      <c r="A2633">
        <f t="shared" si="84"/>
        <v>2014</v>
      </c>
      <c r="B2633" s="821">
        <v>41845</v>
      </c>
      <c r="C2633">
        <v>3.24</v>
      </c>
      <c r="D2633">
        <f t="shared" si="85"/>
        <v>0</v>
      </c>
    </row>
    <row r="2634" spans="1:4" x14ac:dyDescent="0.55000000000000004">
      <c r="A2634">
        <f t="shared" si="84"/>
        <v>2014</v>
      </c>
      <c r="B2634" s="821">
        <v>41844</v>
      </c>
      <c r="C2634">
        <v>3.3</v>
      </c>
      <c r="D2634">
        <f t="shared" si="85"/>
        <v>0</v>
      </c>
    </row>
    <row r="2635" spans="1:4" x14ac:dyDescent="0.55000000000000004">
      <c r="A2635">
        <f t="shared" si="84"/>
        <v>2014</v>
      </c>
      <c r="B2635" s="821">
        <v>41843</v>
      </c>
      <c r="C2635">
        <v>3.26</v>
      </c>
      <c r="D2635">
        <f t="shared" si="85"/>
        <v>0</v>
      </c>
    </row>
    <row r="2636" spans="1:4" x14ac:dyDescent="0.55000000000000004">
      <c r="A2636">
        <f t="shared" si="84"/>
        <v>2014</v>
      </c>
      <c r="B2636" s="821">
        <v>41842</v>
      </c>
      <c r="C2636">
        <v>3.25</v>
      </c>
      <c r="D2636">
        <f t="shared" si="85"/>
        <v>0</v>
      </c>
    </row>
    <row r="2637" spans="1:4" x14ac:dyDescent="0.55000000000000004">
      <c r="A2637">
        <f t="shared" si="84"/>
        <v>2014</v>
      </c>
      <c r="B2637" s="821">
        <v>41841</v>
      </c>
      <c r="C2637">
        <v>3.26</v>
      </c>
      <c r="D2637">
        <f t="shared" si="85"/>
        <v>0</v>
      </c>
    </row>
    <row r="2638" spans="1:4" x14ac:dyDescent="0.55000000000000004">
      <c r="A2638">
        <f t="shared" si="84"/>
        <v>2014</v>
      </c>
      <c r="B2638" s="821">
        <v>41838</v>
      </c>
      <c r="C2638">
        <v>3.29</v>
      </c>
      <c r="D2638">
        <f t="shared" si="85"/>
        <v>0</v>
      </c>
    </row>
    <row r="2639" spans="1:4" x14ac:dyDescent="0.55000000000000004">
      <c r="A2639">
        <f t="shared" si="84"/>
        <v>2014</v>
      </c>
      <c r="B2639" s="821">
        <v>41837</v>
      </c>
      <c r="C2639">
        <v>3.27</v>
      </c>
      <c r="D2639">
        <f t="shared" si="85"/>
        <v>0</v>
      </c>
    </row>
    <row r="2640" spans="1:4" x14ac:dyDescent="0.55000000000000004">
      <c r="A2640">
        <f t="shared" si="84"/>
        <v>2014</v>
      </c>
      <c r="B2640" s="821">
        <v>41836</v>
      </c>
      <c r="C2640">
        <v>3.35</v>
      </c>
      <c r="D2640">
        <f t="shared" si="85"/>
        <v>0</v>
      </c>
    </row>
    <row r="2641" spans="1:4" x14ac:dyDescent="0.55000000000000004">
      <c r="A2641">
        <f t="shared" si="84"/>
        <v>2014</v>
      </c>
      <c r="B2641" s="821">
        <v>41835</v>
      </c>
      <c r="C2641">
        <v>3.37</v>
      </c>
      <c r="D2641">
        <f t="shared" si="85"/>
        <v>0</v>
      </c>
    </row>
    <row r="2642" spans="1:4" x14ac:dyDescent="0.55000000000000004">
      <c r="A2642">
        <f t="shared" si="84"/>
        <v>2014</v>
      </c>
      <c r="B2642" s="821">
        <v>41834</v>
      </c>
      <c r="C2642">
        <v>3.36</v>
      </c>
      <c r="D2642">
        <f t="shared" si="85"/>
        <v>0</v>
      </c>
    </row>
    <row r="2643" spans="1:4" x14ac:dyDescent="0.55000000000000004">
      <c r="A2643">
        <f t="shared" si="84"/>
        <v>2014</v>
      </c>
      <c r="B2643" s="821">
        <v>41831</v>
      </c>
      <c r="C2643">
        <v>3.34</v>
      </c>
      <c r="D2643">
        <f t="shared" si="85"/>
        <v>0</v>
      </c>
    </row>
    <row r="2644" spans="1:4" x14ac:dyDescent="0.55000000000000004">
      <c r="A2644">
        <f t="shared" si="84"/>
        <v>2014</v>
      </c>
      <c r="B2644" s="821">
        <v>41830</v>
      </c>
      <c r="C2644">
        <v>3.38</v>
      </c>
      <c r="D2644">
        <f t="shared" si="85"/>
        <v>0</v>
      </c>
    </row>
    <row r="2645" spans="1:4" x14ac:dyDescent="0.55000000000000004">
      <c r="A2645">
        <f t="shared" si="84"/>
        <v>2014</v>
      </c>
      <c r="B2645" s="821">
        <v>41829</v>
      </c>
      <c r="C2645">
        <v>3.37</v>
      </c>
      <c r="D2645">
        <f t="shared" si="85"/>
        <v>0</v>
      </c>
    </row>
    <row r="2646" spans="1:4" x14ac:dyDescent="0.55000000000000004">
      <c r="A2646">
        <f t="shared" si="84"/>
        <v>2014</v>
      </c>
      <c r="B2646" s="821">
        <v>41828</v>
      </c>
      <c r="C2646">
        <v>3.38</v>
      </c>
      <c r="D2646">
        <f t="shared" si="85"/>
        <v>0</v>
      </c>
    </row>
    <row r="2647" spans="1:4" x14ac:dyDescent="0.55000000000000004">
      <c r="A2647">
        <f t="shared" si="84"/>
        <v>2014</v>
      </c>
      <c r="B2647" s="821">
        <v>41827</v>
      </c>
      <c r="C2647">
        <v>3.44</v>
      </c>
      <c r="D2647">
        <f t="shared" si="85"/>
        <v>0</v>
      </c>
    </row>
    <row r="2648" spans="1:4" x14ac:dyDescent="0.55000000000000004">
      <c r="A2648">
        <f t="shared" si="84"/>
        <v>2014</v>
      </c>
      <c r="B2648" s="821">
        <v>41823</v>
      </c>
      <c r="C2648">
        <v>3.47</v>
      </c>
      <c r="D2648">
        <f t="shared" si="85"/>
        <v>0</v>
      </c>
    </row>
    <row r="2649" spans="1:4" x14ac:dyDescent="0.55000000000000004">
      <c r="A2649">
        <f t="shared" si="84"/>
        <v>2014</v>
      </c>
      <c r="B2649" s="821">
        <v>41822</v>
      </c>
      <c r="C2649">
        <v>3.46</v>
      </c>
      <c r="D2649">
        <f t="shared" si="85"/>
        <v>0</v>
      </c>
    </row>
    <row r="2650" spans="1:4" x14ac:dyDescent="0.55000000000000004">
      <c r="A2650">
        <f t="shared" si="84"/>
        <v>2014</v>
      </c>
      <c r="B2650" s="821">
        <v>41821</v>
      </c>
      <c r="C2650">
        <v>3.4</v>
      </c>
      <c r="D2650">
        <f t="shared" si="85"/>
        <v>0</v>
      </c>
    </row>
    <row r="2651" spans="1:4" x14ac:dyDescent="0.55000000000000004">
      <c r="A2651">
        <f t="shared" si="84"/>
        <v>2014</v>
      </c>
      <c r="B2651" s="821">
        <v>41820</v>
      </c>
      <c r="C2651">
        <v>3.34</v>
      </c>
      <c r="D2651">
        <f t="shared" si="85"/>
        <v>0</v>
      </c>
    </row>
    <row r="2652" spans="1:4" x14ac:dyDescent="0.55000000000000004">
      <c r="A2652">
        <f t="shared" si="84"/>
        <v>2014</v>
      </c>
      <c r="B2652" s="821">
        <v>41817</v>
      </c>
      <c r="C2652">
        <v>3.36</v>
      </c>
      <c r="D2652">
        <f t="shared" si="85"/>
        <v>0</v>
      </c>
    </row>
    <row r="2653" spans="1:4" x14ac:dyDescent="0.55000000000000004">
      <c r="A2653">
        <f t="shared" si="84"/>
        <v>2014</v>
      </c>
      <c r="B2653" s="821">
        <v>41816</v>
      </c>
      <c r="C2653">
        <v>3.35</v>
      </c>
      <c r="D2653">
        <f t="shared" si="85"/>
        <v>0</v>
      </c>
    </row>
    <row r="2654" spans="1:4" x14ac:dyDescent="0.55000000000000004">
      <c r="A2654">
        <f t="shared" si="84"/>
        <v>2014</v>
      </c>
      <c r="B2654" s="821">
        <v>41815</v>
      </c>
      <c r="C2654">
        <v>3.38</v>
      </c>
      <c r="D2654">
        <f t="shared" si="85"/>
        <v>0</v>
      </c>
    </row>
    <row r="2655" spans="1:4" x14ac:dyDescent="0.55000000000000004">
      <c r="A2655">
        <f t="shared" si="84"/>
        <v>2014</v>
      </c>
      <c r="B2655" s="821">
        <v>41814</v>
      </c>
      <c r="C2655">
        <v>3.41</v>
      </c>
      <c r="D2655">
        <f t="shared" si="85"/>
        <v>0</v>
      </c>
    </row>
    <row r="2656" spans="1:4" x14ac:dyDescent="0.55000000000000004">
      <c r="A2656">
        <f t="shared" si="84"/>
        <v>2014</v>
      </c>
      <c r="B2656" s="821">
        <v>41813</v>
      </c>
      <c r="C2656">
        <v>3.45</v>
      </c>
      <c r="D2656">
        <f t="shared" si="85"/>
        <v>0</v>
      </c>
    </row>
    <row r="2657" spans="1:4" x14ac:dyDescent="0.55000000000000004">
      <c r="A2657">
        <f t="shared" si="84"/>
        <v>2014</v>
      </c>
      <c r="B2657" s="821">
        <v>41810</v>
      </c>
      <c r="C2657">
        <v>3.44</v>
      </c>
      <c r="D2657">
        <f t="shared" si="85"/>
        <v>0</v>
      </c>
    </row>
    <row r="2658" spans="1:4" x14ac:dyDescent="0.55000000000000004">
      <c r="A2658">
        <f t="shared" si="84"/>
        <v>2014</v>
      </c>
      <c r="B2658" s="821">
        <v>41809</v>
      </c>
      <c r="C2658">
        <v>3.47</v>
      </c>
      <c r="D2658">
        <f t="shared" si="85"/>
        <v>0</v>
      </c>
    </row>
    <row r="2659" spans="1:4" x14ac:dyDescent="0.55000000000000004">
      <c r="A2659">
        <f t="shared" si="84"/>
        <v>2014</v>
      </c>
      <c r="B2659" s="821">
        <v>41808</v>
      </c>
      <c r="C2659">
        <v>3.43</v>
      </c>
      <c r="D2659">
        <f t="shared" si="85"/>
        <v>0</v>
      </c>
    </row>
    <row r="2660" spans="1:4" x14ac:dyDescent="0.55000000000000004">
      <c r="A2660">
        <f t="shared" si="84"/>
        <v>2014</v>
      </c>
      <c r="B2660" s="821">
        <v>41807</v>
      </c>
      <c r="C2660">
        <v>3.44</v>
      </c>
      <c r="D2660">
        <f t="shared" si="85"/>
        <v>0</v>
      </c>
    </row>
    <row r="2661" spans="1:4" x14ac:dyDescent="0.55000000000000004">
      <c r="A2661">
        <f t="shared" si="84"/>
        <v>2014</v>
      </c>
      <c r="B2661" s="821">
        <v>41806</v>
      </c>
      <c r="C2661">
        <v>3.4</v>
      </c>
      <c r="D2661">
        <f t="shared" si="85"/>
        <v>0</v>
      </c>
    </row>
    <row r="2662" spans="1:4" x14ac:dyDescent="0.55000000000000004">
      <c r="A2662">
        <f t="shared" si="84"/>
        <v>2014</v>
      </c>
      <c r="B2662" s="821">
        <v>41803</v>
      </c>
      <c r="C2662">
        <v>3.41</v>
      </c>
      <c r="D2662">
        <f t="shared" si="85"/>
        <v>0</v>
      </c>
    </row>
    <row r="2663" spans="1:4" x14ac:dyDescent="0.55000000000000004">
      <c r="A2663">
        <f t="shared" si="84"/>
        <v>2014</v>
      </c>
      <c r="B2663" s="821">
        <v>41802</v>
      </c>
      <c r="C2663">
        <v>3.41</v>
      </c>
      <c r="D2663">
        <f t="shared" si="85"/>
        <v>0</v>
      </c>
    </row>
    <row r="2664" spans="1:4" x14ac:dyDescent="0.55000000000000004">
      <c r="A2664">
        <f t="shared" si="84"/>
        <v>2014</v>
      </c>
      <c r="B2664" s="821">
        <v>41801</v>
      </c>
      <c r="C2664">
        <v>3.47</v>
      </c>
      <c r="D2664">
        <f t="shared" si="85"/>
        <v>0</v>
      </c>
    </row>
    <row r="2665" spans="1:4" x14ac:dyDescent="0.55000000000000004">
      <c r="A2665">
        <f t="shared" si="84"/>
        <v>2014</v>
      </c>
      <c r="B2665" s="821">
        <v>41800</v>
      </c>
      <c r="C2665">
        <v>3.47</v>
      </c>
      <c r="D2665">
        <f t="shared" si="85"/>
        <v>0</v>
      </c>
    </row>
    <row r="2666" spans="1:4" x14ac:dyDescent="0.55000000000000004">
      <c r="A2666">
        <f t="shared" si="84"/>
        <v>2014</v>
      </c>
      <c r="B2666" s="821">
        <v>41799</v>
      </c>
      <c r="C2666">
        <v>3.45</v>
      </c>
      <c r="D2666">
        <f t="shared" si="85"/>
        <v>0</v>
      </c>
    </row>
    <row r="2667" spans="1:4" x14ac:dyDescent="0.55000000000000004">
      <c r="A2667">
        <f t="shared" si="84"/>
        <v>2014</v>
      </c>
      <c r="B2667" s="821">
        <v>41796</v>
      </c>
      <c r="C2667">
        <v>3.44</v>
      </c>
      <c r="D2667">
        <f t="shared" si="85"/>
        <v>0</v>
      </c>
    </row>
    <row r="2668" spans="1:4" x14ac:dyDescent="0.55000000000000004">
      <c r="A2668">
        <f t="shared" si="84"/>
        <v>2014</v>
      </c>
      <c r="B2668" s="821">
        <v>41795</v>
      </c>
      <c r="C2668">
        <v>3.44</v>
      </c>
      <c r="D2668">
        <f t="shared" si="85"/>
        <v>0</v>
      </c>
    </row>
    <row r="2669" spans="1:4" x14ac:dyDescent="0.55000000000000004">
      <c r="A2669">
        <f t="shared" si="84"/>
        <v>2014</v>
      </c>
      <c r="B2669" s="821">
        <v>41794</v>
      </c>
      <c r="C2669">
        <v>3.45</v>
      </c>
      <c r="D2669">
        <f t="shared" si="85"/>
        <v>0</v>
      </c>
    </row>
    <row r="2670" spans="1:4" x14ac:dyDescent="0.55000000000000004">
      <c r="A2670">
        <f t="shared" si="84"/>
        <v>2014</v>
      </c>
      <c r="B2670" s="821">
        <v>41793</v>
      </c>
      <c r="C2670">
        <v>3.43</v>
      </c>
      <c r="D2670">
        <f t="shared" si="85"/>
        <v>0</v>
      </c>
    </row>
    <row r="2671" spans="1:4" x14ac:dyDescent="0.55000000000000004">
      <c r="A2671">
        <f t="shared" si="84"/>
        <v>2014</v>
      </c>
      <c r="B2671" s="821">
        <v>41792</v>
      </c>
      <c r="C2671">
        <v>3.38</v>
      </c>
      <c r="D2671">
        <f t="shared" si="85"/>
        <v>0</v>
      </c>
    </row>
    <row r="2672" spans="1:4" x14ac:dyDescent="0.55000000000000004">
      <c r="A2672">
        <f t="shared" si="84"/>
        <v>2014</v>
      </c>
      <c r="B2672" s="821">
        <v>41789</v>
      </c>
      <c r="C2672">
        <v>3.33</v>
      </c>
      <c r="D2672">
        <f t="shared" si="85"/>
        <v>0</v>
      </c>
    </row>
    <row r="2673" spans="1:4" x14ac:dyDescent="0.55000000000000004">
      <c r="A2673">
        <f t="shared" si="84"/>
        <v>2014</v>
      </c>
      <c r="B2673" s="821">
        <v>41788</v>
      </c>
      <c r="C2673">
        <v>3.31</v>
      </c>
      <c r="D2673">
        <f t="shared" si="85"/>
        <v>0</v>
      </c>
    </row>
    <row r="2674" spans="1:4" x14ac:dyDescent="0.55000000000000004">
      <c r="A2674">
        <f t="shared" si="84"/>
        <v>2014</v>
      </c>
      <c r="B2674" s="821">
        <v>41787</v>
      </c>
      <c r="C2674">
        <v>3.29</v>
      </c>
      <c r="D2674">
        <f t="shared" si="85"/>
        <v>0</v>
      </c>
    </row>
    <row r="2675" spans="1:4" x14ac:dyDescent="0.55000000000000004">
      <c r="A2675">
        <f t="shared" si="84"/>
        <v>2014</v>
      </c>
      <c r="B2675" s="821">
        <v>41786</v>
      </c>
      <c r="C2675">
        <v>3.37</v>
      </c>
      <c r="D2675">
        <f t="shared" si="85"/>
        <v>0</v>
      </c>
    </row>
    <row r="2676" spans="1:4" x14ac:dyDescent="0.55000000000000004">
      <c r="A2676">
        <f t="shared" si="84"/>
        <v>2014</v>
      </c>
      <c r="B2676" s="821">
        <v>41782</v>
      </c>
      <c r="C2676">
        <v>3.4</v>
      </c>
      <c r="D2676">
        <f t="shared" si="85"/>
        <v>0</v>
      </c>
    </row>
    <row r="2677" spans="1:4" x14ac:dyDescent="0.55000000000000004">
      <c r="A2677">
        <f t="shared" si="84"/>
        <v>2014</v>
      </c>
      <c r="B2677" s="821">
        <v>41781</v>
      </c>
      <c r="C2677">
        <v>3.43</v>
      </c>
      <c r="D2677">
        <f t="shared" si="85"/>
        <v>0</v>
      </c>
    </row>
    <row r="2678" spans="1:4" x14ac:dyDescent="0.55000000000000004">
      <c r="A2678">
        <f t="shared" si="84"/>
        <v>2014</v>
      </c>
      <c r="B2678" s="821">
        <v>41780</v>
      </c>
      <c r="C2678">
        <v>3.42</v>
      </c>
      <c r="D2678">
        <f t="shared" si="85"/>
        <v>0</v>
      </c>
    </row>
    <row r="2679" spans="1:4" x14ac:dyDescent="0.55000000000000004">
      <c r="A2679">
        <f t="shared" si="84"/>
        <v>2014</v>
      </c>
      <c r="B2679" s="821">
        <v>41779</v>
      </c>
      <c r="C2679">
        <v>3.38</v>
      </c>
      <c r="D2679">
        <f t="shared" si="85"/>
        <v>0</v>
      </c>
    </row>
    <row r="2680" spans="1:4" x14ac:dyDescent="0.55000000000000004">
      <c r="A2680">
        <f t="shared" si="84"/>
        <v>2014</v>
      </c>
      <c r="B2680" s="821">
        <v>41778</v>
      </c>
      <c r="C2680">
        <v>3.39</v>
      </c>
      <c r="D2680">
        <f t="shared" si="85"/>
        <v>0</v>
      </c>
    </row>
    <row r="2681" spans="1:4" x14ac:dyDescent="0.55000000000000004">
      <c r="A2681">
        <f t="shared" si="84"/>
        <v>2014</v>
      </c>
      <c r="B2681" s="821">
        <v>41775</v>
      </c>
      <c r="C2681">
        <v>3.34</v>
      </c>
      <c r="D2681">
        <f t="shared" si="85"/>
        <v>0</v>
      </c>
    </row>
    <row r="2682" spans="1:4" x14ac:dyDescent="0.55000000000000004">
      <c r="A2682">
        <f t="shared" si="84"/>
        <v>2014</v>
      </c>
      <c r="B2682" s="821">
        <v>41774</v>
      </c>
      <c r="C2682">
        <v>3.33</v>
      </c>
      <c r="D2682">
        <f t="shared" si="85"/>
        <v>0</v>
      </c>
    </row>
    <row r="2683" spans="1:4" x14ac:dyDescent="0.55000000000000004">
      <c r="A2683">
        <f t="shared" si="84"/>
        <v>2014</v>
      </c>
      <c r="B2683" s="821">
        <v>41773</v>
      </c>
      <c r="C2683">
        <v>3.37</v>
      </c>
      <c r="D2683">
        <f t="shared" si="85"/>
        <v>0</v>
      </c>
    </row>
    <row r="2684" spans="1:4" x14ac:dyDescent="0.55000000000000004">
      <c r="A2684">
        <f t="shared" si="84"/>
        <v>2014</v>
      </c>
      <c r="B2684" s="821">
        <v>41772</v>
      </c>
      <c r="C2684">
        <v>3.45</v>
      </c>
      <c r="D2684">
        <f t="shared" si="85"/>
        <v>0</v>
      </c>
    </row>
    <row r="2685" spans="1:4" x14ac:dyDescent="0.55000000000000004">
      <c r="A2685">
        <f t="shared" si="84"/>
        <v>2014</v>
      </c>
      <c r="B2685" s="821">
        <v>41771</v>
      </c>
      <c r="C2685">
        <v>3.49</v>
      </c>
      <c r="D2685">
        <f t="shared" si="85"/>
        <v>0</v>
      </c>
    </row>
    <row r="2686" spans="1:4" x14ac:dyDescent="0.55000000000000004">
      <c r="A2686">
        <f t="shared" si="84"/>
        <v>2014</v>
      </c>
      <c r="B2686" s="821">
        <v>41768</v>
      </c>
      <c r="C2686">
        <v>3.47</v>
      </c>
      <c r="D2686">
        <f t="shared" si="85"/>
        <v>0</v>
      </c>
    </row>
    <row r="2687" spans="1:4" x14ac:dyDescent="0.55000000000000004">
      <c r="A2687">
        <f t="shared" si="84"/>
        <v>2014</v>
      </c>
      <c r="B2687" s="821">
        <v>41767</v>
      </c>
      <c r="C2687">
        <v>3.45</v>
      </c>
      <c r="D2687">
        <f t="shared" si="85"/>
        <v>0</v>
      </c>
    </row>
    <row r="2688" spans="1:4" x14ac:dyDescent="0.55000000000000004">
      <c r="A2688">
        <f t="shared" si="84"/>
        <v>2014</v>
      </c>
      <c r="B2688" s="821">
        <v>41766</v>
      </c>
      <c r="C2688">
        <v>3.4</v>
      </c>
      <c r="D2688">
        <f t="shared" si="85"/>
        <v>0</v>
      </c>
    </row>
    <row r="2689" spans="1:4" x14ac:dyDescent="0.55000000000000004">
      <c r="A2689">
        <f t="shared" si="84"/>
        <v>2014</v>
      </c>
      <c r="B2689" s="821">
        <v>41765</v>
      </c>
      <c r="C2689">
        <v>3.38</v>
      </c>
      <c r="D2689">
        <f t="shared" si="85"/>
        <v>0</v>
      </c>
    </row>
    <row r="2690" spans="1:4" x14ac:dyDescent="0.55000000000000004">
      <c r="A2690">
        <f t="shared" si="84"/>
        <v>2014</v>
      </c>
      <c r="B2690" s="821">
        <v>41764</v>
      </c>
      <c r="C2690">
        <v>3.41</v>
      </c>
      <c r="D2690">
        <f t="shared" si="85"/>
        <v>0</v>
      </c>
    </row>
    <row r="2691" spans="1:4" x14ac:dyDescent="0.55000000000000004">
      <c r="A2691">
        <f t="shared" si="84"/>
        <v>2014</v>
      </c>
      <c r="B2691" s="821">
        <v>41761</v>
      </c>
      <c r="C2691">
        <v>3.37</v>
      </c>
      <c r="D2691">
        <f t="shared" si="85"/>
        <v>0</v>
      </c>
    </row>
    <row r="2692" spans="1:4" x14ac:dyDescent="0.55000000000000004">
      <c r="A2692">
        <f t="shared" ref="A2692:A2755" si="86">YEAR(B2692)</f>
        <v>2014</v>
      </c>
      <c r="B2692" s="821">
        <v>41760</v>
      </c>
      <c r="C2692">
        <v>3.41</v>
      </c>
      <c r="D2692">
        <f t="shared" ref="D2692:D2755" si="87">IF(C2692&gt;4,1,0)</f>
        <v>0</v>
      </c>
    </row>
    <row r="2693" spans="1:4" x14ac:dyDescent="0.55000000000000004">
      <c r="A2693">
        <f t="shared" si="86"/>
        <v>2014</v>
      </c>
      <c r="B2693" s="821">
        <v>41759</v>
      </c>
      <c r="C2693">
        <v>3.47</v>
      </c>
      <c r="D2693">
        <f t="shared" si="87"/>
        <v>0</v>
      </c>
    </row>
    <row r="2694" spans="1:4" x14ac:dyDescent="0.55000000000000004">
      <c r="A2694">
        <f t="shared" si="86"/>
        <v>2014</v>
      </c>
      <c r="B2694" s="821">
        <v>41758</v>
      </c>
      <c r="C2694">
        <v>3.49</v>
      </c>
      <c r="D2694">
        <f t="shared" si="87"/>
        <v>0</v>
      </c>
    </row>
    <row r="2695" spans="1:4" x14ac:dyDescent="0.55000000000000004">
      <c r="A2695">
        <f t="shared" si="86"/>
        <v>2014</v>
      </c>
      <c r="B2695" s="821">
        <v>41757</v>
      </c>
      <c r="C2695">
        <v>3.47</v>
      </c>
      <c r="D2695">
        <f t="shared" si="87"/>
        <v>0</v>
      </c>
    </row>
    <row r="2696" spans="1:4" x14ac:dyDescent="0.55000000000000004">
      <c r="A2696">
        <f t="shared" si="86"/>
        <v>2014</v>
      </c>
      <c r="B2696" s="821">
        <v>41754</v>
      </c>
      <c r="C2696">
        <v>3.45</v>
      </c>
      <c r="D2696">
        <f t="shared" si="87"/>
        <v>0</v>
      </c>
    </row>
    <row r="2697" spans="1:4" x14ac:dyDescent="0.55000000000000004">
      <c r="A2697">
        <f t="shared" si="86"/>
        <v>2014</v>
      </c>
      <c r="B2697" s="821">
        <v>41753</v>
      </c>
      <c r="C2697">
        <v>3.46</v>
      </c>
      <c r="D2697">
        <f t="shared" si="87"/>
        <v>0</v>
      </c>
    </row>
    <row r="2698" spans="1:4" x14ac:dyDescent="0.55000000000000004">
      <c r="A2698">
        <f t="shared" si="86"/>
        <v>2014</v>
      </c>
      <c r="B2698" s="821">
        <v>41752</v>
      </c>
      <c r="C2698">
        <v>3.47</v>
      </c>
      <c r="D2698">
        <f t="shared" si="87"/>
        <v>0</v>
      </c>
    </row>
    <row r="2699" spans="1:4" x14ac:dyDescent="0.55000000000000004">
      <c r="A2699">
        <f t="shared" si="86"/>
        <v>2014</v>
      </c>
      <c r="B2699" s="821">
        <v>41751</v>
      </c>
      <c r="C2699">
        <v>3.5</v>
      </c>
      <c r="D2699">
        <f t="shared" si="87"/>
        <v>0</v>
      </c>
    </row>
    <row r="2700" spans="1:4" x14ac:dyDescent="0.55000000000000004">
      <c r="A2700">
        <f t="shared" si="86"/>
        <v>2014</v>
      </c>
      <c r="B2700" s="821">
        <v>41750</v>
      </c>
      <c r="C2700">
        <v>3.52</v>
      </c>
      <c r="D2700">
        <f t="shared" si="87"/>
        <v>0</v>
      </c>
    </row>
    <row r="2701" spans="1:4" x14ac:dyDescent="0.55000000000000004">
      <c r="A2701">
        <f t="shared" si="86"/>
        <v>2014</v>
      </c>
      <c r="B2701" s="821">
        <v>41746</v>
      </c>
      <c r="C2701">
        <v>3.52</v>
      </c>
      <c r="D2701">
        <f t="shared" si="87"/>
        <v>0</v>
      </c>
    </row>
    <row r="2702" spans="1:4" x14ac:dyDescent="0.55000000000000004">
      <c r="A2702">
        <f t="shared" si="86"/>
        <v>2014</v>
      </c>
      <c r="B2702" s="821">
        <v>41745</v>
      </c>
      <c r="C2702">
        <v>3.45</v>
      </c>
      <c r="D2702">
        <f t="shared" si="87"/>
        <v>0</v>
      </c>
    </row>
    <row r="2703" spans="1:4" x14ac:dyDescent="0.55000000000000004">
      <c r="A2703">
        <f t="shared" si="86"/>
        <v>2014</v>
      </c>
      <c r="B2703" s="821">
        <v>41744</v>
      </c>
      <c r="C2703">
        <v>3.46</v>
      </c>
      <c r="D2703">
        <f t="shared" si="87"/>
        <v>0</v>
      </c>
    </row>
    <row r="2704" spans="1:4" x14ac:dyDescent="0.55000000000000004">
      <c r="A2704">
        <f t="shared" si="86"/>
        <v>2014</v>
      </c>
      <c r="B2704" s="821">
        <v>41743</v>
      </c>
      <c r="C2704">
        <v>3.48</v>
      </c>
      <c r="D2704">
        <f t="shared" si="87"/>
        <v>0</v>
      </c>
    </row>
    <row r="2705" spans="1:4" x14ac:dyDescent="0.55000000000000004">
      <c r="A2705">
        <f t="shared" si="86"/>
        <v>2014</v>
      </c>
      <c r="B2705" s="821">
        <v>41740</v>
      </c>
      <c r="C2705">
        <v>3.48</v>
      </c>
      <c r="D2705">
        <f t="shared" si="87"/>
        <v>0</v>
      </c>
    </row>
    <row r="2706" spans="1:4" x14ac:dyDescent="0.55000000000000004">
      <c r="A2706">
        <f t="shared" si="86"/>
        <v>2014</v>
      </c>
      <c r="B2706" s="821">
        <v>41739</v>
      </c>
      <c r="C2706">
        <v>3.52</v>
      </c>
      <c r="D2706">
        <f t="shared" si="87"/>
        <v>0</v>
      </c>
    </row>
    <row r="2707" spans="1:4" x14ac:dyDescent="0.55000000000000004">
      <c r="A2707">
        <f t="shared" si="86"/>
        <v>2014</v>
      </c>
      <c r="B2707" s="821">
        <v>41738</v>
      </c>
      <c r="C2707">
        <v>3.57</v>
      </c>
      <c r="D2707">
        <f t="shared" si="87"/>
        <v>0</v>
      </c>
    </row>
    <row r="2708" spans="1:4" x14ac:dyDescent="0.55000000000000004">
      <c r="A2708">
        <f t="shared" si="86"/>
        <v>2014</v>
      </c>
      <c r="B2708" s="821">
        <v>41737</v>
      </c>
      <c r="C2708">
        <v>3.54</v>
      </c>
      <c r="D2708">
        <f t="shared" si="87"/>
        <v>0</v>
      </c>
    </row>
    <row r="2709" spans="1:4" x14ac:dyDescent="0.55000000000000004">
      <c r="A2709">
        <f t="shared" si="86"/>
        <v>2014</v>
      </c>
      <c r="B2709" s="821">
        <v>41736</v>
      </c>
      <c r="C2709">
        <v>3.56</v>
      </c>
      <c r="D2709">
        <f t="shared" si="87"/>
        <v>0</v>
      </c>
    </row>
    <row r="2710" spans="1:4" x14ac:dyDescent="0.55000000000000004">
      <c r="A2710">
        <f t="shared" si="86"/>
        <v>2014</v>
      </c>
      <c r="B2710" s="821">
        <v>41733</v>
      </c>
      <c r="C2710">
        <v>3.59</v>
      </c>
      <c r="D2710">
        <f t="shared" si="87"/>
        <v>0</v>
      </c>
    </row>
    <row r="2711" spans="1:4" x14ac:dyDescent="0.55000000000000004">
      <c r="A2711">
        <f t="shared" si="86"/>
        <v>2014</v>
      </c>
      <c r="B2711" s="821">
        <v>41732</v>
      </c>
      <c r="C2711">
        <v>3.62</v>
      </c>
      <c r="D2711">
        <f t="shared" si="87"/>
        <v>0</v>
      </c>
    </row>
    <row r="2712" spans="1:4" x14ac:dyDescent="0.55000000000000004">
      <c r="A2712">
        <f t="shared" si="86"/>
        <v>2014</v>
      </c>
      <c r="B2712" s="821">
        <v>41731</v>
      </c>
      <c r="C2712">
        <v>3.65</v>
      </c>
      <c r="D2712">
        <f t="shared" si="87"/>
        <v>0</v>
      </c>
    </row>
    <row r="2713" spans="1:4" x14ac:dyDescent="0.55000000000000004">
      <c r="A2713">
        <f t="shared" si="86"/>
        <v>2014</v>
      </c>
      <c r="B2713" s="821">
        <v>41730</v>
      </c>
      <c r="C2713">
        <v>3.6</v>
      </c>
      <c r="D2713">
        <f t="shared" si="87"/>
        <v>0</v>
      </c>
    </row>
    <row r="2714" spans="1:4" x14ac:dyDescent="0.55000000000000004">
      <c r="A2714">
        <f t="shared" si="86"/>
        <v>2014</v>
      </c>
      <c r="B2714" s="821">
        <v>41729</v>
      </c>
      <c r="C2714">
        <v>3.56</v>
      </c>
      <c r="D2714">
        <f t="shared" si="87"/>
        <v>0</v>
      </c>
    </row>
    <row r="2715" spans="1:4" x14ac:dyDescent="0.55000000000000004">
      <c r="A2715">
        <f t="shared" si="86"/>
        <v>2014</v>
      </c>
      <c r="B2715" s="821">
        <v>41726</v>
      </c>
      <c r="C2715">
        <v>3.55</v>
      </c>
      <c r="D2715">
        <f t="shared" si="87"/>
        <v>0</v>
      </c>
    </row>
    <row r="2716" spans="1:4" x14ac:dyDescent="0.55000000000000004">
      <c r="A2716">
        <f t="shared" si="86"/>
        <v>2014</v>
      </c>
      <c r="B2716" s="821">
        <v>41725</v>
      </c>
      <c r="C2716">
        <v>3.52</v>
      </c>
      <c r="D2716">
        <f t="shared" si="87"/>
        <v>0</v>
      </c>
    </row>
    <row r="2717" spans="1:4" x14ac:dyDescent="0.55000000000000004">
      <c r="A2717">
        <f t="shared" si="86"/>
        <v>2014</v>
      </c>
      <c r="B2717" s="821">
        <v>41724</v>
      </c>
      <c r="C2717">
        <v>3.55</v>
      </c>
      <c r="D2717">
        <f t="shared" si="87"/>
        <v>0</v>
      </c>
    </row>
    <row r="2718" spans="1:4" x14ac:dyDescent="0.55000000000000004">
      <c r="A2718">
        <f t="shared" si="86"/>
        <v>2014</v>
      </c>
      <c r="B2718" s="821">
        <v>41723</v>
      </c>
      <c r="C2718">
        <v>3.59</v>
      </c>
      <c r="D2718">
        <f t="shared" si="87"/>
        <v>0</v>
      </c>
    </row>
    <row r="2719" spans="1:4" x14ac:dyDescent="0.55000000000000004">
      <c r="A2719">
        <f t="shared" si="86"/>
        <v>2014</v>
      </c>
      <c r="B2719" s="821">
        <v>41722</v>
      </c>
      <c r="C2719">
        <v>3.57</v>
      </c>
      <c r="D2719">
        <f t="shared" si="87"/>
        <v>0</v>
      </c>
    </row>
    <row r="2720" spans="1:4" x14ac:dyDescent="0.55000000000000004">
      <c r="A2720">
        <f t="shared" si="86"/>
        <v>2014</v>
      </c>
      <c r="B2720" s="821">
        <v>41719</v>
      </c>
      <c r="C2720">
        <v>3.61</v>
      </c>
      <c r="D2720">
        <f t="shared" si="87"/>
        <v>0</v>
      </c>
    </row>
    <row r="2721" spans="1:4" x14ac:dyDescent="0.55000000000000004">
      <c r="A2721">
        <f t="shared" si="86"/>
        <v>2014</v>
      </c>
      <c r="B2721" s="821">
        <v>41718</v>
      </c>
      <c r="C2721">
        <v>3.67</v>
      </c>
      <c r="D2721">
        <f t="shared" si="87"/>
        <v>0</v>
      </c>
    </row>
    <row r="2722" spans="1:4" x14ac:dyDescent="0.55000000000000004">
      <c r="A2722">
        <f t="shared" si="86"/>
        <v>2014</v>
      </c>
      <c r="B2722" s="821">
        <v>41717</v>
      </c>
      <c r="C2722">
        <v>3.66</v>
      </c>
      <c r="D2722">
        <f t="shared" si="87"/>
        <v>0</v>
      </c>
    </row>
    <row r="2723" spans="1:4" x14ac:dyDescent="0.55000000000000004">
      <c r="A2723">
        <f t="shared" si="86"/>
        <v>2014</v>
      </c>
      <c r="B2723" s="821">
        <v>41716</v>
      </c>
      <c r="C2723">
        <v>3.62</v>
      </c>
      <c r="D2723">
        <f t="shared" si="87"/>
        <v>0</v>
      </c>
    </row>
    <row r="2724" spans="1:4" x14ac:dyDescent="0.55000000000000004">
      <c r="A2724">
        <f t="shared" si="86"/>
        <v>2014</v>
      </c>
      <c r="B2724" s="821">
        <v>41715</v>
      </c>
      <c r="C2724">
        <v>3.63</v>
      </c>
      <c r="D2724">
        <f t="shared" si="87"/>
        <v>0</v>
      </c>
    </row>
    <row r="2725" spans="1:4" x14ac:dyDescent="0.55000000000000004">
      <c r="A2725">
        <f t="shared" si="86"/>
        <v>2014</v>
      </c>
      <c r="B2725" s="821">
        <v>41712</v>
      </c>
      <c r="C2725">
        <v>3.59</v>
      </c>
      <c r="D2725">
        <f t="shared" si="87"/>
        <v>0</v>
      </c>
    </row>
    <row r="2726" spans="1:4" x14ac:dyDescent="0.55000000000000004">
      <c r="A2726">
        <f t="shared" si="86"/>
        <v>2014</v>
      </c>
      <c r="B2726" s="821">
        <v>41711</v>
      </c>
      <c r="C2726">
        <v>3.6</v>
      </c>
      <c r="D2726">
        <f t="shared" si="87"/>
        <v>0</v>
      </c>
    </row>
    <row r="2727" spans="1:4" x14ac:dyDescent="0.55000000000000004">
      <c r="A2727">
        <f t="shared" si="86"/>
        <v>2014</v>
      </c>
      <c r="B2727" s="821">
        <v>41710</v>
      </c>
      <c r="C2727">
        <v>3.66</v>
      </c>
      <c r="D2727">
        <f t="shared" si="87"/>
        <v>0</v>
      </c>
    </row>
    <row r="2728" spans="1:4" x14ac:dyDescent="0.55000000000000004">
      <c r="A2728">
        <f t="shared" si="86"/>
        <v>2014</v>
      </c>
      <c r="B2728" s="821">
        <v>41709</v>
      </c>
      <c r="C2728">
        <v>3.7</v>
      </c>
      <c r="D2728">
        <f t="shared" si="87"/>
        <v>0</v>
      </c>
    </row>
    <row r="2729" spans="1:4" x14ac:dyDescent="0.55000000000000004">
      <c r="A2729">
        <f t="shared" si="86"/>
        <v>2014</v>
      </c>
      <c r="B2729" s="821">
        <v>41708</v>
      </c>
      <c r="C2729">
        <v>3.73</v>
      </c>
      <c r="D2729">
        <f t="shared" si="87"/>
        <v>0</v>
      </c>
    </row>
    <row r="2730" spans="1:4" x14ac:dyDescent="0.55000000000000004">
      <c r="A2730">
        <f t="shared" si="86"/>
        <v>2014</v>
      </c>
      <c r="B2730" s="821">
        <v>41705</v>
      </c>
      <c r="C2730">
        <v>3.72</v>
      </c>
      <c r="D2730">
        <f t="shared" si="87"/>
        <v>0</v>
      </c>
    </row>
    <row r="2731" spans="1:4" x14ac:dyDescent="0.55000000000000004">
      <c r="A2731">
        <f t="shared" si="86"/>
        <v>2014</v>
      </c>
      <c r="B2731" s="821">
        <v>41704</v>
      </c>
      <c r="C2731">
        <v>3.68</v>
      </c>
      <c r="D2731">
        <f t="shared" si="87"/>
        <v>0</v>
      </c>
    </row>
    <row r="2732" spans="1:4" x14ac:dyDescent="0.55000000000000004">
      <c r="A2732">
        <f t="shared" si="86"/>
        <v>2014</v>
      </c>
      <c r="B2732" s="821">
        <v>41703</v>
      </c>
      <c r="C2732">
        <v>3.64</v>
      </c>
      <c r="D2732">
        <f t="shared" si="87"/>
        <v>0</v>
      </c>
    </row>
    <row r="2733" spans="1:4" x14ac:dyDescent="0.55000000000000004">
      <c r="A2733">
        <f t="shared" si="86"/>
        <v>2014</v>
      </c>
      <c r="B2733" s="821">
        <v>41702</v>
      </c>
      <c r="C2733">
        <v>3.64</v>
      </c>
      <c r="D2733">
        <f t="shared" si="87"/>
        <v>0</v>
      </c>
    </row>
    <row r="2734" spans="1:4" x14ac:dyDescent="0.55000000000000004">
      <c r="A2734">
        <f t="shared" si="86"/>
        <v>2014</v>
      </c>
      <c r="B2734" s="821">
        <v>41701</v>
      </c>
      <c r="C2734">
        <v>3.55</v>
      </c>
      <c r="D2734">
        <f t="shared" si="87"/>
        <v>0</v>
      </c>
    </row>
    <row r="2735" spans="1:4" x14ac:dyDescent="0.55000000000000004">
      <c r="A2735">
        <f t="shared" si="86"/>
        <v>2014</v>
      </c>
      <c r="B2735" s="821">
        <v>41698</v>
      </c>
      <c r="C2735">
        <v>3.59</v>
      </c>
      <c r="D2735">
        <f t="shared" si="87"/>
        <v>0</v>
      </c>
    </row>
    <row r="2736" spans="1:4" x14ac:dyDescent="0.55000000000000004">
      <c r="A2736">
        <f t="shared" si="86"/>
        <v>2014</v>
      </c>
      <c r="B2736" s="821">
        <v>41697</v>
      </c>
      <c r="C2736">
        <v>3.6</v>
      </c>
      <c r="D2736">
        <f t="shared" si="87"/>
        <v>0</v>
      </c>
    </row>
    <row r="2737" spans="1:4" x14ac:dyDescent="0.55000000000000004">
      <c r="A2737">
        <f t="shared" si="86"/>
        <v>2014</v>
      </c>
      <c r="B2737" s="821">
        <v>41696</v>
      </c>
      <c r="C2737">
        <v>3.63</v>
      </c>
      <c r="D2737">
        <f t="shared" si="87"/>
        <v>0</v>
      </c>
    </row>
    <row r="2738" spans="1:4" x14ac:dyDescent="0.55000000000000004">
      <c r="A2738">
        <f t="shared" si="86"/>
        <v>2014</v>
      </c>
      <c r="B2738" s="821">
        <v>41695</v>
      </c>
      <c r="C2738">
        <v>3.66</v>
      </c>
      <c r="D2738">
        <f t="shared" si="87"/>
        <v>0</v>
      </c>
    </row>
    <row r="2739" spans="1:4" x14ac:dyDescent="0.55000000000000004">
      <c r="A2739">
        <f t="shared" si="86"/>
        <v>2014</v>
      </c>
      <c r="B2739" s="821">
        <v>41694</v>
      </c>
      <c r="C2739">
        <v>3.7</v>
      </c>
      <c r="D2739">
        <f t="shared" si="87"/>
        <v>0</v>
      </c>
    </row>
    <row r="2740" spans="1:4" x14ac:dyDescent="0.55000000000000004">
      <c r="A2740">
        <f t="shared" si="86"/>
        <v>2014</v>
      </c>
      <c r="B2740" s="821">
        <v>41691</v>
      </c>
      <c r="C2740">
        <v>3.69</v>
      </c>
      <c r="D2740">
        <f t="shared" si="87"/>
        <v>0</v>
      </c>
    </row>
    <row r="2741" spans="1:4" x14ac:dyDescent="0.55000000000000004">
      <c r="A2741">
        <f t="shared" si="86"/>
        <v>2014</v>
      </c>
      <c r="B2741" s="821">
        <v>41690</v>
      </c>
      <c r="C2741">
        <v>3.73</v>
      </c>
      <c r="D2741">
        <f t="shared" si="87"/>
        <v>0</v>
      </c>
    </row>
    <row r="2742" spans="1:4" x14ac:dyDescent="0.55000000000000004">
      <c r="A2742">
        <f t="shared" si="86"/>
        <v>2014</v>
      </c>
      <c r="B2742" s="821">
        <v>41689</v>
      </c>
      <c r="C2742">
        <v>3.71</v>
      </c>
      <c r="D2742">
        <f t="shared" si="87"/>
        <v>0</v>
      </c>
    </row>
    <row r="2743" spans="1:4" x14ac:dyDescent="0.55000000000000004">
      <c r="A2743">
        <f t="shared" si="86"/>
        <v>2014</v>
      </c>
      <c r="B2743" s="821">
        <v>41688</v>
      </c>
      <c r="C2743">
        <v>3.68</v>
      </c>
      <c r="D2743">
        <f t="shared" si="87"/>
        <v>0</v>
      </c>
    </row>
    <row r="2744" spans="1:4" x14ac:dyDescent="0.55000000000000004">
      <c r="A2744">
        <f t="shared" si="86"/>
        <v>2014</v>
      </c>
      <c r="B2744" s="821">
        <v>41684</v>
      </c>
      <c r="C2744">
        <v>3.69</v>
      </c>
      <c r="D2744">
        <f t="shared" si="87"/>
        <v>0</v>
      </c>
    </row>
    <row r="2745" spans="1:4" x14ac:dyDescent="0.55000000000000004">
      <c r="A2745">
        <f t="shared" si="86"/>
        <v>2014</v>
      </c>
      <c r="B2745" s="821">
        <v>41683</v>
      </c>
      <c r="C2745">
        <v>3.7</v>
      </c>
      <c r="D2745">
        <f t="shared" si="87"/>
        <v>0</v>
      </c>
    </row>
    <row r="2746" spans="1:4" x14ac:dyDescent="0.55000000000000004">
      <c r="A2746">
        <f t="shared" si="86"/>
        <v>2014</v>
      </c>
      <c r="B2746" s="821">
        <v>41682</v>
      </c>
      <c r="C2746">
        <v>3.72</v>
      </c>
      <c r="D2746">
        <f t="shared" si="87"/>
        <v>0</v>
      </c>
    </row>
    <row r="2747" spans="1:4" x14ac:dyDescent="0.55000000000000004">
      <c r="A2747">
        <f t="shared" si="86"/>
        <v>2014</v>
      </c>
      <c r="B2747" s="821">
        <v>41681</v>
      </c>
      <c r="C2747">
        <v>3.69</v>
      </c>
      <c r="D2747">
        <f t="shared" si="87"/>
        <v>0</v>
      </c>
    </row>
    <row r="2748" spans="1:4" x14ac:dyDescent="0.55000000000000004">
      <c r="A2748">
        <f t="shared" si="86"/>
        <v>2014</v>
      </c>
      <c r="B2748" s="821">
        <v>41680</v>
      </c>
      <c r="C2748">
        <v>3.66</v>
      </c>
      <c r="D2748">
        <f t="shared" si="87"/>
        <v>0</v>
      </c>
    </row>
    <row r="2749" spans="1:4" x14ac:dyDescent="0.55000000000000004">
      <c r="A2749">
        <f t="shared" si="86"/>
        <v>2014</v>
      </c>
      <c r="B2749" s="821">
        <v>41677</v>
      </c>
      <c r="C2749">
        <v>3.67</v>
      </c>
      <c r="D2749">
        <f t="shared" si="87"/>
        <v>0</v>
      </c>
    </row>
    <row r="2750" spans="1:4" x14ac:dyDescent="0.55000000000000004">
      <c r="A2750">
        <f t="shared" si="86"/>
        <v>2014</v>
      </c>
      <c r="B2750" s="821">
        <v>41676</v>
      </c>
      <c r="C2750">
        <v>3.67</v>
      </c>
      <c r="D2750">
        <f t="shared" si="87"/>
        <v>0</v>
      </c>
    </row>
    <row r="2751" spans="1:4" x14ac:dyDescent="0.55000000000000004">
      <c r="A2751">
        <f t="shared" si="86"/>
        <v>2014</v>
      </c>
      <c r="B2751" s="821">
        <v>41675</v>
      </c>
      <c r="C2751">
        <v>3.66</v>
      </c>
      <c r="D2751">
        <f t="shared" si="87"/>
        <v>0</v>
      </c>
    </row>
    <row r="2752" spans="1:4" x14ac:dyDescent="0.55000000000000004">
      <c r="A2752">
        <f t="shared" si="86"/>
        <v>2014</v>
      </c>
      <c r="B2752" s="821">
        <v>41674</v>
      </c>
      <c r="C2752">
        <v>3.59</v>
      </c>
      <c r="D2752">
        <f t="shared" si="87"/>
        <v>0</v>
      </c>
    </row>
    <row r="2753" spans="1:4" x14ac:dyDescent="0.55000000000000004">
      <c r="A2753">
        <f t="shared" si="86"/>
        <v>2014</v>
      </c>
      <c r="B2753" s="821">
        <v>41673</v>
      </c>
      <c r="C2753">
        <v>3.55</v>
      </c>
      <c r="D2753">
        <f t="shared" si="87"/>
        <v>0</v>
      </c>
    </row>
    <row r="2754" spans="1:4" x14ac:dyDescent="0.55000000000000004">
      <c r="A2754">
        <f t="shared" si="86"/>
        <v>2014</v>
      </c>
      <c r="B2754" s="821">
        <v>41670</v>
      </c>
      <c r="C2754">
        <v>3.61</v>
      </c>
      <c r="D2754">
        <f t="shared" si="87"/>
        <v>0</v>
      </c>
    </row>
    <row r="2755" spans="1:4" x14ac:dyDescent="0.55000000000000004">
      <c r="A2755">
        <f t="shared" si="86"/>
        <v>2014</v>
      </c>
      <c r="B2755" s="821">
        <v>41669</v>
      </c>
      <c r="C2755">
        <v>3.65</v>
      </c>
      <c r="D2755">
        <f t="shared" si="87"/>
        <v>0</v>
      </c>
    </row>
    <row r="2756" spans="1:4" x14ac:dyDescent="0.55000000000000004">
      <c r="A2756">
        <f t="shared" ref="A2756:A2819" si="88">YEAR(B2756)</f>
        <v>2014</v>
      </c>
      <c r="B2756" s="821">
        <v>41668</v>
      </c>
      <c r="C2756">
        <v>3.62</v>
      </c>
      <c r="D2756">
        <f t="shared" ref="D2756:D2819" si="89">IF(C2756&gt;4,1,0)</f>
        <v>0</v>
      </c>
    </row>
    <row r="2757" spans="1:4" x14ac:dyDescent="0.55000000000000004">
      <c r="A2757">
        <f t="shared" si="88"/>
        <v>2014</v>
      </c>
      <c r="B2757" s="821">
        <v>41667</v>
      </c>
      <c r="C2757">
        <v>3.68</v>
      </c>
      <c r="D2757">
        <f t="shared" si="89"/>
        <v>0</v>
      </c>
    </row>
    <row r="2758" spans="1:4" x14ac:dyDescent="0.55000000000000004">
      <c r="A2758">
        <f t="shared" si="88"/>
        <v>2014</v>
      </c>
      <c r="B2758" s="821">
        <v>41666</v>
      </c>
      <c r="C2758">
        <v>3.67</v>
      </c>
      <c r="D2758">
        <f t="shared" si="89"/>
        <v>0</v>
      </c>
    </row>
    <row r="2759" spans="1:4" x14ac:dyDescent="0.55000000000000004">
      <c r="A2759">
        <f t="shared" si="88"/>
        <v>2014</v>
      </c>
      <c r="B2759" s="821">
        <v>41663</v>
      </c>
      <c r="C2759">
        <v>3.64</v>
      </c>
      <c r="D2759">
        <f t="shared" si="89"/>
        <v>0</v>
      </c>
    </row>
    <row r="2760" spans="1:4" x14ac:dyDescent="0.55000000000000004">
      <c r="A2760">
        <f t="shared" si="88"/>
        <v>2014</v>
      </c>
      <c r="B2760" s="821">
        <v>41662</v>
      </c>
      <c r="C2760">
        <v>3.68</v>
      </c>
      <c r="D2760">
        <f t="shared" si="89"/>
        <v>0</v>
      </c>
    </row>
    <row r="2761" spans="1:4" x14ac:dyDescent="0.55000000000000004">
      <c r="A2761">
        <f t="shared" si="88"/>
        <v>2014</v>
      </c>
      <c r="B2761" s="821">
        <v>41661</v>
      </c>
      <c r="C2761">
        <v>3.75</v>
      </c>
      <c r="D2761">
        <f t="shared" si="89"/>
        <v>0</v>
      </c>
    </row>
    <row r="2762" spans="1:4" x14ac:dyDescent="0.55000000000000004">
      <c r="A2762">
        <f t="shared" si="88"/>
        <v>2014</v>
      </c>
      <c r="B2762" s="821">
        <v>41660</v>
      </c>
      <c r="C2762">
        <v>3.74</v>
      </c>
      <c r="D2762">
        <f t="shared" si="89"/>
        <v>0</v>
      </c>
    </row>
    <row r="2763" spans="1:4" x14ac:dyDescent="0.55000000000000004">
      <c r="A2763">
        <f t="shared" si="88"/>
        <v>2014</v>
      </c>
      <c r="B2763" s="821">
        <v>41656</v>
      </c>
      <c r="C2763">
        <v>3.75</v>
      </c>
      <c r="D2763">
        <f t="shared" si="89"/>
        <v>0</v>
      </c>
    </row>
    <row r="2764" spans="1:4" x14ac:dyDescent="0.55000000000000004">
      <c r="A2764">
        <f t="shared" si="88"/>
        <v>2014</v>
      </c>
      <c r="B2764" s="821">
        <v>41655</v>
      </c>
      <c r="C2764">
        <v>3.77</v>
      </c>
      <c r="D2764">
        <f t="shared" si="89"/>
        <v>0</v>
      </c>
    </row>
    <row r="2765" spans="1:4" x14ac:dyDescent="0.55000000000000004">
      <c r="A2765">
        <f t="shared" si="88"/>
        <v>2014</v>
      </c>
      <c r="B2765" s="821">
        <v>41654</v>
      </c>
      <c r="C2765">
        <v>3.81</v>
      </c>
      <c r="D2765">
        <f t="shared" si="89"/>
        <v>0</v>
      </c>
    </row>
    <row r="2766" spans="1:4" x14ac:dyDescent="0.55000000000000004">
      <c r="A2766">
        <f t="shared" si="88"/>
        <v>2014</v>
      </c>
      <c r="B2766" s="821">
        <v>41653</v>
      </c>
      <c r="C2766">
        <v>3.8</v>
      </c>
      <c r="D2766">
        <f t="shared" si="89"/>
        <v>0</v>
      </c>
    </row>
    <row r="2767" spans="1:4" x14ac:dyDescent="0.55000000000000004">
      <c r="A2767">
        <f t="shared" si="88"/>
        <v>2014</v>
      </c>
      <c r="B2767" s="821">
        <v>41652</v>
      </c>
      <c r="C2767">
        <v>3.77</v>
      </c>
      <c r="D2767">
        <f t="shared" si="89"/>
        <v>0</v>
      </c>
    </row>
    <row r="2768" spans="1:4" x14ac:dyDescent="0.55000000000000004">
      <c r="A2768">
        <f t="shared" si="88"/>
        <v>2014</v>
      </c>
      <c r="B2768" s="821">
        <v>41649</v>
      </c>
      <c r="C2768">
        <v>3.8</v>
      </c>
      <c r="D2768">
        <f t="shared" si="89"/>
        <v>0</v>
      </c>
    </row>
    <row r="2769" spans="1:4" x14ac:dyDescent="0.55000000000000004">
      <c r="A2769">
        <f t="shared" si="88"/>
        <v>2014</v>
      </c>
      <c r="B2769" s="821">
        <v>41648</v>
      </c>
      <c r="C2769">
        <v>3.88</v>
      </c>
      <c r="D2769">
        <f t="shared" si="89"/>
        <v>0</v>
      </c>
    </row>
    <row r="2770" spans="1:4" x14ac:dyDescent="0.55000000000000004">
      <c r="A2770">
        <f t="shared" si="88"/>
        <v>2014</v>
      </c>
      <c r="B2770" s="821">
        <v>41647</v>
      </c>
      <c r="C2770">
        <v>3.9</v>
      </c>
      <c r="D2770">
        <f t="shared" si="89"/>
        <v>0</v>
      </c>
    </row>
    <row r="2771" spans="1:4" x14ac:dyDescent="0.55000000000000004">
      <c r="A2771">
        <f t="shared" si="88"/>
        <v>2014</v>
      </c>
      <c r="B2771" s="821">
        <v>41646</v>
      </c>
      <c r="C2771">
        <v>3.88</v>
      </c>
      <c r="D2771">
        <f t="shared" si="89"/>
        <v>0</v>
      </c>
    </row>
    <row r="2772" spans="1:4" x14ac:dyDescent="0.55000000000000004">
      <c r="A2772">
        <f t="shared" si="88"/>
        <v>2014</v>
      </c>
      <c r="B2772" s="821">
        <v>41645</v>
      </c>
      <c r="C2772">
        <v>3.9</v>
      </c>
      <c r="D2772">
        <f t="shared" si="89"/>
        <v>0</v>
      </c>
    </row>
    <row r="2773" spans="1:4" x14ac:dyDescent="0.55000000000000004">
      <c r="A2773">
        <f t="shared" si="88"/>
        <v>2014</v>
      </c>
      <c r="B2773" s="821">
        <v>41642</v>
      </c>
      <c r="C2773">
        <v>3.93</v>
      </c>
      <c r="D2773">
        <f t="shared" si="89"/>
        <v>0</v>
      </c>
    </row>
    <row r="2774" spans="1:4" x14ac:dyDescent="0.55000000000000004">
      <c r="A2774">
        <f t="shared" si="88"/>
        <v>2014</v>
      </c>
      <c r="B2774" s="821">
        <v>41641</v>
      </c>
      <c r="C2774">
        <v>3.92</v>
      </c>
      <c r="D2774">
        <f t="shared" si="89"/>
        <v>0</v>
      </c>
    </row>
    <row r="2775" spans="1:4" x14ac:dyDescent="0.55000000000000004">
      <c r="A2775">
        <f t="shared" si="88"/>
        <v>2013</v>
      </c>
      <c r="B2775" s="821">
        <v>41639</v>
      </c>
      <c r="C2775">
        <v>3.96</v>
      </c>
      <c r="D2775">
        <f t="shared" si="89"/>
        <v>0</v>
      </c>
    </row>
    <row r="2776" spans="1:4" x14ac:dyDescent="0.55000000000000004">
      <c r="A2776">
        <f t="shared" si="88"/>
        <v>2013</v>
      </c>
      <c r="B2776" s="821">
        <v>41638</v>
      </c>
      <c r="C2776">
        <v>3.9</v>
      </c>
      <c r="D2776">
        <f t="shared" si="89"/>
        <v>0</v>
      </c>
    </row>
    <row r="2777" spans="1:4" x14ac:dyDescent="0.55000000000000004">
      <c r="A2777">
        <f t="shared" si="88"/>
        <v>2013</v>
      </c>
      <c r="B2777" s="821">
        <v>41635</v>
      </c>
      <c r="C2777">
        <v>3.94</v>
      </c>
      <c r="D2777">
        <f t="shared" si="89"/>
        <v>0</v>
      </c>
    </row>
    <row r="2778" spans="1:4" x14ac:dyDescent="0.55000000000000004">
      <c r="A2778">
        <f t="shared" si="88"/>
        <v>2013</v>
      </c>
      <c r="B2778" s="821">
        <v>41634</v>
      </c>
      <c r="C2778">
        <v>3.92</v>
      </c>
      <c r="D2778">
        <f t="shared" si="89"/>
        <v>0</v>
      </c>
    </row>
    <row r="2779" spans="1:4" x14ac:dyDescent="0.55000000000000004">
      <c r="A2779">
        <f t="shared" si="88"/>
        <v>2013</v>
      </c>
      <c r="B2779" s="821">
        <v>41632</v>
      </c>
      <c r="C2779">
        <v>3.9</v>
      </c>
      <c r="D2779">
        <f t="shared" si="89"/>
        <v>0</v>
      </c>
    </row>
    <row r="2780" spans="1:4" x14ac:dyDescent="0.55000000000000004">
      <c r="A2780">
        <f t="shared" si="88"/>
        <v>2013</v>
      </c>
      <c r="B2780" s="821">
        <v>41631</v>
      </c>
      <c r="C2780">
        <v>3.85</v>
      </c>
      <c r="D2780">
        <f t="shared" si="89"/>
        <v>0</v>
      </c>
    </row>
    <row r="2781" spans="1:4" x14ac:dyDescent="0.55000000000000004">
      <c r="A2781">
        <f t="shared" si="88"/>
        <v>2013</v>
      </c>
      <c r="B2781" s="821">
        <v>41628</v>
      </c>
      <c r="C2781">
        <v>3.82</v>
      </c>
      <c r="D2781">
        <f t="shared" si="89"/>
        <v>0</v>
      </c>
    </row>
    <row r="2782" spans="1:4" x14ac:dyDescent="0.55000000000000004">
      <c r="A2782">
        <f t="shared" si="88"/>
        <v>2013</v>
      </c>
      <c r="B2782" s="821">
        <v>41627</v>
      </c>
      <c r="C2782">
        <v>3.91</v>
      </c>
      <c r="D2782">
        <f t="shared" si="89"/>
        <v>0</v>
      </c>
    </row>
    <row r="2783" spans="1:4" x14ac:dyDescent="0.55000000000000004">
      <c r="A2783">
        <f t="shared" si="88"/>
        <v>2013</v>
      </c>
      <c r="B2783" s="821">
        <v>41626</v>
      </c>
      <c r="C2783">
        <v>3.9</v>
      </c>
      <c r="D2783">
        <f t="shared" si="89"/>
        <v>0</v>
      </c>
    </row>
    <row r="2784" spans="1:4" x14ac:dyDescent="0.55000000000000004">
      <c r="A2784">
        <f t="shared" si="88"/>
        <v>2013</v>
      </c>
      <c r="B2784" s="821">
        <v>41625</v>
      </c>
      <c r="C2784">
        <v>3.88</v>
      </c>
      <c r="D2784">
        <f t="shared" si="89"/>
        <v>0</v>
      </c>
    </row>
    <row r="2785" spans="1:4" x14ac:dyDescent="0.55000000000000004">
      <c r="A2785">
        <f t="shared" si="88"/>
        <v>2013</v>
      </c>
      <c r="B2785" s="821">
        <v>41624</v>
      </c>
      <c r="C2785">
        <v>3.9</v>
      </c>
      <c r="D2785">
        <f t="shared" si="89"/>
        <v>0</v>
      </c>
    </row>
    <row r="2786" spans="1:4" x14ac:dyDescent="0.55000000000000004">
      <c r="A2786">
        <f t="shared" si="88"/>
        <v>2013</v>
      </c>
      <c r="B2786" s="821">
        <v>41621</v>
      </c>
      <c r="C2786">
        <v>3.88</v>
      </c>
      <c r="D2786">
        <f t="shared" si="89"/>
        <v>0</v>
      </c>
    </row>
    <row r="2787" spans="1:4" x14ac:dyDescent="0.55000000000000004">
      <c r="A2787">
        <f t="shared" si="88"/>
        <v>2013</v>
      </c>
      <c r="B2787" s="821">
        <v>41620</v>
      </c>
      <c r="C2787">
        <v>3.91</v>
      </c>
      <c r="D2787">
        <f t="shared" si="89"/>
        <v>0</v>
      </c>
    </row>
    <row r="2788" spans="1:4" x14ac:dyDescent="0.55000000000000004">
      <c r="A2788">
        <f t="shared" si="88"/>
        <v>2013</v>
      </c>
      <c r="B2788" s="821">
        <v>41619</v>
      </c>
      <c r="C2788">
        <v>3.87</v>
      </c>
      <c r="D2788">
        <f t="shared" si="89"/>
        <v>0</v>
      </c>
    </row>
    <row r="2789" spans="1:4" x14ac:dyDescent="0.55000000000000004">
      <c r="A2789">
        <f t="shared" si="88"/>
        <v>2013</v>
      </c>
      <c r="B2789" s="821">
        <v>41618</v>
      </c>
      <c r="C2789">
        <v>3.83</v>
      </c>
      <c r="D2789">
        <f t="shared" si="89"/>
        <v>0</v>
      </c>
    </row>
    <row r="2790" spans="1:4" x14ac:dyDescent="0.55000000000000004">
      <c r="A2790">
        <f t="shared" si="88"/>
        <v>2013</v>
      </c>
      <c r="B2790" s="821">
        <v>41617</v>
      </c>
      <c r="C2790">
        <v>3.88</v>
      </c>
      <c r="D2790">
        <f t="shared" si="89"/>
        <v>0</v>
      </c>
    </row>
    <row r="2791" spans="1:4" x14ac:dyDescent="0.55000000000000004">
      <c r="A2791">
        <f t="shared" si="88"/>
        <v>2013</v>
      </c>
      <c r="B2791" s="821">
        <v>41614</v>
      </c>
      <c r="C2791">
        <v>3.9</v>
      </c>
      <c r="D2791">
        <f t="shared" si="89"/>
        <v>0</v>
      </c>
    </row>
    <row r="2792" spans="1:4" x14ac:dyDescent="0.55000000000000004">
      <c r="A2792">
        <f t="shared" si="88"/>
        <v>2013</v>
      </c>
      <c r="B2792" s="821">
        <v>41613</v>
      </c>
      <c r="C2792">
        <v>3.92</v>
      </c>
      <c r="D2792">
        <f t="shared" si="89"/>
        <v>0</v>
      </c>
    </row>
    <row r="2793" spans="1:4" x14ac:dyDescent="0.55000000000000004">
      <c r="A2793">
        <f t="shared" si="88"/>
        <v>2013</v>
      </c>
      <c r="B2793" s="821">
        <v>41612</v>
      </c>
      <c r="C2793">
        <v>3.9</v>
      </c>
      <c r="D2793">
        <f t="shared" si="89"/>
        <v>0</v>
      </c>
    </row>
    <row r="2794" spans="1:4" x14ac:dyDescent="0.55000000000000004">
      <c r="A2794">
        <f t="shared" si="88"/>
        <v>2013</v>
      </c>
      <c r="B2794" s="821">
        <v>41611</v>
      </c>
      <c r="C2794">
        <v>3.84</v>
      </c>
      <c r="D2794">
        <f t="shared" si="89"/>
        <v>0</v>
      </c>
    </row>
    <row r="2795" spans="1:4" x14ac:dyDescent="0.55000000000000004">
      <c r="A2795">
        <f t="shared" si="88"/>
        <v>2013</v>
      </c>
      <c r="B2795" s="821">
        <v>41610</v>
      </c>
      <c r="C2795">
        <v>3.86</v>
      </c>
      <c r="D2795">
        <f t="shared" si="89"/>
        <v>0</v>
      </c>
    </row>
    <row r="2796" spans="1:4" x14ac:dyDescent="0.55000000000000004">
      <c r="A2796">
        <f t="shared" si="88"/>
        <v>2013</v>
      </c>
      <c r="B2796" s="821">
        <v>41607</v>
      </c>
      <c r="C2796">
        <v>3.82</v>
      </c>
      <c r="D2796">
        <f t="shared" si="89"/>
        <v>0</v>
      </c>
    </row>
    <row r="2797" spans="1:4" x14ac:dyDescent="0.55000000000000004">
      <c r="A2797">
        <f t="shared" si="88"/>
        <v>2013</v>
      </c>
      <c r="B2797" s="821">
        <v>41605</v>
      </c>
      <c r="C2797">
        <v>3.81</v>
      </c>
      <c r="D2797">
        <f t="shared" si="89"/>
        <v>0</v>
      </c>
    </row>
    <row r="2798" spans="1:4" x14ac:dyDescent="0.55000000000000004">
      <c r="A2798">
        <f t="shared" si="88"/>
        <v>2013</v>
      </c>
      <c r="B2798" s="821">
        <v>41604</v>
      </c>
      <c r="C2798">
        <v>3.8</v>
      </c>
      <c r="D2798">
        <f t="shared" si="89"/>
        <v>0</v>
      </c>
    </row>
    <row r="2799" spans="1:4" x14ac:dyDescent="0.55000000000000004">
      <c r="A2799">
        <f t="shared" si="88"/>
        <v>2013</v>
      </c>
      <c r="B2799" s="821">
        <v>41603</v>
      </c>
      <c r="C2799">
        <v>3.83</v>
      </c>
      <c r="D2799">
        <f t="shared" si="89"/>
        <v>0</v>
      </c>
    </row>
    <row r="2800" spans="1:4" x14ac:dyDescent="0.55000000000000004">
      <c r="A2800">
        <f t="shared" si="88"/>
        <v>2013</v>
      </c>
      <c r="B2800" s="821">
        <v>41600</v>
      </c>
      <c r="C2800">
        <v>3.84</v>
      </c>
      <c r="D2800">
        <f t="shared" si="89"/>
        <v>0</v>
      </c>
    </row>
    <row r="2801" spans="1:4" x14ac:dyDescent="0.55000000000000004">
      <c r="A2801">
        <f t="shared" si="88"/>
        <v>2013</v>
      </c>
      <c r="B2801" s="821">
        <v>41599</v>
      </c>
      <c r="C2801">
        <v>3.89</v>
      </c>
      <c r="D2801">
        <f t="shared" si="89"/>
        <v>0</v>
      </c>
    </row>
    <row r="2802" spans="1:4" x14ac:dyDescent="0.55000000000000004">
      <c r="A2802">
        <f t="shared" si="88"/>
        <v>2013</v>
      </c>
      <c r="B2802" s="821">
        <v>41598</v>
      </c>
      <c r="C2802">
        <v>3.9</v>
      </c>
      <c r="D2802">
        <f t="shared" si="89"/>
        <v>0</v>
      </c>
    </row>
    <row r="2803" spans="1:4" x14ac:dyDescent="0.55000000000000004">
      <c r="A2803">
        <f t="shared" si="88"/>
        <v>2013</v>
      </c>
      <c r="B2803" s="821">
        <v>41597</v>
      </c>
      <c r="C2803">
        <v>3.8</v>
      </c>
      <c r="D2803">
        <f t="shared" si="89"/>
        <v>0</v>
      </c>
    </row>
    <row r="2804" spans="1:4" x14ac:dyDescent="0.55000000000000004">
      <c r="A2804">
        <f t="shared" si="88"/>
        <v>2013</v>
      </c>
      <c r="B2804" s="821">
        <v>41596</v>
      </c>
      <c r="C2804">
        <v>3.76</v>
      </c>
      <c r="D2804">
        <f t="shared" si="89"/>
        <v>0</v>
      </c>
    </row>
    <row r="2805" spans="1:4" x14ac:dyDescent="0.55000000000000004">
      <c r="A2805">
        <f t="shared" si="88"/>
        <v>2013</v>
      </c>
      <c r="B2805" s="821">
        <v>41593</v>
      </c>
      <c r="C2805">
        <v>3.8</v>
      </c>
      <c r="D2805">
        <f t="shared" si="89"/>
        <v>0</v>
      </c>
    </row>
    <row r="2806" spans="1:4" x14ac:dyDescent="0.55000000000000004">
      <c r="A2806">
        <f t="shared" si="88"/>
        <v>2013</v>
      </c>
      <c r="B2806" s="821">
        <v>41592</v>
      </c>
      <c r="C2806">
        <v>3.79</v>
      </c>
      <c r="D2806">
        <f t="shared" si="89"/>
        <v>0</v>
      </c>
    </row>
    <row r="2807" spans="1:4" x14ac:dyDescent="0.55000000000000004">
      <c r="A2807">
        <f t="shared" si="88"/>
        <v>2013</v>
      </c>
      <c r="B2807" s="821">
        <v>41591</v>
      </c>
      <c r="C2807">
        <v>3.83</v>
      </c>
      <c r="D2807">
        <f t="shared" si="89"/>
        <v>0</v>
      </c>
    </row>
    <row r="2808" spans="1:4" x14ac:dyDescent="0.55000000000000004">
      <c r="A2808">
        <f t="shared" si="88"/>
        <v>2013</v>
      </c>
      <c r="B2808" s="821">
        <v>41590</v>
      </c>
      <c r="C2808">
        <v>3.86</v>
      </c>
      <c r="D2808">
        <f t="shared" si="89"/>
        <v>0</v>
      </c>
    </row>
    <row r="2809" spans="1:4" x14ac:dyDescent="0.55000000000000004">
      <c r="A2809">
        <f t="shared" si="88"/>
        <v>2013</v>
      </c>
      <c r="B2809" s="821">
        <v>41586</v>
      </c>
      <c r="C2809">
        <v>3.84</v>
      </c>
      <c r="D2809">
        <f t="shared" si="89"/>
        <v>0</v>
      </c>
    </row>
    <row r="2810" spans="1:4" x14ac:dyDescent="0.55000000000000004">
      <c r="A2810">
        <f t="shared" si="88"/>
        <v>2013</v>
      </c>
      <c r="B2810" s="821">
        <v>41585</v>
      </c>
      <c r="C2810">
        <v>3.71</v>
      </c>
      <c r="D2810">
        <f t="shared" si="89"/>
        <v>0</v>
      </c>
    </row>
    <row r="2811" spans="1:4" x14ac:dyDescent="0.55000000000000004">
      <c r="A2811">
        <f t="shared" si="88"/>
        <v>2013</v>
      </c>
      <c r="B2811" s="821">
        <v>41584</v>
      </c>
      <c r="C2811">
        <v>3.77</v>
      </c>
      <c r="D2811">
        <f t="shared" si="89"/>
        <v>0</v>
      </c>
    </row>
    <row r="2812" spans="1:4" x14ac:dyDescent="0.55000000000000004">
      <c r="A2812">
        <f t="shared" si="88"/>
        <v>2013</v>
      </c>
      <c r="B2812" s="821">
        <v>41583</v>
      </c>
      <c r="C2812">
        <v>3.76</v>
      </c>
      <c r="D2812">
        <f t="shared" si="89"/>
        <v>0</v>
      </c>
    </row>
    <row r="2813" spans="1:4" x14ac:dyDescent="0.55000000000000004">
      <c r="A2813">
        <f t="shared" si="88"/>
        <v>2013</v>
      </c>
      <c r="B2813" s="821">
        <v>41582</v>
      </c>
      <c r="C2813">
        <v>3.7</v>
      </c>
      <c r="D2813">
        <f t="shared" si="89"/>
        <v>0</v>
      </c>
    </row>
    <row r="2814" spans="1:4" x14ac:dyDescent="0.55000000000000004">
      <c r="A2814">
        <f t="shared" si="88"/>
        <v>2013</v>
      </c>
      <c r="B2814" s="821">
        <v>41579</v>
      </c>
      <c r="C2814">
        <v>3.69</v>
      </c>
      <c r="D2814">
        <f t="shared" si="89"/>
        <v>0</v>
      </c>
    </row>
    <row r="2815" spans="1:4" x14ac:dyDescent="0.55000000000000004">
      <c r="A2815">
        <f t="shared" si="88"/>
        <v>2013</v>
      </c>
      <c r="B2815" s="821">
        <v>41578</v>
      </c>
      <c r="C2815">
        <v>3.63</v>
      </c>
      <c r="D2815">
        <f t="shared" si="89"/>
        <v>0</v>
      </c>
    </row>
    <row r="2816" spans="1:4" x14ac:dyDescent="0.55000000000000004">
      <c r="A2816">
        <f t="shared" si="88"/>
        <v>2013</v>
      </c>
      <c r="B2816" s="821">
        <v>41577</v>
      </c>
      <c r="C2816">
        <v>3.63</v>
      </c>
      <c r="D2816">
        <f t="shared" si="89"/>
        <v>0</v>
      </c>
    </row>
    <row r="2817" spans="1:4" x14ac:dyDescent="0.55000000000000004">
      <c r="A2817">
        <f t="shared" si="88"/>
        <v>2013</v>
      </c>
      <c r="B2817" s="821">
        <v>41576</v>
      </c>
      <c r="C2817">
        <v>3.62</v>
      </c>
      <c r="D2817">
        <f t="shared" si="89"/>
        <v>0</v>
      </c>
    </row>
    <row r="2818" spans="1:4" x14ac:dyDescent="0.55000000000000004">
      <c r="A2818">
        <f t="shared" si="88"/>
        <v>2013</v>
      </c>
      <c r="B2818" s="821">
        <v>41575</v>
      </c>
      <c r="C2818">
        <v>3.61</v>
      </c>
      <c r="D2818">
        <f t="shared" si="89"/>
        <v>0</v>
      </c>
    </row>
    <row r="2819" spans="1:4" x14ac:dyDescent="0.55000000000000004">
      <c r="A2819">
        <f t="shared" si="88"/>
        <v>2013</v>
      </c>
      <c r="B2819" s="821">
        <v>41572</v>
      </c>
      <c r="C2819">
        <v>3.6</v>
      </c>
      <c r="D2819">
        <f t="shared" si="89"/>
        <v>0</v>
      </c>
    </row>
    <row r="2820" spans="1:4" x14ac:dyDescent="0.55000000000000004">
      <c r="A2820">
        <f t="shared" ref="A2820:A2883" si="90">YEAR(B2820)</f>
        <v>2013</v>
      </c>
      <c r="B2820" s="821">
        <v>41571</v>
      </c>
      <c r="C2820">
        <v>3.61</v>
      </c>
      <c r="D2820">
        <f t="shared" ref="D2820:D2883" si="91">IF(C2820&gt;4,1,0)</f>
        <v>0</v>
      </c>
    </row>
    <row r="2821" spans="1:4" x14ac:dyDescent="0.55000000000000004">
      <c r="A2821">
        <f t="shared" si="90"/>
        <v>2013</v>
      </c>
      <c r="B2821" s="821">
        <v>41570</v>
      </c>
      <c r="C2821">
        <v>3.59</v>
      </c>
      <c r="D2821">
        <f t="shared" si="91"/>
        <v>0</v>
      </c>
    </row>
    <row r="2822" spans="1:4" x14ac:dyDescent="0.55000000000000004">
      <c r="A2822">
        <f t="shared" si="90"/>
        <v>2013</v>
      </c>
      <c r="B2822" s="821">
        <v>41569</v>
      </c>
      <c r="C2822">
        <v>3.61</v>
      </c>
      <c r="D2822">
        <f t="shared" si="91"/>
        <v>0</v>
      </c>
    </row>
    <row r="2823" spans="1:4" x14ac:dyDescent="0.55000000000000004">
      <c r="A2823">
        <f t="shared" si="90"/>
        <v>2013</v>
      </c>
      <c r="B2823" s="821">
        <v>41568</v>
      </c>
      <c r="C2823">
        <v>3.68</v>
      </c>
      <c r="D2823">
        <f t="shared" si="91"/>
        <v>0</v>
      </c>
    </row>
    <row r="2824" spans="1:4" x14ac:dyDescent="0.55000000000000004">
      <c r="A2824">
        <f t="shared" si="90"/>
        <v>2013</v>
      </c>
      <c r="B2824" s="821">
        <v>41565</v>
      </c>
      <c r="C2824">
        <v>3.65</v>
      </c>
      <c r="D2824">
        <f t="shared" si="91"/>
        <v>0</v>
      </c>
    </row>
    <row r="2825" spans="1:4" x14ac:dyDescent="0.55000000000000004">
      <c r="A2825">
        <f t="shared" si="90"/>
        <v>2013</v>
      </c>
      <c r="B2825" s="821">
        <v>41564</v>
      </c>
      <c r="C2825">
        <v>3.66</v>
      </c>
      <c r="D2825">
        <f t="shared" si="91"/>
        <v>0</v>
      </c>
    </row>
    <row r="2826" spans="1:4" x14ac:dyDescent="0.55000000000000004">
      <c r="A2826">
        <f t="shared" si="90"/>
        <v>2013</v>
      </c>
      <c r="B2826" s="821">
        <v>41563</v>
      </c>
      <c r="C2826">
        <v>3.72</v>
      </c>
      <c r="D2826">
        <f t="shared" si="91"/>
        <v>0</v>
      </c>
    </row>
    <row r="2827" spans="1:4" x14ac:dyDescent="0.55000000000000004">
      <c r="A2827">
        <f t="shared" si="90"/>
        <v>2013</v>
      </c>
      <c r="B2827" s="821">
        <v>41562</v>
      </c>
      <c r="C2827">
        <v>3.78</v>
      </c>
      <c r="D2827">
        <f t="shared" si="91"/>
        <v>0</v>
      </c>
    </row>
    <row r="2828" spans="1:4" x14ac:dyDescent="0.55000000000000004">
      <c r="A2828">
        <f t="shared" si="90"/>
        <v>2013</v>
      </c>
      <c r="B2828" s="821">
        <v>41558</v>
      </c>
      <c r="C2828">
        <v>3.74</v>
      </c>
      <c r="D2828">
        <f t="shared" si="91"/>
        <v>0</v>
      </c>
    </row>
    <row r="2829" spans="1:4" x14ac:dyDescent="0.55000000000000004">
      <c r="A2829">
        <f t="shared" si="90"/>
        <v>2013</v>
      </c>
      <c r="B2829" s="821">
        <v>41557</v>
      </c>
      <c r="C2829">
        <v>3.75</v>
      </c>
      <c r="D2829">
        <f t="shared" si="91"/>
        <v>0</v>
      </c>
    </row>
    <row r="2830" spans="1:4" x14ac:dyDescent="0.55000000000000004">
      <c r="A2830">
        <f t="shared" si="90"/>
        <v>2013</v>
      </c>
      <c r="B2830" s="821">
        <v>41556</v>
      </c>
      <c r="C2830">
        <v>3.73</v>
      </c>
      <c r="D2830">
        <f t="shared" si="91"/>
        <v>0</v>
      </c>
    </row>
    <row r="2831" spans="1:4" x14ac:dyDescent="0.55000000000000004">
      <c r="A2831">
        <f t="shared" si="90"/>
        <v>2013</v>
      </c>
      <c r="B2831" s="821">
        <v>41555</v>
      </c>
      <c r="C2831">
        <v>3.7</v>
      </c>
      <c r="D2831">
        <f t="shared" si="91"/>
        <v>0</v>
      </c>
    </row>
    <row r="2832" spans="1:4" x14ac:dyDescent="0.55000000000000004">
      <c r="A2832">
        <f t="shared" si="90"/>
        <v>2013</v>
      </c>
      <c r="B2832" s="821">
        <v>41554</v>
      </c>
      <c r="C2832">
        <v>3.7</v>
      </c>
      <c r="D2832">
        <f t="shared" si="91"/>
        <v>0</v>
      </c>
    </row>
    <row r="2833" spans="1:4" x14ac:dyDescent="0.55000000000000004">
      <c r="A2833">
        <f t="shared" si="90"/>
        <v>2013</v>
      </c>
      <c r="B2833" s="821">
        <v>41551</v>
      </c>
      <c r="C2833">
        <v>3.73</v>
      </c>
      <c r="D2833">
        <f t="shared" si="91"/>
        <v>0</v>
      </c>
    </row>
    <row r="2834" spans="1:4" x14ac:dyDescent="0.55000000000000004">
      <c r="A2834">
        <f t="shared" si="90"/>
        <v>2013</v>
      </c>
      <c r="B2834" s="821">
        <v>41550</v>
      </c>
      <c r="C2834">
        <v>3.71</v>
      </c>
      <c r="D2834">
        <f t="shared" si="91"/>
        <v>0</v>
      </c>
    </row>
    <row r="2835" spans="1:4" x14ac:dyDescent="0.55000000000000004">
      <c r="A2835">
        <f t="shared" si="90"/>
        <v>2013</v>
      </c>
      <c r="B2835" s="821">
        <v>41549</v>
      </c>
      <c r="C2835">
        <v>3.7</v>
      </c>
      <c r="D2835">
        <f t="shared" si="91"/>
        <v>0</v>
      </c>
    </row>
    <row r="2836" spans="1:4" x14ac:dyDescent="0.55000000000000004">
      <c r="A2836">
        <f t="shared" si="90"/>
        <v>2013</v>
      </c>
      <c r="B2836" s="821">
        <v>41548</v>
      </c>
      <c r="C2836">
        <v>3.72</v>
      </c>
      <c r="D2836">
        <f t="shared" si="91"/>
        <v>0</v>
      </c>
    </row>
    <row r="2837" spans="1:4" x14ac:dyDescent="0.55000000000000004">
      <c r="A2837">
        <f t="shared" si="90"/>
        <v>2013</v>
      </c>
      <c r="B2837" s="821">
        <v>41547</v>
      </c>
      <c r="C2837">
        <v>3.69</v>
      </c>
      <c r="D2837">
        <f t="shared" si="91"/>
        <v>0</v>
      </c>
    </row>
    <row r="2838" spans="1:4" x14ac:dyDescent="0.55000000000000004">
      <c r="A2838">
        <f t="shared" si="90"/>
        <v>2013</v>
      </c>
      <c r="B2838" s="821">
        <v>41544</v>
      </c>
      <c r="C2838">
        <v>3.68</v>
      </c>
      <c r="D2838">
        <f t="shared" si="91"/>
        <v>0</v>
      </c>
    </row>
    <row r="2839" spans="1:4" x14ac:dyDescent="0.55000000000000004">
      <c r="A2839">
        <f t="shared" si="90"/>
        <v>2013</v>
      </c>
      <c r="B2839" s="821">
        <v>41543</v>
      </c>
      <c r="C2839">
        <v>3.69</v>
      </c>
      <c r="D2839">
        <f t="shared" si="91"/>
        <v>0</v>
      </c>
    </row>
    <row r="2840" spans="1:4" x14ac:dyDescent="0.55000000000000004">
      <c r="A2840">
        <f t="shared" si="90"/>
        <v>2013</v>
      </c>
      <c r="B2840" s="821">
        <v>41542</v>
      </c>
      <c r="C2840">
        <v>3.65</v>
      </c>
      <c r="D2840">
        <f t="shared" si="91"/>
        <v>0</v>
      </c>
    </row>
    <row r="2841" spans="1:4" x14ac:dyDescent="0.55000000000000004">
      <c r="A2841">
        <f t="shared" si="90"/>
        <v>2013</v>
      </c>
      <c r="B2841" s="821">
        <v>41541</v>
      </c>
      <c r="C2841">
        <v>3.67</v>
      </c>
      <c r="D2841">
        <f t="shared" si="91"/>
        <v>0</v>
      </c>
    </row>
    <row r="2842" spans="1:4" x14ac:dyDescent="0.55000000000000004">
      <c r="A2842">
        <f t="shared" si="90"/>
        <v>2013</v>
      </c>
      <c r="B2842" s="821">
        <v>41540</v>
      </c>
      <c r="C2842">
        <v>3.73</v>
      </c>
      <c r="D2842">
        <f t="shared" si="91"/>
        <v>0</v>
      </c>
    </row>
    <row r="2843" spans="1:4" x14ac:dyDescent="0.55000000000000004">
      <c r="A2843">
        <f t="shared" si="90"/>
        <v>2013</v>
      </c>
      <c r="B2843" s="821">
        <v>41537</v>
      </c>
      <c r="C2843">
        <v>3.77</v>
      </c>
      <c r="D2843">
        <f t="shared" si="91"/>
        <v>0</v>
      </c>
    </row>
    <row r="2844" spans="1:4" x14ac:dyDescent="0.55000000000000004">
      <c r="A2844">
        <f t="shared" si="90"/>
        <v>2013</v>
      </c>
      <c r="B2844" s="821">
        <v>41536</v>
      </c>
      <c r="C2844">
        <v>3.8</v>
      </c>
      <c r="D2844">
        <f t="shared" si="91"/>
        <v>0</v>
      </c>
    </row>
    <row r="2845" spans="1:4" x14ac:dyDescent="0.55000000000000004">
      <c r="A2845">
        <f t="shared" si="90"/>
        <v>2013</v>
      </c>
      <c r="B2845" s="821">
        <v>41535</v>
      </c>
      <c r="C2845">
        <v>3.75</v>
      </c>
      <c r="D2845">
        <f t="shared" si="91"/>
        <v>0</v>
      </c>
    </row>
    <row r="2846" spans="1:4" x14ac:dyDescent="0.55000000000000004">
      <c r="A2846">
        <f t="shared" si="90"/>
        <v>2013</v>
      </c>
      <c r="B2846" s="821">
        <v>41534</v>
      </c>
      <c r="C2846">
        <v>3.84</v>
      </c>
      <c r="D2846">
        <f t="shared" si="91"/>
        <v>0</v>
      </c>
    </row>
    <row r="2847" spans="1:4" x14ac:dyDescent="0.55000000000000004">
      <c r="A2847">
        <f t="shared" si="90"/>
        <v>2013</v>
      </c>
      <c r="B2847" s="821">
        <v>41533</v>
      </c>
      <c r="C2847">
        <v>3.87</v>
      </c>
      <c r="D2847">
        <f t="shared" si="91"/>
        <v>0</v>
      </c>
    </row>
    <row r="2848" spans="1:4" x14ac:dyDescent="0.55000000000000004">
      <c r="A2848">
        <f t="shared" si="90"/>
        <v>2013</v>
      </c>
      <c r="B2848" s="821">
        <v>41530</v>
      </c>
      <c r="C2848">
        <v>3.84</v>
      </c>
      <c r="D2848">
        <f t="shared" si="91"/>
        <v>0</v>
      </c>
    </row>
    <row r="2849" spans="1:4" x14ac:dyDescent="0.55000000000000004">
      <c r="A2849">
        <f t="shared" si="90"/>
        <v>2013</v>
      </c>
      <c r="B2849" s="821">
        <v>41529</v>
      </c>
      <c r="C2849">
        <v>3.85</v>
      </c>
      <c r="D2849">
        <f t="shared" si="91"/>
        <v>0</v>
      </c>
    </row>
    <row r="2850" spans="1:4" x14ac:dyDescent="0.55000000000000004">
      <c r="A2850">
        <f t="shared" si="90"/>
        <v>2013</v>
      </c>
      <c r="B2850" s="821">
        <v>41528</v>
      </c>
      <c r="C2850">
        <v>3.85</v>
      </c>
      <c r="D2850">
        <f t="shared" si="91"/>
        <v>0</v>
      </c>
    </row>
    <row r="2851" spans="1:4" x14ac:dyDescent="0.55000000000000004">
      <c r="A2851">
        <f t="shared" si="90"/>
        <v>2013</v>
      </c>
      <c r="B2851" s="821">
        <v>41527</v>
      </c>
      <c r="C2851">
        <v>3.88</v>
      </c>
      <c r="D2851">
        <f t="shared" si="91"/>
        <v>0</v>
      </c>
    </row>
    <row r="2852" spans="1:4" x14ac:dyDescent="0.55000000000000004">
      <c r="A2852">
        <f t="shared" si="90"/>
        <v>2013</v>
      </c>
      <c r="B2852" s="821">
        <v>41526</v>
      </c>
      <c r="C2852">
        <v>3.84</v>
      </c>
      <c r="D2852">
        <f t="shared" si="91"/>
        <v>0</v>
      </c>
    </row>
    <row r="2853" spans="1:4" x14ac:dyDescent="0.55000000000000004">
      <c r="A2853">
        <f t="shared" si="90"/>
        <v>2013</v>
      </c>
      <c r="B2853" s="821">
        <v>41523</v>
      </c>
      <c r="C2853">
        <v>3.87</v>
      </c>
      <c r="D2853">
        <f t="shared" si="91"/>
        <v>0</v>
      </c>
    </row>
    <row r="2854" spans="1:4" x14ac:dyDescent="0.55000000000000004">
      <c r="A2854">
        <f t="shared" si="90"/>
        <v>2013</v>
      </c>
      <c r="B2854" s="821">
        <v>41522</v>
      </c>
      <c r="C2854">
        <v>3.88</v>
      </c>
      <c r="D2854">
        <f t="shared" si="91"/>
        <v>0</v>
      </c>
    </row>
    <row r="2855" spans="1:4" x14ac:dyDescent="0.55000000000000004">
      <c r="A2855">
        <f t="shared" si="90"/>
        <v>2013</v>
      </c>
      <c r="B2855" s="821">
        <v>41521</v>
      </c>
      <c r="C2855">
        <v>3.8</v>
      </c>
      <c r="D2855">
        <f t="shared" si="91"/>
        <v>0</v>
      </c>
    </row>
    <row r="2856" spans="1:4" x14ac:dyDescent="0.55000000000000004">
      <c r="A2856">
        <f t="shared" si="90"/>
        <v>2013</v>
      </c>
      <c r="B2856" s="821">
        <v>41520</v>
      </c>
      <c r="C2856">
        <v>3.79</v>
      </c>
      <c r="D2856">
        <f t="shared" si="91"/>
        <v>0</v>
      </c>
    </row>
    <row r="2857" spans="1:4" x14ac:dyDescent="0.55000000000000004">
      <c r="A2857">
        <f t="shared" si="90"/>
        <v>2013</v>
      </c>
      <c r="B2857" s="821">
        <v>41516</v>
      </c>
      <c r="C2857">
        <v>3.7</v>
      </c>
      <c r="D2857">
        <f t="shared" si="91"/>
        <v>0</v>
      </c>
    </row>
    <row r="2858" spans="1:4" x14ac:dyDescent="0.55000000000000004">
      <c r="A2858">
        <f t="shared" si="90"/>
        <v>2013</v>
      </c>
      <c r="B2858" s="821">
        <v>41515</v>
      </c>
      <c r="C2858">
        <v>3.7</v>
      </c>
      <c r="D2858">
        <f t="shared" si="91"/>
        <v>0</v>
      </c>
    </row>
    <row r="2859" spans="1:4" x14ac:dyDescent="0.55000000000000004">
      <c r="A2859">
        <f t="shared" si="90"/>
        <v>2013</v>
      </c>
      <c r="B2859" s="821">
        <v>41514</v>
      </c>
      <c r="C2859">
        <v>3.75</v>
      </c>
      <c r="D2859">
        <f t="shared" si="91"/>
        <v>0</v>
      </c>
    </row>
    <row r="2860" spans="1:4" x14ac:dyDescent="0.55000000000000004">
      <c r="A2860">
        <f t="shared" si="90"/>
        <v>2013</v>
      </c>
      <c r="B2860" s="821">
        <v>41513</v>
      </c>
      <c r="C2860">
        <v>3.7</v>
      </c>
      <c r="D2860">
        <f t="shared" si="91"/>
        <v>0</v>
      </c>
    </row>
    <row r="2861" spans="1:4" x14ac:dyDescent="0.55000000000000004">
      <c r="A2861">
        <f t="shared" si="90"/>
        <v>2013</v>
      </c>
      <c r="B2861" s="821">
        <v>41512</v>
      </c>
      <c r="C2861">
        <v>3.77</v>
      </c>
      <c r="D2861">
        <f t="shared" si="91"/>
        <v>0</v>
      </c>
    </row>
    <row r="2862" spans="1:4" x14ac:dyDescent="0.55000000000000004">
      <c r="A2862">
        <f t="shared" si="90"/>
        <v>2013</v>
      </c>
      <c r="B2862" s="821">
        <v>41509</v>
      </c>
      <c r="C2862">
        <v>3.8</v>
      </c>
      <c r="D2862">
        <f t="shared" si="91"/>
        <v>0</v>
      </c>
    </row>
    <row r="2863" spans="1:4" x14ac:dyDescent="0.55000000000000004">
      <c r="A2863">
        <f t="shared" si="90"/>
        <v>2013</v>
      </c>
      <c r="B2863" s="821">
        <v>41508</v>
      </c>
      <c r="C2863">
        <v>3.88</v>
      </c>
      <c r="D2863">
        <f t="shared" si="91"/>
        <v>0</v>
      </c>
    </row>
    <row r="2864" spans="1:4" x14ac:dyDescent="0.55000000000000004">
      <c r="A2864">
        <f t="shared" si="90"/>
        <v>2013</v>
      </c>
      <c r="B2864" s="821">
        <v>41507</v>
      </c>
      <c r="C2864">
        <v>3.9</v>
      </c>
      <c r="D2864">
        <f t="shared" si="91"/>
        <v>0</v>
      </c>
    </row>
    <row r="2865" spans="1:4" x14ac:dyDescent="0.55000000000000004">
      <c r="A2865">
        <f t="shared" si="90"/>
        <v>2013</v>
      </c>
      <c r="B2865" s="821">
        <v>41506</v>
      </c>
      <c r="C2865">
        <v>3.86</v>
      </c>
      <c r="D2865">
        <f t="shared" si="91"/>
        <v>0</v>
      </c>
    </row>
    <row r="2866" spans="1:4" x14ac:dyDescent="0.55000000000000004">
      <c r="A2866">
        <f t="shared" si="90"/>
        <v>2013</v>
      </c>
      <c r="B2866" s="821">
        <v>41505</v>
      </c>
      <c r="C2866">
        <v>3.89</v>
      </c>
      <c r="D2866">
        <f t="shared" si="91"/>
        <v>0</v>
      </c>
    </row>
    <row r="2867" spans="1:4" x14ac:dyDescent="0.55000000000000004">
      <c r="A2867">
        <f t="shared" si="90"/>
        <v>2013</v>
      </c>
      <c r="B2867" s="821">
        <v>41502</v>
      </c>
      <c r="C2867">
        <v>3.86</v>
      </c>
      <c r="D2867">
        <f t="shared" si="91"/>
        <v>0</v>
      </c>
    </row>
    <row r="2868" spans="1:4" x14ac:dyDescent="0.55000000000000004">
      <c r="A2868">
        <f t="shared" si="90"/>
        <v>2013</v>
      </c>
      <c r="B2868" s="821">
        <v>41501</v>
      </c>
      <c r="C2868">
        <v>3.81</v>
      </c>
      <c r="D2868">
        <f t="shared" si="91"/>
        <v>0</v>
      </c>
    </row>
    <row r="2869" spans="1:4" x14ac:dyDescent="0.55000000000000004">
      <c r="A2869">
        <f t="shared" si="90"/>
        <v>2013</v>
      </c>
      <c r="B2869" s="821">
        <v>41500</v>
      </c>
      <c r="C2869">
        <v>3.75</v>
      </c>
      <c r="D2869">
        <f t="shared" si="91"/>
        <v>0</v>
      </c>
    </row>
    <row r="2870" spans="1:4" x14ac:dyDescent="0.55000000000000004">
      <c r="A2870">
        <f t="shared" si="90"/>
        <v>2013</v>
      </c>
      <c r="B2870" s="821">
        <v>41499</v>
      </c>
      <c r="C2870">
        <v>3.75</v>
      </c>
      <c r="D2870">
        <f t="shared" si="91"/>
        <v>0</v>
      </c>
    </row>
    <row r="2871" spans="1:4" x14ac:dyDescent="0.55000000000000004">
      <c r="A2871">
        <f t="shared" si="90"/>
        <v>2013</v>
      </c>
      <c r="B2871" s="821">
        <v>41498</v>
      </c>
      <c r="C2871">
        <v>3.67</v>
      </c>
      <c r="D2871">
        <f t="shared" si="91"/>
        <v>0</v>
      </c>
    </row>
    <row r="2872" spans="1:4" x14ac:dyDescent="0.55000000000000004">
      <c r="A2872">
        <f t="shared" si="90"/>
        <v>2013</v>
      </c>
      <c r="B2872" s="821">
        <v>41495</v>
      </c>
      <c r="C2872">
        <v>3.63</v>
      </c>
      <c r="D2872">
        <f t="shared" si="91"/>
        <v>0</v>
      </c>
    </row>
    <row r="2873" spans="1:4" x14ac:dyDescent="0.55000000000000004">
      <c r="A2873">
        <f t="shared" si="90"/>
        <v>2013</v>
      </c>
      <c r="B2873" s="821">
        <v>41494</v>
      </c>
      <c r="C2873">
        <v>3.65</v>
      </c>
      <c r="D2873">
        <f t="shared" si="91"/>
        <v>0</v>
      </c>
    </row>
    <row r="2874" spans="1:4" x14ac:dyDescent="0.55000000000000004">
      <c r="A2874">
        <f t="shared" si="90"/>
        <v>2013</v>
      </c>
      <c r="B2874" s="821">
        <v>41493</v>
      </c>
      <c r="C2874">
        <v>3.68</v>
      </c>
      <c r="D2874">
        <f t="shared" si="91"/>
        <v>0</v>
      </c>
    </row>
    <row r="2875" spans="1:4" x14ac:dyDescent="0.55000000000000004">
      <c r="A2875">
        <f t="shared" si="90"/>
        <v>2013</v>
      </c>
      <c r="B2875" s="821">
        <v>41492</v>
      </c>
      <c r="C2875">
        <v>3.73</v>
      </c>
      <c r="D2875">
        <f t="shared" si="91"/>
        <v>0</v>
      </c>
    </row>
    <row r="2876" spans="1:4" x14ac:dyDescent="0.55000000000000004">
      <c r="A2876">
        <f t="shared" si="90"/>
        <v>2013</v>
      </c>
      <c r="B2876" s="821">
        <v>41491</v>
      </c>
      <c r="C2876">
        <v>3.73</v>
      </c>
      <c r="D2876">
        <f t="shared" si="91"/>
        <v>0</v>
      </c>
    </row>
    <row r="2877" spans="1:4" x14ac:dyDescent="0.55000000000000004">
      <c r="A2877">
        <f t="shared" si="90"/>
        <v>2013</v>
      </c>
      <c r="B2877" s="821">
        <v>41488</v>
      </c>
      <c r="C2877">
        <v>3.69</v>
      </c>
      <c r="D2877">
        <f t="shared" si="91"/>
        <v>0</v>
      </c>
    </row>
    <row r="2878" spans="1:4" x14ac:dyDescent="0.55000000000000004">
      <c r="A2878">
        <f t="shared" si="90"/>
        <v>2013</v>
      </c>
      <c r="B2878" s="821">
        <v>41487</v>
      </c>
      <c r="C2878">
        <v>3.77</v>
      </c>
      <c r="D2878">
        <f t="shared" si="91"/>
        <v>0</v>
      </c>
    </row>
    <row r="2879" spans="1:4" x14ac:dyDescent="0.55000000000000004">
      <c r="A2879">
        <f t="shared" si="90"/>
        <v>2013</v>
      </c>
      <c r="B2879" s="821">
        <v>41486</v>
      </c>
      <c r="C2879">
        <v>3.64</v>
      </c>
      <c r="D2879">
        <f t="shared" si="91"/>
        <v>0</v>
      </c>
    </row>
    <row r="2880" spans="1:4" x14ac:dyDescent="0.55000000000000004">
      <c r="A2880">
        <f t="shared" si="90"/>
        <v>2013</v>
      </c>
      <c r="B2880" s="821">
        <v>41485</v>
      </c>
      <c r="C2880">
        <v>3.67</v>
      </c>
      <c r="D2880">
        <f t="shared" si="91"/>
        <v>0</v>
      </c>
    </row>
    <row r="2881" spans="1:4" x14ac:dyDescent="0.55000000000000004">
      <c r="A2881">
        <f t="shared" si="90"/>
        <v>2013</v>
      </c>
      <c r="B2881" s="821">
        <v>41484</v>
      </c>
      <c r="C2881">
        <v>3.66</v>
      </c>
      <c r="D2881">
        <f t="shared" si="91"/>
        <v>0</v>
      </c>
    </row>
    <row r="2882" spans="1:4" x14ac:dyDescent="0.55000000000000004">
      <c r="A2882">
        <f t="shared" si="90"/>
        <v>2013</v>
      </c>
      <c r="B2882" s="821">
        <v>41481</v>
      </c>
      <c r="C2882">
        <v>3.61</v>
      </c>
      <c r="D2882">
        <f t="shared" si="91"/>
        <v>0</v>
      </c>
    </row>
    <row r="2883" spans="1:4" x14ac:dyDescent="0.55000000000000004">
      <c r="A2883">
        <f t="shared" si="90"/>
        <v>2013</v>
      </c>
      <c r="B2883" s="821">
        <v>41480</v>
      </c>
      <c r="C2883">
        <v>3.65</v>
      </c>
      <c r="D2883">
        <f t="shared" si="91"/>
        <v>0</v>
      </c>
    </row>
    <row r="2884" spans="1:4" x14ac:dyDescent="0.55000000000000004">
      <c r="A2884">
        <f t="shared" ref="A2884:A2947" si="92">YEAR(B2884)</f>
        <v>2013</v>
      </c>
      <c r="B2884" s="821">
        <v>41479</v>
      </c>
      <c r="C2884">
        <v>3.65</v>
      </c>
      <c r="D2884">
        <f t="shared" ref="D2884:D2947" si="93">IF(C2884&gt;4,1,0)</f>
        <v>0</v>
      </c>
    </row>
    <row r="2885" spans="1:4" x14ac:dyDescent="0.55000000000000004">
      <c r="A2885">
        <f t="shared" si="92"/>
        <v>2013</v>
      </c>
      <c r="B2885" s="821">
        <v>41478</v>
      </c>
      <c r="C2885">
        <v>3.58</v>
      </c>
      <c r="D2885">
        <f t="shared" si="93"/>
        <v>0</v>
      </c>
    </row>
    <row r="2886" spans="1:4" x14ac:dyDescent="0.55000000000000004">
      <c r="A2886">
        <f t="shared" si="92"/>
        <v>2013</v>
      </c>
      <c r="B2886" s="821">
        <v>41477</v>
      </c>
      <c r="C2886">
        <v>3.55</v>
      </c>
      <c r="D2886">
        <f t="shared" si="93"/>
        <v>0</v>
      </c>
    </row>
    <row r="2887" spans="1:4" x14ac:dyDescent="0.55000000000000004">
      <c r="A2887">
        <f t="shared" si="92"/>
        <v>2013</v>
      </c>
      <c r="B2887" s="821">
        <v>41474</v>
      </c>
      <c r="C2887">
        <v>3.56</v>
      </c>
      <c r="D2887">
        <f t="shared" si="93"/>
        <v>0</v>
      </c>
    </row>
    <row r="2888" spans="1:4" x14ac:dyDescent="0.55000000000000004">
      <c r="A2888">
        <f t="shared" si="92"/>
        <v>2013</v>
      </c>
      <c r="B2888" s="821">
        <v>41473</v>
      </c>
      <c r="C2888">
        <v>3.63</v>
      </c>
      <c r="D2888">
        <f t="shared" si="93"/>
        <v>0</v>
      </c>
    </row>
    <row r="2889" spans="1:4" x14ac:dyDescent="0.55000000000000004">
      <c r="A2889">
        <f t="shared" si="92"/>
        <v>2013</v>
      </c>
      <c r="B2889" s="821">
        <v>41472</v>
      </c>
      <c r="C2889">
        <v>3.57</v>
      </c>
      <c r="D2889">
        <f t="shared" si="93"/>
        <v>0</v>
      </c>
    </row>
    <row r="2890" spans="1:4" x14ac:dyDescent="0.55000000000000004">
      <c r="A2890">
        <f t="shared" si="92"/>
        <v>2013</v>
      </c>
      <c r="B2890" s="821">
        <v>41471</v>
      </c>
      <c r="C2890">
        <v>3.58</v>
      </c>
      <c r="D2890">
        <f t="shared" si="93"/>
        <v>0</v>
      </c>
    </row>
    <row r="2891" spans="1:4" x14ac:dyDescent="0.55000000000000004">
      <c r="A2891">
        <f t="shared" si="92"/>
        <v>2013</v>
      </c>
      <c r="B2891" s="821">
        <v>41470</v>
      </c>
      <c r="C2891">
        <v>3.61</v>
      </c>
      <c r="D2891">
        <f t="shared" si="93"/>
        <v>0</v>
      </c>
    </row>
    <row r="2892" spans="1:4" x14ac:dyDescent="0.55000000000000004">
      <c r="A2892">
        <f t="shared" si="92"/>
        <v>2013</v>
      </c>
      <c r="B2892" s="821">
        <v>41467</v>
      </c>
      <c r="C2892">
        <v>3.64</v>
      </c>
      <c r="D2892">
        <f t="shared" si="93"/>
        <v>0</v>
      </c>
    </row>
    <row r="2893" spans="1:4" x14ac:dyDescent="0.55000000000000004">
      <c r="A2893">
        <f t="shared" si="92"/>
        <v>2013</v>
      </c>
      <c r="B2893" s="821">
        <v>41466</v>
      </c>
      <c r="C2893">
        <v>3.64</v>
      </c>
      <c r="D2893">
        <f t="shared" si="93"/>
        <v>0</v>
      </c>
    </row>
    <row r="2894" spans="1:4" x14ac:dyDescent="0.55000000000000004">
      <c r="A2894">
        <f t="shared" si="92"/>
        <v>2013</v>
      </c>
      <c r="B2894" s="821">
        <v>41465</v>
      </c>
      <c r="C2894">
        <v>3.68</v>
      </c>
      <c r="D2894">
        <f t="shared" si="93"/>
        <v>0</v>
      </c>
    </row>
    <row r="2895" spans="1:4" x14ac:dyDescent="0.55000000000000004">
      <c r="A2895">
        <f t="shared" si="92"/>
        <v>2013</v>
      </c>
      <c r="B2895" s="821">
        <v>41464</v>
      </c>
      <c r="C2895">
        <v>3.64</v>
      </c>
      <c r="D2895">
        <f t="shared" si="93"/>
        <v>0</v>
      </c>
    </row>
    <row r="2896" spans="1:4" x14ac:dyDescent="0.55000000000000004">
      <c r="A2896">
        <f t="shared" si="92"/>
        <v>2013</v>
      </c>
      <c r="B2896" s="821">
        <v>41463</v>
      </c>
      <c r="C2896">
        <v>3.63</v>
      </c>
      <c r="D2896">
        <f t="shared" si="93"/>
        <v>0</v>
      </c>
    </row>
    <row r="2897" spans="1:4" x14ac:dyDescent="0.55000000000000004">
      <c r="A2897">
        <f t="shared" si="92"/>
        <v>2013</v>
      </c>
      <c r="B2897" s="821">
        <v>41460</v>
      </c>
      <c r="C2897">
        <v>3.68</v>
      </c>
      <c r="D2897">
        <f t="shared" si="93"/>
        <v>0</v>
      </c>
    </row>
    <row r="2898" spans="1:4" x14ac:dyDescent="0.55000000000000004">
      <c r="A2898">
        <f t="shared" si="92"/>
        <v>2013</v>
      </c>
      <c r="B2898" s="821">
        <v>41458</v>
      </c>
      <c r="C2898">
        <v>3.49</v>
      </c>
      <c r="D2898">
        <f t="shared" si="93"/>
        <v>0</v>
      </c>
    </row>
    <row r="2899" spans="1:4" x14ac:dyDescent="0.55000000000000004">
      <c r="A2899">
        <f t="shared" si="92"/>
        <v>2013</v>
      </c>
      <c r="B2899" s="821">
        <v>41457</v>
      </c>
      <c r="C2899">
        <v>3.47</v>
      </c>
      <c r="D2899">
        <f t="shared" si="93"/>
        <v>0</v>
      </c>
    </row>
    <row r="2900" spans="1:4" x14ac:dyDescent="0.55000000000000004">
      <c r="A2900">
        <f t="shared" si="92"/>
        <v>2013</v>
      </c>
      <c r="B2900" s="821">
        <v>41456</v>
      </c>
      <c r="C2900">
        <v>3.48</v>
      </c>
      <c r="D2900">
        <f t="shared" si="93"/>
        <v>0</v>
      </c>
    </row>
    <row r="2901" spans="1:4" x14ac:dyDescent="0.55000000000000004">
      <c r="A2901">
        <f t="shared" si="92"/>
        <v>2013</v>
      </c>
      <c r="B2901" s="821">
        <v>41453</v>
      </c>
      <c r="C2901">
        <v>3.52</v>
      </c>
      <c r="D2901">
        <f t="shared" si="93"/>
        <v>0</v>
      </c>
    </row>
    <row r="2902" spans="1:4" x14ac:dyDescent="0.55000000000000004">
      <c r="A2902">
        <f t="shared" si="92"/>
        <v>2013</v>
      </c>
      <c r="B2902" s="821">
        <v>41452</v>
      </c>
      <c r="C2902">
        <v>3.54</v>
      </c>
      <c r="D2902">
        <f t="shared" si="93"/>
        <v>0</v>
      </c>
    </row>
    <row r="2903" spans="1:4" x14ac:dyDescent="0.55000000000000004">
      <c r="A2903">
        <f t="shared" si="92"/>
        <v>2013</v>
      </c>
      <c r="B2903" s="821">
        <v>41451</v>
      </c>
      <c r="C2903">
        <v>3.58</v>
      </c>
      <c r="D2903">
        <f t="shared" si="93"/>
        <v>0</v>
      </c>
    </row>
    <row r="2904" spans="1:4" x14ac:dyDescent="0.55000000000000004">
      <c r="A2904">
        <f t="shared" si="92"/>
        <v>2013</v>
      </c>
      <c r="B2904" s="821">
        <v>41450</v>
      </c>
      <c r="C2904">
        <v>3.6</v>
      </c>
      <c r="D2904">
        <f t="shared" si="93"/>
        <v>0</v>
      </c>
    </row>
    <row r="2905" spans="1:4" x14ac:dyDescent="0.55000000000000004">
      <c r="A2905">
        <f t="shared" si="92"/>
        <v>2013</v>
      </c>
      <c r="B2905" s="821">
        <v>41449</v>
      </c>
      <c r="C2905">
        <v>3.56</v>
      </c>
      <c r="D2905">
        <f t="shared" si="93"/>
        <v>0</v>
      </c>
    </row>
    <row r="2906" spans="1:4" x14ac:dyDescent="0.55000000000000004">
      <c r="A2906">
        <f t="shared" si="92"/>
        <v>2013</v>
      </c>
      <c r="B2906" s="821">
        <v>41446</v>
      </c>
      <c r="C2906">
        <v>3.56</v>
      </c>
      <c r="D2906">
        <f t="shared" si="93"/>
        <v>0</v>
      </c>
    </row>
    <row r="2907" spans="1:4" x14ac:dyDescent="0.55000000000000004">
      <c r="A2907">
        <f t="shared" si="92"/>
        <v>2013</v>
      </c>
      <c r="B2907" s="821">
        <v>41445</v>
      </c>
      <c r="C2907">
        <v>3.49</v>
      </c>
      <c r="D2907">
        <f t="shared" si="93"/>
        <v>0</v>
      </c>
    </row>
    <row r="2908" spans="1:4" x14ac:dyDescent="0.55000000000000004">
      <c r="A2908">
        <f t="shared" si="92"/>
        <v>2013</v>
      </c>
      <c r="B2908" s="821">
        <v>41444</v>
      </c>
      <c r="C2908">
        <v>3.41</v>
      </c>
      <c r="D2908">
        <f t="shared" si="93"/>
        <v>0</v>
      </c>
    </row>
    <row r="2909" spans="1:4" x14ac:dyDescent="0.55000000000000004">
      <c r="A2909">
        <f t="shared" si="92"/>
        <v>2013</v>
      </c>
      <c r="B2909" s="821">
        <v>41443</v>
      </c>
      <c r="C2909">
        <v>3.34</v>
      </c>
      <c r="D2909">
        <f t="shared" si="93"/>
        <v>0</v>
      </c>
    </row>
    <row r="2910" spans="1:4" x14ac:dyDescent="0.55000000000000004">
      <c r="A2910">
        <f t="shared" si="92"/>
        <v>2013</v>
      </c>
      <c r="B2910" s="821">
        <v>41442</v>
      </c>
      <c r="C2910">
        <v>3.35</v>
      </c>
      <c r="D2910">
        <f t="shared" si="93"/>
        <v>0</v>
      </c>
    </row>
    <row r="2911" spans="1:4" x14ac:dyDescent="0.55000000000000004">
      <c r="A2911">
        <f t="shared" si="92"/>
        <v>2013</v>
      </c>
      <c r="B2911" s="821">
        <v>41439</v>
      </c>
      <c r="C2911">
        <v>3.28</v>
      </c>
      <c r="D2911">
        <f t="shared" si="93"/>
        <v>0</v>
      </c>
    </row>
    <row r="2912" spans="1:4" x14ac:dyDescent="0.55000000000000004">
      <c r="A2912">
        <f t="shared" si="92"/>
        <v>2013</v>
      </c>
      <c r="B2912" s="821">
        <v>41438</v>
      </c>
      <c r="C2912">
        <v>3.33</v>
      </c>
      <c r="D2912">
        <f t="shared" si="93"/>
        <v>0</v>
      </c>
    </row>
    <row r="2913" spans="1:4" x14ac:dyDescent="0.55000000000000004">
      <c r="A2913">
        <f t="shared" si="92"/>
        <v>2013</v>
      </c>
      <c r="B2913" s="821">
        <v>41437</v>
      </c>
      <c r="C2913">
        <v>3.37</v>
      </c>
      <c r="D2913">
        <f t="shared" si="93"/>
        <v>0</v>
      </c>
    </row>
    <row r="2914" spans="1:4" x14ac:dyDescent="0.55000000000000004">
      <c r="A2914">
        <f t="shared" si="92"/>
        <v>2013</v>
      </c>
      <c r="B2914" s="821">
        <v>41436</v>
      </c>
      <c r="C2914">
        <v>3.33</v>
      </c>
      <c r="D2914">
        <f t="shared" si="93"/>
        <v>0</v>
      </c>
    </row>
    <row r="2915" spans="1:4" x14ac:dyDescent="0.55000000000000004">
      <c r="A2915">
        <f t="shared" si="92"/>
        <v>2013</v>
      </c>
      <c r="B2915" s="821">
        <v>41435</v>
      </c>
      <c r="C2915">
        <v>3.36</v>
      </c>
      <c r="D2915">
        <f t="shared" si="93"/>
        <v>0</v>
      </c>
    </row>
    <row r="2916" spans="1:4" x14ac:dyDescent="0.55000000000000004">
      <c r="A2916">
        <f t="shared" si="92"/>
        <v>2013</v>
      </c>
      <c r="B2916" s="821">
        <v>41432</v>
      </c>
      <c r="C2916">
        <v>3.33</v>
      </c>
      <c r="D2916">
        <f t="shared" si="93"/>
        <v>0</v>
      </c>
    </row>
    <row r="2917" spans="1:4" x14ac:dyDescent="0.55000000000000004">
      <c r="A2917">
        <f t="shared" si="92"/>
        <v>2013</v>
      </c>
      <c r="B2917" s="821">
        <v>41431</v>
      </c>
      <c r="C2917">
        <v>3.23</v>
      </c>
      <c r="D2917">
        <f t="shared" si="93"/>
        <v>0</v>
      </c>
    </row>
    <row r="2918" spans="1:4" x14ac:dyDescent="0.55000000000000004">
      <c r="A2918">
        <f t="shared" si="92"/>
        <v>2013</v>
      </c>
      <c r="B2918" s="821">
        <v>41430</v>
      </c>
      <c r="C2918">
        <v>3.25</v>
      </c>
      <c r="D2918">
        <f t="shared" si="93"/>
        <v>0</v>
      </c>
    </row>
    <row r="2919" spans="1:4" x14ac:dyDescent="0.55000000000000004">
      <c r="A2919">
        <f t="shared" si="92"/>
        <v>2013</v>
      </c>
      <c r="B2919" s="821">
        <v>41429</v>
      </c>
      <c r="C2919">
        <v>3.3</v>
      </c>
      <c r="D2919">
        <f t="shared" si="93"/>
        <v>0</v>
      </c>
    </row>
    <row r="2920" spans="1:4" x14ac:dyDescent="0.55000000000000004">
      <c r="A2920">
        <f t="shared" si="92"/>
        <v>2013</v>
      </c>
      <c r="B2920" s="821">
        <v>41428</v>
      </c>
      <c r="C2920">
        <v>3.27</v>
      </c>
      <c r="D2920">
        <f t="shared" si="93"/>
        <v>0</v>
      </c>
    </row>
    <row r="2921" spans="1:4" x14ac:dyDescent="0.55000000000000004">
      <c r="A2921">
        <f t="shared" si="92"/>
        <v>2013</v>
      </c>
      <c r="B2921" s="821">
        <v>41425</v>
      </c>
      <c r="C2921">
        <v>3.3</v>
      </c>
      <c r="D2921">
        <f t="shared" si="93"/>
        <v>0</v>
      </c>
    </row>
    <row r="2922" spans="1:4" x14ac:dyDescent="0.55000000000000004">
      <c r="A2922">
        <f t="shared" si="92"/>
        <v>2013</v>
      </c>
      <c r="B2922" s="821">
        <v>41424</v>
      </c>
      <c r="C2922">
        <v>3.28</v>
      </c>
      <c r="D2922">
        <f t="shared" si="93"/>
        <v>0</v>
      </c>
    </row>
    <row r="2923" spans="1:4" x14ac:dyDescent="0.55000000000000004">
      <c r="A2923">
        <f t="shared" si="92"/>
        <v>2013</v>
      </c>
      <c r="B2923" s="821">
        <v>41423</v>
      </c>
      <c r="C2923">
        <v>3.27</v>
      </c>
      <c r="D2923">
        <f t="shared" si="93"/>
        <v>0</v>
      </c>
    </row>
    <row r="2924" spans="1:4" x14ac:dyDescent="0.55000000000000004">
      <c r="A2924">
        <f t="shared" si="92"/>
        <v>2013</v>
      </c>
      <c r="B2924" s="821">
        <v>41422</v>
      </c>
      <c r="C2924">
        <v>3.31</v>
      </c>
      <c r="D2924">
        <f t="shared" si="93"/>
        <v>0</v>
      </c>
    </row>
    <row r="2925" spans="1:4" x14ac:dyDescent="0.55000000000000004">
      <c r="A2925">
        <f t="shared" si="92"/>
        <v>2013</v>
      </c>
      <c r="B2925" s="821">
        <v>41418</v>
      </c>
      <c r="C2925">
        <v>3.18</v>
      </c>
      <c r="D2925">
        <f t="shared" si="93"/>
        <v>0</v>
      </c>
    </row>
    <row r="2926" spans="1:4" x14ac:dyDescent="0.55000000000000004">
      <c r="A2926">
        <f t="shared" si="92"/>
        <v>2013</v>
      </c>
      <c r="B2926" s="821">
        <v>41417</v>
      </c>
      <c r="C2926">
        <v>3.2</v>
      </c>
      <c r="D2926">
        <f t="shared" si="93"/>
        <v>0</v>
      </c>
    </row>
    <row r="2927" spans="1:4" x14ac:dyDescent="0.55000000000000004">
      <c r="A2927">
        <f t="shared" si="92"/>
        <v>2013</v>
      </c>
      <c r="B2927" s="821">
        <v>41416</v>
      </c>
      <c r="C2927">
        <v>3.21</v>
      </c>
      <c r="D2927">
        <f t="shared" si="93"/>
        <v>0</v>
      </c>
    </row>
    <row r="2928" spans="1:4" x14ac:dyDescent="0.55000000000000004">
      <c r="A2928">
        <f t="shared" si="92"/>
        <v>2013</v>
      </c>
      <c r="B2928" s="821">
        <v>41415</v>
      </c>
      <c r="C2928">
        <v>3.14</v>
      </c>
      <c r="D2928">
        <f t="shared" si="93"/>
        <v>0</v>
      </c>
    </row>
    <row r="2929" spans="1:4" x14ac:dyDescent="0.55000000000000004">
      <c r="A2929">
        <f t="shared" si="92"/>
        <v>2013</v>
      </c>
      <c r="B2929" s="821">
        <v>41414</v>
      </c>
      <c r="C2929">
        <v>3.18</v>
      </c>
      <c r="D2929">
        <f t="shared" si="93"/>
        <v>0</v>
      </c>
    </row>
    <row r="2930" spans="1:4" x14ac:dyDescent="0.55000000000000004">
      <c r="A2930">
        <f t="shared" si="92"/>
        <v>2013</v>
      </c>
      <c r="B2930" s="821">
        <v>41411</v>
      </c>
      <c r="C2930">
        <v>3.17</v>
      </c>
      <c r="D2930">
        <f t="shared" si="93"/>
        <v>0</v>
      </c>
    </row>
    <row r="2931" spans="1:4" x14ac:dyDescent="0.55000000000000004">
      <c r="A2931">
        <f t="shared" si="92"/>
        <v>2013</v>
      </c>
      <c r="B2931" s="821">
        <v>41410</v>
      </c>
      <c r="C2931">
        <v>3.09</v>
      </c>
      <c r="D2931">
        <f t="shared" si="93"/>
        <v>0</v>
      </c>
    </row>
    <row r="2932" spans="1:4" x14ac:dyDescent="0.55000000000000004">
      <c r="A2932">
        <f t="shared" si="92"/>
        <v>2013</v>
      </c>
      <c r="B2932" s="821">
        <v>41409</v>
      </c>
      <c r="C2932">
        <v>3.16</v>
      </c>
      <c r="D2932">
        <f t="shared" si="93"/>
        <v>0</v>
      </c>
    </row>
    <row r="2933" spans="1:4" x14ac:dyDescent="0.55000000000000004">
      <c r="A2933">
        <f t="shared" si="92"/>
        <v>2013</v>
      </c>
      <c r="B2933" s="821">
        <v>41408</v>
      </c>
      <c r="C2933">
        <v>3.17</v>
      </c>
      <c r="D2933">
        <f t="shared" si="93"/>
        <v>0</v>
      </c>
    </row>
    <row r="2934" spans="1:4" x14ac:dyDescent="0.55000000000000004">
      <c r="A2934">
        <f t="shared" si="92"/>
        <v>2013</v>
      </c>
      <c r="B2934" s="821">
        <v>41407</v>
      </c>
      <c r="C2934">
        <v>3.13</v>
      </c>
      <c r="D2934">
        <f t="shared" si="93"/>
        <v>0</v>
      </c>
    </row>
    <row r="2935" spans="1:4" x14ac:dyDescent="0.55000000000000004">
      <c r="A2935">
        <f t="shared" si="92"/>
        <v>2013</v>
      </c>
      <c r="B2935" s="821">
        <v>41404</v>
      </c>
      <c r="C2935">
        <v>3.1</v>
      </c>
      <c r="D2935">
        <f t="shared" si="93"/>
        <v>0</v>
      </c>
    </row>
    <row r="2936" spans="1:4" x14ac:dyDescent="0.55000000000000004">
      <c r="A2936">
        <f t="shared" si="92"/>
        <v>2013</v>
      </c>
      <c r="B2936" s="821">
        <v>41403</v>
      </c>
      <c r="C2936">
        <v>3.01</v>
      </c>
      <c r="D2936">
        <f t="shared" si="93"/>
        <v>0</v>
      </c>
    </row>
    <row r="2937" spans="1:4" x14ac:dyDescent="0.55000000000000004">
      <c r="A2937">
        <f t="shared" si="92"/>
        <v>2013</v>
      </c>
      <c r="B2937" s="821">
        <v>41402</v>
      </c>
      <c r="C2937">
        <v>2.99</v>
      </c>
      <c r="D2937">
        <f t="shared" si="93"/>
        <v>0</v>
      </c>
    </row>
    <row r="2938" spans="1:4" x14ac:dyDescent="0.55000000000000004">
      <c r="A2938">
        <f t="shared" si="92"/>
        <v>2013</v>
      </c>
      <c r="B2938" s="821">
        <v>41401</v>
      </c>
      <c r="C2938">
        <v>3</v>
      </c>
      <c r="D2938">
        <f t="shared" si="93"/>
        <v>0</v>
      </c>
    </row>
    <row r="2939" spans="1:4" x14ac:dyDescent="0.55000000000000004">
      <c r="A2939">
        <f t="shared" si="92"/>
        <v>2013</v>
      </c>
      <c r="B2939" s="821">
        <v>41400</v>
      </c>
      <c r="C2939">
        <v>2.98</v>
      </c>
      <c r="D2939">
        <f t="shared" si="93"/>
        <v>0</v>
      </c>
    </row>
    <row r="2940" spans="1:4" x14ac:dyDescent="0.55000000000000004">
      <c r="A2940">
        <f t="shared" si="92"/>
        <v>2013</v>
      </c>
      <c r="B2940" s="821">
        <v>41397</v>
      </c>
      <c r="C2940">
        <v>2.96</v>
      </c>
      <c r="D2940">
        <f t="shared" si="93"/>
        <v>0</v>
      </c>
    </row>
    <row r="2941" spans="1:4" x14ac:dyDescent="0.55000000000000004">
      <c r="A2941">
        <f t="shared" si="92"/>
        <v>2013</v>
      </c>
      <c r="B2941" s="821">
        <v>41396</v>
      </c>
      <c r="C2941">
        <v>2.82</v>
      </c>
      <c r="D2941">
        <f t="shared" si="93"/>
        <v>0</v>
      </c>
    </row>
    <row r="2942" spans="1:4" x14ac:dyDescent="0.55000000000000004">
      <c r="A2942">
        <f t="shared" si="92"/>
        <v>2013</v>
      </c>
      <c r="B2942" s="821">
        <v>41395</v>
      </c>
      <c r="C2942">
        <v>2.83</v>
      </c>
      <c r="D2942">
        <f t="shared" si="93"/>
        <v>0</v>
      </c>
    </row>
    <row r="2943" spans="1:4" x14ac:dyDescent="0.55000000000000004">
      <c r="A2943">
        <f t="shared" si="92"/>
        <v>2013</v>
      </c>
      <c r="B2943" s="821">
        <v>41394</v>
      </c>
      <c r="C2943">
        <v>2.88</v>
      </c>
      <c r="D2943">
        <f t="shared" si="93"/>
        <v>0</v>
      </c>
    </row>
    <row r="2944" spans="1:4" x14ac:dyDescent="0.55000000000000004">
      <c r="A2944">
        <f t="shared" si="92"/>
        <v>2013</v>
      </c>
      <c r="B2944" s="821">
        <v>41393</v>
      </c>
      <c r="C2944">
        <v>2.88</v>
      </c>
      <c r="D2944">
        <f t="shared" si="93"/>
        <v>0</v>
      </c>
    </row>
    <row r="2945" spans="1:4" x14ac:dyDescent="0.55000000000000004">
      <c r="A2945">
        <f t="shared" si="92"/>
        <v>2013</v>
      </c>
      <c r="B2945" s="821">
        <v>41390</v>
      </c>
      <c r="C2945">
        <v>2.87</v>
      </c>
      <c r="D2945">
        <f t="shared" si="93"/>
        <v>0</v>
      </c>
    </row>
    <row r="2946" spans="1:4" x14ac:dyDescent="0.55000000000000004">
      <c r="A2946">
        <f t="shared" si="92"/>
        <v>2013</v>
      </c>
      <c r="B2946" s="821">
        <v>41389</v>
      </c>
      <c r="C2946">
        <v>2.91</v>
      </c>
      <c r="D2946">
        <f t="shared" si="93"/>
        <v>0</v>
      </c>
    </row>
    <row r="2947" spans="1:4" x14ac:dyDescent="0.55000000000000004">
      <c r="A2947">
        <f t="shared" si="92"/>
        <v>2013</v>
      </c>
      <c r="B2947" s="821">
        <v>41388</v>
      </c>
      <c r="C2947">
        <v>2.89</v>
      </c>
      <c r="D2947">
        <f t="shared" si="93"/>
        <v>0</v>
      </c>
    </row>
    <row r="2948" spans="1:4" x14ac:dyDescent="0.55000000000000004">
      <c r="A2948">
        <f t="shared" ref="A2948:A3011" si="94">YEAR(B2948)</f>
        <v>2013</v>
      </c>
      <c r="B2948" s="821">
        <v>41387</v>
      </c>
      <c r="C2948">
        <v>2.9</v>
      </c>
      <c r="D2948">
        <f t="shared" ref="D2948:D3011" si="95">IF(C2948&gt;4,1,0)</f>
        <v>0</v>
      </c>
    </row>
    <row r="2949" spans="1:4" x14ac:dyDescent="0.55000000000000004">
      <c r="A2949">
        <f t="shared" si="94"/>
        <v>2013</v>
      </c>
      <c r="B2949" s="821">
        <v>41386</v>
      </c>
      <c r="C2949">
        <v>2.88</v>
      </c>
      <c r="D2949">
        <f t="shared" si="95"/>
        <v>0</v>
      </c>
    </row>
    <row r="2950" spans="1:4" x14ac:dyDescent="0.55000000000000004">
      <c r="A2950">
        <f t="shared" si="94"/>
        <v>2013</v>
      </c>
      <c r="B2950" s="821">
        <v>41383</v>
      </c>
      <c r="C2950">
        <v>2.88</v>
      </c>
      <c r="D2950">
        <f t="shared" si="95"/>
        <v>0</v>
      </c>
    </row>
    <row r="2951" spans="1:4" x14ac:dyDescent="0.55000000000000004">
      <c r="A2951">
        <f t="shared" si="94"/>
        <v>2013</v>
      </c>
      <c r="B2951" s="821">
        <v>41382</v>
      </c>
      <c r="C2951">
        <v>2.87</v>
      </c>
      <c r="D2951">
        <f t="shared" si="95"/>
        <v>0</v>
      </c>
    </row>
    <row r="2952" spans="1:4" x14ac:dyDescent="0.55000000000000004">
      <c r="A2952">
        <f t="shared" si="94"/>
        <v>2013</v>
      </c>
      <c r="B2952" s="821">
        <v>41381</v>
      </c>
      <c r="C2952">
        <v>2.89</v>
      </c>
      <c r="D2952">
        <f t="shared" si="95"/>
        <v>0</v>
      </c>
    </row>
    <row r="2953" spans="1:4" x14ac:dyDescent="0.55000000000000004">
      <c r="A2953">
        <f t="shared" si="94"/>
        <v>2013</v>
      </c>
      <c r="B2953" s="821">
        <v>41380</v>
      </c>
      <c r="C2953">
        <v>2.91</v>
      </c>
      <c r="D2953">
        <f t="shared" si="95"/>
        <v>0</v>
      </c>
    </row>
    <row r="2954" spans="1:4" x14ac:dyDescent="0.55000000000000004">
      <c r="A2954">
        <f t="shared" si="94"/>
        <v>2013</v>
      </c>
      <c r="B2954" s="821">
        <v>41379</v>
      </c>
      <c r="C2954">
        <v>2.88</v>
      </c>
      <c r="D2954">
        <f t="shared" si="95"/>
        <v>0</v>
      </c>
    </row>
    <row r="2955" spans="1:4" x14ac:dyDescent="0.55000000000000004">
      <c r="A2955">
        <f t="shared" si="94"/>
        <v>2013</v>
      </c>
      <c r="B2955" s="821">
        <v>41376</v>
      </c>
      <c r="C2955">
        <v>2.92</v>
      </c>
      <c r="D2955">
        <f t="shared" si="95"/>
        <v>0</v>
      </c>
    </row>
    <row r="2956" spans="1:4" x14ac:dyDescent="0.55000000000000004">
      <c r="A2956">
        <f t="shared" si="94"/>
        <v>2013</v>
      </c>
      <c r="B2956" s="821">
        <v>41375</v>
      </c>
      <c r="C2956">
        <v>3.01</v>
      </c>
      <c r="D2956">
        <f t="shared" si="95"/>
        <v>0</v>
      </c>
    </row>
    <row r="2957" spans="1:4" x14ac:dyDescent="0.55000000000000004">
      <c r="A2957">
        <f t="shared" si="94"/>
        <v>2013</v>
      </c>
      <c r="B2957" s="821">
        <v>41374</v>
      </c>
      <c r="C2957">
        <v>3.01</v>
      </c>
      <c r="D2957">
        <f t="shared" si="95"/>
        <v>0</v>
      </c>
    </row>
    <row r="2958" spans="1:4" x14ac:dyDescent="0.55000000000000004">
      <c r="A2958">
        <f t="shared" si="94"/>
        <v>2013</v>
      </c>
      <c r="B2958" s="821">
        <v>41373</v>
      </c>
      <c r="C2958">
        <v>2.94</v>
      </c>
      <c r="D2958">
        <f t="shared" si="95"/>
        <v>0</v>
      </c>
    </row>
    <row r="2959" spans="1:4" x14ac:dyDescent="0.55000000000000004">
      <c r="A2959">
        <f t="shared" si="94"/>
        <v>2013</v>
      </c>
      <c r="B2959" s="821">
        <v>41372</v>
      </c>
      <c r="C2959">
        <v>2.91</v>
      </c>
      <c r="D2959">
        <f t="shared" si="95"/>
        <v>0</v>
      </c>
    </row>
    <row r="2960" spans="1:4" x14ac:dyDescent="0.55000000000000004">
      <c r="A2960">
        <f t="shared" si="94"/>
        <v>2013</v>
      </c>
      <c r="B2960" s="821">
        <v>41369</v>
      </c>
      <c r="C2960">
        <v>2.87</v>
      </c>
      <c r="D2960">
        <f t="shared" si="95"/>
        <v>0</v>
      </c>
    </row>
    <row r="2961" spans="1:4" x14ac:dyDescent="0.55000000000000004">
      <c r="A2961">
        <f t="shared" si="94"/>
        <v>2013</v>
      </c>
      <c r="B2961" s="821">
        <v>41368</v>
      </c>
      <c r="C2961">
        <v>2.99</v>
      </c>
      <c r="D2961">
        <f t="shared" si="95"/>
        <v>0</v>
      </c>
    </row>
    <row r="2962" spans="1:4" x14ac:dyDescent="0.55000000000000004">
      <c r="A2962">
        <f t="shared" si="94"/>
        <v>2013</v>
      </c>
      <c r="B2962" s="821">
        <v>41367</v>
      </c>
      <c r="C2962">
        <v>3.05</v>
      </c>
      <c r="D2962">
        <f t="shared" si="95"/>
        <v>0</v>
      </c>
    </row>
    <row r="2963" spans="1:4" x14ac:dyDescent="0.55000000000000004">
      <c r="A2963">
        <f t="shared" si="94"/>
        <v>2013</v>
      </c>
      <c r="B2963" s="821">
        <v>41366</v>
      </c>
      <c r="C2963">
        <v>3.1</v>
      </c>
      <c r="D2963">
        <f t="shared" si="95"/>
        <v>0</v>
      </c>
    </row>
    <row r="2964" spans="1:4" x14ac:dyDescent="0.55000000000000004">
      <c r="A2964">
        <f t="shared" si="94"/>
        <v>2013</v>
      </c>
      <c r="B2964" s="821">
        <v>41365</v>
      </c>
      <c r="C2964">
        <v>3.08</v>
      </c>
      <c r="D2964">
        <f t="shared" si="95"/>
        <v>0</v>
      </c>
    </row>
    <row r="2965" spans="1:4" x14ac:dyDescent="0.55000000000000004">
      <c r="A2965">
        <f t="shared" si="94"/>
        <v>2013</v>
      </c>
      <c r="B2965" s="821">
        <v>41361</v>
      </c>
      <c r="C2965">
        <v>3.1</v>
      </c>
      <c r="D2965">
        <f t="shared" si="95"/>
        <v>0</v>
      </c>
    </row>
    <row r="2966" spans="1:4" x14ac:dyDescent="0.55000000000000004">
      <c r="A2966">
        <f t="shared" si="94"/>
        <v>2013</v>
      </c>
      <c r="B2966" s="821">
        <v>41360</v>
      </c>
      <c r="C2966">
        <v>3.09</v>
      </c>
      <c r="D2966">
        <f t="shared" si="95"/>
        <v>0</v>
      </c>
    </row>
    <row r="2967" spans="1:4" x14ac:dyDescent="0.55000000000000004">
      <c r="A2967">
        <f t="shared" si="94"/>
        <v>2013</v>
      </c>
      <c r="B2967" s="821">
        <v>41359</v>
      </c>
      <c r="C2967">
        <v>3.13</v>
      </c>
      <c r="D2967">
        <f t="shared" si="95"/>
        <v>0</v>
      </c>
    </row>
    <row r="2968" spans="1:4" x14ac:dyDescent="0.55000000000000004">
      <c r="A2968">
        <f t="shared" si="94"/>
        <v>2013</v>
      </c>
      <c r="B2968" s="821">
        <v>41358</v>
      </c>
      <c r="C2968">
        <v>3.14</v>
      </c>
      <c r="D2968">
        <f t="shared" si="95"/>
        <v>0</v>
      </c>
    </row>
    <row r="2969" spans="1:4" x14ac:dyDescent="0.55000000000000004">
      <c r="A2969">
        <f t="shared" si="94"/>
        <v>2013</v>
      </c>
      <c r="B2969" s="821">
        <v>41355</v>
      </c>
      <c r="C2969">
        <v>3.13</v>
      </c>
      <c r="D2969">
        <f t="shared" si="95"/>
        <v>0</v>
      </c>
    </row>
    <row r="2970" spans="1:4" x14ac:dyDescent="0.55000000000000004">
      <c r="A2970">
        <f t="shared" si="94"/>
        <v>2013</v>
      </c>
      <c r="B2970" s="821">
        <v>41354</v>
      </c>
      <c r="C2970">
        <v>3.15</v>
      </c>
      <c r="D2970">
        <f t="shared" si="95"/>
        <v>0</v>
      </c>
    </row>
    <row r="2971" spans="1:4" x14ac:dyDescent="0.55000000000000004">
      <c r="A2971">
        <f t="shared" si="94"/>
        <v>2013</v>
      </c>
      <c r="B2971" s="821">
        <v>41353</v>
      </c>
      <c r="C2971">
        <v>3.19</v>
      </c>
      <c r="D2971">
        <f t="shared" si="95"/>
        <v>0</v>
      </c>
    </row>
    <row r="2972" spans="1:4" x14ac:dyDescent="0.55000000000000004">
      <c r="A2972">
        <f t="shared" si="94"/>
        <v>2013</v>
      </c>
      <c r="B2972" s="821">
        <v>41352</v>
      </c>
      <c r="C2972">
        <v>3.13</v>
      </c>
      <c r="D2972">
        <f t="shared" si="95"/>
        <v>0</v>
      </c>
    </row>
    <row r="2973" spans="1:4" x14ac:dyDescent="0.55000000000000004">
      <c r="A2973">
        <f t="shared" si="94"/>
        <v>2013</v>
      </c>
      <c r="B2973" s="821">
        <v>41351</v>
      </c>
      <c r="C2973">
        <v>3.18</v>
      </c>
      <c r="D2973">
        <f t="shared" si="95"/>
        <v>0</v>
      </c>
    </row>
    <row r="2974" spans="1:4" x14ac:dyDescent="0.55000000000000004">
      <c r="A2974">
        <f t="shared" si="94"/>
        <v>2013</v>
      </c>
      <c r="B2974" s="821">
        <v>41348</v>
      </c>
      <c r="C2974">
        <v>3.22</v>
      </c>
      <c r="D2974">
        <f t="shared" si="95"/>
        <v>0</v>
      </c>
    </row>
    <row r="2975" spans="1:4" x14ac:dyDescent="0.55000000000000004">
      <c r="A2975">
        <f t="shared" si="94"/>
        <v>2013</v>
      </c>
      <c r="B2975" s="821">
        <v>41347</v>
      </c>
      <c r="C2975">
        <v>3.25</v>
      </c>
      <c r="D2975">
        <f t="shared" si="95"/>
        <v>0</v>
      </c>
    </row>
    <row r="2976" spans="1:4" x14ac:dyDescent="0.55000000000000004">
      <c r="A2976">
        <f t="shared" si="94"/>
        <v>2013</v>
      </c>
      <c r="B2976" s="821">
        <v>41346</v>
      </c>
      <c r="C2976">
        <v>3.22</v>
      </c>
      <c r="D2976">
        <f t="shared" si="95"/>
        <v>0</v>
      </c>
    </row>
    <row r="2977" spans="1:4" x14ac:dyDescent="0.55000000000000004">
      <c r="A2977">
        <f t="shared" si="94"/>
        <v>2013</v>
      </c>
      <c r="B2977" s="821">
        <v>41345</v>
      </c>
      <c r="C2977">
        <v>3.22</v>
      </c>
      <c r="D2977">
        <f t="shared" si="95"/>
        <v>0</v>
      </c>
    </row>
    <row r="2978" spans="1:4" x14ac:dyDescent="0.55000000000000004">
      <c r="A2978">
        <f t="shared" si="94"/>
        <v>2013</v>
      </c>
      <c r="B2978" s="821">
        <v>41344</v>
      </c>
      <c r="C2978">
        <v>3.26</v>
      </c>
      <c r="D2978">
        <f t="shared" si="95"/>
        <v>0</v>
      </c>
    </row>
    <row r="2979" spans="1:4" x14ac:dyDescent="0.55000000000000004">
      <c r="A2979">
        <f t="shared" si="94"/>
        <v>2013</v>
      </c>
      <c r="B2979" s="821">
        <v>41341</v>
      </c>
      <c r="C2979">
        <v>3.25</v>
      </c>
      <c r="D2979">
        <f t="shared" si="95"/>
        <v>0</v>
      </c>
    </row>
    <row r="2980" spans="1:4" x14ac:dyDescent="0.55000000000000004">
      <c r="A2980">
        <f t="shared" si="94"/>
        <v>2013</v>
      </c>
      <c r="B2980" s="821">
        <v>41340</v>
      </c>
      <c r="C2980">
        <v>3.2</v>
      </c>
      <c r="D2980">
        <f t="shared" si="95"/>
        <v>0</v>
      </c>
    </row>
    <row r="2981" spans="1:4" x14ac:dyDescent="0.55000000000000004">
      <c r="A2981">
        <f t="shared" si="94"/>
        <v>2013</v>
      </c>
      <c r="B2981" s="821">
        <v>41339</v>
      </c>
      <c r="C2981">
        <v>3.15</v>
      </c>
      <c r="D2981">
        <f t="shared" si="95"/>
        <v>0</v>
      </c>
    </row>
    <row r="2982" spans="1:4" x14ac:dyDescent="0.55000000000000004">
      <c r="A2982">
        <f t="shared" si="94"/>
        <v>2013</v>
      </c>
      <c r="B2982" s="821">
        <v>41338</v>
      </c>
      <c r="C2982">
        <v>3.1</v>
      </c>
      <c r="D2982">
        <f t="shared" si="95"/>
        <v>0</v>
      </c>
    </row>
    <row r="2983" spans="1:4" x14ac:dyDescent="0.55000000000000004">
      <c r="A2983">
        <f t="shared" si="94"/>
        <v>2013</v>
      </c>
      <c r="B2983" s="821">
        <v>41337</v>
      </c>
      <c r="C2983">
        <v>3.08</v>
      </c>
      <c r="D2983">
        <f t="shared" si="95"/>
        <v>0</v>
      </c>
    </row>
    <row r="2984" spans="1:4" x14ac:dyDescent="0.55000000000000004">
      <c r="A2984">
        <f t="shared" si="94"/>
        <v>2013</v>
      </c>
      <c r="B2984" s="821">
        <v>41334</v>
      </c>
      <c r="C2984">
        <v>3.06</v>
      </c>
      <c r="D2984">
        <f t="shared" si="95"/>
        <v>0</v>
      </c>
    </row>
    <row r="2985" spans="1:4" x14ac:dyDescent="0.55000000000000004">
      <c r="A2985">
        <f t="shared" si="94"/>
        <v>2013</v>
      </c>
      <c r="B2985" s="821">
        <v>41333</v>
      </c>
      <c r="C2985">
        <v>3.1</v>
      </c>
      <c r="D2985">
        <f t="shared" si="95"/>
        <v>0</v>
      </c>
    </row>
    <row r="2986" spans="1:4" x14ac:dyDescent="0.55000000000000004">
      <c r="A2986">
        <f t="shared" si="94"/>
        <v>2013</v>
      </c>
      <c r="B2986" s="821">
        <v>41332</v>
      </c>
      <c r="C2986">
        <v>3.11</v>
      </c>
      <c r="D2986">
        <f t="shared" si="95"/>
        <v>0</v>
      </c>
    </row>
    <row r="2987" spans="1:4" x14ac:dyDescent="0.55000000000000004">
      <c r="A2987">
        <f t="shared" si="94"/>
        <v>2013</v>
      </c>
      <c r="B2987" s="821">
        <v>41331</v>
      </c>
      <c r="C2987">
        <v>3.08</v>
      </c>
      <c r="D2987">
        <f t="shared" si="95"/>
        <v>0</v>
      </c>
    </row>
    <row r="2988" spans="1:4" x14ac:dyDescent="0.55000000000000004">
      <c r="A2988">
        <f t="shared" si="94"/>
        <v>2013</v>
      </c>
      <c r="B2988" s="821">
        <v>41330</v>
      </c>
      <c r="C2988">
        <v>3.08</v>
      </c>
      <c r="D2988">
        <f t="shared" si="95"/>
        <v>0</v>
      </c>
    </row>
    <row r="2989" spans="1:4" x14ac:dyDescent="0.55000000000000004">
      <c r="A2989">
        <f t="shared" si="94"/>
        <v>2013</v>
      </c>
      <c r="B2989" s="821">
        <v>41327</v>
      </c>
      <c r="C2989">
        <v>3.15</v>
      </c>
      <c r="D2989">
        <f t="shared" si="95"/>
        <v>0</v>
      </c>
    </row>
    <row r="2990" spans="1:4" x14ac:dyDescent="0.55000000000000004">
      <c r="A2990">
        <f t="shared" si="94"/>
        <v>2013</v>
      </c>
      <c r="B2990" s="821">
        <v>41326</v>
      </c>
      <c r="C2990">
        <v>3.17</v>
      </c>
      <c r="D2990">
        <f t="shared" si="95"/>
        <v>0</v>
      </c>
    </row>
    <row r="2991" spans="1:4" x14ac:dyDescent="0.55000000000000004">
      <c r="A2991">
        <f t="shared" si="94"/>
        <v>2013</v>
      </c>
      <c r="B2991" s="821">
        <v>41325</v>
      </c>
      <c r="C2991">
        <v>3.2</v>
      </c>
      <c r="D2991">
        <f t="shared" si="95"/>
        <v>0</v>
      </c>
    </row>
    <row r="2992" spans="1:4" x14ac:dyDescent="0.55000000000000004">
      <c r="A2992">
        <f t="shared" si="94"/>
        <v>2013</v>
      </c>
      <c r="B2992" s="821">
        <v>41324</v>
      </c>
      <c r="C2992">
        <v>3.21</v>
      </c>
      <c r="D2992">
        <f t="shared" si="95"/>
        <v>0</v>
      </c>
    </row>
    <row r="2993" spans="1:4" x14ac:dyDescent="0.55000000000000004">
      <c r="A2993">
        <f t="shared" si="94"/>
        <v>2013</v>
      </c>
      <c r="B2993" s="821">
        <v>41320</v>
      </c>
      <c r="C2993">
        <v>3.18</v>
      </c>
      <c r="D2993">
        <f t="shared" si="95"/>
        <v>0</v>
      </c>
    </row>
    <row r="2994" spans="1:4" x14ac:dyDescent="0.55000000000000004">
      <c r="A2994">
        <f t="shared" si="94"/>
        <v>2013</v>
      </c>
      <c r="B2994" s="821">
        <v>41319</v>
      </c>
      <c r="C2994">
        <v>3.17</v>
      </c>
      <c r="D2994">
        <f t="shared" si="95"/>
        <v>0</v>
      </c>
    </row>
    <row r="2995" spans="1:4" x14ac:dyDescent="0.55000000000000004">
      <c r="A2995">
        <f t="shared" si="94"/>
        <v>2013</v>
      </c>
      <c r="B2995" s="821">
        <v>41318</v>
      </c>
      <c r="C2995">
        <v>3.23</v>
      </c>
      <c r="D2995">
        <f t="shared" si="95"/>
        <v>0</v>
      </c>
    </row>
    <row r="2996" spans="1:4" x14ac:dyDescent="0.55000000000000004">
      <c r="A2996">
        <f t="shared" si="94"/>
        <v>2013</v>
      </c>
      <c r="B2996" s="821">
        <v>41317</v>
      </c>
      <c r="C2996">
        <v>3.19</v>
      </c>
      <c r="D2996">
        <f t="shared" si="95"/>
        <v>0</v>
      </c>
    </row>
    <row r="2997" spans="1:4" x14ac:dyDescent="0.55000000000000004">
      <c r="A2997">
        <f t="shared" si="94"/>
        <v>2013</v>
      </c>
      <c r="B2997" s="821">
        <v>41316</v>
      </c>
      <c r="C2997">
        <v>3.16</v>
      </c>
      <c r="D2997">
        <f t="shared" si="95"/>
        <v>0</v>
      </c>
    </row>
    <row r="2998" spans="1:4" x14ac:dyDescent="0.55000000000000004">
      <c r="A2998">
        <f t="shared" si="94"/>
        <v>2013</v>
      </c>
      <c r="B2998" s="821">
        <v>41313</v>
      </c>
      <c r="C2998">
        <v>3.17</v>
      </c>
      <c r="D2998">
        <f t="shared" si="95"/>
        <v>0</v>
      </c>
    </row>
    <row r="2999" spans="1:4" x14ac:dyDescent="0.55000000000000004">
      <c r="A2999">
        <f t="shared" si="94"/>
        <v>2013</v>
      </c>
      <c r="B2999" s="821">
        <v>41312</v>
      </c>
      <c r="C2999">
        <v>3.17</v>
      </c>
      <c r="D2999">
        <f t="shared" si="95"/>
        <v>0</v>
      </c>
    </row>
    <row r="3000" spans="1:4" x14ac:dyDescent="0.55000000000000004">
      <c r="A3000">
        <f t="shared" si="94"/>
        <v>2013</v>
      </c>
      <c r="B3000" s="821">
        <v>41311</v>
      </c>
      <c r="C3000">
        <v>3.18</v>
      </c>
      <c r="D3000">
        <f t="shared" si="95"/>
        <v>0</v>
      </c>
    </row>
    <row r="3001" spans="1:4" x14ac:dyDescent="0.55000000000000004">
      <c r="A3001">
        <f t="shared" si="94"/>
        <v>2013</v>
      </c>
      <c r="B3001" s="821">
        <v>41310</v>
      </c>
      <c r="C3001">
        <v>3.21</v>
      </c>
      <c r="D3001">
        <f t="shared" si="95"/>
        <v>0</v>
      </c>
    </row>
    <row r="3002" spans="1:4" x14ac:dyDescent="0.55000000000000004">
      <c r="A3002">
        <f t="shared" si="94"/>
        <v>2013</v>
      </c>
      <c r="B3002" s="821">
        <v>41309</v>
      </c>
      <c r="C3002">
        <v>3.17</v>
      </c>
      <c r="D3002">
        <f t="shared" si="95"/>
        <v>0</v>
      </c>
    </row>
    <row r="3003" spans="1:4" x14ac:dyDescent="0.55000000000000004">
      <c r="A3003">
        <f t="shared" si="94"/>
        <v>2013</v>
      </c>
      <c r="B3003" s="821">
        <v>41306</v>
      </c>
      <c r="C3003">
        <v>3.21</v>
      </c>
      <c r="D3003">
        <f t="shared" si="95"/>
        <v>0</v>
      </c>
    </row>
    <row r="3004" spans="1:4" x14ac:dyDescent="0.55000000000000004">
      <c r="A3004">
        <f t="shared" si="94"/>
        <v>2013</v>
      </c>
      <c r="B3004" s="821">
        <v>41305</v>
      </c>
      <c r="C3004">
        <v>3.17</v>
      </c>
      <c r="D3004">
        <f t="shared" si="95"/>
        <v>0</v>
      </c>
    </row>
    <row r="3005" spans="1:4" x14ac:dyDescent="0.55000000000000004">
      <c r="A3005">
        <f t="shared" si="94"/>
        <v>2013</v>
      </c>
      <c r="B3005" s="821">
        <v>41304</v>
      </c>
      <c r="C3005">
        <v>3.19</v>
      </c>
      <c r="D3005">
        <f t="shared" si="95"/>
        <v>0</v>
      </c>
    </row>
    <row r="3006" spans="1:4" x14ac:dyDescent="0.55000000000000004">
      <c r="A3006">
        <f t="shared" si="94"/>
        <v>2013</v>
      </c>
      <c r="B3006" s="821">
        <v>41303</v>
      </c>
      <c r="C3006">
        <v>3.18</v>
      </c>
      <c r="D3006">
        <f t="shared" si="95"/>
        <v>0</v>
      </c>
    </row>
    <row r="3007" spans="1:4" x14ac:dyDescent="0.55000000000000004">
      <c r="A3007">
        <f t="shared" si="94"/>
        <v>2013</v>
      </c>
      <c r="B3007" s="821">
        <v>41302</v>
      </c>
      <c r="C3007">
        <v>3.15</v>
      </c>
      <c r="D3007">
        <f t="shared" si="95"/>
        <v>0</v>
      </c>
    </row>
    <row r="3008" spans="1:4" x14ac:dyDescent="0.55000000000000004">
      <c r="A3008">
        <f t="shared" si="94"/>
        <v>2013</v>
      </c>
      <c r="B3008" s="821">
        <v>41299</v>
      </c>
      <c r="C3008">
        <v>3.14</v>
      </c>
      <c r="D3008">
        <f t="shared" si="95"/>
        <v>0</v>
      </c>
    </row>
    <row r="3009" spans="1:4" x14ac:dyDescent="0.55000000000000004">
      <c r="A3009">
        <f t="shared" si="94"/>
        <v>2013</v>
      </c>
      <c r="B3009" s="821">
        <v>41298</v>
      </c>
      <c r="C3009">
        <v>3.04</v>
      </c>
      <c r="D3009">
        <f t="shared" si="95"/>
        <v>0</v>
      </c>
    </row>
    <row r="3010" spans="1:4" x14ac:dyDescent="0.55000000000000004">
      <c r="A3010">
        <f t="shared" si="94"/>
        <v>2013</v>
      </c>
      <c r="B3010" s="821">
        <v>41297</v>
      </c>
      <c r="C3010">
        <v>3.02</v>
      </c>
      <c r="D3010">
        <f t="shared" si="95"/>
        <v>0</v>
      </c>
    </row>
    <row r="3011" spans="1:4" x14ac:dyDescent="0.55000000000000004">
      <c r="A3011">
        <f t="shared" si="94"/>
        <v>2013</v>
      </c>
      <c r="B3011" s="821">
        <v>41296</v>
      </c>
      <c r="C3011">
        <v>3.02</v>
      </c>
      <c r="D3011">
        <f t="shared" si="95"/>
        <v>0</v>
      </c>
    </row>
    <row r="3012" spans="1:4" x14ac:dyDescent="0.55000000000000004">
      <c r="A3012">
        <f t="shared" ref="A3012:A3075" si="96">YEAR(B3012)</f>
        <v>2013</v>
      </c>
      <c r="B3012" s="821">
        <v>41292</v>
      </c>
      <c r="C3012">
        <v>3.03</v>
      </c>
      <c r="D3012">
        <f t="shared" ref="D3012:D3075" si="97">IF(C3012&gt;4,1,0)</f>
        <v>0</v>
      </c>
    </row>
    <row r="3013" spans="1:4" x14ac:dyDescent="0.55000000000000004">
      <c r="A3013">
        <f t="shared" si="96"/>
        <v>2013</v>
      </c>
      <c r="B3013" s="821">
        <v>41291</v>
      </c>
      <c r="C3013">
        <v>3.06</v>
      </c>
      <c r="D3013">
        <f t="shared" si="97"/>
        <v>0</v>
      </c>
    </row>
    <row r="3014" spans="1:4" x14ac:dyDescent="0.55000000000000004">
      <c r="A3014">
        <f t="shared" si="96"/>
        <v>2013</v>
      </c>
      <c r="B3014" s="821">
        <v>41290</v>
      </c>
      <c r="C3014">
        <v>3.01</v>
      </c>
      <c r="D3014">
        <f t="shared" si="97"/>
        <v>0</v>
      </c>
    </row>
    <row r="3015" spans="1:4" x14ac:dyDescent="0.55000000000000004">
      <c r="A3015">
        <f t="shared" si="96"/>
        <v>2013</v>
      </c>
      <c r="B3015" s="821">
        <v>41289</v>
      </c>
      <c r="C3015">
        <v>3.02</v>
      </c>
      <c r="D3015">
        <f t="shared" si="97"/>
        <v>0</v>
      </c>
    </row>
    <row r="3016" spans="1:4" x14ac:dyDescent="0.55000000000000004">
      <c r="A3016">
        <f t="shared" si="96"/>
        <v>2013</v>
      </c>
      <c r="B3016" s="821">
        <v>41288</v>
      </c>
      <c r="C3016">
        <v>3.05</v>
      </c>
      <c r="D3016">
        <f t="shared" si="97"/>
        <v>0</v>
      </c>
    </row>
    <row r="3017" spans="1:4" x14ac:dyDescent="0.55000000000000004">
      <c r="A3017">
        <f t="shared" si="96"/>
        <v>2013</v>
      </c>
      <c r="B3017" s="821">
        <v>41285</v>
      </c>
      <c r="C3017">
        <v>3.05</v>
      </c>
      <c r="D3017">
        <f t="shared" si="97"/>
        <v>0</v>
      </c>
    </row>
    <row r="3018" spans="1:4" x14ac:dyDescent="0.55000000000000004">
      <c r="A3018">
        <f t="shared" si="96"/>
        <v>2013</v>
      </c>
      <c r="B3018" s="821">
        <v>41284</v>
      </c>
      <c r="C3018">
        <v>3.08</v>
      </c>
      <c r="D3018">
        <f t="shared" si="97"/>
        <v>0</v>
      </c>
    </row>
    <row r="3019" spans="1:4" x14ac:dyDescent="0.55000000000000004">
      <c r="A3019">
        <f t="shared" si="96"/>
        <v>2013</v>
      </c>
      <c r="B3019" s="821">
        <v>41283</v>
      </c>
      <c r="C3019">
        <v>3.06</v>
      </c>
      <c r="D3019">
        <f t="shared" si="97"/>
        <v>0</v>
      </c>
    </row>
    <row r="3020" spans="1:4" x14ac:dyDescent="0.55000000000000004">
      <c r="A3020">
        <f t="shared" si="96"/>
        <v>2013</v>
      </c>
      <c r="B3020" s="821">
        <v>41282</v>
      </c>
      <c r="C3020">
        <v>3.06</v>
      </c>
      <c r="D3020">
        <f t="shared" si="97"/>
        <v>0</v>
      </c>
    </row>
    <row r="3021" spans="1:4" x14ac:dyDescent="0.55000000000000004">
      <c r="A3021">
        <f t="shared" si="96"/>
        <v>2013</v>
      </c>
      <c r="B3021" s="821">
        <v>41281</v>
      </c>
      <c r="C3021">
        <v>3.1</v>
      </c>
      <c r="D3021">
        <f t="shared" si="97"/>
        <v>0</v>
      </c>
    </row>
    <row r="3022" spans="1:4" x14ac:dyDescent="0.55000000000000004">
      <c r="A3022">
        <f t="shared" si="96"/>
        <v>2013</v>
      </c>
      <c r="B3022" s="821">
        <v>41278</v>
      </c>
      <c r="C3022">
        <v>3.1</v>
      </c>
      <c r="D3022">
        <f t="shared" si="97"/>
        <v>0</v>
      </c>
    </row>
    <row r="3023" spans="1:4" x14ac:dyDescent="0.55000000000000004">
      <c r="A3023">
        <f t="shared" si="96"/>
        <v>2013</v>
      </c>
      <c r="B3023" s="821">
        <v>41277</v>
      </c>
      <c r="C3023">
        <v>3.12</v>
      </c>
      <c r="D3023">
        <f t="shared" si="97"/>
        <v>0</v>
      </c>
    </row>
    <row r="3024" spans="1:4" x14ac:dyDescent="0.55000000000000004">
      <c r="A3024">
        <f t="shared" si="96"/>
        <v>2013</v>
      </c>
      <c r="B3024" s="821">
        <v>41276</v>
      </c>
      <c r="C3024">
        <v>3.04</v>
      </c>
      <c r="D3024">
        <f t="shared" si="97"/>
        <v>0</v>
      </c>
    </row>
    <row r="3025" spans="1:4" x14ac:dyDescent="0.55000000000000004">
      <c r="A3025">
        <f t="shared" si="96"/>
        <v>2012</v>
      </c>
      <c r="B3025" s="821">
        <v>41274</v>
      </c>
      <c r="C3025">
        <v>2.95</v>
      </c>
      <c r="D3025">
        <f t="shared" si="97"/>
        <v>0</v>
      </c>
    </row>
    <row r="3026" spans="1:4" x14ac:dyDescent="0.55000000000000004">
      <c r="A3026">
        <f t="shared" si="96"/>
        <v>2012</v>
      </c>
      <c r="B3026" s="821">
        <v>41271</v>
      </c>
      <c r="C3026">
        <v>2.88</v>
      </c>
      <c r="D3026">
        <f t="shared" si="97"/>
        <v>0</v>
      </c>
    </row>
    <row r="3027" spans="1:4" x14ac:dyDescent="0.55000000000000004">
      <c r="A3027">
        <f t="shared" si="96"/>
        <v>2012</v>
      </c>
      <c r="B3027" s="821">
        <v>41270</v>
      </c>
      <c r="C3027">
        <v>2.89</v>
      </c>
      <c r="D3027">
        <f t="shared" si="97"/>
        <v>0</v>
      </c>
    </row>
    <row r="3028" spans="1:4" x14ac:dyDescent="0.55000000000000004">
      <c r="A3028">
        <f t="shared" si="96"/>
        <v>2012</v>
      </c>
      <c r="B3028" s="821">
        <v>41269</v>
      </c>
      <c r="C3028">
        <v>2.94</v>
      </c>
      <c r="D3028">
        <f t="shared" si="97"/>
        <v>0</v>
      </c>
    </row>
    <row r="3029" spans="1:4" x14ac:dyDescent="0.55000000000000004">
      <c r="A3029">
        <f t="shared" si="96"/>
        <v>2012</v>
      </c>
      <c r="B3029" s="821">
        <v>41267</v>
      </c>
      <c r="C3029">
        <v>2.94</v>
      </c>
      <c r="D3029">
        <f t="shared" si="97"/>
        <v>0</v>
      </c>
    </row>
    <row r="3030" spans="1:4" x14ac:dyDescent="0.55000000000000004">
      <c r="A3030">
        <f t="shared" si="96"/>
        <v>2012</v>
      </c>
      <c r="B3030" s="821">
        <v>41264</v>
      </c>
      <c r="C3030">
        <v>2.93</v>
      </c>
      <c r="D3030">
        <f t="shared" si="97"/>
        <v>0</v>
      </c>
    </row>
    <row r="3031" spans="1:4" x14ac:dyDescent="0.55000000000000004">
      <c r="A3031">
        <f t="shared" si="96"/>
        <v>2012</v>
      </c>
      <c r="B3031" s="821">
        <v>41263</v>
      </c>
      <c r="C3031">
        <v>2.98</v>
      </c>
      <c r="D3031">
        <f t="shared" si="97"/>
        <v>0</v>
      </c>
    </row>
    <row r="3032" spans="1:4" x14ac:dyDescent="0.55000000000000004">
      <c r="A3032">
        <f t="shared" si="96"/>
        <v>2012</v>
      </c>
      <c r="B3032" s="821">
        <v>41262</v>
      </c>
      <c r="C3032">
        <v>2.99</v>
      </c>
      <c r="D3032">
        <f t="shared" si="97"/>
        <v>0</v>
      </c>
    </row>
    <row r="3033" spans="1:4" x14ac:dyDescent="0.55000000000000004">
      <c r="A3033">
        <f t="shared" si="96"/>
        <v>2012</v>
      </c>
      <c r="B3033" s="821">
        <v>41261</v>
      </c>
      <c r="C3033">
        <v>3</v>
      </c>
      <c r="D3033">
        <f t="shared" si="97"/>
        <v>0</v>
      </c>
    </row>
    <row r="3034" spans="1:4" x14ac:dyDescent="0.55000000000000004">
      <c r="A3034">
        <f t="shared" si="96"/>
        <v>2012</v>
      </c>
      <c r="B3034" s="821">
        <v>41260</v>
      </c>
      <c r="C3034">
        <v>2.94</v>
      </c>
      <c r="D3034">
        <f t="shared" si="97"/>
        <v>0</v>
      </c>
    </row>
    <row r="3035" spans="1:4" x14ac:dyDescent="0.55000000000000004">
      <c r="A3035">
        <f t="shared" si="96"/>
        <v>2012</v>
      </c>
      <c r="B3035" s="821">
        <v>41257</v>
      </c>
      <c r="C3035">
        <v>2.87</v>
      </c>
      <c r="D3035">
        <f t="shared" si="97"/>
        <v>0</v>
      </c>
    </row>
    <row r="3036" spans="1:4" x14ac:dyDescent="0.55000000000000004">
      <c r="A3036">
        <f t="shared" si="96"/>
        <v>2012</v>
      </c>
      <c r="B3036" s="821">
        <v>41256</v>
      </c>
      <c r="C3036">
        <v>2.9</v>
      </c>
      <c r="D3036">
        <f t="shared" si="97"/>
        <v>0</v>
      </c>
    </row>
    <row r="3037" spans="1:4" x14ac:dyDescent="0.55000000000000004">
      <c r="A3037">
        <f t="shared" si="96"/>
        <v>2012</v>
      </c>
      <c r="B3037" s="821">
        <v>41255</v>
      </c>
      <c r="C3037">
        <v>2.9</v>
      </c>
      <c r="D3037">
        <f t="shared" si="97"/>
        <v>0</v>
      </c>
    </row>
    <row r="3038" spans="1:4" x14ac:dyDescent="0.55000000000000004">
      <c r="A3038">
        <f t="shared" si="96"/>
        <v>2012</v>
      </c>
      <c r="B3038" s="821">
        <v>41254</v>
      </c>
      <c r="C3038">
        <v>2.83</v>
      </c>
      <c r="D3038">
        <f t="shared" si="97"/>
        <v>0</v>
      </c>
    </row>
    <row r="3039" spans="1:4" x14ac:dyDescent="0.55000000000000004">
      <c r="A3039">
        <f t="shared" si="96"/>
        <v>2012</v>
      </c>
      <c r="B3039" s="821">
        <v>41253</v>
      </c>
      <c r="C3039">
        <v>2.8</v>
      </c>
      <c r="D3039">
        <f t="shared" si="97"/>
        <v>0</v>
      </c>
    </row>
    <row r="3040" spans="1:4" x14ac:dyDescent="0.55000000000000004">
      <c r="A3040">
        <f t="shared" si="96"/>
        <v>2012</v>
      </c>
      <c r="B3040" s="821">
        <v>41250</v>
      </c>
      <c r="C3040">
        <v>2.81</v>
      </c>
      <c r="D3040">
        <f t="shared" si="97"/>
        <v>0</v>
      </c>
    </row>
    <row r="3041" spans="1:4" x14ac:dyDescent="0.55000000000000004">
      <c r="A3041">
        <f t="shared" si="96"/>
        <v>2012</v>
      </c>
      <c r="B3041" s="821">
        <v>41249</v>
      </c>
      <c r="C3041">
        <v>2.76</v>
      </c>
      <c r="D3041">
        <f t="shared" si="97"/>
        <v>0</v>
      </c>
    </row>
    <row r="3042" spans="1:4" x14ac:dyDescent="0.55000000000000004">
      <c r="A3042">
        <f t="shared" si="96"/>
        <v>2012</v>
      </c>
      <c r="B3042" s="821">
        <v>41248</v>
      </c>
      <c r="C3042">
        <v>2.78</v>
      </c>
      <c r="D3042">
        <f t="shared" si="97"/>
        <v>0</v>
      </c>
    </row>
    <row r="3043" spans="1:4" x14ac:dyDescent="0.55000000000000004">
      <c r="A3043">
        <f t="shared" si="96"/>
        <v>2012</v>
      </c>
      <c r="B3043" s="821">
        <v>41247</v>
      </c>
      <c r="C3043">
        <v>2.78</v>
      </c>
      <c r="D3043">
        <f t="shared" si="97"/>
        <v>0</v>
      </c>
    </row>
    <row r="3044" spans="1:4" x14ac:dyDescent="0.55000000000000004">
      <c r="A3044">
        <f t="shared" si="96"/>
        <v>2012</v>
      </c>
      <c r="B3044" s="821">
        <v>41246</v>
      </c>
      <c r="C3044">
        <v>2.8</v>
      </c>
      <c r="D3044">
        <f t="shared" si="97"/>
        <v>0</v>
      </c>
    </row>
    <row r="3045" spans="1:4" x14ac:dyDescent="0.55000000000000004">
      <c r="A3045">
        <f t="shared" si="96"/>
        <v>2012</v>
      </c>
      <c r="B3045" s="821">
        <v>41243</v>
      </c>
      <c r="C3045">
        <v>2.81</v>
      </c>
      <c r="D3045">
        <f t="shared" si="97"/>
        <v>0</v>
      </c>
    </row>
    <row r="3046" spans="1:4" x14ac:dyDescent="0.55000000000000004">
      <c r="A3046">
        <f t="shared" si="96"/>
        <v>2012</v>
      </c>
      <c r="B3046" s="821">
        <v>41242</v>
      </c>
      <c r="C3046">
        <v>2.79</v>
      </c>
      <c r="D3046">
        <f t="shared" si="97"/>
        <v>0</v>
      </c>
    </row>
    <row r="3047" spans="1:4" x14ac:dyDescent="0.55000000000000004">
      <c r="A3047">
        <f t="shared" si="96"/>
        <v>2012</v>
      </c>
      <c r="B3047" s="821">
        <v>41241</v>
      </c>
      <c r="C3047">
        <v>2.79</v>
      </c>
      <c r="D3047">
        <f t="shared" si="97"/>
        <v>0</v>
      </c>
    </row>
    <row r="3048" spans="1:4" x14ac:dyDescent="0.55000000000000004">
      <c r="A3048">
        <f t="shared" si="96"/>
        <v>2012</v>
      </c>
      <c r="B3048" s="821">
        <v>41240</v>
      </c>
      <c r="C3048">
        <v>2.79</v>
      </c>
      <c r="D3048">
        <f t="shared" si="97"/>
        <v>0</v>
      </c>
    </row>
    <row r="3049" spans="1:4" x14ac:dyDescent="0.55000000000000004">
      <c r="A3049">
        <f t="shared" si="96"/>
        <v>2012</v>
      </c>
      <c r="B3049" s="821">
        <v>41239</v>
      </c>
      <c r="C3049">
        <v>2.8</v>
      </c>
      <c r="D3049">
        <f t="shared" si="97"/>
        <v>0</v>
      </c>
    </row>
    <row r="3050" spans="1:4" x14ac:dyDescent="0.55000000000000004">
      <c r="A3050">
        <f t="shared" si="96"/>
        <v>2012</v>
      </c>
      <c r="B3050" s="821">
        <v>41236</v>
      </c>
      <c r="C3050">
        <v>2.83</v>
      </c>
      <c r="D3050">
        <f t="shared" si="97"/>
        <v>0</v>
      </c>
    </row>
    <row r="3051" spans="1:4" x14ac:dyDescent="0.55000000000000004">
      <c r="A3051">
        <f t="shared" si="96"/>
        <v>2012</v>
      </c>
      <c r="B3051" s="821">
        <v>41234</v>
      </c>
      <c r="C3051">
        <v>2.83</v>
      </c>
      <c r="D3051">
        <f t="shared" si="97"/>
        <v>0</v>
      </c>
    </row>
    <row r="3052" spans="1:4" x14ac:dyDescent="0.55000000000000004">
      <c r="A3052">
        <f t="shared" si="96"/>
        <v>2012</v>
      </c>
      <c r="B3052" s="821">
        <v>41233</v>
      </c>
      <c r="C3052">
        <v>2.82</v>
      </c>
      <c r="D3052">
        <f t="shared" si="97"/>
        <v>0</v>
      </c>
    </row>
    <row r="3053" spans="1:4" x14ac:dyDescent="0.55000000000000004">
      <c r="A3053">
        <f t="shared" si="96"/>
        <v>2012</v>
      </c>
      <c r="B3053" s="821">
        <v>41232</v>
      </c>
      <c r="C3053">
        <v>2.76</v>
      </c>
      <c r="D3053">
        <f t="shared" si="97"/>
        <v>0</v>
      </c>
    </row>
    <row r="3054" spans="1:4" x14ac:dyDescent="0.55000000000000004">
      <c r="A3054">
        <f t="shared" si="96"/>
        <v>2012</v>
      </c>
      <c r="B3054" s="821">
        <v>41229</v>
      </c>
      <c r="C3054">
        <v>2.73</v>
      </c>
      <c r="D3054">
        <f t="shared" si="97"/>
        <v>0</v>
      </c>
    </row>
    <row r="3055" spans="1:4" x14ac:dyDescent="0.55000000000000004">
      <c r="A3055">
        <f t="shared" si="96"/>
        <v>2012</v>
      </c>
      <c r="B3055" s="821">
        <v>41228</v>
      </c>
      <c r="C3055">
        <v>2.72</v>
      </c>
      <c r="D3055">
        <f t="shared" si="97"/>
        <v>0</v>
      </c>
    </row>
    <row r="3056" spans="1:4" x14ac:dyDescent="0.55000000000000004">
      <c r="A3056">
        <f t="shared" si="96"/>
        <v>2012</v>
      </c>
      <c r="B3056" s="821">
        <v>41227</v>
      </c>
      <c r="C3056">
        <v>2.73</v>
      </c>
      <c r="D3056">
        <f t="shared" si="97"/>
        <v>0</v>
      </c>
    </row>
    <row r="3057" spans="1:4" x14ac:dyDescent="0.55000000000000004">
      <c r="A3057">
        <f t="shared" si="96"/>
        <v>2012</v>
      </c>
      <c r="B3057" s="821">
        <v>41226</v>
      </c>
      <c r="C3057">
        <v>2.72</v>
      </c>
      <c r="D3057">
        <f t="shared" si="97"/>
        <v>0</v>
      </c>
    </row>
    <row r="3058" spans="1:4" x14ac:dyDescent="0.55000000000000004">
      <c r="A3058">
        <f t="shared" si="96"/>
        <v>2012</v>
      </c>
      <c r="B3058" s="821">
        <v>41222</v>
      </c>
      <c r="C3058">
        <v>2.75</v>
      </c>
      <c r="D3058">
        <f t="shared" si="97"/>
        <v>0</v>
      </c>
    </row>
    <row r="3059" spans="1:4" x14ac:dyDescent="0.55000000000000004">
      <c r="A3059">
        <f t="shared" si="96"/>
        <v>2012</v>
      </c>
      <c r="B3059" s="821">
        <v>41221</v>
      </c>
      <c r="C3059">
        <v>2.77</v>
      </c>
      <c r="D3059">
        <f t="shared" si="97"/>
        <v>0</v>
      </c>
    </row>
    <row r="3060" spans="1:4" x14ac:dyDescent="0.55000000000000004">
      <c r="A3060">
        <f t="shared" si="96"/>
        <v>2012</v>
      </c>
      <c r="B3060" s="821">
        <v>41220</v>
      </c>
      <c r="C3060">
        <v>2.83</v>
      </c>
      <c r="D3060">
        <f t="shared" si="97"/>
        <v>0</v>
      </c>
    </row>
    <row r="3061" spans="1:4" x14ac:dyDescent="0.55000000000000004">
      <c r="A3061">
        <f t="shared" si="96"/>
        <v>2012</v>
      </c>
      <c r="B3061" s="821">
        <v>41219</v>
      </c>
      <c r="C3061">
        <v>2.92</v>
      </c>
      <c r="D3061">
        <f t="shared" si="97"/>
        <v>0</v>
      </c>
    </row>
    <row r="3062" spans="1:4" x14ac:dyDescent="0.55000000000000004">
      <c r="A3062">
        <f t="shared" si="96"/>
        <v>2012</v>
      </c>
      <c r="B3062" s="821">
        <v>41218</v>
      </c>
      <c r="C3062">
        <v>2.88</v>
      </c>
      <c r="D3062">
        <f t="shared" si="97"/>
        <v>0</v>
      </c>
    </row>
    <row r="3063" spans="1:4" x14ac:dyDescent="0.55000000000000004">
      <c r="A3063">
        <f t="shared" si="96"/>
        <v>2012</v>
      </c>
      <c r="B3063" s="821">
        <v>41215</v>
      </c>
      <c r="C3063">
        <v>2.91</v>
      </c>
      <c r="D3063">
        <f t="shared" si="97"/>
        <v>0</v>
      </c>
    </row>
    <row r="3064" spans="1:4" x14ac:dyDescent="0.55000000000000004">
      <c r="A3064">
        <f t="shared" si="96"/>
        <v>2012</v>
      </c>
      <c r="B3064" s="821">
        <v>41214</v>
      </c>
      <c r="C3064">
        <v>2.89</v>
      </c>
      <c r="D3064">
        <f t="shared" si="97"/>
        <v>0</v>
      </c>
    </row>
    <row r="3065" spans="1:4" x14ac:dyDescent="0.55000000000000004">
      <c r="A3065">
        <f t="shared" si="96"/>
        <v>2012</v>
      </c>
      <c r="B3065" s="821">
        <v>41213</v>
      </c>
      <c r="C3065">
        <v>2.85</v>
      </c>
      <c r="D3065">
        <f t="shared" si="97"/>
        <v>0</v>
      </c>
    </row>
    <row r="3066" spans="1:4" x14ac:dyDescent="0.55000000000000004">
      <c r="A3066">
        <f t="shared" si="96"/>
        <v>2012</v>
      </c>
      <c r="B3066" s="821">
        <v>41211</v>
      </c>
      <c r="C3066">
        <v>2.87</v>
      </c>
      <c r="D3066">
        <f t="shared" si="97"/>
        <v>0</v>
      </c>
    </row>
    <row r="3067" spans="1:4" x14ac:dyDescent="0.55000000000000004">
      <c r="A3067">
        <f t="shared" si="96"/>
        <v>2012</v>
      </c>
      <c r="B3067" s="821">
        <v>41208</v>
      </c>
      <c r="C3067">
        <v>2.92</v>
      </c>
      <c r="D3067">
        <f t="shared" si="97"/>
        <v>0</v>
      </c>
    </row>
    <row r="3068" spans="1:4" x14ac:dyDescent="0.55000000000000004">
      <c r="A3068">
        <f t="shared" si="96"/>
        <v>2012</v>
      </c>
      <c r="B3068" s="821">
        <v>41207</v>
      </c>
      <c r="C3068">
        <v>2.98</v>
      </c>
      <c r="D3068">
        <f t="shared" si="97"/>
        <v>0</v>
      </c>
    </row>
    <row r="3069" spans="1:4" x14ac:dyDescent="0.55000000000000004">
      <c r="A3069">
        <f t="shared" si="96"/>
        <v>2012</v>
      </c>
      <c r="B3069" s="821">
        <v>41206</v>
      </c>
      <c r="C3069">
        <v>2.93</v>
      </c>
      <c r="D3069">
        <f t="shared" si="97"/>
        <v>0</v>
      </c>
    </row>
    <row r="3070" spans="1:4" x14ac:dyDescent="0.55000000000000004">
      <c r="A3070">
        <f t="shared" si="96"/>
        <v>2012</v>
      </c>
      <c r="B3070" s="821">
        <v>41205</v>
      </c>
      <c r="C3070">
        <v>2.91</v>
      </c>
      <c r="D3070">
        <f t="shared" si="97"/>
        <v>0</v>
      </c>
    </row>
    <row r="3071" spans="1:4" x14ac:dyDescent="0.55000000000000004">
      <c r="A3071">
        <f t="shared" si="96"/>
        <v>2012</v>
      </c>
      <c r="B3071" s="821">
        <v>41204</v>
      </c>
      <c r="C3071">
        <v>2.95</v>
      </c>
      <c r="D3071">
        <f t="shared" si="97"/>
        <v>0</v>
      </c>
    </row>
    <row r="3072" spans="1:4" x14ac:dyDescent="0.55000000000000004">
      <c r="A3072">
        <f t="shared" si="96"/>
        <v>2012</v>
      </c>
      <c r="B3072" s="821">
        <v>41201</v>
      </c>
      <c r="C3072">
        <v>2.94</v>
      </c>
      <c r="D3072">
        <f t="shared" si="97"/>
        <v>0</v>
      </c>
    </row>
    <row r="3073" spans="1:4" x14ac:dyDescent="0.55000000000000004">
      <c r="A3073">
        <f t="shared" si="96"/>
        <v>2012</v>
      </c>
      <c r="B3073" s="821">
        <v>41200</v>
      </c>
      <c r="C3073">
        <v>3.02</v>
      </c>
      <c r="D3073">
        <f t="shared" si="97"/>
        <v>0</v>
      </c>
    </row>
    <row r="3074" spans="1:4" x14ac:dyDescent="0.55000000000000004">
      <c r="A3074">
        <f t="shared" si="96"/>
        <v>2012</v>
      </c>
      <c r="B3074" s="821">
        <v>41199</v>
      </c>
      <c r="C3074">
        <v>2.98</v>
      </c>
      <c r="D3074">
        <f t="shared" si="97"/>
        <v>0</v>
      </c>
    </row>
    <row r="3075" spans="1:4" x14ac:dyDescent="0.55000000000000004">
      <c r="A3075">
        <f t="shared" si="96"/>
        <v>2012</v>
      </c>
      <c r="B3075" s="821">
        <v>41198</v>
      </c>
      <c r="C3075">
        <v>2.91</v>
      </c>
      <c r="D3075">
        <f t="shared" si="97"/>
        <v>0</v>
      </c>
    </row>
    <row r="3076" spans="1:4" x14ac:dyDescent="0.55000000000000004">
      <c r="A3076">
        <f t="shared" ref="A3076:A3139" si="98">YEAR(B3076)</f>
        <v>2012</v>
      </c>
      <c r="B3076" s="821">
        <v>41197</v>
      </c>
      <c r="C3076">
        <v>2.85</v>
      </c>
      <c r="D3076">
        <f t="shared" ref="D3076:D3139" si="99">IF(C3076&gt;4,1,0)</f>
        <v>0</v>
      </c>
    </row>
    <row r="3077" spans="1:4" x14ac:dyDescent="0.55000000000000004">
      <c r="A3077">
        <f t="shared" si="98"/>
        <v>2012</v>
      </c>
      <c r="B3077" s="821">
        <v>41194</v>
      </c>
      <c r="C3077">
        <v>2.83</v>
      </c>
      <c r="D3077">
        <f t="shared" si="99"/>
        <v>0</v>
      </c>
    </row>
    <row r="3078" spans="1:4" x14ac:dyDescent="0.55000000000000004">
      <c r="A3078">
        <f t="shared" si="98"/>
        <v>2012</v>
      </c>
      <c r="B3078" s="821">
        <v>41193</v>
      </c>
      <c r="C3078">
        <v>2.86</v>
      </c>
      <c r="D3078">
        <f t="shared" si="99"/>
        <v>0</v>
      </c>
    </row>
    <row r="3079" spans="1:4" x14ac:dyDescent="0.55000000000000004">
      <c r="A3079">
        <f t="shared" si="98"/>
        <v>2012</v>
      </c>
      <c r="B3079" s="821">
        <v>41192</v>
      </c>
      <c r="C3079">
        <v>2.89</v>
      </c>
      <c r="D3079">
        <f t="shared" si="99"/>
        <v>0</v>
      </c>
    </row>
    <row r="3080" spans="1:4" x14ac:dyDescent="0.55000000000000004">
      <c r="A3080">
        <f t="shared" si="98"/>
        <v>2012</v>
      </c>
      <c r="B3080" s="821">
        <v>41191</v>
      </c>
      <c r="C3080">
        <v>2.93</v>
      </c>
      <c r="D3080">
        <f t="shared" si="99"/>
        <v>0</v>
      </c>
    </row>
    <row r="3081" spans="1:4" x14ac:dyDescent="0.55000000000000004">
      <c r="A3081">
        <f t="shared" si="98"/>
        <v>2012</v>
      </c>
      <c r="B3081" s="821">
        <v>41187</v>
      </c>
      <c r="C3081">
        <v>2.96</v>
      </c>
      <c r="D3081">
        <f t="shared" si="99"/>
        <v>0</v>
      </c>
    </row>
    <row r="3082" spans="1:4" x14ac:dyDescent="0.55000000000000004">
      <c r="A3082">
        <f t="shared" si="98"/>
        <v>2012</v>
      </c>
      <c r="B3082" s="821">
        <v>41186</v>
      </c>
      <c r="C3082">
        <v>2.89</v>
      </c>
      <c r="D3082">
        <f t="shared" si="99"/>
        <v>0</v>
      </c>
    </row>
    <row r="3083" spans="1:4" x14ac:dyDescent="0.55000000000000004">
      <c r="A3083">
        <f t="shared" si="98"/>
        <v>2012</v>
      </c>
      <c r="B3083" s="821">
        <v>41185</v>
      </c>
      <c r="C3083">
        <v>2.82</v>
      </c>
      <c r="D3083">
        <f t="shared" si="99"/>
        <v>0</v>
      </c>
    </row>
    <row r="3084" spans="1:4" x14ac:dyDescent="0.55000000000000004">
      <c r="A3084">
        <f t="shared" si="98"/>
        <v>2012</v>
      </c>
      <c r="B3084" s="821">
        <v>41184</v>
      </c>
      <c r="C3084">
        <v>2.81</v>
      </c>
      <c r="D3084">
        <f t="shared" si="99"/>
        <v>0</v>
      </c>
    </row>
    <row r="3085" spans="1:4" x14ac:dyDescent="0.55000000000000004">
      <c r="A3085">
        <f t="shared" si="98"/>
        <v>2012</v>
      </c>
      <c r="B3085" s="821">
        <v>41183</v>
      </c>
      <c r="C3085">
        <v>2.81</v>
      </c>
      <c r="D3085">
        <f t="shared" si="99"/>
        <v>0</v>
      </c>
    </row>
    <row r="3086" spans="1:4" x14ac:dyDescent="0.55000000000000004">
      <c r="A3086">
        <f t="shared" si="98"/>
        <v>2012</v>
      </c>
      <c r="B3086" s="821">
        <v>41180</v>
      </c>
      <c r="C3086">
        <v>2.82</v>
      </c>
      <c r="D3086">
        <f t="shared" si="99"/>
        <v>0</v>
      </c>
    </row>
    <row r="3087" spans="1:4" x14ac:dyDescent="0.55000000000000004">
      <c r="A3087">
        <f t="shared" si="98"/>
        <v>2012</v>
      </c>
      <c r="B3087" s="821">
        <v>41179</v>
      </c>
      <c r="C3087">
        <v>2.83</v>
      </c>
      <c r="D3087">
        <f t="shared" si="99"/>
        <v>0</v>
      </c>
    </row>
    <row r="3088" spans="1:4" x14ac:dyDescent="0.55000000000000004">
      <c r="A3088">
        <f t="shared" si="98"/>
        <v>2012</v>
      </c>
      <c r="B3088" s="821">
        <v>41178</v>
      </c>
      <c r="C3088">
        <v>2.79</v>
      </c>
      <c r="D3088">
        <f t="shared" si="99"/>
        <v>0</v>
      </c>
    </row>
    <row r="3089" spans="1:4" x14ac:dyDescent="0.55000000000000004">
      <c r="A3089">
        <f t="shared" si="98"/>
        <v>2012</v>
      </c>
      <c r="B3089" s="821">
        <v>41177</v>
      </c>
      <c r="C3089">
        <v>2.86</v>
      </c>
      <c r="D3089">
        <f t="shared" si="99"/>
        <v>0</v>
      </c>
    </row>
    <row r="3090" spans="1:4" x14ac:dyDescent="0.55000000000000004">
      <c r="A3090">
        <f t="shared" si="98"/>
        <v>2012</v>
      </c>
      <c r="B3090" s="821">
        <v>41176</v>
      </c>
      <c r="C3090">
        <v>2.91</v>
      </c>
      <c r="D3090">
        <f t="shared" si="99"/>
        <v>0</v>
      </c>
    </row>
    <row r="3091" spans="1:4" x14ac:dyDescent="0.55000000000000004">
      <c r="A3091">
        <f t="shared" si="98"/>
        <v>2012</v>
      </c>
      <c r="B3091" s="821">
        <v>41173</v>
      </c>
      <c r="C3091">
        <v>2.95</v>
      </c>
      <c r="D3091">
        <f t="shared" si="99"/>
        <v>0</v>
      </c>
    </row>
    <row r="3092" spans="1:4" x14ac:dyDescent="0.55000000000000004">
      <c r="A3092">
        <f t="shared" si="98"/>
        <v>2012</v>
      </c>
      <c r="B3092" s="821">
        <v>41172</v>
      </c>
      <c r="C3092">
        <v>2.96</v>
      </c>
      <c r="D3092">
        <f t="shared" si="99"/>
        <v>0</v>
      </c>
    </row>
    <row r="3093" spans="1:4" x14ac:dyDescent="0.55000000000000004">
      <c r="A3093">
        <f t="shared" si="98"/>
        <v>2012</v>
      </c>
      <c r="B3093" s="821">
        <v>41171</v>
      </c>
      <c r="C3093">
        <v>2.97</v>
      </c>
      <c r="D3093">
        <f t="shared" si="99"/>
        <v>0</v>
      </c>
    </row>
    <row r="3094" spans="1:4" x14ac:dyDescent="0.55000000000000004">
      <c r="A3094">
        <f t="shared" si="98"/>
        <v>2012</v>
      </c>
      <c r="B3094" s="821">
        <v>41170</v>
      </c>
      <c r="C3094">
        <v>3</v>
      </c>
      <c r="D3094">
        <f t="shared" si="99"/>
        <v>0</v>
      </c>
    </row>
    <row r="3095" spans="1:4" x14ac:dyDescent="0.55000000000000004">
      <c r="A3095">
        <f t="shared" si="98"/>
        <v>2012</v>
      </c>
      <c r="B3095" s="821">
        <v>41169</v>
      </c>
      <c r="C3095">
        <v>3.03</v>
      </c>
      <c r="D3095">
        <f t="shared" si="99"/>
        <v>0</v>
      </c>
    </row>
    <row r="3096" spans="1:4" x14ac:dyDescent="0.55000000000000004">
      <c r="A3096">
        <f t="shared" si="98"/>
        <v>2012</v>
      </c>
      <c r="B3096" s="821">
        <v>41166</v>
      </c>
      <c r="C3096">
        <v>3.09</v>
      </c>
      <c r="D3096">
        <f t="shared" si="99"/>
        <v>0</v>
      </c>
    </row>
    <row r="3097" spans="1:4" x14ac:dyDescent="0.55000000000000004">
      <c r="A3097">
        <f t="shared" si="98"/>
        <v>2012</v>
      </c>
      <c r="B3097" s="821">
        <v>41165</v>
      </c>
      <c r="C3097">
        <v>2.95</v>
      </c>
      <c r="D3097">
        <f t="shared" si="99"/>
        <v>0</v>
      </c>
    </row>
    <row r="3098" spans="1:4" x14ac:dyDescent="0.55000000000000004">
      <c r="A3098">
        <f t="shared" si="98"/>
        <v>2012</v>
      </c>
      <c r="B3098" s="821">
        <v>41164</v>
      </c>
      <c r="C3098">
        <v>2.92</v>
      </c>
      <c r="D3098">
        <f t="shared" si="99"/>
        <v>0</v>
      </c>
    </row>
    <row r="3099" spans="1:4" x14ac:dyDescent="0.55000000000000004">
      <c r="A3099">
        <f t="shared" si="98"/>
        <v>2012</v>
      </c>
      <c r="B3099" s="821">
        <v>41163</v>
      </c>
      <c r="C3099">
        <v>2.84</v>
      </c>
      <c r="D3099">
        <f t="shared" si="99"/>
        <v>0</v>
      </c>
    </row>
    <row r="3100" spans="1:4" x14ac:dyDescent="0.55000000000000004">
      <c r="A3100">
        <f t="shared" si="98"/>
        <v>2012</v>
      </c>
      <c r="B3100" s="821">
        <v>41162</v>
      </c>
      <c r="C3100">
        <v>2.83</v>
      </c>
      <c r="D3100">
        <f t="shared" si="99"/>
        <v>0</v>
      </c>
    </row>
    <row r="3101" spans="1:4" x14ac:dyDescent="0.55000000000000004">
      <c r="A3101">
        <f t="shared" si="98"/>
        <v>2012</v>
      </c>
      <c r="B3101" s="821">
        <v>41159</v>
      </c>
      <c r="C3101">
        <v>2.81</v>
      </c>
      <c r="D3101">
        <f t="shared" si="99"/>
        <v>0</v>
      </c>
    </row>
    <row r="3102" spans="1:4" x14ac:dyDescent="0.55000000000000004">
      <c r="A3102">
        <f t="shared" si="98"/>
        <v>2012</v>
      </c>
      <c r="B3102" s="821">
        <v>41158</v>
      </c>
      <c r="C3102">
        <v>2.8</v>
      </c>
      <c r="D3102">
        <f t="shared" si="99"/>
        <v>0</v>
      </c>
    </row>
    <row r="3103" spans="1:4" x14ac:dyDescent="0.55000000000000004">
      <c r="A3103">
        <f t="shared" si="98"/>
        <v>2012</v>
      </c>
      <c r="B3103" s="821">
        <v>41157</v>
      </c>
      <c r="C3103">
        <v>2.7</v>
      </c>
      <c r="D3103">
        <f t="shared" si="99"/>
        <v>0</v>
      </c>
    </row>
    <row r="3104" spans="1:4" x14ac:dyDescent="0.55000000000000004">
      <c r="A3104">
        <f t="shared" si="98"/>
        <v>2012</v>
      </c>
      <c r="B3104" s="821">
        <v>41156</v>
      </c>
      <c r="C3104">
        <v>2.69</v>
      </c>
      <c r="D3104">
        <f t="shared" si="99"/>
        <v>0</v>
      </c>
    </row>
    <row r="3105" spans="1:4" x14ac:dyDescent="0.55000000000000004">
      <c r="A3105">
        <f t="shared" si="98"/>
        <v>2012</v>
      </c>
      <c r="B3105" s="821">
        <v>41152</v>
      </c>
      <c r="C3105">
        <v>2.68</v>
      </c>
      <c r="D3105">
        <f t="shared" si="99"/>
        <v>0</v>
      </c>
    </row>
    <row r="3106" spans="1:4" x14ac:dyDescent="0.55000000000000004">
      <c r="A3106">
        <f t="shared" si="98"/>
        <v>2012</v>
      </c>
      <c r="B3106" s="821">
        <v>41151</v>
      </c>
      <c r="C3106">
        <v>2.75</v>
      </c>
      <c r="D3106">
        <f t="shared" si="99"/>
        <v>0</v>
      </c>
    </row>
    <row r="3107" spans="1:4" x14ac:dyDescent="0.55000000000000004">
      <c r="A3107">
        <f t="shared" si="98"/>
        <v>2012</v>
      </c>
      <c r="B3107" s="821">
        <v>41150</v>
      </c>
      <c r="C3107">
        <v>2.77</v>
      </c>
      <c r="D3107">
        <f t="shared" si="99"/>
        <v>0</v>
      </c>
    </row>
    <row r="3108" spans="1:4" x14ac:dyDescent="0.55000000000000004">
      <c r="A3108">
        <f t="shared" si="98"/>
        <v>2012</v>
      </c>
      <c r="B3108" s="821">
        <v>41149</v>
      </c>
      <c r="C3108">
        <v>2.75</v>
      </c>
      <c r="D3108">
        <f t="shared" si="99"/>
        <v>0</v>
      </c>
    </row>
    <row r="3109" spans="1:4" x14ac:dyDescent="0.55000000000000004">
      <c r="A3109">
        <f t="shared" si="98"/>
        <v>2012</v>
      </c>
      <c r="B3109" s="821">
        <v>41148</v>
      </c>
      <c r="C3109">
        <v>2.76</v>
      </c>
      <c r="D3109">
        <f t="shared" si="99"/>
        <v>0</v>
      </c>
    </row>
    <row r="3110" spans="1:4" x14ac:dyDescent="0.55000000000000004">
      <c r="A3110">
        <f t="shared" si="98"/>
        <v>2012</v>
      </c>
      <c r="B3110" s="821">
        <v>41145</v>
      </c>
      <c r="C3110">
        <v>2.79</v>
      </c>
      <c r="D3110">
        <f t="shared" si="99"/>
        <v>0</v>
      </c>
    </row>
    <row r="3111" spans="1:4" x14ac:dyDescent="0.55000000000000004">
      <c r="A3111">
        <f t="shared" si="98"/>
        <v>2012</v>
      </c>
      <c r="B3111" s="821">
        <v>41144</v>
      </c>
      <c r="C3111">
        <v>2.79</v>
      </c>
      <c r="D3111">
        <f t="shared" si="99"/>
        <v>0</v>
      </c>
    </row>
    <row r="3112" spans="1:4" x14ac:dyDescent="0.55000000000000004">
      <c r="A3112">
        <f t="shared" si="98"/>
        <v>2012</v>
      </c>
      <c r="B3112" s="821">
        <v>41143</v>
      </c>
      <c r="C3112">
        <v>2.82</v>
      </c>
      <c r="D3112">
        <f t="shared" si="99"/>
        <v>0</v>
      </c>
    </row>
    <row r="3113" spans="1:4" x14ac:dyDescent="0.55000000000000004">
      <c r="A3113">
        <f t="shared" si="98"/>
        <v>2012</v>
      </c>
      <c r="B3113" s="821">
        <v>41142</v>
      </c>
      <c r="C3113">
        <v>2.9</v>
      </c>
      <c r="D3113">
        <f t="shared" si="99"/>
        <v>0</v>
      </c>
    </row>
    <row r="3114" spans="1:4" x14ac:dyDescent="0.55000000000000004">
      <c r="A3114">
        <f t="shared" si="98"/>
        <v>2012</v>
      </c>
      <c r="B3114" s="821">
        <v>41141</v>
      </c>
      <c r="C3114">
        <v>2.93</v>
      </c>
      <c r="D3114">
        <f t="shared" si="99"/>
        <v>0</v>
      </c>
    </row>
    <row r="3115" spans="1:4" x14ac:dyDescent="0.55000000000000004">
      <c r="A3115">
        <f t="shared" si="98"/>
        <v>2012</v>
      </c>
      <c r="B3115" s="821">
        <v>41138</v>
      </c>
      <c r="C3115">
        <v>2.93</v>
      </c>
      <c r="D3115">
        <f t="shared" si="99"/>
        <v>0</v>
      </c>
    </row>
    <row r="3116" spans="1:4" x14ac:dyDescent="0.55000000000000004">
      <c r="A3116">
        <f t="shared" si="98"/>
        <v>2012</v>
      </c>
      <c r="B3116" s="821">
        <v>41137</v>
      </c>
      <c r="C3116">
        <v>2.96</v>
      </c>
      <c r="D3116">
        <f t="shared" si="99"/>
        <v>0</v>
      </c>
    </row>
    <row r="3117" spans="1:4" x14ac:dyDescent="0.55000000000000004">
      <c r="A3117">
        <f t="shared" si="98"/>
        <v>2012</v>
      </c>
      <c r="B3117" s="821">
        <v>41136</v>
      </c>
      <c r="C3117">
        <v>2.9</v>
      </c>
      <c r="D3117">
        <f t="shared" si="99"/>
        <v>0</v>
      </c>
    </row>
    <row r="3118" spans="1:4" x14ac:dyDescent="0.55000000000000004">
      <c r="A3118">
        <f t="shared" si="98"/>
        <v>2012</v>
      </c>
      <c r="B3118" s="821">
        <v>41135</v>
      </c>
      <c r="C3118">
        <v>2.82</v>
      </c>
      <c r="D3118">
        <f t="shared" si="99"/>
        <v>0</v>
      </c>
    </row>
    <row r="3119" spans="1:4" x14ac:dyDescent="0.55000000000000004">
      <c r="A3119">
        <f t="shared" si="98"/>
        <v>2012</v>
      </c>
      <c r="B3119" s="821">
        <v>41134</v>
      </c>
      <c r="C3119">
        <v>2.74</v>
      </c>
      <c r="D3119">
        <f t="shared" si="99"/>
        <v>0</v>
      </c>
    </row>
    <row r="3120" spans="1:4" x14ac:dyDescent="0.55000000000000004">
      <c r="A3120">
        <f t="shared" si="98"/>
        <v>2012</v>
      </c>
      <c r="B3120" s="821">
        <v>41131</v>
      </c>
      <c r="C3120">
        <v>2.74</v>
      </c>
      <c r="D3120">
        <f t="shared" si="99"/>
        <v>0</v>
      </c>
    </row>
    <row r="3121" spans="1:4" x14ac:dyDescent="0.55000000000000004">
      <c r="A3121">
        <f t="shared" si="98"/>
        <v>2012</v>
      </c>
      <c r="B3121" s="821">
        <v>41130</v>
      </c>
      <c r="C3121">
        <v>2.78</v>
      </c>
      <c r="D3121">
        <f t="shared" si="99"/>
        <v>0</v>
      </c>
    </row>
    <row r="3122" spans="1:4" x14ac:dyDescent="0.55000000000000004">
      <c r="A3122">
        <f t="shared" si="98"/>
        <v>2012</v>
      </c>
      <c r="B3122" s="821">
        <v>41129</v>
      </c>
      <c r="C3122">
        <v>2.75</v>
      </c>
      <c r="D3122">
        <f t="shared" si="99"/>
        <v>0</v>
      </c>
    </row>
    <row r="3123" spans="1:4" x14ac:dyDescent="0.55000000000000004">
      <c r="A3123">
        <f t="shared" si="98"/>
        <v>2012</v>
      </c>
      <c r="B3123" s="821">
        <v>41128</v>
      </c>
      <c r="C3123">
        <v>2.72</v>
      </c>
      <c r="D3123">
        <f t="shared" si="99"/>
        <v>0</v>
      </c>
    </row>
    <row r="3124" spans="1:4" x14ac:dyDescent="0.55000000000000004">
      <c r="A3124">
        <f t="shared" si="98"/>
        <v>2012</v>
      </c>
      <c r="B3124" s="821">
        <v>41127</v>
      </c>
      <c r="C3124">
        <v>2.65</v>
      </c>
      <c r="D3124">
        <f t="shared" si="99"/>
        <v>0</v>
      </c>
    </row>
    <row r="3125" spans="1:4" x14ac:dyDescent="0.55000000000000004">
      <c r="A3125">
        <f t="shared" si="98"/>
        <v>2012</v>
      </c>
      <c r="B3125" s="821">
        <v>41124</v>
      </c>
      <c r="C3125">
        <v>2.65</v>
      </c>
      <c r="D3125">
        <f t="shared" si="99"/>
        <v>0</v>
      </c>
    </row>
    <row r="3126" spans="1:4" x14ac:dyDescent="0.55000000000000004">
      <c r="A3126">
        <f t="shared" si="98"/>
        <v>2012</v>
      </c>
      <c r="B3126" s="821">
        <v>41123</v>
      </c>
      <c r="C3126">
        <v>2.5499999999999998</v>
      </c>
      <c r="D3126">
        <f t="shared" si="99"/>
        <v>0</v>
      </c>
    </row>
    <row r="3127" spans="1:4" x14ac:dyDescent="0.55000000000000004">
      <c r="A3127">
        <f t="shared" si="98"/>
        <v>2012</v>
      </c>
      <c r="B3127" s="821">
        <v>41122</v>
      </c>
      <c r="C3127">
        <v>2.6</v>
      </c>
      <c r="D3127">
        <f t="shared" si="99"/>
        <v>0</v>
      </c>
    </row>
    <row r="3128" spans="1:4" x14ac:dyDescent="0.55000000000000004">
      <c r="A3128">
        <f t="shared" si="98"/>
        <v>2012</v>
      </c>
      <c r="B3128" s="821">
        <v>41121</v>
      </c>
      <c r="C3128">
        <v>2.56</v>
      </c>
      <c r="D3128">
        <f t="shared" si="99"/>
        <v>0</v>
      </c>
    </row>
    <row r="3129" spans="1:4" x14ac:dyDescent="0.55000000000000004">
      <c r="A3129">
        <f t="shared" si="98"/>
        <v>2012</v>
      </c>
      <c r="B3129" s="821">
        <v>41120</v>
      </c>
      <c r="C3129">
        <v>2.58</v>
      </c>
      <c r="D3129">
        <f t="shared" si="99"/>
        <v>0</v>
      </c>
    </row>
    <row r="3130" spans="1:4" x14ac:dyDescent="0.55000000000000004">
      <c r="A3130">
        <f t="shared" si="98"/>
        <v>2012</v>
      </c>
      <c r="B3130" s="821">
        <v>41117</v>
      </c>
      <c r="C3130">
        <v>2.63</v>
      </c>
      <c r="D3130">
        <f t="shared" si="99"/>
        <v>0</v>
      </c>
    </row>
    <row r="3131" spans="1:4" x14ac:dyDescent="0.55000000000000004">
      <c r="A3131">
        <f t="shared" si="98"/>
        <v>2012</v>
      </c>
      <c r="B3131" s="821">
        <v>41116</v>
      </c>
      <c r="C3131">
        <v>2.4900000000000002</v>
      </c>
      <c r="D3131">
        <f t="shared" si="99"/>
        <v>0</v>
      </c>
    </row>
    <row r="3132" spans="1:4" x14ac:dyDescent="0.55000000000000004">
      <c r="A3132">
        <f t="shared" si="98"/>
        <v>2012</v>
      </c>
      <c r="B3132" s="821">
        <v>41115</v>
      </c>
      <c r="C3132">
        <v>2.46</v>
      </c>
      <c r="D3132">
        <f t="shared" si="99"/>
        <v>0</v>
      </c>
    </row>
    <row r="3133" spans="1:4" x14ac:dyDescent="0.55000000000000004">
      <c r="A3133">
        <f t="shared" si="98"/>
        <v>2012</v>
      </c>
      <c r="B3133" s="821">
        <v>41114</v>
      </c>
      <c r="C3133">
        <v>2.4700000000000002</v>
      </c>
      <c r="D3133">
        <f t="shared" si="99"/>
        <v>0</v>
      </c>
    </row>
    <row r="3134" spans="1:4" x14ac:dyDescent="0.55000000000000004">
      <c r="A3134">
        <f t="shared" si="98"/>
        <v>2012</v>
      </c>
      <c r="B3134" s="821">
        <v>41113</v>
      </c>
      <c r="C3134">
        <v>2.52</v>
      </c>
      <c r="D3134">
        <f t="shared" si="99"/>
        <v>0</v>
      </c>
    </row>
    <row r="3135" spans="1:4" x14ac:dyDescent="0.55000000000000004">
      <c r="A3135">
        <f t="shared" si="98"/>
        <v>2012</v>
      </c>
      <c r="B3135" s="821">
        <v>41110</v>
      </c>
      <c r="C3135">
        <v>2.5499999999999998</v>
      </c>
      <c r="D3135">
        <f t="shared" si="99"/>
        <v>0</v>
      </c>
    </row>
    <row r="3136" spans="1:4" x14ac:dyDescent="0.55000000000000004">
      <c r="A3136">
        <f t="shared" si="98"/>
        <v>2012</v>
      </c>
      <c r="B3136" s="821">
        <v>41109</v>
      </c>
      <c r="C3136">
        <v>2.61</v>
      </c>
      <c r="D3136">
        <f t="shared" si="99"/>
        <v>0</v>
      </c>
    </row>
    <row r="3137" spans="1:4" x14ac:dyDescent="0.55000000000000004">
      <c r="A3137">
        <f t="shared" si="98"/>
        <v>2012</v>
      </c>
      <c r="B3137" s="821">
        <v>41108</v>
      </c>
      <c r="C3137">
        <v>2.59</v>
      </c>
      <c r="D3137">
        <f t="shared" si="99"/>
        <v>0</v>
      </c>
    </row>
    <row r="3138" spans="1:4" x14ac:dyDescent="0.55000000000000004">
      <c r="A3138">
        <f t="shared" si="98"/>
        <v>2012</v>
      </c>
      <c r="B3138" s="821">
        <v>41107</v>
      </c>
      <c r="C3138">
        <v>2.59</v>
      </c>
      <c r="D3138">
        <f t="shared" si="99"/>
        <v>0</v>
      </c>
    </row>
    <row r="3139" spans="1:4" x14ac:dyDescent="0.55000000000000004">
      <c r="A3139">
        <f t="shared" si="98"/>
        <v>2012</v>
      </c>
      <c r="B3139" s="821">
        <v>41106</v>
      </c>
      <c r="C3139">
        <v>2.56</v>
      </c>
      <c r="D3139">
        <f t="shared" si="99"/>
        <v>0</v>
      </c>
    </row>
    <row r="3140" spans="1:4" x14ac:dyDescent="0.55000000000000004">
      <c r="A3140">
        <f t="shared" ref="A3140:A3203" si="100">YEAR(B3140)</f>
        <v>2012</v>
      </c>
      <c r="B3140" s="821">
        <v>41103</v>
      </c>
      <c r="C3140">
        <v>2.58</v>
      </c>
      <c r="D3140">
        <f t="shared" ref="D3140:D3203" si="101">IF(C3140&gt;4,1,0)</f>
        <v>0</v>
      </c>
    </row>
    <row r="3141" spans="1:4" x14ac:dyDescent="0.55000000000000004">
      <c r="A3141">
        <f t="shared" si="100"/>
        <v>2012</v>
      </c>
      <c r="B3141" s="821">
        <v>41102</v>
      </c>
      <c r="C3141">
        <v>2.57</v>
      </c>
      <c r="D3141">
        <f t="shared" si="101"/>
        <v>0</v>
      </c>
    </row>
    <row r="3142" spans="1:4" x14ac:dyDescent="0.55000000000000004">
      <c r="A3142">
        <f t="shared" si="100"/>
        <v>2012</v>
      </c>
      <c r="B3142" s="821">
        <v>41101</v>
      </c>
      <c r="C3142">
        <v>2.6</v>
      </c>
      <c r="D3142">
        <f t="shared" si="101"/>
        <v>0</v>
      </c>
    </row>
    <row r="3143" spans="1:4" x14ac:dyDescent="0.55000000000000004">
      <c r="A3143">
        <f t="shared" si="100"/>
        <v>2012</v>
      </c>
      <c r="B3143" s="821">
        <v>41100</v>
      </c>
      <c r="C3143">
        <v>2.6</v>
      </c>
      <c r="D3143">
        <f t="shared" si="101"/>
        <v>0</v>
      </c>
    </row>
    <row r="3144" spans="1:4" x14ac:dyDescent="0.55000000000000004">
      <c r="A3144">
        <f t="shared" si="100"/>
        <v>2012</v>
      </c>
      <c r="B3144" s="821">
        <v>41099</v>
      </c>
      <c r="C3144">
        <v>2.62</v>
      </c>
      <c r="D3144">
        <f t="shared" si="101"/>
        <v>0</v>
      </c>
    </row>
    <row r="3145" spans="1:4" x14ac:dyDescent="0.55000000000000004">
      <c r="A3145">
        <f t="shared" si="100"/>
        <v>2012</v>
      </c>
      <c r="B3145" s="821">
        <v>41096</v>
      </c>
      <c r="C3145">
        <v>2.66</v>
      </c>
      <c r="D3145">
        <f t="shared" si="101"/>
        <v>0</v>
      </c>
    </row>
    <row r="3146" spans="1:4" x14ac:dyDescent="0.55000000000000004">
      <c r="A3146">
        <f t="shared" si="100"/>
        <v>2012</v>
      </c>
      <c r="B3146" s="821">
        <v>41095</v>
      </c>
      <c r="C3146">
        <v>2.72</v>
      </c>
      <c r="D3146">
        <f t="shared" si="101"/>
        <v>0</v>
      </c>
    </row>
    <row r="3147" spans="1:4" x14ac:dyDescent="0.55000000000000004">
      <c r="A3147">
        <f t="shared" si="100"/>
        <v>2012</v>
      </c>
      <c r="B3147" s="821">
        <v>41093</v>
      </c>
      <c r="C3147">
        <v>2.74</v>
      </c>
      <c r="D3147">
        <f t="shared" si="101"/>
        <v>0</v>
      </c>
    </row>
    <row r="3148" spans="1:4" x14ac:dyDescent="0.55000000000000004">
      <c r="A3148">
        <f t="shared" si="100"/>
        <v>2012</v>
      </c>
      <c r="B3148" s="821">
        <v>41092</v>
      </c>
      <c r="C3148">
        <v>2.69</v>
      </c>
      <c r="D3148">
        <f t="shared" si="101"/>
        <v>0</v>
      </c>
    </row>
    <row r="3149" spans="1:4" x14ac:dyDescent="0.55000000000000004">
      <c r="A3149">
        <f t="shared" si="100"/>
        <v>2012</v>
      </c>
      <c r="B3149" s="821">
        <v>41089</v>
      </c>
      <c r="C3149">
        <v>2.76</v>
      </c>
      <c r="D3149">
        <f t="shared" si="101"/>
        <v>0</v>
      </c>
    </row>
    <row r="3150" spans="1:4" x14ac:dyDescent="0.55000000000000004">
      <c r="A3150">
        <f t="shared" si="100"/>
        <v>2012</v>
      </c>
      <c r="B3150" s="821">
        <v>41088</v>
      </c>
      <c r="C3150">
        <v>2.67</v>
      </c>
      <c r="D3150">
        <f t="shared" si="101"/>
        <v>0</v>
      </c>
    </row>
    <row r="3151" spans="1:4" x14ac:dyDescent="0.55000000000000004">
      <c r="A3151">
        <f t="shared" si="100"/>
        <v>2012</v>
      </c>
      <c r="B3151" s="821">
        <v>41087</v>
      </c>
      <c r="C3151">
        <v>2.7</v>
      </c>
      <c r="D3151">
        <f t="shared" si="101"/>
        <v>0</v>
      </c>
    </row>
    <row r="3152" spans="1:4" x14ac:dyDescent="0.55000000000000004">
      <c r="A3152">
        <f t="shared" si="100"/>
        <v>2012</v>
      </c>
      <c r="B3152" s="821">
        <v>41086</v>
      </c>
      <c r="C3152">
        <v>2.71</v>
      </c>
      <c r="D3152">
        <f t="shared" si="101"/>
        <v>0</v>
      </c>
    </row>
    <row r="3153" spans="1:4" x14ac:dyDescent="0.55000000000000004">
      <c r="A3153">
        <f t="shared" si="100"/>
        <v>2012</v>
      </c>
      <c r="B3153" s="821">
        <v>41085</v>
      </c>
      <c r="C3153">
        <v>2.69</v>
      </c>
      <c r="D3153">
        <f t="shared" si="101"/>
        <v>0</v>
      </c>
    </row>
    <row r="3154" spans="1:4" x14ac:dyDescent="0.55000000000000004">
      <c r="A3154">
        <f t="shared" si="100"/>
        <v>2012</v>
      </c>
      <c r="B3154" s="821">
        <v>41082</v>
      </c>
      <c r="C3154">
        <v>2.75</v>
      </c>
      <c r="D3154">
        <f t="shared" si="101"/>
        <v>0</v>
      </c>
    </row>
    <row r="3155" spans="1:4" x14ac:dyDescent="0.55000000000000004">
      <c r="A3155">
        <f t="shared" si="100"/>
        <v>2012</v>
      </c>
      <c r="B3155" s="821">
        <v>41081</v>
      </c>
      <c r="C3155">
        <v>2.68</v>
      </c>
      <c r="D3155">
        <f t="shared" si="101"/>
        <v>0</v>
      </c>
    </row>
    <row r="3156" spans="1:4" x14ac:dyDescent="0.55000000000000004">
      <c r="A3156">
        <f t="shared" si="100"/>
        <v>2012</v>
      </c>
      <c r="B3156" s="821">
        <v>41080</v>
      </c>
      <c r="C3156">
        <v>2.72</v>
      </c>
      <c r="D3156">
        <f t="shared" si="101"/>
        <v>0</v>
      </c>
    </row>
    <row r="3157" spans="1:4" x14ac:dyDescent="0.55000000000000004">
      <c r="A3157">
        <f t="shared" si="100"/>
        <v>2012</v>
      </c>
      <c r="B3157" s="821">
        <v>41079</v>
      </c>
      <c r="C3157">
        <v>2.73</v>
      </c>
      <c r="D3157">
        <f t="shared" si="101"/>
        <v>0</v>
      </c>
    </row>
    <row r="3158" spans="1:4" x14ac:dyDescent="0.55000000000000004">
      <c r="A3158">
        <f t="shared" si="100"/>
        <v>2012</v>
      </c>
      <c r="B3158" s="821">
        <v>41078</v>
      </c>
      <c r="C3158">
        <v>2.67</v>
      </c>
      <c r="D3158">
        <f t="shared" si="101"/>
        <v>0</v>
      </c>
    </row>
    <row r="3159" spans="1:4" x14ac:dyDescent="0.55000000000000004">
      <c r="A3159">
        <f t="shared" si="100"/>
        <v>2012</v>
      </c>
      <c r="B3159" s="821">
        <v>41075</v>
      </c>
      <c r="C3159">
        <v>2.7</v>
      </c>
      <c r="D3159">
        <f t="shared" si="101"/>
        <v>0</v>
      </c>
    </row>
    <row r="3160" spans="1:4" x14ac:dyDescent="0.55000000000000004">
      <c r="A3160">
        <f t="shared" si="100"/>
        <v>2012</v>
      </c>
      <c r="B3160" s="821">
        <v>41074</v>
      </c>
      <c r="C3160">
        <v>2.73</v>
      </c>
      <c r="D3160">
        <f t="shared" si="101"/>
        <v>0</v>
      </c>
    </row>
    <row r="3161" spans="1:4" x14ac:dyDescent="0.55000000000000004">
      <c r="A3161">
        <f t="shared" si="100"/>
        <v>2012</v>
      </c>
      <c r="B3161" s="821">
        <v>41073</v>
      </c>
      <c r="C3161">
        <v>2.7</v>
      </c>
      <c r="D3161">
        <f t="shared" si="101"/>
        <v>0</v>
      </c>
    </row>
    <row r="3162" spans="1:4" x14ac:dyDescent="0.55000000000000004">
      <c r="A3162">
        <f t="shared" si="100"/>
        <v>2012</v>
      </c>
      <c r="B3162" s="821">
        <v>41072</v>
      </c>
      <c r="C3162">
        <v>2.77</v>
      </c>
      <c r="D3162">
        <f t="shared" si="101"/>
        <v>0</v>
      </c>
    </row>
    <row r="3163" spans="1:4" x14ac:dyDescent="0.55000000000000004">
      <c r="A3163">
        <f t="shared" si="100"/>
        <v>2012</v>
      </c>
      <c r="B3163" s="821">
        <v>41071</v>
      </c>
      <c r="C3163">
        <v>2.71</v>
      </c>
      <c r="D3163">
        <f t="shared" si="101"/>
        <v>0</v>
      </c>
    </row>
    <row r="3164" spans="1:4" x14ac:dyDescent="0.55000000000000004">
      <c r="A3164">
        <f t="shared" si="100"/>
        <v>2012</v>
      </c>
      <c r="B3164" s="821">
        <v>41068</v>
      </c>
      <c r="C3164">
        <v>2.77</v>
      </c>
      <c r="D3164">
        <f t="shared" si="101"/>
        <v>0</v>
      </c>
    </row>
    <row r="3165" spans="1:4" x14ac:dyDescent="0.55000000000000004">
      <c r="A3165">
        <f t="shared" si="100"/>
        <v>2012</v>
      </c>
      <c r="B3165" s="821">
        <v>41067</v>
      </c>
      <c r="C3165">
        <v>2.75</v>
      </c>
      <c r="D3165">
        <f t="shared" si="101"/>
        <v>0</v>
      </c>
    </row>
    <row r="3166" spans="1:4" x14ac:dyDescent="0.55000000000000004">
      <c r="A3166">
        <f t="shared" si="100"/>
        <v>2012</v>
      </c>
      <c r="B3166" s="821">
        <v>41066</v>
      </c>
      <c r="C3166">
        <v>2.73</v>
      </c>
      <c r="D3166">
        <f t="shared" si="101"/>
        <v>0</v>
      </c>
    </row>
    <row r="3167" spans="1:4" x14ac:dyDescent="0.55000000000000004">
      <c r="A3167">
        <f t="shared" si="100"/>
        <v>2012</v>
      </c>
      <c r="B3167" s="821">
        <v>41065</v>
      </c>
      <c r="C3167">
        <v>2.63</v>
      </c>
      <c r="D3167">
        <f t="shared" si="101"/>
        <v>0</v>
      </c>
    </row>
    <row r="3168" spans="1:4" x14ac:dyDescent="0.55000000000000004">
      <c r="A3168">
        <f t="shared" si="100"/>
        <v>2012</v>
      </c>
      <c r="B3168" s="821">
        <v>41064</v>
      </c>
      <c r="C3168">
        <v>2.56</v>
      </c>
      <c r="D3168">
        <f t="shared" si="101"/>
        <v>0</v>
      </c>
    </row>
    <row r="3169" spans="1:4" x14ac:dyDescent="0.55000000000000004">
      <c r="A3169">
        <f t="shared" si="100"/>
        <v>2012</v>
      </c>
      <c r="B3169" s="821">
        <v>41061</v>
      </c>
      <c r="C3169">
        <v>2.5299999999999998</v>
      </c>
      <c r="D3169">
        <f t="shared" si="101"/>
        <v>0</v>
      </c>
    </row>
    <row r="3170" spans="1:4" x14ac:dyDescent="0.55000000000000004">
      <c r="A3170">
        <f t="shared" si="100"/>
        <v>2012</v>
      </c>
      <c r="B3170" s="821">
        <v>41060</v>
      </c>
      <c r="C3170">
        <v>2.67</v>
      </c>
      <c r="D3170">
        <f t="shared" si="101"/>
        <v>0</v>
      </c>
    </row>
    <row r="3171" spans="1:4" x14ac:dyDescent="0.55000000000000004">
      <c r="A3171">
        <f t="shared" si="100"/>
        <v>2012</v>
      </c>
      <c r="B3171" s="821">
        <v>41059</v>
      </c>
      <c r="C3171">
        <v>2.72</v>
      </c>
      <c r="D3171">
        <f t="shared" si="101"/>
        <v>0</v>
      </c>
    </row>
    <row r="3172" spans="1:4" x14ac:dyDescent="0.55000000000000004">
      <c r="A3172">
        <f t="shared" si="100"/>
        <v>2012</v>
      </c>
      <c r="B3172" s="821">
        <v>41058</v>
      </c>
      <c r="C3172">
        <v>2.85</v>
      </c>
      <c r="D3172">
        <f t="shared" si="101"/>
        <v>0</v>
      </c>
    </row>
    <row r="3173" spans="1:4" x14ac:dyDescent="0.55000000000000004">
      <c r="A3173">
        <f t="shared" si="100"/>
        <v>2012</v>
      </c>
      <c r="B3173" s="821">
        <v>41054</v>
      </c>
      <c r="C3173">
        <v>2.85</v>
      </c>
      <c r="D3173">
        <f t="shared" si="101"/>
        <v>0</v>
      </c>
    </row>
    <row r="3174" spans="1:4" x14ac:dyDescent="0.55000000000000004">
      <c r="A3174">
        <f t="shared" si="100"/>
        <v>2012</v>
      </c>
      <c r="B3174" s="821">
        <v>41053</v>
      </c>
      <c r="C3174">
        <v>2.86</v>
      </c>
      <c r="D3174">
        <f t="shared" si="101"/>
        <v>0</v>
      </c>
    </row>
    <row r="3175" spans="1:4" x14ac:dyDescent="0.55000000000000004">
      <c r="A3175">
        <f t="shared" si="100"/>
        <v>2012</v>
      </c>
      <c r="B3175" s="821">
        <v>41052</v>
      </c>
      <c r="C3175">
        <v>2.81</v>
      </c>
      <c r="D3175">
        <f t="shared" si="101"/>
        <v>0</v>
      </c>
    </row>
    <row r="3176" spans="1:4" x14ac:dyDescent="0.55000000000000004">
      <c r="A3176">
        <f t="shared" si="100"/>
        <v>2012</v>
      </c>
      <c r="B3176" s="821">
        <v>41051</v>
      </c>
      <c r="C3176">
        <v>2.88</v>
      </c>
      <c r="D3176">
        <f t="shared" si="101"/>
        <v>0</v>
      </c>
    </row>
    <row r="3177" spans="1:4" x14ac:dyDescent="0.55000000000000004">
      <c r="A3177">
        <f t="shared" si="100"/>
        <v>2012</v>
      </c>
      <c r="B3177" s="821">
        <v>41050</v>
      </c>
      <c r="C3177">
        <v>2.8</v>
      </c>
      <c r="D3177">
        <f t="shared" si="101"/>
        <v>0</v>
      </c>
    </row>
    <row r="3178" spans="1:4" x14ac:dyDescent="0.55000000000000004">
      <c r="A3178">
        <f t="shared" si="100"/>
        <v>2012</v>
      </c>
      <c r="B3178" s="821">
        <v>41047</v>
      </c>
      <c r="C3178">
        <v>2.8</v>
      </c>
      <c r="D3178">
        <f t="shared" si="101"/>
        <v>0</v>
      </c>
    </row>
    <row r="3179" spans="1:4" x14ac:dyDescent="0.55000000000000004">
      <c r="A3179">
        <f t="shared" si="100"/>
        <v>2012</v>
      </c>
      <c r="B3179" s="821">
        <v>41046</v>
      </c>
      <c r="C3179">
        <v>2.8</v>
      </c>
      <c r="D3179">
        <f t="shared" si="101"/>
        <v>0</v>
      </c>
    </row>
    <row r="3180" spans="1:4" x14ac:dyDescent="0.55000000000000004">
      <c r="A3180">
        <f t="shared" si="100"/>
        <v>2012</v>
      </c>
      <c r="B3180" s="821">
        <v>41045</v>
      </c>
      <c r="C3180">
        <v>2.9</v>
      </c>
      <c r="D3180">
        <f t="shared" si="101"/>
        <v>0</v>
      </c>
    </row>
    <row r="3181" spans="1:4" x14ac:dyDescent="0.55000000000000004">
      <c r="A3181">
        <f t="shared" si="100"/>
        <v>2012</v>
      </c>
      <c r="B3181" s="821">
        <v>41044</v>
      </c>
      <c r="C3181">
        <v>2.91</v>
      </c>
      <c r="D3181">
        <f t="shared" si="101"/>
        <v>0</v>
      </c>
    </row>
    <row r="3182" spans="1:4" x14ac:dyDescent="0.55000000000000004">
      <c r="A3182">
        <f t="shared" si="100"/>
        <v>2012</v>
      </c>
      <c r="B3182" s="821">
        <v>41043</v>
      </c>
      <c r="C3182">
        <v>2.95</v>
      </c>
      <c r="D3182">
        <f t="shared" si="101"/>
        <v>0</v>
      </c>
    </row>
    <row r="3183" spans="1:4" x14ac:dyDescent="0.55000000000000004">
      <c r="A3183">
        <f t="shared" si="100"/>
        <v>2012</v>
      </c>
      <c r="B3183" s="821">
        <v>41040</v>
      </c>
      <c r="C3183">
        <v>3.02</v>
      </c>
      <c r="D3183">
        <f t="shared" si="101"/>
        <v>0</v>
      </c>
    </row>
    <row r="3184" spans="1:4" x14ac:dyDescent="0.55000000000000004">
      <c r="A3184">
        <f t="shared" si="100"/>
        <v>2012</v>
      </c>
      <c r="B3184" s="821">
        <v>41039</v>
      </c>
      <c r="C3184">
        <v>3.07</v>
      </c>
      <c r="D3184">
        <f t="shared" si="101"/>
        <v>0</v>
      </c>
    </row>
    <row r="3185" spans="1:4" x14ac:dyDescent="0.55000000000000004">
      <c r="A3185">
        <f t="shared" si="100"/>
        <v>2012</v>
      </c>
      <c r="B3185" s="821">
        <v>41038</v>
      </c>
      <c r="C3185">
        <v>3.03</v>
      </c>
      <c r="D3185">
        <f t="shared" si="101"/>
        <v>0</v>
      </c>
    </row>
    <row r="3186" spans="1:4" x14ac:dyDescent="0.55000000000000004">
      <c r="A3186">
        <f t="shared" si="100"/>
        <v>2012</v>
      </c>
      <c r="B3186" s="821">
        <v>41037</v>
      </c>
      <c r="C3186">
        <v>3.03</v>
      </c>
      <c r="D3186">
        <f t="shared" si="101"/>
        <v>0</v>
      </c>
    </row>
    <row r="3187" spans="1:4" x14ac:dyDescent="0.55000000000000004">
      <c r="A3187">
        <f t="shared" si="100"/>
        <v>2012</v>
      </c>
      <c r="B3187" s="821">
        <v>41036</v>
      </c>
      <c r="C3187">
        <v>3.07</v>
      </c>
      <c r="D3187">
        <f t="shared" si="101"/>
        <v>0</v>
      </c>
    </row>
    <row r="3188" spans="1:4" x14ac:dyDescent="0.55000000000000004">
      <c r="A3188">
        <f t="shared" si="100"/>
        <v>2012</v>
      </c>
      <c r="B3188" s="821">
        <v>41033</v>
      </c>
      <c r="C3188">
        <v>3.07</v>
      </c>
      <c r="D3188">
        <f t="shared" si="101"/>
        <v>0</v>
      </c>
    </row>
    <row r="3189" spans="1:4" x14ac:dyDescent="0.55000000000000004">
      <c r="A3189">
        <f t="shared" si="100"/>
        <v>2012</v>
      </c>
      <c r="B3189" s="821">
        <v>41032</v>
      </c>
      <c r="C3189">
        <v>3.12</v>
      </c>
      <c r="D3189">
        <f t="shared" si="101"/>
        <v>0</v>
      </c>
    </row>
    <row r="3190" spans="1:4" x14ac:dyDescent="0.55000000000000004">
      <c r="A3190">
        <f t="shared" si="100"/>
        <v>2012</v>
      </c>
      <c r="B3190" s="821">
        <v>41031</v>
      </c>
      <c r="C3190">
        <v>3.11</v>
      </c>
      <c r="D3190">
        <f t="shared" si="101"/>
        <v>0</v>
      </c>
    </row>
    <row r="3191" spans="1:4" x14ac:dyDescent="0.55000000000000004">
      <c r="A3191">
        <f t="shared" si="100"/>
        <v>2012</v>
      </c>
      <c r="B3191" s="821">
        <v>41030</v>
      </c>
      <c r="C3191">
        <v>3.16</v>
      </c>
      <c r="D3191">
        <f t="shared" si="101"/>
        <v>0</v>
      </c>
    </row>
    <row r="3192" spans="1:4" x14ac:dyDescent="0.55000000000000004">
      <c r="A3192">
        <f t="shared" si="100"/>
        <v>2012</v>
      </c>
      <c r="B3192" s="821">
        <v>41029</v>
      </c>
      <c r="C3192">
        <v>3.12</v>
      </c>
      <c r="D3192">
        <f t="shared" si="101"/>
        <v>0</v>
      </c>
    </row>
    <row r="3193" spans="1:4" x14ac:dyDescent="0.55000000000000004">
      <c r="A3193">
        <f t="shared" si="100"/>
        <v>2012</v>
      </c>
      <c r="B3193" s="821">
        <v>41026</v>
      </c>
      <c r="C3193">
        <v>3.12</v>
      </c>
      <c r="D3193">
        <f t="shared" si="101"/>
        <v>0</v>
      </c>
    </row>
    <row r="3194" spans="1:4" x14ac:dyDescent="0.55000000000000004">
      <c r="A3194">
        <f t="shared" si="100"/>
        <v>2012</v>
      </c>
      <c r="B3194" s="821">
        <v>41025</v>
      </c>
      <c r="C3194">
        <v>3.13</v>
      </c>
      <c r="D3194">
        <f t="shared" si="101"/>
        <v>0</v>
      </c>
    </row>
    <row r="3195" spans="1:4" x14ac:dyDescent="0.55000000000000004">
      <c r="A3195">
        <f t="shared" si="100"/>
        <v>2012</v>
      </c>
      <c r="B3195" s="821">
        <v>41024</v>
      </c>
      <c r="C3195">
        <v>3.15</v>
      </c>
      <c r="D3195">
        <f t="shared" si="101"/>
        <v>0</v>
      </c>
    </row>
    <row r="3196" spans="1:4" x14ac:dyDescent="0.55000000000000004">
      <c r="A3196">
        <f t="shared" si="100"/>
        <v>2012</v>
      </c>
      <c r="B3196" s="821">
        <v>41023</v>
      </c>
      <c r="C3196">
        <v>3.12</v>
      </c>
      <c r="D3196">
        <f t="shared" si="101"/>
        <v>0</v>
      </c>
    </row>
    <row r="3197" spans="1:4" x14ac:dyDescent="0.55000000000000004">
      <c r="A3197">
        <f t="shared" si="100"/>
        <v>2012</v>
      </c>
      <c r="B3197" s="821">
        <v>41022</v>
      </c>
      <c r="C3197">
        <v>3.08</v>
      </c>
      <c r="D3197">
        <f t="shared" si="101"/>
        <v>0</v>
      </c>
    </row>
    <row r="3198" spans="1:4" x14ac:dyDescent="0.55000000000000004">
      <c r="A3198">
        <f t="shared" si="100"/>
        <v>2012</v>
      </c>
      <c r="B3198" s="821">
        <v>41019</v>
      </c>
      <c r="C3198">
        <v>3.12</v>
      </c>
      <c r="D3198">
        <f t="shared" si="101"/>
        <v>0</v>
      </c>
    </row>
    <row r="3199" spans="1:4" x14ac:dyDescent="0.55000000000000004">
      <c r="A3199">
        <f t="shared" si="100"/>
        <v>2012</v>
      </c>
      <c r="B3199" s="821">
        <v>41018</v>
      </c>
      <c r="C3199">
        <v>3.12</v>
      </c>
      <c r="D3199">
        <f t="shared" si="101"/>
        <v>0</v>
      </c>
    </row>
    <row r="3200" spans="1:4" x14ac:dyDescent="0.55000000000000004">
      <c r="A3200">
        <f t="shared" si="100"/>
        <v>2012</v>
      </c>
      <c r="B3200" s="821">
        <v>41017</v>
      </c>
      <c r="C3200">
        <v>3.13</v>
      </c>
      <c r="D3200">
        <f t="shared" si="101"/>
        <v>0</v>
      </c>
    </row>
    <row r="3201" spans="1:4" x14ac:dyDescent="0.55000000000000004">
      <c r="A3201">
        <f t="shared" si="100"/>
        <v>2012</v>
      </c>
      <c r="B3201" s="821">
        <v>41016</v>
      </c>
      <c r="C3201">
        <v>3.15</v>
      </c>
      <c r="D3201">
        <f t="shared" si="101"/>
        <v>0</v>
      </c>
    </row>
    <row r="3202" spans="1:4" x14ac:dyDescent="0.55000000000000004">
      <c r="A3202">
        <f t="shared" si="100"/>
        <v>2012</v>
      </c>
      <c r="B3202" s="821">
        <v>41015</v>
      </c>
      <c r="C3202">
        <v>3.12</v>
      </c>
      <c r="D3202">
        <f t="shared" si="101"/>
        <v>0</v>
      </c>
    </row>
    <row r="3203" spans="1:4" x14ac:dyDescent="0.55000000000000004">
      <c r="A3203">
        <f t="shared" si="100"/>
        <v>2012</v>
      </c>
      <c r="B3203" s="821">
        <v>41012</v>
      </c>
      <c r="C3203">
        <v>3.14</v>
      </c>
      <c r="D3203">
        <f t="shared" si="101"/>
        <v>0</v>
      </c>
    </row>
    <row r="3204" spans="1:4" x14ac:dyDescent="0.55000000000000004">
      <c r="A3204">
        <f t="shared" ref="A3204:A3267" si="102">YEAR(B3204)</f>
        <v>2012</v>
      </c>
      <c r="B3204" s="821">
        <v>41011</v>
      </c>
      <c r="C3204">
        <v>3.22</v>
      </c>
      <c r="D3204">
        <f t="shared" ref="D3204:D3267" si="103">IF(C3204&gt;4,1,0)</f>
        <v>0</v>
      </c>
    </row>
    <row r="3205" spans="1:4" x14ac:dyDescent="0.55000000000000004">
      <c r="A3205">
        <f t="shared" si="102"/>
        <v>2012</v>
      </c>
      <c r="B3205" s="821">
        <v>41010</v>
      </c>
      <c r="C3205">
        <v>3.18</v>
      </c>
      <c r="D3205">
        <f t="shared" si="103"/>
        <v>0</v>
      </c>
    </row>
    <row r="3206" spans="1:4" x14ac:dyDescent="0.55000000000000004">
      <c r="A3206">
        <f t="shared" si="102"/>
        <v>2012</v>
      </c>
      <c r="B3206" s="821">
        <v>41009</v>
      </c>
      <c r="C3206">
        <v>3.13</v>
      </c>
      <c r="D3206">
        <f t="shared" si="103"/>
        <v>0</v>
      </c>
    </row>
    <row r="3207" spans="1:4" x14ac:dyDescent="0.55000000000000004">
      <c r="A3207">
        <f t="shared" si="102"/>
        <v>2012</v>
      </c>
      <c r="B3207" s="821">
        <v>41008</v>
      </c>
      <c r="C3207">
        <v>3.18</v>
      </c>
      <c r="D3207">
        <f t="shared" si="103"/>
        <v>0</v>
      </c>
    </row>
    <row r="3208" spans="1:4" x14ac:dyDescent="0.55000000000000004">
      <c r="A3208">
        <f t="shared" si="102"/>
        <v>2012</v>
      </c>
      <c r="B3208" s="821">
        <v>41005</v>
      </c>
      <c r="C3208">
        <v>3.21</v>
      </c>
      <c r="D3208">
        <f t="shared" si="103"/>
        <v>0</v>
      </c>
    </row>
    <row r="3209" spans="1:4" x14ac:dyDescent="0.55000000000000004">
      <c r="A3209">
        <f t="shared" si="102"/>
        <v>2012</v>
      </c>
      <c r="B3209" s="821">
        <v>41004</v>
      </c>
      <c r="C3209">
        <v>3.32</v>
      </c>
      <c r="D3209">
        <f t="shared" si="103"/>
        <v>0</v>
      </c>
    </row>
    <row r="3210" spans="1:4" x14ac:dyDescent="0.55000000000000004">
      <c r="A3210">
        <f t="shared" si="102"/>
        <v>2012</v>
      </c>
      <c r="B3210" s="821">
        <v>41003</v>
      </c>
      <c r="C3210">
        <v>3.37</v>
      </c>
      <c r="D3210">
        <f t="shared" si="103"/>
        <v>0</v>
      </c>
    </row>
    <row r="3211" spans="1:4" x14ac:dyDescent="0.55000000000000004">
      <c r="A3211">
        <f t="shared" si="102"/>
        <v>2012</v>
      </c>
      <c r="B3211" s="821">
        <v>41002</v>
      </c>
      <c r="C3211">
        <v>3.41</v>
      </c>
      <c r="D3211">
        <f t="shared" si="103"/>
        <v>0</v>
      </c>
    </row>
    <row r="3212" spans="1:4" x14ac:dyDescent="0.55000000000000004">
      <c r="A3212">
        <f t="shared" si="102"/>
        <v>2012</v>
      </c>
      <c r="B3212" s="821">
        <v>41001</v>
      </c>
      <c r="C3212">
        <v>3.35</v>
      </c>
      <c r="D3212">
        <f t="shared" si="103"/>
        <v>0</v>
      </c>
    </row>
    <row r="3213" spans="1:4" x14ac:dyDescent="0.55000000000000004">
      <c r="A3213">
        <f t="shared" si="102"/>
        <v>2012</v>
      </c>
      <c r="B3213" s="821">
        <v>40998</v>
      </c>
      <c r="C3213">
        <v>3.35</v>
      </c>
      <c r="D3213">
        <f t="shared" si="103"/>
        <v>0</v>
      </c>
    </row>
    <row r="3214" spans="1:4" x14ac:dyDescent="0.55000000000000004">
      <c r="A3214">
        <f t="shared" si="102"/>
        <v>2012</v>
      </c>
      <c r="B3214" s="821">
        <v>40997</v>
      </c>
      <c r="C3214">
        <v>3.27</v>
      </c>
      <c r="D3214">
        <f t="shared" si="103"/>
        <v>0</v>
      </c>
    </row>
    <row r="3215" spans="1:4" x14ac:dyDescent="0.55000000000000004">
      <c r="A3215">
        <f t="shared" si="102"/>
        <v>2012</v>
      </c>
      <c r="B3215" s="821">
        <v>40996</v>
      </c>
      <c r="C3215">
        <v>3.31</v>
      </c>
      <c r="D3215">
        <f t="shared" si="103"/>
        <v>0</v>
      </c>
    </row>
    <row r="3216" spans="1:4" x14ac:dyDescent="0.55000000000000004">
      <c r="A3216">
        <f t="shared" si="102"/>
        <v>2012</v>
      </c>
      <c r="B3216" s="821">
        <v>40995</v>
      </c>
      <c r="C3216">
        <v>3.29</v>
      </c>
      <c r="D3216">
        <f t="shared" si="103"/>
        <v>0</v>
      </c>
    </row>
    <row r="3217" spans="1:4" x14ac:dyDescent="0.55000000000000004">
      <c r="A3217">
        <f t="shared" si="102"/>
        <v>2012</v>
      </c>
      <c r="B3217" s="821">
        <v>40994</v>
      </c>
      <c r="C3217">
        <v>3.33</v>
      </c>
      <c r="D3217">
        <f t="shared" si="103"/>
        <v>0</v>
      </c>
    </row>
    <row r="3218" spans="1:4" x14ac:dyDescent="0.55000000000000004">
      <c r="A3218">
        <f t="shared" si="102"/>
        <v>2012</v>
      </c>
      <c r="B3218" s="821">
        <v>40991</v>
      </c>
      <c r="C3218">
        <v>3.31</v>
      </c>
      <c r="D3218">
        <f t="shared" si="103"/>
        <v>0</v>
      </c>
    </row>
    <row r="3219" spans="1:4" x14ac:dyDescent="0.55000000000000004">
      <c r="A3219">
        <f t="shared" si="102"/>
        <v>2012</v>
      </c>
      <c r="B3219" s="821">
        <v>40990</v>
      </c>
      <c r="C3219">
        <v>3.37</v>
      </c>
      <c r="D3219">
        <f t="shared" si="103"/>
        <v>0</v>
      </c>
    </row>
    <row r="3220" spans="1:4" x14ac:dyDescent="0.55000000000000004">
      <c r="A3220">
        <f t="shared" si="102"/>
        <v>2012</v>
      </c>
      <c r="B3220" s="821">
        <v>40989</v>
      </c>
      <c r="C3220">
        <v>3.38</v>
      </c>
      <c r="D3220">
        <f t="shared" si="103"/>
        <v>0</v>
      </c>
    </row>
    <row r="3221" spans="1:4" x14ac:dyDescent="0.55000000000000004">
      <c r="A3221">
        <f t="shared" si="102"/>
        <v>2012</v>
      </c>
      <c r="B3221" s="821">
        <v>40988</v>
      </c>
      <c r="C3221">
        <v>3.46</v>
      </c>
      <c r="D3221">
        <f t="shared" si="103"/>
        <v>0</v>
      </c>
    </row>
    <row r="3222" spans="1:4" x14ac:dyDescent="0.55000000000000004">
      <c r="A3222">
        <f t="shared" si="102"/>
        <v>2012</v>
      </c>
      <c r="B3222" s="821">
        <v>40987</v>
      </c>
      <c r="C3222">
        <v>3.48</v>
      </c>
      <c r="D3222">
        <f t="shared" si="103"/>
        <v>0</v>
      </c>
    </row>
    <row r="3223" spans="1:4" x14ac:dyDescent="0.55000000000000004">
      <c r="A3223">
        <f t="shared" si="102"/>
        <v>2012</v>
      </c>
      <c r="B3223" s="821">
        <v>40984</v>
      </c>
      <c r="C3223">
        <v>3.41</v>
      </c>
      <c r="D3223">
        <f t="shared" si="103"/>
        <v>0</v>
      </c>
    </row>
    <row r="3224" spans="1:4" x14ac:dyDescent="0.55000000000000004">
      <c r="A3224">
        <f t="shared" si="102"/>
        <v>2012</v>
      </c>
      <c r="B3224" s="821">
        <v>40983</v>
      </c>
      <c r="C3224">
        <v>3.41</v>
      </c>
      <c r="D3224">
        <f t="shared" si="103"/>
        <v>0</v>
      </c>
    </row>
    <row r="3225" spans="1:4" x14ac:dyDescent="0.55000000000000004">
      <c r="A3225">
        <f t="shared" si="102"/>
        <v>2012</v>
      </c>
      <c r="B3225" s="821">
        <v>40982</v>
      </c>
      <c r="C3225">
        <v>3.43</v>
      </c>
      <c r="D3225">
        <f t="shared" si="103"/>
        <v>0</v>
      </c>
    </row>
    <row r="3226" spans="1:4" x14ac:dyDescent="0.55000000000000004">
      <c r="A3226">
        <f t="shared" si="102"/>
        <v>2012</v>
      </c>
      <c r="B3226" s="821">
        <v>40981</v>
      </c>
      <c r="C3226">
        <v>3.26</v>
      </c>
      <c r="D3226">
        <f t="shared" si="103"/>
        <v>0</v>
      </c>
    </row>
    <row r="3227" spans="1:4" x14ac:dyDescent="0.55000000000000004">
      <c r="A3227">
        <f t="shared" si="102"/>
        <v>2012</v>
      </c>
      <c r="B3227" s="821">
        <v>40980</v>
      </c>
      <c r="C3227">
        <v>3.17</v>
      </c>
      <c r="D3227">
        <f t="shared" si="103"/>
        <v>0</v>
      </c>
    </row>
    <row r="3228" spans="1:4" x14ac:dyDescent="0.55000000000000004">
      <c r="A3228">
        <f t="shared" si="102"/>
        <v>2012</v>
      </c>
      <c r="B3228" s="821">
        <v>40977</v>
      </c>
      <c r="C3228">
        <v>3.19</v>
      </c>
      <c r="D3228">
        <f t="shared" si="103"/>
        <v>0</v>
      </c>
    </row>
    <row r="3229" spans="1:4" x14ac:dyDescent="0.55000000000000004">
      <c r="A3229">
        <f t="shared" si="102"/>
        <v>2012</v>
      </c>
      <c r="B3229" s="821">
        <v>40976</v>
      </c>
      <c r="C3229">
        <v>3.18</v>
      </c>
      <c r="D3229">
        <f t="shared" si="103"/>
        <v>0</v>
      </c>
    </row>
    <row r="3230" spans="1:4" x14ac:dyDescent="0.55000000000000004">
      <c r="A3230">
        <f t="shared" si="102"/>
        <v>2012</v>
      </c>
      <c r="B3230" s="821">
        <v>40975</v>
      </c>
      <c r="C3230">
        <v>3.12</v>
      </c>
      <c r="D3230">
        <f t="shared" si="103"/>
        <v>0</v>
      </c>
    </row>
    <row r="3231" spans="1:4" x14ac:dyDescent="0.55000000000000004">
      <c r="A3231">
        <f t="shared" si="102"/>
        <v>2012</v>
      </c>
      <c r="B3231" s="821">
        <v>40974</v>
      </c>
      <c r="C3231">
        <v>3.08</v>
      </c>
      <c r="D3231">
        <f t="shared" si="103"/>
        <v>0</v>
      </c>
    </row>
    <row r="3232" spans="1:4" x14ac:dyDescent="0.55000000000000004">
      <c r="A3232">
        <f t="shared" si="102"/>
        <v>2012</v>
      </c>
      <c r="B3232" s="821">
        <v>40973</v>
      </c>
      <c r="C3232">
        <v>3.13</v>
      </c>
      <c r="D3232">
        <f t="shared" si="103"/>
        <v>0</v>
      </c>
    </row>
    <row r="3233" spans="1:4" x14ac:dyDescent="0.55000000000000004">
      <c r="A3233">
        <f t="shared" si="102"/>
        <v>2012</v>
      </c>
      <c r="B3233" s="821">
        <v>40970</v>
      </c>
      <c r="C3233">
        <v>3.11</v>
      </c>
      <c r="D3233">
        <f t="shared" si="103"/>
        <v>0</v>
      </c>
    </row>
    <row r="3234" spans="1:4" x14ac:dyDescent="0.55000000000000004">
      <c r="A3234">
        <f t="shared" si="102"/>
        <v>2012</v>
      </c>
      <c r="B3234" s="821">
        <v>40969</v>
      </c>
      <c r="C3234">
        <v>3.15</v>
      </c>
      <c r="D3234">
        <f t="shared" si="103"/>
        <v>0</v>
      </c>
    </row>
    <row r="3235" spans="1:4" x14ac:dyDescent="0.55000000000000004">
      <c r="A3235">
        <f t="shared" si="102"/>
        <v>2012</v>
      </c>
      <c r="B3235" s="821">
        <v>40968</v>
      </c>
      <c r="C3235">
        <v>3.08</v>
      </c>
      <c r="D3235">
        <f t="shared" si="103"/>
        <v>0</v>
      </c>
    </row>
    <row r="3236" spans="1:4" x14ac:dyDescent="0.55000000000000004">
      <c r="A3236">
        <f t="shared" si="102"/>
        <v>2012</v>
      </c>
      <c r="B3236" s="821">
        <v>40967</v>
      </c>
      <c r="C3236">
        <v>3.07</v>
      </c>
      <c r="D3236">
        <f t="shared" si="103"/>
        <v>0</v>
      </c>
    </row>
    <row r="3237" spans="1:4" x14ac:dyDescent="0.55000000000000004">
      <c r="A3237">
        <f t="shared" si="102"/>
        <v>2012</v>
      </c>
      <c r="B3237" s="821">
        <v>40966</v>
      </c>
      <c r="C3237">
        <v>3.04</v>
      </c>
      <c r="D3237">
        <f t="shared" si="103"/>
        <v>0</v>
      </c>
    </row>
    <row r="3238" spans="1:4" x14ac:dyDescent="0.55000000000000004">
      <c r="A3238">
        <f t="shared" si="102"/>
        <v>2012</v>
      </c>
      <c r="B3238" s="821">
        <v>40963</v>
      </c>
      <c r="C3238">
        <v>3.1</v>
      </c>
      <c r="D3238">
        <f t="shared" si="103"/>
        <v>0</v>
      </c>
    </row>
    <row r="3239" spans="1:4" x14ac:dyDescent="0.55000000000000004">
      <c r="A3239">
        <f t="shared" si="102"/>
        <v>2012</v>
      </c>
      <c r="B3239" s="821">
        <v>40962</v>
      </c>
      <c r="C3239">
        <v>3.13</v>
      </c>
      <c r="D3239">
        <f t="shared" si="103"/>
        <v>0</v>
      </c>
    </row>
    <row r="3240" spans="1:4" x14ac:dyDescent="0.55000000000000004">
      <c r="A3240">
        <f t="shared" si="102"/>
        <v>2012</v>
      </c>
      <c r="B3240" s="821">
        <v>40961</v>
      </c>
      <c r="C3240">
        <v>3.15</v>
      </c>
      <c r="D3240">
        <f t="shared" si="103"/>
        <v>0</v>
      </c>
    </row>
    <row r="3241" spans="1:4" x14ac:dyDescent="0.55000000000000004">
      <c r="A3241">
        <f t="shared" si="102"/>
        <v>2012</v>
      </c>
      <c r="B3241" s="821">
        <v>40960</v>
      </c>
      <c r="C3241">
        <v>3.2</v>
      </c>
      <c r="D3241">
        <f t="shared" si="103"/>
        <v>0</v>
      </c>
    </row>
    <row r="3242" spans="1:4" x14ac:dyDescent="0.55000000000000004">
      <c r="A3242">
        <f t="shared" si="102"/>
        <v>2012</v>
      </c>
      <c r="B3242" s="821">
        <v>40956</v>
      </c>
      <c r="C3242">
        <v>3.16</v>
      </c>
      <c r="D3242">
        <f t="shared" si="103"/>
        <v>0</v>
      </c>
    </row>
    <row r="3243" spans="1:4" x14ac:dyDescent="0.55000000000000004">
      <c r="A3243">
        <f t="shared" si="102"/>
        <v>2012</v>
      </c>
      <c r="B3243" s="821">
        <v>40955</v>
      </c>
      <c r="C3243">
        <v>3.14</v>
      </c>
      <c r="D3243">
        <f t="shared" si="103"/>
        <v>0</v>
      </c>
    </row>
    <row r="3244" spans="1:4" x14ac:dyDescent="0.55000000000000004">
      <c r="A3244">
        <f t="shared" si="102"/>
        <v>2012</v>
      </c>
      <c r="B3244" s="821">
        <v>40954</v>
      </c>
      <c r="C3244">
        <v>3.09</v>
      </c>
      <c r="D3244">
        <f t="shared" si="103"/>
        <v>0</v>
      </c>
    </row>
    <row r="3245" spans="1:4" x14ac:dyDescent="0.55000000000000004">
      <c r="A3245">
        <f t="shared" si="102"/>
        <v>2012</v>
      </c>
      <c r="B3245" s="821">
        <v>40953</v>
      </c>
      <c r="C3245">
        <v>3.06</v>
      </c>
      <c r="D3245">
        <f t="shared" si="103"/>
        <v>0</v>
      </c>
    </row>
    <row r="3246" spans="1:4" x14ac:dyDescent="0.55000000000000004">
      <c r="A3246">
        <f t="shared" si="102"/>
        <v>2012</v>
      </c>
      <c r="B3246" s="821">
        <v>40952</v>
      </c>
      <c r="C3246">
        <v>3.14</v>
      </c>
      <c r="D3246">
        <f t="shared" si="103"/>
        <v>0</v>
      </c>
    </row>
    <row r="3247" spans="1:4" x14ac:dyDescent="0.55000000000000004">
      <c r="A3247">
        <f t="shared" si="102"/>
        <v>2012</v>
      </c>
      <c r="B3247" s="821">
        <v>40949</v>
      </c>
      <c r="C3247">
        <v>3.11</v>
      </c>
      <c r="D3247">
        <f t="shared" si="103"/>
        <v>0</v>
      </c>
    </row>
    <row r="3248" spans="1:4" x14ac:dyDescent="0.55000000000000004">
      <c r="A3248">
        <f t="shared" si="102"/>
        <v>2012</v>
      </c>
      <c r="B3248" s="821">
        <v>40948</v>
      </c>
      <c r="C3248">
        <v>3.2</v>
      </c>
      <c r="D3248">
        <f t="shared" si="103"/>
        <v>0</v>
      </c>
    </row>
    <row r="3249" spans="1:4" x14ac:dyDescent="0.55000000000000004">
      <c r="A3249">
        <f t="shared" si="102"/>
        <v>2012</v>
      </c>
      <c r="B3249" s="821">
        <v>40947</v>
      </c>
      <c r="C3249">
        <v>3.14</v>
      </c>
      <c r="D3249">
        <f t="shared" si="103"/>
        <v>0</v>
      </c>
    </row>
    <row r="3250" spans="1:4" x14ac:dyDescent="0.55000000000000004">
      <c r="A3250">
        <f t="shared" si="102"/>
        <v>2012</v>
      </c>
      <c r="B3250" s="821">
        <v>40946</v>
      </c>
      <c r="C3250">
        <v>3.14</v>
      </c>
      <c r="D3250">
        <f t="shared" si="103"/>
        <v>0</v>
      </c>
    </row>
    <row r="3251" spans="1:4" x14ac:dyDescent="0.55000000000000004">
      <c r="A3251">
        <f t="shared" si="102"/>
        <v>2012</v>
      </c>
      <c r="B3251" s="821">
        <v>40945</v>
      </c>
      <c r="C3251">
        <v>3.08</v>
      </c>
      <c r="D3251">
        <f t="shared" si="103"/>
        <v>0</v>
      </c>
    </row>
    <row r="3252" spans="1:4" x14ac:dyDescent="0.55000000000000004">
      <c r="A3252">
        <f t="shared" si="102"/>
        <v>2012</v>
      </c>
      <c r="B3252" s="821">
        <v>40942</v>
      </c>
      <c r="C3252">
        <v>3.13</v>
      </c>
      <c r="D3252">
        <f t="shared" si="103"/>
        <v>0</v>
      </c>
    </row>
    <row r="3253" spans="1:4" x14ac:dyDescent="0.55000000000000004">
      <c r="A3253">
        <f t="shared" si="102"/>
        <v>2012</v>
      </c>
      <c r="B3253" s="821">
        <v>40941</v>
      </c>
      <c r="C3253">
        <v>3.01</v>
      </c>
      <c r="D3253">
        <f t="shared" si="103"/>
        <v>0</v>
      </c>
    </row>
    <row r="3254" spans="1:4" x14ac:dyDescent="0.55000000000000004">
      <c r="A3254">
        <f t="shared" si="102"/>
        <v>2012</v>
      </c>
      <c r="B3254" s="821">
        <v>40940</v>
      </c>
      <c r="C3254">
        <v>3.01</v>
      </c>
      <c r="D3254">
        <f t="shared" si="103"/>
        <v>0</v>
      </c>
    </row>
    <row r="3255" spans="1:4" x14ac:dyDescent="0.55000000000000004">
      <c r="A3255">
        <f t="shared" si="102"/>
        <v>2012</v>
      </c>
      <c r="B3255" s="821">
        <v>40939</v>
      </c>
      <c r="C3255">
        <v>2.94</v>
      </c>
      <c r="D3255">
        <f t="shared" si="103"/>
        <v>0</v>
      </c>
    </row>
    <row r="3256" spans="1:4" x14ac:dyDescent="0.55000000000000004">
      <c r="A3256">
        <f t="shared" si="102"/>
        <v>2012</v>
      </c>
      <c r="B3256" s="821">
        <v>40938</v>
      </c>
      <c r="C3256">
        <v>2.99</v>
      </c>
      <c r="D3256">
        <f t="shared" si="103"/>
        <v>0</v>
      </c>
    </row>
    <row r="3257" spans="1:4" x14ac:dyDescent="0.55000000000000004">
      <c r="A3257">
        <f t="shared" si="102"/>
        <v>2012</v>
      </c>
      <c r="B3257" s="821">
        <v>40935</v>
      </c>
      <c r="C3257">
        <v>3.07</v>
      </c>
      <c r="D3257">
        <f t="shared" si="103"/>
        <v>0</v>
      </c>
    </row>
    <row r="3258" spans="1:4" x14ac:dyDescent="0.55000000000000004">
      <c r="A3258">
        <f t="shared" si="102"/>
        <v>2012</v>
      </c>
      <c r="B3258" s="821">
        <v>40934</v>
      </c>
      <c r="C3258">
        <v>3.1</v>
      </c>
      <c r="D3258">
        <f t="shared" si="103"/>
        <v>0</v>
      </c>
    </row>
    <row r="3259" spans="1:4" x14ac:dyDescent="0.55000000000000004">
      <c r="A3259">
        <f t="shared" si="102"/>
        <v>2012</v>
      </c>
      <c r="B3259" s="821">
        <v>40933</v>
      </c>
      <c r="C3259">
        <v>3.13</v>
      </c>
      <c r="D3259">
        <f t="shared" si="103"/>
        <v>0</v>
      </c>
    </row>
    <row r="3260" spans="1:4" x14ac:dyDescent="0.55000000000000004">
      <c r="A3260">
        <f t="shared" si="102"/>
        <v>2012</v>
      </c>
      <c r="B3260" s="821">
        <v>40932</v>
      </c>
      <c r="C3260">
        <v>3.15</v>
      </c>
      <c r="D3260">
        <f t="shared" si="103"/>
        <v>0</v>
      </c>
    </row>
    <row r="3261" spans="1:4" x14ac:dyDescent="0.55000000000000004">
      <c r="A3261">
        <f t="shared" si="102"/>
        <v>2012</v>
      </c>
      <c r="B3261" s="821">
        <v>40931</v>
      </c>
      <c r="C3261">
        <v>3.15</v>
      </c>
      <c r="D3261">
        <f t="shared" si="103"/>
        <v>0</v>
      </c>
    </row>
    <row r="3262" spans="1:4" x14ac:dyDescent="0.55000000000000004">
      <c r="A3262">
        <f t="shared" si="102"/>
        <v>2012</v>
      </c>
      <c r="B3262" s="821">
        <v>40928</v>
      </c>
      <c r="C3262">
        <v>3.1</v>
      </c>
      <c r="D3262">
        <f t="shared" si="103"/>
        <v>0</v>
      </c>
    </row>
    <row r="3263" spans="1:4" x14ac:dyDescent="0.55000000000000004">
      <c r="A3263">
        <f t="shared" si="102"/>
        <v>2012</v>
      </c>
      <c r="B3263" s="821">
        <v>40927</v>
      </c>
      <c r="C3263">
        <v>3.05</v>
      </c>
      <c r="D3263">
        <f t="shared" si="103"/>
        <v>0</v>
      </c>
    </row>
    <row r="3264" spans="1:4" x14ac:dyDescent="0.55000000000000004">
      <c r="A3264">
        <f t="shared" si="102"/>
        <v>2012</v>
      </c>
      <c r="B3264" s="821">
        <v>40926</v>
      </c>
      <c r="C3264">
        <v>2.96</v>
      </c>
      <c r="D3264">
        <f t="shared" si="103"/>
        <v>0</v>
      </c>
    </row>
    <row r="3265" spans="1:4" x14ac:dyDescent="0.55000000000000004">
      <c r="A3265">
        <f t="shared" si="102"/>
        <v>2012</v>
      </c>
      <c r="B3265" s="821">
        <v>40925</v>
      </c>
      <c r="C3265">
        <v>2.89</v>
      </c>
      <c r="D3265">
        <f t="shared" si="103"/>
        <v>0</v>
      </c>
    </row>
    <row r="3266" spans="1:4" x14ac:dyDescent="0.55000000000000004">
      <c r="A3266">
        <f t="shared" si="102"/>
        <v>2012</v>
      </c>
      <c r="B3266" s="821">
        <v>40921</v>
      </c>
      <c r="C3266">
        <v>2.91</v>
      </c>
      <c r="D3266">
        <f t="shared" si="103"/>
        <v>0</v>
      </c>
    </row>
    <row r="3267" spans="1:4" x14ac:dyDescent="0.55000000000000004">
      <c r="A3267">
        <f t="shared" si="102"/>
        <v>2012</v>
      </c>
      <c r="B3267" s="821">
        <v>40920</v>
      </c>
      <c r="C3267">
        <v>2.97</v>
      </c>
      <c r="D3267">
        <f t="shared" si="103"/>
        <v>0</v>
      </c>
    </row>
    <row r="3268" spans="1:4" x14ac:dyDescent="0.55000000000000004">
      <c r="A3268">
        <f t="shared" ref="A3268:A3331" si="104">YEAR(B3268)</f>
        <v>2012</v>
      </c>
      <c r="B3268" s="821">
        <v>40919</v>
      </c>
      <c r="C3268">
        <v>2.96</v>
      </c>
      <c r="D3268">
        <f t="shared" ref="D3268:D3331" si="105">IF(C3268&gt;4,1,0)</f>
        <v>0</v>
      </c>
    </row>
    <row r="3269" spans="1:4" x14ac:dyDescent="0.55000000000000004">
      <c r="A3269">
        <f t="shared" si="104"/>
        <v>2012</v>
      </c>
      <c r="B3269" s="821">
        <v>40918</v>
      </c>
      <c r="C3269">
        <v>3.04</v>
      </c>
      <c r="D3269">
        <f t="shared" si="105"/>
        <v>0</v>
      </c>
    </row>
    <row r="3270" spans="1:4" x14ac:dyDescent="0.55000000000000004">
      <c r="A3270">
        <f t="shared" si="104"/>
        <v>2012</v>
      </c>
      <c r="B3270" s="821">
        <v>40917</v>
      </c>
      <c r="C3270">
        <v>3.02</v>
      </c>
      <c r="D3270">
        <f t="shared" si="105"/>
        <v>0</v>
      </c>
    </row>
    <row r="3271" spans="1:4" x14ac:dyDescent="0.55000000000000004">
      <c r="A3271">
        <f t="shared" si="104"/>
        <v>2012</v>
      </c>
      <c r="B3271" s="821">
        <v>40914</v>
      </c>
      <c r="C3271">
        <v>3.02</v>
      </c>
      <c r="D3271">
        <f t="shared" si="105"/>
        <v>0</v>
      </c>
    </row>
    <row r="3272" spans="1:4" x14ac:dyDescent="0.55000000000000004">
      <c r="A3272">
        <f t="shared" si="104"/>
        <v>2012</v>
      </c>
      <c r="B3272" s="821">
        <v>40913</v>
      </c>
      <c r="C3272">
        <v>3.06</v>
      </c>
      <c r="D3272">
        <f t="shared" si="105"/>
        <v>0</v>
      </c>
    </row>
    <row r="3273" spans="1:4" x14ac:dyDescent="0.55000000000000004">
      <c r="A3273">
        <f t="shared" si="104"/>
        <v>2012</v>
      </c>
      <c r="B3273" s="821">
        <v>40912</v>
      </c>
      <c r="C3273">
        <v>3.03</v>
      </c>
      <c r="D3273">
        <f t="shared" si="105"/>
        <v>0</v>
      </c>
    </row>
    <row r="3274" spans="1:4" x14ac:dyDescent="0.55000000000000004">
      <c r="A3274">
        <f t="shared" si="104"/>
        <v>2012</v>
      </c>
      <c r="B3274" s="821">
        <v>40911</v>
      </c>
      <c r="C3274">
        <v>2.98</v>
      </c>
      <c r="D3274">
        <f t="shared" si="105"/>
        <v>0</v>
      </c>
    </row>
    <row r="3275" spans="1:4" x14ac:dyDescent="0.55000000000000004">
      <c r="A3275">
        <f t="shared" si="104"/>
        <v>2011</v>
      </c>
      <c r="B3275" s="821">
        <v>40907</v>
      </c>
      <c r="C3275">
        <v>2.89</v>
      </c>
      <c r="D3275">
        <f t="shared" si="105"/>
        <v>0</v>
      </c>
    </row>
    <row r="3276" spans="1:4" x14ac:dyDescent="0.55000000000000004">
      <c r="A3276">
        <f t="shared" si="104"/>
        <v>2011</v>
      </c>
      <c r="B3276" s="821">
        <v>40906</v>
      </c>
      <c r="C3276">
        <v>2.9</v>
      </c>
      <c r="D3276">
        <f t="shared" si="105"/>
        <v>0</v>
      </c>
    </row>
    <row r="3277" spans="1:4" x14ac:dyDescent="0.55000000000000004">
      <c r="A3277">
        <f t="shared" si="104"/>
        <v>2011</v>
      </c>
      <c r="B3277" s="821">
        <v>40905</v>
      </c>
      <c r="C3277">
        <v>2.91</v>
      </c>
      <c r="D3277">
        <f t="shared" si="105"/>
        <v>0</v>
      </c>
    </row>
    <row r="3278" spans="1:4" x14ac:dyDescent="0.55000000000000004">
      <c r="A3278">
        <f t="shared" si="104"/>
        <v>2011</v>
      </c>
      <c r="B3278" s="821">
        <v>40904</v>
      </c>
      <c r="C3278">
        <v>3.04</v>
      </c>
      <c r="D3278">
        <f t="shared" si="105"/>
        <v>0</v>
      </c>
    </row>
    <row r="3279" spans="1:4" x14ac:dyDescent="0.55000000000000004">
      <c r="A3279">
        <f t="shared" si="104"/>
        <v>2011</v>
      </c>
      <c r="B3279" s="821">
        <v>40900</v>
      </c>
      <c r="C3279">
        <v>3.05</v>
      </c>
      <c r="D3279">
        <f t="shared" si="105"/>
        <v>0</v>
      </c>
    </row>
    <row r="3280" spans="1:4" x14ac:dyDescent="0.55000000000000004">
      <c r="A3280">
        <f t="shared" si="104"/>
        <v>2011</v>
      </c>
      <c r="B3280" s="821">
        <v>40899</v>
      </c>
      <c r="C3280">
        <v>2.99</v>
      </c>
      <c r="D3280">
        <f t="shared" si="105"/>
        <v>0</v>
      </c>
    </row>
    <row r="3281" spans="1:4" x14ac:dyDescent="0.55000000000000004">
      <c r="A3281">
        <f t="shared" si="104"/>
        <v>2011</v>
      </c>
      <c r="B3281" s="821">
        <v>40898</v>
      </c>
      <c r="C3281">
        <v>3</v>
      </c>
      <c r="D3281">
        <f t="shared" si="105"/>
        <v>0</v>
      </c>
    </row>
    <row r="3282" spans="1:4" x14ac:dyDescent="0.55000000000000004">
      <c r="A3282">
        <f t="shared" si="104"/>
        <v>2011</v>
      </c>
      <c r="B3282" s="821">
        <v>40897</v>
      </c>
      <c r="C3282">
        <v>2.93</v>
      </c>
      <c r="D3282">
        <f t="shared" si="105"/>
        <v>0</v>
      </c>
    </row>
    <row r="3283" spans="1:4" x14ac:dyDescent="0.55000000000000004">
      <c r="A3283">
        <f t="shared" si="104"/>
        <v>2011</v>
      </c>
      <c r="B3283" s="821">
        <v>40896</v>
      </c>
      <c r="C3283">
        <v>2.79</v>
      </c>
      <c r="D3283">
        <f t="shared" si="105"/>
        <v>0</v>
      </c>
    </row>
    <row r="3284" spans="1:4" x14ac:dyDescent="0.55000000000000004">
      <c r="A3284">
        <f t="shared" si="104"/>
        <v>2011</v>
      </c>
      <c r="B3284" s="821">
        <v>40893</v>
      </c>
      <c r="C3284">
        <v>2.86</v>
      </c>
      <c r="D3284">
        <f t="shared" si="105"/>
        <v>0</v>
      </c>
    </row>
    <row r="3285" spans="1:4" x14ac:dyDescent="0.55000000000000004">
      <c r="A3285">
        <f t="shared" si="104"/>
        <v>2011</v>
      </c>
      <c r="B3285" s="821">
        <v>40892</v>
      </c>
      <c r="C3285">
        <v>2.92</v>
      </c>
      <c r="D3285">
        <f t="shared" si="105"/>
        <v>0</v>
      </c>
    </row>
    <row r="3286" spans="1:4" x14ac:dyDescent="0.55000000000000004">
      <c r="A3286">
        <f t="shared" si="104"/>
        <v>2011</v>
      </c>
      <c r="B3286" s="821">
        <v>40891</v>
      </c>
      <c r="C3286">
        <v>2.91</v>
      </c>
      <c r="D3286">
        <f t="shared" si="105"/>
        <v>0</v>
      </c>
    </row>
    <row r="3287" spans="1:4" x14ac:dyDescent="0.55000000000000004">
      <c r="A3287">
        <f t="shared" si="104"/>
        <v>2011</v>
      </c>
      <c r="B3287" s="821">
        <v>40890</v>
      </c>
      <c r="C3287">
        <v>2.98</v>
      </c>
      <c r="D3287">
        <f t="shared" si="105"/>
        <v>0</v>
      </c>
    </row>
    <row r="3288" spans="1:4" x14ac:dyDescent="0.55000000000000004">
      <c r="A3288">
        <f t="shared" si="104"/>
        <v>2011</v>
      </c>
      <c r="B3288" s="821">
        <v>40889</v>
      </c>
      <c r="C3288">
        <v>3.06</v>
      </c>
      <c r="D3288">
        <f t="shared" si="105"/>
        <v>0</v>
      </c>
    </row>
    <row r="3289" spans="1:4" x14ac:dyDescent="0.55000000000000004">
      <c r="A3289">
        <f t="shared" si="104"/>
        <v>2011</v>
      </c>
      <c r="B3289" s="821">
        <v>40886</v>
      </c>
      <c r="C3289">
        <v>3.1</v>
      </c>
      <c r="D3289">
        <f t="shared" si="105"/>
        <v>0</v>
      </c>
    </row>
    <row r="3290" spans="1:4" x14ac:dyDescent="0.55000000000000004">
      <c r="A3290">
        <f t="shared" si="104"/>
        <v>2011</v>
      </c>
      <c r="B3290" s="821">
        <v>40885</v>
      </c>
      <c r="C3290">
        <v>3</v>
      </c>
      <c r="D3290">
        <f t="shared" si="105"/>
        <v>0</v>
      </c>
    </row>
    <row r="3291" spans="1:4" x14ac:dyDescent="0.55000000000000004">
      <c r="A3291">
        <f t="shared" si="104"/>
        <v>2011</v>
      </c>
      <c r="B3291" s="821">
        <v>40884</v>
      </c>
      <c r="C3291">
        <v>3.04</v>
      </c>
      <c r="D3291">
        <f t="shared" si="105"/>
        <v>0</v>
      </c>
    </row>
    <row r="3292" spans="1:4" x14ac:dyDescent="0.55000000000000004">
      <c r="A3292">
        <f t="shared" si="104"/>
        <v>2011</v>
      </c>
      <c r="B3292" s="821">
        <v>40883</v>
      </c>
      <c r="C3292">
        <v>3.09</v>
      </c>
      <c r="D3292">
        <f t="shared" si="105"/>
        <v>0</v>
      </c>
    </row>
    <row r="3293" spans="1:4" x14ac:dyDescent="0.55000000000000004">
      <c r="A3293">
        <f t="shared" si="104"/>
        <v>2011</v>
      </c>
      <c r="B3293" s="821">
        <v>40882</v>
      </c>
      <c r="C3293">
        <v>3.02</v>
      </c>
      <c r="D3293">
        <f t="shared" si="105"/>
        <v>0</v>
      </c>
    </row>
    <row r="3294" spans="1:4" x14ac:dyDescent="0.55000000000000004">
      <c r="A3294">
        <f t="shared" si="104"/>
        <v>2011</v>
      </c>
      <c r="B3294" s="821">
        <v>40879</v>
      </c>
      <c r="C3294">
        <v>3.03</v>
      </c>
      <c r="D3294">
        <f t="shared" si="105"/>
        <v>0</v>
      </c>
    </row>
    <row r="3295" spans="1:4" x14ac:dyDescent="0.55000000000000004">
      <c r="A3295">
        <f t="shared" si="104"/>
        <v>2011</v>
      </c>
      <c r="B3295" s="821">
        <v>40878</v>
      </c>
      <c r="C3295">
        <v>3.12</v>
      </c>
      <c r="D3295">
        <f t="shared" si="105"/>
        <v>0</v>
      </c>
    </row>
    <row r="3296" spans="1:4" x14ac:dyDescent="0.55000000000000004">
      <c r="A3296">
        <f t="shared" si="104"/>
        <v>2011</v>
      </c>
      <c r="B3296" s="821">
        <v>40877</v>
      </c>
      <c r="C3296">
        <v>3.06</v>
      </c>
      <c r="D3296">
        <f t="shared" si="105"/>
        <v>0</v>
      </c>
    </row>
    <row r="3297" spans="1:4" x14ac:dyDescent="0.55000000000000004">
      <c r="A3297">
        <f t="shared" si="104"/>
        <v>2011</v>
      </c>
      <c r="B3297" s="821">
        <v>40876</v>
      </c>
      <c r="C3297">
        <v>2.96</v>
      </c>
      <c r="D3297">
        <f t="shared" si="105"/>
        <v>0</v>
      </c>
    </row>
    <row r="3298" spans="1:4" x14ac:dyDescent="0.55000000000000004">
      <c r="A3298">
        <f t="shared" si="104"/>
        <v>2011</v>
      </c>
      <c r="B3298" s="821">
        <v>40875</v>
      </c>
      <c r="C3298">
        <v>2.93</v>
      </c>
      <c r="D3298">
        <f t="shared" si="105"/>
        <v>0</v>
      </c>
    </row>
    <row r="3299" spans="1:4" x14ac:dyDescent="0.55000000000000004">
      <c r="A3299">
        <f t="shared" si="104"/>
        <v>2011</v>
      </c>
      <c r="B3299" s="821">
        <v>40872</v>
      </c>
      <c r="C3299">
        <v>2.92</v>
      </c>
      <c r="D3299">
        <f t="shared" si="105"/>
        <v>0</v>
      </c>
    </row>
    <row r="3300" spans="1:4" x14ac:dyDescent="0.55000000000000004">
      <c r="A3300">
        <f t="shared" si="104"/>
        <v>2011</v>
      </c>
      <c r="B3300" s="821">
        <v>40870</v>
      </c>
      <c r="C3300">
        <v>2.82</v>
      </c>
      <c r="D3300">
        <f t="shared" si="105"/>
        <v>0</v>
      </c>
    </row>
    <row r="3301" spans="1:4" x14ac:dyDescent="0.55000000000000004">
      <c r="A3301">
        <f t="shared" si="104"/>
        <v>2011</v>
      </c>
      <c r="B3301" s="821">
        <v>40869</v>
      </c>
      <c r="C3301">
        <v>2.91</v>
      </c>
      <c r="D3301">
        <f t="shared" si="105"/>
        <v>0</v>
      </c>
    </row>
    <row r="3302" spans="1:4" x14ac:dyDescent="0.55000000000000004">
      <c r="A3302">
        <f t="shared" si="104"/>
        <v>2011</v>
      </c>
      <c r="B3302" s="821">
        <v>40868</v>
      </c>
      <c r="C3302">
        <v>2.96</v>
      </c>
      <c r="D3302">
        <f t="shared" si="105"/>
        <v>0</v>
      </c>
    </row>
    <row r="3303" spans="1:4" x14ac:dyDescent="0.55000000000000004">
      <c r="A3303">
        <f t="shared" si="104"/>
        <v>2011</v>
      </c>
      <c r="B3303" s="821">
        <v>40865</v>
      </c>
      <c r="C3303">
        <v>2.99</v>
      </c>
      <c r="D3303">
        <f t="shared" si="105"/>
        <v>0</v>
      </c>
    </row>
    <row r="3304" spans="1:4" x14ac:dyDescent="0.55000000000000004">
      <c r="A3304">
        <f t="shared" si="104"/>
        <v>2011</v>
      </c>
      <c r="B3304" s="821">
        <v>40864</v>
      </c>
      <c r="C3304">
        <v>2.98</v>
      </c>
      <c r="D3304">
        <f t="shared" si="105"/>
        <v>0</v>
      </c>
    </row>
    <row r="3305" spans="1:4" x14ac:dyDescent="0.55000000000000004">
      <c r="A3305">
        <f t="shared" si="104"/>
        <v>2011</v>
      </c>
      <c r="B3305" s="821">
        <v>40863</v>
      </c>
      <c r="C3305">
        <v>3.05</v>
      </c>
      <c r="D3305">
        <f t="shared" si="105"/>
        <v>0</v>
      </c>
    </row>
    <row r="3306" spans="1:4" x14ac:dyDescent="0.55000000000000004">
      <c r="A3306">
        <f t="shared" si="104"/>
        <v>2011</v>
      </c>
      <c r="B3306" s="821">
        <v>40862</v>
      </c>
      <c r="C3306">
        <v>3.1</v>
      </c>
      <c r="D3306">
        <f t="shared" si="105"/>
        <v>0</v>
      </c>
    </row>
    <row r="3307" spans="1:4" x14ac:dyDescent="0.55000000000000004">
      <c r="A3307">
        <f t="shared" si="104"/>
        <v>2011</v>
      </c>
      <c r="B3307" s="821">
        <v>40861</v>
      </c>
      <c r="C3307">
        <v>3.09</v>
      </c>
      <c r="D3307">
        <f t="shared" si="105"/>
        <v>0</v>
      </c>
    </row>
    <row r="3308" spans="1:4" x14ac:dyDescent="0.55000000000000004">
      <c r="A3308">
        <f t="shared" si="104"/>
        <v>2011</v>
      </c>
      <c r="B3308" s="821">
        <v>40857</v>
      </c>
      <c r="C3308">
        <v>3.12</v>
      </c>
      <c r="D3308">
        <f t="shared" si="105"/>
        <v>0</v>
      </c>
    </row>
    <row r="3309" spans="1:4" x14ac:dyDescent="0.55000000000000004">
      <c r="A3309">
        <f t="shared" si="104"/>
        <v>2011</v>
      </c>
      <c r="B3309" s="821">
        <v>40856</v>
      </c>
      <c r="C3309">
        <v>3.03</v>
      </c>
      <c r="D3309">
        <f t="shared" si="105"/>
        <v>0</v>
      </c>
    </row>
    <row r="3310" spans="1:4" x14ac:dyDescent="0.55000000000000004">
      <c r="A3310">
        <f t="shared" si="104"/>
        <v>2011</v>
      </c>
      <c r="B3310" s="821">
        <v>40855</v>
      </c>
      <c r="C3310">
        <v>3.13</v>
      </c>
      <c r="D3310">
        <f t="shared" si="105"/>
        <v>0</v>
      </c>
    </row>
    <row r="3311" spans="1:4" x14ac:dyDescent="0.55000000000000004">
      <c r="A3311">
        <f t="shared" si="104"/>
        <v>2011</v>
      </c>
      <c r="B3311" s="821">
        <v>40854</v>
      </c>
      <c r="C3311">
        <v>3.05</v>
      </c>
      <c r="D3311">
        <f t="shared" si="105"/>
        <v>0</v>
      </c>
    </row>
    <row r="3312" spans="1:4" x14ac:dyDescent="0.55000000000000004">
      <c r="A3312">
        <f t="shared" si="104"/>
        <v>2011</v>
      </c>
      <c r="B3312" s="821">
        <v>40851</v>
      </c>
      <c r="C3312">
        <v>3.09</v>
      </c>
      <c r="D3312">
        <f t="shared" si="105"/>
        <v>0</v>
      </c>
    </row>
    <row r="3313" spans="1:4" x14ac:dyDescent="0.55000000000000004">
      <c r="A3313">
        <f t="shared" si="104"/>
        <v>2011</v>
      </c>
      <c r="B3313" s="821">
        <v>40850</v>
      </c>
      <c r="C3313">
        <v>3.1</v>
      </c>
      <c r="D3313">
        <f t="shared" si="105"/>
        <v>0</v>
      </c>
    </row>
    <row r="3314" spans="1:4" x14ac:dyDescent="0.55000000000000004">
      <c r="A3314">
        <f t="shared" si="104"/>
        <v>2011</v>
      </c>
      <c r="B3314" s="821">
        <v>40849</v>
      </c>
      <c r="C3314">
        <v>3.03</v>
      </c>
      <c r="D3314">
        <f t="shared" si="105"/>
        <v>0</v>
      </c>
    </row>
    <row r="3315" spans="1:4" x14ac:dyDescent="0.55000000000000004">
      <c r="A3315">
        <f t="shared" si="104"/>
        <v>2011</v>
      </c>
      <c r="B3315" s="821">
        <v>40848</v>
      </c>
      <c r="C3315">
        <v>2.99</v>
      </c>
      <c r="D3315">
        <f t="shared" si="105"/>
        <v>0</v>
      </c>
    </row>
    <row r="3316" spans="1:4" x14ac:dyDescent="0.55000000000000004">
      <c r="A3316">
        <f t="shared" si="104"/>
        <v>2011</v>
      </c>
      <c r="B3316" s="821">
        <v>40847</v>
      </c>
      <c r="C3316">
        <v>3.16</v>
      </c>
      <c r="D3316">
        <f t="shared" si="105"/>
        <v>0</v>
      </c>
    </row>
    <row r="3317" spans="1:4" x14ac:dyDescent="0.55000000000000004">
      <c r="A3317">
        <f t="shared" si="104"/>
        <v>2011</v>
      </c>
      <c r="B3317" s="821">
        <v>40844</v>
      </c>
      <c r="C3317">
        <v>3.36</v>
      </c>
      <c r="D3317">
        <f t="shared" si="105"/>
        <v>0</v>
      </c>
    </row>
    <row r="3318" spans="1:4" x14ac:dyDescent="0.55000000000000004">
      <c r="A3318">
        <f t="shared" si="104"/>
        <v>2011</v>
      </c>
      <c r="B3318" s="821">
        <v>40843</v>
      </c>
      <c r="C3318">
        <v>3.45</v>
      </c>
      <c r="D3318">
        <f t="shared" si="105"/>
        <v>0</v>
      </c>
    </row>
    <row r="3319" spans="1:4" x14ac:dyDescent="0.55000000000000004">
      <c r="A3319">
        <f t="shared" si="104"/>
        <v>2011</v>
      </c>
      <c r="B3319" s="821">
        <v>40842</v>
      </c>
      <c r="C3319">
        <v>3.22</v>
      </c>
      <c r="D3319">
        <f t="shared" si="105"/>
        <v>0</v>
      </c>
    </row>
    <row r="3320" spans="1:4" x14ac:dyDescent="0.55000000000000004">
      <c r="A3320">
        <f t="shared" si="104"/>
        <v>2011</v>
      </c>
      <c r="B3320" s="821">
        <v>40841</v>
      </c>
      <c r="C3320">
        <v>3.13</v>
      </c>
      <c r="D3320">
        <f t="shared" si="105"/>
        <v>0</v>
      </c>
    </row>
    <row r="3321" spans="1:4" x14ac:dyDescent="0.55000000000000004">
      <c r="A3321">
        <f t="shared" si="104"/>
        <v>2011</v>
      </c>
      <c r="B3321" s="821">
        <v>40840</v>
      </c>
      <c r="C3321">
        <v>3.27</v>
      </c>
      <c r="D3321">
        <f t="shared" si="105"/>
        <v>0</v>
      </c>
    </row>
    <row r="3322" spans="1:4" x14ac:dyDescent="0.55000000000000004">
      <c r="A3322">
        <f t="shared" si="104"/>
        <v>2011</v>
      </c>
      <c r="B3322" s="821">
        <v>40837</v>
      </c>
      <c r="C3322">
        <v>3.26</v>
      </c>
      <c r="D3322">
        <f t="shared" si="105"/>
        <v>0</v>
      </c>
    </row>
    <row r="3323" spans="1:4" x14ac:dyDescent="0.55000000000000004">
      <c r="A3323">
        <f t="shared" si="104"/>
        <v>2011</v>
      </c>
      <c r="B3323" s="821">
        <v>40836</v>
      </c>
      <c r="C3323">
        <v>3.19</v>
      </c>
      <c r="D3323">
        <f t="shared" si="105"/>
        <v>0</v>
      </c>
    </row>
    <row r="3324" spans="1:4" x14ac:dyDescent="0.55000000000000004">
      <c r="A3324">
        <f t="shared" si="104"/>
        <v>2011</v>
      </c>
      <c r="B3324" s="821">
        <v>40835</v>
      </c>
      <c r="C3324">
        <v>3.17</v>
      </c>
      <c r="D3324">
        <f t="shared" si="105"/>
        <v>0</v>
      </c>
    </row>
    <row r="3325" spans="1:4" x14ac:dyDescent="0.55000000000000004">
      <c r="A3325">
        <f t="shared" si="104"/>
        <v>2011</v>
      </c>
      <c r="B3325" s="821">
        <v>40834</v>
      </c>
      <c r="C3325">
        <v>3.17</v>
      </c>
      <c r="D3325">
        <f t="shared" si="105"/>
        <v>0</v>
      </c>
    </row>
    <row r="3326" spans="1:4" x14ac:dyDescent="0.55000000000000004">
      <c r="A3326">
        <f t="shared" si="104"/>
        <v>2011</v>
      </c>
      <c r="B3326" s="821">
        <v>40833</v>
      </c>
      <c r="C3326">
        <v>3.13</v>
      </c>
      <c r="D3326">
        <f t="shared" si="105"/>
        <v>0</v>
      </c>
    </row>
    <row r="3327" spans="1:4" x14ac:dyDescent="0.55000000000000004">
      <c r="A3327">
        <f t="shared" si="104"/>
        <v>2011</v>
      </c>
      <c r="B3327" s="821">
        <v>40830</v>
      </c>
      <c r="C3327">
        <v>3.22</v>
      </c>
      <c r="D3327">
        <f t="shared" si="105"/>
        <v>0</v>
      </c>
    </row>
    <row r="3328" spans="1:4" x14ac:dyDescent="0.55000000000000004">
      <c r="A3328">
        <f t="shared" si="104"/>
        <v>2011</v>
      </c>
      <c r="B3328" s="821">
        <v>40829</v>
      </c>
      <c r="C3328">
        <v>3.15</v>
      </c>
      <c r="D3328">
        <f t="shared" si="105"/>
        <v>0</v>
      </c>
    </row>
    <row r="3329" spans="1:4" x14ac:dyDescent="0.55000000000000004">
      <c r="A3329">
        <f t="shared" si="104"/>
        <v>2011</v>
      </c>
      <c r="B3329" s="821">
        <v>40828</v>
      </c>
      <c r="C3329">
        <v>3.19</v>
      </c>
      <c r="D3329">
        <f t="shared" si="105"/>
        <v>0</v>
      </c>
    </row>
    <row r="3330" spans="1:4" x14ac:dyDescent="0.55000000000000004">
      <c r="A3330">
        <f t="shared" si="104"/>
        <v>2011</v>
      </c>
      <c r="B3330" s="821">
        <v>40827</v>
      </c>
      <c r="C3330">
        <v>3.11</v>
      </c>
      <c r="D3330">
        <f t="shared" si="105"/>
        <v>0</v>
      </c>
    </row>
    <row r="3331" spans="1:4" x14ac:dyDescent="0.55000000000000004">
      <c r="A3331">
        <f t="shared" si="104"/>
        <v>2011</v>
      </c>
      <c r="B3331" s="821">
        <v>40823</v>
      </c>
      <c r="C3331">
        <v>3.02</v>
      </c>
      <c r="D3331">
        <f t="shared" si="105"/>
        <v>0</v>
      </c>
    </row>
    <row r="3332" spans="1:4" x14ac:dyDescent="0.55000000000000004">
      <c r="A3332">
        <f t="shared" ref="A3332:A3395" si="106">YEAR(B3332)</f>
        <v>2011</v>
      </c>
      <c r="B3332" s="821">
        <v>40822</v>
      </c>
      <c r="C3332">
        <v>2.96</v>
      </c>
      <c r="D3332">
        <f t="shared" ref="D3332:D3395" si="107">IF(C3332&gt;4,1,0)</f>
        <v>0</v>
      </c>
    </row>
    <row r="3333" spans="1:4" x14ac:dyDescent="0.55000000000000004">
      <c r="A3333">
        <f t="shared" si="106"/>
        <v>2011</v>
      </c>
      <c r="B3333" s="821">
        <v>40821</v>
      </c>
      <c r="C3333">
        <v>2.87</v>
      </c>
      <c r="D3333">
        <f t="shared" si="107"/>
        <v>0</v>
      </c>
    </row>
    <row r="3334" spans="1:4" x14ac:dyDescent="0.55000000000000004">
      <c r="A3334">
        <f t="shared" si="106"/>
        <v>2011</v>
      </c>
      <c r="B3334" s="821">
        <v>40820</v>
      </c>
      <c r="C3334">
        <v>2.77</v>
      </c>
      <c r="D3334">
        <f t="shared" si="107"/>
        <v>0</v>
      </c>
    </row>
    <row r="3335" spans="1:4" x14ac:dyDescent="0.55000000000000004">
      <c r="A3335">
        <f t="shared" si="106"/>
        <v>2011</v>
      </c>
      <c r="B3335" s="821">
        <v>40819</v>
      </c>
      <c r="C3335">
        <v>2.76</v>
      </c>
      <c r="D3335">
        <f t="shared" si="107"/>
        <v>0</v>
      </c>
    </row>
    <row r="3336" spans="1:4" x14ac:dyDescent="0.55000000000000004">
      <c r="A3336">
        <f t="shared" si="106"/>
        <v>2011</v>
      </c>
      <c r="B3336" s="821">
        <v>40816</v>
      </c>
      <c r="C3336">
        <v>2.9</v>
      </c>
      <c r="D3336">
        <f t="shared" si="107"/>
        <v>0</v>
      </c>
    </row>
    <row r="3337" spans="1:4" x14ac:dyDescent="0.55000000000000004">
      <c r="A3337">
        <f t="shared" si="106"/>
        <v>2011</v>
      </c>
      <c r="B3337" s="821">
        <v>40815</v>
      </c>
      <c r="C3337">
        <v>3.03</v>
      </c>
      <c r="D3337">
        <f t="shared" si="107"/>
        <v>0</v>
      </c>
    </row>
    <row r="3338" spans="1:4" x14ac:dyDescent="0.55000000000000004">
      <c r="A3338">
        <f t="shared" si="106"/>
        <v>2011</v>
      </c>
      <c r="B3338" s="821">
        <v>40814</v>
      </c>
      <c r="C3338">
        <v>3.1</v>
      </c>
      <c r="D3338">
        <f t="shared" si="107"/>
        <v>0</v>
      </c>
    </row>
    <row r="3339" spans="1:4" x14ac:dyDescent="0.55000000000000004">
      <c r="A3339">
        <f t="shared" si="106"/>
        <v>2011</v>
      </c>
      <c r="B3339" s="821">
        <v>40813</v>
      </c>
      <c r="C3339">
        <v>3.08</v>
      </c>
      <c r="D3339">
        <f t="shared" si="107"/>
        <v>0</v>
      </c>
    </row>
    <row r="3340" spans="1:4" x14ac:dyDescent="0.55000000000000004">
      <c r="A3340">
        <f t="shared" si="106"/>
        <v>2011</v>
      </c>
      <c r="B3340" s="821">
        <v>40812</v>
      </c>
      <c r="C3340">
        <v>2.99</v>
      </c>
      <c r="D3340">
        <f t="shared" si="107"/>
        <v>0</v>
      </c>
    </row>
    <row r="3341" spans="1:4" x14ac:dyDescent="0.55000000000000004">
      <c r="A3341">
        <f t="shared" si="106"/>
        <v>2011</v>
      </c>
      <c r="B3341" s="821">
        <v>40809</v>
      </c>
      <c r="C3341">
        <v>2.89</v>
      </c>
      <c r="D3341">
        <f t="shared" si="107"/>
        <v>0</v>
      </c>
    </row>
    <row r="3342" spans="1:4" x14ac:dyDescent="0.55000000000000004">
      <c r="A3342">
        <f t="shared" si="106"/>
        <v>2011</v>
      </c>
      <c r="B3342" s="821">
        <v>40808</v>
      </c>
      <c r="C3342">
        <v>2.78</v>
      </c>
      <c r="D3342">
        <f t="shared" si="107"/>
        <v>0</v>
      </c>
    </row>
    <row r="3343" spans="1:4" x14ac:dyDescent="0.55000000000000004">
      <c r="A3343">
        <f t="shared" si="106"/>
        <v>2011</v>
      </c>
      <c r="B3343" s="821">
        <v>40807</v>
      </c>
      <c r="C3343">
        <v>3.03</v>
      </c>
      <c r="D3343">
        <f t="shared" si="107"/>
        <v>0</v>
      </c>
    </row>
    <row r="3344" spans="1:4" x14ac:dyDescent="0.55000000000000004">
      <c r="A3344">
        <f t="shared" si="106"/>
        <v>2011</v>
      </c>
      <c r="B3344" s="821">
        <v>40806</v>
      </c>
      <c r="C3344">
        <v>3.2</v>
      </c>
      <c r="D3344">
        <f t="shared" si="107"/>
        <v>0</v>
      </c>
    </row>
    <row r="3345" spans="1:4" x14ac:dyDescent="0.55000000000000004">
      <c r="A3345">
        <f t="shared" si="106"/>
        <v>2011</v>
      </c>
      <c r="B3345" s="821">
        <v>40805</v>
      </c>
      <c r="C3345">
        <v>3.22</v>
      </c>
      <c r="D3345">
        <f t="shared" si="107"/>
        <v>0</v>
      </c>
    </row>
    <row r="3346" spans="1:4" x14ac:dyDescent="0.55000000000000004">
      <c r="A3346">
        <f t="shared" si="106"/>
        <v>2011</v>
      </c>
      <c r="B3346" s="821">
        <v>40802</v>
      </c>
      <c r="C3346">
        <v>3.34</v>
      </c>
      <c r="D3346">
        <f t="shared" si="107"/>
        <v>0</v>
      </c>
    </row>
    <row r="3347" spans="1:4" x14ac:dyDescent="0.55000000000000004">
      <c r="A3347">
        <f t="shared" si="106"/>
        <v>2011</v>
      </c>
      <c r="B3347" s="821">
        <v>40801</v>
      </c>
      <c r="C3347">
        <v>3.36</v>
      </c>
      <c r="D3347">
        <f t="shared" si="107"/>
        <v>0</v>
      </c>
    </row>
    <row r="3348" spans="1:4" x14ac:dyDescent="0.55000000000000004">
      <c r="A3348">
        <f t="shared" si="106"/>
        <v>2011</v>
      </c>
      <c r="B3348" s="821">
        <v>40800</v>
      </c>
      <c r="C3348">
        <v>3.32</v>
      </c>
      <c r="D3348">
        <f t="shared" si="107"/>
        <v>0</v>
      </c>
    </row>
    <row r="3349" spans="1:4" x14ac:dyDescent="0.55000000000000004">
      <c r="A3349">
        <f t="shared" si="106"/>
        <v>2011</v>
      </c>
      <c r="B3349" s="821">
        <v>40799</v>
      </c>
      <c r="C3349">
        <v>3.32</v>
      </c>
      <c r="D3349">
        <f t="shared" si="107"/>
        <v>0</v>
      </c>
    </row>
    <row r="3350" spans="1:4" x14ac:dyDescent="0.55000000000000004">
      <c r="A3350">
        <f t="shared" si="106"/>
        <v>2011</v>
      </c>
      <c r="B3350" s="821">
        <v>40798</v>
      </c>
      <c r="C3350">
        <v>3.24</v>
      </c>
      <c r="D3350">
        <f t="shared" si="107"/>
        <v>0</v>
      </c>
    </row>
    <row r="3351" spans="1:4" x14ac:dyDescent="0.55000000000000004">
      <c r="A3351">
        <f t="shared" si="106"/>
        <v>2011</v>
      </c>
      <c r="B3351" s="821">
        <v>40795</v>
      </c>
      <c r="C3351">
        <v>3.26</v>
      </c>
      <c r="D3351">
        <f t="shared" si="107"/>
        <v>0</v>
      </c>
    </row>
    <row r="3352" spans="1:4" x14ac:dyDescent="0.55000000000000004">
      <c r="A3352">
        <f t="shared" si="106"/>
        <v>2011</v>
      </c>
      <c r="B3352" s="821">
        <v>40794</v>
      </c>
      <c r="C3352">
        <v>3.32</v>
      </c>
      <c r="D3352">
        <f t="shared" si="107"/>
        <v>0</v>
      </c>
    </row>
    <row r="3353" spans="1:4" x14ac:dyDescent="0.55000000000000004">
      <c r="A3353">
        <f t="shared" si="106"/>
        <v>2011</v>
      </c>
      <c r="B3353" s="821">
        <v>40793</v>
      </c>
      <c r="C3353">
        <v>3.36</v>
      </c>
      <c r="D3353">
        <f t="shared" si="107"/>
        <v>0</v>
      </c>
    </row>
    <row r="3354" spans="1:4" x14ac:dyDescent="0.55000000000000004">
      <c r="A3354">
        <f t="shared" si="106"/>
        <v>2011</v>
      </c>
      <c r="B3354" s="821">
        <v>40792</v>
      </c>
      <c r="C3354">
        <v>3.26</v>
      </c>
      <c r="D3354">
        <f t="shared" si="107"/>
        <v>0</v>
      </c>
    </row>
    <row r="3355" spans="1:4" x14ac:dyDescent="0.55000000000000004">
      <c r="A3355">
        <f t="shared" si="106"/>
        <v>2011</v>
      </c>
      <c r="B3355" s="821">
        <v>40788</v>
      </c>
      <c r="C3355">
        <v>3.32</v>
      </c>
      <c r="D3355">
        <f t="shared" si="107"/>
        <v>0</v>
      </c>
    </row>
    <row r="3356" spans="1:4" x14ac:dyDescent="0.55000000000000004">
      <c r="A3356">
        <f t="shared" si="106"/>
        <v>2011</v>
      </c>
      <c r="B3356" s="821">
        <v>40787</v>
      </c>
      <c r="C3356">
        <v>3.51</v>
      </c>
      <c r="D3356">
        <f t="shared" si="107"/>
        <v>0</v>
      </c>
    </row>
    <row r="3357" spans="1:4" x14ac:dyDescent="0.55000000000000004">
      <c r="A3357">
        <f t="shared" si="106"/>
        <v>2011</v>
      </c>
      <c r="B3357" s="821">
        <v>40786</v>
      </c>
      <c r="C3357">
        <v>3.6</v>
      </c>
      <c r="D3357">
        <f t="shared" si="107"/>
        <v>0</v>
      </c>
    </row>
    <row r="3358" spans="1:4" x14ac:dyDescent="0.55000000000000004">
      <c r="A3358">
        <f t="shared" si="106"/>
        <v>2011</v>
      </c>
      <c r="B3358" s="821">
        <v>40785</v>
      </c>
      <c r="C3358">
        <v>3.53</v>
      </c>
      <c r="D3358">
        <f t="shared" si="107"/>
        <v>0</v>
      </c>
    </row>
    <row r="3359" spans="1:4" x14ac:dyDescent="0.55000000000000004">
      <c r="A3359">
        <f t="shared" si="106"/>
        <v>2011</v>
      </c>
      <c r="B3359" s="821">
        <v>40784</v>
      </c>
      <c r="C3359">
        <v>3.63</v>
      </c>
      <c r="D3359">
        <f t="shared" si="107"/>
        <v>0</v>
      </c>
    </row>
    <row r="3360" spans="1:4" x14ac:dyDescent="0.55000000000000004">
      <c r="A3360">
        <f t="shared" si="106"/>
        <v>2011</v>
      </c>
      <c r="B3360" s="821">
        <v>40781</v>
      </c>
      <c r="C3360">
        <v>3.54</v>
      </c>
      <c r="D3360">
        <f t="shared" si="107"/>
        <v>0</v>
      </c>
    </row>
    <row r="3361" spans="1:4" x14ac:dyDescent="0.55000000000000004">
      <c r="A3361">
        <f t="shared" si="106"/>
        <v>2011</v>
      </c>
      <c r="B3361" s="821">
        <v>40780</v>
      </c>
      <c r="C3361">
        <v>3.6</v>
      </c>
      <c r="D3361">
        <f t="shared" si="107"/>
        <v>0</v>
      </c>
    </row>
    <row r="3362" spans="1:4" x14ac:dyDescent="0.55000000000000004">
      <c r="A3362">
        <f t="shared" si="106"/>
        <v>2011</v>
      </c>
      <c r="B3362" s="821">
        <v>40779</v>
      </c>
      <c r="C3362">
        <v>3.63</v>
      </c>
      <c r="D3362">
        <f t="shared" si="107"/>
        <v>0</v>
      </c>
    </row>
    <row r="3363" spans="1:4" x14ac:dyDescent="0.55000000000000004">
      <c r="A3363">
        <f t="shared" si="106"/>
        <v>2011</v>
      </c>
      <c r="B3363" s="821">
        <v>40778</v>
      </c>
      <c r="C3363">
        <v>3.47</v>
      </c>
      <c r="D3363">
        <f t="shared" si="107"/>
        <v>0</v>
      </c>
    </row>
    <row r="3364" spans="1:4" x14ac:dyDescent="0.55000000000000004">
      <c r="A3364">
        <f t="shared" si="106"/>
        <v>2011</v>
      </c>
      <c r="B3364" s="821">
        <v>40777</v>
      </c>
      <c r="C3364">
        <v>3.42</v>
      </c>
      <c r="D3364">
        <f t="shared" si="107"/>
        <v>0</v>
      </c>
    </row>
    <row r="3365" spans="1:4" x14ac:dyDescent="0.55000000000000004">
      <c r="A3365">
        <f t="shared" si="106"/>
        <v>2011</v>
      </c>
      <c r="B3365" s="821">
        <v>40774</v>
      </c>
      <c r="C3365">
        <v>3.39</v>
      </c>
      <c r="D3365">
        <f t="shared" si="107"/>
        <v>0</v>
      </c>
    </row>
    <row r="3366" spans="1:4" x14ac:dyDescent="0.55000000000000004">
      <c r="A3366">
        <f t="shared" si="106"/>
        <v>2011</v>
      </c>
      <c r="B3366" s="821">
        <v>40773</v>
      </c>
      <c r="C3366">
        <v>3.45</v>
      </c>
      <c r="D3366">
        <f t="shared" si="107"/>
        <v>0</v>
      </c>
    </row>
    <row r="3367" spans="1:4" x14ac:dyDescent="0.55000000000000004">
      <c r="A3367">
        <f t="shared" si="106"/>
        <v>2011</v>
      </c>
      <c r="B3367" s="821">
        <v>40772</v>
      </c>
      <c r="C3367">
        <v>3.57</v>
      </c>
      <c r="D3367">
        <f t="shared" si="107"/>
        <v>0</v>
      </c>
    </row>
    <row r="3368" spans="1:4" x14ac:dyDescent="0.55000000000000004">
      <c r="A3368">
        <f t="shared" si="106"/>
        <v>2011</v>
      </c>
      <c r="B3368" s="821">
        <v>40771</v>
      </c>
      <c r="C3368">
        <v>3.67</v>
      </c>
      <c r="D3368">
        <f t="shared" si="107"/>
        <v>0</v>
      </c>
    </row>
    <row r="3369" spans="1:4" x14ac:dyDescent="0.55000000000000004">
      <c r="A3369">
        <f t="shared" si="106"/>
        <v>2011</v>
      </c>
      <c r="B3369" s="821">
        <v>40770</v>
      </c>
      <c r="C3369">
        <v>3.75</v>
      </c>
      <c r="D3369">
        <f t="shared" si="107"/>
        <v>0</v>
      </c>
    </row>
    <row r="3370" spans="1:4" x14ac:dyDescent="0.55000000000000004">
      <c r="A3370">
        <f t="shared" si="106"/>
        <v>2011</v>
      </c>
      <c r="B3370" s="821">
        <v>40767</v>
      </c>
      <c r="C3370">
        <v>3.72</v>
      </c>
      <c r="D3370">
        <f t="shared" si="107"/>
        <v>0</v>
      </c>
    </row>
    <row r="3371" spans="1:4" x14ac:dyDescent="0.55000000000000004">
      <c r="A3371">
        <f t="shared" si="106"/>
        <v>2011</v>
      </c>
      <c r="B3371" s="821">
        <v>40766</v>
      </c>
      <c r="C3371">
        <v>3.82</v>
      </c>
      <c r="D3371">
        <f t="shared" si="107"/>
        <v>0</v>
      </c>
    </row>
    <row r="3372" spans="1:4" x14ac:dyDescent="0.55000000000000004">
      <c r="A3372">
        <f t="shared" si="106"/>
        <v>2011</v>
      </c>
      <c r="B3372" s="821">
        <v>40765</v>
      </c>
      <c r="C3372">
        <v>3.54</v>
      </c>
      <c r="D3372">
        <f t="shared" si="107"/>
        <v>0</v>
      </c>
    </row>
    <row r="3373" spans="1:4" x14ac:dyDescent="0.55000000000000004">
      <c r="A3373">
        <f t="shared" si="106"/>
        <v>2011</v>
      </c>
      <c r="B3373" s="821">
        <v>40764</v>
      </c>
      <c r="C3373">
        <v>3.56</v>
      </c>
      <c r="D3373">
        <f t="shared" si="107"/>
        <v>0</v>
      </c>
    </row>
    <row r="3374" spans="1:4" x14ac:dyDescent="0.55000000000000004">
      <c r="A3374">
        <f t="shared" si="106"/>
        <v>2011</v>
      </c>
      <c r="B3374" s="821">
        <v>40763</v>
      </c>
      <c r="C3374">
        <v>3.68</v>
      </c>
      <c r="D3374">
        <f t="shared" si="107"/>
        <v>0</v>
      </c>
    </row>
    <row r="3375" spans="1:4" x14ac:dyDescent="0.55000000000000004">
      <c r="A3375">
        <f t="shared" si="106"/>
        <v>2011</v>
      </c>
      <c r="B3375" s="821">
        <v>40760</v>
      </c>
      <c r="C3375">
        <v>3.82</v>
      </c>
      <c r="D3375">
        <f t="shared" si="107"/>
        <v>0</v>
      </c>
    </row>
    <row r="3376" spans="1:4" x14ac:dyDescent="0.55000000000000004">
      <c r="A3376">
        <f t="shared" si="106"/>
        <v>2011</v>
      </c>
      <c r="B3376" s="821">
        <v>40759</v>
      </c>
      <c r="C3376">
        <v>3.7</v>
      </c>
      <c r="D3376">
        <f t="shared" si="107"/>
        <v>0</v>
      </c>
    </row>
    <row r="3377" spans="1:4" x14ac:dyDescent="0.55000000000000004">
      <c r="A3377">
        <f t="shared" si="106"/>
        <v>2011</v>
      </c>
      <c r="B3377" s="821">
        <v>40758</v>
      </c>
      <c r="C3377">
        <v>3.89</v>
      </c>
      <c r="D3377">
        <f t="shared" si="107"/>
        <v>0</v>
      </c>
    </row>
    <row r="3378" spans="1:4" x14ac:dyDescent="0.55000000000000004">
      <c r="A3378">
        <f t="shared" si="106"/>
        <v>2011</v>
      </c>
      <c r="B3378" s="821">
        <v>40757</v>
      </c>
      <c r="C3378">
        <v>3.93</v>
      </c>
      <c r="D3378">
        <f t="shared" si="107"/>
        <v>0</v>
      </c>
    </row>
    <row r="3379" spans="1:4" x14ac:dyDescent="0.55000000000000004">
      <c r="A3379">
        <f t="shared" si="106"/>
        <v>2011</v>
      </c>
      <c r="B3379" s="821">
        <v>40756</v>
      </c>
      <c r="C3379">
        <v>4.07</v>
      </c>
      <c r="D3379">
        <f t="shared" si="107"/>
        <v>1</v>
      </c>
    </row>
    <row r="3380" spans="1:4" x14ac:dyDescent="0.55000000000000004">
      <c r="A3380">
        <f t="shared" si="106"/>
        <v>2011</v>
      </c>
      <c r="B3380" s="821">
        <v>40753</v>
      </c>
      <c r="C3380">
        <v>4.12</v>
      </c>
      <c r="D3380">
        <f t="shared" si="107"/>
        <v>1</v>
      </c>
    </row>
    <row r="3381" spans="1:4" x14ac:dyDescent="0.55000000000000004">
      <c r="A3381">
        <f t="shared" si="106"/>
        <v>2011</v>
      </c>
      <c r="B3381" s="821">
        <v>40752</v>
      </c>
      <c r="C3381">
        <v>4.26</v>
      </c>
      <c r="D3381">
        <f t="shared" si="107"/>
        <v>1</v>
      </c>
    </row>
    <row r="3382" spans="1:4" x14ac:dyDescent="0.55000000000000004">
      <c r="A3382">
        <f t="shared" si="106"/>
        <v>2011</v>
      </c>
      <c r="B3382" s="821">
        <v>40751</v>
      </c>
      <c r="C3382">
        <v>4.29</v>
      </c>
      <c r="D3382">
        <f t="shared" si="107"/>
        <v>1</v>
      </c>
    </row>
    <row r="3383" spans="1:4" x14ac:dyDescent="0.55000000000000004">
      <c r="A3383">
        <f t="shared" si="106"/>
        <v>2011</v>
      </c>
      <c r="B3383" s="821">
        <v>40750</v>
      </c>
      <c r="C3383">
        <v>4.28</v>
      </c>
      <c r="D3383">
        <f t="shared" si="107"/>
        <v>1</v>
      </c>
    </row>
    <row r="3384" spans="1:4" x14ac:dyDescent="0.55000000000000004">
      <c r="A3384">
        <f t="shared" si="106"/>
        <v>2011</v>
      </c>
      <c r="B3384" s="821">
        <v>40749</v>
      </c>
      <c r="C3384">
        <v>4.3099999999999996</v>
      </c>
      <c r="D3384">
        <f t="shared" si="107"/>
        <v>1</v>
      </c>
    </row>
    <row r="3385" spans="1:4" x14ac:dyDescent="0.55000000000000004">
      <c r="A3385">
        <f t="shared" si="106"/>
        <v>2011</v>
      </c>
      <c r="B3385" s="821">
        <v>40746</v>
      </c>
      <c r="C3385">
        <v>4.26</v>
      </c>
      <c r="D3385">
        <f t="shared" si="107"/>
        <v>1</v>
      </c>
    </row>
    <row r="3386" spans="1:4" x14ac:dyDescent="0.55000000000000004">
      <c r="A3386">
        <f t="shared" si="106"/>
        <v>2011</v>
      </c>
      <c r="B3386" s="821">
        <v>40745</v>
      </c>
      <c r="C3386">
        <v>4.3099999999999996</v>
      </c>
      <c r="D3386">
        <f t="shared" si="107"/>
        <v>1</v>
      </c>
    </row>
    <row r="3387" spans="1:4" x14ac:dyDescent="0.55000000000000004">
      <c r="A3387">
        <f t="shared" si="106"/>
        <v>2011</v>
      </c>
      <c r="B3387" s="821">
        <v>40744</v>
      </c>
      <c r="C3387">
        <v>4.25</v>
      </c>
      <c r="D3387">
        <f t="shared" si="107"/>
        <v>1</v>
      </c>
    </row>
    <row r="3388" spans="1:4" x14ac:dyDescent="0.55000000000000004">
      <c r="A3388">
        <f t="shared" si="106"/>
        <v>2011</v>
      </c>
      <c r="B3388" s="821">
        <v>40743</v>
      </c>
      <c r="C3388">
        <v>4.1900000000000004</v>
      </c>
      <c r="D3388">
        <f t="shared" si="107"/>
        <v>1</v>
      </c>
    </row>
    <row r="3389" spans="1:4" x14ac:dyDescent="0.55000000000000004">
      <c r="A3389">
        <f t="shared" si="106"/>
        <v>2011</v>
      </c>
      <c r="B3389" s="821">
        <v>40742</v>
      </c>
      <c r="C3389">
        <v>4.29</v>
      </c>
      <c r="D3389">
        <f t="shared" si="107"/>
        <v>1</v>
      </c>
    </row>
    <row r="3390" spans="1:4" x14ac:dyDescent="0.55000000000000004">
      <c r="A3390">
        <f t="shared" si="106"/>
        <v>2011</v>
      </c>
      <c r="B3390" s="821">
        <v>40739</v>
      </c>
      <c r="C3390">
        <v>4.26</v>
      </c>
      <c r="D3390">
        <f t="shared" si="107"/>
        <v>1</v>
      </c>
    </row>
    <row r="3391" spans="1:4" x14ac:dyDescent="0.55000000000000004">
      <c r="A3391">
        <f t="shared" si="106"/>
        <v>2011</v>
      </c>
      <c r="B3391" s="821">
        <v>40738</v>
      </c>
      <c r="C3391">
        <v>4.25</v>
      </c>
      <c r="D3391">
        <f t="shared" si="107"/>
        <v>1</v>
      </c>
    </row>
    <row r="3392" spans="1:4" x14ac:dyDescent="0.55000000000000004">
      <c r="A3392">
        <f t="shared" si="106"/>
        <v>2011</v>
      </c>
      <c r="B3392" s="821">
        <v>40737</v>
      </c>
      <c r="C3392">
        <v>4.17</v>
      </c>
      <c r="D3392">
        <f t="shared" si="107"/>
        <v>1</v>
      </c>
    </row>
    <row r="3393" spans="1:4" x14ac:dyDescent="0.55000000000000004">
      <c r="A3393">
        <f t="shared" si="106"/>
        <v>2011</v>
      </c>
      <c r="B3393" s="821">
        <v>40736</v>
      </c>
      <c r="C3393">
        <v>4.1900000000000004</v>
      </c>
      <c r="D3393">
        <f t="shared" si="107"/>
        <v>1</v>
      </c>
    </row>
    <row r="3394" spans="1:4" x14ac:dyDescent="0.55000000000000004">
      <c r="A3394">
        <f t="shared" si="106"/>
        <v>2011</v>
      </c>
      <c r="B3394" s="821">
        <v>40735</v>
      </c>
      <c r="C3394">
        <v>4.2</v>
      </c>
      <c r="D3394">
        <f t="shared" si="107"/>
        <v>1</v>
      </c>
    </row>
    <row r="3395" spans="1:4" x14ac:dyDescent="0.55000000000000004">
      <c r="A3395">
        <f t="shared" si="106"/>
        <v>2011</v>
      </c>
      <c r="B3395" s="821">
        <v>40732</v>
      </c>
      <c r="C3395">
        <v>4.2699999999999996</v>
      </c>
      <c r="D3395">
        <f t="shared" si="107"/>
        <v>1</v>
      </c>
    </row>
    <row r="3396" spans="1:4" x14ac:dyDescent="0.55000000000000004">
      <c r="A3396">
        <f t="shared" ref="A3396:A3459" si="108">YEAR(B3396)</f>
        <v>2011</v>
      </c>
      <c r="B3396" s="821">
        <v>40731</v>
      </c>
      <c r="C3396">
        <v>4.37</v>
      </c>
      <c r="D3396">
        <f t="shared" ref="D3396:D3459" si="109">IF(C3396&gt;4,1,0)</f>
        <v>1</v>
      </c>
    </row>
    <row r="3397" spans="1:4" x14ac:dyDescent="0.55000000000000004">
      <c r="A3397">
        <f t="shared" si="108"/>
        <v>2011</v>
      </c>
      <c r="B3397" s="821">
        <v>40730</v>
      </c>
      <c r="C3397">
        <v>4.3499999999999996</v>
      </c>
      <c r="D3397">
        <f t="shared" si="109"/>
        <v>1</v>
      </c>
    </row>
    <row r="3398" spans="1:4" x14ac:dyDescent="0.55000000000000004">
      <c r="A3398">
        <f t="shared" si="108"/>
        <v>2011</v>
      </c>
      <c r="B3398" s="821">
        <v>40729</v>
      </c>
      <c r="C3398">
        <v>4.3899999999999997</v>
      </c>
      <c r="D3398">
        <f t="shared" si="109"/>
        <v>1</v>
      </c>
    </row>
    <row r="3399" spans="1:4" x14ac:dyDescent="0.55000000000000004">
      <c r="A3399">
        <f t="shared" si="108"/>
        <v>2011</v>
      </c>
      <c r="B3399" s="821">
        <v>40725</v>
      </c>
      <c r="C3399">
        <v>4.4000000000000004</v>
      </c>
      <c r="D3399">
        <f t="shared" si="109"/>
        <v>1</v>
      </c>
    </row>
    <row r="3400" spans="1:4" x14ac:dyDescent="0.55000000000000004">
      <c r="A3400">
        <f t="shared" si="108"/>
        <v>2011</v>
      </c>
      <c r="B3400" s="821">
        <v>40724</v>
      </c>
      <c r="C3400">
        <v>4.38</v>
      </c>
      <c r="D3400">
        <f t="shared" si="109"/>
        <v>1</v>
      </c>
    </row>
    <row r="3401" spans="1:4" x14ac:dyDescent="0.55000000000000004">
      <c r="A3401">
        <f t="shared" si="108"/>
        <v>2011</v>
      </c>
      <c r="B3401" s="821">
        <v>40723</v>
      </c>
      <c r="C3401">
        <v>4.3899999999999997</v>
      </c>
      <c r="D3401">
        <f t="shared" si="109"/>
        <v>1</v>
      </c>
    </row>
    <row r="3402" spans="1:4" x14ac:dyDescent="0.55000000000000004">
      <c r="A3402">
        <f t="shared" si="108"/>
        <v>2011</v>
      </c>
      <c r="B3402" s="821">
        <v>40722</v>
      </c>
      <c r="C3402">
        <v>4.33</v>
      </c>
      <c r="D3402">
        <f t="shared" si="109"/>
        <v>1</v>
      </c>
    </row>
    <row r="3403" spans="1:4" x14ac:dyDescent="0.55000000000000004">
      <c r="A3403">
        <f t="shared" si="108"/>
        <v>2011</v>
      </c>
      <c r="B3403" s="821">
        <v>40721</v>
      </c>
      <c r="C3403">
        <v>4.28</v>
      </c>
      <c r="D3403">
        <f t="shared" si="109"/>
        <v>1</v>
      </c>
    </row>
    <row r="3404" spans="1:4" x14ac:dyDescent="0.55000000000000004">
      <c r="A3404">
        <f t="shared" si="108"/>
        <v>2011</v>
      </c>
      <c r="B3404" s="821">
        <v>40718</v>
      </c>
      <c r="C3404">
        <v>4.17</v>
      </c>
      <c r="D3404">
        <f t="shared" si="109"/>
        <v>1</v>
      </c>
    </row>
    <row r="3405" spans="1:4" x14ac:dyDescent="0.55000000000000004">
      <c r="A3405">
        <f t="shared" si="108"/>
        <v>2011</v>
      </c>
      <c r="B3405" s="821">
        <v>40717</v>
      </c>
      <c r="C3405">
        <v>4.17</v>
      </c>
      <c r="D3405">
        <f t="shared" si="109"/>
        <v>1</v>
      </c>
    </row>
    <row r="3406" spans="1:4" x14ac:dyDescent="0.55000000000000004">
      <c r="A3406">
        <f t="shared" si="108"/>
        <v>2011</v>
      </c>
      <c r="B3406" s="821">
        <v>40716</v>
      </c>
      <c r="C3406">
        <v>4.22</v>
      </c>
      <c r="D3406">
        <f t="shared" si="109"/>
        <v>1</v>
      </c>
    </row>
    <row r="3407" spans="1:4" x14ac:dyDescent="0.55000000000000004">
      <c r="A3407">
        <f t="shared" si="108"/>
        <v>2011</v>
      </c>
      <c r="B3407" s="821">
        <v>40715</v>
      </c>
      <c r="C3407">
        <v>4.21</v>
      </c>
      <c r="D3407">
        <f t="shared" si="109"/>
        <v>1</v>
      </c>
    </row>
    <row r="3408" spans="1:4" x14ac:dyDescent="0.55000000000000004">
      <c r="A3408">
        <f t="shared" si="108"/>
        <v>2011</v>
      </c>
      <c r="B3408" s="821">
        <v>40714</v>
      </c>
      <c r="C3408">
        <v>4.1900000000000004</v>
      </c>
      <c r="D3408">
        <f t="shared" si="109"/>
        <v>1</v>
      </c>
    </row>
    <row r="3409" spans="1:4" x14ac:dyDescent="0.55000000000000004">
      <c r="A3409">
        <f t="shared" si="108"/>
        <v>2011</v>
      </c>
      <c r="B3409" s="821">
        <v>40711</v>
      </c>
      <c r="C3409">
        <v>4.1900000000000004</v>
      </c>
      <c r="D3409">
        <f t="shared" si="109"/>
        <v>1</v>
      </c>
    </row>
    <row r="3410" spans="1:4" x14ac:dyDescent="0.55000000000000004">
      <c r="A3410">
        <f t="shared" si="108"/>
        <v>2011</v>
      </c>
      <c r="B3410" s="821">
        <v>40710</v>
      </c>
      <c r="C3410">
        <v>4.16</v>
      </c>
      <c r="D3410">
        <f t="shared" si="109"/>
        <v>1</v>
      </c>
    </row>
    <row r="3411" spans="1:4" x14ac:dyDescent="0.55000000000000004">
      <c r="A3411">
        <f t="shared" si="108"/>
        <v>2011</v>
      </c>
      <c r="B3411" s="821">
        <v>40709</v>
      </c>
      <c r="C3411">
        <v>4.1900000000000004</v>
      </c>
      <c r="D3411">
        <f t="shared" si="109"/>
        <v>1</v>
      </c>
    </row>
    <row r="3412" spans="1:4" x14ac:dyDescent="0.55000000000000004">
      <c r="A3412">
        <f t="shared" si="108"/>
        <v>2011</v>
      </c>
      <c r="B3412" s="821">
        <v>40708</v>
      </c>
      <c r="C3412">
        <v>4.3</v>
      </c>
      <c r="D3412">
        <f t="shared" si="109"/>
        <v>1</v>
      </c>
    </row>
    <row r="3413" spans="1:4" x14ac:dyDescent="0.55000000000000004">
      <c r="A3413">
        <f t="shared" si="108"/>
        <v>2011</v>
      </c>
      <c r="B3413" s="821">
        <v>40707</v>
      </c>
      <c r="C3413">
        <v>4.2</v>
      </c>
      <c r="D3413">
        <f t="shared" si="109"/>
        <v>1</v>
      </c>
    </row>
    <row r="3414" spans="1:4" x14ac:dyDescent="0.55000000000000004">
      <c r="A3414">
        <f t="shared" si="108"/>
        <v>2011</v>
      </c>
      <c r="B3414" s="821">
        <v>40704</v>
      </c>
      <c r="C3414">
        <v>4.18</v>
      </c>
      <c r="D3414">
        <f t="shared" si="109"/>
        <v>1</v>
      </c>
    </row>
    <row r="3415" spans="1:4" x14ac:dyDescent="0.55000000000000004">
      <c r="A3415">
        <f t="shared" si="108"/>
        <v>2011</v>
      </c>
      <c r="B3415" s="821">
        <v>40703</v>
      </c>
      <c r="C3415">
        <v>4.22</v>
      </c>
      <c r="D3415">
        <f t="shared" si="109"/>
        <v>1</v>
      </c>
    </row>
    <row r="3416" spans="1:4" x14ac:dyDescent="0.55000000000000004">
      <c r="A3416">
        <f t="shared" si="108"/>
        <v>2011</v>
      </c>
      <c r="B3416" s="821">
        <v>40702</v>
      </c>
      <c r="C3416">
        <v>4.2</v>
      </c>
      <c r="D3416">
        <f t="shared" si="109"/>
        <v>1</v>
      </c>
    </row>
    <row r="3417" spans="1:4" x14ac:dyDescent="0.55000000000000004">
      <c r="A3417">
        <f t="shared" si="108"/>
        <v>2011</v>
      </c>
      <c r="B3417" s="821">
        <v>40701</v>
      </c>
      <c r="C3417">
        <v>4.2699999999999996</v>
      </c>
      <c r="D3417">
        <f t="shared" si="109"/>
        <v>1</v>
      </c>
    </row>
    <row r="3418" spans="1:4" x14ac:dyDescent="0.55000000000000004">
      <c r="A3418">
        <f t="shared" si="108"/>
        <v>2011</v>
      </c>
      <c r="B3418" s="821">
        <v>40700</v>
      </c>
      <c r="C3418">
        <v>4.25</v>
      </c>
      <c r="D3418">
        <f t="shared" si="109"/>
        <v>1</v>
      </c>
    </row>
    <row r="3419" spans="1:4" x14ac:dyDescent="0.55000000000000004">
      <c r="A3419">
        <f t="shared" si="108"/>
        <v>2011</v>
      </c>
      <c r="B3419" s="821">
        <v>40697</v>
      </c>
      <c r="C3419">
        <v>4.22</v>
      </c>
      <c r="D3419">
        <f t="shared" si="109"/>
        <v>1</v>
      </c>
    </row>
    <row r="3420" spans="1:4" x14ac:dyDescent="0.55000000000000004">
      <c r="A3420">
        <f t="shared" si="108"/>
        <v>2011</v>
      </c>
      <c r="B3420" s="821">
        <v>40696</v>
      </c>
      <c r="C3420">
        <v>4.25</v>
      </c>
      <c r="D3420">
        <f t="shared" si="109"/>
        <v>1</v>
      </c>
    </row>
    <row r="3421" spans="1:4" x14ac:dyDescent="0.55000000000000004">
      <c r="A3421">
        <f t="shared" si="108"/>
        <v>2011</v>
      </c>
      <c r="B3421" s="821">
        <v>40695</v>
      </c>
      <c r="C3421">
        <v>4.1500000000000004</v>
      </c>
      <c r="D3421">
        <f t="shared" si="109"/>
        <v>1</v>
      </c>
    </row>
    <row r="3422" spans="1:4" x14ac:dyDescent="0.55000000000000004">
      <c r="A3422">
        <f t="shared" si="108"/>
        <v>2011</v>
      </c>
      <c r="B3422" s="821">
        <v>40694</v>
      </c>
      <c r="C3422">
        <v>4.22</v>
      </c>
      <c r="D3422">
        <f t="shared" si="109"/>
        <v>1</v>
      </c>
    </row>
    <row r="3423" spans="1:4" x14ac:dyDescent="0.55000000000000004">
      <c r="A3423">
        <f t="shared" si="108"/>
        <v>2011</v>
      </c>
      <c r="B3423" s="821">
        <v>40690</v>
      </c>
      <c r="C3423">
        <v>4.24</v>
      </c>
      <c r="D3423">
        <f t="shared" si="109"/>
        <v>1</v>
      </c>
    </row>
    <row r="3424" spans="1:4" x14ac:dyDescent="0.55000000000000004">
      <c r="A3424">
        <f t="shared" si="108"/>
        <v>2011</v>
      </c>
      <c r="B3424" s="821">
        <v>40689</v>
      </c>
      <c r="C3424">
        <v>4.2300000000000004</v>
      </c>
      <c r="D3424">
        <f t="shared" si="109"/>
        <v>1</v>
      </c>
    </row>
    <row r="3425" spans="1:4" x14ac:dyDescent="0.55000000000000004">
      <c r="A3425">
        <f t="shared" si="108"/>
        <v>2011</v>
      </c>
      <c r="B3425" s="821">
        <v>40688</v>
      </c>
      <c r="C3425">
        <v>4.28</v>
      </c>
      <c r="D3425">
        <f t="shared" si="109"/>
        <v>1</v>
      </c>
    </row>
    <row r="3426" spans="1:4" x14ac:dyDescent="0.55000000000000004">
      <c r="A3426">
        <f t="shared" si="108"/>
        <v>2011</v>
      </c>
      <c r="B3426" s="821">
        <v>40687</v>
      </c>
      <c r="C3426">
        <v>4.26</v>
      </c>
      <c r="D3426">
        <f t="shared" si="109"/>
        <v>1</v>
      </c>
    </row>
    <row r="3427" spans="1:4" x14ac:dyDescent="0.55000000000000004">
      <c r="A3427">
        <f t="shared" si="108"/>
        <v>2011</v>
      </c>
      <c r="B3427" s="821">
        <v>40686</v>
      </c>
      <c r="C3427">
        <v>4.2699999999999996</v>
      </c>
      <c r="D3427">
        <f t="shared" si="109"/>
        <v>1</v>
      </c>
    </row>
    <row r="3428" spans="1:4" x14ac:dyDescent="0.55000000000000004">
      <c r="A3428">
        <f t="shared" si="108"/>
        <v>2011</v>
      </c>
      <c r="B3428" s="821">
        <v>40683</v>
      </c>
      <c r="C3428">
        <v>4.3</v>
      </c>
      <c r="D3428">
        <f t="shared" si="109"/>
        <v>1</v>
      </c>
    </row>
    <row r="3429" spans="1:4" x14ac:dyDescent="0.55000000000000004">
      <c r="A3429">
        <f t="shared" si="108"/>
        <v>2011</v>
      </c>
      <c r="B3429" s="821">
        <v>40682</v>
      </c>
      <c r="C3429">
        <v>4.3</v>
      </c>
      <c r="D3429">
        <f t="shared" si="109"/>
        <v>1</v>
      </c>
    </row>
    <row r="3430" spans="1:4" x14ac:dyDescent="0.55000000000000004">
      <c r="A3430">
        <f t="shared" si="108"/>
        <v>2011</v>
      </c>
      <c r="B3430" s="821">
        <v>40681</v>
      </c>
      <c r="C3430">
        <v>4.29</v>
      </c>
      <c r="D3430">
        <f t="shared" si="109"/>
        <v>1</v>
      </c>
    </row>
    <row r="3431" spans="1:4" x14ac:dyDescent="0.55000000000000004">
      <c r="A3431">
        <f t="shared" si="108"/>
        <v>2011</v>
      </c>
      <c r="B3431" s="821">
        <v>40680</v>
      </c>
      <c r="C3431">
        <v>4.2300000000000004</v>
      </c>
      <c r="D3431">
        <f t="shared" si="109"/>
        <v>1</v>
      </c>
    </row>
    <row r="3432" spans="1:4" x14ac:dyDescent="0.55000000000000004">
      <c r="A3432">
        <f t="shared" si="108"/>
        <v>2011</v>
      </c>
      <c r="B3432" s="821">
        <v>40679</v>
      </c>
      <c r="C3432">
        <v>4.28</v>
      </c>
      <c r="D3432">
        <f t="shared" si="109"/>
        <v>1</v>
      </c>
    </row>
    <row r="3433" spans="1:4" x14ac:dyDescent="0.55000000000000004">
      <c r="A3433">
        <f t="shared" si="108"/>
        <v>2011</v>
      </c>
      <c r="B3433" s="821">
        <v>40676</v>
      </c>
      <c r="C3433">
        <v>4.32</v>
      </c>
      <c r="D3433">
        <f t="shared" si="109"/>
        <v>1</v>
      </c>
    </row>
    <row r="3434" spans="1:4" x14ac:dyDescent="0.55000000000000004">
      <c r="A3434">
        <f t="shared" si="108"/>
        <v>2011</v>
      </c>
      <c r="B3434" s="821">
        <v>40675</v>
      </c>
      <c r="C3434">
        <v>4.37</v>
      </c>
      <c r="D3434">
        <f t="shared" si="109"/>
        <v>1</v>
      </c>
    </row>
    <row r="3435" spans="1:4" x14ac:dyDescent="0.55000000000000004">
      <c r="A3435">
        <f t="shared" si="108"/>
        <v>2011</v>
      </c>
      <c r="B3435" s="821">
        <v>40674</v>
      </c>
      <c r="C3435">
        <v>4.3099999999999996</v>
      </c>
      <c r="D3435">
        <f t="shared" si="109"/>
        <v>1</v>
      </c>
    </row>
    <row r="3436" spans="1:4" x14ac:dyDescent="0.55000000000000004">
      <c r="A3436">
        <f t="shared" si="108"/>
        <v>2011</v>
      </c>
      <c r="B3436" s="821">
        <v>40673</v>
      </c>
      <c r="C3436">
        <v>4.34</v>
      </c>
      <c r="D3436">
        <f t="shared" si="109"/>
        <v>1</v>
      </c>
    </row>
    <row r="3437" spans="1:4" x14ac:dyDescent="0.55000000000000004">
      <c r="A3437">
        <f t="shared" si="108"/>
        <v>2011</v>
      </c>
      <c r="B3437" s="821">
        <v>40672</v>
      </c>
      <c r="C3437">
        <v>4.3</v>
      </c>
      <c r="D3437">
        <f t="shared" si="109"/>
        <v>1</v>
      </c>
    </row>
    <row r="3438" spans="1:4" x14ac:dyDescent="0.55000000000000004">
      <c r="A3438">
        <f t="shared" si="108"/>
        <v>2011</v>
      </c>
      <c r="B3438" s="821">
        <v>40669</v>
      </c>
      <c r="C3438">
        <v>4.29</v>
      </c>
      <c r="D3438">
        <f t="shared" si="109"/>
        <v>1</v>
      </c>
    </row>
    <row r="3439" spans="1:4" x14ac:dyDescent="0.55000000000000004">
      <c r="A3439">
        <f t="shared" si="108"/>
        <v>2011</v>
      </c>
      <c r="B3439" s="821">
        <v>40668</v>
      </c>
      <c r="C3439">
        <v>4.26</v>
      </c>
      <c r="D3439">
        <f t="shared" si="109"/>
        <v>1</v>
      </c>
    </row>
    <row r="3440" spans="1:4" x14ac:dyDescent="0.55000000000000004">
      <c r="A3440">
        <f t="shared" si="108"/>
        <v>2011</v>
      </c>
      <c r="B3440" s="821">
        <v>40667</v>
      </c>
      <c r="C3440">
        <v>4.33</v>
      </c>
      <c r="D3440">
        <f t="shared" si="109"/>
        <v>1</v>
      </c>
    </row>
    <row r="3441" spans="1:4" x14ac:dyDescent="0.55000000000000004">
      <c r="A3441">
        <f t="shared" si="108"/>
        <v>2011</v>
      </c>
      <c r="B3441" s="821">
        <v>40666</v>
      </c>
      <c r="C3441">
        <v>4.3600000000000003</v>
      </c>
      <c r="D3441">
        <f t="shared" si="109"/>
        <v>1</v>
      </c>
    </row>
    <row r="3442" spans="1:4" x14ac:dyDescent="0.55000000000000004">
      <c r="A3442">
        <f t="shared" si="108"/>
        <v>2011</v>
      </c>
      <c r="B3442" s="821">
        <v>40665</v>
      </c>
      <c r="C3442">
        <v>4.38</v>
      </c>
      <c r="D3442">
        <f t="shared" si="109"/>
        <v>1</v>
      </c>
    </row>
    <row r="3443" spans="1:4" x14ac:dyDescent="0.55000000000000004">
      <c r="A3443">
        <f t="shared" si="108"/>
        <v>2011</v>
      </c>
      <c r="B3443" s="821">
        <v>40662</v>
      </c>
      <c r="C3443">
        <v>4.4000000000000004</v>
      </c>
      <c r="D3443">
        <f t="shared" si="109"/>
        <v>1</v>
      </c>
    </row>
    <row r="3444" spans="1:4" x14ac:dyDescent="0.55000000000000004">
      <c r="A3444">
        <f t="shared" si="108"/>
        <v>2011</v>
      </c>
      <c r="B3444" s="821">
        <v>40661</v>
      </c>
      <c r="C3444">
        <v>4.42</v>
      </c>
      <c r="D3444">
        <f t="shared" si="109"/>
        <v>1</v>
      </c>
    </row>
    <row r="3445" spans="1:4" x14ac:dyDescent="0.55000000000000004">
      <c r="A3445">
        <f t="shared" si="108"/>
        <v>2011</v>
      </c>
      <c r="B3445" s="821">
        <v>40660</v>
      </c>
      <c r="C3445">
        <v>4.45</v>
      </c>
      <c r="D3445">
        <f t="shared" si="109"/>
        <v>1</v>
      </c>
    </row>
    <row r="3446" spans="1:4" x14ac:dyDescent="0.55000000000000004">
      <c r="A3446">
        <f t="shared" si="108"/>
        <v>2011</v>
      </c>
      <c r="B3446" s="821">
        <v>40659</v>
      </c>
      <c r="C3446">
        <v>4.3899999999999997</v>
      </c>
      <c r="D3446">
        <f t="shared" si="109"/>
        <v>1</v>
      </c>
    </row>
    <row r="3447" spans="1:4" x14ac:dyDescent="0.55000000000000004">
      <c r="A3447">
        <f t="shared" si="108"/>
        <v>2011</v>
      </c>
      <c r="B3447" s="821">
        <v>40658</v>
      </c>
      <c r="C3447">
        <v>4.46</v>
      </c>
      <c r="D3447">
        <f t="shared" si="109"/>
        <v>1</v>
      </c>
    </row>
    <row r="3448" spans="1:4" x14ac:dyDescent="0.55000000000000004">
      <c r="A3448">
        <f t="shared" si="108"/>
        <v>2011</v>
      </c>
      <c r="B3448" s="821">
        <v>40654</v>
      </c>
      <c r="C3448">
        <v>4.47</v>
      </c>
      <c r="D3448">
        <f t="shared" si="109"/>
        <v>1</v>
      </c>
    </row>
    <row r="3449" spans="1:4" x14ac:dyDescent="0.55000000000000004">
      <c r="A3449">
        <f t="shared" si="108"/>
        <v>2011</v>
      </c>
      <c r="B3449" s="821">
        <v>40653</v>
      </c>
      <c r="C3449">
        <v>4.47</v>
      </c>
      <c r="D3449">
        <f t="shared" si="109"/>
        <v>1</v>
      </c>
    </row>
    <row r="3450" spans="1:4" x14ac:dyDescent="0.55000000000000004">
      <c r="A3450">
        <f t="shared" si="108"/>
        <v>2011</v>
      </c>
      <c r="B3450" s="821">
        <v>40652</v>
      </c>
      <c r="C3450">
        <v>4.43</v>
      </c>
      <c r="D3450">
        <f t="shared" si="109"/>
        <v>1</v>
      </c>
    </row>
    <row r="3451" spans="1:4" x14ac:dyDescent="0.55000000000000004">
      <c r="A3451">
        <f t="shared" si="108"/>
        <v>2011</v>
      </c>
      <c r="B3451" s="821">
        <v>40651</v>
      </c>
      <c r="C3451">
        <v>4.45</v>
      </c>
      <c r="D3451">
        <f t="shared" si="109"/>
        <v>1</v>
      </c>
    </row>
    <row r="3452" spans="1:4" x14ac:dyDescent="0.55000000000000004">
      <c r="A3452">
        <f t="shared" si="108"/>
        <v>2011</v>
      </c>
      <c r="B3452" s="821">
        <v>40648</v>
      </c>
      <c r="C3452">
        <v>4.47</v>
      </c>
      <c r="D3452">
        <f t="shared" si="109"/>
        <v>1</v>
      </c>
    </row>
    <row r="3453" spans="1:4" x14ac:dyDescent="0.55000000000000004">
      <c r="A3453">
        <f t="shared" si="108"/>
        <v>2011</v>
      </c>
      <c r="B3453" s="821">
        <v>40647</v>
      </c>
      <c r="C3453">
        <v>4.53</v>
      </c>
      <c r="D3453">
        <f t="shared" si="109"/>
        <v>1</v>
      </c>
    </row>
    <row r="3454" spans="1:4" x14ac:dyDescent="0.55000000000000004">
      <c r="A3454">
        <f t="shared" si="108"/>
        <v>2011</v>
      </c>
      <c r="B3454" s="821">
        <v>40646</v>
      </c>
      <c r="C3454">
        <v>4.55</v>
      </c>
      <c r="D3454">
        <f t="shared" si="109"/>
        <v>1</v>
      </c>
    </row>
    <row r="3455" spans="1:4" x14ac:dyDescent="0.55000000000000004">
      <c r="A3455">
        <f t="shared" si="108"/>
        <v>2011</v>
      </c>
      <c r="B3455" s="821">
        <v>40645</v>
      </c>
      <c r="C3455">
        <v>4.58</v>
      </c>
      <c r="D3455">
        <f t="shared" si="109"/>
        <v>1</v>
      </c>
    </row>
    <row r="3456" spans="1:4" x14ac:dyDescent="0.55000000000000004">
      <c r="A3456">
        <f t="shared" si="108"/>
        <v>2011</v>
      </c>
      <c r="B3456" s="821">
        <v>40644</v>
      </c>
      <c r="C3456">
        <v>4.6399999999999997</v>
      </c>
      <c r="D3456">
        <f t="shared" si="109"/>
        <v>1</v>
      </c>
    </row>
    <row r="3457" spans="1:4" x14ac:dyDescent="0.55000000000000004">
      <c r="A3457">
        <f t="shared" si="108"/>
        <v>2011</v>
      </c>
      <c r="B3457" s="821">
        <v>40641</v>
      </c>
      <c r="C3457">
        <v>4.63</v>
      </c>
      <c r="D3457">
        <f t="shared" si="109"/>
        <v>1</v>
      </c>
    </row>
    <row r="3458" spans="1:4" x14ac:dyDescent="0.55000000000000004">
      <c r="A3458">
        <f t="shared" si="108"/>
        <v>2011</v>
      </c>
      <c r="B3458" s="821">
        <v>40640</v>
      </c>
      <c r="C3458">
        <v>4.63</v>
      </c>
      <c r="D3458">
        <f t="shared" si="109"/>
        <v>1</v>
      </c>
    </row>
    <row r="3459" spans="1:4" x14ac:dyDescent="0.55000000000000004">
      <c r="A3459">
        <f t="shared" si="108"/>
        <v>2011</v>
      </c>
      <c r="B3459" s="821">
        <v>40639</v>
      </c>
      <c r="C3459">
        <v>4.58</v>
      </c>
      <c r="D3459">
        <f t="shared" si="109"/>
        <v>1</v>
      </c>
    </row>
    <row r="3460" spans="1:4" x14ac:dyDescent="0.55000000000000004">
      <c r="A3460">
        <f t="shared" ref="A3460:A3523" si="110">YEAR(B3460)</f>
        <v>2011</v>
      </c>
      <c r="B3460" s="821">
        <v>40638</v>
      </c>
      <c r="C3460">
        <v>4.51</v>
      </c>
      <c r="D3460">
        <f t="shared" ref="D3460:D3523" si="111">IF(C3460&gt;4,1,0)</f>
        <v>1</v>
      </c>
    </row>
    <row r="3461" spans="1:4" x14ac:dyDescent="0.55000000000000004">
      <c r="A3461">
        <f t="shared" si="110"/>
        <v>2011</v>
      </c>
      <c r="B3461" s="821">
        <v>40637</v>
      </c>
      <c r="C3461">
        <v>4.49</v>
      </c>
      <c r="D3461">
        <f t="shared" si="111"/>
        <v>1</v>
      </c>
    </row>
    <row r="3462" spans="1:4" x14ac:dyDescent="0.55000000000000004">
      <c r="A3462">
        <f t="shared" si="110"/>
        <v>2011</v>
      </c>
      <c r="B3462" s="821">
        <v>40634</v>
      </c>
      <c r="C3462">
        <v>4.4800000000000004</v>
      </c>
      <c r="D3462">
        <f t="shared" si="111"/>
        <v>1</v>
      </c>
    </row>
    <row r="3463" spans="1:4" x14ac:dyDescent="0.55000000000000004">
      <c r="A3463">
        <f t="shared" si="110"/>
        <v>2011</v>
      </c>
      <c r="B3463" s="821">
        <v>40633</v>
      </c>
      <c r="C3463">
        <v>4.51</v>
      </c>
      <c r="D3463">
        <f t="shared" si="111"/>
        <v>1</v>
      </c>
    </row>
    <row r="3464" spans="1:4" x14ac:dyDescent="0.55000000000000004">
      <c r="A3464">
        <f t="shared" si="110"/>
        <v>2011</v>
      </c>
      <c r="B3464" s="821">
        <v>40632</v>
      </c>
      <c r="C3464">
        <v>4.5199999999999996</v>
      </c>
      <c r="D3464">
        <f t="shared" si="111"/>
        <v>1</v>
      </c>
    </row>
    <row r="3465" spans="1:4" x14ac:dyDescent="0.55000000000000004">
      <c r="A3465">
        <f t="shared" si="110"/>
        <v>2011</v>
      </c>
      <c r="B3465" s="821">
        <v>40631</v>
      </c>
      <c r="C3465">
        <v>4.54</v>
      </c>
      <c r="D3465">
        <f t="shared" si="111"/>
        <v>1</v>
      </c>
    </row>
    <row r="3466" spans="1:4" x14ac:dyDescent="0.55000000000000004">
      <c r="A3466">
        <f t="shared" si="110"/>
        <v>2011</v>
      </c>
      <c r="B3466" s="821">
        <v>40630</v>
      </c>
      <c r="C3466">
        <v>4.51</v>
      </c>
      <c r="D3466">
        <f t="shared" si="111"/>
        <v>1</v>
      </c>
    </row>
    <row r="3467" spans="1:4" x14ac:dyDescent="0.55000000000000004">
      <c r="A3467">
        <f t="shared" si="110"/>
        <v>2011</v>
      </c>
      <c r="B3467" s="821">
        <v>40627</v>
      </c>
      <c r="C3467">
        <v>4.51</v>
      </c>
      <c r="D3467">
        <f t="shared" si="111"/>
        <v>1</v>
      </c>
    </row>
    <row r="3468" spans="1:4" x14ac:dyDescent="0.55000000000000004">
      <c r="A3468">
        <f t="shared" si="110"/>
        <v>2011</v>
      </c>
      <c r="B3468" s="821">
        <v>40626</v>
      </c>
      <c r="C3468">
        <v>4.4800000000000004</v>
      </c>
      <c r="D3468">
        <f t="shared" si="111"/>
        <v>1</v>
      </c>
    </row>
    <row r="3469" spans="1:4" x14ac:dyDescent="0.55000000000000004">
      <c r="A3469">
        <f t="shared" si="110"/>
        <v>2011</v>
      </c>
      <c r="B3469" s="821">
        <v>40625</v>
      </c>
      <c r="C3469">
        <v>4.4400000000000004</v>
      </c>
      <c r="D3469">
        <f t="shared" si="111"/>
        <v>1</v>
      </c>
    </row>
    <row r="3470" spans="1:4" x14ac:dyDescent="0.55000000000000004">
      <c r="A3470">
        <f t="shared" si="110"/>
        <v>2011</v>
      </c>
      <c r="B3470" s="821">
        <v>40624</v>
      </c>
      <c r="C3470">
        <v>4.4400000000000004</v>
      </c>
      <c r="D3470">
        <f t="shared" si="111"/>
        <v>1</v>
      </c>
    </row>
    <row r="3471" spans="1:4" x14ac:dyDescent="0.55000000000000004">
      <c r="A3471">
        <f t="shared" si="110"/>
        <v>2011</v>
      </c>
      <c r="B3471" s="821">
        <v>40623</v>
      </c>
      <c r="C3471">
        <v>4.45</v>
      </c>
      <c r="D3471">
        <f t="shared" si="111"/>
        <v>1</v>
      </c>
    </row>
    <row r="3472" spans="1:4" x14ac:dyDescent="0.55000000000000004">
      <c r="A3472">
        <f t="shared" si="110"/>
        <v>2011</v>
      </c>
      <c r="B3472" s="821">
        <v>40620</v>
      </c>
      <c r="C3472">
        <v>4.43</v>
      </c>
      <c r="D3472">
        <f t="shared" si="111"/>
        <v>1</v>
      </c>
    </row>
    <row r="3473" spans="1:4" x14ac:dyDescent="0.55000000000000004">
      <c r="A3473">
        <f t="shared" si="110"/>
        <v>2011</v>
      </c>
      <c r="B3473" s="821">
        <v>40619</v>
      </c>
      <c r="C3473">
        <v>4.42</v>
      </c>
      <c r="D3473">
        <f t="shared" si="111"/>
        <v>1</v>
      </c>
    </row>
    <row r="3474" spans="1:4" x14ac:dyDescent="0.55000000000000004">
      <c r="A3474">
        <f t="shared" si="110"/>
        <v>2011</v>
      </c>
      <c r="B3474" s="821">
        <v>40618</v>
      </c>
      <c r="C3474">
        <v>4.38</v>
      </c>
      <c r="D3474">
        <f t="shared" si="111"/>
        <v>1</v>
      </c>
    </row>
    <row r="3475" spans="1:4" x14ac:dyDescent="0.55000000000000004">
      <c r="A3475">
        <f t="shared" si="110"/>
        <v>2011</v>
      </c>
      <c r="B3475" s="821">
        <v>40617</v>
      </c>
      <c r="C3475">
        <v>4.47</v>
      </c>
      <c r="D3475">
        <f t="shared" si="111"/>
        <v>1</v>
      </c>
    </row>
    <row r="3476" spans="1:4" x14ac:dyDescent="0.55000000000000004">
      <c r="A3476">
        <f t="shared" si="110"/>
        <v>2011</v>
      </c>
      <c r="B3476" s="821">
        <v>40616</v>
      </c>
      <c r="C3476">
        <v>4.5199999999999996</v>
      </c>
      <c r="D3476">
        <f t="shared" si="111"/>
        <v>1</v>
      </c>
    </row>
    <row r="3477" spans="1:4" x14ac:dyDescent="0.55000000000000004">
      <c r="A3477">
        <f t="shared" si="110"/>
        <v>2011</v>
      </c>
      <c r="B3477" s="821">
        <v>40613</v>
      </c>
      <c r="C3477">
        <v>4.54</v>
      </c>
      <c r="D3477">
        <f t="shared" si="111"/>
        <v>1</v>
      </c>
    </row>
    <row r="3478" spans="1:4" x14ac:dyDescent="0.55000000000000004">
      <c r="A3478">
        <f t="shared" si="110"/>
        <v>2011</v>
      </c>
      <c r="B3478" s="821">
        <v>40612</v>
      </c>
      <c r="C3478">
        <v>4.53</v>
      </c>
      <c r="D3478">
        <f t="shared" si="111"/>
        <v>1</v>
      </c>
    </row>
    <row r="3479" spans="1:4" x14ac:dyDescent="0.55000000000000004">
      <c r="A3479">
        <f t="shared" si="110"/>
        <v>2011</v>
      </c>
      <c r="B3479" s="821">
        <v>40611</v>
      </c>
      <c r="C3479">
        <v>4.5999999999999996</v>
      </c>
      <c r="D3479">
        <f t="shared" si="111"/>
        <v>1</v>
      </c>
    </row>
    <row r="3480" spans="1:4" x14ac:dyDescent="0.55000000000000004">
      <c r="A3480">
        <f t="shared" si="110"/>
        <v>2011</v>
      </c>
      <c r="B3480" s="821">
        <v>40610</v>
      </c>
      <c r="C3480">
        <v>4.66</v>
      </c>
      <c r="D3480">
        <f t="shared" si="111"/>
        <v>1</v>
      </c>
    </row>
    <row r="3481" spans="1:4" x14ac:dyDescent="0.55000000000000004">
      <c r="A3481">
        <f t="shared" si="110"/>
        <v>2011</v>
      </c>
      <c r="B3481" s="821">
        <v>40609</v>
      </c>
      <c r="C3481">
        <v>4.6100000000000003</v>
      </c>
      <c r="D3481">
        <f t="shared" si="111"/>
        <v>1</v>
      </c>
    </row>
    <row r="3482" spans="1:4" x14ac:dyDescent="0.55000000000000004">
      <c r="A3482">
        <f t="shared" si="110"/>
        <v>2011</v>
      </c>
      <c r="B3482" s="821">
        <v>40606</v>
      </c>
      <c r="C3482">
        <v>4.5999999999999996</v>
      </c>
      <c r="D3482">
        <f t="shared" si="111"/>
        <v>1</v>
      </c>
    </row>
    <row r="3483" spans="1:4" x14ac:dyDescent="0.55000000000000004">
      <c r="A3483">
        <f t="shared" si="110"/>
        <v>2011</v>
      </c>
      <c r="B3483" s="821">
        <v>40605</v>
      </c>
      <c r="C3483">
        <v>4.6399999999999997</v>
      </c>
      <c r="D3483">
        <f t="shared" si="111"/>
        <v>1</v>
      </c>
    </row>
    <row r="3484" spans="1:4" x14ac:dyDescent="0.55000000000000004">
      <c r="A3484">
        <f t="shared" si="110"/>
        <v>2011</v>
      </c>
      <c r="B3484" s="821">
        <v>40604</v>
      </c>
      <c r="C3484">
        <v>4.54</v>
      </c>
      <c r="D3484">
        <f t="shared" si="111"/>
        <v>1</v>
      </c>
    </row>
    <row r="3485" spans="1:4" x14ac:dyDescent="0.55000000000000004">
      <c r="A3485">
        <f t="shared" si="110"/>
        <v>2011</v>
      </c>
      <c r="B3485" s="821">
        <v>40603</v>
      </c>
      <c r="C3485">
        <v>4.4800000000000004</v>
      </c>
      <c r="D3485">
        <f t="shared" si="111"/>
        <v>1</v>
      </c>
    </row>
    <row r="3486" spans="1:4" x14ac:dyDescent="0.55000000000000004">
      <c r="A3486">
        <f t="shared" si="110"/>
        <v>2011</v>
      </c>
      <c r="B3486" s="821">
        <v>40602</v>
      </c>
      <c r="C3486">
        <v>4.49</v>
      </c>
      <c r="D3486">
        <f t="shared" si="111"/>
        <v>1</v>
      </c>
    </row>
    <row r="3487" spans="1:4" x14ac:dyDescent="0.55000000000000004">
      <c r="A3487">
        <f t="shared" si="110"/>
        <v>2011</v>
      </c>
      <c r="B3487" s="821">
        <v>40599</v>
      </c>
      <c r="C3487">
        <v>4.51</v>
      </c>
      <c r="D3487">
        <f t="shared" si="111"/>
        <v>1</v>
      </c>
    </row>
    <row r="3488" spans="1:4" x14ac:dyDescent="0.55000000000000004">
      <c r="A3488">
        <f t="shared" si="110"/>
        <v>2011</v>
      </c>
      <c r="B3488" s="821">
        <v>40598</v>
      </c>
      <c r="C3488">
        <v>4.54</v>
      </c>
      <c r="D3488">
        <f t="shared" si="111"/>
        <v>1</v>
      </c>
    </row>
    <row r="3489" spans="1:4" x14ac:dyDescent="0.55000000000000004">
      <c r="A3489">
        <f t="shared" si="110"/>
        <v>2011</v>
      </c>
      <c r="B3489" s="821">
        <v>40597</v>
      </c>
      <c r="C3489">
        <v>4.59</v>
      </c>
      <c r="D3489">
        <f t="shared" si="111"/>
        <v>1</v>
      </c>
    </row>
    <row r="3490" spans="1:4" x14ac:dyDescent="0.55000000000000004">
      <c r="A3490">
        <f t="shared" si="110"/>
        <v>2011</v>
      </c>
      <c r="B3490" s="821">
        <v>40596</v>
      </c>
      <c r="C3490">
        <v>4.5999999999999996</v>
      </c>
      <c r="D3490">
        <f t="shared" si="111"/>
        <v>1</v>
      </c>
    </row>
    <row r="3491" spans="1:4" x14ac:dyDescent="0.55000000000000004">
      <c r="A3491">
        <f t="shared" si="110"/>
        <v>2011</v>
      </c>
      <c r="B3491" s="821">
        <v>40592</v>
      </c>
      <c r="C3491">
        <v>4.7</v>
      </c>
      <c r="D3491">
        <f t="shared" si="111"/>
        <v>1</v>
      </c>
    </row>
    <row r="3492" spans="1:4" x14ac:dyDescent="0.55000000000000004">
      <c r="A3492">
        <f t="shared" si="110"/>
        <v>2011</v>
      </c>
      <c r="B3492" s="821">
        <v>40591</v>
      </c>
      <c r="C3492">
        <v>4.66</v>
      </c>
      <c r="D3492">
        <f t="shared" si="111"/>
        <v>1</v>
      </c>
    </row>
    <row r="3493" spans="1:4" x14ac:dyDescent="0.55000000000000004">
      <c r="A3493">
        <f t="shared" si="110"/>
        <v>2011</v>
      </c>
      <c r="B3493" s="821">
        <v>40590</v>
      </c>
      <c r="C3493">
        <v>4.67</v>
      </c>
      <c r="D3493">
        <f t="shared" si="111"/>
        <v>1</v>
      </c>
    </row>
    <row r="3494" spans="1:4" x14ac:dyDescent="0.55000000000000004">
      <c r="A3494">
        <f t="shared" si="110"/>
        <v>2011</v>
      </c>
      <c r="B3494" s="821">
        <v>40589</v>
      </c>
      <c r="C3494">
        <v>4.66</v>
      </c>
      <c r="D3494">
        <f t="shared" si="111"/>
        <v>1</v>
      </c>
    </row>
    <row r="3495" spans="1:4" x14ac:dyDescent="0.55000000000000004">
      <c r="A3495">
        <f t="shared" si="110"/>
        <v>2011</v>
      </c>
      <c r="B3495" s="821">
        <v>40588</v>
      </c>
      <c r="C3495">
        <v>4.67</v>
      </c>
      <c r="D3495">
        <f t="shared" si="111"/>
        <v>1</v>
      </c>
    </row>
    <row r="3496" spans="1:4" x14ac:dyDescent="0.55000000000000004">
      <c r="A3496">
        <f t="shared" si="110"/>
        <v>2011</v>
      </c>
      <c r="B3496" s="821">
        <v>40585</v>
      </c>
      <c r="C3496">
        <v>4.71</v>
      </c>
      <c r="D3496">
        <f t="shared" si="111"/>
        <v>1</v>
      </c>
    </row>
    <row r="3497" spans="1:4" x14ac:dyDescent="0.55000000000000004">
      <c r="A3497">
        <f t="shared" si="110"/>
        <v>2011</v>
      </c>
      <c r="B3497" s="821">
        <v>40584</v>
      </c>
      <c r="C3497">
        <v>4.75</v>
      </c>
      <c r="D3497">
        <f t="shared" si="111"/>
        <v>1</v>
      </c>
    </row>
    <row r="3498" spans="1:4" x14ac:dyDescent="0.55000000000000004">
      <c r="A3498">
        <f t="shared" si="110"/>
        <v>2011</v>
      </c>
      <c r="B3498" s="821">
        <v>40583</v>
      </c>
      <c r="C3498">
        <v>4.71</v>
      </c>
      <c r="D3498">
        <f t="shared" si="111"/>
        <v>1</v>
      </c>
    </row>
    <row r="3499" spans="1:4" x14ac:dyDescent="0.55000000000000004">
      <c r="A3499">
        <f t="shared" si="110"/>
        <v>2011</v>
      </c>
      <c r="B3499" s="821">
        <v>40582</v>
      </c>
      <c r="C3499">
        <v>4.76</v>
      </c>
      <c r="D3499">
        <f t="shared" si="111"/>
        <v>1</v>
      </c>
    </row>
    <row r="3500" spans="1:4" x14ac:dyDescent="0.55000000000000004">
      <c r="A3500">
        <f t="shared" si="110"/>
        <v>2011</v>
      </c>
      <c r="B3500" s="821">
        <v>40581</v>
      </c>
      <c r="C3500">
        <v>4.71</v>
      </c>
      <c r="D3500">
        <f t="shared" si="111"/>
        <v>1</v>
      </c>
    </row>
    <row r="3501" spans="1:4" x14ac:dyDescent="0.55000000000000004">
      <c r="A3501">
        <f t="shared" si="110"/>
        <v>2011</v>
      </c>
      <c r="B3501" s="821">
        <v>40578</v>
      </c>
      <c r="C3501">
        <v>4.7300000000000004</v>
      </c>
      <c r="D3501">
        <f t="shared" si="111"/>
        <v>1</v>
      </c>
    </row>
    <row r="3502" spans="1:4" x14ac:dyDescent="0.55000000000000004">
      <c r="A3502">
        <f t="shared" si="110"/>
        <v>2011</v>
      </c>
      <c r="B3502" s="821">
        <v>40577</v>
      </c>
      <c r="C3502">
        <v>4.67</v>
      </c>
      <c r="D3502">
        <f t="shared" si="111"/>
        <v>1</v>
      </c>
    </row>
    <row r="3503" spans="1:4" x14ac:dyDescent="0.55000000000000004">
      <c r="A3503">
        <f t="shared" si="110"/>
        <v>2011</v>
      </c>
      <c r="B3503" s="821">
        <v>40576</v>
      </c>
      <c r="C3503">
        <v>4.6399999999999997</v>
      </c>
      <c r="D3503">
        <f t="shared" si="111"/>
        <v>1</v>
      </c>
    </row>
    <row r="3504" spans="1:4" x14ac:dyDescent="0.55000000000000004">
      <c r="A3504">
        <f t="shared" si="110"/>
        <v>2011</v>
      </c>
      <c r="B3504" s="821">
        <v>40575</v>
      </c>
      <c r="C3504">
        <v>4.62</v>
      </c>
      <c r="D3504">
        <f t="shared" si="111"/>
        <v>1</v>
      </c>
    </row>
    <row r="3505" spans="1:4" x14ac:dyDescent="0.55000000000000004">
      <c r="A3505">
        <f t="shared" si="110"/>
        <v>2011</v>
      </c>
      <c r="B3505" s="821">
        <v>40574</v>
      </c>
      <c r="C3505">
        <v>4.58</v>
      </c>
      <c r="D3505">
        <f t="shared" si="111"/>
        <v>1</v>
      </c>
    </row>
    <row r="3506" spans="1:4" x14ac:dyDescent="0.55000000000000004">
      <c r="A3506">
        <f t="shared" si="110"/>
        <v>2011</v>
      </c>
      <c r="B3506" s="821">
        <v>40571</v>
      </c>
      <c r="C3506">
        <v>4.53</v>
      </c>
      <c r="D3506">
        <f t="shared" si="111"/>
        <v>1</v>
      </c>
    </row>
    <row r="3507" spans="1:4" x14ac:dyDescent="0.55000000000000004">
      <c r="A3507">
        <f t="shared" si="110"/>
        <v>2011</v>
      </c>
      <c r="B3507" s="821">
        <v>40570</v>
      </c>
      <c r="C3507">
        <v>4.57</v>
      </c>
      <c r="D3507">
        <f t="shared" si="111"/>
        <v>1</v>
      </c>
    </row>
    <row r="3508" spans="1:4" x14ac:dyDescent="0.55000000000000004">
      <c r="A3508">
        <f t="shared" si="110"/>
        <v>2011</v>
      </c>
      <c r="B3508" s="821">
        <v>40569</v>
      </c>
      <c r="C3508">
        <v>4.59</v>
      </c>
      <c r="D3508">
        <f t="shared" si="111"/>
        <v>1</v>
      </c>
    </row>
    <row r="3509" spans="1:4" x14ac:dyDescent="0.55000000000000004">
      <c r="A3509">
        <f t="shared" si="110"/>
        <v>2011</v>
      </c>
      <c r="B3509" s="821">
        <v>40568</v>
      </c>
      <c r="C3509">
        <v>4.4800000000000004</v>
      </c>
      <c r="D3509">
        <f t="shared" si="111"/>
        <v>1</v>
      </c>
    </row>
    <row r="3510" spans="1:4" x14ac:dyDescent="0.55000000000000004">
      <c r="A3510">
        <f t="shared" si="110"/>
        <v>2011</v>
      </c>
      <c r="B3510" s="821">
        <v>40567</v>
      </c>
      <c r="C3510">
        <v>4.55</v>
      </c>
      <c r="D3510">
        <f t="shared" si="111"/>
        <v>1</v>
      </c>
    </row>
    <row r="3511" spans="1:4" x14ac:dyDescent="0.55000000000000004">
      <c r="A3511">
        <f t="shared" si="110"/>
        <v>2011</v>
      </c>
      <c r="B3511" s="821">
        <v>40564</v>
      </c>
      <c r="C3511">
        <v>4.57</v>
      </c>
      <c r="D3511">
        <f t="shared" si="111"/>
        <v>1</v>
      </c>
    </row>
    <row r="3512" spans="1:4" x14ac:dyDescent="0.55000000000000004">
      <c r="A3512">
        <f t="shared" si="110"/>
        <v>2011</v>
      </c>
      <c r="B3512" s="821">
        <v>40563</v>
      </c>
      <c r="C3512">
        <v>4.5999999999999996</v>
      </c>
      <c r="D3512">
        <f t="shared" si="111"/>
        <v>1</v>
      </c>
    </row>
    <row r="3513" spans="1:4" x14ac:dyDescent="0.55000000000000004">
      <c r="A3513">
        <f t="shared" si="110"/>
        <v>2011</v>
      </c>
      <c r="B3513" s="821">
        <v>40562</v>
      </c>
      <c r="C3513">
        <v>4.53</v>
      </c>
      <c r="D3513">
        <f t="shared" si="111"/>
        <v>1</v>
      </c>
    </row>
    <row r="3514" spans="1:4" x14ac:dyDescent="0.55000000000000004">
      <c r="A3514">
        <f t="shared" si="110"/>
        <v>2011</v>
      </c>
      <c r="B3514" s="821">
        <v>40561</v>
      </c>
      <c r="C3514">
        <v>4.5599999999999996</v>
      </c>
      <c r="D3514">
        <f t="shared" si="111"/>
        <v>1</v>
      </c>
    </row>
    <row r="3515" spans="1:4" x14ac:dyDescent="0.55000000000000004">
      <c r="A3515">
        <f t="shared" si="110"/>
        <v>2011</v>
      </c>
      <c r="B3515" s="821">
        <v>40557</v>
      </c>
      <c r="C3515">
        <v>4.53</v>
      </c>
      <c r="D3515">
        <f t="shared" si="111"/>
        <v>1</v>
      </c>
    </row>
    <row r="3516" spans="1:4" x14ac:dyDescent="0.55000000000000004">
      <c r="A3516">
        <f t="shared" si="110"/>
        <v>2011</v>
      </c>
      <c r="B3516" s="821">
        <v>40556</v>
      </c>
      <c r="C3516">
        <v>4.5</v>
      </c>
      <c r="D3516">
        <f t="shared" si="111"/>
        <v>1</v>
      </c>
    </row>
    <row r="3517" spans="1:4" x14ac:dyDescent="0.55000000000000004">
      <c r="A3517">
        <f t="shared" si="110"/>
        <v>2011</v>
      </c>
      <c r="B3517" s="821">
        <v>40555</v>
      </c>
      <c r="C3517">
        <v>4.5199999999999996</v>
      </c>
      <c r="D3517">
        <f t="shared" si="111"/>
        <v>1</v>
      </c>
    </row>
    <row r="3518" spans="1:4" x14ac:dyDescent="0.55000000000000004">
      <c r="A3518">
        <f t="shared" si="110"/>
        <v>2011</v>
      </c>
      <c r="B3518" s="821">
        <v>40554</v>
      </c>
      <c r="C3518">
        <v>4.49</v>
      </c>
      <c r="D3518">
        <f t="shared" si="111"/>
        <v>1</v>
      </c>
    </row>
    <row r="3519" spans="1:4" x14ac:dyDescent="0.55000000000000004">
      <c r="A3519">
        <f t="shared" si="110"/>
        <v>2011</v>
      </c>
      <c r="B3519" s="821">
        <v>40553</v>
      </c>
      <c r="C3519">
        <v>4.47</v>
      </c>
      <c r="D3519">
        <f t="shared" si="111"/>
        <v>1</v>
      </c>
    </row>
    <row r="3520" spans="1:4" x14ac:dyDescent="0.55000000000000004">
      <c r="A3520">
        <f t="shared" si="110"/>
        <v>2011</v>
      </c>
      <c r="B3520" s="821">
        <v>40550</v>
      </c>
      <c r="C3520">
        <v>4.4800000000000004</v>
      </c>
      <c r="D3520">
        <f t="shared" si="111"/>
        <v>1</v>
      </c>
    </row>
    <row r="3521" spans="1:4" x14ac:dyDescent="0.55000000000000004">
      <c r="A3521">
        <f t="shared" si="110"/>
        <v>2011</v>
      </c>
      <c r="B3521" s="821">
        <v>40549</v>
      </c>
      <c r="C3521">
        <v>4.53</v>
      </c>
      <c r="D3521">
        <f t="shared" si="111"/>
        <v>1</v>
      </c>
    </row>
    <row r="3522" spans="1:4" x14ac:dyDescent="0.55000000000000004">
      <c r="A3522">
        <f t="shared" si="110"/>
        <v>2011</v>
      </c>
      <c r="B3522" s="821">
        <v>40548</v>
      </c>
      <c r="C3522">
        <v>4.55</v>
      </c>
      <c r="D3522">
        <f t="shared" si="111"/>
        <v>1</v>
      </c>
    </row>
    <row r="3523" spans="1:4" x14ac:dyDescent="0.55000000000000004">
      <c r="A3523">
        <f t="shared" si="110"/>
        <v>2011</v>
      </c>
      <c r="B3523" s="821">
        <v>40547</v>
      </c>
      <c r="C3523">
        <v>4.4400000000000004</v>
      </c>
      <c r="D3523">
        <f t="shared" si="111"/>
        <v>1</v>
      </c>
    </row>
    <row r="3524" spans="1:4" x14ac:dyDescent="0.55000000000000004">
      <c r="A3524">
        <f t="shared" ref="A3524:A3587" si="112">YEAR(B3524)</f>
        <v>2011</v>
      </c>
      <c r="B3524" s="821">
        <v>40546</v>
      </c>
      <c r="C3524">
        <v>4.3899999999999997</v>
      </c>
      <c r="D3524">
        <f t="shared" ref="D3524:D3587" si="113">IF(C3524&gt;4,1,0)</f>
        <v>1</v>
      </c>
    </row>
    <row r="3525" spans="1:4" x14ac:dyDescent="0.55000000000000004">
      <c r="A3525">
        <f t="shared" si="112"/>
        <v>2010</v>
      </c>
      <c r="B3525" s="821">
        <v>40543</v>
      </c>
      <c r="C3525">
        <v>4.34</v>
      </c>
      <c r="D3525">
        <f t="shared" si="113"/>
        <v>1</v>
      </c>
    </row>
    <row r="3526" spans="1:4" x14ac:dyDescent="0.55000000000000004">
      <c r="A3526">
        <f t="shared" si="112"/>
        <v>2010</v>
      </c>
      <c r="B3526" s="821">
        <v>40542</v>
      </c>
      <c r="C3526">
        <v>4.43</v>
      </c>
      <c r="D3526">
        <f t="shared" si="113"/>
        <v>1</v>
      </c>
    </row>
    <row r="3527" spans="1:4" x14ac:dyDescent="0.55000000000000004">
      <c r="A3527">
        <f t="shared" si="112"/>
        <v>2010</v>
      </c>
      <c r="B3527" s="821">
        <v>40541</v>
      </c>
      <c r="C3527">
        <v>4.41</v>
      </c>
      <c r="D3527">
        <f t="shared" si="113"/>
        <v>1</v>
      </c>
    </row>
    <row r="3528" spans="1:4" x14ac:dyDescent="0.55000000000000004">
      <c r="A3528">
        <f t="shared" si="112"/>
        <v>2010</v>
      </c>
      <c r="B3528" s="821">
        <v>40540</v>
      </c>
      <c r="C3528">
        <v>4.53</v>
      </c>
      <c r="D3528">
        <f t="shared" si="113"/>
        <v>1</v>
      </c>
    </row>
    <row r="3529" spans="1:4" x14ac:dyDescent="0.55000000000000004">
      <c r="A3529">
        <f t="shared" si="112"/>
        <v>2010</v>
      </c>
      <c r="B3529" s="821">
        <v>40539</v>
      </c>
      <c r="C3529">
        <v>4.42</v>
      </c>
      <c r="D3529">
        <f t="shared" si="113"/>
        <v>1</v>
      </c>
    </row>
    <row r="3530" spans="1:4" x14ac:dyDescent="0.55000000000000004">
      <c r="A3530">
        <f t="shared" si="112"/>
        <v>2010</v>
      </c>
      <c r="B3530" s="821">
        <v>40535</v>
      </c>
      <c r="C3530">
        <v>4.47</v>
      </c>
      <c r="D3530">
        <f t="shared" si="113"/>
        <v>1</v>
      </c>
    </row>
    <row r="3531" spans="1:4" x14ac:dyDescent="0.55000000000000004">
      <c r="A3531">
        <f t="shared" si="112"/>
        <v>2010</v>
      </c>
      <c r="B3531" s="821">
        <v>40534</v>
      </c>
      <c r="C3531">
        <v>4.45</v>
      </c>
      <c r="D3531">
        <f t="shared" si="113"/>
        <v>1</v>
      </c>
    </row>
    <row r="3532" spans="1:4" x14ac:dyDescent="0.55000000000000004">
      <c r="A3532">
        <f t="shared" si="112"/>
        <v>2010</v>
      </c>
      <c r="B3532" s="821">
        <v>40533</v>
      </c>
      <c r="C3532">
        <v>4.4400000000000004</v>
      </c>
      <c r="D3532">
        <f t="shared" si="113"/>
        <v>1</v>
      </c>
    </row>
    <row r="3533" spans="1:4" x14ac:dyDescent="0.55000000000000004">
      <c r="A3533">
        <f t="shared" si="112"/>
        <v>2010</v>
      </c>
      <c r="B3533" s="821">
        <v>40532</v>
      </c>
      <c r="C3533">
        <v>4.4400000000000004</v>
      </c>
      <c r="D3533">
        <f t="shared" si="113"/>
        <v>1</v>
      </c>
    </row>
    <row r="3534" spans="1:4" x14ac:dyDescent="0.55000000000000004">
      <c r="A3534">
        <f t="shared" si="112"/>
        <v>2010</v>
      </c>
      <c r="B3534" s="821">
        <v>40529</v>
      </c>
      <c r="C3534">
        <v>4.41</v>
      </c>
      <c r="D3534">
        <f t="shared" si="113"/>
        <v>1</v>
      </c>
    </row>
    <row r="3535" spans="1:4" x14ac:dyDescent="0.55000000000000004">
      <c r="A3535">
        <f t="shared" si="112"/>
        <v>2010</v>
      </c>
      <c r="B3535" s="821">
        <v>40528</v>
      </c>
      <c r="C3535">
        <v>4.57</v>
      </c>
      <c r="D3535">
        <f t="shared" si="113"/>
        <v>1</v>
      </c>
    </row>
    <row r="3536" spans="1:4" x14ac:dyDescent="0.55000000000000004">
      <c r="A3536">
        <f t="shared" si="112"/>
        <v>2010</v>
      </c>
      <c r="B3536" s="821">
        <v>40527</v>
      </c>
      <c r="C3536">
        <v>4.59</v>
      </c>
      <c r="D3536">
        <f t="shared" si="113"/>
        <v>1</v>
      </c>
    </row>
    <row r="3537" spans="1:4" x14ac:dyDescent="0.55000000000000004">
      <c r="A3537">
        <f t="shared" si="112"/>
        <v>2010</v>
      </c>
      <c r="B3537" s="821">
        <v>40526</v>
      </c>
      <c r="C3537">
        <v>4.54</v>
      </c>
      <c r="D3537">
        <f t="shared" si="113"/>
        <v>1</v>
      </c>
    </row>
    <row r="3538" spans="1:4" x14ac:dyDescent="0.55000000000000004">
      <c r="A3538">
        <f t="shared" si="112"/>
        <v>2010</v>
      </c>
      <c r="B3538" s="821">
        <v>40525</v>
      </c>
      <c r="C3538">
        <v>4.3899999999999997</v>
      </c>
      <c r="D3538">
        <f t="shared" si="113"/>
        <v>1</v>
      </c>
    </row>
    <row r="3539" spans="1:4" x14ac:dyDescent="0.55000000000000004">
      <c r="A3539">
        <f t="shared" si="112"/>
        <v>2010</v>
      </c>
      <c r="B3539" s="821">
        <v>40522</v>
      </c>
      <c r="C3539">
        <v>4.43</v>
      </c>
      <c r="D3539">
        <f t="shared" si="113"/>
        <v>1</v>
      </c>
    </row>
    <row r="3540" spans="1:4" x14ac:dyDescent="0.55000000000000004">
      <c r="A3540">
        <f t="shared" si="112"/>
        <v>2010</v>
      </c>
      <c r="B3540" s="821">
        <v>40521</v>
      </c>
      <c r="C3540">
        <v>4.41</v>
      </c>
      <c r="D3540">
        <f t="shared" si="113"/>
        <v>1</v>
      </c>
    </row>
    <row r="3541" spans="1:4" x14ac:dyDescent="0.55000000000000004">
      <c r="A3541">
        <f t="shared" si="112"/>
        <v>2010</v>
      </c>
      <c r="B3541" s="821">
        <v>40520</v>
      </c>
      <c r="C3541">
        <v>4.45</v>
      </c>
      <c r="D3541">
        <f t="shared" si="113"/>
        <v>1</v>
      </c>
    </row>
    <row r="3542" spans="1:4" x14ac:dyDescent="0.55000000000000004">
      <c r="A3542">
        <f t="shared" si="112"/>
        <v>2010</v>
      </c>
      <c r="B3542" s="821">
        <v>40519</v>
      </c>
      <c r="C3542">
        <v>4.3899999999999997</v>
      </c>
      <c r="D3542">
        <f t="shared" si="113"/>
        <v>1</v>
      </c>
    </row>
    <row r="3543" spans="1:4" x14ac:dyDescent="0.55000000000000004">
      <c r="A3543">
        <f t="shared" si="112"/>
        <v>2010</v>
      </c>
      <c r="B3543" s="821">
        <v>40518</v>
      </c>
      <c r="C3543">
        <v>4.25</v>
      </c>
      <c r="D3543">
        <f t="shared" si="113"/>
        <v>1</v>
      </c>
    </row>
    <row r="3544" spans="1:4" x14ac:dyDescent="0.55000000000000004">
      <c r="A3544">
        <f t="shared" si="112"/>
        <v>2010</v>
      </c>
      <c r="B3544" s="821">
        <v>40515</v>
      </c>
      <c r="C3544">
        <v>4.32</v>
      </c>
      <c r="D3544">
        <f t="shared" si="113"/>
        <v>1</v>
      </c>
    </row>
    <row r="3545" spans="1:4" x14ac:dyDescent="0.55000000000000004">
      <c r="A3545">
        <f t="shared" si="112"/>
        <v>2010</v>
      </c>
      <c r="B3545" s="821">
        <v>40514</v>
      </c>
      <c r="C3545">
        <v>4.2699999999999996</v>
      </c>
      <c r="D3545">
        <f t="shared" si="113"/>
        <v>1</v>
      </c>
    </row>
    <row r="3546" spans="1:4" x14ac:dyDescent="0.55000000000000004">
      <c r="A3546">
        <f t="shared" si="112"/>
        <v>2010</v>
      </c>
      <c r="B3546" s="821">
        <v>40513</v>
      </c>
      <c r="C3546">
        <v>4.24</v>
      </c>
      <c r="D3546">
        <f t="shared" si="113"/>
        <v>1</v>
      </c>
    </row>
    <row r="3547" spans="1:4" x14ac:dyDescent="0.55000000000000004">
      <c r="A3547">
        <f t="shared" si="112"/>
        <v>2010</v>
      </c>
      <c r="B3547" s="821">
        <v>40512</v>
      </c>
      <c r="C3547">
        <v>4.12</v>
      </c>
      <c r="D3547">
        <f t="shared" si="113"/>
        <v>1</v>
      </c>
    </row>
    <row r="3548" spans="1:4" x14ac:dyDescent="0.55000000000000004">
      <c r="A3548">
        <f t="shared" si="112"/>
        <v>2010</v>
      </c>
      <c r="B3548" s="821">
        <v>40511</v>
      </c>
      <c r="C3548">
        <v>4.16</v>
      </c>
      <c r="D3548">
        <f t="shared" si="113"/>
        <v>1</v>
      </c>
    </row>
    <row r="3549" spans="1:4" x14ac:dyDescent="0.55000000000000004">
      <c r="A3549">
        <f t="shared" si="112"/>
        <v>2010</v>
      </c>
      <c r="B3549" s="821">
        <v>40508</v>
      </c>
      <c r="C3549">
        <v>4.21</v>
      </c>
      <c r="D3549">
        <f t="shared" si="113"/>
        <v>1</v>
      </c>
    </row>
    <row r="3550" spans="1:4" x14ac:dyDescent="0.55000000000000004">
      <c r="A3550">
        <f t="shared" si="112"/>
        <v>2010</v>
      </c>
      <c r="B3550" s="821">
        <v>40506</v>
      </c>
      <c r="C3550">
        <v>4.29</v>
      </c>
      <c r="D3550">
        <f t="shared" si="113"/>
        <v>1</v>
      </c>
    </row>
    <row r="3551" spans="1:4" x14ac:dyDescent="0.55000000000000004">
      <c r="A3551">
        <f t="shared" si="112"/>
        <v>2010</v>
      </c>
      <c r="B3551" s="821">
        <v>40505</v>
      </c>
      <c r="C3551">
        <v>4.18</v>
      </c>
      <c r="D3551">
        <f t="shared" si="113"/>
        <v>1</v>
      </c>
    </row>
    <row r="3552" spans="1:4" x14ac:dyDescent="0.55000000000000004">
      <c r="A3552">
        <f t="shared" si="112"/>
        <v>2010</v>
      </c>
      <c r="B3552" s="821">
        <v>40504</v>
      </c>
      <c r="C3552">
        <v>4.2</v>
      </c>
      <c r="D3552">
        <f t="shared" si="113"/>
        <v>1</v>
      </c>
    </row>
    <row r="3553" spans="1:4" x14ac:dyDescent="0.55000000000000004">
      <c r="A3553">
        <f t="shared" si="112"/>
        <v>2010</v>
      </c>
      <c r="B3553" s="821">
        <v>40501</v>
      </c>
      <c r="C3553">
        <v>4.25</v>
      </c>
      <c r="D3553">
        <f t="shared" si="113"/>
        <v>1</v>
      </c>
    </row>
    <row r="3554" spans="1:4" x14ac:dyDescent="0.55000000000000004">
      <c r="A3554">
        <f t="shared" si="112"/>
        <v>2010</v>
      </c>
      <c r="B3554" s="821">
        <v>40500</v>
      </c>
      <c r="C3554">
        <v>4.29</v>
      </c>
      <c r="D3554">
        <f t="shared" si="113"/>
        <v>1</v>
      </c>
    </row>
    <row r="3555" spans="1:4" x14ac:dyDescent="0.55000000000000004">
      <c r="A3555">
        <f t="shared" si="112"/>
        <v>2010</v>
      </c>
      <c r="B3555" s="821">
        <v>40499</v>
      </c>
      <c r="C3555">
        <v>4.3099999999999996</v>
      </c>
      <c r="D3555">
        <f t="shared" si="113"/>
        <v>1</v>
      </c>
    </row>
    <row r="3556" spans="1:4" x14ac:dyDescent="0.55000000000000004">
      <c r="A3556">
        <f t="shared" si="112"/>
        <v>2010</v>
      </c>
      <c r="B3556" s="821">
        <v>40498</v>
      </c>
      <c r="C3556">
        <v>4.26</v>
      </c>
      <c r="D3556">
        <f t="shared" si="113"/>
        <v>1</v>
      </c>
    </row>
    <row r="3557" spans="1:4" x14ac:dyDescent="0.55000000000000004">
      <c r="A3557">
        <f t="shared" si="112"/>
        <v>2010</v>
      </c>
      <c r="B3557" s="821">
        <v>40497</v>
      </c>
      <c r="C3557">
        <v>4.38</v>
      </c>
      <c r="D3557">
        <f t="shared" si="113"/>
        <v>1</v>
      </c>
    </row>
    <row r="3558" spans="1:4" x14ac:dyDescent="0.55000000000000004">
      <c r="A3558">
        <f t="shared" si="112"/>
        <v>2010</v>
      </c>
      <c r="B3558" s="821">
        <v>40494</v>
      </c>
      <c r="C3558">
        <v>4.26</v>
      </c>
      <c r="D3558">
        <f t="shared" si="113"/>
        <v>1</v>
      </c>
    </row>
    <row r="3559" spans="1:4" x14ac:dyDescent="0.55000000000000004">
      <c r="A3559">
        <f t="shared" si="112"/>
        <v>2010</v>
      </c>
      <c r="B3559" s="821">
        <v>40492</v>
      </c>
      <c r="C3559">
        <v>4.25</v>
      </c>
      <c r="D3559">
        <f t="shared" si="113"/>
        <v>1</v>
      </c>
    </row>
    <row r="3560" spans="1:4" x14ac:dyDescent="0.55000000000000004">
      <c r="A3560">
        <f t="shared" si="112"/>
        <v>2010</v>
      </c>
      <c r="B3560" s="821">
        <v>40491</v>
      </c>
      <c r="C3560">
        <v>4.25</v>
      </c>
      <c r="D3560">
        <f t="shared" si="113"/>
        <v>1</v>
      </c>
    </row>
    <row r="3561" spans="1:4" x14ac:dyDescent="0.55000000000000004">
      <c r="A3561">
        <f t="shared" si="112"/>
        <v>2010</v>
      </c>
      <c r="B3561" s="821">
        <v>40490</v>
      </c>
      <c r="C3561">
        <v>4.12</v>
      </c>
      <c r="D3561">
        <f t="shared" si="113"/>
        <v>1</v>
      </c>
    </row>
    <row r="3562" spans="1:4" x14ac:dyDescent="0.55000000000000004">
      <c r="A3562">
        <f t="shared" si="112"/>
        <v>2010</v>
      </c>
      <c r="B3562" s="821">
        <v>40487</v>
      </c>
      <c r="C3562">
        <v>4.12</v>
      </c>
      <c r="D3562">
        <f t="shared" si="113"/>
        <v>1</v>
      </c>
    </row>
    <row r="3563" spans="1:4" x14ac:dyDescent="0.55000000000000004">
      <c r="A3563">
        <f t="shared" si="112"/>
        <v>2010</v>
      </c>
      <c r="B3563" s="821">
        <v>40486</v>
      </c>
      <c r="C3563">
        <v>4.04</v>
      </c>
      <c r="D3563">
        <f t="shared" si="113"/>
        <v>1</v>
      </c>
    </row>
    <row r="3564" spans="1:4" x14ac:dyDescent="0.55000000000000004">
      <c r="A3564">
        <f t="shared" si="112"/>
        <v>2010</v>
      </c>
      <c r="B3564" s="821">
        <v>40485</v>
      </c>
      <c r="C3564">
        <v>4.09</v>
      </c>
      <c r="D3564">
        <f t="shared" si="113"/>
        <v>1</v>
      </c>
    </row>
    <row r="3565" spans="1:4" x14ac:dyDescent="0.55000000000000004">
      <c r="A3565">
        <f t="shared" si="112"/>
        <v>2010</v>
      </c>
      <c r="B3565" s="821">
        <v>40484</v>
      </c>
      <c r="C3565">
        <v>3.93</v>
      </c>
      <c r="D3565">
        <f t="shared" si="113"/>
        <v>0</v>
      </c>
    </row>
    <row r="3566" spans="1:4" x14ac:dyDescent="0.55000000000000004">
      <c r="A3566">
        <f t="shared" si="112"/>
        <v>2010</v>
      </c>
      <c r="B3566" s="821">
        <v>40483</v>
      </c>
      <c r="C3566">
        <v>4.01</v>
      </c>
      <c r="D3566">
        <f t="shared" si="113"/>
        <v>1</v>
      </c>
    </row>
    <row r="3567" spans="1:4" x14ac:dyDescent="0.55000000000000004">
      <c r="A3567">
        <f t="shared" si="112"/>
        <v>2010</v>
      </c>
      <c r="B3567" s="821">
        <v>40480</v>
      </c>
      <c r="C3567">
        <v>3.99</v>
      </c>
      <c r="D3567">
        <f t="shared" si="113"/>
        <v>0</v>
      </c>
    </row>
    <row r="3568" spans="1:4" x14ac:dyDescent="0.55000000000000004">
      <c r="A3568">
        <f t="shared" si="112"/>
        <v>2010</v>
      </c>
      <c r="B3568" s="821">
        <v>40479</v>
      </c>
      <c r="C3568">
        <v>4.05</v>
      </c>
      <c r="D3568">
        <f t="shared" si="113"/>
        <v>1</v>
      </c>
    </row>
    <row r="3569" spans="1:4" x14ac:dyDescent="0.55000000000000004">
      <c r="A3569">
        <f t="shared" si="112"/>
        <v>2010</v>
      </c>
      <c r="B3569" s="821">
        <v>40478</v>
      </c>
      <c r="C3569">
        <v>4.0599999999999996</v>
      </c>
      <c r="D3569">
        <f t="shared" si="113"/>
        <v>1</v>
      </c>
    </row>
    <row r="3570" spans="1:4" x14ac:dyDescent="0.55000000000000004">
      <c r="A3570">
        <f t="shared" si="112"/>
        <v>2010</v>
      </c>
      <c r="B3570" s="821">
        <v>40477</v>
      </c>
      <c r="C3570">
        <v>4</v>
      </c>
      <c r="D3570">
        <f t="shared" si="113"/>
        <v>0</v>
      </c>
    </row>
    <row r="3571" spans="1:4" x14ac:dyDescent="0.55000000000000004">
      <c r="A3571">
        <f t="shared" si="112"/>
        <v>2010</v>
      </c>
      <c r="B3571" s="821">
        <v>40476</v>
      </c>
      <c r="C3571">
        <v>3.91</v>
      </c>
      <c r="D3571">
        <f t="shared" si="113"/>
        <v>0</v>
      </c>
    </row>
    <row r="3572" spans="1:4" x14ac:dyDescent="0.55000000000000004">
      <c r="A3572">
        <f t="shared" si="112"/>
        <v>2010</v>
      </c>
      <c r="B3572" s="821">
        <v>40473</v>
      </c>
      <c r="C3572">
        <v>3.94</v>
      </c>
      <c r="D3572">
        <f t="shared" si="113"/>
        <v>0</v>
      </c>
    </row>
    <row r="3573" spans="1:4" x14ac:dyDescent="0.55000000000000004">
      <c r="A3573">
        <f t="shared" si="112"/>
        <v>2010</v>
      </c>
      <c r="B3573" s="821">
        <v>40472</v>
      </c>
      <c r="C3573">
        <v>3.95</v>
      </c>
      <c r="D3573">
        <f t="shared" si="113"/>
        <v>0</v>
      </c>
    </row>
    <row r="3574" spans="1:4" x14ac:dyDescent="0.55000000000000004">
      <c r="A3574">
        <f t="shared" si="112"/>
        <v>2010</v>
      </c>
      <c r="B3574" s="821">
        <v>40471</v>
      </c>
      <c r="C3574">
        <v>3.89</v>
      </c>
      <c r="D3574">
        <f t="shared" si="113"/>
        <v>0</v>
      </c>
    </row>
    <row r="3575" spans="1:4" x14ac:dyDescent="0.55000000000000004">
      <c r="A3575">
        <f t="shared" si="112"/>
        <v>2010</v>
      </c>
      <c r="B3575" s="821">
        <v>40470</v>
      </c>
      <c r="C3575">
        <v>3.9</v>
      </c>
      <c r="D3575">
        <f t="shared" si="113"/>
        <v>0</v>
      </c>
    </row>
    <row r="3576" spans="1:4" x14ac:dyDescent="0.55000000000000004">
      <c r="A3576">
        <f t="shared" si="112"/>
        <v>2010</v>
      </c>
      <c r="B3576" s="821">
        <v>40469</v>
      </c>
      <c r="C3576">
        <v>3.93</v>
      </c>
      <c r="D3576">
        <f t="shared" si="113"/>
        <v>0</v>
      </c>
    </row>
    <row r="3577" spans="1:4" x14ac:dyDescent="0.55000000000000004">
      <c r="A3577">
        <f t="shared" si="112"/>
        <v>2010</v>
      </c>
      <c r="B3577" s="821">
        <v>40466</v>
      </c>
      <c r="C3577">
        <v>3.98</v>
      </c>
      <c r="D3577">
        <f t="shared" si="113"/>
        <v>0</v>
      </c>
    </row>
    <row r="3578" spans="1:4" x14ac:dyDescent="0.55000000000000004">
      <c r="A3578">
        <f t="shared" si="112"/>
        <v>2010</v>
      </c>
      <c r="B3578" s="821">
        <v>40465</v>
      </c>
      <c r="C3578">
        <v>3.91</v>
      </c>
      <c r="D3578">
        <f t="shared" si="113"/>
        <v>0</v>
      </c>
    </row>
    <row r="3579" spans="1:4" x14ac:dyDescent="0.55000000000000004">
      <c r="A3579">
        <f t="shared" si="112"/>
        <v>2010</v>
      </c>
      <c r="B3579" s="821">
        <v>40464</v>
      </c>
      <c r="C3579">
        <v>3.84</v>
      </c>
      <c r="D3579">
        <f t="shared" si="113"/>
        <v>0</v>
      </c>
    </row>
    <row r="3580" spans="1:4" x14ac:dyDescent="0.55000000000000004">
      <c r="A3580">
        <f t="shared" si="112"/>
        <v>2010</v>
      </c>
      <c r="B3580" s="821">
        <v>40463</v>
      </c>
      <c r="C3580">
        <v>3.8</v>
      </c>
      <c r="D3580">
        <f t="shared" si="113"/>
        <v>0</v>
      </c>
    </row>
    <row r="3581" spans="1:4" x14ac:dyDescent="0.55000000000000004">
      <c r="A3581">
        <f t="shared" si="112"/>
        <v>2010</v>
      </c>
      <c r="B3581" s="821">
        <v>40459</v>
      </c>
      <c r="C3581">
        <v>3.75</v>
      </c>
      <c r="D3581">
        <f t="shared" si="113"/>
        <v>0</v>
      </c>
    </row>
    <row r="3582" spans="1:4" x14ac:dyDescent="0.55000000000000004">
      <c r="A3582">
        <f t="shared" si="112"/>
        <v>2010</v>
      </c>
      <c r="B3582" s="821">
        <v>40458</v>
      </c>
      <c r="C3582">
        <v>3.72</v>
      </c>
      <c r="D3582">
        <f t="shared" si="113"/>
        <v>0</v>
      </c>
    </row>
    <row r="3583" spans="1:4" x14ac:dyDescent="0.55000000000000004">
      <c r="A3583">
        <f t="shared" si="112"/>
        <v>2010</v>
      </c>
      <c r="B3583" s="821">
        <v>40457</v>
      </c>
      <c r="C3583">
        <v>3.67</v>
      </c>
      <c r="D3583">
        <f t="shared" si="113"/>
        <v>0</v>
      </c>
    </row>
    <row r="3584" spans="1:4" x14ac:dyDescent="0.55000000000000004">
      <c r="A3584">
        <f t="shared" si="112"/>
        <v>2010</v>
      </c>
      <c r="B3584" s="821">
        <v>40456</v>
      </c>
      <c r="C3584">
        <v>3.74</v>
      </c>
      <c r="D3584">
        <f t="shared" si="113"/>
        <v>0</v>
      </c>
    </row>
    <row r="3585" spans="1:4" x14ac:dyDescent="0.55000000000000004">
      <c r="A3585">
        <f t="shared" si="112"/>
        <v>2010</v>
      </c>
      <c r="B3585" s="821">
        <v>40455</v>
      </c>
      <c r="C3585">
        <v>3.71</v>
      </c>
      <c r="D3585">
        <f t="shared" si="113"/>
        <v>0</v>
      </c>
    </row>
    <row r="3586" spans="1:4" x14ac:dyDescent="0.55000000000000004">
      <c r="A3586">
        <f t="shared" si="112"/>
        <v>2010</v>
      </c>
      <c r="B3586" s="821">
        <v>40452</v>
      </c>
      <c r="C3586">
        <v>3.71</v>
      </c>
      <c r="D3586">
        <f t="shared" si="113"/>
        <v>0</v>
      </c>
    </row>
    <row r="3587" spans="1:4" x14ac:dyDescent="0.55000000000000004">
      <c r="A3587">
        <f t="shared" si="112"/>
        <v>2010</v>
      </c>
      <c r="B3587" s="821">
        <v>40451</v>
      </c>
      <c r="C3587">
        <v>3.69</v>
      </c>
      <c r="D3587">
        <f t="shared" si="113"/>
        <v>0</v>
      </c>
    </row>
    <row r="3588" spans="1:4" x14ac:dyDescent="0.55000000000000004">
      <c r="A3588">
        <f t="shared" ref="A3588:A3651" si="114">YEAR(B3588)</f>
        <v>2010</v>
      </c>
      <c r="B3588" s="821">
        <v>40450</v>
      </c>
      <c r="C3588">
        <v>3.69</v>
      </c>
      <c r="D3588">
        <f t="shared" ref="D3588:D3651" si="115">IF(C3588&gt;4,1,0)</f>
        <v>0</v>
      </c>
    </row>
    <row r="3589" spans="1:4" x14ac:dyDescent="0.55000000000000004">
      <c r="A3589">
        <f t="shared" si="114"/>
        <v>2010</v>
      </c>
      <c r="B3589" s="821">
        <v>40449</v>
      </c>
      <c r="C3589">
        <v>3.66</v>
      </c>
      <c r="D3589">
        <f t="shared" si="115"/>
        <v>0</v>
      </c>
    </row>
    <row r="3590" spans="1:4" x14ac:dyDescent="0.55000000000000004">
      <c r="A3590">
        <f t="shared" si="114"/>
        <v>2010</v>
      </c>
      <c r="B3590" s="821">
        <v>40448</v>
      </c>
      <c r="C3590">
        <v>3.7</v>
      </c>
      <c r="D3590">
        <f t="shared" si="115"/>
        <v>0</v>
      </c>
    </row>
    <row r="3591" spans="1:4" x14ac:dyDescent="0.55000000000000004">
      <c r="A3591">
        <f t="shared" si="114"/>
        <v>2010</v>
      </c>
      <c r="B3591" s="821">
        <v>40445</v>
      </c>
      <c r="C3591">
        <v>3.79</v>
      </c>
      <c r="D3591">
        <f t="shared" si="115"/>
        <v>0</v>
      </c>
    </row>
    <row r="3592" spans="1:4" x14ac:dyDescent="0.55000000000000004">
      <c r="A3592">
        <f t="shared" si="114"/>
        <v>2010</v>
      </c>
      <c r="B3592" s="821">
        <v>40444</v>
      </c>
      <c r="C3592">
        <v>3.73</v>
      </c>
      <c r="D3592">
        <f t="shared" si="115"/>
        <v>0</v>
      </c>
    </row>
    <row r="3593" spans="1:4" x14ac:dyDescent="0.55000000000000004">
      <c r="A3593">
        <f t="shared" si="114"/>
        <v>2010</v>
      </c>
      <c r="B3593" s="821">
        <v>40443</v>
      </c>
      <c r="C3593">
        <v>3.74</v>
      </c>
      <c r="D3593">
        <f t="shared" si="115"/>
        <v>0</v>
      </c>
    </row>
    <row r="3594" spans="1:4" x14ac:dyDescent="0.55000000000000004">
      <c r="A3594">
        <f t="shared" si="114"/>
        <v>2010</v>
      </c>
      <c r="B3594" s="821">
        <v>40442</v>
      </c>
      <c r="C3594">
        <v>3.79</v>
      </c>
      <c r="D3594">
        <f t="shared" si="115"/>
        <v>0</v>
      </c>
    </row>
    <row r="3595" spans="1:4" x14ac:dyDescent="0.55000000000000004">
      <c r="A3595">
        <f t="shared" si="114"/>
        <v>2010</v>
      </c>
      <c r="B3595" s="821">
        <v>40441</v>
      </c>
      <c r="C3595">
        <v>3.87</v>
      </c>
      <c r="D3595">
        <f t="shared" si="115"/>
        <v>0</v>
      </c>
    </row>
    <row r="3596" spans="1:4" x14ac:dyDescent="0.55000000000000004">
      <c r="A3596">
        <f t="shared" si="114"/>
        <v>2010</v>
      </c>
      <c r="B3596" s="821">
        <v>40438</v>
      </c>
      <c r="C3596">
        <v>3.9</v>
      </c>
      <c r="D3596">
        <f t="shared" si="115"/>
        <v>0</v>
      </c>
    </row>
    <row r="3597" spans="1:4" x14ac:dyDescent="0.55000000000000004">
      <c r="A3597">
        <f t="shared" si="114"/>
        <v>2010</v>
      </c>
      <c r="B3597" s="821">
        <v>40437</v>
      </c>
      <c r="C3597">
        <v>3.92</v>
      </c>
      <c r="D3597">
        <f t="shared" si="115"/>
        <v>0</v>
      </c>
    </row>
    <row r="3598" spans="1:4" x14ac:dyDescent="0.55000000000000004">
      <c r="A3598">
        <f t="shared" si="114"/>
        <v>2010</v>
      </c>
      <c r="B3598" s="821">
        <v>40436</v>
      </c>
      <c r="C3598">
        <v>3.87</v>
      </c>
      <c r="D3598">
        <f t="shared" si="115"/>
        <v>0</v>
      </c>
    </row>
    <row r="3599" spans="1:4" x14ac:dyDescent="0.55000000000000004">
      <c r="A3599">
        <f t="shared" si="114"/>
        <v>2010</v>
      </c>
      <c r="B3599" s="821">
        <v>40435</v>
      </c>
      <c r="C3599">
        <v>3.79</v>
      </c>
      <c r="D3599">
        <f t="shared" si="115"/>
        <v>0</v>
      </c>
    </row>
    <row r="3600" spans="1:4" x14ac:dyDescent="0.55000000000000004">
      <c r="A3600">
        <f t="shared" si="114"/>
        <v>2010</v>
      </c>
      <c r="B3600" s="821">
        <v>40434</v>
      </c>
      <c r="C3600">
        <v>3.83</v>
      </c>
      <c r="D3600">
        <f t="shared" si="115"/>
        <v>0</v>
      </c>
    </row>
    <row r="3601" spans="1:4" x14ac:dyDescent="0.55000000000000004">
      <c r="A3601">
        <f t="shared" si="114"/>
        <v>2010</v>
      </c>
      <c r="B3601" s="821">
        <v>40431</v>
      </c>
      <c r="C3601">
        <v>3.88</v>
      </c>
      <c r="D3601">
        <f t="shared" si="115"/>
        <v>0</v>
      </c>
    </row>
    <row r="3602" spans="1:4" x14ac:dyDescent="0.55000000000000004">
      <c r="A3602">
        <f t="shared" si="114"/>
        <v>2010</v>
      </c>
      <c r="B3602" s="821">
        <v>40430</v>
      </c>
      <c r="C3602">
        <v>3.84</v>
      </c>
      <c r="D3602">
        <f t="shared" si="115"/>
        <v>0</v>
      </c>
    </row>
    <row r="3603" spans="1:4" x14ac:dyDescent="0.55000000000000004">
      <c r="A3603">
        <f t="shared" si="114"/>
        <v>2010</v>
      </c>
      <c r="B3603" s="821">
        <v>40429</v>
      </c>
      <c r="C3603">
        <v>3.72</v>
      </c>
      <c r="D3603">
        <f t="shared" si="115"/>
        <v>0</v>
      </c>
    </row>
    <row r="3604" spans="1:4" x14ac:dyDescent="0.55000000000000004">
      <c r="A3604">
        <f t="shared" si="114"/>
        <v>2010</v>
      </c>
      <c r="B3604" s="821">
        <v>40428</v>
      </c>
      <c r="C3604">
        <v>3.67</v>
      </c>
      <c r="D3604">
        <f t="shared" si="115"/>
        <v>0</v>
      </c>
    </row>
    <row r="3605" spans="1:4" x14ac:dyDescent="0.55000000000000004">
      <c r="A3605">
        <f t="shared" si="114"/>
        <v>2010</v>
      </c>
      <c r="B3605" s="821">
        <v>40424</v>
      </c>
      <c r="C3605">
        <v>3.79</v>
      </c>
      <c r="D3605">
        <f t="shared" si="115"/>
        <v>0</v>
      </c>
    </row>
    <row r="3606" spans="1:4" x14ac:dyDescent="0.55000000000000004">
      <c r="A3606">
        <f t="shared" si="114"/>
        <v>2010</v>
      </c>
      <c r="B3606" s="821">
        <v>40423</v>
      </c>
      <c r="C3606">
        <v>3.72</v>
      </c>
      <c r="D3606">
        <f t="shared" si="115"/>
        <v>0</v>
      </c>
    </row>
    <row r="3607" spans="1:4" x14ac:dyDescent="0.55000000000000004">
      <c r="A3607">
        <f t="shared" si="114"/>
        <v>2010</v>
      </c>
      <c r="B3607" s="821">
        <v>40422</v>
      </c>
      <c r="C3607">
        <v>3.65</v>
      </c>
      <c r="D3607">
        <f t="shared" si="115"/>
        <v>0</v>
      </c>
    </row>
    <row r="3608" spans="1:4" x14ac:dyDescent="0.55000000000000004">
      <c r="A3608">
        <f t="shared" si="114"/>
        <v>2010</v>
      </c>
      <c r="B3608" s="821">
        <v>40421</v>
      </c>
      <c r="C3608">
        <v>3.52</v>
      </c>
      <c r="D3608">
        <f t="shared" si="115"/>
        <v>0</v>
      </c>
    </row>
    <row r="3609" spans="1:4" x14ac:dyDescent="0.55000000000000004">
      <c r="A3609">
        <f t="shared" si="114"/>
        <v>2010</v>
      </c>
      <c r="B3609" s="821">
        <v>40420</v>
      </c>
      <c r="C3609">
        <v>3.6</v>
      </c>
      <c r="D3609">
        <f t="shared" si="115"/>
        <v>0</v>
      </c>
    </row>
    <row r="3610" spans="1:4" x14ac:dyDescent="0.55000000000000004">
      <c r="A3610">
        <f t="shared" si="114"/>
        <v>2010</v>
      </c>
      <c r="B3610" s="821">
        <v>40417</v>
      </c>
      <c r="C3610">
        <v>3.69</v>
      </c>
      <c r="D3610">
        <f t="shared" si="115"/>
        <v>0</v>
      </c>
    </row>
    <row r="3611" spans="1:4" x14ac:dyDescent="0.55000000000000004">
      <c r="A3611">
        <f t="shared" si="114"/>
        <v>2010</v>
      </c>
      <c r="B3611" s="821">
        <v>40416</v>
      </c>
      <c r="C3611">
        <v>3.53</v>
      </c>
      <c r="D3611">
        <f t="shared" si="115"/>
        <v>0</v>
      </c>
    </row>
    <row r="3612" spans="1:4" x14ac:dyDescent="0.55000000000000004">
      <c r="A3612">
        <f t="shared" si="114"/>
        <v>2010</v>
      </c>
      <c r="B3612" s="821">
        <v>40415</v>
      </c>
      <c r="C3612">
        <v>3.59</v>
      </c>
      <c r="D3612">
        <f t="shared" si="115"/>
        <v>0</v>
      </c>
    </row>
    <row r="3613" spans="1:4" x14ac:dyDescent="0.55000000000000004">
      <c r="A3613">
        <f t="shared" si="114"/>
        <v>2010</v>
      </c>
      <c r="B3613" s="821">
        <v>40414</v>
      </c>
      <c r="C3613">
        <v>3.57</v>
      </c>
      <c r="D3613">
        <f t="shared" si="115"/>
        <v>0</v>
      </c>
    </row>
    <row r="3614" spans="1:4" x14ac:dyDescent="0.55000000000000004">
      <c r="A3614">
        <f t="shared" si="114"/>
        <v>2010</v>
      </c>
      <c r="B3614" s="821">
        <v>40413</v>
      </c>
      <c r="C3614">
        <v>3.65</v>
      </c>
      <c r="D3614">
        <f t="shared" si="115"/>
        <v>0</v>
      </c>
    </row>
    <row r="3615" spans="1:4" x14ac:dyDescent="0.55000000000000004">
      <c r="A3615">
        <f t="shared" si="114"/>
        <v>2010</v>
      </c>
      <c r="B3615" s="821">
        <v>40410</v>
      </c>
      <c r="C3615">
        <v>3.67</v>
      </c>
      <c r="D3615">
        <f t="shared" si="115"/>
        <v>0</v>
      </c>
    </row>
    <row r="3616" spans="1:4" x14ac:dyDescent="0.55000000000000004">
      <c r="A3616">
        <f t="shared" si="114"/>
        <v>2010</v>
      </c>
      <c r="B3616" s="821">
        <v>40409</v>
      </c>
      <c r="C3616">
        <v>3.66</v>
      </c>
      <c r="D3616">
        <f t="shared" si="115"/>
        <v>0</v>
      </c>
    </row>
    <row r="3617" spans="1:4" x14ac:dyDescent="0.55000000000000004">
      <c r="A3617">
        <f t="shared" si="114"/>
        <v>2010</v>
      </c>
      <c r="B3617" s="821">
        <v>40408</v>
      </c>
      <c r="C3617">
        <v>3.73</v>
      </c>
      <c r="D3617">
        <f t="shared" si="115"/>
        <v>0</v>
      </c>
    </row>
    <row r="3618" spans="1:4" x14ac:dyDescent="0.55000000000000004">
      <c r="A3618">
        <f t="shared" si="114"/>
        <v>2010</v>
      </c>
      <c r="B3618" s="821">
        <v>40407</v>
      </c>
      <c r="C3618">
        <v>3.77</v>
      </c>
      <c r="D3618">
        <f t="shared" si="115"/>
        <v>0</v>
      </c>
    </row>
    <row r="3619" spans="1:4" x14ac:dyDescent="0.55000000000000004">
      <c r="A3619">
        <f t="shared" si="114"/>
        <v>2010</v>
      </c>
      <c r="B3619" s="821">
        <v>40406</v>
      </c>
      <c r="C3619">
        <v>3.72</v>
      </c>
      <c r="D3619">
        <f t="shared" si="115"/>
        <v>0</v>
      </c>
    </row>
    <row r="3620" spans="1:4" x14ac:dyDescent="0.55000000000000004">
      <c r="A3620">
        <f t="shared" si="114"/>
        <v>2010</v>
      </c>
      <c r="B3620" s="821">
        <v>40403</v>
      </c>
      <c r="C3620">
        <v>3.87</v>
      </c>
      <c r="D3620">
        <f t="shared" si="115"/>
        <v>0</v>
      </c>
    </row>
    <row r="3621" spans="1:4" x14ac:dyDescent="0.55000000000000004">
      <c r="A3621">
        <f t="shared" si="114"/>
        <v>2010</v>
      </c>
      <c r="B3621" s="821">
        <v>40402</v>
      </c>
      <c r="C3621">
        <v>3.94</v>
      </c>
      <c r="D3621">
        <f t="shared" si="115"/>
        <v>0</v>
      </c>
    </row>
    <row r="3622" spans="1:4" x14ac:dyDescent="0.55000000000000004">
      <c r="A3622">
        <f t="shared" si="114"/>
        <v>2010</v>
      </c>
      <c r="B3622" s="821">
        <v>40401</v>
      </c>
      <c r="C3622">
        <v>3.93</v>
      </c>
      <c r="D3622">
        <f t="shared" si="115"/>
        <v>0</v>
      </c>
    </row>
    <row r="3623" spans="1:4" x14ac:dyDescent="0.55000000000000004">
      <c r="A3623">
        <f t="shared" si="114"/>
        <v>2010</v>
      </c>
      <c r="B3623" s="821">
        <v>40400</v>
      </c>
      <c r="C3623">
        <v>4</v>
      </c>
      <c r="D3623">
        <f t="shared" si="115"/>
        <v>0</v>
      </c>
    </row>
    <row r="3624" spans="1:4" x14ac:dyDescent="0.55000000000000004">
      <c r="A3624">
        <f t="shared" si="114"/>
        <v>2010</v>
      </c>
      <c r="B3624" s="821">
        <v>40399</v>
      </c>
      <c r="C3624">
        <v>4.01</v>
      </c>
      <c r="D3624">
        <f t="shared" si="115"/>
        <v>1</v>
      </c>
    </row>
    <row r="3625" spans="1:4" x14ac:dyDescent="0.55000000000000004">
      <c r="A3625">
        <f t="shared" si="114"/>
        <v>2010</v>
      </c>
      <c r="B3625" s="821">
        <v>40396</v>
      </c>
      <c r="C3625">
        <v>4</v>
      </c>
      <c r="D3625">
        <f t="shared" si="115"/>
        <v>0</v>
      </c>
    </row>
    <row r="3626" spans="1:4" x14ac:dyDescent="0.55000000000000004">
      <c r="A3626">
        <f t="shared" si="114"/>
        <v>2010</v>
      </c>
      <c r="B3626" s="821">
        <v>40395</v>
      </c>
      <c r="C3626">
        <v>4.05</v>
      </c>
      <c r="D3626">
        <f t="shared" si="115"/>
        <v>1</v>
      </c>
    </row>
    <row r="3627" spans="1:4" x14ac:dyDescent="0.55000000000000004">
      <c r="A3627">
        <f t="shared" si="114"/>
        <v>2010</v>
      </c>
      <c r="B3627" s="821">
        <v>40394</v>
      </c>
      <c r="C3627">
        <v>4.07</v>
      </c>
      <c r="D3627">
        <f t="shared" si="115"/>
        <v>1</v>
      </c>
    </row>
    <row r="3628" spans="1:4" x14ac:dyDescent="0.55000000000000004">
      <c r="A3628">
        <f t="shared" si="114"/>
        <v>2010</v>
      </c>
      <c r="B3628" s="821">
        <v>40393</v>
      </c>
      <c r="C3628">
        <v>4.04</v>
      </c>
      <c r="D3628">
        <f t="shared" si="115"/>
        <v>1</v>
      </c>
    </row>
    <row r="3629" spans="1:4" x14ac:dyDescent="0.55000000000000004">
      <c r="A3629">
        <f t="shared" si="114"/>
        <v>2010</v>
      </c>
      <c r="B3629" s="821">
        <v>40392</v>
      </c>
      <c r="C3629">
        <v>4.0599999999999996</v>
      </c>
      <c r="D3629">
        <f t="shared" si="115"/>
        <v>1</v>
      </c>
    </row>
    <row r="3630" spans="1:4" x14ac:dyDescent="0.55000000000000004">
      <c r="A3630">
        <f t="shared" si="114"/>
        <v>2010</v>
      </c>
      <c r="B3630" s="821">
        <v>40389</v>
      </c>
      <c r="C3630">
        <v>3.98</v>
      </c>
      <c r="D3630">
        <f t="shared" si="115"/>
        <v>0</v>
      </c>
    </row>
    <row r="3631" spans="1:4" x14ac:dyDescent="0.55000000000000004">
      <c r="A3631">
        <f t="shared" si="114"/>
        <v>2010</v>
      </c>
      <c r="B3631" s="821">
        <v>40388</v>
      </c>
      <c r="C3631">
        <v>4.08</v>
      </c>
      <c r="D3631">
        <f t="shared" si="115"/>
        <v>1</v>
      </c>
    </row>
    <row r="3632" spans="1:4" x14ac:dyDescent="0.55000000000000004">
      <c r="A3632">
        <f t="shared" si="114"/>
        <v>2010</v>
      </c>
      <c r="B3632" s="821">
        <v>40387</v>
      </c>
      <c r="C3632">
        <v>4.07</v>
      </c>
      <c r="D3632">
        <f t="shared" si="115"/>
        <v>1</v>
      </c>
    </row>
    <row r="3633" spans="1:4" x14ac:dyDescent="0.55000000000000004">
      <c r="A3633">
        <f t="shared" si="114"/>
        <v>2010</v>
      </c>
      <c r="B3633" s="821">
        <v>40386</v>
      </c>
      <c r="C3633">
        <v>4.08</v>
      </c>
      <c r="D3633">
        <f t="shared" si="115"/>
        <v>1</v>
      </c>
    </row>
    <row r="3634" spans="1:4" x14ac:dyDescent="0.55000000000000004">
      <c r="A3634">
        <f t="shared" si="114"/>
        <v>2010</v>
      </c>
      <c r="B3634" s="821">
        <v>40385</v>
      </c>
      <c r="C3634">
        <v>4.03</v>
      </c>
      <c r="D3634">
        <f t="shared" si="115"/>
        <v>1</v>
      </c>
    </row>
    <row r="3635" spans="1:4" x14ac:dyDescent="0.55000000000000004">
      <c r="A3635">
        <f t="shared" si="114"/>
        <v>2010</v>
      </c>
      <c r="B3635" s="821">
        <v>40382</v>
      </c>
      <c r="C3635">
        <v>4.01</v>
      </c>
      <c r="D3635">
        <f t="shared" si="115"/>
        <v>1</v>
      </c>
    </row>
    <row r="3636" spans="1:4" x14ac:dyDescent="0.55000000000000004">
      <c r="A3636">
        <f t="shared" si="114"/>
        <v>2010</v>
      </c>
      <c r="B3636" s="821">
        <v>40381</v>
      </c>
      <c r="C3636">
        <v>3.95</v>
      </c>
      <c r="D3636">
        <f t="shared" si="115"/>
        <v>0</v>
      </c>
    </row>
    <row r="3637" spans="1:4" x14ac:dyDescent="0.55000000000000004">
      <c r="A3637">
        <f t="shared" si="114"/>
        <v>2010</v>
      </c>
      <c r="B3637" s="821">
        <v>40380</v>
      </c>
      <c r="C3637">
        <v>3.89</v>
      </c>
      <c r="D3637">
        <f t="shared" si="115"/>
        <v>0</v>
      </c>
    </row>
    <row r="3638" spans="1:4" x14ac:dyDescent="0.55000000000000004">
      <c r="A3638">
        <f t="shared" si="114"/>
        <v>2010</v>
      </c>
      <c r="B3638" s="821">
        <v>40379</v>
      </c>
      <c r="C3638">
        <v>3.99</v>
      </c>
      <c r="D3638">
        <f t="shared" si="115"/>
        <v>0</v>
      </c>
    </row>
    <row r="3639" spans="1:4" x14ac:dyDescent="0.55000000000000004">
      <c r="A3639">
        <f t="shared" si="114"/>
        <v>2010</v>
      </c>
      <c r="B3639" s="821">
        <v>40378</v>
      </c>
      <c r="C3639">
        <v>3.99</v>
      </c>
      <c r="D3639">
        <f t="shared" si="115"/>
        <v>0</v>
      </c>
    </row>
    <row r="3640" spans="1:4" x14ac:dyDescent="0.55000000000000004">
      <c r="A3640">
        <f t="shared" si="114"/>
        <v>2010</v>
      </c>
      <c r="B3640" s="821">
        <v>40375</v>
      </c>
      <c r="C3640">
        <v>3.95</v>
      </c>
      <c r="D3640">
        <f t="shared" si="115"/>
        <v>0</v>
      </c>
    </row>
    <row r="3641" spans="1:4" x14ac:dyDescent="0.55000000000000004">
      <c r="A3641">
        <f t="shared" si="114"/>
        <v>2010</v>
      </c>
      <c r="B3641" s="821">
        <v>40374</v>
      </c>
      <c r="C3641">
        <v>3.97</v>
      </c>
      <c r="D3641">
        <f t="shared" si="115"/>
        <v>0</v>
      </c>
    </row>
    <row r="3642" spans="1:4" x14ac:dyDescent="0.55000000000000004">
      <c r="A3642">
        <f t="shared" si="114"/>
        <v>2010</v>
      </c>
      <c r="B3642" s="821">
        <v>40373</v>
      </c>
      <c r="C3642">
        <v>4.03</v>
      </c>
      <c r="D3642">
        <f t="shared" si="115"/>
        <v>1</v>
      </c>
    </row>
    <row r="3643" spans="1:4" x14ac:dyDescent="0.55000000000000004">
      <c r="A3643">
        <f t="shared" si="114"/>
        <v>2010</v>
      </c>
      <c r="B3643" s="821">
        <v>40372</v>
      </c>
      <c r="C3643">
        <v>4.0999999999999996</v>
      </c>
      <c r="D3643">
        <f t="shared" si="115"/>
        <v>1</v>
      </c>
    </row>
    <row r="3644" spans="1:4" x14ac:dyDescent="0.55000000000000004">
      <c r="A3644">
        <f t="shared" si="114"/>
        <v>2010</v>
      </c>
      <c r="B3644" s="821">
        <v>40371</v>
      </c>
      <c r="C3644">
        <v>4.05</v>
      </c>
      <c r="D3644">
        <f t="shared" si="115"/>
        <v>1</v>
      </c>
    </row>
    <row r="3645" spans="1:4" x14ac:dyDescent="0.55000000000000004">
      <c r="A3645">
        <f t="shared" si="114"/>
        <v>2010</v>
      </c>
      <c r="B3645" s="821">
        <v>40368</v>
      </c>
      <c r="C3645">
        <v>4.04</v>
      </c>
      <c r="D3645">
        <f t="shared" si="115"/>
        <v>1</v>
      </c>
    </row>
    <row r="3646" spans="1:4" x14ac:dyDescent="0.55000000000000004">
      <c r="A3646">
        <f t="shared" si="114"/>
        <v>2010</v>
      </c>
      <c r="B3646" s="821">
        <v>40367</v>
      </c>
      <c r="C3646">
        <v>4</v>
      </c>
      <c r="D3646">
        <f t="shared" si="115"/>
        <v>0</v>
      </c>
    </row>
    <row r="3647" spans="1:4" x14ac:dyDescent="0.55000000000000004">
      <c r="A3647">
        <f t="shared" si="114"/>
        <v>2010</v>
      </c>
      <c r="B3647" s="821">
        <v>40366</v>
      </c>
      <c r="C3647">
        <v>3.96</v>
      </c>
      <c r="D3647">
        <f t="shared" si="115"/>
        <v>0</v>
      </c>
    </row>
    <row r="3648" spans="1:4" x14ac:dyDescent="0.55000000000000004">
      <c r="A3648">
        <f t="shared" si="114"/>
        <v>2010</v>
      </c>
      <c r="B3648" s="821">
        <v>40365</v>
      </c>
      <c r="C3648">
        <v>3.89</v>
      </c>
      <c r="D3648">
        <f t="shared" si="115"/>
        <v>0</v>
      </c>
    </row>
    <row r="3649" spans="1:4" x14ac:dyDescent="0.55000000000000004">
      <c r="A3649">
        <f t="shared" si="114"/>
        <v>2010</v>
      </c>
      <c r="B3649" s="821">
        <v>40361</v>
      </c>
      <c r="C3649">
        <v>3.94</v>
      </c>
      <c r="D3649">
        <f t="shared" si="115"/>
        <v>0</v>
      </c>
    </row>
    <row r="3650" spans="1:4" x14ac:dyDescent="0.55000000000000004">
      <c r="A3650">
        <f t="shared" si="114"/>
        <v>2010</v>
      </c>
      <c r="B3650" s="821">
        <v>40360</v>
      </c>
      <c r="C3650">
        <v>3.88</v>
      </c>
      <c r="D3650">
        <f t="shared" si="115"/>
        <v>0</v>
      </c>
    </row>
    <row r="3651" spans="1:4" x14ac:dyDescent="0.55000000000000004">
      <c r="A3651">
        <f t="shared" si="114"/>
        <v>2010</v>
      </c>
      <c r="B3651" s="821">
        <v>40359</v>
      </c>
      <c r="C3651">
        <v>3.91</v>
      </c>
      <c r="D3651">
        <f t="shared" si="115"/>
        <v>0</v>
      </c>
    </row>
    <row r="3652" spans="1:4" x14ac:dyDescent="0.55000000000000004">
      <c r="A3652">
        <f t="shared" ref="A3652:A3715" si="116">YEAR(B3652)</f>
        <v>2010</v>
      </c>
      <c r="B3652" s="821">
        <v>40358</v>
      </c>
      <c r="C3652">
        <v>3.94</v>
      </c>
      <c r="D3652">
        <f t="shared" ref="D3652:D3715" si="117">IF(C3652&gt;4,1,0)</f>
        <v>0</v>
      </c>
    </row>
    <row r="3653" spans="1:4" x14ac:dyDescent="0.55000000000000004">
      <c r="A3653">
        <f t="shared" si="116"/>
        <v>2010</v>
      </c>
      <c r="B3653" s="821">
        <v>40357</v>
      </c>
      <c r="C3653">
        <v>4.01</v>
      </c>
      <c r="D3653">
        <f t="shared" si="117"/>
        <v>1</v>
      </c>
    </row>
    <row r="3654" spans="1:4" x14ac:dyDescent="0.55000000000000004">
      <c r="A3654">
        <f t="shared" si="116"/>
        <v>2010</v>
      </c>
      <c r="B3654" s="821">
        <v>40354</v>
      </c>
      <c r="C3654">
        <v>4.07</v>
      </c>
      <c r="D3654">
        <f t="shared" si="117"/>
        <v>1</v>
      </c>
    </row>
    <row r="3655" spans="1:4" x14ac:dyDescent="0.55000000000000004">
      <c r="A3655">
        <f t="shared" si="116"/>
        <v>2010</v>
      </c>
      <c r="B3655" s="821">
        <v>40353</v>
      </c>
      <c r="C3655">
        <v>4.09</v>
      </c>
      <c r="D3655">
        <f t="shared" si="117"/>
        <v>1</v>
      </c>
    </row>
    <row r="3656" spans="1:4" x14ac:dyDescent="0.55000000000000004">
      <c r="A3656">
        <f t="shared" si="116"/>
        <v>2010</v>
      </c>
      <c r="B3656" s="821">
        <v>40352</v>
      </c>
      <c r="C3656">
        <v>4.05</v>
      </c>
      <c r="D3656">
        <f t="shared" si="117"/>
        <v>1</v>
      </c>
    </row>
    <row r="3657" spans="1:4" x14ac:dyDescent="0.55000000000000004">
      <c r="A3657">
        <f t="shared" si="116"/>
        <v>2010</v>
      </c>
      <c r="B3657" s="821">
        <v>40351</v>
      </c>
      <c r="C3657">
        <v>4.0999999999999996</v>
      </c>
      <c r="D3657">
        <f t="shared" si="117"/>
        <v>1</v>
      </c>
    </row>
    <row r="3658" spans="1:4" x14ac:dyDescent="0.55000000000000004">
      <c r="A3658">
        <f t="shared" si="116"/>
        <v>2010</v>
      </c>
      <c r="B3658" s="821">
        <v>40350</v>
      </c>
      <c r="C3658">
        <v>4.17</v>
      </c>
      <c r="D3658">
        <f t="shared" si="117"/>
        <v>1</v>
      </c>
    </row>
    <row r="3659" spans="1:4" x14ac:dyDescent="0.55000000000000004">
      <c r="A3659">
        <f t="shared" si="116"/>
        <v>2010</v>
      </c>
      <c r="B3659" s="821">
        <v>40347</v>
      </c>
      <c r="C3659">
        <v>4.1500000000000004</v>
      </c>
      <c r="D3659">
        <f t="shared" si="117"/>
        <v>1</v>
      </c>
    </row>
    <row r="3660" spans="1:4" x14ac:dyDescent="0.55000000000000004">
      <c r="A3660">
        <f t="shared" si="116"/>
        <v>2010</v>
      </c>
      <c r="B3660" s="821">
        <v>40346</v>
      </c>
      <c r="C3660">
        <v>4.13</v>
      </c>
      <c r="D3660">
        <f t="shared" si="117"/>
        <v>1</v>
      </c>
    </row>
    <row r="3661" spans="1:4" x14ac:dyDescent="0.55000000000000004">
      <c r="A3661">
        <f t="shared" si="116"/>
        <v>2010</v>
      </c>
      <c r="B3661" s="821">
        <v>40345</v>
      </c>
      <c r="C3661">
        <v>4.18</v>
      </c>
      <c r="D3661">
        <f t="shared" si="117"/>
        <v>1</v>
      </c>
    </row>
    <row r="3662" spans="1:4" x14ac:dyDescent="0.55000000000000004">
      <c r="A3662">
        <f t="shared" si="116"/>
        <v>2010</v>
      </c>
      <c r="B3662" s="821">
        <v>40344</v>
      </c>
      <c r="C3662">
        <v>4.2300000000000004</v>
      </c>
      <c r="D3662">
        <f t="shared" si="117"/>
        <v>1</v>
      </c>
    </row>
    <row r="3663" spans="1:4" x14ac:dyDescent="0.55000000000000004">
      <c r="A3663">
        <f t="shared" si="116"/>
        <v>2010</v>
      </c>
      <c r="B3663" s="821">
        <v>40343</v>
      </c>
      <c r="C3663">
        <v>4.2</v>
      </c>
      <c r="D3663">
        <f t="shared" si="117"/>
        <v>1</v>
      </c>
    </row>
    <row r="3664" spans="1:4" x14ac:dyDescent="0.55000000000000004">
      <c r="A3664">
        <f t="shared" si="116"/>
        <v>2010</v>
      </c>
      <c r="B3664" s="821">
        <v>40340</v>
      </c>
      <c r="C3664">
        <v>4.1500000000000004</v>
      </c>
      <c r="D3664">
        <f t="shared" si="117"/>
        <v>1</v>
      </c>
    </row>
    <row r="3665" spans="1:4" x14ac:dyDescent="0.55000000000000004">
      <c r="A3665">
        <f t="shared" si="116"/>
        <v>2010</v>
      </c>
      <c r="B3665" s="821">
        <v>40339</v>
      </c>
      <c r="C3665">
        <v>4.25</v>
      </c>
      <c r="D3665">
        <f t="shared" si="117"/>
        <v>1</v>
      </c>
    </row>
    <row r="3666" spans="1:4" x14ac:dyDescent="0.55000000000000004">
      <c r="A3666">
        <f t="shared" si="116"/>
        <v>2010</v>
      </c>
      <c r="B3666" s="821">
        <v>40338</v>
      </c>
      <c r="C3666">
        <v>4.12</v>
      </c>
      <c r="D3666">
        <f t="shared" si="117"/>
        <v>1</v>
      </c>
    </row>
    <row r="3667" spans="1:4" x14ac:dyDescent="0.55000000000000004">
      <c r="A3667">
        <f t="shared" si="116"/>
        <v>2010</v>
      </c>
      <c r="B3667" s="821">
        <v>40337</v>
      </c>
      <c r="C3667">
        <v>4.0999999999999996</v>
      </c>
      <c r="D3667">
        <f t="shared" si="117"/>
        <v>1</v>
      </c>
    </row>
    <row r="3668" spans="1:4" x14ac:dyDescent="0.55000000000000004">
      <c r="A3668">
        <f t="shared" si="116"/>
        <v>2010</v>
      </c>
      <c r="B3668" s="821">
        <v>40336</v>
      </c>
      <c r="C3668">
        <v>4.1100000000000003</v>
      </c>
      <c r="D3668">
        <f t="shared" si="117"/>
        <v>1</v>
      </c>
    </row>
    <row r="3669" spans="1:4" x14ac:dyDescent="0.55000000000000004">
      <c r="A3669">
        <f t="shared" si="116"/>
        <v>2010</v>
      </c>
      <c r="B3669" s="821">
        <v>40333</v>
      </c>
      <c r="C3669">
        <v>4.13</v>
      </c>
      <c r="D3669">
        <f t="shared" si="117"/>
        <v>1</v>
      </c>
    </row>
    <row r="3670" spans="1:4" x14ac:dyDescent="0.55000000000000004">
      <c r="A3670">
        <f t="shared" si="116"/>
        <v>2010</v>
      </c>
      <c r="B3670" s="821">
        <v>40332</v>
      </c>
      <c r="C3670">
        <v>4.29</v>
      </c>
      <c r="D3670">
        <f t="shared" si="117"/>
        <v>1</v>
      </c>
    </row>
    <row r="3671" spans="1:4" x14ac:dyDescent="0.55000000000000004">
      <c r="A3671">
        <f t="shared" si="116"/>
        <v>2010</v>
      </c>
      <c r="B3671" s="821">
        <v>40331</v>
      </c>
      <c r="C3671">
        <v>4.24</v>
      </c>
      <c r="D3671">
        <f t="shared" si="117"/>
        <v>1</v>
      </c>
    </row>
    <row r="3672" spans="1:4" x14ac:dyDescent="0.55000000000000004">
      <c r="A3672">
        <f t="shared" si="116"/>
        <v>2010</v>
      </c>
      <c r="B3672" s="821">
        <v>40330</v>
      </c>
      <c r="C3672">
        <v>4.1900000000000004</v>
      </c>
      <c r="D3672">
        <f t="shared" si="117"/>
        <v>1</v>
      </c>
    </row>
    <row r="3673" spans="1:4" x14ac:dyDescent="0.55000000000000004">
      <c r="A3673">
        <f t="shared" si="116"/>
        <v>2010</v>
      </c>
      <c r="B3673" s="821">
        <v>40326</v>
      </c>
      <c r="C3673">
        <v>4.22</v>
      </c>
      <c r="D3673">
        <f t="shared" si="117"/>
        <v>1</v>
      </c>
    </row>
    <row r="3674" spans="1:4" x14ac:dyDescent="0.55000000000000004">
      <c r="A3674">
        <f t="shared" si="116"/>
        <v>2010</v>
      </c>
      <c r="B3674" s="821">
        <v>40325</v>
      </c>
      <c r="C3674">
        <v>4.24</v>
      </c>
      <c r="D3674">
        <f t="shared" si="117"/>
        <v>1</v>
      </c>
    </row>
    <row r="3675" spans="1:4" x14ac:dyDescent="0.55000000000000004">
      <c r="A3675">
        <f t="shared" si="116"/>
        <v>2010</v>
      </c>
      <c r="B3675" s="821">
        <v>40324</v>
      </c>
      <c r="C3675">
        <v>4.1100000000000003</v>
      </c>
      <c r="D3675">
        <f t="shared" si="117"/>
        <v>1</v>
      </c>
    </row>
    <row r="3676" spans="1:4" x14ac:dyDescent="0.55000000000000004">
      <c r="A3676">
        <f t="shared" si="116"/>
        <v>2010</v>
      </c>
      <c r="B3676" s="821">
        <v>40323</v>
      </c>
      <c r="C3676">
        <v>4.07</v>
      </c>
      <c r="D3676">
        <f t="shared" si="117"/>
        <v>1</v>
      </c>
    </row>
    <row r="3677" spans="1:4" x14ac:dyDescent="0.55000000000000004">
      <c r="A3677">
        <f t="shared" si="116"/>
        <v>2010</v>
      </c>
      <c r="B3677" s="821">
        <v>40322</v>
      </c>
      <c r="C3677">
        <v>4.12</v>
      </c>
      <c r="D3677">
        <f t="shared" si="117"/>
        <v>1</v>
      </c>
    </row>
    <row r="3678" spans="1:4" x14ac:dyDescent="0.55000000000000004">
      <c r="A3678">
        <f t="shared" si="116"/>
        <v>2010</v>
      </c>
      <c r="B3678" s="821">
        <v>40319</v>
      </c>
      <c r="C3678">
        <v>4.07</v>
      </c>
      <c r="D3678">
        <f t="shared" si="117"/>
        <v>1</v>
      </c>
    </row>
    <row r="3679" spans="1:4" x14ac:dyDescent="0.55000000000000004">
      <c r="A3679">
        <f t="shared" si="116"/>
        <v>2010</v>
      </c>
      <c r="B3679" s="821">
        <v>40318</v>
      </c>
      <c r="C3679">
        <v>4.13</v>
      </c>
      <c r="D3679">
        <f t="shared" si="117"/>
        <v>1</v>
      </c>
    </row>
    <row r="3680" spans="1:4" x14ac:dyDescent="0.55000000000000004">
      <c r="A3680">
        <f t="shared" si="116"/>
        <v>2010</v>
      </c>
      <c r="B3680" s="821">
        <v>40317</v>
      </c>
      <c r="C3680">
        <v>4.24</v>
      </c>
      <c r="D3680">
        <f t="shared" si="117"/>
        <v>1</v>
      </c>
    </row>
    <row r="3681" spans="1:4" x14ac:dyDescent="0.55000000000000004">
      <c r="A3681">
        <f t="shared" si="116"/>
        <v>2010</v>
      </c>
      <c r="B3681" s="821">
        <v>40316</v>
      </c>
      <c r="C3681">
        <v>4.26</v>
      </c>
      <c r="D3681">
        <f t="shared" si="117"/>
        <v>1</v>
      </c>
    </row>
    <row r="3682" spans="1:4" x14ac:dyDescent="0.55000000000000004">
      <c r="A3682">
        <f t="shared" si="116"/>
        <v>2010</v>
      </c>
      <c r="B3682" s="821">
        <v>40315</v>
      </c>
      <c r="C3682">
        <v>4.3499999999999996</v>
      </c>
      <c r="D3682">
        <f t="shared" si="117"/>
        <v>1</v>
      </c>
    </row>
    <row r="3683" spans="1:4" x14ac:dyDescent="0.55000000000000004">
      <c r="A3683">
        <f t="shared" si="116"/>
        <v>2010</v>
      </c>
      <c r="B3683" s="821">
        <v>40312</v>
      </c>
      <c r="C3683">
        <v>4.32</v>
      </c>
      <c r="D3683">
        <f t="shared" si="117"/>
        <v>1</v>
      </c>
    </row>
    <row r="3684" spans="1:4" x14ac:dyDescent="0.55000000000000004">
      <c r="A3684">
        <f t="shared" si="116"/>
        <v>2010</v>
      </c>
      <c r="B3684" s="821">
        <v>40311</v>
      </c>
      <c r="C3684">
        <v>4.47</v>
      </c>
      <c r="D3684">
        <f t="shared" si="117"/>
        <v>1</v>
      </c>
    </row>
    <row r="3685" spans="1:4" x14ac:dyDescent="0.55000000000000004">
      <c r="A3685">
        <f t="shared" si="116"/>
        <v>2010</v>
      </c>
      <c r="B3685" s="821">
        <v>40310</v>
      </c>
      <c r="C3685">
        <v>4.47</v>
      </c>
      <c r="D3685">
        <f t="shared" si="117"/>
        <v>1</v>
      </c>
    </row>
    <row r="3686" spans="1:4" x14ac:dyDescent="0.55000000000000004">
      <c r="A3686">
        <f t="shared" si="116"/>
        <v>2010</v>
      </c>
      <c r="B3686" s="821">
        <v>40309</v>
      </c>
      <c r="C3686">
        <v>4.42</v>
      </c>
      <c r="D3686">
        <f t="shared" si="117"/>
        <v>1</v>
      </c>
    </row>
    <row r="3687" spans="1:4" x14ac:dyDescent="0.55000000000000004">
      <c r="A3687">
        <f t="shared" si="116"/>
        <v>2010</v>
      </c>
      <c r="B3687" s="821">
        <v>40308</v>
      </c>
      <c r="C3687">
        <v>4.41</v>
      </c>
      <c r="D3687">
        <f t="shared" si="117"/>
        <v>1</v>
      </c>
    </row>
    <row r="3688" spans="1:4" x14ac:dyDescent="0.55000000000000004">
      <c r="A3688">
        <f t="shared" si="116"/>
        <v>2010</v>
      </c>
      <c r="B3688" s="821">
        <v>40305</v>
      </c>
      <c r="C3688">
        <v>4.28</v>
      </c>
      <c r="D3688">
        <f t="shared" si="117"/>
        <v>1</v>
      </c>
    </row>
    <row r="3689" spans="1:4" x14ac:dyDescent="0.55000000000000004">
      <c r="A3689">
        <f t="shared" si="116"/>
        <v>2010</v>
      </c>
      <c r="B3689" s="821">
        <v>40304</v>
      </c>
      <c r="C3689">
        <v>4.1900000000000004</v>
      </c>
      <c r="D3689">
        <f t="shared" si="117"/>
        <v>1</v>
      </c>
    </row>
    <row r="3690" spans="1:4" x14ac:dyDescent="0.55000000000000004">
      <c r="A3690">
        <f t="shared" si="116"/>
        <v>2010</v>
      </c>
      <c r="B3690" s="821">
        <v>40303</v>
      </c>
      <c r="C3690">
        <v>4.3899999999999997</v>
      </c>
      <c r="D3690">
        <f t="shared" si="117"/>
        <v>1</v>
      </c>
    </row>
    <row r="3691" spans="1:4" x14ac:dyDescent="0.55000000000000004">
      <c r="A3691">
        <f t="shared" si="116"/>
        <v>2010</v>
      </c>
      <c r="B3691" s="821">
        <v>40302</v>
      </c>
      <c r="C3691">
        <v>4.43</v>
      </c>
      <c r="D3691">
        <f t="shared" si="117"/>
        <v>1</v>
      </c>
    </row>
    <row r="3692" spans="1:4" x14ac:dyDescent="0.55000000000000004">
      <c r="A3692">
        <f t="shared" si="116"/>
        <v>2010</v>
      </c>
      <c r="B3692" s="821">
        <v>40301</v>
      </c>
      <c r="C3692">
        <v>4.53</v>
      </c>
      <c r="D3692">
        <f t="shared" si="117"/>
        <v>1</v>
      </c>
    </row>
    <row r="3693" spans="1:4" x14ac:dyDescent="0.55000000000000004">
      <c r="A3693">
        <f t="shared" si="116"/>
        <v>2010</v>
      </c>
      <c r="B3693" s="821">
        <v>40298</v>
      </c>
      <c r="C3693">
        <v>4.53</v>
      </c>
      <c r="D3693">
        <f t="shared" si="117"/>
        <v>1</v>
      </c>
    </row>
    <row r="3694" spans="1:4" x14ac:dyDescent="0.55000000000000004">
      <c r="A3694">
        <f t="shared" si="116"/>
        <v>2010</v>
      </c>
      <c r="B3694" s="821">
        <v>40297</v>
      </c>
      <c r="C3694">
        <v>4.5999999999999996</v>
      </c>
      <c r="D3694">
        <f t="shared" si="117"/>
        <v>1</v>
      </c>
    </row>
    <row r="3695" spans="1:4" x14ac:dyDescent="0.55000000000000004">
      <c r="A3695">
        <f t="shared" si="116"/>
        <v>2010</v>
      </c>
      <c r="B3695" s="821">
        <v>40296</v>
      </c>
      <c r="C3695">
        <v>4.63</v>
      </c>
      <c r="D3695">
        <f t="shared" si="117"/>
        <v>1</v>
      </c>
    </row>
    <row r="3696" spans="1:4" x14ac:dyDescent="0.55000000000000004">
      <c r="A3696">
        <f t="shared" si="116"/>
        <v>2010</v>
      </c>
      <c r="B3696" s="821">
        <v>40295</v>
      </c>
      <c r="C3696">
        <v>4.5599999999999996</v>
      </c>
      <c r="D3696">
        <f t="shared" si="117"/>
        <v>1</v>
      </c>
    </row>
    <row r="3697" spans="1:4" x14ac:dyDescent="0.55000000000000004">
      <c r="A3697">
        <f t="shared" si="116"/>
        <v>2010</v>
      </c>
      <c r="B3697" s="821">
        <v>40294</v>
      </c>
      <c r="C3697">
        <v>4.67</v>
      </c>
      <c r="D3697">
        <f t="shared" si="117"/>
        <v>1</v>
      </c>
    </row>
    <row r="3698" spans="1:4" x14ac:dyDescent="0.55000000000000004">
      <c r="A3698">
        <f t="shared" si="116"/>
        <v>2010</v>
      </c>
      <c r="B3698" s="821">
        <v>40291</v>
      </c>
      <c r="C3698">
        <v>4.67</v>
      </c>
      <c r="D3698">
        <f t="shared" si="117"/>
        <v>1</v>
      </c>
    </row>
    <row r="3699" spans="1:4" x14ac:dyDescent="0.55000000000000004">
      <c r="A3699">
        <f t="shared" si="116"/>
        <v>2010</v>
      </c>
      <c r="B3699" s="821">
        <v>40290</v>
      </c>
      <c r="C3699">
        <v>4.6500000000000004</v>
      </c>
      <c r="D3699">
        <f t="shared" si="117"/>
        <v>1</v>
      </c>
    </row>
    <row r="3700" spans="1:4" x14ac:dyDescent="0.55000000000000004">
      <c r="A3700">
        <f t="shared" si="116"/>
        <v>2010</v>
      </c>
      <c r="B3700" s="821">
        <v>40289</v>
      </c>
      <c r="C3700">
        <v>4.6100000000000003</v>
      </c>
      <c r="D3700">
        <f t="shared" si="117"/>
        <v>1</v>
      </c>
    </row>
    <row r="3701" spans="1:4" x14ac:dyDescent="0.55000000000000004">
      <c r="A3701">
        <f t="shared" si="116"/>
        <v>2010</v>
      </c>
      <c r="B3701" s="821">
        <v>40288</v>
      </c>
      <c r="C3701">
        <v>4.67</v>
      </c>
      <c r="D3701">
        <f t="shared" si="117"/>
        <v>1</v>
      </c>
    </row>
    <row r="3702" spans="1:4" x14ac:dyDescent="0.55000000000000004">
      <c r="A3702">
        <f t="shared" si="116"/>
        <v>2010</v>
      </c>
      <c r="B3702" s="821">
        <v>40287</v>
      </c>
      <c r="C3702">
        <v>4.7</v>
      </c>
      <c r="D3702">
        <f t="shared" si="117"/>
        <v>1</v>
      </c>
    </row>
    <row r="3703" spans="1:4" x14ac:dyDescent="0.55000000000000004">
      <c r="A3703">
        <f t="shared" si="116"/>
        <v>2010</v>
      </c>
      <c r="B3703" s="821">
        <v>40284</v>
      </c>
      <c r="C3703">
        <v>4.67</v>
      </c>
      <c r="D3703">
        <f t="shared" si="117"/>
        <v>1</v>
      </c>
    </row>
    <row r="3704" spans="1:4" x14ac:dyDescent="0.55000000000000004">
      <c r="A3704">
        <f t="shared" si="116"/>
        <v>2010</v>
      </c>
      <c r="B3704" s="821">
        <v>40283</v>
      </c>
      <c r="C3704">
        <v>4.72</v>
      </c>
      <c r="D3704">
        <f t="shared" si="117"/>
        <v>1</v>
      </c>
    </row>
    <row r="3705" spans="1:4" x14ac:dyDescent="0.55000000000000004">
      <c r="A3705">
        <f t="shared" si="116"/>
        <v>2010</v>
      </c>
      <c r="B3705" s="821">
        <v>40282</v>
      </c>
      <c r="C3705">
        <v>4.72</v>
      </c>
      <c r="D3705">
        <f t="shared" si="117"/>
        <v>1</v>
      </c>
    </row>
    <row r="3706" spans="1:4" x14ac:dyDescent="0.55000000000000004">
      <c r="A3706">
        <f t="shared" si="116"/>
        <v>2010</v>
      </c>
      <c r="B3706" s="821">
        <v>40281</v>
      </c>
      <c r="C3706">
        <v>4.68</v>
      </c>
      <c r="D3706">
        <f t="shared" si="117"/>
        <v>1</v>
      </c>
    </row>
    <row r="3707" spans="1:4" x14ac:dyDescent="0.55000000000000004">
      <c r="A3707">
        <f t="shared" si="116"/>
        <v>2010</v>
      </c>
      <c r="B3707" s="821">
        <v>40280</v>
      </c>
      <c r="C3707">
        <v>4.7</v>
      </c>
      <c r="D3707">
        <f t="shared" si="117"/>
        <v>1</v>
      </c>
    </row>
    <row r="3708" spans="1:4" x14ac:dyDescent="0.55000000000000004">
      <c r="A3708">
        <f t="shared" si="116"/>
        <v>2010</v>
      </c>
      <c r="B3708" s="821">
        <v>40277</v>
      </c>
      <c r="C3708">
        <v>4.74</v>
      </c>
      <c r="D3708">
        <f t="shared" si="117"/>
        <v>1</v>
      </c>
    </row>
    <row r="3709" spans="1:4" x14ac:dyDescent="0.55000000000000004">
      <c r="A3709">
        <f t="shared" si="116"/>
        <v>2010</v>
      </c>
      <c r="B3709" s="821">
        <v>40276</v>
      </c>
      <c r="C3709">
        <v>4.75</v>
      </c>
      <c r="D3709">
        <f t="shared" si="117"/>
        <v>1</v>
      </c>
    </row>
    <row r="3710" spans="1:4" x14ac:dyDescent="0.55000000000000004">
      <c r="A3710">
        <f t="shared" si="116"/>
        <v>2010</v>
      </c>
      <c r="B3710" s="821">
        <v>40275</v>
      </c>
      <c r="C3710">
        <v>4.74</v>
      </c>
      <c r="D3710">
        <f t="shared" si="117"/>
        <v>1</v>
      </c>
    </row>
    <row r="3711" spans="1:4" x14ac:dyDescent="0.55000000000000004">
      <c r="A3711">
        <f t="shared" si="116"/>
        <v>2010</v>
      </c>
      <c r="B3711" s="821">
        <v>40274</v>
      </c>
      <c r="C3711">
        <v>4.84</v>
      </c>
      <c r="D3711">
        <f t="shared" si="117"/>
        <v>1</v>
      </c>
    </row>
    <row r="3712" spans="1:4" x14ac:dyDescent="0.55000000000000004">
      <c r="A3712">
        <f t="shared" si="116"/>
        <v>2010</v>
      </c>
      <c r="B3712" s="821">
        <v>40273</v>
      </c>
      <c r="C3712">
        <v>4.8499999999999996</v>
      </c>
      <c r="D3712">
        <f t="shared" si="117"/>
        <v>1</v>
      </c>
    </row>
    <row r="3713" spans="1:4" x14ac:dyDescent="0.55000000000000004">
      <c r="A3713">
        <f t="shared" si="116"/>
        <v>2010</v>
      </c>
      <c r="B3713" s="821">
        <v>40270</v>
      </c>
      <c r="C3713">
        <v>4.8099999999999996</v>
      </c>
      <c r="D3713">
        <f t="shared" si="117"/>
        <v>1</v>
      </c>
    </row>
    <row r="3714" spans="1:4" x14ac:dyDescent="0.55000000000000004">
      <c r="A3714">
        <f t="shared" si="116"/>
        <v>2010</v>
      </c>
      <c r="B3714" s="821">
        <v>40269</v>
      </c>
      <c r="C3714">
        <v>4.74</v>
      </c>
      <c r="D3714">
        <f t="shared" si="117"/>
        <v>1</v>
      </c>
    </row>
    <row r="3715" spans="1:4" x14ac:dyDescent="0.55000000000000004">
      <c r="A3715">
        <f t="shared" si="116"/>
        <v>2010</v>
      </c>
      <c r="B3715" s="821">
        <v>40268</v>
      </c>
      <c r="C3715">
        <v>4.72</v>
      </c>
      <c r="D3715">
        <f t="shared" si="117"/>
        <v>1</v>
      </c>
    </row>
    <row r="3716" spans="1:4" x14ac:dyDescent="0.55000000000000004">
      <c r="A3716">
        <f t="shared" ref="A3716:A3779" si="118">YEAR(B3716)</f>
        <v>2010</v>
      </c>
      <c r="B3716" s="821">
        <v>40267</v>
      </c>
      <c r="C3716">
        <v>4.75</v>
      </c>
      <c r="D3716">
        <f t="shared" ref="D3716:D3779" si="119">IF(C3716&gt;4,1,0)</f>
        <v>1</v>
      </c>
    </row>
    <row r="3717" spans="1:4" x14ac:dyDescent="0.55000000000000004">
      <c r="A3717">
        <f t="shared" si="118"/>
        <v>2010</v>
      </c>
      <c r="B3717" s="821">
        <v>40266</v>
      </c>
      <c r="C3717">
        <v>4.76</v>
      </c>
      <c r="D3717">
        <f t="shared" si="119"/>
        <v>1</v>
      </c>
    </row>
    <row r="3718" spans="1:4" x14ac:dyDescent="0.55000000000000004">
      <c r="A3718">
        <f t="shared" si="118"/>
        <v>2010</v>
      </c>
      <c r="B3718" s="821">
        <v>40263</v>
      </c>
      <c r="C3718">
        <v>4.75</v>
      </c>
      <c r="D3718">
        <f t="shared" si="119"/>
        <v>1</v>
      </c>
    </row>
    <row r="3719" spans="1:4" x14ac:dyDescent="0.55000000000000004">
      <c r="A3719">
        <f t="shared" si="118"/>
        <v>2010</v>
      </c>
      <c r="B3719" s="821">
        <v>40262</v>
      </c>
      <c r="C3719">
        <v>4.7699999999999996</v>
      </c>
      <c r="D3719">
        <f t="shared" si="119"/>
        <v>1</v>
      </c>
    </row>
    <row r="3720" spans="1:4" x14ac:dyDescent="0.55000000000000004">
      <c r="A3720">
        <f t="shared" si="118"/>
        <v>2010</v>
      </c>
      <c r="B3720" s="821">
        <v>40261</v>
      </c>
      <c r="C3720">
        <v>4.72</v>
      </c>
      <c r="D3720">
        <f t="shared" si="119"/>
        <v>1</v>
      </c>
    </row>
    <row r="3721" spans="1:4" x14ac:dyDescent="0.55000000000000004">
      <c r="A3721">
        <f t="shared" si="118"/>
        <v>2010</v>
      </c>
      <c r="B3721" s="821">
        <v>40260</v>
      </c>
      <c r="C3721">
        <v>4.5999999999999996</v>
      </c>
      <c r="D3721">
        <f t="shared" si="119"/>
        <v>1</v>
      </c>
    </row>
    <row r="3722" spans="1:4" x14ac:dyDescent="0.55000000000000004">
      <c r="A3722">
        <f t="shared" si="118"/>
        <v>2010</v>
      </c>
      <c r="B3722" s="821">
        <v>40259</v>
      </c>
      <c r="C3722">
        <v>4.57</v>
      </c>
      <c r="D3722">
        <f t="shared" si="119"/>
        <v>1</v>
      </c>
    </row>
    <row r="3723" spans="1:4" x14ac:dyDescent="0.55000000000000004">
      <c r="A3723">
        <f t="shared" si="118"/>
        <v>2010</v>
      </c>
      <c r="B3723" s="821">
        <v>40256</v>
      </c>
      <c r="C3723">
        <v>4.58</v>
      </c>
      <c r="D3723">
        <f t="shared" si="119"/>
        <v>1</v>
      </c>
    </row>
    <row r="3724" spans="1:4" x14ac:dyDescent="0.55000000000000004">
      <c r="A3724">
        <f t="shared" si="118"/>
        <v>2010</v>
      </c>
      <c r="B3724" s="821">
        <v>40255</v>
      </c>
      <c r="C3724">
        <v>4.59</v>
      </c>
      <c r="D3724">
        <f t="shared" si="119"/>
        <v>1</v>
      </c>
    </row>
    <row r="3725" spans="1:4" x14ac:dyDescent="0.55000000000000004">
      <c r="A3725">
        <f t="shared" si="118"/>
        <v>2010</v>
      </c>
      <c r="B3725" s="821">
        <v>40254</v>
      </c>
      <c r="C3725">
        <v>4.5599999999999996</v>
      </c>
      <c r="D3725">
        <f t="shared" si="119"/>
        <v>1</v>
      </c>
    </row>
    <row r="3726" spans="1:4" x14ac:dyDescent="0.55000000000000004">
      <c r="A3726">
        <f t="shared" si="118"/>
        <v>2010</v>
      </c>
      <c r="B3726" s="821">
        <v>40253</v>
      </c>
      <c r="C3726">
        <v>4.59</v>
      </c>
      <c r="D3726">
        <f t="shared" si="119"/>
        <v>1</v>
      </c>
    </row>
    <row r="3727" spans="1:4" x14ac:dyDescent="0.55000000000000004">
      <c r="A3727">
        <f t="shared" si="118"/>
        <v>2010</v>
      </c>
      <c r="B3727" s="821">
        <v>40252</v>
      </c>
      <c r="C3727">
        <v>4.63</v>
      </c>
      <c r="D3727">
        <f t="shared" si="119"/>
        <v>1</v>
      </c>
    </row>
    <row r="3728" spans="1:4" x14ac:dyDescent="0.55000000000000004">
      <c r="A3728">
        <f t="shared" si="118"/>
        <v>2010</v>
      </c>
      <c r="B3728" s="821">
        <v>40249</v>
      </c>
      <c r="C3728">
        <v>4.62</v>
      </c>
      <c r="D3728">
        <f t="shared" si="119"/>
        <v>1</v>
      </c>
    </row>
    <row r="3729" spans="1:4" x14ac:dyDescent="0.55000000000000004">
      <c r="A3729">
        <f t="shared" si="118"/>
        <v>2010</v>
      </c>
      <c r="B3729" s="821">
        <v>40248</v>
      </c>
      <c r="C3729">
        <v>4.66</v>
      </c>
      <c r="D3729">
        <f t="shared" si="119"/>
        <v>1</v>
      </c>
    </row>
    <row r="3730" spans="1:4" x14ac:dyDescent="0.55000000000000004">
      <c r="A3730">
        <f t="shared" si="118"/>
        <v>2010</v>
      </c>
      <c r="B3730" s="821">
        <v>40247</v>
      </c>
      <c r="C3730">
        <v>4.6900000000000004</v>
      </c>
      <c r="D3730">
        <f t="shared" si="119"/>
        <v>1</v>
      </c>
    </row>
    <row r="3731" spans="1:4" x14ac:dyDescent="0.55000000000000004">
      <c r="A3731">
        <f t="shared" si="118"/>
        <v>2010</v>
      </c>
      <c r="B3731" s="821">
        <v>40246</v>
      </c>
      <c r="C3731">
        <v>4.68</v>
      </c>
      <c r="D3731">
        <f t="shared" si="119"/>
        <v>1</v>
      </c>
    </row>
    <row r="3732" spans="1:4" x14ac:dyDescent="0.55000000000000004">
      <c r="A3732">
        <f t="shared" si="118"/>
        <v>2010</v>
      </c>
      <c r="B3732" s="821">
        <v>40245</v>
      </c>
      <c r="C3732">
        <v>4.68</v>
      </c>
      <c r="D3732">
        <f t="shared" si="119"/>
        <v>1</v>
      </c>
    </row>
    <row r="3733" spans="1:4" x14ac:dyDescent="0.55000000000000004">
      <c r="A3733">
        <f t="shared" si="118"/>
        <v>2010</v>
      </c>
      <c r="B3733" s="821">
        <v>40242</v>
      </c>
      <c r="C3733">
        <v>4.6399999999999997</v>
      </c>
      <c r="D3733">
        <f t="shared" si="119"/>
        <v>1</v>
      </c>
    </row>
    <row r="3734" spans="1:4" x14ac:dyDescent="0.55000000000000004">
      <c r="A3734">
        <f t="shared" si="118"/>
        <v>2010</v>
      </c>
      <c r="B3734" s="821">
        <v>40241</v>
      </c>
      <c r="C3734">
        <v>4.5599999999999996</v>
      </c>
      <c r="D3734">
        <f t="shared" si="119"/>
        <v>1</v>
      </c>
    </row>
    <row r="3735" spans="1:4" x14ac:dyDescent="0.55000000000000004">
      <c r="A3735">
        <f t="shared" si="118"/>
        <v>2010</v>
      </c>
      <c r="B3735" s="821">
        <v>40240</v>
      </c>
      <c r="C3735">
        <v>4.58</v>
      </c>
      <c r="D3735">
        <f t="shared" si="119"/>
        <v>1</v>
      </c>
    </row>
    <row r="3736" spans="1:4" x14ac:dyDescent="0.55000000000000004">
      <c r="A3736">
        <f t="shared" si="118"/>
        <v>2010</v>
      </c>
      <c r="B3736" s="821">
        <v>40239</v>
      </c>
      <c r="C3736">
        <v>4.57</v>
      </c>
      <c r="D3736">
        <f t="shared" si="119"/>
        <v>1</v>
      </c>
    </row>
    <row r="3737" spans="1:4" x14ac:dyDescent="0.55000000000000004">
      <c r="A3737">
        <f t="shared" si="118"/>
        <v>2010</v>
      </c>
      <c r="B3737" s="821">
        <v>40238</v>
      </c>
      <c r="C3737">
        <v>4.5599999999999996</v>
      </c>
      <c r="D3737">
        <f t="shared" si="119"/>
        <v>1</v>
      </c>
    </row>
    <row r="3738" spans="1:4" x14ac:dyDescent="0.55000000000000004">
      <c r="A3738">
        <f t="shared" si="118"/>
        <v>2010</v>
      </c>
      <c r="B3738" s="821">
        <v>40235</v>
      </c>
      <c r="C3738">
        <v>4.55</v>
      </c>
      <c r="D3738">
        <f t="shared" si="119"/>
        <v>1</v>
      </c>
    </row>
    <row r="3739" spans="1:4" x14ac:dyDescent="0.55000000000000004">
      <c r="A3739">
        <f t="shared" si="118"/>
        <v>2010</v>
      </c>
      <c r="B3739" s="821">
        <v>40234</v>
      </c>
      <c r="C3739">
        <v>4.58</v>
      </c>
      <c r="D3739">
        <f t="shared" si="119"/>
        <v>1</v>
      </c>
    </row>
    <row r="3740" spans="1:4" x14ac:dyDescent="0.55000000000000004">
      <c r="A3740">
        <f t="shared" si="118"/>
        <v>2010</v>
      </c>
      <c r="B3740" s="821">
        <v>40233</v>
      </c>
      <c r="C3740">
        <v>4.63</v>
      </c>
      <c r="D3740">
        <f t="shared" si="119"/>
        <v>1</v>
      </c>
    </row>
    <row r="3741" spans="1:4" x14ac:dyDescent="0.55000000000000004">
      <c r="A3741">
        <f t="shared" si="118"/>
        <v>2010</v>
      </c>
      <c r="B3741" s="821">
        <v>40232</v>
      </c>
      <c r="C3741">
        <v>4.63</v>
      </c>
      <c r="D3741">
        <f t="shared" si="119"/>
        <v>1</v>
      </c>
    </row>
    <row r="3742" spans="1:4" x14ac:dyDescent="0.55000000000000004">
      <c r="A3742">
        <f t="shared" si="118"/>
        <v>2010</v>
      </c>
      <c r="B3742" s="821">
        <v>40231</v>
      </c>
      <c r="C3742">
        <v>4.7300000000000004</v>
      </c>
      <c r="D3742">
        <f t="shared" si="119"/>
        <v>1</v>
      </c>
    </row>
    <row r="3743" spans="1:4" x14ac:dyDescent="0.55000000000000004">
      <c r="A3743">
        <f t="shared" si="118"/>
        <v>2010</v>
      </c>
      <c r="B3743" s="821">
        <v>40228</v>
      </c>
      <c r="C3743">
        <v>4.71</v>
      </c>
      <c r="D3743">
        <f t="shared" si="119"/>
        <v>1</v>
      </c>
    </row>
    <row r="3744" spans="1:4" x14ac:dyDescent="0.55000000000000004">
      <c r="A3744">
        <f t="shared" si="118"/>
        <v>2010</v>
      </c>
      <c r="B3744" s="821">
        <v>40227</v>
      </c>
      <c r="C3744">
        <v>4.74</v>
      </c>
      <c r="D3744">
        <f t="shared" si="119"/>
        <v>1</v>
      </c>
    </row>
    <row r="3745" spans="1:4" x14ac:dyDescent="0.55000000000000004">
      <c r="A3745">
        <f t="shared" si="118"/>
        <v>2010</v>
      </c>
      <c r="B3745" s="821">
        <v>40226</v>
      </c>
      <c r="C3745">
        <v>4.7</v>
      </c>
      <c r="D3745">
        <f t="shared" si="119"/>
        <v>1</v>
      </c>
    </row>
    <row r="3746" spans="1:4" x14ac:dyDescent="0.55000000000000004">
      <c r="A3746">
        <f t="shared" si="118"/>
        <v>2010</v>
      </c>
      <c r="B3746" s="821">
        <v>40225</v>
      </c>
      <c r="C3746">
        <v>4.63</v>
      </c>
      <c r="D3746">
        <f t="shared" si="119"/>
        <v>1</v>
      </c>
    </row>
    <row r="3747" spans="1:4" x14ac:dyDescent="0.55000000000000004">
      <c r="A3747">
        <f t="shared" si="118"/>
        <v>2010</v>
      </c>
      <c r="B3747" s="821">
        <v>40221</v>
      </c>
      <c r="C3747">
        <v>4.66</v>
      </c>
      <c r="D3747">
        <f t="shared" si="119"/>
        <v>1</v>
      </c>
    </row>
    <row r="3748" spans="1:4" x14ac:dyDescent="0.55000000000000004">
      <c r="A3748">
        <f t="shared" si="118"/>
        <v>2010</v>
      </c>
      <c r="B3748" s="821">
        <v>40220</v>
      </c>
      <c r="C3748">
        <v>4.6900000000000004</v>
      </c>
      <c r="D3748">
        <f t="shared" si="119"/>
        <v>1</v>
      </c>
    </row>
    <row r="3749" spans="1:4" x14ac:dyDescent="0.55000000000000004">
      <c r="A3749">
        <f t="shared" si="118"/>
        <v>2010</v>
      </c>
      <c r="B3749" s="821">
        <v>40219</v>
      </c>
      <c r="C3749">
        <v>4.6500000000000004</v>
      </c>
      <c r="D3749">
        <f t="shared" si="119"/>
        <v>1</v>
      </c>
    </row>
    <row r="3750" spans="1:4" x14ac:dyDescent="0.55000000000000004">
      <c r="A3750">
        <f t="shared" si="118"/>
        <v>2010</v>
      </c>
      <c r="B3750" s="821">
        <v>40218</v>
      </c>
      <c r="C3750">
        <v>4.58</v>
      </c>
      <c r="D3750">
        <f t="shared" si="119"/>
        <v>1</v>
      </c>
    </row>
    <row r="3751" spans="1:4" x14ac:dyDescent="0.55000000000000004">
      <c r="A3751">
        <f t="shared" si="118"/>
        <v>2010</v>
      </c>
      <c r="B3751" s="821">
        <v>40217</v>
      </c>
      <c r="C3751">
        <v>4.5199999999999996</v>
      </c>
      <c r="D3751">
        <f t="shared" si="119"/>
        <v>1</v>
      </c>
    </row>
    <row r="3752" spans="1:4" x14ac:dyDescent="0.55000000000000004">
      <c r="A3752">
        <f t="shared" si="118"/>
        <v>2010</v>
      </c>
      <c r="B3752" s="821">
        <v>40214</v>
      </c>
      <c r="C3752">
        <v>4.51</v>
      </c>
      <c r="D3752">
        <f t="shared" si="119"/>
        <v>1</v>
      </c>
    </row>
    <row r="3753" spans="1:4" x14ac:dyDescent="0.55000000000000004">
      <c r="A3753">
        <f t="shared" si="118"/>
        <v>2010</v>
      </c>
      <c r="B3753" s="821">
        <v>40213</v>
      </c>
      <c r="C3753">
        <v>4.53</v>
      </c>
      <c r="D3753">
        <f t="shared" si="119"/>
        <v>1</v>
      </c>
    </row>
    <row r="3754" spans="1:4" x14ac:dyDescent="0.55000000000000004">
      <c r="A3754">
        <f t="shared" si="118"/>
        <v>2010</v>
      </c>
      <c r="B3754" s="821">
        <v>40212</v>
      </c>
      <c r="C3754">
        <v>4.62</v>
      </c>
      <c r="D3754">
        <f t="shared" si="119"/>
        <v>1</v>
      </c>
    </row>
    <row r="3755" spans="1:4" x14ac:dyDescent="0.55000000000000004">
      <c r="A3755">
        <f t="shared" si="118"/>
        <v>2010</v>
      </c>
      <c r="B3755" s="821">
        <v>40211</v>
      </c>
      <c r="C3755">
        <v>4.55</v>
      </c>
      <c r="D3755">
        <f t="shared" si="119"/>
        <v>1</v>
      </c>
    </row>
    <row r="3756" spans="1:4" x14ac:dyDescent="0.55000000000000004">
      <c r="A3756">
        <f t="shared" si="118"/>
        <v>2010</v>
      </c>
      <c r="B3756" s="821">
        <v>40210</v>
      </c>
      <c r="C3756">
        <v>4.5599999999999996</v>
      </c>
      <c r="D3756">
        <f t="shared" si="119"/>
        <v>1</v>
      </c>
    </row>
    <row r="3757" spans="1:4" x14ac:dyDescent="0.55000000000000004">
      <c r="A3757">
        <f t="shared" si="118"/>
        <v>2010</v>
      </c>
      <c r="B3757" s="821">
        <v>40207</v>
      </c>
      <c r="C3757">
        <v>4.51</v>
      </c>
      <c r="D3757">
        <f t="shared" si="119"/>
        <v>1</v>
      </c>
    </row>
    <row r="3758" spans="1:4" x14ac:dyDescent="0.55000000000000004">
      <c r="A3758">
        <f t="shared" si="118"/>
        <v>2010</v>
      </c>
      <c r="B3758" s="821">
        <v>40206</v>
      </c>
      <c r="C3758">
        <v>4.57</v>
      </c>
      <c r="D3758">
        <f t="shared" si="119"/>
        <v>1</v>
      </c>
    </row>
    <row r="3759" spans="1:4" x14ac:dyDescent="0.55000000000000004">
      <c r="A3759">
        <f t="shared" si="118"/>
        <v>2010</v>
      </c>
      <c r="B3759" s="821">
        <v>40205</v>
      </c>
      <c r="C3759">
        <v>4.55</v>
      </c>
      <c r="D3759">
        <f t="shared" si="119"/>
        <v>1</v>
      </c>
    </row>
    <row r="3760" spans="1:4" x14ac:dyDescent="0.55000000000000004">
      <c r="A3760">
        <f t="shared" si="118"/>
        <v>2010</v>
      </c>
      <c r="B3760" s="821">
        <v>40204</v>
      </c>
      <c r="C3760">
        <v>4.5599999999999996</v>
      </c>
      <c r="D3760">
        <f t="shared" si="119"/>
        <v>1</v>
      </c>
    </row>
    <row r="3761" spans="1:4" x14ac:dyDescent="0.55000000000000004">
      <c r="A3761">
        <f t="shared" si="118"/>
        <v>2010</v>
      </c>
      <c r="B3761" s="821">
        <v>40203</v>
      </c>
      <c r="C3761">
        <v>4.55</v>
      </c>
      <c r="D3761">
        <f t="shared" si="119"/>
        <v>1</v>
      </c>
    </row>
    <row r="3762" spans="1:4" x14ac:dyDescent="0.55000000000000004">
      <c r="A3762">
        <f t="shared" si="118"/>
        <v>2010</v>
      </c>
      <c r="B3762" s="821">
        <v>40200</v>
      </c>
      <c r="C3762">
        <v>4.5</v>
      </c>
      <c r="D3762">
        <f t="shared" si="119"/>
        <v>1</v>
      </c>
    </row>
    <row r="3763" spans="1:4" x14ac:dyDescent="0.55000000000000004">
      <c r="A3763">
        <f t="shared" si="118"/>
        <v>2010</v>
      </c>
      <c r="B3763" s="821">
        <v>40199</v>
      </c>
      <c r="C3763">
        <v>4.5</v>
      </c>
      <c r="D3763">
        <f t="shared" si="119"/>
        <v>1</v>
      </c>
    </row>
    <row r="3764" spans="1:4" x14ac:dyDescent="0.55000000000000004">
      <c r="A3764">
        <f t="shared" si="118"/>
        <v>2010</v>
      </c>
      <c r="B3764" s="821">
        <v>40198</v>
      </c>
      <c r="C3764">
        <v>4.54</v>
      </c>
      <c r="D3764">
        <f t="shared" si="119"/>
        <v>1</v>
      </c>
    </row>
    <row r="3765" spans="1:4" x14ac:dyDescent="0.55000000000000004">
      <c r="A3765">
        <f t="shared" si="118"/>
        <v>2010</v>
      </c>
      <c r="B3765" s="821">
        <v>40197</v>
      </c>
      <c r="C3765">
        <v>4.5999999999999996</v>
      </c>
      <c r="D3765">
        <f t="shared" si="119"/>
        <v>1</v>
      </c>
    </row>
    <row r="3766" spans="1:4" x14ac:dyDescent="0.55000000000000004">
      <c r="A3766">
        <f t="shared" si="118"/>
        <v>2010</v>
      </c>
      <c r="B3766" s="821">
        <v>40193</v>
      </c>
      <c r="C3766">
        <v>4.58</v>
      </c>
      <c r="D3766">
        <f t="shared" si="119"/>
        <v>1</v>
      </c>
    </row>
    <row r="3767" spans="1:4" x14ac:dyDescent="0.55000000000000004">
      <c r="A3767">
        <f t="shared" si="118"/>
        <v>2010</v>
      </c>
      <c r="B3767" s="821">
        <v>40192</v>
      </c>
      <c r="C3767">
        <v>4.63</v>
      </c>
      <c r="D3767">
        <f t="shared" si="119"/>
        <v>1</v>
      </c>
    </row>
    <row r="3768" spans="1:4" x14ac:dyDescent="0.55000000000000004">
      <c r="A3768">
        <f t="shared" si="118"/>
        <v>2010</v>
      </c>
      <c r="B3768" s="821">
        <v>40191</v>
      </c>
      <c r="C3768">
        <v>4.71</v>
      </c>
      <c r="D3768">
        <f t="shared" si="119"/>
        <v>1</v>
      </c>
    </row>
    <row r="3769" spans="1:4" x14ac:dyDescent="0.55000000000000004">
      <c r="A3769">
        <f t="shared" si="118"/>
        <v>2010</v>
      </c>
      <c r="B3769" s="821">
        <v>40190</v>
      </c>
      <c r="C3769">
        <v>4.62</v>
      </c>
      <c r="D3769">
        <f t="shared" si="119"/>
        <v>1</v>
      </c>
    </row>
    <row r="3770" spans="1:4" x14ac:dyDescent="0.55000000000000004">
      <c r="A3770">
        <f t="shared" si="118"/>
        <v>2010</v>
      </c>
      <c r="B3770" s="821">
        <v>40189</v>
      </c>
      <c r="C3770">
        <v>4.74</v>
      </c>
      <c r="D3770">
        <f t="shared" si="119"/>
        <v>1</v>
      </c>
    </row>
    <row r="3771" spans="1:4" x14ac:dyDescent="0.55000000000000004">
      <c r="A3771">
        <f t="shared" si="118"/>
        <v>2010</v>
      </c>
      <c r="B3771" s="821">
        <v>40186</v>
      </c>
      <c r="C3771">
        <v>4.7</v>
      </c>
      <c r="D3771">
        <f t="shared" si="119"/>
        <v>1</v>
      </c>
    </row>
    <row r="3772" spans="1:4" x14ac:dyDescent="0.55000000000000004">
      <c r="A3772">
        <f t="shared" si="118"/>
        <v>2010</v>
      </c>
      <c r="B3772" s="821">
        <v>40185</v>
      </c>
      <c r="C3772">
        <v>4.6900000000000004</v>
      </c>
      <c r="D3772">
        <f t="shared" si="119"/>
        <v>1</v>
      </c>
    </row>
    <row r="3773" spans="1:4" x14ac:dyDescent="0.55000000000000004">
      <c r="A3773">
        <f t="shared" si="118"/>
        <v>2010</v>
      </c>
      <c r="B3773" s="821">
        <v>40184</v>
      </c>
      <c r="C3773">
        <v>4.7</v>
      </c>
      <c r="D3773">
        <f t="shared" si="119"/>
        <v>1</v>
      </c>
    </row>
    <row r="3774" spans="1:4" x14ac:dyDescent="0.55000000000000004">
      <c r="A3774">
        <f t="shared" si="118"/>
        <v>2010</v>
      </c>
      <c r="B3774" s="821">
        <v>40183</v>
      </c>
      <c r="C3774">
        <v>4.59</v>
      </c>
      <c r="D3774">
        <f t="shared" si="119"/>
        <v>1</v>
      </c>
    </row>
    <row r="3775" spans="1:4" x14ac:dyDescent="0.55000000000000004">
      <c r="A3775">
        <f t="shared" si="118"/>
        <v>2010</v>
      </c>
      <c r="B3775" s="821">
        <v>40182</v>
      </c>
      <c r="C3775">
        <v>4.6500000000000004</v>
      </c>
      <c r="D3775">
        <f t="shared" si="119"/>
        <v>1</v>
      </c>
    </row>
    <row r="3776" spans="1:4" x14ac:dyDescent="0.55000000000000004">
      <c r="A3776">
        <f t="shared" si="118"/>
        <v>2009</v>
      </c>
      <c r="B3776" s="821">
        <v>40178</v>
      </c>
      <c r="C3776">
        <v>4.63</v>
      </c>
      <c r="D3776">
        <f t="shared" si="119"/>
        <v>1</v>
      </c>
    </row>
    <row r="3777" spans="1:4" x14ac:dyDescent="0.55000000000000004">
      <c r="A3777">
        <f t="shared" si="118"/>
        <v>2009</v>
      </c>
      <c r="B3777" s="821">
        <v>40177</v>
      </c>
      <c r="C3777">
        <v>4.6100000000000003</v>
      </c>
      <c r="D3777">
        <f t="shared" si="119"/>
        <v>1</v>
      </c>
    </row>
    <row r="3778" spans="1:4" x14ac:dyDescent="0.55000000000000004">
      <c r="A3778">
        <f t="shared" si="118"/>
        <v>2009</v>
      </c>
      <c r="B3778" s="821">
        <v>40176</v>
      </c>
      <c r="C3778">
        <v>4.6399999999999997</v>
      </c>
      <c r="D3778">
        <f t="shared" si="119"/>
        <v>1</v>
      </c>
    </row>
    <row r="3779" spans="1:4" x14ac:dyDescent="0.55000000000000004">
      <c r="A3779">
        <f t="shared" si="118"/>
        <v>2009</v>
      </c>
      <c r="B3779" s="821">
        <v>40175</v>
      </c>
      <c r="C3779">
        <v>4.6900000000000004</v>
      </c>
      <c r="D3779">
        <f t="shared" si="119"/>
        <v>1</v>
      </c>
    </row>
    <row r="3780" spans="1:4" x14ac:dyDescent="0.55000000000000004">
      <c r="A3780">
        <f t="shared" ref="A3780:A3843" si="120">YEAR(B3780)</f>
        <v>2009</v>
      </c>
      <c r="B3780" s="821">
        <v>40171</v>
      </c>
      <c r="C3780">
        <v>4.68</v>
      </c>
      <c r="D3780">
        <f t="shared" ref="D3780:D3843" si="121">IF(C3780&gt;4,1,0)</f>
        <v>1</v>
      </c>
    </row>
    <row r="3781" spans="1:4" x14ac:dyDescent="0.55000000000000004">
      <c r="A3781">
        <f t="shared" si="120"/>
        <v>2009</v>
      </c>
      <c r="B3781" s="821">
        <v>40170</v>
      </c>
      <c r="C3781">
        <v>4.6100000000000003</v>
      </c>
      <c r="D3781">
        <f t="shared" si="121"/>
        <v>1</v>
      </c>
    </row>
    <row r="3782" spans="1:4" x14ac:dyDescent="0.55000000000000004">
      <c r="A3782">
        <f t="shared" si="120"/>
        <v>2009</v>
      </c>
      <c r="B3782" s="821">
        <v>40169</v>
      </c>
      <c r="C3782">
        <v>4.5999999999999996</v>
      </c>
      <c r="D3782">
        <f t="shared" si="121"/>
        <v>1</v>
      </c>
    </row>
    <row r="3783" spans="1:4" x14ac:dyDescent="0.55000000000000004">
      <c r="A3783">
        <f t="shared" si="120"/>
        <v>2009</v>
      </c>
      <c r="B3783" s="821">
        <v>40168</v>
      </c>
      <c r="C3783">
        <v>4.5599999999999996</v>
      </c>
      <c r="D3783">
        <f t="shared" si="121"/>
        <v>1</v>
      </c>
    </row>
    <row r="3784" spans="1:4" x14ac:dyDescent="0.55000000000000004">
      <c r="A3784">
        <f t="shared" si="120"/>
        <v>2009</v>
      </c>
      <c r="B3784" s="821">
        <v>40165</v>
      </c>
      <c r="C3784">
        <v>4.46</v>
      </c>
      <c r="D3784">
        <f t="shared" si="121"/>
        <v>1</v>
      </c>
    </row>
    <row r="3785" spans="1:4" x14ac:dyDescent="0.55000000000000004">
      <c r="A3785">
        <f t="shared" si="120"/>
        <v>2009</v>
      </c>
      <c r="B3785" s="821">
        <v>40164</v>
      </c>
      <c r="C3785">
        <v>4.42</v>
      </c>
      <c r="D3785">
        <f t="shared" si="121"/>
        <v>1</v>
      </c>
    </row>
    <row r="3786" spans="1:4" x14ac:dyDescent="0.55000000000000004">
      <c r="A3786">
        <f t="shared" si="120"/>
        <v>2009</v>
      </c>
      <c r="B3786" s="821">
        <v>40163</v>
      </c>
      <c r="C3786">
        <v>4.5199999999999996</v>
      </c>
      <c r="D3786">
        <f t="shared" si="121"/>
        <v>1</v>
      </c>
    </row>
    <row r="3787" spans="1:4" x14ac:dyDescent="0.55000000000000004">
      <c r="A3787">
        <f t="shared" si="120"/>
        <v>2009</v>
      </c>
      <c r="B3787" s="821">
        <v>40162</v>
      </c>
      <c r="C3787">
        <v>4.5199999999999996</v>
      </c>
      <c r="D3787">
        <f t="shared" si="121"/>
        <v>1</v>
      </c>
    </row>
    <row r="3788" spans="1:4" x14ac:dyDescent="0.55000000000000004">
      <c r="A3788">
        <f t="shared" si="120"/>
        <v>2009</v>
      </c>
      <c r="B3788" s="821">
        <v>40161</v>
      </c>
      <c r="C3788">
        <v>4.49</v>
      </c>
      <c r="D3788">
        <f t="shared" si="121"/>
        <v>1</v>
      </c>
    </row>
    <row r="3789" spans="1:4" x14ac:dyDescent="0.55000000000000004">
      <c r="A3789">
        <f t="shared" si="120"/>
        <v>2009</v>
      </c>
      <c r="B3789" s="821">
        <v>40158</v>
      </c>
      <c r="C3789">
        <v>4.49</v>
      </c>
      <c r="D3789">
        <f t="shared" si="121"/>
        <v>1</v>
      </c>
    </row>
    <row r="3790" spans="1:4" x14ac:dyDescent="0.55000000000000004">
      <c r="A3790">
        <f t="shared" si="120"/>
        <v>2009</v>
      </c>
      <c r="B3790" s="821">
        <v>40157</v>
      </c>
      <c r="C3790">
        <v>4.5</v>
      </c>
      <c r="D3790">
        <f t="shared" si="121"/>
        <v>1</v>
      </c>
    </row>
    <row r="3791" spans="1:4" x14ac:dyDescent="0.55000000000000004">
      <c r="A3791">
        <f t="shared" si="120"/>
        <v>2009</v>
      </c>
      <c r="B3791" s="821">
        <v>40156</v>
      </c>
      <c r="C3791">
        <v>4.41</v>
      </c>
      <c r="D3791">
        <f t="shared" si="121"/>
        <v>1</v>
      </c>
    </row>
    <row r="3792" spans="1:4" x14ac:dyDescent="0.55000000000000004">
      <c r="A3792">
        <f t="shared" si="120"/>
        <v>2009</v>
      </c>
      <c r="B3792" s="821">
        <v>40155</v>
      </c>
      <c r="C3792">
        <v>4.3899999999999997</v>
      </c>
      <c r="D3792">
        <f t="shared" si="121"/>
        <v>1</v>
      </c>
    </row>
    <row r="3793" spans="1:4" x14ac:dyDescent="0.55000000000000004">
      <c r="A3793">
        <f t="shared" si="120"/>
        <v>2009</v>
      </c>
      <c r="B3793" s="821">
        <v>40154</v>
      </c>
      <c r="C3793">
        <v>4.4000000000000004</v>
      </c>
      <c r="D3793">
        <f t="shared" si="121"/>
        <v>1</v>
      </c>
    </row>
    <row r="3794" spans="1:4" x14ac:dyDescent="0.55000000000000004">
      <c r="A3794">
        <f t="shared" si="120"/>
        <v>2009</v>
      </c>
      <c r="B3794" s="821">
        <v>40151</v>
      </c>
      <c r="C3794">
        <v>4.4000000000000004</v>
      </c>
      <c r="D3794">
        <f t="shared" si="121"/>
        <v>1</v>
      </c>
    </row>
    <row r="3795" spans="1:4" x14ac:dyDescent="0.55000000000000004">
      <c r="A3795">
        <f t="shared" si="120"/>
        <v>2009</v>
      </c>
      <c r="B3795" s="821">
        <v>40150</v>
      </c>
      <c r="C3795">
        <v>4.33</v>
      </c>
      <c r="D3795">
        <f t="shared" si="121"/>
        <v>1</v>
      </c>
    </row>
    <row r="3796" spans="1:4" x14ac:dyDescent="0.55000000000000004">
      <c r="A3796">
        <f t="shared" si="120"/>
        <v>2009</v>
      </c>
      <c r="B3796" s="821">
        <v>40149</v>
      </c>
      <c r="C3796">
        <v>4.26</v>
      </c>
      <c r="D3796">
        <f t="shared" si="121"/>
        <v>1</v>
      </c>
    </row>
    <row r="3797" spans="1:4" x14ac:dyDescent="0.55000000000000004">
      <c r="A3797">
        <f t="shared" si="120"/>
        <v>2009</v>
      </c>
      <c r="B3797" s="821">
        <v>40148</v>
      </c>
      <c r="C3797">
        <v>4.26</v>
      </c>
      <c r="D3797">
        <f t="shared" si="121"/>
        <v>1</v>
      </c>
    </row>
    <row r="3798" spans="1:4" x14ac:dyDescent="0.55000000000000004">
      <c r="A3798">
        <f t="shared" si="120"/>
        <v>2009</v>
      </c>
      <c r="B3798" s="821">
        <v>40147</v>
      </c>
      <c r="C3798">
        <v>4.2</v>
      </c>
      <c r="D3798">
        <f t="shared" si="121"/>
        <v>1</v>
      </c>
    </row>
    <row r="3799" spans="1:4" x14ac:dyDescent="0.55000000000000004">
      <c r="A3799">
        <f t="shared" si="120"/>
        <v>2009</v>
      </c>
      <c r="B3799" s="821">
        <v>40144</v>
      </c>
      <c r="C3799">
        <v>4.21</v>
      </c>
      <c r="D3799">
        <f t="shared" si="121"/>
        <v>1</v>
      </c>
    </row>
    <row r="3800" spans="1:4" x14ac:dyDescent="0.55000000000000004">
      <c r="A3800">
        <f t="shared" si="120"/>
        <v>2009</v>
      </c>
      <c r="B3800" s="821">
        <v>40142</v>
      </c>
      <c r="C3800">
        <v>4.2300000000000004</v>
      </c>
      <c r="D3800">
        <f t="shared" si="121"/>
        <v>1</v>
      </c>
    </row>
    <row r="3801" spans="1:4" x14ac:dyDescent="0.55000000000000004">
      <c r="A3801">
        <f t="shared" si="120"/>
        <v>2009</v>
      </c>
      <c r="B3801" s="821">
        <v>40141</v>
      </c>
      <c r="C3801">
        <v>4.25</v>
      </c>
      <c r="D3801">
        <f t="shared" si="121"/>
        <v>1</v>
      </c>
    </row>
    <row r="3802" spans="1:4" x14ac:dyDescent="0.55000000000000004">
      <c r="A3802">
        <f t="shared" si="120"/>
        <v>2009</v>
      </c>
      <c r="B3802" s="821">
        <v>40140</v>
      </c>
      <c r="C3802">
        <v>4.29</v>
      </c>
      <c r="D3802">
        <f t="shared" si="121"/>
        <v>1</v>
      </c>
    </row>
    <row r="3803" spans="1:4" x14ac:dyDescent="0.55000000000000004">
      <c r="A3803">
        <f t="shared" si="120"/>
        <v>2009</v>
      </c>
      <c r="B3803" s="821">
        <v>40137</v>
      </c>
      <c r="C3803">
        <v>4.3</v>
      </c>
      <c r="D3803">
        <f t="shared" si="121"/>
        <v>1</v>
      </c>
    </row>
    <row r="3804" spans="1:4" x14ac:dyDescent="0.55000000000000004">
      <c r="A3804">
        <f t="shared" si="120"/>
        <v>2009</v>
      </c>
      <c r="B3804" s="821">
        <v>40136</v>
      </c>
      <c r="C3804">
        <v>4.29</v>
      </c>
      <c r="D3804">
        <f t="shared" si="121"/>
        <v>1</v>
      </c>
    </row>
    <row r="3805" spans="1:4" x14ac:dyDescent="0.55000000000000004">
      <c r="A3805">
        <f t="shared" si="120"/>
        <v>2009</v>
      </c>
      <c r="B3805" s="821">
        <v>40135</v>
      </c>
      <c r="C3805">
        <v>4.29</v>
      </c>
      <c r="D3805">
        <f t="shared" si="121"/>
        <v>1</v>
      </c>
    </row>
    <row r="3806" spans="1:4" x14ac:dyDescent="0.55000000000000004">
      <c r="A3806">
        <f t="shared" si="120"/>
        <v>2009</v>
      </c>
      <c r="B3806" s="821">
        <v>40134</v>
      </c>
      <c r="C3806">
        <v>4.26</v>
      </c>
      <c r="D3806">
        <f t="shared" si="121"/>
        <v>1</v>
      </c>
    </row>
    <row r="3807" spans="1:4" x14ac:dyDescent="0.55000000000000004">
      <c r="A3807">
        <f t="shared" si="120"/>
        <v>2009</v>
      </c>
      <c r="B3807" s="821">
        <v>40133</v>
      </c>
      <c r="C3807">
        <v>4.26</v>
      </c>
      <c r="D3807">
        <f t="shared" si="121"/>
        <v>1</v>
      </c>
    </row>
    <row r="3808" spans="1:4" x14ac:dyDescent="0.55000000000000004">
      <c r="A3808">
        <f t="shared" si="120"/>
        <v>2009</v>
      </c>
      <c r="B3808" s="821">
        <v>40130</v>
      </c>
      <c r="C3808">
        <v>4.3600000000000003</v>
      </c>
      <c r="D3808">
        <f t="shared" si="121"/>
        <v>1</v>
      </c>
    </row>
    <row r="3809" spans="1:4" x14ac:dyDescent="0.55000000000000004">
      <c r="A3809">
        <f t="shared" si="120"/>
        <v>2009</v>
      </c>
      <c r="B3809" s="821">
        <v>40129</v>
      </c>
      <c r="C3809">
        <v>4.41</v>
      </c>
      <c r="D3809">
        <f t="shared" si="121"/>
        <v>1</v>
      </c>
    </row>
    <row r="3810" spans="1:4" x14ac:dyDescent="0.55000000000000004">
      <c r="A3810">
        <f t="shared" si="120"/>
        <v>2009</v>
      </c>
      <c r="B3810" s="821">
        <v>40127</v>
      </c>
      <c r="C3810">
        <v>4.41</v>
      </c>
      <c r="D3810">
        <f t="shared" si="121"/>
        <v>1</v>
      </c>
    </row>
    <row r="3811" spans="1:4" x14ac:dyDescent="0.55000000000000004">
      <c r="A3811">
        <f t="shared" si="120"/>
        <v>2009</v>
      </c>
      <c r="B3811" s="821">
        <v>40126</v>
      </c>
      <c r="C3811">
        <v>4.4000000000000004</v>
      </c>
      <c r="D3811">
        <f t="shared" si="121"/>
        <v>1</v>
      </c>
    </row>
    <row r="3812" spans="1:4" x14ac:dyDescent="0.55000000000000004">
      <c r="A3812">
        <f t="shared" si="120"/>
        <v>2009</v>
      </c>
      <c r="B3812" s="821">
        <v>40123</v>
      </c>
      <c r="C3812">
        <v>4.4000000000000004</v>
      </c>
      <c r="D3812">
        <f t="shared" si="121"/>
        <v>1</v>
      </c>
    </row>
    <row r="3813" spans="1:4" x14ac:dyDescent="0.55000000000000004">
      <c r="A3813">
        <f t="shared" si="120"/>
        <v>2009</v>
      </c>
      <c r="B3813" s="821">
        <v>40122</v>
      </c>
      <c r="C3813">
        <v>4.41</v>
      </c>
      <c r="D3813">
        <f t="shared" si="121"/>
        <v>1</v>
      </c>
    </row>
    <row r="3814" spans="1:4" x14ac:dyDescent="0.55000000000000004">
      <c r="A3814">
        <f t="shared" si="120"/>
        <v>2009</v>
      </c>
      <c r="B3814" s="821">
        <v>40121</v>
      </c>
      <c r="C3814">
        <v>4.41</v>
      </c>
      <c r="D3814">
        <f t="shared" si="121"/>
        <v>1</v>
      </c>
    </row>
    <row r="3815" spans="1:4" x14ac:dyDescent="0.55000000000000004">
      <c r="A3815">
        <f t="shared" si="120"/>
        <v>2009</v>
      </c>
      <c r="B3815" s="821">
        <v>40120</v>
      </c>
      <c r="C3815">
        <v>4.34</v>
      </c>
      <c r="D3815">
        <f t="shared" si="121"/>
        <v>1</v>
      </c>
    </row>
    <row r="3816" spans="1:4" x14ac:dyDescent="0.55000000000000004">
      <c r="A3816">
        <f t="shared" si="120"/>
        <v>2009</v>
      </c>
      <c r="B3816" s="821">
        <v>40119</v>
      </c>
      <c r="C3816">
        <v>4.26</v>
      </c>
      <c r="D3816">
        <f t="shared" si="121"/>
        <v>1</v>
      </c>
    </row>
    <row r="3817" spans="1:4" x14ac:dyDescent="0.55000000000000004">
      <c r="A3817">
        <f t="shared" si="120"/>
        <v>2009</v>
      </c>
      <c r="B3817" s="821">
        <v>40116</v>
      </c>
      <c r="C3817">
        <v>4.2300000000000004</v>
      </c>
      <c r="D3817">
        <f t="shared" si="121"/>
        <v>1</v>
      </c>
    </row>
    <row r="3818" spans="1:4" x14ac:dyDescent="0.55000000000000004">
      <c r="A3818">
        <f t="shared" si="120"/>
        <v>2009</v>
      </c>
      <c r="B3818" s="821">
        <v>40115</v>
      </c>
      <c r="C3818">
        <v>4.3499999999999996</v>
      </c>
      <c r="D3818">
        <f t="shared" si="121"/>
        <v>1</v>
      </c>
    </row>
    <row r="3819" spans="1:4" x14ac:dyDescent="0.55000000000000004">
      <c r="A3819">
        <f t="shared" si="120"/>
        <v>2009</v>
      </c>
      <c r="B3819" s="821">
        <v>40114</v>
      </c>
      <c r="C3819">
        <v>4.25</v>
      </c>
      <c r="D3819">
        <f t="shared" si="121"/>
        <v>1</v>
      </c>
    </row>
    <row r="3820" spans="1:4" x14ac:dyDescent="0.55000000000000004">
      <c r="A3820">
        <f t="shared" si="120"/>
        <v>2009</v>
      </c>
      <c r="B3820" s="821">
        <v>40113</v>
      </c>
      <c r="C3820">
        <v>4.29</v>
      </c>
      <c r="D3820">
        <f t="shared" si="121"/>
        <v>1</v>
      </c>
    </row>
    <row r="3821" spans="1:4" x14ac:dyDescent="0.55000000000000004">
      <c r="A3821">
        <f t="shared" si="120"/>
        <v>2009</v>
      </c>
      <c r="B3821" s="821">
        <v>40112</v>
      </c>
      <c r="C3821">
        <v>4.37</v>
      </c>
      <c r="D3821">
        <f t="shared" si="121"/>
        <v>1</v>
      </c>
    </row>
    <row r="3822" spans="1:4" x14ac:dyDescent="0.55000000000000004">
      <c r="A3822">
        <f t="shared" si="120"/>
        <v>2009</v>
      </c>
      <c r="B3822" s="821">
        <v>40109</v>
      </c>
      <c r="C3822">
        <v>4.29</v>
      </c>
      <c r="D3822">
        <f t="shared" si="121"/>
        <v>1</v>
      </c>
    </row>
    <row r="3823" spans="1:4" x14ac:dyDescent="0.55000000000000004">
      <c r="A3823">
        <f t="shared" si="120"/>
        <v>2009</v>
      </c>
      <c r="B3823" s="821">
        <v>40108</v>
      </c>
      <c r="C3823">
        <v>4.24</v>
      </c>
      <c r="D3823">
        <f t="shared" si="121"/>
        <v>1</v>
      </c>
    </row>
    <row r="3824" spans="1:4" x14ac:dyDescent="0.55000000000000004">
      <c r="A3824">
        <f t="shared" si="120"/>
        <v>2009</v>
      </c>
      <c r="B3824" s="821">
        <v>40107</v>
      </c>
      <c r="C3824">
        <v>4.22</v>
      </c>
      <c r="D3824">
        <f t="shared" si="121"/>
        <v>1</v>
      </c>
    </row>
    <row r="3825" spans="1:4" x14ac:dyDescent="0.55000000000000004">
      <c r="A3825">
        <f t="shared" si="120"/>
        <v>2009</v>
      </c>
      <c r="B3825" s="821">
        <v>40106</v>
      </c>
      <c r="C3825">
        <v>4.16</v>
      </c>
      <c r="D3825">
        <f t="shared" si="121"/>
        <v>1</v>
      </c>
    </row>
    <row r="3826" spans="1:4" x14ac:dyDescent="0.55000000000000004">
      <c r="A3826">
        <f t="shared" si="120"/>
        <v>2009</v>
      </c>
      <c r="B3826" s="821">
        <v>40105</v>
      </c>
      <c r="C3826">
        <v>4.21</v>
      </c>
      <c r="D3826">
        <f t="shared" si="121"/>
        <v>1</v>
      </c>
    </row>
    <row r="3827" spans="1:4" x14ac:dyDescent="0.55000000000000004">
      <c r="A3827">
        <f t="shared" si="120"/>
        <v>2009</v>
      </c>
      <c r="B3827" s="821">
        <v>40102</v>
      </c>
      <c r="C3827">
        <v>4.24</v>
      </c>
      <c r="D3827">
        <f t="shared" si="121"/>
        <v>1</v>
      </c>
    </row>
    <row r="3828" spans="1:4" x14ac:dyDescent="0.55000000000000004">
      <c r="A3828">
        <f t="shared" si="120"/>
        <v>2009</v>
      </c>
      <c r="B3828" s="821">
        <v>40101</v>
      </c>
      <c r="C3828">
        <v>4.3099999999999996</v>
      </c>
      <c r="D3828">
        <f t="shared" si="121"/>
        <v>1</v>
      </c>
    </row>
    <row r="3829" spans="1:4" x14ac:dyDescent="0.55000000000000004">
      <c r="A3829">
        <f t="shared" si="120"/>
        <v>2009</v>
      </c>
      <c r="B3829" s="821">
        <v>40100</v>
      </c>
      <c r="C3829">
        <v>4.28</v>
      </c>
      <c r="D3829">
        <f t="shared" si="121"/>
        <v>1</v>
      </c>
    </row>
    <row r="3830" spans="1:4" x14ac:dyDescent="0.55000000000000004">
      <c r="A3830">
        <f t="shared" si="120"/>
        <v>2009</v>
      </c>
      <c r="B3830" s="821">
        <v>40099</v>
      </c>
      <c r="C3830">
        <v>4.16</v>
      </c>
      <c r="D3830">
        <f t="shared" si="121"/>
        <v>1</v>
      </c>
    </row>
    <row r="3831" spans="1:4" x14ac:dyDescent="0.55000000000000004">
      <c r="A3831">
        <f t="shared" si="120"/>
        <v>2009</v>
      </c>
      <c r="B3831" s="821">
        <v>40095</v>
      </c>
      <c r="C3831">
        <v>4.22</v>
      </c>
      <c r="D3831">
        <f t="shared" si="121"/>
        <v>1</v>
      </c>
    </row>
    <row r="3832" spans="1:4" x14ac:dyDescent="0.55000000000000004">
      <c r="A3832">
        <f t="shared" si="120"/>
        <v>2009</v>
      </c>
      <c r="B3832" s="821">
        <v>40094</v>
      </c>
      <c r="C3832">
        <v>4.09</v>
      </c>
      <c r="D3832">
        <f t="shared" si="121"/>
        <v>1</v>
      </c>
    </row>
    <row r="3833" spans="1:4" x14ac:dyDescent="0.55000000000000004">
      <c r="A3833">
        <f t="shared" si="120"/>
        <v>2009</v>
      </c>
      <c r="B3833" s="821">
        <v>40093</v>
      </c>
      <c r="C3833">
        <v>3.99</v>
      </c>
      <c r="D3833">
        <f t="shared" si="121"/>
        <v>0</v>
      </c>
    </row>
    <row r="3834" spans="1:4" x14ac:dyDescent="0.55000000000000004">
      <c r="A3834">
        <f t="shared" si="120"/>
        <v>2009</v>
      </c>
      <c r="B3834" s="821">
        <v>40092</v>
      </c>
      <c r="C3834">
        <v>4.07</v>
      </c>
      <c r="D3834">
        <f t="shared" si="121"/>
        <v>1</v>
      </c>
    </row>
    <row r="3835" spans="1:4" x14ac:dyDescent="0.55000000000000004">
      <c r="A3835">
        <f t="shared" si="120"/>
        <v>2009</v>
      </c>
      <c r="B3835" s="821">
        <v>40091</v>
      </c>
      <c r="C3835">
        <v>4.01</v>
      </c>
      <c r="D3835">
        <f t="shared" si="121"/>
        <v>1</v>
      </c>
    </row>
    <row r="3836" spans="1:4" x14ac:dyDescent="0.55000000000000004">
      <c r="A3836">
        <f t="shared" si="120"/>
        <v>2009</v>
      </c>
      <c r="B3836" s="821">
        <v>40088</v>
      </c>
      <c r="C3836">
        <v>4.01</v>
      </c>
      <c r="D3836">
        <f t="shared" si="121"/>
        <v>1</v>
      </c>
    </row>
    <row r="3837" spans="1:4" x14ac:dyDescent="0.55000000000000004">
      <c r="A3837">
        <f t="shared" si="120"/>
        <v>2009</v>
      </c>
      <c r="B3837" s="821">
        <v>40087</v>
      </c>
      <c r="C3837">
        <v>3.97</v>
      </c>
      <c r="D3837">
        <f t="shared" si="121"/>
        <v>0</v>
      </c>
    </row>
    <row r="3838" spans="1:4" x14ac:dyDescent="0.55000000000000004">
      <c r="A3838">
        <f t="shared" si="120"/>
        <v>2009</v>
      </c>
      <c r="B3838" s="821">
        <v>40086</v>
      </c>
      <c r="C3838">
        <v>4.03</v>
      </c>
      <c r="D3838">
        <f t="shared" si="121"/>
        <v>1</v>
      </c>
    </row>
    <row r="3839" spans="1:4" x14ac:dyDescent="0.55000000000000004">
      <c r="A3839">
        <f t="shared" si="120"/>
        <v>2009</v>
      </c>
      <c r="B3839" s="821">
        <v>40085</v>
      </c>
      <c r="C3839">
        <v>4.03</v>
      </c>
      <c r="D3839">
        <f t="shared" si="121"/>
        <v>1</v>
      </c>
    </row>
    <row r="3840" spans="1:4" x14ac:dyDescent="0.55000000000000004">
      <c r="A3840">
        <f t="shared" si="120"/>
        <v>2009</v>
      </c>
      <c r="B3840" s="821">
        <v>40084</v>
      </c>
      <c r="C3840">
        <v>4.04</v>
      </c>
      <c r="D3840">
        <f t="shared" si="121"/>
        <v>1</v>
      </c>
    </row>
    <row r="3841" spans="1:4" x14ac:dyDescent="0.55000000000000004">
      <c r="A3841">
        <f t="shared" si="120"/>
        <v>2009</v>
      </c>
      <c r="B3841" s="821">
        <v>40081</v>
      </c>
      <c r="C3841">
        <v>4.0999999999999996</v>
      </c>
      <c r="D3841">
        <f t="shared" si="121"/>
        <v>1</v>
      </c>
    </row>
    <row r="3842" spans="1:4" x14ac:dyDescent="0.55000000000000004">
      <c r="A3842">
        <f t="shared" si="120"/>
        <v>2009</v>
      </c>
      <c r="B3842" s="821">
        <v>40080</v>
      </c>
      <c r="C3842">
        <v>4.17</v>
      </c>
      <c r="D3842">
        <f t="shared" si="121"/>
        <v>1</v>
      </c>
    </row>
    <row r="3843" spans="1:4" x14ac:dyDescent="0.55000000000000004">
      <c r="A3843">
        <f t="shared" si="120"/>
        <v>2009</v>
      </c>
      <c r="B3843" s="821">
        <v>40079</v>
      </c>
      <c r="C3843">
        <v>4.21</v>
      </c>
      <c r="D3843">
        <f t="shared" si="121"/>
        <v>1</v>
      </c>
    </row>
    <row r="3844" spans="1:4" x14ac:dyDescent="0.55000000000000004">
      <c r="A3844">
        <f t="shared" ref="A3844:A3907" si="122">YEAR(B3844)</f>
        <v>2009</v>
      </c>
      <c r="B3844" s="821">
        <v>40078</v>
      </c>
      <c r="C3844">
        <v>4.2</v>
      </c>
      <c r="D3844">
        <f t="shared" ref="D3844:D3907" si="123">IF(C3844&gt;4,1,0)</f>
        <v>1</v>
      </c>
    </row>
    <row r="3845" spans="1:4" x14ac:dyDescent="0.55000000000000004">
      <c r="A3845">
        <f t="shared" si="122"/>
        <v>2009</v>
      </c>
      <c r="B3845" s="821">
        <v>40077</v>
      </c>
      <c r="C3845">
        <v>4.2300000000000004</v>
      </c>
      <c r="D3845">
        <f t="shared" si="123"/>
        <v>1</v>
      </c>
    </row>
    <row r="3846" spans="1:4" x14ac:dyDescent="0.55000000000000004">
      <c r="A3846">
        <f t="shared" si="122"/>
        <v>2009</v>
      </c>
      <c r="B3846" s="821">
        <v>40074</v>
      </c>
      <c r="C3846">
        <v>4.24</v>
      </c>
      <c r="D3846">
        <f t="shared" si="123"/>
        <v>1</v>
      </c>
    </row>
    <row r="3847" spans="1:4" x14ac:dyDescent="0.55000000000000004">
      <c r="A3847">
        <f t="shared" si="122"/>
        <v>2009</v>
      </c>
      <c r="B3847" s="821">
        <v>40073</v>
      </c>
      <c r="C3847">
        <v>4.1900000000000004</v>
      </c>
      <c r="D3847">
        <f t="shared" si="123"/>
        <v>1</v>
      </c>
    </row>
    <row r="3848" spans="1:4" x14ac:dyDescent="0.55000000000000004">
      <c r="A3848">
        <f t="shared" si="122"/>
        <v>2009</v>
      </c>
      <c r="B3848" s="821">
        <v>40072</v>
      </c>
      <c r="C3848">
        <v>4.26</v>
      </c>
      <c r="D3848">
        <f t="shared" si="123"/>
        <v>1</v>
      </c>
    </row>
    <row r="3849" spans="1:4" x14ac:dyDescent="0.55000000000000004">
      <c r="A3849">
        <f t="shared" si="122"/>
        <v>2009</v>
      </c>
      <c r="B3849" s="821">
        <v>40071</v>
      </c>
      <c r="C3849">
        <v>4.2699999999999996</v>
      </c>
      <c r="D3849">
        <f t="shared" si="123"/>
        <v>1</v>
      </c>
    </row>
    <row r="3850" spans="1:4" x14ac:dyDescent="0.55000000000000004">
      <c r="A3850">
        <f t="shared" si="122"/>
        <v>2009</v>
      </c>
      <c r="B3850" s="821">
        <v>40070</v>
      </c>
      <c r="C3850">
        <v>4.22</v>
      </c>
      <c r="D3850">
        <f t="shared" si="123"/>
        <v>1</v>
      </c>
    </row>
    <row r="3851" spans="1:4" x14ac:dyDescent="0.55000000000000004">
      <c r="A3851">
        <f t="shared" si="122"/>
        <v>2009</v>
      </c>
      <c r="B3851" s="821">
        <v>40067</v>
      </c>
      <c r="C3851">
        <v>4.18</v>
      </c>
      <c r="D3851">
        <f t="shared" si="123"/>
        <v>1</v>
      </c>
    </row>
    <row r="3852" spans="1:4" x14ac:dyDescent="0.55000000000000004">
      <c r="A3852">
        <f t="shared" si="122"/>
        <v>2009</v>
      </c>
      <c r="B3852" s="821">
        <v>40066</v>
      </c>
      <c r="C3852">
        <v>4.1900000000000004</v>
      </c>
      <c r="D3852">
        <f t="shared" si="123"/>
        <v>1</v>
      </c>
    </row>
    <row r="3853" spans="1:4" x14ac:dyDescent="0.55000000000000004">
      <c r="A3853">
        <f t="shared" si="122"/>
        <v>2009</v>
      </c>
      <c r="B3853" s="821">
        <v>40065</v>
      </c>
      <c r="C3853">
        <v>4.33</v>
      </c>
      <c r="D3853">
        <f t="shared" si="123"/>
        <v>1</v>
      </c>
    </row>
    <row r="3854" spans="1:4" x14ac:dyDescent="0.55000000000000004">
      <c r="A3854">
        <f t="shared" si="122"/>
        <v>2009</v>
      </c>
      <c r="B3854" s="821">
        <v>40064</v>
      </c>
      <c r="C3854">
        <v>4.3099999999999996</v>
      </c>
      <c r="D3854">
        <f t="shared" si="123"/>
        <v>1</v>
      </c>
    </row>
    <row r="3855" spans="1:4" x14ac:dyDescent="0.55000000000000004">
      <c r="A3855">
        <f t="shared" si="122"/>
        <v>2009</v>
      </c>
      <c r="B3855" s="821">
        <v>40060</v>
      </c>
      <c r="C3855">
        <v>4.2699999999999996</v>
      </c>
      <c r="D3855">
        <f t="shared" si="123"/>
        <v>1</v>
      </c>
    </row>
    <row r="3856" spans="1:4" x14ac:dyDescent="0.55000000000000004">
      <c r="A3856">
        <f t="shared" si="122"/>
        <v>2009</v>
      </c>
      <c r="B3856" s="821">
        <v>40059</v>
      </c>
      <c r="C3856">
        <v>4.1500000000000004</v>
      </c>
      <c r="D3856">
        <f t="shared" si="123"/>
        <v>1</v>
      </c>
    </row>
    <row r="3857" spans="1:4" x14ac:dyDescent="0.55000000000000004">
      <c r="A3857">
        <f t="shared" si="122"/>
        <v>2009</v>
      </c>
      <c r="B3857" s="821">
        <v>40058</v>
      </c>
      <c r="C3857">
        <v>4.09</v>
      </c>
      <c r="D3857">
        <f t="shared" si="123"/>
        <v>1</v>
      </c>
    </row>
    <row r="3858" spans="1:4" x14ac:dyDescent="0.55000000000000004">
      <c r="A3858">
        <f t="shared" si="122"/>
        <v>2009</v>
      </c>
      <c r="B3858" s="821">
        <v>40057</v>
      </c>
      <c r="C3858">
        <v>4.1900000000000004</v>
      </c>
      <c r="D3858">
        <f t="shared" si="123"/>
        <v>1</v>
      </c>
    </row>
    <row r="3859" spans="1:4" x14ac:dyDescent="0.55000000000000004">
      <c r="A3859">
        <f t="shared" si="122"/>
        <v>2009</v>
      </c>
      <c r="B3859" s="821">
        <v>40056</v>
      </c>
      <c r="C3859">
        <v>4.18</v>
      </c>
      <c r="D3859">
        <f t="shared" si="123"/>
        <v>1</v>
      </c>
    </row>
    <row r="3860" spans="1:4" x14ac:dyDescent="0.55000000000000004">
      <c r="A3860">
        <f t="shared" si="122"/>
        <v>2009</v>
      </c>
      <c r="B3860" s="821">
        <v>40053</v>
      </c>
      <c r="C3860">
        <v>4.21</v>
      </c>
      <c r="D3860">
        <f t="shared" si="123"/>
        <v>1</v>
      </c>
    </row>
    <row r="3861" spans="1:4" x14ac:dyDescent="0.55000000000000004">
      <c r="A3861">
        <f t="shared" si="122"/>
        <v>2009</v>
      </c>
      <c r="B3861" s="821">
        <v>40052</v>
      </c>
      <c r="C3861">
        <v>4.2300000000000004</v>
      </c>
      <c r="D3861">
        <f t="shared" si="123"/>
        <v>1</v>
      </c>
    </row>
    <row r="3862" spans="1:4" x14ac:dyDescent="0.55000000000000004">
      <c r="A3862">
        <f t="shared" si="122"/>
        <v>2009</v>
      </c>
      <c r="B3862" s="821">
        <v>40051</v>
      </c>
      <c r="C3862">
        <v>4.2</v>
      </c>
      <c r="D3862">
        <f t="shared" si="123"/>
        <v>1</v>
      </c>
    </row>
    <row r="3863" spans="1:4" x14ac:dyDescent="0.55000000000000004">
      <c r="A3863">
        <f t="shared" si="122"/>
        <v>2009</v>
      </c>
      <c r="B3863" s="821">
        <v>40050</v>
      </c>
      <c r="C3863">
        <v>4.22</v>
      </c>
      <c r="D3863">
        <f t="shared" si="123"/>
        <v>1</v>
      </c>
    </row>
    <row r="3864" spans="1:4" x14ac:dyDescent="0.55000000000000004">
      <c r="A3864">
        <f t="shared" si="122"/>
        <v>2009</v>
      </c>
      <c r="B3864" s="821">
        <v>40049</v>
      </c>
      <c r="C3864">
        <v>4.2699999999999996</v>
      </c>
      <c r="D3864">
        <f t="shared" si="123"/>
        <v>1</v>
      </c>
    </row>
    <row r="3865" spans="1:4" x14ac:dyDescent="0.55000000000000004">
      <c r="A3865">
        <f t="shared" si="122"/>
        <v>2009</v>
      </c>
      <c r="B3865" s="821">
        <v>40046</v>
      </c>
      <c r="C3865">
        <v>4.3600000000000003</v>
      </c>
      <c r="D3865">
        <f t="shared" si="123"/>
        <v>1</v>
      </c>
    </row>
    <row r="3866" spans="1:4" x14ac:dyDescent="0.55000000000000004">
      <c r="A3866">
        <f t="shared" si="122"/>
        <v>2009</v>
      </c>
      <c r="B3866" s="821">
        <v>40045</v>
      </c>
      <c r="C3866">
        <v>4.24</v>
      </c>
      <c r="D3866">
        <f t="shared" si="123"/>
        <v>1</v>
      </c>
    </row>
    <row r="3867" spans="1:4" x14ac:dyDescent="0.55000000000000004">
      <c r="A3867">
        <f t="shared" si="122"/>
        <v>2009</v>
      </c>
      <c r="B3867" s="821">
        <v>40044</v>
      </c>
      <c r="C3867">
        <v>4.28</v>
      </c>
      <c r="D3867">
        <f t="shared" si="123"/>
        <v>1</v>
      </c>
    </row>
    <row r="3868" spans="1:4" x14ac:dyDescent="0.55000000000000004">
      <c r="A3868">
        <f t="shared" si="122"/>
        <v>2009</v>
      </c>
      <c r="B3868" s="821">
        <v>40043</v>
      </c>
      <c r="C3868">
        <v>4.3499999999999996</v>
      </c>
      <c r="D3868">
        <f t="shared" si="123"/>
        <v>1</v>
      </c>
    </row>
    <row r="3869" spans="1:4" x14ac:dyDescent="0.55000000000000004">
      <c r="A3869">
        <f t="shared" si="122"/>
        <v>2009</v>
      </c>
      <c r="B3869" s="821">
        <v>40042</v>
      </c>
      <c r="C3869">
        <v>4.33</v>
      </c>
      <c r="D3869">
        <f t="shared" si="123"/>
        <v>1</v>
      </c>
    </row>
    <row r="3870" spans="1:4" x14ac:dyDescent="0.55000000000000004">
      <c r="A3870">
        <f t="shared" si="122"/>
        <v>2009</v>
      </c>
      <c r="B3870" s="821">
        <v>40039</v>
      </c>
      <c r="C3870">
        <v>4.41</v>
      </c>
      <c r="D3870">
        <f t="shared" si="123"/>
        <v>1</v>
      </c>
    </row>
    <row r="3871" spans="1:4" x14ac:dyDescent="0.55000000000000004">
      <c r="A3871">
        <f t="shared" si="122"/>
        <v>2009</v>
      </c>
      <c r="B3871" s="821">
        <v>40038</v>
      </c>
      <c r="C3871">
        <v>4.4400000000000004</v>
      </c>
      <c r="D3871">
        <f t="shared" si="123"/>
        <v>1</v>
      </c>
    </row>
    <row r="3872" spans="1:4" x14ac:dyDescent="0.55000000000000004">
      <c r="A3872">
        <f t="shared" si="122"/>
        <v>2009</v>
      </c>
      <c r="B3872" s="821">
        <v>40037</v>
      </c>
      <c r="C3872">
        <v>4.53</v>
      </c>
      <c r="D3872">
        <f t="shared" si="123"/>
        <v>1</v>
      </c>
    </row>
    <row r="3873" spans="1:4" x14ac:dyDescent="0.55000000000000004">
      <c r="A3873">
        <f t="shared" si="122"/>
        <v>2009</v>
      </c>
      <c r="B3873" s="821">
        <v>40036</v>
      </c>
      <c r="C3873">
        <v>4.4400000000000004</v>
      </c>
      <c r="D3873">
        <f t="shared" si="123"/>
        <v>1</v>
      </c>
    </row>
    <row r="3874" spans="1:4" x14ac:dyDescent="0.55000000000000004">
      <c r="A3874">
        <f t="shared" si="122"/>
        <v>2009</v>
      </c>
      <c r="B3874" s="821">
        <v>40035</v>
      </c>
      <c r="C3874">
        <v>4.5199999999999996</v>
      </c>
      <c r="D3874">
        <f t="shared" si="123"/>
        <v>1</v>
      </c>
    </row>
    <row r="3875" spans="1:4" x14ac:dyDescent="0.55000000000000004">
      <c r="A3875">
        <f t="shared" si="122"/>
        <v>2009</v>
      </c>
      <c r="B3875" s="821">
        <v>40032</v>
      </c>
      <c r="C3875">
        <v>4.6100000000000003</v>
      </c>
      <c r="D3875">
        <f t="shared" si="123"/>
        <v>1</v>
      </c>
    </row>
    <row r="3876" spans="1:4" x14ac:dyDescent="0.55000000000000004">
      <c r="A3876">
        <f t="shared" si="122"/>
        <v>2009</v>
      </c>
      <c r="B3876" s="821">
        <v>40031</v>
      </c>
      <c r="C3876">
        <v>4.53</v>
      </c>
      <c r="D3876">
        <f t="shared" si="123"/>
        <v>1</v>
      </c>
    </row>
    <row r="3877" spans="1:4" x14ac:dyDescent="0.55000000000000004">
      <c r="A3877">
        <f t="shared" si="122"/>
        <v>2009</v>
      </c>
      <c r="B3877" s="821">
        <v>40030</v>
      </c>
      <c r="C3877">
        <v>4.57</v>
      </c>
      <c r="D3877">
        <f t="shared" si="123"/>
        <v>1</v>
      </c>
    </row>
    <row r="3878" spans="1:4" x14ac:dyDescent="0.55000000000000004">
      <c r="A3878">
        <f t="shared" si="122"/>
        <v>2009</v>
      </c>
      <c r="B3878" s="821">
        <v>40029</v>
      </c>
      <c r="C3878">
        <v>4.45</v>
      </c>
      <c r="D3878">
        <f t="shared" si="123"/>
        <v>1</v>
      </c>
    </row>
    <row r="3879" spans="1:4" x14ac:dyDescent="0.55000000000000004">
      <c r="A3879">
        <f t="shared" si="122"/>
        <v>2009</v>
      </c>
      <c r="B3879" s="821">
        <v>40028</v>
      </c>
      <c r="C3879">
        <v>4.42</v>
      </c>
      <c r="D3879">
        <f t="shared" si="123"/>
        <v>1</v>
      </c>
    </row>
    <row r="3880" spans="1:4" x14ac:dyDescent="0.55000000000000004">
      <c r="A3880">
        <f t="shared" si="122"/>
        <v>2009</v>
      </c>
      <c r="B3880" s="821">
        <v>40025</v>
      </c>
      <c r="C3880">
        <v>4.3099999999999996</v>
      </c>
      <c r="D3880">
        <f t="shared" si="123"/>
        <v>1</v>
      </c>
    </row>
    <row r="3881" spans="1:4" x14ac:dyDescent="0.55000000000000004">
      <c r="A3881">
        <f t="shared" si="122"/>
        <v>2009</v>
      </c>
      <c r="B3881" s="821">
        <v>40024</v>
      </c>
      <c r="C3881">
        <v>4.4400000000000004</v>
      </c>
      <c r="D3881">
        <f t="shared" si="123"/>
        <v>1</v>
      </c>
    </row>
    <row r="3882" spans="1:4" x14ac:dyDescent="0.55000000000000004">
      <c r="A3882">
        <f t="shared" si="122"/>
        <v>2009</v>
      </c>
      <c r="B3882" s="821">
        <v>40023</v>
      </c>
      <c r="C3882">
        <v>4.5</v>
      </c>
      <c r="D3882">
        <f t="shared" si="123"/>
        <v>1</v>
      </c>
    </row>
    <row r="3883" spans="1:4" x14ac:dyDescent="0.55000000000000004">
      <c r="A3883">
        <f t="shared" si="122"/>
        <v>2009</v>
      </c>
      <c r="B3883" s="821">
        <v>40022</v>
      </c>
      <c r="C3883">
        <v>4.5599999999999996</v>
      </c>
      <c r="D3883">
        <f t="shared" si="123"/>
        <v>1</v>
      </c>
    </row>
    <row r="3884" spans="1:4" x14ac:dyDescent="0.55000000000000004">
      <c r="A3884">
        <f t="shared" si="122"/>
        <v>2009</v>
      </c>
      <c r="B3884" s="821">
        <v>40021</v>
      </c>
      <c r="C3884">
        <v>4.62</v>
      </c>
      <c r="D3884">
        <f t="shared" si="123"/>
        <v>1</v>
      </c>
    </row>
    <row r="3885" spans="1:4" x14ac:dyDescent="0.55000000000000004">
      <c r="A3885">
        <f t="shared" si="122"/>
        <v>2009</v>
      </c>
      <c r="B3885" s="821">
        <v>40018</v>
      </c>
      <c r="C3885">
        <v>4.55</v>
      </c>
      <c r="D3885">
        <f t="shared" si="123"/>
        <v>1</v>
      </c>
    </row>
    <row r="3886" spans="1:4" x14ac:dyDescent="0.55000000000000004">
      <c r="A3886">
        <f t="shared" si="122"/>
        <v>2009</v>
      </c>
      <c r="B3886" s="821">
        <v>40017</v>
      </c>
      <c r="C3886">
        <v>4.58</v>
      </c>
      <c r="D3886">
        <f t="shared" si="123"/>
        <v>1</v>
      </c>
    </row>
    <row r="3887" spans="1:4" x14ac:dyDescent="0.55000000000000004">
      <c r="A3887">
        <f t="shared" si="122"/>
        <v>2009</v>
      </c>
      <c r="B3887" s="821">
        <v>40016</v>
      </c>
      <c r="C3887">
        <v>4.45</v>
      </c>
      <c r="D3887">
        <f t="shared" si="123"/>
        <v>1</v>
      </c>
    </row>
    <row r="3888" spans="1:4" x14ac:dyDescent="0.55000000000000004">
      <c r="A3888">
        <f t="shared" si="122"/>
        <v>2009</v>
      </c>
      <c r="B3888" s="821">
        <v>40015</v>
      </c>
      <c r="C3888">
        <v>4.38</v>
      </c>
      <c r="D3888">
        <f t="shared" si="123"/>
        <v>1</v>
      </c>
    </row>
    <row r="3889" spans="1:4" x14ac:dyDescent="0.55000000000000004">
      <c r="A3889">
        <f t="shared" si="122"/>
        <v>2009</v>
      </c>
      <c r="B3889" s="821">
        <v>40014</v>
      </c>
      <c r="C3889">
        <v>4.47</v>
      </c>
      <c r="D3889">
        <f t="shared" si="123"/>
        <v>1</v>
      </c>
    </row>
    <row r="3890" spans="1:4" x14ac:dyDescent="0.55000000000000004">
      <c r="A3890">
        <f t="shared" si="122"/>
        <v>2009</v>
      </c>
      <c r="B3890" s="821">
        <v>40011</v>
      </c>
      <c r="C3890">
        <v>4.53</v>
      </c>
      <c r="D3890">
        <f t="shared" si="123"/>
        <v>1</v>
      </c>
    </row>
    <row r="3891" spans="1:4" x14ac:dyDescent="0.55000000000000004">
      <c r="A3891">
        <f t="shared" si="122"/>
        <v>2009</v>
      </c>
      <c r="B3891" s="821">
        <v>40010</v>
      </c>
      <c r="C3891">
        <v>4.45</v>
      </c>
      <c r="D3891">
        <f t="shared" si="123"/>
        <v>1</v>
      </c>
    </row>
    <row r="3892" spans="1:4" x14ac:dyDescent="0.55000000000000004">
      <c r="A3892">
        <f t="shared" si="122"/>
        <v>2009</v>
      </c>
      <c r="B3892" s="821">
        <v>40009</v>
      </c>
      <c r="C3892">
        <v>4.4800000000000004</v>
      </c>
      <c r="D3892">
        <f t="shared" si="123"/>
        <v>1</v>
      </c>
    </row>
    <row r="3893" spans="1:4" x14ac:dyDescent="0.55000000000000004">
      <c r="A3893">
        <f t="shared" si="122"/>
        <v>2009</v>
      </c>
      <c r="B3893" s="821">
        <v>40008</v>
      </c>
      <c r="C3893">
        <v>4.38</v>
      </c>
      <c r="D3893">
        <f t="shared" si="123"/>
        <v>1</v>
      </c>
    </row>
    <row r="3894" spans="1:4" x14ac:dyDescent="0.55000000000000004">
      <c r="A3894">
        <f t="shared" si="122"/>
        <v>2009</v>
      </c>
      <c r="B3894" s="821">
        <v>40007</v>
      </c>
      <c r="C3894">
        <v>4.25</v>
      </c>
      <c r="D3894">
        <f t="shared" si="123"/>
        <v>1</v>
      </c>
    </row>
    <row r="3895" spans="1:4" x14ac:dyDescent="0.55000000000000004">
      <c r="A3895">
        <f t="shared" si="122"/>
        <v>2009</v>
      </c>
      <c r="B3895" s="821">
        <v>40004</v>
      </c>
      <c r="C3895">
        <v>4.2</v>
      </c>
      <c r="D3895">
        <f t="shared" si="123"/>
        <v>1</v>
      </c>
    </row>
    <row r="3896" spans="1:4" x14ac:dyDescent="0.55000000000000004">
      <c r="A3896">
        <f t="shared" si="122"/>
        <v>2009</v>
      </c>
      <c r="B3896" s="821">
        <v>40003</v>
      </c>
      <c r="C3896">
        <v>4.3099999999999996</v>
      </c>
      <c r="D3896">
        <f t="shared" si="123"/>
        <v>1</v>
      </c>
    </row>
    <row r="3897" spans="1:4" x14ac:dyDescent="0.55000000000000004">
      <c r="A3897">
        <f t="shared" si="122"/>
        <v>2009</v>
      </c>
      <c r="B3897" s="821">
        <v>40002</v>
      </c>
      <c r="C3897">
        <v>4.17</v>
      </c>
      <c r="D3897">
        <f t="shared" si="123"/>
        <v>1</v>
      </c>
    </row>
    <row r="3898" spans="1:4" x14ac:dyDescent="0.55000000000000004">
      <c r="A3898">
        <f t="shared" si="122"/>
        <v>2009</v>
      </c>
      <c r="B3898" s="821">
        <v>40001</v>
      </c>
      <c r="C3898">
        <v>4.3099999999999996</v>
      </c>
      <c r="D3898">
        <f t="shared" si="123"/>
        <v>1</v>
      </c>
    </row>
    <row r="3899" spans="1:4" x14ac:dyDescent="0.55000000000000004">
      <c r="A3899">
        <f t="shared" si="122"/>
        <v>2009</v>
      </c>
      <c r="B3899" s="821">
        <v>40000</v>
      </c>
      <c r="C3899">
        <v>4.3499999999999996</v>
      </c>
      <c r="D3899">
        <f t="shared" si="123"/>
        <v>1</v>
      </c>
    </row>
    <row r="3900" spans="1:4" x14ac:dyDescent="0.55000000000000004">
      <c r="A3900">
        <f t="shared" si="122"/>
        <v>2009</v>
      </c>
      <c r="B3900" s="821">
        <v>39996</v>
      </c>
      <c r="C3900">
        <v>4.32</v>
      </c>
      <c r="D3900">
        <f t="shared" si="123"/>
        <v>1</v>
      </c>
    </row>
    <row r="3901" spans="1:4" x14ac:dyDescent="0.55000000000000004">
      <c r="A3901">
        <f t="shared" si="122"/>
        <v>2009</v>
      </c>
      <c r="B3901" s="821">
        <v>39995</v>
      </c>
      <c r="C3901">
        <v>4.34</v>
      </c>
      <c r="D3901">
        <f t="shared" si="123"/>
        <v>1</v>
      </c>
    </row>
    <row r="3902" spans="1:4" x14ac:dyDescent="0.55000000000000004">
      <c r="A3902">
        <f t="shared" si="122"/>
        <v>2009</v>
      </c>
      <c r="B3902" s="821">
        <v>39994</v>
      </c>
      <c r="C3902">
        <v>4.32</v>
      </c>
      <c r="D3902">
        <f t="shared" si="123"/>
        <v>1</v>
      </c>
    </row>
    <row r="3903" spans="1:4" x14ac:dyDescent="0.55000000000000004">
      <c r="A3903">
        <f t="shared" si="122"/>
        <v>2009</v>
      </c>
      <c r="B3903" s="821">
        <v>39993</v>
      </c>
      <c r="C3903">
        <v>4.3099999999999996</v>
      </c>
      <c r="D3903">
        <f t="shared" si="123"/>
        <v>1</v>
      </c>
    </row>
    <row r="3904" spans="1:4" x14ac:dyDescent="0.55000000000000004">
      <c r="A3904">
        <f t="shared" si="122"/>
        <v>2009</v>
      </c>
      <c r="B3904" s="821">
        <v>39990</v>
      </c>
      <c r="C3904">
        <v>4.3</v>
      </c>
      <c r="D3904">
        <f t="shared" si="123"/>
        <v>1</v>
      </c>
    </row>
    <row r="3905" spans="1:4" x14ac:dyDescent="0.55000000000000004">
      <c r="A3905">
        <f t="shared" si="122"/>
        <v>2009</v>
      </c>
      <c r="B3905" s="821">
        <v>39989</v>
      </c>
      <c r="C3905">
        <v>4.33</v>
      </c>
      <c r="D3905">
        <f t="shared" si="123"/>
        <v>1</v>
      </c>
    </row>
    <row r="3906" spans="1:4" x14ac:dyDescent="0.55000000000000004">
      <c r="A3906">
        <f t="shared" si="122"/>
        <v>2009</v>
      </c>
      <c r="B3906" s="821">
        <v>39988</v>
      </c>
      <c r="C3906">
        <v>4.4400000000000004</v>
      </c>
      <c r="D3906">
        <f t="shared" si="123"/>
        <v>1</v>
      </c>
    </row>
    <row r="3907" spans="1:4" x14ac:dyDescent="0.55000000000000004">
      <c r="A3907">
        <f t="shared" si="122"/>
        <v>2009</v>
      </c>
      <c r="B3907" s="821">
        <v>39987</v>
      </c>
      <c r="C3907">
        <v>4.37</v>
      </c>
      <c r="D3907">
        <f t="shared" si="123"/>
        <v>1</v>
      </c>
    </row>
    <row r="3908" spans="1:4" x14ac:dyDescent="0.55000000000000004">
      <c r="A3908">
        <f t="shared" ref="A3908:A3971" si="124">YEAR(B3908)</f>
        <v>2009</v>
      </c>
      <c r="B3908" s="821">
        <v>39986</v>
      </c>
      <c r="C3908">
        <v>4.45</v>
      </c>
      <c r="D3908">
        <f t="shared" ref="D3908:D3971" si="125">IF(C3908&gt;4,1,0)</f>
        <v>1</v>
      </c>
    </row>
    <row r="3909" spans="1:4" x14ac:dyDescent="0.55000000000000004">
      <c r="A3909">
        <f t="shared" si="124"/>
        <v>2009</v>
      </c>
      <c r="B3909" s="821">
        <v>39983</v>
      </c>
      <c r="C3909">
        <v>4.5199999999999996</v>
      </c>
      <c r="D3909">
        <f t="shared" si="125"/>
        <v>1</v>
      </c>
    </row>
    <row r="3910" spans="1:4" x14ac:dyDescent="0.55000000000000004">
      <c r="A3910">
        <f t="shared" si="124"/>
        <v>2009</v>
      </c>
      <c r="B3910" s="821">
        <v>39982</v>
      </c>
      <c r="C3910">
        <v>4.63</v>
      </c>
      <c r="D3910">
        <f t="shared" si="125"/>
        <v>1</v>
      </c>
    </row>
    <row r="3911" spans="1:4" x14ac:dyDescent="0.55000000000000004">
      <c r="A3911">
        <f t="shared" si="124"/>
        <v>2009</v>
      </c>
      <c r="B3911" s="821">
        <v>39981</v>
      </c>
      <c r="C3911">
        <v>4.5</v>
      </c>
      <c r="D3911">
        <f t="shared" si="125"/>
        <v>1</v>
      </c>
    </row>
    <row r="3912" spans="1:4" x14ac:dyDescent="0.55000000000000004">
      <c r="A3912">
        <f t="shared" si="124"/>
        <v>2009</v>
      </c>
      <c r="B3912" s="821">
        <v>39980</v>
      </c>
      <c r="C3912">
        <v>4.4800000000000004</v>
      </c>
      <c r="D3912">
        <f t="shared" si="125"/>
        <v>1</v>
      </c>
    </row>
    <row r="3913" spans="1:4" x14ac:dyDescent="0.55000000000000004">
      <c r="A3913">
        <f t="shared" si="124"/>
        <v>2009</v>
      </c>
      <c r="B3913" s="821">
        <v>39979</v>
      </c>
      <c r="C3913">
        <v>4.6100000000000003</v>
      </c>
      <c r="D3913">
        <f t="shared" si="125"/>
        <v>1</v>
      </c>
    </row>
    <row r="3914" spans="1:4" x14ac:dyDescent="0.55000000000000004">
      <c r="A3914">
        <f t="shared" si="124"/>
        <v>2009</v>
      </c>
      <c r="B3914" s="821">
        <v>39976</v>
      </c>
      <c r="C3914">
        <v>4.6500000000000004</v>
      </c>
      <c r="D3914">
        <f t="shared" si="125"/>
        <v>1</v>
      </c>
    </row>
    <row r="3915" spans="1:4" x14ac:dyDescent="0.55000000000000004">
      <c r="A3915">
        <f t="shared" si="124"/>
        <v>2009</v>
      </c>
      <c r="B3915" s="821">
        <v>39975</v>
      </c>
      <c r="C3915">
        <v>4.6900000000000004</v>
      </c>
      <c r="D3915">
        <f t="shared" si="125"/>
        <v>1</v>
      </c>
    </row>
    <row r="3916" spans="1:4" x14ac:dyDescent="0.55000000000000004">
      <c r="A3916">
        <f t="shared" si="124"/>
        <v>2009</v>
      </c>
      <c r="B3916" s="821">
        <v>39974</v>
      </c>
      <c r="C3916">
        <v>4.76</v>
      </c>
      <c r="D3916">
        <f t="shared" si="125"/>
        <v>1</v>
      </c>
    </row>
    <row r="3917" spans="1:4" x14ac:dyDescent="0.55000000000000004">
      <c r="A3917">
        <f t="shared" si="124"/>
        <v>2009</v>
      </c>
      <c r="B3917" s="821">
        <v>39973</v>
      </c>
      <c r="C3917">
        <v>4.6399999999999997</v>
      </c>
      <c r="D3917">
        <f t="shared" si="125"/>
        <v>1</v>
      </c>
    </row>
    <row r="3918" spans="1:4" x14ac:dyDescent="0.55000000000000004">
      <c r="A3918">
        <f t="shared" si="124"/>
        <v>2009</v>
      </c>
      <c r="B3918" s="821">
        <v>39972</v>
      </c>
      <c r="C3918">
        <v>4.6500000000000004</v>
      </c>
      <c r="D3918">
        <f t="shared" si="125"/>
        <v>1</v>
      </c>
    </row>
    <row r="3919" spans="1:4" x14ac:dyDescent="0.55000000000000004">
      <c r="A3919">
        <f t="shared" si="124"/>
        <v>2009</v>
      </c>
      <c r="B3919" s="821">
        <v>39969</v>
      </c>
      <c r="C3919">
        <v>4.63</v>
      </c>
      <c r="D3919">
        <f t="shared" si="125"/>
        <v>1</v>
      </c>
    </row>
    <row r="3920" spans="1:4" x14ac:dyDescent="0.55000000000000004">
      <c r="A3920">
        <f t="shared" si="124"/>
        <v>2009</v>
      </c>
      <c r="B3920" s="821">
        <v>39968</v>
      </c>
      <c r="C3920">
        <v>4.58</v>
      </c>
      <c r="D3920">
        <f t="shared" si="125"/>
        <v>1</v>
      </c>
    </row>
    <row r="3921" spans="1:4" x14ac:dyDescent="0.55000000000000004">
      <c r="A3921">
        <f t="shared" si="124"/>
        <v>2009</v>
      </c>
      <c r="B3921" s="821">
        <v>39967</v>
      </c>
      <c r="C3921">
        <v>4.45</v>
      </c>
      <c r="D3921">
        <f t="shared" si="125"/>
        <v>1</v>
      </c>
    </row>
    <row r="3922" spans="1:4" x14ac:dyDescent="0.55000000000000004">
      <c r="A3922">
        <f t="shared" si="124"/>
        <v>2009</v>
      </c>
      <c r="B3922" s="821">
        <v>39966</v>
      </c>
      <c r="C3922">
        <v>4.5</v>
      </c>
      <c r="D3922">
        <f t="shared" si="125"/>
        <v>1</v>
      </c>
    </row>
    <row r="3923" spans="1:4" x14ac:dyDescent="0.55000000000000004">
      <c r="A3923">
        <f t="shared" si="124"/>
        <v>2009</v>
      </c>
      <c r="B3923" s="821">
        <v>39965</v>
      </c>
      <c r="C3923">
        <v>4.55</v>
      </c>
      <c r="D3923">
        <f t="shared" si="125"/>
        <v>1</v>
      </c>
    </row>
    <row r="3924" spans="1:4" x14ac:dyDescent="0.55000000000000004">
      <c r="A3924">
        <f t="shared" si="124"/>
        <v>2009</v>
      </c>
      <c r="B3924" s="821">
        <v>39962</v>
      </c>
      <c r="C3924">
        <v>4.34</v>
      </c>
      <c r="D3924">
        <f t="shared" si="125"/>
        <v>1</v>
      </c>
    </row>
    <row r="3925" spans="1:4" x14ac:dyDescent="0.55000000000000004">
      <c r="A3925">
        <f t="shared" si="124"/>
        <v>2009</v>
      </c>
      <c r="B3925" s="821">
        <v>39961</v>
      </c>
      <c r="C3925">
        <v>4.54</v>
      </c>
      <c r="D3925">
        <f t="shared" si="125"/>
        <v>1</v>
      </c>
    </row>
    <row r="3926" spans="1:4" x14ac:dyDescent="0.55000000000000004">
      <c r="A3926">
        <f t="shared" si="124"/>
        <v>2009</v>
      </c>
      <c r="B3926" s="821">
        <v>39960</v>
      </c>
      <c r="C3926">
        <v>4.59</v>
      </c>
      <c r="D3926">
        <f t="shared" si="125"/>
        <v>1</v>
      </c>
    </row>
    <row r="3927" spans="1:4" x14ac:dyDescent="0.55000000000000004">
      <c r="A3927">
        <f t="shared" si="124"/>
        <v>2009</v>
      </c>
      <c r="B3927" s="821">
        <v>39959</v>
      </c>
      <c r="C3927">
        <v>4.45</v>
      </c>
      <c r="D3927">
        <f t="shared" si="125"/>
        <v>1</v>
      </c>
    </row>
    <row r="3928" spans="1:4" x14ac:dyDescent="0.55000000000000004">
      <c r="A3928">
        <f t="shared" si="124"/>
        <v>2009</v>
      </c>
      <c r="B3928" s="821">
        <v>39955</v>
      </c>
      <c r="C3928">
        <v>4.38</v>
      </c>
      <c r="D3928">
        <f t="shared" si="125"/>
        <v>1</v>
      </c>
    </row>
    <row r="3929" spans="1:4" x14ac:dyDescent="0.55000000000000004">
      <c r="A3929">
        <f t="shared" si="124"/>
        <v>2009</v>
      </c>
      <c r="B3929" s="821">
        <v>39954</v>
      </c>
      <c r="C3929">
        <v>4.3</v>
      </c>
      <c r="D3929">
        <f t="shared" si="125"/>
        <v>1</v>
      </c>
    </row>
    <row r="3930" spans="1:4" x14ac:dyDescent="0.55000000000000004">
      <c r="A3930">
        <f t="shared" si="124"/>
        <v>2009</v>
      </c>
      <c r="B3930" s="821">
        <v>39953</v>
      </c>
      <c r="C3930">
        <v>4.1399999999999997</v>
      </c>
      <c r="D3930">
        <f t="shared" si="125"/>
        <v>1</v>
      </c>
    </row>
    <row r="3931" spans="1:4" x14ac:dyDescent="0.55000000000000004">
      <c r="A3931">
        <f t="shared" si="124"/>
        <v>2009</v>
      </c>
      <c r="B3931" s="821">
        <v>39952</v>
      </c>
      <c r="C3931">
        <v>4.21</v>
      </c>
      <c r="D3931">
        <f t="shared" si="125"/>
        <v>1</v>
      </c>
    </row>
    <row r="3932" spans="1:4" x14ac:dyDescent="0.55000000000000004">
      <c r="A3932">
        <f t="shared" si="124"/>
        <v>2009</v>
      </c>
      <c r="B3932" s="821">
        <v>39951</v>
      </c>
      <c r="C3932">
        <v>4.18</v>
      </c>
      <c r="D3932">
        <f t="shared" si="125"/>
        <v>1</v>
      </c>
    </row>
    <row r="3933" spans="1:4" x14ac:dyDescent="0.55000000000000004">
      <c r="A3933">
        <f t="shared" si="124"/>
        <v>2009</v>
      </c>
      <c r="B3933" s="821">
        <v>39948</v>
      </c>
      <c r="C3933">
        <v>4.09</v>
      </c>
      <c r="D3933">
        <f t="shared" si="125"/>
        <v>1</v>
      </c>
    </row>
    <row r="3934" spans="1:4" x14ac:dyDescent="0.55000000000000004">
      <c r="A3934">
        <f t="shared" si="124"/>
        <v>2009</v>
      </c>
      <c r="B3934" s="821">
        <v>39947</v>
      </c>
      <c r="C3934">
        <v>4.0599999999999996</v>
      </c>
      <c r="D3934">
        <f t="shared" si="125"/>
        <v>1</v>
      </c>
    </row>
    <row r="3935" spans="1:4" x14ac:dyDescent="0.55000000000000004">
      <c r="A3935">
        <f t="shared" si="124"/>
        <v>2009</v>
      </c>
      <c r="B3935" s="821">
        <v>39946</v>
      </c>
      <c r="C3935">
        <v>4.09</v>
      </c>
      <c r="D3935">
        <f t="shared" si="125"/>
        <v>1</v>
      </c>
    </row>
    <row r="3936" spans="1:4" x14ac:dyDescent="0.55000000000000004">
      <c r="A3936">
        <f t="shared" si="124"/>
        <v>2009</v>
      </c>
      <c r="B3936" s="821">
        <v>39945</v>
      </c>
      <c r="C3936">
        <v>4.16</v>
      </c>
      <c r="D3936">
        <f t="shared" si="125"/>
        <v>1</v>
      </c>
    </row>
    <row r="3937" spans="1:4" x14ac:dyDescent="0.55000000000000004">
      <c r="A3937">
        <f t="shared" si="124"/>
        <v>2009</v>
      </c>
      <c r="B3937" s="821">
        <v>39944</v>
      </c>
      <c r="C3937">
        <v>4.18</v>
      </c>
      <c r="D3937">
        <f t="shared" si="125"/>
        <v>1</v>
      </c>
    </row>
    <row r="3938" spans="1:4" x14ac:dyDescent="0.55000000000000004">
      <c r="A3938">
        <f t="shared" si="124"/>
        <v>2009</v>
      </c>
      <c r="B3938" s="821">
        <v>39941</v>
      </c>
      <c r="C3938">
        <v>4.28</v>
      </c>
      <c r="D3938">
        <f t="shared" si="125"/>
        <v>1</v>
      </c>
    </row>
    <row r="3939" spans="1:4" x14ac:dyDescent="0.55000000000000004">
      <c r="A3939">
        <f t="shared" si="124"/>
        <v>2009</v>
      </c>
      <c r="B3939" s="821">
        <v>39940</v>
      </c>
      <c r="C3939">
        <v>4.25</v>
      </c>
      <c r="D3939">
        <f t="shared" si="125"/>
        <v>1</v>
      </c>
    </row>
    <row r="3940" spans="1:4" x14ac:dyDescent="0.55000000000000004">
      <c r="A3940">
        <f t="shared" si="124"/>
        <v>2009</v>
      </c>
      <c r="B3940" s="821">
        <v>39939</v>
      </c>
      <c r="C3940">
        <v>4.09</v>
      </c>
      <c r="D3940">
        <f t="shared" si="125"/>
        <v>1</v>
      </c>
    </row>
    <row r="3941" spans="1:4" x14ac:dyDescent="0.55000000000000004">
      <c r="A3941">
        <f t="shared" si="124"/>
        <v>2009</v>
      </c>
      <c r="B3941" s="821">
        <v>39938</v>
      </c>
      <c r="C3941">
        <v>4.0599999999999996</v>
      </c>
      <c r="D3941">
        <f t="shared" si="125"/>
        <v>1</v>
      </c>
    </row>
    <row r="3942" spans="1:4" x14ac:dyDescent="0.55000000000000004">
      <c r="A3942">
        <f t="shared" si="124"/>
        <v>2009</v>
      </c>
      <c r="B3942" s="821">
        <v>39937</v>
      </c>
      <c r="C3942">
        <v>4.0599999999999996</v>
      </c>
      <c r="D3942">
        <f t="shared" si="125"/>
        <v>1</v>
      </c>
    </row>
    <row r="3943" spans="1:4" x14ac:dyDescent="0.55000000000000004">
      <c r="A3943">
        <f t="shared" si="124"/>
        <v>2009</v>
      </c>
      <c r="B3943" s="821">
        <v>39934</v>
      </c>
      <c r="C3943">
        <v>4.09</v>
      </c>
      <c r="D3943">
        <f t="shared" si="125"/>
        <v>1</v>
      </c>
    </row>
    <row r="3944" spans="1:4" x14ac:dyDescent="0.55000000000000004">
      <c r="A3944">
        <f t="shared" si="124"/>
        <v>2009</v>
      </c>
      <c r="B3944" s="821">
        <v>39933</v>
      </c>
      <c r="C3944">
        <v>4.05</v>
      </c>
      <c r="D3944">
        <f t="shared" si="125"/>
        <v>1</v>
      </c>
    </row>
    <row r="3945" spans="1:4" x14ac:dyDescent="0.55000000000000004">
      <c r="A3945">
        <f t="shared" si="124"/>
        <v>2009</v>
      </c>
      <c r="B3945" s="821">
        <v>39932</v>
      </c>
      <c r="C3945">
        <v>4.01</v>
      </c>
      <c r="D3945">
        <f t="shared" si="125"/>
        <v>1</v>
      </c>
    </row>
    <row r="3946" spans="1:4" x14ac:dyDescent="0.55000000000000004">
      <c r="A3946">
        <f t="shared" si="124"/>
        <v>2009</v>
      </c>
      <c r="B3946" s="821">
        <v>39931</v>
      </c>
      <c r="C3946">
        <v>3.97</v>
      </c>
      <c r="D3946">
        <f t="shared" si="125"/>
        <v>0</v>
      </c>
    </row>
    <row r="3947" spans="1:4" x14ac:dyDescent="0.55000000000000004">
      <c r="A3947">
        <f t="shared" si="124"/>
        <v>2009</v>
      </c>
      <c r="B3947" s="821">
        <v>39930</v>
      </c>
      <c r="C3947">
        <v>3.84</v>
      </c>
      <c r="D3947">
        <f t="shared" si="125"/>
        <v>0</v>
      </c>
    </row>
    <row r="3948" spans="1:4" x14ac:dyDescent="0.55000000000000004">
      <c r="A3948">
        <f t="shared" si="124"/>
        <v>2009</v>
      </c>
      <c r="B3948" s="821">
        <v>39927</v>
      </c>
      <c r="C3948">
        <v>3.89</v>
      </c>
      <c r="D3948">
        <f t="shared" si="125"/>
        <v>0</v>
      </c>
    </row>
    <row r="3949" spans="1:4" x14ac:dyDescent="0.55000000000000004">
      <c r="A3949">
        <f t="shared" si="124"/>
        <v>2009</v>
      </c>
      <c r="B3949" s="821">
        <v>39926</v>
      </c>
      <c r="C3949">
        <v>3.8</v>
      </c>
      <c r="D3949">
        <f t="shared" si="125"/>
        <v>0</v>
      </c>
    </row>
    <row r="3950" spans="1:4" x14ac:dyDescent="0.55000000000000004">
      <c r="A3950">
        <f t="shared" si="124"/>
        <v>2009</v>
      </c>
      <c r="B3950" s="821">
        <v>39925</v>
      </c>
      <c r="C3950">
        <v>3.82</v>
      </c>
      <c r="D3950">
        <f t="shared" si="125"/>
        <v>0</v>
      </c>
    </row>
    <row r="3951" spans="1:4" x14ac:dyDescent="0.55000000000000004">
      <c r="A3951">
        <f t="shared" si="124"/>
        <v>2009</v>
      </c>
      <c r="B3951" s="821">
        <v>39924</v>
      </c>
      <c r="C3951">
        <v>3.74</v>
      </c>
      <c r="D3951">
        <f t="shared" si="125"/>
        <v>0</v>
      </c>
    </row>
    <row r="3952" spans="1:4" x14ac:dyDescent="0.55000000000000004">
      <c r="A3952">
        <f t="shared" si="124"/>
        <v>2009</v>
      </c>
      <c r="B3952" s="821">
        <v>39923</v>
      </c>
      <c r="C3952">
        <v>3.69</v>
      </c>
      <c r="D3952">
        <f t="shared" si="125"/>
        <v>0</v>
      </c>
    </row>
    <row r="3953" spans="1:4" x14ac:dyDescent="0.55000000000000004">
      <c r="A3953">
        <f t="shared" si="124"/>
        <v>2009</v>
      </c>
      <c r="B3953" s="821">
        <v>39920</v>
      </c>
      <c r="C3953">
        <v>3.79</v>
      </c>
      <c r="D3953">
        <f t="shared" si="125"/>
        <v>0</v>
      </c>
    </row>
    <row r="3954" spans="1:4" x14ac:dyDescent="0.55000000000000004">
      <c r="A3954">
        <f t="shared" si="124"/>
        <v>2009</v>
      </c>
      <c r="B3954" s="821">
        <v>39919</v>
      </c>
      <c r="C3954">
        <v>3.72</v>
      </c>
      <c r="D3954">
        <f t="shared" si="125"/>
        <v>0</v>
      </c>
    </row>
    <row r="3955" spans="1:4" x14ac:dyDescent="0.55000000000000004">
      <c r="A3955">
        <f t="shared" si="124"/>
        <v>2009</v>
      </c>
      <c r="B3955" s="821">
        <v>39918</v>
      </c>
      <c r="C3955">
        <v>3.66</v>
      </c>
      <c r="D3955">
        <f t="shared" si="125"/>
        <v>0</v>
      </c>
    </row>
    <row r="3956" spans="1:4" x14ac:dyDescent="0.55000000000000004">
      <c r="A3956">
        <f t="shared" si="124"/>
        <v>2009</v>
      </c>
      <c r="B3956" s="821">
        <v>39917</v>
      </c>
      <c r="C3956">
        <v>3.64</v>
      </c>
      <c r="D3956">
        <f t="shared" si="125"/>
        <v>0</v>
      </c>
    </row>
    <row r="3957" spans="1:4" x14ac:dyDescent="0.55000000000000004">
      <c r="A3957">
        <f t="shared" si="124"/>
        <v>2009</v>
      </c>
      <c r="B3957" s="821">
        <v>39916</v>
      </c>
      <c r="C3957">
        <v>3.69</v>
      </c>
      <c r="D3957">
        <f t="shared" si="125"/>
        <v>0</v>
      </c>
    </row>
    <row r="3958" spans="1:4" x14ac:dyDescent="0.55000000000000004">
      <c r="A3958">
        <f t="shared" si="124"/>
        <v>2009</v>
      </c>
      <c r="B3958" s="821">
        <v>39912</v>
      </c>
      <c r="C3958">
        <v>3.76</v>
      </c>
      <c r="D3958">
        <f t="shared" si="125"/>
        <v>0</v>
      </c>
    </row>
    <row r="3959" spans="1:4" x14ac:dyDescent="0.55000000000000004">
      <c r="A3959">
        <f t="shared" si="124"/>
        <v>2009</v>
      </c>
      <c r="B3959" s="821">
        <v>39911</v>
      </c>
      <c r="C3959">
        <v>3.66</v>
      </c>
      <c r="D3959">
        <f t="shared" si="125"/>
        <v>0</v>
      </c>
    </row>
    <row r="3960" spans="1:4" x14ac:dyDescent="0.55000000000000004">
      <c r="A3960">
        <f t="shared" si="124"/>
        <v>2009</v>
      </c>
      <c r="B3960" s="821">
        <v>39910</v>
      </c>
      <c r="C3960">
        <v>3.72</v>
      </c>
      <c r="D3960">
        <f t="shared" si="125"/>
        <v>0</v>
      </c>
    </row>
    <row r="3961" spans="1:4" x14ac:dyDescent="0.55000000000000004">
      <c r="A3961">
        <f t="shared" si="124"/>
        <v>2009</v>
      </c>
      <c r="B3961" s="821">
        <v>39909</v>
      </c>
      <c r="C3961">
        <v>3.73</v>
      </c>
      <c r="D3961">
        <f t="shared" si="125"/>
        <v>0</v>
      </c>
    </row>
    <row r="3962" spans="1:4" x14ac:dyDescent="0.55000000000000004">
      <c r="A3962">
        <f t="shared" si="124"/>
        <v>2009</v>
      </c>
      <c r="B3962" s="821">
        <v>39906</v>
      </c>
      <c r="C3962">
        <v>3.7</v>
      </c>
      <c r="D3962">
        <f t="shared" si="125"/>
        <v>0</v>
      </c>
    </row>
    <row r="3963" spans="1:4" x14ac:dyDescent="0.55000000000000004">
      <c r="A3963">
        <f t="shared" si="124"/>
        <v>2009</v>
      </c>
      <c r="B3963" s="821">
        <v>39905</v>
      </c>
      <c r="C3963">
        <v>3.57</v>
      </c>
      <c r="D3963">
        <f t="shared" si="125"/>
        <v>0</v>
      </c>
    </row>
    <row r="3964" spans="1:4" x14ac:dyDescent="0.55000000000000004">
      <c r="A3964">
        <f t="shared" si="124"/>
        <v>2009</v>
      </c>
      <c r="B3964" s="821">
        <v>39904</v>
      </c>
      <c r="C3964">
        <v>3.51</v>
      </c>
      <c r="D3964">
        <f t="shared" si="125"/>
        <v>0</v>
      </c>
    </row>
    <row r="3965" spans="1:4" x14ac:dyDescent="0.55000000000000004">
      <c r="A3965">
        <f t="shared" si="124"/>
        <v>2009</v>
      </c>
      <c r="B3965" s="821">
        <v>39903</v>
      </c>
      <c r="C3965">
        <v>3.56</v>
      </c>
      <c r="D3965">
        <f t="shared" si="125"/>
        <v>0</v>
      </c>
    </row>
    <row r="3966" spans="1:4" x14ac:dyDescent="0.55000000000000004">
      <c r="A3966">
        <f t="shared" si="124"/>
        <v>2009</v>
      </c>
      <c r="B3966" s="821">
        <v>39902</v>
      </c>
      <c r="C3966">
        <v>3.6</v>
      </c>
      <c r="D3966">
        <f t="shared" si="125"/>
        <v>0</v>
      </c>
    </row>
    <row r="3967" spans="1:4" x14ac:dyDescent="0.55000000000000004">
      <c r="A3967">
        <f t="shared" si="124"/>
        <v>2009</v>
      </c>
      <c r="B3967" s="821">
        <v>39899</v>
      </c>
      <c r="C3967">
        <v>3.62</v>
      </c>
      <c r="D3967">
        <f t="shared" si="125"/>
        <v>0</v>
      </c>
    </row>
    <row r="3968" spans="1:4" x14ac:dyDescent="0.55000000000000004">
      <c r="A3968">
        <f t="shared" si="124"/>
        <v>2009</v>
      </c>
      <c r="B3968" s="821">
        <v>39898</v>
      </c>
      <c r="C3968">
        <v>3.66</v>
      </c>
      <c r="D3968">
        <f t="shared" si="125"/>
        <v>0</v>
      </c>
    </row>
    <row r="3969" spans="1:4" x14ac:dyDescent="0.55000000000000004">
      <c r="A3969">
        <f t="shared" si="124"/>
        <v>2009</v>
      </c>
      <c r="B3969" s="821">
        <v>39897</v>
      </c>
      <c r="C3969">
        <v>3.73</v>
      </c>
      <c r="D3969">
        <f t="shared" si="125"/>
        <v>0</v>
      </c>
    </row>
    <row r="3970" spans="1:4" x14ac:dyDescent="0.55000000000000004">
      <c r="A3970">
        <f t="shared" si="124"/>
        <v>2009</v>
      </c>
      <c r="B3970" s="821">
        <v>39896</v>
      </c>
      <c r="C3970">
        <v>3.6</v>
      </c>
      <c r="D3970">
        <f t="shared" si="125"/>
        <v>0</v>
      </c>
    </row>
    <row r="3971" spans="1:4" x14ac:dyDescent="0.55000000000000004">
      <c r="A3971">
        <f t="shared" si="124"/>
        <v>2009</v>
      </c>
      <c r="B3971" s="821">
        <v>39895</v>
      </c>
      <c r="C3971">
        <v>3.69</v>
      </c>
      <c r="D3971">
        <f t="shared" si="125"/>
        <v>0</v>
      </c>
    </row>
    <row r="3972" spans="1:4" x14ac:dyDescent="0.55000000000000004">
      <c r="A3972">
        <f t="shared" ref="A3972:A4035" si="126">YEAR(B3972)</f>
        <v>2009</v>
      </c>
      <c r="B3972" s="821">
        <v>39892</v>
      </c>
      <c r="C3972">
        <v>3.65</v>
      </c>
      <c r="D3972">
        <f t="shared" ref="D3972:D4035" si="127">IF(C3972&gt;4,1,0)</f>
        <v>0</v>
      </c>
    </row>
    <row r="3973" spans="1:4" x14ac:dyDescent="0.55000000000000004">
      <c r="A3973">
        <f t="shared" si="126"/>
        <v>2009</v>
      </c>
      <c r="B3973" s="821">
        <v>39891</v>
      </c>
      <c r="C3973">
        <v>3.62</v>
      </c>
      <c r="D3973">
        <f t="shared" si="127"/>
        <v>0</v>
      </c>
    </row>
    <row r="3974" spans="1:4" x14ac:dyDescent="0.55000000000000004">
      <c r="A3974">
        <f t="shared" si="126"/>
        <v>2009</v>
      </c>
      <c r="B3974" s="821">
        <v>39890</v>
      </c>
      <c r="C3974">
        <v>3.57</v>
      </c>
      <c r="D3974">
        <f t="shared" si="127"/>
        <v>0</v>
      </c>
    </row>
    <row r="3975" spans="1:4" x14ac:dyDescent="0.55000000000000004">
      <c r="A3975">
        <f t="shared" si="126"/>
        <v>2009</v>
      </c>
      <c r="B3975" s="821">
        <v>39889</v>
      </c>
      <c r="C3975">
        <v>3.83</v>
      </c>
      <c r="D3975">
        <f t="shared" si="127"/>
        <v>0</v>
      </c>
    </row>
    <row r="3976" spans="1:4" x14ac:dyDescent="0.55000000000000004">
      <c r="A3976">
        <f t="shared" si="126"/>
        <v>2009</v>
      </c>
      <c r="B3976" s="821">
        <v>39888</v>
      </c>
      <c r="C3976">
        <v>3.76</v>
      </c>
      <c r="D3976">
        <f t="shared" si="127"/>
        <v>0</v>
      </c>
    </row>
    <row r="3977" spans="1:4" x14ac:dyDescent="0.55000000000000004">
      <c r="A3977">
        <f t="shared" si="126"/>
        <v>2009</v>
      </c>
      <c r="B3977" s="821">
        <v>39885</v>
      </c>
      <c r="C3977">
        <v>3.66</v>
      </c>
      <c r="D3977">
        <f t="shared" si="127"/>
        <v>0</v>
      </c>
    </row>
    <row r="3978" spans="1:4" x14ac:dyDescent="0.55000000000000004">
      <c r="A3978">
        <f t="shared" si="126"/>
        <v>2009</v>
      </c>
      <c r="B3978" s="821">
        <v>39884</v>
      </c>
      <c r="C3978">
        <v>3.63</v>
      </c>
      <c r="D3978">
        <f t="shared" si="127"/>
        <v>0</v>
      </c>
    </row>
    <row r="3979" spans="1:4" x14ac:dyDescent="0.55000000000000004">
      <c r="A3979">
        <f t="shared" si="126"/>
        <v>2009</v>
      </c>
      <c r="B3979" s="821">
        <v>39883</v>
      </c>
      <c r="C3979">
        <v>3.67</v>
      </c>
      <c r="D3979">
        <f t="shared" si="127"/>
        <v>0</v>
      </c>
    </row>
    <row r="3980" spans="1:4" x14ac:dyDescent="0.55000000000000004">
      <c r="A3980">
        <f t="shared" si="126"/>
        <v>2009</v>
      </c>
      <c r="B3980" s="821">
        <v>39882</v>
      </c>
      <c r="C3980">
        <v>3.7</v>
      </c>
      <c r="D3980">
        <f t="shared" si="127"/>
        <v>0</v>
      </c>
    </row>
    <row r="3981" spans="1:4" x14ac:dyDescent="0.55000000000000004">
      <c r="A3981">
        <f t="shared" si="126"/>
        <v>2009</v>
      </c>
      <c r="B3981" s="821">
        <v>39881</v>
      </c>
      <c r="C3981">
        <v>3.59</v>
      </c>
      <c r="D3981">
        <f t="shared" si="127"/>
        <v>0</v>
      </c>
    </row>
    <row r="3982" spans="1:4" x14ac:dyDescent="0.55000000000000004">
      <c r="A3982">
        <f t="shared" si="126"/>
        <v>2009</v>
      </c>
      <c r="B3982" s="821">
        <v>39878</v>
      </c>
      <c r="C3982">
        <v>3.5</v>
      </c>
      <c r="D3982">
        <f t="shared" si="127"/>
        <v>0</v>
      </c>
    </row>
    <row r="3983" spans="1:4" x14ac:dyDescent="0.55000000000000004">
      <c r="A3983">
        <f t="shared" si="126"/>
        <v>2009</v>
      </c>
      <c r="B3983" s="821">
        <v>39877</v>
      </c>
      <c r="C3983">
        <v>3.51</v>
      </c>
      <c r="D3983">
        <f t="shared" si="127"/>
        <v>0</v>
      </c>
    </row>
    <row r="3984" spans="1:4" x14ac:dyDescent="0.55000000000000004">
      <c r="A3984">
        <f t="shared" si="126"/>
        <v>2009</v>
      </c>
      <c r="B3984" s="821">
        <v>39876</v>
      </c>
      <c r="C3984">
        <v>3.69</v>
      </c>
      <c r="D3984">
        <f t="shared" si="127"/>
        <v>0</v>
      </c>
    </row>
    <row r="3985" spans="1:4" x14ac:dyDescent="0.55000000000000004">
      <c r="A3985">
        <f t="shared" si="126"/>
        <v>2009</v>
      </c>
      <c r="B3985" s="821">
        <v>39875</v>
      </c>
      <c r="C3985">
        <v>3.67</v>
      </c>
      <c r="D3985">
        <f t="shared" si="127"/>
        <v>0</v>
      </c>
    </row>
    <row r="3986" spans="1:4" x14ac:dyDescent="0.55000000000000004">
      <c r="A3986">
        <f t="shared" si="126"/>
        <v>2009</v>
      </c>
      <c r="B3986" s="821">
        <v>39874</v>
      </c>
      <c r="C3986">
        <v>3.64</v>
      </c>
      <c r="D3986">
        <f t="shared" si="127"/>
        <v>0</v>
      </c>
    </row>
    <row r="3987" spans="1:4" x14ac:dyDescent="0.55000000000000004">
      <c r="A3987">
        <f t="shared" si="126"/>
        <v>2009</v>
      </c>
      <c r="B3987" s="821">
        <v>39871</v>
      </c>
      <c r="C3987">
        <v>3.71</v>
      </c>
      <c r="D3987">
        <f t="shared" si="127"/>
        <v>0</v>
      </c>
    </row>
    <row r="3988" spans="1:4" x14ac:dyDescent="0.55000000000000004">
      <c r="A3988">
        <f t="shared" si="126"/>
        <v>2009</v>
      </c>
      <c r="B3988" s="821">
        <v>39870</v>
      </c>
      <c r="C3988">
        <v>3.66</v>
      </c>
      <c r="D3988">
        <f t="shared" si="127"/>
        <v>0</v>
      </c>
    </row>
    <row r="3989" spans="1:4" x14ac:dyDescent="0.55000000000000004">
      <c r="A3989">
        <f t="shared" si="126"/>
        <v>2009</v>
      </c>
      <c r="B3989" s="821">
        <v>39869</v>
      </c>
      <c r="C3989">
        <v>3.59</v>
      </c>
      <c r="D3989">
        <f t="shared" si="127"/>
        <v>0</v>
      </c>
    </row>
    <row r="3990" spans="1:4" x14ac:dyDescent="0.55000000000000004">
      <c r="A3990">
        <f t="shared" si="126"/>
        <v>2009</v>
      </c>
      <c r="B3990" s="821">
        <v>39868</v>
      </c>
      <c r="C3990">
        <v>3.49</v>
      </c>
      <c r="D3990">
        <f t="shared" si="127"/>
        <v>0</v>
      </c>
    </row>
    <row r="3991" spans="1:4" x14ac:dyDescent="0.55000000000000004">
      <c r="A3991">
        <f t="shared" si="126"/>
        <v>2009</v>
      </c>
      <c r="B3991" s="821">
        <v>39867</v>
      </c>
      <c r="C3991">
        <v>3.53</v>
      </c>
      <c r="D3991">
        <f t="shared" si="127"/>
        <v>0</v>
      </c>
    </row>
    <row r="3992" spans="1:4" x14ac:dyDescent="0.55000000000000004">
      <c r="A3992">
        <f t="shared" si="126"/>
        <v>2009</v>
      </c>
      <c r="B3992" s="821">
        <v>39864</v>
      </c>
      <c r="C3992">
        <v>3.56</v>
      </c>
      <c r="D3992">
        <f t="shared" si="127"/>
        <v>0</v>
      </c>
    </row>
    <row r="3993" spans="1:4" x14ac:dyDescent="0.55000000000000004">
      <c r="A3993">
        <f t="shared" si="126"/>
        <v>2009</v>
      </c>
      <c r="B3993" s="821">
        <v>39863</v>
      </c>
      <c r="C3993">
        <v>3.68</v>
      </c>
      <c r="D3993">
        <f t="shared" si="127"/>
        <v>0</v>
      </c>
    </row>
    <row r="3994" spans="1:4" x14ac:dyDescent="0.55000000000000004">
      <c r="A3994">
        <f t="shared" si="126"/>
        <v>2009</v>
      </c>
      <c r="B3994" s="821">
        <v>39862</v>
      </c>
      <c r="C3994">
        <v>3.54</v>
      </c>
      <c r="D3994">
        <f t="shared" si="127"/>
        <v>0</v>
      </c>
    </row>
    <row r="3995" spans="1:4" x14ac:dyDescent="0.55000000000000004">
      <c r="A3995">
        <f t="shared" si="126"/>
        <v>2009</v>
      </c>
      <c r="B3995" s="821">
        <v>39861</v>
      </c>
      <c r="C3995">
        <v>3.47</v>
      </c>
      <c r="D3995">
        <f t="shared" si="127"/>
        <v>0</v>
      </c>
    </row>
    <row r="3996" spans="1:4" x14ac:dyDescent="0.55000000000000004">
      <c r="A3996">
        <f t="shared" si="126"/>
        <v>2009</v>
      </c>
      <c r="B3996" s="821">
        <v>39857</v>
      </c>
      <c r="C3996">
        <v>3.68</v>
      </c>
      <c r="D3996">
        <f t="shared" si="127"/>
        <v>0</v>
      </c>
    </row>
    <row r="3997" spans="1:4" x14ac:dyDescent="0.55000000000000004">
      <c r="A3997">
        <f t="shared" si="126"/>
        <v>2009</v>
      </c>
      <c r="B3997" s="821">
        <v>39856</v>
      </c>
      <c r="C3997">
        <v>3.47</v>
      </c>
      <c r="D3997">
        <f t="shared" si="127"/>
        <v>0</v>
      </c>
    </row>
    <row r="3998" spans="1:4" x14ac:dyDescent="0.55000000000000004">
      <c r="A3998">
        <f t="shared" si="126"/>
        <v>2009</v>
      </c>
      <c r="B3998" s="821">
        <v>39855</v>
      </c>
      <c r="C3998">
        <v>3.45</v>
      </c>
      <c r="D3998">
        <f t="shared" si="127"/>
        <v>0</v>
      </c>
    </row>
    <row r="3999" spans="1:4" x14ac:dyDescent="0.55000000000000004">
      <c r="A3999">
        <f t="shared" si="126"/>
        <v>2009</v>
      </c>
      <c r="B3999" s="821">
        <v>39854</v>
      </c>
      <c r="C3999">
        <v>3.54</v>
      </c>
      <c r="D3999">
        <f t="shared" si="127"/>
        <v>0</v>
      </c>
    </row>
    <row r="4000" spans="1:4" x14ac:dyDescent="0.55000000000000004">
      <c r="A4000">
        <f t="shared" si="126"/>
        <v>2009</v>
      </c>
      <c r="B4000" s="821">
        <v>39853</v>
      </c>
      <c r="C4000">
        <v>3.69</v>
      </c>
      <c r="D4000">
        <f t="shared" si="127"/>
        <v>0</v>
      </c>
    </row>
    <row r="4001" spans="1:4" x14ac:dyDescent="0.55000000000000004">
      <c r="A4001">
        <f t="shared" si="126"/>
        <v>2009</v>
      </c>
      <c r="B4001" s="821">
        <v>39850</v>
      </c>
      <c r="C4001">
        <v>3.7</v>
      </c>
      <c r="D4001">
        <f t="shared" si="127"/>
        <v>0</v>
      </c>
    </row>
    <row r="4002" spans="1:4" x14ac:dyDescent="0.55000000000000004">
      <c r="A4002">
        <f t="shared" si="126"/>
        <v>2009</v>
      </c>
      <c r="B4002" s="821">
        <v>39849</v>
      </c>
      <c r="C4002">
        <v>3.63</v>
      </c>
      <c r="D4002">
        <f t="shared" si="127"/>
        <v>0</v>
      </c>
    </row>
    <row r="4003" spans="1:4" x14ac:dyDescent="0.55000000000000004">
      <c r="A4003">
        <f t="shared" si="126"/>
        <v>2009</v>
      </c>
      <c r="B4003" s="821">
        <v>39848</v>
      </c>
      <c r="C4003">
        <v>3.65</v>
      </c>
      <c r="D4003">
        <f t="shared" si="127"/>
        <v>0</v>
      </c>
    </row>
    <row r="4004" spans="1:4" x14ac:dyDescent="0.55000000000000004">
      <c r="A4004">
        <f t="shared" si="126"/>
        <v>2009</v>
      </c>
      <c r="B4004" s="821">
        <v>39847</v>
      </c>
      <c r="C4004">
        <v>3.64</v>
      </c>
      <c r="D4004">
        <f t="shared" si="127"/>
        <v>0</v>
      </c>
    </row>
    <row r="4005" spans="1:4" x14ac:dyDescent="0.55000000000000004">
      <c r="A4005">
        <f t="shared" si="126"/>
        <v>2009</v>
      </c>
      <c r="B4005" s="821">
        <v>39846</v>
      </c>
      <c r="C4005">
        <v>3.47</v>
      </c>
      <c r="D4005">
        <f t="shared" si="127"/>
        <v>0</v>
      </c>
    </row>
    <row r="4006" spans="1:4" x14ac:dyDescent="0.55000000000000004">
      <c r="A4006">
        <f t="shared" si="126"/>
        <v>2009</v>
      </c>
      <c r="B4006" s="821">
        <v>39843</v>
      </c>
      <c r="C4006">
        <v>3.58</v>
      </c>
      <c r="D4006">
        <f t="shared" si="127"/>
        <v>0</v>
      </c>
    </row>
    <row r="4007" spans="1:4" x14ac:dyDescent="0.55000000000000004">
      <c r="A4007">
        <f t="shared" si="126"/>
        <v>2009</v>
      </c>
      <c r="B4007" s="821">
        <v>39842</v>
      </c>
      <c r="C4007">
        <v>3.57</v>
      </c>
      <c r="D4007">
        <f t="shared" si="127"/>
        <v>0</v>
      </c>
    </row>
    <row r="4008" spans="1:4" x14ac:dyDescent="0.55000000000000004">
      <c r="A4008">
        <f t="shared" si="126"/>
        <v>2009</v>
      </c>
      <c r="B4008" s="821">
        <v>39841</v>
      </c>
      <c r="C4008">
        <v>3.44</v>
      </c>
      <c r="D4008">
        <f t="shared" si="127"/>
        <v>0</v>
      </c>
    </row>
    <row r="4009" spans="1:4" x14ac:dyDescent="0.55000000000000004">
      <c r="A4009">
        <f t="shared" si="126"/>
        <v>2009</v>
      </c>
      <c r="B4009" s="821">
        <v>39840</v>
      </c>
      <c r="C4009">
        <v>3.26</v>
      </c>
      <c r="D4009">
        <f t="shared" si="127"/>
        <v>0</v>
      </c>
    </row>
    <row r="4010" spans="1:4" x14ac:dyDescent="0.55000000000000004">
      <c r="A4010">
        <f t="shared" si="126"/>
        <v>2009</v>
      </c>
      <c r="B4010" s="821">
        <v>39839</v>
      </c>
      <c r="C4010">
        <v>3.39</v>
      </c>
      <c r="D4010">
        <f t="shared" si="127"/>
        <v>0</v>
      </c>
    </row>
    <row r="4011" spans="1:4" x14ac:dyDescent="0.55000000000000004">
      <c r="A4011">
        <f t="shared" si="126"/>
        <v>2009</v>
      </c>
      <c r="B4011" s="821">
        <v>39836</v>
      </c>
      <c r="C4011">
        <v>3.32</v>
      </c>
      <c r="D4011">
        <f t="shared" si="127"/>
        <v>0</v>
      </c>
    </row>
    <row r="4012" spans="1:4" x14ac:dyDescent="0.55000000000000004">
      <c r="A4012">
        <f t="shared" si="126"/>
        <v>2009</v>
      </c>
      <c r="B4012" s="821">
        <v>39835</v>
      </c>
      <c r="C4012">
        <v>3.25</v>
      </c>
      <c r="D4012">
        <f t="shared" si="127"/>
        <v>0</v>
      </c>
    </row>
    <row r="4013" spans="1:4" x14ac:dyDescent="0.55000000000000004">
      <c r="A4013">
        <f t="shared" si="126"/>
        <v>2009</v>
      </c>
      <c r="B4013" s="821">
        <v>39834</v>
      </c>
      <c r="C4013">
        <v>3.15</v>
      </c>
      <c r="D4013">
        <f t="shared" si="127"/>
        <v>0</v>
      </c>
    </row>
    <row r="4014" spans="1:4" x14ac:dyDescent="0.55000000000000004">
      <c r="A4014">
        <f t="shared" si="126"/>
        <v>2009</v>
      </c>
      <c r="B4014" s="821">
        <v>39833</v>
      </c>
      <c r="C4014">
        <v>2.97</v>
      </c>
      <c r="D4014">
        <f t="shared" si="127"/>
        <v>0</v>
      </c>
    </row>
    <row r="4015" spans="1:4" x14ac:dyDescent="0.55000000000000004">
      <c r="A4015">
        <f t="shared" si="126"/>
        <v>2009</v>
      </c>
      <c r="B4015" s="821">
        <v>39829</v>
      </c>
      <c r="C4015">
        <v>2.89</v>
      </c>
      <c r="D4015">
        <f t="shared" si="127"/>
        <v>0</v>
      </c>
    </row>
    <row r="4016" spans="1:4" x14ac:dyDescent="0.55000000000000004">
      <c r="A4016">
        <f t="shared" si="126"/>
        <v>2009</v>
      </c>
      <c r="B4016" s="821">
        <v>39828</v>
      </c>
      <c r="C4016">
        <v>2.86</v>
      </c>
      <c r="D4016">
        <f t="shared" si="127"/>
        <v>0</v>
      </c>
    </row>
    <row r="4017" spans="1:4" x14ac:dyDescent="0.55000000000000004">
      <c r="A4017">
        <f t="shared" si="126"/>
        <v>2009</v>
      </c>
      <c r="B4017" s="821">
        <v>39827</v>
      </c>
      <c r="C4017">
        <v>2.89</v>
      </c>
      <c r="D4017">
        <f t="shared" si="127"/>
        <v>0</v>
      </c>
    </row>
    <row r="4018" spans="1:4" x14ac:dyDescent="0.55000000000000004">
      <c r="A4018">
        <f t="shared" si="126"/>
        <v>2009</v>
      </c>
      <c r="B4018" s="821">
        <v>39826</v>
      </c>
      <c r="C4018">
        <v>3</v>
      </c>
      <c r="D4018">
        <f t="shared" si="127"/>
        <v>0</v>
      </c>
    </row>
    <row r="4019" spans="1:4" x14ac:dyDescent="0.55000000000000004">
      <c r="A4019">
        <f t="shared" si="126"/>
        <v>2009</v>
      </c>
      <c r="B4019" s="821">
        <v>39825</v>
      </c>
      <c r="C4019">
        <v>2.99</v>
      </c>
      <c r="D4019">
        <f t="shared" si="127"/>
        <v>0</v>
      </c>
    </row>
    <row r="4020" spans="1:4" x14ac:dyDescent="0.55000000000000004">
      <c r="A4020">
        <f t="shared" si="126"/>
        <v>2009</v>
      </c>
      <c r="B4020" s="821">
        <v>39822</v>
      </c>
      <c r="C4020">
        <v>3.04</v>
      </c>
      <c r="D4020">
        <f t="shared" si="127"/>
        <v>0</v>
      </c>
    </row>
    <row r="4021" spans="1:4" x14ac:dyDescent="0.55000000000000004">
      <c r="A4021">
        <f t="shared" si="126"/>
        <v>2009</v>
      </c>
      <c r="B4021" s="821">
        <v>39821</v>
      </c>
      <c r="C4021">
        <v>3.04</v>
      </c>
      <c r="D4021">
        <f t="shared" si="127"/>
        <v>0</v>
      </c>
    </row>
    <row r="4022" spans="1:4" x14ac:dyDescent="0.55000000000000004">
      <c r="A4022">
        <f t="shared" si="126"/>
        <v>2009</v>
      </c>
      <c r="B4022" s="821">
        <v>39820</v>
      </c>
      <c r="C4022">
        <v>3.05</v>
      </c>
      <c r="D4022">
        <f t="shared" si="127"/>
        <v>0</v>
      </c>
    </row>
    <row r="4023" spans="1:4" x14ac:dyDescent="0.55000000000000004">
      <c r="A4023">
        <f t="shared" si="126"/>
        <v>2009</v>
      </c>
      <c r="B4023" s="821">
        <v>39819</v>
      </c>
      <c r="C4023">
        <v>3.04</v>
      </c>
      <c r="D4023">
        <f t="shared" si="127"/>
        <v>0</v>
      </c>
    </row>
    <row r="4024" spans="1:4" x14ac:dyDescent="0.55000000000000004">
      <c r="A4024">
        <f t="shared" si="126"/>
        <v>2009</v>
      </c>
      <c r="B4024" s="821">
        <v>39818</v>
      </c>
      <c r="C4024">
        <v>3</v>
      </c>
      <c r="D4024">
        <f t="shared" si="127"/>
        <v>0</v>
      </c>
    </row>
    <row r="4025" spans="1:4" x14ac:dyDescent="0.55000000000000004">
      <c r="A4025">
        <f t="shared" si="126"/>
        <v>2009</v>
      </c>
      <c r="B4025" s="821">
        <v>39815</v>
      </c>
      <c r="C4025">
        <v>2.83</v>
      </c>
      <c r="D4025">
        <f t="shared" si="127"/>
        <v>0</v>
      </c>
    </row>
    <row r="4026" spans="1:4" x14ac:dyDescent="0.55000000000000004">
      <c r="A4026">
        <f t="shared" si="126"/>
        <v>2008</v>
      </c>
      <c r="B4026" s="821">
        <v>39813</v>
      </c>
      <c r="C4026">
        <v>2.69</v>
      </c>
      <c r="D4026">
        <f t="shared" si="127"/>
        <v>0</v>
      </c>
    </row>
    <row r="4027" spans="1:4" x14ac:dyDescent="0.55000000000000004">
      <c r="A4027">
        <f t="shared" si="126"/>
        <v>2008</v>
      </c>
      <c r="B4027" s="821">
        <v>39812</v>
      </c>
      <c r="C4027">
        <v>2.58</v>
      </c>
      <c r="D4027">
        <f t="shared" si="127"/>
        <v>0</v>
      </c>
    </row>
    <row r="4028" spans="1:4" x14ac:dyDescent="0.55000000000000004">
      <c r="A4028">
        <f t="shared" si="126"/>
        <v>2008</v>
      </c>
      <c r="B4028" s="821">
        <v>39811</v>
      </c>
      <c r="C4028">
        <v>2.63</v>
      </c>
      <c r="D4028">
        <f t="shared" si="127"/>
        <v>0</v>
      </c>
    </row>
    <row r="4029" spans="1:4" x14ac:dyDescent="0.55000000000000004">
      <c r="A4029">
        <f t="shared" si="126"/>
        <v>2008</v>
      </c>
      <c r="B4029" s="821">
        <v>39808</v>
      </c>
      <c r="C4029">
        <v>2.61</v>
      </c>
      <c r="D4029">
        <f t="shared" si="127"/>
        <v>0</v>
      </c>
    </row>
    <row r="4030" spans="1:4" x14ac:dyDescent="0.55000000000000004">
      <c r="A4030">
        <f t="shared" si="126"/>
        <v>2008</v>
      </c>
      <c r="B4030" s="821">
        <v>39806</v>
      </c>
      <c r="C4030">
        <v>2.63</v>
      </c>
      <c r="D4030">
        <f t="shared" si="127"/>
        <v>0</v>
      </c>
    </row>
    <row r="4031" spans="1:4" x14ac:dyDescent="0.55000000000000004">
      <c r="A4031">
        <f t="shared" si="126"/>
        <v>2008</v>
      </c>
      <c r="B4031" s="821">
        <v>39805</v>
      </c>
      <c r="C4031">
        <v>2.63</v>
      </c>
      <c r="D4031">
        <f t="shared" si="127"/>
        <v>0</v>
      </c>
    </row>
    <row r="4032" spans="1:4" x14ac:dyDescent="0.55000000000000004">
      <c r="A4032">
        <f t="shared" si="126"/>
        <v>2008</v>
      </c>
      <c r="B4032" s="821">
        <v>39804</v>
      </c>
      <c r="C4032">
        <v>2.6</v>
      </c>
      <c r="D4032">
        <f t="shared" si="127"/>
        <v>0</v>
      </c>
    </row>
    <row r="4033" spans="1:4" x14ac:dyDescent="0.55000000000000004">
      <c r="A4033">
        <f t="shared" si="126"/>
        <v>2008</v>
      </c>
      <c r="B4033" s="821">
        <v>39801</v>
      </c>
      <c r="C4033">
        <v>2.5499999999999998</v>
      </c>
      <c r="D4033">
        <f t="shared" si="127"/>
        <v>0</v>
      </c>
    </row>
    <row r="4034" spans="1:4" x14ac:dyDescent="0.55000000000000004">
      <c r="A4034">
        <f t="shared" si="126"/>
        <v>2008</v>
      </c>
      <c r="B4034" s="821">
        <v>39800</v>
      </c>
      <c r="C4034">
        <v>2.5299999999999998</v>
      </c>
      <c r="D4034">
        <f t="shared" si="127"/>
        <v>0</v>
      </c>
    </row>
    <row r="4035" spans="1:4" x14ac:dyDescent="0.55000000000000004">
      <c r="A4035">
        <f t="shared" si="126"/>
        <v>2008</v>
      </c>
      <c r="B4035" s="821">
        <v>39799</v>
      </c>
      <c r="C4035">
        <v>2.66</v>
      </c>
      <c r="D4035">
        <f t="shared" si="127"/>
        <v>0</v>
      </c>
    </row>
    <row r="4036" spans="1:4" x14ac:dyDescent="0.55000000000000004">
      <c r="A4036">
        <f t="shared" ref="A4036:A4099" si="128">YEAR(B4036)</f>
        <v>2008</v>
      </c>
      <c r="B4036" s="821">
        <v>39798</v>
      </c>
      <c r="C4036">
        <v>2.86</v>
      </c>
      <c r="D4036">
        <f t="shared" ref="D4036:D4099" si="129">IF(C4036&gt;4,1,0)</f>
        <v>0</v>
      </c>
    </row>
    <row r="4037" spans="1:4" x14ac:dyDescent="0.55000000000000004">
      <c r="A4037">
        <f t="shared" si="128"/>
        <v>2008</v>
      </c>
      <c r="B4037" s="821">
        <v>39797</v>
      </c>
      <c r="C4037">
        <v>2.98</v>
      </c>
      <c r="D4037">
        <f t="shared" si="129"/>
        <v>0</v>
      </c>
    </row>
    <row r="4038" spans="1:4" x14ac:dyDescent="0.55000000000000004">
      <c r="A4038">
        <f t="shared" si="128"/>
        <v>2008</v>
      </c>
      <c r="B4038" s="821">
        <v>39794</v>
      </c>
      <c r="C4038">
        <v>3.07</v>
      </c>
      <c r="D4038">
        <f t="shared" si="129"/>
        <v>0</v>
      </c>
    </row>
    <row r="4039" spans="1:4" x14ac:dyDescent="0.55000000000000004">
      <c r="A4039">
        <f t="shared" si="128"/>
        <v>2008</v>
      </c>
      <c r="B4039" s="821">
        <v>39793</v>
      </c>
      <c r="C4039">
        <v>3.07</v>
      </c>
      <c r="D4039">
        <f t="shared" si="129"/>
        <v>0</v>
      </c>
    </row>
    <row r="4040" spans="1:4" x14ac:dyDescent="0.55000000000000004">
      <c r="A4040">
        <f t="shared" si="128"/>
        <v>2008</v>
      </c>
      <c r="B4040" s="821">
        <v>39792</v>
      </c>
      <c r="C4040">
        <v>3.09</v>
      </c>
      <c r="D4040">
        <f t="shared" si="129"/>
        <v>0</v>
      </c>
    </row>
    <row r="4041" spans="1:4" x14ac:dyDescent="0.55000000000000004">
      <c r="A4041">
        <f t="shared" si="128"/>
        <v>2008</v>
      </c>
      <c r="B4041" s="821">
        <v>39791</v>
      </c>
      <c r="C4041">
        <v>3.06</v>
      </c>
      <c r="D4041">
        <f t="shared" si="129"/>
        <v>0</v>
      </c>
    </row>
    <row r="4042" spans="1:4" x14ac:dyDescent="0.55000000000000004">
      <c r="A4042">
        <f t="shared" si="128"/>
        <v>2008</v>
      </c>
      <c r="B4042" s="821">
        <v>39790</v>
      </c>
      <c r="C4042">
        <v>3.16</v>
      </c>
      <c r="D4042">
        <f t="shared" si="129"/>
        <v>0</v>
      </c>
    </row>
    <row r="4043" spans="1:4" x14ac:dyDescent="0.55000000000000004">
      <c r="A4043">
        <f t="shared" si="128"/>
        <v>2008</v>
      </c>
      <c r="B4043" s="821">
        <v>39787</v>
      </c>
      <c r="C4043">
        <v>3.11</v>
      </c>
      <c r="D4043">
        <f t="shared" si="129"/>
        <v>0</v>
      </c>
    </row>
    <row r="4044" spans="1:4" x14ac:dyDescent="0.55000000000000004">
      <c r="A4044">
        <f t="shared" si="128"/>
        <v>2008</v>
      </c>
      <c r="B4044" s="821">
        <v>39786</v>
      </c>
      <c r="C4044">
        <v>3.06</v>
      </c>
      <c r="D4044">
        <f t="shared" si="129"/>
        <v>0</v>
      </c>
    </row>
    <row r="4045" spans="1:4" x14ac:dyDescent="0.55000000000000004">
      <c r="A4045">
        <f t="shared" si="128"/>
        <v>2008</v>
      </c>
      <c r="B4045" s="821">
        <v>39785</v>
      </c>
      <c r="C4045">
        <v>3.17</v>
      </c>
      <c r="D4045">
        <f t="shared" si="129"/>
        <v>0</v>
      </c>
    </row>
    <row r="4046" spans="1:4" x14ac:dyDescent="0.55000000000000004">
      <c r="A4046">
        <f t="shared" si="128"/>
        <v>2008</v>
      </c>
      <c r="B4046" s="821">
        <v>39784</v>
      </c>
      <c r="C4046">
        <v>3.18</v>
      </c>
      <c r="D4046">
        <f t="shared" si="129"/>
        <v>0</v>
      </c>
    </row>
    <row r="4047" spans="1:4" x14ac:dyDescent="0.55000000000000004">
      <c r="A4047">
        <f t="shared" si="128"/>
        <v>2008</v>
      </c>
      <c r="B4047" s="821">
        <v>39783</v>
      </c>
      <c r="C4047">
        <v>3.22</v>
      </c>
      <c r="D4047">
        <f t="shared" si="129"/>
        <v>0</v>
      </c>
    </row>
    <row r="4048" spans="1:4" x14ac:dyDescent="0.55000000000000004">
      <c r="A4048">
        <f t="shared" si="128"/>
        <v>2008</v>
      </c>
      <c r="B4048" s="821">
        <v>39780</v>
      </c>
      <c r="C4048">
        <v>3.45</v>
      </c>
      <c r="D4048">
        <f t="shared" si="129"/>
        <v>0</v>
      </c>
    </row>
    <row r="4049" spans="1:4" x14ac:dyDescent="0.55000000000000004">
      <c r="A4049">
        <f t="shared" si="128"/>
        <v>2008</v>
      </c>
      <c r="B4049" s="821">
        <v>39778</v>
      </c>
      <c r="C4049">
        <v>3.54</v>
      </c>
      <c r="D4049">
        <f t="shared" si="129"/>
        <v>0</v>
      </c>
    </row>
    <row r="4050" spans="1:4" x14ac:dyDescent="0.55000000000000004">
      <c r="A4050">
        <f t="shared" si="128"/>
        <v>2008</v>
      </c>
      <c r="B4050" s="821">
        <v>39777</v>
      </c>
      <c r="C4050">
        <v>3.63</v>
      </c>
      <c r="D4050">
        <f t="shared" si="129"/>
        <v>0</v>
      </c>
    </row>
    <row r="4051" spans="1:4" x14ac:dyDescent="0.55000000000000004">
      <c r="A4051">
        <f t="shared" si="128"/>
        <v>2008</v>
      </c>
      <c r="B4051" s="821">
        <v>39776</v>
      </c>
      <c r="C4051">
        <v>3.78</v>
      </c>
      <c r="D4051">
        <f t="shared" si="129"/>
        <v>0</v>
      </c>
    </row>
    <row r="4052" spans="1:4" x14ac:dyDescent="0.55000000000000004">
      <c r="A4052">
        <f t="shared" si="128"/>
        <v>2008</v>
      </c>
      <c r="B4052" s="821">
        <v>39773</v>
      </c>
      <c r="C4052">
        <v>3.7</v>
      </c>
      <c r="D4052">
        <f t="shared" si="129"/>
        <v>0</v>
      </c>
    </row>
    <row r="4053" spans="1:4" x14ac:dyDescent="0.55000000000000004">
      <c r="A4053">
        <f t="shared" si="128"/>
        <v>2008</v>
      </c>
      <c r="B4053" s="821">
        <v>39772</v>
      </c>
      <c r="C4053">
        <v>3.64</v>
      </c>
      <c r="D4053">
        <f t="shared" si="129"/>
        <v>0</v>
      </c>
    </row>
    <row r="4054" spans="1:4" x14ac:dyDescent="0.55000000000000004">
      <c r="A4054">
        <f t="shared" si="128"/>
        <v>2008</v>
      </c>
      <c r="B4054" s="821">
        <v>39771</v>
      </c>
      <c r="C4054">
        <v>3.96</v>
      </c>
      <c r="D4054">
        <f t="shared" si="129"/>
        <v>0</v>
      </c>
    </row>
    <row r="4055" spans="1:4" x14ac:dyDescent="0.55000000000000004">
      <c r="A4055">
        <f t="shared" si="128"/>
        <v>2008</v>
      </c>
      <c r="B4055" s="821">
        <v>39770</v>
      </c>
      <c r="C4055">
        <v>4.1399999999999997</v>
      </c>
      <c r="D4055">
        <f t="shared" si="129"/>
        <v>1</v>
      </c>
    </row>
    <row r="4056" spans="1:4" x14ac:dyDescent="0.55000000000000004">
      <c r="A4056">
        <f t="shared" si="128"/>
        <v>2008</v>
      </c>
      <c r="B4056" s="821">
        <v>39769</v>
      </c>
      <c r="C4056">
        <v>4.2</v>
      </c>
      <c r="D4056">
        <f t="shared" si="129"/>
        <v>1</v>
      </c>
    </row>
    <row r="4057" spans="1:4" x14ac:dyDescent="0.55000000000000004">
      <c r="A4057">
        <f t="shared" si="128"/>
        <v>2008</v>
      </c>
      <c r="B4057" s="821">
        <v>39766</v>
      </c>
      <c r="C4057">
        <v>4.22</v>
      </c>
      <c r="D4057">
        <f t="shared" si="129"/>
        <v>1</v>
      </c>
    </row>
    <row r="4058" spans="1:4" x14ac:dyDescent="0.55000000000000004">
      <c r="A4058">
        <f t="shared" si="128"/>
        <v>2008</v>
      </c>
      <c r="B4058" s="821">
        <v>39765</v>
      </c>
      <c r="C4058">
        <v>4.34</v>
      </c>
      <c r="D4058">
        <f t="shared" si="129"/>
        <v>1</v>
      </c>
    </row>
    <row r="4059" spans="1:4" x14ac:dyDescent="0.55000000000000004">
      <c r="A4059">
        <f t="shared" si="128"/>
        <v>2008</v>
      </c>
      <c r="B4059" s="821">
        <v>39764</v>
      </c>
      <c r="C4059">
        <v>4.17</v>
      </c>
      <c r="D4059">
        <f t="shared" si="129"/>
        <v>1</v>
      </c>
    </row>
    <row r="4060" spans="1:4" x14ac:dyDescent="0.55000000000000004">
      <c r="A4060">
        <f t="shared" si="128"/>
        <v>2008</v>
      </c>
      <c r="B4060" s="821">
        <v>39762</v>
      </c>
      <c r="C4060">
        <v>4.21</v>
      </c>
      <c r="D4060">
        <f t="shared" si="129"/>
        <v>1</v>
      </c>
    </row>
    <row r="4061" spans="1:4" x14ac:dyDescent="0.55000000000000004">
      <c r="A4061">
        <f t="shared" si="128"/>
        <v>2008</v>
      </c>
      <c r="B4061" s="821">
        <v>39759</v>
      </c>
      <c r="C4061">
        <v>4.25</v>
      </c>
      <c r="D4061">
        <f t="shared" si="129"/>
        <v>1</v>
      </c>
    </row>
    <row r="4062" spans="1:4" x14ac:dyDescent="0.55000000000000004">
      <c r="A4062">
        <f t="shared" si="128"/>
        <v>2008</v>
      </c>
      <c r="B4062" s="821">
        <v>39758</v>
      </c>
      <c r="C4062">
        <v>4.1900000000000004</v>
      </c>
      <c r="D4062">
        <f t="shared" si="129"/>
        <v>1</v>
      </c>
    </row>
    <row r="4063" spans="1:4" x14ac:dyDescent="0.55000000000000004">
      <c r="A4063">
        <f t="shared" si="128"/>
        <v>2008</v>
      </c>
      <c r="B4063" s="821">
        <v>39757</v>
      </c>
      <c r="C4063">
        <v>4.13</v>
      </c>
      <c r="D4063">
        <f t="shared" si="129"/>
        <v>1</v>
      </c>
    </row>
    <row r="4064" spans="1:4" x14ac:dyDescent="0.55000000000000004">
      <c r="A4064">
        <f t="shared" si="128"/>
        <v>2008</v>
      </c>
      <c r="B4064" s="821">
        <v>39756</v>
      </c>
      <c r="C4064">
        <v>4.2</v>
      </c>
      <c r="D4064">
        <f t="shared" si="129"/>
        <v>1</v>
      </c>
    </row>
    <row r="4065" spans="1:4" x14ac:dyDescent="0.55000000000000004">
      <c r="A4065">
        <f t="shared" si="128"/>
        <v>2008</v>
      </c>
      <c r="B4065" s="821">
        <v>39755</v>
      </c>
      <c r="C4065">
        <v>4.33</v>
      </c>
      <c r="D4065">
        <f t="shared" si="129"/>
        <v>1</v>
      </c>
    </row>
    <row r="4066" spans="1:4" x14ac:dyDescent="0.55000000000000004">
      <c r="A4066">
        <f t="shared" si="128"/>
        <v>2008</v>
      </c>
      <c r="B4066" s="821">
        <v>39752</v>
      </c>
      <c r="C4066">
        <v>4.3499999999999996</v>
      </c>
      <c r="D4066">
        <f t="shared" si="129"/>
        <v>1</v>
      </c>
    </row>
    <row r="4067" spans="1:4" x14ac:dyDescent="0.55000000000000004">
      <c r="A4067">
        <f t="shared" si="128"/>
        <v>2008</v>
      </c>
      <c r="B4067" s="821">
        <v>39751</v>
      </c>
      <c r="C4067">
        <v>4.3</v>
      </c>
      <c r="D4067">
        <f t="shared" si="129"/>
        <v>1</v>
      </c>
    </row>
    <row r="4068" spans="1:4" x14ac:dyDescent="0.55000000000000004">
      <c r="A4068">
        <f t="shared" si="128"/>
        <v>2008</v>
      </c>
      <c r="B4068" s="821">
        <v>39750</v>
      </c>
      <c r="C4068">
        <v>4.26</v>
      </c>
      <c r="D4068">
        <f t="shared" si="129"/>
        <v>1</v>
      </c>
    </row>
    <row r="4069" spans="1:4" x14ac:dyDescent="0.55000000000000004">
      <c r="A4069">
        <f t="shared" si="128"/>
        <v>2008</v>
      </c>
      <c r="B4069" s="821">
        <v>39749</v>
      </c>
      <c r="C4069">
        <v>4.1900000000000004</v>
      </c>
      <c r="D4069">
        <f t="shared" si="129"/>
        <v>1</v>
      </c>
    </row>
    <row r="4070" spans="1:4" x14ac:dyDescent="0.55000000000000004">
      <c r="A4070">
        <f t="shared" si="128"/>
        <v>2008</v>
      </c>
      <c r="B4070" s="821">
        <v>39748</v>
      </c>
      <c r="C4070">
        <v>4.12</v>
      </c>
      <c r="D4070">
        <f t="shared" si="129"/>
        <v>1</v>
      </c>
    </row>
    <row r="4071" spans="1:4" x14ac:dyDescent="0.55000000000000004">
      <c r="A4071">
        <f t="shared" si="128"/>
        <v>2008</v>
      </c>
      <c r="B4071" s="821">
        <v>39745</v>
      </c>
      <c r="C4071">
        <v>4.1100000000000003</v>
      </c>
      <c r="D4071">
        <f t="shared" si="129"/>
        <v>1</v>
      </c>
    </row>
    <row r="4072" spans="1:4" x14ac:dyDescent="0.55000000000000004">
      <c r="A4072">
        <f t="shared" si="128"/>
        <v>2008</v>
      </c>
      <c r="B4072" s="821">
        <v>39744</v>
      </c>
      <c r="C4072">
        <v>3.99</v>
      </c>
      <c r="D4072">
        <f t="shared" si="129"/>
        <v>0</v>
      </c>
    </row>
    <row r="4073" spans="1:4" x14ac:dyDescent="0.55000000000000004">
      <c r="A4073">
        <f t="shared" si="128"/>
        <v>2008</v>
      </c>
      <c r="B4073" s="821">
        <v>39743</v>
      </c>
      <c r="C4073">
        <v>4.07</v>
      </c>
      <c r="D4073">
        <f t="shared" si="129"/>
        <v>1</v>
      </c>
    </row>
    <row r="4074" spans="1:4" x14ac:dyDescent="0.55000000000000004">
      <c r="A4074">
        <f t="shared" si="128"/>
        <v>2008</v>
      </c>
      <c r="B4074" s="821">
        <v>39742</v>
      </c>
      <c r="C4074">
        <v>4.2</v>
      </c>
      <c r="D4074">
        <f t="shared" si="129"/>
        <v>1</v>
      </c>
    </row>
    <row r="4075" spans="1:4" x14ac:dyDescent="0.55000000000000004">
      <c r="A4075">
        <f t="shared" si="128"/>
        <v>2008</v>
      </c>
      <c r="B4075" s="821">
        <v>39741</v>
      </c>
      <c r="C4075">
        <v>4.26</v>
      </c>
      <c r="D4075">
        <f t="shared" si="129"/>
        <v>1</v>
      </c>
    </row>
    <row r="4076" spans="1:4" x14ac:dyDescent="0.55000000000000004">
      <c r="A4076">
        <f t="shared" si="128"/>
        <v>2008</v>
      </c>
      <c r="B4076" s="821">
        <v>39738</v>
      </c>
      <c r="C4076">
        <v>4.32</v>
      </c>
      <c r="D4076">
        <f t="shared" si="129"/>
        <v>1</v>
      </c>
    </row>
    <row r="4077" spans="1:4" x14ac:dyDescent="0.55000000000000004">
      <c r="A4077">
        <f t="shared" si="128"/>
        <v>2008</v>
      </c>
      <c r="B4077" s="821">
        <v>39737</v>
      </c>
      <c r="C4077">
        <v>4.25</v>
      </c>
      <c r="D4077">
        <f t="shared" si="129"/>
        <v>1</v>
      </c>
    </row>
    <row r="4078" spans="1:4" x14ac:dyDescent="0.55000000000000004">
      <c r="A4078">
        <f t="shared" si="128"/>
        <v>2008</v>
      </c>
      <c r="B4078" s="821">
        <v>39736</v>
      </c>
      <c r="C4078">
        <v>4.25</v>
      </c>
      <c r="D4078">
        <f t="shared" si="129"/>
        <v>1</v>
      </c>
    </row>
    <row r="4079" spans="1:4" x14ac:dyDescent="0.55000000000000004">
      <c r="A4079">
        <f t="shared" si="128"/>
        <v>2008</v>
      </c>
      <c r="B4079" s="821">
        <v>39735</v>
      </c>
      <c r="C4079">
        <v>4.2699999999999996</v>
      </c>
      <c r="D4079">
        <f t="shared" si="129"/>
        <v>1</v>
      </c>
    </row>
    <row r="4080" spans="1:4" x14ac:dyDescent="0.55000000000000004">
      <c r="A4080">
        <f t="shared" si="128"/>
        <v>2008</v>
      </c>
      <c r="B4080" s="821">
        <v>39731</v>
      </c>
      <c r="C4080">
        <v>4.1500000000000004</v>
      </c>
      <c r="D4080">
        <f t="shared" si="129"/>
        <v>1</v>
      </c>
    </row>
    <row r="4081" spans="1:4" x14ac:dyDescent="0.55000000000000004">
      <c r="A4081">
        <f t="shared" si="128"/>
        <v>2008</v>
      </c>
      <c r="B4081" s="821">
        <v>39730</v>
      </c>
      <c r="C4081">
        <v>4.1399999999999997</v>
      </c>
      <c r="D4081">
        <f t="shared" si="129"/>
        <v>1</v>
      </c>
    </row>
    <row r="4082" spans="1:4" x14ac:dyDescent="0.55000000000000004">
      <c r="A4082">
        <f t="shared" si="128"/>
        <v>2008</v>
      </c>
      <c r="B4082" s="821">
        <v>39729</v>
      </c>
      <c r="C4082">
        <v>4.09</v>
      </c>
      <c r="D4082">
        <f t="shared" si="129"/>
        <v>1</v>
      </c>
    </row>
    <row r="4083" spans="1:4" x14ac:dyDescent="0.55000000000000004">
      <c r="A4083">
        <f t="shared" si="128"/>
        <v>2008</v>
      </c>
      <c r="B4083" s="821">
        <v>39728</v>
      </c>
      <c r="C4083">
        <v>4.01</v>
      </c>
      <c r="D4083">
        <f t="shared" si="129"/>
        <v>1</v>
      </c>
    </row>
    <row r="4084" spans="1:4" x14ac:dyDescent="0.55000000000000004">
      <c r="A4084">
        <f t="shared" si="128"/>
        <v>2008</v>
      </c>
      <c r="B4084" s="821">
        <v>39727</v>
      </c>
      <c r="C4084">
        <v>3.99</v>
      </c>
      <c r="D4084">
        <f t="shared" si="129"/>
        <v>0</v>
      </c>
    </row>
    <row r="4085" spans="1:4" x14ac:dyDescent="0.55000000000000004">
      <c r="A4085">
        <f t="shared" si="128"/>
        <v>2008</v>
      </c>
      <c r="B4085" s="821">
        <v>39724</v>
      </c>
      <c r="C4085">
        <v>4.1100000000000003</v>
      </c>
      <c r="D4085">
        <f t="shared" si="129"/>
        <v>1</v>
      </c>
    </row>
    <row r="4086" spans="1:4" x14ac:dyDescent="0.55000000000000004">
      <c r="A4086">
        <f t="shared" si="128"/>
        <v>2008</v>
      </c>
      <c r="B4086" s="821">
        <v>39723</v>
      </c>
      <c r="C4086">
        <v>4.16</v>
      </c>
      <c r="D4086">
        <f t="shared" si="129"/>
        <v>1</v>
      </c>
    </row>
    <row r="4087" spans="1:4" x14ac:dyDescent="0.55000000000000004">
      <c r="A4087">
        <f t="shared" si="128"/>
        <v>2008</v>
      </c>
      <c r="B4087" s="821">
        <v>39722</v>
      </c>
      <c r="C4087">
        <v>4.22</v>
      </c>
      <c r="D4087">
        <f t="shared" si="129"/>
        <v>1</v>
      </c>
    </row>
    <row r="4088" spans="1:4" x14ac:dyDescent="0.55000000000000004">
      <c r="A4088">
        <f t="shared" si="128"/>
        <v>2008</v>
      </c>
      <c r="B4088" s="821">
        <v>39721</v>
      </c>
      <c r="C4088">
        <v>4.3099999999999996</v>
      </c>
      <c r="D4088">
        <f t="shared" si="129"/>
        <v>1</v>
      </c>
    </row>
    <row r="4089" spans="1:4" x14ac:dyDescent="0.55000000000000004">
      <c r="A4089">
        <f t="shared" si="128"/>
        <v>2008</v>
      </c>
      <c r="B4089" s="821">
        <v>39720</v>
      </c>
      <c r="C4089">
        <v>4.13</v>
      </c>
      <c r="D4089">
        <f t="shared" si="129"/>
        <v>1</v>
      </c>
    </row>
    <row r="4090" spans="1:4" x14ac:dyDescent="0.55000000000000004">
      <c r="A4090">
        <f t="shared" si="128"/>
        <v>2008</v>
      </c>
      <c r="B4090" s="821">
        <v>39717</v>
      </c>
      <c r="C4090">
        <v>4.3600000000000003</v>
      </c>
      <c r="D4090">
        <f t="shared" si="129"/>
        <v>1</v>
      </c>
    </row>
    <row r="4091" spans="1:4" x14ac:dyDescent="0.55000000000000004">
      <c r="A4091">
        <f t="shared" si="128"/>
        <v>2008</v>
      </c>
      <c r="B4091" s="821">
        <v>39716</v>
      </c>
      <c r="C4091">
        <v>4.4000000000000004</v>
      </c>
      <c r="D4091">
        <f t="shared" si="129"/>
        <v>1</v>
      </c>
    </row>
    <row r="4092" spans="1:4" x14ac:dyDescent="0.55000000000000004">
      <c r="A4092">
        <f t="shared" si="128"/>
        <v>2008</v>
      </c>
      <c r="B4092" s="821">
        <v>39715</v>
      </c>
      <c r="C4092">
        <v>4.4000000000000004</v>
      </c>
      <c r="D4092">
        <f t="shared" si="129"/>
        <v>1</v>
      </c>
    </row>
    <row r="4093" spans="1:4" x14ac:dyDescent="0.55000000000000004">
      <c r="A4093">
        <f t="shared" si="128"/>
        <v>2008</v>
      </c>
      <c r="B4093" s="821">
        <v>39714</v>
      </c>
      <c r="C4093">
        <v>4.43</v>
      </c>
      <c r="D4093">
        <f t="shared" si="129"/>
        <v>1</v>
      </c>
    </row>
    <row r="4094" spans="1:4" x14ac:dyDescent="0.55000000000000004">
      <c r="A4094">
        <f t="shared" si="128"/>
        <v>2008</v>
      </c>
      <c r="B4094" s="821">
        <v>39713</v>
      </c>
      <c r="C4094">
        <v>4.41</v>
      </c>
      <c r="D4094">
        <f t="shared" si="129"/>
        <v>1</v>
      </c>
    </row>
    <row r="4095" spans="1:4" x14ac:dyDescent="0.55000000000000004">
      <c r="A4095">
        <f t="shared" si="128"/>
        <v>2008</v>
      </c>
      <c r="B4095" s="821">
        <v>39710</v>
      </c>
      <c r="C4095">
        <v>4.3600000000000003</v>
      </c>
      <c r="D4095">
        <f t="shared" si="129"/>
        <v>1</v>
      </c>
    </row>
    <row r="4096" spans="1:4" x14ac:dyDescent="0.55000000000000004">
      <c r="A4096">
        <f t="shared" si="128"/>
        <v>2008</v>
      </c>
      <c r="B4096" s="821">
        <v>39709</v>
      </c>
      <c r="C4096">
        <v>4.1399999999999997</v>
      </c>
      <c r="D4096">
        <f t="shared" si="129"/>
        <v>1</v>
      </c>
    </row>
    <row r="4097" spans="1:4" x14ac:dyDescent="0.55000000000000004">
      <c r="A4097">
        <f t="shared" si="128"/>
        <v>2008</v>
      </c>
      <c r="B4097" s="821">
        <v>39708</v>
      </c>
      <c r="C4097">
        <v>4.08</v>
      </c>
      <c r="D4097">
        <f t="shared" si="129"/>
        <v>1</v>
      </c>
    </row>
    <row r="4098" spans="1:4" x14ac:dyDescent="0.55000000000000004">
      <c r="A4098">
        <f t="shared" si="128"/>
        <v>2008</v>
      </c>
      <c r="B4098" s="821">
        <v>39707</v>
      </c>
      <c r="C4098">
        <v>4.08</v>
      </c>
      <c r="D4098">
        <f t="shared" si="129"/>
        <v>1</v>
      </c>
    </row>
    <row r="4099" spans="1:4" x14ac:dyDescent="0.55000000000000004">
      <c r="A4099">
        <f t="shared" si="128"/>
        <v>2008</v>
      </c>
      <c r="B4099" s="821">
        <v>39706</v>
      </c>
      <c r="C4099">
        <v>4.12</v>
      </c>
      <c r="D4099">
        <f t="shared" si="129"/>
        <v>1</v>
      </c>
    </row>
    <row r="4100" spans="1:4" x14ac:dyDescent="0.55000000000000004">
      <c r="A4100">
        <f t="shared" ref="A4100:A4163" si="130">YEAR(B4100)</f>
        <v>2008</v>
      </c>
      <c r="B4100" s="821">
        <v>39703</v>
      </c>
      <c r="C4100">
        <v>4.32</v>
      </c>
      <c r="D4100">
        <f t="shared" ref="D4100:D4163" si="131">IF(C4100&gt;4,1,0)</f>
        <v>1</v>
      </c>
    </row>
    <row r="4101" spans="1:4" x14ac:dyDescent="0.55000000000000004">
      <c r="A4101">
        <f t="shared" si="130"/>
        <v>2008</v>
      </c>
      <c r="B4101" s="821">
        <v>39702</v>
      </c>
      <c r="C4101">
        <v>4.2</v>
      </c>
      <c r="D4101">
        <f t="shared" si="131"/>
        <v>1</v>
      </c>
    </row>
    <row r="4102" spans="1:4" x14ac:dyDescent="0.55000000000000004">
      <c r="A4102">
        <f t="shared" si="130"/>
        <v>2008</v>
      </c>
      <c r="B4102" s="821">
        <v>39701</v>
      </c>
      <c r="C4102">
        <v>4.2300000000000004</v>
      </c>
      <c r="D4102">
        <f t="shared" si="131"/>
        <v>1</v>
      </c>
    </row>
    <row r="4103" spans="1:4" x14ac:dyDescent="0.55000000000000004">
      <c r="A4103">
        <f t="shared" si="130"/>
        <v>2008</v>
      </c>
      <c r="B4103" s="821">
        <v>39700</v>
      </c>
      <c r="C4103">
        <v>4.2</v>
      </c>
      <c r="D4103">
        <f t="shared" si="131"/>
        <v>1</v>
      </c>
    </row>
    <row r="4104" spans="1:4" x14ac:dyDescent="0.55000000000000004">
      <c r="A4104">
        <f t="shared" si="130"/>
        <v>2008</v>
      </c>
      <c r="B4104" s="821">
        <v>39699</v>
      </c>
      <c r="C4104">
        <v>4.26</v>
      </c>
      <c r="D4104">
        <f t="shared" si="131"/>
        <v>1</v>
      </c>
    </row>
    <row r="4105" spans="1:4" x14ac:dyDescent="0.55000000000000004">
      <c r="A4105">
        <f t="shared" si="130"/>
        <v>2008</v>
      </c>
      <c r="B4105" s="821">
        <v>39696</v>
      </c>
      <c r="C4105">
        <v>4.2699999999999996</v>
      </c>
      <c r="D4105">
        <f t="shared" si="131"/>
        <v>1</v>
      </c>
    </row>
    <row r="4106" spans="1:4" x14ac:dyDescent="0.55000000000000004">
      <c r="A4106">
        <f t="shared" si="130"/>
        <v>2008</v>
      </c>
      <c r="B4106" s="821">
        <v>39695</v>
      </c>
      <c r="C4106">
        <v>4.2699999999999996</v>
      </c>
      <c r="D4106">
        <f t="shared" si="131"/>
        <v>1</v>
      </c>
    </row>
    <row r="4107" spans="1:4" x14ac:dyDescent="0.55000000000000004">
      <c r="A4107">
        <f t="shared" si="130"/>
        <v>2008</v>
      </c>
      <c r="B4107" s="821">
        <v>39694</v>
      </c>
      <c r="C4107">
        <v>4.32</v>
      </c>
      <c r="D4107">
        <f t="shared" si="131"/>
        <v>1</v>
      </c>
    </row>
    <row r="4108" spans="1:4" x14ac:dyDescent="0.55000000000000004">
      <c r="A4108">
        <f t="shared" si="130"/>
        <v>2008</v>
      </c>
      <c r="B4108" s="821">
        <v>39693</v>
      </c>
      <c r="C4108">
        <v>4.3600000000000003</v>
      </c>
      <c r="D4108">
        <f t="shared" si="131"/>
        <v>1</v>
      </c>
    </row>
    <row r="4109" spans="1:4" x14ac:dyDescent="0.55000000000000004">
      <c r="A4109">
        <f t="shared" si="130"/>
        <v>2008</v>
      </c>
      <c r="B4109" s="821">
        <v>39689</v>
      </c>
      <c r="C4109">
        <v>4.43</v>
      </c>
      <c r="D4109">
        <f t="shared" si="131"/>
        <v>1</v>
      </c>
    </row>
    <row r="4110" spans="1:4" x14ac:dyDescent="0.55000000000000004">
      <c r="A4110">
        <f t="shared" si="130"/>
        <v>2008</v>
      </c>
      <c r="B4110" s="821">
        <v>39688</v>
      </c>
      <c r="C4110">
        <v>4.38</v>
      </c>
      <c r="D4110">
        <f t="shared" si="131"/>
        <v>1</v>
      </c>
    </row>
    <row r="4111" spans="1:4" x14ac:dyDescent="0.55000000000000004">
      <c r="A4111">
        <f t="shared" si="130"/>
        <v>2008</v>
      </c>
      <c r="B4111" s="821">
        <v>39687</v>
      </c>
      <c r="C4111">
        <v>4.38</v>
      </c>
      <c r="D4111">
        <f t="shared" si="131"/>
        <v>1</v>
      </c>
    </row>
    <row r="4112" spans="1:4" x14ac:dyDescent="0.55000000000000004">
      <c r="A4112">
        <f t="shared" si="130"/>
        <v>2008</v>
      </c>
      <c r="B4112" s="821">
        <v>39686</v>
      </c>
      <c r="C4112">
        <v>4.4000000000000004</v>
      </c>
      <c r="D4112">
        <f t="shared" si="131"/>
        <v>1</v>
      </c>
    </row>
    <row r="4113" spans="1:4" x14ac:dyDescent="0.55000000000000004">
      <c r="A4113">
        <f t="shared" si="130"/>
        <v>2008</v>
      </c>
      <c r="B4113" s="821">
        <v>39685</v>
      </c>
      <c r="C4113">
        <v>4.4000000000000004</v>
      </c>
      <c r="D4113">
        <f t="shared" si="131"/>
        <v>1</v>
      </c>
    </row>
    <row r="4114" spans="1:4" x14ac:dyDescent="0.55000000000000004">
      <c r="A4114">
        <f t="shared" si="130"/>
        <v>2008</v>
      </c>
      <c r="B4114" s="821">
        <v>39682</v>
      </c>
      <c r="C4114">
        <v>4.46</v>
      </c>
      <c r="D4114">
        <f t="shared" si="131"/>
        <v>1</v>
      </c>
    </row>
    <row r="4115" spans="1:4" x14ac:dyDescent="0.55000000000000004">
      <c r="A4115">
        <f t="shared" si="130"/>
        <v>2008</v>
      </c>
      <c r="B4115" s="821">
        <v>39681</v>
      </c>
      <c r="C4115">
        <v>4.46</v>
      </c>
      <c r="D4115">
        <f t="shared" si="131"/>
        <v>1</v>
      </c>
    </row>
    <row r="4116" spans="1:4" x14ac:dyDescent="0.55000000000000004">
      <c r="A4116">
        <f t="shared" si="130"/>
        <v>2008</v>
      </c>
      <c r="B4116" s="821">
        <v>39680</v>
      </c>
      <c r="C4116">
        <v>4.43</v>
      </c>
      <c r="D4116">
        <f t="shared" si="131"/>
        <v>1</v>
      </c>
    </row>
    <row r="4117" spans="1:4" x14ac:dyDescent="0.55000000000000004">
      <c r="A4117">
        <f t="shared" si="130"/>
        <v>2008</v>
      </c>
      <c r="B4117" s="821">
        <v>39679</v>
      </c>
      <c r="C4117">
        <v>4.47</v>
      </c>
      <c r="D4117">
        <f t="shared" si="131"/>
        <v>1</v>
      </c>
    </row>
    <row r="4118" spans="1:4" x14ac:dyDescent="0.55000000000000004">
      <c r="A4118">
        <f t="shared" si="130"/>
        <v>2008</v>
      </c>
      <c r="B4118" s="821">
        <v>39678</v>
      </c>
      <c r="C4118">
        <v>4.4400000000000004</v>
      </c>
      <c r="D4118">
        <f t="shared" si="131"/>
        <v>1</v>
      </c>
    </row>
    <row r="4119" spans="1:4" x14ac:dyDescent="0.55000000000000004">
      <c r="A4119">
        <f t="shared" si="130"/>
        <v>2008</v>
      </c>
      <c r="B4119" s="821">
        <v>39675</v>
      </c>
      <c r="C4119">
        <v>4.47</v>
      </c>
      <c r="D4119">
        <f t="shared" si="131"/>
        <v>1</v>
      </c>
    </row>
    <row r="4120" spans="1:4" x14ac:dyDescent="0.55000000000000004">
      <c r="A4120">
        <f t="shared" si="130"/>
        <v>2008</v>
      </c>
      <c r="B4120" s="821">
        <v>39674</v>
      </c>
      <c r="C4120">
        <v>4.5199999999999996</v>
      </c>
      <c r="D4120">
        <f t="shared" si="131"/>
        <v>1</v>
      </c>
    </row>
    <row r="4121" spans="1:4" x14ac:dyDescent="0.55000000000000004">
      <c r="A4121">
        <f t="shared" si="130"/>
        <v>2008</v>
      </c>
      <c r="B4121" s="821">
        <v>39673</v>
      </c>
      <c r="C4121">
        <v>4.57</v>
      </c>
      <c r="D4121">
        <f t="shared" si="131"/>
        <v>1</v>
      </c>
    </row>
    <row r="4122" spans="1:4" x14ac:dyDescent="0.55000000000000004">
      <c r="A4122">
        <f t="shared" si="130"/>
        <v>2008</v>
      </c>
      <c r="B4122" s="821">
        <v>39672</v>
      </c>
      <c r="C4122">
        <v>4.55</v>
      </c>
      <c r="D4122">
        <f t="shared" si="131"/>
        <v>1</v>
      </c>
    </row>
    <row r="4123" spans="1:4" x14ac:dyDescent="0.55000000000000004">
      <c r="A4123">
        <f t="shared" si="130"/>
        <v>2008</v>
      </c>
      <c r="B4123" s="821">
        <v>39671</v>
      </c>
      <c r="C4123">
        <v>4.6100000000000003</v>
      </c>
      <c r="D4123">
        <f t="shared" si="131"/>
        <v>1</v>
      </c>
    </row>
    <row r="4124" spans="1:4" x14ac:dyDescent="0.55000000000000004">
      <c r="A4124">
        <f t="shared" si="130"/>
        <v>2008</v>
      </c>
      <c r="B4124" s="821">
        <v>39668</v>
      </c>
      <c r="C4124">
        <v>4.55</v>
      </c>
      <c r="D4124">
        <f t="shared" si="131"/>
        <v>1</v>
      </c>
    </row>
    <row r="4125" spans="1:4" x14ac:dyDescent="0.55000000000000004">
      <c r="A4125">
        <f t="shared" si="130"/>
        <v>2008</v>
      </c>
      <c r="B4125" s="821">
        <v>39667</v>
      </c>
      <c r="C4125">
        <v>4.5599999999999996</v>
      </c>
      <c r="D4125">
        <f t="shared" si="131"/>
        <v>1</v>
      </c>
    </row>
    <row r="4126" spans="1:4" x14ac:dyDescent="0.55000000000000004">
      <c r="A4126">
        <f t="shared" si="130"/>
        <v>2008</v>
      </c>
      <c r="B4126" s="821">
        <v>39666</v>
      </c>
      <c r="C4126">
        <v>4.68</v>
      </c>
      <c r="D4126">
        <f t="shared" si="131"/>
        <v>1</v>
      </c>
    </row>
    <row r="4127" spans="1:4" x14ac:dyDescent="0.55000000000000004">
      <c r="A4127">
        <f t="shared" si="130"/>
        <v>2008</v>
      </c>
      <c r="B4127" s="821">
        <v>39665</v>
      </c>
      <c r="C4127">
        <v>4.63</v>
      </c>
      <c r="D4127">
        <f t="shared" si="131"/>
        <v>1</v>
      </c>
    </row>
    <row r="4128" spans="1:4" x14ac:dyDescent="0.55000000000000004">
      <c r="A4128">
        <f t="shared" si="130"/>
        <v>2008</v>
      </c>
      <c r="B4128" s="821">
        <v>39664</v>
      </c>
      <c r="C4128">
        <v>4.58</v>
      </c>
      <c r="D4128">
        <f t="shared" si="131"/>
        <v>1</v>
      </c>
    </row>
    <row r="4129" spans="1:4" x14ac:dyDescent="0.55000000000000004">
      <c r="A4129">
        <f t="shared" si="130"/>
        <v>2008</v>
      </c>
      <c r="B4129" s="821">
        <v>39661</v>
      </c>
      <c r="C4129">
        <v>4.57</v>
      </c>
      <c r="D4129">
        <f t="shared" si="131"/>
        <v>1</v>
      </c>
    </row>
    <row r="4130" spans="1:4" x14ac:dyDescent="0.55000000000000004">
      <c r="A4130">
        <f t="shared" si="130"/>
        <v>2008</v>
      </c>
      <c r="B4130" s="821">
        <v>39660</v>
      </c>
      <c r="C4130">
        <v>4.59</v>
      </c>
      <c r="D4130">
        <f t="shared" si="131"/>
        <v>1</v>
      </c>
    </row>
    <row r="4131" spans="1:4" x14ac:dyDescent="0.55000000000000004">
      <c r="A4131">
        <f t="shared" si="130"/>
        <v>2008</v>
      </c>
      <c r="B4131" s="821">
        <v>39659</v>
      </c>
      <c r="C4131">
        <v>4.6399999999999997</v>
      </c>
      <c r="D4131">
        <f t="shared" si="131"/>
        <v>1</v>
      </c>
    </row>
    <row r="4132" spans="1:4" x14ac:dyDescent="0.55000000000000004">
      <c r="A4132">
        <f t="shared" si="130"/>
        <v>2008</v>
      </c>
      <c r="B4132" s="821">
        <v>39658</v>
      </c>
      <c r="C4132">
        <v>4.6399999999999997</v>
      </c>
      <c r="D4132">
        <f t="shared" si="131"/>
        <v>1</v>
      </c>
    </row>
    <row r="4133" spans="1:4" x14ac:dyDescent="0.55000000000000004">
      <c r="A4133">
        <f t="shared" si="130"/>
        <v>2008</v>
      </c>
      <c r="B4133" s="821">
        <v>39657</v>
      </c>
      <c r="C4133">
        <v>4.63</v>
      </c>
      <c r="D4133">
        <f t="shared" si="131"/>
        <v>1</v>
      </c>
    </row>
    <row r="4134" spans="1:4" x14ac:dyDescent="0.55000000000000004">
      <c r="A4134">
        <f t="shared" si="130"/>
        <v>2008</v>
      </c>
      <c r="B4134" s="821">
        <v>39654</v>
      </c>
      <c r="C4134">
        <v>4.6900000000000004</v>
      </c>
      <c r="D4134">
        <f t="shared" si="131"/>
        <v>1</v>
      </c>
    </row>
    <row r="4135" spans="1:4" x14ac:dyDescent="0.55000000000000004">
      <c r="A4135">
        <f t="shared" si="130"/>
        <v>2008</v>
      </c>
      <c r="B4135" s="821">
        <v>39653</v>
      </c>
      <c r="C4135">
        <v>4.5999999999999996</v>
      </c>
      <c r="D4135">
        <f t="shared" si="131"/>
        <v>1</v>
      </c>
    </row>
    <row r="4136" spans="1:4" x14ac:dyDescent="0.55000000000000004">
      <c r="A4136">
        <f t="shared" si="130"/>
        <v>2008</v>
      </c>
      <c r="B4136" s="821">
        <v>39652</v>
      </c>
      <c r="C4136">
        <v>4.6900000000000004</v>
      </c>
      <c r="D4136">
        <f t="shared" si="131"/>
        <v>1</v>
      </c>
    </row>
    <row r="4137" spans="1:4" x14ac:dyDescent="0.55000000000000004">
      <c r="A4137">
        <f t="shared" si="130"/>
        <v>2008</v>
      </c>
      <c r="B4137" s="821">
        <v>39651</v>
      </c>
      <c r="C4137">
        <v>4.67</v>
      </c>
      <c r="D4137">
        <f t="shared" si="131"/>
        <v>1</v>
      </c>
    </row>
    <row r="4138" spans="1:4" x14ac:dyDescent="0.55000000000000004">
      <c r="A4138">
        <f t="shared" si="130"/>
        <v>2008</v>
      </c>
      <c r="B4138" s="821">
        <v>39650</v>
      </c>
      <c r="C4138">
        <v>4.6399999999999997</v>
      </c>
      <c r="D4138">
        <f t="shared" si="131"/>
        <v>1</v>
      </c>
    </row>
    <row r="4139" spans="1:4" x14ac:dyDescent="0.55000000000000004">
      <c r="A4139">
        <f t="shared" si="130"/>
        <v>2008</v>
      </c>
      <c r="B4139" s="821">
        <v>39647</v>
      </c>
      <c r="C4139">
        <v>4.66</v>
      </c>
      <c r="D4139">
        <f t="shared" si="131"/>
        <v>1</v>
      </c>
    </row>
    <row r="4140" spans="1:4" x14ac:dyDescent="0.55000000000000004">
      <c r="A4140">
        <f t="shared" si="130"/>
        <v>2008</v>
      </c>
      <c r="B4140" s="821">
        <v>39646</v>
      </c>
      <c r="C4140">
        <v>4.6500000000000004</v>
      </c>
      <c r="D4140">
        <f t="shared" si="131"/>
        <v>1</v>
      </c>
    </row>
    <row r="4141" spans="1:4" x14ac:dyDescent="0.55000000000000004">
      <c r="A4141">
        <f t="shared" si="130"/>
        <v>2008</v>
      </c>
      <c r="B4141" s="821">
        <v>39645</v>
      </c>
      <c r="C4141">
        <v>4.59</v>
      </c>
      <c r="D4141">
        <f t="shared" si="131"/>
        <v>1</v>
      </c>
    </row>
    <row r="4142" spans="1:4" x14ac:dyDescent="0.55000000000000004">
      <c r="A4142">
        <f t="shared" si="130"/>
        <v>2008</v>
      </c>
      <c r="B4142" s="821">
        <v>39644</v>
      </c>
      <c r="C4142">
        <v>4.4800000000000004</v>
      </c>
      <c r="D4142">
        <f t="shared" si="131"/>
        <v>1</v>
      </c>
    </row>
    <row r="4143" spans="1:4" x14ac:dyDescent="0.55000000000000004">
      <c r="A4143">
        <f t="shared" si="130"/>
        <v>2008</v>
      </c>
      <c r="B4143" s="821">
        <v>39643</v>
      </c>
      <c r="C4143">
        <v>4.47</v>
      </c>
      <c r="D4143">
        <f t="shared" si="131"/>
        <v>1</v>
      </c>
    </row>
    <row r="4144" spans="1:4" x14ac:dyDescent="0.55000000000000004">
      <c r="A4144">
        <f t="shared" si="130"/>
        <v>2008</v>
      </c>
      <c r="B4144" s="821">
        <v>39640</v>
      </c>
      <c r="C4144">
        <v>4.5199999999999996</v>
      </c>
      <c r="D4144">
        <f t="shared" si="131"/>
        <v>1</v>
      </c>
    </row>
    <row r="4145" spans="1:4" x14ac:dyDescent="0.55000000000000004">
      <c r="A4145">
        <f t="shared" si="130"/>
        <v>2008</v>
      </c>
      <c r="B4145" s="821">
        <v>39639</v>
      </c>
      <c r="C4145">
        <v>4.42</v>
      </c>
      <c r="D4145">
        <f t="shared" si="131"/>
        <v>1</v>
      </c>
    </row>
    <row r="4146" spans="1:4" x14ac:dyDescent="0.55000000000000004">
      <c r="A4146">
        <f t="shared" si="130"/>
        <v>2008</v>
      </c>
      <c r="B4146" s="821">
        <v>39638</v>
      </c>
      <c r="C4146">
        <v>4.42</v>
      </c>
      <c r="D4146">
        <f t="shared" si="131"/>
        <v>1</v>
      </c>
    </row>
    <row r="4147" spans="1:4" x14ac:dyDescent="0.55000000000000004">
      <c r="A4147">
        <f t="shared" si="130"/>
        <v>2008</v>
      </c>
      <c r="B4147" s="821">
        <v>39637</v>
      </c>
      <c r="C4147">
        <v>4.46</v>
      </c>
      <c r="D4147">
        <f t="shared" si="131"/>
        <v>1</v>
      </c>
    </row>
    <row r="4148" spans="1:4" x14ac:dyDescent="0.55000000000000004">
      <c r="A4148">
        <f t="shared" si="130"/>
        <v>2008</v>
      </c>
      <c r="B4148" s="821">
        <v>39636</v>
      </c>
      <c r="C4148">
        <v>4.51</v>
      </c>
      <c r="D4148">
        <f t="shared" si="131"/>
        <v>1</v>
      </c>
    </row>
    <row r="4149" spans="1:4" x14ac:dyDescent="0.55000000000000004">
      <c r="A4149">
        <f t="shared" si="130"/>
        <v>2008</v>
      </c>
      <c r="B4149" s="821">
        <v>39632</v>
      </c>
      <c r="C4149">
        <v>4.53</v>
      </c>
      <c r="D4149">
        <f t="shared" si="131"/>
        <v>1</v>
      </c>
    </row>
    <row r="4150" spans="1:4" x14ac:dyDescent="0.55000000000000004">
      <c r="A4150">
        <f t="shared" si="130"/>
        <v>2008</v>
      </c>
      <c r="B4150" s="821">
        <v>39631</v>
      </c>
      <c r="C4150">
        <v>4.51</v>
      </c>
      <c r="D4150">
        <f t="shared" si="131"/>
        <v>1</v>
      </c>
    </row>
    <row r="4151" spans="1:4" x14ac:dyDescent="0.55000000000000004">
      <c r="A4151">
        <f t="shared" si="130"/>
        <v>2008</v>
      </c>
      <c r="B4151" s="821">
        <v>39630</v>
      </c>
      <c r="C4151">
        <v>4.55</v>
      </c>
      <c r="D4151">
        <f t="shared" si="131"/>
        <v>1</v>
      </c>
    </row>
    <row r="4152" spans="1:4" x14ac:dyDescent="0.55000000000000004">
      <c r="A4152">
        <f t="shared" si="130"/>
        <v>2008</v>
      </c>
      <c r="B4152" s="821">
        <v>39629</v>
      </c>
      <c r="C4152">
        <v>4.53</v>
      </c>
      <c r="D4152">
        <f t="shared" si="131"/>
        <v>1</v>
      </c>
    </row>
    <row r="4153" spans="1:4" x14ac:dyDescent="0.55000000000000004">
      <c r="A4153">
        <f t="shared" si="130"/>
        <v>2008</v>
      </c>
      <c r="B4153" s="821">
        <v>39626</v>
      </c>
      <c r="C4153">
        <v>4.53</v>
      </c>
      <c r="D4153">
        <f t="shared" si="131"/>
        <v>1</v>
      </c>
    </row>
    <row r="4154" spans="1:4" x14ac:dyDescent="0.55000000000000004">
      <c r="A4154">
        <f t="shared" si="130"/>
        <v>2008</v>
      </c>
      <c r="B4154" s="821">
        <v>39625</v>
      </c>
      <c r="C4154">
        <v>4.62</v>
      </c>
      <c r="D4154">
        <f t="shared" si="131"/>
        <v>1</v>
      </c>
    </row>
    <row r="4155" spans="1:4" x14ac:dyDescent="0.55000000000000004">
      <c r="A4155">
        <f t="shared" si="130"/>
        <v>2008</v>
      </c>
      <c r="B4155" s="821">
        <v>39624</v>
      </c>
      <c r="C4155">
        <v>4.6500000000000004</v>
      </c>
      <c r="D4155">
        <f t="shared" si="131"/>
        <v>1</v>
      </c>
    </row>
    <row r="4156" spans="1:4" x14ac:dyDescent="0.55000000000000004">
      <c r="A4156">
        <f t="shared" si="130"/>
        <v>2008</v>
      </c>
      <c r="B4156" s="821">
        <v>39623</v>
      </c>
      <c r="C4156">
        <v>4.6500000000000004</v>
      </c>
      <c r="D4156">
        <f t="shared" si="131"/>
        <v>1</v>
      </c>
    </row>
    <row r="4157" spans="1:4" x14ac:dyDescent="0.55000000000000004">
      <c r="A4157">
        <f t="shared" si="130"/>
        <v>2008</v>
      </c>
      <c r="B4157" s="821">
        <v>39622</v>
      </c>
      <c r="C4157">
        <v>4.71</v>
      </c>
      <c r="D4157">
        <f t="shared" si="131"/>
        <v>1</v>
      </c>
    </row>
    <row r="4158" spans="1:4" x14ac:dyDescent="0.55000000000000004">
      <c r="A4158">
        <f t="shared" si="130"/>
        <v>2008</v>
      </c>
      <c r="B4158" s="821">
        <v>39619</v>
      </c>
      <c r="C4158">
        <v>4.71</v>
      </c>
      <c r="D4158">
        <f t="shared" si="131"/>
        <v>1</v>
      </c>
    </row>
    <row r="4159" spans="1:4" x14ac:dyDescent="0.55000000000000004">
      <c r="A4159">
        <f t="shared" si="130"/>
        <v>2008</v>
      </c>
      <c r="B4159" s="821">
        <v>39618</v>
      </c>
      <c r="C4159">
        <v>4.76</v>
      </c>
      <c r="D4159">
        <f t="shared" si="131"/>
        <v>1</v>
      </c>
    </row>
    <row r="4160" spans="1:4" x14ac:dyDescent="0.55000000000000004">
      <c r="A4160">
        <f t="shared" si="130"/>
        <v>2008</v>
      </c>
      <c r="B4160" s="821">
        <v>39617</v>
      </c>
      <c r="C4160">
        <v>4.72</v>
      </c>
      <c r="D4160">
        <f t="shared" si="131"/>
        <v>1</v>
      </c>
    </row>
    <row r="4161" spans="1:4" x14ac:dyDescent="0.55000000000000004">
      <c r="A4161">
        <f t="shared" si="130"/>
        <v>2008</v>
      </c>
      <c r="B4161" s="821">
        <v>39616</v>
      </c>
      <c r="C4161">
        <v>4.78</v>
      </c>
      <c r="D4161">
        <f t="shared" si="131"/>
        <v>1</v>
      </c>
    </row>
    <row r="4162" spans="1:4" x14ac:dyDescent="0.55000000000000004">
      <c r="A4162">
        <f t="shared" si="130"/>
        <v>2008</v>
      </c>
      <c r="B4162" s="821">
        <v>39615</v>
      </c>
      <c r="C4162">
        <v>4.7699999999999996</v>
      </c>
      <c r="D4162">
        <f t="shared" si="131"/>
        <v>1</v>
      </c>
    </row>
    <row r="4163" spans="1:4" x14ac:dyDescent="0.55000000000000004">
      <c r="A4163">
        <f t="shared" si="130"/>
        <v>2008</v>
      </c>
      <c r="B4163" s="821">
        <v>39612</v>
      </c>
      <c r="C4163">
        <v>4.79</v>
      </c>
      <c r="D4163">
        <f t="shared" si="131"/>
        <v>1</v>
      </c>
    </row>
    <row r="4164" spans="1:4" x14ac:dyDescent="0.55000000000000004">
      <c r="A4164">
        <f t="shared" ref="A4164:A4227" si="132">YEAR(B4164)</f>
        <v>2008</v>
      </c>
      <c r="B4164" s="821">
        <v>39611</v>
      </c>
      <c r="C4164">
        <v>4.7699999999999996</v>
      </c>
      <c r="D4164">
        <f t="shared" ref="D4164:D4227" si="133">IF(C4164&gt;4,1,0)</f>
        <v>1</v>
      </c>
    </row>
    <row r="4165" spans="1:4" x14ac:dyDescent="0.55000000000000004">
      <c r="A4165">
        <f t="shared" si="132"/>
        <v>2008</v>
      </c>
      <c r="B4165" s="821">
        <v>39610</v>
      </c>
      <c r="C4165">
        <v>4.72</v>
      </c>
      <c r="D4165">
        <f t="shared" si="133"/>
        <v>1</v>
      </c>
    </row>
    <row r="4166" spans="1:4" x14ac:dyDescent="0.55000000000000004">
      <c r="A4166">
        <f t="shared" si="132"/>
        <v>2008</v>
      </c>
      <c r="B4166" s="821">
        <v>39609</v>
      </c>
      <c r="C4166">
        <v>4.7</v>
      </c>
      <c r="D4166">
        <f t="shared" si="133"/>
        <v>1</v>
      </c>
    </row>
    <row r="4167" spans="1:4" x14ac:dyDescent="0.55000000000000004">
      <c r="A4167">
        <f t="shared" si="132"/>
        <v>2008</v>
      </c>
      <c r="B4167" s="821">
        <v>39608</v>
      </c>
      <c r="C4167">
        <v>4.6399999999999997</v>
      </c>
      <c r="D4167">
        <f t="shared" si="133"/>
        <v>1</v>
      </c>
    </row>
    <row r="4168" spans="1:4" x14ac:dyDescent="0.55000000000000004">
      <c r="A4168">
        <f t="shared" si="132"/>
        <v>2008</v>
      </c>
      <c r="B4168" s="821">
        <v>39605</v>
      </c>
      <c r="C4168">
        <v>4.6500000000000004</v>
      </c>
      <c r="D4168">
        <f t="shared" si="133"/>
        <v>1</v>
      </c>
    </row>
    <row r="4169" spans="1:4" x14ac:dyDescent="0.55000000000000004">
      <c r="A4169">
        <f t="shared" si="132"/>
        <v>2008</v>
      </c>
      <c r="B4169" s="821">
        <v>39604</v>
      </c>
      <c r="C4169">
        <v>4.75</v>
      </c>
      <c r="D4169">
        <f t="shared" si="133"/>
        <v>1</v>
      </c>
    </row>
    <row r="4170" spans="1:4" x14ac:dyDescent="0.55000000000000004">
      <c r="A4170">
        <f t="shared" si="132"/>
        <v>2008</v>
      </c>
      <c r="B4170" s="821">
        <v>39603</v>
      </c>
      <c r="C4170">
        <v>4.71</v>
      </c>
      <c r="D4170">
        <f t="shared" si="133"/>
        <v>1</v>
      </c>
    </row>
    <row r="4171" spans="1:4" x14ac:dyDescent="0.55000000000000004">
      <c r="A4171">
        <f t="shared" si="132"/>
        <v>2008</v>
      </c>
      <c r="B4171" s="821">
        <v>39602</v>
      </c>
      <c r="C4171">
        <v>4.63</v>
      </c>
      <c r="D4171">
        <f t="shared" si="133"/>
        <v>1</v>
      </c>
    </row>
    <row r="4172" spans="1:4" x14ac:dyDescent="0.55000000000000004">
      <c r="A4172">
        <f t="shared" si="132"/>
        <v>2008</v>
      </c>
      <c r="B4172" s="821">
        <v>39601</v>
      </c>
      <c r="C4172">
        <v>4.68</v>
      </c>
      <c r="D4172">
        <f t="shared" si="133"/>
        <v>1</v>
      </c>
    </row>
    <row r="4173" spans="1:4" x14ac:dyDescent="0.55000000000000004">
      <c r="A4173">
        <f t="shared" si="132"/>
        <v>2008</v>
      </c>
      <c r="B4173" s="821">
        <v>39598</v>
      </c>
      <c r="C4173">
        <v>4.72</v>
      </c>
      <c r="D4173">
        <f t="shared" si="133"/>
        <v>1</v>
      </c>
    </row>
    <row r="4174" spans="1:4" x14ac:dyDescent="0.55000000000000004">
      <c r="A4174">
        <f t="shared" si="132"/>
        <v>2008</v>
      </c>
      <c r="B4174" s="821">
        <v>39597</v>
      </c>
      <c r="C4174">
        <v>4.76</v>
      </c>
      <c r="D4174">
        <f t="shared" si="133"/>
        <v>1</v>
      </c>
    </row>
    <row r="4175" spans="1:4" x14ac:dyDescent="0.55000000000000004">
      <c r="A4175">
        <f t="shared" si="132"/>
        <v>2008</v>
      </c>
      <c r="B4175" s="821">
        <v>39596</v>
      </c>
      <c r="C4175">
        <v>4.71</v>
      </c>
      <c r="D4175">
        <f t="shared" si="133"/>
        <v>1</v>
      </c>
    </row>
    <row r="4176" spans="1:4" x14ac:dyDescent="0.55000000000000004">
      <c r="A4176">
        <f t="shared" si="132"/>
        <v>2008</v>
      </c>
      <c r="B4176" s="821">
        <v>39595</v>
      </c>
      <c r="C4176">
        <v>4.6500000000000004</v>
      </c>
      <c r="D4176">
        <f t="shared" si="133"/>
        <v>1</v>
      </c>
    </row>
    <row r="4177" spans="1:4" x14ac:dyDescent="0.55000000000000004">
      <c r="A4177">
        <f t="shared" si="132"/>
        <v>2008</v>
      </c>
      <c r="B4177" s="821">
        <v>39591</v>
      </c>
      <c r="C4177">
        <v>4.57</v>
      </c>
      <c r="D4177">
        <f t="shared" si="133"/>
        <v>1</v>
      </c>
    </row>
    <row r="4178" spans="1:4" x14ac:dyDescent="0.55000000000000004">
      <c r="A4178">
        <f t="shared" si="132"/>
        <v>2008</v>
      </c>
      <c r="B4178" s="821">
        <v>39590</v>
      </c>
      <c r="C4178">
        <v>4.63</v>
      </c>
      <c r="D4178">
        <f t="shared" si="133"/>
        <v>1</v>
      </c>
    </row>
    <row r="4179" spans="1:4" x14ac:dyDescent="0.55000000000000004">
      <c r="A4179">
        <f t="shared" si="132"/>
        <v>2008</v>
      </c>
      <c r="B4179" s="821">
        <v>39589</v>
      </c>
      <c r="C4179">
        <v>4.55</v>
      </c>
      <c r="D4179">
        <f t="shared" si="133"/>
        <v>1</v>
      </c>
    </row>
    <row r="4180" spans="1:4" x14ac:dyDescent="0.55000000000000004">
      <c r="A4180">
        <f t="shared" si="132"/>
        <v>2008</v>
      </c>
      <c r="B4180" s="821">
        <v>39588</v>
      </c>
      <c r="C4180">
        <v>4.53</v>
      </c>
      <c r="D4180">
        <f t="shared" si="133"/>
        <v>1</v>
      </c>
    </row>
    <row r="4181" spans="1:4" x14ac:dyDescent="0.55000000000000004">
      <c r="A4181">
        <f t="shared" si="132"/>
        <v>2008</v>
      </c>
      <c r="B4181" s="821">
        <v>39587</v>
      </c>
      <c r="C4181">
        <v>4.5599999999999996</v>
      </c>
      <c r="D4181">
        <f t="shared" si="133"/>
        <v>1</v>
      </c>
    </row>
    <row r="4182" spans="1:4" x14ac:dyDescent="0.55000000000000004">
      <c r="A4182">
        <f t="shared" si="132"/>
        <v>2008</v>
      </c>
      <c r="B4182" s="821">
        <v>39584</v>
      </c>
      <c r="C4182">
        <v>4.58</v>
      </c>
      <c r="D4182">
        <f t="shared" si="133"/>
        <v>1</v>
      </c>
    </row>
    <row r="4183" spans="1:4" x14ac:dyDescent="0.55000000000000004">
      <c r="A4183">
        <f t="shared" si="132"/>
        <v>2008</v>
      </c>
      <c r="B4183" s="821">
        <v>39583</v>
      </c>
      <c r="C4183">
        <v>4.5599999999999996</v>
      </c>
      <c r="D4183">
        <f t="shared" si="133"/>
        <v>1</v>
      </c>
    </row>
    <row r="4184" spans="1:4" x14ac:dyDescent="0.55000000000000004">
      <c r="A4184">
        <f t="shared" si="132"/>
        <v>2008</v>
      </c>
      <c r="B4184" s="821">
        <v>39582</v>
      </c>
      <c r="C4184">
        <v>4.63</v>
      </c>
      <c r="D4184">
        <f t="shared" si="133"/>
        <v>1</v>
      </c>
    </row>
    <row r="4185" spans="1:4" x14ac:dyDescent="0.55000000000000004">
      <c r="A4185">
        <f t="shared" si="132"/>
        <v>2008</v>
      </c>
      <c r="B4185" s="821">
        <v>39581</v>
      </c>
      <c r="C4185">
        <v>4.62</v>
      </c>
      <c r="D4185">
        <f t="shared" si="133"/>
        <v>1</v>
      </c>
    </row>
    <row r="4186" spans="1:4" x14ac:dyDescent="0.55000000000000004">
      <c r="A4186">
        <f t="shared" si="132"/>
        <v>2008</v>
      </c>
      <c r="B4186" s="821">
        <v>39580</v>
      </c>
      <c r="C4186">
        <v>4.53</v>
      </c>
      <c r="D4186">
        <f t="shared" si="133"/>
        <v>1</v>
      </c>
    </row>
    <row r="4187" spans="1:4" x14ac:dyDescent="0.55000000000000004">
      <c r="A4187">
        <f t="shared" si="132"/>
        <v>2008</v>
      </c>
      <c r="B4187" s="821">
        <v>39577</v>
      </c>
      <c r="C4187">
        <v>4.53</v>
      </c>
      <c r="D4187">
        <f t="shared" si="133"/>
        <v>1</v>
      </c>
    </row>
    <row r="4188" spans="1:4" x14ac:dyDescent="0.55000000000000004">
      <c r="A4188">
        <f t="shared" si="132"/>
        <v>2008</v>
      </c>
      <c r="B4188" s="821">
        <v>39576</v>
      </c>
      <c r="C4188">
        <v>4.5</v>
      </c>
      <c r="D4188">
        <f t="shared" si="133"/>
        <v>1</v>
      </c>
    </row>
    <row r="4189" spans="1:4" x14ac:dyDescent="0.55000000000000004">
      <c r="A4189">
        <f t="shared" si="132"/>
        <v>2008</v>
      </c>
      <c r="B4189" s="821">
        <v>39575</v>
      </c>
      <c r="C4189">
        <v>4.6100000000000003</v>
      </c>
      <c r="D4189">
        <f t="shared" si="133"/>
        <v>1</v>
      </c>
    </row>
    <row r="4190" spans="1:4" x14ac:dyDescent="0.55000000000000004">
      <c r="A4190">
        <f t="shared" si="132"/>
        <v>2008</v>
      </c>
      <c r="B4190" s="821">
        <v>39574</v>
      </c>
      <c r="C4190">
        <v>4.6399999999999997</v>
      </c>
      <c r="D4190">
        <f t="shared" si="133"/>
        <v>1</v>
      </c>
    </row>
    <row r="4191" spans="1:4" x14ac:dyDescent="0.55000000000000004">
      <c r="A4191">
        <f t="shared" si="132"/>
        <v>2008</v>
      </c>
      <c r="B4191" s="821">
        <v>39573</v>
      </c>
      <c r="C4191">
        <v>4.58</v>
      </c>
      <c r="D4191">
        <f t="shared" si="133"/>
        <v>1</v>
      </c>
    </row>
    <row r="4192" spans="1:4" x14ac:dyDescent="0.55000000000000004">
      <c r="A4192">
        <f t="shared" si="132"/>
        <v>2008</v>
      </c>
      <c r="B4192" s="821">
        <v>39570</v>
      </c>
      <c r="C4192">
        <v>4.57</v>
      </c>
      <c r="D4192">
        <f t="shared" si="133"/>
        <v>1</v>
      </c>
    </row>
    <row r="4193" spans="1:4" x14ac:dyDescent="0.55000000000000004">
      <c r="A4193">
        <f t="shared" si="132"/>
        <v>2008</v>
      </c>
      <c r="B4193" s="821">
        <v>39569</v>
      </c>
      <c r="C4193">
        <v>4.49</v>
      </c>
      <c r="D4193">
        <f t="shared" si="133"/>
        <v>1</v>
      </c>
    </row>
    <row r="4194" spans="1:4" x14ac:dyDescent="0.55000000000000004">
      <c r="A4194">
        <f t="shared" si="132"/>
        <v>2008</v>
      </c>
      <c r="B4194" s="821">
        <v>39568</v>
      </c>
      <c r="C4194">
        <v>4.49</v>
      </c>
      <c r="D4194">
        <f t="shared" si="133"/>
        <v>1</v>
      </c>
    </row>
    <row r="4195" spans="1:4" x14ac:dyDescent="0.55000000000000004">
      <c r="A4195">
        <f t="shared" si="132"/>
        <v>2008</v>
      </c>
      <c r="B4195" s="821">
        <v>39567</v>
      </c>
      <c r="C4195">
        <v>4.55</v>
      </c>
      <c r="D4195">
        <f t="shared" si="133"/>
        <v>1</v>
      </c>
    </row>
    <row r="4196" spans="1:4" x14ac:dyDescent="0.55000000000000004">
      <c r="A4196">
        <f t="shared" si="132"/>
        <v>2008</v>
      </c>
      <c r="B4196" s="821">
        <v>39566</v>
      </c>
      <c r="C4196">
        <v>4.57</v>
      </c>
      <c r="D4196">
        <f t="shared" si="133"/>
        <v>1</v>
      </c>
    </row>
    <row r="4197" spans="1:4" x14ac:dyDescent="0.55000000000000004">
      <c r="A4197">
        <f t="shared" si="132"/>
        <v>2008</v>
      </c>
      <c r="B4197" s="821">
        <v>39563</v>
      </c>
      <c r="C4197">
        <v>4.6100000000000003</v>
      </c>
      <c r="D4197">
        <f t="shared" si="133"/>
        <v>1</v>
      </c>
    </row>
    <row r="4198" spans="1:4" x14ac:dyDescent="0.55000000000000004">
      <c r="A4198">
        <f t="shared" si="132"/>
        <v>2008</v>
      </c>
      <c r="B4198" s="821">
        <v>39562</v>
      </c>
      <c r="C4198">
        <v>4.5599999999999996</v>
      </c>
      <c r="D4198">
        <f t="shared" si="133"/>
        <v>1</v>
      </c>
    </row>
    <row r="4199" spans="1:4" x14ac:dyDescent="0.55000000000000004">
      <c r="A4199">
        <f t="shared" si="132"/>
        <v>2008</v>
      </c>
      <c r="B4199" s="821">
        <v>39561</v>
      </c>
      <c r="C4199">
        <v>4.49</v>
      </c>
      <c r="D4199">
        <f t="shared" si="133"/>
        <v>1</v>
      </c>
    </row>
    <row r="4200" spans="1:4" x14ac:dyDescent="0.55000000000000004">
      <c r="A4200">
        <f t="shared" si="132"/>
        <v>2008</v>
      </c>
      <c r="B4200" s="821">
        <v>39560</v>
      </c>
      <c r="C4200">
        <v>4.46</v>
      </c>
      <c r="D4200">
        <f t="shared" si="133"/>
        <v>1</v>
      </c>
    </row>
    <row r="4201" spans="1:4" x14ac:dyDescent="0.55000000000000004">
      <c r="A4201">
        <f t="shared" si="132"/>
        <v>2008</v>
      </c>
      <c r="B4201" s="821">
        <v>39559</v>
      </c>
      <c r="C4201">
        <v>4.4800000000000004</v>
      </c>
      <c r="D4201">
        <f t="shared" si="133"/>
        <v>1</v>
      </c>
    </row>
    <row r="4202" spans="1:4" x14ac:dyDescent="0.55000000000000004">
      <c r="A4202">
        <f t="shared" si="132"/>
        <v>2008</v>
      </c>
      <c r="B4202" s="821">
        <v>39556</v>
      </c>
      <c r="C4202">
        <v>4.51</v>
      </c>
      <c r="D4202">
        <f t="shared" si="133"/>
        <v>1</v>
      </c>
    </row>
    <row r="4203" spans="1:4" x14ac:dyDescent="0.55000000000000004">
      <c r="A4203">
        <f t="shared" si="132"/>
        <v>2008</v>
      </c>
      <c r="B4203" s="821">
        <v>39555</v>
      </c>
      <c r="C4203">
        <v>4.54</v>
      </c>
      <c r="D4203">
        <f t="shared" si="133"/>
        <v>1</v>
      </c>
    </row>
    <row r="4204" spans="1:4" x14ac:dyDescent="0.55000000000000004">
      <c r="A4204">
        <f t="shared" si="132"/>
        <v>2008</v>
      </c>
      <c r="B4204" s="821">
        <v>39554</v>
      </c>
      <c r="C4204">
        <v>4.54</v>
      </c>
      <c r="D4204">
        <f t="shared" si="133"/>
        <v>1</v>
      </c>
    </row>
    <row r="4205" spans="1:4" x14ac:dyDescent="0.55000000000000004">
      <c r="A4205">
        <f t="shared" si="132"/>
        <v>2008</v>
      </c>
      <c r="B4205" s="821">
        <v>39553</v>
      </c>
      <c r="C4205">
        <v>4.42</v>
      </c>
      <c r="D4205">
        <f t="shared" si="133"/>
        <v>1</v>
      </c>
    </row>
    <row r="4206" spans="1:4" x14ac:dyDescent="0.55000000000000004">
      <c r="A4206">
        <f t="shared" si="132"/>
        <v>2008</v>
      </c>
      <c r="B4206" s="821">
        <v>39552</v>
      </c>
      <c r="C4206">
        <v>4.3499999999999996</v>
      </c>
      <c r="D4206">
        <f t="shared" si="133"/>
        <v>1</v>
      </c>
    </row>
    <row r="4207" spans="1:4" x14ac:dyDescent="0.55000000000000004">
      <c r="A4207">
        <f t="shared" si="132"/>
        <v>2008</v>
      </c>
      <c r="B4207" s="821">
        <v>39549</v>
      </c>
      <c r="C4207">
        <v>4.3</v>
      </c>
      <c r="D4207">
        <f t="shared" si="133"/>
        <v>1</v>
      </c>
    </row>
    <row r="4208" spans="1:4" x14ac:dyDescent="0.55000000000000004">
      <c r="A4208">
        <f t="shared" si="132"/>
        <v>2008</v>
      </c>
      <c r="B4208" s="821">
        <v>39548</v>
      </c>
      <c r="C4208">
        <v>4.34</v>
      </c>
      <c r="D4208">
        <f t="shared" si="133"/>
        <v>1</v>
      </c>
    </row>
    <row r="4209" spans="1:4" x14ac:dyDescent="0.55000000000000004">
      <c r="A4209">
        <f t="shared" si="132"/>
        <v>2008</v>
      </c>
      <c r="B4209" s="821">
        <v>39547</v>
      </c>
      <c r="C4209">
        <v>4.3099999999999996</v>
      </c>
      <c r="D4209">
        <f t="shared" si="133"/>
        <v>1</v>
      </c>
    </row>
    <row r="4210" spans="1:4" x14ac:dyDescent="0.55000000000000004">
      <c r="A4210">
        <f t="shared" si="132"/>
        <v>2008</v>
      </c>
      <c r="B4210" s="821">
        <v>39546</v>
      </c>
      <c r="C4210">
        <v>4.37</v>
      </c>
      <c r="D4210">
        <f t="shared" si="133"/>
        <v>1</v>
      </c>
    </row>
    <row r="4211" spans="1:4" x14ac:dyDescent="0.55000000000000004">
      <c r="A4211">
        <f t="shared" si="132"/>
        <v>2008</v>
      </c>
      <c r="B4211" s="821">
        <v>39545</v>
      </c>
      <c r="C4211">
        <v>4.3600000000000003</v>
      </c>
      <c r="D4211">
        <f t="shared" si="133"/>
        <v>1</v>
      </c>
    </row>
    <row r="4212" spans="1:4" x14ac:dyDescent="0.55000000000000004">
      <c r="A4212">
        <f t="shared" si="132"/>
        <v>2008</v>
      </c>
      <c r="B4212" s="821">
        <v>39542</v>
      </c>
      <c r="C4212">
        <v>4.32</v>
      </c>
      <c r="D4212">
        <f t="shared" si="133"/>
        <v>1</v>
      </c>
    </row>
    <row r="4213" spans="1:4" x14ac:dyDescent="0.55000000000000004">
      <c r="A4213">
        <f t="shared" si="132"/>
        <v>2008</v>
      </c>
      <c r="B4213" s="821">
        <v>39541</v>
      </c>
      <c r="C4213">
        <v>4.4000000000000004</v>
      </c>
      <c r="D4213">
        <f t="shared" si="133"/>
        <v>1</v>
      </c>
    </row>
    <row r="4214" spans="1:4" x14ac:dyDescent="0.55000000000000004">
      <c r="A4214">
        <f t="shared" si="132"/>
        <v>2008</v>
      </c>
      <c r="B4214" s="821">
        <v>39540</v>
      </c>
      <c r="C4214">
        <v>4.38</v>
      </c>
      <c r="D4214">
        <f t="shared" si="133"/>
        <v>1</v>
      </c>
    </row>
    <row r="4215" spans="1:4" x14ac:dyDescent="0.55000000000000004">
      <c r="A4215">
        <f t="shared" si="132"/>
        <v>2008</v>
      </c>
      <c r="B4215" s="821">
        <v>39539</v>
      </c>
      <c r="C4215">
        <v>4.4000000000000004</v>
      </c>
      <c r="D4215">
        <f t="shared" si="133"/>
        <v>1</v>
      </c>
    </row>
    <row r="4216" spans="1:4" x14ac:dyDescent="0.55000000000000004">
      <c r="A4216">
        <f t="shared" si="132"/>
        <v>2008</v>
      </c>
      <c r="B4216" s="821">
        <v>39538</v>
      </c>
      <c r="C4216">
        <v>4.3</v>
      </c>
      <c r="D4216">
        <f t="shared" si="133"/>
        <v>1</v>
      </c>
    </row>
    <row r="4217" spans="1:4" x14ac:dyDescent="0.55000000000000004">
      <c r="A4217">
        <f t="shared" si="132"/>
        <v>2008</v>
      </c>
      <c r="B4217" s="821">
        <v>39535</v>
      </c>
      <c r="C4217">
        <v>4.33</v>
      </c>
      <c r="D4217">
        <f t="shared" si="133"/>
        <v>1</v>
      </c>
    </row>
    <row r="4218" spans="1:4" x14ac:dyDescent="0.55000000000000004">
      <c r="A4218">
        <f t="shared" si="132"/>
        <v>2008</v>
      </c>
      <c r="B4218" s="821">
        <v>39534</v>
      </c>
      <c r="C4218">
        <v>4.38</v>
      </c>
      <c r="D4218">
        <f t="shared" si="133"/>
        <v>1</v>
      </c>
    </row>
    <row r="4219" spans="1:4" x14ac:dyDescent="0.55000000000000004">
      <c r="A4219">
        <f t="shared" si="132"/>
        <v>2008</v>
      </c>
      <c r="B4219" s="821">
        <v>39533</v>
      </c>
      <c r="C4219">
        <v>4.33</v>
      </c>
      <c r="D4219">
        <f t="shared" si="133"/>
        <v>1</v>
      </c>
    </row>
    <row r="4220" spans="1:4" x14ac:dyDescent="0.55000000000000004">
      <c r="A4220">
        <f t="shared" si="132"/>
        <v>2008</v>
      </c>
      <c r="B4220" s="821">
        <v>39532</v>
      </c>
      <c r="C4220">
        <v>4.3</v>
      </c>
      <c r="D4220">
        <f t="shared" si="133"/>
        <v>1</v>
      </c>
    </row>
    <row r="4221" spans="1:4" x14ac:dyDescent="0.55000000000000004">
      <c r="A4221">
        <f t="shared" si="132"/>
        <v>2008</v>
      </c>
      <c r="B4221" s="821">
        <v>39531</v>
      </c>
      <c r="C4221">
        <v>4.33</v>
      </c>
      <c r="D4221">
        <f t="shared" si="133"/>
        <v>1</v>
      </c>
    </row>
    <row r="4222" spans="1:4" x14ac:dyDescent="0.55000000000000004">
      <c r="A4222">
        <f t="shared" si="132"/>
        <v>2008</v>
      </c>
      <c r="B4222" s="821">
        <v>39527</v>
      </c>
      <c r="C4222">
        <v>4.17</v>
      </c>
      <c r="D4222">
        <f t="shared" si="133"/>
        <v>1</v>
      </c>
    </row>
    <row r="4223" spans="1:4" x14ac:dyDescent="0.55000000000000004">
      <c r="A4223">
        <f t="shared" si="132"/>
        <v>2008</v>
      </c>
      <c r="B4223" s="821">
        <v>39526</v>
      </c>
      <c r="C4223">
        <v>4.22</v>
      </c>
      <c r="D4223">
        <f t="shared" si="133"/>
        <v>1</v>
      </c>
    </row>
    <row r="4224" spans="1:4" x14ac:dyDescent="0.55000000000000004">
      <c r="A4224">
        <f t="shared" si="132"/>
        <v>2008</v>
      </c>
      <c r="B4224" s="821">
        <v>39525</v>
      </c>
      <c r="C4224">
        <v>4.3499999999999996</v>
      </c>
      <c r="D4224">
        <f t="shared" si="133"/>
        <v>1</v>
      </c>
    </row>
    <row r="4225" spans="1:4" x14ac:dyDescent="0.55000000000000004">
      <c r="A4225">
        <f t="shared" si="132"/>
        <v>2008</v>
      </c>
      <c r="B4225" s="821">
        <v>39524</v>
      </c>
      <c r="C4225">
        <v>4.29</v>
      </c>
      <c r="D4225">
        <f t="shared" si="133"/>
        <v>1</v>
      </c>
    </row>
    <row r="4226" spans="1:4" x14ac:dyDescent="0.55000000000000004">
      <c r="A4226">
        <f t="shared" si="132"/>
        <v>2008</v>
      </c>
      <c r="B4226" s="821">
        <v>39521</v>
      </c>
      <c r="C4226">
        <v>4.3499999999999996</v>
      </c>
      <c r="D4226">
        <f t="shared" si="133"/>
        <v>1</v>
      </c>
    </row>
    <row r="4227" spans="1:4" x14ac:dyDescent="0.55000000000000004">
      <c r="A4227">
        <f t="shared" si="132"/>
        <v>2008</v>
      </c>
      <c r="B4227" s="821">
        <v>39520</v>
      </c>
      <c r="C4227">
        <v>4.47</v>
      </c>
      <c r="D4227">
        <f t="shared" si="133"/>
        <v>1</v>
      </c>
    </row>
    <row r="4228" spans="1:4" x14ac:dyDescent="0.55000000000000004">
      <c r="A4228">
        <f t="shared" ref="A4228:A4291" si="134">YEAR(B4228)</f>
        <v>2008</v>
      </c>
      <c r="B4228" s="821">
        <v>39519</v>
      </c>
      <c r="C4228">
        <v>4.4000000000000004</v>
      </c>
      <c r="D4228">
        <f t="shared" ref="D4228:D4291" si="135">IF(C4228&gt;4,1,0)</f>
        <v>1</v>
      </c>
    </row>
    <row r="4229" spans="1:4" x14ac:dyDescent="0.55000000000000004">
      <c r="A4229">
        <f t="shared" si="134"/>
        <v>2008</v>
      </c>
      <c r="B4229" s="821">
        <v>39518</v>
      </c>
      <c r="C4229">
        <v>4.53</v>
      </c>
      <c r="D4229">
        <f t="shared" si="135"/>
        <v>1</v>
      </c>
    </row>
    <row r="4230" spans="1:4" x14ac:dyDescent="0.55000000000000004">
      <c r="A4230">
        <f t="shared" si="134"/>
        <v>2008</v>
      </c>
      <c r="B4230" s="821">
        <v>39517</v>
      </c>
      <c r="C4230">
        <v>4.45</v>
      </c>
      <c r="D4230">
        <f t="shared" si="135"/>
        <v>1</v>
      </c>
    </row>
    <row r="4231" spans="1:4" x14ac:dyDescent="0.55000000000000004">
      <c r="A4231">
        <f t="shared" si="134"/>
        <v>2008</v>
      </c>
      <c r="B4231" s="821">
        <v>39514</v>
      </c>
      <c r="C4231">
        <v>4.55</v>
      </c>
      <c r="D4231">
        <f t="shared" si="135"/>
        <v>1</v>
      </c>
    </row>
    <row r="4232" spans="1:4" x14ac:dyDescent="0.55000000000000004">
      <c r="A4232">
        <f t="shared" si="134"/>
        <v>2008</v>
      </c>
      <c r="B4232" s="821">
        <v>39513</v>
      </c>
      <c r="C4232">
        <v>4.57</v>
      </c>
      <c r="D4232">
        <f t="shared" si="135"/>
        <v>1</v>
      </c>
    </row>
    <row r="4233" spans="1:4" x14ac:dyDescent="0.55000000000000004">
      <c r="A4233">
        <f t="shared" si="134"/>
        <v>2008</v>
      </c>
      <c r="B4233" s="821">
        <v>39512</v>
      </c>
      <c r="C4233">
        <v>4.5999999999999996</v>
      </c>
      <c r="D4233">
        <f t="shared" si="135"/>
        <v>1</v>
      </c>
    </row>
    <row r="4234" spans="1:4" x14ac:dyDescent="0.55000000000000004">
      <c r="A4234">
        <f t="shared" si="134"/>
        <v>2008</v>
      </c>
      <c r="B4234" s="821">
        <v>39511</v>
      </c>
      <c r="C4234">
        <v>4.5199999999999996</v>
      </c>
      <c r="D4234">
        <f t="shared" si="135"/>
        <v>1</v>
      </c>
    </row>
    <row r="4235" spans="1:4" x14ac:dyDescent="0.55000000000000004">
      <c r="A4235">
        <f t="shared" si="134"/>
        <v>2008</v>
      </c>
      <c r="B4235" s="821">
        <v>39510</v>
      </c>
      <c r="C4235">
        <v>4.42</v>
      </c>
      <c r="D4235">
        <f t="shared" si="135"/>
        <v>1</v>
      </c>
    </row>
    <row r="4236" spans="1:4" x14ac:dyDescent="0.55000000000000004">
      <c r="A4236">
        <f t="shared" si="134"/>
        <v>2008</v>
      </c>
      <c r="B4236" s="821">
        <v>39507</v>
      </c>
      <c r="C4236">
        <v>4.41</v>
      </c>
      <c r="D4236">
        <f t="shared" si="135"/>
        <v>1</v>
      </c>
    </row>
    <row r="4237" spans="1:4" x14ac:dyDescent="0.55000000000000004">
      <c r="A4237">
        <f t="shared" si="134"/>
        <v>2008</v>
      </c>
      <c r="B4237" s="821">
        <v>39506</v>
      </c>
      <c r="C4237">
        <v>4.55</v>
      </c>
      <c r="D4237">
        <f t="shared" si="135"/>
        <v>1</v>
      </c>
    </row>
    <row r="4238" spans="1:4" x14ac:dyDescent="0.55000000000000004">
      <c r="A4238">
        <f t="shared" si="134"/>
        <v>2008</v>
      </c>
      <c r="B4238" s="821">
        <v>39505</v>
      </c>
      <c r="C4238">
        <v>4.6500000000000004</v>
      </c>
      <c r="D4238">
        <f t="shared" si="135"/>
        <v>1</v>
      </c>
    </row>
    <row r="4239" spans="1:4" x14ac:dyDescent="0.55000000000000004">
      <c r="A4239">
        <f t="shared" si="134"/>
        <v>2008</v>
      </c>
      <c r="B4239" s="821">
        <v>39504</v>
      </c>
      <c r="C4239">
        <v>4.66</v>
      </c>
      <c r="D4239">
        <f t="shared" si="135"/>
        <v>1</v>
      </c>
    </row>
    <row r="4240" spans="1:4" x14ac:dyDescent="0.55000000000000004">
      <c r="A4240">
        <f t="shared" si="134"/>
        <v>2008</v>
      </c>
      <c r="B4240" s="821">
        <v>39503</v>
      </c>
      <c r="C4240">
        <v>4.67</v>
      </c>
      <c r="D4240">
        <f t="shared" si="135"/>
        <v>1</v>
      </c>
    </row>
    <row r="4241" spans="1:4" x14ac:dyDescent="0.55000000000000004">
      <c r="A4241">
        <f t="shared" si="134"/>
        <v>2008</v>
      </c>
      <c r="B4241" s="821">
        <v>39500</v>
      </c>
      <c r="C4241">
        <v>4.58</v>
      </c>
      <c r="D4241">
        <f t="shared" si="135"/>
        <v>1</v>
      </c>
    </row>
    <row r="4242" spans="1:4" x14ac:dyDescent="0.55000000000000004">
      <c r="A4242">
        <f t="shared" si="134"/>
        <v>2008</v>
      </c>
      <c r="B4242" s="821">
        <v>39499</v>
      </c>
      <c r="C4242">
        <v>4.54</v>
      </c>
      <c r="D4242">
        <f t="shared" si="135"/>
        <v>1</v>
      </c>
    </row>
    <row r="4243" spans="1:4" x14ac:dyDescent="0.55000000000000004">
      <c r="A4243">
        <f t="shared" si="134"/>
        <v>2008</v>
      </c>
      <c r="B4243" s="821">
        <v>39498</v>
      </c>
      <c r="C4243">
        <v>4.6500000000000004</v>
      </c>
      <c r="D4243">
        <f t="shared" si="135"/>
        <v>1</v>
      </c>
    </row>
    <row r="4244" spans="1:4" x14ac:dyDescent="0.55000000000000004">
      <c r="A4244">
        <f t="shared" si="134"/>
        <v>2008</v>
      </c>
      <c r="B4244" s="821">
        <v>39497</v>
      </c>
      <c r="C4244">
        <v>4.66</v>
      </c>
      <c r="D4244">
        <f t="shared" si="135"/>
        <v>1</v>
      </c>
    </row>
    <row r="4245" spans="1:4" x14ac:dyDescent="0.55000000000000004">
      <c r="A4245">
        <f t="shared" si="134"/>
        <v>2008</v>
      </c>
      <c r="B4245" s="821">
        <v>39493</v>
      </c>
      <c r="C4245">
        <v>4.58</v>
      </c>
      <c r="D4245">
        <f t="shared" si="135"/>
        <v>1</v>
      </c>
    </row>
    <row r="4246" spans="1:4" x14ac:dyDescent="0.55000000000000004">
      <c r="A4246">
        <f t="shared" si="134"/>
        <v>2008</v>
      </c>
      <c r="B4246" s="821">
        <v>39492</v>
      </c>
      <c r="C4246">
        <v>4.67</v>
      </c>
      <c r="D4246">
        <f t="shared" si="135"/>
        <v>1</v>
      </c>
    </row>
    <row r="4247" spans="1:4" x14ac:dyDescent="0.55000000000000004">
      <c r="A4247">
        <f t="shared" si="134"/>
        <v>2008</v>
      </c>
      <c r="B4247" s="821">
        <v>39491</v>
      </c>
      <c r="C4247">
        <v>4.5199999999999996</v>
      </c>
      <c r="D4247">
        <f t="shared" si="135"/>
        <v>1</v>
      </c>
    </row>
    <row r="4248" spans="1:4" x14ac:dyDescent="0.55000000000000004">
      <c r="A4248">
        <f t="shared" si="134"/>
        <v>2008</v>
      </c>
      <c r="B4248" s="821">
        <v>39490</v>
      </c>
      <c r="C4248">
        <v>4.46</v>
      </c>
      <c r="D4248">
        <f t="shared" si="135"/>
        <v>1</v>
      </c>
    </row>
    <row r="4249" spans="1:4" x14ac:dyDescent="0.55000000000000004">
      <c r="A4249">
        <f t="shared" si="134"/>
        <v>2008</v>
      </c>
      <c r="B4249" s="821">
        <v>39489</v>
      </c>
      <c r="C4249">
        <v>4.41</v>
      </c>
      <c r="D4249">
        <f t="shared" si="135"/>
        <v>1</v>
      </c>
    </row>
    <row r="4250" spans="1:4" x14ac:dyDescent="0.55000000000000004">
      <c r="A4250">
        <f t="shared" si="134"/>
        <v>2008</v>
      </c>
      <c r="B4250" s="821">
        <v>39486</v>
      </c>
      <c r="C4250">
        <v>4.43</v>
      </c>
      <c r="D4250">
        <f t="shared" si="135"/>
        <v>1</v>
      </c>
    </row>
    <row r="4251" spans="1:4" x14ac:dyDescent="0.55000000000000004">
      <c r="A4251">
        <f t="shared" si="134"/>
        <v>2008</v>
      </c>
      <c r="B4251" s="821">
        <v>39485</v>
      </c>
      <c r="C4251">
        <v>4.51</v>
      </c>
      <c r="D4251">
        <f t="shared" si="135"/>
        <v>1</v>
      </c>
    </row>
    <row r="4252" spans="1:4" x14ac:dyDescent="0.55000000000000004">
      <c r="A4252">
        <f t="shared" si="134"/>
        <v>2008</v>
      </c>
      <c r="B4252" s="821">
        <v>39484</v>
      </c>
      <c r="C4252">
        <v>4.37</v>
      </c>
      <c r="D4252">
        <f t="shared" si="135"/>
        <v>1</v>
      </c>
    </row>
    <row r="4253" spans="1:4" x14ac:dyDescent="0.55000000000000004">
      <c r="A4253">
        <f t="shared" si="134"/>
        <v>2008</v>
      </c>
      <c r="B4253" s="821">
        <v>39483</v>
      </c>
      <c r="C4253">
        <v>4.33</v>
      </c>
      <c r="D4253">
        <f t="shared" si="135"/>
        <v>1</v>
      </c>
    </row>
    <row r="4254" spans="1:4" x14ac:dyDescent="0.55000000000000004">
      <c r="A4254">
        <f t="shared" si="134"/>
        <v>2008</v>
      </c>
      <c r="B4254" s="821">
        <v>39482</v>
      </c>
      <c r="C4254">
        <v>4.37</v>
      </c>
      <c r="D4254">
        <f t="shared" si="135"/>
        <v>1</v>
      </c>
    </row>
    <row r="4255" spans="1:4" x14ac:dyDescent="0.55000000000000004">
      <c r="A4255">
        <f t="shared" si="134"/>
        <v>2008</v>
      </c>
      <c r="B4255" s="821">
        <v>39479</v>
      </c>
      <c r="C4255">
        <v>4.32</v>
      </c>
      <c r="D4255">
        <f t="shared" si="135"/>
        <v>1</v>
      </c>
    </row>
    <row r="4256" spans="1:4" x14ac:dyDescent="0.55000000000000004">
      <c r="A4256">
        <f t="shared" si="134"/>
        <v>2008</v>
      </c>
      <c r="B4256" s="821">
        <v>39478</v>
      </c>
      <c r="C4256">
        <v>4.3499999999999996</v>
      </c>
      <c r="D4256">
        <f t="shared" si="135"/>
        <v>1</v>
      </c>
    </row>
    <row r="4257" spans="1:4" x14ac:dyDescent="0.55000000000000004">
      <c r="A4257">
        <f t="shared" si="134"/>
        <v>2008</v>
      </c>
      <c r="B4257" s="821">
        <v>39477</v>
      </c>
      <c r="C4257">
        <v>4.4400000000000004</v>
      </c>
      <c r="D4257">
        <f t="shared" si="135"/>
        <v>1</v>
      </c>
    </row>
    <row r="4258" spans="1:4" x14ac:dyDescent="0.55000000000000004">
      <c r="A4258">
        <f t="shared" si="134"/>
        <v>2008</v>
      </c>
      <c r="B4258" s="821">
        <v>39476</v>
      </c>
      <c r="C4258">
        <v>4.34</v>
      </c>
      <c r="D4258">
        <f t="shared" si="135"/>
        <v>1</v>
      </c>
    </row>
    <row r="4259" spans="1:4" x14ac:dyDescent="0.55000000000000004">
      <c r="A4259">
        <f t="shared" si="134"/>
        <v>2008</v>
      </c>
      <c r="B4259" s="821">
        <v>39475</v>
      </c>
      <c r="C4259">
        <v>4.29</v>
      </c>
      <c r="D4259">
        <f t="shared" si="135"/>
        <v>1</v>
      </c>
    </row>
    <row r="4260" spans="1:4" x14ac:dyDescent="0.55000000000000004">
      <c r="A4260">
        <f t="shared" si="134"/>
        <v>2008</v>
      </c>
      <c r="B4260" s="821">
        <v>39472</v>
      </c>
      <c r="C4260">
        <v>4.28</v>
      </c>
      <c r="D4260">
        <f t="shared" si="135"/>
        <v>1</v>
      </c>
    </row>
    <row r="4261" spans="1:4" x14ac:dyDescent="0.55000000000000004">
      <c r="A4261">
        <f t="shared" si="134"/>
        <v>2008</v>
      </c>
      <c r="B4261" s="821">
        <v>39471</v>
      </c>
      <c r="C4261">
        <v>4.3600000000000003</v>
      </c>
      <c r="D4261">
        <f t="shared" si="135"/>
        <v>1</v>
      </c>
    </row>
    <row r="4262" spans="1:4" x14ac:dyDescent="0.55000000000000004">
      <c r="A4262">
        <f t="shared" si="134"/>
        <v>2008</v>
      </c>
      <c r="B4262" s="821">
        <v>39470</v>
      </c>
      <c r="C4262">
        <v>4.2300000000000004</v>
      </c>
      <c r="D4262">
        <f t="shared" si="135"/>
        <v>1</v>
      </c>
    </row>
    <row r="4263" spans="1:4" x14ac:dyDescent="0.55000000000000004">
      <c r="A4263">
        <f t="shared" si="134"/>
        <v>2008</v>
      </c>
      <c r="B4263" s="821">
        <v>39469</v>
      </c>
      <c r="C4263">
        <v>4.2300000000000004</v>
      </c>
      <c r="D4263">
        <f t="shared" si="135"/>
        <v>1</v>
      </c>
    </row>
    <row r="4264" spans="1:4" x14ac:dyDescent="0.55000000000000004">
      <c r="A4264">
        <f t="shared" si="134"/>
        <v>2008</v>
      </c>
      <c r="B4264" s="821">
        <v>39465</v>
      </c>
      <c r="C4264">
        <v>4.28</v>
      </c>
      <c r="D4264">
        <f t="shared" si="135"/>
        <v>1</v>
      </c>
    </row>
    <row r="4265" spans="1:4" x14ac:dyDescent="0.55000000000000004">
      <c r="A4265">
        <f t="shared" si="134"/>
        <v>2008</v>
      </c>
      <c r="B4265" s="821">
        <v>39464</v>
      </c>
      <c r="C4265">
        <v>4.25</v>
      </c>
      <c r="D4265">
        <f t="shared" si="135"/>
        <v>1</v>
      </c>
    </row>
    <row r="4266" spans="1:4" x14ac:dyDescent="0.55000000000000004">
      <c r="A4266">
        <f t="shared" si="134"/>
        <v>2008</v>
      </c>
      <c r="B4266" s="821">
        <v>39463</v>
      </c>
      <c r="C4266">
        <v>4.32</v>
      </c>
      <c r="D4266">
        <f t="shared" si="135"/>
        <v>1</v>
      </c>
    </row>
    <row r="4267" spans="1:4" x14ac:dyDescent="0.55000000000000004">
      <c r="A4267">
        <f t="shared" si="134"/>
        <v>2008</v>
      </c>
      <c r="B4267" s="821">
        <v>39462</v>
      </c>
      <c r="C4267">
        <v>4.28</v>
      </c>
      <c r="D4267">
        <f t="shared" si="135"/>
        <v>1</v>
      </c>
    </row>
    <row r="4268" spans="1:4" x14ac:dyDescent="0.55000000000000004">
      <c r="A4268">
        <f t="shared" si="134"/>
        <v>2008</v>
      </c>
      <c r="B4268" s="821">
        <v>39461</v>
      </c>
      <c r="C4268">
        <v>4.37</v>
      </c>
      <c r="D4268">
        <f t="shared" si="135"/>
        <v>1</v>
      </c>
    </row>
    <row r="4269" spans="1:4" x14ac:dyDescent="0.55000000000000004">
      <c r="A4269">
        <f t="shared" si="134"/>
        <v>2008</v>
      </c>
      <c r="B4269" s="821">
        <v>39458</v>
      </c>
      <c r="C4269">
        <v>4.3899999999999997</v>
      </c>
      <c r="D4269">
        <f t="shared" si="135"/>
        <v>1</v>
      </c>
    </row>
    <row r="4270" spans="1:4" x14ac:dyDescent="0.55000000000000004">
      <c r="A4270">
        <f t="shared" si="134"/>
        <v>2008</v>
      </c>
      <c r="B4270" s="821">
        <v>39457</v>
      </c>
      <c r="C4270">
        <v>4.4400000000000004</v>
      </c>
      <c r="D4270">
        <f t="shared" si="135"/>
        <v>1</v>
      </c>
    </row>
    <row r="4271" spans="1:4" x14ac:dyDescent="0.55000000000000004">
      <c r="A4271">
        <f t="shared" si="134"/>
        <v>2008</v>
      </c>
      <c r="B4271" s="821">
        <v>39456</v>
      </c>
      <c r="C4271">
        <v>4.32</v>
      </c>
      <c r="D4271">
        <f t="shared" si="135"/>
        <v>1</v>
      </c>
    </row>
    <row r="4272" spans="1:4" x14ac:dyDescent="0.55000000000000004">
      <c r="A4272">
        <f t="shared" si="134"/>
        <v>2008</v>
      </c>
      <c r="B4272" s="821">
        <v>39455</v>
      </c>
      <c r="C4272">
        <v>4.3499999999999996</v>
      </c>
      <c r="D4272">
        <f t="shared" si="135"/>
        <v>1</v>
      </c>
    </row>
    <row r="4273" spans="1:4" x14ac:dyDescent="0.55000000000000004">
      <c r="A4273">
        <f t="shared" si="134"/>
        <v>2008</v>
      </c>
      <c r="B4273" s="821">
        <v>39454</v>
      </c>
      <c r="C4273">
        <v>4.34</v>
      </c>
      <c r="D4273">
        <f t="shared" si="135"/>
        <v>1</v>
      </c>
    </row>
    <row r="4274" spans="1:4" x14ac:dyDescent="0.55000000000000004">
      <c r="A4274">
        <f t="shared" si="134"/>
        <v>2008</v>
      </c>
      <c r="B4274" s="821">
        <v>39451</v>
      </c>
      <c r="C4274">
        <v>4.3600000000000003</v>
      </c>
      <c r="D4274">
        <f t="shared" si="135"/>
        <v>1</v>
      </c>
    </row>
    <row r="4275" spans="1:4" x14ac:dyDescent="0.55000000000000004">
      <c r="A4275">
        <f t="shared" si="134"/>
        <v>2008</v>
      </c>
      <c r="B4275" s="821">
        <v>39450</v>
      </c>
      <c r="C4275">
        <v>4.37</v>
      </c>
      <c r="D4275">
        <f t="shared" si="135"/>
        <v>1</v>
      </c>
    </row>
    <row r="4276" spans="1:4" x14ac:dyDescent="0.55000000000000004">
      <c r="A4276">
        <f t="shared" si="134"/>
        <v>2008</v>
      </c>
      <c r="B4276" s="821">
        <v>39449</v>
      </c>
      <c r="C4276">
        <v>4.3499999999999996</v>
      </c>
      <c r="D4276">
        <f t="shared" si="135"/>
        <v>1</v>
      </c>
    </row>
    <row r="4277" spans="1:4" x14ac:dyDescent="0.55000000000000004">
      <c r="A4277">
        <f t="shared" si="134"/>
        <v>2007</v>
      </c>
      <c r="B4277" s="821">
        <v>39447</v>
      </c>
      <c r="C4277">
        <v>4.45</v>
      </c>
      <c r="D4277">
        <f t="shared" si="135"/>
        <v>1</v>
      </c>
    </row>
    <row r="4278" spans="1:4" x14ac:dyDescent="0.55000000000000004">
      <c r="A4278">
        <f t="shared" si="134"/>
        <v>2007</v>
      </c>
      <c r="B4278" s="821">
        <v>39444</v>
      </c>
      <c r="C4278">
        <v>4.51</v>
      </c>
      <c r="D4278">
        <f t="shared" si="135"/>
        <v>1</v>
      </c>
    </row>
    <row r="4279" spans="1:4" x14ac:dyDescent="0.55000000000000004">
      <c r="A4279">
        <f t="shared" si="134"/>
        <v>2007</v>
      </c>
      <c r="B4279" s="821">
        <v>39443</v>
      </c>
      <c r="C4279">
        <v>4.6100000000000003</v>
      </c>
      <c r="D4279">
        <f t="shared" si="135"/>
        <v>1</v>
      </c>
    </row>
    <row r="4280" spans="1:4" x14ac:dyDescent="0.55000000000000004">
      <c r="A4280">
        <f t="shared" si="134"/>
        <v>2007</v>
      </c>
      <c r="B4280" s="821">
        <v>39442</v>
      </c>
      <c r="C4280">
        <v>4.68</v>
      </c>
      <c r="D4280">
        <f t="shared" si="135"/>
        <v>1</v>
      </c>
    </row>
    <row r="4281" spans="1:4" x14ac:dyDescent="0.55000000000000004">
      <c r="A4281">
        <f t="shared" si="134"/>
        <v>2007</v>
      </c>
      <c r="B4281" s="821">
        <v>39440</v>
      </c>
      <c r="C4281">
        <v>4.62</v>
      </c>
      <c r="D4281">
        <f t="shared" si="135"/>
        <v>1</v>
      </c>
    </row>
    <row r="4282" spans="1:4" x14ac:dyDescent="0.55000000000000004">
      <c r="A4282">
        <f t="shared" si="134"/>
        <v>2007</v>
      </c>
      <c r="B4282" s="821">
        <v>39437</v>
      </c>
      <c r="C4282">
        <v>4.58</v>
      </c>
      <c r="D4282">
        <f t="shared" si="135"/>
        <v>1</v>
      </c>
    </row>
    <row r="4283" spans="1:4" x14ac:dyDescent="0.55000000000000004">
      <c r="A4283">
        <f t="shared" si="134"/>
        <v>2007</v>
      </c>
      <c r="B4283" s="821">
        <v>39436</v>
      </c>
      <c r="C4283">
        <v>4.46</v>
      </c>
      <c r="D4283">
        <f t="shared" si="135"/>
        <v>1</v>
      </c>
    </row>
    <row r="4284" spans="1:4" x14ac:dyDescent="0.55000000000000004">
      <c r="A4284">
        <f t="shared" si="134"/>
        <v>2007</v>
      </c>
      <c r="B4284" s="821">
        <v>39435</v>
      </c>
      <c r="C4284">
        <v>4.47</v>
      </c>
      <c r="D4284">
        <f t="shared" si="135"/>
        <v>1</v>
      </c>
    </row>
    <row r="4285" spans="1:4" x14ac:dyDescent="0.55000000000000004">
      <c r="A4285">
        <f t="shared" si="134"/>
        <v>2007</v>
      </c>
      <c r="B4285" s="821">
        <v>39434</v>
      </c>
      <c r="C4285">
        <v>4.55</v>
      </c>
      <c r="D4285">
        <f t="shared" si="135"/>
        <v>1</v>
      </c>
    </row>
    <row r="4286" spans="1:4" x14ac:dyDescent="0.55000000000000004">
      <c r="A4286">
        <f t="shared" si="134"/>
        <v>2007</v>
      </c>
      <c r="B4286" s="821">
        <v>39433</v>
      </c>
      <c r="C4286">
        <v>4.62</v>
      </c>
      <c r="D4286">
        <f t="shared" si="135"/>
        <v>1</v>
      </c>
    </row>
    <row r="4287" spans="1:4" x14ac:dyDescent="0.55000000000000004">
      <c r="A4287">
        <f t="shared" si="134"/>
        <v>2007</v>
      </c>
      <c r="B4287" s="821">
        <v>39430</v>
      </c>
      <c r="C4287">
        <v>4.66</v>
      </c>
      <c r="D4287">
        <f t="shared" si="135"/>
        <v>1</v>
      </c>
    </row>
    <row r="4288" spans="1:4" x14ac:dyDescent="0.55000000000000004">
      <c r="A4288">
        <f t="shared" si="134"/>
        <v>2007</v>
      </c>
      <c r="B4288" s="821">
        <v>39429</v>
      </c>
      <c r="C4288">
        <v>4.6100000000000003</v>
      </c>
      <c r="D4288">
        <f t="shared" si="135"/>
        <v>1</v>
      </c>
    </row>
    <row r="4289" spans="1:4" x14ac:dyDescent="0.55000000000000004">
      <c r="A4289">
        <f t="shared" si="134"/>
        <v>2007</v>
      </c>
      <c r="B4289" s="821">
        <v>39428</v>
      </c>
      <c r="C4289">
        <v>4.51</v>
      </c>
      <c r="D4289">
        <f t="shared" si="135"/>
        <v>1</v>
      </c>
    </row>
    <row r="4290" spans="1:4" x14ac:dyDescent="0.55000000000000004">
      <c r="A4290">
        <f t="shared" si="134"/>
        <v>2007</v>
      </c>
      <c r="B4290" s="821">
        <v>39427</v>
      </c>
      <c r="C4290">
        <v>4.47</v>
      </c>
      <c r="D4290">
        <f t="shared" si="135"/>
        <v>1</v>
      </c>
    </row>
    <row r="4291" spans="1:4" x14ac:dyDescent="0.55000000000000004">
      <c r="A4291">
        <f t="shared" si="134"/>
        <v>2007</v>
      </c>
      <c r="B4291" s="821">
        <v>39426</v>
      </c>
      <c r="C4291">
        <v>4.5999999999999996</v>
      </c>
      <c r="D4291">
        <f t="shared" si="135"/>
        <v>1</v>
      </c>
    </row>
    <row r="4292" spans="1:4" x14ac:dyDescent="0.55000000000000004">
      <c r="A4292">
        <f t="shared" ref="A4292:A4355" si="136">YEAR(B4292)</f>
        <v>2007</v>
      </c>
      <c r="B4292" s="821">
        <v>39423</v>
      </c>
      <c r="C4292">
        <v>4.58</v>
      </c>
      <c r="D4292">
        <f t="shared" ref="D4292:D4355" si="137">IF(C4292&gt;4,1,0)</f>
        <v>1</v>
      </c>
    </row>
    <row r="4293" spans="1:4" x14ac:dyDescent="0.55000000000000004">
      <c r="A4293">
        <f t="shared" si="136"/>
        <v>2007</v>
      </c>
      <c r="B4293" s="821">
        <v>39422</v>
      </c>
      <c r="C4293">
        <v>4.49</v>
      </c>
      <c r="D4293">
        <f t="shared" si="137"/>
        <v>1</v>
      </c>
    </row>
    <row r="4294" spans="1:4" x14ac:dyDescent="0.55000000000000004">
      <c r="A4294">
        <f t="shared" si="136"/>
        <v>2007</v>
      </c>
      <c r="B4294" s="821">
        <v>39421</v>
      </c>
      <c r="C4294">
        <v>4.3899999999999997</v>
      </c>
      <c r="D4294">
        <f t="shared" si="137"/>
        <v>1</v>
      </c>
    </row>
    <row r="4295" spans="1:4" x14ac:dyDescent="0.55000000000000004">
      <c r="A4295">
        <f t="shared" si="136"/>
        <v>2007</v>
      </c>
      <c r="B4295" s="821">
        <v>39420</v>
      </c>
      <c r="C4295">
        <v>4.34</v>
      </c>
      <c r="D4295">
        <f t="shared" si="137"/>
        <v>1</v>
      </c>
    </row>
    <row r="4296" spans="1:4" x14ac:dyDescent="0.55000000000000004">
      <c r="A4296">
        <f t="shared" si="136"/>
        <v>2007</v>
      </c>
      <c r="B4296" s="821">
        <v>39419</v>
      </c>
      <c r="C4296">
        <v>4.34</v>
      </c>
      <c r="D4296">
        <f t="shared" si="137"/>
        <v>1</v>
      </c>
    </row>
    <row r="4297" spans="1:4" x14ac:dyDescent="0.55000000000000004">
      <c r="A4297">
        <f t="shared" si="136"/>
        <v>2007</v>
      </c>
      <c r="B4297" s="821">
        <v>39416</v>
      </c>
      <c r="C4297">
        <v>4.4000000000000004</v>
      </c>
      <c r="D4297">
        <f t="shared" si="137"/>
        <v>1</v>
      </c>
    </row>
    <row r="4298" spans="1:4" x14ac:dyDescent="0.55000000000000004">
      <c r="A4298">
        <f t="shared" si="136"/>
        <v>2007</v>
      </c>
      <c r="B4298" s="821">
        <v>39415</v>
      </c>
      <c r="C4298">
        <v>4.3499999999999996</v>
      </c>
      <c r="D4298">
        <f t="shared" si="137"/>
        <v>1</v>
      </c>
    </row>
    <row r="4299" spans="1:4" x14ac:dyDescent="0.55000000000000004">
      <c r="A4299">
        <f t="shared" si="136"/>
        <v>2007</v>
      </c>
      <c r="B4299" s="821">
        <v>39414</v>
      </c>
      <c r="C4299">
        <v>4.41</v>
      </c>
      <c r="D4299">
        <f t="shared" si="137"/>
        <v>1</v>
      </c>
    </row>
    <row r="4300" spans="1:4" x14ac:dyDescent="0.55000000000000004">
      <c r="A4300">
        <f t="shared" si="136"/>
        <v>2007</v>
      </c>
      <c r="B4300" s="821">
        <v>39413</v>
      </c>
      <c r="C4300">
        <v>4.3600000000000003</v>
      </c>
      <c r="D4300">
        <f t="shared" si="137"/>
        <v>1</v>
      </c>
    </row>
    <row r="4301" spans="1:4" x14ac:dyDescent="0.55000000000000004">
      <c r="A4301">
        <f t="shared" si="136"/>
        <v>2007</v>
      </c>
      <c r="B4301" s="821">
        <v>39412</v>
      </c>
      <c r="C4301">
        <v>4.26</v>
      </c>
      <c r="D4301">
        <f t="shared" si="137"/>
        <v>1</v>
      </c>
    </row>
    <row r="4302" spans="1:4" x14ac:dyDescent="0.55000000000000004">
      <c r="A4302">
        <f t="shared" si="136"/>
        <v>2007</v>
      </c>
      <c r="B4302" s="821">
        <v>39409</v>
      </c>
      <c r="C4302">
        <v>4.43</v>
      </c>
      <c r="D4302">
        <f t="shared" si="137"/>
        <v>1</v>
      </c>
    </row>
    <row r="4303" spans="1:4" x14ac:dyDescent="0.55000000000000004">
      <c r="A4303">
        <f t="shared" si="136"/>
        <v>2007</v>
      </c>
      <c r="B4303" s="821">
        <v>39407</v>
      </c>
      <c r="C4303">
        <v>4.46</v>
      </c>
      <c r="D4303">
        <f t="shared" si="137"/>
        <v>1</v>
      </c>
    </row>
    <row r="4304" spans="1:4" x14ac:dyDescent="0.55000000000000004">
      <c r="A4304">
        <f t="shared" si="136"/>
        <v>2007</v>
      </c>
      <c r="B4304" s="821">
        <v>39406</v>
      </c>
      <c r="C4304">
        <v>4.49</v>
      </c>
      <c r="D4304">
        <f t="shared" si="137"/>
        <v>1</v>
      </c>
    </row>
    <row r="4305" spans="1:4" x14ac:dyDescent="0.55000000000000004">
      <c r="A4305">
        <f t="shared" si="136"/>
        <v>2007</v>
      </c>
      <c r="B4305" s="821">
        <v>39405</v>
      </c>
      <c r="C4305">
        <v>4.47</v>
      </c>
      <c r="D4305">
        <f t="shared" si="137"/>
        <v>1</v>
      </c>
    </row>
    <row r="4306" spans="1:4" x14ac:dyDescent="0.55000000000000004">
      <c r="A4306">
        <f t="shared" si="136"/>
        <v>2007</v>
      </c>
      <c r="B4306" s="821">
        <v>39402</v>
      </c>
      <c r="C4306">
        <v>4.5199999999999996</v>
      </c>
      <c r="D4306">
        <f t="shared" si="137"/>
        <v>1</v>
      </c>
    </row>
    <row r="4307" spans="1:4" x14ac:dyDescent="0.55000000000000004">
      <c r="A4307">
        <f t="shared" si="136"/>
        <v>2007</v>
      </c>
      <c r="B4307" s="821">
        <v>39401</v>
      </c>
      <c r="C4307">
        <v>4.54</v>
      </c>
      <c r="D4307">
        <f t="shared" si="137"/>
        <v>1</v>
      </c>
    </row>
    <row r="4308" spans="1:4" x14ac:dyDescent="0.55000000000000004">
      <c r="A4308">
        <f t="shared" si="136"/>
        <v>2007</v>
      </c>
      <c r="B4308" s="821">
        <v>39400</v>
      </c>
      <c r="C4308">
        <v>4.6100000000000003</v>
      </c>
      <c r="D4308">
        <f t="shared" si="137"/>
        <v>1</v>
      </c>
    </row>
    <row r="4309" spans="1:4" x14ac:dyDescent="0.55000000000000004">
      <c r="A4309">
        <f t="shared" si="136"/>
        <v>2007</v>
      </c>
      <c r="B4309" s="821">
        <v>39399</v>
      </c>
      <c r="C4309">
        <v>4.6100000000000003</v>
      </c>
      <c r="D4309">
        <f t="shared" si="137"/>
        <v>1</v>
      </c>
    </row>
    <row r="4310" spans="1:4" x14ac:dyDescent="0.55000000000000004">
      <c r="A4310">
        <f t="shared" si="136"/>
        <v>2007</v>
      </c>
      <c r="B4310" s="821">
        <v>39395</v>
      </c>
      <c r="C4310">
        <v>4.6100000000000003</v>
      </c>
      <c r="D4310">
        <f t="shared" si="137"/>
        <v>1</v>
      </c>
    </row>
    <row r="4311" spans="1:4" x14ac:dyDescent="0.55000000000000004">
      <c r="A4311">
        <f t="shared" si="136"/>
        <v>2007</v>
      </c>
      <c r="B4311" s="821">
        <v>39394</v>
      </c>
      <c r="C4311">
        <v>4.67</v>
      </c>
      <c r="D4311">
        <f t="shared" si="137"/>
        <v>1</v>
      </c>
    </row>
    <row r="4312" spans="1:4" x14ac:dyDescent="0.55000000000000004">
      <c r="A4312">
        <f t="shared" si="136"/>
        <v>2007</v>
      </c>
      <c r="B4312" s="821">
        <v>39393</v>
      </c>
      <c r="C4312">
        <v>4.67</v>
      </c>
      <c r="D4312">
        <f t="shared" si="137"/>
        <v>1</v>
      </c>
    </row>
    <row r="4313" spans="1:4" x14ac:dyDescent="0.55000000000000004">
      <c r="A4313">
        <f t="shared" si="136"/>
        <v>2007</v>
      </c>
      <c r="B4313" s="821">
        <v>39392</v>
      </c>
      <c r="C4313">
        <v>4.66</v>
      </c>
      <c r="D4313">
        <f t="shared" si="137"/>
        <v>1</v>
      </c>
    </row>
    <row r="4314" spans="1:4" x14ac:dyDescent="0.55000000000000004">
      <c r="A4314">
        <f t="shared" si="136"/>
        <v>2007</v>
      </c>
      <c r="B4314" s="821">
        <v>39391</v>
      </c>
      <c r="C4314">
        <v>4.63</v>
      </c>
      <c r="D4314">
        <f t="shared" si="137"/>
        <v>1</v>
      </c>
    </row>
    <row r="4315" spans="1:4" x14ac:dyDescent="0.55000000000000004">
      <c r="A4315">
        <f t="shared" si="136"/>
        <v>2007</v>
      </c>
      <c r="B4315" s="821">
        <v>39388</v>
      </c>
      <c r="C4315">
        <v>4.6100000000000003</v>
      </c>
      <c r="D4315">
        <f t="shared" si="137"/>
        <v>1</v>
      </c>
    </row>
    <row r="4316" spans="1:4" x14ac:dyDescent="0.55000000000000004">
      <c r="A4316">
        <f t="shared" si="136"/>
        <v>2007</v>
      </c>
      <c r="B4316" s="821">
        <v>39387</v>
      </c>
      <c r="C4316">
        <v>4.6399999999999997</v>
      </c>
      <c r="D4316">
        <f t="shared" si="137"/>
        <v>1</v>
      </c>
    </row>
    <row r="4317" spans="1:4" x14ac:dyDescent="0.55000000000000004">
      <c r="A4317">
        <f t="shared" si="136"/>
        <v>2007</v>
      </c>
      <c r="B4317" s="821">
        <v>39386</v>
      </c>
      <c r="C4317">
        <v>4.74</v>
      </c>
      <c r="D4317">
        <f t="shared" si="137"/>
        <v>1</v>
      </c>
    </row>
    <row r="4318" spans="1:4" x14ac:dyDescent="0.55000000000000004">
      <c r="A4318">
        <f t="shared" si="136"/>
        <v>2007</v>
      </c>
      <c r="B4318" s="821">
        <v>39385</v>
      </c>
      <c r="C4318">
        <v>4.68</v>
      </c>
      <c r="D4318">
        <f t="shared" si="137"/>
        <v>1</v>
      </c>
    </row>
    <row r="4319" spans="1:4" x14ac:dyDescent="0.55000000000000004">
      <c r="A4319">
        <f t="shared" si="136"/>
        <v>2007</v>
      </c>
      <c r="B4319" s="821">
        <v>39384</v>
      </c>
      <c r="C4319">
        <v>4.66</v>
      </c>
      <c r="D4319">
        <f t="shared" si="137"/>
        <v>1</v>
      </c>
    </row>
    <row r="4320" spans="1:4" x14ac:dyDescent="0.55000000000000004">
      <c r="A4320">
        <f t="shared" si="136"/>
        <v>2007</v>
      </c>
      <c r="B4320" s="821">
        <v>39381</v>
      </c>
      <c r="C4320">
        <v>4.68</v>
      </c>
      <c r="D4320">
        <f t="shared" si="137"/>
        <v>1</v>
      </c>
    </row>
    <row r="4321" spans="1:4" x14ac:dyDescent="0.55000000000000004">
      <c r="A4321">
        <f t="shared" si="136"/>
        <v>2007</v>
      </c>
      <c r="B4321" s="821">
        <v>39380</v>
      </c>
      <c r="C4321">
        <v>4.66</v>
      </c>
      <c r="D4321">
        <f t="shared" si="137"/>
        <v>1</v>
      </c>
    </row>
    <row r="4322" spans="1:4" x14ac:dyDescent="0.55000000000000004">
      <c r="A4322">
        <f t="shared" si="136"/>
        <v>2007</v>
      </c>
      <c r="B4322" s="821">
        <v>39379</v>
      </c>
      <c r="C4322">
        <v>4.6399999999999997</v>
      </c>
      <c r="D4322">
        <f t="shared" si="137"/>
        <v>1</v>
      </c>
    </row>
    <row r="4323" spans="1:4" x14ac:dyDescent="0.55000000000000004">
      <c r="A4323">
        <f t="shared" si="136"/>
        <v>2007</v>
      </c>
      <c r="B4323" s="821">
        <v>39378</v>
      </c>
      <c r="C4323">
        <v>4.6900000000000004</v>
      </c>
      <c r="D4323">
        <f t="shared" si="137"/>
        <v>1</v>
      </c>
    </row>
    <row r="4324" spans="1:4" x14ac:dyDescent="0.55000000000000004">
      <c r="A4324">
        <f t="shared" si="136"/>
        <v>2007</v>
      </c>
      <c r="B4324" s="821">
        <v>39377</v>
      </c>
      <c r="C4324">
        <v>4.68</v>
      </c>
      <c r="D4324">
        <f t="shared" si="137"/>
        <v>1</v>
      </c>
    </row>
    <row r="4325" spans="1:4" x14ac:dyDescent="0.55000000000000004">
      <c r="A4325">
        <f t="shared" si="136"/>
        <v>2007</v>
      </c>
      <c r="B4325" s="821">
        <v>39374</v>
      </c>
      <c r="C4325">
        <v>4.68</v>
      </c>
      <c r="D4325">
        <f t="shared" si="137"/>
        <v>1</v>
      </c>
    </row>
    <row r="4326" spans="1:4" x14ac:dyDescent="0.55000000000000004">
      <c r="A4326">
        <f t="shared" si="136"/>
        <v>2007</v>
      </c>
      <c r="B4326" s="821">
        <v>39373</v>
      </c>
      <c r="C4326">
        <v>4.78</v>
      </c>
      <c r="D4326">
        <f t="shared" si="137"/>
        <v>1</v>
      </c>
    </row>
    <row r="4327" spans="1:4" x14ac:dyDescent="0.55000000000000004">
      <c r="A4327">
        <f t="shared" si="136"/>
        <v>2007</v>
      </c>
      <c r="B4327" s="821">
        <v>39372</v>
      </c>
      <c r="C4327">
        <v>4.82</v>
      </c>
      <c r="D4327">
        <f t="shared" si="137"/>
        <v>1</v>
      </c>
    </row>
    <row r="4328" spans="1:4" x14ac:dyDescent="0.55000000000000004">
      <c r="A4328">
        <f t="shared" si="136"/>
        <v>2007</v>
      </c>
      <c r="B4328" s="821">
        <v>39371</v>
      </c>
      <c r="C4328">
        <v>4.9000000000000004</v>
      </c>
      <c r="D4328">
        <f t="shared" si="137"/>
        <v>1</v>
      </c>
    </row>
    <row r="4329" spans="1:4" x14ac:dyDescent="0.55000000000000004">
      <c r="A4329">
        <f t="shared" si="136"/>
        <v>2007</v>
      </c>
      <c r="B4329" s="821">
        <v>39370</v>
      </c>
      <c r="C4329">
        <v>4.91</v>
      </c>
      <c r="D4329">
        <f t="shared" si="137"/>
        <v>1</v>
      </c>
    </row>
    <row r="4330" spans="1:4" x14ac:dyDescent="0.55000000000000004">
      <c r="A4330">
        <f t="shared" si="136"/>
        <v>2007</v>
      </c>
      <c r="B4330" s="821">
        <v>39367</v>
      </c>
      <c r="C4330">
        <v>4.91</v>
      </c>
      <c r="D4330">
        <f t="shared" si="137"/>
        <v>1</v>
      </c>
    </row>
    <row r="4331" spans="1:4" x14ac:dyDescent="0.55000000000000004">
      <c r="A4331">
        <f t="shared" si="136"/>
        <v>2007</v>
      </c>
      <c r="B4331" s="821">
        <v>39366</v>
      </c>
      <c r="C4331">
        <v>4.87</v>
      </c>
      <c r="D4331">
        <f t="shared" si="137"/>
        <v>1</v>
      </c>
    </row>
    <row r="4332" spans="1:4" x14ac:dyDescent="0.55000000000000004">
      <c r="A4332">
        <f t="shared" si="136"/>
        <v>2007</v>
      </c>
      <c r="B4332" s="821">
        <v>39365</v>
      </c>
      <c r="C4332">
        <v>4.8600000000000003</v>
      </c>
      <c r="D4332">
        <f t="shared" si="137"/>
        <v>1</v>
      </c>
    </row>
    <row r="4333" spans="1:4" x14ac:dyDescent="0.55000000000000004">
      <c r="A4333">
        <f t="shared" si="136"/>
        <v>2007</v>
      </c>
      <c r="B4333" s="821">
        <v>39364</v>
      </c>
      <c r="C4333">
        <v>4.87</v>
      </c>
      <c r="D4333">
        <f t="shared" si="137"/>
        <v>1</v>
      </c>
    </row>
    <row r="4334" spans="1:4" x14ac:dyDescent="0.55000000000000004">
      <c r="A4334">
        <f t="shared" si="136"/>
        <v>2007</v>
      </c>
      <c r="B4334" s="821">
        <v>39360</v>
      </c>
      <c r="C4334">
        <v>4.87</v>
      </c>
      <c r="D4334">
        <f t="shared" si="137"/>
        <v>1</v>
      </c>
    </row>
    <row r="4335" spans="1:4" x14ac:dyDescent="0.55000000000000004">
      <c r="A4335">
        <f t="shared" si="136"/>
        <v>2007</v>
      </c>
      <c r="B4335" s="821">
        <v>39359</v>
      </c>
      <c r="C4335">
        <v>4.7699999999999996</v>
      </c>
      <c r="D4335">
        <f t="shared" si="137"/>
        <v>1</v>
      </c>
    </row>
    <row r="4336" spans="1:4" x14ac:dyDescent="0.55000000000000004">
      <c r="A4336">
        <f t="shared" si="136"/>
        <v>2007</v>
      </c>
      <c r="B4336" s="821">
        <v>39358</v>
      </c>
      <c r="C4336">
        <v>4.79</v>
      </c>
      <c r="D4336">
        <f t="shared" si="137"/>
        <v>1</v>
      </c>
    </row>
    <row r="4337" spans="1:4" x14ac:dyDescent="0.55000000000000004">
      <c r="A4337">
        <f t="shared" si="136"/>
        <v>2007</v>
      </c>
      <c r="B4337" s="821">
        <v>39357</v>
      </c>
      <c r="C4337">
        <v>4.7699999999999996</v>
      </c>
      <c r="D4337">
        <f t="shared" si="137"/>
        <v>1</v>
      </c>
    </row>
    <row r="4338" spans="1:4" x14ac:dyDescent="0.55000000000000004">
      <c r="A4338">
        <f t="shared" si="136"/>
        <v>2007</v>
      </c>
      <c r="B4338" s="821">
        <v>39356</v>
      </c>
      <c r="C4338">
        <v>4.79</v>
      </c>
      <c r="D4338">
        <f t="shared" si="137"/>
        <v>1</v>
      </c>
    </row>
    <row r="4339" spans="1:4" x14ac:dyDescent="0.55000000000000004">
      <c r="A4339">
        <f t="shared" si="136"/>
        <v>2007</v>
      </c>
      <c r="B4339" s="821">
        <v>39353</v>
      </c>
      <c r="C4339">
        <v>4.83</v>
      </c>
      <c r="D4339">
        <f t="shared" si="137"/>
        <v>1</v>
      </c>
    </row>
    <row r="4340" spans="1:4" x14ac:dyDescent="0.55000000000000004">
      <c r="A4340">
        <f t="shared" si="136"/>
        <v>2007</v>
      </c>
      <c r="B4340" s="821">
        <v>39352</v>
      </c>
      <c r="C4340">
        <v>4.84</v>
      </c>
      <c r="D4340">
        <f t="shared" si="137"/>
        <v>1</v>
      </c>
    </row>
    <row r="4341" spans="1:4" x14ac:dyDescent="0.55000000000000004">
      <c r="A4341">
        <f t="shared" si="136"/>
        <v>2007</v>
      </c>
      <c r="B4341" s="821">
        <v>39351</v>
      </c>
      <c r="C4341">
        <v>4.9000000000000004</v>
      </c>
      <c r="D4341">
        <f t="shared" si="137"/>
        <v>1</v>
      </c>
    </row>
    <row r="4342" spans="1:4" x14ac:dyDescent="0.55000000000000004">
      <c r="A4342">
        <f t="shared" si="136"/>
        <v>2007</v>
      </c>
      <c r="B4342" s="821">
        <v>39350</v>
      </c>
      <c r="C4342">
        <v>4.8899999999999997</v>
      </c>
      <c r="D4342">
        <f t="shared" si="137"/>
        <v>1</v>
      </c>
    </row>
    <row r="4343" spans="1:4" x14ac:dyDescent="0.55000000000000004">
      <c r="A4343">
        <f t="shared" si="136"/>
        <v>2007</v>
      </c>
      <c r="B4343" s="821">
        <v>39349</v>
      </c>
      <c r="C4343">
        <v>4.88</v>
      </c>
      <c r="D4343">
        <f t="shared" si="137"/>
        <v>1</v>
      </c>
    </row>
    <row r="4344" spans="1:4" x14ac:dyDescent="0.55000000000000004">
      <c r="A4344">
        <f t="shared" si="136"/>
        <v>2007</v>
      </c>
      <c r="B4344" s="821">
        <v>39346</v>
      </c>
      <c r="C4344">
        <v>4.8899999999999997</v>
      </c>
      <c r="D4344">
        <f t="shared" si="137"/>
        <v>1</v>
      </c>
    </row>
    <row r="4345" spans="1:4" x14ac:dyDescent="0.55000000000000004">
      <c r="A4345">
        <f t="shared" si="136"/>
        <v>2007</v>
      </c>
      <c r="B4345" s="821">
        <v>39345</v>
      </c>
      <c r="C4345">
        <v>4.96</v>
      </c>
      <c r="D4345">
        <f t="shared" si="137"/>
        <v>1</v>
      </c>
    </row>
    <row r="4346" spans="1:4" x14ac:dyDescent="0.55000000000000004">
      <c r="A4346">
        <f t="shared" si="136"/>
        <v>2007</v>
      </c>
      <c r="B4346" s="821">
        <v>39344</v>
      </c>
      <c r="C4346">
        <v>4.83</v>
      </c>
      <c r="D4346">
        <f t="shared" si="137"/>
        <v>1</v>
      </c>
    </row>
    <row r="4347" spans="1:4" x14ac:dyDescent="0.55000000000000004">
      <c r="A4347">
        <f t="shared" si="136"/>
        <v>2007</v>
      </c>
      <c r="B4347" s="821">
        <v>39343</v>
      </c>
      <c r="C4347">
        <v>4.7699999999999996</v>
      </c>
      <c r="D4347">
        <f t="shared" si="137"/>
        <v>1</v>
      </c>
    </row>
    <row r="4348" spans="1:4" x14ac:dyDescent="0.55000000000000004">
      <c r="A4348">
        <f t="shared" si="136"/>
        <v>2007</v>
      </c>
      <c r="B4348" s="821">
        <v>39342</v>
      </c>
      <c r="C4348">
        <v>4.72</v>
      </c>
      <c r="D4348">
        <f t="shared" si="137"/>
        <v>1</v>
      </c>
    </row>
    <row r="4349" spans="1:4" x14ac:dyDescent="0.55000000000000004">
      <c r="A4349">
        <f t="shared" si="136"/>
        <v>2007</v>
      </c>
      <c r="B4349" s="821">
        <v>39339</v>
      </c>
      <c r="C4349">
        <v>4.72</v>
      </c>
      <c r="D4349">
        <f t="shared" si="137"/>
        <v>1</v>
      </c>
    </row>
    <row r="4350" spans="1:4" x14ac:dyDescent="0.55000000000000004">
      <c r="A4350">
        <f t="shared" si="136"/>
        <v>2007</v>
      </c>
      <c r="B4350" s="821">
        <v>39338</v>
      </c>
      <c r="C4350">
        <v>4.75</v>
      </c>
      <c r="D4350">
        <f t="shared" si="137"/>
        <v>1</v>
      </c>
    </row>
    <row r="4351" spans="1:4" x14ac:dyDescent="0.55000000000000004">
      <c r="A4351">
        <f t="shared" si="136"/>
        <v>2007</v>
      </c>
      <c r="B4351" s="821">
        <v>39337</v>
      </c>
      <c r="C4351">
        <v>4.68</v>
      </c>
      <c r="D4351">
        <f t="shared" si="137"/>
        <v>1</v>
      </c>
    </row>
    <row r="4352" spans="1:4" x14ac:dyDescent="0.55000000000000004">
      <c r="A4352">
        <f t="shared" si="136"/>
        <v>2007</v>
      </c>
      <c r="B4352" s="821">
        <v>39336</v>
      </c>
      <c r="C4352">
        <v>4.6500000000000004</v>
      </c>
      <c r="D4352">
        <f t="shared" si="137"/>
        <v>1</v>
      </c>
    </row>
    <row r="4353" spans="1:4" x14ac:dyDescent="0.55000000000000004">
      <c r="A4353">
        <f t="shared" si="136"/>
        <v>2007</v>
      </c>
      <c r="B4353" s="821">
        <v>39335</v>
      </c>
      <c r="C4353">
        <v>4.6500000000000004</v>
      </c>
      <c r="D4353">
        <f t="shared" si="137"/>
        <v>1</v>
      </c>
    </row>
    <row r="4354" spans="1:4" x14ac:dyDescent="0.55000000000000004">
      <c r="A4354">
        <f t="shared" si="136"/>
        <v>2007</v>
      </c>
      <c r="B4354" s="821">
        <v>39332</v>
      </c>
      <c r="C4354">
        <v>4.7</v>
      </c>
      <c r="D4354">
        <f t="shared" si="137"/>
        <v>1</v>
      </c>
    </row>
    <row r="4355" spans="1:4" x14ac:dyDescent="0.55000000000000004">
      <c r="A4355">
        <f t="shared" si="136"/>
        <v>2007</v>
      </c>
      <c r="B4355" s="821">
        <v>39331</v>
      </c>
      <c r="C4355">
        <v>4.79</v>
      </c>
      <c r="D4355">
        <f t="shared" si="137"/>
        <v>1</v>
      </c>
    </row>
    <row r="4356" spans="1:4" x14ac:dyDescent="0.55000000000000004">
      <c r="A4356">
        <f t="shared" ref="A4356:A4419" si="138">YEAR(B4356)</f>
        <v>2007</v>
      </c>
      <c r="B4356" s="821">
        <v>39330</v>
      </c>
      <c r="C4356">
        <v>4.78</v>
      </c>
      <c r="D4356">
        <f t="shared" ref="D4356:D4419" si="139">IF(C4356&gt;4,1,0)</f>
        <v>1</v>
      </c>
    </row>
    <row r="4357" spans="1:4" x14ac:dyDescent="0.55000000000000004">
      <c r="A4357">
        <f t="shared" si="138"/>
        <v>2007</v>
      </c>
      <c r="B4357" s="821">
        <v>39329</v>
      </c>
      <c r="C4357">
        <v>4.84</v>
      </c>
      <c r="D4357">
        <f t="shared" si="139"/>
        <v>1</v>
      </c>
    </row>
    <row r="4358" spans="1:4" x14ac:dyDescent="0.55000000000000004">
      <c r="A4358">
        <f t="shared" si="138"/>
        <v>2007</v>
      </c>
      <c r="B4358" s="821">
        <v>39325</v>
      </c>
      <c r="C4358">
        <v>4.83</v>
      </c>
      <c r="D4358">
        <f t="shared" si="139"/>
        <v>1</v>
      </c>
    </row>
    <row r="4359" spans="1:4" x14ac:dyDescent="0.55000000000000004">
      <c r="A4359">
        <f t="shared" si="138"/>
        <v>2007</v>
      </c>
      <c r="B4359" s="821">
        <v>39324</v>
      </c>
      <c r="C4359">
        <v>4.83</v>
      </c>
      <c r="D4359">
        <f t="shared" si="139"/>
        <v>1</v>
      </c>
    </row>
    <row r="4360" spans="1:4" x14ac:dyDescent="0.55000000000000004">
      <c r="A4360">
        <f t="shared" si="138"/>
        <v>2007</v>
      </c>
      <c r="B4360" s="821">
        <v>39323</v>
      </c>
      <c r="C4360">
        <v>4.88</v>
      </c>
      <c r="D4360">
        <f t="shared" si="139"/>
        <v>1</v>
      </c>
    </row>
    <row r="4361" spans="1:4" x14ac:dyDescent="0.55000000000000004">
      <c r="A4361">
        <f t="shared" si="138"/>
        <v>2007</v>
      </c>
      <c r="B4361" s="821">
        <v>39322</v>
      </c>
      <c r="C4361">
        <v>4.8600000000000003</v>
      </c>
      <c r="D4361">
        <f t="shared" si="139"/>
        <v>1</v>
      </c>
    </row>
    <row r="4362" spans="1:4" x14ac:dyDescent="0.55000000000000004">
      <c r="A4362">
        <f t="shared" si="138"/>
        <v>2007</v>
      </c>
      <c r="B4362" s="821">
        <v>39321</v>
      </c>
      <c r="C4362">
        <v>4.87</v>
      </c>
      <c r="D4362">
        <f t="shared" si="139"/>
        <v>1</v>
      </c>
    </row>
    <row r="4363" spans="1:4" x14ac:dyDescent="0.55000000000000004">
      <c r="A4363">
        <f t="shared" si="138"/>
        <v>2007</v>
      </c>
      <c r="B4363" s="821">
        <v>39318</v>
      </c>
      <c r="C4363">
        <v>4.88</v>
      </c>
      <c r="D4363">
        <f t="shared" si="139"/>
        <v>1</v>
      </c>
    </row>
    <row r="4364" spans="1:4" x14ac:dyDescent="0.55000000000000004">
      <c r="A4364">
        <f t="shared" si="138"/>
        <v>2007</v>
      </c>
      <c r="B4364" s="821">
        <v>39317</v>
      </c>
      <c r="C4364">
        <v>4.93</v>
      </c>
      <c r="D4364">
        <f t="shared" si="139"/>
        <v>1</v>
      </c>
    </row>
    <row r="4365" spans="1:4" x14ac:dyDescent="0.55000000000000004">
      <c r="A4365">
        <f t="shared" si="138"/>
        <v>2007</v>
      </c>
      <c r="B4365" s="821">
        <v>39316</v>
      </c>
      <c r="C4365">
        <v>4.96</v>
      </c>
      <c r="D4365">
        <f t="shared" si="139"/>
        <v>1</v>
      </c>
    </row>
    <row r="4366" spans="1:4" x14ac:dyDescent="0.55000000000000004">
      <c r="A4366">
        <f t="shared" si="138"/>
        <v>2007</v>
      </c>
      <c r="B4366" s="821">
        <v>39315</v>
      </c>
      <c r="C4366">
        <v>4.95</v>
      </c>
      <c r="D4366">
        <f t="shared" si="139"/>
        <v>1</v>
      </c>
    </row>
    <row r="4367" spans="1:4" x14ac:dyDescent="0.55000000000000004">
      <c r="A4367">
        <f t="shared" si="138"/>
        <v>2007</v>
      </c>
      <c r="B4367" s="821">
        <v>39314</v>
      </c>
      <c r="C4367">
        <v>4.9800000000000004</v>
      </c>
      <c r="D4367">
        <f t="shared" si="139"/>
        <v>1</v>
      </c>
    </row>
    <row r="4368" spans="1:4" x14ac:dyDescent="0.55000000000000004">
      <c r="A4368">
        <f t="shared" si="138"/>
        <v>2007</v>
      </c>
      <c r="B4368" s="821">
        <v>39311</v>
      </c>
      <c r="C4368">
        <v>5</v>
      </c>
      <c r="D4368">
        <f t="shared" si="139"/>
        <v>1</v>
      </c>
    </row>
    <row r="4369" spans="1:4" x14ac:dyDescent="0.55000000000000004">
      <c r="A4369">
        <f t="shared" si="138"/>
        <v>2007</v>
      </c>
      <c r="B4369" s="821">
        <v>39310</v>
      </c>
      <c r="C4369">
        <v>4.92</v>
      </c>
      <c r="D4369">
        <f t="shared" si="139"/>
        <v>1</v>
      </c>
    </row>
    <row r="4370" spans="1:4" x14ac:dyDescent="0.55000000000000004">
      <c r="A4370">
        <f t="shared" si="138"/>
        <v>2007</v>
      </c>
      <c r="B4370" s="821">
        <v>39309</v>
      </c>
      <c r="C4370">
        <v>5</v>
      </c>
      <c r="D4370">
        <f t="shared" si="139"/>
        <v>1</v>
      </c>
    </row>
    <row r="4371" spans="1:4" x14ac:dyDescent="0.55000000000000004">
      <c r="A4371">
        <f t="shared" si="138"/>
        <v>2007</v>
      </c>
      <c r="B4371" s="821">
        <v>39308</v>
      </c>
      <c r="C4371">
        <v>4.99</v>
      </c>
      <c r="D4371">
        <f t="shared" si="139"/>
        <v>1</v>
      </c>
    </row>
    <row r="4372" spans="1:4" x14ac:dyDescent="0.55000000000000004">
      <c r="A4372">
        <f t="shared" si="138"/>
        <v>2007</v>
      </c>
      <c r="B4372" s="821">
        <v>39307</v>
      </c>
      <c r="C4372">
        <v>5.01</v>
      </c>
      <c r="D4372">
        <f t="shared" si="139"/>
        <v>1</v>
      </c>
    </row>
    <row r="4373" spans="1:4" x14ac:dyDescent="0.55000000000000004">
      <c r="A4373">
        <f t="shared" si="138"/>
        <v>2007</v>
      </c>
      <c r="B4373" s="821">
        <v>39304</v>
      </c>
      <c r="C4373">
        <v>5.03</v>
      </c>
      <c r="D4373">
        <f t="shared" si="139"/>
        <v>1</v>
      </c>
    </row>
    <row r="4374" spans="1:4" x14ac:dyDescent="0.55000000000000004">
      <c r="A4374">
        <f t="shared" si="138"/>
        <v>2007</v>
      </c>
      <c r="B4374" s="821">
        <v>39303</v>
      </c>
      <c r="C4374">
        <v>5.0199999999999996</v>
      </c>
      <c r="D4374">
        <f t="shared" si="139"/>
        <v>1</v>
      </c>
    </row>
    <row r="4375" spans="1:4" x14ac:dyDescent="0.55000000000000004">
      <c r="A4375">
        <f t="shared" si="138"/>
        <v>2007</v>
      </c>
      <c r="B4375" s="821">
        <v>39302</v>
      </c>
      <c r="C4375">
        <v>5.01</v>
      </c>
      <c r="D4375">
        <f t="shared" si="139"/>
        <v>1</v>
      </c>
    </row>
    <row r="4376" spans="1:4" x14ac:dyDescent="0.55000000000000004">
      <c r="A4376">
        <f t="shared" si="138"/>
        <v>2007</v>
      </c>
      <c r="B4376" s="821">
        <v>39301</v>
      </c>
      <c r="C4376">
        <v>4.92</v>
      </c>
      <c r="D4376">
        <f t="shared" si="139"/>
        <v>1</v>
      </c>
    </row>
    <row r="4377" spans="1:4" x14ac:dyDescent="0.55000000000000004">
      <c r="A4377">
        <f t="shared" si="138"/>
        <v>2007</v>
      </c>
      <c r="B4377" s="821">
        <v>39300</v>
      </c>
      <c r="C4377">
        <v>4.8899999999999997</v>
      </c>
      <c r="D4377">
        <f t="shared" si="139"/>
        <v>1</v>
      </c>
    </row>
    <row r="4378" spans="1:4" x14ac:dyDescent="0.55000000000000004">
      <c r="A4378">
        <f t="shared" si="138"/>
        <v>2007</v>
      </c>
      <c r="B4378" s="821">
        <v>39297</v>
      </c>
      <c r="C4378">
        <v>4.87</v>
      </c>
      <c r="D4378">
        <f t="shared" si="139"/>
        <v>1</v>
      </c>
    </row>
    <row r="4379" spans="1:4" x14ac:dyDescent="0.55000000000000004">
      <c r="A4379">
        <f t="shared" si="138"/>
        <v>2007</v>
      </c>
      <c r="B4379" s="821">
        <v>39296</v>
      </c>
      <c r="C4379">
        <v>4.91</v>
      </c>
      <c r="D4379">
        <f t="shared" si="139"/>
        <v>1</v>
      </c>
    </row>
    <row r="4380" spans="1:4" x14ac:dyDescent="0.55000000000000004">
      <c r="A4380">
        <f t="shared" si="138"/>
        <v>2007</v>
      </c>
      <c r="B4380" s="821">
        <v>39295</v>
      </c>
      <c r="C4380">
        <v>4.9000000000000004</v>
      </c>
      <c r="D4380">
        <f t="shared" si="139"/>
        <v>1</v>
      </c>
    </row>
    <row r="4381" spans="1:4" x14ac:dyDescent="0.55000000000000004">
      <c r="A4381">
        <f t="shared" si="138"/>
        <v>2007</v>
      </c>
      <c r="B4381" s="821">
        <v>39294</v>
      </c>
      <c r="C4381">
        <v>4.92</v>
      </c>
      <c r="D4381">
        <f t="shared" si="139"/>
        <v>1</v>
      </c>
    </row>
    <row r="4382" spans="1:4" x14ac:dyDescent="0.55000000000000004">
      <c r="A4382">
        <f t="shared" si="138"/>
        <v>2007</v>
      </c>
      <c r="B4382" s="821">
        <v>39293</v>
      </c>
      <c r="C4382">
        <v>4.97</v>
      </c>
      <c r="D4382">
        <f t="shared" si="139"/>
        <v>1</v>
      </c>
    </row>
    <row r="4383" spans="1:4" x14ac:dyDescent="0.55000000000000004">
      <c r="A4383">
        <f t="shared" si="138"/>
        <v>2007</v>
      </c>
      <c r="B4383" s="821">
        <v>39290</v>
      </c>
      <c r="C4383">
        <v>4.95</v>
      </c>
      <c r="D4383">
        <f t="shared" si="139"/>
        <v>1</v>
      </c>
    </row>
    <row r="4384" spans="1:4" x14ac:dyDescent="0.55000000000000004">
      <c r="A4384">
        <f t="shared" si="138"/>
        <v>2007</v>
      </c>
      <c r="B4384" s="821">
        <v>39289</v>
      </c>
      <c r="C4384">
        <v>4.95</v>
      </c>
      <c r="D4384">
        <f t="shared" si="139"/>
        <v>1</v>
      </c>
    </row>
    <row r="4385" spans="1:4" x14ac:dyDescent="0.55000000000000004">
      <c r="A4385">
        <f t="shared" si="138"/>
        <v>2007</v>
      </c>
      <c r="B4385" s="821">
        <v>39288</v>
      </c>
      <c r="C4385">
        <v>5.04</v>
      </c>
      <c r="D4385">
        <f t="shared" si="139"/>
        <v>1</v>
      </c>
    </row>
    <row r="4386" spans="1:4" x14ac:dyDescent="0.55000000000000004">
      <c r="A4386">
        <f t="shared" si="138"/>
        <v>2007</v>
      </c>
      <c r="B4386" s="821">
        <v>39287</v>
      </c>
      <c r="C4386">
        <v>5.05</v>
      </c>
      <c r="D4386">
        <f t="shared" si="139"/>
        <v>1</v>
      </c>
    </row>
    <row r="4387" spans="1:4" x14ac:dyDescent="0.55000000000000004">
      <c r="A4387">
        <f t="shared" si="138"/>
        <v>2007</v>
      </c>
      <c r="B4387" s="821">
        <v>39286</v>
      </c>
      <c r="C4387">
        <v>5.07</v>
      </c>
      <c r="D4387">
        <f t="shared" si="139"/>
        <v>1</v>
      </c>
    </row>
    <row r="4388" spans="1:4" x14ac:dyDescent="0.55000000000000004">
      <c r="A4388">
        <f t="shared" si="138"/>
        <v>2007</v>
      </c>
      <c r="B4388" s="821">
        <v>39283</v>
      </c>
      <c r="C4388">
        <v>5.07</v>
      </c>
      <c r="D4388">
        <f t="shared" si="139"/>
        <v>1</v>
      </c>
    </row>
    <row r="4389" spans="1:4" x14ac:dyDescent="0.55000000000000004">
      <c r="A4389">
        <f t="shared" si="138"/>
        <v>2007</v>
      </c>
      <c r="B4389" s="821">
        <v>39282</v>
      </c>
      <c r="C4389">
        <v>5.12</v>
      </c>
      <c r="D4389">
        <f t="shared" si="139"/>
        <v>1</v>
      </c>
    </row>
    <row r="4390" spans="1:4" x14ac:dyDescent="0.55000000000000004">
      <c r="A4390">
        <f t="shared" si="138"/>
        <v>2007</v>
      </c>
      <c r="B4390" s="821">
        <v>39281</v>
      </c>
      <c r="C4390">
        <v>5.0999999999999996</v>
      </c>
      <c r="D4390">
        <f t="shared" si="139"/>
        <v>1</v>
      </c>
    </row>
    <row r="4391" spans="1:4" x14ac:dyDescent="0.55000000000000004">
      <c r="A4391">
        <f t="shared" si="138"/>
        <v>2007</v>
      </c>
      <c r="B4391" s="821">
        <v>39280</v>
      </c>
      <c r="C4391">
        <v>5.16</v>
      </c>
      <c r="D4391">
        <f t="shared" si="139"/>
        <v>1</v>
      </c>
    </row>
    <row r="4392" spans="1:4" x14ac:dyDescent="0.55000000000000004">
      <c r="A4392">
        <f t="shared" si="138"/>
        <v>2007</v>
      </c>
      <c r="B4392" s="821">
        <v>39279</v>
      </c>
      <c r="C4392">
        <v>5.14</v>
      </c>
      <c r="D4392">
        <f t="shared" si="139"/>
        <v>1</v>
      </c>
    </row>
    <row r="4393" spans="1:4" x14ac:dyDescent="0.55000000000000004">
      <c r="A4393">
        <f t="shared" si="138"/>
        <v>2007</v>
      </c>
      <c r="B4393" s="821">
        <v>39276</v>
      </c>
      <c r="C4393">
        <v>5.19</v>
      </c>
      <c r="D4393">
        <f t="shared" si="139"/>
        <v>1</v>
      </c>
    </row>
    <row r="4394" spans="1:4" x14ac:dyDescent="0.55000000000000004">
      <c r="A4394">
        <f t="shared" si="138"/>
        <v>2007</v>
      </c>
      <c r="B4394" s="821">
        <v>39275</v>
      </c>
      <c r="C4394">
        <v>5.22</v>
      </c>
      <c r="D4394">
        <f t="shared" si="139"/>
        <v>1</v>
      </c>
    </row>
    <row r="4395" spans="1:4" x14ac:dyDescent="0.55000000000000004">
      <c r="A4395">
        <f t="shared" si="138"/>
        <v>2007</v>
      </c>
      <c r="B4395" s="821">
        <v>39274</v>
      </c>
      <c r="C4395">
        <v>5.18</v>
      </c>
      <c r="D4395">
        <f t="shared" si="139"/>
        <v>1</v>
      </c>
    </row>
    <row r="4396" spans="1:4" x14ac:dyDescent="0.55000000000000004">
      <c r="A4396">
        <f t="shared" si="138"/>
        <v>2007</v>
      </c>
      <c r="B4396" s="821">
        <v>39273</v>
      </c>
      <c r="C4396">
        <v>5.14</v>
      </c>
      <c r="D4396">
        <f t="shared" si="139"/>
        <v>1</v>
      </c>
    </row>
    <row r="4397" spans="1:4" x14ac:dyDescent="0.55000000000000004">
      <c r="A4397">
        <f t="shared" si="138"/>
        <v>2007</v>
      </c>
      <c r="B4397" s="821">
        <v>39272</v>
      </c>
      <c r="C4397">
        <v>5.25</v>
      </c>
      <c r="D4397">
        <f t="shared" si="139"/>
        <v>1</v>
      </c>
    </row>
    <row r="4398" spans="1:4" x14ac:dyDescent="0.55000000000000004">
      <c r="A4398">
        <f t="shared" si="138"/>
        <v>2007</v>
      </c>
      <c r="B4398" s="821">
        <v>39269</v>
      </c>
      <c r="C4398">
        <v>5.28</v>
      </c>
      <c r="D4398">
        <f t="shared" si="139"/>
        <v>1</v>
      </c>
    </row>
    <row r="4399" spans="1:4" x14ac:dyDescent="0.55000000000000004">
      <c r="A4399">
        <f t="shared" si="138"/>
        <v>2007</v>
      </c>
      <c r="B4399" s="821">
        <v>39268</v>
      </c>
      <c r="C4399">
        <v>5.24</v>
      </c>
      <c r="D4399">
        <f t="shared" si="139"/>
        <v>1</v>
      </c>
    </row>
    <row r="4400" spans="1:4" x14ac:dyDescent="0.55000000000000004">
      <c r="A4400">
        <f t="shared" si="138"/>
        <v>2007</v>
      </c>
      <c r="B4400" s="821">
        <v>39266</v>
      </c>
      <c r="C4400">
        <v>5.14</v>
      </c>
      <c r="D4400">
        <f t="shared" si="139"/>
        <v>1</v>
      </c>
    </row>
    <row r="4401" spans="1:4" x14ac:dyDescent="0.55000000000000004">
      <c r="A4401">
        <f t="shared" si="138"/>
        <v>2007</v>
      </c>
      <c r="B4401" s="821">
        <v>39265</v>
      </c>
      <c r="C4401">
        <v>5.09</v>
      </c>
      <c r="D4401">
        <f t="shared" si="139"/>
        <v>1</v>
      </c>
    </row>
    <row r="4402" spans="1:4" x14ac:dyDescent="0.55000000000000004">
      <c r="A4402">
        <f t="shared" si="138"/>
        <v>2007</v>
      </c>
      <c r="B4402" s="821">
        <v>39262</v>
      </c>
      <c r="C4402">
        <v>5.12</v>
      </c>
      <c r="D4402">
        <f t="shared" si="139"/>
        <v>1</v>
      </c>
    </row>
    <row r="4403" spans="1:4" x14ac:dyDescent="0.55000000000000004">
      <c r="A4403">
        <f t="shared" si="138"/>
        <v>2007</v>
      </c>
      <c r="B4403" s="821">
        <v>39261</v>
      </c>
      <c r="C4403">
        <v>5.22</v>
      </c>
      <c r="D4403">
        <f t="shared" si="139"/>
        <v>1</v>
      </c>
    </row>
    <row r="4404" spans="1:4" x14ac:dyDescent="0.55000000000000004">
      <c r="A4404">
        <f t="shared" si="138"/>
        <v>2007</v>
      </c>
      <c r="B4404" s="821">
        <v>39260</v>
      </c>
      <c r="C4404">
        <v>5.2</v>
      </c>
      <c r="D4404">
        <f t="shared" si="139"/>
        <v>1</v>
      </c>
    </row>
    <row r="4405" spans="1:4" x14ac:dyDescent="0.55000000000000004">
      <c r="A4405">
        <f t="shared" si="138"/>
        <v>2007</v>
      </c>
      <c r="B4405" s="821">
        <v>39259</v>
      </c>
      <c r="C4405">
        <v>5.22</v>
      </c>
      <c r="D4405">
        <f t="shared" si="139"/>
        <v>1</v>
      </c>
    </row>
    <row r="4406" spans="1:4" x14ac:dyDescent="0.55000000000000004">
      <c r="A4406">
        <f t="shared" si="138"/>
        <v>2007</v>
      </c>
      <c r="B4406" s="821">
        <v>39258</v>
      </c>
      <c r="C4406">
        <v>5.2</v>
      </c>
      <c r="D4406">
        <f t="shared" si="139"/>
        <v>1</v>
      </c>
    </row>
    <row r="4407" spans="1:4" x14ac:dyDescent="0.55000000000000004">
      <c r="A4407">
        <f t="shared" si="138"/>
        <v>2007</v>
      </c>
      <c r="B4407" s="821">
        <v>39255</v>
      </c>
      <c r="C4407">
        <v>5.25</v>
      </c>
      <c r="D4407">
        <f t="shared" si="139"/>
        <v>1</v>
      </c>
    </row>
    <row r="4408" spans="1:4" x14ac:dyDescent="0.55000000000000004">
      <c r="A4408">
        <f t="shared" si="138"/>
        <v>2007</v>
      </c>
      <c r="B4408" s="821">
        <v>39254</v>
      </c>
      <c r="C4408">
        <v>5.28</v>
      </c>
      <c r="D4408">
        <f t="shared" si="139"/>
        <v>1</v>
      </c>
    </row>
    <row r="4409" spans="1:4" x14ac:dyDescent="0.55000000000000004">
      <c r="A4409">
        <f t="shared" si="138"/>
        <v>2007</v>
      </c>
      <c r="B4409" s="821">
        <v>39253</v>
      </c>
      <c r="C4409">
        <v>5.24</v>
      </c>
      <c r="D4409">
        <f t="shared" si="139"/>
        <v>1</v>
      </c>
    </row>
    <row r="4410" spans="1:4" x14ac:dyDescent="0.55000000000000004">
      <c r="A4410">
        <f t="shared" si="138"/>
        <v>2007</v>
      </c>
      <c r="B4410" s="821">
        <v>39252</v>
      </c>
      <c r="C4410">
        <v>5.2</v>
      </c>
      <c r="D4410">
        <f t="shared" si="139"/>
        <v>1</v>
      </c>
    </row>
    <row r="4411" spans="1:4" x14ac:dyDescent="0.55000000000000004">
      <c r="A4411">
        <f t="shared" si="138"/>
        <v>2007</v>
      </c>
      <c r="B4411" s="821">
        <v>39251</v>
      </c>
      <c r="C4411">
        <v>5.26</v>
      </c>
      <c r="D4411">
        <f t="shared" si="139"/>
        <v>1</v>
      </c>
    </row>
    <row r="4412" spans="1:4" x14ac:dyDescent="0.55000000000000004">
      <c r="A4412">
        <f t="shared" si="138"/>
        <v>2007</v>
      </c>
      <c r="B4412" s="821">
        <v>39248</v>
      </c>
      <c r="C4412">
        <v>5.26</v>
      </c>
      <c r="D4412">
        <f t="shared" si="139"/>
        <v>1</v>
      </c>
    </row>
    <row r="4413" spans="1:4" x14ac:dyDescent="0.55000000000000004">
      <c r="A4413">
        <f t="shared" si="138"/>
        <v>2007</v>
      </c>
      <c r="B4413" s="821">
        <v>39247</v>
      </c>
      <c r="C4413">
        <v>5.3</v>
      </c>
      <c r="D4413">
        <f t="shared" si="139"/>
        <v>1</v>
      </c>
    </row>
    <row r="4414" spans="1:4" x14ac:dyDescent="0.55000000000000004">
      <c r="A4414">
        <f t="shared" si="138"/>
        <v>2007</v>
      </c>
      <c r="B4414" s="821">
        <v>39246</v>
      </c>
      <c r="C4414">
        <v>5.28</v>
      </c>
      <c r="D4414">
        <f t="shared" si="139"/>
        <v>1</v>
      </c>
    </row>
    <row r="4415" spans="1:4" x14ac:dyDescent="0.55000000000000004">
      <c r="A4415">
        <f t="shared" si="138"/>
        <v>2007</v>
      </c>
      <c r="B4415" s="821">
        <v>39245</v>
      </c>
      <c r="C4415">
        <v>5.35</v>
      </c>
      <c r="D4415">
        <f t="shared" si="139"/>
        <v>1</v>
      </c>
    </row>
    <row r="4416" spans="1:4" x14ac:dyDescent="0.55000000000000004">
      <c r="A4416">
        <f t="shared" si="138"/>
        <v>2007</v>
      </c>
      <c r="B4416" s="821">
        <v>39244</v>
      </c>
      <c r="C4416">
        <v>5.24</v>
      </c>
      <c r="D4416">
        <f t="shared" si="139"/>
        <v>1</v>
      </c>
    </row>
    <row r="4417" spans="1:4" x14ac:dyDescent="0.55000000000000004">
      <c r="A4417">
        <f t="shared" si="138"/>
        <v>2007</v>
      </c>
      <c r="B4417" s="821">
        <v>39241</v>
      </c>
      <c r="C4417">
        <v>5.22</v>
      </c>
      <c r="D4417">
        <f t="shared" si="139"/>
        <v>1</v>
      </c>
    </row>
    <row r="4418" spans="1:4" x14ac:dyDescent="0.55000000000000004">
      <c r="A4418">
        <f t="shared" si="138"/>
        <v>2007</v>
      </c>
      <c r="B4418" s="821">
        <v>39240</v>
      </c>
      <c r="C4418">
        <v>5.2</v>
      </c>
      <c r="D4418">
        <f t="shared" si="139"/>
        <v>1</v>
      </c>
    </row>
    <row r="4419" spans="1:4" x14ac:dyDescent="0.55000000000000004">
      <c r="A4419">
        <f t="shared" si="138"/>
        <v>2007</v>
      </c>
      <c r="B4419" s="821">
        <v>39239</v>
      </c>
      <c r="C4419">
        <v>5.08</v>
      </c>
      <c r="D4419">
        <f t="shared" si="139"/>
        <v>1</v>
      </c>
    </row>
    <row r="4420" spans="1:4" x14ac:dyDescent="0.55000000000000004">
      <c r="A4420">
        <f t="shared" ref="A4420:A4483" si="140">YEAR(B4420)</f>
        <v>2007</v>
      </c>
      <c r="B4420" s="821">
        <v>39238</v>
      </c>
      <c r="C4420">
        <v>5.07</v>
      </c>
      <c r="D4420">
        <f t="shared" ref="D4420:D4483" si="141">IF(C4420&gt;4,1,0)</f>
        <v>1</v>
      </c>
    </row>
    <row r="4421" spans="1:4" x14ac:dyDescent="0.55000000000000004">
      <c r="A4421">
        <f t="shared" si="140"/>
        <v>2007</v>
      </c>
      <c r="B4421" s="821">
        <v>39237</v>
      </c>
      <c r="C4421">
        <v>5.0199999999999996</v>
      </c>
      <c r="D4421">
        <f t="shared" si="141"/>
        <v>1</v>
      </c>
    </row>
    <row r="4422" spans="1:4" x14ac:dyDescent="0.55000000000000004">
      <c r="A4422">
        <f t="shared" si="140"/>
        <v>2007</v>
      </c>
      <c r="B4422" s="821">
        <v>39234</v>
      </c>
      <c r="C4422">
        <v>5.0599999999999996</v>
      </c>
      <c r="D4422">
        <f t="shared" si="141"/>
        <v>1</v>
      </c>
    </row>
    <row r="4423" spans="1:4" x14ac:dyDescent="0.55000000000000004">
      <c r="A4423">
        <f t="shared" si="140"/>
        <v>2007</v>
      </c>
      <c r="B4423" s="821">
        <v>39233</v>
      </c>
      <c r="C4423">
        <v>5.01</v>
      </c>
      <c r="D4423">
        <f t="shared" si="141"/>
        <v>1</v>
      </c>
    </row>
    <row r="4424" spans="1:4" x14ac:dyDescent="0.55000000000000004">
      <c r="A4424">
        <f t="shared" si="140"/>
        <v>2007</v>
      </c>
      <c r="B4424" s="821">
        <v>39232</v>
      </c>
      <c r="C4424">
        <v>5.01</v>
      </c>
      <c r="D4424">
        <f t="shared" si="141"/>
        <v>1</v>
      </c>
    </row>
    <row r="4425" spans="1:4" x14ac:dyDescent="0.55000000000000004">
      <c r="A4425">
        <f t="shared" si="140"/>
        <v>2007</v>
      </c>
      <c r="B4425" s="821">
        <v>39231</v>
      </c>
      <c r="C4425">
        <v>5.01</v>
      </c>
      <c r="D4425">
        <f t="shared" si="141"/>
        <v>1</v>
      </c>
    </row>
    <row r="4426" spans="1:4" x14ac:dyDescent="0.55000000000000004">
      <c r="A4426">
        <f t="shared" si="140"/>
        <v>2007</v>
      </c>
      <c r="B4426" s="821">
        <v>39227</v>
      </c>
      <c r="C4426">
        <v>5.01</v>
      </c>
      <c r="D4426">
        <f t="shared" si="141"/>
        <v>1</v>
      </c>
    </row>
    <row r="4427" spans="1:4" x14ac:dyDescent="0.55000000000000004">
      <c r="A4427">
        <f t="shared" si="140"/>
        <v>2007</v>
      </c>
      <c r="B4427" s="821">
        <v>39226</v>
      </c>
      <c r="C4427">
        <v>5</v>
      </c>
      <c r="D4427">
        <f t="shared" si="141"/>
        <v>1</v>
      </c>
    </row>
    <row r="4428" spans="1:4" x14ac:dyDescent="0.55000000000000004">
      <c r="A4428">
        <f t="shared" si="140"/>
        <v>2007</v>
      </c>
      <c r="B4428" s="821">
        <v>39225</v>
      </c>
      <c r="C4428">
        <v>5.01</v>
      </c>
      <c r="D4428">
        <f t="shared" si="141"/>
        <v>1</v>
      </c>
    </row>
    <row r="4429" spans="1:4" x14ac:dyDescent="0.55000000000000004">
      <c r="A4429">
        <f t="shared" si="140"/>
        <v>2007</v>
      </c>
      <c r="B4429" s="821">
        <v>39224</v>
      </c>
      <c r="C4429">
        <v>4.9800000000000004</v>
      </c>
      <c r="D4429">
        <f t="shared" si="141"/>
        <v>1</v>
      </c>
    </row>
    <row r="4430" spans="1:4" x14ac:dyDescent="0.55000000000000004">
      <c r="A4430">
        <f t="shared" si="140"/>
        <v>2007</v>
      </c>
      <c r="B4430" s="821">
        <v>39223</v>
      </c>
      <c r="C4430">
        <v>4.9400000000000004</v>
      </c>
      <c r="D4430">
        <f t="shared" si="141"/>
        <v>1</v>
      </c>
    </row>
    <row r="4431" spans="1:4" x14ac:dyDescent="0.55000000000000004">
      <c r="A4431">
        <f t="shared" si="140"/>
        <v>2007</v>
      </c>
      <c r="B4431" s="821">
        <v>39220</v>
      </c>
      <c r="C4431">
        <v>4.96</v>
      </c>
      <c r="D4431">
        <f t="shared" si="141"/>
        <v>1</v>
      </c>
    </row>
    <row r="4432" spans="1:4" x14ac:dyDescent="0.55000000000000004">
      <c r="A4432">
        <f t="shared" si="140"/>
        <v>2007</v>
      </c>
      <c r="B4432" s="821">
        <v>39219</v>
      </c>
      <c r="C4432">
        <v>4.91</v>
      </c>
      <c r="D4432">
        <f t="shared" si="141"/>
        <v>1</v>
      </c>
    </row>
    <row r="4433" spans="1:4" x14ac:dyDescent="0.55000000000000004">
      <c r="A4433">
        <f t="shared" si="140"/>
        <v>2007</v>
      </c>
      <c r="B4433" s="821">
        <v>39218</v>
      </c>
      <c r="C4433">
        <v>4.88</v>
      </c>
      <c r="D4433">
        <f t="shared" si="141"/>
        <v>1</v>
      </c>
    </row>
    <row r="4434" spans="1:4" x14ac:dyDescent="0.55000000000000004">
      <c r="A4434">
        <f t="shared" si="140"/>
        <v>2007</v>
      </c>
      <c r="B4434" s="821">
        <v>39217</v>
      </c>
      <c r="C4434">
        <v>4.88</v>
      </c>
      <c r="D4434">
        <f t="shared" si="141"/>
        <v>1</v>
      </c>
    </row>
    <row r="4435" spans="1:4" x14ac:dyDescent="0.55000000000000004">
      <c r="A4435">
        <f t="shared" si="140"/>
        <v>2007</v>
      </c>
      <c r="B4435" s="821">
        <v>39216</v>
      </c>
      <c r="C4435">
        <v>4.8600000000000003</v>
      </c>
      <c r="D4435">
        <f t="shared" si="141"/>
        <v>1</v>
      </c>
    </row>
    <row r="4436" spans="1:4" x14ac:dyDescent="0.55000000000000004">
      <c r="A4436">
        <f t="shared" si="140"/>
        <v>2007</v>
      </c>
      <c r="B4436" s="821">
        <v>39213</v>
      </c>
      <c r="C4436">
        <v>4.8499999999999996</v>
      </c>
      <c r="D4436">
        <f t="shared" si="141"/>
        <v>1</v>
      </c>
    </row>
    <row r="4437" spans="1:4" x14ac:dyDescent="0.55000000000000004">
      <c r="A4437">
        <f t="shared" si="140"/>
        <v>2007</v>
      </c>
      <c r="B4437" s="821">
        <v>39212</v>
      </c>
      <c r="C4437">
        <v>4.83</v>
      </c>
      <c r="D4437">
        <f t="shared" si="141"/>
        <v>1</v>
      </c>
    </row>
    <row r="4438" spans="1:4" x14ac:dyDescent="0.55000000000000004">
      <c r="A4438">
        <f t="shared" si="140"/>
        <v>2007</v>
      </c>
      <c r="B4438" s="821">
        <v>39211</v>
      </c>
      <c r="C4438">
        <v>4.83</v>
      </c>
      <c r="D4438">
        <f t="shared" si="141"/>
        <v>1</v>
      </c>
    </row>
    <row r="4439" spans="1:4" x14ac:dyDescent="0.55000000000000004">
      <c r="A4439">
        <f t="shared" si="140"/>
        <v>2007</v>
      </c>
      <c r="B4439" s="821">
        <v>39210</v>
      </c>
      <c r="C4439">
        <v>4.8</v>
      </c>
      <c r="D4439">
        <f t="shared" si="141"/>
        <v>1</v>
      </c>
    </row>
    <row r="4440" spans="1:4" x14ac:dyDescent="0.55000000000000004">
      <c r="A4440">
        <f t="shared" si="140"/>
        <v>2007</v>
      </c>
      <c r="B4440" s="821">
        <v>39209</v>
      </c>
      <c r="C4440">
        <v>4.79</v>
      </c>
      <c r="D4440">
        <f t="shared" si="141"/>
        <v>1</v>
      </c>
    </row>
    <row r="4441" spans="1:4" x14ac:dyDescent="0.55000000000000004">
      <c r="A4441">
        <f t="shared" si="140"/>
        <v>2007</v>
      </c>
      <c r="B4441" s="821">
        <v>39206</v>
      </c>
      <c r="C4441">
        <v>4.8</v>
      </c>
      <c r="D4441">
        <f t="shared" si="141"/>
        <v>1</v>
      </c>
    </row>
    <row r="4442" spans="1:4" x14ac:dyDescent="0.55000000000000004">
      <c r="A4442">
        <f t="shared" si="140"/>
        <v>2007</v>
      </c>
      <c r="B4442" s="821">
        <v>39205</v>
      </c>
      <c r="C4442">
        <v>4.84</v>
      </c>
      <c r="D4442">
        <f t="shared" si="141"/>
        <v>1</v>
      </c>
    </row>
    <row r="4443" spans="1:4" x14ac:dyDescent="0.55000000000000004">
      <c r="A4443">
        <f t="shared" si="140"/>
        <v>2007</v>
      </c>
      <c r="B4443" s="821">
        <v>39204</v>
      </c>
      <c r="C4443">
        <v>4.82</v>
      </c>
      <c r="D4443">
        <f t="shared" si="141"/>
        <v>1</v>
      </c>
    </row>
    <row r="4444" spans="1:4" x14ac:dyDescent="0.55000000000000004">
      <c r="A4444">
        <f t="shared" si="140"/>
        <v>2007</v>
      </c>
      <c r="B4444" s="821">
        <v>39203</v>
      </c>
      <c r="C4444">
        <v>4.8099999999999996</v>
      </c>
      <c r="D4444">
        <f t="shared" si="141"/>
        <v>1</v>
      </c>
    </row>
    <row r="4445" spans="1:4" x14ac:dyDescent="0.55000000000000004">
      <c r="A4445">
        <f t="shared" si="140"/>
        <v>2007</v>
      </c>
      <c r="B4445" s="821">
        <v>39202</v>
      </c>
      <c r="C4445">
        <v>4.8099999999999996</v>
      </c>
      <c r="D4445">
        <f t="shared" si="141"/>
        <v>1</v>
      </c>
    </row>
    <row r="4446" spans="1:4" x14ac:dyDescent="0.55000000000000004">
      <c r="A4446">
        <f t="shared" si="140"/>
        <v>2007</v>
      </c>
      <c r="B4446" s="821">
        <v>39199</v>
      </c>
      <c r="C4446">
        <v>4.8899999999999997</v>
      </c>
      <c r="D4446">
        <f t="shared" si="141"/>
        <v>1</v>
      </c>
    </row>
    <row r="4447" spans="1:4" x14ac:dyDescent="0.55000000000000004">
      <c r="A4447">
        <f t="shared" si="140"/>
        <v>2007</v>
      </c>
      <c r="B4447" s="821">
        <v>39198</v>
      </c>
      <c r="C4447">
        <v>4.87</v>
      </c>
      <c r="D4447">
        <f t="shared" si="141"/>
        <v>1</v>
      </c>
    </row>
    <row r="4448" spans="1:4" x14ac:dyDescent="0.55000000000000004">
      <c r="A4448">
        <f t="shared" si="140"/>
        <v>2007</v>
      </c>
      <c r="B4448" s="821">
        <v>39197</v>
      </c>
      <c r="C4448">
        <v>4.83</v>
      </c>
      <c r="D4448">
        <f t="shared" si="141"/>
        <v>1</v>
      </c>
    </row>
    <row r="4449" spans="1:4" x14ac:dyDescent="0.55000000000000004">
      <c r="A4449">
        <f t="shared" si="140"/>
        <v>2007</v>
      </c>
      <c r="B4449" s="821">
        <v>39196</v>
      </c>
      <c r="C4449">
        <v>4.8</v>
      </c>
      <c r="D4449">
        <f t="shared" si="141"/>
        <v>1</v>
      </c>
    </row>
    <row r="4450" spans="1:4" x14ac:dyDescent="0.55000000000000004">
      <c r="A4450">
        <f t="shared" si="140"/>
        <v>2007</v>
      </c>
      <c r="B4450" s="821">
        <v>39195</v>
      </c>
      <c r="C4450">
        <v>4.83</v>
      </c>
      <c r="D4450">
        <f t="shared" si="141"/>
        <v>1</v>
      </c>
    </row>
    <row r="4451" spans="1:4" x14ac:dyDescent="0.55000000000000004">
      <c r="A4451">
        <f t="shared" si="140"/>
        <v>2007</v>
      </c>
      <c r="B4451" s="821">
        <v>39192</v>
      </c>
      <c r="C4451">
        <v>4.8499999999999996</v>
      </c>
      <c r="D4451">
        <f t="shared" si="141"/>
        <v>1</v>
      </c>
    </row>
    <row r="4452" spans="1:4" x14ac:dyDescent="0.55000000000000004">
      <c r="A4452">
        <f t="shared" si="140"/>
        <v>2007</v>
      </c>
      <c r="B4452" s="821">
        <v>39191</v>
      </c>
      <c r="C4452">
        <v>4.84</v>
      </c>
      <c r="D4452">
        <f t="shared" si="141"/>
        <v>1</v>
      </c>
    </row>
    <row r="4453" spans="1:4" x14ac:dyDescent="0.55000000000000004">
      <c r="A4453">
        <f t="shared" si="140"/>
        <v>2007</v>
      </c>
      <c r="B4453" s="821">
        <v>39190</v>
      </c>
      <c r="C4453">
        <v>4.8099999999999996</v>
      </c>
      <c r="D4453">
        <f t="shared" si="141"/>
        <v>1</v>
      </c>
    </row>
    <row r="4454" spans="1:4" x14ac:dyDescent="0.55000000000000004">
      <c r="A4454">
        <f t="shared" si="140"/>
        <v>2007</v>
      </c>
      <c r="B4454" s="821">
        <v>39189</v>
      </c>
      <c r="C4454">
        <v>4.8499999999999996</v>
      </c>
      <c r="D4454">
        <f t="shared" si="141"/>
        <v>1</v>
      </c>
    </row>
    <row r="4455" spans="1:4" x14ac:dyDescent="0.55000000000000004">
      <c r="A4455">
        <f t="shared" si="140"/>
        <v>2007</v>
      </c>
      <c r="B4455" s="821">
        <v>39188</v>
      </c>
      <c r="C4455">
        <v>4.8899999999999997</v>
      </c>
      <c r="D4455">
        <f t="shared" si="141"/>
        <v>1</v>
      </c>
    </row>
    <row r="4456" spans="1:4" x14ac:dyDescent="0.55000000000000004">
      <c r="A4456">
        <f t="shared" si="140"/>
        <v>2007</v>
      </c>
      <c r="B4456" s="821">
        <v>39185</v>
      </c>
      <c r="C4456">
        <v>4.93</v>
      </c>
      <c r="D4456">
        <f t="shared" si="141"/>
        <v>1</v>
      </c>
    </row>
    <row r="4457" spans="1:4" x14ac:dyDescent="0.55000000000000004">
      <c r="A4457">
        <f t="shared" si="140"/>
        <v>2007</v>
      </c>
      <c r="B4457" s="821">
        <v>39184</v>
      </c>
      <c r="C4457">
        <v>4.91</v>
      </c>
      <c r="D4457">
        <f t="shared" si="141"/>
        <v>1</v>
      </c>
    </row>
    <row r="4458" spans="1:4" x14ac:dyDescent="0.55000000000000004">
      <c r="A4458">
        <f t="shared" si="140"/>
        <v>2007</v>
      </c>
      <c r="B4458" s="821">
        <v>39183</v>
      </c>
      <c r="C4458">
        <v>4.92</v>
      </c>
      <c r="D4458">
        <f t="shared" si="141"/>
        <v>1</v>
      </c>
    </row>
    <row r="4459" spans="1:4" x14ac:dyDescent="0.55000000000000004">
      <c r="A4459">
        <f t="shared" si="140"/>
        <v>2007</v>
      </c>
      <c r="B4459" s="821">
        <v>39182</v>
      </c>
      <c r="C4459">
        <v>4.91</v>
      </c>
      <c r="D4459">
        <f t="shared" si="141"/>
        <v>1</v>
      </c>
    </row>
    <row r="4460" spans="1:4" x14ac:dyDescent="0.55000000000000004">
      <c r="A4460">
        <f t="shared" si="140"/>
        <v>2007</v>
      </c>
      <c r="B4460" s="821">
        <v>39181</v>
      </c>
      <c r="C4460">
        <v>4.92</v>
      </c>
      <c r="D4460">
        <f t="shared" si="141"/>
        <v>1</v>
      </c>
    </row>
    <row r="4461" spans="1:4" x14ac:dyDescent="0.55000000000000004">
      <c r="A4461">
        <f t="shared" si="140"/>
        <v>2007</v>
      </c>
      <c r="B4461" s="821">
        <v>39178</v>
      </c>
      <c r="C4461">
        <v>4.92</v>
      </c>
      <c r="D4461">
        <f t="shared" si="141"/>
        <v>1</v>
      </c>
    </row>
    <row r="4462" spans="1:4" x14ac:dyDescent="0.55000000000000004">
      <c r="A4462">
        <f t="shared" si="140"/>
        <v>2007</v>
      </c>
      <c r="B4462" s="821">
        <v>39177</v>
      </c>
      <c r="C4462">
        <v>4.87</v>
      </c>
      <c r="D4462">
        <f t="shared" si="141"/>
        <v>1</v>
      </c>
    </row>
    <row r="4463" spans="1:4" x14ac:dyDescent="0.55000000000000004">
      <c r="A4463">
        <f t="shared" si="140"/>
        <v>2007</v>
      </c>
      <c r="B4463" s="821">
        <v>39176</v>
      </c>
      <c r="C4463">
        <v>4.8499999999999996</v>
      </c>
      <c r="D4463">
        <f t="shared" si="141"/>
        <v>1</v>
      </c>
    </row>
    <row r="4464" spans="1:4" x14ac:dyDescent="0.55000000000000004">
      <c r="A4464">
        <f t="shared" si="140"/>
        <v>2007</v>
      </c>
      <c r="B4464" s="821">
        <v>39175</v>
      </c>
      <c r="C4464">
        <v>4.8499999999999996</v>
      </c>
      <c r="D4464">
        <f t="shared" si="141"/>
        <v>1</v>
      </c>
    </row>
    <row r="4465" spans="1:4" x14ac:dyDescent="0.55000000000000004">
      <c r="A4465">
        <f t="shared" si="140"/>
        <v>2007</v>
      </c>
      <c r="B4465" s="821">
        <v>39174</v>
      </c>
      <c r="C4465">
        <v>4.84</v>
      </c>
      <c r="D4465">
        <f t="shared" si="141"/>
        <v>1</v>
      </c>
    </row>
    <row r="4466" spans="1:4" x14ac:dyDescent="0.55000000000000004">
      <c r="A4466">
        <f t="shared" si="140"/>
        <v>2007</v>
      </c>
      <c r="B4466" s="821">
        <v>39171</v>
      </c>
      <c r="C4466">
        <v>4.84</v>
      </c>
      <c r="D4466">
        <f t="shared" si="141"/>
        <v>1</v>
      </c>
    </row>
    <row r="4467" spans="1:4" x14ac:dyDescent="0.55000000000000004">
      <c r="A4467">
        <f t="shared" si="140"/>
        <v>2007</v>
      </c>
      <c r="B4467" s="821">
        <v>39170</v>
      </c>
      <c r="C4467">
        <v>4.83</v>
      </c>
      <c r="D4467">
        <f t="shared" si="141"/>
        <v>1</v>
      </c>
    </row>
    <row r="4468" spans="1:4" x14ac:dyDescent="0.55000000000000004">
      <c r="A4468">
        <f t="shared" si="140"/>
        <v>2007</v>
      </c>
      <c r="B4468" s="821">
        <v>39169</v>
      </c>
      <c r="C4468">
        <v>4.83</v>
      </c>
      <c r="D4468">
        <f t="shared" si="141"/>
        <v>1</v>
      </c>
    </row>
    <row r="4469" spans="1:4" x14ac:dyDescent="0.55000000000000004">
      <c r="A4469">
        <f t="shared" si="140"/>
        <v>2007</v>
      </c>
      <c r="B4469" s="821">
        <v>39168</v>
      </c>
      <c r="C4469">
        <v>4.8099999999999996</v>
      </c>
      <c r="D4469">
        <f t="shared" si="141"/>
        <v>1</v>
      </c>
    </row>
    <row r="4470" spans="1:4" x14ac:dyDescent="0.55000000000000004">
      <c r="A4470">
        <f t="shared" si="140"/>
        <v>2007</v>
      </c>
      <c r="B4470" s="821">
        <v>39167</v>
      </c>
      <c r="C4470">
        <v>4.79</v>
      </c>
      <c r="D4470">
        <f t="shared" si="141"/>
        <v>1</v>
      </c>
    </row>
    <row r="4471" spans="1:4" x14ac:dyDescent="0.55000000000000004">
      <c r="A4471">
        <f t="shared" si="140"/>
        <v>2007</v>
      </c>
      <c r="B4471" s="821">
        <v>39164</v>
      </c>
      <c r="C4471">
        <v>4.8</v>
      </c>
      <c r="D4471">
        <f t="shared" si="141"/>
        <v>1</v>
      </c>
    </row>
    <row r="4472" spans="1:4" x14ac:dyDescent="0.55000000000000004">
      <c r="A4472">
        <f t="shared" si="140"/>
        <v>2007</v>
      </c>
      <c r="B4472" s="821">
        <v>39163</v>
      </c>
      <c r="C4472">
        <v>4.78</v>
      </c>
      <c r="D4472">
        <f t="shared" si="141"/>
        <v>1</v>
      </c>
    </row>
    <row r="4473" spans="1:4" x14ac:dyDescent="0.55000000000000004">
      <c r="A4473">
        <f t="shared" si="140"/>
        <v>2007</v>
      </c>
      <c r="B4473" s="821">
        <v>39162</v>
      </c>
      <c r="C4473">
        <v>4.7</v>
      </c>
      <c r="D4473">
        <f t="shared" si="141"/>
        <v>1</v>
      </c>
    </row>
    <row r="4474" spans="1:4" x14ac:dyDescent="0.55000000000000004">
      <c r="A4474">
        <f t="shared" si="140"/>
        <v>2007</v>
      </c>
      <c r="B4474" s="821">
        <v>39161</v>
      </c>
      <c r="C4474">
        <v>4.71</v>
      </c>
      <c r="D4474">
        <f t="shared" si="141"/>
        <v>1</v>
      </c>
    </row>
    <row r="4475" spans="1:4" x14ac:dyDescent="0.55000000000000004">
      <c r="A4475">
        <f t="shared" si="140"/>
        <v>2007</v>
      </c>
      <c r="B4475" s="821">
        <v>39160</v>
      </c>
      <c r="C4475">
        <v>4.72</v>
      </c>
      <c r="D4475">
        <f t="shared" si="141"/>
        <v>1</v>
      </c>
    </row>
    <row r="4476" spans="1:4" x14ac:dyDescent="0.55000000000000004">
      <c r="A4476">
        <f t="shared" si="140"/>
        <v>2007</v>
      </c>
      <c r="B4476" s="821">
        <v>39157</v>
      </c>
      <c r="C4476">
        <v>4.7</v>
      </c>
      <c r="D4476">
        <f t="shared" si="141"/>
        <v>1</v>
      </c>
    </row>
    <row r="4477" spans="1:4" x14ac:dyDescent="0.55000000000000004">
      <c r="A4477">
        <f t="shared" si="140"/>
        <v>2007</v>
      </c>
      <c r="B4477" s="821">
        <v>39156</v>
      </c>
      <c r="C4477">
        <v>4.6900000000000004</v>
      </c>
      <c r="D4477">
        <f t="shared" si="141"/>
        <v>1</v>
      </c>
    </row>
    <row r="4478" spans="1:4" x14ac:dyDescent="0.55000000000000004">
      <c r="A4478">
        <f t="shared" si="140"/>
        <v>2007</v>
      </c>
      <c r="B4478" s="821">
        <v>39155</v>
      </c>
      <c r="C4478">
        <v>4.6900000000000004</v>
      </c>
      <c r="D4478">
        <f t="shared" si="141"/>
        <v>1</v>
      </c>
    </row>
    <row r="4479" spans="1:4" x14ac:dyDescent="0.55000000000000004">
      <c r="A4479">
        <f t="shared" si="140"/>
        <v>2007</v>
      </c>
      <c r="B4479" s="821">
        <v>39154</v>
      </c>
      <c r="C4479">
        <v>4.66</v>
      </c>
      <c r="D4479">
        <f t="shared" si="141"/>
        <v>1</v>
      </c>
    </row>
    <row r="4480" spans="1:4" x14ac:dyDescent="0.55000000000000004">
      <c r="A4480">
        <f t="shared" si="140"/>
        <v>2007</v>
      </c>
      <c r="B4480" s="821">
        <v>39153</v>
      </c>
      <c r="C4480">
        <v>4.6900000000000004</v>
      </c>
      <c r="D4480">
        <f t="shared" si="141"/>
        <v>1</v>
      </c>
    </row>
    <row r="4481" spans="1:4" x14ac:dyDescent="0.55000000000000004">
      <c r="A4481">
        <f t="shared" si="140"/>
        <v>2007</v>
      </c>
      <c r="B4481" s="821">
        <v>39150</v>
      </c>
      <c r="C4481">
        <v>4.72</v>
      </c>
      <c r="D4481">
        <f t="shared" si="141"/>
        <v>1</v>
      </c>
    </row>
    <row r="4482" spans="1:4" x14ac:dyDescent="0.55000000000000004">
      <c r="A4482">
        <f t="shared" si="140"/>
        <v>2007</v>
      </c>
      <c r="B4482" s="821">
        <v>39149</v>
      </c>
      <c r="C4482">
        <v>4.6500000000000004</v>
      </c>
      <c r="D4482">
        <f t="shared" si="141"/>
        <v>1</v>
      </c>
    </row>
    <row r="4483" spans="1:4" x14ac:dyDescent="0.55000000000000004">
      <c r="A4483">
        <f t="shared" si="140"/>
        <v>2007</v>
      </c>
      <c r="B4483" s="821">
        <v>39148</v>
      </c>
      <c r="C4483">
        <v>4.6399999999999997</v>
      </c>
      <c r="D4483">
        <f t="shared" si="141"/>
        <v>1</v>
      </c>
    </row>
    <row r="4484" spans="1:4" x14ac:dyDescent="0.55000000000000004">
      <c r="A4484">
        <f t="shared" ref="A4484:A4547" si="142">YEAR(B4484)</f>
        <v>2007</v>
      </c>
      <c r="B4484" s="821">
        <v>39147</v>
      </c>
      <c r="C4484">
        <v>4.66</v>
      </c>
      <c r="D4484">
        <f t="shared" ref="D4484:D4547" si="143">IF(C4484&gt;4,1,0)</f>
        <v>1</v>
      </c>
    </row>
    <row r="4485" spans="1:4" x14ac:dyDescent="0.55000000000000004">
      <c r="A4485">
        <f t="shared" si="142"/>
        <v>2007</v>
      </c>
      <c r="B4485" s="821">
        <v>39146</v>
      </c>
      <c r="C4485">
        <v>4.6399999999999997</v>
      </c>
      <c r="D4485">
        <f t="shared" si="143"/>
        <v>1</v>
      </c>
    </row>
    <row r="4486" spans="1:4" x14ac:dyDescent="0.55000000000000004">
      <c r="A4486">
        <f t="shared" si="142"/>
        <v>2007</v>
      </c>
      <c r="B4486" s="821">
        <v>39143</v>
      </c>
      <c r="C4486">
        <v>4.6500000000000004</v>
      </c>
      <c r="D4486">
        <f t="shared" si="143"/>
        <v>1</v>
      </c>
    </row>
    <row r="4487" spans="1:4" x14ac:dyDescent="0.55000000000000004">
      <c r="A4487">
        <f t="shared" si="142"/>
        <v>2007</v>
      </c>
      <c r="B4487" s="821">
        <v>39142</v>
      </c>
      <c r="C4487">
        <v>4.68</v>
      </c>
      <c r="D4487">
        <f t="shared" si="143"/>
        <v>1</v>
      </c>
    </row>
    <row r="4488" spans="1:4" x14ac:dyDescent="0.55000000000000004">
      <c r="A4488">
        <f t="shared" si="142"/>
        <v>2007</v>
      </c>
      <c r="B4488" s="821">
        <v>39141</v>
      </c>
      <c r="C4488">
        <v>4.68</v>
      </c>
      <c r="D4488">
        <f t="shared" si="143"/>
        <v>1</v>
      </c>
    </row>
    <row r="4489" spans="1:4" x14ac:dyDescent="0.55000000000000004">
      <c r="A4489">
        <f t="shared" si="142"/>
        <v>2007</v>
      </c>
      <c r="B4489" s="821">
        <v>39140</v>
      </c>
      <c r="C4489">
        <v>4.62</v>
      </c>
      <c r="D4489">
        <f t="shared" si="143"/>
        <v>1</v>
      </c>
    </row>
    <row r="4490" spans="1:4" x14ac:dyDescent="0.55000000000000004">
      <c r="A4490">
        <f t="shared" si="142"/>
        <v>2007</v>
      </c>
      <c r="B4490" s="821">
        <v>39139</v>
      </c>
      <c r="C4490">
        <v>4.7300000000000004</v>
      </c>
      <c r="D4490">
        <f t="shared" si="143"/>
        <v>1</v>
      </c>
    </row>
    <row r="4491" spans="1:4" x14ac:dyDescent="0.55000000000000004">
      <c r="A4491">
        <f t="shared" si="142"/>
        <v>2007</v>
      </c>
      <c r="B4491" s="821">
        <v>39136</v>
      </c>
      <c r="C4491">
        <v>4.79</v>
      </c>
      <c r="D4491">
        <f t="shared" si="143"/>
        <v>1</v>
      </c>
    </row>
    <row r="4492" spans="1:4" x14ac:dyDescent="0.55000000000000004">
      <c r="A4492">
        <f t="shared" si="142"/>
        <v>2007</v>
      </c>
      <c r="B4492" s="821">
        <v>39135</v>
      </c>
      <c r="C4492">
        <v>4.83</v>
      </c>
      <c r="D4492">
        <f t="shared" si="143"/>
        <v>1</v>
      </c>
    </row>
    <row r="4493" spans="1:4" x14ac:dyDescent="0.55000000000000004">
      <c r="A4493">
        <f t="shared" si="142"/>
        <v>2007</v>
      </c>
      <c r="B4493" s="821">
        <v>39134</v>
      </c>
      <c r="C4493">
        <v>4.79</v>
      </c>
      <c r="D4493">
        <f t="shared" si="143"/>
        <v>1</v>
      </c>
    </row>
    <row r="4494" spans="1:4" x14ac:dyDescent="0.55000000000000004">
      <c r="A4494">
        <f t="shared" si="142"/>
        <v>2007</v>
      </c>
      <c r="B4494" s="821">
        <v>39133</v>
      </c>
      <c r="C4494">
        <v>4.78</v>
      </c>
      <c r="D4494">
        <f t="shared" si="143"/>
        <v>1</v>
      </c>
    </row>
    <row r="4495" spans="1:4" x14ac:dyDescent="0.55000000000000004">
      <c r="A4495">
        <f t="shared" si="142"/>
        <v>2007</v>
      </c>
      <c r="B4495" s="821">
        <v>39129</v>
      </c>
      <c r="C4495">
        <v>4.79</v>
      </c>
      <c r="D4495">
        <f t="shared" si="143"/>
        <v>1</v>
      </c>
    </row>
    <row r="4496" spans="1:4" x14ac:dyDescent="0.55000000000000004">
      <c r="A4496">
        <f t="shared" si="142"/>
        <v>2007</v>
      </c>
      <c r="B4496" s="821">
        <v>39128</v>
      </c>
      <c r="C4496">
        <v>4.8099999999999996</v>
      </c>
      <c r="D4496">
        <f t="shared" si="143"/>
        <v>1</v>
      </c>
    </row>
    <row r="4497" spans="1:4" x14ac:dyDescent="0.55000000000000004">
      <c r="A4497">
        <f t="shared" si="142"/>
        <v>2007</v>
      </c>
      <c r="B4497" s="821">
        <v>39127</v>
      </c>
      <c r="C4497">
        <v>4.83</v>
      </c>
      <c r="D4497">
        <f t="shared" si="143"/>
        <v>1</v>
      </c>
    </row>
    <row r="4498" spans="1:4" x14ac:dyDescent="0.55000000000000004">
      <c r="A4498">
        <f t="shared" si="142"/>
        <v>2007</v>
      </c>
      <c r="B4498" s="821">
        <v>39126</v>
      </c>
      <c r="C4498">
        <v>4.9000000000000004</v>
      </c>
      <c r="D4498">
        <f t="shared" si="143"/>
        <v>1</v>
      </c>
    </row>
    <row r="4499" spans="1:4" x14ac:dyDescent="0.55000000000000004">
      <c r="A4499">
        <f t="shared" si="142"/>
        <v>2007</v>
      </c>
      <c r="B4499" s="821">
        <v>39125</v>
      </c>
      <c r="C4499">
        <v>4.88</v>
      </c>
      <c r="D4499">
        <f t="shared" si="143"/>
        <v>1</v>
      </c>
    </row>
    <row r="4500" spans="1:4" x14ac:dyDescent="0.55000000000000004">
      <c r="A4500">
        <f t="shared" si="142"/>
        <v>2007</v>
      </c>
      <c r="B4500" s="821">
        <v>39122</v>
      </c>
      <c r="C4500">
        <v>4.87</v>
      </c>
      <c r="D4500">
        <f t="shared" si="143"/>
        <v>1</v>
      </c>
    </row>
    <row r="4501" spans="1:4" x14ac:dyDescent="0.55000000000000004">
      <c r="A4501">
        <f t="shared" si="142"/>
        <v>2007</v>
      </c>
      <c r="B4501" s="821">
        <v>39121</v>
      </c>
      <c r="C4501">
        <v>4.8099999999999996</v>
      </c>
      <c r="D4501">
        <f t="shared" si="143"/>
        <v>1</v>
      </c>
    </row>
    <row r="4502" spans="1:4" x14ac:dyDescent="0.55000000000000004">
      <c r="A4502">
        <f t="shared" si="142"/>
        <v>2007</v>
      </c>
      <c r="B4502" s="821">
        <v>39120</v>
      </c>
      <c r="C4502">
        <v>4.8600000000000003</v>
      </c>
      <c r="D4502">
        <f t="shared" si="143"/>
        <v>1</v>
      </c>
    </row>
    <row r="4503" spans="1:4" x14ac:dyDescent="0.55000000000000004">
      <c r="A4503">
        <f t="shared" si="142"/>
        <v>2007</v>
      </c>
      <c r="B4503" s="821">
        <v>39119</v>
      </c>
      <c r="C4503">
        <v>4.87</v>
      </c>
      <c r="D4503">
        <f t="shared" si="143"/>
        <v>1</v>
      </c>
    </row>
    <row r="4504" spans="1:4" x14ac:dyDescent="0.55000000000000004">
      <c r="A4504">
        <f t="shared" si="142"/>
        <v>2007</v>
      </c>
      <c r="B4504" s="821">
        <v>39118</v>
      </c>
      <c r="C4504">
        <v>4.91</v>
      </c>
      <c r="D4504">
        <f t="shared" si="143"/>
        <v>1</v>
      </c>
    </row>
    <row r="4505" spans="1:4" x14ac:dyDescent="0.55000000000000004">
      <c r="A4505">
        <f t="shared" si="142"/>
        <v>2007</v>
      </c>
      <c r="B4505" s="821">
        <v>39115</v>
      </c>
      <c r="C4505">
        <v>4.93</v>
      </c>
      <c r="D4505">
        <f t="shared" si="143"/>
        <v>1</v>
      </c>
    </row>
    <row r="4506" spans="1:4" x14ac:dyDescent="0.55000000000000004">
      <c r="A4506">
        <f t="shared" si="142"/>
        <v>2007</v>
      </c>
      <c r="B4506" s="821">
        <v>39114</v>
      </c>
      <c r="C4506">
        <v>4.93</v>
      </c>
      <c r="D4506">
        <f t="shared" si="143"/>
        <v>1</v>
      </c>
    </row>
    <row r="4507" spans="1:4" x14ac:dyDescent="0.55000000000000004">
      <c r="A4507">
        <f t="shared" si="142"/>
        <v>2007</v>
      </c>
      <c r="B4507" s="821">
        <v>39113</v>
      </c>
      <c r="C4507">
        <v>4.93</v>
      </c>
      <c r="D4507">
        <f t="shared" si="143"/>
        <v>1</v>
      </c>
    </row>
    <row r="4508" spans="1:4" x14ac:dyDescent="0.55000000000000004">
      <c r="A4508">
        <f t="shared" si="142"/>
        <v>2007</v>
      </c>
      <c r="B4508" s="821">
        <v>39112</v>
      </c>
      <c r="C4508">
        <v>4.9800000000000004</v>
      </c>
      <c r="D4508">
        <f t="shared" si="143"/>
        <v>1</v>
      </c>
    </row>
    <row r="4509" spans="1:4" x14ac:dyDescent="0.55000000000000004">
      <c r="A4509">
        <f t="shared" si="142"/>
        <v>2007</v>
      </c>
      <c r="B4509" s="821">
        <v>39111</v>
      </c>
      <c r="C4509">
        <v>4.99</v>
      </c>
      <c r="D4509">
        <f t="shared" si="143"/>
        <v>1</v>
      </c>
    </row>
    <row r="4510" spans="1:4" x14ac:dyDescent="0.55000000000000004">
      <c r="A4510">
        <f t="shared" si="142"/>
        <v>2007</v>
      </c>
      <c r="B4510" s="821">
        <v>39108</v>
      </c>
      <c r="C4510">
        <v>4.9800000000000004</v>
      </c>
      <c r="D4510">
        <f t="shared" si="143"/>
        <v>1</v>
      </c>
    </row>
    <row r="4511" spans="1:4" x14ac:dyDescent="0.55000000000000004">
      <c r="A4511">
        <f t="shared" si="142"/>
        <v>2007</v>
      </c>
      <c r="B4511" s="821">
        <v>39107</v>
      </c>
      <c r="C4511">
        <v>4.96</v>
      </c>
      <c r="D4511">
        <f t="shared" si="143"/>
        <v>1</v>
      </c>
    </row>
    <row r="4512" spans="1:4" x14ac:dyDescent="0.55000000000000004">
      <c r="A4512">
        <f t="shared" si="142"/>
        <v>2007</v>
      </c>
      <c r="B4512" s="821">
        <v>39106</v>
      </c>
      <c r="C4512">
        <v>4.91</v>
      </c>
      <c r="D4512">
        <f t="shared" si="143"/>
        <v>1</v>
      </c>
    </row>
    <row r="4513" spans="1:4" x14ac:dyDescent="0.55000000000000004">
      <c r="A4513">
        <f t="shared" si="142"/>
        <v>2007</v>
      </c>
      <c r="B4513" s="821">
        <v>39105</v>
      </c>
      <c r="C4513">
        <v>4.9000000000000004</v>
      </c>
      <c r="D4513">
        <f t="shared" si="143"/>
        <v>1</v>
      </c>
    </row>
    <row r="4514" spans="1:4" x14ac:dyDescent="0.55000000000000004">
      <c r="A4514">
        <f t="shared" si="142"/>
        <v>2007</v>
      </c>
      <c r="B4514" s="821">
        <v>39104</v>
      </c>
      <c r="C4514">
        <v>4.84</v>
      </c>
      <c r="D4514">
        <f t="shared" si="143"/>
        <v>1</v>
      </c>
    </row>
    <row r="4515" spans="1:4" x14ac:dyDescent="0.55000000000000004">
      <c r="A4515">
        <f t="shared" si="142"/>
        <v>2007</v>
      </c>
      <c r="B4515" s="821">
        <v>39101</v>
      </c>
      <c r="C4515">
        <v>4.87</v>
      </c>
      <c r="D4515">
        <f t="shared" si="143"/>
        <v>1</v>
      </c>
    </row>
    <row r="4516" spans="1:4" x14ac:dyDescent="0.55000000000000004">
      <c r="A4516">
        <f t="shared" si="142"/>
        <v>2007</v>
      </c>
      <c r="B4516" s="821">
        <v>39100</v>
      </c>
      <c r="C4516">
        <v>4.8499999999999996</v>
      </c>
      <c r="D4516">
        <f t="shared" si="143"/>
        <v>1</v>
      </c>
    </row>
    <row r="4517" spans="1:4" x14ac:dyDescent="0.55000000000000004">
      <c r="A4517">
        <f t="shared" si="142"/>
        <v>2007</v>
      </c>
      <c r="B4517" s="821">
        <v>39099</v>
      </c>
      <c r="C4517">
        <v>4.88</v>
      </c>
      <c r="D4517">
        <f t="shared" si="143"/>
        <v>1</v>
      </c>
    </row>
    <row r="4518" spans="1:4" x14ac:dyDescent="0.55000000000000004">
      <c r="A4518">
        <f t="shared" si="142"/>
        <v>2007</v>
      </c>
      <c r="B4518" s="821">
        <v>39098</v>
      </c>
      <c r="C4518">
        <v>4.8499999999999996</v>
      </c>
      <c r="D4518">
        <f t="shared" si="143"/>
        <v>1</v>
      </c>
    </row>
    <row r="4519" spans="1:4" x14ac:dyDescent="0.55000000000000004">
      <c r="A4519">
        <f t="shared" si="142"/>
        <v>2007</v>
      </c>
      <c r="B4519" s="821">
        <v>39094</v>
      </c>
      <c r="C4519">
        <v>4.8600000000000003</v>
      </c>
      <c r="D4519">
        <f t="shared" si="143"/>
        <v>1</v>
      </c>
    </row>
    <row r="4520" spans="1:4" x14ac:dyDescent="0.55000000000000004">
      <c r="A4520">
        <f t="shared" si="142"/>
        <v>2007</v>
      </c>
      <c r="B4520" s="821">
        <v>39093</v>
      </c>
      <c r="C4520">
        <v>4.82</v>
      </c>
      <c r="D4520">
        <f t="shared" si="143"/>
        <v>1</v>
      </c>
    </row>
    <row r="4521" spans="1:4" x14ac:dyDescent="0.55000000000000004">
      <c r="A4521">
        <f t="shared" si="142"/>
        <v>2007</v>
      </c>
      <c r="B4521" s="821">
        <v>39092</v>
      </c>
      <c r="C4521">
        <v>4.7699999999999996</v>
      </c>
      <c r="D4521">
        <f t="shared" si="143"/>
        <v>1</v>
      </c>
    </row>
    <row r="4522" spans="1:4" x14ac:dyDescent="0.55000000000000004">
      <c r="A4522">
        <f t="shared" si="142"/>
        <v>2007</v>
      </c>
      <c r="B4522" s="821">
        <v>39091</v>
      </c>
      <c r="C4522">
        <v>4.74</v>
      </c>
      <c r="D4522">
        <f t="shared" si="143"/>
        <v>1</v>
      </c>
    </row>
    <row r="4523" spans="1:4" x14ac:dyDescent="0.55000000000000004">
      <c r="A4523">
        <f t="shared" si="142"/>
        <v>2007</v>
      </c>
      <c r="B4523" s="821">
        <v>39090</v>
      </c>
      <c r="C4523">
        <v>4.74</v>
      </c>
      <c r="D4523">
        <f t="shared" si="143"/>
        <v>1</v>
      </c>
    </row>
    <row r="4524" spans="1:4" x14ac:dyDescent="0.55000000000000004">
      <c r="A4524">
        <f t="shared" si="142"/>
        <v>2007</v>
      </c>
      <c r="B4524" s="821">
        <v>39087</v>
      </c>
      <c r="C4524">
        <v>4.74</v>
      </c>
      <c r="D4524">
        <f t="shared" si="143"/>
        <v>1</v>
      </c>
    </row>
    <row r="4525" spans="1:4" x14ac:dyDescent="0.55000000000000004">
      <c r="A4525">
        <f t="shared" si="142"/>
        <v>2007</v>
      </c>
      <c r="B4525" s="821">
        <v>39086</v>
      </c>
      <c r="C4525">
        <v>4.72</v>
      </c>
      <c r="D4525">
        <f t="shared" si="143"/>
        <v>1</v>
      </c>
    </row>
    <row r="4526" spans="1:4" x14ac:dyDescent="0.55000000000000004">
      <c r="A4526">
        <f t="shared" si="142"/>
        <v>2007</v>
      </c>
      <c r="B4526" s="821">
        <v>39085</v>
      </c>
      <c r="C4526">
        <v>4.7699999999999996</v>
      </c>
      <c r="D4526">
        <f t="shared" si="143"/>
        <v>1</v>
      </c>
    </row>
    <row r="4527" spans="1:4" x14ac:dyDescent="0.55000000000000004">
      <c r="A4527">
        <f t="shared" si="142"/>
        <v>2007</v>
      </c>
      <c r="B4527" s="821">
        <v>39084</v>
      </c>
      <c r="C4527">
        <v>4.79</v>
      </c>
      <c r="D4527">
        <f t="shared" si="143"/>
        <v>1</v>
      </c>
    </row>
    <row r="4528" spans="1:4" x14ac:dyDescent="0.55000000000000004">
      <c r="A4528">
        <f t="shared" si="142"/>
        <v>2006</v>
      </c>
      <c r="B4528" s="821">
        <v>39080</v>
      </c>
      <c r="C4528">
        <v>4.8099999999999996</v>
      </c>
      <c r="D4528">
        <f t="shared" si="143"/>
        <v>1</v>
      </c>
    </row>
    <row r="4529" spans="1:4" x14ac:dyDescent="0.55000000000000004">
      <c r="A4529">
        <f t="shared" si="142"/>
        <v>2006</v>
      </c>
      <c r="B4529" s="821">
        <v>39079</v>
      </c>
      <c r="C4529">
        <v>4.8099999999999996</v>
      </c>
      <c r="D4529">
        <f t="shared" si="143"/>
        <v>1</v>
      </c>
    </row>
    <row r="4530" spans="1:4" x14ac:dyDescent="0.55000000000000004">
      <c r="A4530">
        <f t="shared" si="142"/>
        <v>2006</v>
      </c>
      <c r="B4530" s="821">
        <v>39078</v>
      </c>
      <c r="C4530">
        <v>4.78</v>
      </c>
      <c r="D4530">
        <f t="shared" si="143"/>
        <v>1</v>
      </c>
    </row>
    <row r="4531" spans="1:4" x14ac:dyDescent="0.55000000000000004">
      <c r="A4531">
        <f t="shared" si="142"/>
        <v>2006</v>
      </c>
      <c r="B4531" s="821">
        <v>39077</v>
      </c>
      <c r="C4531">
        <v>4.7300000000000004</v>
      </c>
      <c r="D4531">
        <f t="shared" si="143"/>
        <v>1</v>
      </c>
    </row>
    <row r="4532" spans="1:4" x14ac:dyDescent="0.55000000000000004">
      <c r="A4532">
        <f t="shared" si="142"/>
        <v>2006</v>
      </c>
      <c r="B4532" s="821">
        <v>39073</v>
      </c>
      <c r="C4532">
        <v>4.76</v>
      </c>
      <c r="D4532">
        <f t="shared" si="143"/>
        <v>1</v>
      </c>
    </row>
    <row r="4533" spans="1:4" x14ac:dyDescent="0.55000000000000004">
      <c r="A4533">
        <f t="shared" si="142"/>
        <v>2006</v>
      </c>
      <c r="B4533" s="821">
        <v>39072</v>
      </c>
      <c r="C4533">
        <v>4.7</v>
      </c>
      <c r="D4533">
        <f t="shared" si="143"/>
        <v>1</v>
      </c>
    </row>
    <row r="4534" spans="1:4" x14ac:dyDescent="0.55000000000000004">
      <c r="A4534">
        <f t="shared" si="142"/>
        <v>2006</v>
      </c>
      <c r="B4534" s="821">
        <v>39071</v>
      </c>
      <c r="C4534">
        <v>4.7300000000000004</v>
      </c>
      <c r="D4534">
        <f t="shared" si="143"/>
        <v>1</v>
      </c>
    </row>
    <row r="4535" spans="1:4" x14ac:dyDescent="0.55000000000000004">
      <c r="A4535">
        <f t="shared" si="142"/>
        <v>2006</v>
      </c>
      <c r="B4535" s="821">
        <v>39070</v>
      </c>
      <c r="C4535">
        <v>4.7300000000000004</v>
      </c>
      <c r="D4535">
        <f t="shared" si="143"/>
        <v>1</v>
      </c>
    </row>
    <row r="4536" spans="1:4" x14ac:dyDescent="0.55000000000000004">
      <c r="A4536">
        <f t="shared" si="142"/>
        <v>2006</v>
      </c>
      <c r="B4536" s="821">
        <v>39069</v>
      </c>
      <c r="C4536">
        <v>4.72</v>
      </c>
      <c r="D4536">
        <f t="shared" si="143"/>
        <v>1</v>
      </c>
    </row>
    <row r="4537" spans="1:4" x14ac:dyDescent="0.55000000000000004">
      <c r="A4537">
        <f t="shared" si="142"/>
        <v>2006</v>
      </c>
      <c r="B4537" s="821">
        <v>39066</v>
      </c>
      <c r="C4537">
        <v>4.72</v>
      </c>
      <c r="D4537">
        <f t="shared" si="143"/>
        <v>1</v>
      </c>
    </row>
    <row r="4538" spans="1:4" x14ac:dyDescent="0.55000000000000004">
      <c r="A4538">
        <f t="shared" si="142"/>
        <v>2006</v>
      </c>
      <c r="B4538" s="821">
        <v>39065</v>
      </c>
      <c r="C4538">
        <v>4.72</v>
      </c>
      <c r="D4538">
        <f t="shared" si="143"/>
        <v>1</v>
      </c>
    </row>
    <row r="4539" spans="1:4" x14ac:dyDescent="0.55000000000000004">
      <c r="A4539">
        <f t="shared" si="142"/>
        <v>2006</v>
      </c>
      <c r="B4539" s="821">
        <v>39064</v>
      </c>
      <c r="C4539">
        <v>4.6900000000000004</v>
      </c>
      <c r="D4539">
        <f t="shared" si="143"/>
        <v>1</v>
      </c>
    </row>
    <row r="4540" spans="1:4" x14ac:dyDescent="0.55000000000000004">
      <c r="A4540">
        <f t="shared" si="142"/>
        <v>2006</v>
      </c>
      <c r="B4540" s="821">
        <v>39063</v>
      </c>
      <c r="C4540">
        <v>4.5999999999999996</v>
      </c>
      <c r="D4540">
        <f t="shared" si="143"/>
        <v>1</v>
      </c>
    </row>
    <row r="4541" spans="1:4" x14ac:dyDescent="0.55000000000000004">
      <c r="A4541">
        <f t="shared" si="142"/>
        <v>2006</v>
      </c>
      <c r="B4541" s="821">
        <v>39062</v>
      </c>
      <c r="C4541">
        <v>4.63</v>
      </c>
      <c r="D4541">
        <f t="shared" si="143"/>
        <v>1</v>
      </c>
    </row>
    <row r="4542" spans="1:4" x14ac:dyDescent="0.55000000000000004">
      <c r="A4542">
        <f t="shared" si="142"/>
        <v>2006</v>
      </c>
      <c r="B4542" s="821">
        <v>39059</v>
      </c>
      <c r="C4542">
        <v>4.66</v>
      </c>
      <c r="D4542">
        <f t="shared" si="143"/>
        <v>1</v>
      </c>
    </row>
    <row r="4543" spans="1:4" x14ac:dyDescent="0.55000000000000004">
      <c r="A4543">
        <f t="shared" si="142"/>
        <v>2006</v>
      </c>
      <c r="B4543" s="821">
        <v>39058</v>
      </c>
      <c r="C4543">
        <v>4.5999999999999996</v>
      </c>
      <c r="D4543">
        <f t="shared" si="143"/>
        <v>1</v>
      </c>
    </row>
    <row r="4544" spans="1:4" x14ac:dyDescent="0.55000000000000004">
      <c r="A4544">
        <f t="shared" si="142"/>
        <v>2006</v>
      </c>
      <c r="B4544" s="821">
        <v>39057</v>
      </c>
      <c r="C4544">
        <v>4.5999999999999996</v>
      </c>
      <c r="D4544">
        <f t="shared" si="143"/>
        <v>1</v>
      </c>
    </row>
    <row r="4545" spans="1:4" x14ac:dyDescent="0.55000000000000004">
      <c r="A4545">
        <f t="shared" si="142"/>
        <v>2006</v>
      </c>
      <c r="B4545" s="821">
        <v>39056</v>
      </c>
      <c r="C4545">
        <v>4.57</v>
      </c>
      <c r="D4545">
        <f t="shared" si="143"/>
        <v>1</v>
      </c>
    </row>
    <row r="4546" spans="1:4" x14ac:dyDescent="0.55000000000000004">
      <c r="A4546">
        <f t="shared" si="142"/>
        <v>2006</v>
      </c>
      <c r="B4546" s="821">
        <v>39055</v>
      </c>
      <c r="C4546">
        <v>4.55</v>
      </c>
      <c r="D4546">
        <f t="shared" si="143"/>
        <v>1</v>
      </c>
    </row>
    <row r="4547" spans="1:4" x14ac:dyDescent="0.55000000000000004">
      <c r="A4547">
        <f t="shared" si="142"/>
        <v>2006</v>
      </c>
      <c r="B4547" s="821">
        <v>39052</v>
      </c>
      <c r="C4547">
        <v>4.54</v>
      </c>
      <c r="D4547">
        <f t="shared" si="143"/>
        <v>1</v>
      </c>
    </row>
    <row r="4548" spans="1:4" x14ac:dyDescent="0.55000000000000004">
      <c r="A4548">
        <f t="shared" ref="A4548:A4611" si="144">YEAR(B4548)</f>
        <v>2006</v>
      </c>
      <c r="B4548" s="821">
        <v>39051</v>
      </c>
      <c r="C4548">
        <v>4.5599999999999996</v>
      </c>
      <c r="D4548">
        <f t="shared" ref="D4548:D4611" si="145">IF(C4548&gt;4,1,0)</f>
        <v>1</v>
      </c>
    </row>
    <row r="4549" spans="1:4" x14ac:dyDescent="0.55000000000000004">
      <c r="A4549">
        <f t="shared" si="144"/>
        <v>2006</v>
      </c>
      <c r="B4549" s="821">
        <v>39050</v>
      </c>
      <c r="C4549">
        <v>4.6100000000000003</v>
      </c>
      <c r="D4549">
        <f t="shared" si="145"/>
        <v>1</v>
      </c>
    </row>
    <row r="4550" spans="1:4" x14ac:dyDescent="0.55000000000000004">
      <c r="A4550">
        <f t="shared" si="144"/>
        <v>2006</v>
      </c>
      <c r="B4550" s="821">
        <v>39049</v>
      </c>
      <c r="C4550">
        <v>4.59</v>
      </c>
      <c r="D4550">
        <f t="shared" si="145"/>
        <v>1</v>
      </c>
    </row>
    <row r="4551" spans="1:4" x14ac:dyDescent="0.55000000000000004">
      <c r="A4551">
        <f t="shared" si="144"/>
        <v>2006</v>
      </c>
      <c r="B4551" s="821">
        <v>39048</v>
      </c>
      <c r="C4551">
        <v>4.62</v>
      </c>
      <c r="D4551">
        <f t="shared" si="145"/>
        <v>1</v>
      </c>
    </row>
    <row r="4552" spans="1:4" x14ac:dyDescent="0.55000000000000004">
      <c r="A4552">
        <f t="shared" si="144"/>
        <v>2006</v>
      </c>
      <c r="B4552" s="821">
        <v>39045</v>
      </c>
      <c r="C4552">
        <v>4.63</v>
      </c>
      <c r="D4552">
        <f t="shared" si="145"/>
        <v>1</v>
      </c>
    </row>
    <row r="4553" spans="1:4" x14ac:dyDescent="0.55000000000000004">
      <c r="A4553">
        <f t="shared" si="144"/>
        <v>2006</v>
      </c>
      <c r="B4553" s="821">
        <v>39043</v>
      </c>
      <c r="C4553">
        <v>4.6500000000000004</v>
      </c>
      <c r="D4553">
        <f t="shared" si="145"/>
        <v>1</v>
      </c>
    </row>
    <row r="4554" spans="1:4" x14ac:dyDescent="0.55000000000000004">
      <c r="A4554">
        <f t="shared" si="144"/>
        <v>2006</v>
      </c>
      <c r="B4554" s="821">
        <v>39042</v>
      </c>
      <c r="C4554">
        <v>4.66</v>
      </c>
      <c r="D4554">
        <f t="shared" si="145"/>
        <v>1</v>
      </c>
    </row>
    <row r="4555" spans="1:4" x14ac:dyDescent="0.55000000000000004">
      <c r="A4555">
        <f t="shared" si="144"/>
        <v>2006</v>
      </c>
      <c r="B4555" s="821">
        <v>39041</v>
      </c>
      <c r="C4555">
        <v>4.68</v>
      </c>
      <c r="D4555">
        <f t="shared" si="145"/>
        <v>1</v>
      </c>
    </row>
    <row r="4556" spans="1:4" x14ac:dyDescent="0.55000000000000004">
      <c r="A4556">
        <f t="shared" si="144"/>
        <v>2006</v>
      </c>
      <c r="B4556" s="821">
        <v>39038</v>
      </c>
      <c r="C4556">
        <v>4.6900000000000004</v>
      </c>
      <c r="D4556">
        <f t="shared" si="145"/>
        <v>1</v>
      </c>
    </row>
    <row r="4557" spans="1:4" x14ac:dyDescent="0.55000000000000004">
      <c r="A4557">
        <f t="shared" si="144"/>
        <v>2006</v>
      </c>
      <c r="B4557" s="821">
        <v>39037</v>
      </c>
      <c r="C4557">
        <v>4.74</v>
      </c>
      <c r="D4557">
        <f t="shared" si="145"/>
        <v>1</v>
      </c>
    </row>
    <row r="4558" spans="1:4" x14ac:dyDescent="0.55000000000000004">
      <c r="A4558">
        <f t="shared" si="144"/>
        <v>2006</v>
      </c>
      <c r="B4558" s="821">
        <v>39036</v>
      </c>
      <c r="C4558">
        <v>4.6900000000000004</v>
      </c>
      <c r="D4558">
        <f t="shared" si="145"/>
        <v>1</v>
      </c>
    </row>
    <row r="4559" spans="1:4" x14ac:dyDescent="0.55000000000000004">
      <c r="A4559">
        <f t="shared" si="144"/>
        <v>2006</v>
      </c>
      <c r="B4559" s="821">
        <v>39035</v>
      </c>
      <c r="C4559">
        <v>4.66</v>
      </c>
      <c r="D4559">
        <f t="shared" si="145"/>
        <v>1</v>
      </c>
    </row>
    <row r="4560" spans="1:4" x14ac:dyDescent="0.55000000000000004">
      <c r="A4560">
        <f t="shared" si="144"/>
        <v>2006</v>
      </c>
      <c r="B4560" s="821">
        <v>39034</v>
      </c>
      <c r="C4560">
        <v>4.71</v>
      </c>
      <c r="D4560">
        <f t="shared" si="145"/>
        <v>1</v>
      </c>
    </row>
    <row r="4561" spans="1:4" x14ac:dyDescent="0.55000000000000004">
      <c r="A4561">
        <f t="shared" si="144"/>
        <v>2006</v>
      </c>
      <c r="B4561" s="821">
        <v>39031</v>
      </c>
      <c r="C4561">
        <v>4.6900000000000004</v>
      </c>
      <c r="D4561">
        <f t="shared" si="145"/>
        <v>1</v>
      </c>
    </row>
    <row r="4562" spans="1:4" x14ac:dyDescent="0.55000000000000004">
      <c r="A4562">
        <f t="shared" si="144"/>
        <v>2006</v>
      </c>
      <c r="B4562" s="821">
        <v>39030</v>
      </c>
      <c r="C4562">
        <v>4.7300000000000004</v>
      </c>
      <c r="D4562">
        <f t="shared" si="145"/>
        <v>1</v>
      </c>
    </row>
    <row r="4563" spans="1:4" x14ac:dyDescent="0.55000000000000004">
      <c r="A4563">
        <f t="shared" si="144"/>
        <v>2006</v>
      </c>
      <c r="B4563" s="821">
        <v>39029</v>
      </c>
      <c r="C4563">
        <v>4.7300000000000004</v>
      </c>
      <c r="D4563">
        <f t="shared" si="145"/>
        <v>1</v>
      </c>
    </row>
    <row r="4564" spans="1:4" x14ac:dyDescent="0.55000000000000004">
      <c r="A4564">
        <f t="shared" si="144"/>
        <v>2006</v>
      </c>
      <c r="B4564" s="821">
        <v>39028</v>
      </c>
      <c r="C4564">
        <v>4.76</v>
      </c>
      <c r="D4564">
        <f t="shared" si="145"/>
        <v>1</v>
      </c>
    </row>
    <row r="4565" spans="1:4" x14ac:dyDescent="0.55000000000000004">
      <c r="A4565">
        <f t="shared" si="144"/>
        <v>2006</v>
      </c>
      <c r="B4565" s="821">
        <v>39027</v>
      </c>
      <c r="C4565">
        <v>4.79</v>
      </c>
      <c r="D4565">
        <f t="shared" si="145"/>
        <v>1</v>
      </c>
    </row>
    <row r="4566" spans="1:4" x14ac:dyDescent="0.55000000000000004">
      <c r="A4566">
        <f t="shared" si="144"/>
        <v>2006</v>
      </c>
      <c r="B4566" s="821">
        <v>39024</v>
      </c>
      <c r="C4566">
        <v>4.8099999999999996</v>
      </c>
      <c r="D4566">
        <f t="shared" si="145"/>
        <v>1</v>
      </c>
    </row>
    <row r="4567" spans="1:4" x14ac:dyDescent="0.55000000000000004">
      <c r="A4567">
        <f t="shared" si="144"/>
        <v>2006</v>
      </c>
      <c r="B4567" s="821">
        <v>39023</v>
      </c>
      <c r="C4567">
        <v>4.72</v>
      </c>
      <c r="D4567">
        <f t="shared" si="145"/>
        <v>1</v>
      </c>
    </row>
    <row r="4568" spans="1:4" x14ac:dyDescent="0.55000000000000004">
      <c r="A4568">
        <f t="shared" si="144"/>
        <v>2006</v>
      </c>
      <c r="B4568" s="821">
        <v>39022</v>
      </c>
      <c r="C4568">
        <v>4.68</v>
      </c>
      <c r="D4568">
        <f t="shared" si="145"/>
        <v>1</v>
      </c>
    </row>
    <row r="4569" spans="1:4" x14ac:dyDescent="0.55000000000000004">
      <c r="A4569">
        <f t="shared" si="144"/>
        <v>2006</v>
      </c>
      <c r="B4569" s="821">
        <v>39021</v>
      </c>
      <c r="C4569">
        <v>4.72</v>
      </c>
      <c r="D4569">
        <f t="shared" si="145"/>
        <v>1</v>
      </c>
    </row>
    <row r="4570" spans="1:4" x14ac:dyDescent="0.55000000000000004">
      <c r="A4570">
        <f t="shared" si="144"/>
        <v>2006</v>
      </c>
      <c r="B4570" s="821">
        <v>39020</v>
      </c>
      <c r="C4570">
        <v>4.78</v>
      </c>
      <c r="D4570">
        <f t="shared" si="145"/>
        <v>1</v>
      </c>
    </row>
    <row r="4571" spans="1:4" x14ac:dyDescent="0.55000000000000004">
      <c r="A4571">
        <f t="shared" si="144"/>
        <v>2006</v>
      </c>
      <c r="B4571" s="821">
        <v>39017</v>
      </c>
      <c r="C4571">
        <v>4.8</v>
      </c>
      <c r="D4571">
        <f t="shared" si="145"/>
        <v>1</v>
      </c>
    </row>
    <row r="4572" spans="1:4" x14ac:dyDescent="0.55000000000000004">
      <c r="A4572">
        <f t="shared" si="144"/>
        <v>2006</v>
      </c>
      <c r="B4572" s="821">
        <v>39016</v>
      </c>
      <c r="C4572">
        <v>4.84</v>
      </c>
      <c r="D4572">
        <f t="shared" si="145"/>
        <v>1</v>
      </c>
    </row>
    <row r="4573" spans="1:4" x14ac:dyDescent="0.55000000000000004">
      <c r="A4573">
        <f t="shared" si="144"/>
        <v>2006</v>
      </c>
      <c r="B4573" s="821">
        <v>39015</v>
      </c>
      <c r="C4573">
        <v>4.8899999999999997</v>
      </c>
      <c r="D4573">
        <f t="shared" si="145"/>
        <v>1</v>
      </c>
    </row>
    <row r="4574" spans="1:4" x14ac:dyDescent="0.55000000000000004">
      <c r="A4574">
        <f t="shared" si="144"/>
        <v>2006</v>
      </c>
      <c r="B4574" s="821">
        <v>39014</v>
      </c>
      <c r="C4574">
        <v>4.95</v>
      </c>
      <c r="D4574">
        <f t="shared" si="145"/>
        <v>1</v>
      </c>
    </row>
    <row r="4575" spans="1:4" x14ac:dyDescent="0.55000000000000004">
      <c r="A4575">
        <f t="shared" si="144"/>
        <v>2006</v>
      </c>
      <c r="B4575" s="821">
        <v>39013</v>
      </c>
      <c r="C4575">
        <v>4.95</v>
      </c>
      <c r="D4575">
        <f t="shared" si="145"/>
        <v>1</v>
      </c>
    </row>
    <row r="4576" spans="1:4" x14ac:dyDescent="0.55000000000000004">
      <c r="A4576">
        <f t="shared" si="144"/>
        <v>2006</v>
      </c>
      <c r="B4576" s="821">
        <v>39010</v>
      </c>
      <c r="C4576">
        <v>4.91</v>
      </c>
      <c r="D4576">
        <f t="shared" si="145"/>
        <v>1</v>
      </c>
    </row>
    <row r="4577" spans="1:4" x14ac:dyDescent="0.55000000000000004">
      <c r="A4577">
        <f t="shared" si="144"/>
        <v>2006</v>
      </c>
      <c r="B4577" s="821">
        <v>39009</v>
      </c>
      <c r="C4577">
        <v>4.91</v>
      </c>
      <c r="D4577">
        <f t="shared" si="145"/>
        <v>1</v>
      </c>
    </row>
    <row r="4578" spans="1:4" x14ac:dyDescent="0.55000000000000004">
      <c r="A4578">
        <f t="shared" si="144"/>
        <v>2006</v>
      </c>
      <c r="B4578" s="821">
        <v>39008</v>
      </c>
      <c r="C4578">
        <v>4.8899999999999997</v>
      </c>
      <c r="D4578">
        <f t="shared" si="145"/>
        <v>1</v>
      </c>
    </row>
    <row r="4579" spans="1:4" x14ac:dyDescent="0.55000000000000004">
      <c r="A4579">
        <f t="shared" si="144"/>
        <v>2006</v>
      </c>
      <c r="B4579" s="821">
        <v>39007</v>
      </c>
      <c r="C4579">
        <v>4.91</v>
      </c>
      <c r="D4579">
        <f t="shared" si="145"/>
        <v>1</v>
      </c>
    </row>
    <row r="4580" spans="1:4" x14ac:dyDescent="0.55000000000000004">
      <c r="A4580">
        <f t="shared" si="144"/>
        <v>2006</v>
      </c>
      <c r="B4580" s="821">
        <v>39006</v>
      </c>
      <c r="C4580">
        <v>4.92</v>
      </c>
      <c r="D4580">
        <f t="shared" si="145"/>
        <v>1</v>
      </c>
    </row>
    <row r="4581" spans="1:4" x14ac:dyDescent="0.55000000000000004">
      <c r="A4581">
        <f t="shared" si="144"/>
        <v>2006</v>
      </c>
      <c r="B4581" s="821">
        <v>39003</v>
      </c>
      <c r="C4581">
        <v>4.9400000000000004</v>
      </c>
      <c r="D4581">
        <f t="shared" si="145"/>
        <v>1</v>
      </c>
    </row>
    <row r="4582" spans="1:4" x14ac:dyDescent="0.55000000000000004">
      <c r="A4582">
        <f t="shared" si="144"/>
        <v>2006</v>
      </c>
      <c r="B4582" s="821">
        <v>39002</v>
      </c>
      <c r="C4582">
        <v>4.91</v>
      </c>
      <c r="D4582">
        <f t="shared" si="145"/>
        <v>1</v>
      </c>
    </row>
    <row r="4583" spans="1:4" x14ac:dyDescent="0.55000000000000004">
      <c r="A4583">
        <f t="shared" si="144"/>
        <v>2006</v>
      </c>
      <c r="B4583" s="821">
        <v>39001</v>
      </c>
      <c r="C4583">
        <v>4.91</v>
      </c>
      <c r="D4583">
        <f t="shared" si="145"/>
        <v>1</v>
      </c>
    </row>
    <row r="4584" spans="1:4" x14ac:dyDescent="0.55000000000000004">
      <c r="A4584">
        <f t="shared" si="144"/>
        <v>2006</v>
      </c>
      <c r="B4584" s="821">
        <v>39000</v>
      </c>
      <c r="C4584">
        <v>4.88</v>
      </c>
      <c r="D4584">
        <f t="shared" si="145"/>
        <v>1</v>
      </c>
    </row>
    <row r="4585" spans="1:4" x14ac:dyDescent="0.55000000000000004">
      <c r="A4585">
        <f t="shared" si="144"/>
        <v>2006</v>
      </c>
      <c r="B4585" s="821">
        <v>38996</v>
      </c>
      <c r="C4585">
        <v>4.84</v>
      </c>
      <c r="D4585">
        <f t="shared" si="145"/>
        <v>1</v>
      </c>
    </row>
    <row r="4586" spans="1:4" x14ac:dyDescent="0.55000000000000004">
      <c r="A4586">
        <f t="shared" si="144"/>
        <v>2006</v>
      </c>
      <c r="B4586" s="821">
        <v>38995</v>
      </c>
      <c r="C4586">
        <v>4.76</v>
      </c>
      <c r="D4586">
        <f t="shared" si="145"/>
        <v>1</v>
      </c>
    </row>
    <row r="4587" spans="1:4" x14ac:dyDescent="0.55000000000000004">
      <c r="A4587">
        <f t="shared" si="144"/>
        <v>2006</v>
      </c>
      <c r="B4587" s="821">
        <v>38994</v>
      </c>
      <c r="C4587">
        <v>4.72</v>
      </c>
      <c r="D4587">
        <f t="shared" si="145"/>
        <v>1</v>
      </c>
    </row>
    <row r="4588" spans="1:4" x14ac:dyDescent="0.55000000000000004">
      <c r="A4588">
        <f t="shared" si="144"/>
        <v>2006</v>
      </c>
      <c r="B4588" s="821">
        <v>38993</v>
      </c>
      <c r="C4588">
        <v>4.76</v>
      </c>
      <c r="D4588">
        <f t="shared" si="145"/>
        <v>1</v>
      </c>
    </row>
    <row r="4589" spans="1:4" x14ac:dyDescent="0.55000000000000004">
      <c r="A4589">
        <f t="shared" si="144"/>
        <v>2006</v>
      </c>
      <c r="B4589" s="821">
        <v>38992</v>
      </c>
      <c r="C4589">
        <v>4.76</v>
      </c>
      <c r="D4589">
        <f t="shared" si="145"/>
        <v>1</v>
      </c>
    </row>
    <row r="4590" spans="1:4" x14ac:dyDescent="0.55000000000000004">
      <c r="A4590">
        <f t="shared" si="144"/>
        <v>2006</v>
      </c>
      <c r="B4590" s="821">
        <v>38989</v>
      </c>
      <c r="C4590">
        <v>4.7699999999999996</v>
      </c>
      <c r="D4590">
        <f t="shared" si="145"/>
        <v>1</v>
      </c>
    </row>
    <row r="4591" spans="1:4" x14ac:dyDescent="0.55000000000000004">
      <c r="A4591">
        <f t="shared" si="144"/>
        <v>2006</v>
      </c>
      <c r="B4591" s="821">
        <v>38988</v>
      </c>
      <c r="C4591">
        <v>4.76</v>
      </c>
      <c r="D4591">
        <f t="shared" si="145"/>
        <v>1</v>
      </c>
    </row>
    <row r="4592" spans="1:4" x14ac:dyDescent="0.55000000000000004">
      <c r="A4592">
        <f t="shared" si="144"/>
        <v>2006</v>
      </c>
      <c r="B4592" s="821">
        <v>38987</v>
      </c>
      <c r="C4592">
        <v>4.7300000000000004</v>
      </c>
      <c r="D4592">
        <f t="shared" si="145"/>
        <v>1</v>
      </c>
    </row>
    <row r="4593" spans="1:4" x14ac:dyDescent="0.55000000000000004">
      <c r="A4593">
        <f t="shared" si="144"/>
        <v>2006</v>
      </c>
      <c r="B4593" s="821">
        <v>38986</v>
      </c>
      <c r="C4593">
        <v>4.71</v>
      </c>
      <c r="D4593">
        <f t="shared" si="145"/>
        <v>1</v>
      </c>
    </row>
    <row r="4594" spans="1:4" x14ac:dyDescent="0.55000000000000004">
      <c r="A4594">
        <f t="shared" si="144"/>
        <v>2006</v>
      </c>
      <c r="B4594" s="821">
        <v>38985</v>
      </c>
      <c r="C4594">
        <v>4.7</v>
      </c>
      <c r="D4594">
        <f t="shared" si="145"/>
        <v>1</v>
      </c>
    </row>
    <row r="4595" spans="1:4" x14ac:dyDescent="0.55000000000000004">
      <c r="A4595">
        <f t="shared" si="144"/>
        <v>2006</v>
      </c>
      <c r="B4595" s="821">
        <v>38982</v>
      </c>
      <c r="C4595">
        <v>4.74</v>
      </c>
      <c r="D4595">
        <f t="shared" si="145"/>
        <v>1</v>
      </c>
    </row>
    <row r="4596" spans="1:4" x14ac:dyDescent="0.55000000000000004">
      <c r="A4596">
        <f t="shared" si="144"/>
        <v>2006</v>
      </c>
      <c r="B4596" s="821">
        <v>38981</v>
      </c>
      <c r="C4596">
        <v>4.78</v>
      </c>
      <c r="D4596">
        <f t="shared" si="145"/>
        <v>1</v>
      </c>
    </row>
    <row r="4597" spans="1:4" x14ac:dyDescent="0.55000000000000004">
      <c r="A4597">
        <f t="shared" si="144"/>
        <v>2006</v>
      </c>
      <c r="B4597" s="821">
        <v>38980</v>
      </c>
      <c r="C4597">
        <v>4.8499999999999996</v>
      </c>
      <c r="D4597">
        <f t="shared" si="145"/>
        <v>1</v>
      </c>
    </row>
    <row r="4598" spans="1:4" x14ac:dyDescent="0.55000000000000004">
      <c r="A4598">
        <f t="shared" si="144"/>
        <v>2006</v>
      </c>
      <c r="B4598" s="821">
        <v>38979</v>
      </c>
      <c r="C4598">
        <v>4.8600000000000003</v>
      </c>
      <c r="D4598">
        <f t="shared" si="145"/>
        <v>1</v>
      </c>
    </row>
    <row r="4599" spans="1:4" x14ac:dyDescent="0.55000000000000004">
      <c r="A4599">
        <f t="shared" si="144"/>
        <v>2006</v>
      </c>
      <c r="B4599" s="821">
        <v>38978</v>
      </c>
      <c r="C4599">
        <v>4.93</v>
      </c>
      <c r="D4599">
        <f t="shared" si="145"/>
        <v>1</v>
      </c>
    </row>
    <row r="4600" spans="1:4" x14ac:dyDescent="0.55000000000000004">
      <c r="A4600">
        <f t="shared" si="144"/>
        <v>2006</v>
      </c>
      <c r="B4600" s="821">
        <v>38975</v>
      </c>
      <c r="C4600">
        <v>4.92</v>
      </c>
      <c r="D4600">
        <f t="shared" si="145"/>
        <v>1</v>
      </c>
    </row>
    <row r="4601" spans="1:4" x14ac:dyDescent="0.55000000000000004">
      <c r="A4601">
        <f t="shared" si="144"/>
        <v>2006</v>
      </c>
      <c r="B4601" s="821">
        <v>38974</v>
      </c>
      <c r="C4601">
        <v>4.92</v>
      </c>
      <c r="D4601">
        <f t="shared" si="145"/>
        <v>1</v>
      </c>
    </row>
    <row r="4602" spans="1:4" x14ac:dyDescent="0.55000000000000004">
      <c r="A4602">
        <f t="shared" si="144"/>
        <v>2006</v>
      </c>
      <c r="B4602" s="821">
        <v>38973</v>
      </c>
      <c r="C4602">
        <v>4.9000000000000004</v>
      </c>
      <c r="D4602">
        <f t="shared" si="145"/>
        <v>1</v>
      </c>
    </row>
    <row r="4603" spans="1:4" x14ac:dyDescent="0.55000000000000004">
      <c r="A4603">
        <f t="shared" si="144"/>
        <v>2006</v>
      </c>
      <c r="B4603" s="821">
        <v>38972</v>
      </c>
      <c r="C4603">
        <v>4.91</v>
      </c>
      <c r="D4603">
        <f t="shared" si="145"/>
        <v>1</v>
      </c>
    </row>
    <row r="4604" spans="1:4" x14ac:dyDescent="0.55000000000000004">
      <c r="A4604">
        <f t="shared" si="144"/>
        <v>2006</v>
      </c>
      <c r="B4604" s="821">
        <v>38971</v>
      </c>
      <c r="C4604">
        <v>4.95</v>
      </c>
      <c r="D4604">
        <f t="shared" si="145"/>
        <v>1</v>
      </c>
    </row>
    <row r="4605" spans="1:4" x14ac:dyDescent="0.55000000000000004">
      <c r="A4605">
        <f t="shared" si="144"/>
        <v>2006</v>
      </c>
      <c r="B4605" s="821">
        <v>38968</v>
      </c>
      <c r="C4605">
        <v>4.92</v>
      </c>
      <c r="D4605">
        <f t="shared" si="145"/>
        <v>1</v>
      </c>
    </row>
    <row r="4606" spans="1:4" x14ac:dyDescent="0.55000000000000004">
      <c r="A4606">
        <f t="shared" si="144"/>
        <v>2006</v>
      </c>
      <c r="B4606" s="821">
        <v>38967</v>
      </c>
      <c r="C4606">
        <v>4.9400000000000004</v>
      </c>
      <c r="D4606">
        <f t="shared" si="145"/>
        <v>1</v>
      </c>
    </row>
    <row r="4607" spans="1:4" x14ac:dyDescent="0.55000000000000004">
      <c r="A4607">
        <f t="shared" si="144"/>
        <v>2006</v>
      </c>
      <c r="B4607" s="821">
        <v>38966</v>
      </c>
      <c r="C4607">
        <v>4.95</v>
      </c>
      <c r="D4607">
        <f t="shared" si="145"/>
        <v>1</v>
      </c>
    </row>
    <row r="4608" spans="1:4" x14ac:dyDescent="0.55000000000000004">
      <c r="A4608">
        <f t="shared" si="144"/>
        <v>2006</v>
      </c>
      <c r="B4608" s="821">
        <v>38965</v>
      </c>
      <c r="C4608">
        <v>4.93</v>
      </c>
      <c r="D4608">
        <f t="shared" si="145"/>
        <v>1</v>
      </c>
    </row>
    <row r="4609" spans="1:4" x14ac:dyDescent="0.55000000000000004">
      <c r="A4609">
        <f t="shared" si="144"/>
        <v>2006</v>
      </c>
      <c r="B4609" s="821">
        <v>38961</v>
      </c>
      <c r="C4609">
        <v>4.87</v>
      </c>
      <c r="D4609">
        <f t="shared" si="145"/>
        <v>1</v>
      </c>
    </row>
    <row r="4610" spans="1:4" x14ac:dyDescent="0.55000000000000004">
      <c r="A4610">
        <f t="shared" si="144"/>
        <v>2006</v>
      </c>
      <c r="B4610" s="821">
        <v>38960</v>
      </c>
      <c r="C4610">
        <v>4.88</v>
      </c>
      <c r="D4610">
        <f t="shared" si="145"/>
        <v>1</v>
      </c>
    </row>
    <row r="4611" spans="1:4" x14ac:dyDescent="0.55000000000000004">
      <c r="A4611">
        <f t="shared" si="144"/>
        <v>2006</v>
      </c>
      <c r="B4611" s="821">
        <v>38959</v>
      </c>
      <c r="C4611">
        <v>4.91</v>
      </c>
      <c r="D4611">
        <f t="shared" si="145"/>
        <v>1</v>
      </c>
    </row>
    <row r="4612" spans="1:4" x14ac:dyDescent="0.55000000000000004">
      <c r="A4612">
        <f t="shared" ref="A4612:A4675" si="146">YEAR(B4612)</f>
        <v>2006</v>
      </c>
      <c r="B4612" s="821">
        <v>38958</v>
      </c>
      <c r="C4612">
        <v>4.93</v>
      </c>
      <c r="D4612">
        <f t="shared" ref="D4612:D4675" si="147">IF(C4612&gt;4,1,0)</f>
        <v>1</v>
      </c>
    </row>
    <row r="4613" spans="1:4" x14ac:dyDescent="0.55000000000000004">
      <c r="A4613">
        <f t="shared" si="146"/>
        <v>2006</v>
      </c>
      <c r="B4613" s="821">
        <v>38957</v>
      </c>
      <c r="C4613">
        <v>4.9400000000000004</v>
      </c>
      <c r="D4613">
        <f t="shared" si="147"/>
        <v>1</v>
      </c>
    </row>
    <row r="4614" spans="1:4" x14ac:dyDescent="0.55000000000000004">
      <c r="A4614">
        <f t="shared" si="146"/>
        <v>2006</v>
      </c>
      <c r="B4614" s="821">
        <v>38954</v>
      </c>
      <c r="C4614">
        <v>4.93</v>
      </c>
      <c r="D4614">
        <f t="shared" si="147"/>
        <v>1</v>
      </c>
    </row>
    <row r="4615" spans="1:4" x14ac:dyDescent="0.55000000000000004">
      <c r="A4615">
        <f t="shared" si="146"/>
        <v>2006</v>
      </c>
      <c r="B4615" s="821">
        <v>38953</v>
      </c>
      <c r="C4615">
        <v>4.9400000000000004</v>
      </c>
      <c r="D4615">
        <f t="shared" si="147"/>
        <v>1</v>
      </c>
    </row>
    <row r="4616" spans="1:4" x14ac:dyDescent="0.55000000000000004">
      <c r="A4616">
        <f t="shared" si="146"/>
        <v>2006</v>
      </c>
      <c r="B4616" s="821">
        <v>38952</v>
      </c>
      <c r="C4616">
        <v>4.95</v>
      </c>
      <c r="D4616">
        <f t="shared" si="147"/>
        <v>1</v>
      </c>
    </row>
    <row r="4617" spans="1:4" x14ac:dyDescent="0.55000000000000004">
      <c r="A4617">
        <f t="shared" si="146"/>
        <v>2006</v>
      </c>
      <c r="B4617" s="821">
        <v>38951</v>
      </c>
      <c r="C4617">
        <v>4.95</v>
      </c>
      <c r="D4617">
        <f t="shared" si="147"/>
        <v>1</v>
      </c>
    </row>
    <row r="4618" spans="1:4" x14ac:dyDescent="0.55000000000000004">
      <c r="A4618">
        <f t="shared" si="146"/>
        <v>2006</v>
      </c>
      <c r="B4618" s="821">
        <v>38950</v>
      </c>
      <c r="C4618">
        <v>4.96</v>
      </c>
      <c r="D4618">
        <f t="shared" si="147"/>
        <v>1</v>
      </c>
    </row>
    <row r="4619" spans="1:4" x14ac:dyDescent="0.55000000000000004">
      <c r="A4619">
        <f t="shared" si="146"/>
        <v>2006</v>
      </c>
      <c r="B4619" s="821">
        <v>38947</v>
      </c>
      <c r="C4619">
        <v>4.97</v>
      </c>
      <c r="D4619">
        <f t="shared" si="147"/>
        <v>1</v>
      </c>
    </row>
    <row r="4620" spans="1:4" x14ac:dyDescent="0.55000000000000004">
      <c r="A4620">
        <f t="shared" si="146"/>
        <v>2006</v>
      </c>
      <c r="B4620" s="821">
        <v>38946</v>
      </c>
      <c r="C4620">
        <v>5</v>
      </c>
      <c r="D4620">
        <f t="shared" si="147"/>
        <v>1</v>
      </c>
    </row>
    <row r="4621" spans="1:4" x14ac:dyDescent="0.55000000000000004">
      <c r="A4621">
        <f t="shared" si="146"/>
        <v>2006</v>
      </c>
      <c r="B4621" s="821">
        <v>38945</v>
      </c>
      <c r="C4621">
        <v>5</v>
      </c>
      <c r="D4621">
        <f t="shared" si="147"/>
        <v>1</v>
      </c>
    </row>
    <row r="4622" spans="1:4" x14ac:dyDescent="0.55000000000000004">
      <c r="A4622">
        <f t="shared" si="146"/>
        <v>2006</v>
      </c>
      <c r="B4622" s="821">
        <v>38944</v>
      </c>
      <c r="C4622">
        <v>5.05</v>
      </c>
      <c r="D4622">
        <f t="shared" si="147"/>
        <v>1</v>
      </c>
    </row>
    <row r="4623" spans="1:4" x14ac:dyDescent="0.55000000000000004">
      <c r="A4623">
        <f t="shared" si="146"/>
        <v>2006</v>
      </c>
      <c r="B4623" s="821">
        <v>38943</v>
      </c>
      <c r="C4623">
        <v>5.12</v>
      </c>
      <c r="D4623">
        <f t="shared" si="147"/>
        <v>1</v>
      </c>
    </row>
    <row r="4624" spans="1:4" x14ac:dyDescent="0.55000000000000004">
      <c r="A4624">
        <f t="shared" si="146"/>
        <v>2006</v>
      </c>
      <c r="B4624" s="821">
        <v>38940</v>
      </c>
      <c r="C4624">
        <v>5.09</v>
      </c>
      <c r="D4624">
        <f t="shared" si="147"/>
        <v>1</v>
      </c>
    </row>
    <row r="4625" spans="1:4" x14ac:dyDescent="0.55000000000000004">
      <c r="A4625">
        <f t="shared" si="146"/>
        <v>2006</v>
      </c>
      <c r="B4625" s="821">
        <v>38939</v>
      </c>
      <c r="C4625">
        <v>5.0599999999999996</v>
      </c>
      <c r="D4625">
        <f t="shared" si="147"/>
        <v>1</v>
      </c>
    </row>
    <row r="4626" spans="1:4" x14ac:dyDescent="0.55000000000000004">
      <c r="A4626">
        <f t="shared" si="146"/>
        <v>2006</v>
      </c>
      <c r="B4626" s="821">
        <v>38938</v>
      </c>
      <c r="C4626">
        <v>5.05</v>
      </c>
      <c r="D4626">
        <f t="shared" si="147"/>
        <v>1</v>
      </c>
    </row>
    <row r="4627" spans="1:4" x14ac:dyDescent="0.55000000000000004">
      <c r="A4627">
        <f t="shared" si="146"/>
        <v>2006</v>
      </c>
      <c r="B4627" s="821">
        <v>38937</v>
      </c>
      <c r="C4627">
        <v>5.0199999999999996</v>
      </c>
      <c r="D4627">
        <f t="shared" si="147"/>
        <v>1</v>
      </c>
    </row>
    <row r="4628" spans="1:4" x14ac:dyDescent="0.55000000000000004">
      <c r="A4628">
        <f t="shared" si="146"/>
        <v>2006</v>
      </c>
      <c r="B4628" s="821">
        <v>38936</v>
      </c>
      <c r="C4628">
        <v>5</v>
      </c>
      <c r="D4628">
        <f t="shared" si="147"/>
        <v>1</v>
      </c>
    </row>
    <row r="4629" spans="1:4" x14ac:dyDescent="0.55000000000000004">
      <c r="A4629">
        <f t="shared" si="146"/>
        <v>2006</v>
      </c>
      <c r="B4629" s="821">
        <v>38933</v>
      </c>
      <c r="C4629">
        <v>5</v>
      </c>
      <c r="D4629">
        <f t="shared" si="147"/>
        <v>1</v>
      </c>
    </row>
    <row r="4630" spans="1:4" x14ac:dyDescent="0.55000000000000004">
      <c r="A4630">
        <f t="shared" si="146"/>
        <v>2006</v>
      </c>
      <c r="B4630" s="821">
        <v>38932</v>
      </c>
      <c r="C4630">
        <v>5.04</v>
      </c>
      <c r="D4630">
        <f t="shared" si="147"/>
        <v>1</v>
      </c>
    </row>
    <row r="4631" spans="1:4" x14ac:dyDescent="0.55000000000000004">
      <c r="A4631">
        <f t="shared" si="146"/>
        <v>2006</v>
      </c>
      <c r="B4631" s="821">
        <v>38931</v>
      </c>
      <c r="C4631">
        <v>5.05</v>
      </c>
      <c r="D4631">
        <f t="shared" si="147"/>
        <v>1</v>
      </c>
    </row>
    <row r="4632" spans="1:4" x14ac:dyDescent="0.55000000000000004">
      <c r="A4632">
        <f t="shared" si="146"/>
        <v>2006</v>
      </c>
      <c r="B4632" s="821">
        <v>38930</v>
      </c>
      <c r="C4632">
        <v>5.07</v>
      </c>
      <c r="D4632">
        <f t="shared" si="147"/>
        <v>1</v>
      </c>
    </row>
    <row r="4633" spans="1:4" x14ac:dyDescent="0.55000000000000004">
      <c r="A4633">
        <f t="shared" si="146"/>
        <v>2006</v>
      </c>
      <c r="B4633" s="821">
        <v>38929</v>
      </c>
      <c r="C4633">
        <v>5.07</v>
      </c>
      <c r="D4633">
        <f t="shared" si="147"/>
        <v>1</v>
      </c>
    </row>
    <row r="4634" spans="1:4" x14ac:dyDescent="0.55000000000000004">
      <c r="A4634">
        <f t="shared" si="146"/>
        <v>2006</v>
      </c>
      <c r="B4634" s="821">
        <v>38926</v>
      </c>
      <c r="C4634">
        <v>5.07</v>
      </c>
      <c r="D4634">
        <f t="shared" si="147"/>
        <v>1</v>
      </c>
    </row>
    <row r="4635" spans="1:4" x14ac:dyDescent="0.55000000000000004">
      <c r="A4635">
        <f t="shared" si="146"/>
        <v>2006</v>
      </c>
      <c r="B4635" s="821">
        <v>38925</v>
      </c>
      <c r="C4635">
        <v>5.1100000000000003</v>
      </c>
      <c r="D4635">
        <f t="shared" si="147"/>
        <v>1</v>
      </c>
    </row>
    <row r="4636" spans="1:4" x14ac:dyDescent="0.55000000000000004">
      <c r="A4636">
        <f t="shared" si="146"/>
        <v>2006</v>
      </c>
      <c r="B4636" s="821">
        <v>38924</v>
      </c>
      <c r="C4636">
        <v>5.0999999999999996</v>
      </c>
      <c r="D4636">
        <f t="shared" si="147"/>
        <v>1</v>
      </c>
    </row>
    <row r="4637" spans="1:4" x14ac:dyDescent="0.55000000000000004">
      <c r="A4637">
        <f t="shared" si="146"/>
        <v>2006</v>
      </c>
      <c r="B4637" s="821">
        <v>38923</v>
      </c>
      <c r="C4637">
        <v>5.13</v>
      </c>
      <c r="D4637">
        <f t="shared" si="147"/>
        <v>1</v>
      </c>
    </row>
    <row r="4638" spans="1:4" x14ac:dyDescent="0.55000000000000004">
      <c r="A4638">
        <f t="shared" si="146"/>
        <v>2006</v>
      </c>
      <c r="B4638" s="821">
        <v>38922</v>
      </c>
      <c r="C4638">
        <v>5.1100000000000003</v>
      </c>
      <c r="D4638">
        <f t="shared" si="147"/>
        <v>1</v>
      </c>
    </row>
    <row r="4639" spans="1:4" x14ac:dyDescent="0.55000000000000004">
      <c r="A4639">
        <f t="shared" si="146"/>
        <v>2006</v>
      </c>
      <c r="B4639" s="821">
        <v>38919</v>
      </c>
      <c r="C4639">
        <v>5.0999999999999996</v>
      </c>
      <c r="D4639">
        <f t="shared" si="147"/>
        <v>1</v>
      </c>
    </row>
    <row r="4640" spans="1:4" x14ac:dyDescent="0.55000000000000004">
      <c r="A4640">
        <f t="shared" si="146"/>
        <v>2006</v>
      </c>
      <c r="B4640" s="821">
        <v>38918</v>
      </c>
      <c r="C4640">
        <v>5.08</v>
      </c>
      <c r="D4640">
        <f t="shared" si="147"/>
        <v>1</v>
      </c>
    </row>
    <row r="4641" spans="1:4" x14ac:dyDescent="0.55000000000000004">
      <c r="A4641">
        <f t="shared" si="146"/>
        <v>2006</v>
      </c>
      <c r="B4641" s="821">
        <v>38917</v>
      </c>
      <c r="C4641">
        <v>5.0999999999999996</v>
      </c>
      <c r="D4641">
        <f t="shared" si="147"/>
        <v>1</v>
      </c>
    </row>
    <row r="4642" spans="1:4" x14ac:dyDescent="0.55000000000000004">
      <c r="A4642">
        <f t="shared" si="146"/>
        <v>2006</v>
      </c>
      <c r="B4642" s="821">
        <v>38916</v>
      </c>
      <c r="C4642">
        <v>5.16</v>
      </c>
      <c r="D4642">
        <f t="shared" si="147"/>
        <v>1</v>
      </c>
    </row>
    <row r="4643" spans="1:4" x14ac:dyDescent="0.55000000000000004">
      <c r="A4643">
        <f t="shared" si="146"/>
        <v>2006</v>
      </c>
      <c r="B4643" s="821">
        <v>38915</v>
      </c>
      <c r="C4643">
        <v>5.0999999999999996</v>
      </c>
      <c r="D4643">
        <f t="shared" si="147"/>
        <v>1</v>
      </c>
    </row>
    <row r="4644" spans="1:4" x14ac:dyDescent="0.55000000000000004">
      <c r="A4644">
        <f t="shared" si="146"/>
        <v>2006</v>
      </c>
      <c r="B4644" s="821">
        <v>38912</v>
      </c>
      <c r="C4644">
        <v>5.1100000000000003</v>
      </c>
      <c r="D4644">
        <f t="shared" si="147"/>
        <v>1</v>
      </c>
    </row>
    <row r="4645" spans="1:4" x14ac:dyDescent="0.55000000000000004">
      <c r="A4645">
        <f t="shared" si="146"/>
        <v>2006</v>
      </c>
      <c r="B4645" s="821">
        <v>38911</v>
      </c>
      <c r="C4645">
        <v>5.12</v>
      </c>
      <c r="D4645">
        <f t="shared" si="147"/>
        <v>1</v>
      </c>
    </row>
    <row r="4646" spans="1:4" x14ac:dyDescent="0.55000000000000004">
      <c r="A4646">
        <f t="shared" si="146"/>
        <v>2006</v>
      </c>
      <c r="B4646" s="821">
        <v>38910</v>
      </c>
      <c r="C4646">
        <v>5.14</v>
      </c>
      <c r="D4646">
        <f t="shared" si="147"/>
        <v>1</v>
      </c>
    </row>
    <row r="4647" spans="1:4" x14ac:dyDescent="0.55000000000000004">
      <c r="A4647">
        <f t="shared" si="146"/>
        <v>2006</v>
      </c>
      <c r="B4647" s="821">
        <v>38909</v>
      </c>
      <c r="C4647">
        <v>5.14</v>
      </c>
      <c r="D4647">
        <f t="shared" si="147"/>
        <v>1</v>
      </c>
    </row>
    <row r="4648" spans="1:4" x14ac:dyDescent="0.55000000000000004">
      <c r="A4648">
        <f t="shared" si="146"/>
        <v>2006</v>
      </c>
      <c r="B4648" s="821">
        <v>38908</v>
      </c>
      <c r="C4648">
        <v>5.17</v>
      </c>
      <c r="D4648">
        <f t="shared" si="147"/>
        <v>1</v>
      </c>
    </row>
    <row r="4649" spans="1:4" x14ac:dyDescent="0.55000000000000004">
      <c r="A4649">
        <f t="shared" si="146"/>
        <v>2006</v>
      </c>
      <c r="B4649" s="821">
        <v>38905</v>
      </c>
      <c r="C4649">
        <v>5.18</v>
      </c>
      <c r="D4649">
        <f t="shared" si="147"/>
        <v>1</v>
      </c>
    </row>
    <row r="4650" spans="1:4" x14ac:dyDescent="0.55000000000000004">
      <c r="A4650">
        <f t="shared" si="146"/>
        <v>2006</v>
      </c>
      <c r="B4650" s="821">
        <v>38904</v>
      </c>
      <c r="C4650">
        <v>5.23</v>
      </c>
      <c r="D4650">
        <f t="shared" si="147"/>
        <v>1</v>
      </c>
    </row>
    <row r="4651" spans="1:4" x14ac:dyDescent="0.55000000000000004">
      <c r="A4651">
        <f t="shared" si="146"/>
        <v>2006</v>
      </c>
      <c r="B4651" s="821">
        <v>38903</v>
      </c>
      <c r="C4651">
        <v>5.27</v>
      </c>
      <c r="D4651">
        <f t="shared" si="147"/>
        <v>1</v>
      </c>
    </row>
    <row r="4652" spans="1:4" x14ac:dyDescent="0.55000000000000004">
      <c r="A4652">
        <f t="shared" si="146"/>
        <v>2006</v>
      </c>
      <c r="B4652" s="821">
        <v>38901</v>
      </c>
      <c r="C4652">
        <v>5.2</v>
      </c>
      <c r="D4652">
        <f t="shared" si="147"/>
        <v>1</v>
      </c>
    </row>
    <row r="4653" spans="1:4" x14ac:dyDescent="0.55000000000000004">
      <c r="A4653">
        <f t="shared" si="146"/>
        <v>2006</v>
      </c>
      <c r="B4653" s="821">
        <v>38898</v>
      </c>
      <c r="C4653">
        <v>5.19</v>
      </c>
      <c r="D4653">
        <f t="shared" si="147"/>
        <v>1</v>
      </c>
    </row>
    <row r="4654" spans="1:4" x14ac:dyDescent="0.55000000000000004">
      <c r="A4654">
        <f t="shared" si="146"/>
        <v>2006</v>
      </c>
      <c r="B4654" s="821">
        <v>38897</v>
      </c>
      <c r="C4654">
        <v>5.26</v>
      </c>
      <c r="D4654">
        <f t="shared" si="147"/>
        <v>1</v>
      </c>
    </row>
    <row r="4655" spans="1:4" x14ac:dyDescent="0.55000000000000004">
      <c r="A4655">
        <f t="shared" si="146"/>
        <v>2006</v>
      </c>
      <c r="B4655" s="821">
        <v>38896</v>
      </c>
      <c r="C4655">
        <v>5.28</v>
      </c>
      <c r="D4655">
        <f t="shared" si="147"/>
        <v>1</v>
      </c>
    </row>
    <row r="4656" spans="1:4" x14ac:dyDescent="0.55000000000000004">
      <c r="A4656">
        <f t="shared" si="146"/>
        <v>2006</v>
      </c>
      <c r="B4656" s="821">
        <v>38895</v>
      </c>
      <c r="C4656">
        <v>5.24</v>
      </c>
      <c r="D4656">
        <f t="shared" si="147"/>
        <v>1</v>
      </c>
    </row>
    <row r="4657" spans="1:4" x14ac:dyDescent="0.55000000000000004">
      <c r="A4657">
        <f t="shared" si="146"/>
        <v>2006</v>
      </c>
      <c r="B4657" s="821">
        <v>38894</v>
      </c>
      <c r="C4657">
        <v>5.28</v>
      </c>
      <c r="D4657">
        <f t="shared" si="147"/>
        <v>1</v>
      </c>
    </row>
    <row r="4658" spans="1:4" x14ac:dyDescent="0.55000000000000004">
      <c r="A4658">
        <f t="shared" si="146"/>
        <v>2006</v>
      </c>
      <c r="B4658" s="821">
        <v>38891</v>
      </c>
      <c r="C4658">
        <v>5.26</v>
      </c>
      <c r="D4658">
        <f t="shared" si="147"/>
        <v>1</v>
      </c>
    </row>
    <row r="4659" spans="1:4" x14ac:dyDescent="0.55000000000000004">
      <c r="A4659">
        <f t="shared" si="146"/>
        <v>2006</v>
      </c>
      <c r="B4659" s="821">
        <v>38890</v>
      </c>
      <c r="C4659">
        <v>5.23</v>
      </c>
      <c r="D4659">
        <f t="shared" si="147"/>
        <v>1</v>
      </c>
    </row>
    <row r="4660" spans="1:4" x14ac:dyDescent="0.55000000000000004">
      <c r="A4660">
        <f t="shared" si="146"/>
        <v>2006</v>
      </c>
      <c r="B4660" s="821">
        <v>38889</v>
      </c>
      <c r="C4660">
        <v>5.19</v>
      </c>
      <c r="D4660">
        <f t="shared" si="147"/>
        <v>1</v>
      </c>
    </row>
    <row r="4661" spans="1:4" x14ac:dyDescent="0.55000000000000004">
      <c r="A4661">
        <f t="shared" si="146"/>
        <v>2006</v>
      </c>
      <c r="B4661" s="821">
        <v>38888</v>
      </c>
      <c r="C4661">
        <v>5.19</v>
      </c>
      <c r="D4661">
        <f t="shared" si="147"/>
        <v>1</v>
      </c>
    </row>
    <row r="4662" spans="1:4" x14ac:dyDescent="0.55000000000000004">
      <c r="A4662">
        <f t="shared" si="146"/>
        <v>2006</v>
      </c>
      <c r="B4662" s="821">
        <v>38887</v>
      </c>
      <c r="C4662">
        <v>5.18</v>
      </c>
      <c r="D4662">
        <f t="shared" si="147"/>
        <v>1</v>
      </c>
    </row>
    <row r="4663" spans="1:4" x14ac:dyDescent="0.55000000000000004">
      <c r="A4663">
        <f t="shared" si="146"/>
        <v>2006</v>
      </c>
      <c r="B4663" s="821">
        <v>38884</v>
      </c>
      <c r="C4663">
        <v>5.17</v>
      </c>
      <c r="D4663">
        <f t="shared" si="147"/>
        <v>1</v>
      </c>
    </row>
    <row r="4664" spans="1:4" x14ac:dyDescent="0.55000000000000004">
      <c r="A4664">
        <f t="shared" si="146"/>
        <v>2006</v>
      </c>
      <c r="B4664" s="821">
        <v>38883</v>
      </c>
      <c r="C4664">
        <v>5.13</v>
      </c>
      <c r="D4664">
        <f t="shared" si="147"/>
        <v>1</v>
      </c>
    </row>
    <row r="4665" spans="1:4" x14ac:dyDescent="0.55000000000000004">
      <c r="A4665">
        <f t="shared" si="146"/>
        <v>2006</v>
      </c>
      <c r="B4665" s="821">
        <v>38882</v>
      </c>
      <c r="C4665">
        <v>5.09</v>
      </c>
      <c r="D4665">
        <f t="shared" si="147"/>
        <v>1</v>
      </c>
    </row>
    <row r="4666" spans="1:4" x14ac:dyDescent="0.55000000000000004">
      <c r="A4666">
        <f t="shared" si="146"/>
        <v>2006</v>
      </c>
      <c r="B4666" s="821">
        <v>38881</v>
      </c>
      <c r="C4666">
        <v>5.01</v>
      </c>
      <c r="D4666">
        <f t="shared" si="147"/>
        <v>1</v>
      </c>
    </row>
    <row r="4667" spans="1:4" x14ac:dyDescent="0.55000000000000004">
      <c r="A4667">
        <f t="shared" si="146"/>
        <v>2006</v>
      </c>
      <c r="B4667" s="821">
        <v>38880</v>
      </c>
      <c r="C4667">
        <v>5.03</v>
      </c>
      <c r="D4667">
        <f t="shared" si="147"/>
        <v>1</v>
      </c>
    </row>
    <row r="4668" spans="1:4" x14ac:dyDescent="0.55000000000000004">
      <c r="A4668">
        <f t="shared" si="146"/>
        <v>2006</v>
      </c>
      <c r="B4668" s="821">
        <v>38877</v>
      </c>
      <c r="C4668">
        <v>5.03</v>
      </c>
      <c r="D4668">
        <f t="shared" si="147"/>
        <v>1</v>
      </c>
    </row>
    <row r="4669" spans="1:4" x14ac:dyDescent="0.55000000000000004">
      <c r="A4669">
        <f t="shared" si="146"/>
        <v>2006</v>
      </c>
      <c r="B4669" s="821">
        <v>38876</v>
      </c>
      <c r="C4669">
        <v>5.0599999999999996</v>
      </c>
      <c r="D4669">
        <f t="shared" si="147"/>
        <v>1</v>
      </c>
    </row>
    <row r="4670" spans="1:4" x14ac:dyDescent="0.55000000000000004">
      <c r="A4670">
        <f t="shared" si="146"/>
        <v>2006</v>
      </c>
      <c r="B4670" s="821">
        <v>38875</v>
      </c>
      <c r="C4670">
        <v>5.09</v>
      </c>
      <c r="D4670">
        <f t="shared" si="147"/>
        <v>1</v>
      </c>
    </row>
    <row r="4671" spans="1:4" x14ac:dyDescent="0.55000000000000004">
      <c r="A4671">
        <f t="shared" si="146"/>
        <v>2006</v>
      </c>
      <c r="B4671" s="821">
        <v>38874</v>
      </c>
      <c r="C4671">
        <v>5.08</v>
      </c>
      <c r="D4671">
        <f t="shared" si="147"/>
        <v>1</v>
      </c>
    </row>
    <row r="4672" spans="1:4" x14ac:dyDescent="0.55000000000000004">
      <c r="A4672">
        <f t="shared" si="146"/>
        <v>2006</v>
      </c>
      <c r="B4672" s="821">
        <v>38873</v>
      </c>
      <c r="C4672">
        <v>5.0999999999999996</v>
      </c>
      <c r="D4672">
        <f t="shared" si="147"/>
        <v>1</v>
      </c>
    </row>
    <row r="4673" spans="1:4" x14ac:dyDescent="0.55000000000000004">
      <c r="A4673">
        <f t="shared" si="146"/>
        <v>2006</v>
      </c>
      <c r="B4673" s="821">
        <v>38870</v>
      </c>
      <c r="C4673">
        <v>5.0999999999999996</v>
      </c>
      <c r="D4673">
        <f t="shared" si="147"/>
        <v>1</v>
      </c>
    </row>
    <row r="4674" spans="1:4" x14ac:dyDescent="0.55000000000000004">
      <c r="A4674">
        <f t="shared" si="146"/>
        <v>2006</v>
      </c>
      <c r="B4674" s="821">
        <v>38869</v>
      </c>
      <c r="C4674">
        <v>5.2</v>
      </c>
      <c r="D4674">
        <f t="shared" si="147"/>
        <v>1</v>
      </c>
    </row>
    <row r="4675" spans="1:4" x14ac:dyDescent="0.55000000000000004">
      <c r="A4675">
        <f t="shared" si="146"/>
        <v>2006</v>
      </c>
      <c r="B4675" s="821">
        <v>38868</v>
      </c>
      <c r="C4675">
        <v>5.21</v>
      </c>
      <c r="D4675">
        <f t="shared" si="147"/>
        <v>1</v>
      </c>
    </row>
    <row r="4676" spans="1:4" x14ac:dyDescent="0.55000000000000004">
      <c r="A4676">
        <f t="shared" ref="A4676:A4739" si="148">YEAR(B4676)</f>
        <v>2006</v>
      </c>
      <c r="B4676" s="821">
        <v>38867</v>
      </c>
      <c r="C4676">
        <v>5.19</v>
      </c>
      <c r="D4676">
        <f t="shared" ref="D4676:D4739" si="149">IF(C4676&gt;4,1,0)</f>
        <v>1</v>
      </c>
    </row>
    <row r="4677" spans="1:4" x14ac:dyDescent="0.55000000000000004">
      <c r="A4677">
        <f t="shared" si="148"/>
        <v>2006</v>
      </c>
      <c r="B4677" s="821">
        <v>38863</v>
      </c>
      <c r="C4677">
        <v>5.16</v>
      </c>
      <c r="D4677">
        <f t="shared" si="149"/>
        <v>1</v>
      </c>
    </row>
    <row r="4678" spans="1:4" x14ac:dyDescent="0.55000000000000004">
      <c r="A4678">
        <f t="shared" si="148"/>
        <v>2006</v>
      </c>
      <c r="B4678" s="821">
        <v>38862</v>
      </c>
      <c r="C4678">
        <v>5.17</v>
      </c>
      <c r="D4678">
        <f t="shared" si="149"/>
        <v>1</v>
      </c>
    </row>
    <row r="4679" spans="1:4" x14ac:dyDescent="0.55000000000000004">
      <c r="A4679">
        <f t="shared" si="148"/>
        <v>2006</v>
      </c>
      <c r="B4679" s="821">
        <v>38861</v>
      </c>
      <c r="C4679">
        <v>5.13</v>
      </c>
      <c r="D4679">
        <f t="shared" si="149"/>
        <v>1</v>
      </c>
    </row>
    <row r="4680" spans="1:4" x14ac:dyDescent="0.55000000000000004">
      <c r="A4680">
        <f t="shared" si="148"/>
        <v>2006</v>
      </c>
      <c r="B4680" s="821">
        <v>38860</v>
      </c>
      <c r="C4680">
        <v>5.16</v>
      </c>
      <c r="D4680">
        <f t="shared" si="149"/>
        <v>1</v>
      </c>
    </row>
    <row r="4681" spans="1:4" x14ac:dyDescent="0.55000000000000004">
      <c r="A4681">
        <f t="shared" si="148"/>
        <v>2006</v>
      </c>
      <c r="B4681" s="821">
        <v>38859</v>
      </c>
      <c r="C4681">
        <v>5.13</v>
      </c>
      <c r="D4681">
        <f t="shared" si="149"/>
        <v>1</v>
      </c>
    </row>
    <row r="4682" spans="1:4" x14ac:dyDescent="0.55000000000000004">
      <c r="A4682">
        <f t="shared" si="148"/>
        <v>2006</v>
      </c>
      <c r="B4682" s="821">
        <v>38856</v>
      </c>
      <c r="C4682">
        <v>5.14</v>
      </c>
      <c r="D4682">
        <f t="shared" si="149"/>
        <v>1</v>
      </c>
    </row>
    <row r="4683" spans="1:4" x14ac:dyDescent="0.55000000000000004">
      <c r="A4683">
        <f t="shared" si="148"/>
        <v>2006</v>
      </c>
      <c r="B4683" s="821">
        <v>38855</v>
      </c>
      <c r="C4683">
        <v>5.18</v>
      </c>
      <c r="D4683">
        <f t="shared" si="149"/>
        <v>1</v>
      </c>
    </row>
    <row r="4684" spans="1:4" x14ac:dyDescent="0.55000000000000004">
      <c r="A4684">
        <f t="shared" si="148"/>
        <v>2006</v>
      </c>
      <c r="B4684" s="821">
        <v>38854</v>
      </c>
      <c r="C4684">
        <v>5.28</v>
      </c>
      <c r="D4684">
        <f t="shared" si="149"/>
        <v>1</v>
      </c>
    </row>
    <row r="4685" spans="1:4" x14ac:dyDescent="0.55000000000000004">
      <c r="A4685">
        <f t="shared" si="148"/>
        <v>2006</v>
      </c>
      <c r="B4685" s="821">
        <v>38853</v>
      </c>
      <c r="C4685">
        <v>5.22</v>
      </c>
      <c r="D4685">
        <f t="shared" si="149"/>
        <v>1</v>
      </c>
    </row>
    <row r="4686" spans="1:4" x14ac:dyDescent="0.55000000000000004">
      <c r="A4686">
        <f t="shared" si="148"/>
        <v>2006</v>
      </c>
      <c r="B4686" s="821">
        <v>38852</v>
      </c>
      <c r="C4686">
        <v>5.26</v>
      </c>
      <c r="D4686">
        <f t="shared" si="149"/>
        <v>1</v>
      </c>
    </row>
    <row r="4687" spans="1:4" x14ac:dyDescent="0.55000000000000004">
      <c r="A4687">
        <f t="shared" si="148"/>
        <v>2006</v>
      </c>
      <c r="B4687" s="821">
        <v>38849</v>
      </c>
      <c r="C4687">
        <v>5.29</v>
      </c>
      <c r="D4687">
        <f t="shared" si="149"/>
        <v>1</v>
      </c>
    </row>
    <row r="4688" spans="1:4" x14ac:dyDescent="0.55000000000000004">
      <c r="A4688">
        <f t="shared" si="148"/>
        <v>2006</v>
      </c>
      <c r="B4688" s="821">
        <v>38848</v>
      </c>
      <c r="C4688">
        <v>5.23</v>
      </c>
      <c r="D4688">
        <f t="shared" si="149"/>
        <v>1</v>
      </c>
    </row>
    <row r="4689" spans="1:4" x14ac:dyDescent="0.55000000000000004">
      <c r="A4689">
        <f t="shared" si="148"/>
        <v>2006</v>
      </c>
      <c r="B4689" s="821">
        <v>38847</v>
      </c>
      <c r="C4689">
        <v>5.19</v>
      </c>
      <c r="D4689">
        <f t="shared" si="149"/>
        <v>1</v>
      </c>
    </row>
    <row r="4690" spans="1:4" x14ac:dyDescent="0.55000000000000004">
      <c r="A4690">
        <f t="shared" si="148"/>
        <v>2006</v>
      </c>
      <c r="B4690" s="821">
        <v>38846</v>
      </c>
      <c r="C4690">
        <v>5.2</v>
      </c>
      <c r="D4690">
        <f t="shared" si="149"/>
        <v>1</v>
      </c>
    </row>
    <row r="4691" spans="1:4" x14ac:dyDescent="0.55000000000000004">
      <c r="A4691">
        <f t="shared" si="148"/>
        <v>2006</v>
      </c>
      <c r="B4691" s="821">
        <v>38845</v>
      </c>
      <c r="C4691">
        <v>5.19</v>
      </c>
      <c r="D4691">
        <f t="shared" si="149"/>
        <v>1</v>
      </c>
    </row>
    <row r="4692" spans="1:4" x14ac:dyDescent="0.55000000000000004">
      <c r="A4692">
        <f t="shared" si="148"/>
        <v>2006</v>
      </c>
      <c r="B4692" s="821">
        <v>38842</v>
      </c>
      <c r="C4692">
        <v>5.2</v>
      </c>
      <c r="D4692">
        <f t="shared" si="149"/>
        <v>1</v>
      </c>
    </row>
    <row r="4693" spans="1:4" x14ac:dyDescent="0.55000000000000004">
      <c r="A4693">
        <f t="shared" si="148"/>
        <v>2006</v>
      </c>
      <c r="B4693" s="821">
        <v>38841</v>
      </c>
      <c r="C4693">
        <v>5.23</v>
      </c>
      <c r="D4693">
        <f t="shared" si="149"/>
        <v>1</v>
      </c>
    </row>
    <row r="4694" spans="1:4" x14ac:dyDescent="0.55000000000000004">
      <c r="A4694">
        <f t="shared" si="148"/>
        <v>2006</v>
      </c>
      <c r="B4694" s="821">
        <v>38840</v>
      </c>
      <c r="C4694">
        <v>5.24</v>
      </c>
      <c r="D4694">
        <f t="shared" si="149"/>
        <v>1</v>
      </c>
    </row>
    <row r="4695" spans="1:4" x14ac:dyDescent="0.55000000000000004">
      <c r="A4695">
        <f t="shared" si="148"/>
        <v>2006</v>
      </c>
      <c r="B4695" s="821">
        <v>38839</v>
      </c>
      <c r="C4695">
        <v>5.2</v>
      </c>
      <c r="D4695">
        <f t="shared" si="149"/>
        <v>1</v>
      </c>
    </row>
    <row r="4696" spans="1:4" x14ac:dyDescent="0.55000000000000004">
      <c r="A4696">
        <f t="shared" si="148"/>
        <v>2006</v>
      </c>
      <c r="B4696" s="821">
        <v>38838</v>
      </c>
      <c r="C4696">
        <v>5.23</v>
      </c>
      <c r="D4696">
        <f t="shared" si="149"/>
        <v>1</v>
      </c>
    </row>
    <row r="4697" spans="1:4" x14ac:dyDescent="0.55000000000000004">
      <c r="A4697">
        <f t="shared" si="148"/>
        <v>2006</v>
      </c>
      <c r="B4697" s="821">
        <v>38835</v>
      </c>
      <c r="C4697">
        <v>5.17</v>
      </c>
      <c r="D4697">
        <f t="shared" si="149"/>
        <v>1</v>
      </c>
    </row>
    <row r="4698" spans="1:4" x14ac:dyDescent="0.55000000000000004">
      <c r="A4698">
        <f t="shared" si="148"/>
        <v>2006</v>
      </c>
      <c r="B4698" s="821">
        <v>38834</v>
      </c>
      <c r="C4698">
        <v>5.18</v>
      </c>
      <c r="D4698">
        <f t="shared" si="149"/>
        <v>1</v>
      </c>
    </row>
    <row r="4699" spans="1:4" x14ac:dyDescent="0.55000000000000004">
      <c r="A4699">
        <f t="shared" si="148"/>
        <v>2006</v>
      </c>
      <c r="B4699" s="821">
        <v>38833</v>
      </c>
      <c r="C4699">
        <v>5.18</v>
      </c>
      <c r="D4699">
        <f t="shared" si="149"/>
        <v>1</v>
      </c>
    </row>
    <row r="4700" spans="1:4" x14ac:dyDescent="0.55000000000000004">
      <c r="A4700">
        <f t="shared" si="148"/>
        <v>2006</v>
      </c>
      <c r="B4700" s="821">
        <v>38832</v>
      </c>
      <c r="C4700">
        <v>5.16</v>
      </c>
      <c r="D4700">
        <f t="shared" si="149"/>
        <v>1</v>
      </c>
    </row>
    <row r="4701" spans="1:4" x14ac:dyDescent="0.55000000000000004">
      <c r="A4701">
        <f t="shared" si="148"/>
        <v>2006</v>
      </c>
      <c r="B4701" s="821">
        <v>38831</v>
      </c>
      <c r="C4701">
        <v>5.07</v>
      </c>
      <c r="D4701">
        <f t="shared" si="149"/>
        <v>1</v>
      </c>
    </row>
    <row r="4702" spans="1:4" x14ac:dyDescent="0.55000000000000004">
      <c r="A4702">
        <f t="shared" si="148"/>
        <v>2006</v>
      </c>
      <c r="B4702" s="821">
        <v>38828</v>
      </c>
      <c r="C4702">
        <v>5.0999999999999996</v>
      </c>
      <c r="D4702">
        <f t="shared" si="149"/>
        <v>1</v>
      </c>
    </row>
    <row r="4703" spans="1:4" x14ac:dyDescent="0.55000000000000004">
      <c r="A4703">
        <f t="shared" si="148"/>
        <v>2006</v>
      </c>
      <c r="B4703" s="821">
        <v>38827</v>
      </c>
      <c r="C4703">
        <v>5.14</v>
      </c>
      <c r="D4703">
        <f t="shared" si="149"/>
        <v>1</v>
      </c>
    </row>
    <row r="4704" spans="1:4" x14ac:dyDescent="0.55000000000000004">
      <c r="A4704">
        <f t="shared" si="148"/>
        <v>2006</v>
      </c>
      <c r="B4704" s="821">
        <v>38826</v>
      </c>
      <c r="C4704">
        <v>5.13</v>
      </c>
      <c r="D4704">
        <f t="shared" si="149"/>
        <v>1</v>
      </c>
    </row>
    <row r="4705" spans="1:4" x14ac:dyDescent="0.55000000000000004">
      <c r="A4705">
        <f t="shared" si="148"/>
        <v>2006</v>
      </c>
      <c r="B4705" s="821">
        <v>38825</v>
      </c>
      <c r="C4705">
        <v>5.07</v>
      </c>
      <c r="D4705">
        <f t="shared" si="149"/>
        <v>1</v>
      </c>
    </row>
    <row r="4706" spans="1:4" x14ac:dyDescent="0.55000000000000004">
      <c r="A4706">
        <f t="shared" si="148"/>
        <v>2006</v>
      </c>
      <c r="B4706" s="821">
        <v>38824</v>
      </c>
      <c r="C4706">
        <v>5.08</v>
      </c>
      <c r="D4706">
        <f t="shared" si="149"/>
        <v>1</v>
      </c>
    </row>
    <row r="4707" spans="1:4" x14ac:dyDescent="0.55000000000000004">
      <c r="A4707">
        <f t="shared" si="148"/>
        <v>2006</v>
      </c>
      <c r="B4707" s="821">
        <v>38820</v>
      </c>
      <c r="C4707">
        <v>5.1100000000000003</v>
      </c>
      <c r="D4707">
        <f t="shared" si="149"/>
        <v>1</v>
      </c>
    </row>
    <row r="4708" spans="1:4" x14ac:dyDescent="0.55000000000000004">
      <c r="A4708">
        <f t="shared" si="148"/>
        <v>2006</v>
      </c>
      <c r="B4708" s="821">
        <v>38819</v>
      </c>
      <c r="C4708">
        <v>5.05</v>
      </c>
      <c r="D4708">
        <f t="shared" si="149"/>
        <v>1</v>
      </c>
    </row>
    <row r="4709" spans="1:4" x14ac:dyDescent="0.55000000000000004">
      <c r="A4709">
        <f t="shared" si="148"/>
        <v>2006</v>
      </c>
      <c r="B4709" s="821">
        <v>38818</v>
      </c>
      <c r="C4709">
        <v>5</v>
      </c>
      <c r="D4709">
        <f t="shared" si="149"/>
        <v>1</v>
      </c>
    </row>
    <row r="4710" spans="1:4" x14ac:dyDescent="0.55000000000000004">
      <c r="A4710">
        <f t="shared" si="148"/>
        <v>2006</v>
      </c>
      <c r="B4710" s="821">
        <v>38817</v>
      </c>
      <c r="C4710">
        <v>5.04</v>
      </c>
      <c r="D4710">
        <f t="shared" si="149"/>
        <v>1</v>
      </c>
    </row>
    <row r="4711" spans="1:4" x14ac:dyDescent="0.55000000000000004">
      <c r="A4711">
        <f t="shared" si="148"/>
        <v>2006</v>
      </c>
      <c r="B4711" s="821">
        <v>38814</v>
      </c>
      <c r="C4711">
        <v>5.04</v>
      </c>
      <c r="D4711">
        <f t="shared" si="149"/>
        <v>1</v>
      </c>
    </row>
    <row r="4712" spans="1:4" x14ac:dyDescent="0.55000000000000004">
      <c r="A4712">
        <f t="shared" si="148"/>
        <v>2006</v>
      </c>
      <c r="B4712" s="821">
        <v>38813</v>
      </c>
      <c r="C4712">
        <v>4.96</v>
      </c>
      <c r="D4712">
        <f t="shared" si="149"/>
        <v>1</v>
      </c>
    </row>
    <row r="4713" spans="1:4" x14ac:dyDescent="0.55000000000000004">
      <c r="A4713">
        <f t="shared" si="148"/>
        <v>2006</v>
      </c>
      <c r="B4713" s="821">
        <v>38812</v>
      </c>
      <c r="C4713">
        <v>4.9000000000000004</v>
      </c>
      <c r="D4713">
        <f t="shared" si="149"/>
        <v>1</v>
      </c>
    </row>
    <row r="4714" spans="1:4" x14ac:dyDescent="0.55000000000000004">
      <c r="A4714">
        <f t="shared" si="148"/>
        <v>2006</v>
      </c>
      <c r="B4714" s="821">
        <v>38811</v>
      </c>
      <c r="C4714">
        <v>4.91</v>
      </c>
      <c r="D4714">
        <f t="shared" si="149"/>
        <v>1</v>
      </c>
    </row>
    <row r="4715" spans="1:4" x14ac:dyDescent="0.55000000000000004">
      <c r="A4715">
        <f t="shared" si="148"/>
        <v>2006</v>
      </c>
      <c r="B4715" s="821">
        <v>38810</v>
      </c>
      <c r="C4715">
        <v>4.9000000000000004</v>
      </c>
      <c r="D4715">
        <f t="shared" si="149"/>
        <v>1</v>
      </c>
    </row>
    <row r="4716" spans="1:4" x14ac:dyDescent="0.55000000000000004">
      <c r="A4716">
        <f t="shared" si="148"/>
        <v>2006</v>
      </c>
      <c r="B4716" s="821">
        <v>38807</v>
      </c>
      <c r="C4716">
        <v>4.9000000000000004</v>
      </c>
      <c r="D4716">
        <f t="shared" si="149"/>
        <v>1</v>
      </c>
    </row>
    <row r="4717" spans="1:4" x14ac:dyDescent="0.55000000000000004">
      <c r="A4717">
        <f t="shared" si="148"/>
        <v>2006</v>
      </c>
      <c r="B4717" s="821">
        <v>38806</v>
      </c>
      <c r="C4717">
        <v>4.8899999999999997</v>
      </c>
      <c r="D4717">
        <f t="shared" si="149"/>
        <v>1</v>
      </c>
    </row>
    <row r="4718" spans="1:4" x14ac:dyDescent="0.55000000000000004">
      <c r="A4718">
        <f t="shared" si="148"/>
        <v>2006</v>
      </c>
      <c r="B4718" s="821">
        <v>38805</v>
      </c>
      <c r="C4718">
        <v>4.84</v>
      </c>
      <c r="D4718">
        <f t="shared" si="149"/>
        <v>1</v>
      </c>
    </row>
    <row r="4719" spans="1:4" x14ac:dyDescent="0.55000000000000004">
      <c r="A4719">
        <f t="shared" si="148"/>
        <v>2006</v>
      </c>
      <c r="B4719" s="821">
        <v>38804</v>
      </c>
      <c r="C4719">
        <v>4.8</v>
      </c>
      <c r="D4719">
        <f t="shared" si="149"/>
        <v>1</v>
      </c>
    </row>
    <row r="4720" spans="1:4" x14ac:dyDescent="0.55000000000000004">
      <c r="A4720">
        <f t="shared" si="148"/>
        <v>2006</v>
      </c>
      <c r="B4720" s="821">
        <v>38803</v>
      </c>
      <c r="C4720">
        <v>4.7300000000000004</v>
      </c>
      <c r="D4720">
        <f t="shared" si="149"/>
        <v>1</v>
      </c>
    </row>
    <row r="4721" spans="1:4" x14ac:dyDescent="0.55000000000000004">
      <c r="A4721">
        <f t="shared" si="148"/>
        <v>2006</v>
      </c>
      <c r="B4721" s="821">
        <v>38800</v>
      </c>
      <c r="C4721">
        <v>4.7</v>
      </c>
      <c r="D4721">
        <f t="shared" si="149"/>
        <v>1</v>
      </c>
    </row>
    <row r="4722" spans="1:4" x14ac:dyDescent="0.55000000000000004">
      <c r="A4722">
        <f t="shared" si="148"/>
        <v>2006</v>
      </c>
      <c r="B4722" s="821">
        <v>38799</v>
      </c>
      <c r="C4722">
        <v>4.75</v>
      </c>
      <c r="D4722">
        <f t="shared" si="149"/>
        <v>1</v>
      </c>
    </row>
    <row r="4723" spans="1:4" x14ac:dyDescent="0.55000000000000004">
      <c r="A4723">
        <f t="shared" si="148"/>
        <v>2006</v>
      </c>
      <c r="B4723" s="821">
        <v>38798</v>
      </c>
      <c r="C4723">
        <v>4.7300000000000004</v>
      </c>
      <c r="D4723">
        <f t="shared" si="149"/>
        <v>1</v>
      </c>
    </row>
    <row r="4724" spans="1:4" x14ac:dyDescent="0.55000000000000004">
      <c r="A4724">
        <f t="shared" si="148"/>
        <v>2006</v>
      </c>
      <c r="B4724" s="821">
        <v>38797</v>
      </c>
      <c r="C4724">
        <v>4.74</v>
      </c>
      <c r="D4724">
        <f t="shared" si="149"/>
        <v>1</v>
      </c>
    </row>
    <row r="4725" spans="1:4" x14ac:dyDescent="0.55000000000000004">
      <c r="A4725">
        <f t="shared" si="148"/>
        <v>2006</v>
      </c>
      <c r="B4725" s="821">
        <v>38796</v>
      </c>
      <c r="C4725">
        <v>4.7</v>
      </c>
      <c r="D4725">
        <f t="shared" si="149"/>
        <v>1</v>
      </c>
    </row>
    <row r="4726" spans="1:4" x14ac:dyDescent="0.55000000000000004">
      <c r="A4726">
        <f t="shared" si="148"/>
        <v>2006</v>
      </c>
      <c r="B4726" s="821">
        <v>38793</v>
      </c>
      <c r="C4726">
        <v>4.72</v>
      </c>
      <c r="D4726">
        <f t="shared" si="149"/>
        <v>1</v>
      </c>
    </row>
    <row r="4727" spans="1:4" x14ac:dyDescent="0.55000000000000004">
      <c r="A4727">
        <f t="shared" si="148"/>
        <v>2006</v>
      </c>
      <c r="B4727" s="821">
        <v>38792</v>
      </c>
      <c r="C4727">
        <v>4.7</v>
      </c>
      <c r="D4727">
        <f t="shared" si="149"/>
        <v>1</v>
      </c>
    </row>
    <row r="4728" spans="1:4" x14ac:dyDescent="0.55000000000000004">
      <c r="A4728">
        <f t="shared" si="148"/>
        <v>2006</v>
      </c>
      <c r="B4728" s="821">
        <v>38791</v>
      </c>
      <c r="C4728">
        <v>4.75</v>
      </c>
      <c r="D4728">
        <f t="shared" si="149"/>
        <v>1</v>
      </c>
    </row>
    <row r="4729" spans="1:4" x14ac:dyDescent="0.55000000000000004">
      <c r="A4729">
        <f t="shared" si="148"/>
        <v>2006</v>
      </c>
      <c r="B4729" s="821">
        <v>38790</v>
      </c>
      <c r="C4729">
        <v>4.71</v>
      </c>
      <c r="D4729">
        <f t="shared" si="149"/>
        <v>1</v>
      </c>
    </row>
    <row r="4730" spans="1:4" x14ac:dyDescent="0.55000000000000004">
      <c r="A4730">
        <f t="shared" si="148"/>
        <v>2006</v>
      </c>
      <c r="B4730" s="821">
        <v>38789</v>
      </c>
      <c r="C4730">
        <v>4.7699999999999996</v>
      </c>
      <c r="D4730">
        <f t="shared" si="149"/>
        <v>1</v>
      </c>
    </row>
    <row r="4731" spans="1:4" x14ac:dyDescent="0.55000000000000004">
      <c r="A4731">
        <f t="shared" si="148"/>
        <v>2006</v>
      </c>
      <c r="B4731" s="821">
        <v>38786</v>
      </c>
      <c r="C4731">
        <v>4.74</v>
      </c>
      <c r="D4731">
        <f t="shared" si="149"/>
        <v>1</v>
      </c>
    </row>
    <row r="4732" spans="1:4" x14ac:dyDescent="0.55000000000000004">
      <c r="A4732">
        <f t="shared" si="148"/>
        <v>2006</v>
      </c>
      <c r="B4732" s="821">
        <v>38785</v>
      </c>
      <c r="C4732">
        <v>4.72</v>
      </c>
      <c r="D4732">
        <f t="shared" si="149"/>
        <v>1</v>
      </c>
    </row>
    <row r="4733" spans="1:4" x14ac:dyDescent="0.55000000000000004">
      <c r="A4733">
        <f t="shared" si="148"/>
        <v>2006</v>
      </c>
      <c r="B4733" s="821">
        <v>38784</v>
      </c>
      <c r="C4733">
        <v>4.72</v>
      </c>
      <c r="D4733">
        <f t="shared" si="149"/>
        <v>1</v>
      </c>
    </row>
    <row r="4734" spans="1:4" x14ac:dyDescent="0.55000000000000004">
      <c r="A4734">
        <f t="shared" si="148"/>
        <v>2006</v>
      </c>
      <c r="B4734" s="821">
        <v>38783</v>
      </c>
      <c r="C4734">
        <v>4.72</v>
      </c>
      <c r="D4734">
        <f t="shared" si="149"/>
        <v>1</v>
      </c>
    </row>
    <row r="4735" spans="1:4" x14ac:dyDescent="0.55000000000000004">
      <c r="A4735">
        <f t="shared" si="148"/>
        <v>2006</v>
      </c>
      <c r="B4735" s="821">
        <v>38782</v>
      </c>
      <c r="C4735">
        <v>4.72</v>
      </c>
      <c r="D4735">
        <f t="shared" si="149"/>
        <v>1</v>
      </c>
    </row>
    <row r="4736" spans="1:4" x14ac:dyDescent="0.55000000000000004">
      <c r="A4736">
        <f t="shared" si="148"/>
        <v>2006</v>
      </c>
      <c r="B4736" s="821">
        <v>38779</v>
      </c>
      <c r="C4736">
        <v>4.66</v>
      </c>
      <c r="D4736">
        <f t="shared" si="149"/>
        <v>1</v>
      </c>
    </row>
    <row r="4737" spans="1:4" x14ac:dyDescent="0.55000000000000004">
      <c r="A4737">
        <f t="shared" si="148"/>
        <v>2006</v>
      </c>
      <c r="B4737" s="821">
        <v>38778</v>
      </c>
      <c r="C4737">
        <v>4.62</v>
      </c>
      <c r="D4737">
        <f t="shared" si="149"/>
        <v>1</v>
      </c>
    </row>
    <row r="4738" spans="1:4" x14ac:dyDescent="0.55000000000000004">
      <c r="A4738">
        <f t="shared" si="148"/>
        <v>2006</v>
      </c>
      <c r="B4738" s="821">
        <v>38777</v>
      </c>
      <c r="C4738">
        <v>4.5599999999999996</v>
      </c>
      <c r="D4738">
        <f t="shared" si="149"/>
        <v>1</v>
      </c>
    </row>
    <row r="4739" spans="1:4" x14ac:dyDescent="0.55000000000000004">
      <c r="A4739">
        <f t="shared" si="148"/>
        <v>2006</v>
      </c>
      <c r="B4739" s="821">
        <v>38776</v>
      </c>
      <c r="C4739">
        <v>4.51</v>
      </c>
      <c r="D4739">
        <f t="shared" si="149"/>
        <v>1</v>
      </c>
    </row>
    <row r="4740" spans="1:4" x14ac:dyDescent="0.55000000000000004">
      <c r="A4740">
        <f t="shared" ref="A4740:A4803" si="150">YEAR(B4740)</f>
        <v>2006</v>
      </c>
      <c r="B4740" s="821">
        <v>38775</v>
      </c>
      <c r="C4740">
        <v>4.55</v>
      </c>
      <c r="D4740">
        <f t="shared" ref="D4740:D4803" si="151">IF(C4740&gt;4,1,0)</f>
        <v>1</v>
      </c>
    </row>
    <row r="4741" spans="1:4" x14ac:dyDescent="0.55000000000000004">
      <c r="A4741">
        <f t="shared" si="150"/>
        <v>2006</v>
      </c>
      <c r="B4741" s="821">
        <v>38772</v>
      </c>
      <c r="C4741">
        <v>4.5199999999999996</v>
      </c>
      <c r="D4741">
        <f t="shared" si="151"/>
        <v>1</v>
      </c>
    </row>
    <row r="4742" spans="1:4" x14ac:dyDescent="0.55000000000000004">
      <c r="A4742">
        <f t="shared" si="150"/>
        <v>2006</v>
      </c>
      <c r="B4742" s="821">
        <v>38771</v>
      </c>
      <c r="C4742">
        <v>4.51</v>
      </c>
      <c r="D4742">
        <f t="shared" si="151"/>
        <v>1</v>
      </c>
    </row>
    <row r="4743" spans="1:4" x14ac:dyDescent="0.55000000000000004">
      <c r="A4743">
        <f t="shared" si="150"/>
        <v>2006</v>
      </c>
      <c r="B4743" s="821">
        <v>38770</v>
      </c>
      <c r="C4743">
        <v>4.4800000000000004</v>
      </c>
      <c r="D4743">
        <f t="shared" si="151"/>
        <v>1</v>
      </c>
    </row>
    <row r="4744" spans="1:4" x14ac:dyDescent="0.55000000000000004">
      <c r="A4744">
        <f t="shared" si="150"/>
        <v>2006</v>
      </c>
      <c r="B4744" s="821">
        <v>38769</v>
      </c>
      <c r="C4744">
        <v>4.53</v>
      </c>
      <c r="D4744">
        <f t="shared" si="151"/>
        <v>1</v>
      </c>
    </row>
    <row r="4745" spans="1:4" x14ac:dyDescent="0.55000000000000004">
      <c r="A4745">
        <f t="shared" si="150"/>
        <v>2006</v>
      </c>
      <c r="B4745" s="821">
        <v>38765</v>
      </c>
      <c r="C4745">
        <v>4.51</v>
      </c>
      <c r="D4745">
        <f t="shared" si="151"/>
        <v>1</v>
      </c>
    </row>
    <row r="4746" spans="1:4" x14ac:dyDescent="0.55000000000000004">
      <c r="A4746">
        <f t="shared" si="150"/>
        <v>2006</v>
      </c>
      <c r="B4746" s="821">
        <v>38764</v>
      </c>
      <c r="C4746">
        <v>4.57</v>
      </c>
      <c r="D4746">
        <f t="shared" si="151"/>
        <v>1</v>
      </c>
    </row>
    <row r="4747" spans="1:4" x14ac:dyDescent="0.55000000000000004">
      <c r="A4747">
        <f t="shared" si="150"/>
        <v>2006</v>
      </c>
      <c r="B4747" s="821">
        <v>38763</v>
      </c>
      <c r="C4747">
        <v>4.58</v>
      </c>
      <c r="D4747">
        <f t="shared" si="151"/>
        <v>1</v>
      </c>
    </row>
    <row r="4748" spans="1:4" x14ac:dyDescent="0.55000000000000004">
      <c r="A4748">
        <f t="shared" si="150"/>
        <v>2006</v>
      </c>
      <c r="B4748" s="821">
        <v>38762</v>
      </c>
      <c r="C4748">
        <v>4.5999999999999996</v>
      </c>
      <c r="D4748">
        <f t="shared" si="151"/>
        <v>1</v>
      </c>
    </row>
    <row r="4749" spans="1:4" x14ac:dyDescent="0.55000000000000004">
      <c r="A4749">
        <f t="shared" si="150"/>
        <v>2006</v>
      </c>
      <c r="B4749" s="821">
        <v>38761</v>
      </c>
      <c r="C4749">
        <v>4.5599999999999996</v>
      </c>
      <c r="D4749">
        <f t="shared" si="151"/>
        <v>1</v>
      </c>
    </row>
    <row r="4750" spans="1:4" x14ac:dyDescent="0.55000000000000004">
      <c r="A4750">
        <f t="shared" si="150"/>
        <v>2006</v>
      </c>
      <c r="B4750" s="821">
        <v>38758</v>
      </c>
      <c r="C4750">
        <v>4.55</v>
      </c>
      <c r="D4750">
        <f t="shared" si="151"/>
        <v>1</v>
      </c>
    </row>
    <row r="4751" spans="1:4" x14ac:dyDescent="0.55000000000000004">
      <c r="A4751">
        <f t="shared" si="150"/>
        <v>2006</v>
      </c>
      <c r="B4751" s="821">
        <v>38757</v>
      </c>
      <c r="C4751">
        <v>4.51</v>
      </c>
      <c r="D4751">
        <f t="shared" si="151"/>
        <v>1</v>
      </c>
    </row>
    <row r="4752" spans="1:4" x14ac:dyDescent="0.55000000000000004">
      <c r="A4752">
        <f t="shared" si="150"/>
        <v>2006</v>
      </c>
      <c r="B4752" s="821">
        <v>38756</v>
      </c>
      <c r="C4752">
        <v>4.67</v>
      </c>
      <c r="D4752">
        <f t="shared" si="151"/>
        <v>1</v>
      </c>
    </row>
    <row r="4753" spans="1:4" x14ac:dyDescent="0.55000000000000004">
      <c r="A4753">
        <f t="shared" si="150"/>
        <v>2006</v>
      </c>
      <c r="B4753" s="821">
        <v>38755</v>
      </c>
      <c r="C4753">
        <v>4.6399999999999997</v>
      </c>
      <c r="D4753">
        <f t="shared" si="151"/>
        <v>1</v>
      </c>
    </row>
    <row r="4754" spans="1:4" x14ac:dyDescent="0.55000000000000004">
      <c r="A4754">
        <f t="shared" si="150"/>
        <v>2006</v>
      </c>
      <c r="B4754" s="821">
        <v>38754</v>
      </c>
      <c r="C4754">
        <v>4.6100000000000003</v>
      </c>
      <c r="D4754">
        <f t="shared" si="151"/>
        <v>1</v>
      </c>
    </row>
    <row r="4755" spans="1:4" x14ac:dyDescent="0.55000000000000004">
      <c r="A4755">
        <f t="shared" si="150"/>
        <v>2006</v>
      </c>
      <c r="B4755" s="821">
        <v>38751</v>
      </c>
      <c r="C4755">
        <v>4.6399999999999997</v>
      </c>
      <c r="D4755">
        <f t="shared" si="151"/>
        <v>1</v>
      </c>
    </row>
    <row r="4756" spans="1:4" x14ac:dyDescent="0.55000000000000004">
      <c r="A4756">
        <f t="shared" si="150"/>
        <v>2006</v>
      </c>
      <c r="B4756" s="821">
        <v>38750</v>
      </c>
      <c r="C4756">
        <v>4.68</v>
      </c>
      <c r="D4756">
        <f t="shared" si="151"/>
        <v>1</v>
      </c>
    </row>
    <row r="4757" spans="1:4" x14ac:dyDescent="0.55000000000000004">
      <c r="A4757">
        <f t="shared" si="150"/>
        <v>2006</v>
      </c>
      <c r="B4757" s="821">
        <v>38749</v>
      </c>
      <c r="C4757">
        <v>4.6900000000000004</v>
      </c>
      <c r="D4757">
        <f t="shared" si="151"/>
        <v>1</v>
      </c>
    </row>
    <row r="4758" spans="1:4" x14ac:dyDescent="0.55000000000000004">
      <c r="A4758">
        <f t="shared" si="150"/>
        <v>2006</v>
      </c>
      <c r="B4758" s="821">
        <v>38748</v>
      </c>
      <c r="C4758">
        <v>4.6900000000000004</v>
      </c>
      <c r="D4758">
        <f t="shared" si="151"/>
        <v>1</v>
      </c>
    </row>
    <row r="4759" spans="1:4" x14ac:dyDescent="0.55000000000000004">
      <c r="A4759">
        <f t="shared" si="150"/>
        <v>2006</v>
      </c>
      <c r="B4759" s="821">
        <v>38747</v>
      </c>
      <c r="C4759">
        <v>4.67</v>
      </c>
      <c r="D4759">
        <f t="shared" si="151"/>
        <v>1</v>
      </c>
    </row>
    <row r="4760" spans="1:4" x14ac:dyDescent="0.55000000000000004">
      <c r="A4760">
        <f t="shared" si="150"/>
        <v>2006</v>
      </c>
      <c r="B4760" s="821">
        <v>38744</v>
      </c>
      <c r="C4760">
        <v>4.7</v>
      </c>
      <c r="D4760">
        <f t="shared" si="151"/>
        <v>1</v>
      </c>
    </row>
    <row r="4761" spans="1:4" x14ac:dyDescent="0.55000000000000004">
      <c r="A4761">
        <f t="shared" si="150"/>
        <v>2006</v>
      </c>
      <c r="B4761" s="821">
        <v>38743</v>
      </c>
      <c r="C4761">
        <v>4.66</v>
      </c>
      <c r="D4761">
        <f t="shared" si="151"/>
        <v>1</v>
      </c>
    </row>
    <row r="4762" spans="1:4" x14ac:dyDescent="0.55000000000000004">
      <c r="A4762">
        <f t="shared" si="150"/>
        <v>2006</v>
      </c>
      <c r="B4762" s="821">
        <v>38742</v>
      </c>
      <c r="C4762">
        <v>4.62</v>
      </c>
      <c r="D4762">
        <f t="shared" si="151"/>
        <v>1</v>
      </c>
    </row>
    <row r="4763" spans="1:4" x14ac:dyDescent="0.55000000000000004">
      <c r="A4763">
        <f t="shared" si="150"/>
        <v>2006</v>
      </c>
      <c r="B4763" s="821">
        <v>38741</v>
      </c>
      <c r="C4763">
        <v>4.53</v>
      </c>
      <c r="D4763">
        <f t="shared" si="151"/>
        <v>1</v>
      </c>
    </row>
    <row r="4764" spans="1:4" x14ac:dyDescent="0.55000000000000004">
      <c r="A4764">
        <f t="shared" si="150"/>
        <v>2006</v>
      </c>
      <c r="B4764" s="821">
        <v>38740</v>
      </c>
      <c r="C4764">
        <v>4.54</v>
      </c>
      <c r="D4764">
        <f t="shared" si="151"/>
        <v>1</v>
      </c>
    </row>
    <row r="4765" spans="1:4" x14ac:dyDescent="0.55000000000000004">
      <c r="A4765">
        <f t="shared" si="150"/>
        <v>2006</v>
      </c>
      <c r="B4765" s="821">
        <v>38737</v>
      </c>
      <c r="C4765">
        <v>4.54</v>
      </c>
      <c r="D4765">
        <f t="shared" si="151"/>
        <v>1</v>
      </c>
    </row>
    <row r="4766" spans="1:4" x14ac:dyDescent="0.55000000000000004">
      <c r="A4766">
        <f t="shared" si="150"/>
        <v>2006</v>
      </c>
      <c r="B4766" s="821">
        <v>38736</v>
      </c>
      <c r="C4766">
        <v>4.51</v>
      </c>
      <c r="D4766">
        <f t="shared" si="151"/>
        <v>1</v>
      </c>
    </row>
    <row r="4767" spans="1:4" x14ac:dyDescent="0.55000000000000004">
      <c r="A4767">
        <f t="shared" si="150"/>
        <v>2006</v>
      </c>
      <c r="B4767" s="821">
        <v>38735</v>
      </c>
      <c r="C4767">
        <v>4.53</v>
      </c>
      <c r="D4767">
        <f t="shared" si="151"/>
        <v>1</v>
      </c>
    </row>
    <row r="4768" spans="1:4" x14ac:dyDescent="0.55000000000000004">
      <c r="A4768">
        <f t="shared" si="150"/>
        <v>2006</v>
      </c>
      <c r="B4768" s="821">
        <v>38734</v>
      </c>
      <c r="C4768">
        <v>4.5199999999999996</v>
      </c>
      <c r="D4768">
        <f t="shared" si="151"/>
        <v>1</v>
      </c>
    </row>
    <row r="4769" spans="1:4" x14ac:dyDescent="0.55000000000000004">
      <c r="A4769">
        <f t="shared" si="150"/>
        <v>2006</v>
      </c>
      <c r="B4769" s="821">
        <v>38730</v>
      </c>
      <c r="C4769">
        <v>4.49</v>
      </c>
      <c r="D4769">
        <f t="shared" si="151"/>
        <v>1</v>
      </c>
    </row>
    <row r="4770" spans="1:4" x14ac:dyDescent="0.55000000000000004">
      <c r="A4770">
        <f t="shared" si="150"/>
        <v>2006</v>
      </c>
      <c r="B4770" s="821">
        <v>38729</v>
      </c>
      <c r="C4770">
        <v>4.5599999999999996</v>
      </c>
      <c r="D4770">
        <f t="shared" si="151"/>
        <v>1</v>
      </c>
    </row>
    <row r="4771" spans="1:4" x14ac:dyDescent="0.55000000000000004">
      <c r="A4771">
        <f t="shared" si="150"/>
        <v>2006</v>
      </c>
      <c r="B4771" s="821">
        <v>38728</v>
      </c>
      <c r="C4771">
        <v>4.6100000000000003</v>
      </c>
      <c r="D4771">
        <f t="shared" si="151"/>
        <v>1</v>
      </c>
    </row>
    <row r="4772" spans="1:4" x14ac:dyDescent="0.55000000000000004">
      <c r="A4772">
        <f t="shared" si="150"/>
        <v>2006</v>
      </c>
      <c r="B4772" s="821">
        <v>38727</v>
      </c>
      <c r="C4772">
        <v>4.62</v>
      </c>
      <c r="D4772">
        <f t="shared" si="151"/>
        <v>1</v>
      </c>
    </row>
    <row r="4773" spans="1:4" x14ac:dyDescent="0.55000000000000004">
      <c r="A4773">
        <f t="shared" si="150"/>
        <v>2006</v>
      </c>
      <c r="B4773" s="821">
        <v>38726</v>
      </c>
      <c r="C4773">
        <v>4.53</v>
      </c>
      <c r="D4773">
        <f t="shared" si="151"/>
        <v>1</v>
      </c>
    </row>
    <row r="4774" spans="1:4" x14ac:dyDescent="0.55000000000000004">
      <c r="A4774">
        <f t="shared" si="150"/>
        <v>2006</v>
      </c>
      <c r="B4774" s="821">
        <v>38723</v>
      </c>
      <c r="C4774">
        <v>4.53</v>
      </c>
      <c r="D4774">
        <f t="shared" si="151"/>
        <v>1</v>
      </c>
    </row>
    <row r="4775" spans="1:4" x14ac:dyDescent="0.55000000000000004">
      <c r="A4775">
        <f t="shared" si="150"/>
        <v>2006</v>
      </c>
      <c r="B4775" s="821">
        <v>38722</v>
      </c>
      <c r="C4775">
        <v>4.51</v>
      </c>
      <c r="D4775">
        <f t="shared" si="151"/>
        <v>1</v>
      </c>
    </row>
    <row r="4776" spans="1:4" x14ac:dyDescent="0.55000000000000004">
      <c r="A4776">
        <f t="shared" si="150"/>
        <v>2006</v>
      </c>
      <c r="B4776" s="821">
        <v>38721</v>
      </c>
      <c r="C4776">
        <v>4.55</v>
      </c>
      <c r="D4776">
        <f t="shared" si="151"/>
        <v>1</v>
      </c>
    </row>
    <row r="4777" spans="1:4" x14ac:dyDescent="0.55000000000000004">
      <c r="A4777">
        <f t="shared" si="150"/>
        <v>2006</v>
      </c>
      <c r="B4777" s="821">
        <v>38720</v>
      </c>
      <c r="C4777">
        <v>4.5199999999999996</v>
      </c>
      <c r="D4777">
        <f t="shared" si="151"/>
        <v>1</v>
      </c>
    </row>
    <row r="4778" spans="1:4" x14ac:dyDescent="0.55000000000000004">
      <c r="A4778">
        <f t="shared" si="150"/>
        <v>2005</v>
      </c>
      <c r="B4778" s="821">
        <v>38716</v>
      </c>
      <c r="C4778">
        <v>4.51</v>
      </c>
      <c r="D4778">
        <f t="shared" si="151"/>
        <v>1</v>
      </c>
    </row>
    <row r="4779" spans="1:4" x14ac:dyDescent="0.55000000000000004">
      <c r="A4779">
        <f t="shared" si="150"/>
        <v>2005</v>
      </c>
      <c r="B4779" s="821">
        <v>38715</v>
      </c>
      <c r="C4779">
        <v>4.49</v>
      </c>
      <c r="D4779">
        <f t="shared" si="151"/>
        <v>1</v>
      </c>
    </row>
    <row r="4780" spans="1:4" x14ac:dyDescent="0.55000000000000004">
      <c r="A4780">
        <f t="shared" si="150"/>
        <v>2005</v>
      </c>
      <c r="B4780" s="821">
        <v>38714</v>
      </c>
      <c r="C4780">
        <v>4.51</v>
      </c>
      <c r="D4780">
        <f t="shared" si="151"/>
        <v>1</v>
      </c>
    </row>
    <row r="4781" spans="1:4" x14ac:dyDescent="0.55000000000000004">
      <c r="A4781">
        <f t="shared" si="150"/>
        <v>2005</v>
      </c>
      <c r="B4781" s="821">
        <v>38713</v>
      </c>
      <c r="C4781">
        <v>4.4800000000000004</v>
      </c>
      <c r="D4781">
        <f t="shared" si="151"/>
        <v>1</v>
      </c>
    </row>
    <row r="4782" spans="1:4" x14ac:dyDescent="0.55000000000000004">
      <c r="A4782">
        <f t="shared" si="150"/>
        <v>2005</v>
      </c>
      <c r="B4782" s="821">
        <v>38709</v>
      </c>
      <c r="C4782">
        <v>4.5199999999999996</v>
      </c>
      <c r="D4782">
        <f t="shared" si="151"/>
        <v>1</v>
      </c>
    </row>
    <row r="4783" spans="1:4" x14ac:dyDescent="0.55000000000000004">
      <c r="A4783">
        <f t="shared" si="150"/>
        <v>2005</v>
      </c>
      <c r="B4783" s="821">
        <v>38708</v>
      </c>
      <c r="C4783">
        <v>4.59</v>
      </c>
      <c r="D4783">
        <f t="shared" si="151"/>
        <v>1</v>
      </c>
    </row>
    <row r="4784" spans="1:4" x14ac:dyDescent="0.55000000000000004">
      <c r="A4784">
        <f t="shared" si="150"/>
        <v>2005</v>
      </c>
      <c r="B4784" s="821">
        <v>38707</v>
      </c>
      <c r="C4784">
        <v>4.6500000000000004</v>
      </c>
      <c r="D4784">
        <f t="shared" si="151"/>
        <v>1</v>
      </c>
    </row>
    <row r="4785" spans="1:4" x14ac:dyDescent="0.55000000000000004">
      <c r="A4785">
        <f t="shared" si="150"/>
        <v>2005</v>
      </c>
      <c r="B4785" s="821">
        <v>38706</v>
      </c>
      <c r="C4785">
        <v>4.63</v>
      </c>
      <c r="D4785">
        <f t="shared" si="151"/>
        <v>1</v>
      </c>
    </row>
    <row r="4786" spans="1:4" x14ac:dyDescent="0.55000000000000004">
      <c r="A4786">
        <f t="shared" si="150"/>
        <v>2005</v>
      </c>
      <c r="B4786" s="821">
        <v>38705</v>
      </c>
      <c r="C4786">
        <v>4.62</v>
      </c>
      <c r="D4786">
        <f t="shared" si="151"/>
        <v>1</v>
      </c>
    </row>
    <row r="4787" spans="1:4" x14ac:dyDescent="0.55000000000000004">
      <c r="A4787">
        <f t="shared" si="150"/>
        <v>2005</v>
      </c>
      <c r="B4787" s="821">
        <v>38702</v>
      </c>
      <c r="C4787">
        <v>4.63</v>
      </c>
      <c r="D4787">
        <f t="shared" si="151"/>
        <v>1</v>
      </c>
    </row>
    <row r="4788" spans="1:4" x14ac:dyDescent="0.55000000000000004">
      <c r="A4788">
        <f t="shared" si="150"/>
        <v>2005</v>
      </c>
      <c r="B4788" s="821">
        <v>38701</v>
      </c>
      <c r="C4788">
        <v>4.62</v>
      </c>
      <c r="D4788">
        <f t="shared" si="151"/>
        <v>1</v>
      </c>
    </row>
    <row r="4789" spans="1:4" x14ac:dyDescent="0.55000000000000004">
      <c r="A4789">
        <f t="shared" si="150"/>
        <v>2005</v>
      </c>
      <c r="B4789" s="821">
        <v>38700</v>
      </c>
      <c r="C4789">
        <v>4.63</v>
      </c>
      <c r="D4789">
        <f t="shared" si="151"/>
        <v>1</v>
      </c>
    </row>
    <row r="4790" spans="1:4" x14ac:dyDescent="0.55000000000000004">
      <c r="A4790">
        <f t="shared" si="150"/>
        <v>2005</v>
      </c>
      <c r="B4790" s="821">
        <v>38699</v>
      </c>
      <c r="C4790">
        <v>4.68</v>
      </c>
      <c r="D4790">
        <f t="shared" si="151"/>
        <v>1</v>
      </c>
    </row>
    <row r="4791" spans="1:4" x14ac:dyDescent="0.55000000000000004">
      <c r="A4791">
        <f t="shared" si="150"/>
        <v>2005</v>
      </c>
      <c r="B4791" s="821">
        <v>38698</v>
      </c>
      <c r="C4791">
        <v>4.6900000000000004</v>
      </c>
      <c r="D4791">
        <f t="shared" si="151"/>
        <v>1</v>
      </c>
    </row>
    <row r="4792" spans="1:4" x14ac:dyDescent="0.55000000000000004">
      <c r="A4792">
        <f t="shared" si="150"/>
        <v>2005</v>
      </c>
      <c r="B4792" s="821">
        <v>38695</v>
      </c>
      <c r="C4792">
        <v>4.72</v>
      </c>
      <c r="D4792">
        <f t="shared" si="151"/>
        <v>1</v>
      </c>
    </row>
    <row r="4793" spans="1:4" x14ac:dyDescent="0.55000000000000004">
      <c r="A4793">
        <f t="shared" si="150"/>
        <v>2005</v>
      </c>
      <c r="B4793" s="821">
        <v>38694</v>
      </c>
      <c r="C4793">
        <v>4.62</v>
      </c>
      <c r="D4793">
        <f t="shared" si="151"/>
        <v>1</v>
      </c>
    </row>
    <row r="4794" spans="1:4" x14ac:dyDescent="0.55000000000000004">
      <c r="A4794">
        <f t="shared" si="150"/>
        <v>2005</v>
      </c>
      <c r="B4794" s="821">
        <v>38693</v>
      </c>
      <c r="C4794">
        <v>4.67</v>
      </c>
      <c r="D4794">
        <f t="shared" si="151"/>
        <v>1</v>
      </c>
    </row>
    <row r="4795" spans="1:4" x14ac:dyDescent="0.55000000000000004">
      <c r="A4795">
        <f t="shared" si="150"/>
        <v>2005</v>
      </c>
      <c r="B4795" s="821">
        <v>38692</v>
      </c>
      <c r="C4795">
        <v>4.68</v>
      </c>
      <c r="D4795">
        <f t="shared" si="151"/>
        <v>1</v>
      </c>
    </row>
    <row r="4796" spans="1:4" x14ac:dyDescent="0.55000000000000004">
      <c r="A4796">
        <f t="shared" si="150"/>
        <v>2005</v>
      </c>
      <c r="B4796" s="821">
        <v>38691</v>
      </c>
      <c r="C4796">
        <v>4.72</v>
      </c>
      <c r="D4796">
        <f t="shared" si="151"/>
        <v>1</v>
      </c>
    </row>
    <row r="4797" spans="1:4" x14ac:dyDescent="0.55000000000000004">
      <c r="A4797">
        <f t="shared" si="150"/>
        <v>2005</v>
      </c>
      <c r="B4797" s="821">
        <v>38688</v>
      </c>
      <c r="C4797">
        <v>4.68</v>
      </c>
      <c r="D4797">
        <f t="shared" si="151"/>
        <v>1</v>
      </c>
    </row>
    <row r="4798" spans="1:4" x14ac:dyDescent="0.55000000000000004">
      <c r="A4798">
        <f t="shared" si="150"/>
        <v>2005</v>
      </c>
      <c r="B4798" s="821">
        <v>38687</v>
      </c>
      <c r="C4798">
        <v>4.68</v>
      </c>
      <c r="D4798">
        <f t="shared" si="151"/>
        <v>1</v>
      </c>
    </row>
    <row r="4799" spans="1:4" x14ac:dyDescent="0.55000000000000004">
      <c r="A4799">
        <f t="shared" si="150"/>
        <v>2005</v>
      </c>
      <c r="B4799" s="821">
        <v>38686</v>
      </c>
      <c r="C4799">
        <v>4.66</v>
      </c>
      <c r="D4799">
        <f t="shared" si="151"/>
        <v>1</v>
      </c>
    </row>
    <row r="4800" spans="1:4" x14ac:dyDescent="0.55000000000000004">
      <c r="A4800">
        <f t="shared" si="150"/>
        <v>2005</v>
      </c>
      <c r="B4800" s="821">
        <v>38685</v>
      </c>
      <c r="C4800">
        <v>4.6500000000000004</v>
      </c>
      <c r="D4800">
        <f t="shared" si="151"/>
        <v>1</v>
      </c>
    </row>
    <row r="4801" spans="1:4" x14ac:dyDescent="0.55000000000000004">
      <c r="A4801">
        <f t="shared" si="150"/>
        <v>2005</v>
      </c>
      <c r="B4801" s="821">
        <v>38684</v>
      </c>
      <c r="C4801">
        <v>4.58</v>
      </c>
      <c r="D4801">
        <f t="shared" si="151"/>
        <v>1</v>
      </c>
    </row>
    <row r="4802" spans="1:4" x14ac:dyDescent="0.55000000000000004">
      <c r="A4802">
        <f t="shared" si="150"/>
        <v>2005</v>
      </c>
      <c r="B4802" s="821">
        <v>38681</v>
      </c>
      <c r="C4802">
        <v>4.66</v>
      </c>
      <c r="D4802">
        <f t="shared" si="151"/>
        <v>1</v>
      </c>
    </row>
    <row r="4803" spans="1:4" x14ac:dyDescent="0.55000000000000004">
      <c r="A4803">
        <f t="shared" si="150"/>
        <v>2005</v>
      </c>
      <c r="B4803" s="821">
        <v>38679</v>
      </c>
      <c r="C4803">
        <v>4.7</v>
      </c>
      <c r="D4803">
        <f t="shared" si="151"/>
        <v>1</v>
      </c>
    </row>
    <row r="4804" spans="1:4" x14ac:dyDescent="0.55000000000000004">
      <c r="A4804">
        <f t="shared" ref="A4804:A4867" si="152">YEAR(B4804)</f>
        <v>2005</v>
      </c>
      <c r="B4804" s="821">
        <v>38678</v>
      </c>
      <c r="C4804">
        <v>4.6500000000000004</v>
      </c>
      <c r="D4804">
        <f t="shared" ref="D4804:D4867" si="153">IF(C4804&gt;4,1,0)</f>
        <v>1</v>
      </c>
    </row>
    <row r="4805" spans="1:4" x14ac:dyDescent="0.55000000000000004">
      <c r="A4805">
        <f t="shared" si="152"/>
        <v>2005</v>
      </c>
      <c r="B4805" s="821">
        <v>38677</v>
      </c>
      <c r="C4805">
        <v>4.62</v>
      </c>
      <c r="D4805">
        <f t="shared" si="153"/>
        <v>1</v>
      </c>
    </row>
    <row r="4806" spans="1:4" x14ac:dyDescent="0.55000000000000004">
      <c r="A4806">
        <f t="shared" si="152"/>
        <v>2005</v>
      </c>
      <c r="B4806" s="821">
        <v>38674</v>
      </c>
      <c r="C4806">
        <v>4.68</v>
      </c>
      <c r="D4806">
        <f t="shared" si="153"/>
        <v>1</v>
      </c>
    </row>
    <row r="4807" spans="1:4" x14ac:dyDescent="0.55000000000000004">
      <c r="A4807">
        <f t="shared" si="152"/>
        <v>2005</v>
      </c>
      <c r="B4807" s="821">
        <v>38673</v>
      </c>
      <c r="C4807">
        <v>4.5999999999999996</v>
      </c>
      <c r="D4807">
        <f t="shared" si="153"/>
        <v>1</v>
      </c>
    </row>
    <row r="4808" spans="1:4" x14ac:dyDescent="0.55000000000000004">
      <c r="A4808">
        <f t="shared" si="152"/>
        <v>2005</v>
      </c>
      <c r="B4808" s="821">
        <v>38672</v>
      </c>
      <c r="C4808">
        <v>4.63</v>
      </c>
      <c r="D4808">
        <f t="shared" si="153"/>
        <v>1</v>
      </c>
    </row>
    <row r="4809" spans="1:4" x14ac:dyDescent="0.55000000000000004">
      <c r="A4809">
        <f t="shared" si="152"/>
        <v>2005</v>
      </c>
      <c r="B4809" s="821">
        <v>38671</v>
      </c>
      <c r="C4809">
        <v>4.7</v>
      </c>
      <c r="D4809">
        <f t="shared" si="153"/>
        <v>1</v>
      </c>
    </row>
    <row r="4810" spans="1:4" x14ac:dyDescent="0.55000000000000004">
      <c r="A4810">
        <f t="shared" si="152"/>
        <v>2005</v>
      </c>
      <c r="B4810" s="821">
        <v>38670</v>
      </c>
      <c r="C4810">
        <v>4.75</v>
      </c>
      <c r="D4810">
        <f t="shared" si="153"/>
        <v>1</v>
      </c>
    </row>
    <row r="4811" spans="1:4" x14ac:dyDescent="0.55000000000000004">
      <c r="A4811">
        <f t="shared" si="152"/>
        <v>2005</v>
      </c>
      <c r="B4811" s="821">
        <v>38666</v>
      </c>
      <c r="C4811">
        <v>4.74</v>
      </c>
      <c r="D4811">
        <f t="shared" si="153"/>
        <v>1</v>
      </c>
    </row>
    <row r="4812" spans="1:4" x14ac:dyDescent="0.55000000000000004">
      <c r="A4812">
        <f t="shared" si="152"/>
        <v>2005</v>
      </c>
      <c r="B4812" s="821">
        <v>38665</v>
      </c>
      <c r="C4812">
        <v>4.78</v>
      </c>
      <c r="D4812">
        <f t="shared" si="153"/>
        <v>1</v>
      </c>
    </row>
    <row r="4813" spans="1:4" x14ac:dyDescent="0.55000000000000004">
      <c r="A4813">
        <f t="shared" si="152"/>
        <v>2005</v>
      </c>
      <c r="B4813" s="821">
        <v>38664</v>
      </c>
      <c r="C4813">
        <v>4.75</v>
      </c>
      <c r="D4813">
        <f t="shared" si="153"/>
        <v>1</v>
      </c>
    </row>
    <row r="4814" spans="1:4" x14ac:dyDescent="0.55000000000000004">
      <c r="A4814">
        <f t="shared" si="152"/>
        <v>2005</v>
      </c>
      <c r="B4814" s="821">
        <v>38663</v>
      </c>
      <c r="C4814">
        <v>4.82</v>
      </c>
      <c r="D4814">
        <f t="shared" si="153"/>
        <v>1</v>
      </c>
    </row>
    <row r="4815" spans="1:4" x14ac:dyDescent="0.55000000000000004">
      <c r="A4815">
        <f t="shared" si="152"/>
        <v>2005</v>
      </c>
      <c r="B4815" s="821">
        <v>38660</v>
      </c>
      <c r="C4815">
        <v>4.84</v>
      </c>
      <c r="D4815">
        <f t="shared" si="153"/>
        <v>1</v>
      </c>
    </row>
    <row r="4816" spans="1:4" x14ac:dyDescent="0.55000000000000004">
      <c r="A4816">
        <f t="shared" si="152"/>
        <v>2005</v>
      </c>
      <c r="B4816" s="821">
        <v>38659</v>
      </c>
      <c r="C4816">
        <v>4.79</v>
      </c>
      <c r="D4816">
        <f t="shared" si="153"/>
        <v>1</v>
      </c>
    </row>
    <row r="4817" spans="1:4" x14ac:dyDescent="0.55000000000000004">
      <c r="A4817">
        <f t="shared" si="152"/>
        <v>2005</v>
      </c>
      <c r="B4817" s="821">
        <v>38658</v>
      </c>
      <c r="C4817">
        <v>4.74</v>
      </c>
      <c r="D4817">
        <f t="shared" si="153"/>
        <v>1</v>
      </c>
    </row>
    <row r="4818" spans="1:4" x14ac:dyDescent="0.55000000000000004">
      <c r="A4818">
        <f t="shared" si="152"/>
        <v>2005</v>
      </c>
      <c r="B4818" s="821">
        <v>38657</v>
      </c>
      <c r="C4818">
        <v>4.74</v>
      </c>
      <c r="D4818">
        <f t="shared" si="153"/>
        <v>1</v>
      </c>
    </row>
    <row r="4819" spans="1:4" x14ac:dyDescent="0.55000000000000004">
      <c r="A4819">
        <f t="shared" si="152"/>
        <v>2005</v>
      </c>
      <c r="B4819" s="821">
        <v>38656</v>
      </c>
      <c r="C4819">
        <v>4.7300000000000004</v>
      </c>
      <c r="D4819">
        <f t="shared" si="153"/>
        <v>1</v>
      </c>
    </row>
    <row r="4820" spans="1:4" x14ac:dyDescent="0.55000000000000004">
      <c r="A4820">
        <f t="shared" si="152"/>
        <v>2005</v>
      </c>
      <c r="B4820" s="821">
        <v>38653</v>
      </c>
      <c r="C4820">
        <v>4.74</v>
      </c>
      <c r="D4820">
        <f t="shared" si="153"/>
        <v>1</v>
      </c>
    </row>
    <row r="4821" spans="1:4" x14ac:dyDescent="0.55000000000000004">
      <c r="A4821">
        <f t="shared" si="152"/>
        <v>2005</v>
      </c>
      <c r="B4821" s="821">
        <v>38652</v>
      </c>
      <c r="C4821">
        <v>4.74</v>
      </c>
      <c r="D4821">
        <f t="shared" si="153"/>
        <v>1</v>
      </c>
    </row>
    <row r="4822" spans="1:4" x14ac:dyDescent="0.55000000000000004">
      <c r="A4822">
        <f t="shared" si="152"/>
        <v>2005</v>
      </c>
      <c r="B4822" s="821">
        <v>38651</v>
      </c>
      <c r="C4822">
        <v>4.7699999999999996</v>
      </c>
      <c r="D4822">
        <f t="shared" si="153"/>
        <v>1</v>
      </c>
    </row>
    <row r="4823" spans="1:4" x14ac:dyDescent="0.55000000000000004">
      <c r="A4823">
        <f t="shared" si="152"/>
        <v>2005</v>
      </c>
      <c r="B4823" s="821">
        <v>38650</v>
      </c>
      <c r="C4823">
        <v>4.7</v>
      </c>
      <c r="D4823">
        <f t="shared" si="153"/>
        <v>1</v>
      </c>
    </row>
    <row r="4824" spans="1:4" x14ac:dyDescent="0.55000000000000004">
      <c r="A4824">
        <f t="shared" si="152"/>
        <v>2005</v>
      </c>
      <c r="B4824" s="821">
        <v>38649</v>
      </c>
      <c r="C4824">
        <v>4.63</v>
      </c>
      <c r="D4824">
        <f t="shared" si="153"/>
        <v>1</v>
      </c>
    </row>
    <row r="4825" spans="1:4" x14ac:dyDescent="0.55000000000000004">
      <c r="A4825">
        <f t="shared" si="152"/>
        <v>2005</v>
      </c>
      <c r="B4825" s="821">
        <v>38646</v>
      </c>
      <c r="C4825">
        <v>4.58</v>
      </c>
      <c r="D4825">
        <f t="shared" si="153"/>
        <v>1</v>
      </c>
    </row>
    <row r="4826" spans="1:4" x14ac:dyDescent="0.55000000000000004">
      <c r="A4826">
        <f t="shared" si="152"/>
        <v>2005</v>
      </c>
      <c r="B4826" s="821">
        <v>38645</v>
      </c>
      <c r="C4826">
        <v>4.62</v>
      </c>
      <c r="D4826">
        <f t="shared" si="153"/>
        <v>1</v>
      </c>
    </row>
    <row r="4827" spans="1:4" x14ac:dyDescent="0.55000000000000004">
      <c r="A4827">
        <f t="shared" si="152"/>
        <v>2005</v>
      </c>
      <c r="B4827" s="821">
        <v>38644</v>
      </c>
      <c r="C4827">
        <v>4.66</v>
      </c>
      <c r="D4827">
        <f t="shared" si="153"/>
        <v>1</v>
      </c>
    </row>
    <row r="4828" spans="1:4" x14ac:dyDescent="0.55000000000000004">
      <c r="A4828">
        <f t="shared" si="152"/>
        <v>2005</v>
      </c>
      <c r="B4828" s="821">
        <v>38643</v>
      </c>
      <c r="C4828">
        <v>4.6399999999999997</v>
      </c>
      <c r="D4828">
        <f t="shared" si="153"/>
        <v>1</v>
      </c>
    </row>
    <row r="4829" spans="1:4" x14ac:dyDescent="0.55000000000000004">
      <c r="A4829">
        <f t="shared" si="152"/>
        <v>2005</v>
      </c>
      <c r="B4829" s="821">
        <v>38642</v>
      </c>
      <c r="C4829">
        <v>4.68</v>
      </c>
      <c r="D4829">
        <f t="shared" si="153"/>
        <v>1</v>
      </c>
    </row>
    <row r="4830" spans="1:4" x14ac:dyDescent="0.55000000000000004">
      <c r="A4830">
        <f t="shared" si="152"/>
        <v>2005</v>
      </c>
      <c r="B4830" s="821">
        <v>38639</v>
      </c>
      <c r="C4830">
        <v>4.67</v>
      </c>
      <c r="D4830">
        <f t="shared" si="153"/>
        <v>1</v>
      </c>
    </row>
    <row r="4831" spans="1:4" x14ac:dyDescent="0.55000000000000004">
      <c r="A4831">
        <f t="shared" si="152"/>
        <v>2005</v>
      </c>
      <c r="B4831" s="821">
        <v>38638</v>
      </c>
      <c r="C4831">
        <v>4.66</v>
      </c>
      <c r="D4831">
        <f t="shared" si="153"/>
        <v>1</v>
      </c>
    </row>
    <row r="4832" spans="1:4" x14ac:dyDescent="0.55000000000000004">
      <c r="A4832">
        <f t="shared" si="152"/>
        <v>2005</v>
      </c>
      <c r="B4832" s="821">
        <v>38637</v>
      </c>
      <c r="C4832">
        <v>4.62</v>
      </c>
      <c r="D4832">
        <f t="shared" si="153"/>
        <v>1</v>
      </c>
    </row>
    <row r="4833" spans="1:4" x14ac:dyDescent="0.55000000000000004">
      <c r="A4833">
        <f t="shared" si="152"/>
        <v>2005</v>
      </c>
      <c r="B4833" s="821">
        <v>38636</v>
      </c>
      <c r="C4833">
        <v>4.5599999999999996</v>
      </c>
      <c r="D4833">
        <f t="shared" si="153"/>
        <v>1</v>
      </c>
    </row>
    <row r="4834" spans="1:4" x14ac:dyDescent="0.55000000000000004">
      <c r="A4834">
        <f t="shared" si="152"/>
        <v>2005</v>
      </c>
      <c r="B4834" s="821">
        <v>38632</v>
      </c>
      <c r="C4834">
        <v>4.53</v>
      </c>
      <c r="D4834">
        <f t="shared" si="153"/>
        <v>1</v>
      </c>
    </row>
    <row r="4835" spans="1:4" x14ac:dyDescent="0.55000000000000004">
      <c r="A4835">
        <f t="shared" si="152"/>
        <v>2005</v>
      </c>
      <c r="B4835" s="821">
        <v>38631</v>
      </c>
      <c r="C4835">
        <v>4.55</v>
      </c>
      <c r="D4835">
        <f t="shared" si="153"/>
        <v>1</v>
      </c>
    </row>
    <row r="4836" spans="1:4" x14ac:dyDescent="0.55000000000000004">
      <c r="A4836">
        <f t="shared" si="152"/>
        <v>2005</v>
      </c>
      <c r="B4836" s="821">
        <v>38630</v>
      </c>
      <c r="C4836">
        <v>4.54</v>
      </c>
      <c r="D4836">
        <f t="shared" si="153"/>
        <v>1</v>
      </c>
    </row>
    <row r="4837" spans="1:4" x14ac:dyDescent="0.55000000000000004">
      <c r="A4837">
        <f t="shared" si="152"/>
        <v>2005</v>
      </c>
      <c r="B4837" s="821">
        <v>38629</v>
      </c>
      <c r="C4837">
        <v>4.6100000000000003</v>
      </c>
      <c r="D4837">
        <f t="shared" si="153"/>
        <v>1</v>
      </c>
    </row>
    <row r="4838" spans="1:4" x14ac:dyDescent="0.55000000000000004">
      <c r="A4838">
        <f t="shared" si="152"/>
        <v>2005</v>
      </c>
      <c r="B4838" s="821">
        <v>38628</v>
      </c>
      <c r="C4838">
        <v>4.58</v>
      </c>
      <c r="D4838">
        <f t="shared" si="153"/>
        <v>1</v>
      </c>
    </row>
    <row r="4839" spans="1:4" x14ac:dyDescent="0.55000000000000004">
      <c r="A4839">
        <f t="shared" si="152"/>
        <v>2005</v>
      </c>
      <c r="B4839" s="821">
        <v>38625</v>
      </c>
      <c r="C4839">
        <v>4.53</v>
      </c>
      <c r="D4839">
        <f t="shared" si="153"/>
        <v>1</v>
      </c>
    </row>
    <row r="4840" spans="1:4" x14ac:dyDescent="0.55000000000000004">
      <c r="A4840">
        <f t="shared" si="152"/>
        <v>2005</v>
      </c>
      <c r="B4840" s="821">
        <v>38624</v>
      </c>
      <c r="C4840">
        <v>4.5</v>
      </c>
      <c r="D4840">
        <f t="shared" si="153"/>
        <v>1</v>
      </c>
    </row>
    <row r="4841" spans="1:4" x14ac:dyDescent="0.55000000000000004">
      <c r="A4841">
        <f t="shared" si="152"/>
        <v>2005</v>
      </c>
      <c r="B4841" s="821">
        <v>38623</v>
      </c>
      <c r="C4841">
        <v>4.46</v>
      </c>
      <c r="D4841">
        <f t="shared" si="153"/>
        <v>1</v>
      </c>
    </row>
    <row r="4842" spans="1:4" x14ac:dyDescent="0.55000000000000004">
      <c r="A4842">
        <f t="shared" si="152"/>
        <v>2005</v>
      </c>
      <c r="B4842" s="821">
        <v>38622</v>
      </c>
      <c r="C4842">
        <v>4.5599999999999996</v>
      </c>
      <c r="D4842">
        <f t="shared" si="153"/>
        <v>1</v>
      </c>
    </row>
    <row r="4843" spans="1:4" x14ac:dyDescent="0.55000000000000004">
      <c r="A4843">
        <f t="shared" si="152"/>
        <v>2005</v>
      </c>
      <c r="B4843" s="821">
        <v>38621</v>
      </c>
      <c r="C4843">
        <v>4.5599999999999996</v>
      </c>
      <c r="D4843">
        <f t="shared" si="153"/>
        <v>1</v>
      </c>
    </row>
    <row r="4844" spans="1:4" x14ac:dyDescent="0.55000000000000004">
      <c r="A4844">
        <f t="shared" si="152"/>
        <v>2005</v>
      </c>
      <c r="B4844" s="821">
        <v>38618</v>
      </c>
      <c r="C4844">
        <v>4.47</v>
      </c>
      <c r="D4844">
        <f t="shared" si="153"/>
        <v>1</v>
      </c>
    </row>
    <row r="4845" spans="1:4" x14ac:dyDescent="0.55000000000000004">
      <c r="A4845">
        <f t="shared" si="152"/>
        <v>2005</v>
      </c>
      <c r="B4845" s="821">
        <v>38617</v>
      </c>
      <c r="C4845">
        <v>4.47</v>
      </c>
      <c r="D4845">
        <f t="shared" si="153"/>
        <v>1</v>
      </c>
    </row>
    <row r="4846" spans="1:4" x14ac:dyDescent="0.55000000000000004">
      <c r="A4846">
        <f t="shared" si="152"/>
        <v>2005</v>
      </c>
      <c r="B4846" s="821">
        <v>38616</v>
      </c>
      <c r="C4846">
        <v>4.47</v>
      </c>
      <c r="D4846">
        <f t="shared" si="153"/>
        <v>1</v>
      </c>
    </row>
    <row r="4847" spans="1:4" x14ac:dyDescent="0.55000000000000004">
      <c r="A4847">
        <f t="shared" si="152"/>
        <v>2005</v>
      </c>
      <c r="B4847" s="821">
        <v>38615</v>
      </c>
      <c r="C4847">
        <v>4.49</v>
      </c>
      <c r="D4847">
        <f t="shared" si="153"/>
        <v>1</v>
      </c>
    </row>
    <row r="4848" spans="1:4" x14ac:dyDescent="0.55000000000000004">
      <c r="A4848">
        <f t="shared" si="152"/>
        <v>2005</v>
      </c>
      <c r="B4848" s="821">
        <v>38614</v>
      </c>
      <c r="C4848">
        <v>4.55</v>
      </c>
      <c r="D4848">
        <f t="shared" si="153"/>
        <v>1</v>
      </c>
    </row>
    <row r="4849" spans="1:4" x14ac:dyDescent="0.55000000000000004">
      <c r="A4849">
        <f t="shared" si="152"/>
        <v>2005</v>
      </c>
      <c r="B4849" s="821">
        <v>38611</v>
      </c>
      <c r="C4849">
        <v>4.5599999999999996</v>
      </c>
      <c r="D4849">
        <f t="shared" si="153"/>
        <v>1</v>
      </c>
    </row>
    <row r="4850" spans="1:4" x14ac:dyDescent="0.55000000000000004">
      <c r="A4850">
        <f t="shared" si="152"/>
        <v>2005</v>
      </c>
      <c r="B4850" s="821">
        <v>38610</v>
      </c>
      <c r="C4850">
        <v>4.51</v>
      </c>
      <c r="D4850">
        <f t="shared" si="153"/>
        <v>1</v>
      </c>
    </row>
    <row r="4851" spans="1:4" x14ac:dyDescent="0.55000000000000004">
      <c r="A4851">
        <f t="shared" si="152"/>
        <v>2005</v>
      </c>
      <c r="B4851" s="821">
        <v>38609</v>
      </c>
      <c r="C4851">
        <v>4.41</v>
      </c>
      <c r="D4851">
        <f t="shared" si="153"/>
        <v>1</v>
      </c>
    </row>
    <row r="4852" spans="1:4" x14ac:dyDescent="0.55000000000000004">
      <c r="A4852">
        <f t="shared" si="152"/>
        <v>2005</v>
      </c>
      <c r="B4852" s="821">
        <v>38608</v>
      </c>
      <c r="C4852">
        <v>4.38</v>
      </c>
      <c r="D4852">
        <f t="shared" si="153"/>
        <v>1</v>
      </c>
    </row>
    <row r="4853" spans="1:4" x14ac:dyDescent="0.55000000000000004">
      <c r="A4853">
        <f t="shared" si="152"/>
        <v>2005</v>
      </c>
      <c r="B4853" s="821">
        <v>38607</v>
      </c>
      <c r="C4853">
        <v>4.45</v>
      </c>
      <c r="D4853">
        <f t="shared" si="153"/>
        <v>1</v>
      </c>
    </row>
    <row r="4854" spans="1:4" x14ac:dyDescent="0.55000000000000004">
      <c r="A4854">
        <f t="shared" si="152"/>
        <v>2005</v>
      </c>
      <c r="B4854" s="821">
        <v>38604</v>
      </c>
      <c r="C4854">
        <v>4.3600000000000003</v>
      </c>
      <c r="D4854">
        <f t="shared" si="153"/>
        <v>1</v>
      </c>
    </row>
    <row r="4855" spans="1:4" x14ac:dyDescent="0.55000000000000004">
      <c r="A4855">
        <f t="shared" si="152"/>
        <v>2005</v>
      </c>
      <c r="B4855" s="821">
        <v>38603</v>
      </c>
      <c r="C4855">
        <v>4.43</v>
      </c>
      <c r="D4855">
        <f t="shared" si="153"/>
        <v>1</v>
      </c>
    </row>
    <row r="4856" spans="1:4" x14ac:dyDescent="0.55000000000000004">
      <c r="A4856">
        <f t="shared" si="152"/>
        <v>2005</v>
      </c>
      <c r="B4856" s="821">
        <v>38602</v>
      </c>
      <c r="C4856">
        <v>4.43</v>
      </c>
      <c r="D4856">
        <f t="shared" si="153"/>
        <v>1</v>
      </c>
    </row>
    <row r="4857" spans="1:4" x14ac:dyDescent="0.55000000000000004">
      <c r="A4857">
        <f t="shared" si="152"/>
        <v>2005</v>
      </c>
      <c r="B4857" s="821">
        <v>38601</v>
      </c>
      <c r="C4857">
        <v>4.3600000000000003</v>
      </c>
      <c r="D4857">
        <f t="shared" si="153"/>
        <v>1</v>
      </c>
    </row>
    <row r="4858" spans="1:4" x14ac:dyDescent="0.55000000000000004">
      <c r="A4858">
        <f t="shared" si="152"/>
        <v>2005</v>
      </c>
      <c r="B4858" s="821">
        <v>38597</v>
      </c>
      <c r="C4858">
        <v>4.26</v>
      </c>
      <c r="D4858">
        <f t="shared" si="153"/>
        <v>1</v>
      </c>
    </row>
    <row r="4859" spans="1:4" x14ac:dyDescent="0.55000000000000004">
      <c r="A4859">
        <f t="shared" si="152"/>
        <v>2005</v>
      </c>
      <c r="B4859" s="821">
        <v>38596</v>
      </c>
      <c r="C4859">
        <v>4.28</v>
      </c>
      <c r="D4859">
        <f t="shared" si="153"/>
        <v>1</v>
      </c>
    </row>
    <row r="4860" spans="1:4" x14ac:dyDescent="0.55000000000000004">
      <c r="A4860">
        <f t="shared" si="152"/>
        <v>2005</v>
      </c>
      <c r="B4860" s="821">
        <v>38595</v>
      </c>
      <c r="C4860">
        <v>4.2300000000000004</v>
      </c>
      <c r="D4860">
        <f t="shared" si="153"/>
        <v>1</v>
      </c>
    </row>
    <row r="4861" spans="1:4" x14ac:dyDescent="0.55000000000000004">
      <c r="A4861">
        <f t="shared" si="152"/>
        <v>2005</v>
      </c>
      <c r="B4861" s="821">
        <v>38594</v>
      </c>
      <c r="C4861">
        <v>4.34</v>
      </c>
      <c r="D4861">
        <f t="shared" si="153"/>
        <v>1</v>
      </c>
    </row>
    <row r="4862" spans="1:4" x14ac:dyDescent="0.55000000000000004">
      <c r="A4862">
        <f t="shared" si="152"/>
        <v>2005</v>
      </c>
      <c r="B4862" s="821">
        <v>38593</v>
      </c>
      <c r="C4862">
        <v>4.37</v>
      </c>
      <c r="D4862">
        <f t="shared" si="153"/>
        <v>1</v>
      </c>
    </row>
    <row r="4863" spans="1:4" x14ac:dyDescent="0.55000000000000004">
      <c r="A4863">
        <f t="shared" si="152"/>
        <v>2005</v>
      </c>
      <c r="B4863" s="821">
        <v>38590</v>
      </c>
      <c r="C4863">
        <v>4.38</v>
      </c>
      <c r="D4863">
        <f t="shared" si="153"/>
        <v>1</v>
      </c>
    </row>
    <row r="4864" spans="1:4" x14ac:dyDescent="0.55000000000000004">
      <c r="A4864">
        <f t="shared" si="152"/>
        <v>2005</v>
      </c>
      <c r="B4864" s="821">
        <v>38589</v>
      </c>
      <c r="C4864">
        <v>4.37</v>
      </c>
      <c r="D4864">
        <f t="shared" si="153"/>
        <v>1</v>
      </c>
    </row>
    <row r="4865" spans="1:4" x14ac:dyDescent="0.55000000000000004">
      <c r="A4865">
        <f t="shared" si="152"/>
        <v>2005</v>
      </c>
      <c r="B4865" s="821">
        <v>38588</v>
      </c>
      <c r="C4865">
        <v>4.38</v>
      </c>
      <c r="D4865">
        <f t="shared" si="153"/>
        <v>1</v>
      </c>
    </row>
    <row r="4866" spans="1:4" x14ac:dyDescent="0.55000000000000004">
      <c r="A4866">
        <f t="shared" si="152"/>
        <v>2005</v>
      </c>
      <c r="B4866" s="821">
        <v>38587</v>
      </c>
      <c r="C4866">
        <v>4.3899999999999997</v>
      </c>
      <c r="D4866">
        <f t="shared" si="153"/>
        <v>1</v>
      </c>
    </row>
    <row r="4867" spans="1:4" x14ac:dyDescent="0.55000000000000004">
      <c r="A4867">
        <f t="shared" si="152"/>
        <v>2005</v>
      </c>
      <c r="B4867" s="821">
        <v>38586</v>
      </c>
      <c r="C4867">
        <v>4.4000000000000004</v>
      </c>
      <c r="D4867">
        <f t="shared" si="153"/>
        <v>1</v>
      </c>
    </row>
    <row r="4868" spans="1:4" x14ac:dyDescent="0.55000000000000004">
      <c r="A4868">
        <f t="shared" ref="A4868:A4931" si="154">YEAR(B4868)</f>
        <v>2005</v>
      </c>
      <c r="B4868" s="821">
        <v>38583</v>
      </c>
      <c r="C4868">
        <v>4.4000000000000004</v>
      </c>
      <c r="D4868">
        <f t="shared" ref="D4868:D4931" si="155">IF(C4868&gt;4,1,0)</f>
        <v>1</v>
      </c>
    </row>
    <row r="4869" spans="1:4" x14ac:dyDescent="0.55000000000000004">
      <c r="A4869">
        <f t="shared" si="154"/>
        <v>2005</v>
      </c>
      <c r="B4869" s="821">
        <v>38582</v>
      </c>
      <c r="C4869">
        <v>4.4000000000000004</v>
      </c>
      <c r="D4869">
        <f t="shared" si="155"/>
        <v>1</v>
      </c>
    </row>
    <row r="4870" spans="1:4" x14ac:dyDescent="0.55000000000000004">
      <c r="A4870">
        <f t="shared" si="154"/>
        <v>2005</v>
      </c>
      <c r="B4870" s="821">
        <v>38581</v>
      </c>
      <c r="C4870">
        <v>4.49</v>
      </c>
      <c r="D4870">
        <f t="shared" si="155"/>
        <v>1</v>
      </c>
    </row>
    <row r="4871" spans="1:4" x14ac:dyDescent="0.55000000000000004">
      <c r="A4871">
        <f t="shared" si="154"/>
        <v>2005</v>
      </c>
      <c r="B4871" s="821">
        <v>38580</v>
      </c>
      <c r="C4871">
        <v>4.41</v>
      </c>
      <c r="D4871">
        <f t="shared" si="155"/>
        <v>1</v>
      </c>
    </row>
    <row r="4872" spans="1:4" x14ac:dyDescent="0.55000000000000004">
      <c r="A4872">
        <f t="shared" si="154"/>
        <v>2005</v>
      </c>
      <c r="B4872" s="821">
        <v>38579</v>
      </c>
      <c r="C4872">
        <v>4.45</v>
      </c>
      <c r="D4872">
        <f t="shared" si="155"/>
        <v>1</v>
      </c>
    </row>
    <row r="4873" spans="1:4" x14ac:dyDescent="0.55000000000000004">
      <c r="A4873">
        <f t="shared" si="154"/>
        <v>2005</v>
      </c>
      <c r="B4873" s="821">
        <v>38576</v>
      </c>
      <c r="C4873">
        <v>4.42</v>
      </c>
      <c r="D4873">
        <f t="shared" si="155"/>
        <v>1</v>
      </c>
    </row>
    <row r="4874" spans="1:4" x14ac:dyDescent="0.55000000000000004">
      <c r="A4874">
        <f t="shared" si="154"/>
        <v>2005</v>
      </c>
      <c r="B4874" s="821">
        <v>38575</v>
      </c>
      <c r="C4874">
        <v>4.51</v>
      </c>
      <c r="D4874">
        <f t="shared" si="155"/>
        <v>1</v>
      </c>
    </row>
    <row r="4875" spans="1:4" x14ac:dyDescent="0.55000000000000004">
      <c r="A4875">
        <f t="shared" si="154"/>
        <v>2005</v>
      </c>
      <c r="B4875" s="821">
        <v>38574</v>
      </c>
      <c r="C4875">
        <v>4.5599999999999996</v>
      </c>
      <c r="D4875">
        <f t="shared" si="155"/>
        <v>1</v>
      </c>
    </row>
    <row r="4876" spans="1:4" x14ac:dyDescent="0.55000000000000004">
      <c r="A4876">
        <f t="shared" si="154"/>
        <v>2005</v>
      </c>
      <c r="B4876" s="821">
        <v>38573</v>
      </c>
      <c r="C4876">
        <v>4.5599999999999996</v>
      </c>
      <c r="D4876">
        <f t="shared" si="155"/>
        <v>1</v>
      </c>
    </row>
    <row r="4877" spans="1:4" x14ac:dyDescent="0.55000000000000004">
      <c r="A4877">
        <f t="shared" si="154"/>
        <v>2005</v>
      </c>
      <c r="B4877" s="821">
        <v>38572</v>
      </c>
      <c r="C4877">
        <v>4.58</v>
      </c>
      <c r="D4877">
        <f t="shared" si="155"/>
        <v>1</v>
      </c>
    </row>
    <row r="4878" spans="1:4" x14ac:dyDescent="0.55000000000000004">
      <c r="A4878">
        <f t="shared" si="154"/>
        <v>2005</v>
      </c>
      <c r="B4878" s="821">
        <v>38569</v>
      </c>
      <c r="C4878">
        <v>4.5599999999999996</v>
      </c>
      <c r="D4878">
        <f t="shared" si="155"/>
        <v>1</v>
      </c>
    </row>
    <row r="4879" spans="1:4" x14ac:dyDescent="0.55000000000000004">
      <c r="A4879">
        <f t="shared" si="154"/>
        <v>2005</v>
      </c>
      <c r="B4879" s="821">
        <v>38568</v>
      </c>
      <c r="C4879">
        <v>4.5</v>
      </c>
      <c r="D4879">
        <f t="shared" si="155"/>
        <v>1</v>
      </c>
    </row>
    <row r="4880" spans="1:4" x14ac:dyDescent="0.55000000000000004">
      <c r="A4880">
        <f t="shared" si="154"/>
        <v>2005</v>
      </c>
      <c r="B4880" s="821">
        <v>38567</v>
      </c>
      <c r="C4880">
        <v>4.4800000000000004</v>
      </c>
      <c r="D4880">
        <f t="shared" si="155"/>
        <v>1</v>
      </c>
    </row>
    <row r="4881" spans="1:4" x14ac:dyDescent="0.55000000000000004">
      <c r="A4881">
        <f t="shared" si="154"/>
        <v>2005</v>
      </c>
      <c r="B4881" s="821">
        <v>38566</v>
      </c>
      <c r="C4881">
        <v>4.5199999999999996</v>
      </c>
      <c r="D4881">
        <f t="shared" si="155"/>
        <v>1</v>
      </c>
    </row>
    <row r="4882" spans="1:4" x14ac:dyDescent="0.55000000000000004">
      <c r="A4882">
        <f t="shared" si="154"/>
        <v>2005</v>
      </c>
      <c r="B4882" s="821">
        <v>38565</v>
      </c>
      <c r="C4882">
        <v>4.46</v>
      </c>
      <c r="D4882">
        <f t="shared" si="155"/>
        <v>1</v>
      </c>
    </row>
    <row r="4883" spans="1:4" x14ac:dyDescent="0.55000000000000004">
      <c r="A4883">
        <f t="shared" si="154"/>
        <v>2005</v>
      </c>
      <c r="B4883" s="821">
        <v>38562</v>
      </c>
      <c r="C4883">
        <v>4.42</v>
      </c>
      <c r="D4883">
        <f t="shared" si="155"/>
        <v>1</v>
      </c>
    </row>
    <row r="4884" spans="1:4" x14ac:dyDescent="0.55000000000000004">
      <c r="A4884">
        <f t="shared" si="154"/>
        <v>2005</v>
      </c>
      <c r="B4884" s="821">
        <v>38561</v>
      </c>
      <c r="C4884">
        <v>4.38</v>
      </c>
      <c r="D4884">
        <f t="shared" si="155"/>
        <v>1</v>
      </c>
    </row>
    <row r="4885" spans="1:4" x14ac:dyDescent="0.55000000000000004">
      <c r="A4885">
        <f t="shared" si="154"/>
        <v>2005</v>
      </c>
      <c r="B4885" s="821">
        <v>38560</v>
      </c>
      <c r="C4885">
        <v>4.42</v>
      </c>
      <c r="D4885">
        <f t="shared" si="155"/>
        <v>1</v>
      </c>
    </row>
    <row r="4886" spans="1:4" x14ac:dyDescent="0.55000000000000004">
      <c r="A4886">
        <f t="shared" si="154"/>
        <v>2005</v>
      </c>
      <c r="B4886" s="821">
        <v>38559</v>
      </c>
      <c r="C4886">
        <v>4.4400000000000004</v>
      </c>
      <c r="D4886">
        <f t="shared" si="155"/>
        <v>1</v>
      </c>
    </row>
    <row r="4887" spans="1:4" x14ac:dyDescent="0.55000000000000004">
      <c r="A4887">
        <f t="shared" si="154"/>
        <v>2005</v>
      </c>
      <c r="B4887" s="821">
        <v>38558</v>
      </c>
      <c r="C4887">
        <v>4.4400000000000004</v>
      </c>
      <c r="D4887">
        <f t="shared" si="155"/>
        <v>1</v>
      </c>
    </row>
    <row r="4888" spans="1:4" x14ac:dyDescent="0.55000000000000004">
      <c r="A4888">
        <f t="shared" si="154"/>
        <v>2005</v>
      </c>
      <c r="B4888" s="821">
        <v>38555</v>
      </c>
      <c r="C4888">
        <v>4.3899999999999997</v>
      </c>
      <c r="D4888">
        <f t="shared" si="155"/>
        <v>1</v>
      </c>
    </row>
    <row r="4889" spans="1:4" x14ac:dyDescent="0.55000000000000004">
      <c r="A4889">
        <f t="shared" si="154"/>
        <v>2005</v>
      </c>
      <c r="B4889" s="821">
        <v>38554</v>
      </c>
      <c r="C4889">
        <v>4.4800000000000004</v>
      </c>
      <c r="D4889">
        <f t="shared" si="155"/>
        <v>1</v>
      </c>
    </row>
    <row r="4890" spans="1:4" x14ac:dyDescent="0.55000000000000004">
      <c r="A4890">
        <f t="shared" si="154"/>
        <v>2005</v>
      </c>
      <c r="B4890" s="821">
        <v>38553</v>
      </c>
      <c r="C4890">
        <v>4.37</v>
      </c>
      <c r="D4890">
        <f t="shared" si="155"/>
        <v>1</v>
      </c>
    </row>
    <row r="4891" spans="1:4" x14ac:dyDescent="0.55000000000000004">
      <c r="A4891">
        <f t="shared" si="154"/>
        <v>2005</v>
      </c>
      <c r="B4891" s="821">
        <v>38552</v>
      </c>
      <c r="C4891">
        <v>4.41</v>
      </c>
      <c r="D4891">
        <f t="shared" si="155"/>
        <v>1</v>
      </c>
    </row>
    <row r="4892" spans="1:4" x14ac:dyDescent="0.55000000000000004">
      <c r="A4892">
        <f t="shared" si="154"/>
        <v>2005</v>
      </c>
      <c r="B4892" s="821">
        <v>38551</v>
      </c>
      <c r="C4892">
        <v>4.4400000000000004</v>
      </c>
      <c r="D4892">
        <f t="shared" si="155"/>
        <v>1</v>
      </c>
    </row>
    <row r="4893" spans="1:4" x14ac:dyDescent="0.55000000000000004">
      <c r="A4893">
        <f t="shared" si="154"/>
        <v>2005</v>
      </c>
      <c r="B4893" s="821">
        <v>38548</v>
      </c>
      <c r="C4893">
        <v>4.3899999999999997</v>
      </c>
      <c r="D4893">
        <f t="shared" si="155"/>
        <v>1</v>
      </c>
    </row>
    <row r="4894" spans="1:4" x14ac:dyDescent="0.55000000000000004">
      <c r="A4894">
        <f t="shared" si="154"/>
        <v>2005</v>
      </c>
      <c r="B4894" s="821">
        <v>38547</v>
      </c>
      <c r="C4894">
        <v>4.4000000000000004</v>
      </c>
      <c r="D4894">
        <f t="shared" si="155"/>
        <v>1</v>
      </c>
    </row>
    <row r="4895" spans="1:4" x14ac:dyDescent="0.55000000000000004">
      <c r="A4895">
        <f t="shared" si="154"/>
        <v>2005</v>
      </c>
      <c r="B4895" s="821">
        <v>38546</v>
      </c>
      <c r="C4895">
        <v>4.38</v>
      </c>
      <c r="D4895">
        <f t="shared" si="155"/>
        <v>1</v>
      </c>
    </row>
    <row r="4896" spans="1:4" x14ac:dyDescent="0.55000000000000004">
      <c r="A4896">
        <f t="shared" si="154"/>
        <v>2005</v>
      </c>
      <c r="B4896" s="821">
        <v>38545</v>
      </c>
      <c r="C4896">
        <v>4.3600000000000003</v>
      </c>
      <c r="D4896">
        <f t="shared" si="155"/>
        <v>1</v>
      </c>
    </row>
    <row r="4897" spans="1:4" x14ac:dyDescent="0.55000000000000004">
      <c r="A4897">
        <f t="shared" si="154"/>
        <v>2005</v>
      </c>
      <c r="B4897" s="821">
        <v>38544</v>
      </c>
      <c r="C4897">
        <v>4.3</v>
      </c>
      <c r="D4897">
        <f t="shared" si="155"/>
        <v>1</v>
      </c>
    </row>
    <row r="4898" spans="1:4" x14ac:dyDescent="0.55000000000000004">
      <c r="A4898">
        <f t="shared" si="154"/>
        <v>2005</v>
      </c>
      <c r="B4898" s="821">
        <v>38541</v>
      </c>
      <c r="C4898">
        <v>4.33</v>
      </c>
      <c r="D4898">
        <f t="shared" si="155"/>
        <v>1</v>
      </c>
    </row>
    <row r="4899" spans="1:4" x14ac:dyDescent="0.55000000000000004">
      <c r="A4899">
        <f t="shared" si="154"/>
        <v>2005</v>
      </c>
      <c r="B4899" s="821">
        <v>38540</v>
      </c>
      <c r="C4899">
        <v>4.28</v>
      </c>
      <c r="D4899">
        <f t="shared" si="155"/>
        <v>1</v>
      </c>
    </row>
    <row r="4900" spans="1:4" x14ac:dyDescent="0.55000000000000004">
      <c r="A4900">
        <f t="shared" si="154"/>
        <v>2005</v>
      </c>
      <c r="B4900" s="821">
        <v>38539</v>
      </c>
      <c r="C4900">
        <v>4.3099999999999996</v>
      </c>
      <c r="D4900">
        <f t="shared" si="155"/>
        <v>1</v>
      </c>
    </row>
    <row r="4901" spans="1:4" x14ac:dyDescent="0.55000000000000004">
      <c r="A4901">
        <f t="shared" si="154"/>
        <v>2005</v>
      </c>
      <c r="B4901" s="821">
        <v>38538</v>
      </c>
      <c r="C4901">
        <v>4.34</v>
      </c>
      <c r="D4901">
        <f t="shared" si="155"/>
        <v>1</v>
      </c>
    </row>
    <row r="4902" spans="1:4" x14ac:dyDescent="0.55000000000000004">
      <c r="A4902">
        <f t="shared" si="154"/>
        <v>2005</v>
      </c>
      <c r="B4902" s="821">
        <v>38534</v>
      </c>
      <c r="C4902">
        <v>4.28</v>
      </c>
      <c r="D4902">
        <f t="shared" si="155"/>
        <v>1</v>
      </c>
    </row>
    <row r="4903" spans="1:4" x14ac:dyDescent="0.55000000000000004">
      <c r="A4903">
        <f t="shared" si="154"/>
        <v>2005</v>
      </c>
      <c r="B4903" s="821">
        <v>38533</v>
      </c>
      <c r="C4903">
        <v>4.1900000000000004</v>
      </c>
      <c r="D4903">
        <f t="shared" si="155"/>
        <v>1</v>
      </c>
    </row>
    <row r="4904" spans="1:4" x14ac:dyDescent="0.55000000000000004">
      <c r="A4904">
        <f t="shared" si="154"/>
        <v>2005</v>
      </c>
      <c r="B4904" s="821">
        <v>38532</v>
      </c>
      <c r="C4904">
        <v>4.24</v>
      </c>
      <c r="D4904">
        <f t="shared" si="155"/>
        <v>1</v>
      </c>
    </row>
    <row r="4905" spans="1:4" x14ac:dyDescent="0.55000000000000004">
      <c r="A4905">
        <f t="shared" si="154"/>
        <v>2005</v>
      </c>
      <c r="B4905" s="821">
        <v>38531</v>
      </c>
      <c r="C4905">
        <v>4.22</v>
      </c>
      <c r="D4905">
        <f t="shared" si="155"/>
        <v>1</v>
      </c>
    </row>
    <row r="4906" spans="1:4" x14ac:dyDescent="0.55000000000000004">
      <c r="A4906">
        <f t="shared" si="154"/>
        <v>2005</v>
      </c>
      <c r="B4906" s="821">
        <v>38530</v>
      </c>
      <c r="C4906">
        <v>4.25</v>
      </c>
      <c r="D4906">
        <f t="shared" si="155"/>
        <v>1</v>
      </c>
    </row>
    <row r="4907" spans="1:4" x14ac:dyDescent="0.55000000000000004">
      <c r="A4907">
        <f t="shared" si="154"/>
        <v>2005</v>
      </c>
      <c r="B4907" s="821">
        <v>38527</v>
      </c>
      <c r="C4907">
        <v>4.2300000000000004</v>
      </c>
      <c r="D4907">
        <f t="shared" si="155"/>
        <v>1</v>
      </c>
    </row>
    <row r="4908" spans="1:4" x14ac:dyDescent="0.55000000000000004">
      <c r="A4908">
        <f t="shared" si="154"/>
        <v>2005</v>
      </c>
      <c r="B4908" s="821">
        <v>38526</v>
      </c>
      <c r="C4908">
        <v>4.2699999999999996</v>
      </c>
      <c r="D4908">
        <f t="shared" si="155"/>
        <v>1</v>
      </c>
    </row>
    <row r="4909" spans="1:4" x14ac:dyDescent="0.55000000000000004">
      <c r="A4909">
        <f t="shared" si="154"/>
        <v>2005</v>
      </c>
      <c r="B4909" s="821">
        <v>38525</v>
      </c>
      <c r="C4909">
        <v>4.2300000000000004</v>
      </c>
      <c r="D4909">
        <f t="shared" si="155"/>
        <v>1</v>
      </c>
    </row>
    <row r="4910" spans="1:4" x14ac:dyDescent="0.55000000000000004">
      <c r="A4910">
        <f t="shared" si="154"/>
        <v>2005</v>
      </c>
      <c r="B4910" s="821">
        <v>38524</v>
      </c>
      <c r="C4910">
        <v>4.32</v>
      </c>
      <c r="D4910">
        <f t="shared" si="155"/>
        <v>1</v>
      </c>
    </row>
    <row r="4911" spans="1:4" x14ac:dyDescent="0.55000000000000004">
      <c r="A4911">
        <f t="shared" si="154"/>
        <v>2005</v>
      </c>
      <c r="B4911" s="821">
        <v>38523</v>
      </c>
      <c r="C4911">
        <v>4.34</v>
      </c>
      <c r="D4911">
        <f t="shared" si="155"/>
        <v>1</v>
      </c>
    </row>
    <row r="4912" spans="1:4" x14ac:dyDescent="0.55000000000000004">
      <c r="A4912">
        <f t="shared" si="154"/>
        <v>2005</v>
      </c>
      <c r="B4912" s="821">
        <v>38520</v>
      </c>
      <c r="C4912">
        <v>4.3499999999999996</v>
      </c>
      <c r="D4912">
        <f t="shared" si="155"/>
        <v>1</v>
      </c>
    </row>
    <row r="4913" spans="1:4" x14ac:dyDescent="0.55000000000000004">
      <c r="A4913">
        <f t="shared" si="154"/>
        <v>2005</v>
      </c>
      <c r="B4913" s="821">
        <v>38519</v>
      </c>
      <c r="C4913">
        <v>4.3600000000000003</v>
      </c>
      <c r="D4913">
        <f t="shared" si="155"/>
        <v>1</v>
      </c>
    </row>
    <row r="4914" spans="1:4" x14ac:dyDescent="0.55000000000000004">
      <c r="A4914">
        <f t="shared" si="154"/>
        <v>2005</v>
      </c>
      <c r="B4914" s="821">
        <v>38518</v>
      </c>
      <c r="C4914">
        <v>4.4400000000000004</v>
      </c>
      <c r="D4914">
        <f t="shared" si="155"/>
        <v>1</v>
      </c>
    </row>
    <row r="4915" spans="1:4" x14ac:dyDescent="0.55000000000000004">
      <c r="A4915">
        <f t="shared" si="154"/>
        <v>2005</v>
      </c>
      <c r="B4915" s="821">
        <v>38517</v>
      </c>
      <c r="C4915">
        <v>4.41</v>
      </c>
      <c r="D4915">
        <f t="shared" si="155"/>
        <v>1</v>
      </c>
    </row>
    <row r="4916" spans="1:4" x14ac:dyDescent="0.55000000000000004">
      <c r="A4916">
        <f t="shared" si="154"/>
        <v>2005</v>
      </c>
      <c r="B4916" s="821">
        <v>38516</v>
      </c>
      <c r="C4916">
        <v>4.3899999999999997</v>
      </c>
      <c r="D4916">
        <f t="shared" si="155"/>
        <v>1</v>
      </c>
    </row>
    <row r="4917" spans="1:4" x14ac:dyDescent="0.55000000000000004">
      <c r="A4917">
        <f t="shared" si="154"/>
        <v>2005</v>
      </c>
      <c r="B4917" s="821">
        <v>38513</v>
      </c>
      <c r="C4917">
        <v>4.3</v>
      </c>
      <c r="D4917">
        <f t="shared" si="155"/>
        <v>1</v>
      </c>
    </row>
    <row r="4918" spans="1:4" x14ac:dyDescent="0.55000000000000004">
      <c r="A4918">
        <f t="shared" si="154"/>
        <v>2005</v>
      </c>
      <c r="B4918" s="821">
        <v>38512</v>
      </c>
      <c r="C4918">
        <v>4.2300000000000004</v>
      </c>
      <c r="D4918">
        <f t="shared" si="155"/>
        <v>1</v>
      </c>
    </row>
    <row r="4919" spans="1:4" x14ac:dyDescent="0.55000000000000004">
      <c r="A4919">
        <f t="shared" si="154"/>
        <v>2005</v>
      </c>
      <c r="B4919" s="821">
        <v>38511</v>
      </c>
      <c r="C4919">
        <v>4.24</v>
      </c>
      <c r="D4919">
        <f t="shared" si="155"/>
        <v>1</v>
      </c>
    </row>
    <row r="4920" spans="1:4" x14ac:dyDescent="0.55000000000000004">
      <c r="A4920">
        <f t="shared" si="154"/>
        <v>2005</v>
      </c>
      <c r="B4920" s="821">
        <v>38510</v>
      </c>
      <c r="C4920">
        <v>4.18</v>
      </c>
      <c r="D4920">
        <f t="shared" si="155"/>
        <v>1</v>
      </c>
    </row>
    <row r="4921" spans="1:4" x14ac:dyDescent="0.55000000000000004">
      <c r="A4921">
        <f t="shared" si="154"/>
        <v>2005</v>
      </c>
      <c r="B4921" s="821">
        <v>38509</v>
      </c>
      <c r="C4921">
        <v>4.2300000000000004</v>
      </c>
      <c r="D4921">
        <f t="shared" si="155"/>
        <v>1</v>
      </c>
    </row>
    <row r="4922" spans="1:4" x14ac:dyDescent="0.55000000000000004">
      <c r="A4922">
        <f t="shared" si="154"/>
        <v>2005</v>
      </c>
      <c r="B4922" s="821">
        <v>38506</v>
      </c>
      <c r="C4922">
        <v>4.26</v>
      </c>
      <c r="D4922">
        <f t="shared" si="155"/>
        <v>1</v>
      </c>
    </row>
    <row r="4923" spans="1:4" x14ac:dyDescent="0.55000000000000004">
      <c r="A4923">
        <f t="shared" si="154"/>
        <v>2005</v>
      </c>
      <c r="B4923" s="821">
        <v>38505</v>
      </c>
      <c r="C4923">
        <v>4.2</v>
      </c>
      <c r="D4923">
        <f t="shared" si="155"/>
        <v>1</v>
      </c>
    </row>
    <row r="4924" spans="1:4" x14ac:dyDescent="0.55000000000000004">
      <c r="A4924">
        <f t="shared" si="154"/>
        <v>2005</v>
      </c>
      <c r="B4924" s="821">
        <v>38504</v>
      </c>
      <c r="C4924">
        <v>4.2699999999999996</v>
      </c>
      <c r="D4924">
        <f t="shared" si="155"/>
        <v>1</v>
      </c>
    </row>
    <row r="4925" spans="1:4" x14ac:dyDescent="0.55000000000000004">
      <c r="A4925">
        <f t="shared" si="154"/>
        <v>2005</v>
      </c>
      <c r="B4925" s="821">
        <v>38503</v>
      </c>
      <c r="C4925">
        <v>4.3600000000000003</v>
      </c>
      <c r="D4925">
        <f t="shared" si="155"/>
        <v>1</v>
      </c>
    </row>
    <row r="4926" spans="1:4" x14ac:dyDescent="0.55000000000000004">
      <c r="A4926">
        <f t="shared" si="154"/>
        <v>2005</v>
      </c>
      <c r="B4926" s="821">
        <v>38499</v>
      </c>
      <c r="C4926">
        <v>4.45</v>
      </c>
      <c r="D4926">
        <f t="shared" si="155"/>
        <v>1</v>
      </c>
    </row>
    <row r="4927" spans="1:4" x14ac:dyDescent="0.55000000000000004">
      <c r="A4927">
        <f t="shared" si="154"/>
        <v>2005</v>
      </c>
      <c r="B4927" s="821">
        <v>38498</v>
      </c>
      <c r="C4927">
        <v>4.45</v>
      </c>
      <c r="D4927">
        <f t="shared" si="155"/>
        <v>1</v>
      </c>
    </row>
    <row r="4928" spans="1:4" x14ac:dyDescent="0.55000000000000004">
      <c r="A4928">
        <f t="shared" si="154"/>
        <v>2005</v>
      </c>
      <c r="B4928" s="821">
        <v>38497</v>
      </c>
      <c r="C4928">
        <v>4.4000000000000004</v>
      </c>
      <c r="D4928">
        <f t="shared" si="155"/>
        <v>1</v>
      </c>
    </row>
    <row r="4929" spans="1:4" x14ac:dyDescent="0.55000000000000004">
      <c r="A4929">
        <f t="shared" si="154"/>
        <v>2005</v>
      </c>
      <c r="B4929" s="821">
        <v>38496</v>
      </c>
      <c r="C4929">
        <v>4.3499999999999996</v>
      </c>
      <c r="D4929">
        <f t="shared" si="155"/>
        <v>1</v>
      </c>
    </row>
    <row r="4930" spans="1:4" x14ac:dyDescent="0.55000000000000004">
      <c r="A4930">
        <f t="shared" si="154"/>
        <v>2005</v>
      </c>
      <c r="B4930" s="821">
        <v>38495</v>
      </c>
      <c r="C4930">
        <v>4.38</v>
      </c>
      <c r="D4930">
        <f t="shared" si="155"/>
        <v>1</v>
      </c>
    </row>
    <row r="4931" spans="1:4" x14ac:dyDescent="0.55000000000000004">
      <c r="A4931">
        <f t="shared" si="154"/>
        <v>2005</v>
      </c>
      <c r="B4931" s="821">
        <v>38492</v>
      </c>
      <c r="C4931">
        <v>4.4400000000000004</v>
      </c>
      <c r="D4931">
        <f t="shared" si="155"/>
        <v>1</v>
      </c>
    </row>
    <row r="4932" spans="1:4" x14ac:dyDescent="0.55000000000000004">
      <c r="A4932">
        <f t="shared" ref="A4932:A4995" si="156">YEAR(B4932)</f>
        <v>2005</v>
      </c>
      <c r="B4932" s="821">
        <v>38491</v>
      </c>
      <c r="C4932">
        <v>4.4400000000000004</v>
      </c>
      <c r="D4932">
        <f t="shared" ref="D4932:D4995" si="157">IF(C4932&gt;4,1,0)</f>
        <v>1</v>
      </c>
    </row>
    <row r="4933" spans="1:4" x14ac:dyDescent="0.55000000000000004">
      <c r="A4933">
        <f t="shared" si="156"/>
        <v>2005</v>
      </c>
      <c r="B4933" s="821">
        <v>38490</v>
      </c>
      <c r="C4933">
        <v>4.42</v>
      </c>
      <c r="D4933">
        <f t="shared" si="157"/>
        <v>1</v>
      </c>
    </row>
    <row r="4934" spans="1:4" x14ac:dyDescent="0.55000000000000004">
      <c r="A4934">
        <f t="shared" si="156"/>
        <v>2005</v>
      </c>
      <c r="B4934" s="821">
        <v>38489</v>
      </c>
      <c r="C4934">
        <v>4.47</v>
      </c>
      <c r="D4934">
        <f t="shared" si="157"/>
        <v>1</v>
      </c>
    </row>
    <row r="4935" spans="1:4" x14ac:dyDescent="0.55000000000000004">
      <c r="A4935">
        <f t="shared" si="156"/>
        <v>2005</v>
      </c>
      <c r="B4935" s="821">
        <v>38488</v>
      </c>
      <c r="C4935">
        <v>4.49</v>
      </c>
      <c r="D4935">
        <f t="shared" si="157"/>
        <v>1</v>
      </c>
    </row>
    <row r="4936" spans="1:4" x14ac:dyDescent="0.55000000000000004">
      <c r="A4936">
        <f t="shared" si="156"/>
        <v>2005</v>
      </c>
      <c r="B4936" s="821">
        <v>38485</v>
      </c>
      <c r="C4936">
        <v>4.4800000000000004</v>
      </c>
      <c r="D4936">
        <f t="shared" si="157"/>
        <v>1</v>
      </c>
    </row>
    <row r="4937" spans="1:4" x14ac:dyDescent="0.55000000000000004">
      <c r="A4937">
        <f t="shared" si="156"/>
        <v>2005</v>
      </c>
      <c r="B4937" s="821">
        <v>38484</v>
      </c>
      <c r="C4937">
        <v>4.54</v>
      </c>
      <c r="D4937">
        <f t="shared" si="157"/>
        <v>1</v>
      </c>
    </row>
    <row r="4938" spans="1:4" x14ac:dyDescent="0.55000000000000004">
      <c r="A4938">
        <f t="shared" si="156"/>
        <v>2005</v>
      </c>
      <c r="B4938" s="821">
        <v>38483</v>
      </c>
      <c r="C4938">
        <v>4.54</v>
      </c>
      <c r="D4938">
        <f t="shared" si="157"/>
        <v>1</v>
      </c>
    </row>
    <row r="4939" spans="1:4" x14ac:dyDescent="0.55000000000000004">
      <c r="A4939">
        <f t="shared" si="156"/>
        <v>2005</v>
      </c>
      <c r="B4939" s="821">
        <v>38482</v>
      </c>
      <c r="C4939">
        <v>4.5999999999999996</v>
      </c>
      <c r="D4939">
        <f t="shared" si="157"/>
        <v>1</v>
      </c>
    </row>
    <row r="4940" spans="1:4" x14ac:dyDescent="0.55000000000000004">
      <c r="A4940">
        <f t="shared" si="156"/>
        <v>2005</v>
      </c>
      <c r="B4940" s="821">
        <v>38481</v>
      </c>
      <c r="C4940">
        <v>4.6399999999999997</v>
      </c>
      <c r="D4940">
        <f t="shared" si="157"/>
        <v>1</v>
      </c>
    </row>
    <row r="4941" spans="1:4" x14ac:dyDescent="0.55000000000000004">
      <c r="A4941">
        <f t="shared" si="156"/>
        <v>2005</v>
      </c>
      <c r="B4941" s="821">
        <v>38478</v>
      </c>
      <c r="C4941">
        <v>4.62</v>
      </c>
      <c r="D4941">
        <f t="shared" si="157"/>
        <v>1</v>
      </c>
    </row>
    <row r="4942" spans="1:4" x14ac:dyDescent="0.55000000000000004">
      <c r="A4942">
        <f t="shared" si="156"/>
        <v>2005</v>
      </c>
      <c r="B4942" s="821">
        <v>38477</v>
      </c>
      <c r="C4942">
        <v>4.5999999999999996</v>
      </c>
      <c r="D4942">
        <f t="shared" si="157"/>
        <v>1</v>
      </c>
    </row>
    <row r="4943" spans="1:4" x14ac:dyDescent="0.55000000000000004">
      <c r="A4943">
        <f t="shared" si="156"/>
        <v>2005</v>
      </c>
      <c r="B4943" s="821">
        <v>38476</v>
      </c>
      <c r="C4943">
        <v>4.5999999999999996</v>
      </c>
      <c r="D4943">
        <f t="shared" si="157"/>
        <v>1</v>
      </c>
    </row>
    <row r="4944" spans="1:4" x14ac:dyDescent="0.55000000000000004">
      <c r="A4944">
        <f t="shared" si="156"/>
        <v>2005</v>
      </c>
      <c r="B4944" s="821">
        <v>38475</v>
      </c>
      <c r="C4944">
        <v>4.49</v>
      </c>
      <c r="D4944">
        <f t="shared" si="157"/>
        <v>1</v>
      </c>
    </row>
    <row r="4945" spans="1:4" x14ac:dyDescent="0.55000000000000004">
      <c r="A4945">
        <f t="shared" si="156"/>
        <v>2005</v>
      </c>
      <c r="B4945" s="821">
        <v>38474</v>
      </c>
      <c r="C4945">
        <v>4.53</v>
      </c>
      <c r="D4945">
        <f t="shared" si="157"/>
        <v>1</v>
      </c>
    </row>
    <row r="4946" spans="1:4" x14ac:dyDescent="0.55000000000000004">
      <c r="A4946">
        <f t="shared" si="156"/>
        <v>2005</v>
      </c>
      <c r="B4946" s="821">
        <v>38471</v>
      </c>
      <c r="C4946">
        <v>4.53</v>
      </c>
      <c r="D4946">
        <f t="shared" si="157"/>
        <v>1</v>
      </c>
    </row>
    <row r="4947" spans="1:4" x14ac:dyDescent="0.55000000000000004">
      <c r="A4947">
        <f t="shared" si="156"/>
        <v>2005</v>
      </c>
      <c r="B4947" s="821">
        <v>38470</v>
      </c>
      <c r="C4947">
        <v>4.5199999999999996</v>
      </c>
      <c r="D4947">
        <f t="shared" si="157"/>
        <v>1</v>
      </c>
    </row>
    <row r="4948" spans="1:4" x14ac:dyDescent="0.55000000000000004">
      <c r="A4948">
        <f t="shared" si="156"/>
        <v>2005</v>
      </c>
      <c r="B4948" s="821">
        <v>38469</v>
      </c>
      <c r="C4948">
        <v>4.57</v>
      </c>
      <c r="D4948">
        <f t="shared" si="157"/>
        <v>1</v>
      </c>
    </row>
    <row r="4949" spans="1:4" x14ac:dyDescent="0.55000000000000004">
      <c r="A4949">
        <f t="shared" si="156"/>
        <v>2005</v>
      </c>
      <c r="B4949" s="821">
        <v>38468</v>
      </c>
      <c r="C4949">
        <v>4.59</v>
      </c>
      <c r="D4949">
        <f t="shared" si="157"/>
        <v>1</v>
      </c>
    </row>
    <row r="4950" spans="1:4" x14ac:dyDescent="0.55000000000000004">
      <c r="A4950">
        <f t="shared" si="156"/>
        <v>2005</v>
      </c>
      <c r="B4950" s="821">
        <v>38467</v>
      </c>
      <c r="C4950">
        <v>4.54</v>
      </c>
      <c r="D4950">
        <f t="shared" si="157"/>
        <v>1</v>
      </c>
    </row>
    <row r="4951" spans="1:4" x14ac:dyDescent="0.55000000000000004">
      <c r="A4951">
        <f t="shared" si="156"/>
        <v>2005</v>
      </c>
      <c r="B4951" s="821">
        <v>38464</v>
      </c>
      <c r="C4951">
        <v>4.5999999999999996</v>
      </c>
      <c r="D4951">
        <f t="shared" si="157"/>
        <v>1</v>
      </c>
    </row>
    <row r="4952" spans="1:4" x14ac:dyDescent="0.55000000000000004">
      <c r="A4952">
        <f t="shared" si="156"/>
        <v>2005</v>
      </c>
      <c r="B4952" s="821">
        <v>38463</v>
      </c>
      <c r="C4952">
        <v>4.62</v>
      </c>
      <c r="D4952">
        <f t="shared" si="157"/>
        <v>1</v>
      </c>
    </row>
    <row r="4953" spans="1:4" x14ac:dyDescent="0.55000000000000004">
      <c r="A4953">
        <f t="shared" si="156"/>
        <v>2005</v>
      </c>
      <c r="B4953" s="821">
        <v>38462</v>
      </c>
      <c r="C4953">
        <v>4.59</v>
      </c>
      <c r="D4953">
        <f t="shared" si="157"/>
        <v>1</v>
      </c>
    </row>
    <row r="4954" spans="1:4" x14ac:dyDescent="0.55000000000000004">
      <c r="A4954">
        <f t="shared" si="156"/>
        <v>2005</v>
      </c>
      <c r="B4954" s="821">
        <v>38461</v>
      </c>
      <c r="C4954">
        <v>4.53</v>
      </c>
      <c r="D4954">
        <f t="shared" si="157"/>
        <v>1</v>
      </c>
    </row>
    <row r="4955" spans="1:4" x14ac:dyDescent="0.55000000000000004">
      <c r="A4955">
        <f t="shared" si="156"/>
        <v>2005</v>
      </c>
      <c r="B4955" s="821">
        <v>38460</v>
      </c>
      <c r="C4955">
        <v>4.62</v>
      </c>
      <c r="D4955">
        <f t="shared" si="157"/>
        <v>1</v>
      </c>
    </row>
    <row r="4956" spans="1:4" x14ac:dyDescent="0.55000000000000004">
      <c r="A4956">
        <f t="shared" si="156"/>
        <v>2005</v>
      </c>
      <c r="B4956" s="821">
        <v>38457</v>
      </c>
      <c r="C4956">
        <v>4.66</v>
      </c>
      <c r="D4956">
        <f t="shared" si="157"/>
        <v>1</v>
      </c>
    </row>
    <row r="4957" spans="1:4" x14ac:dyDescent="0.55000000000000004">
      <c r="A4957">
        <f t="shared" si="156"/>
        <v>2005</v>
      </c>
      <c r="B4957" s="821">
        <v>38456</v>
      </c>
      <c r="C4957">
        <v>4.7300000000000004</v>
      </c>
      <c r="D4957">
        <f t="shared" si="157"/>
        <v>1</v>
      </c>
    </row>
    <row r="4958" spans="1:4" x14ac:dyDescent="0.55000000000000004">
      <c r="A4958">
        <f t="shared" si="156"/>
        <v>2005</v>
      </c>
      <c r="B4958" s="821">
        <v>38455</v>
      </c>
      <c r="C4958">
        <v>4.68</v>
      </c>
      <c r="D4958">
        <f t="shared" si="157"/>
        <v>1</v>
      </c>
    </row>
    <row r="4959" spans="1:4" x14ac:dyDescent="0.55000000000000004">
      <c r="A4959">
        <f t="shared" si="156"/>
        <v>2005</v>
      </c>
      <c r="B4959" s="821">
        <v>38454</v>
      </c>
      <c r="C4959">
        <v>4.66</v>
      </c>
      <c r="D4959">
        <f t="shared" si="157"/>
        <v>1</v>
      </c>
    </row>
    <row r="4960" spans="1:4" x14ac:dyDescent="0.55000000000000004">
      <c r="A4960">
        <f t="shared" si="156"/>
        <v>2005</v>
      </c>
      <c r="B4960" s="821">
        <v>38453</v>
      </c>
      <c r="C4960">
        <v>4.7300000000000004</v>
      </c>
      <c r="D4960">
        <f t="shared" si="157"/>
        <v>1</v>
      </c>
    </row>
    <row r="4961" spans="1:4" x14ac:dyDescent="0.55000000000000004">
      <c r="A4961">
        <f t="shared" si="156"/>
        <v>2005</v>
      </c>
      <c r="B4961" s="821">
        <v>38450</v>
      </c>
      <c r="C4961">
        <v>4.7699999999999996</v>
      </c>
      <c r="D4961">
        <f t="shared" si="157"/>
        <v>1</v>
      </c>
    </row>
    <row r="4962" spans="1:4" x14ac:dyDescent="0.55000000000000004">
      <c r="A4962">
        <f t="shared" si="156"/>
        <v>2005</v>
      </c>
      <c r="B4962" s="821">
        <v>38449</v>
      </c>
      <c r="C4962">
        <v>4.78</v>
      </c>
      <c r="D4962">
        <f t="shared" si="157"/>
        <v>1</v>
      </c>
    </row>
    <row r="4963" spans="1:4" x14ac:dyDescent="0.55000000000000004">
      <c r="A4963">
        <f t="shared" si="156"/>
        <v>2005</v>
      </c>
      <c r="B4963" s="821">
        <v>38448</v>
      </c>
      <c r="C4963">
        <v>4.7300000000000004</v>
      </c>
      <c r="D4963">
        <f t="shared" si="157"/>
        <v>1</v>
      </c>
    </row>
    <row r="4964" spans="1:4" x14ac:dyDescent="0.55000000000000004">
      <c r="A4964">
        <f t="shared" si="156"/>
        <v>2005</v>
      </c>
      <c r="B4964" s="821">
        <v>38447</v>
      </c>
      <c r="C4964">
        <v>4.75</v>
      </c>
      <c r="D4964">
        <f t="shared" si="157"/>
        <v>1</v>
      </c>
    </row>
    <row r="4965" spans="1:4" x14ac:dyDescent="0.55000000000000004">
      <c r="A4965">
        <f t="shared" si="156"/>
        <v>2005</v>
      </c>
      <c r="B4965" s="821">
        <v>38446</v>
      </c>
      <c r="C4965">
        <v>4.7300000000000004</v>
      </c>
      <c r="D4965">
        <f t="shared" si="157"/>
        <v>1</v>
      </c>
    </row>
    <row r="4966" spans="1:4" x14ac:dyDescent="0.55000000000000004">
      <c r="A4966">
        <f t="shared" si="156"/>
        <v>2005</v>
      </c>
      <c r="B4966" s="821">
        <v>38443</v>
      </c>
      <c r="C4966">
        <v>4.72</v>
      </c>
      <c r="D4966">
        <f t="shared" si="157"/>
        <v>1</v>
      </c>
    </row>
    <row r="4967" spans="1:4" x14ac:dyDescent="0.55000000000000004">
      <c r="A4967">
        <f t="shared" si="156"/>
        <v>2005</v>
      </c>
      <c r="B4967" s="821">
        <v>38442</v>
      </c>
      <c r="C4967">
        <v>4.76</v>
      </c>
      <c r="D4967">
        <f t="shared" si="157"/>
        <v>1</v>
      </c>
    </row>
    <row r="4968" spans="1:4" x14ac:dyDescent="0.55000000000000004">
      <c r="A4968">
        <f t="shared" si="156"/>
        <v>2005</v>
      </c>
      <c r="B4968" s="821">
        <v>38441</v>
      </c>
      <c r="C4968">
        <v>4.7699999999999996</v>
      </c>
      <c r="D4968">
        <f t="shared" si="157"/>
        <v>1</v>
      </c>
    </row>
    <row r="4969" spans="1:4" x14ac:dyDescent="0.55000000000000004">
      <c r="A4969">
        <f t="shared" si="156"/>
        <v>2005</v>
      </c>
      <c r="B4969" s="821">
        <v>38440</v>
      </c>
      <c r="C4969">
        <v>4.8499999999999996</v>
      </c>
      <c r="D4969">
        <f t="shared" si="157"/>
        <v>1</v>
      </c>
    </row>
    <row r="4970" spans="1:4" x14ac:dyDescent="0.55000000000000004">
      <c r="A4970">
        <f t="shared" si="156"/>
        <v>2005</v>
      </c>
      <c r="B4970" s="821">
        <v>38439</v>
      </c>
      <c r="C4970">
        <v>4.88</v>
      </c>
      <c r="D4970">
        <f t="shared" si="157"/>
        <v>1</v>
      </c>
    </row>
    <row r="4971" spans="1:4" x14ac:dyDescent="0.55000000000000004">
      <c r="A4971">
        <f t="shared" si="156"/>
        <v>2005</v>
      </c>
      <c r="B4971" s="821">
        <v>38435</v>
      </c>
      <c r="C4971">
        <v>4.84</v>
      </c>
      <c r="D4971">
        <f t="shared" si="157"/>
        <v>1</v>
      </c>
    </row>
    <row r="4972" spans="1:4" x14ac:dyDescent="0.55000000000000004">
      <c r="A4972">
        <f t="shared" si="156"/>
        <v>2005</v>
      </c>
      <c r="B4972" s="821">
        <v>38434</v>
      </c>
      <c r="C4972">
        <v>4.8600000000000003</v>
      </c>
      <c r="D4972">
        <f t="shared" si="157"/>
        <v>1</v>
      </c>
    </row>
    <row r="4973" spans="1:4" x14ac:dyDescent="0.55000000000000004">
      <c r="A4973">
        <f t="shared" si="156"/>
        <v>2005</v>
      </c>
      <c r="B4973" s="821">
        <v>38433</v>
      </c>
      <c r="C4973">
        <v>4.88</v>
      </c>
      <c r="D4973">
        <f t="shared" si="157"/>
        <v>1</v>
      </c>
    </row>
    <row r="4974" spans="1:4" x14ac:dyDescent="0.55000000000000004">
      <c r="A4974">
        <f t="shared" si="156"/>
        <v>2005</v>
      </c>
      <c r="B4974" s="821">
        <v>38432</v>
      </c>
      <c r="C4974">
        <v>4.8499999999999996</v>
      </c>
      <c r="D4974">
        <f t="shared" si="157"/>
        <v>1</v>
      </c>
    </row>
    <row r="4975" spans="1:4" x14ac:dyDescent="0.55000000000000004">
      <c r="A4975">
        <f t="shared" si="156"/>
        <v>2005</v>
      </c>
      <c r="B4975" s="821">
        <v>38429</v>
      </c>
      <c r="C4975">
        <v>4.8</v>
      </c>
      <c r="D4975">
        <f t="shared" si="157"/>
        <v>1</v>
      </c>
    </row>
    <row r="4976" spans="1:4" x14ac:dyDescent="0.55000000000000004">
      <c r="A4976">
        <f t="shared" si="156"/>
        <v>2005</v>
      </c>
      <c r="B4976" s="821">
        <v>38428</v>
      </c>
      <c r="C4976">
        <v>4.75</v>
      </c>
      <c r="D4976">
        <f t="shared" si="157"/>
        <v>1</v>
      </c>
    </row>
    <row r="4977" spans="1:4" x14ac:dyDescent="0.55000000000000004">
      <c r="A4977">
        <f t="shared" si="156"/>
        <v>2005</v>
      </c>
      <c r="B4977" s="821">
        <v>38427</v>
      </c>
      <c r="C4977">
        <v>4.78</v>
      </c>
      <c r="D4977">
        <f t="shared" si="157"/>
        <v>1</v>
      </c>
    </row>
    <row r="4978" spans="1:4" x14ac:dyDescent="0.55000000000000004">
      <c r="A4978">
        <f t="shared" si="156"/>
        <v>2005</v>
      </c>
      <c r="B4978" s="821">
        <v>38426</v>
      </c>
      <c r="C4978">
        <v>4.8</v>
      </c>
      <c r="D4978">
        <f t="shared" si="157"/>
        <v>1</v>
      </c>
    </row>
    <row r="4979" spans="1:4" x14ac:dyDescent="0.55000000000000004">
      <c r="A4979">
        <f t="shared" si="156"/>
        <v>2005</v>
      </c>
      <c r="B4979" s="821">
        <v>38425</v>
      </c>
      <c r="C4979">
        <v>4.7699999999999996</v>
      </c>
      <c r="D4979">
        <f t="shared" si="157"/>
        <v>1</v>
      </c>
    </row>
    <row r="4980" spans="1:4" x14ac:dyDescent="0.55000000000000004">
      <c r="A4980">
        <f t="shared" si="156"/>
        <v>2005</v>
      </c>
      <c r="B4980" s="821">
        <v>38422</v>
      </c>
      <c r="C4980">
        <v>4.8</v>
      </c>
      <c r="D4980">
        <f t="shared" si="157"/>
        <v>1</v>
      </c>
    </row>
    <row r="4981" spans="1:4" x14ac:dyDescent="0.55000000000000004">
      <c r="A4981">
        <f t="shared" si="156"/>
        <v>2005</v>
      </c>
      <c r="B4981" s="821">
        <v>38421</v>
      </c>
      <c r="C4981">
        <v>4.74</v>
      </c>
      <c r="D4981">
        <f t="shared" si="157"/>
        <v>1</v>
      </c>
    </row>
    <row r="4982" spans="1:4" x14ac:dyDescent="0.55000000000000004">
      <c r="A4982">
        <f t="shared" si="156"/>
        <v>2005</v>
      </c>
      <c r="B4982" s="821">
        <v>38420</v>
      </c>
      <c r="C4982">
        <v>4.84</v>
      </c>
      <c r="D4982">
        <f t="shared" si="157"/>
        <v>1</v>
      </c>
    </row>
    <row r="4983" spans="1:4" x14ac:dyDescent="0.55000000000000004">
      <c r="A4983">
        <f t="shared" si="156"/>
        <v>2005</v>
      </c>
      <c r="B4983" s="821">
        <v>38419</v>
      </c>
      <c r="C4983">
        <v>4.67</v>
      </c>
      <c r="D4983">
        <f t="shared" si="157"/>
        <v>1</v>
      </c>
    </row>
    <row r="4984" spans="1:4" x14ac:dyDescent="0.55000000000000004">
      <c r="A4984">
        <f t="shared" si="156"/>
        <v>2005</v>
      </c>
      <c r="B4984" s="821">
        <v>38418</v>
      </c>
      <c r="C4984">
        <v>4.63</v>
      </c>
      <c r="D4984">
        <f t="shared" si="157"/>
        <v>1</v>
      </c>
    </row>
    <row r="4985" spans="1:4" x14ac:dyDescent="0.55000000000000004">
      <c r="A4985">
        <f t="shared" si="156"/>
        <v>2005</v>
      </c>
      <c r="B4985" s="821">
        <v>38415</v>
      </c>
      <c r="C4985">
        <v>4.66</v>
      </c>
      <c r="D4985">
        <f t="shared" si="157"/>
        <v>1</v>
      </c>
    </row>
    <row r="4986" spans="1:4" x14ac:dyDescent="0.55000000000000004">
      <c r="A4986">
        <f t="shared" si="156"/>
        <v>2005</v>
      </c>
      <c r="B4986" s="821">
        <v>38414</v>
      </c>
      <c r="C4986">
        <v>4.71</v>
      </c>
      <c r="D4986">
        <f t="shared" si="157"/>
        <v>1</v>
      </c>
    </row>
    <row r="4987" spans="1:4" x14ac:dyDescent="0.55000000000000004">
      <c r="A4987">
        <f t="shared" si="156"/>
        <v>2005</v>
      </c>
      <c r="B4987" s="821">
        <v>38413</v>
      </c>
      <c r="C4987">
        <v>4.71</v>
      </c>
      <c r="D4987">
        <f t="shared" si="157"/>
        <v>1</v>
      </c>
    </row>
    <row r="4988" spans="1:4" x14ac:dyDescent="0.55000000000000004">
      <c r="A4988">
        <f t="shared" si="156"/>
        <v>2005</v>
      </c>
      <c r="B4988" s="821">
        <v>38412</v>
      </c>
      <c r="C4988">
        <v>4.6900000000000004</v>
      </c>
      <c r="D4988">
        <f t="shared" si="157"/>
        <v>1</v>
      </c>
    </row>
    <row r="4989" spans="1:4" x14ac:dyDescent="0.55000000000000004">
      <c r="A4989">
        <f t="shared" si="156"/>
        <v>2005</v>
      </c>
      <c r="B4989" s="821">
        <v>38411</v>
      </c>
      <c r="C4989">
        <v>4.71</v>
      </c>
      <c r="D4989">
        <f t="shared" si="157"/>
        <v>1</v>
      </c>
    </row>
    <row r="4990" spans="1:4" x14ac:dyDescent="0.55000000000000004">
      <c r="A4990">
        <f t="shared" si="156"/>
        <v>2005</v>
      </c>
      <c r="B4990" s="821">
        <v>38408</v>
      </c>
      <c r="C4990">
        <v>4.6100000000000003</v>
      </c>
      <c r="D4990">
        <f t="shared" si="157"/>
        <v>1</v>
      </c>
    </row>
    <row r="4991" spans="1:4" x14ac:dyDescent="0.55000000000000004">
      <c r="A4991">
        <f t="shared" si="156"/>
        <v>2005</v>
      </c>
      <c r="B4991" s="821">
        <v>38407</v>
      </c>
      <c r="C4991">
        <v>4.67</v>
      </c>
      <c r="D4991">
        <f t="shared" si="157"/>
        <v>1</v>
      </c>
    </row>
    <row r="4992" spans="1:4" x14ac:dyDescent="0.55000000000000004">
      <c r="A4992">
        <f t="shared" si="156"/>
        <v>2005</v>
      </c>
      <c r="B4992" s="821">
        <v>38406</v>
      </c>
      <c r="C4992">
        <v>4.6900000000000004</v>
      </c>
      <c r="D4992">
        <f t="shared" si="157"/>
        <v>1</v>
      </c>
    </row>
    <row r="4993" spans="1:4" x14ac:dyDescent="0.55000000000000004">
      <c r="A4993">
        <f t="shared" si="156"/>
        <v>2005</v>
      </c>
      <c r="B4993" s="821">
        <v>38405</v>
      </c>
      <c r="C4993">
        <v>4.71</v>
      </c>
      <c r="D4993">
        <f t="shared" si="157"/>
        <v>1</v>
      </c>
    </row>
    <row r="4994" spans="1:4" x14ac:dyDescent="0.55000000000000004">
      <c r="A4994">
        <f t="shared" si="156"/>
        <v>2005</v>
      </c>
      <c r="B4994" s="821">
        <v>38401</v>
      </c>
      <c r="C4994">
        <v>4.6500000000000004</v>
      </c>
      <c r="D4994">
        <f t="shared" si="157"/>
        <v>1</v>
      </c>
    </row>
    <row r="4995" spans="1:4" x14ac:dyDescent="0.55000000000000004">
      <c r="A4995">
        <f t="shared" si="156"/>
        <v>2005</v>
      </c>
      <c r="B4995" s="821">
        <v>38400</v>
      </c>
      <c r="C4995">
        <v>4.58</v>
      </c>
      <c r="D4995">
        <f t="shared" si="157"/>
        <v>1</v>
      </c>
    </row>
    <row r="4996" spans="1:4" x14ac:dyDescent="0.55000000000000004">
      <c r="A4996">
        <f t="shared" ref="A4996:A5059" si="158">YEAR(B4996)</f>
        <v>2005</v>
      </c>
      <c r="B4996" s="821">
        <v>38399</v>
      </c>
      <c r="C4996">
        <v>4.53</v>
      </c>
      <c r="D4996">
        <f t="shared" ref="D4996:D5059" si="159">IF(C4996&gt;4,1,0)</f>
        <v>1</v>
      </c>
    </row>
    <row r="4997" spans="1:4" x14ac:dyDescent="0.55000000000000004">
      <c r="A4997">
        <f t="shared" si="158"/>
        <v>2005</v>
      </c>
      <c r="B4997" s="821">
        <v>38398</v>
      </c>
      <c r="C4997">
        <v>4.4800000000000004</v>
      </c>
      <c r="D4997">
        <f t="shared" si="159"/>
        <v>1</v>
      </c>
    </row>
    <row r="4998" spans="1:4" x14ac:dyDescent="0.55000000000000004">
      <c r="A4998">
        <f t="shared" si="158"/>
        <v>2005</v>
      </c>
      <c r="B4998" s="821">
        <v>38397</v>
      </c>
      <c r="C4998">
        <v>4.45</v>
      </c>
      <c r="D4998">
        <f t="shared" si="159"/>
        <v>1</v>
      </c>
    </row>
    <row r="4999" spans="1:4" x14ac:dyDescent="0.55000000000000004">
      <c r="A4999">
        <f t="shared" si="158"/>
        <v>2005</v>
      </c>
      <c r="B4999" s="821">
        <v>38394</v>
      </c>
      <c r="C4999">
        <v>4.5199999999999996</v>
      </c>
      <c r="D4999">
        <f t="shared" si="159"/>
        <v>1</v>
      </c>
    </row>
    <row r="5000" spans="1:4" x14ac:dyDescent="0.55000000000000004">
      <c r="A5000">
        <f t="shared" si="158"/>
        <v>2005</v>
      </c>
      <c r="B5000" s="821">
        <v>38393</v>
      </c>
      <c r="C5000">
        <v>4.5</v>
      </c>
      <c r="D5000">
        <f t="shared" si="159"/>
        <v>1</v>
      </c>
    </row>
    <row r="5001" spans="1:4" x14ac:dyDescent="0.55000000000000004">
      <c r="A5001">
        <f t="shared" si="158"/>
        <v>2005</v>
      </c>
      <c r="B5001" s="821">
        <v>38392</v>
      </c>
      <c r="C5001">
        <v>4.4000000000000004</v>
      </c>
      <c r="D5001">
        <f t="shared" si="159"/>
        <v>1</v>
      </c>
    </row>
    <row r="5002" spans="1:4" x14ac:dyDescent="0.55000000000000004">
      <c r="A5002">
        <f t="shared" si="158"/>
        <v>2005</v>
      </c>
      <c r="B5002" s="821">
        <v>38391</v>
      </c>
      <c r="C5002">
        <v>4.3899999999999997</v>
      </c>
      <c r="D5002">
        <f t="shared" si="159"/>
        <v>1</v>
      </c>
    </row>
    <row r="5003" spans="1:4" x14ac:dyDescent="0.55000000000000004">
      <c r="A5003">
        <f t="shared" si="158"/>
        <v>2005</v>
      </c>
      <c r="B5003" s="821">
        <v>38390</v>
      </c>
      <c r="C5003">
        <v>4.43</v>
      </c>
      <c r="D5003">
        <f t="shared" si="159"/>
        <v>1</v>
      </c>
    </row>
    <row r="5004" spans="1:4" x14ac:dyDescent="0.55000000000000004">
      <c r="A5004">
        <f t="shared" si="158"/>
        <v>2005</v>
      </c>
      <c r="B5004" s="821">
        <v>38387</v>
      </c>
      <c r="C5004">
        <v>4.4800000000000004</v>
      </c>
      <c r="D5004">
        <f t="shared" si="159"/>
        <v>1</v>
      </c>
    </row>
    <row r="5005" spans="1:4" x14ac:dyDescent="0.55000000000000004">
      <c r="A5005">
        <f t="shared" si="158"/>
        <v>2005</v>
      </c>
      <c r="B5005" s="821">
        <v>38386</v>
      </c>
      <c r="C5005">
        <v>4.58</v>
      </c>
      <c r="D5005">
        <f t="shared" si="159"/>
        <v>1</v>
      </c>
    </row>
    <row r="5006" spans="1:4" x14ac:dyDescent="0.55000000000000004">
      <c r="A5006">
        <f t="shared" si="158"/>
        <v>2005</v>
      </c>
      <c r="B5006" s="821">
        <v>38385</v>
      </c>
      <c r="C5006">
        <v>4.6100000000000003</v>
      </c>
      <c r="D5006">
        <f t="shared" si="159"/>
        <v>1</v>
      </c>
    </row>
    <row r="5007" spans="1:4" x14ac:dyDescent="0.55000000000000004">
      <c r="A5007">
        <f t="shared" si="158"/>
        <v>2005</v>
      </c>
      <c r="B5007" s="821">
        <v>38384</v>
      </c>
      <c r="C5007">
        <v>4.63</v>
      </c>
      <c r="D5007">
        <f t="shared" si="159"/>
        <v>1</v>
      </c>
    </row>
    <row r="5008" spans="1:4" x14ac:dyDescent="0.55000000000000004">
      <c r="A5008">
        <f t="shared" si="158"/>
        <v>2005</v>
      </c>
      <c r="B5008" s="821">
        <v>38383</v>
      </c>
      <c r="C5008">
        <v>4.62</v>
      </c>
      <c r="D5008">
        <f t="shared" si="159"/>
        <v>1</v>
      </c>
    </row>
    <row r="5009" spans="1:4" x14ac:dyDescent="0.55000000000000004">
      <c r="A5009">
        <f t="shared" si="158"/>
        <v>2005</v>
      </c>
      <c r="B5009" s="821">
        <v>38380</v>
      </c>
      <c r="C5009">
        <v>4.6399999999999997</v>
      </c>
      <c r="D5009">
        <f t="shared" si="159"/>
        <v>1</v>
      </c>
    </row>
    <row r="5010" spans="1:4" x14ac:dyDescent="0.55000000000000004">
      <c r="A5010">
        <f t="shared" si="158"/>
        <v>2005</v>
      </c>
      <c r="B5010" s="821">
        <v>38379</v>
      </c>
      <c r="C5010">
        <v>4.71</v>
      </c>
      <c r="D5010">
        <f t="shared" si="159"/>
        <v>1</v>
      </c>
    </row>
    <row r="5011" spans="1:4" x14ac:dyDescent="0.55000000000000004">
      <c r="A5011">
        <f t="shared" si="158"/>
        <v>2005</v>
      </c>
      <c r="B5011" s="821">
        <v>38378</v>
      </c>
      <c r="C5011">
        <v>4.7</v>
      </c>
      <c r="D5011">
        <f t="shared" si="159"/>
        <v>1</v>
      </c>
    </row>
    <row r="5012" spans="1:4" x14ac:dyDescent="0.55000000000000004">
      <c r="A5012">
        <f t="shared" si="158"/>
        <v>2005</v>
      </c>
      <c r="B5012" s="821">
        <v>38377</v>
      </c>
      <c r="C5012">
        <v>4.71</v>
      </c>
      <c r="D5012">
        <f t="shared" si="159"/>
        <v>1</v>
      </c>
    </row>
    <row r="5013" spans="1:4" x14ac:dyDescent="0.55000000000000004">
      <c r="A5013">
        <f t="shared" si="158"/>
        <v>2005</v>
      </c>
      <c r="B5013" s="821">
        <v>38376</v>
      </c>
      <c r="C5013">
        <v>4.63</v>
      </c>
      <c r="D5013">
        <f t="shared" si="159"/>
        <v>1</v>
      </c>
    </row>
    <row r="5014" spans="1:4" x14ac:dyDescent="0.55000000000000004">
      <c r="A5014">
        <f t="shared" si="158"/>
        <v>2005</v>
      </c>
      <c r="B5014" s="821">
        <v>38373</v>
      </c>
      <c r="C5014">
        <v>4.7</v>
      </c>
      <c r="D5014">
        <f t="shared" si="159"/>
        <v>1</v>
      </c>
    </row>
    <row r="5015" spans="1:4" x14ac:dyDescent="0.55000000000000004">
      <c r="A5015">
        <f t="shared" si="158"/>
        <v>2005</v>
      </c>
      <c r="B5015" s="821">
        <v>38372</v>
      </c>
      <c r="C5015">
        <v>4.71</v>
      </c>
      <c r="D5015">
        <f t="shared" si="159"/>
        <v>1</v>
      </c>
    </row>
    <row r="5016" spans="1:4" x14ac:dyDescent="0.55000000000000004">
      <c r="A5016">
        <f t="shared" si="158"/>
        <v>2005</v>
      </c>
      <c r="B5016" s="821">
        <v>38371</v>
      </c>
      <c r="C5016">
        <v>4.7</v>
      </c>
      <c r="D5016">
        <f t="shared" si="159"/>
        <v>1</v>
      </c>
    </row>
    <row r="5017" spans="1:4" x14ac:dyDescent="0.55000000000000004">
      <c r="A5017">
        <f t="shared" si="158"/>
        <v>2005</v>
      </c>
      <c r="B5017" s="821">
        <v>38370</v>
      </c>
      <c r="C5017">
        <v>4.72</v>
      </c>
      <c r="D5017">
        <f t="shared" si="159"/>
        <v>1</v>
      </c>
    </row>
    <row r="5018" spans="1:4" x14ac:dyDescent="0.55000000000000004">
      <c r="A5018">
        <f t="shared" si="158"/>
        <v>2005</v>
      </c>
      <c r="B5018" s="821">
        <v>38366</v>
      </c>
      <c r="C5018">
        <v>4.78</v>
      </c>
      <c r="D5018">
        <f t="shared" si="159"/>
        <v>1</v>
      </c>
    </row>
    <row r="5019" spans="1:4" x14ac:dyDescent="0.55000000000000004">
      <c r="A5019">
        <f t="shared" si="158"/>
        <v>2005</v>
      </c>
      <c r="B5019" s="821">
        <v>38365</v>
      </c>
      <c r="C5019">
        <v>4.7699999999999996</v>
      </c>
      <c r="D5019">
        <f t="shared" si="159"/>
        <v>1</v>
      </c>
    </row>
    <row r="5020" spans="1:4" x14ac:dyDescent="0.55000000000000004">
      <c r="A5020">
        <f t="shared" si="158"/>
        <v>2005</v>
      </c>
      <c r="B5020" s="821">
        <v>38364</v>
      </c>
      <c r="C5020">
        <v>4.8</v>
      </c>
      <c r="D5020">
        <f t="shared" si="159"/>
        <v>1</v>
      </c>
    </row>
    <row r="5021" spans="1:4" x14ac:dyDescent="0.55000000000000004">
      <c r="A5021">
        <f t="shared" si="158"/>
        <v>2005</v>
      </c>
      <c r="B5021" s="821">
        <v>38363</v>
      </c>
      <c r="C5021">
        <v>4.84</v>
      </c>
      <c r="D5021">
        <f t="shared" si="159"/>
        <v>1</v>
      </c>
    </row>
    <row r="5022" spans="1:4" x14ac:dyDescent="0.55000000000000004">
      <c r="A5022">
        <f t="shared" si="158"/>
        <v>2005</v>
      </c>
      <c r="B5022" s="821">
        <v>38362</v>
      </c>
      <c r="C5022">
        <v>4.8600000000000003</v>
      </c>
      <c r="D5022">
        <f t="shared" si="159"/>
        <v>1</v>
      </c>
    </row>
    <row r="5023" spans="1:4" x14ac:dyDescent="0.55000000000000004">
      <c r="A5023">
        <f t="shared" si="158"/>
        <v>2005</v>
      </c>
      <c r="B5023" s="821">
        <v>38359</v>
      </c>
      <c r="C5023">
        <v>4.88</v>
      </c>
      <c r="D5023">
        <f t="shared" si="159"/>
        <v>1</v>
      </c>
    </row>
    <row r="5024" spans="1:4" x14ac:dyDescent="0.55000000000000004">
      <c r="A5024">
        <f t="shared" si="158"/>
        <v>2005</v>
      </c>
      <c r="B5024" s="821">
        <v>38358</v>
      </c>
      <c r="C5024">
        <v>4.8899999999999997</v>
      </c>
      <c r="D5024">
        <f t="shared" si="159"/>
        <v>1</v>
      </c>
    </row>
    <row r="5025" spans="1:4" x14ac:dyDescent="0.55000000000000004">
      <c r="A5025">
        <f t="shared" si="158"/>
        <v>2005</v>
      </c>
      <c r="B5025" s="821">
        <v>38357</v>
      </c>
      <c r="C5025">
        <v>4.88</v>
      </c>
      <c r="D5025">
        <f t="shared" si="159"/>
        <v>1</v>
      </c>
    </row>
    <row r="5026" spans="1:4" x14ac:dyDescent="0.55000000000000004">
      <c r="A5026">
        <f t="shared" si="158"/>
        <v>2005</v>
      </c>
      <c r="B5026" s="821">
        <v>38356</v>
      </c>
      <c r="C5026">
        <v>4.91</v>
      </c>
      <c r="D5026">
        <f t="shared" si="159"/>
        <v>1</v>
      </c>
    </row>
    <row r="5027" spans="1:4" x14ac:dyDescent="0.55000000000000004">
      <c r="A5027">
        <f t="shared" si="158"/>
        <v>2005</v>
      </c>
      <c r="B5027" s="821">
        <v>38355</v>
      </c>
      <c r="C5027">
        <v>4.8499999999999996</v>
      </c>
      <c r="D5027">
        <f t="shared" si="159"/>
        <v>1</v>
      </c>
    </row>
    <row r="5028" spans="1:4" x14ac:dyDescent="0.55000000000000004">
      <c r="A5028">
        <f t="shared" si="158"/>
        <v>2004</v>
      </c>
      <c r="B5028" s="821">
        <v>38352</v>
      </c>
      <c r="C5028">
        <v>4.8600000000000003</v>
      </c>
      <c r="D5028">
        <f t="shared" si="159"/>
        <v>1</v>
      </c>
    </row>
    <row r="5029" spans="1:4" x14ac:dyDescent="0.55000000000000004">
      <c r="A5029">
        <f t="shared" si="158"/>
        <v>2004</v>
      </c>
      <c r="B5029" s="821">
        <v>38351</v>
      </c>
      <c r="C5029">
        <v>4.9400000000000004</v>
      </c>
      <c r="D5029">
        <f t="shared" si="159"/>
        <v>1</v>
      </c>
    </row>
    <row r="5030" spans="1:4" x14ac:dyDescent="0.55000000000000004">
      <c r="A5030">
        <f t="shared" si="158"/>
        <v>2004</v>
      </c>
      <c r="B5030" s="821">
        <v>38350</v>
      </c>
      <c r="C5030">
        <v>4.97</v>
      </c>
      <c r="D5030">
        <f t="shared" si="159"/>
        <v>1</v>
      </c>
    </row>
    <row r="5031" spans="1:4" x14ac:dyDescent="0.55000000000000004">
      <c r="A5031">
        <f t="shared" si="158"/>
        <v>2004</v>
      </c>
      <c r="B5031" s="821">
        <v>38349</v>
      </c>
      <c r="C5031">
        <v>4.95</v>
      </c>
      <c r="D5031">
        <f t="shared" si="159"/>
        <v>1</v>
      </c>
    </row>
    <row r="5032" spans="1:4" x14ac:dyDescent="0.55000000000000004">
      <c r="A5032">
        <f t="shared" si="158"/>
        <v>2004</v>
      </c>
      <c r="B5032" s="821">
        <v>38348</v>
      </c>
      <c r="C5032">
        <v>4.97</v>
      </c>
      <c r="D5032">
        <f t="shared" si="159"/>
        <v>1</v>
      </c>
    </row>
    <row r="5033" spans="1:4" x14ac:dyDescent="0.55000000000000004">
      <c r="A5033">
        <f t="shared" si="158"/>
        <v>2004</v>
      </c>
      <c r="B5033" s="821">
        <v>38344</v>
      </c>
      <c r="C5033">
        <v>4.9000000000000004</v>
      </c>
      <c r="D5033">
        <f t="shared" si="159"/>
        <v>1</v>
      </c>
    </row>
    <row r="5034" spans="1:4" x14ac:dyDescent="0.55000000000000004">
      <c r="A5034">
        <f t="shared" si="158"/>
        <v>2004</v>
      </c>
      <c r="B5034" s="821">
        <v>38343</v>
      </c>
      <c r="C5034">
        <v>4.8600000000000003</v>
      </c>
      <c r="D5034">
        <f t="shared" si="159"/>
        <v>1</v>
      </c>
    </row>
    <row r="5035" spans="1:4" x14ac:dyDescent="0.55000000000000004">
      <c r="A5035">
        <f t="shared" si="158"/>
        <v>2004</v>
      </c>
      <c r="B5035" s="821">
        <v>38342</v>
      </c>
      <c r="C5035">
        <v>4.83</v>
      </c>
      <c r="D5035">
        <f t="shared" si="159"/>
        <v>1</v>
      </c>
    </row>
    <row r="5036" spans="1:4" x14ac:dyDescent="0.55000000000000004">
      <c r="A5036">
        <f t="shared" si="158"/>
        <v>2004</v>
      </c>
      <c r="B5036" s="821">
        <v>38341</v>
      </c>
      <c r="C5036">
        <v>4.88</v>
      </c>
      <c r="D5036">
        <f t="shared" si="159"/>
        <v>1</v>
      </c>
    </row>
    <row r="5037" spans="1:4" x14ac:dyDescent="0.55000000000000004">
      <c r="A5037">
        <f t="shared" si="158"/>
        <v>2004</v>
      </c>
      <c r="B5037" s="821">
        <v>38338</v>
      </c>
      <c r="C5037">
        <v>4.8899999999999997</v>
      </c>
      <c r="D5037">
        <f t="shared" si="159"/>
        <v>1</v>
      </c>
    </row>
    <row r="5038" spans="1:4" x14ac:dyDescent="0.55000000000000004">
      <c r="A5038">
        <f t="shared" si="158"/>
        <v>2004</v>
      </c>
      <c r="B5038" s="821">
        <v>38337</v>
      </c>
      <c r="C5038">
        <v>4.88</v>
      </c>
      <c r="D5038">
        <f t="shared" si="159"/>
        <v>1</v>
      </c>
    </row>
    <row r="5039" spans="1:4" x14ac:dyDescent="0.55000000000000004">
      <c r="A5039">
        <f t="shared" si="158"/>
        <v>2004</v>
      </c>
      <c r="B5039" s="821">
        <v>38336</v>
      </c>
      <c r="C5039">
        <v>4.76</v>
      </c>
      <c r="D5039">
        <f t="shared" si="159"/>
        <v>1</v>
      </c>
    </row>
    <row r="5040" spans="1:4" x14ac:dyDescent="0.55000000000000004">
      <c r="A5040">
        <f t="shared" si="158"/>
        <v>2004</v>
      </c>
      <c r="B5040" s="821">
        <v>38335</v>
      </c>
      <c r="C5040">
        <v>4.83</v>
      </c>
      <c r="D5040">
        <f t="shared" si="159"/>
        <v>1</v>
      </c>
    </row>
    <row r="5041" spans="1:4" x14ac:dyDescent="0.55000000000000004">
      <c r="A5041">
        <f t="shared" si="158"/>
        <v>2004</v>
      </c>
      <c r="B5041" s="821">
        <v>38334</v>
      </c>
      <c r="C5041">
        <v>4.8499999999999996</v>
      </c>
      <c r="D5041">
        <f t="shared" si="159"/>
        <v>1</v>
      </c>
    </row>
    <row r="5042" spans="1:4" x14ac:dyDescent="0.55000000000000004">
      <c r="A5042">
        <f t="shared" si="158"/>
        <v>2004</v>
      </c>
      <c r="B5042" s="821">
        <v>38331</v>
      </c>
      <c r="C5042">
        <v>4.87</v>
      </c>
      <c r="D5042">
        <f t="shared" si="159"/>
        <v>1</v>
      </c>
    </row>
    <row r="5043" spans="1:4" x14ac:dyDescent="0.55000000000000004">
      <c r="A5043">
        <f t="shared" si="158"/>
        <v>2004</v>
      </c>
      <c r="B5043" s="821">
        <v>38330</v>
      </c>
      <c r="C5043">
        <v>4.88</v>
      </c>
      <c r="D5043">
        <f t="shared" si="159"/>
        <v>1</v>
      </c>
    </row>
    <row r="5044" spans="1:4" x14ac:dyDescent="0.55000000000000004">
      <c r="A5044">
        <f t="shared" si="158"/>
        <v>2004</v>
      </c>
      <c r="B5044" s="821">
        <v>38329</v>
      </c>
      <c r="C5044">
        <v>4.84</v>
      </c>
      <c r="D5044">
        <f t="shared" si="159"/>
        <v>1</v>
      </c>
    </row>
    <row r="5045" spans="1:4" x14ac:dyDescent="0.55000000000000004">
      <c r="A5045">
        <f t="shared" si="158"/>
        <v>2004</v>
      </c>
      <c r="B5045" s="821">
        <v>38328</v>
      </c>
      <c r="C5045">
        <v>4.95</v>
      </c>
      <c r="D5045">
        <f t="shared" si="159"/>
        <v>1</v>
      </c>
    </row>
    <row r="5046" spans="1:4" x14ac:dyDescent="0.55000000000000004">
      <c r="A5046">
        <f t="shared" si="158"/>
        <v>2004</v>
      </c>
      <c r="B5046" s="821">
        <v>38327</v>
      </c>
      <c r="C5046">
        <v>4.96</v>
      </c>
      <c r="D5046">
        <f t="shared" si="159"/>
        <v>1</v>
      </c>
    </row>
    <row r="5047" spans="1:4" x14ac:dyDescent="0.55000000000000004">
      <c r="A5047">
        <f t="shared" si="158"/>
        <v>2004</v>
      </c>
      <c r="B5047" s="821">
        <v>38324</v>
      </c>
      <c r="C5047">
        <v>4.99</v>
      </c>
      <c r="D5047">
        <f t="shared" si="159"/>
        <v>1</v>
      </c>
    </row>
    <row r="5048" spans="1:4" x14ac:dyDescent="0.55000000000000004">
      <c r="A5048">
        <f t="shared" si="158"/>
        <v>2004</v>
      </c>
      <c r="B5048" s="821">
        <v>38323</v>
      </c>
      <c r="C5048">
        <v>5.1100000000000003</v>
      </c>
      <c r="D5048">
        <f t="shared" si="159"/>
        <v>1</v>
      </c>
    </row>
    <row r="5049" spans="1:4" x14ac:dyDescent="0.55000000000000004">
      <c r="A5049">
        <f t="shared" si="158"/>
        <v>2004</v>
      </c>
      <c r="B5049" s="821">
        <v>38322</v>
      </c>
      <c r="C5049">
        <v>5.08</v>
      </c>
      <c r="D5049">
        <f t="shared" si="159"/>
        <v>1</v>
      </c>
    </row>
    <row r="5050" spans="1:4" x14ac:dyDescent="0.55000000000000004">
      <c r="A5050">
        <f t="shared" si="158"/>
        <v>2004</v>
      </c>
      <c r="B5050" s="821">
        <v>38321</v>
      </c>
      <c r="C5050">
        <v>5.07</v>
      </c>
      <c r="D5050">
        <f t="shared" si="159"/>
        <v>1</v>
      </c>
    </row>
    <row r="5051" spans="1:4" x14ac:dyDescent="0.55000000000000004">
      <c r="A5051">
        <f t="shared" si="158"/>
        <v>2004</v>
      </c>
      <c r="B5051" s="821">
        <v>38320</v>
      </c>
      <c r="C5051">
        <v>5.03</v>
      </c>
      <c r="D5051">
        <f t="shared" si="159"/>
        <v>1</v>
      </c>
    </row>
    <row r="5052" spans="1:4" x14ac:dyDescent="0.55000000000000004">
      <c r="A5052">
        <f t="shared" si="158"/>
        <v>2004</v>
      </c>
      <c r="B5052" s="821">
        <v>38317</v>
      </c>
      <c r="C5052">
        <v>4.9400000000000004</v>
      </c>
      <c r="D5052">
        <f t="shared" si="159"/>
        <v>1</v>
      </c>
    </row>
    <row r="5053" spans="1:4" x14ac:dyDescent="0.55000000000000004">
      <c r="A5053">
        <f t="shared" si="158"/>
        <v>2004</v>
      </c>
      <c r="B5053" s="821">
        <v>38315</v>
      </c>
      <c r="C5053">
        <v>4.8899999999999997</v>
      </c>
      <c r="D5053">
        <f t="shared" si="159"/>
        <v>1</v>
      </c>
    </row>
    <row r="5054" spans="1:4" x14ac:dyDescent="0.55000000000000004">
      <c r="A5054">
        <f t="shared" si="158"/>
        <v>2004</v>
      </c>
      <c r="B5054" s="821">
        <v>38314</v>
      </c>
      <c r="C5054">
        <v>4.8899999999999997</v>
      </c>
      <c r="D5054">
        <f t="shared" si="159"/>
        <v>1</v>
      </c>
    </row>
    <row r="5055" spans="1:4" x14ac:dyDescent="0.55000000000000004">
      <c r="A5055">
        <f t="shared" si="158"/>
        <v>2004</v>
      </c>
      <c r="B5055" s="821">
        <v>38313</v>
      </c>
      <c r="C5055">
        <v>4.8899999999999997</v>
      </c>
      <c r="D5055">
        <f t="shared" si="159"/>
        <v>1</v>
      </c>
    </row>
    <row r="5056" spans="1:4" x14ac:dyDescent="0.55000000000000004">
      <c r="A5056">
        <f t="shared" si="158"/>
        <v>2004</v>
      </c>
      <c r="B5056" s="821">
        <v>38310</v>
      </c>
      <c r="C5056">
        <v>4.93</v>
      </c>
      <c r="D5056">
        <f t="shared" si="159"/>
        <v>1</v>
      </c>
    </row>
    <row r="5057" spans="1:4" x14ac:dyDescent="0.55000000000000004">
      <c r="A5057">
        <f t="shared" si="158"/>
        <v>2004</v>
      </c>
      <c r="B5057" s="821">
        <v>38309</v>
      </c>
      <c r="C5057">
        <v>4.8600000000000003</v>
      </c>
      <c r="D5057">
        <f t="shared" si="159"/>
        <v>1</v>
      </c>
    </row>
    <row r="5058" spans="1:4" x14ac:dyDescent="0.55000000000000004">
      <c r="A5058">
        <f t="shared" si="158"/>
        <v>2004</v>
      </c>
      <c r="B5058" s="821">
        <v>38308</v>
      </c>
      <c r="C5058">
        <v>4.8899999999999997</v>
      </c>
      <c r="D5058">
        <f t="shared" si="159"/>
        <v>1</v>
      </c>
    </row>
    <row r="5059" spans="1:4" x14ac:dyDescent="0.55000000000000004">
      <c r="A5059">
        <f t="shared" si="158"/>
        <v>2004</v>
      </c>
      <c r="B5059" s="821">
        <v>38307</v>
      </c>
      <c r="C5059">
        <v>4.96</v>
      </c>
      <c r="D5059">
        <f t="shared" si="159"/>
        <v>1</v>
      </c>
    </row>
    <row r="5060" spans="1:4" x14ac:dyDescent="0.55000000000000004">
      <c r="A5060">
        <f t="shared" ref="A5060:A5123" si="160">YEAR(B5060)</f>
        <v>2004</v>
      </c>
      <c r="B5060" s="821">
        <v>38306</v>
      </c>
      <c r="C5060">
        <v>4.9800000000000004</v>
      </c>
      <c r="D5060">
        <f t="shared" ref="D5060:D5123" si="161">IF(C5060&gt;4,1,0)</f>
        <v>1</v>
      </c>
    </row>
    <row r="5061" spans="1:4" x14ac:dyDescent="0.55000000000000004">
      <c r="A5061">
        <f t="shared" si="160"/>
        <v>2004</v>
      </c>
      <c r="B5061" s="821">
        <v>38303</v>
      </c>
      <c r="C5061">
        <v>4.96</v>
      </c>
      <c r="D5061">
        <f t="shared" si="161"/>
        <v>1</v>
      </c>
    </row>
    <row r="5062" spans="1:4" x14ac:dyDescent="0.55000000000000004">
      <c r="A5062">
        <f t="shared" si="160"/>
        <v>2004</v>
      </c>
      <c r="B5062" s="821">
        <v>38301</v>
      </c>
      <c r="C5062">
        <v>5.05</v>
      </c>
      <c r="D5062">
        <f t="shared" si="161"/>
        <v>1</v>
      </c>
    </row>
    <row r="5063" spans="1:4" x14ac:dyDescent="0.55000000000000004">
      <c r="A5063">
        <f t="shared" si="160"/>
        <v>2004</v>
      </c>
      <c r="B5063" s="821">
        <v>38300</v>
      </c>
      <c r="C5063">
        <v>5.0199999999999996</v>
      </c>
      <c r="D5063">
        <f t="shared" si="161"/>
        <v>1</v>
      </c>
    </row>
    <row r="5064" spans="1:4" x14ac:dyDescent="0.55000000000000004">
      <c r="A5064">
        <f t="shared" si="160"/>
        <v>2004</v>
      </c>
      <c r="B5064" s="821">
        <v>38299</v>
      </c>
      <c r="C5064">
        <v>4.9800000000000004</v>
      </c>
      <c r="D5064">
        <f t="shared" si="161"/>
        <v>1</v>
      </c>
    </row>
    <row r="5065" spans="1:4" x14ac:dyDescent="0.55000000000000004">
      <c r="A5065">
        <f t="shared" si="160"/>
        <v>2004</v>
      </c>
      <c r="B5065" s="821">
        <v>38296</v>
      </c>
      <c r="C5065">
        <v>4.99</v>
      </c>
      <c r="D5065">
        <f t="shared" si="161"/>
        <v>1</v>
      </c>
    </row>
    <row r="5066" spans="1:4" x14ac:dyDescent="0.55000000000000004">
      <c r="A5066">
        <f t="shared" si="160"/>
        <v>2004</v>
      </c>
      <c r="B5066" s="821">
        <v>38295</v>
      </c>
      <c r="C5066">
        <v>4.8899999999999997</v>
      </c>
      <c r="D5066">
        <f t="shared" si="161"/>
        <v>1</v>
      </c>
    </row>
    <row r="5067" spans="1:4" x14ac:dyDescent="0.55000000000000004">
      <c r="A5067">
        <f t="shared" si="160"/>
        <v>2004</v>
      </c>
      <c r="B5067" s="821">
        <v>38294</v>
      </c>
      <c r="C5067">
        <v>4.9000000000000004</v>
      </c>
      <c r="D5067">
        <f t="shared" si="161"/>
        <v>1</v>
      </c>
    </row>
    <row r="5068" spans="1:4" x14ac:dyDescent="0.55000000000000004">
      <c r="A5068">
        <f t="shared" si="160"/>
        <v>2004</v>
      </c>
      <c r="B5068" s="821">
        <v>38293</v>
      </c>
      <c r="C5068">
        <v>4.91</v>
      </c>
      <c r="D5068">
        <f t="shared" si="161"/>
        <v>1</v>
      </c>
    </row>
    <row r="5069" spans="1:4" x14ac:dyDescent="0.55000000000000004">
      <c r="A5069">
        <f t="shared" si="160"/>
        <v>2004</v>
      </c>
      <c r="B5069" s="821">
        <v>38292</v>
      </c>
      <c r="C5069">
        <v>4.92</v>
      </c>
      <c r="D5069">
        <f t="shared" si="161"/>
        <v>1</v>
      </c>
    </row>
    <row r="5070" spans="1:4" x14ac:dyDescent="0.55000000000000004">
      <c r="A5070">
        <f t="shared" si="160"/>
        <v>2004</v>
      </c>
      <c r="B5070" s="821">
        <v>38289</v>
      </c>
      <c r="C5070">
        <v>4.87</v>
      </c>
      <c r="D5070">
        <f t="shared" si="161"/>
        <v>1</v>
      </c>
    </row>
    <row r="5071" spans="1:4" x14ac:dyDescent="0.55000000000000004">
      <c r="A5071">
        <f t="shared" si="160"/>
        <v>2004</v>
      </c>
      <c r="B5071" s="821">
        <v>38288</v>
      </c>
      <c r="C5071">
        <v>4.91</v>
      </c>
      <c r="D5071">
        <f t="shared" si="161"/>
        <v>1</v>
      </c>
    </row>
    <row r="5072" spans="1:4" x14ac:dyDescent="0.55000000000000004">
      <c r="A5072">
        <f t="shared" si="160"/>
        <v>2004</v>
      </c>
      <c r="B5072" s="821">
        <v>38287</v>
      </c>
      <c r="C5072">
        <v>4.96</v>
      </c>
      <c r="D5072">
        <f t="shared" si="161"/>
        <v>1</v>
      </c>
    </row>
    <row r="5073" spans="1:4" x14ac:dyDescent="0.55000000000000004">
      <c r="A5073">
        <f t="shared" si="160"/>
        <v>2004</v>
      </c>
      <c r="B5073" s="821">
        <v>38286</v>
      </c>
      <c r="C5073">
        <v>4.87</v>
      </c>
      <c r="D5073">
        <f t="shared" si="161"/>
        <v>1</v>
      </c>
    </row>
    <row r="5074" spans="1:4" x14ac:dyDescent="0.55000000000000004">
      <c r="A5074">
        <f t="shared" si="160"/>
        <v>2004</v>
      </c>
      <c r="B5074" s="821">
        <v>38285</v>
      </c>
      <c r="C5074">
        <v>4.8600000000000003</v>
      </c>
      <c r="D5074">
        <f t="shared" si="161"/>
        <v>1</v>
      </c>
    </row>
    <row r="5075" spans="1:4" x14ac:dyDescent="0.55000000000000004">
      <c r="A5075">
        <f t="shared" si="160"/>
        <v>2004</v>
      </c>
      <c r="B5075" s="821">
        <v>38282</v>
      </c>
      <c r="C5075">
        <v>4.87</v>
      </c>
      <c r="D5075">
        <f t="shared" si="161"/>
        <v>1</v>
      </c>
    </row>
    <row r="5076" spans="1:4" x14ac:dyDescent="0.55000000000000004">
      <c r="A5076">
        <f t="shared" si="160"/>
        <v>2004</v>
      </c>
      <c r="B5076" s="821">
        <v>38281</v>
      </c>
      <c r="C5076">
        <v>4.84</v>
      </c>
      <c r="D5076">
        <f t="shared" si="161"/>
        <v>1</v>
      </c>
    </row>
    <row r="5077" spans="1:4" x14ac:dyDescent="0.55000000000000004">
      <c r="A5077">
        <f t="shared" si="160"/>
        <v>2004</v>
      </c>
      <c r="B5077" s="821">
        <v>38280</v>
      </c>
      <c r="C5077">
        <v>4.8499999999999996</v>
      </c>
      <c r="D5077">
        <f t="shared" si="161"/>
        <v>1</v>
      </c>
    </row>
    <row r="5078" spans="1:4" x14ac:dyDescent="0.55000000000000004">
      <c r="A5078">
        <f t="shared" si="160"/>
        <v>2004</v>
      </c>
      <c r="B5078" s="821">
        <v>38279</v>
      </c>
      <c r="C5078">
        <v>4.91</v>
      </c>
      <c r="D5078">
        <f t="shared" si="161"/>
        <v>1</v>
      </c>
    </row>
    <row r="5079" spans="1:4" x14ac:dyDescent="0.55000000000000004">
      <c r="A5079">
        <f t="shared" si="160"/>
        <v>2004</v>
      </c>
      <c r="B5079" s="821">
        <v>38278</v>
      </c>
      <c r="C5079">
        <v>4.92</v>
      </c>
      <c r="D5079">
        <f t="shared" si="161"/>
        <v>1</v>
      </c>
    </row>
    <row r="5080" spans="1:4" x14ac:dyDescent="0.55000000000000004">
      <c r="A5080">
        <f t="shared" si="160"/>
        <v>2004</v>
      </c>
      <c r="B5080" s="821">
        <v>38275</v>
      </c>
      <c r="C5080">
        <v>4.92</v>
      </c>
      <c r="D5080">
        <f t="shared" si="161"/>
        <v>1</v>
      </c>
    </row>
    <row r="5081" spans="1:4" x14ac:dyDescent="0.55000000000000004">
      <c r="A5081">
        <f t="shared" si="160"/>
        <v>2004</v>
      </c>
      <c r="B5081" s="821">
        <v>38274</v>
      </c>
      <c r="C5081">
        <v>4.93</v>
      </c>
      <c r="D5081">
        <f t="shared" si="161"/>
        <v>1</v>
      </c>
    </row>
    <row r="5082" spans="1:4" x14ac:dyDescent="0.55000000000000004">
      <c r="A5082">
        <f t="shared" si="160"/>
        <v>2004</v>
      </c>
      <c r="B5082" s="821">
        <v>38273</v>
      </c>
      <c r="C5082">
        <v>4.9800000000000004</v>
      </c>
      <c r="D5082">
        <f t="shared" si="161"/>
        <v>1</v>
      </c>
    </row>
    <row r="5083" spans="1:4" x14ac:dyDescent="0.55000000000000004">
      <c r="A5083">
        <f t="shared" si="160"/>
        <v>2004</v>
      </c>
      <c r="B5083" s="821">
        <v>38272</v>
      </c>
      <c r="C5083">
        <v>4.95</v>
      </c>
      <c r="D5083">
        <f t="shared" si="161"/>
        <v>1</v>
      </c>
    </row>
    <row r="5084" spans="1:4" x14ac:dyDescent="0.55000000000000004">
      <c r="A5084">
        <f t="shared" si="160"/>
        <v>2004</v>
      </c>
      <c r="B5084" s="821">
        <v>38268</v>
      </c>
      <c r="C5084">
        <v>4.9800000000000004</v>
      </c>
      <c r="D5084">
        <f t="shared" si="161"/>
        <v>1</v>
      </c>
    </row>
    <row r="5085" spans="1:4" x14ac:dyDescent="0.55000000000000004">
      <c r="A5085">
        <f t="shared" si="160"/>
        <v>2004</v>
      </c>
      <c r="B5085" s="821">
        <v>38267</v>
      </c>
      <c r="C5085">
        <v>5.08</v>
      </c>
      <c r="D5085">
        <f t="shared" si="161"/>
        <v>1</v>
      </c>
    </row>
    <row r="5086" spans="1:4" x14ac:dyDescent="0.55000000000000004">
      <c r="A5086">
        <f t="shared" si="160"/>
        <v>2004</v>
      </c>
      <c r="B5086" s="821">
        <v>38266</v>
      </c>
      <c r="C5086">
        <v>5.04</v>
      </c>
      <c r="D5086">
        <f t="shared" si="161"/>
        <v>1</v>
      </c>
    </row>
    <row r="5087" spans="1:4" x14ac:dyDescent="0.55000000000000004">
      <c r="A5087">
        <f t="shared" si="160"/>
        <v>2004</v>
      </c>
      <c r="B5087" s="821">
        <v>38265</v>
      </c>
      <c r="C5087">
        <v>5.04</v>
      </c>
      <c r="D5087">
        <f t="shared" si="161"/>
        <v>1</v>
      </c>
    </row>
    <row r="5088" spans="1:4" x14ac:dyDescent="0.55000000000000004">
      <c r="A5088">
        <f t="shared" si="160"/>
        <v>2004</v>
      </c>
      <c r="B5088" s="821">
        <v>38264</v>
      </c>
      <c r="C5088">
        <v>5.04</v>
      </c>
      <c r="D5088">
        <f t="shared" si="161"/>
        <v>1</v>
      </c>
    </row>
    <row r="5089" spans="1:4" x14ac:dyDescent="0.55000000000000004">
      <c r="A5089">
        <f t="shared" si="160"/>
        <v>2004</v>
      </c>
      <c r="B5089" s="821">
        <v>38261</v>
      </c>
      <c r="C5089">
        <v>5.0599999999999996</v>
      </c>
      <c r="D5089">
        <f t="shared" si="161"/>
        <v>1</v>
      </c>
    </row>
    <row r="5090" spans="1:4" x14ac:dyDescent="0.55000000000000004">
      <c r="A5090">
        <f t="shared" si="160"/>
        <v>2004</v>
      </c>
      <c r="B5090" s="821">
        <v>38260</v>
      </c>
      <c r="C5090">
        <v>4.97</v>
      </c>
      <c r="D5090">
        <f t="shared" si="161"/>
        <v>1</v>
      </c>
    </row>
    <row r="5091" spans="1:4" x14ac:dyDescent="0.55000000000000004">
      <c r="A5091">
        <f t="shared" si="160"/>
        <v>2004</v>
      </c>
      <c r="B5091" s="821">
        <v>38259</v>
      </c>
      <c r="C5091">
        <v>4.97</v>
      </c>
      <c r="D5091">
        <f t="shared" si="161"/>
        <v>1</v>
      </c>
    </row>
    <row r="5092" spans="1:4" x14ac:dyDescent="0.55000000000000004">
      <c r="A5092">
        <f t="shared" si="160"/>
        <v>2004</v>
      </c>
      <c r="B5092" s="821">
        <v>38258</v>
      </c>
      <c r="C5092">
        <v>4.9000000000000004</v>
      </c>
      <c r="D5092">
        <f t="shared" si="161"/>
        <v>1</v>
      </c>
    </row>
    <row r="5093" spans="1:4" x14ac:dyDescent="0.55000000000000004">
      <c r="A5093">
        <f t="shared" si="160"/>
        <v>2004</v>
      </c>
      <c r="B5093" s="821">
        <v>38257</v>
      </c>
      <c r="C5093">
        <v>4.84</v>
      </c>
      <c r="D5093">
        <f t="shared" si="161"/>
        <v>1</v>
      </c>
    </row>
    <row r="5094" spans="1:4" x14ac:dyDescent="0.55000000000000004">
      <c r="A5094">
        <f t="shared" si="160"/>
        <v>2004</v>
      </c>
      <c r="B5094" s="821">
        <v>38254</v>
      </c>
      <c r="C5094">
        <v>4.87</v>
      </c>
      <c r="D5094">
        <f t="shared" si="161"/>
        <v>1</v>
      </c>
    </row>
    <row r="5095" spans="1:4" x14ac:dyDescent="0.55000000000000004">
      <c r="A5095">
        <f t="shared" si="160"/>
        <v>2004</v>
      </c>
      <c r="B5095" s="821">
        <v>38253</v>
      </c>
      <c r="C5095">
        <v>4.8600000000000003</v>
      </c>
      <c r="D5095">
        <f t="shared" si="161"/>
        <v>1</v>
      </c>
    </row>
    <row r="5096" spans="1:4" x14ac:dyDescent="0.55000000000000004">
      <c r="A5096">
        <f t="shared" si="160"/>
        <v>2004</v>
      </c>
      <c r="B5096" s="821">
        <v>38252</v>
      </c>
      <c r="C5096">
        <v>4.88</v>
      </c>
      <c r="D5096">
        <f t="shared" si="161"/>
        <v>1</v>
      </c>
    </row>
    <row r="5097" spans="1:4" x14ac:dyDescent="0.55000000000000004">
      <c r="A5097">
        <f t="shared" si="160"/>
        <v>2004</v>
      </c>
      <c r="B5097" s="821">
        <v>38251</v>
      </c>
      <c r="C5097">
        <v>4.9400000000000004</v>
      </c>
      <c r="D5097">
        <f t="shared" si="161"/>
        <v>1</v>
      </c>
    </row>
    <row r="5098" spans="1:4" x14ac:dyDescent="0.55000000000000004">
      <c r="A5098">
        <f t="shared" si="160"/>
        <v>2004</v>
      </c>
      <c r="B5098" s="821">
        <v>38250</v>
      </c>
      <c r="C5098">
        <v>4.9400000000000004</v>
      </c>
      <c r="D5098">
        <f t="shared" si="161"/>
        <v>1</v>
      </c>
    </row>
    <row r="5099" spans="1:4" x14ac:dyDescent="0.55000000000000004">
      <c r="A5099">
        <f t="shared" si="160"/>
        <v>2004</v>
      </c>
      <c r="B5099" s="821">
        <v>38247</v>
      </c>
      <c r="C5099">
        <v>4.99</v>
      </c>
      <c r="D5099">
        <f t="shared" si="161"/>
        <v>1</v>
      </c>
    </row>
    <row r="5100" spans="1:4" x14ac:dyDescent="0.55000000000000004">
      <c r="A5100">
        <f t="shared" si="160"/>
        <v>2004</v>
      </c>
      <c r="B5100" s="821">
        <v>38246</v>
      </c>
      <c r="C5100">
        <v>4.95</v>
      </c>
      <c r="D5100">
        <f t="shared" si="161"/>
        <v>1</v>
      </c>
    </row>
    <row r="5101" spans="1:4" x14ac:dyDescent="0.55000000000000004">
      <c r="A5101">
        <f t="shared" si="160"/>
        <v>2004</v>
      </c>
      <c r="B5101" s="821">
        <v>38245</v>
      </c>
      <c r="C5101">
        <v>5.04</v>
      </c>
      <c r="D5101">
        <f t="shared" si="161"/>
        <v>1</v>
      </c>
    </row>
    <row r="5102" spans="1:4" x14ac:dyDescent="0.55000000000000004">
      <c r="A5102">
        <f t="shared" si="160"/>
        <v>2004</v>
      </c>
      <c r="B5102" s="821">
        <v>38244</v>
      </c>
      <c r="C5102">
        <v>5.01</v>
      </c>
      <c r="D5102">
        <f t="shared" si="161"/>
        <v>1</v>
      </c>
    </row>
    <row r="5103" spans="1:4" x14ac:dyDescent="0.55000000000000004">
      <c r="A5103">
        <f t="shared" si="160"/>
        <v>2004</v>
      </c>
      <c r="B5103" s="821">
        <v>38243</v>
      </c>
      <c r="C5103">
        <v>5.0199999999999996</v>
      </c>
      <c r="D5103">
        <f t="shared" si="161"/>
        <v>1</v>
      </c>
    </row>
    <row r="5104" spans="1:4" x14ac:dyDescent="0.55000000000000004">
      <c r="A5104">
        <f t="shared" si="160"/>
        <v>2004</v>
      </c>
      <c r="B5104" s="821">
        <v>38240</v>
      </c>
      <c r="C5104">
        <v>5.05</v>
      </c>
      <c r="D5104">
        <f t="shared" si="161"/>
        <v>1</v>
      </c>
    </row>
    <row r="5105" spans="1:4" x14ac:dyDescent="0.55000000000000004">
      <c r="A5105">
        <f t="shared" si="160"/>
        <v>2004</v>
      </c>
      <c r="B5105" s="821">
        <v>38239</v>
      </c>
      <c r="C5105">
        <v>5.07</v>
      </c>
      <c r="D5105">
        <f t="shared" si="161"/>
        <v>1</v>
      </c>
    </row>
    <row r="5106" spans="1:4" x14ac:dyDescent="0.55000000000000004">
      <c r="A5106">
        <f t="shared" si="160"/>
        <v>2004</v>
      </c>
      <c r="B5106" s="821">
        <v>38238</v>
      </c>
      <c r="C5106">
        <v>5.04</v>
      </c>
      <c r="D5106">
        <f t="shared" si="161"/>
        <v>1</v>
      </c>
    </row>
    <row r="5107" spans="1:4" x14ac:dyDescent="0.55000000000000004">
      <c r="A5107">
        <f t="shared" si="160"/>
        <v>2004</v>
      </c>
      <c r="B5107" s="821">
        <v>38237</v>
      </c>
      <c r="C5107">
        <v>5.0999999999999996</v>
      </c>
      <c r="D5107">
        <f t="shared" si="161"/>
        <v>1</v>
      </c>
    </row>
    <row r="5108" spans="1:4" x14ac:dyDescent="0.55000000000000004">
      <c r="A5108">
        <f t="shared" si="160"/>
        <v>2004</v>
      </c>
      <c r="B5108" s="821">
        <v>38233</v>
      </c>
      <c r="C5108">
        <v>5.14</v>
      </c>
      <c r="D5108">
        <f t="shared" si="161"/>
        <v>1</v>
      </c>
    </row>
    <row r="5109" spans="1:4" x14ac:dyDescent="0.55000000000000004">
      <c r="A5109">
        <f t="shared" si="160"/>
        <v>2004</v>
      </c>
      <c r="B5109" s="821">
        <v>38232</v>
      </c>
      <c r="C5109">
        <v>5.07</v>
      </c>
      <c r="D5109">
        <f t="shared" si="161"/>
        <v>1</v>
      </c>
    </row>
    <row r="5110" spans="1:4" x14ac:dyDescent="0.55000000000000004">
      <c r="A5110">
        <f t="shared" si="160"/>
        <v>2004</v>
      </c>
      <c r="B5110" s="821">
        <v>38231</v>
      </c>
      <c r="C5110">
        <v>5.01</v>
      </c>
      <c r="D5110">
        <f t="shared" si="161"/>
        <v>1</v>
      </c>
    </row>
    <row r="5111" spans="1:4" x14ac:dyDescent="0.55000000000000004">
      <c r="A5111">
        <f t="shared" si="160"/>
        <v>2004</v>
      </c>
      <c r="B5111" s="821">
        <v>38230</v>
      </c>
      <c r="C5111">
        <v>5.01</v>
      </c>
      <c r="D5111">
        <f t="shared" si="161"/>
        <v>1</v>
      </c>
    </row>
    <row r="5112" spans="1:4" x14ac:dyDescent="0.55000000000000004">
      <c r="A5112">
        <f t="shared" si="160"/>
        <v>2004</v>
      </c>
      <c r="B5112" s="821">
        <v>38229</v>
      </c>
      <c r="C5112">
        <v>5.07</v>
      </c>
      <c r="D5112">
        <f t="shared" si="161"/>
        <v>1</v>
      </c>
    </row>
    <row r="5113" spans="1:4" x14ac:dyDescent="0.55000000000000004">
      <c r="A5113">
        <f t="shared" si="160"/>
        <v>2004</v>
      </c>
      <c r="B5113" s="821">
        <v>38226</v>
      </c>
      <c r="C5113">
        <v>5.0999999999999996</v>
      </c>
      <c r="D5113">
        <f t="shared" si="161"/>
        <v>1</v>
      </c>
    </row>
    <row r="5114" spans="1:4" x14ac:dyDescent="0.55000000000000004">
      <c r="A5114">
        <f t="shared" si="160"/>
        <v>2004</v>
      </c>
      <c r="B5114" s="821">
        <v>38225</v>
      </c>
      <c r="C5114">
        <v>5.0999999999999996</v>
      </c>
      <c r="D5114">
        <f t="shared" si="161"/>
        <v>1</v>
      </c>
    </row>
    <row r="5115" spans="1:4" x14ac:dyDescent="0.55000000000000004">
      <c r="A5115">
        <f t="shared" si="160"/>
        <v>2004</v>
      </c>
      <c r="B5115" s="821">
        <v>38224</v>
      </c>
      <c r="C5115">
        <v>5.13</v>
      </c>
      <c r="D5115">
        <f t="shared" si="161"/>
        <v>1</v>
      </c>
    </row>
    <row r="5116" spans="1:4" x14ac:dyDescent="0.55000000000000004">
      <c r="A5116">
        <f t="shared" si="160"/>
        <v>2004</v>
      </c>
      <c r="B5116" s="821">
        <v>38223</v>
      </c>
      <c r="C5116">
        <v>5.15</v>
      </c>
      <c r="D5116">
        <f t="shared" si="161"/>
        <v>1</v>
      </c>
    </row>
    <row r="5117" spans="1:4" x14ac:dyDescent="0.55000000000000004">
      <c r="A5117">
        <f t="shared" si="160"/>
        <v>2004</v>
      </c>
      <c r="B5117" s="821">
        <v>38222</v>
      </c>
      <c r="C5117">
        <v>5.15</v>
      </c>
      <c r="D5117">
        <f t="shared" si="161"/>
        <v>1</v>
      </c>
    </row>
    <row r="5118" spans="1:4" x14ac:dyDescent="0.55000000000000004">
      <c r="A5118">
        <f t="shared" si="160"/>
        <v>2004</v>
      </c>
      <c r="B5118" s="821">
        <v>38219</v>
      </c>
      <c r="C5118">
        <v>5.14</v>
      </c>
      <c r="D5118">
        <f t="shared" si="161"/>
        <v>1</v>
      </c>
    </row>
    <row r="5119" spans="1:4" x14ac:dyDescent="0.55000000000000004">
      <c r="A5119">
        <f t="shared" si="160"/>
        <v>2004</v>
      </c>
      <c r="B5119" s="821">
        <v>38218</v>
      </c>
      <c r="C5119">
        <v>5.14</v>
      </c>
      <c r="D5119">
        <f t="shared" si="161"/>
        <v>1</v>
      </c>
    </row>
    <row r="5120" spans="1:4" x14ac:dyDescent="0.55000000000000004">
      <c r="A5120">
        <f t="shared" si="160"/>
        <v>2004</v>
      </c>
      <c r="B5120" s="821">
        <v>38217</v>
      </c>
      <c r="C5120">
        <v>5.1100000000000003</v>
      </c>
      <c r="D5120">
        <f t="shared" si="161"/>
        <v>1</v>
      </c>
    </row>
    <row r="5121" spans="1:4" x14ac:dyDescent="0.55000000000000004">
      <c r="A5121">
        <f t="shared" si="160"/>
        <v>2004</v>
      </c>
      <c r="B5121" s="821">
        <v>38216</v>
      </c>
      <c r="C5121">
        <v>5.13</v>
      </c>
      <c r="D5121">
        <f t="shared" si="161"/>
        <v>1</v>
      </c>
    </row>
    <row r="5122" spans="1:4" x14ac:dyDescent="0.55000000000000004">
      <c r="A5122">
        <f t="shared" si="160"/>
        <v>2004</v>
      </c>
      <c r="B5122" s="821">
        <v>38215</v>
      </c>
      <c r="C5122">
        <v>5.13</v>
      </c>
      <c r="D5122">
        <f t="shared" si="161"/>
        <v>1</v>
      </c>
    </row>
    <row r="5123" spans="1:4" x14ac:dyDescent="0.55000000000000004">
      <c r="A5123">
        <f t="shared" si="160"/>
        <v>2004</v>
      </c>
      <c r="B5123" s="821">
        <v>38212</v>
      </c>
      <c r="C5123">
        <v>5.1100000000000003</v>
      </c>
      <c r="D5123">
        <f t="shared" si="161"/>
        <v>1</v>
      </c>
    </row>
    <row r="5124" spans="1:4" x14ac:dyDescent="0.55000000000000004">
      <c r="A5124">
        <f t="shared" ref="A5124:A5187" si="162">YEAR(B5124)</f>
        <v>2004</v>
      </c>
      <c r="B5124" s="821">
        <v>38211</v>
      </c>
      <c r="C5124">
        <v>5.17</v>
      </c>
      <c r="D5124">
        <f t="shared" ref="D5124:D5187" si="163">IF(C5124&gt;4,1,0)</f>
        <v>1</v>
      </c>
    </row>
    <row r="5125" spans="1:4" x14ac:dyDescent="0.55000000000000004">
      <c r="A5125">
        <f t="shared" si="162"/>
        <v>2004</v>
      </c>
      <c r="B5125" s="821">
        <v>38210</v>
      </c>
      <c r="C5125">
        <v>5.16</v>
      </c>
      <c r="D5125">
        <f t="shared" si="163"/>
        <v>1</v>
      </c>
    </row>
    <row r="5126" spans="1:4" x14ac:dyDescent="0.55000000000000004">
      <c r="A5126">
        <f t="shared" si="162"/>
        <v>2004</v>
      </c>
      <c r="B5126" s="821">
        <v>38209</v>
      </c>
      <c r="C5126">
        <v>5.17</v>
      </c>
      <c r="D5126">
        <f t="shared" si="163"/>
        <v>1</v>
      </c>
    </row>
    <row r="5127" spans="1:4" x14ac:dyDescent="0.55000000000000004">
      <c r="A5127">
        <f t="shared" si="162"/>
        <v>2004</v>
      </c>
      <c r="B5127" s="821">
        <v>38208</v>
      </c>
      <c r="C5127">
        <v>5.15</v>
      </c>
      <c r="D5127">
        <f t="shared" si="163"/>
        <v>1</v>
      </c>
    </row>
    <row r="5128" spans="1:4" x14ac:dyDescent="0.55000000000000004">
      <c r="A5128">
        <f t="shared" si="162"/>
        <v>2004</v>
      </c>
      <c r="B5128" s="821">
        <v>38205</v>
      </c>
      <c r="C5128">
        <v>5.13</v>
      </c>
      <c r="D5128">
        <f t="shared" si="163"/>
        <v>1</v>
      </c>
    </row>
    <row r="5129" spans="1:4" x14ac:dyDescent="0.55000000000000004">
      <c r="A5129">
        <f t="shared" si="162"/>
        <v>2004</v>
      </c>
      <c r="B5129" s="821">
        <v>38204</v>
      </c>
      <c r="C5129">
        <v>5.22</v>
      </c>
      <c r="D5129">
        <f t="shared" si="163"/>
        <v>1</v>
      </c>
    </row>
    <row r="5130" spans="1:4" x14ac:dyDescent="0.55000000000000004">
      <c r="A5130">
        <f t="shared" si="162"/>
        <v>2004</v>
      </c>
      <c r="B5130" s="821">
        <v>38203</v>
      </c>
      <c r="C5130">
        <v>5.24</v>
      </c>
      <c r="D5130">
        <f t="shared" si="163"/>
        <v>1</v>
      </c>
    </row>
    <row r="5131" spans="1:4" x14ac:dyDescent="0.55000000000000004">
      <c r="A5131">
        <f t="shared" si="162"/>
        <v>2004</v>
      </c>
      <c r="B5131" s="821">
        <v>38202</v>
      </c>
      <c r="C5131">
        <v>5.24</v>
      </c>
      <c r="D5131">
        <f t="shared" si="163"/>
        <v>1</v>
      </c>
    </row>
    <row r="5132" spans="1:4" x14ac:dyDescent="0.55000000000000004">
      <c r="A5132">
        <f t="shared" si="162"/>
        <v>2004</v>
      </c>
      <c r="B5132" s="821">
        <v>38201</v>
      </c>
      <c r="C5132">
        <v>5.26</v>
      </c>
      <c r="D5132">
        <f t="shared" si="163"/>
        <v>1</v>
      </c>
    </row>
    <row r="5133" spans="1:4" x14ac:dyDescent="0.55000000000000004">
      <c r="A5133">
        <f t="shared" si="162"/>
        <v>2004</v>
      </c>
      <c r="B5133" s="821">
        <v>38198</v>
      </c>
      <c r="C5133">
        <v>5.31</v>
      </c>
      <c r="D5133">
        <f t="shared" si="163"/>
        <v>1</v>
      </c>
    </row>
    <row r="5134" spans="1:4" x14ac:dyDescent="0.55000000000000004">
      <c r="A5134">
        <f t="shared" si="162"/>
        <v>2004</v>
      </c>
      <c r="B5134" s="821">
        <v>38197</v>
      </c>
      <c r="C5134">
        <v>5.37</v>
      </c>
      <c r="D5134">
        <f t="shared" si="163"/>
        <v>1</v>
      </c>
    </row>
    <row r="5135" spans="1:4" x14ac:dyDescent="0.55000000000000004">
      <c r="A5135">
        <f t="shared" si="162"/>
        <v>2004</v>
      </c>
      <c r="B5135" s="821">
        <v>38196</v>
      </c>
      <c r="C5135">
        <v>5.42</v>
      </c>
      <c r="D5135">
        <f t="shared" si="163"/>
        <v>1</v>
      </c>
    </row>
    <row r="5136" spans="1:4" x14ac:dyDescent="0.55000000000000004">
      <c r="A5136">
        <f t="shared" si="162"/>
        <v>2004</v>
      </c>
      <c r="B5136" s="821">
        <v>38195</v>
      </c>
      <c r="C5136">
        <v>5.42</v>
      </c>
      <c r="D5136">
        <f t="shared" si="163"/>
        <v>1</v>
      </c>
    </row>
    <row r="5137" spans="1:4" x14ac:dyDescent="0.55000000000000004">
      <c r="A5137">
        <f t="shared" si="162"/>
        <v>2004</v>
      </c>
      <c r="B5137" s="821">
        <v>38194</v>
      </c>
      <c r="C5137">
        <v>5.27</v>
      </c>
      <c r="D5137">
        <f t="shared" si="163"/>
        <v>1</v>
      </c>
    </row>
    <row r="5138" spans="1:4" x14ac:dyDescent="0.55000000000000004">
      <c r="A5138">
        <f t="shared" si="162"/>
        <v>2004</v>
      </c>
      <c r="B5138" s="821">
        <v>38191</v>
      </c>
      <c r="C5138">
        <v>5.27</v>
      </c>
      <c r="D5138">
        <f t="shared" si="163"/>
        <v>1</v>
      </c>
    </row>
    <row r="5139" spans="1:4" x14ac:dyDescent="0.55000000000000004">
      <c r="A5139">
        <f t="shared" si="162"/>
        <v>2004</v>
      </c>
      <c r="B5139" s="821">
        <v>38190</v>
      </c>
      <c r="C5139">
        <v>5.3</v>
      </c>
      <c r="D5139">
        <f t="shared" si="163"/>
        <v>1</v>
      </c>
    </row>
    <row r="5140" spans="1:4" x14ac:dyDescent="0.55000000000000004">
      <c r="A5140">
        <f t="shared" si="162"/>
        <v>2004</v>
      </c>
      <c r="B5140" s="821">
        <v>38189</v>
      </c>
      <c r="C5140">
        <v>5.31</v>
      </c>
      <c r="D5140">
        <f t="shared" si="163"/>
        <v>1</v>
      </c>
    </row>
    <row r="5141" spans="1:4" x14ac:dyDescent="0.55000000000000004">
      <c r="A5141">
        <f t="shared" si="162"/>
        <v>2004</v>
      </c>
      <c r="B5141" s="821">
        <v>38188</v>
      </c>
      <c r="C5141">
        <v>5.25</v>
      </c>
      <c r="D5141">
        <f t="shared" si="163"/>
        <v>1</v>
      </c>
    </row>
    <row r="5142" spans="1:4" x14ac:dyDescent="0.55000000000000004">
      <c r="A5142">
        <f t="shared" si="162"/>
        <v>2004</v>
      </c>
      <c r="B5142" s="821">
        <v>38187</v>
      </c>
      <c r="C5142">
        <v>5.22</v>
      </c>
      <c r="D5142">
        <f t="shared" si="163"/>
        <v>1</v>
      </c>
    </row>
    <row r="5143" spans="1:4" x14ac:dyDescent="0.55000000000000004">
      <c r="A5143">
        <f t="shared" si="162"/>
        <v>2004</v>
      </c>
      <c r="B5143" s="821">
        <v>38184</v>
      </c>
      <c r="C5143">
        <v>5.22</v>
      </c>
      <c r="D5143">
        <f t="shared" si="163"/>
        <v>1</v>
      </c>
    </row>
    <row r="5144" spans="1:4" x14ac:dyDescent="0.55000000000000004">
      <c r="A5144">
        <f t="shared" si="162"/>
        <v>2004</v>
      </c>
      <c r="B5144" s="821">
        <v>38183</v>
      </c>
      <c r="C5144">
        <v>5.28</v>
      </c>
      <c r="D5144">
        <f t="shared" si="163"/>
        <v>1</v>
      </c>
    </row>
    <row r="5145" spans="1:4" x14ac:dyDescent="0.55000000000000004">
      <c r="A5145">
        <f t="shared" si="162"/>
        <v>2004</v>
      </c>
      <c r="B5145" s="821">
        <v>38182</v>
      </c>
      <c r="C5145">
        <v>5.32</v>
      </c>
      <c r="D5145">
        <f t="shared" si="163"/>
        <v>1</v>
      </c>
    </row>
    <row r="5146" spans="1:4" x14ac:dyDescent="0.55000000000000004">
      <c r="A5146">
        <f t="shared" si="162"/>
        <v>2004</v>
      </c>
      <c r="B5146" s="821">
        <v>38181</v>
      </c>
      <c r="C5146">
        <v>5.29</v>
      </c>
      <c r="D5146">
        <f t="shared" si="163"/>
        <v>1</v>
      </c>
    </row>
    <row r="5147" spans="1:4" x14ac:dyDescent="0.55000000000000004">
      <c r="A5147">
        <f t="shared" si="162"/>
        <v>2004</v>
      </c>
      <c r="B5147" s="821">
        <v>38180</v>
      </c>
      <c r="C5147">
        <v>5.26</v>
      </c>
      <c r="D5147">
        <f t="shared" si="163"/>
        <v>1</v>
      </c>
    </row>
    <row r="5148" spans="1:4" x14ac:dyDescent="0.55000000000000004">
      <c r="A5148">
        <f t="shared" si="162"/>
        <v>2004</v>
      </c>
      <c r="B5148" s="821">
        <v>38177</v>
      </c>
      <c r="C5148">
        <v>5.31</v>
      </c>
      <c r="D5148">
        <f t="shared" si="163"/>
        <v>1</v>
      </c>
    </row>
    <row r="5149" spans="1:4" x14ac:dyDescent="0.55000000000000004">
      <c r="A5149">
        <f t="shared" si="162"/>
        <v>2004</v>
      </c>
      <c r="B5149" s="821">
        <v>38176</v>
      </c>
      <c r="C5149">
        <v>5.32</v>
      </c>
      <c r="D5149">
        <f t="shared" si="163"/>
        <v>1</v>
      </c>
    </row>
    <row r="5150" spans="1:4" x14ac:dyDescent="0.55000000000000004">
      <c r="A5150">
        <f t="shared" si="162"/>
        <v>2004</v>
      </c>
      <c r="B5150" s="821">
        <v>38175</v>
      </c>
      <c r="C5150">
        <v>5.32</v>
      </c>
      <c r="D5150">
        <f t="shared" si="163"/>
        <v>1</v>
      </c>
    </row>
    <row r="5151" spans="1:4" x14ac:dyDescent="0.55000000000000004">
      <c r="A5151">
        <f t="shared" si="162"/>
        <v>2004</v>
      </c>
      <c r="B5151" s="821">
        <v>38174</v>
      </c>
      <c r="C5151">
        <v>5.32</v>
      </c>
      <c r="D5151">
        <f t="shared" si="163"/>
        <v>1</v>
      </c>
    </row>
    <row r="5152" spans="1:4" x14ac:dyDescent="0.55000000000000004">
      <c r="A5152">
        <f t="shared" si="162"/>
        <v>2004</v>
      </c>
      <c r="B5152" s="821">
        <v>38170</v>
      </c>
      <c r="C5152">
        <v>5.3</v>
      </c>
      <c r="D5152">
        <f t="shared" si="163"/>
        <v>1</v>
      </c>
    </row>
    <row r="5153" spans="1:4" x14ac:dyDescent="0.55000000000000004">
      <c r="A5153">
        <f t="shared" si="162"/>
        <v>2004</v>
      </c>
      <c r="B5153" s="821">
        <v>38169</v>
      </c>
      <c r="C5153">
        <v>5.35</v>
      </c>
      <c r="D5153">
        <f t="shared" si="163"/>
        <v>1</v>
      </c>
    </row>
    <row r="5154" spans="1:4" x14ac:dyDescent="0.55000000000000004">
      <c r="A5154">
        <f t="shared" si="162"/>
        <v>2004</v>
      </c>
      <c r="B5154" s="821">
        <v>38168</v>
      </c>
      <c r="C5154">
        <v>5.41</v>
      </c>
      <c r="D5154">
        <f t="shared" si="163"/>
        <v>1</v>
      </c>
    </row>
    <row r="5155" spans="1:4" x14ac:dyDescent="0.55000000000000004">
      <c r="A5155">
        <f t="shared" si="162"/>
        <v>2004</v>
      </c>
      <c r="B5155" s="821">
        <v>38167</v>
      </c>
      <c r="C5155">
        <v>5.44</v>
      </c>
      <c r="D5155">
        <f t="shared" si="163"/>
        <v>1</v>
      </c>
    </row>
    <row r="5156" spans="1:4" x14ac:dyDescent="0.55000000000000004">
      <c r="A5156">
        <f t="shared" si="162"/>
        <v>2004</v>
      </c>
      <c r="B5156" s="821">
        <v>38166</v>
      </c>
      <c r="C5156">
        <v>5.49</v>
      </c>
      <c r="D5156">
        <f t="shared" si="163"/>
        <v>1</v>
      </c>
    </row>
    <row r="5157" spans="1:4" x14ac:dyDescent="0.55000000000000004">
      <c r="A5157">
        <f t="shared" si="162"/>
        <v>2004</v>
      </c>
      <c r="B5157" s="821">
        <v>38163</v>
      </c>
      <c r="C5157">
        <v>5.41</v>
      </c>
      <c r="D5157">
        <f t="shared" si="163"/>
        <v>1</v>
      </c>
    </row>
    <row r="5158" spans="1:4" x14ac:dyDescent="0.55000000000000004">
      <c r="A5158">
        <f t="shared" si="162"/>
        <v>2004</v>
      </c>
      <c r="B5158" s="821">
        <v>38162</v>
      </c>
      <c r="C5158">
        <v>5.44</v>
      </c>
      <c r="D5158">
        <f t="shared" si="163"/>
        <v>1</v>
      </c>
    </row>
    <row r="5159" spans="1:4" x14ac:dyDescent="0.55000000000000004">
      <c r="A5159">
        <f t="shared" si="162"/>
        <v>2004</v>
      </c>
      <c r="B5159" s="821">
        <v>38161</v>
      </c>
      <c r="C5159">
        <v>5.45</v>
      </c>
      <c r="D5159">
        <f t="shared" si="163"/>
        <v>1</v>
      </c>
    </row>
    <row r="5160" spans="1:4" x14ac:dyDescent="0.55000000000000004">
      <c r="A5160">
        <f t="shared" si="162"/>
        <v>2004</v>
      </c>
      <c r="B5160" s="821">
        <v>38160</v>
      </c>
      <c r="C5160">
        <v>5.47</v>
      </c>
      <c r="D5160">
        <f t="shared" si="163"/>
        <v>1</v>
      </c>
    </row>
    <row r="5161" spans="1:4" x14ac:dyDescent="0.55000000000000004">
      <c r="A5161">
        <f t="shared" si="162"/>
        <v>2004</v>
      </c>
      <c r="B5161" s="821">
        <v>38159</v>
      </c>
      <c r="C5161">
        <v>5.45</v>
      </c>
      <c r="D5161">
        <f t="shared" si="163"/>
        <v>1</v>
      </c>
    </row>
    <row r="5162" spans="1:4" x14ac:dyDescent="0.55000000000000004">
      <c r="A5162">
        <f t="shared" si="162"/>
        <v>2004</v>
      </c>
      <c r="B5162" s="821">
        <v>38156</v>
      </c>
      <c r="C5162">
        <v>5.46</v>
      </c>
      <c r="D5162">
        <f t="shared" si="163"/>
        <v>1</v>
      </c>
    </row>
    <row r="5163" spans="1:4" x14ac:dyDescent="0.55000000000000004">
      <c r="A5163">
        <f t="shared" si="162"/>
        <v>2004</v>
      </c>
      <c r="B5163" s="821">
        <v>38155</v>
      </c>
      <c r="C5163">
        <v>5.41</v>
      </c>
      <c r="D5163">
        <f t="shared" si="163"/>
        <v>1</v>
      </c>
    </row>
    <row r="5164" spans="1:4" x14ac:dyDescent="0.55000000000000004">
      <c r="A5164">
        <f t="shared" si="162"/>
        <v>2004</v>
      </c>
      <c r="B5164" s="821">
        <v>38154</v>
      </c>
      <c r="C5164">
        <v>5.45</v>
      </c>
      <c r="D5164">
        <f t="shared" si="163"/>
        <v>1</v>
      </c>
    </row>
    <row r="5165" spans="1:4" x14ac:dyDescent="0.55000000000000004">
      <c r="A5165">
        <f t="shared" si="162"/>
        <v>2004</v>
      </c>
      <c r="B5165" s="821">
        <v>38153</v>
      </c>
      <c r="C5165">
        <v>5.45</v>
      </c>
      <c r="D5165">
        <f t="shared" si="163"/>
        <v>1</v>
      </c>
    </row>
    <row r="5166" spans="1:4" x14ac:dyDescent="0.55000000000000004">
      <c r="A5166">
        <f t="shared" si="162"/>
        <v>2004</v>
      </c>
      <c r="B5166" s="821">
        <v>38152</v>
      </c>
      <c r="C5166">
        <v>5.58</v>
      </c>
      <c r="D5166">
        <f t="shared" si="163"/>
        <v>1</v>
      </c>
    </row>
    <row r="5167" spans="1:4" x14ac:dyDescent="0.55000000000000004">
      <c r="A5167">
        <f t="shared" si="162"/>
        <v>2004</v>
      </c>
      <c r="B5167" s="821">
        <v>38148</v>
      </c>
      <c r="C5167">
        <v>5.51</v>
      </c>
      <c r="D5167">
        <f t="shared" si="163"/>
        <v>1</v>
      </c>
    </row>
    <row r="5168" spans="1:4" x14ac:dyDescent="0.55000000000000004">
      <c r="A5168">
        <f t="shared" si="162"/>
        <v>2004</v>
      </c>
      <c r="B5168" s="821">
        <v>38147</v>
      </c>
      <c r="C5168">
        <v>5.53</v>
      </c>
      <c r="D5168">
        <f t="shared" si="163"/>
        <v>1</v>
      </c>
    </row>
    <row r="5169" spans="1:4" x14ac:dyDescent="0.55000000000000004">
      <c r="A5169">
        <f t="shared" si="162"/>
        <v>2004</v>
      </c>
      <c r="B5169" s="821">
        <v>38146</v>
      </c>
      <c r="C5169">
        <v>5.53</v>
      </c>
      <c r="D5169">
        <f t="shared" si="163"/>
        <v>1</v>
      </c>
    </row>
    <row r="5170" spans="1:4" x14ac:dyDescent="0.55000000000000004">
      <c r="A5170">
        <f t="shared" si="162"/>
        <v>2004</v>
      </c>
      <c r="B5170" s="821">
        <v>38145</v>
      </c>
      <c r="C5170">
        <v>5.5</v>
      </c>
      <c r="D5170">
        <f t="shared" si="163"/>
        <v>1</v>
      </c>
    </row>
    <row r="5171" spans="1:4" x14ac:dyDescent="0.55000000000000004">
      <c r="A5171">
        <f t="shared" si="162"/>
        <v>2004</v>
      </c>
      <c r="B5171" s="821">
        <v>38142</v>
      </c>
      <c r="C5171">
        <v>5.54</v>
      </c>
      <c r="D5171">
        <f t="shared" si="163"/>
        <v>1</v>
      </c>
    </row>
    <row r="5172" spans="1:4" x14ac:dyDescent="0.55000000000000004">
      <c r="A5172">
        <f t="shared" si="162"/>
        <v>2004</v>
      </c>
      <c r="B5172" s="821">
        <v>38141</v>
      </c>
      <c r="C5172">
        <v>5.49</v>
      </c>
      <c r="D5172">
        <f t="shared" si="163"/>
        <v>1</v>
      </c>
    </row>
    <row r="5173" spans="1:4" x14ac:dyDescent="0.55000000000000004">
      <c r="A5173">
        <f t="shared" si="162"/>
        <v>2004</v>
      </c>
      <c r="B5173" s="821">
        <v>38140</v>
      </c>
      <c r="C5173">
        <v>5.5</v>
      </c>
      <c r="D5173">
        <f t="shared" si="163"/>
        <v>1</v>
      </c>
    </row>
    <row r="5174" spans="1:4" x14ac:dyDescent="0.55000000000000004">
      <c r="A5174">
        <f t="shared" si="162"/>
        <v>2004</v>
      </c>
      <c r="B5174" s="821">
        <v>38139</v>
      </c>
      <c r="C5174">
        <v>5.48</v>
      </c>
      <c r="D5174">
        <f t="shared" si="163"/>
        <v>1</v>
      </c>
    </row>
    <row r="5175" spans="1:4" x14ac:dyDescent="0.55000000000000004">
      <c r="A5175">
        <f t="shared" si="162"/>
        <v>2004</v>
      </c>
      <c r="B5175" s="821">
        <v>38135</v>
      </c>
      <c r="C5175">
        <v>5.42</v>
      </c>
      <c r="D5175">
        <f t="shared" si="163"/>
        <v>1</v>
      </c>
    </row>
    <row r="5176" spans="1:4" x14ac:dyDescent="0.55000000000000004">
      <c r="A5176">
        <f t="shared" si="162"/>
        <v>2004</v>
      </c>
      <c r="B5176" s="821">
        <v>38134</v>
      </c>
      <c r="C5176">
        <v>5.45</v>
      </c>
      <c r="D5176">
        <f t="shared" si="163"/>
        <v>1</v>
      </c>
    </row>
    <row r="5177" spans="1:4" x14ac:dyDescent="0.55000000000000004">
      <c r="A5177">
        <f t="shared" si="162"/>
        <v>2004</v>
      </c>
      <c r="B5177" s="821">
        <v>38133</v>
      </c>
      <c r="C5177">
        <v>5.46</v>
      </c>
      <c r="D5177">
        <f t="shared" si="163"/>
        <v>1</v>
      </c>
    </row>
    <row r="5178" spans="1:4" x14ac:dyDescent="0.55000000000000004">
      <c r="A5178">
        <f t="shared" si="162"/>
        <v>2004</v>
      </c>
      <c r="B5178" s="821">
        <v>38132</v>
      </c>
      <c r="C5178">
        <v>5.5</v>
      </c>
      <c r="D5178">
        <f t="shared" si="163"/>
        <v>1</v>
      </c>
    </row>
    <row r="5179" spans="1:4" x14ac:dyDescent="0.55000000000000004">
      <c r="A5179">
        <f t="shared" si="162"/>
        <v>2004</v>
      </c>
      <c r="B5179" s="821">
        <v>38131</v>
      </c>
      <c r="C5179">
        <v>5.53</v>
      </c>
      <c r="D5179">
        <f t="shared" si="163"/>
        <v>1</v>
      </c>
    </row>
    <row r="5180" spans="1:4" x14ac:dyDescent="0.55000000000000004">
      <c r="A5180">
        <f t="shared" si="162"/>
        <v>2004</v>
      </c>
      <c r="B5180" s="821">
        <v>38128</v>
      </c>
      <c r="C5180">
        <v>5.53</v>
      </c>
      <c r="D5180">
        <f t="shared" si="163"/>
        <v>1</v>
      </c>
    </row>
    <row r="5181" spans="1:4" x14ac:dyDescent="0.55000000000000004">
      <c r="A5181">
        <f t="shared" si="162"/>
        <v>2004</v>
      </c>
      <c r="B5181" s="821">
        <v>38127</v>
      </c>
      <c r="C5181">
        <v>5.52</v>
      </c>
      <c r="D5181">
        <f t="shared" si="163"/>
        <v>1</v>
      </c>
    </row>
    <row r="5182" spans="1:4" x14ac:dyDescent="0.55000000000000004">
      <c r="A5182">
        <f t="shared" si="162"/>
        <v>2004</v>
      </c>
      <c r="B5182" s="821">
        <v>38126</v>
      </c>
      <c r="C5182">
        <v>5.57</v>
      </c>
      <c r="D5182">
        <f t="shared" si="163"/>
        <v>1</v>
      </c>
    </row>
    <row r="5183" spans="1:4" x14ac:dyDescent="0.55000000000000004">
      <c r="A5183">
        <f t="shared" si="162"/>
        <v>2004</v>
      </c>
      <c r="B5183" s="821">
        <v>38125</v>
      </c>
      <c r="C5183">
        <v>5.56</v>
      </c>
      <c r="D5183">
        <f t="shared" si="163"/>
        <v>1</v>
      </c>
    </row>
    <row r="5184" spans="1:4" x14ac:dyDescent="0.55000000000000004">
      <c r="A5184">
        <f t="shared" si="162"/>
        <v>2004</v>
      </c>
      <c r="B5184" s="821">
        <v>38124</v>
      </c>
      <c r="C5184">
        <v>5.52</v>
      </c>
      <c r="D5184">
        <f t="shared" si="163"/>
        <v>1</v>
      </c>
    </row>
    <row r="5185" spans="1:4" x14ac:dyDescent="0.55000000000000004">
      <c r="A5185">
        <f t="shared" si="162"/>
        <v>2004</v>
      </c>
      <c r="B5185" s="821">
        <v>38121</v>
      </c>
      <c r="C5185">
        <v>5.59</v>
      </c>
      <c r="D5185">
        <f t="shared" si="163"/>
        <v>1</v>
      </c>
    </row>
    <row r="5186" spans="1:4" x14ac:dyDescent="0.55000000000000004">
      <c r="A5186">
        <f t="shared" si="162"/>
        <v>2004</v>
      </c>
      <c r="B5186" s="821">
        <v>38120</v>
      </c>
      <c r="C5186">
        <v>5.61</v>
      </c>
      <c r="D5186">
        <f t="shared" si="163"/>
        <v>1</v>
      </c>
    </row>
    <row r="5187" spans="1:4" x14ac:dyDescent="0.55000000000000004">
      <c r="A5187">
        <f t="shared" si="162"/>
        <v>2004</v>
      </c>
      <c r="B5187" s="821">
        <v>38119</v>
      </c>
      <c r="C5187">
        <v>5.57</v>
      </c>
      <c r="D5187">
        <f t="shared" si="163"/>
        <v>1</v>
      </c>
    </row>
    <row r="5188" spans="1:4" x14ac:dyDescent="0.55000000000000004">
      <c r="A5188">
        <f t="shared" ref="A5188:A5251" si="164">YEAR(B5188)</f>
        <v>2004</v>
      </c>
      <c r="B5188" s="821">
        <v>38118</v>
      </c>
      <c r="C5188">
        <v>5.53</v>
      </c>
      <c r="D5188">
        <f t="shared" ref="D5188:D5251" si="165">IF(C5188&gt;4,1,0)</f>
        <v>1</v>
      </c>
    </row>
    <row r="5189" spans="1:4" x14ac:dyDescent="0.55000000000000004">
      <c r="A5189">
        <f t="shared" si="164"/>
        <v>2004</v>
      </c>
      <c r="B5189" s="821">
        <v>38117</v>
      </c>
      <c r="C5189">
        <v>5.54</v>
      </c>
      <c r="D5189">
        <f t="shared" si="165"/>
        <v>1</v>
      </c>
    </row>
    <row r="5190" spans="1:4" x14ac:dyDescent="0.55000000000000004">
      <c r="A5190">
        <f t="shared" si="164"/>
        <v>2004</v>
      </c>
      <c r="B5190" s="821">
        <v>38114</v>
      </c>
      <c r="C5190">
        <v>5.53</v>
      </c>
      <c r="D5190">
        <f t="shared" si="165"/>
        <v>1</v>
      </c>
    </row>
    <row r="5191" spans="1:4" x14ac:dyDescent="0.55000000000000004">
      <c r="A5191">
        <f t="shared" si="164"/>
        <v>2004</v>
      </c>
      <c r="B5191" s="821">
        <v>38113</v>
      </c>
      <c r="C5191">
        <v>5.46</v>
      </c>
      <c r="D5191">
        <f t="shared" si="165"/>
        <v>1</v>
      </c>
    </row>
    <row r="5192" spans="1:4" x14ac:dyDescent="0.55000000000000004">
      <c r="A5192">
        <f t="shared" si="164"/>
        <v>2004</v>
      </c>
      <c r="B5192" s="821">
        <v>38112</v>
      </c>
      <c r="C5192">
        <v>5.46</v>
      </c>
      <c r="D5192">
        <f t="shared" si="165"/>
        <v>1</v>
      </c>
    </row>
    <row r="5193" spans="1:4" x14ac:dyDescent="0.55000000000000004">
      <c r="A5193">
        <f t="shared" si="164"/>
        <v>2004</v>
      </c>
      <c r="B5193" s="821">
        <v>38111</v>
      </c>
      <c r="C5193">
        <v>5.45</v>
      </c>
      <c r="D5193">
        <f t="shared" si="165"/>
        <v>1</v>
      </c>
    </row>
    <row r="5194" spans="1:4" x14ac:dyDescent="0.55000000000000004">
      <c r="A5194">
        <f t="shared" si="164"/>
        <v>2004</v>
      </c>
      <c r="B5194" s="821">
        <v>38110</v>
      </c>
      <c r="C5194">
        <v>5.41</v>
      </c>
      <c r="D5194">
        <f t="shared" si="165"/>
        <v>1</v>
      </c>
    </row>
    <row r="5195" spans="1:4" x14ac:dyDescent="0.55000000000000004">
      <c r="A5195">
        <f t="shared" si="164"/>
        <v>2004</v>
      </c>
      <c r="B5195" s="821">
        <v>38107</v>
      </c>
      <c r="C5195">
        <v>5.39</v>
      </c>
      <c r="D5195">
        <f t="shared" si="165"/>
        <v>1</v>
      </c>
    </row>
    <row r="5196" spans="1:4" x14ac:dyDescent="0.55000000000000004">
      <c r="A5196">
        <f t="shared" si="164"/>
        <v>2004</v>
      </c>
      <c r="B5196" s="821">
        <v>38106</v>
      </c>
      <c r="C5196">
        <v>5.41</v>
      </c>
      <c r="D5196">
        <f t="shared" si="165"/>
        <v>1</v>
      </c>
    </row>
    <row r="5197" spans="1:4" x14ac:dyDescent="0.55000000000000004">
      <c r="A5197">
        <f t="shared" si="164"/>
        <v>2004</v>
      </c>
      <c r="B5197" s="821">
        <v>38105</v>
      </c>
      <c r="C5197">
        <v>5.39</v>
      </c>
      <c r="D5197">
        <f t="shared" si="165"/>
        <v>1</v>
      </c>
    </row>
    <row r="5198" spans="1:4" x14ac:dyDescent="0.55000000000000004">
      <c r="A5198">
        <f t="shared" si="164"/>
        <v>2004</v>
      </c>
      <c r="B5198" s="821">
        <v>38104</v>
      </c>
      <c r="C5198">
        <v>5.35</v>
      </c>
      <c r="D5198">
        <f t="shared" si="165"/>
        <v>1</v>
      </c>
    </row>
    <row r="5199" spans="1:4" x14ac:dyDescent="0.55000000000000004">
      <c r="A5199">
        <f t="shared" si="164"/>
        <v>2004</v>
      </c>
      <c r="B5199" s="821">
        <v>38103</v>
      </c>
      <c r="C5199">
        <v>5.36</v>
      </c>
      <c r="D5199">
        <f t="shared" si="165"/>
        <v>1</v>
      </c>
    </row>
    <row r="5200" spans="1:4" x14ac:dyDescent="0.55000000000000004">
      <c r="A5200">
        <f t="shared" si="164"/>
        <v>2004</v>
      </c>
      <c r="B5200" s="821">
        <v>38100</v>
      </c>
      <c r="C5200">
        <v>5.38</v>
      </c>
      <c r="D5200">
        <f t="shared" si="165"/>
        <v>1</v>
      </c>
    </row>
    <row r="5201" spans="1:4" x14ac:dyDescent="0.55000000000000004">
      <c r="A5201">
        <f t="shared" si="164"/>
        <v>2004</v>
      </c>
      <c r="B5201" s="821">
        <v>38099</v>
      </c>
      <c r="C5201">
        <v>5.33</v>
      </c>
      <c r="D5201">
        <f t="shared" si="165"/>
        <v>1</v>
      </c>
    </row>
    <row r="5202" spans="1:4" x14ac:dyDescent="0.55000000000000004">
      <c r="A5202">
        <f t="shared" si="164"/>
        <v>2004</v>
      </c>
      <c r="B5202" s="821">
        <v>38098</v>
      </c>
      <c r="C5202">
        <v>5.36</v>
      </c>
      <c r="D5202">
        <f t="shared" si="165"/>
        <v>1</v>
      </c>
    </row>
    <row r="5203" spans="1:4" x14ac:dyDescent="0.55000000000000004">
      <c r="A5203">
        <f t="shared" si="164"/>
        <v>2004</v>
      </c>
      <c r="B5203" s="821">
        <v>38097</v>
      </c>
      <c r="C5203">
        <v>5.35</v>
      </c>
      <c r="D5203">
        <f t="shared" si="165"/>
        <v>1</v>
      </c>
    </row>
    <row r="5204" spans="1:4" x14ac:dyDescent="0.55000000000000004">
      <c r="A5204">
        <f t="shared" si="164"/>
        <v>2004</v>
      </c>
      <c r="B5204" s="821">
        <v>38096</v>
      </c>
      <c r="C5204">
        <v>5.33</v>
      </c>
      <c r="D5204">
        <f t="shared" si="165"/>
        <v>1</v>
      </c>
    </row>
    <row r="5205" spans="1:4" x14ac:dyDescent="0.55000000000000004">
      <c r="A5205">
        <f t="shared" si="164"/>
        <v>2004</v>
      </c>
      <c r="B5205" s="821">
        <v>38093</v>
      </c>
      <c r="C5205">
        <v>5.31</v>
      </c>
      <c r="D5205">
        <f t="shared" si="165"/>
        <v>1</v>
      </c>
    </row>
    <row r="5206" spans="1:4" x14ac:dyDescent="0.55000000000000004">
      <c r="A5206">
        <f t="shared" si="164"/>
        <v>2004</v>
      </c>
      <c r="B5206" s="821">
        <v>38092</v>
      </c>
      <c r="C5206">
        <v>5.33</v>
      </c>
      <c r="D5206">
        <f t="shared" si="165"/>
        <v>1</v>
      </c>
    </row>
    <row r="5207" spans="1:4" x14ac:dyDescent="0.55000000000000004">
      <c r="A5207">
        <f t="shared" si="164"/>
        <v>2004</v>
      </c>
      <c r="B5207" s="821">
        <v>38091</v>
      </c>
      <c r="C5207">
        <v>5.26</v>
      </c>
      <c r="D5207">
        <f t="shared" si="165"/>
        <v>1</v>
      </c>
    </row>
    <row r="5208" spans="1:4" x14ac:dyDescent="0.55000000000000004">
      <c r="A5208">
        <f t="shared" si="164"/>
        <v>2004</v>
      </c>
      <c r="B5208" s="821">
        <v>38090</v>
      </c>
      <c r="C5208">
        <v>5.25</v>
      </c>
      <c r="D5208">
        <f t="shared" si="165"/>
        <v>1</v>
      </c>
    </row>
    <row r="5209" spans="1:4" x14ac:dyDescent="0.55000000000000004">
      <c r="A5209">
        <f t="shared" si="164"/>
        <v>2004</v>
      </c>
      <c r="B5209" s="821">
        <v>38089</v>
      </c>
      <c r="C5209">
        <v>5.19</v>
      </c>
      <c r="D5209">
        <f t="shared" si="165"/>
        <v>1</v>
      </c>
    </row>
    <row r="5210" spans="1:4" x14ac:dyDescent="0.55000000000000004">
      <c r="A5210">
        <f t="shared" si="164"/>
        <v>2004</v>
      </c>
      <c r="B5210" s="821">
        <v>38085</v>
      </c>
      <c r="C5210">
        <v>5.17</v>
      </c>
      <c r="D5210">
        <f t="shared" si="165"/>
        <v>1</v>
      </c>
    </row>
    <row r="5211" spans="1:4" x14ac:dyDescent="0.55000000000000004">
      <c r="A5211">
        <f t="shared" si="164"/>
        <v>2004</v>
      </c>
      <c r="B5211" s="821">
        <v>38084</v>
      </c>
      <c r="C5211">
        <v>5.18</v>
      </c>
      <c r="D5211">
        <f t="shared" si="165"/>
        <v>1</v>
      </c>
    </row>
    <row r="5212" spans="1:4" x14ac:dyDescent="0.55000000000000004">
      <c r="A5212">
        <f t="shared" si="164"/>
        <v>2004</v>
      </c>
      <c r="B5212" s="821">
        <v>38083</v>
      </c>
      <c r="C5212">
        <v>5.17</v>
      </c>
      <c r="D5212">
        <f t="shared" si="165"/>
        <v>1</v>
      </c>
    </row>
    <row r="5213" spans="1:4" x14ac:dyDescent="0.55000000000000004">
      <c r="A5213">
        <f t="shared" si="164"/>
        <v>2004</v>
      </c>
      <c r="B5213" s="821">
        <v>38082</v>
      </c>
      <c r="C5213">
        <v>5.18</v>
      </c>
      <c r="D5213">
        <f t="shared" si="165"/>
        <v>1</v>
      </c>
    </row>
    <row r="5214" spans="1:4" x14ac:dyDescent="0.55000000000000004">
      <c r="A5214">
        <f t="shared" si="164"/>
        <v>2004</v>
      </c>
      <c r="B5214" s="821">
        <v>38079</v>
      </c>
      <c r="C5214">
        <v>5.13</v>
      </c>
      <c r="D5214">
        <f t="shared" si="165"/>
        <v>1</v>
      </c>
    </row>
    <row r="5215" spans="1:4" x14ac:dyDescent="0.55000000000000004">
      <c r="A5215">
        <f t="shared" si="164"/>
        <v>2004</v>
      </c>
      <c r="B5215" s="821">
        <v>38078</v>
      </c>
      <c r="C5215">
        <v>5.01</v>
      </c>
      <c r="D5215">
        <f t="shared" si="165"/>
        <v>1</v>
      </c>
    </row>
    <row r="5216" spans="1:4" x14ac:dyDescent="0.55000000000000004">
      <c r="A5216">
        <f t="shared" si="164"/>
        <v>2004</v>
      </c>
      <c r="B5216" s="821">
        <v>38077</v>
      </c>
      <c r="C5216">
        <v>4.93</v>
      </c>
      <c r="D5216">
        <f t="shared" si="165"/>
        <v>1</v>
      </c>
    </row>
    <row r="5217" spans="1:4" x14ac:dyDescent="0.55000000000000004">
      <c r="A5217">
        <f t="shared" si="164"/>
        <v>2004</v>
      </c>
      <c r="B5217" s="821">
        <v>38076</v>
      </c>
      <c r="C5217">
        <v>4.96</v>
      </c>
      <c r="D5217">
        <f t="shared" si="165"/>
        <v>1</v>
      </c>
    </row>
    <row r="5218" spans="1:4" x14ac:dyDescent="0.55000000000000004">
      <c r="A5218">
        <f t="shared" si="164"/>
        <v>2004</v>
      </c>
      <c r="B5218" s="821">
        <v>38075</v>
      </c>
      <c r="C5218">
        <v>4.96</v>
      </c>
      <c r="D5218">
        <f t="shared" si="165"/>
        <v>1</v>
      </c>
    </row>
    <row r="5219" spans="1:4" x14ac:dyDescent="0.55000000000000004">
      <c r="A5219">
        <f t="shared" si="164"/>
        <v>2004</v>
      </c>
      <c r="B5219" s="821">
        <v>38072</v>
      </c>
      <c r="C5219">
        <v>4.91</v>
      </c>
      <c r="D5219">
        <f t="shared" si="165"/>
        <v>1</v>
      </c>
    </row>
    <row r="5220" spans="1:4" x14ac:dyDescent="0.55000000000000004">
      <c r="A5220">
        <f t="shared" si="164"/>
        <v>2004</v>
      </c>
      <c r="B5220" s="821">
        <v>38071</v>
      </c>
      <c r="C5220">
        <v>4.8600000000000003</v>
      </c>
      <c r="D5220">
        <f t="shared" si="165"/>
        <v>1</v>
      </c>
    </row>
    <row r="5221" spans="1:4" x14ac:dyDescent="0.55000000000000004">
      <c r="A5221">
        <f t="shared" si="164"/>
        <v>2004</v>
      </c>
      <c r="B5221" s="821">
        <v>38070</v>
      </c>
      <c r="C5221">
        <v>4.83</v>
      </c>
      <c r="D5221">
        <f t="shared" si="165"/>
        <v>1</v>
      </c>
    </row>
    <row r="5222" spans="1:4" x14ac:dyDescent="0.55000000000000004">
      <c r="A5222">
        <f t="shared" si="164"/>
        <v>2004</v>
      </c>
      <c r="B5222" s="821">
        <v>38069</v>
      </c>
      <c r="C5222">
        <v>4.83</v>
      </c>
      <c r="D5222">
        <f t="shared" si="165"/>
        <v>1</v>
      </c>
    </row>
    <row r="5223" spans="1:4" x14ac:dyDescent="0.55000000000000004">
      <c r="A5223">
        <f t="shared" si="164"/>
        <v>2004</v>
      </c>
      <c r="B5223" s="821">
        <v>38068</v>
      </c>
      <c r="C5223">
        <v>4.84</v>
      </c>
      <c r="D5223">
        <f t="shared" si="165"/>
        <v>1</v>
      </c>
    </row>
    <row r="5224" spans="1:4" x14ac:dyDescent="0.55000000000000004">
      <c r="A5224">
        <f t="shared" si="164"/>
        <v>2004</v>
      </c>
      <c r="B5224" s="821">
        <v>38065</v>
      </c>
      <c r="C5224">
        <v>4.8899999999999997</v>
      </c>
      <c r="D5224">
        <f t="shared" si="165"/>
        <v>1</v>
      </c>
    </row>
    <row r="5225" spans="1:4" x14ac:dyDescent="0.55000000000000004">
      <c r="A5225">
        <f t="shared" si="164"/>
        <v>2004</v>
      </c>
      <c r="B5225" s="821">
        <v>38064</v>
      </c>
      <c r="C5225">
        <v>4.87</v>
      </c>
      <c r="D5225">
        <f t="shared" si="165"/>
        <v>1</v>
      </c>
    </row>
    <row r="5226" spans="1:4" x14ac:dyDescent="0.55000000000000004">
      <c r="A5226">
        <f t="shared" si="164"/>
        <v>2004</v>
      </c>
      <c r="B5226" s="821">
        <v>38063</v>
      </c>
      <c r="C5226">
        <v>4.83</v>
      </c>
      <c r="D5226">
        <f t="shared" si="165"/>
        <v>1</v>
      </c>
    </row>
    <row r="5227" spans="1:4" x14ac:dyDescent="0.55000000000000004">
      <c r="A5227">
        <f t="shared" si="164"/>
        <v>2004</v>
      </c>
      <c r="B5227" s="821">
        <v>38062</v>
      </c>
      <c r="C5227">
        <v>4.82</v>
      </c>
      <c r="D5227">
        <f t="shared" si="165"/>
        <v>1</v>
      </c>
    </row>
    <row r="5228" spans="1:4" x14ac:dyDescent="0.55000000000000004">
      <c r="A5228">
        <f t="shared" si="164"/>
        <v>2004</v>
      </c>
      <c r="B5228" s="821">
        <v>38061</v>
      </c>
      <c r="C5228">
        <v>4.88</v>
      </c>
      <c r="D5228">
        <f t="shared" si="165"/>
        <v>1</v>
      </c>
    </row>
    <row r="5229" spans="1:4" x14ac:dyDescent="0.55000000000000004">
      <c r="A5229">
        <f t="shared" si="164"/>
        <v>2004</v>
      </c>
      <c r="B5229" s="821">
        <v>38058</v>
      </c>
      <c r="C5229">
        <v>4.8899999999999997</v>
      </c>
      <c r="D5229">
        <f t="shared" si="165"/>
        <v>1</v>
      </c>
    </row>
    <row r="5230" spans="1:4" x14ac:dyDescent="0.55000000000000004">
      <c r="A5230">
        <f t="shared" si="164"/>
        <v>2004</v>
      </c>
      <c r="B5230" s="821">
        <v>38057</v>
      </c>
      <c r="C5230">
        <v>4.87</v>
      </c>
      <c r="D5230">
        <f t="shared" si="165"/>
        <v>1</v>
      </c>
    </row>
    <row r="5231" spans="1:4" x14ac:dyDescent="0.55000000000000004">
      <c r="A5231">
        <f t="shared" si="164"/>
        <v>2004</v>
      </c>
      <c r="B5231" s="821">
        <v>38056</v>
      </c>
      <c r="C5231">
        <v>4.83</v>
      </c>
      <c r="D5231">
        <f t="shared" si="165"/>
        <v>1</v>
      </c>
    </row>
    <row r="5232" spans="1:4" x14ac:dyDescent="0.55000000000000004">
      <c r="A5232">
        <f t="shared" si="164"/>
        <v>2004</v>
      </c>
      <c r="B5232" s="821">
        <v>38055</v>
      </c>
      <c r="C5232">
        <v>4.8499999999999996</v>
      </c>
      <c r="D5232">
        <f t="shared" si="165"/>
        <v>1</v>
      </c>
    </row>
    <row r="5233" spans="1:4" x14ac:dyDescent="0.55000000000000004">
      <c r="A5233">
        <f t="shared" si="164"/>
        <v>2004</v>
      </c>
      <c r="B5233" s="821">
        <v>38054</v>
      </c>
      <c r="C5233">
        <v>4.87</v>
      </c>
      <c r="D5233">
        <f t="shared" si="165"/>
        <v>1</v>
      </c>
    </row>
    <row r="5234" spans="1:4" x14ac:dyDescent="0.55000000000000004">
      <c r="A5234">
        <f t="shared" si="164"/>
        <v>2004</v>
      </c>
      <c r="B5234" s="821">
        <v>38051</v>
      </c>
      <c r="C5234">
        <v>4.91</v>
      </c>
      <c r="D5234">
        <f t="shared" si="165"/>
        <v>1</v>
      </c>
    </row>
    <row r="5235" spans="1:4" x14ac:dyDescent="0.55000000000000004">
      <c r="A5235">
        <f t="shared" si="164"/>
        <v>2004</v>
      </c>
      <c r="B5235" s="821">
        <v>38050</v>
      </c>
      <c r="C5235">
        <v>4.99</v>
      </c>
      <c r="D5235">
        <f t="shared" si="165"/>
        <v>1</v>
      </c>
    </row>
    <row r="5236" spans="1:4" x14ac:dyDescent="0.55000000000000004">
      <c r="A5236">
        <f t="shared" si="164"/>
        <v>2004</v>
      </c>
      <c r="B5236" s="821">
        <v>38049</v>
      </c>
      <c r="C5236">
        <v>5.0199999999999996</v>
      </c>
      <c r="D5236">
        <f t="shared" si="165"/>
        <v>1</v>
      </c>
    </row>
    <row r="5237" spans="1:4" x14ac:dyDescent="0.55000000000000004">
      <c r="A5237">
        <f t="shared" si="164"/>
        <v>2004</v>
      </c>
      <c r="B5237" s="821">
        <v>38048</v>
      </c>
      <c r="C5237">
        <v>5.0599999999999996</v>
      </c>
      <c r="D5237">
        <f t="shared" si="165"/>
        <v>1</v>
      </c>
    </row>
    <row r="5238" spans="1:4" x14ac:dyDescent="0.55000000000000004">
      <c r="A5238">
        <f t="shared" si="164"/>
        <v>2004</v>
      </c>
      <c r="B5238" s="821">
        <v>38047</v>
      </c>
      <c r="C5238">
        <v>4.99</v>
      </c>
      <c r="D5238">
        <f t="shared" si="165"/>
        <v>1</v>
      </c>
    </row>
    <row r="5239" spans="1:4" x14ac:dyDescent="0.55000000000000004">
      <c r="A5239">
        <f t="shared" si="164"/>
        <v>2004</v>
      </c>
      <c r="B5239" s="821">
        <v>38044</v>
      </c>
      <c r="C5239">
        <v>5.01</v>
      </c>
      <c r="D5239">
        <f t="shared" si="165"/>
        <v>1</v>
      </c>
    </row>
    <row r="5240" spans="1:4" x14ac:dyDescent="0.55000000000000004">
      <c r="A5240">
        <f t="shared" si="164"/>
        <v>2004</v>
      </c>
      <c r="B5240" s="821">
        <v>38043</v>
      </c>
      <c r="C5240">
        <v>5.05</v>
      </c>
      <c r="D5240">
        <f t="shared" si="165"/>
        <v>1</v>
      </c>
    </row>
    <row r="5241" spans="1:4" x14ac:dyDescent="0.55000000000000004">
      <c r="A5241">
        <f t="shared" si="164"/>
        <v>2004</v>
      </c>
      <c r="B5241" s="821">
        <v>38042</v>
      </c>
      <c r="C5241">
        <v>5.0199999999999996</v>
      </c>
      <c r="D5241">
        <f t="shared" si="165"/>
        <v>1</v>
      </c>
    </row>
    <row r="5242" spans="1:4" x14ac:dyDescent="0.55000000000000004">
      <c r="A5242">
        <f t="shared" si="164"/>
        <v>2004</v>
      </c>
      <c r="B5242" s="821">
        <v>38041</v>
      </c>
      <c r="C5242">
        <v>5.0599999999999996</v>
      </c>
      <c r="D5242">
        <f t="shared" si="165"/>
        <v>1</v>
      </c>
    </row>
    <row r="5243" spans="1:4" x14ac:dyDescent="0.55000000000000004">
      <c r="A5243">
        <f t="shared" si="164"/>
        <v>2004</v>
      </c>
      <c r="B5243" s="821">
        <v>38040</v>
      </c>
      <c r="C5243">
        <v>5.1100000000000003</v>
      </c>
      <c r="D5243">
        <f t="shared" si="165"/>
        <v>1</v>
      </c>
    </row>
    <row r="5244" spans="1:4" x14ac:dyDescent="0.55000000000000004">
      <c r="A5244">
        <f t="shared" si="164"/>
        <v>2004</v>
      </c>
      <c r="B5244" s="821">
        <v>38037</v>
      </c>
      <c r="C5244">
        <v>5.09</v>
      </c>
      <c r="D5244">
        <f t="shared" si="165"/>
        <v>1</v>
      </c>
    </row>
    <row r="5245" spans="1:4" x14ac:dyDescent="0.55000000000000004">
      <c r="A5245">
        <f t="shared" si="164"/>
        <v>2004</v>
      </c>
      <c r="B5245" s="821">
        <v>38036</v>
      </c>
      <c r="C5245">
        <v>5.04</v>
      </c>
      <c r="D5245">
        <f t="shared" si="165"/>
        <v>1</v>
      </c>
    </row>
    <row r="5246" spans="1:4" x14ac:dyDescent="0.55000000000000004">
      <c r="A5246">
        <f t="shared" si="164"/>
        <v>2004</v>
      </c>
      <c r="B5246" s="821">
        <v>38035</v>
      </c>
      <c r="C5246">
        <v>5.07</v>
      </c>
      <c r="D5246">
        <f t="shared" si="165"/>
        <v>1</v>
      </c>
    </row>
    <row r="5247" spans="1:4" x14ac:dyDescent="0.55000000000000004">
      <c r="A5247">
        <f t="shared" si="164"/>
        <v>2004</v>
      </c>
      <c r="B5247" s="821">
        <v>38034</v>
      </c>
      <c r="C5247">
        <v>5.07</v>
      </c>
      <c r="D5247">
        <f t="shared" si="165"/>
        <v>1</v>
      </c>
    </row>
    <row r="5248" spans="1:4" x14ac:dyDescent="0.55000000000000004">
      <c r="A5248">
        <f t="shared" si="164"/>
        <v>2004</v>
      </c>
      <c r="B5248" s="821">
        <v>38030</v>
      </c>
      <c r="C5248">
        <v>5.08</v>
      </c>
      <c r="D5248">
        <f t="shared" si="165"/>
        <v>1</v>
      </c>
    </row>
    <row r="5249" spans="1:4" x14ac:dyDescent="0.55000000000000004">
      <c r="A5249">
        <f t="shared" si="164"/>
        <v>2004</v>
      </c>
      <c r="B5249" s="821">
        <v>38029</v>
      </c>
      <c r="C5249">
        <v>5.0999999999999996</v>
      </c>
      <c r="D5249">
        <f t="shared" si="165"/>
        <v>1</v>
      </c>
    </row>
    <row r="5250" spans="1:4" x14ac:dyDescent="0.55000000000000004">
      <c r="A5250">
        <f t="shared" si="164"/>
        <v>2004</v>
      </c>
      <c r="B5250" s="821">
        <v>38028</v>
      </c>
      <c r="C5250">
        <v>5.0599999999999996</v>
      </c>
      <c r="D5250">
        <f t="shared" si="165"/>
        <v>1</v>
      </c>
    </row>
    <row r="5251" spans="1:4" x14ac:dyDescent="0.55000000000000004">
      <c r="A5251">
        <f t="shared" si="164"/>
        <v>2004</v>
      </c>
      <c r="B5251" s="821">
        <v>38027</v>
      </c>
      <c r="C5251">
        <v>5.08</v>
      </c>
      <c r="D5251">
        <f t="shared" si="165"/>
        <v>1</v>
      </c>
    </row>
    <row r="5252" spans="1:4" x14ac:dyDescent="0.55000000000000004">
      <c r="A5252">
        <f t="shared" ref="A5252:A5315" si="166">YEAR(B5252)</f>
        <v>2004</v>
      </c>
      <c r="B5252" s="821">
        <v>38026</v>
      </c>
      <c r="C5252">
        <v>5.0599999999999996</v>
      </c>
      <c r="D5252">
        <f t="shared" ref="D5252:D5315" si="167">IF(C5252&gt;4,1,0)</f>
        <v>1</v>
      </c>
    </row>
    <row r="5253" spans="1:4" x14ac:dyDescent="0.55000000000000004">
      <c r="A5253">
        <f t="shared" si="166"/>
        <v>2004</v>
      </c>
      <c r="B5253" s="821">
        <v>38023</v>
      </c>
      <c r="C5253">
        <v>5.08</v>
      </c>
      <c r="D5253">
        <f t="shared" si="167"/>
        <v>1</v>
      </c>
    </row>
    <row r="5254" spans="1:4" x14ac:dyDescent="0.55000000000000004">
      <c r="A5254">
        <f t="shared" si="166"/>
        <v>2004</v>
      </c>
      <c r="B5254" s="821">
        <v>38022</v>
      </c>
      <c r="C5254">
        <v>5.13</v>
      </c>
      <c r="D5254">
        <f t="shared" si="167"/>
        <v>1</v>
      </c>
    </row>
    <row r="5255" spans="1:4" x14ac:dyDescent="0.55000000000000004">
      <c r="A5255">
        <f t="shared" si="166"/>
        <v>2004</v>
      </c>
      <c r="B5255" s="821">
        <v>38021</v>
      </c>
      <c r="C5255">
        <v>5.1100000000000003</v>
      </c>
      <c r="D5255">
        <f t="shared" si="167"/>
        <v>1</v>
      </c>
    </row>
    <row r="5256" spans="1:4" x14ac:dyDescent="0.55000000000000004">
      <c r="A5256">
        <f t="shared" si="166"/>
        <v>2004</v>
      </c>
      <c r="B5256" s="821">
        <v>38020</v>
      </c>
      <c r="C5256">
        <v>5.1100000000000003</v>
      </c>
      <c r="D5256">
        <f t="shared" si="167"/>
        <v>1</v>
      </c>
    </row>
    <row r="5257" spans="1:4" x14ac:dyDescent="0.55000000000000004">
      <c r="A5257">
        <f t="shared" si="166"/>
        <v>2004</v>
      </c>
      <c r="B5257" s="821">
        <v>38019</v>
      </c>
      <c r="C5257">
        <v>5.13</v>
      </c>
      <c r="D5257">
        <f t="shared" si="167"/>
        <v>1</v>
      </c>
    </row>
    <row r="5258" spans="1:4" x14ac:dyDescent="0.55000000000000004">
      <c r="A5258">
        <f t="shared" si="166"/>
        <v>2004</v>
      </c>
      <c r="B5258" s="821">
        <v>38016</v>
      </c>
      <c r="C5258">
        <v>5.1100000000000003</v>
      </c>
      <c r="D5258">
        <f t="shared" si="167"/>
        <v>1</v>
      </c>
    </row>
    <row r="5259" spans="1:4" x14ac:dyDescent="0.55000000000000004">
      <c r="A5259">
        <f t="shared" si="166"/>
        <v>2004</v>
      </c>
      <c r="B5259" s="821">
        <v>38015</v>
      </c>
      <c r="C5259">
        <v>5.13</v>
      </c>
      <c r="D5259">
        <f t="shared" si="167"/>
        <v>1</v>
      </c>
    </row>
    <row r="5260" spans="1:4" x14ac:dyDescent="0.55000000000000004">
      <c r="A5260">
        <f t="shared" si="166"/>
        <v>2004</v>
      </c>
      <c r="B5260" s="821">
        <v>38014</v>
      </c>
      <c r="C5260">
        <v>5.14</v>
      </c>
      <c r="D5260">
        <f t="shared" si="167"/>
        <v>1</v>
      </c>
    </row>
    <row r="5261" spans="1:4" x14ac:dyDescent="0.55000000000000004">
      <c r="A5261">
        <f t="shared" si="166"/>
        <v>2004</v>
      </c>
      <c r="B5261" s="821">
        <v>38013</v>
      </c>
      <c r="C5261">
        <v>5.09</v>
      </c>
      <c r="D5261">
        <f t="shared" si="167"/>
        <v>1</v>
      </c>
    </row>
    <row r="5262" spans="1:4" x14ac:dyDescent="0.55000000000000004">
      <c r="A5262">
        <f t="shared" si="166"/>
        <v>2004</v>
      </c>
      <c r="B5262" s="821">
        <v>38012</v>
      </c>
      <c r="C5262">
        <v>5.14</v>
      </c>
      <c r="D5262">
        <f t="shared" si="167"/>
        <v>1</v>
      </c>
    </row>
    <row r="5263" spans="1:4" x14ac:dyDescent="0.55000000000000004">
      <c r="A5263">
        <f t="shared" si="166"/>
        <v>2004</v>
      </c>
      <c r="B5263" s="821">
        <v>38009</v>
      </c>
      <c r="C5263">
        <v>5.08</v>
      </c>
      <c r="D5263">
        <f t="shared" si="167"/>
        <v>1</v>
      </c>
    </row>
    <row r="5264" spans="1:4" x14ac:dyDescent="0.55000000000000004">
      <c r="A5264">
        <f t="shared" si="166"/>
        <v>2004</v>
      </c>
      <c r="B5264" s="821">
        <v>38008</v>
      </c>
      <c r="C5264">
        <v>5.0199999999999996</v>
      </c>
      <c r="D5264">
        <f t="shared" si="167"/>
        <v>1</v>
      </c>
    </row>
    <row r="5265" spans="1:4" x14ac:dyDescent="0.55000000000000004">
      <c r="A5265">
        <f t="shared" si="166"/>
        <v>2004</v>
      </c>
      <c r="B5265" s="821">
        <v>38007</v>
      </c>
      <c r="C5265">
        <v>5.0599999999999996</v>
      </c>
      <c r="D5265">
        <f t="shared" si="167"/>
        <v>1</v>
      </c>
    </row>
    <row r="5266" spans="1:4" x14ac:dyDescent="0.55000000000000004">
      <c r="A5266">
        <f t="shared" si="166"/>
        <v>2004</v>
      </c>
      <c r="B5266" s="821">
        <v>38006</v>
      </c>
      <c r="C5266">
        <v>5.09</v>
      </c>
      <c r="D5266">
        <f t="shared" si="167"/>
        <v>1</v>
      </c>
    </row>
    <row r="5267" spans="1:4" x14ac:dyDescent="0.55000000000000004">
      <c r="A5267">
        <f t="shared" si="166"/>
        <v>2004</v>
      </c>
      <c r="B5267" s="821">
        <v>38002</v>
      </c>
      <c r="C5267">
        <v>5.04</v>
      </c>
      <c r="D5267">
        <f t="shared" si="167"/>
        <v>1</v>
      </c>
    </row>
    <row r="5268" spans="1:4" x14ac:dyDescent="0.55000000000000004">
      <c r="A5268">
        <f t="shared" si="166"/>
        <v>2004</v>
      </c>
      <c r="B5268" s="821">
        <v>38001</v>
      </c>
      <c r="C5268">
        <v>5.03</v>
      </c>
      <c r="D5268">
        <f t="shared" si="167"/>
        <v>1</v>
      </c>
    </row>
    <row r="5269" spans="1:4" x14ac:dyDescent="0.55000000000000004">
      <c r="A5269">
        <f t="shared" si="166"/>
        <v>2004</v>
      </c>
      <c r="B5269" s="821">
        <v>38000</v>
      </c>
      <c r="C5269">
        <v>5.0599999999999996</v>
      </c>
      <c r="D5269">
        <f t="shared" si="167"/>
        <v>1</v>
      </c>
    </row>
    <row r="5270" spans="1:4" x14ac:dyDescent="0.55000000000000004">
      <c r="A5270">
        <f t="shared" si="166"/>
        <v>2004</v>
      </c>
      <c r="B5270" s="821">
        <v>37999</v>
      </c>
      <c r="C5270">
        <v>5.1100000000000003</v>
      </c>
      <c r="D5270">
        <f t="shared" si="167"/>
        <v>1</v>
      </c>
    </row>
    <row r="5271" spans="1:4" x14ac:dyDescent="0.55000000000000004">
      <c r="A5271">
        <f t="shared" si="166"/>
        <v>2004</v>
      </c>
      <c r="B5271" s="821">
        <v>37998</v>
      </c>
      <c r="C5271">
        <v>5.12</v>
      </c>
      <c r="D5271">
        <f t="shared" si="167"/>
        <v>1</v>
      </c>
    </row>
    <row r="5272" spans="1:4" x14ac:dyDescent="0.55000000000000004">
      <c r="A5272">
        <f t="shared" si="166"/>
        <v>2004</v>
      </c>
      <c r="B5272" s="821">
        <v>37995</v>
      </c>
      <c r="C5272">
        <v>5.14</v>
      </c>
      <c r="D5272">
        <f t="shared" si="167"/>
        <v>1</v>
      </c>
    </row>
    <row r="5273" spans="1:4" x14ac:dyDescent="0.55000000000000004">
      <c r="A5273">
        <f t="shared" si="166"/>
        <v>2004</v>
      </c>
      <c r="B5273" s="821">
        <v>37994</v>
      </c>
      <c r="C5273">
        <v>5.2</v>
      </c>
      <c r="D5273">
        <f t="shared" si="167"/>
        <v>1</v>
      </c>
    </row>
    <row r="5274" spans="1:4" x14ac:dyDescent="0.55000000000000004">
      <c r="A5274">
        <f t="shared" si="166"/>
        <v>2004</v>
      </c>
      <c r="B5274" s="821">
        <v>37993</v>
      </c>
      <c r="C5274">
        <v>5.22</v>
      </c>
      <c r="D5274">
        <f t="shared" si="167"/>
        <v>1</v>
      </c>
    </row>
    <row r="5275" spans="1:4" x14ac:dyDescent="0.55000000000000004">
      <c r="A5275">
        <f t="shared" si="166"/>
        <v>2004</v>
      </c>
      <c r="B5275" s="821">
        <v>37992</v>
      </c>
      <c r="C5275">
        <v>5.26</v>
      </c>
      <c r="D5275">
        <f t="shared" si="167"/>
        <v>1</v>
      </c>
    </row>
    <row r="5276" spans="1:4" x14ac:dyDescent="0.55000000000000004">
      <c r="A5276">
        <f t="shared" si="166"/>
        <v>2004</v>
      </c>
      <c r="B5276" s="821">
        <v>37991</v>
      </c>
      <c r="C5276">
        <v>5.28</v>
      </c>
      <c r="D5276">
        <f t="shared" si="167"/>
        <v>1</v>
      </c>
    </row>
    <row r="5277" spans="1:4" x14ac:dyDescent="0.55000000000000004">
      <c r="A5277">
        <f t="shared" si="166"/>
        <v>2004</v>
      </c>
      <c r="B5277" s="821">
        <v>37988</v>
      </c>
      <c r="C5277">
        <v>5.3</v>
      </c>
      <c r="D5277">
        <f t="shared" si="167"/>
        <v>1</v>
      </c>
    </row>
    <row r="5278" spans="1:4" x14ac:dyDescent="0.55000000000000004">
      <c r="A5278">
        <f t="shared" si="166"/>
        <v>2003</v>
      </c>
      <c r="B5278" s="821">
        <v>37986</v>
      </c>
      <c r="C5278">
        <v>5.23</v>
      </c>
      <c r="D5278">
        <f t="shared" si="167"/>
        <v>1</v>
      </c>
    </row>
    <row r="5279" spans="1:4" x14ac:dyDescent="0.55000000000000004">
      <c r="A5279">
        <f t="shared" si="166"/>
        <v>2003</v>
      </c>
      <c r="B5279" s="821">
        <v>37985</v>
      </c>
      <c r="C5279">
        <v>5.23</v>
      </c>
      <c r="D5279">
        <f t="shared" si="167"/>
        <v>1</v>
      </c>
    </row>
    <row r="5280" spans="1:4" x14ac:dyDescent="0.55000000000000004">
      <c r="A5280">
        <f t="shared" si="166"/>
        <v>2003</v>
      </c>
      <c r="B5280" s="821">
        <v>37984</v>
      </c>
      <c r="C5280">
        <v>5.18</v>
      </c>
      <c r="D5280">
        <f t="shared" si="167"/>
        <v>1</v>
      </c>
    </row>
    <row r="5281" spans="1:4" x14ac:dyDescent="0.55000000000000004">
      <c r="A5281">
        <f t="shared" si="166"/>
        <v>2003</v>
      </c>
      <c r="B5281" s="821">
        <v>37981</v>
      </c>
      <c r="C5281">
        <v>5.15</v>
      </c>
      <c r="D5281">
        <f t="shared" si="167"/>
        <v>1</v>
      </c>
    </row>
    <row r="5282" spans="1:4" x14ac:dyDescent="0.55000000000000004">
      <c r="A5282">
        <f t="shared" si="166"/>
        <v>2003</v>
      </c>
      <c r="B5282" s="821">
        <v>37979</v>
      </c>
      <c r="C5282">
        <v>5.15</v>
      </c>
      <c r="D5282">
        <f t="shared" si="167"/>
        <v>1</v>
      </c>
    </row>
    <row r="5283" spans="1:4" x14ac:dyDescent="0.55000000000000004">
      <c r="A5283">
        <f t="shared" si="166"/>
        <v>2003</v>
      </c>
      <c r="B5283" s="821">
        <v>37978</v>
      </c>
      <c r="C5283">
        <v>5.2</v>
      </c>
      <c r="D5283">
        <f t="shared" si="167"/>
        <v>1</v>
      </c>
    </row>
    <row r="5284" spans="1:4" x14ac:dyDescent="0.55000000000000004">
      <c r="A5284">
        <f t="shared" si="166"/>
        <v>2003</v>
      </c>
      <c r="B5284" s="821">
        <v>37977</v>
      </c>
      <c r="C5284">
        <v>5.13</v>
      </c>
      <c r="D5284">
        <f t="shared" si="167"/>
        <v>1</v>
      </c>
    </row>
    <row r="5285" spans="1:4" x14ac:dyDescent="0.55000000000000004">
      <c r="A5285">
        <f t="shared" si="166"/>
        <v>2003</v>
      </c>
      <c r="B5285" s="821">
        <v>37974</v>
      </c>
      <c r="C5285">
        <v>5.1100000000000003</v>
      </c>
      <c r="D5285">
        <f t="shared" si="167"/>
        <v>1</v>
      </c>
    </row>
    <row r="5286" spans="1:4" x14ac:dyDescent="0.55000000000000004">
      <c r="A5286">
        <f t="shared" si="166"/>
        <v>2003</v>
      </c>
      <c r="B5286" s="821">
        <v>37973</v>
      </c>
      <c r="C5286">
        <v>5.0999999999999996</v>
      </c>
      <c r="D5286">
        <f t="shared" si="167"/>
        <v>1</v>
      </c>
    </row>
    <row r="5287" spans="1:4" x14ac:dyDescent="0.55000000000000004">
      <c r="A5287">
        <f t="shared" si="166"/>
        <v>2003</v>
      </c>
      <c r="B5287" s="821">
        <v>37972</v>
      </c>
      <c r="C5287">
        <v>5.16</v>
      </c>
      <c r="D5287">
        <f t="shared" si="167"/>
        <v>1</v>
      </c>
    </row>
    <row r="5288" spans="1:4" x14ac:dyDescent="0.55000000000000004">
      <c r="A5288">
        <f t="shared" si="166"/>
        <v>2003</v>
      </c>
      <c r="B5288" s="821">
        <v>37971</v>
      </c>
      <c r="C5288">
        <v>5.23</v>
      </c>
      <c r="D5288">
        <f t="shared" si="167"/>
        <v>1</v>
      </c>
    </row>
    <row r="5289" spans="1:4" x14ac:dyDescent="0.55000000000000004">
      <c r="A5289">
        <f t="shared" si="166"/>
        <v>2003</v>
      </c>
      <c r="B5289" s="821">
        <v>37970</v>
      </c>
      <c r="C5289">
        <v>5.24</v>
      </c>
      <c r="D5289">
        <f t="shared" si="167"/>
        <v>1</v>
      </c>
    </row>
    <row r="5290" spans="1:4" x14ac:dyDescent="0.55000000000000004">
      <c r="A5290">
        <f t="shared" si="166"/>
        <v>2003</v>
      </c>
      <c r="B5290" s="821">
        <v>37967</v>
      </c>
      <c r="C5290">
        <v>5.23</v>
      </c>
      <c r="D5290">
        <f t="shared" si="167"/>
        <v>1</v>
      </c>
    </row>
    <row r="5291" spans="1:4" x14ac:dyDescent="0.55000000000000004">
      <c r="A5291">
        <f t="shared" si="166"/>
        <v>2003</v>
      </c>
      <c r="B5291" s="821">
        <v>37966</v>
      </c>
      <c r="C5291">
        <v>5.27</v>
      </c>
      <c r="D5291">
        <f t="shared" si="167"/>
        <v>1</v>
      </c>
    </row>
    <row r="5292" spans="1:4" x14ac:dyDescent="0.55000000000000004">
      <c r="A5292">
        <f t="shared" si="166"/>
        <v>2003</v>
      </c>
      <c r="B5292" s="821">
        <v>37965</v>
      </c>
      <c r="C5292">
        <v>5.28</v>
      </c>
      <c r="D5292">
        <f t="shared" si="167"/>
        <v>1</v>
      </c>
    </row>
    <row r="5293" spans="1:4" x14ac:dyDescent="0.55000000000000004">
      <c r="A5293">
        <f t="shared" si="166"/>
        <v>2003</v>
      </c>
      <c r="B5293" s="821">
        <v>37964</v>
      </c>
      <c r="C5293">
        <v>5.26</v>
      </c>
      <c r="D5293">
        <f t="shared" si="167"/>
        <v>1</v>
      </c>
    </row>
    <row r="5294" spans="1:4" x14ac:dyDescent="0.55000000000000004">
      <c r="A5294">
        <f t="shared" si="166"/>
        <v>2003</v>
      </c>
      <c r="B5294" s="821">
        <v>37963</v>
      </c>
      <c r="C5294">
        <v>5.26</v>
      </c>
      <c r="D5294">
        <f t="shared" si="167"/>
        <v>1</v>
      </c>
    </row>
    <row r="5295" spans="1:4" x14ac:dyDescent="0.55000000000000004">
      <c r="A5295">
        <f t="shared" si="166"/>
        <v>2003</v>
      </c>
      <c r="B5295" s="821">
        <v>37960</v>
      </c>
      <c r="C5295">
        <v>5.2</v>
      </c>
      <c r="D5295">
        <f t="shared" si="167"/>
        <v>1</v>
      </c>
    </row>
    <row r="5296" spans="1:4" x14ac:dyDescent="0.55000000000000004">
      <c r="A5296">
        <f t="shared" si="166"/>
        <v>2003</v>
      </c>
      <c r="B5296" s="821">
        <v>37959</v>
      </c>
      <c r="C5296">
        <v>5.27</v>
      </c>
      <c r="D5296">
        <f t="shared" si="167"/>
        <v>1</v>
      </c>
    </row>
    <row r="5297" spans="1:4" x14ac:dyDescent="0.55000000000000004">
      <c r="A5297">
        <f t="shared" si="166"/>
        <v>2003</v>
      </c>
      <c r="B5297" s="821">
        <v>37958</v>
      </c>
      <c r="C5297">
        <v>5.28</v>
      </c>
      <c r="D5297">
        <f t="shared" si="167"/>
        <v>1</v>
      </c>
    </row>
    <row r="5298" spans="1:4" x14ac:dyDescent="0.55000000000000004">
      <c r="A5298">
        <f t="shared" si="166"/>
        <v>2003</v>
      </c>
      <c r="B5298" s="821">
        <v>37957</v>
      </c>
      <c r="C5298">
        <v>5.25</v>
      </c>
      <c r="D5298">
        <f t="shared" si="167"/>
        <v>1</v>
      </c>
    </row>
    <row r="5299" spans="1:4" x14ac:dyDescent="0.55000000000000004">
      <c r="A5299">
        <f t="shared" si="166"/>
        <v>2003</v>
      </c>
      <c r="B5299" s="821">
        <v>37956</v>
      </c>
      <c r="C5299">
        <v>5.28</v>
      </c>
      <c r="D5299">
        <f t="shared" si="167"/>
        <v>1</v>
      </c>
    </row>
    <row r="5300" spans="1:4" x14ac:dyDescent="0.55000000000000004">
      <c r="A5300">
        <f t="shared" si="166"/>
        <v>2003</v>
      </c>
      <c r="B5300" s="821">
        <v>37953</v>
      </c>
      <c r="C5300">
        <v>5.23</v>
      </c>
      <c r="D5300">
        <f t="shared" si="167"/>
        <v>1</v>
      </c>
    </row>
    <row r="5301" spans="1:4" x14ac:dyDescent="0.55000000000000004">
      <c r="A5301">
        <f t="shared" si="166"/>
        <v>2003</v>
      </c>
      <c r="B5301" s="821">
        <v>37951</v>
      </c>
      <c r="C5301">
        <v>5.2</v>
      </c>
      <c r="D5301">
        <f t="shared" si="167"/>
        <v>1</v>
      </c>
    </row>
    <row r="5302" spans="1:4" x14ac:dyDescent="0.55000000000000004">
      <c r="A5302">
        <f t="shared" si="166"/>
        <v>2003</v>
      </c>
      <c r="B5302" s="821">
        <v>37950</v>
      </c>
      <c r="C5302">
        <v>5.17</v>
      </c>
      <c r="D5302">
        <f t="shared" si="167"/>
        <v>1</v>
      </c>
    </row>
    <row r="5303" spans="1:4" x14ac:dyDescent="0.55000000000000004">
      <c r="A5303">
        <f t="shared" si="166"/>
        <v>2003</v>
      </c>
      <c r="B5303" s="821">
        <v>37949</v>
      </c>
      <c r="C5303">
        <v>5.19</v>
      </c>
      <c r="D5303">
        <f t="shared" si="167"/>
        <v>1</v>
      </c>
    </row>
    <row r="5304" spans="1:4" x14ac:dyDescent="0.55000000000000004">
      <c r="A5304">
        <f t="shared" si="166"/>
        <v>2003</v>
      </c>
      <c r="B5304" s="821">
        <v>37946</v>
      </c>
      <c r="C5304">
        <v>5.13</v>
      </c>
      <c r="D5304">
        <f t="shared" si="167"/>
        <v>1</v>
      </c>
    </row>
    <row r="5305" spans="1:4" x14ac:dyDescent="0.55000000000000004">
      <c r="A5305">
        <f t="shared" si="166"/>
        <v>2003</v>
      </c>
      <c r="B5305" s="821">
        <v>37945</v>
      </c>
      <c r="C5305">
        <v>5.16</v>
      </c>
      <c r="D5305">
        <f t="shared" si="167"/>
        <v>1</v>
      </c>
    </row>
    <row r="5306" spans="1:4" x14ac:dyDescent="0.55000000000000004">
      <c r="A5306">
        <f t="shared" si="166"/>
        <v>2003</v>
      </c>
      <c r="B5306" s="821">
        <v>37944</v>
      </c>
      <c r="C5306">
        <v>5.22</v>
      </c>
      <c r="D5306">
        <f t="shared" si="167"/>
        <v>1</v>
      </c>
    </row>
    <row r="5307" spans="1:4" x14ac:dyDescent="0.55000000000000004">
      <c r="A5307">
        <f t="shared" si="166"/>
        <v>2003</v>
      </c>
      <c r="B5307" s="821">
        <v>37943</v>
      </c>
      <c r="C5307">
        <v>5.15</v>
      </c>
      <c r="D5307">
        <f t="shared" si="167"/>
        <v>1</v>
      </c>
    </row>
    <row r="5308" spans="1:4" x14ac:dyDescent="0.55000000000000004">
      <c r="A5308">
        <f t="shared" si="166"/>
        <v>2003</v>
      </c>
      <c r="B5308" s="821">
        <v>37942</v>
      </c>
      <c r="C5308">
        <v>5.17</v>
      </c>
      <c r="D5308">
        <f t="shared" si="167"/>
        <v>1</v>
      </c>
    </row>
    <row r="5309" spans="1:4" x14ac:dyDescent="0.55000000000000004">
      <c r="A5309">
        <f t="shared" si="166"/>
        <v>2003</v>
      </c>
      <c r="B5309" s="821">
        <v>37939</v>
      </c>
      <c r="C5309">
        <v>5.21</v>
      </c>
      <c r="D5309">
        <f t="shared" si="167"/>
        <v>1</v>
      </c>
    </row>
    <row r="5310" spans="1:4" x14ac:dyDescent="0.55000000000000004">
      <c r="A5310">
        <f t="shared" si="166"/>
        <v>2003</v>
      </c>
      <c r="B5310" s="821">
        <v>37938</v>
      </c>
      <c r="C5310">
        <v>5.24</v>
      </c>
      <c r="D5310">
        <f t="shared" si="167"/>
        <v>1</v>
      </c>
    </row>
    <row r="5311" spans="1:4" x14ac:dyDescent="0.55000000000000004">
      <c r="A5311">
        <f t="shared" si="166"/>
        <v>2003</v>
      </c>
      <c r="B5311" s="821">
        <v>37937</v>
      </c>
      <c r="C5311">
        <v>5.34</v>
      </c>
      <c r="D5311">
        <f t="shared" si="167"/>
        <v>1</v>
      </c>
    </row>
    <row r="5312" spans="1:4" x14ac:dyDescent="0.55000000000000004">
      <c r="A5312">
        <f t="shared" si="166"/>
        <v>2003</v>
      </c>
      <c r="B5312" s="821">
        <v>37935</v>
      </c>
      <c r="C5312">
        <v>5.39</v>
      </c>
      <c r="D5312">
        <f t="shared" si="167"/>
        <v>1</v>
      </c>
    </row>
    <row r="5313" spans="1:4" x14ac:dyDescent="0.55000000000000004">
      <c r="A5313">
        <f t="shared" si="166"/>
        <v>2003</v>
      </c>
      <c r="B5313" s="821">
        <v>37932</v>
      </c>
      <c r="C5313">
        <v>5.38</v>
      </c>
      <c r="D5313">
        <f t="shared" si="167"/>
        <v>1</v>
      </c>
    </row>
    <row r="5314" spans="1:4" x14ac:dyDescent="0.55000000000000004">
      <c r="A5314">
        <f t="shared" si="166"/>
        <v>2003</v>
      </c>
      <c r="B5314" s="821">
        <v>37931</v>
      </c>
      <c r="C5314">
        <v>5.37</v>
      </c>
      <c r="D5314">
        <f t="shared" si="167"/>
        <v>1</v>
      </c>
    </row>
    <row r="5315" spans="1:4" x14ac:dyDescent="0.55000000000000004">
      <c r="A5315">
        <f t="shared" si="166"/>
        <v>2003</v>
      </c>
      <c r="B5315" s="821">
        <v>37930</v>
      </c>
      <c r="C5315">
        <v>5.32</v>
      </c>
      <c r="D5315">
        <f t="shared" si="167"/>
        <v>1</v>
      </c>
    </row>
    <row r="5316" spans="1:4" x14ac:dyDescent="0.55000000000000004">
      <c r="A5316">
        <f t="shared" ref="A5316:A5379" si="168">YEAR(B5316)</f>
        <v>2003</v>
      </c>
      <c r="B5316" s="821">
        <v>37929</v>
      </c>
      <c r="C5316">
        <v>5.27</v>
      </c>
      <c r="D5316">
        <f t="shared" ref="D5316:D5379" si="169">IF(C5316&gt;4,1,0)</f>
        <v>1</v>
      </c>
    </row>
    <row r="5317" spans="1:4" x14ac:dyDescent="0.55000000000000004">
      <c r="A5317">
        <f t="shared" si="168"/>
        <v>2003</v>
      </c>
      <c r="B5317" s="821">
        <v>37928</v>
      </c>
      <c r="C5317">
        <v>5.3</v>
      </c>
      <c r="D5317">
        <f t="shared" si="169"/>
        <v>1</v>
      </c>
    </row>
    <row r="5318" spans="1:4" x14ac:dyDescent="0.55000000000000004">
      <c r="A5318">
        <f t="shared" si="168"/>
        <v>2003</v>
      </c>
      <c r="B5318" s="821">
        <v>37925</v>
      </c>
      <c r="C5318">
        <v>5.28</v>
      </c>
      <c r="D5318">
        <f t="shared" si="169"/>
        <v>1</v>
      </c>
    </row>
    <row r="5319" spans="1:4" x14ac:dyDescent="0.55000000000000004">
      <c r="A5319">
        <f t="shared" si="168"/>
        <v>2003</v>
      </c>
      <c r="B5319" s="821">
        <v>37924</v>
      </c>
      <c r="C5319">
        <v>5.33</v>
      </c>
      <c r="D5319">
        <f t="shared" si="169"/>
        <v>1</v>
      </c>
    </row>
    <row r="5320" spans="1:4" x14ac:dyDescent="0.55000000000000004">
      <c r="A5320">
        <f t="shared" si="168"/>
        <v>2003</v>
      </c>
      <c r="B5320" s="821">
        <v>37923</v>
      </c>
      <c r="C5320">
        <v>5.32</v>
      </c>
      <c r="D5320">
        <f t="shared" si="169"/>
        <v>1</v>
      </c>
    </row>
    <row r="5321" spans="1:4" x14ac:dyDescent="0.55000000000000004">
      <c r="A5321">
        <f t="shared" si="168"/>
        <v>2003</v>
      </c>
      <c r="B5321" s="821">
        <v>37922</v>
      </c>
      <c r="C5321">
        <v>5.27</v>
      </c>
      <c r="D5321">
        <f t="shared" si="169"/>
        <v>1</v>
      </c>
    </row>
    <row r="5322" spans="1:4" x14ac:dyDescent="0.55000000000000004">
      <c r="A5322">
        <f t="shared" si="168"/>
        <v>2003</v>
      </c>
      <c r="B5322" s="821">
        <v>37921</v>
      </c>
      <c r="C5322">
        <v>5.3</v>
      </c>
      <c r="D5322">
        <f t="shared" si="169"/>
        <v>1</v>
      </c>
    </row>
    <row r="5323" spans="1:4" x14ac:dyDescent="0.55000000000000004">
      <c r="A5323">
        <f t="shared" si="168"/>
        <v>2003</v>
      </c>
      <c r="B5323" s="821">
        <v>37918</v>
      </c>
      <c r="C5323">
        <v>5.27</v>
      </c>
      <c r="D5323">
        <f t="shared" si="169"/>
        <v>1</v>
      </c>
    </row>
    <row r="5324" spans="1:4" x14ac:dyDescent="0.55000000000000004">
      <c r="A5324">
        <f t="shared" si="168"/>
        <v>2003</v>
      </c>
      <c r="B5324" s="821">
        <v>37917</v>
      </c>
      <c r="C5324">
        <v>5.36</v>
      </c>
      <c r="D5324">
        <f t="shared" si="169"/>
        <v>1</v>
      </c>
    </row>
    <row r="5325" spans="1:4" x14ac:dyDescent="0.55000000000000004">
      <c r="A5325">
        <f t="shared" si="168"/>
        <v>2003</v>
      </c>
      <c r="B5325" s="821">
        <v>37916</v>
      </c>
      <c r="C5325">
        <v>5.3</v>
      </c>
      <c r="D5325">
        <f t="shared" si="169"/>
        <v>1</v>
      </c>
    </row>
    <row r="5326" spans="1:4" x14ac:dyDescent="0.55000000000000004">
      <c r="A5326">
        <f t="shared" si="168"/>
        <v>2003</v>
      </c>
      <c r="B5326" s="821">
        <v>37915</v>
      </c>
      <c r="C5326">
        <v>5.33</v>
      </c>
      <c r="D5326">
        <f t="shared" si="169"/>
        <v>1</v>
      </c>
    </row>
    <row r="5327" spans="1:4" x14ac:dyDescent="0.55000000000000004">
      <c r="A5327">
        <f t="shared" si="168"/>
        <v>2003</v>
      </c>
      <c r="B5327" s="821">
        <v>37914</v>
      </c>
      <c r="C5327">
        <v>5.35</v>
      </c>
      <c r="D5327">
        <f t="shared" si="169"/>
        <v>1</v>
      </c>
    </row>
    <row r="5328" spans="1:4" x14ac:dyDescent="0.55000000000000004">
      <c r="A5328">
        <f t="shared" si="168"/>
        <v>2003</v>
      </c>
      <c r="B5328" s="821">
        <v>37911</v>
      </c>
      <c r="C5328">
        <v>5.37</v>
      </c>
      <c r="D5328">
        <f t="shared" si="169"/>
        <v>1</v>
      </c>
    </row>
    <row r="5329" spans="1:4" x14ac:dyDescent="0.55000000000000004">
      <c r="A5329">
        <f t="shared" si="168"/>
        <v>2003</v>
      </c>
      <c r="B5329" s="821">
        <v>37910</v>
      </c>
      <c r="C5329">
        <v>5.41</v>
      </c>
      <c r="D5329">
        <f t="shared" si="169"/>
        <v>1</v>
      </c>
    </row>
    <row r="5330" spans="1:4" x14ac:dyDescent="0.55000000000000004">
      <c r="A5330">
        <f t="shared" si="168"/>
        <v>2003</v>
      </c>
      <c r="B5330" s="821">
        <v>37909</v>
      </c>
      <c r="C5330">
        <v>5.41</v>
      </c>
      <c r="D5330">
        <f t="shared" si="169"/>
        <v>1</v>
      </c>
    </row>
    <row r="5331" spans="1:4" x14ac:dyDescent="0.55000000000000004">
      <c r="A5331">
        <f t="shared" si="168"/>
        <v>2003</v>
      </c>
      <c r="B5331" s="821">
        <v>37908</v>
      </c>
      <c r="C5331">
        <v>5.4</v>
      </c>
      <c r="D5331">
        <f t="shared" si="169"/>
        <v>1</v>
      </c>
    </row>
    <row r="5332" spans="1:4" x14ac:dyDescent="0.55000000000000004">
      <c r="A5332">
        <f t="shared" si="168"/>
        <v>2003</v>
      </c>
      <c r="B5332" s="821">
        <v>37904</v>
      </c>
      <c r="C5332">
        <v>5.34</v>
      </c>
      <c r="D5332">
        <f t="shared" si="169"/>
        <v>1</v>
      </c>
    </row>
    <row r="5333" spans="1:4" x14ac:dyDescent="0.55000000000000004">
      <c r="A5333">
        <f t="shared" si="168"/>
        <v>2003</v>
      </c>
      <c r="B5333" s="821">
        <v>37903</v>
      </c>
      <c r="C5333">
        <v>5.35</v>
      </c>
      <c r="D5333">
        <f t="shared" si="169"/>
        <v>1</v>
      </c>
    </row>
    <row r="5334" spans="1:4" x14ac:dyDescent="0.55000000000000004">
      <c r="A5334">
        <f t="shared" si="168"/>
        <v>2003</v>
      </c>
      <c r="B5334" s="821">
        <v>37902</v>
      </c>
      <c r="C5334">
        <v>5.33</v>
      </c>
      <c r="D5334">
        <f t="shared" si="169"/>
        <v>1</v>
      </c>
    </row>
    <row r="5335" spans="1:4" x14ac:dyDescent="0.55000000000000004">
      <c r="A5335">
        <f t="shared" si="168"/>
        <v>2003</v>
      </c>
      <c r="B5335" s="821">
        <v>37901</v>
      </c>
      <c r="C5335">
        <v>5.29</v>
      </c>
      <c r="D5335">
        <f t="shared" si="169"/>
        <v>1</v>
      </c>
    </row>
    <row r="5336" spans="1:4" x14ac:dyDescent="0.55000000000000004">
      <c r="A5336">
        <f t="shared" si="168"/>
        <v>2003</v>
      </c>
      <c r="B5336" s="821">
        <v>37900</v>
      </c>
      <c r="C5336">
        <v>5.21</v>
      </c>
      <c r="D5336">
        <f t="shared" si="169"/>
        <v>1</v>
      </c>
    </row>
    <row r="5337" spans="1:4" x14ac:dyDescent="0.55000000000000004">
      <c r="A5337">
        <f t="shared" si="168"/>
        <v>2003</v>
      </c>
      <c r="B5337" s="821">
        <v>37897</v>
      </c>
      <c r="C5337">
        <v>5.23</v>
      </c>
      <c r="D5337">
        <f t="shared" si="169"/>
        <v>1</v>
      </c>
    </row>
    <row r="5338" spans="1:4" x14ac:dyDescent="0.55000000000000004">
      <c r="A5338">
        <f t="shared" si="168"/>
        <v>2003</v>
      </c>
      <c r="B5338" s="821">
        <v>37896</v>
      </c>
      <c r="C5338">
        <v>5.0999999999999996</v>
      </c>
      <c r="D5338">
        <f t="shared" si="169"/>
        <v>1</v>
      </c>
    </row>
    <row r="5339" spans="1:4" x14ac:dyDescent="0.55000000000000004">
      <c r="A5339">
        <f t="shared" si="168"/>
        <v>2003</v>
      </c>
      <c r="B5339" s="821">
        <v>37895</v>
      </c>
      <c r="C5339">
        <v>5.05</v>
      </c>
      <c r="D5339">
        <f t="shared" si="169"/>
        <v>1</v>
      </c>
    </row>
    <row r="5340" spans="1:4" x14ac:dyDescent="0.55000000000000004">
      <c r="A5340">
        <f t="shared" si="168"/>
        <v>2003</v>
      </c>
      <c r="B5340" s="821">
        <v>37894</v>
      </c>
      <c r="C5340">
        <v>5.07</v>
      </c>
      <c r="D5340">
        <f t="shared" si="169"/>
        <v>1</v>
      </c>
    </row>
    <row r="5341" spans="1:4" x14ac:dyDescent="0.55000000000000004">
      <c r="A5341">
        <f t="shared" si="168"/>
        <v>2003</v>
      </c>
      <c r="B5341" s="821">
        <v>37893</v>
      </c>
      <c r="C5341">
        <v>5.16</v>
      </c>
      <c r="D5341">
        <f t="shared" si="169"/>
        <v>1</v>
      </c>
    </row>
    <row r="5342" spans="1:4" x14ac:dyDescent="0.55000000000000004">
      <c r="A5342">
        <f t="shared" si="168"/>
        <v>2003</v>
      </c>
      <c r="B5342" s="821">
        <v>37890</v>
      </c>
      <c r="C5342">
        <v>5.1100000000000003</v>
      </c>
      <c r="D5342">
        <f t="shared" si="169"/>
        <v>1</v>
      </c>
    </row>
    <row r="5343" spans="1:4" x14ac:dyDescent="0.55000000000000004">
      <c r="A5343">
        <f t="shared" si="168"/>
        <v>2003</v>
      </c>
      <c r="B5343" s="821">
        <v>37889</v>
      </c>
      <c r="C5343">
        <v>5.17</v>
      </c>
      <c r="D5343">
        <f t="shared" si="169"/>
        <v>1</v>
      </c>
    </row>
    <row r="5344" spans="1:4" x14ac:dyDescent="0.55000000000000004">
      <c r="A5344">
        <f t="shared" si="168"/>
        <v>2003</v>
      </c>
      <c r="B5344" s="821">
        <v>37888</v>
      </c>
      <c r="C5344">
        <v>5.17</v>
      </c>
      <c r="D5344">
        <f t="shared" si="169"/>
        <v>1</v>
      </c>
    </row>
    <row r="5345" spans="1:4" x14ac:dyDescent="0.55000000000000004">
      <c r="A5345">
        <f t="shared" si="168"/>
        <v>2003</v>
      </c>
      <c r="B5345" s="821">
        <v>37887</v>
      </c>
      <c r="C5345">
        <v>5.24</v>
      </c>
      <c r="D5345">
        <f t="shared" si="169"/>
        <v>1</v>
      </c>
    </row>
    <row r="5346" spans="1:4" x14ac:dyDescent="0.55000000000000004">
      <c r="A5346">
        <f t="shared" si="168"/>
        <v>2003</v>
      </c>
      <c r="B5346" s="821">
        <v>37886</v>
      </c>
      <c r="C5346">
        <v>5.28</v>
      </c>
      <c r="D5346">
        <f t="shared" si="169"/>
        <v>1</v>
      </c>
    </row>
    <row r="5347" spans="1:4" x14ac:dyDescent="0.55000000000000004">
      <c r="A5347">
        <f t="shared" si="168"/>
        <v>2003</v>
      </c>
      <c r="B5347" s="821">
        <v>37883</v>
      </c>
      <c r="C5347">
        <v>5.2</v>
      </c>
      <c r="D5347">
        <f t="shared" si="169"/>
        <v>1</v>
      </c>
    </row>
    <row r="5348" spans="1:4" x14ac:dyDescent="0.55000000000000004">
      <c r="A5348">
        <f t="shared" si="168"/>
        <v>2003</v>
      </c>
      <c r="B5348" s="821">
        <v>37882</v>
      </c>
      <c r="C5348">
        <v>5.23</v>
      </c>
      <c r="D5348">
        <f t="shared" si="169"/>
        <v>1</v>
      </c>
    </row>
    <row r="5349" spans="1:4" x14ac:dyDescent="0.55000000000000004">
      <c r="A5349">
        <f t="shared" si="168"/>
        <v>2003</v>
      </c>
      <c r="B5349" s="821">
        <v>37881</v>
      </c>
      <c r="C5349">
        <v>5.26</v>
      </c>
      <c r="D5349">
        <f t="shared" si="169"/>
        <v>1</v>
      </c>
    </row>
    <row r="5350" spans="1:4" x14ac:dyDescent="0.55000000000000004">
      <c r="A5350">
        <f t="shared" si="168"/>
        <v>2003</v>
      </c>
      <c r="B5350" s="821">
        <v>37880</v>
      </c>
      <c r="C5350">
        <v>5.34</v>
      </c>
      <c r="D5350">
        <f t="shared" si="169"/>
        <v>1</v>
      </c>
    </row>
    <row r="5351" spans="1:4" x14ac:dyDescent="0.55000000000000004">
      <c r="A5351">
        <f t="shared" si="168"/>
        <v>2003</v>
      </c>
      <c r="B5351" s="821">
        <v>37879</v>
      </c>
      <c r="C5351">
        <v>5.35</v>
      </c>
      <c r="D5351">
        <f t="shared" si="169"/>
        <v>1</v>
      </c>
    </row>
    <row r="5352" spans="1:4" x14ac:dyDescent="0.55000000000000004">
      <c r="A5352">
        <f t="shared" si="168"/>
        <v>2003</v>
      </c>
      <c r="B5352" s="821">
        <v>37876</v>
      </c>
      <c r="C5352">
        <v>5.33</v>
      </c>
      <c r="D5352">
        <f t="shared" si="169"/>
        <v>1</v>
      </c>
    </row>
    <row r="5353" spans="1:4" x14ac:dyDescent="0.55000000000000004">
      <c r="A5353">
        <f t="shared" si="168"/>
        <v>2003</v>
      </c>
      <c r="B5353" s="821">
        <v>37875</v>
      </c>
      <c r="C5353">
        <v>5.35</v>
      </c>
      <c r="D5353">
        <f t="shared" si="169"/>
        <v>1</v>
      </c>
    </row>
    <row r="5354" spans="1:4" x14ac:dyDescent="0.55000000000000004">
      <c r="A5354">
        <f t="shared" si="168"/>
        <v>2003</v>
      </c>
      <c r="B5354" s="821">
        <v>37874</v>
      </c>
      <c r="C5354">
        <v>5.3</v>
      </c>
      <c r="D5354">
        <f t="shared" si="169"/>
        <v>1</v>
      </c>
    </row>
    <row r="5355" spans="1:4" x14ac:dyDescent="0.55000000000000004">
      <c r="A5355">
        <f t="shared" si="168"/>
        <v>2003</v>
      </c>
      <c r="B5355" s="821">
        <v>37873</v>
      </c>
      <c r="C5355">
        <v>5.36</v>
      </c>
      <c r="D5355">
        <f t="shared" si="169"/>
        <v>1</v>
      </c>
    </row>
    <row r="5356" spans="1:4" x14ac:dyDescent="0.55000000000000004">
      <c r="A5356">
        <f t="shared" si="168"/>
        <v>2003</v>
      </c>
      <c r="B5356" s="821">
        <v>37872</v>
      </c>
      <c r="C5356">
        <v>5.36</v>
      </c>
      <c r="D5356">
        <f t="shared" si="169"/>
        <v>1</v>
      </c>
    </row>
    <row r="5357" spans="1:4" x14ac:dyDescent="0.55000000000000004">
      <c r="A5357">
        <f t="shared" si="168"/>
        <v>2003</v>
      </c>
      <c r="B5357" s="821">
        <v>37869</v>
      </c>
      <c r="C5357">
        <v>5.32</v>
      </c>
      <c r="D5357">
        <f t="shared" si="169"/>
        <v>1</v>
      </c>
    </row>
    <row r="5358" spans="1:4" x14ac:dyDescent="0.55000000000000004">
      <c r="A5358">
        <f t="shared" si="168"/>
        <v>2003</v>
      </c>
      <c r="B5358" s="821">
        <v>37868</v>
      </c>
      <c r="C5358">
        <v>5.4</v>
      </c>
      <c r="D5358">
        <f t="shared" si="169"/>
        <v>1</v>
      </c>
    </row>
    <row r="5359" spans="1:4" x14ac:dyDescent="0.55000000000000004">
      <c r="A5359">
        <f t="shared" si="168"/>
        <v>2003</v>
      </c>
      <c r="B5359" s="821">
        <v>37867</v>
      </c>
      <c r="C5359">
        <v>5.41</v>
      </c>
      <c r="D5359">
        <f t="shared" si="169"/>
        <v>1</v>
      </c>
    </row>
    <row r="5360" spans="1:4" x14ac:dyDescent="0.55000000000000004">
      <c r="A5360">
        <f t="shared" si="168"/>
        <v>2003</v>
      </c>
      <c r="B5360" s="821">
        <v>37866</v>
      </c>
      <c r="C5360">
        <v>5.38</v>
      </c>
      <c r="D5360">
        <f t="shared" si="169"/>
        <v>1</v>
      </c>
    </row>
    <row r="5361" spans="1:4" x14ac:dyDescent="0.55000000000000004">
      <c r="A5361">
        <f t="shared" si="168"/>
        <v>2003</v>
      </c>
      <c r="B5361" s="821">
        <v>37862</v>
      </c>
      <c r="C5361">
        <v>5.3</v>
      </c>
      <c r="D5361">
        <f t="shared" si="169"/>
        <v>1</v>
      </c>
    </row>
    <row r="5362" spans="1:4" x14ac:dyDescent="0.55000000000000004">
      <c r="A5362">
        <f t="shared" si="168"/>
        <v>2003</v>
      </c>
      <c r="B5362" s="821">
        <v>37861</v>
      </c>
      <c r="C5362">
        <v>5.34</v>
      </c>
      <c r="D5362">
        <f t="shared" si="169"/>
        <v>1</v>
      </c>
    </row>
    <row r="5363" spans="1:4" x14ac:dyDescent="0.55000000000000004">
      <c r="A5363">
        <f t="shared" si="168"/>
        <v>2003</v>
      </c>
      <c r="B5363" s="821">
        <v>37860</v>
      </c>
      <c r="C5363">
        <v>5.4</v>
      </c>
      <c r="D5363">
        <f t="shared" si="169"/>
        <v>1</v>
      </c>
    </row>
    <row r="5364" spans="1:4" x14ac:dyDescent="0.55000000000000004">
      <c r="A5364">
        <f t="shared" si="168"/>
        <v>2003</v>
      </c>
      <c r="B5364" s="821">
        <v>37859</v>
      </c>
      <c r="C5364">
        <v>5.39</v>
      </c>
      <c r="D5364">
        <f t="shared" si="169"/>
        <v>1</v>
      </c>
    </row>
    <row r="5365" spans="1:4" x14ac:dyDescent="0.55000000000000004">
      <c r="A5365">
        <f t="shared" si="168"/>
        <v>2003</v>
      </c>
      <c r="B5365" s="821">
        <v>37858</v>
      </c>
      <c r="C5365">
        <v>5.4</v>
      </c>
      <c r="D5365">
        <f t="shared" si="169"/>
        <v>1</v>
      </c>
    </row>
    <row r="5366" spans="1:4" x14ac:dyDescent="0.55000000000000004">
      <c r="A5366">
        <f t="shared" si="168"/>
        <v>2003</v>
      </c>
      <c r="B5366" s="821">
        <v>37855</v>
      </c>
      <c r="C5366">
        <v>5.4</v>
      </c>
      <c r="D5366">
        <f t="shared" si="169"/>
        <v>1</v>
      </c>
    </row>
    <row r="5367" spans="1:4" x14ac:dyDescent="0.55000000000000004">
      <c r="A5367">
        <f t="shared" si="168"/>
        <v>2003</v>
      </c>
      <c r="B5367" s="821">
        <v>37854</v>
      </c>
      <c r="C5367">
        <v>5.43</v>
      </c>
      <c r="D5367">
        <f t="shared" si="169"/>
        <v>1</v>
      </c>
    </row>
    <row r="5368" spans="1:4" x14ac:dyDescent="0.55000000000000004">
      <c r="A5368">
        <f t="shared" si="168"/>
        <v>2003</v>
      </c>
      <c r="B5368" s="821">
        <v>37853</v>
      </c>
      <c r="C5368">
        <v>5.42</v>
      </c>
      <c r="D5368">
        <f t="shared" si="169"/>
        <v>1</v>
      </c>
    </row>
    <row r="5369" spans="1:4" x14ac:dyDescent="0.55000000000000004">
      <c r="A5369">
        <f t="shared" si="168"/>
        <v>2003</v>
      </c>
      <c r="B5369" s="821">
        <v>37852</v>
      </c>
      <c r="C5369">
        <v>5.41</v>
      </c>
      <c r="D5369">
        <f t="shared" si="169"/>
        <v>1</v>
      </c>
    </row>
    <row r="5370" spans="1:4" x14ac:dyDescent="0.55000000000000004">
      <c r="A5370">
        <f t="shared" si="168"/>
        <v>2003</v>
      </c>
      <c r="B5370" s="821">
        <v>37851</v>
      </c>
      <c r="C5370">
        <v>5.5</v>
      </c>
      <c r="D5370">
        <f t="shared" si="169"/>
        <v>1</v>
      </c>
    </row>
    <row r="5371" spans="1:4" x14ac:dyDescent="0.55000000000000004">
      <c r="A5371">
        <f t="shared" si="168"/>
        <v>2003</v>
      </c>
      <c r="B5371" s="821">
        <v>37848</v>
      </c>
      <c r="C5371">
        <v>5.57</v>
      </c>
      <c r="D5371">
        <f t="shared" si="169"/>
        <v>1</v>
      </c>
    </row>
    <row r="5372" spans="1:4" x14ac:dyDescent="0.55000000000000004">
      <c r="A5372">
        <f t="shared" si="168"/>
        <v>2003</v>
      </c>
      <c r="B5372" s="821">
        <v>37847</v>
      </c>
      <c r="C5372">
        <v>5.57</v>
      </c>
      <c r="D5372">
        <f t="shared" si="169"/>
        <v>1</v>
      </c>
    </row>
    <row r="5373" spans="1:4" x14ac:dyDescent="0.55000000000000004">
      <c r="A5373">
        <f t="shared" si="168"/>
        <v>2003</v>
      </c>
      <c r="B5373" s="821">
        <v>37846</v>
      </c>
      <c r="C5373">
        <v>5.6</v>
      </c>
      <c r="D5373">
        <f t="shared" si="169"/>
        <v>1</v>
      </c>
    </row>
    <row r="5374" spans="1:4" x14ac:dyDescent="0.55000000000000004">
      <c r="A5374">
        <f t="shared" si="168"/>
        <v>2003</v>
      </c>
      <c r="B5374" s="821">
        <v>37845</v>
      </c>
      <c r="C5374">
        <v>5.49</v>
      </c>
      <c r="D5374">
        <f t="shared" si="169"/>
        <v>1</v>
      </c>
    </row>
    <row r="5375" spans="1:4" x14ac:dyDescent="0.55000000000000004">
      <c r="A5375">
        <f t="shared" si="168"/>
        <v>2003</v>
      </c>
      <c r="B5375" s="821">
        <v>37844</v>
      </c>
      <c r="C5375">
        <v>5.47</v>
      </c>
      <c r="D5375">
        <f t="shared" si="169"/>
        <v>1</v>
      </c>
    </row>
    <row r="5376" spans="1:4" x14ac:dyDescent="0.55000000000000004">
      <c r="A5376">
        <f t="shared" si="168"/>
        <v>2003</v>
      </c>
      <c r="B5376" s="821">
        <v>37841</v>
      </c>
      <c r="C5376">
        <v>5.4</v>
      </c>
      <c r="D5376">
        <f t="shared" si="169"/>
        <v>1</v>
      </c>
    </row>
    <row r="5377" spans="1:4" x14ac:dyDescent="0.55000000000000004">
      <c r="A5377">
        <f t="shared" si="168"/>
        <v>2003</v>
      </c>
      <c r="B5377" s="821">
        <v>37840</v>
      </c>
      <c r="C5377">
        <v>5.4</v>
      </c>
      <c r="D5377">
        <f t="shared" si="169"/>
        <v>1</v>
      </c>
    </row>
    <row r="5378" spans="1:4" x14ac:dyDescent="0.55000000000000004">
      <c r="A5378">
        <f t="shared" si="168"/>
        <v>2003</v>
      </c>
      <c r="B5378" s="821">
        <v>37839</v>
      </c>
      <c r="C5378">
        <v>5.42</v>
      </c>
      <c r="D5378">
        <f t="shared" si="169"/>
        <v>1</v>
      </c>
    </row>
    <row r="5379" spans="1:4" x14ac:dyDescent="0.55000000000000004">
      <c r="A5379">
        <f t="shared" si="168"/>
        <v>2003</v>
      </c>
      <c r="B5379" s="821">
        <v>37838</v>
      </c>
      <c r="C5379">
        <v>5.51</v>
      </c>
      <c r="D5379">
        <f t="shared" si="169"/>
        <v>1</v>
      </c>
    </row>
    <row r="5380" spans="1:4" x14ac:dyDescent="0.55000000000000004">
      <c r="A5380">
        <f t="shared" ref="A5380:A5443" si="170">YEAR(B5380)</f>
        <v>2003</v>
      </c>
      <c r="B5380" s="821">
        <v>37837</v>
      </c>
      <c r="C5380">
        <v>5.47</v>
      </c>
      <c r="D5380">
        <f t="shared" ref="D5380:D5443" si="171">IF(C5380&gt;4,1,0)</f>
        <v>1</v>
      </c>
    </row>
    <row r="5381" spans="1:4" x14ac:dyDescent="0.55000000000000004">
      <c r="A5381">
        <f t="shared" si="170"/>
        <v>2003</v>
      </c>
      <c r="B5381" s="821">
        <v>37834</v>
      </c>
      <c r="C5381">
        <v>5.47</v>
      </c>
      <c r="D5381">
        <f t="shared" si="171"/>
        <v>1</v>
      </c>
    </row>
    <row r="5382" spans="1:4" x14ac:dyDescent="0.55000000000000004">
      <c r="A5382">
        <f t="shared" si="170"/>
        <v>2003</v>
      </c>
      <c r="B5382" s="821">
        <v>37833</v>
      </c>
      <c r="C5382">
        <v>5.56</v>
      </c>
      <c r="D5382">
        <f t="shared" si="171"/>
        <v>1</v>
      </c>
    </row>
    <row r="5383" spans="1:4" x14ac:dyDescent="0.55000000000000004">
      <c r="A5383">
        <f t="shared" si="170"/>
        <v>2003</v>
      </c>
      <c r="B5383" s="821">
        <v>37832</v>
      </c>
      <c r="C5383">
        <v>5.43</v>
      </c>
      <c r="D5383">
        <f t="shared" si="171"/>
        <v>1</v>
      </c>
    </row>
    <row r="5384" spans="1:4" x14ac:dyDescent="0.55000000000000004">
      <c r="A5384">
        <f t="shared" si="170"/>
        <v>2003</v>
      </c>
      <c r="B5384" s="821">
        <v>37831</v>
      </c>
      <c r="C5384">
        <v>5.46</v>
      </c>
      <c r="D5384">
        <f t="shared" si="171"/>
        <v>1</v>
      </c>
    </row>
    <row r="5385" spans="1:4" x14ac:dyDescent="0.55000000000000004">
      <c r="A5385">
        <f t="shared" si="170"/>
        <v>2003</v>
      </c>
      <c r="B5385" s="821">
        <v>37830</v>
      </c>
      <c r="C5385">
        <v>5.39</v>
      </c>
      <c r="D5385">
        <f t="shared" si="171"/>
        <v>1</v>
      </c>
    </row>
    <row r="5386" spans="1:4" x14ac:dyDescent="0.55000000000000004">
      <c r="A5386">
        <f t="shared" si="170"/>
        <v>2003</v>
      </c>
      <c r="B5386" s="821">
        <v>37827</v>
      </c>
      <c r="C5386">
        <v>5.31</v>
      </c>
      <c r="D5386">
        <f t="shared" si="171"/>
        <v>1</v>
      </c>
    </row>
    <row r="5387" spans="1:4" x14ac:dyDescent="0.55000000000000004">
      <c r="A5387">
        <f t="shared" si="170"/>
        <v>2003</v>
      </c>
      <c r="B5387" s="821">
        <v>37826</v>
      </c>
      <c r="C5387">
        <v>5.25</v>
      </c>
      <c r="D5387">
        <f t="shared" si="171"/>
        <v>1</v>
      </c>
    </row>
    <row r="5388" spans="1:4" x14ac:dyDescent="0.55000000000000004">
      <c r="A5388">
        <f t="shared" si="170"/>
        <v>2003</v>
      </c>
      <c r="B5388" s="821">
        <v>37825</v>
      </c>
      <c r="C5388">
        <v>5.2</v>
      </c>
      <c r="D5388">
        <f t="shared" si="171"/>
        <v>1</v>
      </c>
    </row>
    <row r="5389" spans="1:4" x14ac:dyDescent="0.55000000000000004">
      <c r="A5389">
        <f t="shared" si="170"/>
        <v>2003</v>
      </c>
      <c r="B5389" s="821">
        <v>37824</v>
      </c>
      <c r="C5389">
        <v>5.23</v>
      </c>
      <c r="D5389">
        <f t="shared" si="171"/>
        <v>1</v>
      </c>
    </row>
    <row r="5390" spans="1:4" x14ac:dyDescent="0.55000000000000004">
      <c r="A5390">
        <f t="shared" si="170"/>
        <v>2003</v>
      </c>
      <c r="B5390" s="821">
        <v>37823</v>
      </c>
      <c r="C5390">
        <v>5.25</v>
      </c>
      <c r="D5390">
        <f t="shared" si="171"/>
        <v>1</v>
      </c>
    </row>
    <row r="5391" spans="1:4" x14ac:dyDescent="0.55000000000000004">
      <c r="A5391">
        <f t="shared" si="170"/>
        <v>2003</v>
      </c>
      <c r="B5391" s="821">
        <v>37820</v>
      </c>
      <c r="C5391">
        <v>5.09</v>
      </c>
      <c r="D5391">
        <f t="shared" si="171"/>
        <v>1</v>
      </c>
    </row>
    <row r="5392" spans="1:4" x14ac:dyDescent="0.55000000000000004">
      <c r="A5392">
        <f t="shared" si="170"/>
        <v>2003</v>
      </c>
      <c r="B5392" s="821">
        <v>37819</v>
      </c>
      <c r="C5392">
        <v>5.08</v>
      </c>
      <c r="D5392">
        <f t="shared" si="171"/>
        <v>1</v>
      </c>
    </row>
    <row r="5393" spans="1:4" x14ac:dyDescent="0.55000000000000004">
      <c r="A5393">
        <f t="shared" si="170"/>
        <v>2003</v>
      </c>
      <c r="B5393" s="821">
        <v>37818</v>
      </c>
      <c r="C5393">
        <v>5.0999999999999996</v>
      </c>
      <c r="D5393">
        <f t="shared" si="171"/>
        <v>1</v>
      </c>
    </row>
    <row r="5394" spans="1:4" x14ac:dyDescent="0.55000000000000004">
      <c r="A5394">
        <f t="shared" si="170"/>
        <v>2003</v>
      </c>
      <c r="B5394" s="821">
        <v>37817</v>
      </c>
      <c r="C5394">
        <v>5.12</v>
      </c>
      <c r="D5394">
        <f t="shared" si="171"/>
        <v>1</v>
      </c>
    </row>
    <row r="5395" spans="1:4" x14ac:dyDescent="0.55000000000000004">
      <c r="A5395">
        <f t="shared" si="170"/>
        <v>2003</v>
      </c>
      <c r="B5395" s="821">
        <v>37816</v>
      </c>
      <c r="C5395">
        <v>4.9800000000000004</v>
      </c>
      <c r="D5395">
        <f t="shared" si="171"/>
        <v>1</v>
      </c>
    </row>
    <row r="5396" spans="1:4" x14ac:dyDescent="0.55000000000000004">
      <c r="A5396">
        <f t="shared" si="170"/>
        <v>2003</v>
      </c>
      <c r="B5396" s="821">
        <v>37813</v>
      </c>
      <c r="C5396">
        <v>4.9400000000000004</v>
      </c>
      <c r="D5396">
        <f t="shared" si="171"/>
        <v>1</v>
      </c>
    </row>
    <row r="5397" spans="1:4" x14ac:dyDescent="0.55000000000000004">
      <c r="A5397">
        <f t="shared" si="170"/>
        <v>2003</v>
      </c>
      <c r="B5397" s="821">
        <v>37812</v>
      </c>
      <c r="C5397">
        <v>4.9400000000000004</v>
      </c>
      <c r="D5397">
        <f t="shared" si="171"/>
        <v>1</v>
      </c>
    </row>
    <row r="5398" spans="1:4" x14ac:dyDescent="0.55000000000000004">
      <c r="A5398">
        <f t="shared" si="170"/>
        <v>2003</v>
      </c>
      <c r="B5398" s="821">
        <v>37811</v>
      </c>
      <c r="C5398">
        <v>4.93</v>
      </c>
      <c r="D5398">
        <f t="shared" si="171"/>
        <v>1</v>
      </c>
    </row>
    <row r="5399" spans="1:4" x14ac:dyDescent="0.55000000000000004">
      <c r="A5399">
        <f t="shared" si="170"/>
        <v>2003</v>
      </c>
      <c r="B5399" s="821">
        <v>37810</v>
      </c>
      <c r="C5399">
        <v>4.95</v>
      </c>
      <c r="D5399">
        <f t="shared" si="171"/>
        <v>1</v>
      </c>
    </row>
    <row r="5400" spans="1:4" x14ac:dyDescent="0.55000000000000004">
      <c r="A5400">
        <f t="shared" si="170"/>
        <v>2003</v>
      </c>
      <c r="B5400" s="821">
        <v>37809</v>
      </c>
      <c r="C5400">
        <v>4.9800000000000004</v>
      </c>
      <c r="D5400">
        <f t="shared" si="171"/>
        <v>1</v>
      </c>
    </row>
    <row r="5401" spans="1:4" x14ac:dyDescent="0.55000000000000004">
      <c r="A5401">
        <f t="shared" si="170"/>
        <v>2003</v>
      </c>
      <c r="B5401" s="821">
        <v>37805</v>
      </c>
      <c r="C5401">
        <v>4.93</v>
      </c>
      <c r="D5401">
        <f t="shared" si="171"/>
        <v>1</v>
      </c>
    </row>
    <row r="5402" spans="1:4" x14ac:dyDescent="0.55000000000000004">
      <c r="A5402">
        <f t="shared" si="170"/>
        <v>2003</v>
      </c>
      <c r="B5402" s="821">
        <v>37804</v>
      </c>
      <c r="C5402">
        <v>4.83</v>
      </c>
      <c r="D5402">
        <f t="shared" si="171"/>
        <v>1</v>
      </c>
    </row>
    <row r="5403" spans="1:4" x14ac:dyDescent="0.55000000000000004">
      <c r="A5403">
        <f t="shared" si="170"/>
        <v>2003</v>
      </c>
      <c r="B5403" s="821">
        <v>37803</v>
      </c>
      <c r="C5403">
        <v>4.8600000000000003</v>
      </c>
      <c r="D5403">
        <f t="shared" si="171"/>
        <v>1</v>
      </c>
    </row>
    <row r="5404" spans="1:4" x14ac:dyDescent="0.55000000000000004">
      <c r="A5404">
        <f t="shared" si="170"/>
        <v>2003</v>
      </c>
      <c r="B5404" s="821">
        <v>37802</v>
      </c>
      <c r="C5404">
        <v>4.8099999999999996</v>
      </c>
      <c r="D5404">
        <f t="shared" si="171"/>
        <v>1</v>
      </c>
    </row>
    <row r="5405" spans="1:4" x14ac:dyDescent="0.55000000000000004">
      <c r="A5405">
        <f t="shared" si="170"/>
        <v>2003</v>
      </c>
      <c r="B5405" s="821">
        <v>37799</v>
      </c>
      <c r="C5405">
        <v>4.83</v>
      </c>
      <c r="D5405">
        <f t="shared" si="171"/>
        <v>1</v>
      </c>
    </row>
    <row r="5406" spans="1:4" x14ac:dyDescent="0.55000000000000004">
      <c r="A5406">
        <f t="shared" si="170"/>
        <v>2003</v>
      </c>
      <c r="B5406" s="821">
        <v>37798</v>
      </c>
      <c r="C5406">
        <v>4.8099999999999996</v>
      </c>
      <c r="D5406">
        <f t="shared" si="171"/>
        <v>1</v>
      </c>
    </row>
    <row r="5407" spans="1:4" x14ac:dyDescent="0.55000000000000004">
      <c r="A5407">
        <f t="shared" si="170"/>
        <v>2003</v>
      </c>
      <c r="B5407" s="821">
        <v>37797</v>
      </c>
      <c r="C5407">
        <v>4.6900000000000004</v>
      </c>
      <c r="D5407">
        <f t="shared" si="171"/>
        <v>1</v>
      </c>
    </row>
    <row r="5408" spans="1:4" x14ac:dyDescent="0.55000000000000004">
      <c r="A5408">
        <f t="shared" si="170"/>
        <v>2003</v>
      </c>
      <c r="B5408" s="821">
        <v>37796</v>
      </c>
      <c r="C5408">
        <v>4.5999999999999996</v>
      </c>
      <c r="D5408">
        <f t="shared" si="171"/>
        <v>1</v>
      </c>
    </row>
    <row r="5409" spans="1:4" x14ac:dyDescent="0.55000000000000004">
      <c r="A5409">
        <f t="shared" si="170"/>
        <v>2003</v>
      </c>
      <c r="B5409" s="821">
        <v>37795</v>
      </c>
      <c r="C5409">
        <v>4.6399999999999997</v>
      </c>
      <c r="D5409">
        <f t="shared" si="171"/>
        <v>1</v>
      </c>
    </row>
    <row r="5410" spans="1:4" x14ac:dyDescent="0.55000000000000004">
      <c r="A5410">
        <f t="shared" si="170"/>
        <v>2003</v>
      </c>
      <c r="B5410" s="821">
        <v>37792</v>
      </c>
      <c r="C5410">
        <v>4.7</v>
      </c>
      <c r="D5410">
        <f t="shared" si="171"/>
        <v>1</v>
      </c>
    </row>
    <row r="5411" spans="1:4" x14ac:dyDescent="0.55000000000000004">
      <c r="A5411">
        <f t="shared" si="170"/>
        <v>2003</v>
      </c>
      <c r="B5411" s="821">
        <v>37791</v>
      </c>
      <c r="C5411">
        <v>4.66</v>
      </c>
      <c r="D5411">
        <f t="shared" si="171"/>
        <v>1</v>
      </c>
    </row>
    <row r="5412" spans="1:4" x14ac:dyDescent="0.55000000000000004">
      <c r="A5412">
        <f t="shared" si="170"/>
        <v>2003</v>
      </c>
      <c r="B5412" s="821">
        <v>37790</v>
      </c>
      <c r="C5412">
        <v>4.6399999999999997</v>
      </c>
      <c r="D5412">
        <f t="shared" si="171"/>
        <v>1</v>
      </c>
    </row>
    <row r="5413" spans="1:4" x14ac:dyDescent="0.55000000000000004">
      <c r="A5413">
        <f t="shared" si="170"/>
        <v>2003</v>
      </c>
      <c r="B5413" s="821">
        <v>37789</v>
      </c>
      <c r="C5413">
        <v>4.55</v>
      </c>
      <c r="D5413">
        <f t="shared" si="171"/>
        <v>1</v>
      </c>
    </row>
    <row r="5414" spans="1:4" x14ac:dyDescent="0.55000000000000004">
      <c r="A5414">
        <f t="shared" si="170"/>
        <v>2003</v>
      </c>
      <c r="B5414" s="821">
        <v>37788</v>
      </c>
      <c r="C5414">
        <v>4.47</v>
      </c>
      <c r="D5414">
        <f t="shared" si="171"/>
        <v>1</v>
      </c>
    </row>
    <row r="5415" spans="1:4" x14ac:dyDescent="0.55000000000000004">
      <c r="A5415">
        <f t="shared" si="170"/>
        <v>2003</v>
      </c>
      <c r="B5415" s="821">
        <v>37785</v>
      </c>
      <c r="C5415">
        <v>4.42</v>
      </c>
      <c r="D5415">
        <f t="shared" si="171"/>
        <v>1</v>
      </c>
    </row>
    <row r="5416" spans="1:4" x14ac:dyDescent="0.55000000000000004">
      <c r="A5416">
        <f t="shared" si="170"/>
        <v>2003</v>
      </c>
      <c r="B5416" s="821">
        <v>37784</v>
      </c>
      <c r="C5416">
        <v>4.47</v>
      </c>
      <c r="D5416">
        <f t="shared" si="171"/>
        <v>1</v>
      </c>
    </row>
    <row r="5417" spans="1:4" x14ac:dyDescent="0.55000000000000004">
      <c r="A5417">
        <f t="shared" si="170"/>
        <v>2003</v>
      </c>
      <c r="B5417" s="821">
        <v>37783</v>
      </c>
      <c r="C5417">
        <v>4.49</v>
      </c>
      <c r="D5417">
        <f t="shared" si="171"/>
        <v>1</v>
      </c>
    </row>
    <row r="5418" spans="1:4" x14ac:dyDescent="0.55000000000000004">
      <c r="A5418">
        <f t="shared" si="170"/>
        <v>2003</v>
      </c>
      <c r="B5418" s="821">
        <v>37782</v>
      </c>
      <c r="C5418">
        <v>4.51</v>
      </c>
      <c r="D5418">
        <f t="shared" si="171"/>
        <v>1</v>
      </c>
    </row>
    <row r="5419" spans="1:4" x14ac:dyDescent="0.55000000000000004">
      <c r="A5419">
        <f t="shared" si="170"/>
        <v>2003</v>
      </c>
      <c r="B5419" s="821">
        <v>37781</v>
      </c>
      <c r="C5419">
        <v>4.5999999999999996</v>
      </c>
      <c r="D5419">
        <f t="shared" si="171"/>
        <v>1</v>
      </c>
    </row>
    <row r="5420" spans="1:4" x14ac:dyDescent="0.55000000000000004">
      <c r="A5420">
        <f t="shared" si="170"/>
        <v>2003</v>
      </c>
      <c r="B5420" s="821">
        <v>37778</v>
      </c>
      <c r="C5420">
        <v>4.66</v>
      </c>
      <c r="D5420">
        <f t="shared" si="171"/>
        <v>1</v>
      </c>
    </row>
    <row r="5421" spans="1:4" x14ac:dyDescent="0.55000000000000004">
      <c r="A5421">
        <f t="shared" si="170"/>
        <v>2003</v>
      </c>
      <c r="B5421" s="821">
        <v>37777</v>
      </c>
      <c r="C5421">
        <v>4.63</v>
      </c>
      <c r="D5421">
        <f t="shared" si="171"/>
        <v>1</v>
      </c>
    </row>
    <row r="5422" spans="1:4" x14ac:dyDescent="0.55000000000000004">
      <c r="A5422">
        <f t="shared" si="170"/>
        <v>2003</v>
      </c>
      <c r="B5422" s="821">
        <v>37776</v>
      </c>
      <c r="C5422">
        <v>4.58</v>
      </c>
      <c r="D5422">
        <f t="shared" si="171"/>
        <v>1</v>
      </c>
    </row>
    <row r="5423" spans="1:4" x14ac:dyDescent="0.55000000000000004">
      <c r="A5423">
        <f t="shared" si="170"/>
        <v>2003</v>
      </c>
      <c r="B5423" s="821">
        <v>37775</v>
      </c>
      <c r="C5423">
        <v>4.59</v>
      </c>
      <c r="D5423">
        <f t="shared" si="171"/>
        <v>1</v>
      </c>
    </row>
    <row r="5424" spans="1:4" x14ac:dyDescent="0.55000000000000004">
      <c r="A5424">
        <f t="shared" si="170"/>
        <v>2003</v>
      </c>
      <c r="B5424" s="821">
        <v>37774</v>
      </c>
      <c r="C5424">
        <v>4.6399999999999997</v>
      </c>
      <c r="D5424">
        <f t="shared" si="171"/>
        <v>1</v>
      </c>
    </row>
    <row r="5425" spans="1:4" x14ac:dyDescent="0.55000000000000004">
      <c r="A5425">
        <f t="shared" si="170"/>
        <v>2003</v>
      </c>
      <c r="B5425" s="821">
        <v>37771</v>
      </c>
      <c r="C5425">
        <v>4.59</v>
      </c>
      <c r="D5425">
        <f t="shared" si="171"/>
        <v>1</v>
      </c>
    </row>
    <row r="5426" spans="1:4" x14ac:dyDescent="0.55000000000000004">
      <c r="A5426">
        <f t="shared" si="170"/>
        <v>2003</v>
      </c>
      <c r="B5426" s="821">
        <v>37770</v>
      </c>
      <c r="C5426">
        <v>4.5599999999999996</v>
      </c>
      <c r="D5426">
        <f t="shared" si="171"/>
        <v>1</v>
      </c>
    </row>
    <row r="5427" spans="1:4" x14ac:dyDescent="0.55000000000000004">
      <c r="A5427">
        <f t="shared" si="170"/>
        <v>2003</v>
      </c>
      <c r="B5427" s="821">
        <v>37769</v>
      </c>
      <c r="C5427">
        <v>4.63</v>
      </c>
      <c r="D5427">
        <f t="shared" si="171"/>
        <v>1</v>
      </c>
    </row>
    <row r="5428" spans="1:4" x14ac:dyDescent="0.55000000000000004">
      <c r="A5428">
        <f t="shared" si="170"/>
        <v>2003</v>
      </c>
      <c r="B5428" s="821">
        <v>37768</v>
      </c>
      <c r="C5428">
        <v>4.57</v>
      </c>
      <c r="D5428">
        <f t="shared" si="171"/>
        <v>1</v>
      </c>
    </row>
    <row r="5429" spans="1:4" x14ac:dyDescent="0.55000000000000004">
      <c r="A5429">
        <f t="shared" si="170"/>
        <v>2003</v>
      </c>
      <c r="B5429" s="821">
        <v>37764</v>
      </c>
      <c r="C5429">
        <v>4.4400000000000004</v>
      </c>
      <c r="D5429">
        <f t="shared" si="171"/>
        <v>1</v>
      </c>
    </row>
    <row r="5430" spans="1:4" x14ac:dyDescent="0.55000000000000004">
      <c r="A5430">
        <f t="shared" si="170"/>
        <v>2003</v>
      </c>
      <c r="B5430" s="821">
        <v>37763</v>
      </c>
      <c r="C5430">
        <v>4.5</v>
      </c>
      <c r="D5430">
        <f t="shared" si="171"/>
        <v>1</v>
      </c>
    </row>
    <row r="5431" spans="1:4" x14ac:dyDescent="0.55000000000000004">
      <c r="A5431">
        <f t="shared" si="170"/>
        <v>2003</v>
      </c>
      <c r="B5431" s="821">
        <v>37762</v>
      </c>
      <c r="C5431">
        <v>4.54</v>
      </c>
      <c r="D5431">
        <f t="shared" si="171"/>
        <v>1</v>
      </c>
    </row>
    <row r="5432" spans="1:4" x14ac:dyDescent="0.55000000000000004">
      <c r="A5432">
        <f t="shared" si="170"/>
        <v>2003</v>
      </c>
      <c r="B5432" s="821">
        <v>37761</v>
      </c>
      <c r="C5432">
        <v>4.59</v>
      </c>
      <c r="D5432">
        <f t="shared" si="171"/>
        <v>1</v>
      </c>
    </row>
    <row r="5433" spans="1:4" x14ac:dyDescent="0.55000000000000004">
      <c r="A5433">
        <f t="shared" si="170"/>
        <v>2003</v>
      </c>
      <c r="B5433" s="821">
        <v>37760</v>
      </c>
      <c r="C5433">
        <v>4.67</v>
      </c>
      <c r="D5433">
        <f t="shared" si="171"/>
        <v>1</v>
      </c>
    </row>
    <row r="5434" spans="1:4" x14ac:dyDescent="0.55000000000000004">
      <c r="A5434">
        <f t="shared" si="170"/>
        <v>2003</v>
      </c>
      <c r="B5434" s="821">
        <v>37757</v>
      </c>
      <c r="C5434">
        <v>4.67</v>
      </c>
      <c r="D5434">
        <f t="shared" si="171"/>
        <v>1</v>
      </c>
    </row>
    <row r="5435" spans="1:4" x14ac:dyDescent="0.55000000000000004">
      <c r="A5435">
        <f t="shared" si="170"/>
        <v>2003</v>
      </c>
      <c r="B5435" s="821">
        <v>37756</v>
      </c>
      <c r="C5435">
        <v>4.6900000000000004</v>
      </c>
      <c r="D5435">
        <f t="shared" si="171"/>
        <v>1</v>
      </c>
    </row>
    <row r="5436" spans="1:4" x14ac:dyDescent="0.55000000000000004">
      <c r="A5436">
        <f t="shared" si="170"/>
        <v>2003</v>
      </c>
      <c r="B5436" s="821">
        <v>37755</v>
      </c>
      <c r="C5436">
        <v>4.76</v>
      </c>
      <c r="D5436">
        <f t="shared" si="171"/>
        <v>1</v>
      </c>
    </row>
    <row r="5437" spans="1:4" x14ac:dyDescent="0.55000000000000004">
      <c r="A5437">
        <f t="shared" si="170"/>
        <v>2003</v>
      </c>
      <c r="B5437" s="821">
        <v>37754</v>
      </c>
      <c r="C5437">
        <v>4.92</v>
      </c>
      <c r="D5437">
        <f t="shared" si="171"/>
        <v>1</v>
      </c>
    </row>
    <row r="5438" spans="1:4" x14ac:dyDescent="0.55000000000000004">
      <c r="A5438">
        <f t="shared" si="170"/>
        <v>2003</v>
      </c>
      <c r="B5438" s="821">
        <v>37753</v>
      </c>
      <c r="C5438">
        <v>4.91</v>
      </c>
      <c r="D5438">
        <f t="shared" si="171"/>
        <v>1</v>
      </c>
    </row>
    <row r="5439" spans="1:4" x14ac:dyDescent="0.55000000000000004">
      <c r="A5439">
        <f t="shared" si="170"/>
        <v>2003</v>
      </c>
      <c r="B5439" s="821">
        <v>37750</v>
      </c>
      <c r="C5439">
        <v>4.95</v>
      </c>
      <c r="D5439">
        <f t="shared" si="171"/>
        <v>1</v>
      </c>
    </row>
    <row r="5440" spans="1:4" x14ac:dyDescent="0.55000000000000004">
      <c r="A5440">
        <f t="shared" si="170"/>
        <v>2003</v>
      </c>
      <c r="B5440" s="821">
        <v>37749</v>
      </c>
      <c r="C5440">
        <v>4.96</v>
      </c>
      <c r="D5440">
        <f t="shared" si="171"/>
        <v>1</v>
      </c>
    </row>
    <row r="5441" spans="1:4" x14ac:dyDescent="0.55000000000000004">
      <c r="A5441">
        <f t="shared" si="170"/>
        <v>2003</v>
      </c>
      <c r="B5441" s="821">
        <v>37748</v>
      </c>
      <c r="C5441">
        <v>4.96</v>
      </c>
      <c r="D5441">
        <f t="shared" si="171"/>
        <v>1</v>
      </c>
    </row>
    <row r="5442" spans="1:4" x14ac:dyDescent="0.55000000000000004">
      <c r="A5442">
        <f t="shared" si="170"/>
        <v>2003</v>
      </c>
      <c r="B5442" s="821">
        <v>37747</v>
      </c>
      <c r="C5442">
        <v>5.0199999999999996</v>
      </c>
      <c r="D5442">
        <f t="shared" si="171"/>
        <v>1</v>
      </c>
    </row>
    <row r="5443" spans="1:4" x14ac:dyDescent="0.55000000000000004">
      <c r="A5443">
        <f t="shared" si="170"/>
        <v>2003</v>
      </c>
      <c r="B5443" s="821">
        <v>37746</v>
      </c>
      <c r="C5443">
        <v>5.03</v>
      </c>
      <c r="D5443">
        <f t="shared" si="171"/>
        <v>1</v>
      </c>
    </row>
    <row r="5444" spans="1:4" x14ac:dyDescent="0.55000000000000004">
      <c r="A5444">
        <f t="shared" ref="A5444:A5507" si="172">YEAR(B5444)</f>
        <v>2003</v>
      </c>
      <c r="B5444" s="821">
        <v>37743</v>
      </c>
      <c r="C5444">
        <v>5.05</v>
      </c>
      <c r="D5444">
        <f t="shared" ref="D5444:D5507" si="173">IF(C5444&gt;4,1,0)</f>
        <v>1</v>
      </c>
    </row>
    <row r="5445" spans="1:4" x14ac:dyDescent="0.55000000000000004">
      <c r="A5445">
        <f t="shared" si="172"/>
        <v>2003</v>
      </c>
      <c r="B5445" s="821">
        <v>37742</v>
      </c>
      <c r="C5445">
        <v>5.01</v>
      </c>
      <c r="D5445">
        <f t="shared" si="173"/>
        <v>1</v>
      </c>
    </row>
    <row r="5446" spans="1:4" x14ac:dyDescent="0.55000000000000004">
      <c r="A5446">
        <f t="shared" si="172"/>
        <v>2003</v>
      </c>
      <c r="B5446" s="821">
        <v>37741</v>
      </c>
      <c r="C5446">
        <v>5</v>
      </c>
      <c r="D5446">
        <f t="shared" si="173"/>
        <v>1</v>
      </c>
    </row>
    <row r="5447" spans="1:4" x14ac:dyDescent="0.55000000000000004">
      <c r="A5447">
        <f t="shared" si="172"/>
        <v>2003</v>
      </c>
      <c r="B5447" s="821">
        <v>37740</v>
      </c>
      <c r="C5447">
        <v>5.07</v>
      </c>
      <c r="D5447">
        <f t="shared" si="173"/>
        <v>1</v>
      </c>
    </row>
    <row r="5448" spans="1:4" x14ac:dyDescent="0.55000000000000004">
      <c r="A5448">
        <f t="shared" si="172"/>
        <v>2003</v>
      </c>
      <c r="B5448" s="821">
        <v>37739</v>
      </c>
      <c r="C5448">
        <v>5.04</v>
      </c>
      <c r="D5448">
        <f t="shared" si="173"/>
        <v>1</v>
      </c>
    </row>
    <row r="5449" spans="1:4" x14ac:dyDescent="0.55000000000000004">
      <c r="A5449">
        <f t="shared" si="172"/>
        <v>2003</v>
      </c>
      <c r="B5449" s="821">
        <v>37736</v>
      </c>
      <c r="C5449">
        <v>5.04</v>
      </c>
      <c r="D5449">
        <f t="shared" si="173"/>
        <v>1</v>
      </c>
    </row>
    <row r="5450" spans="1:4" x14ac:dyDescent="0.55000000000000004">
      <c r="A5450">
        <f t="shared" si="172"/>
        <v>2003</v>
      </c>
      <c r="B5450" s="821">
        <v>37735</v>
      </c>
      <c r="C5450">
        <v>5.05</v>
      </c>
      <c r="D5450">
        <f t="shared" si="173"/>
        <v>1</v>
      </c>
    </row>
    <row r="5451" spans="1:4" x14ac:dyDescent="0.55000000000000004">
      <c r="A5451">
        <f t="shared" si="172"/>
        <v>2003</v>
      </c>
      <c r="B5451" s="821">
        <v>37734</v>
      </c>
      <c r="C5451">
        <v>5.0999999999999996</v>
      </c>
      <c r="D5451">
        <f t="shared" si="173"/>
        <v>1</v>
      </c>
    </row>
    <row r="5452" spans="1:4" x14ac:dyDescent="0.55000000000000004">
      <c r="A5452">
        <f t="shared" si="172"/>
        <v>2003</v>
      </c>
      <c r="B5452" s="821">
        <v>37733</v>
      </c>
      <c r="C5452">
        <v>5.12</v>
      </c>
      <c r="D5452">
        <f t="shared" si="173"/>
        <v>1</v>
      </c>
    </row>
    <row r="5453" spans="1:4" x14ac:dyDescent="0.55000000000000004">
      <c r="A5453">
        <f t="shared" si="172"/>
        <v>2003</v>
      </c>
      <c r="B5453" s="821">
        <v>37732</v>
      </c>
      <c r="C5453">
        <v>5.13</v>
      </c>
      <c r="D5453">
        <f t="shared" si="173"/>
        <v>1</v>
      </c>
    </row>
    <row r="5454" spans="1:4" x14ac:dyDescent="0.55000000000000004">
      <c r="A5454">
        <f t="shared" si="172"/>
        <v>2003</v>
      </c>
      <c r="B5454" s="821">
        <v>37728</v>
      </c>
      <c r="C5454">
        <v>5.12</v>
      </c>
      <c r="D5454">
        <f t="shared" si="173"/>
        <v>1</v>
      </c>
    </row>
    <row r="5455" spans="1:4" x14ac:dyDescent="0.55000000000000004">
      <c r="A5455">
        <f t="shared" si="172"/>
        <v>2003</v>
      </c>
      <c r="B5455" s="821">
        <v>37727</v>
      </c>
      <c r="C5455">
        <v>5.13</v>
      </c>
      <c r="D5455">
        <f t="shared" si="173"/>
        <v>1</v>
      </c>
    </row>
    <row r="5456" spans="1:4" x14ac:dyDescent="0.55000000000000004">
      <c r="A5456">
        <f t="shared" si="172"/>
        <v>2003</v>
      </c>
      <c r="B5456" s="821">
        <v>37726</v>
      </c>
      <c r="C5456">
        <v>5.19</v>
      </c>
      <c r="D5456">
        <f t="shared" si="173"/>
        <v>1</v>
      </c>
    </row>
    <row r="5457" spans="1:4" x14ac:dyDescent="0.55000000000000004">
      <c r="A5457">
        <f t="shared" si="172"/>
        <v>2003</v>
      </c>
      <c r="B5457" s="821">
        <v>37725</v>
      </c>
      <c r="C5457">
        <v>5.2</v>
      </c>
      <c r="D5457">
        <f t="shared" si="173"/>
        <v>1</v>
      </c>
    </row>
    <row r="5458" spans="1:4" x14ac:dyDescent="0.55000000000000004">
      <c r="A5458">
        <f t="shared" si="172"/>
        <v>2003</v>
      </c>
      <c r="B5458" s="821">
        <v>37722</v>
      </c>
      <c r="C5458">
        <v>5.19</v>
      </c>
      <c r="D5458">
        <f t="shared" si="173"/>
        <v>1</v>
      </c>
    </row>
    <row r="5459" spans="1:4" x14ac:dyDescent="0.55000000000000004">
      <c r="A5459">
        <f t="shared" si="172"/>
        <v>2003</v>
      </c>
      <c r="B5459" s="821">
        <v>37721</v>
      </c>
      <c r="C5459">
        <v>5.17</v>
      </c>
      <c r="D5459">
        <f t="shared" si="173"/>
        <v>1</v>
      </c>
    </row>
    <row r="5460" spans="1:4" x14ac:dyDescent="0.55000000000000004">
      <c r="A5460">
        <f t="shared" si="172"/>
        <v>2003</v>
      </c>
      <c r="B5460" s="821">
        <v>37720</v>
      </c>
      <c r="C5460">
        <v>5.15</v>
      </c>
      <c r="D5460">
        <f t="shared" si="173"/>
        <v>1</v>
      </c>
    </row>
    <row r="5461" spans="1:4" x14ac:dyDescent="0.55000000000000004">
      <c r="A5461">
        <f t="shared" si="172"/>
        <v>2003</v>
      </c>
      <c r="B5461" s="821">
        <v>37719</v>
      </c>
      <c r="C5461">
        <v>5.16</v>
      </c>
      <c r="D5461">
        <f t="shared" si="173"/>
        <v>1</v>
      </c>
    </row>
    <row r="5462" spans="1:4" x14ac:dyDescent="0.55000000000000004">
      <c r="A5462">
        <f t="shared" si="172"/>
        <v>2003</v>
      </c>
      <c r="B5462" s="821">
        <v>37718</v>
      </c>
      <c r="C5462">
        <v>5.24</v>
      </c>
      <c r="D5462">
        <f t="shared" si="173"/>
        <v>1</v>
      </c>
    </row>
    <row r="5463" spans="1:4" x14ac:dyDescent="0.55000000000000004">
      <c r="A5463">
        <f t="shared" si="172"/>
        <v>2003</v>
      </c>
      <c r="B5463" s="821">
        <v>37715</v>
      </c>
      <c r="C5463">
        <v>5.2</v>
      </c>
      <c r="D5463">
        <f t="shared" si="173"/>
        <v>1</v>
      </c>
    </row>
    <row r="5464" spans="1:4" x14ac:dyDescent="0.55000000000000004">
      <c r="A5464">
        <f t="shared" si="172"/>
        <v>2003</v>
      </c>
      <c r="B5464" s="821">
        <v>37714</v>
      </c>
      <c r="C5464">
        <v>5.16</v>
      </c>
      <c r="D5464">
        <f t="shared" si="173"/>
        <v>1</v>
      </c>
    </row>
    <row r="5465" spans="1:4" x14ac:dyDescent="0.55000000000000004">
      <c r="A5465">
        <f t="shared" si="172"/>
        <v>2003</v>
      </c>
      <c r="B5465" s="821">
        <v>37713</v>
      </c>
      <c r="C5465">
        <v>5.15</v>
      </c>
      <c r="D5465">
        <f t="shared" si="173"/>
        <v>1</v>
      </c>
    </row>
    <row r="5466" spans="1:4" x14ac:dyDescent="0.55000000000000004">
      <c r="A5466">
        <f t="shared" si="172"/>
        <v>2003</v>
      </c>
      <c r="B5466" s="821">
        <v>37712</v>
      </c>
      <c r="C5466">
        <v>5.0599999999999996</v>
      </c>
      <c r="D5466">
        <f t="shared" si="173"/>
        <v>1</v>
      </c>
    </row>
    <row r="5467" spans="1:4" x14ac:dyDescent="0.55000000000000004">
      <c r="A5467">
        <f t="shared" si="172"/>
        <v>2003</v>
      </c>
      <c r="B5467" s="821">
        <v>37711</v>
      </c>
      <c r="C5467">
        <v>5.07</v>
      </c>
      <c r="D5467">
        <f t="shared" si="173"/>
        <v>1</v>
      </c>
    </row>
    <row r="5468" spans="1:4" x14ac:dyDescent="0.55000000000000004">
      <c r="A5468">
        <f t="shared" si="172"/>
        <v>2003</v>
      </c>
      <c r="B5468" s="821">
        <v>37708</v>
      </c>
      <c r="C5468">
        <v>5.16</v>
      </c>
      <c r="D5468">
        <f t="shared" si="173"/>
        <v>1</v>
      </c>
    </row>
    <row r="5469" spans="1:4" x14ac:dyDescent="0.55000000000000004">
      <c r="A5469">
        <f t="shared" si="172"/>
        <v>2003</v>
      </c>
      <c r="B5469" s="821">
        <v>37707</v>
      </c>
      <c r="C5469">
        <v>5.17</v>
      </c>
      <c r="D5469">
        <f t="shared" si="173"/>
        <v>1</v>
      </c>
    </row>
    <row r="5470" spans="1:4" x14ac:dyDescent="0.55000000000000004">
      <c r="A5470">
        <f t="shared" si="172"/>
        <v>2003</v>
      </c>
      <c r="B5470" s="821">
        <v>37706</v>
      </c>
      <c r="C5470">
        <v>5.17</v>
      </c>
      <c r="D5470">
        <f t="shared" si="173"/>
        <v>1</v>
      </c>
    </row>
    <row r="5471" spans="1:4" x14ac:dyDescent="0.55000000000000004">
      <c r="A5471">
        <f t="shared" si="172"/>
        <v>2003</v>
      </c>
      <c r="B5471" s="821">
        <v>37705</v>
      </c>
      <c r="C5471">
        <v>5.15</v>
      </c>
      <c r="D5471">
        <f t="shared" si="173"/>
        <v>1</v>
      </c>
    </row>
    <row r="5472" spans="1:4" x14ac:dyDescent="0.55000000000000004">
      <c r="A5472">
        <f t="shared" si="172"/>
        <v>2003</v>
      </c>
      <c r="B5472" s="821">
        <v>37704</v>
      </c>
      <c r="C5472">
        <v>5.15</v>
      </c>
      <c r="D5472">
        <f t="shared" si="173"/>
        <v>1</v>
      </c>
    </row>
    <row r="5473" spans="1:4" x14ac:dyDescent="0.55000000000000004">
      <c r="A5473">
        <f t="shared" si="172"/>
        <v>2003</v>
      </c>
      <c r="B5473" s="821">
        <v>37701</v>
      </c>
      <c r="C5473">
        <v>5.23</v>
      </c>
      <c r="D5473">
        <f t="shared" si="173"/>
        <v>1</v>
      </c>
    </row>
    <row r="5474" spans="1:4" x14ac:dyDescent="0.55000000000000004">
      <c r="A5474">
        <f t="shared" si="172"/>
        <v>2003</v>
      </c>
      <c r="B5474" s="821">
        <v>37700</v>
      </c>
      <c r="C5474">
        <v>5.17</v>
      </c>
      <c r="D5474">
        <f t="shared" si="173"/>
        <v>1</v>
      </c>
    </row>
    <row r="5475" spans="1:4" x14ac:dyDescent="0.55000000000000004">
      <c r="A5475">
        <f t="shared" si="172"/>
        <v>2003</v>
      </c>
      <c r="B5475" s="821">
        <v>37699</v>
      </c>
      <c r="C5475">
        <v>5.14</v>
      </c>
      <c r="D5475">
        <f t="shared" si="173"/>
        <v>1</v>
      </c>
    </row>
    <row r="5476" spans="1:4" x14ac:dyDescent="0.55000000000000004">
      <c r="A5476">
        <f t="shared" si="172"/>
        <v>2003</v>
      </c>
      <c r="B5476" s="821">
        <v>37698</v>
      </c>
      <c r="C5476">
        <v>5.07</v>
      </c>
      <c r="D5476">
        <f t="shared" si="173"/>
        <v>1</v>
      </c>
    </row>
    <row r="5477" spans="1:4" x14ac:dyDescent="0.55000000000000004">
      <c r="A5477">
        <f t="shared" si="172"/>
        <v>2003</v>
      </c>
      <c r="B5477" s="821">
        <v>37697</v>
      </c>
      <c r="C5477">
        <v>5</v>
      </c>
      <c r="D5477">
        <f t="shared" si="173"/>
        <v>1</v>
      </c>
    </row>
    <row r="5478" spans="1:4" x14ac:dyDescent="0.55000000000000004">
      <c r="A5478">
        <f t="shared" si="172"/>
        <v>2003</v>
      </c>
      <c r="B5478" s="821">
        <v>37694</v>
      </c>
      <c r="C5478">
        <v>4.93</v>
      </c>
      <c r="D5478">
        <f t="shared" si="173"/>
        <v>1</v>
      </c>
    </row>
    <row r="5479" spans="1:4" x14ac:dyDescent="0.55000000000000004">
      <c r="A5479">
        <f t="shared" si="172"/>
        <v>2003</v>
      </c>
      <c r="B5479" s="821">
        <v>37693</v>
      </c>
      <c r="C5479">
        <v>4.95</v>
      </c>
      <c r="D5479">
        <f t="shared" si="173"/>
        <v>1</v>
      </c>
    </row>
    <row r="5480" spans="1:4" x14ac:dyDescent="0.55000000000000004">
      <c r="A5480">
        <f t="shared" si="172"/>
        <v>2003</v>
      </c>
      <c r="B5480" s="821">
        <v>37692</v>
      </c>
      <c r="C5480">
        <v>4.8499999999999996</v>
      </c>
      <c r="D5480">
        <f t="shared" si="173"/>
        <v>1</v>
      </c>
    </row>
    <row r="5481" spans="1:4" x14ac:dyDescent="0.55000000000000004">
      <c r="A5481">
        <f t="shared" si="172"/>
        <v>2003</v>
      </c>
      <c r="B5481" s="821">
        <v>37691</v>
      </c>
      <c r="C5481">
        <v>4.9000000000000004</v>
      </c>
      <c r="D5481">
        <f t="shared" si="173"/>
        <v>1</v>
      </c>
    </row>
    <row r="5482" spans="1:4" x14ac:dyDescent="0.55000000000000004">
      <c r="A5482">
        <f t="shared" si="172"/>
        <v>2003</v>
      </c>
      <c r="B5482" s="821">
        <v>37690</v>
      </c>
      <c r="C5482">
        <v>4.9000000000000004</v>
      </c>
      <c r="D5482">
        <f t="shared" si="173"/>
        <v>1</v>
      </c>
    </row>
    <row r="5483" spans="1:4" x14ac:dyDescent="0.55000000000000004">
      <c r="A5483">
        <f t="shared" si="172"/>
        <v>2003</v>
      </c>
      <c r="B5483" s="821">
        <v>37687</v>
      </c>
      <c r="C5483">
        <v>4.9000000000000004</v>
      </c>
      <c r="D5483">
        <f t="shared" si="173"/>
        <v>1</v>
      </c>
    </row>
    <row r="5484" spans="1:4" x14ac:dyDescent="0.55000000000000004">
      <c r="A5484">
        <f t="shared" si="172"/>
        <v>2003</v>
      </c>
      <c r="B5484" s="821">
        <v>37686</v>
      </c>
      <c r="C5484">
        <v>4.93</v>
      </c>
      <c r="D5484">
        <f t="shared" si="173"/>
        <v>1</v>
      </c>
    </row>
    <row r="5485" spans="1:4" x14ac:dyDescent="0.55000000000000004">
      <c r="A5485">
        <f t="shared" si="172"/>
        <v>2003</v>
      </c>
      <c r="B5485" s="821">
        <v>37685</v>
      </c>
      <c r="C5485">
        <v>4.9000000000000004</v>
      </c>
      <c r="D5485">
        <f t="shared" si="173"/>
        <v>1</v>
      </c>
    </row>
    <row r="5486" spans="1:4" x14ac:dyDescent="0.55000000000000004">
      <c r="A5486">
        <f t="shared" si="172"/>
        <v>2003</v>
      </c>
      <c r="B5486" s="821">
        <v>37684</v>
      </c>
      <c r="C5486">
        <v>4.91</v>
      </c>
      <c r="D5486">
        <f t="shared" si="173"/>
        <v>1</v>
      </c>
    </row>
    <row r="5487" spans="1:4" x14ac:dyDescent="0.55000000000000004">
      <c r="A5487">
        <f t="shared" si="172"/>
        <v>2003</v>
      </c>
      <c r="B5487" s="821">
        <v>37683</v>
      </c>
      <c r="C5487">
        <v>4.92</v>
      </c>
      <c r="D5487">
        <f t="shared" si="173"/>
        <v>1</v>
      </c>
    </row>
    <row r="5488" spans="1:4" x14ac:dyDescent="0.55000000000000004">
      <c r="A5488">
        <f t="shared" si="172"/>
        <v>2003</v>
      </c>
      <c r="B5488" s="821">
        <v>37680</v>
      </c>
      <c r="C5488">
        <v>4.9000000000000004</v>
      </c>
      <c r="D5488">
        <f t="shared" si="173"/>
        <v>1</v>
      </c>
    </row>
    <row r="5489" spans="1:4" x14ac:dyDescent="0.55000000000000004">
      <c r="A5489">
        <f t="shared" si="172"/>
        <v>2003</v>
      </c>
      <c r="B5489" s="821">
        <v>37679</v>
      </c>
      <c r="C5489">
        <v>4.9800000000000004</v>
      </c>
      <c r="D5489">
        <f t="shared" si="173"/>
        <v>1</v>
      </c>
    </row>
    <row r="5490" spans="1:4" x14ac:dyDescent="0.55000000000000004">
      <c r="A5490">
        <f t="shared" si="172"/>
        <v>2003</v>
      </c>
      <c r="B5490" s="821">
        <v>37678</v>
      </c>
      <c r="C5490">
        <v>4.97</v>
      </c>
      <c r="D5490">
        <f t="shared" si="173"/>
        <v>1</v>
      </c>
    </row>
    <row r="5491" spans="1:4" x14ac:dyDescent="0.55000000000000004">
      <c r="A5491">
        <f t="shared" si="172"/>
        <v>2003</v>
      </c>
      <c r="B5491" s="821">
        <v>37677</v>
      </c>
      <c r="C5491">
        <v>5.01</v>
      </c>
      <c r="D5491">
        <f t="shared" si="173"/>
        <v>1</v>
      </c>
    </row>
    <row r="5492" spans="1:4" x14ac:dyDescent="0.55000000000000004">
      <c r="A5492">
        <f t="shared" si="172"/>
        <v>2003</v>
      </c>
      <c r="B5492" s="821">
        <v>37676</v>
      </c>
      <c r="C5492">
        <v>5.05</v>
      </c>
      <c r="D5492">
        <f t="shared" si="173"/>
        <v>1</v>
      </c>
    </row>
    <row r="5493" spans="1:4" x14ac:dyDescent="0.55000000000000004">
      <c r="A5493">
        <f t="shared" si="172"/>
        <v>2003</v>
      </c>
      <c r="B5493" s="821">
        <v>37673</v>
      </c>
      <c r="C5493">
        <v>5.08</v>
      </c>
      <c r="D5493">
        <f t="shared" si="173"/>
        <v>1</v>
      </c>
    </row>
    <row r="5494" spans="1:4" x14ac:dyDescent="0.55000000000000004">
      <c r="A5494">
        <f t="shared" si="172"/>
        <v>2003</v>
      </c>
      <c r="B5494" s="821">
        <v>37672</v>
      </c>
      <c r="C5494">
        <v>5.04</v>
      </c>
      <c r="D5494">
        <f t="shared" si="173"/>
        <v>1</v>
      </c>
    </row>
    <row r="5495" spans="1:4" x14ac:dyDescent="0.55000000000000004">
      <c r="A5495">
        <f t="shared" si="172"/>
        <v>2003</v>
      </c>
      <c r="B5495" s="821">
        <v>37671</v>
      </c>
      <c r="C5495">
        <v>5.04</v>
      </c>
      <c r="D5495">
        <f t="shared" si="173"/>
        <v>1</v>
      </c>
    </row>
    <row r="5496" spans="1:4" x14ac:dyDescent="0.55000000000000004">
      <c r="A5496">
        <f t="shared" si="172"/>
        <v>2003</v>
      </c>
      <c r="B5496" s="821">
        <v>37670</v>
      </c>
      <c r="C5496">
        <v>5.0999999999999996</v>
      </c>
      <c r="D5496">
        <f t="shared" si="173"/>
        <v>1</v>
      </c>
    </row>
    <row r="5497" spans="1:4" x14ac:dyDescent="0.55000000000000004">
      <c r="A5497">
        <f t="shared" si="172"/>
        <v>2003</v>
      </c>
      <c r="B5497" s="821">
        <v>37666</v>
      </c>
      <c r="C5497">
        <v>5.09</v>
      </c>
      <c r="D5497">
        <f t="shared" si="173"/>
        <v>1</v>
      </c>
    </row>
    <row r="5498" spans="1:4" x14ac:dyDescent="0.55000000000000004">
      <c r="A5498">
        <f t="shared" si="172"/>
        <v>2003</v>
      </c>
      <c r="B5498" s="821">
        <v>37665</v>
      </c>
      <c r="C5498">
        <v>5.04</v>
      </c>
      <c r="D5498">
        <f t="shared" si="173"/>
        <v>1</v>
      </c>
    </row>
    <row r="5499" spans="1:4" x14ac:dyDescent="0.55000000000000004">
      <c r="A5499">
        <f t="shared" si="172"/>
        <v>2003</v>
      </c>
      <c r="B5499" s="821">
        <v>37664</v>
      </c>
      <c r="C5499">
        <v>5.08</v>
      </c>
      <c r="D5499">
        <f t="shared" si="173"/>
        <v>1</v>
      </c>
    </row>
    <row r="5500" spans="1:4" x14ac:dyDescent="0.55000000000000004">
      <c r="A5500">
        <f t="shared" si="172"/>
        <v>2003</v>
      </c>
      <c r="B5500" s="821">
        <v>37663</v>
      </c>
      <c r="C5500">
        <v>5.0599999999999996</v>
      </c>
      <c r="D5500">
        <f t="shared" si="173"/>
        <v>1</v>
      </c>
    </row>
    <row r="5501" spans="1:4" x14ac:dyDescent="0.55000000000000004">
      <c r="A5501">
        <f t="shared" si="172"/>
        <v>2003</v>
      </c>
      <c r="B5501" s="821">
        <v>37662</v>
      </c>
      <c r="C5501">
        <v>5.04</v>
      </c>
      <c r="D5501">
        <f t="shared" si="173"/>
        <v>1</v>
      </c>
    </row>
    <row r="5502" spans="1:4" x14ac:dyDescent="0.55000000000000004">
      <c r="A5502">
        <f t="shared" si="172"/>
        <v>2003</v>
      </c>
      <c r="B5502" s="821">
        <v>37659</v>
      </c>
      <c r="C5502">
        <v>4.9800000000000004</v>
      </c>
      <c r="D5502">
        <f t="shared" si="173"/>
        <v>1</v>
      </c>
    </row>
    <row r="5503" spans="1:4" x14ac:dyDescent="0.55000000000000004">
      <c r="A5503">
        <f t="shared" si="172"/>
        <v>2003</v>
      </c>
      <c r="B5503" s="821">
        <v>37658</v>
      </c>
      <c r="C5503">
        <v>4.99</v>
      </c>
      <c r="D5503">
        <f t="shared" si="173"/>
        <v>1</v>
      </c>
    </row>
    <row r="5504" spans="1:4" x14ac:dyDescent="0.55000000000000004">
      <c r="A5504">
        <f t="shared" si="172"/>
        <v>2003</v>
      </c>
      <c r="B5504" s="821">
        <v>37657</v>
      </c>
      <c r="C5504">
        <v>5.0199999999999996</v>
      </c>
      <c r="D5504">
        <f t="shared" si="173"/>
        <v>1</v>
      </c>
    </row>
    <row r="5505" spans="1:4" x14ac:dyDescent="0.55000000000000004">
      <c r="A5505">
        <f t="shared" si="172"/>
        <v>2003</v>
      </c>
      <c r="B5505" s="821">
        <v>37656</v>
      </c>
      <c r="C5505">
        <v>4.99</v>
      </c>
      <c r="D5505">
        <f t="shared" si="173"/>
        <v>1</v>
      </c>
    </row>
    <row r="5506" spans="1:4" x14ac:dyDescent="0.55000000000000004">
      <c r="A5506">
        <f t="shared" si="172"/>
        <v>2003</v>
      </c>
      <c r="B5506" s="821">
        <v>37655</v>
      </c>
      <c r="C5506">
        <v>5.01</v>
      </c>
      <c r="D5506">
        <f t="shared" si="173"/>
        <v>1</v>
      </c>
    </row>
    <row r="5507" spans="1:4" x14ac:dyDescent="0.55000000000000004">
      <c r="A5507">
        <f t="shared" si="172"/>
        <v>2003</v>
      </c>
      <c r="B5507" s="821">
        <v>37652</v>
      </c>
      <c r="C5507">
        <v>5.03</v>
      </c>
      <c r="D5507">
        <f t="shared" si="173"/>
        <v>1</v>
      </c>
    </row>
    <row r="5508" spans="1:4" x14ac:dyDescent="0.55000000000000004">
      <c r="A5508">
        <f t="shared" ref="A5508:A5571" si="174">YEAR(B5508)</f>
        <v>2003</v>
      </c>
      <c r="B5508" s="821">
        <v>37651</v>
      </c>
      <c r="C5508">
        <v>5.0599999999999996</v>
      </c>
      <c r="D5508">
        <f t="shared" ref="D5508:D5571" si="175">IF(C5508&gt;4,1,0)</f>
        <v>1</v>
      </c>
    </row>
    <row r="5509" spans="1:4" x14ac:dyDescent="0.55000000000000004">
      <c r="A5509">
        <f t="shared" si="174"/>
        <v>2003</v>
      </c>
      <c r="B5509" s="821">
        <v>37650</v>
      </c>
      <c r="C5509">
        <v>5.1100000000000003</v>
      </c>
      <c r="D5509">
        <f t="shared" si="175"/>
        <v>1</v>
      </c>
    </row>
    <row r="5510" spans="1:4" x14ac:dyDescent="0.55000000000000004">
      <c r="A5510">
        <f t="shared" si="174"/>
        <v>2003</v>
      </c>
      <c r="B5510" s="821">
        <v>37649</v>
      </c>
      <c r="C5510">
        <v>5.0599999999999996</v>
      </c>
      <c r="D5510">
        <f t="shared" si="175"/>
        <v>1</v>
      </c>
    </row>
    <row r="5511" spans="1:4" x14ac:dyDescent="0.55000000000000004">
      <c r="A5511">
        <f t="shared" si="174"/>
        <v>2003</v>
      </c>
      <c r="B5511" s="821">
        <v>37648</v>
      </c>
      <c r="C5511">
        <v>5.0599999999999996</v>
      </c>
      <c r="D5511">
        <f t="shared" si="175"/>
        <v>1</v>
      </c>
    </row>
    <row r="5512" spans="1:4" x14ac:dyDescent="0.55000000000000004">
      <c r="A5512">
        <f t="shared" si="174"/>
        <v>2003</v>
      </c>
      <c r="B5512" s="821">
        <v>37645</v>
      </c>
      <c r="C5512">
        <v>5.05</v>
      </c>
      <c r="D5512">
        <f t="shared" si="175"/>
        <v>1</v>
      </c>
    </row>
    <row r="5513" spans="1:4" x14ac:dyDescent="0.55000000000000004">
      <c r="A5513">
        <f t="shared" si="174"/>
        <v>2003</v>
      </c>
      <c r="B5513" s="821">
        <v>37644</v>
      </c>
      <c r="C5513">
        <v>5.08</v>
      </c>
      <c r="D5513">
        <f t="shared" si="175"/>
        <v>1</v>
      </c>
    </row>
    <row r="5514" spans="1:4" x14ac:dyDescent="0.55000000000000004">
      <c r="A5514">
        <f t="shared" si="174"/>
        <v>2003</v>
      </c>
      <c r="B5514" s="821">
        <v>37643</v>
      </c>
      <c r="C5514">
        <v>5.07</v>
      </c>
      <c r="D5514">
        <f t="shared" si="175"/>
        <v>1</v>
      </c>
    </row>
    <row r="5515" spans="1:4" x14ac:dyDescent="0.55000000000000004">
      <c r="A5515">
        <f t="shared" si="174"/>
        <v>2003</v>
      </c>
      <c r="B5515" s="821">
        <v>37642</v>
      </c>
      <c r="C5515">
        <v>5.1100000000000003</v>
      </c>
      <c r="D5515">
        <f t="shared" si="175"/>
        <v>1</v>
      </c>
    </row>
    <row r="5516" spans="1:4" x14ac:dyDescent="0.55000000000000004">
      <c r="A5516">
        <f t="shared" si="174"/>
        <v>2003</v>
      </c>
      <c r="B5516" s="821">
        <v>37638</v>
      </c>
      <c r="C5516">
        <v>5.13</v>
      </c>
      <c r="D5516">
        <f t="shared" si="175"/>
        <v>1</v>
      </c>
    </row>
    <row r="5517" spans="1:4" x14ac:dyDescent="0.55000000000000004">
      <c r="A5517">
        <f t="shared" si="174"/>
        <v>2003</v>
      </c>
      <c r="B5517" s="821">
        <v>37637</v>
      </c>
      <c r="C5517">
        <v>5.16</v>
      </c>
      <c r="D5517">
        <f t="shared" si="175"/>
        <v>1</v>
      </c>
    </row>
    <row r="5518" spans="1:4" x14ac:dyDescent="0.55000000000000004">
      <c r="A5518">
        <f t="shared" si="174"/>
        <v>2003</v>
      </c>
      <c r="B5518" s="821">
        <v>37636</v>
      </c>
      <c r="C5518">
        <v>5.17</v>
      </c>
      <c r="D5518">
        <f t="shared" si="175"/>
        <v>1</v>
      </c>
    </row>
    <row r="5519" spans="1:4" x14ac:dyDescent="0.55000000000000004">
      <c r="A5519">
        <f t="shared" si="174"/>
        <v>2003</v>
      </c>
      <c r="B5519" s="821">
        <v>37635</v>
      </c>
      <c r="C5519">
        <v>5.19</v>
      </c>
      <c r="D5519">
        <f t="shared" si="175"/>
        <v>1</v>
      </c>
    </row>
    <row r="5520" spans="1:4" x14ac:dyDescent="0.55000000000000004">
      <c r="A5520">
        <f t="shared" si="174"/>
        <v>2003</v>
      </c>
      <c r="B5520" s="821">
        <v>37634</v>
      </c>
      <c r="C5520">
        <v>5.23</v>
      </c>
      <c r="D5520">
        <f t="shared" si="175"/>
        <v>1</v>
      </c>
    </row>
    <row r="5521" spans="1:4" x14ac:dyDescent="0.55000000000000004">
      <c r="A5521">
        <f t="shared" si="174"/>
        <v>2003</v>
      </c>
      <c r="B5521" s="821">
        <v>37631</v>
      </c>
      <c r="C5521">
        <v>5.24</v>
      </c>
      <c r="D5521">
        <f t="shared" si="175"/>
        <v>1</v>
      </c>
    </row>
    <row r="5522" spans="1:4" x14ac:dyDescent="0.55000000000000004">
      <c r="A5522">
        <f t="shared" si="174"/>
        <v>2003</v>
      </c>
      <c r="B5522" s="821">
        <v>37630</v>
      </c>
      <c r="C5522">
        <v>5.27</v>
      </c>
      <c r="D5522">
        <f t="shared" si="175"/>
        <v>1</v>
      </c>
    </row>
    <row r="5523" spans="1:4" x14ac:dyDescent="0.55000000000000004">
      <c r="A5523">
        <f t="shared" si="174"/>
        <v>2003</v>
      </c>
      <c r="B5523" s="821">
        <v>37629</v>
      </c>
      <c r="C5523">
        <v>5.13</v>
      </c>
      <c r="D5523">
        <f t="shared" si="175"/>
        <v>1</v>
      </c>
    </row>
    <row r="5524" spans="1:4" x14ac:dyDescent="0.55000000000000004">
      <c r="A5524">
        <f t="shared" si="174"/>
        <v>2003</v>
      </c>
      <c r="B5524" s="821">
        <v>37628</v>
      </c>
      <c r="C5524">
        <v>5.18</v>
      </c>
      <c r="D5524">
        <f t="shared" si="175"/>
        <v>1</v>
      </c>
    </row>
    <row r="5525" spans="1:4" x14ac:dyDescent="0.55000000000000004">
      <c r="A5525">
        <f t="shared" si="174"/>
        <v>2003</v>
      </c>
      <c r="B5525" s="821">
        <v>37627</v>
      </c>
      <c r="C5525">
        <v>5.2</v>
      </c>
      <c r="D5525">
        <f t="shared" si="175"/>
        <v>1</v>
      </c>
    </row>
    <row r="5526" spans="1:4" x14ac:dyDescent="0.55000000000000004">
      <c r="A5526">
        <f t="shared" si="174"/>
        <v>2003</v>
      </c>
      <c r="B5526" s="821">
        <v>37624</v>
      </c>
      <c r="C5526">
        <v>5.18</v>
      </c>
      <c r="D5526">
        <f t="shared" si="175"/>
        <v>1</v>
      </c>
    </row>
    <row r="5527" spans="1:4" x14ac:dyDescent="0.55000000000000004">
      <c r="A5527">
        <f t="shared" si="174"/>
        <v>2003</v>
      </c>
      <c r="B5527" s="821">
        <v>37623</v>
      </c>
      <c r="C5527">
        <v>5.18</v>
      </c>
      <c r="D5527">
        <f t="shared" si="175"/>
        <v>1</v>
      </c>
    </row>
    <row r="5528" spans="1:4" x14ac:dyDescent="0.55000000000000004">
      <c r="A5528">
        <f t="shared" si="174"/>
        <v>2002</v>
      </c>
      <c r="B5528" s="821">
        <v>37621</v>
      </c>
      <c r="C5528">
        <v>5.03</v>
      </c>
      <c r="D5528">
        <f t="shared" si="175"/>
        <v>1</v>
      </c>
    </row>
    <row r="5529" spans="1:4" x14ac:dyDescent="0.55000000000000004">
      <c r="A5529">
        <f t="shared" si="174"/>
        <v>2002</v>
      </c>
      <c r="B5529" s="821">
        <v>37620</v>
      </c>
      <c r="C5529">
        <v>5.0199999999999996</v>
      </c>
      <c r="D5529">
        <f t="shared" si="175"/>
        <v>1</v>
      </c>
    </row>
    <row r="5530" spans="1:4" x14ac:dyDescent="0.55000000000000004">
      <c r="A5530">
        <f t="shared" si="174"/>
        <v>2002</v>
      </c>
      <c r="B5530" s="821">
        <v>37617</v>
      </c>
      <c r="C5530">
        <v>5.0599999999999996</v>
      </c>
      <c r="D5530">
        <f t="shared" si="175"/>
        <v>1</v>
      </c>
    </row>
    <row r="5531" spans="1:4" x14ac:dyDescent="0.55000000000000004">
      <c r="A5531">
        <f t="shared" si="174"/>
        <v>2002</v>
      </c>
      <c r="B5531" s="821">
        <v>37616</v>
      </c>
      <c r="C5531">
        <v>5.1100000000000003</v>
      </c>
      <c r="D5531">
        <f t="shared" si="175"/>
        <v>1</v>
      </c>
    </row>
    <row r="5532" spans="1:4" x14ac:dyDescent="0.55000000000000004">
      <c r="A5532">
        <f t="shared" si="174"/>
        <v>2002</v>
      </c>
      <c r="B5532" s="821">
        <v>37614</v>
      </c>
      <c r="C5532">
        <v>5.1100000000000003</v>
      </c>
      <c r="D5532">
        <f t="shared" si="175"/>
        <v>1</v>
      </c>
    </row>
    <row r="5533" spans="1:4" x14ac:dyDescent="0.55000000000000004">
      <c r="A5533">
        <f t="shared" si="174"/>
        <v>2002</v>
      </c>
      <c r="B5533" s="821">
        <v>37613</v>
      </c>
      <c r="C5533">
        <v>5.13</v>
      </c>
      <c r="D5533">
        <f t="shared" si="175"/>
        <v>1</v>
      </c>
    </row>
    <row r="5534" spans="1:4" x14ac:dyDescent="0.55000000000000004">
      <c r="A5534">
        <f t="shared" si="174"/>
        <v>2002</v>
      </c>
      <c r="B5534" s="821">
        <v>37610</v>
      </c>
      <c r="C5534">
        <v>5.12</v>
      </c>
      <c r="D5534">
        <f t="shared" si="175"/>
        <v>1</v>
      </c>
    </row>
    <row r="5535" spans="1:4" x14ac:dyDescent="0.55000000000000004">
      <c r="A5535">
        <f t="shared" si="174"/>
        <v>2002</v>
      </c>
      <c r="B5535" s="821">
        <v>37609</v>
      </c>
      <c r="C5535">
        <v>5.15</v>
      </c>
      <c r="D5535">
        <f t="shared" si="175"/>
        <v>1</v>
      </c>
    </row>
    <row r="5536" spans="1:4" x14ac:dyDescent="0.55000000000000004">
      <c r="A5536">
        <f t="shared" si="174"/>
        <v>2002</v>
      </c>
      <c r="B5536" s="821">
        <v>37608</v>
      </c>
      <c r="C5536">
        <v>5.2</v>
      </c>
      <c r="D5536">
        <f t="shared" si="175"/>
        <v>1</v>
      </c>
    </row>
    <row r="5537" spans="1:4" x14ac:dyDescent="0.55000000000000004">
      <c r="A5537">
        <f t="shared" si="174"/>
        <v>2002</v>
      </c>
      <c r="B5537" s="821">
        <v>37607</v>
      </c>
      <c r="C5537">
        <v>5.24</v>
      </c>
      <c r="D5537">
        <f t="shared" si="175"/>
        <v>1</v>
      </c>
    </row>
    <row r="5538" spans="1:4" x14ac:dyDescent="0.55000000000000004">
      <c r="A5538">
        <f t="shared" si="174"/>
        <v>2002</v>
      </c>
      <c r="B5538" s="821">
        <v>37606</v>
      </c>
      <c r="C5538">
        <v>5.21</v>
      </c>
      <c r="D5538">
        <f t="shared" si="175"/>
        <v>1</v>
      </c>
    </row>
    <row r="5539" spans="1:4" x14ac:dyDescent="0.55000000000000004">
      <c r="A5539">
        <f t="shared" si="174"/>
        <v>2002</v>
      </c>
      <c r="B5539" s="821">
        <v>37603</v>
      </c>
      <c r="C5539">
        <v>5.15</v>
      </c>
      <c r="D5539">
        <f t="shared" si="175"/>
        <v>1</v>
      </c>
    </row>
    <row r="5540" spans="1:4" x14ac:dyDescent="0.55000000000000004">
      <c r="A5540">
        <f t="shared" si="174"/>
        <v>2002</v>
      </c>
      <c r="B5540" s="821">
        <v>37602</v>
      </c>
      <c r="C5540">
        <v>5.07</v>
      </c>
      <c r="D5540">
        <f t="shared" si="175"/>
        <v>1</v>
      </c>
    </row>
    <row r="5541" spans="1:4" x14ac:dyDescent="0.55000000000000004">
      <c r="A5541">
        <f t="shared" si="174"/>
        <v>2002</v>
      </c>
      <c r="B5541" s="821">
        <v>37601</v>
      </c>
      <c r="C5541">
        <v>5.04</v>
      </c>
      <c r="D5541">
        <f t="shared" si="175"/>
        <v>1</v>
      </c>
    </row>
    <row r="5542" spans="1:4" x14ac:dyDescent="0.55000000000000004">
      <c r="A5542">
        <f t="shared" si="174"/>
        <v>2002</v>
      </c>
      <c r="B5542" s="821">
        <v>37600</v>
      </c>
      <c r="C5542">
        <v>5.09</v>
      </c>
      <c r="D5542">
        <f t="shared" si="175"/>
        <v>1</v>
      </c>
    </row>
    <row r="5543" spans="1:4" x14ac:dyDescent="0.55000000000000004">
      <c r="A5543">
        <f t="shared" si="174"/>
        <v>2002</v>
      </c>
      <c r="B5543" s="821">
        <v>37599</v>
      </c>
      <c r="C5543">
        <v>5.12</v>
      </c>
      <c r="D5543">
        <f t="shared" si="175"/>
        <v>1</v>
      </c>
    </row>
    <row r="5544" spans="1:4" x14ac:dyDescent="0.55000000000000004">
      <c r="A5544">
        <f t="shared" si="174"/>
        <v>2002</v>
      </c>
      <c r="B5544" s="821">
        <v>37596</v>
      </c>
      <c r="C5544">
        <v>5.15</v>
      </c>
      <c r="D5544">
        <f t="shared" si="175"/>
        <v>1</v>
      </c>
    </row>
    <row r="5545" spans="1:4" x14ac:dyDescent="0.55000000000000004">
      <c r="A5545">
        <f t="shared" si="174"/>
        <v>2002</v>
      </c>
      <c r="B5545" s="821">
        <v>37595</v>
      </c>
      <c r="C5545">
        <v>5.16</v>
      </c>
      <c r="D5545">
        <f t="shared" si="175"/>
        <v>1</v>
      </c>
    </row>
    <row r="5546" spans="1:4" x14ac:dyDescent="0.55000000000000004">
      <c r="A5546">
        <f t="shared" si="174"/>
        <v>2002</v>
      </c>
      <c r="B5546" s="821">
        <v>37594</v>
      </c>
      <c r="C5546">
        <v>5.19</v>
      </c>
      <c r="D5546">
        <f t="shared" si="175"/>
        <v>1</v>
      </c>
    </row>
    <row r="5547" spans="1:4" x14ac:dyDescent="0.55000000000000004">
      <c r="A5547">
        <f t="shared" si="174"/>
        <v>2002</v>
      </c>
      <c r="B5547" s="821">
        <v>37593</v>
      </c>
      <c r="C5547">
        <v>5.23</v>
      </c>
      <c r="D5547">
        <f t="shared" si="175"/>
        <v>1</v>
      </c>
    </row>
    <row r="5548" spans="1:4" x14ac:dyDescent="0.55000000000000004">
      <c r="A5548">
        <f t="shared" si="174"/>
        <v>2002</v>
      </c>
      <c r="B5548" s="821">
        <v>37592</v>
      </c>
      <c r="C5548">
        <v>5.22</v>
      </c>
      <c r="D5548">
        <f t="shared" si="175"/>
        <v>1</v>
      </c>
    </row>
    <row r="5549" spans="1:4" x14ac:dyDescent="0.55000000000000004">
      <c r="A5549">
        <f t="shared" si="174"/>
        <v>2002</v>
      </c>
      <c r="B5549" s="821">
        <v>37589</v>
      </c>
      <c r="C5549">
        <v>5.23</v>
      </c>
      <c r="D5549">
        <f t="shared" si="175"/>
        <v>1</v>
      </c>
    </row>
    <row r="5550" spans="1:4" x14ac:dyDescent="0.55000000000000004">
      <c r="A5550">
        <f t="shared" si="174"/>
        <v>2002</v>
      </c>
      <c r="B5550" s="821">
        <v>37587</v>
      </c>
      <c r="C5550">
        <v>5.28</v>
      </c>
      <c r="D5550">
        <f t="shared" si="175"/>
        <v>1</v>
      </c>
    </row>
    <row r="5551" spans="1:4" x14ac:dyDescent="0.55000000000000004">
      <c r="A5551">
        <f t="shared" si="174"/>
        <v>2002</v>
      </c>
      <c r="B5551" s="821">
        <v>37586</v>
      </c>
      <c r="C5551">
        <v>5.15</v>
      </c>
      <c r="D5551">
        <f t="shared" si="175"/>
        <v>1</v>
      </c>
    </row>
    <row r="5552" spans="1:4" x14ac:dyDescent="0.55000000000000004">
      <c r="A5552">
        <f t="shared" si="174"/>
        <v>2002</v>
      </c>
      <c r="B5552" s="821">
        <v>37585</v>
      </c>
      <c r="C5552">
        <v>5.23</v>
      </c>
      <c r="D5552">
        <f t="shared" si="175"/>
        <v>1</v>
      </c>
    </row>
    <row r="5553" spans="1:4" x14ac:dyDescent="0.55000000000000004">
      <c r="A5553">
        <f t="shared" si="174"/>
        <v>2002</v>
      </c>
      <c r="B5553" s="821">
        <v>37582</v>
      </c>
      <c r="C5553">
        <v>5.22</v>
      </c>
      <c r="D5553">
        <f t="shared" si="175"/>
        <v>1</v>
      </c>
    </row>
    <row r="5554" spans="1:4" x14ac:dyDescent="0.55000000000000004">
      <c r="A5554">
        <f t="shared" si="174"/>
        <v>2002</v>
      </c>
      <c r="B5554" s="821">
        <v>37581</v>
      </c>
      <c r="C5554">
        <v>5.2</v>
      </c>
      <c r="D5554">
        <f t="shared" si="175"/>
        <v>1</v>
      </c>
    </row>
    <row r="5555" spans="1:4" x14ac:dyDescent="0.55000000000000004">
      <c r="A5555">
        <f t="shared" si="174"/>
        <v>2002</v>
      </c>
      <c r="B5555" s="821">
        <v>37580</v>
      </c>
      <c r="C5555">
        <v>5.14</v>
      </c>
      <c r="D5555">
        <f t="shared" si="175"/>
        <v>1</v>
      </c>
    </row>
    <row r="5556" spans="1:4" x14ac:dyDescent="0.55000000000000004">
      <c r="A5556">
        <f t="shared" si="174"/>
        <v>2002</v>
      </c>
      <c r="B5556" s="821">
        <v>37579</v>
      </c>
      <c r="C5556">
        <v>5.0599999999999996</v>
      </c>
      <c r="D5556">
        <f t="shared" si="175"/>
        <v>1</v>
      </c>
    </row>
    <row r="5557" spans="1:4" x14ac:dyDescent="0.55000000000000004">
      <c r="A5557">
        <f t="shared" si="174"/>
        <v>2002</v>
      </c>
      <c r="B5557" s="821">
        <v>37578</v>
      </c>
      <c r="C5557">
        <v>5.0999999999999996</v>
      </c>
      <c r="D5557">
        <f t="shared" si="175"/>
        <v>1</v>
      </c>
    </row>
    <row r="5558" spans="1:4" x14ac:dyDescent="0.55000000000000004">
      <c r="A5558">
        <f t="shared" si="174"/>
        <v>2002</v>
      </c>
      <c r="B5558" s="821">
        <v>37575</v>
      </c>
      <c r="C5558">
        <v>5.12</v>
      </c>
      <c r="D5558">
        <f t="shared" si="175"/>
        <v>1</v>
      </c>
    </row>
    <row r="5559" spans="1:4" x14ac:dyDescent="0.55000000000000004">
      <c r="A5559">
        <f t="shared" si="174"/>
        <v>2002</v>
      </c>
      <c r="B5559" s="821">
        <v>37574</v>
      </c>
      <c r="C5559">
        <v>5.16</v>
      </c>
      <c r="D5559">
        <f t="shared" si="175"/>
        <v>1</v>
      </c>
    </row>
    <row r="5560" spans="1:4" x14ac:dyDescent="0.55000000000000004">
      <c r="A5560">
        <f t="shared" si="174"/>
        <v>2002</v>
      </c>
      <c r="B5560" s="821">
        <v>37573</v>
      </c>
      <c r="C5560">
        <v>5.01</v>
      </c>
      <c r="D5560">
        <f t="shared" si="175"/>
        <v>1</v>
      </c>
    </row>
    <row r="5561" spans="1:4" x14ac:dyDescent="0.55000000000000004">
      <c r="A5561">
        <f t="shared" si="174"/>
        <v>2002</v>
      </c>
      <c r="B5561" s="821">
        <v>37572</v>
      </c>
      <c r="C5561">
        <v>5.05</v>
      </c>
      <c r="D5561">
        <f t="shared" si="175"/>
        <v>1</v>
      </c>
    </row>
    <row r="5562" spans="1:4" x14ac:dyDescent="0.55000000000000004">
      <c r="A5562">
        <f t="shared" si="174"/>
        <v>2002</v>
      </c>
      <c r="B5562" s="821">
        <v>37568</v>
      </c>
      <c r="C5562">
        <v>5.05</v>
      </c>
      <c r="D5562">
        <f t="shared" si="175"/>
        <v>1</v>
      </c>
    </row>
    <row r="5563" spans="1:4" x14ac:dyDescent="0.55000000000000004">
      <c r="A5563">
        <f t="shared" si="174"/>
        <v>2002</v>
      </c>
      <c r="B5563" s="821">
        <v>37567</v>
      </c>
      <c r="C5563">
        <v>5.17</v>
      </c>
      <c r="D5563">
        <f t="shared" si="175"/>
        <v>1</v>
      </c>
    </row>
    <row r="5564" spans="1:4" x14ac:dyDescent="0.55000000000000004">
      <c r="A5564">
        <f t="shared" si="174"/>
        <v>2002</v>
      </c>
      <c r="B5564" s="821">
        <v>37566</v>
      </c>
      <c r="C5564">
        <v>5.35</v>
      </c>
      <c r="D5564">
        <f t="shared" si="175"/>
        <v>1</v>
      </c>
    </row>
    <row r="5565" spans="1:4" x14ac:dyDescent="0.55000000000000004">
      <c r="A5565">
        <f t="shared" si="174"/>
        <v>2002</v>
      </c>
      <c r="B5565" s="821">
        <v>37565</v>
      </c>
      <c r="C5565">
        <v>5.33</v>
      </c>
      <c r="D5565">
        <f t="shared" si="175"/>
        <v>1</v>
      </c>
    </row>
    <row r="5566" spans="1:4" x14ac:dyDescent="0.55000000000000004">
      <c r="A5566">
        <f t="shared" si="174"/>
        <v>2002</v>
      </c>
      <c r="B5566" s="821">
        <v>37564</v>
      </c>
      <c r="C5566">
        <v>5.31</v>
      </c>
      <c r="D5566">
        <f t="shared" si="175"/>
        <v>1</v>
      </c>
    </row>
    <row r="5567" spans="1:4" x14ac:dyDescent="0.55000000000000004">
      <c r="A5567">
        <f t="shared" si="174"/>
        <v>2002</v>
      </c>
      <c r="B5567" s="821">
        <v>37561</v>
      </c>
      <c r="C5567">
        <v>5.3</v>
      </c>
      <c r="D5567">
        <f t="shared" si="175"/>
        <v>1</v>
      </c>
    </row>
    <row r="5568" spans="1:4" x14ac:dyDescent="0.55000000000000004">
      <c r="A5568">
        <f t="shared" si="174"/>
        <v>2002</v>
      </c>
      <c r="B5568" s="821">
        <v>37560</v>
      </c>
      <c r="C5568">
        <v>5.28</v>
      </c>
      <c r="D5568">
        <f t="shared" si="175"/>
        <v>1</v>
      </c>
    </row>
    <row r="5569" spans="1:4" x14ac:dyDescent="0.55000000000000004">
      <c r="A5569">
        <f t="shared" si="174"/>
        <v>2002</v>
      </c>
      <c r="B5569" s="821">
        <v>37559</v>
      </c>
      <c r="C5569">
        <v>5.3</v>
      </c>
      <c r="D5569">
        <f t="shared" si="175"/>
        <v>1</v>
      </c>
    </row>
    <row r="5570" spans="1:4" x14ac:dyDescent="0.55000000000000004">
      <c r="A5570">
        <f t="shared" si="174"/>
        <v>2002</v>
      </c>
      <c r="B5570" s="821">
        <v>37558</v>
      </c>
      <c r="C5570">
        <v>5.28</v>
      </c>
      <c r="D5570">
        <f t="shared" si="175"/>
        <v>1</v>
      </c>
    </row>
    <row r="5571" spans="1:4" x14ac:dyDescent="0.55000000000000004">
      <c r="A5571">
        <f t="shared" si="174"/>
        <v>2002</v>
      </c>
      <c r="B5571" s="821">
        <v>37557</v>
      </c>
      <c r="C5571">
        <v>5.35</v>
      </c>
      <c r="D5571">
        <f t="shared" si="175"/>
        <v>1</v>
      </c>
    </row>
    <row r="5572" spans="1:4" x14ac:dyDescent="0.55000000000000004">
      <c r="A5572">
        <f t="shared" ref="A5572:A5635" si="176">YEAR(B5572)</f>
        <v>2002</v>
      </c>
      <c r="B5572" s="821">
        <v>37554</v>
      </c>
      <c r="C5572">
        <v>5.31</v>
      </c>
      <c r="D5572">
        <f t="shared" ref="D5572:D5635" si="177">IF(C5572&gt;4,1,0)</f>
        <v>1</v>
      </c>
    </row>
    <row r="5573" spans="1:4" x14ac:dyDescent="0.55000000000000004">
      <c r="A5573">
        <f t="shared" si="176"/>
        <v>2002</v>
      </c>
      <c r="B5573" s="821">
        <v>37553</v>
      </c>
      <c r="C5573">
        <v>5.35</v>
      </c>
      <c r="D5573">
        <f t="shared" si="177"/>
        <v>1</v>
      </c>
    </row>
    <row r="5574" spans="1:4" x14ac:dyDescent="0.55000000000000004">
      <c r="A5574">
        <f t="shared" si="176"/>
        <v>2002</v>
      </c>
      <c r="B5574" s="821">
        <v>37552</v>
      </c>
      <c r="C5574">
        <v>5.39</v>
      </c>
      <c r="D5574">
        <f t="shared" si="177"/>
        <v>1</v>
      </c>
    </row>
    <row r="5575" spans="1:4" x14ac:dyDescent="0.55000000000000004">
      <c r="A5575">
        <f t="shared" si="176"/>
        <v>2002</v>
      </c>
      <c r="B5575" s="821">
        <v>37551</v>
      </c>
      <c r="C5575">
        <v>5.36</v>
      </c>
      <c r="D5575">
        <f t="shared" si="177"/>
        <v>1</v>
      </c>
    </row>
    <row r="5576" spans="1:4" x14ac:dyDescent="0.55000000000000004">
      <c r="A5576">
        <f t="shared" si="176"/>
        <v>2002</v>
      </c>
      <c r="B5576" s="821">
        <v>37550</v>
      </c>
      <c r="C5576">
        <v>5.36</v>
      </c>
      <c r="D5576">
        <f t="shared" si="177"/>
        <v>1</v>
      </c>
    </row>
    <row r="5577" spans="1:4" x14ac:dyDescent="0.55000000000000004">
      <c r="A5577">
        <f t="shared" si="176"/>
        <v>2002</v>
      </c>
      <c r="B5577" s="821">
        <v>37547</v>
      </c>
      <c r="C5577">
        <v>5.32</v>
      </c>
      <c r="D5577">
        <f t="shared" si="177"/>
        <v>1</v>
      </c>
    </row>
    <row r="5578" spans="1:4" x14ac:dyDescent="0.55000000000000004">
      <c r="A5578">
        <f t="shared" si="176"/>
        <v>2002</v>
      </c>
      <c r="B5578" s="821">
        <v>37546</v>
      </c>
      <c r="C5578">
        <v>5.31</v>
      </c>
      <c r="D5578">
        <f t="shared" si="177"/>
        <v>1</v>
      </c>
    </row>
    <row r="5579" spans="1:4" x14ac:dyDescent="0.55000000000000004">
      <c r="A5579">
        <f t="shared" si="176"/>
        <v>2002</v>
      </c>
      <c r="B5579" s="821">
        <v>37545</v>
      </c>
      <c r="C5579">
        <v>5.23</v>
      </c>
      <c r="D5579">
        <f t="shared" si="177"/>
        <v>1</v>
      </c>
    </row>
    <row r="5580" spans="1:4" x14ac:dyDescent="0.55000000000000004">
      <c r="A5580">
        <f t="shared" si="176"/>
        <v>2002</v>
      </c>
      <c r="B5580" s="821">
        <v>37544</v>
      </c>
      <c r="C5580">
        <v>5.22</v>
      </c>
      <c r="D5580">
        <f t="shared" si="177"/>
        <v>1</v>
      </c>
    </row>
    <row r="5581" spans="1:4" x14ac:dyDescent="0.55000000000000004">
      <c r="A5581">
        <f t="shared" si="176"/>
        <v>2002</v>
      </c>
      <c r="B5581" s="821">
        <v>37540</v>
      </c>
      <c r="C5581">
        <v>5.0599999999999996</v>
      </c>
      <c r="D5581">
        <f t="shared" si="177"/>
        <v>1</v>
      </c>
    </row>
    <row r="5582" spans="1:4" x14ac:dyDescent="0.55000000000000004">
      <c r="A5582">
        <f t="shared" si="176"/>
        <v>2002</v>
      </c>
      <c r="B5582" s="821">
        <v>37539</v>
      </c>
      <c r="C5582">
        <v>4.9800000000000004</v>
      </c>
      <c r="D5582">
        <f t="shared" si="177"/>
        <v>1</v>
      </c>
    </row>
    <row r="5583" spans="1:4" x14ac:dyDescent="0.55000000000000004">
      <c r="A5583">
        <f t="shared" si="176"/>
        <v>2002</v>
      </c>
      <c r="B5583" s="821">
        <v>37538</v>
      </c>
      <c r="C5583">
        <v>4.95</v>
      </c>
      <c r="D5583">
        <f t="shared" si="177"/>
        <v>1</v>
      </c>
    </row>
    <row r="5584" spans="1:4" x14ac:dyDescent="0.55000000000000004">
      <c r="A5584">
        <f t="shared" si="176"/>
        <v>2002</v>
      </c>
      <c r="B5584" s="821">
        <v>37537</v>
      </c>
      <c r="C5584">
        <v>4.99</v>
      </c>
      <c r="D5584">
        <f t="shared" si="177"/>
        <v>1</v>
      </c>
    </row>
    <row r="5585" spans="1:4" x14ac:dyDescent="0.55000000000000004">
      <c r="A5585">
        <f t="shared" si="176"/>
        <v>2002</v>
      </c>
      <c r="B5585" s="821">
        <v>37536</v>
      </c>
      <c r="C5585">
        <v>4.9800000000000004</v>
      </c>
      <c r="D5585">
        <f t="shared" si="177"/>
        <v>1</v>
      </c>
    </row>
    <row r="5586" spans="1:4" x14ac:dyDescent="0.55000000000000004">
      <c r="A5586">
        <f t="shared" si="176"/>
        <v>2002</v>
      </c>
      <c r="B5586" s="821">
        <v>37533</v>
      </c>
      <c r="C5586">
        <v>5</v>
      </c>
      <c r="D5586">
        <f t="shared" si="177"/>
        <v>1</v>
      </c>
    </row>
    <row r="5587" spans="1:4" x14ac:dyDescent="0.55000000000000004">
      <c r="A5587">
        <f t="shared" si="176"/>
        <v>2002</v>
      </c>
      <c r="B5587" s="821">
        <v>37532</v>
      </c>
      <c r="C5587">
        <v>4.99</v>
      </c>
      <c r="D5587">
        <f t="shared" si="177"/>
        <v>1</v>
      </c>
    </row>
    <row r="5588" spans="1:4" x14ac:dyDescent="0.55000000000000004">
      <c r="A5588">
        <f t="shared" si="176"/>
        <v>2002</v>
      </c>
      <c r="B5588" s="821">
        <v>37531</v>
      </c>
      <c r="C5588">
        <v>4.9800000000000004</v>
      </c>
      <c r="D5588">
        <f t="shared" si="177"/>
        <v>1</v>
      </c>
    </row>
    <row r="5589" spans="1:4" x14ac:dyDescent="0.55000000000000004">
      <c r="A5589">
        <f t="shared" si="176"/>
        <v>2002</v>
      </c>
      <c r="B5589" s="821">
        <v>37530</v>
      </c>
      <c r="C5589">
        <v>5.01</v>
      </c>
      <c r="D5589">
        <f t="shared" si="177"/>
        <v>1</v>
      </c>
    </row>
    <row r="5590" spans="1:4" x14ac:dyDescent="0.55000000000000004">
      <c r="A5590">
        <f t="shared" si="176"/>
        <v>2002</v>
      </c>
      <c r="B5590" s="821">
        <v>37529</v>
      </c>
      <c r="C5590">
        <v>4.88</v>
      </c>
      <c r="D5590">
        <f t="shared" si="177"/>
        <v>1</v>
      </c>
    </row>
    <row r="5591" spans="1:4" x14ac:dyDescent="0.55000000000000004">
      <c r="A5591">
        <f t="shared" si="176"/>
        <v>2002</v>
      </c>
      <c r="B5591" s="821">
        <v>37526</v>
      </c>
      <c r="C5591">
        <v>4.91</v>
      </c>
      <c r="D5591">
        <f t="shared" si="177"/>
        <v>1</v>
      </c>
    </row>
    <row r="5592" spans="1:4" x14ac:dyDescent="0.55000000000000004">
      <c r="A5592">
        <f t="shared" si="176"/>
        <v>2002</v>
      </c>
      <c r="B5592" s="821">
        <v>37525</v>
      </c>
      <c r="C5592">
        <v>4.93</v>
      </c>
      <c r="D5592">
        <f t="shared" si="177"/>
        <v>1</v>
      </c>
    </row>
    <row r="5593" spans="1:4" x14ac:dyDescent="0.55000000000000004">
      <c r="A5593">
        <f t="shared" si="176"/>
        <v>2002</v>
      </c>
      <c r="B5593" s="821">
        <v>37524</v>
      </c>
      <c r="C5593">
        <v>4.91</v>
      </c>
      <c r="D5593">
        <f t="shared" si="177"/>
        <v>1</v>
      </c>
    </row>
    <row r="5594" spans="1:4" x14ac:dyDescent="0.55000000000000004">
      <c r="A5594">
        <f t="shared" si="176"/>
        <v>2002</v>
      </c>
      <c r="B5594" s="821">
        <v>37523</v>
      </c>
      <c r="C5594">
        <v>4.84</v>
      </c>
      <c r="D5594">
        <f t="shared" si="177"/>
        <v>1</v>
      </c>
    </row>
    <row r="5595" spans="1:4" x14ac:dyDescent="0.55000000000000004">
      <c r="A5595">
        <f t="shared" si="176"/>
        <v>2002</v>
      </c>
      <c r="B5595" s="821">
        <v>37522</v>
      </c>
      <c r="C5595">
        <v>4.88</v>
      </c>
      <c r="D5595">
        <f t="shared" si="177"/>
        <v>1</v>
      </c>
    </row>
    <row r="5596" spans="1:4" x14ac:dyDescent="0.55000000000000004">
      <c r="A5596">
        <f t="shared" si="176"/>
        <v>2002</v>
      </c>
      <c r="B5596" s="821">
        <v>37519</v>
      </c>
      <c r="C5596">
        <v>4.95</v>
      </c>
      <c r="D5596">
        <f t="shared" si="177"/>
        <v>1</v>
      </c>
    </row>
    <row r="5597" spans="1:4" x14ac:dyDescent="0.55000000000000004">
      <c r="A5597">
        <f t="shared" si="176"/>
        <v>2002</v>
      </c>
      <c r="B5597" s="821">
        <v>37518</v>
      </c>
      <c r="C5597">
        <v>4.9000000000000004</v>
      </c>
      <c r="D5597">
        <f t="shared" si="177"/>
        <v>1</v>
      </c>
    </row>
    <row r="5598" spans="1:4" x14ac:dyDescent="0.55000000000000004">
      <c r="A5598">
        <f t="shared" si="176"/>
        <v>2002</v>
      </c>
      <c r="B5598" s="821">
        <v>37517</v>
      </c>
      <c r="C5598">
        <v>4.95</v>
      </c>
      <c r="D5598">
        <f t="shared" si="177"/>
        <v>1</v>
      </c>
    </row>
    <row r="5599" spans="1:4" x14ac:dyDescent="0.55000000000000004">
      <c r="A5599">
        <f t="shared" si="176"/>
        <v>2002</v>
      </c>
      <c r="B5599" s="821">
        <v>37516</v>
      </c>
      <c r="C5599">
        <v>4.96</v>
      </c>
      <c r="D5599">
        <f t="shared" si="177"/>
        <v>1</v>
      </c>
    </row>
    <row r="5600" spans="1:4" x14ac:dyDescent="0.55000000000000004">
      <c r="A5600">
        <f t="shared" si="176"/>
        <v>2002</v>
      </c>
      <c r="B5600" s="821">
        <v>37515</v>
      </c>
      <c r="C5600">
        <v>4.95</v>
      </c>
      <c r="D5600">
        <f t="shared" si="177"/>
        <v>1</v>
      </c>
    </row>
    <row r="5601" spans="1:4" x14ac:dyDescent="0.55000000000000004">
      <c r="A5601">
        <f t="shared" si="176"/>
        <v>2002</v>
      </c>
      <c r="B5601" s="821">
        <v>37512</v>
      </c>
      <c r="C5601">
        <v>4.97</v>
      </c>
      <c r="D5601">
        <f t="shared" si="177"/>
        <v>1</v>
      </c>
    </row>
    <row r="5602" spans="1:4" x14ac:dyDescent="0.55000000000000004">
      <c r="A5602">
        <f t="shared" si="176"/>
        <v>2002</v>
      </c>
      <c r="B5602" s="821">
        <v>37511</v>
      </c>
      <c r="C5602">
        <v>5.03</v>
      </c>
      <c r="D5602">
        <f t="shared" si="177"/>
        <v>1</v>
      </c>
    </row>
    <row r="5603" spans="1:4" x14ac:dyDescent="0.55000000000000004">
      <c r="A5603">
        <f t="shared" si="176"/>
        <v>2002</v>
      </c>
      <c r="B5603" s="821">
        <v>37510</v>
      </c>
      <c r="C5603">
        <v>5.08</v>
      </c>
      <c r="D5603">
        <f t="shared" si="177"/>
        <v>1</v>
      </c>
    </row>
    <row r="5604" spans="1:4" x14ac:dyDescent="0.55000000000000004">
      <c r="A5604">
        <f t="shared" si="176"/>
        <v>2002</v>
      </c>
      <c r="B5604" s="821">
        <v>37509</v>
      </c>
      <c r="C5604">
        <v>5.03</v>
      </c>
      <c r="D5604">
        <f t="shared" si="177"/>
        <v>1</v>
      </c>
    </row>
    <row r="5605" spans="1:4" x14ac:dyDescent="0.55000000000000004">
      <c r="A5605">
        <f t="shared" si="176"/>
        <v>2002</v>
      </c>
      <c r="B5605" s="821">
        <v>37508</v>
      </c>
      <c r="C5605">
        <v>5.04</v>
      </c>
      <c r="D5605">
        <f t="shared" si="177"/>
        <v>1</v>
      </c>
    </row>
    <row r="5606" spans="1:4" x14ac:dyDescent="0.55000000000000004">
      <c r="A5606">
        <f t="shared" si="176"/>
        <v>2002</v>
      </c>
      <c r="B5606" s="821">
        <v>37505</v>
      </c>
      <c r="C5606">
        <v>5.07</v>
      </c>
      <c r="D5606">
        <f t="shared" si="177"/>
        <v>1</v>
      </c>
    </row>
    <row r="5607" spans="1:4" x14ac:dyDescent="0.55000000000000004">
      <c r="A5607">
        <f t="shared" si="176"/>
        <v>2002</v>
      </c>
      <c r="B5607" s="821">
        <v>37504</v>
      </c>
      <c r="C5607">
        <v>4.9800000000000004</v>
      </c>
      <c r="D5607">
        <f t="shared" si="177"/>
        <v>1</v>
      </c>
    </row>
    <row r="5608" spans="1:4" x14ac:dyDescent="0.55000000000000004">
      <c r="A5608">
        <f t="shared" si="176"/>
        <v>2002</v>
      </c>
      <c r="B5608" s="821">
        <v>37503</v>
      </c>
      <c r="C5608">
        <v>4.9800000000000004</v>
      </c>
      <c r="D5608">
        <f t="shared" si="177"/>
        <v>1</v>
      </c>
    </row>
    <row r="5609" spans="1:4" x14ac:dyDescent="0.55000000000000004">
      <c r="A5609">
        <f t="shared" si="176"/>
        <v>2002</v>
      </c>
      <c r="B5609" s="821">
        <v>37502</v>
      </c>
      <c r="C5609">
        <v>5.0199999999999996</v>
      </c>
      <c r="D5609">
        <f t="shared" si="177"/>
        <v>1</v>
      </c>
    </row>
    <row r="5610" spans="1:4" x14ac:dyDescent="0.55000000000000004">
      <c r="A5610">
        <f t="shared" si="176"/>
        <v>2002</v>
      </c>
      <c r="B5610" s="821">
        <v>37498</v>
      </c>
      <c r="C5610">
        <v>5.1100000000000003</v>
      </c>
      <c r="D5610">
        <f t="shared" si="177"/>
        <v>1</v>
      </c>
    </row>
    <row r="5611" spans="1:4" x14ac:dyDescent="0.55000000000000004">
      <c r="A5611">
        <f t="shared" si="176"/>
        <v>2002</v>
      </c>
      <c r="B5611" s="821">
        <v>37497</v>
      </c>
      <c r="C5611">
        <v>5.18</v>
      </c>
      <c r="D5611">
        <f t="shared" si="177"/>
        <v>1</v>
      </c>
    </row>
    <row r="5612" spans="1:4" x14ac:dyDescent="0.55000000000000004">
      <c r="A5612">
        <f t="shared" si="176"/>
        <v>2002</v>
      </c>
      <c r="B5612" s="821">
        <v>37496</v>
      </c>
      <c r="C5612">
        <v>5.21</v>
      </c>
      <c r="D5612">
        <f t="shared" si="177"/>
        <v>1</v>
      </c>
    </row>
    <row r="5613" spans="1:4" x14ac:dyDescent="0.55000000000000004">
      <c r="A5613">
        <f t="shared" si="176"/>
        <v>2002</v>
      </c>
      <c r="B5613" s="821">
        <v>37495</v>
      </c>
      <c r="C5613">
        <v>5.25</v>
      </c>
      <c r="D5613">
        <f t="shared" si="177"/>
        <v>1</v>
      </c>
    </row>
    <row r="5614" spans="1:4" x14ac:dyDescent="0.55000000000000004">
      <c r="A5614">
        <f t="shared" si="176"/>
        <v>2002</v>
      </c>
      <c r="B5614" s="821">
        <v>37494</v>
      </c>
      <c r="C5614">
        <v>5.22</v>
      </c>
      <c r="D5614">
        <f t="shared" si="177"/>
        <v>1</v>
      </c>
    </row>
    <row r="5615" spans="1:4" x14ac:dyDescent="0.55000000000000004">
      <c r="A5615">
        <f t="shared" si="176"/>
        <v>2002</v>
      </c>
      <c r="B5615" s="821">
        <v>37491</v>
      </c>
      <c r="C5615">
        <v>5.25</v>
      </c>
      <c r="D5615">
        <f t="shared" si="177"/>
        <v>1</v>
      </c>
    </row>
    <row r="5616" spans="1:4" x14ac:dyDescent="0.55000000000000004">
      <c r="A5616">
        <f t="shared" si="176"/>
        <v>2002</v>
      </c>
      <c r="B5616" s="821">
        <v>37490</v>
      </c>
      <c r="C5616">
        <v>5.27</v>
      </c>
      <c r="D5616">
        <f t="shared" si="177"/>
        <v>1</v>
      </c>
    </row>
    <row r="5617" spans="1:4" x14ac:dyDescent="0.55000000000000004">
      <c r="A5617">
        <f t="shared" si="176"/>
        <v>2002</v>
      </c>
      <c r="B5617" s="821">
        <v>37489</v>
      </c>
      <c r="C5617">
        <v>5.19</v>
      </c>
      <c r="D5617">
        <f t="shared" si="177"/>
        <v>1</v>
      </c>
    </row>
    <row r="5618" spans="1:4" x14ac:dyDescent="0.55000000000000004">
      <c r="A5618">
        <f t="shared" si="176"/>
        <v>2002</v>
      </c>
      <c r="B5618" s="821">
        <v>37488</v>
      </c>
      <c r="C5618">
        <v>5.14</v>
      </c>
      <c r="D5618">
        <f t="shared" si="177"/>
        <v>1</v>
      </c>
    </row>
    <row r="5619" spans="1:4" x14ac:dyDescent="0.55000000000000004">
      <c r="A5619">
        <f t="shared" si="176"/>
        <v>2002</v>
      </c>
      <c r="B5619" s="821">
        <v>37487</v>
      </c>
      <c r="C5619">
        <v>5.21</v>
      </c>
      <c r="D5619">
        <f t="shared" si="177"/>
        <v>1</v>
      </c>
    </row>
    <row r="5620" spans="1:4" x14ac:dyDescent="0.55000000000000004">
      <c r="A5620">
        <f t="shared" si="176"/>
        <v>2002</v>
      </c>
      <c r="B5620" s="821">
        <v>37484</v>
      </c>
      <c r="C5620">
        <v>5.24</v>
      </c>
      <c r="D5620">
        <f t="shared" si="177"/>
        <v>1</v>
      </c>
    </row>
    <row r="5621" spans="1:4" x14ac:dyDescent="0.55000000000000004">
      <c r="A5621">
        <f t="shared" si="176"/>
        <v>2002</v>
      </c>
      <c r="B5621" s="821">
        <v>37483</v>
      </c>
      <c r="C5621">
        <v>5.17</v>
      </c>
      <c r="D5621">
        <f t="shared" si="177"/>
        <v>1</v>
      </c>
    </row>
    <row r="5622" spans="1:4" x14ac:dyDescent="0.55000000000000004">
      <c r="A5622">
        <f t="shared" si="176"/>
        <v>2002</v>
      </c>
      <c r="B5622" s="821">
        <v>37482</v>
      </c>
      <c r="C5622">
        <v>5.08</v>
      </c>
      <c r="D5622">
        <f t="shared" si="177"/>
        <v>1</v>
      </c>
    </row>
    <row r="5623" spans="1:4" x14ac:dyDescent="0.55000000000000004">
      <c r="A5623">
        <f t="shared" si="176"/>
        <v>2002</v>
      </c>
      <c r="B5623" s="821">
        <v>37481</v>
      </c>
      <c r="C5623">
        <v>5.22</v>
      </c>
      <c r="D5623">
        <f t="shared" si="177"/>
        <v>1</v>
      </c>
    </row>
    <row r="5624" spans="1:4" x14ac:dyDescent="0.55000000000000004">
      <c r="A5624">
        <f t="shared" si="176"/>
        <v>2002</v>
      </c>
      <c r="B5624" s="821">
        <v>37480</v>
      </c>
      <c r="C5624">
        <v>5.29</v>
      </c>
      <c r="D5624">
        <f t="shared" si="177"/>
        <v>1</v>
      </c>
    </row>
    <row r="5625" spans="1:4" x14ac:dyDescent="0.55000000000000004">
      <c r="A5625">
        <f t="shared" si="176"/>
        <v>2002</v>
      </c>
      <c r="B5625" s="821">
        <v>37477</v>
      </c>
      <c r="C5625">
        <v>5.35</v>
      </c>
      <c r="D5625">
        <f t="shared" si="177"/>
        <v>1</v>
      </c>
    </row>
    <row r="5626" spans="1:4" x14ac:dyDescent="0.55000000000000004">
      <c r="A5626">
        <f t="shared" si="176"/>
        <v>2002</v>
      </c>
      <c r="B5626" s="821">
        <v>37476</v>
      </c>
      <c r="C5626">
        <v>5.44</v>
      </c>
      <c r="D5626">
        <f t="shared" si="177"/>
        <v>1</v>
      </c>
    </row>
    <row r="5627" spans="1:4" x14ac:dyDescent="0.55000000000000004">
      <c r="A5627">
        <f t="shared" si="176"/>
        <v>2002</v>
      </c>
      <c r="B5627" s="821">
        <v>37475</v>
      </c>
      <c r="C5627">
        <v>5.44</v>
      </c>
      <c r="D5627">
        <f t="shared" si="177"/>
        <v>1</v>
      </c>
    </row>
    <row r="5628" spans="1:4" x14ac:dyDescent="0.55000000000000004">
      <c r="A5628">
        <f t="shared" si="176"/>
        <v>2002</v>
      </c>
      <c r="B5628" s="821">
        <v>37474</v>
      </c>
      <c r="C5628">
        <v>5.45</v>
      </c>
      <c r="D5628">
        <f t="shared" si="177"/>
        <v>1</v>
      </c>
    </row>
    <row r="5629" spans="1:4" x14ac:dyDescent="0.55000000000000004">
      <c r="A5629">
        <f t="shared" si="176"/>
        <v>2002</v>
      </c>
      <c r="B5629" s="821">
        <v>37473</v>
      </c>
      <c r="C5629">
        <v>5.41</v>
      </c>
      <c r="D5629">
        <f t="shared" si="177"/>
        <v>1</v>
      </c>
    </row>
    <row r="5630" spans="1:4" x14ac:dyDescent="0.55000000000000004">
      <c r="A5630">
        <f t="shared" si="176"/>
        <v>2002</v>
      </c>
      <c r="B5630" s="821">
        <v>37470</v>
      </c>
      <c r="C5630">
        <v>5.44</v>
      </c>
      <c r="D5630">
        <f t="shared" si="177"/>
        <v>1</v>
      </c>
    </row>
    <row r="5631" spans="1:4" x14ac:dyDescent="0.55000000000000004">
      <c r="A5631">
        <f t="shared" si="176"/>
        <v>2002</v>
      </c>
      <c r="B5631" s="821">
        <v>37469</v>
      </c>
      <c r="C5631">
        <v>5.51</v>
      </c>
      <c r="D5631">
        <f t="shared" si="177"/>
        <v>1</v>
      </c>
    </row>
    <row r="5632" spans="1:4" x14ac:dyDescent="0.55000000000000004">
      <c r="A5632">
        <f t="shared" si="176"/>
        <v>2002</v>
      </c>
      <c r="B5632" s="821">
        <v>37468</v>
      </c>
      <c r="C5632">
        <v>5.51</v>
      </c>
      <c r="D5632">
        <f t="shared" si="177"/>
        <v>1</v>
      </c>
    </row>
    <row r="5633" spans="1:4" x14ac:dyDescent="0.55000000000000004">
      <c r="A5633">
        <f t="shared" si="176"/>
        <v>2002</v>
      </c>
      <c r="B5633" s="821">
        <v>37467</v>
      </c>
      <c r="C5633">
        <v>5.59</v>
      </c>
      <c r="D5633">
        <f t="shared" si="177"/>
        <v>1</v>
      </c>
    </row>
    <row r="5634" spans="1:4" x14ac:dyDescent="0.55000000000000004">
      <c r="A5634">
        <f t="shared" si="176"/>
        <v>2002</v>
      </c>
      <c r="B5634" s="821">
        <v>37466</v>
      </c>
      <c r="C5634">
        <v>5.62</v>
      </c>
      <c r="D5634">
        <f t="shared" si="177"/>
        <v>1</v>
      </c>
    </row>
    <row r="5635" spans="1:4" x14ac:dyDescent="0.55000000000000004">
      <c r="A5635">
        <f t="shared" si="176"/>
        <v>2002</v>
      </c>
      <c r="B5635" s="821">
        <v>37463</v>
      </c>
      <c r="C5635">
        <v>5.52</v>
      </c>
      <c r="D5635">
        <f t="shared" si="177"/>
        <v>1</v>
      </c>
    </row>
    <row r="5636" spans="1:4" x14ac:dyDescent="0.55000000000000004">
      <c r="A5636">
        <f t="shared" ref="A5636:A5699" si="178">YEAR(B5636)</f>
        <v>2002</v>
      </c>
      <c r="B5636" s="821">
        <v>37462</v>
      </c>
      <c r="C5636">
        <v>5.54</v>
      </c>
      <c r="D5636">
        <f t="shared" ref="D5636:D5699" si="179">IF(C5636&gt;4,1,0)</f>
        <v>1</v>
      </c>
    </row>
    <row r="5637" spans="1:4" x14ac:dyDescent="0.55000000000000004">
      <c r="A5637">
        <f t="shared" si="178"/>
        <v>2002</v>
      </c>
      <c r="B5637" s="821">
        <v>37461</v>
      </c>
      <c r="C5637">
        <v>5.57</v>
      </c>
      <c r="D5637">
        <f t="shared" si="179"/>
        <v>1</v>
      </c>
    </row>
    <row r="5638" spans="1:4" x14ac:dyDescent="0.55000000000000004">
      <c r="A5638">
        <f t="shared" si="178"/>
        <v>2002</v>
      </c>
      <c r="B5638" s="821">
        <v>37460</v>
      </c>
      <c r="C5638">
        <v>5.49</v>
      </c>
      <c r="D5638">
        <f t="shared" si="179"/>
        <v>1</v>
      </c>
    </row>
    <row r="5639" spans="1:4" x14ac:dyDescent="0.55000000000000004">
      <c r="A5639">
        <f t="shared" si="178"/>
        <v>2002</v>
      </c>
      <c r="B5639" s="821">
        <v>37459</v>
      </c>
      <c r="C5639">
        <v>5.5</v>
      </c>
      <c r="D5639">
        <f t="shared" si="179"/>
        <v>1</v>
      </c>
    </row>
    <row r="5640" spans="1:4" x14ac:dyDescent="0.55000000000000004">
      <c r="A5640">
        <f t="shared" si="178"/>
        <v>2002</v>
      </c>
      <c r="B5640" s="821">
        <v>37456</v>
      </c>
      <c r="C5640">
        <v>5.55</v>
      </c>
      <c r="D5640">
        <f t="shared" si="179"/>
        <v>1</v>
      </c>
    </row>
    <row r="5641" spans="1:4" x14ac:dyDescent="0.55000000000000004">
      <c r="A5641">
        <f t="shared" si="178"/>
        <v>2002</v>
      </c>
      <c r="B5641" s="821">
        <v>37455</v>
      </c>
      <c r="C5641">
        <v>5.62</v>
      </c>
      <c r="D5641">
        <f t="shared" si="179"/>
        <v>1</v>
      </c>
    </row>
    <row r="5642" spans="1:4" x14ac:dyDescent="0.55000000000000004">
      <c r="A5642">
        <f t="shared" si="178"/>
        <v>2002</v>
      </c>
      <c r="B5642" s="821">
        <v>37454</v>
      </c>
      <c r="C5642">
        <v>5.62</v>
      </c>
      <c r="D5642">
        <f t="shared" si="179"/>
        <v>1</v>
      </c>
    </row>
    <row r="5643" spans="1:4" x14ac:dyDescent="0.55000000000000004">
      <c r="A5643">
        <f t="shared" si="178"/>
        <v>2002</v>
      </c>
      <c r="B5643" s="821">
        <v>37453</v>
      </c>
      <c r="C5643">
        <v>5.63</v>
      </c>
      <c r="D5643">
        <f t="shared" si="179"/>
        <v>1</v>
      </c>
    </row>
    <row r="5644" spans="1:4" x14ac:dyDescent="0.55000000000000004">
      <c r="A5644">
        <f t="shared" si="178"/>
        <v>2002</v>
      </c>
      <c r="B5644" s="821">
        <v>37452</v>
      </c>
      <c r="C5644">
        <v>5.57</v>
      </c>
      <c r="D5644">
        <f t="shared" si="179"/>
        <v>1</v>
      </c>
    </row>
    <row r="5645" spans="1:4" x14ac:dyDescent="0.55000000000000004">
      <c r="A5645">
        <f t="shared" si="178"/>
        <v>2002</v>
      </c>
      <c r="B5645" s="821">
        <v>37449</v>
      </c>
      <c r="C5645">
        <v>5.55</v>
      </c>
      <c r="D5645">
        <f t="shared" si="179"/>
        <v>1</v>
      </c>
    </row>
    <row r="5646" spans="1:4" x14ac:dyDescent="0.55000000000000004">
      <c r="A5646">
        <f t="shared" si="178"/>
        <v>2002</v>
      </c>
      <c r="B5646" s="821">
        <v>37448</v>
      </c>
      <c r="C5646">
        <v>5.57</v>
      </c>
      <c r="D5646">
        <f t="shared" si="179"/>
        <v>1</v>
      </c>
    </row>
    <row r="5647" spans="1:4" x14ac:dyDescent="0.55000000000000004">
      <c r="A5647">
        <f t="shared" si="178"/>
        <v>2002</v>
      </c>
      <c r="B5647" s="821">
        <v>37447</v>
      </c>
      <c r="C5647">
        <v>5.53</v>
      </c>
      <c r="D5647">
        <f t="shared" si="179"/>
        <v>1</v>
      </c>
    </row>
    <row r="5648" spans="1:4" x14ac:dyDescent="0.55000000000000004">
      <c r="A5648">
        <f t="shared" si="178"/>
        <v>2002</v>
      </c>
      <c r="B5648" s="821">
        <v>37446</v>
      </c>
      <c r="C5648">
        <v>5.6</v>
      </c>
      <c r="D5648">
        <f t="shared" si="179"/>
        <v>1</v>
      </c>
    </row>
    <row r="5649" spans="1:4" x14ac:dyDescent="0.55000000000000004">
      <c r="A5649">
        <f t="shared" si="178"/>
        <v>2002</v>
      </c>
      <c r="B5649" s="821">
        <v>37445</v>
      </c>
      <c r="C5649">
        <v>5.66</v>
      </c>
      <c r="D5649">
        <f t="shared" si="179"/>
        <v>1</v>
      </c>
    </row>
    <row r="5650" spans="1:4" x14ac:dyDescent="0.55000000000000004">
      <c r="A5650">
        <f t="shared" si="178"/>
        <v>2002</v>
      </c>
      <c r="B5650" s="821">
        <v>37442</v>
      </c>
      <c r="C5650">
        <v>5.7</v>
      </c>
      <c r="D5650">
        <f t="shared" si="179"/>
        <v>1</v>
      </c>
    </row>
    <row r="5651" spans="1:4" x14ac:dyDescent="0.55000000000000004">
      <c r="A5651">
        <f t="shared" si="178"/>
        <v>2002</v>
      </c>
      <c r="B5651" s="821">
        <v>37440</v>
      </c>
      <c r="C5651">
        <v>5.62</v>
      </c>
      <c r="D5651">
        <f t="shared" si="179"/>
        <v>1</v>
      </c>
    </row>
    <row r="5652" spans="1:4" x14ac:dyDescent="0.55000000000000004">
      <c r="A5652">
        <f t="shared" si="178"/>
        <v>2002</v>
      </c>
      <c r="B5652" s="821">
        <v>37439</v>
      </c>
      <c r="C5652">
        <v>5.64</v>
      </c>
      <c r="D5652">
        <f t="shared" si="179"/>
        <v>1</v>
      </c>
    </row>
    <row r="5653" spans="1:4" x14ac:dyDescent="0.55000000000000004">
      <c r="A5653">
        <f t="shared" si="178"/>
        <v>2002</v>
      </c>
      <c r="B5653" s="821">
        <v>37438</v>
      </c>
      <c r="C5653">
        <v>5.67</v>
      </c>
      <c r="D5653">
        <f t="shared" si="179"/>
        <v>1</v>
      </c>
    </row>
    <row r="5654" spans="1:4" x14ac:dyDescent="0.55000000000000004">
      <c r="A5654">
        <f t="shared" si="178"/>
        <v>2002</v>
      </c>
      <c r="B5654" s="821">
        <v>37435</v>
      </c>
      <c r="C5654">
        <v>5.7</v>
      </c>
      <c r="D5654">
        <f t="shared" si="179"/>
        <v>1</v>
      </c>
    </row>
    <row r="5655" spans="1:4" x14ac:dyDescent="0.55000000000000004">
      <c r="A5655">
        <f t="shared" si="178"/>
        <v>2002</v>
      </c>
      <c r="B5655" s="821">
        <v>37434</v>
      </c>
      <c r="C5655">
        <v>5.68</v>
      </c>
      <c r="D5655">
        <f t="shared" si="179"/>
        <v>1</v>
      </c>
    </row>
    <row r="5656" spans="1:4" x14ac:dyDescent="0.55000000000000004">
      <c r="A5656">
        <f t="shared" si="178"/>
        <v>2002</v>
      </c>
      <c r="B5656" s="821">
        <v>37433</v>
      </c>
      <c r="C5656">
        <v>5.6</v>
      </c>
      <c r="D5656">
        <f t="shared" si="179"/>
        <v>1</v>
      </c>
    </row>
    <row r="5657" spans="1:4" x14ac:dyDescent="0.55000000000000004">
      <c r="A5657">
        <f t="shared" si="178"/>
        <v>2002</v>
      </c>
      <c r="B5657" s="821">
        <v>37432</v>
      </c>
      <c r="C5657">
        <v>5.64</v>
      </c>
      <c r="D5657">
        <f t="shared" si="179"/>
        <v>1</v>
      </c>
    </row>
    <row r="5658" spans="1:4" x14ac:dyDescent="0.55000000000000004">
      <c r="A5658">
        <f t="shared" si="178"/>
        <v>2002</v>
      </c>
      <c r="B5658" s="821">
        <v>37431</v>
      </c>
      <c r="C5658">
        <v>5.62</v>
      </c>
      <c r="D5658">
        <f t="shared" si="179"/>
        <v>1</v>
      </c>
    </row>
    <row r="5659" spans="1:4" x14ac:dyDescent="0.55000000000000004">
      <c r="A5659">
        <f t="shared" si="178"/>
        <v>2002</v>
      </c>
      <c r="B5659" s="821">
        <v>37428</v>
      </c>
      <c r="C5659">
        <v>5.56</v>
      </c>
      <c r="D5659">
        <f t="shared" si="179"/>
        <v>1</v>
      </c>
    </row>
    <row r="5660" spans="1:4" x14ac:dyDescent="0.55000000000000004">
      <c r="A5660">
        <f t="shared" si="178"/>
        <v>2002</v>
      </c>
      <c r="B5660" s="821">
        <v>37427</v>
      </c>
      <c r="C5660">
        <v>5.64</v>
      </c>
      <c r="D5660">
        <f t="shared" si="179"/>
        <v>1</v>
      </c>
    </row>
    <row r="5661" spans="1:4" x14ac:dyDescent="0.55000000000000004">
      <c r="A5661">
        <f t="shared" si="178"/>
        <v>2002</v>
      </c>
      <c r="B5661" s="821">
        <v>37426</v>
      </c>
      <c r="C5661">
        <v>5.58</v>
      </c>
      <c r="D5661">
        <f t="shared" si="179"/>
        <v>1</v>
      </c>
    </row>
    <row r="5662" spans="1:4" x14ac:dyDescent="0.55000000000000004">
      <c r="A5662">
        <f t="shared" si="178"/>
        <v>2002</v>
      </c>
      <c r="B5662" s="821">
        <v>37425</v>
      </c>
      <c r="C5662">
        <v>5.62</v>
      </c>
      <c r="D5662">
        <f t="shared" si="179"/>
        <v>1</v>
      </c>
    </row>
    <row r="5663" spans="1:4" x14ac:dyDescent="0.55000000000000004">
      <c r="A5663">
        <f t="shared" si="178"/>
        <v>2002</v>
      </c>
      <c r="B5663" s="821">
        <v>37424</v>
      </c>
      <c r="C5663">
        <v>5.63</v>
      </c>
      <c r="D5663">
        <f t="shared" si="179"/>
        <v>1</v>
      </c>
    </row>
    <row r="5664" spans="1:4" x14ac:dyDescent="0.55000000000000004">
      <c r="A5664">
        <f t="shared" si="178"/>
        <v>2002</v>
      </c>
      <c r="B5664" s="821">
        <v>37421</v>
      </c>
      <c r="C5664">
        <v>5.59</v>
      </c>
      <c r="D5664">
        <f t="shared" si="179"/>
        <v>1</v>
      </c>
    </row>
    <row r="5665" spans="1:4" x14ac:dyDescent="0.55000000000000004">
      <c r="A5665">
        <f t="shared" si="178"/>
        <v>2002</v>
      </c>
      <c r="B5665" s="821">
        <v>37420</v>
      </c>
      <c r="C5665">
        <v>5.65</v>
      </c>
      <c r="D5665">
        <f t="shared" si="179"/>
        <v>1</v>
      </c>
    </row>
    <row r="5666" spans="1:4" x14ac:dyDescent="0.55000000000000004">
      <c r="A5666">
        <f t="shared" si="178"/>
        <v>2002</v>
      </c>
      <c r="B5666" s="821">
        <v>37419</v>
      </c>
      <c r="C5666">
        <v>5.68</v>
      </c>
      <c r="D5666">
        <f t="shared" si="179"/>
        <v>1</v>
      </c>
    </row>
    <row r="5667" spans="1:4" x14ac:dyDescent="0.55000000000000004">
      <c r="A5667">
        <f t="shared" si="178"/>
        <v>2002</v>
      </c>
      <c r="B5667" s="821">
        <v>37418</v>
      </c>
      <c r="C5667">
        <v>5.71</v>
      </c>
      <c r="D5667">
        <f t="shared" si="179"/>
        <v>1</v>
      </c>
    </row>
    <row r="5668" spans="1:4" x14ac:dyDescent="0.55000000000000004">
      <c r="A5668">
        <f t="shared" si="178"/>
        <v>2002</v>
      </c>
      <c r="B5668" s="821">
        <v>37417</v>
      </c>
      <c r="C5668">
        <v>5.76</v>
      </c>
      <c r="D5668">
        <f t="shared" si="179"/>
        <v>1</v>
      </c>
    </row>
    <row r="5669" spans="1:4" x14ac:dyDescent="0.55000000000000004">
      <c r="A5669">
        <f t="shared" si="178"/>
        <v>2002</v>
      </c>
      <c r="B5669" s="821">
        <v>37414</v>
      </c>
      <c r="C5669">
        <v>5.81</v>
      </c>
      <c r="D5669">
        <f t="shared" si="179"/>
        <v>1</v>
      </c>
    </row>
    <row r="5670" spans="1:4" x14ac:dyDescent="0.55000000000000004">
      <c r="A5670">
        <f t="shared" si="178"/>
        <v>2002</v>
      </c>
      <c r="B5670" s="821">
        <v>37413</v>
      </c>
      <c r="C5670">
        <v>5.77</v>
      </c>
      <c r="D5670">
        <f t="shared" si="179"/>
        <v>1</v>
      </c>
    </row>
    <row r="5671" spans="1:4" x14ac:dyDescent="0.55000000000000004">
      <c r="A5671">
        <f t="shared" si="178"/>
        <v>2002</v>
      </c>
      <c r="B5671" s="821">
        <v>37412</v>
      </c>
      <c r="C5671">
        <v>5.79</v>
      </c>
      <c r="D5671">
        <f t="shared" si="179"/>
        <v>1</v>
      </c>
    </row>
    <row r="5672" spans="1:4" x14ac:dyDescent="0.55000000000000004">
      <c r="A5672">
        <f t="shared" si="178"/>
        <v>2002</v>
      </c>
      <c r="B5672" s="821">
        <v>37411</v>
      </c>
      <c r="C5672">
        <v>5.75</v>
      </c>
      <c r="D5672">
        <f t="shared" si="179"/>
        <v>1</v>
      </c>
    </row>
    <row r="5673" spans="1:4" x14ac:dyDescent="0.55000000000000004">
      <c r="A5673">
        <f t="shared" si="178"/>
        <v>2002</v>
      </c>
      <c r="B5673" s="821">
        <v>37410</v>
      </c>
      <c r="C5673">
        <v>5.76</v>
      </c>
      <c r="D5673">
        <f t="shared" si="179"/>
        <v>1</v>
      </c>
    </row>
    <row r="5674" spans="1:4" x14ac:dyDescent="0.55000000000000004">
      <c r="A5674">
        <f t="shared" si="178"/>
        <v>2002</v>
      </c>
      <c r="B5674" s="821">
        <v>37407</v>
      </c>
      <c r="C5674">
        <v>5.75</v>
      </c>
      <c r="D5674">
        <f t="shared" si="179"/>
        <v>1</v>
      </c>
    </row>
    <row r="5675" spans="1:4" x14ac:dyDescent="0.55000000000000004">
      <c r="A5675">
        <f t="shared" si="178"/>
        <v>2002</v>
      </c>
      <c r="B5675" s="821">
        <v>37406</v>
      </c>
      <c r="C5675">
        <v>5.74</v>
      </c>
      <c r="D5675">
        <f t="shared" si="179"/>
        <v>1</v>
      </c>
    </row>
    <row r="5676" spans="1:4" x14ac:dyDescent="0.55000000000000004">
      <c r="A5676">
        <f t="shared" si="178"/>
        <v>2002</v>
      </c>
      <c r="B5676" s="821">
        <v>37405</v>
      </c>
      <c r="C5676">
        <v>5.77</v>
      </c>
      <c r="D5676">
        <f t="shared" si="179"/>
        <v>1</v>
      </c>
    </row>
    <row r="5677" spans="1:4" x14ac:dyDescent="0.55000000000000004">
      <c r="A5677">
        <f t="shared" si="178"/>
        <v>2002</v>
      </c>
      <c r="B5677" s="821">
        <v>37404</v>
      </c>
      <c r="C5677">
        <v>5.78</v>
      </c>
      <c r="D5677">
        <f t="shared" si="179"/>
        <v>1</v>
      </c>
    </row>
    <row r="5678" spans="1:4" x14ac:dyDescent="0.55000000000000004">
      <c r="A5678">
        <f t="shared" si="178"/>
        <v>2002</v>
      </c>
      <c r="B5678" s="821">
        <v>37400</v>
      </c>
      <c r="C5678">
        <v>5.78</v>
      </c>
      <c r="D5678">
        <f t="shared" si="179"/>
        <v>1</v>
      </c>
    </row>
    <row r="5679" spans="1:4" x14ac:dyDescent="0.55000000000000004">
      <c r="A5679">
        <f t="shared" si="178"/>
        <v>2002</v>
      </c>
      <c r="B5679" s="821">
        <v>37399</v>
      </c>
      <c r="C5679">
        <v>5.78</v>
      </c>
      <c r="D5679">
        <f t="shared" si="179"/>
        <v>1</v>
      </c>
    </row>
    <row r="5680" spans="1:4" x14ac:dyDescent="0.55000000000000004">
      <c r="A5680">
        <f t="shared" si="178"/>
        <v>2002</v>
      </c>
      <c r="B5680" s="821">
        <v>37398</v>
      </c>
      <c r="C5680">
        <v>5.75</v>
      </c>
      <c r="D5680">
        <f t="shared" si="179"/>
        <v>1</v>
      </c>
    </row>
    <row r="5681" spans="1:4" x14ac:dyDescent="0.55000000000000004">
      <c r="A5681">
        <f t="shared" si="178"/>
        <v>2002</v>
      </c>
      <c r="B5681" s="821">
        <v>37397</v>
      </c>
      <c r="C5681">
        <v>5.79</v>
      </c>
      <c r="D5681">
        <f t="shared" si="179"/>
        <v>1</v>
      </c>
    </row>
    <row r="5682" spans="1:4" x14ac:dyDescent="0.55000000000000004">
      <c r="A5682">
        <f t="shared" si="178"/>
        <v>2002</v>
      </c>
      <c r="B5682" s="821">
        <v>37396</v>
      </c>
      <c r="C5682">
        <v>5.78</v>
      </c>
      <c r="D5682">
        <f t="shared" si="179"/>
        <v>1</v>
      </c>
    </row>
    <row r="5683" spans="1:4" x14ac:dyDescent="0.55000000000000004">
      <c r="A5683">
        <f t="shared" si="178"/>
        <v>2002</v>
      </c>
      <c r="B5683" s="821">
        <v>37393</v>
      </c>
      <c r="C5683">
        <v>5.84</v>
      </c>
      <c r="D5683">
        <f t="shared" si="179"/>
        <v>1</v>
      </c>
    </row>
    <row r="5684" spans="1:4" x14ac:dyDescent="0.55000000000000004">
      <c r="A5684">
        <f t="shared" si="178"/>
        <v>2002</v>
      </c>
      <c r="B5684" s="821">
        <v>37392</v>
      </c>
      <c r="C5684">
        <v>5.8</v>
      </c>
      <c r="D5684">
        <f t="shared" si="179"/>
        <v>1</v>
      </c>
    </row>
    <row r="5685" spans="1:4" x14ac:dyDescent="0.55000000000000004">
      <c r="A5685">
        <f t="shared" si="178"/>
        <v>2002</v>
      </c>
      <c r="B5685" s="821">
        <v>37391</v>
      </c>
      <c r="C5685">
        <v>5.82</v>
      </c>
      <c r="D5685">
        <f t="shared" si="179"/>
        <v>1</v>
      </c>
    </row>
    <row r="5686" spans="1:4" x14ac:dyDescent="0.55000000000000004">
      <c r="A5686">
        <f t="shared" si="178"/>
        <v>2002</v>
      </c>
      <c r="B5686" s="821">
        <v>37390</v>
      </c>
      <c r="C5686">
        <v>5.84</v>
      </c>
      <c r="D5686">
        <f t="shared" si="179"/>
        <v>1</v>
      </c>
    </row>
    <row r="5687" spans="1:4" x14ac:dyDescent="0.55000000000000004">
      <c r="A5687">
        <f t="shared" si="178"/>
        <v>2002</v>
      </c>
      <c r="B5687" s="821">
        <v>37389</v>
      </c>
      <c r="C5687">
        <v>5.79</v>
      </c>
      <c r="D5687">
        <f t="shared" si="179"/>
        <v>1</v>
      </c>
    </row>
    <row r="5688" spans="1:4" x14ac:dyDescent="0.55000000000000004">
      <c r="A5688">
        <f t="shared" si="178"/>
        <v>2002</v>
      </c>
      <c r="B5688" s="821">
        <v>37386</v>
      </c>
      <c r="C5688">
        <v>5.72</v>
      </c>
      <c r="D5688">
        <f t="shared" si="179"/>
        <v>1</v>
      </c>
    </row>
    <row r="5689" spans="1:4" x14ac:dyDescent="0.55000000000000004">
      <c r="A5689">
        <f t="shared" si="178"/>
        <v>2002</v>
      </c>
      <c r="B5689" s="821">
        <v>37385</v>
      </c>
      <c r="C5689">
        <v>5.78</v>
      </c>
      <c r="D5689">
        <f t="shared" si="179"/>
        <v>1</v>
      </c>
    </row>
    <row r="5690" spans="1:4" x14ac:dyDescent="0.55000000000000004">
      <c r="A5690">
        <f t="shared" si="178"/>
        <v>2002</v>
      </c>
      <c r="B5690" s="821">
        <v>37384</v>
      </c>
      <c r="C5690">
        <v>5.77</v>
      </c>
      <c r="D5690">
        <f t="shared" si="179"/>
        <v>1</v>
      </c>
    </row>
    <row r="5691" spans="1:4" x14ac:dyDescent="0.55000000000000004">
      <c r="A5691">
        <f t="shared" si="178"/>
        <v>2002</v>
      </c>
      <c r="B5691" s="821">
        <v>37383</v>
      </c>
      <c r="C5691">
        <v>5.66</v>
      </c>
      <c r="D5691">
        <f t="shared" si="179"/>
        <v>1</v>
      </c>
    </row>
    <row r="5692" spans="1:4" x14ac:dyDescent="0.55000000000000004">
      <c r="A5692">
        <f t="shared" si="178"/>
        <v>2002</v>
      </c>
      <c r="B5692" s="821">
        <v>37382</v>
      </c>
      <c r="C5692">
        <v>5.66</v>
      </c>
      <c r="D5692">
        <f t="shared" si="179"/>
        <v>1</v>
      </c>
    </row>
    <row r="5693" spans="1:4" x14ac:dyDescent="0.55000000000000004">
      <c r="A5693">
        <f t="shared" si="178"/>
        <v>2002</v>
      </c>
      <c r="B5693" s="821">
        <v>37379</v>
      </c>
      <c r="C5693">
        <v>5.65</v>
      </c>
      <c r="D5693">
        <f t="shared" si="179"/>
        <v>1</v>
      </c>
    </row>
    <row r="5694" spans="1:4" x14ac:dyDescent="0.55000000000000004">
      <c r="A5694">
        <f t="shared" si="178"/>
        <v>2002</v>
      </c>
      <c r="B5694" s="821">
        <v>37378</v>
      </c>
      <c r="C5694">
        <v>5.72</v>
      </c>
      <c r="D5694">
        <f t="shared" si="179"/>
        <v>1</v>
      </c>
    </row>
    <row r="5695" spans="1:4" x14ac:dyDescent="0.55000000000000004">
      <c r="A5695">
        <f t="shared" si="178"/>
        <v>2002</v>
      </c>
      <c r="B5695" s="821">
        <v>37377</v>
      </c>
      <c r="C5695">
        <v>5.69</v>
      </c>
      <c r="D5695">
        <f t="shared" si="179"/>
        <v>1</v>
      </c>
    </row>
    <row r="5696" spans="1:4" x14ac:dyDescent="0.55000000000000004">
      <c r="A5696">
        <f t="shared" si="178"/>
        <v>2002</v>
      </c>
      <c r="B5696" s="821">
        <v>37376</v>
      </c>
      <c r="C5696">
        <v>5.72</v>
      </c>
      <c r="D5696">
        <f t="shared" si="179"/>
        <v>1</v>
      </c>
    </row>
    <row r="5697" spans="1:4" x14ac:dyDescent="0.55000000000000004">
      <c r="A5697">
        <f t="shared" si="178"/>
        <v>2002</v>
      </c>
      <c r="B5697" s="821">
        <v>37375</v>
      </c>
      <c r="C5697">
        <v>5.75</v>
      </c>
      <c r="D5697">
        <f t="shared" si="179"/>
        <v>1</v>
      </c>
    </row>
    <row r="5698" spans="1:4" x14ac:dyDescent="0.55000000000000004">
      <c r="A5698">
        <f t="shared" si="178"/>
        <v>2002</v>
      </c>
      <c r="B5698" s="821">
        <v>37372</v>
      </c>
      <c r="C5698">
        <v>5.73</v>
      </c>
      <c r="D5698">
        <f t="shared" si="179"/>
        <v>1</v>
      </c>
    </row>
    <row r="5699" spans="1:4" x14ac:dyDescent="0.55000000000000004">
      <c r="A5699">
        <f t="shared" si="178"/>
        <v>2002</v>
      </c>
      <c r="B5699" s="821">
        <v>37371</v>
      </c>
      <c r="C5699">
        <v>5.72</v>
      </c>
      <c r="D5699">
        <f t="shared" si="179"/>
        <v>1</v>
      </c>
    </row>
    <row r="5700" spans="1:4" x14ac:dyDescent="0.55000000000000004">
      <c r="A5700">
        <f t="shared" ref="A5700:A5763" si="180">YEAR(B5700)</f>
        <v>2002</v>
      </c>
      <c r="B5700" s="821">
        <v>37370</v>
      </c>
      <c r="C5700">
        <v>5.72</v>
      </c>
      <c r="D5700">
        <f t="shared" ref="D5700:D5763" si="181">IF(C5700&gt;4,1,0)</f>
        <v>1</v>
      </c>
    </row>
    <row r="5701" spans="1:4" x14ac:dyDescent="0.55000000000000004">
      <c r="A5701">
        <f t="shared" si="180"/>
        <v>2002</v>
      </c>
      <c r="B5701" s="821">
        <v>37369</v>
      </c>
      <c r="C5701">
        <v>5.78</v>
      </c>
      <c r="D5701">
        <f t="shared" si="181"/>
        <v>1</v>
      </c>
    </row>
    <row r="5702" spans="1:4" x14ac:dyDescent="0.55000000000000004">
      <c r="A5702">
        <f t="shared" si="180"/>
        <v>2002</v>
      </c>
      <c r="B5702" s="821">
        <v>37368</v>
      </c>
      <c r="C5702">
        <v>5.78</v>
      </c>
      <c r="D5702">
        <f t="shared" si="181"/>
        <v>1</v>
      </c>
    </row>
    <row r="5703" spans="1:4" x14ac:dyDescent="0.55000000000000004">
      <c r="A5703">
        <f t="shared" si="180"/>
        <v>2002</v>
      </c>
      <c r="B5703" s="821">
        <v>37365</v>
      </c>
      <c r="C5703">
        <v>5.8</v>
      </c>
      <c r="D5703">
        <f t="shared" si="181"/>
        <v>1</v>
      </c>
    </row>
    <row r="5704" spans="1:4" x14ac:dyDescent="0.55000000000000004">
      <c r="A5704">
        <f t="shared" si="180"/>
        <v>2002</v>
      </c>
      <c r="B5704" s="821">
        <v>37364</v>
      </c>
      <c r="C5704">
        <v>5.86</v>
      </c>
      <c r="D5704">
        <f t="shared" si="181"/>
        <v>1</v>
      </c>
    </row>
    <row r="5705" spans="1:4" x14ac:dyDescent="0.55000000000000004">
      <c r="A5705">
        <f t="shared" si="180"/>
        <v>2002</v>
      </c>
      <c r="B5705" s="821">
        <v>37363</v>
      </c>
      <c r="C5705">
        <v>5.85</v>
      </c>
      <c r="D5705">
        <f t="shared" si="181"/>
        <v>1</v>
      </c>
    </row>
    <row r="5706" spans="1:4" x14ac:dyDescent="0.55000000000000004">
      <c r="A5706">
        <f t="shared" si="180"/>
        <v>2002</v>
      </c>
      <c r="B5706" s="821">
        <v>37362</v>
      </c>
      <c r="C5706">
        <v>5.78</v>
      </c>
      <c r="D5706">
        <f t="shared" si="181"/>
        <v>1</v>
      </c>
    </row>
    <row r="5707" spans="1:4" x14ac:dyDescent="0.55000000000000004">
      <c r="A5707">
        <f t="shared" si="180"/>
        <v>2002</v>
      </c>
      <c r="B5707" s="821">
        <v>37361</v>
      </c>
      <c r="C5707">
        <v>5.76</v>
      </c>
      <c r="D5707">
        <f t="shared" si="181"/>
        <v>1</v>
      </c>
    </row>
    <row r="5708" spans="1:4" x14ac:dyDescent="0.55000000000000004">
      <c r="A5708">
        <f t="shared" si="180"/>
        <v>2002</v>
      </c>
      <c r="B5708" s="821">
        <v>37358</v>
      </c>
      <c r="C5708">
        <v>5.79</v>
      </c>
      <c r="D5708">
        <f t="shared" si="181"/>
        <v>1</v>
      </c>
    </row>
    <row r="5709" spans="1:4" x14ac:dyDescent="0.55000000000000004">
      <c r="A5709">
        <f t="shared" si="180"/>
        <v>2002</v>
      </c>
      <c r="B5709" s="821">
        <v>37357</v>
      </c>
      <c r="C5709">
        <v>5.78</v>
      </c>
      <c r="D5709">
        <f t="shared" si="181"/>
        <v>1</v>
      </c>
    </row>
    <row r="5710" spans="1:4" x14ac:dyDescent="0.55000000000000004">
      <c r="A5710">
        <f t="shared" si="180"/>
        <v>2002</v>
      </c>
      <c r="B5710" s="821">
        <v>37356</v>
      </c>
      <c r="C5710">
        <v>5.78</v>
      </c>
      <c r="D5710">
        <f t="shared" si="181"/>
        <v>1</v>
      </c>
    </row>
    <row r="5711" spans="1:4" x14ac:dyDescent="0.55000000000000004">
      <c r="A5711">
        <f t="shared" si="180"/>
        <v>2002</v>
      </c>
      <c r="B5711" s="821">
        <v>37355</v>
      </c>
      <c r="C5711">
        <v>5.79</v>
      </c>
      <c r="D5711">
        <f t="shared" si="181"/>
        <v>1</v>
      </c>
    </row>
    <row r="5712" spans="1:4" x14ac:dyDescent="0.55000000000000004">
      <c r="A5712">
        <f t="shared" si="180"/>
        <v>2002</v>
      </c>
      <c r="B5712" s="821">
        <v>37354</v>
      </c>
      <c r="C5712">
        <v>5.82</v>
      </c>
      <c r="D5712">
        <f t="shared" si="181"/>
        <v>1</v>
      </c>
    </row>
    <row r="5713" spans="1:4" x14ac:dyDescent="0.55000000000000004">
      <c r="A5713">
        <f t="shared" si="180"/>
        <v>2002</v>
      </c>
      <c r="B5713" s="821">
        <v>37351</v>
      </c>
      <c r="C5713">
        <v>5.79</v>
      </c>
      <c r="D5713">
        <f t="shared" si="181"/>
        <v>1</v>
      </c>
    </row>
    <row r="5714" spans="1:4" x14ac:dyDescent="0.55000000000000004">
      <c r="A5714">
        <f t="shared" si="180"/>
        <v>2002</v>
      </c>
      <c r="B5714" s="821">
        <v>37350</v>
      </c>
      <c r="C5714">
        <v>5.82</v>
      </c>
      <c r="D5714">
        <f t="shared" si="181"/>
        <v>1</v>
      </c>
    </row>
    <row r="5715" spans="1:4" x14ac:dyDescent="0.55000000000000004">
      <c r="A5715">
        <f t="shared" si="180"/>
        <v>2002</v>
      </c>
      <c r="B5715" s="821">
        <v>37349</v>
      </c>
      <c r="C5715">
        <v>5.82</v>
      </c>
      <c r="D5715">
        <f t="shared" si="181"/>
        <v>1</v>
      </c>
    </row>
    <row r="5716" spans="1:4" x14ac:dyDescent="0.55000000000000004">
      <c r="A5716">
        <f t="shared" si="180"/>
        <v>2002</v>
      </c>
      <c r="B5716" s="821">
        <v>37348</v>
      </c>
      <c r="C5716">
        <v>5.86</v>
      </c>
      <c r="D5716">
        <f t="shared" si="181"/>
        <v>1</v>
      </c>
    </row>
    <row r="5717" spans="1:4" x14ac:dyDescent="0.55000000000000004">
      <c r="A5717">
        <f t="shared" si="180"/>
        <v>2002</v>
      </c>
      <c r="B5717" s="821">
        <v>37347</v>
      </c>
      <c r="C5717">
        <v>5.92</v>
      </c>
      <c r="D5717">
        <f t="shared" si="181"/>
        <v>1</v>
      </c>
    </row>
    <row r="5718" spans="1:4" x14ac:dyDescent="0.55000000000000004">
      <c r="A5718">
        <f t="shared" si="180"/>
        <v>2002</v>
      </c>
      <c r="B5718" s="821">
        <v>37343</v>
      </c>
      <c r="C5718">
        <v>5.91</v>
      </c>
      <c r="D5718">
        <f t="shared" si="181"/>
        <v>1</v>
      </c>
    </row>
    <row r="5719" spans="1:4" x14ac:dyDescent="0.55000000000000004">
      <c r="A5719">
        <f t="shared" si="180"/>
        <v>2002</v>
      </c>
      <c r="B5719" s="821">
        <v>37342</v>
      </c>
      <c r="C5719">
        <v>5.86</v>
      </c>
      <c r="D5719">
        <f t="shared" si="181"/>
        <v>1</v>
      </c>
    </row>
    <row r="5720" spans="1:4" x14ac:dyDescent="0.55000000000000004">
      <c r="A5720">
        <f t="shared" si="180"/>
        <v>2002</v>
      </c>
      <c r="B5720" s="821">
        <v>37341</v>
      </c>
      <c r="C5720">
        <v>5.84</v>
      </c>
      <c r="D5720">
        <f t="shared" si="181"/>
        <v>1</v>
      </c>
    </row>
    <row r="5721" spans="1:4" x14ac:dyDescent="0.55000000000000004">
      <c r="A5721">
        <f t="shared" si="180"/>
        <v>2002</v>
      </c>
      <c r="B5721" s="821">
        <v>37340</v>
      </c>
      <c r="C5721">
        <v>5.91</v>
      </c>
      <c r="D5721">
        <f t="shared" si="181"/>
        <v>1</v>
      </c>
    </row>
    <row r="5722" spans="1:4" x14ac:dyDescent="0.55000000000000004">
      <c r="A5722">
        <f t="shared" si="180"/>
        <v>2002</v>
      </c>
      <c r="B5722" s="821">
        <v>37337</v>
      </c>
      <c r="C5722">
        <v>5.89</v>
      </c>
      <c r="D5722">
        <f t="shared" si="181"/>
        <v>1</v>
      </c>
    </row>
    <row r="5723" spans="1:4" x14ac:dyDescent="0.55000000000000004">
      <c r="A5723">
        <f t="shared" si="180"/>
        <v>2002</v>
      </c>
      <c r="B5723" s="821">
        <v>37336</v>
      </c>
      <c r="C5723">
        <v>5.87</v>
      </c>
      <c r="D5723">
        <f t="shared" si="181"/>
        <v>1</v>
      </c>
    </row>
    <row r="5724" spans="1:4" x14ac:dyDescent="0.55000000000000004">
      <c r="A5724">
        <f t="shared" si="180"/>
        <v>2002</v>
      </c>
      <c r="B5724" s="821">
        <v>37335</v>
      </c>
      <c r="C5724">
        <v>5.89</v>
      </c>
      <c r="D5724">
        <f t="shared" si="181"/>
        <v>1</v>
      </c>
    </row>
    <row r="5725" spans="1:4" x14ac:dyDescent="0.55000000000000004">
      <c r="A5725">
        <f t="shared" si="180"/>
        <v>2002</v>
      </c>
      <c r="B5725" s="821">
        <v>37334</v>
      </c>
      <c r="C5725">
        <v>5.86</v>
      </c>
      <c r="D5725">
        <f t="shared" si="181"/>
        <v>1</v>
      </c>
    </row>
    <row r="5726" spans="1:4" x14ac:dyDescent="0.55000000000000004">
      <c r="A5726">
        <f t="shared" si="180"/>
        <v>2002</v>
      </c>
      <c r="B5726" s="821">
        <v>37333</v>
      </c>
      <c r="C5726">
        <v>5.83</v>
      </c>
      <c r="D5726">
        <f t="shared" si="181"/>
        <v>1</v>
      </c>
    </row>
    <row r="5727" spans="1:4" x14ac:dyDescent="0.55000000000000004">
      <c r="A5727">
        <f t="shared" si="180"/>
        <v>2002</v>
      </c>
      <c r="B5727" s="821">
        <v>37330</v>
      </c>
      <c r="C5727">
        <v>5.86</v>
      </c>
      <c r="D5727">
        <f t="shared" si="181"/>
        <v>1</v>
      </c>
    </row>
    <row r="5728" spans="1:4" x14ac:dyDescent="0.55000000000000004">
      <c r="A5728">
        <f t="shared" si="180"/>
        <v>2002</v>
      </c>
      <c r="B5728" s="821">
        <v>37329</v>
      </c>
      <c r="C5728">
        <v>5.9</v>
      </c>
      <c r="D5728">
        <f t="shared" si="181"/>
        <v>1</v>
      </c>
    </row>
    <row r="5729" spans="1:4" x14ac:dyDescent="0.55000000000000004">
      <c r="A5729">
        <f t="shared" si="180"/>
        <v>2002</v>
      </c>
      <c r="B5729" s="821">
        <v>37328</v>
      </c>
      <c r="C5729">
        <v>5.83</v>
      </c>
      <c r="D5729">
        <f t="shared" si="181"/>
        <v>1</v>
      </c>
    </row>
    <row r="5730" spans="1:4" x14ac:dyDescent="0.55000000000000004">
      <c r="A5730">
        <f t="shared" si="180"/>
        <v>2002</v>
      </c>
      <c r="B5730" s="821">
        <v>37327</v>
      </c>
      <c r="C5730">
        <v>5.84</v>
      </c>
      <c r="D5730">
        <f t="shared" si="181"/>
        <v>1</v>
      </c>
    </row>
    <row r="5731" spans="1:4" x14ac:dyDescent="0.55000000000000004">
      <c r="A5731">
        <f t="shared" si="180"/>
        <v>2002</v>
      </c>
      <c r="B5731" s="821">
        <v>37326</v>
      </c>
      <c r="C5731">
        <v>5.81</v>
      </c>
      <c r="D5731">
        <f t="shared" si="181"/>
        <v>1</v>
      </c>
    </row>
    <row r="5732" spans="1:4" x14ac:dyDescent="0.55000000000000004">
      <c r="A5732">
        <f t="shared" si="180"/>
        <v>2002</v>
      </c>
      <c r="B5732" s="821">
        <v>37323</v>
      </c>
      <c r="C5732">
        <v>5.83</v>
      </c>
      <c r="D5732">
        <f t="shared" si="181"/>
        <v>1</v>
      </c>
    </row>
    <row r="5733" spans="1:4" x14ac:dyDescent="0.55000000000000004">
      <c r="A5733">
        <f t="shared" si="180"/>
        <v>2002</v>
      </c>
      <c r="B5733" s="821">
        <v>37322</v>
      </c>
      <c r="C5733">
        <v>5.76</v>
      </c>
      <c r="D5733">
        <f t="shared" si="181"/>
        <v>1</v>
      </c>
    </row>
    <row r="5734" spans="1:4" x14ac:dyDescent="0.55000000000000004">
      <c r="A5734">
        <f t="shared" si="180"/>
        <v>2002</v>
      </c>
      <c r="B5734" s="821">
        <v>37321</v>
      </c>
      <c r="C5734">
        <v>5.67</v>
      </c>
      <c r="D5734">
        <f t="shared" si="181"/>
        <v>1</v>
      </c>
    </row>
    <row r="5735" spans="1:4" x14ac:dyDescent="0.55000000000000004">
      <c r="A5735">
        <f t="shared" si="180"/>
        <v>2002</v>
      </c>
      <c r="B5735" s="821">
        <v>37320</v>
      </c>
      <c r="C5735">
        <v>5.6</v>
      </c>
      <c r="D5735">
        <f t="shared" si="181"/>
        <v>1</v>
      </c>
    </row>
    <row r="5736" spans="1:4" x14ac:dyDescent="0.55000000000000004">
      <c r="A5736">
        <f t="shared" si="180"/>
        <v>2002</v>
      </c>
      <c r="B5736" s="821">
        <v>37319</v>
      </c>
      <c r="C5736">
        <v>5.61</v>
      </c>
      <c r="D5736">
        <f t="shared" si="181"/>
        <v>1</v>
      </c>
    </row>
    <row r="5737" spans="1:4" x14ac:dyDescent="0.55000000000000004">
      <c r="A5737">
        <f t="shared" si="180"/>
        <v>2002</v>
      </c>
      <c r="B5737" s="821">
        <v>37316</v>
      </c>
      <c r="C5737">
        <v>5.6</v>
      </c>
      <c r="D5737">
        <f t="shared" si="181"/>
        <v>1</v>
      </c>
    </row>
    <row r="5738" spans="1:4" x14ac:dyDescent="0.55000000000000004">
      <c r="A5738">
        <f t="shared" si="180"/>
        <v>2002</v>
      </c>
      <c r="B5738" s="821">
        <v>37315</v>
      </c>
      <c r="C5738">
        <v>5.54</v>
      </c>
      <c r="D5738">
        <f t="shared" si="181"/>
        <v>1</v>
      </c>
    </row>
    <row r="5739" spans="1:4" x14ac:dyDescent="0.55000000000000004">
      <c r="A5739">
        <f t="shared" si="180"/>
        <v>2002</v>
      </c>
      <c r="B5739" s="821">
        <v>37314</v>
      </c>
      <c r="C5739">
        <v>5.51</v>
      </c>
      <c r="D5739">
        <f t="shared" si="181"/>
        <v>1</v>
      </c>
    </row>
    <row r="5740" spans="1:4" x14ac:dyDescent="0.55000000000000004">
      <c r="A5740">
        <f t="shared" si="180"/>
        <v>2002</v>
      </c>
      <c r="B5740" s="821">
        <v>37313</v>
      </c>
      <c r="C5740">
        <v>5.53</v>
      </c>
      <c r="D5740">
        <f t="shared" si="181"/>
        <v>1</v>
      </c>
    </row>
    <row r="5741" spans="1:4" x14ac:dyDescent="0.55000000000000004">
      <c r="A5741">
        <f t="shared" si="180"/>
        <v>2002</v>
      </c>
      <c r="B5741" s="821">
        <v>37312</v>
      </c>
      <c r="C5741">
        <v>5.51</v>
      </c>
      <c r="D5741">
        <f t="shared" si="181"/>
        <v>1</v>
      </c>
    </row>
    <row r="5742" spans="1:4" x14ac:dyDescent="0.55000000000000004">
      <c r="A5742">
        <f t="shared" si="180"/>
        <v>2002</v>
      </c>
      <c r="B5742" s="821">
        <v>37309</v>
      </c>
      <c r="C5742">
        <v>5.48</v>
      </c>
      <c r="D5742">
        <f t="shared" si="181"/>
        <v>1</v>
      </c>
    </row>
    <row r="5743" spans="1:4" x14ac:dyDescent="0.55000000000000004">
      <c r="A5743">
        <f t="shared" si="180"/>
        <v>2002</v>
      </c>
      <c r="B5743" s="821">
        <v>37308</v>
      </c>
      <c r="C5743">
        <v>5.53</v>
      </c>
      <c r="D5743">
        <f t="shared" si="181"/>
        <v>1</v>
      </c>
    </row>
    <row r="5744" spans="1:4" x14ac:dyDescent="0.55000000000000004">
      <c r="A5744">
        <f t="shared" si="180"/>
        <v>2002</v>
      </c>
      <c r="B5744" s="821">
        <v>37307</v>
      </c>
      <c r="C5744">
        <v>5.53</v>
      </c>
      <c r="D5744">
        <f t="shared" si="181"/>
        <v>1</v>
      </c>
    </row>
    <row r="5745" spans="1:4" x14ac:dyDescent="0.55000000000000004">
      <c r="A5745">
        <f t="shared" si="180"/>
        <v>2002</v>
      </c>
      <c r="B5745" s="821">
        <v>37306</v>
      </c>
      <c r="C5745">
        <v>5.54</v>
      </c>
      <c r="D5745">
        <f t="shared" si="181"/>
        <v>1</v>
      </c>
    </row>
    <row r="5746" spans="1:4" x14ac:dyDescent="0.55000000000000004">
      <c r="A5746">
        <f t="shared" si="180"/>
        <v>2002</v>
      </c>
      <c r="B5746" s="821">
        <v>37302</v>
      </c>
      <c r="C5746">
        <v>5.37</v>
      </c>
      <c r="D5746">
        <f t="shared" si="181"/>
        <v>1</v>
      </c>
    </row>
    <row r="5747" spans="1:4" x14ac:dyDescent="0.55000000000000004">
      <c r="A5747">
        <f t="shared" si="180"/>
        <v>2002</v>
      </c>
      <c r="B5747" s="821">
        <v>37301</v>
      </c>
      <c r="C5747">
        <v>5.42</v>
      </c>
      <c r="D5747">
        <f t="shared" si="181"/>
        <v>1</v>
      </c>
    </row>
    <row r="5748" spans="1:4" x14ac:dyDescent="0.55000000000000004">
      <c r="A5748">
        <f t="shared" si="180"/>
        <v>2002</v>
      </c>
      <c r="B5748" s="821">
        <v>37300</v>
      </c>
      <c r="C5748">
        <v>5.47</v>
      </c>
      <c r="D5748">
        <f t="shared" si="181"/>
        <v>1</v>
      </c>
    </row>
    <row r="5749" spans="1:4" x14ac:dyDescent="0.55000000000000004">
      <c r="A5749">
        <f t="shared" si="180"/>
        <v>2002</v>
      </c>
      <c r="B5749" s="821">
        <v>37299</v>
      </c>
      <c r="C5749">
        <v>5.45</v>
      </c>
      <c r="D5749">
        <f t="shared" si="181"/>
        <v>1</v>
      </c>
    </row>
    <row r="5750" spans="1:4" x14ac:dyDescent="0.55000000000000004">
      <c r="A5750">
        <f t="shared" si="180"/>
        <v>2002</v>
      </c>
      <c r="B5750" s="821">
        <v>37298</v>
      </c>
      <c r="C5750">
        <v>5.41</v>
      </c>
      <c r="D5750">
        <f t="shared" si="181"/>
        <v>1</v>
      </c>
    </row>
    <row r="5751" spans="1:4" x14ac:dyDescent="0.55000000000000004">
      <c r="A5751">
        <f t="shared" si="180"/>
        <v>2002</v>
      </c>
      <c r="B5751" s="821">
        <v>37295</v>
      </c>
      <c r="C5751">
        <v>5.39</v>
      </c>
      <c r="D5751">
        <f t="shared" si="181"/>
        <v>1</v>
      </c>
    </row>
    <row r="5752" spans="1:4" x14ac:dyDescent="0.55000000000000004">
      <c r="A5752">
        <f t="shared" si="180"/>
        <v>2002</v>
      </c>
      <c r="B5752" s="821">
        <v>37294</v>
      </c>
      <c r="C5752">
        <v>5.42</v>
      </c>
      <c r="D5752">
        <f t="shared" si="181"/>
        <v>1</v>
      </c>
    </row>
    <row r="5753" spans="1:4" x14ac:dyDescent="0.55000000000000004">
      <c r="A5753">
        <f t="shared" si="180"/>
        <v>2002</v>
      </c>
      <c r="B5753" s="821">
        <v>37293</v>
      </c>
      <c r="C5753">
        <v>5.38</v>
      </c>
      <c r="D5753">
        <f t="shared" si="181"/>
        <v>1</v>
      </c>
    </row>
    <row r="5754" spans="1:4" x14ac:dyDescent="0.55000000000000004">
      <c r="A5754">
        <f t="shared" si="180"/>
        <v>2002</v>
      </c>
      <c r="B5754" s="821">
        <v>37292</v>
      </c>
      <c r="C5754">
        <v>5.35</v>
      </c>
      <c r="D5754">
        <f t="shared" si="181"/>
        <v>1</v>
      </c>
    </row>
    <row r="5755" spans="1:4" x14ac:dyDescent="0.55000000000000004">
      <c r="A5755">
        <f t="shared" si="180"/>
        <v>2002</v>
      </c>
      <c r="B5755" s="821">
        <v>37291</v>
      </c>
      <c r="C5755">
        <v>5.35</v>
      </c>
      <c r="D5755">
        <f t="shared" si="181"/>
        <v>1</v>
      </c>
    </row>
    <row r="5756" spans="1:4" x14ac:dyDescent="0.55000000000000004">
      <c r="A5756">
        <f t="shared" si="180"/>
        <v>2002</v>
      </c>
      <c r="B5756" s="821">
        <v>37288</v>
      </c>
      <c r="C5756">
        <v>5.4</v>
      </c>
      <c r="D5756">
        <f t="shared" si="181"/>
        <v>1</v>
      </c>
    </row>
    <row r="5757" spans="1:4" x14ac:dyDescent="0.55000000000000004">
      <c r="A5757">
        <f t="shared" si="180"/>
        <v>2002</v>
      </c>
      <c r="B5757" s="821">
        <v>37287</v>
      </c>
      <c r="C5757">
        <v>5.44</v>
      </c>
      <c r="D5757">
        <f t="shared" si="181"/>
        <v>1</v>
      </c>
    </row>
    <row r="5758" spans="1:4" x14ac:dyDescent="0.55000000000000004">
      <c r="A5758">
        <f t="shared" si="180"/>
        <v>2002</v>
      </c>
      <c r="B5758" s="821">
        <v>37286</v>
      </c>
      <c r="C5758">
        <v>5.41</v>
      </c>
      <c r="D5758">
        <f t="shared" si="181"/>
        <v>1</v>
      </c>
    </row>
    <row r="5759" spans="1:4" x14ac:dyDescent="0.55000000000000004">
      <c r="A5759">
        <f t="shared" si="180"/>
        <v>2002</v>
      </c>
      <c r="B5759" s="821">
        <v>37285</v>
      </c>
      <c r="C5759">
        <v>5.4</v>
      </c>
      <c r="D5759">
        <f t="shared" si="181"/>
        <v>1</v>
      </c>
    </row>
    <row r="5760" spans="1:4" x14ac:dyDescent="0.55000000000000004">
      <c r="A5760">
        <f t="shared" si="180"/>
        <v>2002</v>
      </c>
      <c r="B5760" s="821">
        <v>37284</v>
      </c>
      <c r="C5760">
        <v>5.47</v>
      </c>
      <c r="D5760">
        <f t="shared" si="181"/>
        <v>1</v>
      </c>
    </row>
    <row r="5761" spans="1:4" x14ac:dyDescent="0.55000000000000004">
      <c r="A5761">
        <f t="shared" si="180"/>
        <v>2002</v>
      </c>
      <c r="B5761" s="821">
        <v>37281</v>
      </c>
      <c r="C5761">
        <v>5.47</v>
      </c>
      <c r="D5761">
        <f t="shared" si="181"/>
        <v>1</v>
      </c>
    </row>
    <row r="5762" spans="1:4" x14ac:dyDescent="0.55000000000000004">
      <c r="A5762">
        <f t="shared" si="180"/>
        <v>2002</v>
      </c>
      <c r="B5762" s="821">
        <v>37280</v>
      </c>
      <c r="C5762">
        <v>5.47</v>
      </c>
      <c r="D5762">
        <f t="shared" si="181"/>
        <v>1</v>
      </c>
    </row>
    <row r="5763" spans="1:4" x14ac:dyDescent="0.55000000000000004">
      <c r="A5763">
        <f t="shared" si="180"/>
        <v>2002</v>
      </c>
      <c r="B5763" s="821">
        <v>37279</v>
      </c>
      <c r="C5763">
        <v>5.48</v>
      </c>
      <c r="D5763">
        <f t="shared" si="181"/>
        <v>1</v>
      </c>
    </row>
    <row r="5764" spans="1:4" x14ac:dyDescent="0.55000000000000004">
      <c r="A5764">
        <f t="shared" ref="A5764:A5827" si="182">YEAR(B5764)</f>
        <v>2002</v>
      </c>
      <c r="B5764" s="821">
        <v>37278</v>
      </c>
      <c r="C5764">
        <v>5.39</v>
      </c>
      <c r="D5764">
        <f t="shared" ref="D5764:D5827" si="183">IF(C5764&gt;4,1,0)</f>
        <v>1</v>
      </c>
    </row>
    <row r="5765" spans="1:4" x14ac:dyDescent="0.55000000000000004">
      <c r="A5765">
        <f t="shared" si="182"/>
        <v>2002</v>
      </c>
      <c r="B5765" s="821">
        <v>37274</v>
      </c>
      <c r="C5765">
        <v>5.36</v>
      </c>
      <c r="D5765">
        <f t="shared" si="183"/>
        <v>1</v>
      </c>
    </row>
    <row r="5766" spans="1:4" x14ac:dyDescent="0.55000000000000004">
      <c r="A5766">
        <f t="shared" si="182"/>
        <v>2002</v>
      </c>
      <c r="B5766" s="821">
        <v>37273</v>
      </c>
      <c r="C5766">
        <v>5.41</v>
      </c>
      <c r="D5766">
        <f t="shared" si="183"/>
        <v>1</v>
      </c>
    </row>
    <row r="5767" spans="1:4" x14ac:dyDescent="0.55000000000000004">
      <c r="A5767">
        <f t="shared" si="182"/>
        <v>2002</v>
      </c>
      <c r="B5767" s="821">
        <v>37272</v>
      </c>
      <c r="C5767">
        <v>5.36</v>
      </c>
      <c r="D5767">
        <f t="shared" si="183"/>
        <v>1</v>
      </c>
    </row>
    <row r="5768" spans="1:4" x14ac:dyDescent="0.55000000000000004">
      <c r="A5768">
        <f t="shared" si="182"/>
        <v>2002</v>
      </c>
      <c r="B5768" s="821">
        <v>37271</v>
      </c>
      <c r="C5768">
        <v>5.34</v>
      </c>
      <c r="D5768">
        <f t="shared" si="183"/>
        <v>1</v>
      </c>
    </row>
    <row r="5769" spans="1:4" x14ac:dyDescent="0.55000000000000004">
      <c r="A5769">
        <f t="shared" si="182"/>
        <v>2002</v>
      </c>
      <c r="B5769" s="821">
        <v>37270</v>
      </c>
      <c r="C5769">
        <v>5.38</v>
      </c>
      <c r="D5769">
        <f t="shared" si="183"/>
        <v>1</v>
      </c>
    </row>
    <row r="5770" spans="1:4" x14ac:dyDescent="0.55000000000000004">
      <c r="A5770">
        <f t="shared" si="182"/>
        <v>2002</v>
      </c>
      <c r="B5770" s="821">
        <v>37267</v>
      </c>
      <c r="C5770">
        <v>5.37</v>
      </c>
      <c r="D5770">
        <f t="shared" si="183"/>
        <v>1</v>
      </c>
    </row>
    <row r="5771" spans="1:4" x14ac:dyDescent="0.55000000000000004">
      <c r="A5771">
        <f t="shared" si="182"/>
        <v>2002</v>
      </c>
      <c r="B5771" s="821">
        <v>37266</v>
      </c>
      <c r="C5771">
        <v>5.42</v>
      </c>
      <c r="D5771">
        <f t="shared" si="183"/>
        <v>1</v>
      </c>
    </row>
    <row r="5772" spans="1:4" x14ac:dyDescent="0.55000000000000004">
      <c r="A5772">
        <f t="shared" si="182"/>
        <v>2002</v>
      </c>
      <c r="B5772" s="821">
        <v>37265</v>
      </c>
      <c r="C5772">
        <v>5.51</v>
      </c>
      <c r="D5772">
        <f t="shared" si="183"/>
        <v>1</v>
      </c>
    </row>
    <row r="5773" spans="1:4" x14ac:dyDescent="0.55000000000000004">
      <c r="A5773">
        <f t="shared" si="182"/>
        <v>2002</v>
      </c>
      <c r="B5773" s="821">
        <v>37264</v>
      </c>
      <c r="C5773">
        <v>5.51</v>
      </c>
      <c r="D5773">
        <f t="shared" si="183"/>
        <v>1</v>
      </c>
    </row>
    <row r="5774" spans="1:4" x14ac:dyDescent="0.55000000000000004">
      <c r="A5774">
        <f t="shared" si="182"/>
        <v>2002</v>
      </c>
      <c r="B5774" s="821">
        <v>37263</v>
      </c>
      <c r="C5774">
        <v>5.49</v>
      </c>
      <c r="D5774">
        <f t="shared" si="183"/>
        <v>1</v>
      </c>
    </row>
    <row r="5775" spans="1:4" x14ac:dyDescent="0.55000000000000004">
      <c r="A5775">
        <f t="shared" si="182"/>
        <v>2002</v>
      </c>
      <c r="B5775" s="821">
        <v>37260</v>
      </c>
      <c r="C5775">
        <v>5.57</v>
      </c>
      <c r="D5775">
        <f t="shared" si="183"/>
        <v>1</v>
      </c>
    </row>
    <row r="5776" spans="1:4" x14ac:dyDescent="0.55000000000000004">
      <c r="A5776">
        <f t="shared" si="182"/>
        <v>2002</v>
      </c>
      <c r="B5776" s="821">
        <v>37259</v>
      </c>
      <c r="C5776">
        <v>5.54</v>
      </c>
      <c r="D5776">
        <f t="shared" si="183"/>
        <v>1</v>
      </c>
    </row>
    <row r="5777" spans="1:4" x14ac:dyDescent="0.55000000000000004">
      <c r="A5777">
        <f t="shared" si="182"/>
        <v>2002</v>
      </c>
      <c r="B5777" s="821">
        <v>37258</v>
      </c>
      <c r="C5777">
        <v>5.56</v>
      </c>
      <c r="D5777">
        <f t="shared" si="183"/>
        <v>1</v>
      </c>
    </row>
    <row r="5778" spans="1:4" x14ac:dyDescent="0.55000000000000004">
      <c r="A5778">
        <f t="shared" si="182"/>
        <v>2001</v>
      </c>
      <c r="B5778" s="821">
        <v>37256</v>
      </c>
      <c r="C5778">
        <v>5.48</v>
      </c>
      <c r="D5778">
        <f t="shared" si="183"/>
        <v>1</v>
      </c>
    </row>
    <row r="5779" spans="1:4" x14ac:dyDescent="0.55000000000000004">
      <c r="A5779">
        <f t="shared" si="182"/>
        <v>2001</v>
      </c>
      <c r="B5779" s="821">
        <v>37253</v>
      </c>
      <c r="C5779">
        <v>5.54</v>
      </c>
      <c r="D5779">
        <f t="shared" si="183"/>
        <v>1</v>
      </c>
    </row>
    <row r="5780" spans="1:4" x14ac:dyDescent="0.55000000000000004">
      <c r="A5780">
        <f t="shared" si="182"/>
        <v>2001</v>
      </c>
      <c r="B5780" s="821">
        <v>37252</v>
      </c>
      <c r="C5780">
        <v>5.49</v>
      </c>
      <c r="D5780">
        <f t="shared" si="183"/>
        <v>1</v>
      </c>
    </row>
    <row r="5781" spans="1:4" x14ac:dyDescent="0.55000000000000004">
      <c r="A5781">
        <f t="shared" si="182"/>
        <v>2001</v>
      </c>
      <c r="B5781" s="821">
        <v>37251</v>
      </c>
      <c r="C5781">
        <v>5.52</v>
      </c>
      <c r="D5781">
        <f t="shared" si="183"/>
        <v>1</v>
      </c>
    </row>
    <row r="5782" spans="1:4" x14ac:dyDescent="0.55000000000000004">
      <c r="A5782">
        <f t="shared" si="182"/>
        <v>2001</v>
      </c>
      <c r="B5782" s="821">
        <v>37249</v>
      </c>
      <c r="C5782">
        <v>5.49</v>
      </c>
      <c r="D5782">
        <f t="shared" si="183"/>
        <v>1</v>
      </c>
    </row>
    <row r="5783" spans="1:4" x14ac:dyDescent="0.55000000000000004">
      <c r="A5783">
        <f t="shared" si="182"/>
        <v>2001</v>
      </c>
      <c r="B5783" s="821">
        <v>37246</v>
      </c>
      <c r="C5783">
        <v>5.45</v>
      </c>
      <c r="D5783">
        <f t="shared" si="183"/>
        <v>1</v>
      </c>
    </row>
    <row r="5784" spans="1:4" x14ac:dyDescent="0.55000000000000004">
      <c r="A5784">
        <f t="shared" si="182"/>
        <v>2001</v>
      </c>
      <c r="B5784" s="821">
        <v>37245</v>
      </c>
      <c r="C5784">
        <v>5.43</v>
      </c>
      <c r="D5784">
        <f t="shared" si="183"/>
        <v>1</v>
      </c>
    </row>
    <row r="5785" spans="1:4" x14ac:dyDescent="0.55000000000000004">
      <c r="A5785">
        <f t="shared" si="182"/>
        <v>2001</v>
      </c>
      <c r="B5785" s="821">
        <v>37244</v>
      </c>
      <c r="C5785">
        <v>5.45</v>
      </c>
      <c r="D5785">
        <f t="shared" si="183"/>
        <v>1</v>
      </c>
    </row>
    <row r="5786" spans="1:4" x14ac:dyDescent="0.55000000000000004">
      <c r="A5786">
        <f t="shared" si="182"/>
        <v>2001</v>
      </c>
      <c r="B5786" s="821">
        <v>37243</v>
      </c>
      <c r="C5786">
        <v>5.52</v>
      </c>
      <c r="D5786">
        <f t="shared" si="183"/>
        <v>1</v>
      </c>
    </row>
    <row r="5787" spans="1:4" x14ac:dyDescent="0.55000000000000004">
      <c r="A5787">
        <f t="shared" si="182"/>
        <v>2001</v>
      </c>
      <c r="B5787" s="821">
        <v>37242</v>
      </c>
      <c r="C5787">
        <v>5.61</v>
      </c>
      <c r="D5787">
        <f t="shared" si="183"/>
        <v>1</v>
      </c>
    </row>
    <row r="5788" spans="1:4" x14ac:dyDescent="0.55000000000000004">
      <c r="A5788">
        <f t="shared" si="182"/>
        <v>2001</v>
      </c>
      <c r="B5788" s="821">
        <v>37239</v>
      </c>
      <c r="C5788">
        <v>5.59</v>
      </c>
      <c r="D5788">
        <f t="shared" si="183"/>
        <v>1</v>
      </c>
    </row>
    <row r="5789" spans="1:4" x14ac:dyDescent="0.55000000000000004">
      <c r="A5789">
        <f t="shared" si="182"/>
        <v>2001</v>
      </c>
      <c r="B5789" s="821">
        <v>37238</v>
      </c>
      <c r="C5789">
        <v>5.53</v>
      </c>
      <c r="D5789">
        <f t="shared" si="183"/>
        <v>1</v>
      </c>
    </row>
    <row r="5790" spans="1:4" x14ac:dyDescent="0.55000000000000004">
      <c r="A5790">
        <f t="shared" si="182"/>
        <v>2001</v>
      </c>
      <c r="B5790" s="821">
        <v>37237</v>
      </c>
      <c r="C5790">
        <v>5.47</v>
      </c>
      <c r="D5790">
        <f t="shared" si="183"/>
        <v>1</v>
      </c>
    </row>
    <row r="5791" spans="1:4" x14ac:dyDescent="0.55000000000000004">
      <c r="A5791">
        <f t="shared" si="182"/>
        <v>2001</v>
      </c>
      <c r="B5791" s="821">
        <v>37236</v>
      </c>
      <c r="C5791">
        <v>5.55</v>
      </c>
      <c r="D5791">
        <f t="shared" si="183"/>
        <v>1</v>
      </c>
    </row>
    <row r="5792" spans="1:4" x14ac:dyDescent="0.55000000000000004">
      <c r="A5792">
        <f t="shared" si="182"/>
        <v>2001</v>
      </c>
      <c r="B5792" s="821">
        <v>37235</v>
      </c>
      <c r="C5792">
        <v>5.58</v>
      </c>
      <c r="D5792">
        <f t="shared" si="183"/>
        <v>1</v>
      </c>
    </row>
    <row r="5793" spans="1:4" x14ac:dyDescent="0.55000000000000004">
      <c r="A5793">
        <f t="shared" si="182"/>
        <v>2001</v>
      </c>
      <c r="B5793" s="821">
        <v>37232</v>
      </c>
      <c r="C5793">
        <v>5.6</v>
      </c>
      <c r="D5793">
        <f t="shared" si="183"/>
        <v>1</v>
      </c>
    </row>
    <row r="5794" spans="1:4" x14ac:dyDescent="0.55000000000000004">
      <c r="A5794">
        <f t="shared" si="182"/>
        <v>2001</v>
      </c>
      <c r="B5794" s="821">
        <v>37231</v>
      </c>
      <c r="C5794">
        <v>5.47</v>
      </c>
      <c r="D5794">
        <f t="shared" si="183"/>
        <v>1</v>
      </c>
    </row>
    <row r="5795" spans="1:4" x14ac:dyDescent="0.55000000000000004">
      <c r="A5795">
        <f t="shared" si="182"/>
        <v>2001</v>
      </c>
      <c r="B5795" s="821">
        <v>37230</v>
      </c>
      <c r="C5795">
        <v>5.35</v>
      </c>
      <c r="D5795">
        <f t="shared" si="183"/>
        <v>1</v>
      </c>
    </row>
    <row r="5796" spans="1:4" x14ac:dyDescent="0.55000000000000004">
      <c r="A5796">
        <f t="shared" si="182"/>
        <v>2001</v>
      </c>
      <c r="B5796" s="821">
        <v>37229</v>
      </c>
      <c r="C5796">
        <v>5.22</v>
      </c>
      <c r="D5796">
        <f t="shared" si="183"/>
        <v>1</v>
      </c>
    </row>
    <row r="5797" spans="1:4" x14ac:dyDescent="0.55000000000000004">
      <c r="A5797">
        <f t="shared" si="182"/>
        <v>2001</v>
      </c>
      <c r="B5797" s="821">
        <v>37228</v>
      </c>
      <c r="C5797">
        <v>5.26</v>
      </c>
      <c r="D5797">
        <f t="shared" si="183"/>
        <v>1</v>
      </c>
    </row>
    <row r="5798" spans="1:4" x14ac:dyDescent="0.55000000000000004">
      <c r="A5798">
        <f t="shared" si="182"/>
        <v>2001</v>
      </c>
      <c r="B5798" s="821">
        <v>37225</v>
      </c>
      <c r="C5798">
        <v>5.27</v>
      </c>
      <c r="D5798">
        <f t="shared" si="183"/>
        <v>1</v>
      </c>
    </row>
    <row r="5799" spans="1:4" x14ac:dyDescent="0.55000000000000004">
      <c r="A5799">
        <f t="shared" si="182"/>
        <v>2001</v>
      </c>
      <c r="B5799" s="821">
        <v>37224</v>
      </c>
      <c r="C5799">
        <v>5.24</v>
      </c>
      <c r="D5799">
        <f t="shared" si="183"/>
        <v>1</v>
      </c>
    </row>
    <row r="5800" spans="1:4" x14ac:dyDescent="0.55000000000000004">
      <c r="A5800">
        <f t="shared" si="182"/>
        <v>2001</v>
      </c>
      <c r="B5800" s="821">
        <v>37223</v>
      </c>
      <c r="C5800">
        <v>5.36</v>
      </c>
      <c r="D5800">
        <f t="shared" si="183"/>
        <v>1</v>
      </c>
    </row>
    <row r="5801" spans="1:4" x14ac:dyDescent="0.55000000000000004">
      <c r="A5801">
        <f t="shared" si="182"/>
        <v>2001</v>
      </c>
      <c r="B5801" s="821">
        <v>37222</v>
      </c>
      <c r="C5801">
        <v>5.37</v>
      </c>
      <c r="D5801">
        <f t="shared" si="183"/>
        <v>1</v>
      </c>
    </row>
    <row r="5802" spans="1:4" x14ac:dyDescent="0.55000000000000004">
      <c r="A5802">
        <f t="shared" si="182"/>
        <v>2001</v>
      </c>
      <c r="B5802" s="821">
        <v>37221</v>
      </c>
      <c r="C5802">
        <v>5.39</v>
      </c>
      <c r="D5802">
        <f t="shared" si="183"/>
        <v>1</v>
      </c>
    </row>
    <row r="5803" spans="1:4" x14ac:dyDescent="0.55000000000000004">
      <c r="A5803">
        <f t="shared" si="182"/>
        <v>2001</v>
      </c>
      <c r="B5803" s="821">
        <v>37218</v>
      </c>
      <c r="C5803">
        <v>5.39</v>
      </c>
      <c r="D5803">
        <f t="shared" si="183"/>
        <v>1</v>
      </c>
    </row>
    <row r="5804" spans="1:4" x14ac:dyDescent="0.55000000000000004">
      <c r="A5804">
        <f t="shared" si="182"/>
        <v>2001</v>
      </c>
      <c r="B5804" s="821">
        <v>37216</v>
      </c>
      <c r="C5804">
        <v>5.35</v>
      </c>
      <c r="D5804">
        <f t="shared" si="183"/>
        <v>1</v>
      </c>
    </row>
    <row r="5805" spans="1:4" x14ac:dyDescent="0.55000000000000004">
      <c r="A5805">
        <f t="shared" si="182"/>
        <v>2001</v>
      </c>
      <c r="B5805" s="821">
        <v>37215</v>
      </c>
      <c r="C5805">
        <v>5.3</v>
      </c>
      <c r="D5805">
        <f t="shared" si="183"/>
        <v>1</v>
      </c>
    </row>
    <row r="5806" spans="1:4" x14ac:dyDescent="0.55000000000000004">
      <c r="A5806">
        <f t="shared" si="182"/>
        <v>2001</v>
      </c>
      <c r="B5806" s="821">
        <v>37214</v>
      </c>
      <c r="C5806">
        <v>5.22</v>
      </c>
      <c r="D5806">
        <f t="shared" si="183"/>
        <v>1</v>
      </c>
    </row>
    <row r="5807" spans="1:4" x14ac:dyDescent="0.55000000000000004">
      <c r="A5807">
        <f t="shared" si="182"/>
        <v>2001</v>
      </c>
      <c r="B5807" s="821">
        <v>37211</v>
      </c>
      <c r="C5807">
        <v>5.3</v>
      </c>
      <c r="D5807">
        <f t="shared" si="183"/>
        <v>1</v>
      </c>
    </row>
    <row r="5808" spans="1:4" x14ac:dyDescent="0.55000000000000004">
      <c r="A5808">
        <f t="shared" si="182"/>
        <v>2001</v>
      </c>
      <c r="B5808" s="821">
        <v>37210</v>
      </c>
      <c r="C5808">
        <v>5.22</v>
      </c>
      <c r="D5808">
        <f t="shared" si="183"/>
        <v>1</v>
      </c>
    </row>
    <row r="5809" spans="1:4" x14ac:dyDescent="0.55000000000000004">
      <c r="A5809">
        <f t="shared" si="182"/>
        <v>2001</v>
      </c>
      <c r="B5809" s="821">
        <v>37209</v>
      </c>
      <c r="C5809">
        <v>5.0199999999999996</v>
      </c>
      <c r="D5809">
        <f t="shared" si="183"/>
        <v>1</v>
      </c>
    </row>
    <row r="5810" spans="1:4" x14ac:dyDescent="0.55000000000000004">
      <c r="A5810">
        <f t="shared" si="182"/>
        <v>2001</v>
      </c>
      <c r="B5810" s="821">
        <v>37208</v>
      </c>
      <c r="C5810">
        <v>4.92</v>
      </c>
      <c r="D5810">
        <f t="shared" si="183"/>
        <v>1</v>
      </c>
    </row>
    <row r="5811" spans="1:4" x14ac:dyDescent="0.55000000000000004">
      <c r="A5811">
        <f t="shared" si="182"/>
        <v>2001</v>
      </c>
      <c r="B5811" s="821">
        <v>37204</v>
      </c>
      <c r="C5811">
        <v>4.88</v>
      </c>
      <c r="D5811">
        <f t="shared" si="183"/>
        <v>1</v>
      </c>
    </row>
    <row r="5812" spans="1:4" x14ac:dyDescent="0.55000000000000004">
      <c r="A5812">
        <f t="shared" si="182"/>
        <v>2001</v>
      </c>
      <c r="B5812" s="821">
        <v>37203</v>
      </c>
      <c r="C5812">
        <v>4.87</v>
      </c>
      <c r="D5812">
        <f t="shared" si="183"/>
        <v>1</v>
      </c>
    </row>
    <row r="5813" spans="1:4" x14ac:dyDescent="0.55000000000000004">
      <c r="A5813">
        <f t="shared" si="182"/>
        <v>2001</v>
      </c>
      <c r="B5813" s="821">
        <v>37202</v>
      </c>
      <c r="C5813">
        <v>4.79</v>
      </c>
      <c r="D5813">
        <f t="shared" si="183"/>
        <v>1</v>
      </c>
    </row>
    <row r="5814" spans="1:4" x14ac:dyDescent="0.55000000000000004">
      <c r="A5814">
        <f t="shared" si="182"/>
        <v>2001</v>
      </c>
      <c r="B5814" s="821">
        <v>37201</v>
      </c>
      <c r="C5814">
        <v>4.8600000000000003</v>
      </c>
      <c r="D5814">
        <f t="shared" si="183"/>
        <v>1</v>
      </c>
    </row>
    <row r="5815" spans="1:4" x14ac:dyDescent="0.55000000000000004">
      <c r="A5815">
        <f t="shared" si="182"/>
        <v>2001</v>
      </c>
      <c r="B5815" s="821">
        <v>37200</v>
      </c>
      <c r="C5815">
        <v>4.8600000000000003</v>
      </c>
      <c r="D5815">
        <f t="shared" si="183"/>
        <v>1</v>
      </c>
    </row>
    <row r="5816" spans="1:4" x14ac:dyDescent="0.55000000000000004">
      <c r="A5816">
        <f t="shared" si="182"/>
        <v>2001</v>
      </c>
      <c r="B5816" s="821">
        <v>37197</v>
      </c>
      <c r="C5816">
        <v>4.96</v>
      </c>
      <c r="D5816">
        <f t="shared" si="183"/>
        <v>1</v>
      </c>
    </row>
    <row r="5817" spans="1:4" x14ac:dyDescent="0.55000000000000004">
      <c r="A5817">
        <f t="shared" si="182"/>
        <v>2001</v>
      </c>
      <c r="B5817" s="821">
        <v>37196</v>
      </c>
      <c r="C5817">
        <v>4.79</v>
      </c>
      <c r="D5817">
        <f t="shared" si="183"/>
        <v>1</v>
      </c>
    </row>
    <row r="5818" spans="1:4" x14ac:dyDescent="0.55000000000000004">
      <c r="A5818">
        <f t="shared" si="182"/>
        <v>2001</v>
      </c>
      <c r="B5818" s="821">
        <v>37195</v>
      </c>
      <c r="C5818">
        <v>4.8899999999999997</v>
      </c>
      <c r="D5818">
        <f t="shared" si="183"/>
        <v>1</v>
      </c>
    </row>
    <row r="5819" spans="1:4" x14ac:dyDescent="0.55000000000000004">
      <c r="A5819">
        <f t="shared" si="182"/>
        <v>2001</v>
      </c>
      <c r="B5819" s="821">
        <v>37194</v>
      </c>
      <c r="C5819">
        <v>5.22</v>
      </c>
      <c r="D5819">
        <f t="shared" si="183"/>
        <v>1</v>
      </c>
    </row>
    <row r="5820" spans="1:4" x14ac:dyDescent="0.55000000000000004">
      <c r="A5820">
        <f t="shared" si="182"/>
        <v>2001</v>
      </c>
      <c r="B5820" s="821">
        <v>37193</v>
      </c>
      <c r="C5820">
        <v>5.25</v>
      </c>
      <c r="D5820">
        <f t="shared" si="183"/>
        <v>1</v>
      </c>
    </row>
    <row r="5821" spans="1:4" x14ac:dyDescent="0.55000000000000004">
      <c r="A5821">
        <f t="shared" si="182"/>
        <v>2001</v>
      </c>
      <c r="B5821" s="821">
        <v>37190</v>
      </c>
      <c r="C5821">
        <v>5.27</v>
      </c>
      <c r="D5821">
        <f t="shared" si="183"/>
        <v>1</v>
      </c>
    </row>
    <row r="5822" spans="1:4" x14ac:dyDescent="0.55000000000000004">
      <c r="A5822">
        <f t="shared" si="182"/>
        <v>2001</v>
      </c>
      <c r="B5822" s="821">
        <v>37189</v>
      </c>
      <c r="C5822">
        <v>5.28</v>
      </c>
      <c r="D5822">
        <f t="shared" si="183"/>
        <v>1</v>
      </c>
    </row>
    <row r="5823" spans="1:4" x14ac:dyDescent="0.55000000000000004">
      <c r="A5823">
        <f t="shared" si="182"/>
        <v>2001</v>
      </c>
      <c r="B5823" s="821">
        <v>37188</v>
      </c>
      <c r="C5823">
        <v>5.32</v>
      </c>
      <c r="D5823">
        <f t="shared" si="183"/>
        <v>1</v>
      </c>
    </row>
    <row r="5824" spans="1:4" x14ac:dyDescent="0.55000000000000004">
      <c r="A5824">
        <f t="shared" si="182"/>
        <v>2001</v>
      </c>
      <c r="B5824" s="821">
        <v>37187</v>
      </c>
      <c r="C5824">
        <v>5.38</v>
      </c>
      <c r="D5824">
        <f t="shared" si="183"/>
        <v>1</v>
      </c>
    </row>
    <row r="5825" spans="1:4" x14ac:dyDescent="0.55000000000000004">
      <c r="A5825">
        <f t="shared" si="182"/>
        <v>2001</v>
      </c>
      <c r="B5825" s="821">
        <v>37186</v>
      </c>
      <c r="C5825">
        <v>5.36</v>
      </c>
      <c r="D5825">
        <f t="shared" si="183"/>
        <v>1</v>
      </c>
    </row>
    <row r="5826" spans="1:4" x14ac:dyDescent="0.55000000000000004">
      <c r="A5826">
        <f t="shared" si="182"/>
        <v>2001</v>
      </c>
      <c r="B5826" s="821">
        <v>37183</v>
      </c>
      <c r="C5826">
        <v>5.36</v>
      </c>
      <c r="D5826">
        <f t="shared" si="183"/>
        <v>1</v>
      </c>
    </row>
    <row r="5827" spans="1:4" x14ac:dyDescent="0.55000000000000004">
      <c r="A5827">
        <f t="shared" si="182"/>
        <v>2001</v>
      </c>
      <c r="B5827" s="821">
        <v>37182</v>
      </c>
      <c r="C5827">
        <v>5.32</v>
      </c>
      <c r="D5827">
        <f t="shared" si="183"/>
        <v>1</v>
      </c>
    </row>
    <row r="5828" spans="1:4" x14ac:dyDescent="0.55000000000000004">
      <c r="A5828">
        <f t="shared" ref="A5828:A5891" si="184">YEAR(B5828)</f>
        <v>2001</v>
      </c>
      <c r="B5828" s="821">
        <v>37181</v>
      </c>
      <c r="C5828">
        <v>5.32</v>
      </c>
      <c r="D5828">
        <f t="shared" ref="D5828:D5891" si="185">IF(C5828&gt;4,1,0)</f>
        <v>1</v>
      </c>
    </row>
    <row r="5829" spans="1:4" x14ac:dyDescent="0.55000000000000004">
      <c r="A5829">
        <f t="shared" si="184"/>
        <v>2001</v>
      </c>
      <c r="B5829" s="821">
        <v>37180</v>
      </c>
      <c r="C5829">
        <v>5.35</v>
      </c>
      <c r="D5829">
        <f t="shared" si="185"/>
        <v>1</v>
      </c>
    </row>
    <row r="5830" spans="1:4" x14ac:dyDescent="0.55000000000000004">
      <c r="A5830">
        <f t="shared" si="184"/>
        <v>2001</v>
      </c>
      <c r="B5830" s="821">
        <v>37179</v>
      </c>
      <c r="C5830">
        <v>5.38</v>
      </c>
      <c r="D5830">
        <f t="shared" si="185"/>
        <v>1</v>
      </c>
    </row>
    <row r="5831" spans="1:4" x14ac:dyDescent="0.55000000000000004">
      <c r="A5831">
        <f t="shared" si="184"/>
        <v>2001</v>
      </c>
      <c r="B5831" s="821">
        <v>37176</v>
      </c>
      <c r="C5831">
        <v>5.42</v>
      </c>
      <c r="D5831">
        <f t="shared" si="185"/>
        <v>1</v>
      </c>
    </row>
    <row r="5832" spans="1:4" x14ac:dyDescent="0.55000000000000004">
      <c r="A5832">
        <f t="shared" si="184"/>
        <v>2001</v>
      </c>
      <c r="B5832" s="821">
        <v>37175</v>
      </c>
      <c r="C5832">
        <v>5.41</v>
      </c>
      <c r="D5832">
        <f t="shared" si="185"/>
        <v>1</v>
      </c>
    </row>
    <row r="5833" spans="1:4" x14ac:dyDescent="0.55000000000000004">
      <c r="A5833">
        <f t="shared" si="184"/>
        <v>2001</v>
      </c>
      <c r="B5833" s="821">
        <v>37174</v>
      </c>
      <c r="C5833">
        <v>5.36</v>
      </c>
      <c r="D5833">
        <f t="shared" si="185"/>
        <v>1</v>
      </c>
    </row>
    <row r="5834" spans="1:4" x14ac:dyDescent="0.55000000000000004">
      <c r="A5834">
        <f t="shared" si="184"/>
        <v>2001</v>
      </c>
      <c r="B5834" s="821">
        <v>37173</v>
      </c>
      <c r="C5834">
        <v>5.39</v>
      </c>
      <c r="D5834">
        <f t="shared" si="185"/>
        <v>1</v>
      </c>
    </row>
    <row r="5835" spans="1:4" x14ac:dyDescent="0.55000000000000004">
      <c r="A5835">
        <f t="shared" si="184"/>
        <v>2001</v>
      </c>
      <c r="B5835" s="821">
        <v>37169</v>
      </c>
      <c r="C5835">
        <v>5.31</v>
      </c>
      <c r="D5835">
        <f t="shared" si="185"/>
        <v>1</v>
      </c>
    </row>
    <row r="5836" spans="1:4" x14ac:dyDescent="0.55000000000000004">
      <c r="A5836">
        <f t="shared" si="184"/>
        <v>2001</v>
      </c>
      <c r="B5836" s="821">
        <v>37168</v>
      </c>
      <c r="C5836">
        <v>5.31</v>
      </c>
      <c r="D5836">
        <f t="shared" si="185"/>
        <v>1</v>
      </c>
    </row>
    <row r="5837" spans="1:4" x14ac:dyDescent="0.55000000000000004">
      <c r="A5837">
        <f t="shared" si="184"/>
        <v>2001</v>
      </c>
      <c r="B5837" s="821">
        <v>37167</v>
      </c>
      <c r="C5837">
        <v>5.32</v>
      </c>
      <c r="D5837">
        <f t="shared" si="185"/>
        <v>1</v>
      </c>
    </row>
    <row r="5838" spans="1:4" x14ac:dyDescent="0.55000000000000004">
      <c r="A5838">
        <f t="shared" si="184"/>
        <v>2001</v>
      </c>
      <c r="B5838" s="821">
        <v>37166</v>
      </c>
      <c r="C5838">
        <v>5.34</v>
      </c>
      <c r="D5838">
        <f t="shared" si="185"/>
        <v>1</v>
      </c>
    </row>
    <row r="5839" spans="1:4" x14ac:dyDescent="0.55000000000000004">
      <c r="A5839">
        <f t="shared" si="184"/>
        <v>2001</v>
      </c>
      <c r="B5839" s="821">
        <v>37165</v>
      </c>
      <c r="C5839">
        <v>5.38</v>
      </c>
      <c r="D5839">
        <f t="shared" si="185"/>
        <v>1</v>
      </c>
    </row>
    <row r="5840" spans="1:4" x14ac:dyDescent="0.55000000000000004">
      <c r="A5840">
        <f t="shared" si="184"/>
        <v>2001</v>
      </c>
      <c r="B5840" s="821">
        <v>37162</v>
      </c>
      <c r="C5840">
        <v>5.42</v>
      </c>
      <c r="D5840">
        <f t="shared" si="185"/>
        <v>1</v>
      </c>
    </row>
    <row r="5841" spans="1:4" x14ac:dyDescent="0.55000000000000004">
      <c r="A5841">
        <f t="shared" si="184"/>
        <v>2001</v>
      </c>
      <c r="B5841" s="821">
        <v>37161</v>
      </c>
      <c r="C5841">
        <v>5.45</v>
      </c>
      <c r="D5841">
        <f t="shared" si="185"/>
        <v>1</v>
      </c>
    </row>
    <row r="5842" spans="1:4" x14ac:dyDescent="0.55000000000000004">
      <c r="A5842">
        <f t="shared" si="184"/>
        <v>2001</v>
      </c>
      <c r="B5842" s="821">
        <v>37160</v>
      </c>
      <c r="C5842">
        <v>5.5</v>
      </c>
      <c r="D5842">
        <f t="shared" si="185"/>
        <v>1</v>
      </c>
    </row>
    <row r="5843" spans="1:4" x14ac:dyDescent="0.55000000000000004">
      <c r="A5843">
        <f t="shared" si="184"/>
        <v>2001</v>
      </c>
      <c r="B5843" s="821">
        <v>37159</v>
      </c>
      <c r="C5843">
        <v>5.58</v>
      </c>
      <c r="D5843">
        <f t="shared" si="185"/>
        <v>1</v>
      </c>
    </row>
    <row r="5844" spans="1:4" x14ac:dyDescent="0.55000000000000004">
      <c r="A5844">
        <f t="shared" si="184"/>
        <v>2001</v>
      </c>
      <c r="B5844" s="821">
        <v>37158</v>
      </c>
      <c r="C5844">
        <v>5.58</v>
      </c>
      <c r="D5844">
        <f t="shared" si="185"/>
        <v>1</v>
      </c>
    </row>
    <row r="5845" spans="1:4" x14ac:dyDescent="0.55000000000000004">
      <c r="A5845">
        <f t="shared" si="184"/>
        <v>2001</v>
      </c>
      <c r="B5845" s="821">
        <v>37155</v>
      </c>
      <c r="C5845">
        <v>5.59</v>
      </c>
      <c r="D5845">
        <f t="shared" si="185"/>
        <v>1</v>
      </c>
    </row>
    <row r="5846" spans="1:4" x14ac:dyDescent="0.55000000000000004">
      <c r="A5846">
        <f t="shared" si="184"/>
        <v>2001</v>
      </c>
      <c r="B5846" s="821">
        <v>37154</v>
      </c>
      <c r="C5846">
        <v>5.62</v>
      </c>
      <c r="D5846">
        <f t="shared" si="185"/>
        <v>1</v>
      </c>
    </row>
    <row r="5847" spans="1:4" x14ac:dyDescent="0.55000000000000004">
      <c r="A5847">
        <f t="shared" si="184"/>
        <v>2001</v>
      </c>
      <c r="B5847" s="821">
        <v>37153</v>
      </c>
      <c r="C5847">
        <v>5.56</v>
      </c>
      <c r="D5847">
        <f t="shared" si="185"/>
        <v>1</v>
      </c>
    </row>
    <row r="5848" spans="1:4" x14ac:dyDescent="0.55000000000000004">
      <c r="A5848">
        <f t="shared" si="184"/>
        <v>2001</v>
      </c>
      <c r="B5848" s="821">
        <v>37152</v>
      </c>
      <c r="C5848">
        <v>5.55</v>
      </c>
      <c r="D5848">
        <f t="shared" si="185"/>
        <v>1</v>
      </c>
    </row>
    <row r="5849" spans="1:4" x14ac:dyDescent="0.55000000000000004">
      <c r="A5849">
        <f t="shared" si="184"/>
        <v>2001</v>
      </c>
      <c r="B5849" s="821">
        <v>37151</v>
      </c>
      <c r="C5849">
        <v>5.41</v>
      </c>
      <c r="D5849">
        <f t="shared" si="185"/>
        <v>1</v>
      </c>
    </row>
    <row r="5850" spans="1:4" x14ac:dyDescent="0.55000000000000004">
      <c r="A5850">
        <f t="shared" si="184"/>
        <v>2001</v>
      </c>
      <c r="B5850" s="821">
        <v>37148</v>
      </c>
      <c r="C5850">
        <v>5.35</v>
      </c>
      <c r="D5850">
        <f t="shared" si="185"/>
        <v>1</v>
      </c>
    </row>
    <row r="5851" spans="1:4" x14ac:dyDescent="0.55000000000000004">
      <c r="A5851">
        <f t="shared" si="184"/>
        <v>2001</v>
      </c>
      <c r="B5851" s="821">
        <v>37147</v>
      </c>
      <c r="C5851">
        <v>5.39</v>
      </c>
      <c r="D5851">
        <f t="shared" si="185"/>
        <v>1</v>
      </c>
    </row>
    <row r="5852" spans="1:4" x14ac:dyDescent="0.55000000000000004">
      <c r="A5852">
        <f t="shared" si="184"/>
        <v>2001</v>
      </c>
      <c r="B5852" s="821">
        <v>37144</v>
      </c>
      <c r="C5852">
        <v>5.43</v>
      </c>
      <c r="D5852">
        <f t="shared" si="185"/>
        <v>1</v>
      </c>
    </row>
    <row r="5853" spans="1:4" x14ac:dyDescent="0.55000000000000004">
      <c r="A5853">
        <f t="shared" si="184"/>
        <v>2001</v>
      </c>
      <c r="B5853" s="821">
        <v>37141</v>
      </c>
      <c r="C5853">
        <v>5.39</v>
      </c>
      <c r="D5853">
        <f t="shared" si="185"/>
        <v>1</v>
      </c>
    </row>
    <row r="5854" spans="1:4" x14ac:dyDescent="0.55000000000000004">
      <c r="A5854">
        <f t="shared" si="184"/>
        <v>2001</v>
      </c>
      <c r="B5854" s="821">
        <v>37140</v>
      </c>
      <c r="C5854">
        <v>5.41</v>
      </c>
      <c r="D5854">
        <f t="shared" si="185"/>
        <v>1</v>
      </c>
    </row>
    <row r="5855" spans="1:4" x14ac:dyDescent="0.55000000000000004">
      <c r="A5855">
        <f t="shared" si="184"/>
        <v>2001</v>
      </c>
      <c r="B5855" s="821">
        <v>37139</v>
      </c>
      <c r="C5855">
        <v>5.48</v>
      </c>
      <c r="D5855">
        <f t="shared" si="185"/>
        <v>1</v>
      </c>
    </row>
    <row r="5856" spans="1:4" x14ac:dyDescent="0.55000000000000004">
      <c r="A5856">
        <f t="shared" si="184"/>
        <v>2001</v>
      </c>
      <c r="B5856" s="821">
        <v>37138</v>
      </c>
      <c r="C5856">
        <v>5.5</v>
      </c>
      <c r="D5856">
        <f t="shared" si="185"/>
        <v>1</v>
      </c>
    </row>
    <row r="5857" spans="1:4" x14ac:dyDescent="0.55000000000000004">
      <c r="A5857">
        <f t="shared" si="184"/>
        <v>2001</v>
      </c>
      <c r="B5857" s="821">
        <v>37134</v>
      </c>
      <c r="C5857">
        <v>5.39</v>
      </c>
      <c r="D5857">
        <f t="shared" si="185"/>
        <v>1</v>
      </c>
    </row>
    <row r="5858" spans="1:4" x14ac:dyDescent="0.55000000000000004">
      <c r="A5858">
        <f t="shared" si="184"/>
        <v>2001</v>
      </c>
      <c r="B5858" s="821">
        <v>37133</v>
      </c>
      <c r="C5858">
        <v>5.37</v>
      </c>
      <c r="D5858">
        <f t="shared" si="185"/>
        <v>1</v>
      </c>
    </row>
    <row r="5859" spans="1:4" x14ac:dyDescent="0.55000000000000004">
      <c r="A5859">
        <f t="shared" si="184"/>
        <v>2001</v>
      </c>
      <c r="B5859" s="821">
        <v>37132</v>
      </c>
      <c r="C5859">
        <v>5.36</v>
      </c>
      <c r="D5859">
        <f t="shared" si="185"/>
        <v>1</v>
      </c>
    </row>
    <row r="5860" spans="1:4" x14ac:dyDescent="0.55000000000000004">
      <c r="A5860">
        <f t="shared" si="184"/>
        <v>2001</v>
      </c>
      <c r="B5860" s="821">
        <v>37131</v>
      </c>
      <c r="C5860">
        <v>5.41</v>
      </c>
      <c r="D5860">
        <f t="shared" si="185"/>
        <v>1</v>
      </c>
    </row>
    <row r="5861" spans="1:4" x14ac:dyDescent="0.55000000000000004">
      <c r="A5861">
        <f t="shared" si="184"/>
        <v>2001</v>
      </c>
      <c r="B5861" s="821">
        <v>37130</v>
      </c>
      <c r="C5861">
        <v>5.47</v>
      </c>
      <c r="D5861">
        <f t="shared" si="185"/>
        <v>1</v>
      </c>
    </row>
    <row r="5862" spans="1:4" x14ac:dyDescent="0.55000000000000004">
      <c r="A5862">
        <f t="shared" si="184"/>
        <v>2001</v>
      </c>
      <c r="B5862" s="821">
        <v>37127</v>
      </c>
      <c r="C5862">
        <v>5.45</v>
      </c>
      <c r="D5862">
        <f t="shared" si="185"/>
        <v>1</v>
      </c>
    </row>
    <row r="5863" spans="1:4" x14ac:dyDescent="0.55000000000000004">
      <c r="A5863">
        <f t="shared" si="184"/>
        <v>2001</v>
      </c>
      <c r="B5863" s="821">
        <v>37126</v>
      </c>
      <c r="C5863">
        <v>5.41</v>
      </c>
      <c r="D5863">
        <f t="shared" si="185"/>
        <v>1</v>
      </c>
    </row>
    <row r="5864" spans="1:4" x14ac:dyDescent="0.55000000000000004">
      <c r="A5864">
        <f t="shared" si="184"/>
        <v>2001</v>
      </c>
      <c r="B5864" s="821">
        <v>37125</v>
      </c>
      <c r="C5864">
        <v>5.44</v>
      </c>
      <c r="D5864">
        <f t="shared" si="185"/>
        <v>1</v>
      </c>
    </row>
    <row r="5865" spans="1:4" x14ac:dyDescent="0.55000000000000004">
      <c r="A5865">
        <f t="shared" si="184"/>
        <v>2001</v>
      </c>
      <c r="B5865" s="821">
        <v>37124</v>
      </c>
      <c r="C5865">
        <v>5.44</v>
      </c>
      <c r="D5865">
        <f t="shared" si="185"/>
        <v>1</v>
      </c>
    </row>
    <row r="5866" spans="1:4" x14ac:dyDescent="0.55000000000000004">
      <c r="A5866">
        <f t="shared" si="184"/>
        <v>2001</v>
      </c>
      <c r="B5866" s="821">
        <v>37123</v>
      </c>
      <c r="C5866">
        <v>5.46</v>
      </c>
      <c r="D5866">
        <f t="shared" si="185"/>
        <v>1</v>
      </c>
    </row>
    <row r="5867" spans="1:4" x14ac:dyDescent="0.55000000000000004">
      <c r="A5867">
        <f t="shared" si="184"/>
        <v>2001</v>
      </c>
      <c r="B5867" s="821">
        <v>37120</v>
      </c>
      <c r="C5867">
        <v>5.43</v>
      </c>
      <c r="D5867">
        <f t="shared" si="185"/>
        <v>1</v>
      </c>
    </row>
    <row r="5868" spans="1:4" x14ac:dyDescent="0.55000000000000004">
      <c r="A5868">
        <f t="shared" si="184"/>
        <v>2001</v>
      </c>
      <c r="B5868" s="821">
        <v>37119</v>
      </c>
      <c r="C5868">
        <v>5.48</v>
      </c>
      <c r="D5868">
        <f t="shared" si="185"/>
        <v>1</v>
      </c>
    </row>
    <row r="5869" spans="1:4" x14ac:dyDescent="0.55000000000000004">
      <c r="A5869">
        <f t="shared" si="184"/>
        <v>2001</v>
      </c>
      <c r="B5869" s="821">
        <v>37118</v>
      </c>
      <c r="C5869">
        <v>5.52</v>
      </c>
      <c r="D5869">
        <f t="shared" si="185"/>
        <v>1</v>
      </c>
    </row>
    <row r="5870" spans="1:4" x14ac:dyDescent="0.55000000000000004">
      <c r="A5870">
        <f t="shared" si="184"/>
        <v>2001</v>
      </c>
      <c r="B5870" s="821">
        <v>37117</v>
      </c>
      <c r="C5870">
        <v>5.51</v>
      </c>
      <c r="D5870">
        <f t="shared" si="185"/>
        <v>1</v>
      </c>
    </row>
    <row r="5871" spans="1:4" x14ac:dyDescent="0.55000000000000004">
      <c r="A5871">
        <f t="shared" si="184"/>
        <v>2001</v>
      </c>
      <c r="B5871" s="821">
        <v>37116</v>
      </c>
      <c r="C5871">
        <v>5.52</v>
      </c>
      <c r="D5871">
        <f t="shared" si="185"/>
        <v>1</v>
      </c>
    </row>
    <row r="5872" spans="1:4" x14ac:dyDescent="0.55000000000000004">
      <c r="A5872">
        <f t="shared" si="184"/>
        <v>2001</v>
      </c>
      <c r="B5872" s="821">
        <v>37113</v>
      </c>
      <c r="C5872">
        <v>5.52</v>
      </c>
      <c r="D5872">
        <f t="shared" si="185"/>
        <v>1</v>
      </c>
    </row>
    <row r="5873" spans="1:4" x14ac:dyDescent="0.55000000000000004">
      <c r="A5873">
        <f t="shared" si="184"/>
        <v>2001</v>
      </c>
      <c r="B5873" s="821">
        <v>37112</v>
      </c>
      <c r="C5873">
        <v>5.54</v>
      </c>
      <c r="D5873">
        <f t="shared" si="185"/>
        <v>1</v>
      </c>
    </row>
    <row r="5874" spans="1:4" x14ac:dyDescent="0.55000000000000004">
      <c r="A5874">
        <f t="shared" si="184"/>
        <v>2001</v>
      </c>
      <c r="B5874" s="821">
        <v>37111</v>
      </c>
      <c r="C5874">
        <v>5.52</v>
      </c>
      <c r="D5874">
        <f t="shared" si="185"/>
        <v>1</v>
      </c>
    </row>
    <row r="5875" spans="1:4" x14ac:dyDescent="0.55000000000000004">
      <c r="A5875">
        <f t="shared" si="184"/>
        <v>2001</v>
      </c>
      <c r="B5875" s="821">
        <v>37110</v>
      </c>
      <c r="C5875">
        <v>5.6</v>
      </c>
      <c r="D5875">
        <f t="shared" si="185"/>
        <v>1</v>
      </c>
    </row>
    <row r="5876" spans="1:4" x14ac:dyDescent="0.55000000000000004">
      <c r="A5876">
        <f t="shared" si="184"/>
        <v>2001</v>
      </c>
      <c r="B5876" s="821">
        <v>37109</v>
      </c>
      <c r="C5876">
        <v>5.59</v>
      </c>
      <c r="D5876">
        <f t="shared" si="185"/>
        <v>1</v>
      </c>
    </row>
    <row r="5877" spans="1:4" x14ac:dyDescent="0.55000000000000004">
      <c r="A5877">
        <f t="shared" si="184"/>
        <v>2001</v>
      </c>
      <c r="B5877" s="821">
        <v>37106</v>
      </c>
      <c r="C5877">
        <v>5.59</v>
      </c>
      <c r="D5877">
        <f t="shared" si="185"/>
        <v>1</v>
      </c>
    </row>
    <row r="5878" spans="1:4" x14ac:dyDescent="0.55000000000000004">
      <c r="A5878">
        <f t="shared" si="184"/>
        <v>2001</v>
      </c>
      <c r="B5878" s="821">
        <v>37105</v>
      </c>
      <c r="C5878">
        <v>5.57</v>
      </c>
      <c r="D5878">
        <f t="shared" si="185"/>
        <v>1</v>
      </c>
    </row>
    <row r="5879" spans="1:4" x14ac:dyDescent="0.55000000000000004">
      <c r="A5879">
        <f t="shared" si="184"/>
        <v>2001</v>
      </c>
      <c r="B5879" s="821">
        <v>37104</v>
      </c>
      <c r="C5879">
        <v>5.53</v>
      </c>
      <c r="D5879">
        <f t="shared" si="185"/>
        <v>1</v>
      </c>
    </row>
    <row r="5880" spans="1:4" x14ac:dyDescent="0.55000000000000004">
      <c r="A5880">
        <f t="shared" si="184"/>
        <v>2001</v>
      </c>
      <c r="B5880" s="821">
        <v>37103</v>
      </c>
      <c r="C5880">
        <v>5.51</v>
      </c>
      <c r="D5880">
        <f t="shared" si="185"/>
        <v>1</v>
      </c>
    </row>
    <row r="5881" spans="1:4" x14ac:dyDescent="0.55000000000000004">
      <c r="A5881">
        <f t="shared" si="184"/>
        <v>2001</v>
      </c>
      <c r="B5881" s="821">
        <v>37102</v>
      </c>
      <c r="C5881">
        <v>5.53</v>
      </c>
      <c r="D5881">
        <f t="shared" si="185"/>
        <v>1</v>
      </c>
    </row>
    <row r="5882" spans="1:4" x14ac:dyDescent="0.55000000000000004">
      <c r="A5882">
        <f t="shared" si="184"/>
        <v>2001</v>
      </c>
      <c r="B5882" s="821">
        <v>37099</v>
      </c>
      <c r="C5882">
        <v>5.55</v>
      </c>
      <c r="D5882">
        <f t="shared" si="185"/>
        <v>1</v>
      </c>
    </row>
    <row r="5883" spans="1:4" x14ac:dyDescent="0.55000000000000004">
      <c r="A5883">
        <f t="shared" si="184"/>
        <v>2001</v>
      </c>
      <c r="B5883" s="821">
        <v>37098</v>
      </c>
      <c r="C5883">
        <v>5.59</v>
      </c>
      <c r="D5883">
        <f t="shared" si="185"/>
        <v>1</v>
      </c>
    </row>
    <row r="5884" spans="1:4" x14ac:dyDescent="0.55000000000000004">
      <c r="A5884">
        <f t="shared" si="184"/>
        <v>2001</v>
      </c>
      <c r="B5884" s="821">
        <v>37097</v>
      </c>
      <c r="C5884">
        <v>5.58</v>
      </c>
      <c r="D5884">
        <f t="shared" si="185"/>
        <v>1</v>
      </c>
    </row>
    <row r="5885" spans="1:4" x14ac:dyDescent="0.55000000000000004">
      <c r="A5885">
        <f t="shared" si="184"/>
        <v>2001</v>
      </c>
      <c r="B5885" s="821">
        <v>37096</v>
      </c>
      <c r="C5885">
        <v>5.52</v>
      </c>
      <c r="D5885">
        <f t="shared" si="185"/>
        <v>1</v>
      </c>
    </row>
    <row r="5886" spans="1:4" x14ac:dyDescent="0.55000000000000004">
      <c r="A5886">
        <f t="shared" si="184"/>
        <v>2001</v>
      </c>
      <c r="B5886" s="821">
        <v>37095</v>
      </c>
      <c r="C5886">
        <v>5.53</v>
      </c>
      <c r="D5886">
        <f t="shared" si="185"/>
        <v>1</v>
      </c>
    </row>
    <row r="5887" spans="1:4" x14ac:dyDescent="0.55000000000000004">
      <c r="A5887">
        <f t="shared" si="184"/>
        <v>2001</v>
      </c>
      <c r="B5887" s="821">
        <v>37092</v>
      </c>
      <c r="C5887">
        <v>5.54</v>
      </c>
      <c r="D5887">
        <f t="shared" si="185"/>
        <v>1</v>
      </c>
    </row>
    <row r="5888" spans="1:4" x14ac:dyDescent="0.55000000000000004">
      <c r="A5888">
        <f t="shared" si="184"/>
        <v>2001</v>
      </c>
      <c r="B5888" s="821">
        <v>37091</v>
      </c>
      <c r="C5888">
        <v>5.53</v>
      </c>
      <c r="D5888">
        <f t="shared" si="185"/>
        <v>1</v>
      </c>
    </row>
    <row r="5889" spans="1:4" x14ac:dyDescent="0.55000000000000004">
      <c r="A5889">
        <f t="shared" si="184"/>
        <v>2001</v>
      </c>
      <c r="B5889" s="821">
        <v>37090</v>
      </c>
      <c r="C5889">
        <v>5.52</v>
      </c>
      <c r="D5889">
        <f t="shared" si="185"/>
        <v>1</v>
      </c>
    </row>
    <row r="5890" spans="1:4" x14ac:dyDescent="0.55000000000000004">
      <c r="A5890">
        <f t="shared" si="184"/>
        <v>2001</v>
      </c>
      <c r="B5890" s="821">
        <v>37089</v>
      </c>
      <c r="C5890">
        <v>5.59</v>
      </c>
      <c r="D5890">
        <f t="shared" si="185"/>
        <v>1</v>
      </c>
    </row>
    <row r="5891" spans="1:4" x14ac:dyDescent="0.55000000000000004">
      <c r="A5891">
        <f t="shared" si="184"/>
        <v>2001</v>
      </c>
      <c r="B5891" s="821">
        <v>37088</v>
      </c>
      <c r="C5891">
        <v>5.59</v>
      </c>
      <c r="D5891">
        <f t="shared" si="185"/>
        <v>1</v>
      </c>
    </row>
    <row r="5892" spans="1:4" x14ac:dyDescent="0.55000000000000004">
      <c r="A5892">
        <f t="shared" ref="A5892:A5955" si="186">YEAR(B5892)</f>
        <v>2001</v>
      </c>
      <c r="B5892" s="821">
        <v>37085</v>
      </c>
      <c r="C5892">
        <v>5.64</v>
      </c>
      <c r="D5892">
        <f t="shared" ref="D5892:D5955" si="187">IF(C5892&gt;4,1,0)</f>
        <v>1</v>
      </c>
    </row>
    <row r="5893" spans="1:4" x14ac:dyDescent="0.55000000000000004">
      <c r="A5893">
        <f t="shared" si="186"/>
        <v>2001</v>
      </c>
      <c r="B5893" s="821">
        <v>37084</v>
      </c>
      <c r="C5893">
        <v>5.65</v>
      </c>
      <c r="D5893">
        <f t="shared" si="187"/>
        <v>1</v>
      </c>
    </row>
    <row r="5894" spans="1:4" x14ac:dyDescent="0.55000000000000004">
      <c r="A5894">
        <f t="shared" si="186"/>
        <v>2001</v>
      </c>
      <c r="B5894" s="821">
        <v>37083</v>
      </c>
      <c r="C5894">
        <v>5.69</v>
      </c>
      <c r="D5894">
        <f t="shared" si="187"/>
        <v>1</v>
      </c>
    </row>
    <row r="5895" spans="1:4" x14ac:dyDescent="0.55000000000000004">
      <c r="A5895">
        <f t="shared" si="186"/>
        <v>2001</v>
      </c>
      <c r="B5895" s="821">
        <v>37082</v>
      </c>
      <c r="C5895">
        <v>5.68</v>
      </c>
      <c r="D5895">
        <f t="shared" si="187"/>
        <v>1</v>
      </c>
    </row>
    <row r="5896" spans="1:4" x14ac:dyDescent="0.55000000000000004">
      <c r="A5896">
        <f t="shared" si="186"/>
        <v>2001</v>
      </c>
      <c r="B5896" s="821">
        <v>37081</v>
      </c>
      <c r="C5896">
        <v>5.7</v>
      </c>
      <c r="D5896">
        <f t="shared" si="187"/>
        <v>1</v>
      </c>
    </row>
    <row r="5897" spans="1:4" x14ac:dyDescent="0.55000000000000004">
      <c r="A5897">
        <f t="shared" si="186"/>
        <v>2001</v>
      </c>
      <c r="B5897" s="821">
        <v>37078</v>
      </c>
      <c r="C5897">
        <v>5.75</v>
      </c>
      <c r="D5897">
        <f t="shared" si="187"/>
        <v>1</v>
      </c>
    </row>
    <row r="5898" spans="1:4" x14ac:dyDescent="0.55000000000000004">
      <c r="A5898">
        <f t="shared" si="186"/>
        <v>2001</v>
      </c>
      <c r="B5898" s="821">
        <v>37077</v>
      </c>
      <c r="C5898">
        <v>5.76</v>
      </c>
      <c r="D5898">
        <f t="shared" si="187"/>
        <v>1</v>
      </c>
    </row>
    <row r="5899" spans="1:4" x14ac:dyDescent="0.55000000000000004">
      <c r="A5899">
        <f t="shared" si="186"/>
        <v>2001</v>
      </c>
      <c r="B5899" s="821">
        <v>37075</v>
      </c>
      <c r="C5899">
        <v>5.73</v>
      </c>
      <c r="D5899">
        <f t="shared" si="187"/>
        <v>1</v>
      </c>
    </row>
    <row r="5900" spans="1:4" x14ac:dyDescent="0.55000000000000004">
      <c r="A5900">
        <f t="shared" si="186"/>
        <v>2001</v>
      </c>
      <c r="B5900" s="821">
        <v>37074</v>
      </c>
      <c r="C5900">
        <v>5.7</v>
      </c>
      <c r="D5900">
        <f t="shared" si="187"/>
        <v>1</v>
      </c>
    </row>
    <row r="5901" spans="1:4" x14ac:dyDescent="0.55000000000000004">
      <c r="A5901">
        <f t="shared" si="186"/>
        <v>2001</v>
      </c>
      <c r="B5901" s="821">
        <v>37071</v>
      </c>
      <c r="C5901">
        <v>5.75</v>
      </c>
      <c r="D5901">
        <f t="shared" si="187"/>
        <v>1</v>
      </c>
    </row>
    <row r="5902" spans="1:4" x14ac:dyDescent="0.55000000000000004">
      <c r="A5902">
        <f t="shared" si="186"/>
        <v>2001</v>
      </c>
      <c r="B5902" s="821">
        <v>37070</v>
      </c>
      <c r="C5902">
        <v>5.68</v>
      </c>
      <c r="D5902">
        <f t="shared" si="187"/>
        <v>1</v>
      </c>
    </row>
    <row r="5903" spans="1:4" x14ac:dyDescent="0.55000000000000004">
      <c r="A5903">
        <f t="shared" si="186"/>
        <v>2001</v>
      </c>
      <c r="B5903" s="821">
        <v>37069</v>
      </c>
      <c r="C5903">
        <v>5.62</v>
      </c>
      <c r="D5903">
        <f t="shared" si="187"/>
        <v>1</v>
      </c>
    </row>
    <row r="5904" spans="1:4" x14ac:dyDescent="0.55000000000000004">
      <c r="A5904">
        <f t="shared" si="186"/>
        <v>2001</v>
      </c>
      <c r="B5904" s="821">
        <v>37068</v>
      </c>
      <c r="C5904">
        <v>5.65</v>
      </c>
      <c r="D5904">
        <f t="shared" si="187"/>
        <v>1</v>
      </c>
    </row>
    <row r="5905" spans="1:4" x14ac:dyDescent="0.55000000000000004">
      <c r="A5905">
        <f t="shared" si="186"/>
        <v>2001</v>
      </c>
      <c r="B5905" s="821">
        <v>37067</v>
      </c>
      <c r="C5905">
        <v>5.59</v>
      </c>
      <c r="D5905">
        <f t="shared" si="187"/>
        <v>1</v>
      </c>
    </row>
    <row r="5906" spans="1:4" x14ac:dyDescent="0.55000000000000004">
      <c r="A5906">
        <f t="shared" si="186"/>
        <v>2001</v>
      </c>
      <c r="B5906" s="821">
        <v>37064</v>
      </c>
      <c r="C5906">
        <v>5.58</v>
      </c>
      <c r="D5906">
        <f t="shared" si="187"/>
        <v>1</v>
      </c>
    </row>
    <row r="5907" spans="1:4" x14ac:dyDescent="0.55000000000000004">
      <c r="A5907">
        <f t="shared" si="186"/>
        <v>2001</v>
      </c>
      <c r="B5907" s="821">
        <v>37063</v>
      </c>
      <c r="C5907">
        <v>5.64</v>
      </c>
      <c r="D5907">
        <f t="shared" si="187"/>
        <v>1</v>
      </c>
    </row>
    <row r="5908" spans="1:4" x14ac:dyDescent="0.55000000000000004">
      <c r="A5908">
        <f t="shared" si="186"/>
        <v>2001</v>
      </c>
      <c r="B5908" s="821">
        <v>37062</v>
      </c>
      <c r="C5908">
        <v>5.67</v>
      </c>
      <c r="D5908">
        <f t="shared" si="187"/>
        <v>1</v>
      </c>
    </row>
    <row r="5909" spans="1:4" x14ac:dyDescent="0.55000000000000004">
      <c r="A5909">
        <f t="shared" si="186"/>
        <v>2001</v>
      </c>
      <c r="B5909" s="821">
        <v>37061</v>
      </c>
      <c r="C5909">
        <v>5.69</v>
      </c>
      <c r="D5909">
        <f t="shared" si="187"/>
        <v>1</v>
      </c>
    </row>
    <row r="5910" spans="1:4" x14ac:dyDescent="0.55000000000000004">
      <c r="A5910">
        <f t="shared" si="186"/>
        <v>2001</v>
      </c>
      <c r="B5910" s="821">
        <v>37060</v>
      </c>
      <c r="C5910">
        <v>5.7</v>
      </c>
      <c r="D5910">
        <f t="shared" si="187"/>
        <v>1</v>
      </c>
    </row>
    <row r="5911" spans="1:4" x14ac:dyDescent="0.55000000000000004">
      <c r="A5911">
        <f t="shared" si="186"/>
        <v>2001</v>
      </c>
      <c r="B5911" s="821">
        <v>37057</v>
      </c>
      <c r="C5911">
        <v>5.68</v>
      </c>
      <c r="D5911">
        <f t="shared" si="187"/>
        <v>1</v>
      </c>
    </row>
    <row r="5912" spans="1:4" x14ac:dyDescent="0.55000000000000004">
      <c r="A5912">
        <f t="shared" si="186"/>
        <v>2001</v>
      </c>
      <c r="B5912" s="821">
        <v>37056</v>
      </c>
      <c r="C5912">
        <v>5.65</v>
      </c>
      <c r="D5912">
        <f t="shared" si="187"/>
        <v>1</v>
      </c>
    </row>
    <row r="5913" spans="1:4" x14ac:dyDescent="0.55000000000000004">
      <c r="A5913">
        <f t="shared" si="186"/>
        <v>2001</v>
      </c>
      <c r="B5913" s="821">
        <v>37055</v>
      </c>
      <c r="C5913">
        <v>5.66</v>
      </c>
      <c r="D5913">
        <f t="shared" si="187"/>
        <v>1</v>
      </c>
    </row>
    <row r="5914" spans="1:4" x14ac:dyDescent="0.55000000000000004">
      <c r="A5914">
        <f t="shared" si="186"/>
        <v>2001</v>
      </c>
      <c r="B5914" s="821">
        <v>37054</v>
      </c>
      <c r="C5914">
        <v>5.65</v>
      </c>
      <c r="D5914">
        <f t="shared" si="187"/>
        <v>1</v>
      </c>
    </row>
    <row r="5915" spans="1:4" x14ac:dyDescent="0.55000000000000004">
      <c r="A5915">
        <f t="shared" si="186"/>
        <v>2001</v>
      </c>
      <c r="B5915" s="821">
        <v>37053</v>
      </c>
      <c r="C5915">
        <v>5.69</v>
      </c>
      <c r="D5915">
        <f t="shared" si="187"/>
        <v>1</v>
      </c>
    </row>
    <row r="5916" spans="1:4" x14ac:dyDescent="0.55000000000000004">
      <c r="A5916">
        <f t="shared" si="186"/>
        <v>2001</v>
      </c>
      <c r="B5916" s="821">
        <v>37050</v>
      </c>
      <c r="C5916">
        <v>5.73</v>
      </c>
      <c r="D5916">
        <f t="shared" si="187"/>
        <v>1</v>
      </c>
    </row>
    <row r="5917" spans="1:4" x14ac:dyDescent="0.55000000000000004">
      <c r="A5917">
        <f t="shared" si="186"/>
        <v>2001</v>
      </c>
      <c r="B5917" s="821">
        <v>37049</v>
      </c>
      <c r="C5917">
        <v>5.72</v>
      </c>
      <c r="D5917">
        <f t="shared" si="187"/>
        <v>1</v>
      </c>
    </row>
    <row r="5918" spans="1:4" x14ac:dyDescent="0.55000000000000004">
      <c r="A5918">
        <f t="shared" si="186"/>
        <v>2001</v>
      </c>
      <c r="B5918" s="821">
        <v>37048</v>
      </c>
      <c r="C5918">
        <v>5.65</v>
      </c>
      <c r="D5918">
        <f t="shared" si="187"/>
        <v>1</v>
      </c>
    </row>
    <row r="5919" spans="1:4" x14ac:dyDescent="0.55000000000000004">
      <c r="A5919">
        <f t="shared" si="186"/>
        <v>2001</v>
      </c>
      <c r="B5919" s="821">
        <v>37047</v>
      </c>
      <c r="C5919">
        <v>5.66</v>
      </c>
      <c r="D5919">
        <f t="shared" si="187"/>
        <v>1</v>
      </c>
    </row>
    <row r="5920" spans="1:4" x14ac:dyDescent="0.55000000000000004">
      <c r="A5920">
        <f t="shared" si="186"/>
        <v>2001</v>
      </c>
      <c r="B5920" s="821">
        <v>37046</v>
      </c>
      <c r="C5920">
        <v>5.69</v>
      </c>
      <c r="D5920">
        <f t="shared" si="187"/>
        <v>1</v>
      </c>
    </row>
    <row r="5921" spans="1:4" x14ac:dyDescent="0.55000000000000004">
      <c r="A5921">
        <f t="shared" si="186"/>
        <v>2001</v>
      </c>
      <c r="B5921" s="821">
        <v>37043</v>
      </c>
      <c r="C5921">
        <v>5.71</v>
      </c>
      <c r="D5921">
        <f t="shared" si="187"/>
        <v>1</v>
      </c>
    </row>
    <row r="5922" spans="1:4" x14ac:dyDescent="0.55000000000000004">
      <c r="A5922">
        <f t="shared" si="186"/>
        <v>2001</v>
      </c>
      <c r="B5922" s="821">
        <v>37042</v>
      </c>
      <c r="C5922">
        <v>5.78</v>
      </c>
      <c r="D5922">
        <f t="shared" si="187"/>
        <v>1</v>
      </c>
    </row>
    <row r="5923" spans="1:4" x14ac:dyDescent="0.55000000000000004">
      <c r="A5923">
        <f t="shared" si="186"/>
        <v>2001</v>
      </c>
      <c r="B5923" s="821">
        <v>37041</v>
      </c>
      <c r="C5923">
        <v>5.86</v>
      </c>
      <c r="D5923">
        <f t="shared" si="187"/>
        <v>1</v>
      </c>
    </row>
    <row r="5924" spans="1:4" x14ac:dyDescent="0.55000000000000004">
      <c r="A5924">
        <f t="shared" si="186"/>
        <v>2001</v>
      </c>
      <c r="B5924" s="821">
        <v>37040</v>
      </c>
      <c r="C5924">
        <v>5.86</v>
      </c>
      <c r="D5924">
        <f t="shared" si="187"/>
        <v>1</v>
      </c>
    </row>
    <row r="5925" spans="1:4" x14ac:dyDescent="0.55000000000000004">
      <c r="A5925">
        <f t="shared" si="186"/>
        <v>2001</v>
      </c>
      <c r="B5925" s="821">
        <v>37036</v>
      </c>
      <c r="C5925">
        <v>5.86</v>
      </c>
      <c r="D5925">
        <f t="shared" si="187"/>
        <v>1</v>
      </c>
    </row>
    <row r="5926" spans="1:4" x14ac:dyDescent="0.55000000000000004">
      <c r="A5926">
        <f t="shared" si="186"/>
        <v>2001</v>
      </c>
      <c r="B5926" s="821">
        <v>37035</v>
      </c>
      <c r="C5926">
        <v>5.87</v>
      </c>
      <c r="D5926">
        <f t="shared" si="187"/>
        <v>1</v>
      </c>
    </row>
    <row r="5927" spans="1:4" x14ac:dyDescent="0.55000000000000004">
      <c r="A5927">
        <f t="shared" si="186"/>
        <v>2001</v>
      </c>
      <c r="B5927" s="821">
        <v>37034</v>
      </c>
      <c r="C5927">
        <v>5.79</v>
      </c>
      <c r="D5927">
        <f t="shared" si="187"/>
        <v>1</v>
      </c>
    </row>
    <row r="5928" spans="1:4" x14ac:dyDescent="0.55000000000000004">
      <c r="A5928">
        <f t="shared" si="186"/>
        <v>2001</v>
      </c>
      <c r="B5928" s="821">
        <v>37033</v>
      </c>
      <c r="C5928">
        <v>5.78</v>
      </c>
      <c r="D5928">
        <f t="shared" si="187"/>
        <v>1</v>
      </c>
    </row>
    <row r="5929" spans="1:4" x14ac:dyDescent="0.55000000000000004">
      <c r="A5929">
        <f t="shared" si="186"/>
        <v>2001</v>
      </c>
      <c r="B5929" s="821">
        <v>37032</v>
      </c>
      <c r="C5929">
        <v>5.75</v>
      </c>
      <c r="D5929">
        <f t="shared" si="187"/>
        <v>1</v>
      </c>
    </row>
    <row r="5930" spans="1:4" x14ac:dyDescent="0.55000000000000004">
      <c r="A5930">
        <f t="shared" si="186"/>
        <v>2001</v>
      </c>
      <c r="B5930" s="821">
        <v>37029</v>
      </c>
      <c r="C5930">
        <v>5.76</v>
      </c>
      <c r="D5930">
        <f t="shared" si="187"/>
        <v>1</v>
      </c>
    </row>
    <row r="5931" spans="1:4" x14ac:dyDescent="0.55000000000000004">
      <c r="A5931">
        <f t="shared" si="186"/>
        <v>2001</v>
      </c>
      <c r="B5931" s="821">
        <v>37028</v>
      </c>
      <c r="C5931">
        <v>5.8</v>
      </c>
      <c r="D5931">
        <f t="shared" si="187"/>
        <v>1</v>
      </c>
    </row>
    <row r="5932" spans="1:4" x14ac:dyDescent="0.55000000000000004">
      <c r="A5932">
        <f t="shared" si="186"/>
        <v>2001</v>
      </c>
      <c r="B5932" s="821">
        <v>37027</v>
      </c>
      <c r="C5932">
        <v>5.86</v>
      </c>
      <c r="D5932">
        <f t="shared" si="187"/>
        <v>1</v>
      </c>
    </row>
    <row r="5933" spans="1:4" x14ac:dyDescent="0.55000000000000004">
      <c r="A5933">
        <f t="shared" si="186"/>
        <v>2001</v>
      </c>
      <c r="B5933" s="821">
        <v>37026</v>
      </c>
      <c r="C5933">
        <v>5.89</v>
      </c>
      <c r="D5933">
        <f t="shared" si="187"/>
        <v>1</v>
      </c>
    </row>
    <row r="5934" spans="1:4" x14ac:dyDescent="0.55000000000000004">
      <c r="A5934">
        <f t="shared" si="186"/>
        <v>2001</v>
      </c>
      <c r="B5934" s="821">
        <v>37025</v>
      </c>
      <c r="C5934">
        <v>5.85</v>
      </c>
      <c r="D5934">
        <f t="shared" si="187"/>
        <v>1</v>
      </c>
    </row>
    <row r="5935" spans="1:4" x14ac:dyDescent="0.55000000000000004">
      <c r="A5935">
        <f t="shared" si="186"/>
        <v>2001</v>
      </c>
      <c r="B5935" s="821">
        <v>37022</v>
      </c>
      <c r="C5935">
        <v>5.88</v>
      </c>
      <c r="D5935">
        <f t="shared" si="187"/>
        <v>1</v>
      </c>
    </row>
    <row r="5936" spans="1:4" x14ac:dyDescent="0.55000000000000004">
      <c r="A5936">
        <f t="shared" si="186"/>
        <v>2001</v>
      </c>
      <c r="B5936" s="821">
        <v>37021</v>
      </c>
      <c r="C5936">
        <v>5.75</v>
      </c>
      <c r="D5936">
        <f t="shared" si="187"/>
        <v>1</v>
      </c>
    </row>
    <row r="5937" spans="1:4" x14ac:dyDescent="0.55000000000000004">
      <c r="A5937">
        <f t="shared" si="186"/>
        <v>2001</v>
      </c>
      <c r="B5937" s="821">
        <v>37020</v>
      </c>
      <c r="C5937">
        <v>5.67</v>
      </c>
      <c r="D5937">
        <f t="shared" si="187"/>
        <v>1</v>
      </c>
    </row>
    <row r="5938" spans="1:4" x14ac:dyDescent="0.55000000000000004">
      <c r="A5938">
        <f t="shared" si="186"/>
        <v>2001</v>
      </c>
      <c r="B5938" s="821">
        <v>37019</v>
      </c>
      <c r="C5938">
        <v>5.72</v>
      </c>
      <c r="D5938">
        <f t="shared" si="187"/>
        <v>1</v>
      </c>
    </row>
    <row r="5939" spans="1:4" x14ac:dyDescent="0.55000000000000004">
      <c r="A5939">
        <f t="shared" si="186"/>
        <v>2001</v>
      </c>
      <c r="B5939" s="821">
        <v>37018</v>
      </c>
      <c r="C5939">
        <v>5.68</v>
      </c>
      <c r="D5939">
        <f t="shared" si="187"/>
        <v>1</v>
      </c>
    </row>
    <row r="5940" spans="1:4" x14ac:dyDescent="0.55000000000000004">
      <c r="A5940">
        <f t="shared" si="186"/>
        <v>2001</v>
      </c>
      <c r="B5940" s="821">
        <v>37015</v>
      </c>
      <c r="C5940">
        <v>5.65</v>
      </c>
      <c r="D5940">
        <f t="shared" si="187"/>
        <v>1</v>
      </c>
    </row>
    <row r="5941" spans="1:4" x14ac:dyDescent="0.55000000000000004">
      <c r="A5941">
        <f t="shared" si="186"/>
        <v>2001</v>
      </c>
      <c r="B5941" s="821">
        <v>37014</v>
      </c>
      <c r="C5941">
        <v>5.64</v>
      </c>
      <c r="D5941">
        <f t="shared" si="187"/>
        <v>1</v>
      </c>
    </row>
    <row r="5942" spans="1:4" x14ac:dyDescent="0.55000000000000004">
      <c r="A5942">
        <f t="shared" si="186"/>
        <v>2001</v>
      </c>
      <c r="B5942" s="821">
        <v>37013</v>
      </c>
      <c r="C5942">
        <v>5.71</v>
      </c>
      <c r="D5942">
        <f t="shared" si="187"/>
        <v>1</v>
      </c>
    </row>
    <row r="5943" spans="1:4" x14ac:dyDescent="0.55000000000000004">
      <c r="A5943">
        <f t="shared" si="186"/>
        <v>2001</v>
      </c>
      <c r="B5943" s="821">
        <v>37012</v>
      </c>
      <c r="C5943">
        <v>5.75</v>
      </c>
      <c r="D5943">
        <f t="shared" si="187"/>
        <v>1</v>
      </c>
    </row>
    <row r="5944" spans="1:4" x14ac:dyDescent="0.55000000000000004">
      <c r="A5944">
        <f t="shared" si="186"/>
        <v>2001</v>
      </c>
      <c r="B5944" s="821">
        <v>37011</v>
      </c>
      <c r="C5944">
        <v>5.78</v>
      </c>
      <c r="D5944">
        <f t="shared" si="187"/>
        <v>1</v>
      </c>
    </row>
    <row r="5945" spans="1:4" x14ac:dyDescent="0.55000000000000004">
      <c r="A5945">
        <f t="shared" si="186"/>
        <v>2001</v>
      </c>
      <c r="B5945" s="821">
        <v>37008</v>
      </c>
      <c r="C5945">
        <v>5.81</v>
      </c>
      <c r="D5945">
        <f t="shared" si="187"/>
        <v>1</v>
      </c>
    </row>
    <row r="5946" spans="1:4" x14ac:dyDescent="0.55000000000000004">
      <c r="A5946">
        <f t="shared" si="186"/>
        <v>2001</v>
      </c>
      <c r="B5946" s="821">
        <v>37007</v>
      </c>
      <c r="C5946">
        <v>5.71</v>
      </c>
      <c r="D5946">
        <f t="shared" si="187"/>
        <v>1</v>
      </c>
    </row>
    <row r="5947" spans="1:4" x14ac:dyDescent="0.55000000000000004">
      <c r="A5947">
        <f t="shared" si="186"/>
        <v>2001</v>
      </c>
      <c r="B5947" s="821">
        <v>37006</v>
      </c>
      <c r="C5947">
        <v>5.78</v>
      </c>
      <c r="D5947">
        <f t="shared" si="187"/>
        <v>1</v>
      </c>
    </row>
    <row r="5948" spans="1:4" x14ac:dyDescent="0.55000000000000004">
      <c r="A5948">
        <f t="shared" si="186"/>
        <v>2001</v>
      </c>
      <c r="B5948" s="821">
        <v>37005</v>
      </c>
      <c r="C5948">
        <v>5.75</v>
      </c>
      <c r="D5948">
        <f t="shared" si="187"/>
        <v>1</v>
      </c>
    </row>
    <row r="5949" spans="1:4" x14ac:dyDescent="0.55000000000000004">
      <c r="A5949">
        <f t="shared" si="186"/>
        <v>2001</v>
      </c>
      <c r="B5949" s="821">
        <v>37004</v>
      </c>
      <c r="C5949">
        <v>5.73</v>
      </c>
      <c r="D5949">
        <f t="shared" si="187"/>
        <v>1</v>
      </c>
    </row>
    <row r="5950" spans="1:4" x14ac:dyDescent="0.55000000000000004">
      <c r="A5950">
        <f t="shared" si="186"/>
        <v>2001</v>
      </c>
      <c r="B5950" s="821">
        <v>37001</v>
      </c>
      <c r="C5950">
        <v>5.79</v>
      </c>
      <c r="D5950">
        <f t="shared" si="187"/>
        <v>1</v>
      </c>
    </row>
    <row r="5951" spans="1:4" x14ac:dyDescent="0.55000000000000004">
      <c r="A5951">
        <f t="shared" si="186"/>
        <v>2001</v>
      </c>
      <c r="B5951" s="821">
        <v>37000</v>
      </c>
      <c r="C5951">
        <v>5.77</v>
      </c>
      <c r="D5951">
        <f t="shared" si="187"/>
        <v>1</v>
      </c>
    </row>
    <row r="5952" spans="1:4" x14ac:dyDescent="0.55000000000000004">
      <c r="A5952">
        <f t="shared" si="186"/>
        <v>2001</v>
      </c>
      <c r="B5952" s="821">
        <v>36999</v>
      </c>
      <c r="C5952">
        <v>5.65</v>
      </c>
      <c r="D5952">
        <f t="shared" si="187"/>
        <v>1</v>
      </c>
    </row>
    <row r="5953" spans="1:4" x14ac:dyDescent="0.55000000000000004">
      <c r="A5953">
        <f t="shared" si="186"/>
        <v>2001</v>
      </c>
      <c r="B5953" s="821">
        <v>36998</v>
      </c>
      <c r="C5953">
        <v>5.65</v>
      </c>
      <c r="D5953">
        <f t="shared" si="187"/>
        <v>1</v>
      </c>
    </row>
    <row r="5954" spans="1:4" x14ac:dyDescent="0.55000000000000004">
      <c r="A5954">
        <f t="shared" si="186"/>
        <v>2001</v>
      </c>
      <c r="B5954" s="821">
        <v>36997</v>
      </c>
      <c r="C5954">
        <v>5.7</v>
      </c>
      <c r="D5954">
        <f t="shared" si="187"/>
        <v>1</v>
      </c>
    </row>
    <row r="5955" spans="1:4" x14ac:dyDescent="0.55000000000000004">
      <c r="A5955">
        <f t="shared" si="186"/>
        <v>2001</v>
      </c>
      <c r="B5955" s="821">
        <v>36993</v>
      </c>
      <c r="C5955">
        <v>5.61</v>
      </c>
      <c r="D5955">
        <f t="shared" si="187"/>
        <v>1</v>
      </c>
    </row>
    <row r="5956" spans="1:4" x14ac:dyDescent="0.55000000000000004">
      <c r="A5956">
        <f t="shared" ref="A5956:A6019" si="188">YEAR(B5956)</f>
        <v>2001</v>
      </c>
      <c r="B5956" s="821">
        <v>36992</v>
      </c>
      <c r="C5956">
        <v>5.6</v>
      </c>
      <c r="D5956">
        <f t="shared" ref="D5956:D6019" si="189">IF(C5956&gt;4,1,0)</f>
        <v>1</v>
      </c>
    </row>
    <row r="5957" spans="1:4" x14ac:dyDescent="0.55000000000000004">
      <c r="A5957">
        <f t="shared" si="188"/>
        <v>2001</v>
      </c>
      <c r="B5957" s="821">
        <v>36991</v>
      </c>
      <c r="C5957">
        <v>5.63</v>
      </c>
      <c r="D5957">
        <f t="shared" si="189"/>
        <v>1</v>
      </c>
    </row>
    <row r="5958" spans="1:4" x14ac:dyDescent="0.55000000000000004">
      <c r="A5958">
        <f t="shared" si="188"/>
        <v>2001</v>
      </c>
      <c r="B5958" s="821">
        <v>36990</v>
      </c>
      <c r="C5958">
        <v>5.5</v>
      </c>
      <c r="D5958">
        <f t="shared" si="189"/>
        <v>1</v>
      </c>
    </row>
    <row r="5959" spans="1:4" x14ac:dyDescent="0.55000000000000004">
      <c r="A5959">
        <f t="shared" si="188"/>
        <v>2001</v>
      </c>
      <c r="B5959" s="821">
        <v>36987</v>
      </c>
      <c r="C5959">
        <v>5.46</v>
      </c>
      <c r="D5959">
        <f t="shared" si="189"/>
        <v>1</v>
      </c>
    </row>
    <row r="5960" spans="1:4" x14ac:dyDescent="0.55000000000000004">
      <c r="A5960">
        <f t="shared" si="188"/>
        <v>2001</v>
      </c>
      <c r="B5960" s="821">
        <v>36986</v>
      </c>
      <c r="C5960">
        <v>5.53</v>
      </c>
      <c r="D5960">
        <f t="shared" si="189"/>
        <v>1</v>
      </c>
    </row>
    <row r="5961" spans="1:4" x14ac:dyDescent="0.55000000000000004">
      <c r="A5961">
        <f t="shared" si="188"/>
        <v>2001</v>
      </c>
      <c r="B5961" s="821">
        <v>36985</v>
      </c>
      <c r="C5961">
        <v>5.5</v>
      </c>
      <c r="D5961">
        <f t="shared" si="189"/>
        <v>1</v>
      </c>
    </row>
    <row r="5962" spans="1:4" x14ac:dyDescent="0.55000000000000004">
      <c r="A5962">
        <f t="shared" si="188"/>
        <v>2001</v>
      </c>
      <c r="B5962" s="821">
        <v>36984</v>
      </c>
      <c r="C5962">
        <v>5.48</v>
      </c>
      <c r="D5962">
        <f t="shared" si="189"/>
        <v>1</v>
      </c>
    </row>
    <row r="5963" spans="1:4" x14ac:dyDescent="0.55000000000000004">
      <c r="A5963">
        <f t="shared" si="188"/>
        <v>2001</v>
      </c>
      <c r="B5963" s="821">
        <v>36983</v>
      </c>
      <c r="C5963">
        <v>5.49</v>
      </c>
      <c r="D5963">
        <f t="shared" si="189"/>
        <v>1</v>
      </c>
    </row>
    <row r="5964" spans="1:4" x14ac:dyDescent="0.55000000000000004">
      <c r="A5964">
        <f t="shared" si="188"/>
        <v>2001</v>
      </c>
      <c r="B5964" s="821">
        <v>36980</v>
      </c>
      <c r="C5964">
        <v>5.46</v>
      </c>
      <c r="D5964">
        <f t="shared" si="189"/>
        <v>1</v>
      </c>
    </row>
    <row r="5965" spans="1:4" x14ac:dyDescent="0.55000000000000004">
      <c r="A5965">
        <f t="shared" si="188"/>
        <v>2001</v>
      </c>
      <c r="B5965" s="821">
        <v>36979</v>
      </c>
      <c r="C5965">
        <v>5.48</v>
      </c>
      <c r="D5965">
        <f t="shared" si="189"/>
        <v>1</v>
      </c>
    </row>
    <row r="5966" spans="1:4" x14ac:dyDescent="0.55000000000000004">
      <c r="A5966">
        <f t="shared" si="188"/>
        <v>2001</v>
      </c>
      <c r="B5966" s="821">
        <v>36978</v>
      </c>
      <c r="C5966">
        <v>5.47</v>
      </c>
      <c r="D5966">
        <f t="shared" si="189"/>
        <v>1</v>
      </c>
    </row>
    <row r="5967" spans="1:4" x14ac:dyDescent="0.55000000000000004">
      <c r="A5967">
        <f t="shared" si="188"/>
        <v>2001</v>
      </c>
      <c r="B5967" s="821">
        <v>36977</v>
      </c>
      <c r="C5967">
        <v>5.45</v>
      </c>
      <c r="D5967">
        <f t="shared" si="189"/>
        <v>1</v>
      </c>
    </row>
    <row r="5968" spans="1:4" x14ac:dyDescent="0.55000000000000004">
      <c r="A5968">
        <f t="shared" si="188"/>
        <v>2001</v>
      </c>
      <c r="B5968" s="821">
        <v>36976</v>
      </c>
      <c r="C5968">
        <v>5.36</v>
      </c>
      <c r="D5968">
        <f t="shared" si="189"/>
        <v>1</v>
      </c>
    </row>
    <row r="5969" spans="1:4" x14ac:dyDescent="0.55000000000000004">
      <c r="A5969">
        <f t="shared" si="188"/>
        <v>2001</v>
      </c>
      <c r="B5969" s="821">
        <v>36973</v>
      </c>
      <c r="C5969">
        <v>5.3</v>
      </c>
      <c r="D5969">
        <f t="shared" si="189"/>
        <v>1</v>
      </c>
    </row>
    <row r="5970" spans="1:4" x14ac:dyDescent="0.55000000000000004">
      <c r="A5970">
        <f t="shared" si="188"/>
        <v>2001</v>
      </c>
      <c r="B5970" s="821">
        <v>36972</v>
      </c>
      <c r="C5970">
        <v>5.25</v>
      </c>
      <c r="D5970">
        <f t="shared" si="189"/>
        <v>1</v>
      </c>
    </row>
    <row r="5971" spans="1:4" x14ac:dyDescent="0.55000000000000004">
      <c r="A5971">
        <f t="shared" si="188"/>
        <v>2001</v>
      </c>
      <c r="B5971" s="821">
        <v>36971</v>
      </c>
      <c r="C5971">
        <v>5.28</v>
      </c>
      <c r="D5971">
        <f t="shared" si="189"/>
        <v>1</v>
      </c>
    </row>
    <row r="5972" spans="1:4" x14ac:dyDescent="0.55000000000000004">
      <c r="A5972">
        <f t="shared" si="188"/>
        <v>2001</v>
      </c>
      <c r="B5972" s="821">
        <v>36970</v>
      </c>
      <c r="C5972">
        <v>5.27</v>
      </c>
      <c r="D5972">
        <f t="shared" si="189"/>
        <v>1</v>
      </c>
    </row>
    <row r="5973" spans="1:4" x14ac:dyDescent="0.55000000000000004">
      <c r="A5973">
        <f t="shared" si="188"/>
        <v>2001</v>
      </c>
      <c r="B5973" s="821">
        <v>36969</v>
      </c>
      <c r="C5973">
        <v>5.3</v>
      </c>
      <c r="D5973">
        <f t="shared" si="189"/>
        <v>1</v>
      </c>
    </row>
    <row r="5974" spans="1:4" x14ac:dyDescent="0.55000000000000004">
      <c r="A5974">
        <f t="shared" si="188"/>
        <v>2001</v>
      </c>
      <c r="B5974" s="821">
        <v>36966</v>
      </c>
      <c r="C5974">
        <v>5.28</v>
      </c>
      <c r="D5974">
        <f t="shared" si="189"/>
        <v>1</v>
      </c>
    </row>
    <row r="5975" spans="1:4" x14ac:dyDescent="0.55000000000000004">
      <c r="A5975">
        <f t="shared" si="188"/>
        <v>2001</v>
      </c>
      <c r="B5975" s="821">
        <v>36965</v>
      </c>
      <c r="C5975">
        <v>5.29</v>
      </c>
      <c r="D5975">
        <f t="shared" si="189"/>
        <v>1</v>
      </c>
    </row>
    <row r="5976" spans="1:4" x14ac:dyDescent="0.55000000000000004">
      <c r="A5976">
        <f t="shared" si="188"/>
        <v>2001</v>
      </c>
      <c r="B5976" s="821">
        <v>36964</v>
      </c>
      <c r="C5976">
        <v>5.28</v>
      </c>
      <c r="D5976">
        <f t="shared" si="189"/>
        <v>1</v>
      </c>
    </row>
    <row r="5977" spans="1:4" x14ac:dyDescent="0.55000000000000004">
      <c r="A5977">
        <f t="shared" si="188"/>
        <v>2001</v>
      </c>
      <c r="B5977" s="821">
        <v>36963</v>
      </c>
      <c r="C5977">
        <v>5.34</v>
      </c>
      <c r="D5977">
        <f t="shared" si="189"/>
        <v>1</v>
      </c>
    </row>
    <row r="5978" spans="1:4" x14ac:dyDescent="0.55000000000000004">
      <c r="A5978">
        <f t="shared" si="188"/>
        <v>2001</v>
      </c>
      <c r="B5978" s="821">
        <v>36962</v>
      </c>
      <c r="C5978">
        <v>5.31</v>
      </c>
      <c r="D5978">
        <f t="shared" si="189"/>
        <v>1</v>
      </c>
    </row>
    <row r="5979" spans="1:4" x14ac:dyDescent="0.55000000000000004">
      <c r="A5979">
        <f t="shared" si="188"/>
        <v>2001</v>
      </c>
      <c r="B5979" s="821">
        <v>36959</v>
      </c>
      <c r="C5979">
        <v>5.32</v>
      </c>
      <c r="D5979">
        <f t="shared" si="189"/>
        <v>1</v>
      </c>
    </row>
    <row r="5980" spans="1:4" x14ac:dyDescent="0.55000000000000004">
      <c r="A5980">
        <f t="shared" si="188"/>
        <v>2001</v>
      </c>
      <c r="B5980" s="821">
        <v>36958</v>
      </c>
      <c r="C5980">
        <v>5.3</v>
      </c>
      <c r="D5980">
        <f t="shared" si="189"/>
        <v>1</v>
      </c>
    </row>
    <row r="5981" spans="1:4" x14ac:dyDescent="0.55000000000000004">
      <c r="A5981">
        <f t="shared" si="188"/>
        <v>2001</v>
      </c>
      <c r="B5981" s="821">
        <v>36957</v>
      </c>
      <c r="C5981">
        <v>5.32</v>
      </c>
      <c r="D5981">
        <f t="shared" si="189"/>
        <v>1</v>
      </c>
    </row>
    <row r="5982" spans="1:4" x14ac:dyDescent="0.55000000000000004">
      <c r="A5982">
        <f t="shared" si="188"/>
        <v>2001</v>
      </c>
      <c r="B5982" s="821">
        <v>36956</v>
      </c>
      <c r="C5982">
        <v>5.38</v>
      </c>
      <c r="D5982">
        <f t="shared" si="189"/>
        <v>1</v>
      </c>
    </row>
    <row r="5983" spans="1:4" x14ac:dyDescent="0.55000000000000004">
      <c r="A5983">
        <f t="shared" si="188"/>
        <v>2001</v>
      </c>
      <c r="B5983" s="821">
        <v>36955</v>
      </c>
      <c r="C5983">
        <v>5.36</v>
      </c>
      <c r="D5983">
        <f t="shared" si="189"/>
        <v>1</v>
      </c>
    </row>
    <row r="5984" spans="1:4" x14ac:dyDescent="0.55000000000000004">
      <c r="A5984">
        <f t="shared" si="188"/>
        <v>2001</v>
      </c>
      <c r="B5984" s="821">
        <v>36952</v>
      </c>
      <c r="C5984">
        <v>5.38</v>
      </c>
      <c r="D5984">
        <f t="shared" si="189"/>
        <v>1</v>
      </c>
    </row>
    <row r="5985" spans="1:4" x14ac:dyDescent="0.55000000000000004">
      <c r="A5985">
        <f t="shared" si="188"/>
        <v>2001</v>
      </c>
      <c r="B5985" s="821">
        <v>36951</v>
      </c>
      <c r="C5985">
        <v>5.29</v>
      </c>
      <c r="D5985">
        <f t="shared" si="189"/>
        <v>1</v>
      </c>
    </row>
    <row r="5986" spans="1:4" x14ac:dyDescent="0.55000000000000004">
      <c r="A5986">
        <f t="shared" si="188"/>
        <v>2001</v>
      </c>
      <c r="B5986" s="821">
        <v>36950</v>
      </c>
      <c r="C5986">
        <v>5.34</v>
      </c>
      <c r="D5986">
        <f t="shared" si="189"/>
        <v>1</v>
      </c>
    </row>
    <row r="5987" spans="1:4" x14ac:dyDescent="0.55000000000000004">
      <c r="A5987">
        <f t="shared" si="188"/>
        <v>2001</v>
      </c>
      <c r="B5987" s="821">
        <v>36949</v>
      </c>
      <c r="C5987">
        <v>5.34</v>
      </c>
      <c r="D5987">
        <f t="shared" si="189"/>
        <v>1</v>
      </c>
    </row>
    <row r="5988" spans="1:4" x14ac:dyDescent="0.55000000000000004">
      <c r="A5988">
        <f t="shared" si="188"/>
        <v>2001</v>
      </c>
      <c r="B5988" s="821">
        <v>36948</v>
      </c>
      <c r="C5988">
        <v>5.45</v>
      </c>
      <c r="D5988">
        <f t="shared" si="189"/>
        <v>1</v>
      </c>
    </row>
    <row r="5989" spans="1:4" x14ac:dyDescent="0.55000000000000004">
      <c r="A5989">
        <f t="shared" si="188"/>
        <v>2001</v>
      </c>
      <c r="B5989" s="821">
        <v>36945</v>
      </c>
      <c r="C5989">
        <v>5.49</v>
      </c>
      <c r="D5989">
        <f t="shared" si="189"/>
        <v>1</v>
      </c>
    </row>
    <row r="5990" spans="1:4" x14ac:dyDescent="0.55000000000000004">
      <c r="A5990">
        <f t="shared" si="188"/>
        <v>2001</v>
      </c>
      <c r="B5990" s="821">
        <v>36944</v>
      </c>
      <c r="C5990">
        <v>5.52</v>
      </c>
      <c r="D5990">
        <f t="shared" si="189"/>
        <v>1</v>
      </c>
    </row>
    <row r="5991" spans="1:4" x14ac:dyDescent="0.55000000000000004">
      <c r="A5991">
        <f t="shared" si="188"/>
        <v>2001</v>
      </c>
      <c r="B5991" s="821">
        <v>36943</v>
      </c>
      <c r="C5991">
        <v>5.49</v>
      </c>
      <c r="D5991">
        <f t="shared" si="189"/>
        <v>1</v>
      </c>
    </row>
    <row r="5992" spans="1:4" x14ac:dyDescent="0.55000000000000004">
      <c r="A5992">
        <f t="shared" si="188"/>
        <v>2001</v>
      </c>
      <c r="B5992" s="821">
        <v>36942</v>
      </c>
      <c r="C5992">
        <v>5.46</v>
      </c>
      <c r="D5992">
        <f t="shared" si="189"/>
        <v>1</v>
      </c>
    </row>
    <row r="5993" spans="1:4" x14ac:dyDescent="0.55000000000000004">
      <c r="A5993">
        <f t="shared" si="188"/>
        <v>2001</v>
      </c>
      <c r="B5993" s="821">
        <v>36938</v>
      </c>
      <c r="C5993">
        <v>5.46</v>
      </c>
      <c r="D5993">
        <f t="shared" si="189"/>
        <v>1</v>
      </c>
    </row>
    <row r="5994" spans="1:4" x14ac:dyDescent="0.55000000000000004">
      <c r="A5994">
        <f t="shared" si="188"/>
        <v>2001</v>
      </c>
      <c r="B5994" s="821">
        <v>36937</v>
      </c>
      <c r="C5994">
        <v>5.5</v>
      </c>
      <c r="D5994">
        <f t="shared" si="189"/>
        <v>1</v>
      </c>
    </row>
    <row r="5995" spans="1:4" x14ac:dyDescent="0.55000000000000004">
      <c r="A5995">
        <f t="shared" si="188"/>
        <v>2001</v>
      </c>
      <c r="B5995" s="821">
        <v>36936</v>
      </c>
      <c r="C5995">
        <v>5.44</v>
      </c>
      <c r="D5995">
        <f t="shared" si="189"/>
        <v>1</v>
      </c>
    </row>
    <row r="5996" spans="1:4" x14ac:dyDescent="0.55000000000000004">
      <c r="A5996">
        <f t="shared" si="188"/>
        <v>2001</v>
      </c>
      <c r="B5996" s="821">
        <v>36935</v>
      </c>
      <c r="C5996">
        <v>5.43</v>
      </c>
      <c r="D5996">
        <f t="shared" si="189"/>
        <v>1</v>
      </c>
    </row>
    <row r="5997" spans="1:4" x14ac:dyDescent="0.55000000000000004">
      <c r="A5997">
        <f t="shared" si="188"/>
        <v>2001</v>
      </c>
      <c r="B5997" s="821">
        <v>36934</v>
      </c>
      <c r="C5997">
        <v>5.42</v>
      </c>
      <c r="D5997">
        <f t="shared" si="189"/>
        <v>1</v>
      </c>
    </row>
    <row r="5998" spans="1:4" x14ac:dyDescent="0.55000000000000004">
      <c r="A5998">
        <f t="shared" si="188"/>
        <v>2001</v>
      </c>
      <c r="B5998" s="821">
        <v>36931</v>
      </c>
      <c r="C5998">
        <v>5.38</v>
      </c>
      <c r="D5998">
        <f t="shared" si="189"/>
        <v>1</v>
      </c>
    </row>
    <row r="5999" spans="1:4" x14ac:dyDescent="0.55000000000000004">
      <c r="A5999">
        <f t="shared" si="188"/>
        <v>2001</v>
      </c>
      <c r="B5999" s="821">
        <v>36930</v>
      </c>
      <c r="C5999">
        <v>5.44</v>
      </c>
      <c r="D5999">
        <f t="shared" si="189"/>
        <v>1</v>
      </c>
    </row>
    <row r="6000" spans="1:4" x14ac:dyDescent="0.55000000000000004">
      <c r="A6000">
        <f t="shared" si="188"/>
        <v>2001</v>
      </c>
      <c r="B6000" s="821">
        <v>36929</v>
      </c>
      <c r="C6000">
        <v>5.52</v>
      </c>
      <c r="D6000">
        <f t="shared" si="189"/>
        <v>1</v>
      </c>
    </row>
    <row r="6001" spans="1:4" x14ac:dyDescent="0.55000000000000004">
      <c r="A6001">
        <f t="shared" si="188"/>
        <v>2001</v>
      </c>
      <c r="B6001" s="821">
        <v>36928</v>
      </c>
      <c r="C6001">
        <v>5.51</v>
      </c>
      <c r="D6001">
        <f t="shared" si="189"/>
        <v>1</v>
      </c>
    </row>
    <row r="6002" spans="1:4" x14ac:dyDescent="0.55000000000000004">
      <c r="A6002">
        <f t="shared" si="188"/>
        <v>2001</v>
      </c>
      <c r="B6002" s="821">
        <v>36927</v>
      </c>
      <c r="C6002">
        <v>5.48</v>
      </c>
      <c r="D6002">
        <f t="shared" si="189"/>
        <v>1</v>
      </c>
    </row>
    <row r="6003" spans="1:4" x14ac:dyDescent="0.55000000000000004">
      <c r="A6003">
        <f t="shared" si="188"/>
        <v>2001</v>
      </c>
      <c r="B6003" s="821">
        <v>36924</v>
      </c>
      <c r="C6003">
        <v>5.51</v>
      </c>
      <c r="D6003">
        <f t="shared" si="189"/>
        <v>1</v>
      </c>
    </row>
    <row r="6004" spans="1:4" x14ac:dyDescent="0.55000000000000004">
      <c r="A6004">
        <f t="shared" si="188"/>
        <v>2001</v>
      </c>
      <c r="B6004" s="821">
        <v>36923</v>
      </c>
      <c r="C6004">
        <v>5.46</v>
      </c>
      <c r="D6004">
        <f t="shared" si="189"/>
        <v>1</v>
      </c>
    </row>
    <row r="6005" spans="1:4" x14ac:dyDescent="0.55000000000000004">
      <c r="A6005">
        <f t="shared" si="188"/>
        <v>2001</v>
      </c>
      <c r="B6005" s="821">
        <v>36922</v>
      </c>
      <c r="C6005">
        <v>5.54</v>
      </c>
      <c r="D6005">
        <f t="shared" si="189"/>
        <v>1</v>
      </c>
    </row>
    <row r="6006" spans="1:4" x14ac:dyDescent="0.55000000000000004">
      <c r="A6006">
        <f t="shared" si="188"/>
        <v>2001</v>
      </c>
      <c r="B6006" s="821">
        <v>36921</v>
      </c>
      <c r="C6006">
        <v>5.59</v>
      </c>
      <c r="D6006">
        <f t="shared" si="189"/>
        <v>1</v>
      </c>
    </row>
    <row r="6007" spans="1:4" x14ac:dyDescent="0.55000000000000004">
      <c r="A6007">
        <f t="shared" si="188"/>
        <v>2001</v>
      </c>
      <c r="B6007" s="821">
        <v>36920</v>
      </c>
      <c r="C6007">
        <v>5.69</v>
      </c>
      <c r="D6007">
        <f t="shared" si="189"/>
        <v>1</v>
      </c>
    </row>
    <row r="6008" spans="1:4" x14ac:dyDescent="0.55000000000000004">
      <c r="A6008">
        <f t="shared" si="188"/>
        <v>2001</v>
      </c>
      <c r="B6008" s="821">
        <v>36917</v>
      </c>
      <c r="C6008">
        <v>5.64</v>
      </c>
      <c r="D6008">
        <f t="shared" si="189"/>
        <v>1</v>
      </c>
    </row>
    <row r="6009" spans="1:4" x14ac:dyDescent="0.55000000000000004">
      <c r="A6009">
        <f t="shared" si="188"/>
        <v>2001</v>
      </c>
      <c r="B6009" s="821">
        <v>36916</v>
      </c>
      <c r="C6009">
        <v>5.61</v>
      </c>
      <c r="D6009">
        <f t="shared" si="189"/>
        <v>1</v>
      </c>
    </row>
    <row r="6010" spans="1:4" x14ac:dyDescent="0.55000000000000004">
      <c r="A6010">
        <f t="shared" si="188"/>
        <v>2001</v>
      </c>
      <c r="B6010" s="821">
        <v>36915</v>
      </c>
      <c r="C6010">
        <v>5.67</v>
      </c>
      <c r="D6010">
        <f t="shared" si="189"/>
        <v>1</v>
      </c>
    </row>
    <row r="6011" spans="1:4" x14ac:dyDescent="0.55000000000000004">
      <c r="A6011">
        <f t="shared" si="188"/>
        <v>2001</v>
      </c>
      <c r="B6011" s="821">
        <v>36914</v>
      </c>
      <c r="C6011">
        <v>5.65</v>
      </c>
      <c r="D6011">
        <f t="shared" si="189"/>
        <v>1</v>
      </c>
    </row>
    <row r="6012" spans="1:4" x14ac:dyDescent="0.55000000000000004">
      <c r="A6012">
        <f t="shared" si="188"/>
        <v>2001</v>
      </c>
      <c r="B6012" s="821">
        <v>36913</v>
      </c>
      <c r="C6012">
        <v>5.61</v>
      </c>
      <c r="D6012">
        <f t="shared" si="189"/>
        <v>1</v>
      </c>
    </row>
    <row r="6013" spans="1:4" x14ac:dyDescent="0.55000000000000004">
      <c r="A6013">
        <f t="shared" si="188"/>
        <v>2001</v>
      </c>
      <c r="B6013" s="821">
        <v>36910</v>
      </c>
      <c r="C6013">
        <v>5.56</v>
      </c>
      <c r="D6013">
        <f t="shared" si="189"/>
        <v>1</v>
      </c>
    </row>
    <row r="6014" spans="1:4" x14ac:dyDescent="0.55000000000000004">
      <c r="A6014">
        <f t="shared" si="188"/>
        <v>2001</v>
      </c>
      <c r="B6014" s="821">
        <v>36909</v>
      </c>
      <c r="C6014">
        <v>5.47</v>
      </c>
      <c r="D6014">
        <f t="shared" si="189"/>
        <v>1</v>
      </c>
    </row>
    <row r="6015" spans="1:4" x14ac:dyDescent="0.55000000000000004">
      <c r="A6015">
        <f t="shared" si="188"/>
        <v>2001</v>
      </c>
      <c r="B6015" s="821">
        <v>36908</v>
      </c>
      <c r="C6015">
        <v>5.52</v>
      </c>
      <c r="D6015">
        <f t="shared" si="189"/>
        <v>1</v>
      </c>
    </row>
    <row r="6016" spans="1:4" x14ac:dyDescent="0.55000000000000004">
      <c r="A6016">
        <f t="shared" si="188"/>
        <v>2001</v>
      </c>
      <c r="B6016" s="821">
        <v>36907</v>
      </c>
      <c r="C6016">
        <v>5.6</v>
      </c>
      <c r="D6016">
        <f t="shared" si="189"/>
        <v>1</v>
      </c>
    </row>
    <row r="6017" spans="1:4" x14ac:dyDescent="0.55000000000000004">
      <c r="A6017">
        <f t="shared" si="188"/>
        <v>2001</v>
      </c>
      <c r="B6017" s="821">
        <v>36903</v>
      </c>
      <c r="C6017">
        <v>5.63</v>
      </c>
      <c r="D6017">
        <f t="shared" si="189"/>
        <v>1</v>
      </c>
    </row>
    <row r="6018" spans="1:4" x14ac:dyDescent="0.55000000000000004">
      <c r="A6018">
        <f t="shared" si="188"/>
        <v>2001</v>
      </c>
      <c r="B6018" s="821">
        <v>36902</v>
      </c>
      <c r="C6018">
        <v>5.55</v>
      </c>
      <c r="D6018">
        <f t="shared" si="189"/>
        <v>1</v>
      </c>
    </row>
    <row r="6019" spans="1:4" x14ac:dyDescent="0.55000000000000004">
      <c r="A6019">
        <f t="shared" si="188"/>
        <v>2001</v>
      </c>
      <c r="B6019" s="821">
        <v>36901</v>
      </c>
      <c r="C6019">
        <v>5.49</v>
      </c>
      <c r="D6019">
        <f t="shared" si="189"/>
        <v>1</v>
      </c>
    </row>
    <row r="6020" spans="1:4" x14ac:dyDescent="0.55000000000000004">
      <c r="A6020">
        <f t="shared" ref="A6020:A6083" si="190">YEAR(B6020)</f>
        <v>2001</v>
      </c>
      <c r="B6020" s="821">
        <v>36900</v>
      </c>
      <c r="C6020">
        <v>5.43</v>
      </c>
      <c r="D6020">
        <f t="shared" ref="D6020:D6083" si="191">IF(C6020&gt;4,1,0)</f>
        <v>1</v>
      </c>
    </row>
    <row r="6021" spans="1:4" x14ac:dyDescent="0.55000000000000004">
      <c r="A6021">
        <f t="shared" si="190"/>
        <v>2001</v>
      </c>
      <c r="B6021" s="821">
        <v>36899</v>
      </c>
      <c r="C6021">
        <v>5.42</v>
      </c>
      <c r="D6021">
        <f t="shared" si="191"/>
        <v>1</v>
      </c>
    </row>
    <row r="6022" spans="1:4" x14ac:dyDescent="0.55000000000000004">
      <c r="A6022">
        <f t="shared" si="190"/>
        <v>2001</v>
      </c>
      <c r="B6022" s="821">
        <v>36896</v>
      </c>
      <c r="C6022">
        <v>5.41</v>
      </c>
      <c r="D6022">
        <f t="shared" si="191"/>
        <v>1</v>
      </c>
    </row>
    <row r="6023" spans="1:4" x14ac:dyDescent="0.55000000000000004">
      <c r="A6023">
        <f t="shared" si="190"/>
        <v>2001</v>
      </c>
      <c r="B6023" s="821">
        <v>36895</v>
      </c>
      <c r="C6023">
        <v>5.44</v>
      </c>
      <c r="D6023">
        <f t="shared" si="191"/>
        <v>1</v>
      </c>
    </row>
    <row r="6024" spans="1:4" x14ac:dyDescent="0.55000000000000004">
      <c r="A6024">
        <f t="shared" si="190"/>
        <v>2001</v>
      </c>
      <c r="B6024" s="821">
        <v>36894</v>
      </c>
      <c r="C6024">
        <v>5.49</v>
      </c>
      <c r="D6024">
        <f t="shared" si="191"/>
        <v>1</v>
      </c>
    </row>
    <row r="6025" spans="1:4" x14ac:dyDescent="0.55000000000000004">
      <c r="A6025">
        <f t="shared" si="190"/>
        <v>2001</v>
      </c>
      <c r="B6025" s="821">
        <v>36893</v>
      </c>
      <c r="C6025">
        <v>5.35</v>
      </c>
      <c r="D6025">
        <f t="shared" si="191"/>
        <v>1</v>
      </c>
    </row>
    <row r="6026" spans="1:4" x14ac:dyDescent="0.55000000000000004">
      <c r="A6026">
        <f t="shared" si="190"/>
        <v>2000</v>
      </c>
      <c r="B6026" s="821">
        <v>36889</v>
      </c>
      <c r="C6026">
        <v>5.46</v>
      </c>
      <c r="D6026">
        <f t="shared" si="191"/>
        <v>1</v>
      </c>
    </row>
    <row r="6027" spans="1:4" x14ac:dyDescent="0.55000000000000004">
      <c r="A6027">
        <f t="shared" si="190"/>
        <v>2000</v>
      </c>
      <c r="B6027" s="821">
        <v>36888</v>
      </c>
      <c r="C6027">
        <v>5.44</v>
      </c>
      <c r="D6027">
        <f t="shared" si="191"/>
        <v>1</v>
      </c>
    </row>
    <row r="6028" spans="1:4" x14ac:dyDescent="0.55000000000000004">
      <c r="A6028">
        <f t="shared" si="190"/>
        <v>2000</v>
      </c>
      <c r="B6028" s="821">
        <v>36887</v>
      </c>
      <c r="C6028">
        <v>5.45</v>
      </c>
      <c r="D6028">
        <f t="shared" si="191"/>
        <v>1</v>
      </c>
    </row>
    <row r="6029" spans="1:4" x14ac:dyDescent="0.55000000000000004">
      <c r="A6029">
        <f t="shared" si="190"/>
        <v>2000</v>
      </c>
      <c r="B6029" s="821">
        <v>36886</v>
      </c>
      <c r="C6029">
        <v>5.41</v>
      </c>
      <c r="D6029">
        <f t="shared" si="191"/>
        <v>1</v>
      </c>
    </row>
    <row r="6030" spans="1:4" x14ac:dyDescent="0.55000000000000004">
      <c r="A6030">
        <f t="shared" si="190"/>
        <v>2000</v>
      </c>
      <c r="B6030" s="821">
        <v>36882</v>
      </c>
      <c r="C6030">
        <v>5.4</v>
      </c>
      <c r="D6030">
        <f t="shared" si="191"/>
        <v>1</v>
      </c>
    </row>
    <row r="6031" spans="1:4" x14ac:dyDescent="0.55000000000000004">
      <c r="A6031">
        <f t="shared" si="190"/>
        <v>2000</v>
      </c>
      <c r="B6031" s="821">
        <v>36881</v>
      </c>
      <c r="C6031">
        <v>5.41</v>
      </c>
      <c r="D6031">
        <f t="shared" si="191"/>
        <v>1</v>
      </c>
    </row>
    <row r="6032" spans="1:4" x14ac:dyDescent="0.55000000000000004">
      <c r="A6032">
        <f t="shared" si="190"/>
        <v>2000</v>
      </c>
      <c r="B6032" s="821">
        <v>36880</v>
      </c>
      <c r="C6032">
        <v>5.42</v>
      </c>
      <c r="D6032">
        <f t="shared" si="191"/>
        <v>1</v>
      </c>
    </row>
    <row r="6033" spans="1:4" x14ac:dyDescent="0.55000000000000004">
      <c r="A6033">
        <f t="shared" si="190"/>
        <v>2000</v>
      </c>
      <c r="B6033" s="821">
        <v>36879</v>
      </c>
      <c r="C6033">
        <v>5.47</v>
      </c>
      <c r="D6033">
        <f t="shared" si="191"/>
        <v>1</v>
      </c>
    </row>
    <row r="6034" spans="1:4" x14ac:dyDescent="0.55000000000000004">
      <c r="A6034">
        <f t="shared" si="190"/>
        <v>2000</v>
      </c>
      <c r="B6034" s="821">
        <v>36878</v>
      </c>
      <c r="C6034">
        <v>5.44</v>
      </c>
      <c r="D6034">
        <f t="shared" si="191"/>
        <v>1</v>
      </c>
    </row>
    <row r="6035" spans="1:4" x14ac:dyDescent="0.55000000000000004">
      <c r="A6035">
        <f t="shared" si="190"/>
        <v>2000</v>
      </c>
      <c r="B6035" s="821">
        <v>36875</v>
      </c>
      <c r="C6035">
        <v>5.44</v>
      </c>
      <c r="D6035">
        <f t="shared" si="191"/>
        <v>1</v>
      </c>
    </row>
    <row r="6036" spans="1:4" x14ac:dyDescent="0.55000000000000004">
      <c r="A6036">
        <f t="shared" si="190"/>
        <v>2000</v>
      </c>
      <c r="B6036" s="821">
        <v>36874</v>
      </c>
      <c r="C6036">
        <v>5.45</v>
      </c>
      <c r="D6036">
        <f t="shared" si="191"/>
        <v>1</v>
      </c>
    </row>
    <row r="6037" spans="1:4" x14ac:dyDescent="0.55000000000000004">
      <c r="A6037">
        <f t="shared" si="190"/>
        <v>2000</v>
      </c>
      <c r="B6037" s="821">
        <v>36873</v>
      </c>
      <c r="C6037">
        <v>5.48</v>
      </c>
      <c r="D6037">
        <f t="shared" si="191"/>
        <v>1</v>
      </c>
    </row>
    <row r="6038" spans="1:4" x14ac:dyDescent="0.55000000000000004">
      <c r="A6038">
        <f t="shared" si="190"/>
        <v>2000</v>
      </c>
      <c r="B6038" s="821">
        <v>36872</v>
      </c>
      <c r="C6038">
        <v>5.53</v>
      </c>
      <c r="D6038">
        <f t="shared" si="191"/>
        <v>1</v>
      </c>
    </row>
    <row r="6039" spans="1:4" x14ac:dyDescent="0.55000000000000004">
      <c r="A6039">
        <f t="shared" si="190"/>
        <v>2000</v>
      </c>
      <c r="B6039" s="821">
        <v>36871</v>
      </c>
      <c r="C6039">
        <v>5.54</v>
      </c>
      <c r="D6039">
        <f t="shared" si="191"/>
        <v>1</v>
      </c>
    </row>
    <row r="6040" spans="1:4" x14ac:dyDescent="0.55000000000000004">
      <c r="A6040">
        <f t="shared" si="190"/>
        <v>2000</v>
      </c>
      <c r="B6040" s="821">
        <v>36868</v>
      </c>
      <c r="C6040">
        <v>5.55</v>
      </c>
      <c r="D6040">
        <f t="shared" si="191"/>
        <v>1</v>
      </c>
    </row>
    <row r="6041" spans="1:4" x14ac:dyDescent="0.55000000000000004">
      <c r="A6041">
        <f t="shared" si="190"/>
        <v>2000</v>
      </c>
      <c r="B6041" s="821">
        <v>36867</v>
      </c>
      <c r="C6041">
        <v>5.51</v>
      </c>
      <c r="D6041">
        <f t="shared" si="191"/>
        <v>1</v>
      </c>
    </row>
    <row r="6042" spans="1:4" x14ac:dyDescent="0.55000000000000004">
      <c r="A6042">
        <f t="shared" si="190"/>
        <v>2000</v>
      </c>
      <c r="B6042" s="821">
        <v>36866</v>
      </c>
      <c r="C6042">
        <v>5.52</v>
      </c>
      <c r="D6042">
        <f t="shared" si="191"/>
        <v>1</v>
      </c>
    </row>
    <row r="6043" spans="1:4" x14ac:dyDescent="0.55000000000000004">
      <c r="A6043">
        <f t="shared" si="190"/>
        <v>2000</v>
      </c>
      <c r="B6043" s="821">
        <v>36865</v>
      </c>
      <c r="C6043">
        <v>5.59</v>
      </c>
      <c r="D6043">
        <f t="shared" si="191"/>
        <v>1</v>
      </c>
    </row>
    <row r="6044" spans="1:4" x14ac:dyDescent="0.55000000000000004">
      <c r="A6044">
        <f t="shared" si="190"/>
        <v>2000</v>
      </c>
      <c r="B6044" s="821">
        <v>36864</v>
      </c>
      <c r="C6044">
        <v>5.66</v>
      </c>
      <c r="D6044">
        <f t="shared" si="191"/>
        <v>1</v>
      </c>
    </row>
    <row r="6045" spans="1:4" x14ac:dyDescent="0.55000000000000004">
      <c r="A6045">
        <f t="shared" si="190"/>
        <v>2000</v>
      </c>
      <c r="B6045" s="821">
        <v>36861</v>
      </c>
      <c r="C6045">
        <v>5.64</v>
      </c>
      <c r="D6045">
        <f t="shared" si="191"/>
        <v>1</v>
      </c>
    </row>
    <row r="6046" spans="1:4" x14ac:dyDescent="0.55000000000000004">
      <c r="A6046">
        <f t="shared" si="190"/>
        <v>2000</v>
      </c>
      <c r="B6046" s="821">
        <v>36860</v>
      </c>
      <c r="C6046">
        <v>5.6</v>
      </c>
      <c r="D6046">
        <f t="shared" si="191"/>
        <v>1</v>
      </c>
    </row>
    <row r="6047" spans="1:4" x14ac:dyDescent="0.55000000000000004">
      <c r="A6047">
        <f t="shared" si="190"/>
        <v>2000</v>
      </c>
      <c r="B6047" s="821">
        <v>36859</v>
      </c>
      <c r="C6047">
        <v>5.66</v>
      </c>
      <c r="D6047">
        <f t="shared" si="191"/>
        <v>1</v>
      </c>
    </row>
    <row r="6048" spans="1:4" x14ac:dyDescent="0.55000000000000004">
      <c r="A6048">
        <f t="shared" si="190"/>
        <v>2000</v>
      </c>
      <c r="B6048" s="821">
        <v>36858</v>
      </c>
      <c r="C6048">
        <v>5.67</v>
      </c>
      <c r="D6048">
        <f t="shared" si="191"/>
        <v>1</v>
      </c>
    </row>
    <row r="6049" spans="1:4" x14ac:dyDescent="0.55000000000000004">
      <c r="A6049">
        <f t="shared" si="190"/>
        <v>2000</v>
      </c>
      <c r="B6049" s="821">
        <v>36857</v>
      </c>
      <c r="C6049">
        <v>5.71</v>
      </c>
      <c r="D6049">
        <f t="shared" si="191"/>
        <v>1</v>
      </c>
    </row>
    <row r="6050" spans="1:4" x14ac:dyDescent="0.55000000000000004">
      <c r="A6050">
        <f t="shared" si="190"/>
        <v>2000</v>
      </c>
      <c r="B6050" s="821">
        <v>36854</v>
      </c>
      <c r="C6050">
        <v>5.67</v>
      </c>
      <c r="D6050">
        <f t="shared" si="191"/>
        <v>1</v>
      </c>
    </row>
    <row r="6051" spans="1:4" x14ac:dyDescent="0.55000000000000004">
      <c r="A6051">
        <f t="shared" si="190"/>
        <v>2000</v>
      </c>
      <c r="B6051" s="821">
        <v>36852</v>
      </c>
      <c r="C6051">
        <v>5.68</v>
      </c>
      <c r="D6051">
        <f t="shared" si="191"/>
        <v>1</v>
      </c>
    </row>
    <row r="6052" spans="1:4" x14ac:dyDescent="0.55000000000000004">
      <c r="A6052">
        <f t="shared" si="190"/>
        <v>2000</v>
      </c>
      <c r="B6052" s="821">
        <v>36851</v>
      </c>
      <c r="C6052">
        <v>5.74</v>
      </c>
      <c r="D6052">
        <f t="shared" si="191"/>
        <v>1</v>
      </c>
    </row>
    <row r="6053" spans="1:4" x14ac:dyDescent="0.55000000000000004">
      <c r="A6053">
        <f t="shared" si="190"/>
        <v>2000</v>
      </c>
      <c r="B6053" s="821">
        <v>36850</v>
      </c>
      <c r="C6053">
        <v>5.76</v>
      </c>
      <c r="D6053">
        <f t="shared" si="191"/>
        <v>1</v>
      </c>
    </row>
    <row r="6054" spans="1:4" x14ac:dyDescent="0.55000000000000004">
      <c r="A6054">
        <f t="shared" si="190"/>
        <v>2000</v>
      </c>
      <c r="B6054" s="821">
        <v>36847</v>
      </c>
      <c r="C6054">
        <v>5.78</v>
      </c>
      <c r="D6054">
        <f t="shared" si="191"/>
        <v>1</v>
      </c>
    </row>
    <row r="6055" spans="1:4" x14ac:dyDescent="0.55000000000000004">
      <c r="A6055">
        <f t="shared" si="190"/>
        <v>2000</v>
      </c>
      <c r="B6055" s="821">
        <v>36846</v>
      </c>
      <c r="C6055">
        <v>5.75</v>
      </c>
      <c r="D6055">
        <f t="shared" si="191"/>
        <v>1</v>
      </c>
    </row>
    <row r="6056" spans="1:4" x14ac:dyDescent="0.55000000000000004">
      <c r="A6056">
        <f t="shared" si="190"/>
        <v>2000</v>
      </c>
      <c r="B6056" s="821">
        <v>36845</v>
      </c>
      <c r="C6056">
        <v>5.77</v>
      </c>
      <c r="D6056">
        <f t="shared" si="191"/>
        <v>1</v>
      </c>
    </row>
    <row r="6057" spans="1:4" x14ac:dyDescent="0.55000000000000004">
      <c r="A6057">
        <f t="shared" si="190"/>
        <v>2000</v>
      </c>
      <c r="B6057" s="821">
        <v>36844</v>
      </c>
      <c r="C6057">
        <v>5.81</v>
      </c>
      <c r="D6057">
        <f t="shared" si="191"/>
        <v>1</v>
      </c>
    </row>
    <row r="6058" spans="1:4" x14ac:dyDescent="0.55000000000000004">
      <c r="A6058">
        <f t="shared" si="190"/>
        <v>2000</v>
      </c>
      <c r="B6058" s="821">
        <v>36843</v>
      </c>
      <c r="C6058">
        <v>5.85</v>
      </c>
      <c r="D6058">
        <f t="shared" si="191"/>
        <v>1</v>
      </c>
    </row>
    <row r="6059" spans="1:4" x14ac:dyDescent="0.55000000000000004">
      <c r="A6059">
        <f t="shared" si="190"/>
        <v>2000</v>
      </c>
      <c r="B6059" s="821">
        <v>36840</v>
      </c>
      <c r="C6059">
        <v>5.88</v>
      </c>
      <c r="D6059">
        <f t="shared" si="191"/>
        <v>1</v>
      </c>
    </row>
    <row r="6060" spans="1:4" x14ac:dyDescent="0.55000000000000004">
      <c r="A6060">
        <f t="shared" si="190"/>
        <v>2000</v>
      </c>
      <c r="B6060" s="821">
        <v>36839</v>
      </c>
      <c r="C6060">
        <v>5.85</v>
      </c>
      <c r="D6060">
        <f t="shared" si="191"/>
        <v>1</v>
      </c>
    </row>
    <row r="6061" spans="1:4" x14ac:dyDescent="0.55000000000000004">
      <c r="A6061">
        <f t="shared" si="190"/>
        <v>2000</v>
      </c>
      <c r="B6061" s="821">
        <v>36838</v>
      </c>
      <c r="C6061">
        <v>5.89</v>
      </c>
      <c r="D6061">
        <f t="shared" si="191"/>
        <v>1</v>
      </c>
    </row>
    <row r="6062" spans="1:4" x14ac:dyDescent="0.55000000000000004">
      <c r="A6062">
        <f t="shared" si="190"/>
        <v>2000</v>
      </c>
      <c r="B6062" s="821">
        <v>36837</v>
      </c>
      <c r="C6062">
        <v>5.9</v>
      </c>
      <c r="D6062">
        <f t="shared" si="191"/>
        <v>1</v>
      </c>
    </row>
    <row r="6063" spans="1:4" x14ac:dyDescent="0.55000000000000004">
      <c r="A6063">
        <f t="shared" si="190"/>
        <v>2000</v>
      </c>
      <c r="B6063" s="821">
        <v>36836</v>
      </c>
      <c r="C6063">
        <v>5.89</v>
      </c>
      <c r="D6063">
        <f t="shared" si="191"/>
        <v>1</v>
      </c>
    </row>
    <row r="6064" spans="1:4" x14ac:dyDescent="0.55000000000000004">
      <c r="A6064">
        <f t="shared" si="190"/>
        <v>2000</v>
      </c>
      <c r="B6064" s="821">
        <v>36833</v>
      </c>
      <c r="C6064">
        <v>5.86</v>
      </c>
      <c r="D6064">
        <f t="shared" si="191"/>
        <v>1</v>
      </c>
    </row>
    <row r="6065" spans="1:4" x14ac:dyDescent="0.55000000000000004">
      <c r="A6065">
        <f t="shared" si="190"/>
        <v>2000</v>
      </c>
      <c r="B6065" s="821">
        <v>36832</v>
      </c>
      <c r="C6065">
        <v>5.79</v>
      </c>
      <c r="D6065">
        <f t="shared" si="191"/>
        <v>1</v>
      </c>
    </row>
    <row r="6066" spans="1:4" x14ac:dyDescent="0.55000000000000004">
      <c r="A6066">
        <f t="shared" si="190"/>
        <v>2000</v>
      </c>
      <c r="B6066" s="821">
        <v>36831</v>
      </c>
      <c r="C6066">
        <v>5.78</v>
      </c>
      <c r="D6066">
        <f t="shared" si="191"/>
        <v>1</v>
      </c>
    </row>
    <row r="6067" spans="1:4" x14ac:dyDescent="0.55000000000000004">
      <c r="A6067">
        <f t="shared" si="190"/>
        <v>2000</v>
      </c>
      <c r="B6067" s="821">
        <v>36830</v>
      </c>
      <c r="C6067">
        <v>5.79</v>
      </c>
      <c r="D6067">
        <f t="shared" si="191"/>
        <v>1</v>
      </c>
    </row>
    <row r="6068" spans="1:4" x14ac:dyDescent="0.55000000000000004">
      <c r="A6068">
        <f t="shared" si="190"/>
        <v>2000</v>
      </c>
      <c r="B6068" s="821">
        <v>36829</v>
      </c>
      <c r="C6068">
        <v>5.76</v>
      </c>
      <c r="D6068">
        <f t="shared" si="191"/>
        <v>1</v>
      </c>
    </row>
    <row r="6069" spans="1:4" x14ac:dyDescent="0.55000000000000004">
      <c r="A6069">
        <f t="shared" si="190"/>
        <v>2000</v>
      </c>
      <c r="B6069" s="821">
        <v>36826</v>
      </c>
      <c r="C6069">
        <v>5.74</v>
      </c>
      <c r="D6069">
        <f t="shared" si="191"/>
        <v>1</v>
      </c>
    </row>
    <row r="6070" spans="1:4" x14ac:dyDescent="0.55000000000000004">
      <c r="A6070">
        <f t="shared" si="190"/>
        <v>2000</v>
      </c>
      <c r="B6070" s="821">
        <v>36825</v>
      </c>
      <c r="C6070">
        <v>5.74</v>
      </c>
      <c r="D6070">
        <f t="shared" si="191"/>
        <v>1</v>
      </c>
    </row>
    <row r="6071" spans="1:4" x14ac:dyDescent="0.55000000000000004">
      <c r="A6071">
        <f t="shared" si="190"/>
        <v>2000</v>
      </c>
      <c r="B6071" s="821">
        <v>36824</v>
      </c>
      <c r="C6071">
        <v>5.75</v>
      </c>
      <c r="D6071">
        <f t="shared" si="191"/>
        <v>1</v>
      </c>
    </row>
    <row r="6072" spans="1:4" x14ac:dyDescent="0.55000000000000004">
      <c r="A6072">
        <f t="shared" si="190"/>
        <v>2000</v>
      </c>
      <c r="B6072" s="821">
        <v>36823</v>
      </c>
      <c r="C6072">
        <v>5.71</v>
      </c>
      <c r="D6072">
        <f t="shared" si="191"/>
        <v>1</v>
      </c>
    </row>
    <row r="6073" spans="1:4" x14ac:dyDescent="0.55000000000000004">
      <c r="A6073">
        <f t="shared" si="190"/>
        <v>2000</v>
      </c>
      <c r="B6073" s="821">
        <v>36822</v>
      </c>
      <c r="C6073">
        <v>5.68</v>
      </c>
      <c r="D6073">
        <f t="shared" si="191"/>
        <v>1</v>
      </c>
    </row>
    <row r="6074" spans="1:4" x14ac:dyDescent="0.55000000000000004">
      <c r="A6074">
        <f t="shared" si="190"/>
        <v>2000</v>
      </c>
      <c r="B6074" s="821">
        <v>36819</v>
      </c>
      <c r="C6074">
        <v>5.73</v>
      </c>
      <c r="D6074">
        <f t="shared" si="191"/>
        <v>1</v>
      </c>
    </row>
    <row r="6075" spans="1:4" x14ac:dyDescent="0.55000000000000004">
      <c r="A6075">
        <f t="shared" si="190"/>
        <v>2000</v>
      </c>
      <c r="B6075" s="821">
        <v>36818</v>
      </c>
      <c r="C6075">
        <v>5.76</v>
      </c>
      <c r="D6075">
        <f t="shared" si="191"/>
        <v>1</v>
      </c>
    </row>
    <row r="6076" spans="1:4" x14ac:dyDescent="0.55000000000000004">
      <c r="A6076">
        <f t="shared" si="190"/>
        <v>2000</v>
      </c>
      <c r="B6076" s="821">
        <v>36817</v>
      </c>
      <c r="C6076">
        <v>5.77</v>
      </c>
      <c r="D6076">
        <f t="shared" si="191"/>
        <v>1</v>
      </c>
    </row>
    <row r="6077" spans="1:4" x14ac:dyDescent="0.55000000000000004">
      <c r="A6077">
        <f t="shared" si="190"/>
        <v>2000</v>
      </c>
      <c r="B6077" s="821">
        <v>36816</v>
      </c>
      <c r="C6077">
        <v>5.77</v>
      </c>
      <c r="D6077">
        <f t="shared" si="191"/>
        <v>1</v>
      </c>
    </row>
    <row r="6078" spans="1:4" x14ac:dyDescent="0.55000000000000004">
      <c r="A6078">
        <f t="shared" si="190"/>
        <v>2000</v>
      </c>
      <c r="B6078" s="821">
        <v>36815</v>
      </c>
      <c r="C6078">
        <v>5.81</v>
      </c>
      <c r="D6078">
        <f t="shared" si="191"/>
        <v>1</v>
      </c>
    </row>
    <row r="6079" spans="1:4" x14ac:dyDescent="0.55000000000000004">
      <c r="A6079">
        <f t="shared" si="190"/>
        <v>2000</v>
      </c>
      <c r="B6079" s="821">
        <v>36812</v>
      </c>
      <c r="C6079">
        <v>5.8</v>
      </c>
      <c r="D6079">
        <f t="shared" si="191"/>
        <v>1</v>
      </c>
    </row>
    <row r="6080" spans="1:4" x14ac:dyDescent="0.55000000000000004">
      <c r="A6080">
        <f t="shared" si="190"/>
        <v>2000</v>
      </c>
      <c r="B6080" s="821">
        <v>36811</v>
      </c>
      <c r="C6080">
        <v>5.82</v>
      </c>
      <c r="D6080">
        <f t="shared" si="191"/>
        <v>1</v>
      </c>
    </row>
    <row r="6081" spans="1:4" x14ac:dyDescent="0.55000000000000004">
      <c r="A6081">
        <f t="shared" si="190"/>
        <v>2000</v>
      </c>
      <c r="B6081" s="821">
        <v>36810</v>
      </c>
      <c r="C6081">
        <v>5.83</v>
      </c>
      <c r="D6081">
        <f t="shared" si="191"/>
        <v>1</v>
      </c>
    </row>
    <row r="6082" spans="1:4" x14ac:dyDescent="0.55000000000000004">
      <c r="A6082">
        <f t="shared" si="190"/>
        <v>2000</v>
      </c>
      <c r="B6082" s="821">
        <v>36809</v>
      </c>
      <c r="C6082">
        <v>5.83</v>
      </c>
      <c r="D6082">
        <f t="shared" si="191"/>
        <v>1</v>
      </c>
    </row>
    <row r="6083" spans="1:4" x14ac:dyDescent="0.55000000000000004">
      <c r="A6083">
        <f t="shared" si="190"/>
        <v>2000</v>
      </c>
      <c r="B6083" s="821">
        <v>36805</v>
      </c>
      <c r="C6083">
        <v>5.85</v>
      </c>
      <c r="D6083">
        <f t="shared" si="191"/>
        <v>1</v>
      </c>
    </row>
    <row r="6084" spans="1:4" x14ac:dyDescent="0.55000000000000004">
      <c r="A6084">
        <f t="shared" ref="A6084:A6147" si="192">YEAR(B6084)</f>
        <v>2000</v>
      </c>
      <c r="B6084" s="821">
        <v>36804</v>
      </c>
      <c r="C6084">
        <v>5.91</v>
      </c>
      <c r="D6084">
        <f t="shared" ref="D6084:D6147" si="193">IF(C6084&gt;4,1,0)</f>
        <v>1</v>
      </c>
    </row>
    <row r="6085" spans="1:4" x14ac:dyDescent="0.55000000000000004">
      <c r="A6085">
        <f t="shared" si="192"/>
        <v>2000</v>
      </c>
      <c r="B6085" s="821">
        <v>36803</v>
      </c>
      <c r="C6085">
        <v>5.95</v>
      </c>
      <c r="D6085">
        <f t="shared" si="193"/>
        <v>1</v>
      </c>
    </row>
    <row r="6086" spans="1:4" x14ac:dyDescent="0.55000000000000004">
      <c r="A6086">
        <f t="shared" si="192"/>
        <v>2000</v>
      </c>
      <c r="B6086" s="821">
        <v>36802</v>
      </c>
      <c r="C6086">
        <v>5.94</v>
      </c>
      <c r="D6086">
        <f t="shared" si="193"/>
        <v>1</v>
      </c>
    </row>
    <row r="6087" spans="1:4" x14ac:dyDescent="0.55000000000000004">
      <c r="A6087">
        <f t="shared" si="192"/>
        <v>2000</v>
      </c>
      <c r="B6087" s="821">
        <v>36801</v>
      </c>
      <c r="C6087">
        <v>5.93</v>
      </c>
      <c r="D6087">
        <f t="shared" si="193"/>
        <v>1</v>
      </c>
    </row>
    <row r="6088" spans="1:4" x14ac:dyDescent="0.55000000000000004">
      <c r="A6088">
        <f t="shared" si="192"/>
        <v>2000</v>
      </c>
      <c r="B6088" s="821">
        <v>36798</v>
      </c>
      <c r="C6088">
        <v>5.88</v>
      </c>
      <c r="D6088">
        <f t="shared" si="193"/>
        <v>1</v>
      </c>
    </row>
    <row r="6089" spans="1:4" x14ac:dyDescent="0.55000000000000004">
      <c r="A6089">
        <f t="shared" si="192"/>
        <v>2000</v>
      </c>
      <c r="B6089" s="821">
        <v>36797</v>
      </c>
      <c r="C6089">
        <v>5.89</v>
      </c>
      <c r="D6089">
        <f t="shared" si="193"/>
        <v>1</v>
      </c>
    </row>
    <row r="6090" spans="1:4" x14ac:dyDescent="0.55000000000000004">
      <c r="A6090">
        <f t="shared" si="192"/>
        <v>2000</v>
      </c>
      <c r="B6090" s="821">
        <v>36796</v>
      </c>
      <c r="C6090">
        <v>5.9</v>
      </c>
      <c r="D6090">
        <f t="shared" si="193"/>
        <v>1</v>
      </c>
    </row>
    <row r="6091" spans="1:4" x14ac:dyDescent="0.55000000000000004">
      <c r="A6091">
        <f t="shared" si="192"/>
        <v>2000</v>
      </c>
      <c r="B6091" s="821">
        <v>36795</v>
      </c>
      <c r="C6091">
        <v>5.86</v>
      </c>
      <c r="D6091">
        <f t="shared" si="193"/>
        <v>1</v>
      </c>
    </row>
    <row r="6092" spans="1:4" x14ac:dyDescent="0.55000000000000004">
      <c r="A6092">
        <f t="shared" si="192"/>
        <v>2000</v>
      </c>
      <c r="B6092" s="821">
        <v>36794</v>
      </c>
      <c r="C6092">
        <v>5.9</v>
      </c>
      <c r="D6092">
        <f t="shared" si="193"/>
        <v>1</v>
      </c>
    </row>
    <row r="6093" spans="1:4" x14ac:dyDescent="0.55000000000000004">
      <c r="A6093">
        <f t="shared" si="192"/>
        <v>2000</v>
      </c>
      <c r="B6093" s="821">
        <v>36791</v>
      </c>
      <c r="C6093">
        <v>5.92</v>
      </c>
      <c r="D6093">
        <f t="shared" si="193"/>
        <v>1</v>
      </c>
    </row>
    <row r="6094" spans="1:4" x14ac:dyDescent="0.55000000000000004">
      <c r="A6094">
        <f t="shared" si="192"/>
        <v>2000</v>
      </c>
      <c r="B6094" s="821">
        <v>36790</v>
      </c>
      <c r="C6094">
        <v>5.93</v>
      </c>
      <c r="D6094">
        <f t="shared" si="193"/>
        <v>1</v>
      </c>
    </row>
    <row r="6095" spans="1:4" x14ac:dyDescent="0.55000000000000004">
      <c r="A6095">
        <f t="shared" si="192"/>
        <v>2000</v>
      </c>
      <c r="B6095" s="821">
        <v>36789</v>
      </c>
      <c r="C6095">
        <v>5.97</v>
      </c>
      <c r="D6095">
        <f t="shared" si="193"/>
        <v>1</v>
      </c>
    </row>
    <row r="6096" spans="1:4" x14ac:dyDescent="0.55000000000000004">
      <c r="A6096">
        <f t="shared" si="192"/>
        <v>2000</v>
      </c>
      <c r="B6096" s="821">
        <v>36788</v>
      </c>
      <c r="C6096">
        <v>5.92</v>
      </c>
      <c r="D6096">
        <f t="shared" si="193"/>
        <v>1</v>
      </c>
    </row>
    <row r="6097" spans="1:4" x14ac:dyDescent="0.55000000000000004">
      <c r="A6097">
        <f t="shared" si="192"/>
        <v>2000</v>
      </c>
      <c r="B6097" s="821">
        <v>36787</v>
      </c>
      <c r="C6097">
        <v>5.96</v>
      </c>
      <c r="D6097">
        <f t="shared" si="193"/>
        <v>1</v>
      </c>
    </row>
    <row r="6098" spans="1:4" x14ac:dyDescent="0.55000000000000004">
      <c r="A6098">
        <f t="shared" si="192"/>
        <v>2000</v>
      </c>
      <c r="B6098" s="821">
        <v>36784</v>
      </c>
      <c r="C6098">
        <v>5.9</v>
      </c>
      <c r="D6098">
        <f t="shared" si="193"/>
        <v>1</v>
      </c>
    </row>
    <row r="6099" spans="1:4" x14ac:dyDescent="0.55000000000000004">
      <c r="A6099">
        <f t="shared" si="192"/>
        <v>2000</v>
      </c>
      <c r="B6099" s="821">
        <v>36783</v>
      </c>
      <c r="C6099">
        <v>5.81</v>
      </c>
      <c r="D6099">
        <f t="shared" si="193"/>
        <v>1</v>
      </c>
    </row>
    <row r="6100" spans="1:4" x14ac:dyDescent="0.55000000000000004">
      <c r="A6100">
        <f t="shared" si="192"/>
        <v>2000</v>
      </c>
      <c r="B6100" s="821">
        <v>36782</v>
      </c>
      <c r="C6100">
        <v>5.73</v>
      </c>
      <c r="D6100">
        <f t="shared" si="193"/>
        <v>1</v>
      </c>
    </row>
    <row r="6101" spans="1:4" x14ac:dyDescent="0.55000000000000004">
      <c r="A6101">
        <f t="shared" si="192"/>
        <v>2000</v>
      </c>
      <c r="B6101" s="821">
        <v>36781</v>
      </c>
      <c r="C6101">
        <v>5.76</v>
      </c>
      <c r="D6101">
        <f t="shared" si="193"/>
        <v>1</v>
      </c>
    </row>
    <row r="6102" spans="1:4" x14ac:dyDescent="0.55000000000000004">
      <c r="A6102">
        <f t="shared" si="192"/>
        <v>2000</v>
      </c>
      <c r="B6102" s="821">
        <v>36780</v>
      </c>
      <c r="C6102">
        <v>5.73</v>
      </c>
      <c r="D6102">
        <f t="shared" si="193"/>
        <v>1</v>
      </c>
    </row>
    <row r="6103" spans="1:4" x14ac:dyDescent="0.55000000000000004">
      <c r="A6103">
        <f t="shared" si="192"/>
        <v>2000</v>
      </c>
      <c r="B6103" s="821">
        <v>36777</v>
      </c>
      <c r="C6103">
        <v>5.7</v>
      </c>
      <c r="D6103">
        <f t="shared" si="193"/>
        <v>1</v>
      </c>
    </row>
    <row r="6104" spans="1:4" x14ac:dyDescent="0.55000000000000004">
      <c r="A6104">
        <f t="shared" si="192"/>
        <v>2000</v>
      </c>
      <c r="B6104" s="821">
        <v>36776</v>
      </c>
      <c r="C6104">
        <v>5.72</v>
      </c>
      <c r="D6104">
        <f t="shared" si="193"/>
        <v>1</v>
      </c>
    </row>
    <row r="6105" spans="1:4" x14ac:dyDescent="0.55000000000000004">
      <c r="A6105">
        <f t="shared" si="192"/>
        <v>2000</v>
      </c>
      <c r="B6105" s="821">
        <v>36775</v>
      </c>
      <c r="C6105">
        <v>5.71</v>
      </c>
      <c r="D6105">
        <f t="shared" si="193"/>
        <v>1</v>
      </c>
    </row>
    <row r="6106" spans="1:4" x14ac:dyDescent="0.55000000000000004">
      <c r="A6106">
        <f t="shared" si="192"/>
        <v>2000</v>
      </c>
      <c r="B6106" s="821">
        <v>36774</v>
      </c>
      <c r="C6106">
        <v>5.67</v>
      </c>
      <c r="D6106">
        <f t="shared" si="193"/>
        <v>1</v>
      </c>
    </row>
    <row r="6107" spans="1:4" x14ac:dyDescent="0.55000000000000004">
      <c r="A6107">
        <f t="shared" si="192"/>
        <v>2000</v>
      </c>
      <c r="B6107" s="821">
        <v>36770</v>
      </c>
      <c r="C6107">
        <v>5.67</v>
      </c>
      <c r="D6107">
        <f t="shared" si="193"/>
        <v>1</v>
      </c>
    </row>
    <row r="6108" spans="1:4" x14ac:dyDescent="0.55000000000000004">
      <c r="A6108">
        <f t="shared" si="192"/>
        <v>2000</v>
      </c>
      <c r="B6108" s="821">
        <v>36769</v>
      </c>
      <c r="C6108">
        <v>5.67</v>
      </c>
      <c r="D6108">
        <f t="shared" si="193"/>
        <v>1</v>
      </c>
    </row>
    <row r="6109" spans="1:4" x14ac:dyDescent="0.55000000000000004">
      <c r="A6109">
        <f t="shared" si="192"/>
        <v>2000</v>
      </c>
      <c r="B6109" s="821">
        <v>36768</v>
      </c>
      <c r="C6109">
        <v>5.74</v>
      </c>
      <c r="D6109">
        <f t="shared" si="193"/>
        <v>1</v>
      </c>
    </row>
    <row r="6110" spans="1:4" x14ac:dyDescent="0.55000000000000004">
      <c r="A6110">
        <f t="shared" si="192"/>
        <v>2000</v>
      </c>
      <c r="B6110" s="821">
        <v>36767</v>
      </c>
      <c r="C6110">
        <v>5.75</v>
      </c>
      <c r="D6110">
        <f t="shared" si="193"/>
        <v>1</v>
      </c>
    </row>
    <row r="6111" spans="1:4" x14ac:dyDescent="0.55000000000000004">
      <c r="A6111">
        <f t="shared" si="192"/>
        <v>2000</v>
      </c>
      <c r="B6111" s="821">
        <v>36766</v>
      </c>
      <c r="C6111">
        <v>5.72</v>
      </c>
      <c r="D6111">
        <f t="shared" si="193"/>
        <v>1</v>
      </c>
    </row>
    <row r="6112" spans="1:4" x14ac:dyDescent="0.55000000000000004">
      <c r="A6112">
        <f t="shared" si="192"/>
        <v>2000</v>
      </c>
      <c r="B6112" s="821">
        <v>36763</v>
      </c>
      <c r="C6112">
        <v>5.67</v>
      </c>
      <c r="D6112">
        <f t="shared" si="193"/>
        <v>1</v>
      </c>
    </row>
    <row r="6113" spans="1:4" x14ac:dyDescent="0.55000000000000004">
      <c r="A6113">
        <f t="shared" si="192"/>
        <v>2000</v>
      </c>
      <c r="B6113" s="821">
        <v>36762</v>
      </c>
      <c r="C6113">
        <v>5.67</v>
      </c>
      <c r="D6113">
        <f t="shared" si="193"/>
        <v>1</v>
      </c>
    </row>
    <row r="6114" spans="1:4" x14ac:dyDescent="0.55000000000000004">
      <c r="A6114">
        <f t="shared" si="192"/>
        <v>2000</v>
      </c>
      <c r="B6114" s="821">
        <v>36761</v>
      </c>
      <c r="C6114">
        <v>5.68</v>
      </c>
      <c r="D6114">
        <f t="shared" si="193"/>
        <v>1</v>
      </c>
    </row>
    <row r="6115" spans="1:4" x14ac:dyDescent="0.55000000000000004">
      <c r="A6115">
        <f t="shared" si="192"/>
        <v>2000</v>
      </c>
      <c r="B6115" s="821">
        <v>36760</v>
      </c>
      <c r="C6115">
        <v>5.71</v>
      </c>
      <c r="D6115">
        <f t="shared" si="193"/>
        <v>1</v>
      </c>
    </row>
    <row r="6116" spans="1:4" x14ac:dyDescent="0.55000000000000004">
      <c r="A6116">
        <f t="shared" si="192"/>
        <v>2000</v>
      </c>
      <c r="B6116" s="821">
        <v>36759</v>
      </c>
      <c r="C6116">
        <v>5.71</v>
      </c>
      <c r="D6116">
        <f t="shared" si="193"/>
        <v>1</v>
      </c>
    </row>
    <row r="6117" spans="1:4" x14ac:dyDescent="0.55000000000000004">
      <c r="A6117">
        <f t="shared" si="192"/>
        <v>2000</v>
      </c>
      <c r="B6117" s="821">
        <v>36756</v>
      </c>
      <c r="C6117">
        <v>5.69</v>
      </c>
      <c r="D6117">
        <f t="shared" si="193"/>
        <v>1</v>
      </c>
    </row>
    <row r="6118" spans="1:4" x14ac:dyDescent="0.55000000000000004">
      <c r="A6118">
        <f t="shared" si="192"/>
        <v>2000</v>
      </c>
      <c r="B6118" s="821">
        <v>36755</v>
      </c>
      <c r="C6118">
        <v>5.72</v>
      </c>
      <c r="D6118">
        <f t="shared" si="193"/>
        <v>1</v>
      </c>
    </row>
    <row r="6119" spans="1:4" x14ac:dyDescent="0.55000000000000004">
      <c r="A6119">
        <f t="shared" si="192"/>
        <v>2000</v>
      </c>
      <c r="B6119" s="821">
        <v>36754</v>
      </c>
      <c r="C6119">
        <v>5.73</v>
      </c>
      <c r="D6119">
        <f t="shared" si="193"/>
        <v>1</v>
      </c>
    </row>
    <row r="6120" spans="1:4" x14ac:dyDescent="0.55000000000000004">
      <c r="A6120">
        <f t="shared" si="192"/>
        <v>2000</v>
      </c>
      <c r="B6120" s="821">
        <v>36753</v>
      </c>
      <c r="C6120">
        <v>5.72</v>
      </c>
      <c r="D6120">
        <f t="shared" si="193"/>
        <v>1</v>
      </c>
    </row>
    <row r="6121" spans="1:4" x14ac:dyDescent="0.55000000000000004">
      <c r="A6121">
        <f t="shared" si="192"/>
        <v>2000</v>
      </c>
      <c r="B6121" s="821">
        <v>36752</v>
      </c>
      <c r="C6121">
        <v>5.7</v>
      </c>
      <c r="D6121">
        <f t="shared" si="193"/>
        <v>1</v>
      </c>
    </row>
    <row r="6122" spans="1:4" x14ac:dyDescent="0.55000000000000004">
      <c r="A6122">
        <f t="shared" si="192"/>
        <v>2000</v>
      </c>
      <c r="B6122" s="821">
        <v>36749</v>
      </c>
      <c r="C6122">
        <v>5.72</v>
      </c>
      <c r="D6122">
        <f t="shared" si="193"/>
        <v>1</v>
      </c>
    </row>
    <row r="6123" spans="1:4" x14ac:dyDescent="0.55000000000000004">
      <c r="A6123">
        <f t="shared" si="192"/>
        <v>2000</v>
      </c>
      <c r="B6123" s="821">
        <v>36748</v>
      </c>
      <c r="C6123">
        <v>5.68</v>
      </c>
      <c r="D6123">
        <f t="shared" si="193"/>
        <v>1</v>
      </c>
    </row>
    <row r="6124" spans="1:4" x14ac:dyDescent="0.55000000000000004">
      <c r="A6124">
        <f t="shared" si="192"/>
        <v>2000</v>
      </c>
      <c r="B6124" s="821">
        <v>36747</v>
      </c>
      <c r="C6124">
        <v>5.73</v>
      </c>
      <c r="D6124">
        <f t="shared" si="193"/>
        <v>1</v>
      </c>
    </row>
    <row r="6125" spans="1:4" x14ac:dyDescent="0.55000000000000004">
      <c r="A6125">
        <f t="shared" si="192"/>
        <v>2000</v>
      </c>
      <c r="B6125" s="821">
        <v>36746</v>
      </c>
      <c r="C6125">
        <v>5.73</v>
      </c>
      <c r="D6125">
        <f t="shared" si="193"/>
        <v>1</v>
      </c>
    </row>
    <row r="6126" spans="1:4" x14ac:dyDescent="0.55000000000000004">
      <c r="A6126">
        <f t="shared" si="192"/>
        <v>2000</v>
      </c>
      <c r="B6126" s="821">
        <v>36745</v>
      </c>
      <c r="C6126">
        <v>5.76</v>
      </c>
      <c r="D6126">
        <f t="shared" si="193"/>
        <v>1</v>
      </c>
    </row>
    <row r="6127" spans="1:4" x14ac:dyDescent="0.55000000000000004">
      <c r="A6127">
        <f t="shared" si="192"/>
        <v>2000</v>
      </c>
      <c r="B6127" s="821">
        <v>36742</v>
      </c>
      <c r="C6127">
        <v>5.72</v>
      </c>
      <c r="D6127">
        <f t="shared" si="193"/>
        <v>1</v>
      </c>
    </row>
    <row r="6128" spans="1:4" x14ac:dyDescent="0.55000000000000004">
      <c r="A6128">
        <f t="shared" si="192"/>
        <v>2000</v>
      </c>
      <c r="B6128" s="821">
        <v>36741</v>
      </c>
      <c r="C6128">
        <v>5.74</v>
      </c>
      <c r="D6128">
        <f t="shared" si="193"/>
        <v>1</v>
      </c>
    </row>
    <row r="6129" spans="1:4" x14ac:dyDescent="0.55000000000000004">
      <c r="A6129">
        <f t="shared" si="192"/>
        <v>2000</v>
      </c>
      <c r="B6129" s="821">
        <v>36740</v>
      </c>
      <c r="C6129">
        <v>5.77</v>
      </c>
      <c r="D6129">
        <f t="shared" si="193"/>
        <v>1</v>
      </c>
    </row>
    <row r="6130" spans="1:4" x14ac:dyDescent="0.55000000000000004">
      <c r="A6130">
        <f t="shared" si="192"/>
        <v>2000</v>
      </c>
      <c r="B6130" s="821">
        <v>36739</v>
      </c>
      <c r="C6130">
        <v>5.74</v>
      </c>
      <c r="D6130">
        <f t="shared" si="193"/>
        <v>1</v>
      </c>
    </row>
    <row r="6131" spans="1:4" x14ac:dyDescent="0.55000000000000004">
      <c r="A6131">
        <f t="shared" si="192"/>
        <v>2000</v>
      </c>
      <c r="B6131" s="821">
        <v>36738</v>
      </c>
      <c r="C6131">
        <v>5.79</v>
      </c>
      <c r="D6131">
        <f t="shared" si="193"/>
        <v>1</v>
      </c>
    </row>
    <row r="6132" spans="1:4" x14ac:dyDescent="0.55000000000000004">
      <c r="A6132">
        <f t="shared" si="192"/>
        <v>2000</v>
      </c>
      <c r="B6132" s="821">
        <v>36735</v>
      </c>
      <c r="C6132">
        <v>5.78</v>
      </c>
      <c r="D6132">
        <f t="shared" si="193"/>
        <v>1</v>
      </c>
    </row>
    <row r="6133" spans="1:4" x14ac:dyDescent="0.55000000000000004">
      <c r="A6133">
        <f t="shared" si="192"/>
        <v>2000</v>
      </c>
      <c r="B6133" s="821">
        <v>36734</v>
      </c>
      <c r="C6133">
        <v>5.78</v>
      </c>
      <c r="D6133">
        <f t="shared" si="193"/>
        <v>1</v>
      </c>
    </row>
    <row r="6134" spans="1:4" x14ac:dyDescent="0.55000000000000004">
      <c r="A6134">
        <f t="shared" si="192"/>
        <v>2000</v>
      </c>
      <c r="B6134" s="821">
        <v>36733</v>
      </c>
      <c r="C6134">
        <v>5.82</v>
      </c>
      <c r="D6134">
        <f t="shared" si="193"/>
        <v>1</v>
      </c>
    </row>
    <row r="6135" spans="1:4" x14ac:dyDescent="0.55000000000000004">
      <c r="A6135">
        <f t="shared" si="192"/>
        <v>2000</v>
      </c>
      <c r="B6135" s="821">
        <v>36732</v>
      </c>
      <c r="C6135">
        <v>5.81</v>
      </c>
      <c r="D6135">
        <f t="shared" si="193"/>
        <v>1</v>
      </c>
    </row>
    <row r="6136" spans="1:4" x14ac:dyDescent="0.55000000000000004">
      <c r="A6136">
        <f t="shared" si="192"/>
        <v>2000</v>
      </c>
      <c r="B6136" s="821">
        <v>36731</v>
      </c>
      <c r="C6136">
        <v>5.81</v>
      </c>
      <c r="D6136">
        <f t="shared" si="193"/>
        <v>1</v>
      </c>
    </row>
    <row r="6137" spans="1:4" x14ac:dyDescent="0.55000000000000004">
      <c r="A6137">
        <f t="shared" si="192"/>
        <v>2000</v>
      </c>
      <c r="B6137" s="821">
        <v>36728</v>
      </c>
      <c r="C6137">
        <v>5.79</v>
      </c>
      <c r="D6137">
        <f t="shared" si="193"/>
        <v>1</v>
      </c>
    </row>
    <row r="6138" spans="1:4" x14ac:dyDescent="0.55000000000000004">
      <c r="A6138">
        <f t="shared" si="192"/>
        <v>2000</v>
      </c>
      <c r="B6138" s="821">
        <v>36727</v>
      </c>
      <c r="C6138">
        <v>5.81</v>
      </c>
      <c r="D6138">
        <f t="shared" si="193"/>
        <v>1</v>
      </c>
    </row>
    <row r="6139" spans="1:4" x14ac:dyDescent="0.55000000000000004">
      <c r="A6139">
        <f t="shared" si="192"/>
        <v>2000</v>
      </c>
      <c r="B6139" s="821">
        <v>36726</v>
      </c>
      <c r="C6139">
        <v>5.92</v>
      </c>
      <c r="D6139">
        <f t="shared" si="193"/>
        <v>1</v>
      </c>
    </row>
    <row r="6140" spans="1:4" x14ac:dyDescent="0.55000000000000004">
      <c r="A6140">
        <f t="shared" si="192"/>
        <v>2000</v>
      </c>
      <c r="B6140" s="821">
        <v>36725</v>
      </c>
      <c r="C6140">
        <v>5.92</v>
      </c>
      <c r="D6140">
        <f t="shared" si="193"/>
        <v>1</v>
      </c>
    </row>
    <row r="6141" spans="1:4" x14ac:dyDescent="0.55000000000000004">
      <c r="A6141">
        <f t="shared" si="192"/>
        <v>2000</v>
      </c>
      <c r="B6141" s="821">
        <v>36724</v>
      </c>
      <c r="C6141">
        <v>5.93</v>
      </c>
      <c r="D6141">
        <f t="shared" si="193"/>
        <v>1</v>
      </c>
    </row>
    <row r="6142" spans="1:4" x14ac:dyDescent="0.55000000000000004">
      <c r="A6142">
        <f t="shared" si="192"/>
        <v>2000</v>
      </c>
      <c r="B6142" s="821">
        <v>36721</v>
      </c>
      <c r="C6142">
        <v>5.88</v>
      </c>
      <c r="D6142">
        <f t="shared" si="193"/>
        <v>1</v>
      </c>
    </row>
    <row r="6143" spans="1:4" x14ac:dyDescent="0.55000000000000004">
      <c r="A6143">
        <f t="shared" si="192"/>
        <v>2000</v>
      </c>
      <c r="B6143" s="821">
        <v>36720</v>
      </c>
      <c r="C6143">
        <v>5.81</v>
      </c>
      <c r="D6143">
        <f t="shared" si="193"/>
        <v>1</v>
      </c>
    </row>
    <row r="6144" spans="1:4" x14ac:dyDescent="0.55000000000000004">
      <c r="A6144">
        <f t="shared" si="192"/>
        <v>2000</v>
      </c>
      <c r="B6144" s="821">
        <v>36719</v>
      </c>
      <c r="C6144">
        <v>5.89</v>
      </c>
      <c r="D6144">
        <f t="shared" si="193"/>
        <v>1</v>
      </c>
    </row>
    <row r="6145" spans="1:4" x14ac:dyDescent="0.55000000000000004">
      <c r="A6145">
        <f t="shared" si="192"/>
        <v>2000</v>
      </c>
      <c r="B6145" s="821">
        <v>36718</v>
      </c>
      <c r="C6145">
        <v>5.89</v>
      </c>
      <c r="D6145">
        <f t="shared" si="193"/>
        <v>1</v>
      </c>
    </row>
    <row r="6146" spans="1:4" x14ac:dyDescent="0.55000000000000004">
      <c r="A6146">
        <f t="shared" si="192"/>
        <v>2000</v>
      </c>
      <c r="B6146" s="821">
        <v>36717</v>
      </c>
      <c r="C6146">
        <v>5.88</v>
      </c>
      <c r="D6146">
        <f t="shared" si="193"/>
        <v>1</v>
      </c>
    </row>
    <row r="6147" spans="1:4" x14ac:dyDescent="0.55000000000000004">
      <c r="A6147">
        <f t="shared" si="192"/>
        <v>2000</v>
      </c>
      <c r="B6147" s="821">
        <v>36714</v>
      </c>
      <c r="C6147">
        <v>5.87</v>
      </c>
      <c r="D6147">
        <f t="shared" si="193"/>
        <v>1</v>
      </c>
    </row>
    <row r="6148" spans="1:4" x14ac:dyDescent="0.55000000000000004">
      <c r="A6148">
        <f t="shared" ref="A6148:A6211" si="194">YEAR(B6148)</f>
        <v>2000</v>
      </c>
      <c r="B6148" s="821">
        <v>36713</v>
      </c>
      <c r="C6148">
        <v>5.91</v>
      </c>
      <c r="D6148">
        <f t="shared" ref="D6148:D6211" si="195">IF(C6148&gt;4,1,0)</f>
        <v>1</v>
      </c>
    </row>
    <row r="6149" spans="1:4" x14ac:dyDescent="0.55000000000000004">
      <c r="A6149">
        <f t="shared" si="194"/>
        <v>2000</v>
      </c>
      <c r="B6149" s="821">
        <v>36712</v>
      </c>
      <c r="C6149">
        <v>5.86</v>
      </c>
      <c r="D6149">
        <f t="shared" si="195"/>
        <v>1</v>
      </c>
    </row>
    <row r="6150" spans="1:4" x14ac:dyDescent="0.55000000000000004">
      <c r="A6150">
        <f t="shared" si="194"/>
        <v>2000</v>
      </c>
      <c r="B6150" s="821">
        <v>36710</v>
      </c>
      <c r="C6150">
        <v>5.87</v>
      </c>
      <c r="D6150">
        <f t="shared" si="195"/>
        <v>1</v>
      </c>
    </row>
    <row r="6151" spans="1:4" x14ac:dyDescent="0.55000000000000004">
      <c r="A6151">
        <f t="shared" si="194"/>
        <v>2000</v>
      </c>
      <c r="B6151" s="821">
        <v>36707</v>
      </c>
      <c r="C6151">
        <v>5.9</v>
      </c>
      <c r="D6151">
        <f t="shared" si="195"/>
        <v>1</v>
      </c>
    </row>
    <row r="6152" spans="1:4" x14ac:dyDescent="0.55000000000000004">
      <c r="A6152">
        <f t="shared" si="194"/>
        <v>2000</v>
      </c>
      <c r="B6152" s="821">
        <v>36706</v>
      </c>
      <c r="C6152">
        <v>5.88</v>
      </c>
      <c r="D6152">
        <f t="shared" si="195"/>
        <v>1</v>
      </c>
    </row>
    <row r="6153" spans="1:4" x14ac:dyDescent="0.55000000000000004">
      <c r="A6153">
        <f t="shared" si="194"/>
        <v>2000</v>
      </c>
      <c r="B6153" s="821">
        <v>36705</v>
      </c>
      <c r="C6153">
        <v>5.97</v>
      </c>
      <c r="D6153">
        <f t="shared" si="195"/>
        <v>1</v>
      </c>
    </row>
    <row r="6154" spans="1:4" x14ac:dyDescent="0.55000000000000004">
      <c r="A6154">
        <f t="shared" si="194"/>
        <v>2000</v>
      </c>
      <c r="B6154" s="821">
        <v>36704</v>
      </c>
      <c r="C6154">
        <v>5.95</v>
      </c>
      <c r="D6154">
        <f t="shared" si="195"/>
        <v>1</v>
      </c>
    </row>
    <row r="6155" spans="1:4" x14ac:dyDescent="0.55000000000000004">
      <c r="A6155">
        <f t="shared" si="194"/>
        <v>2000</v>
      </c>
      <c r="B6155" s="821">
        <v>36703</v>
      </c>
      <c r="C6155">
        <v>5.99</v>
      </c>
      <c r="D6155">
        <f t="shared" si="195"/>
        <v>1</v>
      </c>
    </row>
    <row r="6156" spans="1:4" x14ac:dyDescent="0.55000000000000004">
      <c r="A6156">
        <f t="shared" si="194"/>
        <v>2000</v>
      </c>
      <c r="B6156" s="821">
        <v>36700</v>
      </c>
      <c r="C6156">
        <v>6.04</v>
      </c>
      <c r="D6156">
        <f t="shared" si="195"/>
        <v>1</v>
      </c>
    </row>
    <row r="6157" spans="1:4" x14ac:dyDescent="0.55000000000000004">
      <c r="A6157">
        <f t="shared" si="194"/>
        <v>2000</v>
      </c>
      <c r="B6157" s="821">
        <v>36699</v>
      </c>
      <c r="C6157">
        <v>5.98</v>
      </c>
      <c r="D6157">
        <f t="shared" si="195"/>
        <v>1</v>
      </c>
    </row>
    <row r="6158" spans="1:4" x14ac:dyDescent="0.55000000000000004">
      <c r="A6158">
        <f t="shared" si="194"/>
        <v>2000</v>
      </c>
      <c r="B6158" s="821">
        <v>36698</v>
      </c>
      <c r="C6158">
        <v>5.96</v>
      </c>
      <c r="D6158">
        <f t="shared" si="195"/>
        <v>1</v>
      </c>
    </row>
    <row r="6159" spans="1:4" x14ac:dyDescent="0.55000000000000004">
      <c r="A6159">
        <f t="shared" si="194"/>
        <v>2000</v>
      </c>
      <c r="B6159" s="821">
        <v>36697</v>
      </c>
      <c r="C6159">
        <v>5.9</v>
      </c>
      <c r="D6159">
        <f t="shared" si="195"/>
        <v>1</v>
      </c>
    </row>
    <row r="6160" spans="1:4" x14ac:dyDescent="0.55000000000000004">
      <c r="A6160">
        <f t="shared" si="194"/>
        <v>2000</v>
      </c>
      <c r="B6160" s="821">
        <v>36696</v>
      </c>
      <c r="C6160">
        <v>5.89</v>
      </c>
      <c r="D6160">
        <f t="shared" si="195"/>
        <v>1</v>
      </c>
    </row>
    <row r="6161" spans="1:4" x14ac:dyDescent="0.55000000000000004">
      <c r="A6161">
        <f t="shared" si="194"/>
        <v>2000</v>
      </c>
      <c r="B6161" s="821">
        <v>36693</v>
      </c>
      <c r="C6161">
        <v>5.88</v>
      </c>
      <c r="D6161">
        <f t="shared" si="195"/>
        <v>1</v>
      </c>
    </row>
    <row r="6162" spans="1:4" x14ac:dyDescent="0.55000000000000004">
      <c r="A6162">
        <f t="shared" si="194"/>
        <v>2000</v>
      </c>
      <c r="B6162" s="821">
        <v>36692</v>
      </c>
      <c r="C6162">
        <v>5.93</v>
      </c>
      <c r="D6162">
        <f t="shared" si="195"/>
        <v>1</v>
      </c>
    </row>
    <row r="6163" spans="1:4" x14ac:dyDescent="0.55000000000000004">
      <c r="A6163">
        <f t="shared" si="194"/>
        <v>2000</v>
      </c>
      <c r="B6163" s="821">
        <v>36691</v>
      </c>
      <c r="C6163">
        <v>5.91</v>
      </c>
      <c r="D6163">
        <f t="shared" si="195"/>
        <v>1</v>
      </c>
    </row>
    <row r="6164" spans="1:4" x14ac:dyDescent="0.55000000000000004">
      <c r="A6164">
        <f t="shared" si="194"/>
        <v>2000</v>
      </c>
      <c r="B6164" s="821">
        <v>36690</v>
      </c>
      <c r="C6164">
        <v>5.94</v>
      </c>
      <c r="D6164">
        <f t="shared" si="195"/>
        <v>1</v>
      </c>
    </row>
    <row r="6165" spans="1:4" x14ac:dyDescent="0.55000000000000004">
      <c r="A6165">
        <f t="shared" si="194"/>
        <v>2000</v>
      </c>
      <c r="B6165" s="821">
        <v>36689</v>
      </c>
      <c r="C6165">
        <v>5.88</v>
      </c>
      <c r="D6165">
        <f t="shared" si="195"/>
        <v>1</v>
      </c>
    </row>
    <row r="6166" spans="1:4" x14ac:dyDescent="0.55000000000000004">
      <c r="A6166">
        <f t="shared" si="194"/>
        <v>2000</v>
      </c>
      <c r="B6166" s="821">
        <v>36686</v>
      </c>
      <c r="C6166">
        <v>5.89</v>
      </c>
      <c r="D6166">
        <f t="shared" si="195"/>
        <v>1</v>
      </c>
    </row>
    <row r="6167" spans="1:4" x14ac:dyDescent="0.55000000000000004">
      <c r="A6167">
        <f t="shared" si="194"/>
        <v>2000</v>
      </c>
      <c r="B6167" s="821">
        <v>36685</v>
      </c>
      <c r="C6167">
        <v>5.89</v>
      </c>
      <c r="D6167">
        <f t="shared" si="195"/>
        <v>1</v>
      </c>
    </row>
    <row r="6168" spans="1:4" x14ac:dyDescent="0.55000000000000004">
      <c r="A6168">
        <f t="shared" si="194"/>
        <v>2000</v>
      </c>
      <c r="B6168" s="821">
        <v>36684</v>
      </c>
      <c r="C6168">
        <v>5.89</v>
      </c>
      <c r="D6168">
        <f t="shared" si="195"/>
        <v>1</v>
      </c>
    </row>
    <row r="6169" spans="1:4" x14ac:dyDescent="0.55000000000000004">
      <c r="A6169">
        <f t="shared" si="194"/>
        <v>2000</v>
      </c>
      <c r="B6169" s="821">
        <v>36683</v>
      </c>
      <c r="C6169">
        <v>5.91</v>
      </c>
      <c r="D6169">
        <f t="shared" si="195"/>
        <v>1</v>
      </c>
    </row>
    <row r="6170" spans="1:4" x14ac:dyDescent="0.55000000000000004">
      <c r="A6170">
        <f t="shared" si="194"/>
        <v>2000</v>
      </c>
      <c r="B6170" s="821">
        <v>36682</v>
      </c>
      <c r="C6170">
        <v>5.91</v>
      </c>
      <c r="D6170">
        <f t="shared" si="195"/>
        <v>1</v>
      </c>
    </row>
    <row r="6171" spans="1:4" x14ac:dyDescent="0.55000000000000004">
      <c r="A6171">
        <f t="shared" si="194"/>
        <v>2000</v>
      </c>
      <c r="B6171" s="821">
        <v>36679</v>
      </c>
      <c r="C6171">
        <v>5.94</v>
      </c>
      <c r="D6171">
        <f t="shared" si="195"/>
        <v>1</v>
      </c>
    </row>
    <row r="6172" spans="1:4" x14ac:dyDescent="0.55000000000000004">
      <c r="A6172">
        <f t="shared" si="194"/>
        <v>2000</v>
      </c>
      <c r="B6172" s="821">
        <v>36678</v>
      </c>
      <c r="C6172">
        <v>5.95</v>
      </c>
      <c r="D6172">
        <f t="shared" si="195"/>
        <v>1</v>
      </c>
    </row>
    <row r="6173" spans="1:4" x14ac:dyDescent="0.55000000000000004">
      <c r="A6173">
        <f t="shared" si="194"/>
        <v>2000</v>
      </c>
      <c r="B6173" s="821">
        <v>36677</v>
      </c>
      <c r="C6173">
        <v>6.02</v>
      </c>
      <c r="D6173">
        <f t="shared" si="195"/>
        <v>1</v>
      </c>
    </row>
    <row r="6174" spans="1:4" x14ac:dyDescent="0.55000000000000004">
      <c r="A6174">
        <f t="shared" si="194"/>
        <v>2000</v>
      </c>
      <c r="B6174" s="821">
        <v>36676</v>
      </c>
      <c r="C6174">
        <v>6.09</v>
      </c>
      <c r="D6174">
        <f t="shared" si="195"/>
        <v>1</v>
      </c>
    </row>
    <row r="6175" spans="1:4" x14ac:dyDescent="0.55000000000000004">
      <c r="A6175">
        <f t="shared" si="194"/>
        <v>2000</v>
      </c>
      <c r="B6175" s="821">
        <v>36672</v>
      </c>
      <c r="C6175">
        <v>6.06</v>
      </c>
      <c r="D6175">
        <f t="shared" si="195"/>
        <v>1</v>
      </c>
    </row>
    <row r="6176" spans="1:4" x14ac:dyDescent="0.55000000000000004">
      <c r="A6176">
        <f t="shared" si="194"/>
        <v>2000</v>
      </c>
      <c r="B6176" s="821">
        <v>36671</v>
      </c>
      <c r="C6176">
        <v>6.11</v>
      </c>
      <c r="D6176">
        <f t="shared" si="195"/>
        <v>1</v>
      </c>
    </row>
    <row r="6177" spans="1:4" x14ac:dyDescent="0.55000000000000004">
      <c r="A6177">
        <f t="shared" si="194"/>
        <v>2000</v>
      </c>
      <c r="B6177" s="821">
        <v>36670</v>
      </c>
      <c r="C6177">
        <v>6.19</v>
      </c>
      <c r="D6177">
        <f t="shared" si="195"/>
        <v>1</v>
      </c>
    </row>
    <row r="6178" spans="1:4" x14ac:dyDescent="0.55000000000000004">
      <c r="A6178">
        <f t="shared" si="194"/>
        <v>2000</v>
      </c>
      <c r="B6178" s="821">
        <v>36669</v>
      </c>
      <c r="C6178">
        <v>6.17</v>
      </c>
      <c r="D6178">
        <f t="shared" si="195"/>
        <v>1</v>
      </c>
    </row>
    <row r="6179" spans="1:4" x14ac:dyDescent="0.55000000000000004">
      <c r="A6179">
        <f t="shared" si="194"/>
        <v>2000</v>
      </c>
      <c r="B6179" s="821">
        <v>36668</v>
      </c>
      <c r="C6179">
        <v>6.18</v>
      </c>
      <c r="D6179">
        <f t="shared" si="195"/>
        <v>1</v>
      </c>
    </row>
    <row r="6180" spans="1:4" x14ac:dyDescent="0.55000000000000004">
      <c r="A6180">
        <f t="shared" si="194"/>
        <v>2000</v>
      </c>
      <c r="B6180" s="821">
        <v>36665</v>
      </c>
      <c r="C6180">
        <v>6.22</v>
      </c>
      <c r="D6180">
        <f t="shared" si="195"/>
        <v>1</v>
      </c>
    </row>
    <row r="6181" spans="1:4" x14ac:dyDescent="0.55000000000000004">
      <c r="A6181">
        <f t="shared" si="194"/>
        <v>2000</v>
      </c>
      <c r="B6181" s="821">
        <v>36664</v>
      </c>
      <c r="C6181">
        <v>6.24</v>
      </c>
      <c r="D6181">
        <f t="shared" si="195"/>
        <v>1</v>
      </c>
    </row>
    <row r="6182" spans="1:4" x14ac:dyDescent="0.55000000000000004">
      <c r="A6182">
        <f t="shared" si="194"/>
        <v>2000</v>
      </c>
      <c r="B6182" s="821">
        <v>36663</v>
      </c>
      <c r="C6182">
        <v>6.18</v>
      </c>
      <c r="D6182">
        <f t="shared" si="195"/>
        <v>1</v>
      </c>
    </row>
    <row r="6183" spans="1:4" x14ac:dyDescent="0.55000000000000004">
      <c r="A6183">
        <f t="shared" si="194"/>
        <v>2000</v>
      </c>
      <c r="B6183" s="821">
        <v>36662</v>
      </c>
      <c r="C6183">
        <v>6.12</v>
      </c>
      <c r="D6183">
        <f t="shared" si="195"/>
        <v>1</v>
      </c>
    </row>
    <row r="6184" spans="1:4" x14ac:dyDescent="0.55000000000000004">
      <c r="A6184">
        <f t="shared" si="194"/>
        <v>2000</v>
      </c>
      <c r="B6184" s="821">
        <v>36661</v>
      </c>
      <c r="C6184">
        <v>6.17</v>
      </c>
      <c r="D6184">
        <f t="shared" si="195"/>
        <v>1</v>
      </c>
    </row>
    <row r="6185" spans="1:4" x14ac:dyDescent="0.55000000000000004">
      <c r="A6185">
        <f t="shared" si="194"/>
        <v>2000</v>
      </c>
      <c r="B6185" s="821">
        <v>36658</v>
      </c>
      <c r="C6185">
        <v>6.2</v>
      </c>
      <c r="D6185">
        <f t="shared" si="195"/>
        <v>1</v>
      </c>
    </row>
    <row r="6186" spans="1:4" x14ac:dyDescent="0.55000000000000004">
      <c r="A6186">
        <f t="shared" si="194"/>
        <v>2000</v>
      </c>
      <c r="B6186" s="821">
        <v>36657</v>
      </c>
      <c r="C6186">
        <v>6.16</v>
      </c>
      <c r="D6186">
        <f t="shared" si="195"/>
        <v>1</v>
      </c>
    </row>
    <row r="6187" spans="1:4" x14ac:dyDescent="0.55000000000000004">
      <c r="A6187">
        <f t="shared" si="194"/>
        <v>2000</v>
      </c>
      <c r="B6187" s="821">
        <v>36656</v>
      </c>
      <c r="C6187">
        <v>6.18</v>
      </c>
      <c r="D6187">
        <f t="shared" si="195"/>
        <v>1</v>
      </c>
    </row>
    <row r="6188" spans="1:4" x14ac:dyDescent="0.55000000000000004">
      <c r="A6188">
        <f t="shared" si="194"/>
        <v>2000</v>
      </c>
      <c r="B6188" s="821">
        <v>36655</v>
      </c>
      <c r="C6188">
        <v>6.22</v>
      </c>
      <c r="D6188">
        <f t="shared" si="195"/>
        <v>1</v>
      </c>
    </row>
    <row r="6189" spans="1:4" x14ac:dyDescent="0.55000000000000004">
      <c r="A6189">
        <f t="shared" si="194"/>
        <v>2000</v>
      </c>
      <c r="B6189" s="821">
        <v>36654</v>
      </c>
      <c r="C6189">
        <v>6.25</v>
      </c>
      <c r="D6189">
        <f t="shared" si="195"/>
        <v>1</v>
      </c>
    </row>
    <row r="6190" spans="1:4" x14ac:dyDescent="0.55000000000000004">
      <c r="A6190">
        <f t="shared" si="194"/>
        <v>2000</v>
      </c>
      <c r="B6190" s="821">
        <v>36651</v>
      </c>
      <c r="C6190">
        <v>6.2</v>
      </c>
      <c r="D6190">
        <f t="shared" si="195"/>
        <v>1</v>
      </c>
    </row>
    <row r="6191" spans="1:4" x14ac:dyDescent="0.55000000000000004">
      <c r="A6191">
        <f t="shared" si="194"/>
        <v>2000</v>
      </c>
      <c r="B6191" s="821">
        <v>36650</v>
      </c>
      <c r="C6191">
        <v>6.19</v>
      </c>
      <c r="D6191">
        <f t="shared" si="195"/>
        <v>1</v>
      </c>
    </row>
    <row r="6192" spans="1:4" x14ac:dyDescent="0.55000000000000004">
      <c r="A6192">
        <f t="shared" si="194"/>
        <v>2000</v>
      </c>
      <c r="B6192" s="821">
        <v>36649</v>
      </c>
      <c r="C6192">
        <v>6.11</v>
      </c>
      <c r="D6192">
        <f t="shared" si="195"/>
        <v>1</v>
      </c>
    </row>
    <row r="6193" spans="1:4" x14ac:dyDescent="0.55000000000000004">
      <c r="A6193">
        <f t="shared" si="194"/>
        <v>2000</v>
      </c>
      <c r="B6193" s="821">
        <v>36648</v>
      </c>
      <c r="C6193">
        <v>6.03</v>
      </c>
      <c r="D6193">
        <f t="shared" si="195"/>
        <v>1</v>
      </c>
    </row>
    <row r="6194" spans="1:4" x14ac:dyDescent="0.55000000000000004">
      <c r="A6194">
        <f t="shared" si="194"/>
        <v>2000</v>
      </c>
      <c r="B6194" s="821">
        <v>36647</v>
      </c>
      <c r="C6194">
        <v>5.98</v>
      </c>
      <c r="D6194">
        <f t="shared" si="195"/>
        <v>1</v>
      </c>
    </row>
    <row r="6195" spans="1:4" x14ac:dyDescent="0.55000000000000004">
      <c r="A6195">
        <f t="shared" si="194"/>
        <v>2000</v>
      </c>
      <c r="B6195" s="821">
        <v>36644</v>
      </c>
      <c r="C6195">
        <v>5.97</v>
      </c>
      <c r="D6195">
        <f t="shared" si="195"/>
        <v>1</v>
      </c>
    </row>
    <row r="6196" spans="1:4" x14ac:dyDescent="0.55000000000000004">
      <c r="A6196">
        <f t="shared" si="194"/>
        <v>2000</v>
      </c>
      <c r="B6196" s="821">
        <v>36643</v>
      </c>
      <c r="C6196">
        <v>6</v>
      </c>
      <c r="D6196">
        <f t="shared" si="195"/>
        <v>1</v>
      </c>
    </row>
    <row r="6197" spans="1:4" x14ac:dyDescent="0.55000000000000004">
      <c r="A6197">
        <f t="shared" si="194"/>
        <v>2000</v>
      </c>
      <c r="B6197" s="821">
        <v>36642</v>
      </c>
      <c r="C6197">
        <v>5.95</v>
      </c>
      <c r="D6197">
        <f t="shared" si="195"/>
        <v>1</v>
      </c>
    </row>
    <row r="6198" spans="1:4" x14ac:dyDescent="0.55000000000000004">
      <c r="A6198">
        <f t="shared" si="194"/>
        <v>2000</v>
      </c>
      <c r="B6198" s="821">
        <v>36641</v>
      </c>
      <c r="C6198">
        <v>5.95</v>
      </c>
      <c r="D6198">
        <f t="shared" si="195"/>
        <v>1</v>
      </c>
    </row>
    <row r="6199" spans="1:4" x14ac:dyDescent="0.55000000000000004">
      <c r="A6199">
        <f t="shared" si="194"/>
        <v>2000</v>
      </c>
      <c r="B6199" s="821">
        <v>36640</v>
      </c>
      <c r="C6199">
        <v>5.86</v>
      </c>
      <c r="D6199">
        <f t="shared" si="195"/>
        <v>1</v>
      </c>
    </row>
    <row r="6200" spans="1:4" x14ac:dyDescent="0.55000000000000004">
      <c r="A6200">
        <f t="shared" si="194"/>
        <v>2000</v>
      </c>
      <c r="B6200" s="821">
        <v>36636</v>
      </c>
      <c r="C6200">
        <v>5.83</v>
      </c>
      <c r="D6200">
        <f t="shared" si="195"/>
        <v>1</v>
      </c>
    </row>
    <row r="6201" spans="1:4" x14ac:dyDescent="0.55000000000000004">
      <c r="A6201">
        <f t="shared" si="194"/>
        <v>2000</v>
      </c>
      <c r="B6201" s="821">
        <v>36635</v>
      </c>
      <c r="C6201">
        <v>5.85</v>
      </c>
      <c r="D6201">
        <f t="shared" si="195"/>
        <v>1</v>
      </c>
    </row>
    <row r="6202" spans="1:4" x14ac:dyDescent="0.55000000000000004">
      <c r="A6202">
        <f t="shared" si="194"/>
        <v>2000</v>
      </c>
      <c r="B6202" s="821">
        <v>36634</v>
      </c>
      <c r="C6202">
        <v>5.92</v>
      </c>
      <c r="D6202">
        <f t="shared" si="195"/>
        <v>1</v>
      </c>
    </row>
    <row r="6203" spans="1:4" x14ac:dyDescent="0.55000000000000004">
      <c r="A6203">
        <f t="shared" si="194"/>
        <v>2000</v>
      </c>
      <c r="B6203" s="821">
        <v>36633</v>
      </c>
      <c r="C6203">
        <v>5.92</v>
      </c>
      <c r="D6203">
        <f t="shared" si="195"/>
        <v>1</v>
      </c>
    </row>
    <row r="6204" spans="1:4" x14ac:dyDescent="0.55000000000000004">
      <c r="A6204">
        <f t="shared" si="194"/>
        <v>2000</v>
      </c>
      <c r="B6204" s="821">
        <v>36630</v>
      </c>
      <c r="C6204">
        <v>5.79</v>
      </c>
      <c r="D6204">
        <f t="shared" si="195"/>
        <v>1</v>
      </c>
    </row>
    <row r="6205" spans="1:4" x14ac:dyDescent="0.55000000000000004">
      <c r="A6205">
        <f t="shared" si="194"/>
        <v>2000</v>
      </c>
      <c r="B6205" s="821">
        <v>36629</v>
      </c>
      <c r="C6205">
        <v>5.81</v>
      </c>
      <c r="D6205">
        <f t="shared" si="195"/>
        <v>1</v>
      </c>
    </row>
    <row r="6206" spans="1:4" x14ac:dyDescent="0.55000000000000004">
      <c r="A6206">
        <f t="shared" si="194"/>
        <v>2000</v>
      </c>
      <c r="B6206" s="821">
        <v>36628</v>
      </c>
      <c r="C6206">
        <v>5.84</v>
      </c>
      <c r="D6206">
        <f t="shared" si="195"/>
        <v>1</v>
      </c>
    </row>
    <row r="6207" spans="1:4" x14ac:dyDescent="0.55000000000000004">
      <c r="A6207">
        <f t="shared" si="194"/>
        <v>2000</v>
      </c>
      <c r="B6207" s="821">
        <v>36627</v>
      </c>
      <c r="C6207">
        <v>5.77</v>
      </c>
      <c r="D6207">
        <f t="shared" si="195"/>
        <v>1</v>
      </c>
    </row>
    <row r="6208" spans="1:4" x14ac:dyDescent="0.55000000000000004">
      <c r="A6208">
        <f t="shared" si="194"/>
        <v>2000</v>
      </c>
      <c r="B6208" s="821">
        <v>36626</v>
      </c>
      <c r="C6208">
        <v>5.69</v>
      </c>
      <c r="D6208">
        <f t="shared" si="195"/>
        <v>1</v>
      </c>
    </row>
    <row r="6209" spans="1:4" x14ac:dyDescent="0.55000000000000004">
      <c r="A6209">
        <f t="shared" si="194"/>
        <v>2000</v>
      </c>
      <c r="B6209" s="821">
        <v>36623</v>
      </c>
      <c r="C6209">
        <v>5.71</v>
      </c>
      <c r="D6209">
        <f t="shared" si="195"/>
        <v>1</v>
      </c>
    </row>
    <row r="6210" spans="1:4" x14ac:dyDescent="0.55000000000000004">
      <c r="A6210">
        <f t="shared" si="194"/>
        <v>2000</v>
      </c>
      <c r="B6210" s="821">
        <v>36622</v>
      </c>
      <c r="C6210">
        <v>5.8</v>
      </c>
      <c r="D6210">
        <f t="shared" si="195"/>
        <v>1</v>
      </c>
    </row>
    <row r="6211" spans="1:4" x14ac:dyDescent="0.55000000000000004">
      <c r="A6211">
        <f t="shared" si="194"/>
        <v>2000</v>
      </c>
      <c r="B6211" s="821">
        <v>36621</v>
      </c>
      <c r="C6211">
        <v>5.81</v>
      </c>
      <c r="D6211">
        <f t="shared" si="195"/>
        <v>1</v>
      </c>
    </row>
    <row r="6212" spans="1:4" x14ac:dyDescent="0.55000000000000004">
      <c r="A6212">
        <f t="shared" ref="A6212:A6275" si="196">YEAR(B6212)</f>
        <v>2000</v>
      </c>
      <c r="B6212" s="821">
        <v>36620</v>
      </c>
      <c r="C6212">
        <v>5.77</v>
      </c>
      <c r="D6212">
        <f t="shared" ref="D6212:D6275" si="197">IF(C6212&gt;4,1,0)</f>
        <v>1</v>
      </c>
    </row>
    <row r="6213" spans="1:4" x14ac:dyDescent="0.55000000000000004">
      <c r="A6213">
        <f t="shared" si="196"/>
        <v>2000</v>
      </c>
      <c r="B6213" s="821">
        <v>36619</v>
      </c>
      <c r="C6213">
        <v>5.84</v>
      </c>
      <c r="D6213">
        <f t="shared" si="197"/>
        <v>1</v>
      </c>
    </row>
    <row r="6214" spans="1:4" x14ac:dyDescent="0.55000000000000004">
      <c r="A6214">
        <f t="shared" si="196"/>
        <v>2000</v>
      </c>
      <c r="B6214" s="821">
        <v>36616</v>
      </c>
      <c r="C6214">
        <v>5.84</v>
      </c>
      <c r="D6214">
        <f t="shared" si="197"/>
        <v>1</v>
      </c>
    </row>
    <row r="6215" spans="1:4" x14ac:dyDescent="0.55000000000000004">
      <c r="A6215">
        <f t="shared" si="196"/>
        <v>2000</v>
      </c>
      <c r="B6215" s="821">
        <v>36615</v>
      </c>
      <c r="C6215">
        <v>5.89</v>
      </c>
      <c r="D6215">
        <f t="shared" si="197"/>
        <v>1</v>
      </c>
    </row>
    <row r="6216" spans="1:4" x14ac:dyDescent="0.55000000000000004">
      <c r="A6216">
        <f t="shared" si="196"/>
        <v>2000</v>
      </c>
      <c r="B6216" s="821">
        <v>36614</v>
      </c>
      <c r="C6216">
        <v>5.99</v>
      </c>
      <c r="D6216">
        <f t="shared" si="197"/>
        <v>1</v>
      </c>
    </row>
    <row r="6217" spans="1:4" x14ac:dyDescent="0.55000000000000004">
      <c r="A6217">
        <f t="shared" si="196"/>
        <v>2000</v>
      </c>
      <c r="B6217" s="821">
        <v>36613</v>
      </c>
      <c r="C6217">
        <v>5.98</v>
      </c>
      <c r="D6217">
        <f t="shared" si="197"/>
        <v>1</v>
      </c>
    </row>
    <row r="6218" spans="1:4" x14ac:dyDescent="0.55000000000000004">
      <c r="A6218">
        <f t="shared" si="196"/>
        <v>2000</v>
      </c>
      <c r="B6218" s="821">
        <v>36612</v>
      </c>
      <c r="C6218">
        <v>5.99</v>
      </c>
      <c r="D6218">
        <f t="shared" si="197"/>
        <v>1</v>
      </c>
    </row>
    <row r="6219" spans="1:4" x14ac:dyDescent="0.55000000000000004">
      <c r="A6219">
        <f t="shared" si="196"/>
        <v>2000</v>
      </c>
      <c r="B6219" s="821">
        <v>36609</v>
      </c>
      <c r="C6219">
        <v>6</v>
      </c>
      <c r="D6219">
        <f t="shared" si="197"/>
        <v>1</v>
      </c>
    </row>
    <row r="6220" spans="1:4" x14ac:dyDescent="0.55000000000000004">
      <c r="A6220">
        <f t="shared" si="196"/>
        <v>2000</v>
      </c>
      <c r="B6220" s="821">
        <v>36608</v>
      </c>
      <c r="C6220">
        <v>5.92</v>
      </c>
      <c r="D6220">
        <f t="shared" si="197"/>
        <v>1</v>
      </c>
    </row>
    <row r="6221" spans="1:4" x14ac:dyDescent="0.55000000000000004">
      <c r="A6221">
        <f t="shared" si="196"/>
        <v>2000</v>
      </c>
      <c r="B6221" s="821">
        <v>36607</v>
      </c>
      <c r="C6221">
        <v>5.97</v>
      </c>
      <c r="D6221">
        <f t="shared" si="197"/>
        <v>1</v>
      </c>
    </row>
    <row r="6222" spans="1:4" x14ac:dyDescent="0.55000000000000004">
      <c r="A6222">
        <f t="shared" si="196"/>
        <v>2000</v>
      </c>
      <c r="B6222" s="821">
        <v>36606</v>
      </c>
      <c r="C6222">
        <v>5.97</v>
      </c>
      <c r="D6222">
        <f t="shared" si="197"/>
        <v>1</v>
      </c>
    </row>
    <row r="6223" spans="1:4" x14ac:dyDescent="0.55000000000000004">
      <c r="A6223">
        <f t="shared" si="196"/>
        <v>2000</v>
      </c>
      <c r="B6223" s="821">
        <v>36605</v>
      </c>
      <c r="C6223">
        <v>5.99</v>
      </c>
      <c r="D6223">
        <f t="shared" si="197"/>
        <v>1</v>
      </c>
    </row>
    <row r="6224" spans="1:4" x14ac:dyDescent="0.55000000000000004">
      <c r="A6224">
        <f t="shared" si="196"/>
        <v>2000</v>
      </c>
      <c r="B6224" s="821">
        <v>36602</v>
      </c>
      <c r="C6224">
        <v>6.01</v>
      </c>
      <c r="D6224">
        <f t="shared" si="197"/>
        <v>1</v>
      </c>
    </row>
    <row r="6225" spans="1:4" x14ac:dyDescent="0.55000000000000004">
      <c r="A6225">
        <f t="shared" si="196"/>
        <v>2000</v>
      </c>
      <c r="B6225" s="821">
        <v>36601</v>
      </c>
      <c r="C6225">
        <v>6.05</v>
      </c>
      <c r="D6225">
        <f t="shared" si="197"/>
        <v>1</v>
      </c>
    </row>
    <row r="6226" spans="1:4" x14ac:dyDescent="0.55000000000000004">
      <c r="A6226">
        <f t="shared" si="196"/>
        <v>2000</v>
      </c>
      <c r="B6226" s="821">
        <v>36600</v>
      </c>
      <c r="C6226">
        <v>6.07</v>
      </c>
      <c r="D6226">
        <f t="shared" si="197"/>
        <v>1</v>
      </c>
    </row>
    <row r="6227" spans="1:4" x14ac:dyDescent="0.55000000000000004">
      <c r="A6227">
        <f t="shared" si="196"/>
        <v>2000</v>
      </c>
      <c r="B6227" s="821">
        <v>36599</v>
      </c>
      <c r="C6227">
        <v>6.11</v>
      </c>
      <c r="D6227">
        <f t="shared" si="197"/>
        <v>1</v>
      </c>
    </row>
    <row r="6228" spans="1:4" x14ac:dyDescent="0.55000000000000004">
      <c r="A6228">
        <f t="shared" si="196"/>
        <v>2000</v>
      </c>
      <c r="B6228" s="821">
        <v>36598</v>
      </c>
      <c r="C6228">
        <v>6.17</v>
      </c>
      <c r="D6228">
        <f t="shared" si="197"/>
        <v>1</v>
      </c>
    </row>
    <row r="6229" spans="1:4" x14ac:dyDescent="0.55000000000000004">
      <c r="A6229">
        <f t="shared" si="196"/>
        <v>2000</v>
      </c>
      <c r="B6229" s="821">
        <v>36595</v>
      </c>
      <c r="C6229">
        <v>6.19</v>
      </c>
      <c r="D6229">
        <f t="shared" si="197"/>
        <v>1</v>
      </c>
    </row>
    <row r="6230" spans="1:4" x14ac:dyDescent="0.55000000000000004">
      <c r="A6230">
        <f t="shared" si="196"/>
        <v>2000</v>
      </c>
      <c r="B6230" s="821">
        <v>36594</v>
      </c>
      <c r="C6230">
        <v>6.16</v>
      </c>
      <c r="D6230">
        <f t="shared" si="197"/>
        <v>1</v>
      </c>
    </row>
    <row r="6231" spans="1:4" x14ac:dyDescent="0.55000000000000004">
      <c r="A6231">
        <f t="shared" si="196"/>
        <v>2000</v>
      </c>
      <c r="B6231" s="821">
        <v>36593</v>
      </c>
      <c r="C6231">
        <v>6.17</v>
      </c>
      <c r="D6231">
        <f t="shared" si="197"/>
        <v>1</v>
      </c>
    </row>
    <row r="6232" spans="1:4" x14ac:dyDescent="0.55000000000000004">
      <c r="A6232">
        <f t="shared" si="196"/>
        <v>2000</v>
      </c>
      <c r="B6232" s="821">
        <v>36592</v>
      </c>
      <c r="C6232">
        <v>6.16</v>
      </c>
      <c r="D6232">
        <f t="shared" si="197"/>
        <v>1</v>
      </c>
    </row>
    <row r="6233" spans="1:4" x14ac:dyDescent="0.55000000000000004">
      <c r="A6233">
        <f t="shared" si="196"/>
        <v>2000</v>
      </c>
      <c r="B6233" s="821">
        <v>36591</v>
      </c>
      <c r="C6233">
        <v>6.16</v>
      </c>
      <c r="D6233">
        <f t="shared" si="197"/>
        <v>1</v>
      </c>
    </row>
    <row r="6234" spans="1:4" x14ac:dyDescent="0.55000000000000004">
      <c r="A6234">
        <f t="shared" si="196"/>
        <v>2000</v>
      </c>
      <c r="B6234" s="821">
        <v>36588</v>
      </c>
      <c r="C6234">
        <v>6.13</v>
      </c>
      <c r="D6234">
        <f t="shared" si="197"/>
        <v>1</v>
      </c>
    </row>
    <row r="6235" spans="1:4" x14ac:dyDescent="0.55000000000000004">
      <c r="A6235">
        <f t="shared" si="196"/>
        <v>2000</v>
      </c>
      <c r="B6235" s="821">
        <v>36587</v>
      </c>
      <c r="C6235">
        <v>6.15</v>
      </c>
      <c r="D6235">
        <f t="shared" si="197"/>
        <v>1</v>
      </c>
    </row>
    <row r="6236" spans="1:4" x14ac:dyDescent="0.55000000000000004">
      <c r="A6236">
        <f t="shared" si="196"/>
        <v>2000</v>
      </c>
      <c r="B6236" s="821">
        <v>36586</v>
      </c>
      <c r="C6236">
        <v>6.16</v>
      </c>
      <c r="D6236">
        <f t="shared" si="197"/>
        <v>1</v>
      </c>
    </row>
    <row r="6237" spans="1:4" x14ac:dyDescent="0.55000000000000004">
      <c r="A6237">
        <f t="shared" si="196"/>
        <v>2000</v>
      </c>
      <c r="B6237" s="821">
        <v>36585</v>
      </c>
      <c r="C6237">
        <v>6.15</v>
      </c>
      <c r="D6237">
        <f t="shared" si="197"/>
        <v>1</v>
      </c>
    </row>
    <row r="6238" spans="1:4" x14ac:dyDescent="0.55000000000000004">
      <c r="A6238">
        <f t="shared" si="196"/>
        <v>2000</v>
      </c>
      <c r="B6238" s="821">
        <v>36584</v>
      </c>
      <c r="C6238">
        <v>6.16</v>
      </c>
      <c r="D6238">
        <f t="shared" si="197"/>
        <v>1</v>
      </c>
    </row>
    <row r="6239" spans="1:4" x14ac:dyDescent="0.55000000000000004">
      <c r="A6239">
        <f t="shared" si="196"/>
        <v>2000</v>
      </c>
      <c r="B6239" s="821">
        <v>36581</v>
      </c>
      <c r="C6239">
        <v>6.17</v>
      </c>
      <c r="D6239">
        <f t="shared" si="197"/>
        <v>1</v>
      </c>
    </row>
    <row r="6240" spans="1:4" x14ac:dyDescent="0.55000000000000004">
      <c r="A6240">
        <f t="shared" si="196"/>
        <v>2000</v>
      </c>
      <c r="B6240" s="821">
        <v>36580</v>
      </c>
      <c r="C6240">
        <v>6.13</v>
      </c>
      <c r="D6240">
        <f t="shared" si="197"/>
        <v>1</v>
      </c>
    </row>
    <row r="6241" spans="1:4" x14ac:dyDescent="0.55000000000000004">
      <c r="A6241">
        <f t="shared" si="196"/>
        <v>2000</v>
      </c>
      <c r="B6241" s="821">
        <v>36579</v>
      </c>
      <c r="C6241">
        <v>6.14</v>
      </c>
      <c r="D6241">
        <f t="shared" si="197"/>
        <v>1</v>
      </c>
    </row>
    <row r="6242" spans="1:4" x14ac:dyDescent="0.55000000000000004">
      <c r="A6242">
        <f t="shared" si="196"/>
        <v>2000</v>
      </c>
      <c r="B6242" s="821">
        <v>36578</v>
      </c>
      <c r="C6242">
        <v>6.08</v>
      </c>
      <c r="D6242">
        <f t="shared" si="197"/>
        <v>1</v>
      </c>
    </row>
    <row r="6243" spans="1:4" x14ac:dyDescent="0.55000000000000004">
      <c r="A6243">
        <f t="shared" si="196"/>
        <v>2000</v>
      </c>
      <c r="B6243" s="821">
        <v>36574</v>
      </c>
      <c r="C6243">
        <v>6.16</v>
      </c>
      <c r="D6243">
        <f t="shared" si="197"/>
        <v>1</v>
      </c>
    </row>
    <row r="6244" spans="1:4" x14ac:dyDescent="0.55000000000000004">
      <c r="A6244">
        <f t="shared" si="196"/>
        <v>2000</v>
      </c>
      <c r="B6244" s="821">
        <v>36573</v>
      </c>
      <c r="C6244">
        <v>6.23</v>
      </c>
      <c r="D6244">
        <f t="shared" si="197"/>
        <v>1</v>
      </c>
    </row>
    <row r="6245" spans="1:4" x14ac:dyDescent="0.55000000000000004">
      <c r="A6245">
        <f t="shared" si="196"/>
        <v>2000</v>
      </c>
      <c r="B6245" s="821">
        <v>36572</v>
      </c>
      <c r="C6245">
        <v>6.27</v>
      </c>
      <c r="D6245">
        <f t="shared" si="197"/>
        <v>1</v>
      </c>
    </row>
    <row r="6246" spans="1:4" x14ac:dyDescent="0.55000000000000004">
      <c r="A6246">
        <f t="shared" si="196"/>
        <v>2000</v>
      </c>
      <c r="B6246" s="821">
        <v>36571</v>
      </c>
      <c r="C6246">
        <v>6.26</v>
      </c>
      <c r="D6246">
        <f t="shared" si="197"/>
        <v>1</v>
      </c>
    </row>
    <row r="6247" spans="1:4" x14ac:dyDescent="0.55000000000000004">
      <c r="A6247">
        <f t="shared" si="196"/>
        <v>2000</v>
      </c>
      <c r="B6247" s="821">
        <v>36570</v>
      </c>
      <c r="C6247">
        <v>6.22</v>
      </c>
      <c r="D6247">
        <f t="shared" si="197"/>
        <v>1</v>
      </c>
    </row>
    <row r="6248" spans="1:4" x14ac:dyDescent="0.55000000000000004">
      <c r="A6248">
        <f t="shared" si="196"/>
        <v>2000</v>
      </c>
      <c r="B6248" s="821">
        <v>36567</v>
      </c>
      <c r="C6248">
        <v>6.29</v>
      </c>
      <c r="D6248">
        <f t="shared" si="197"/>
        <v>1</v>
      </c>
    </row>
    <row r="6249" spans="1:4" x14ac:dyDescent="0.55000000000000004">
      <c r="A6249">
        <f t="shared" si="196"/>
        <v>2000</v>
      </c>
      <c r="B6249" s="821">
        <v>36566</v>
      </c>
      <c r="C6249">
        <v>6.35</v>
      </c>
      <c r="D6249">
        <f t="shared" si="197"/>
        <v>1</v>
      </c>
    </row>
    <row r="6250" spans="1:4" x14ac:dyDescent="0.55000000000000004">
      <c r="A6250">
        <f t="shared" si="196"/>
        <v>2000</v>
      </c>
      <c r="B6250" s="821">
        <v>36565</v>
      </c>
      <c r="C6250">
        <v>6.32</v>
      </c>
      <c r="D6250">
        <f t="shared" si="197"/>
        <v>1</v>
      </c>
    </row>
    <row r="6251" spans="1:4" x14ac:dyDescent="0.55000000000000004">
      <c r="A6251">
        <f t="shared" si="196"/>
        <v>2000</v>
      </c>
      <c r="B6251" s="821">
        <v>36564</v>
      </c>
      <c r="C6251">
        <v>6.22</v>
      </c>
      <c r="D6251">
        <f t="shared" si="197"/>
        <v>1</v>
      </c>
    </row>
    <row r="6252" spans="1:4" x14ac:dyDescent="0.55000000000000004">
      <c r="A6252">
        <f t="shared" si="196"/>
        <v>2000</v>
      </c>
      <c r="B6252" s="821">
        <v>36563</v>
      </c>
      <c r="C6252">
        <v>6.34</v>
      </c>
      <c r="D6252">
        <f t="shared" si="197"/>
        <v>1</v>
      </c>
    </row>
    <row r="6253" spans="1:4" x14ac:dyDescent="0.55000000000000004">
      <c r="A6253">
        <f t="shared" si="196"/>
        <v>2000</v>
      </c>
      <c r="B6253" s="821">
        <v>36560</v>
      </c>
      <c r="C6253">
        <v>6.23</v>
      </c>
      <c r="D6253">
        <f t="shared" si="197"/>
        <v>1</v>
      </c>
    </row>
    <row r="6254" spans="1:4" x14ac:dyDescent="0.55000000000000004">
      <c r="A6254">
        <f t="shared" si="196"/>
        <v>2000</v>
      </c>
      <c r="B6254" s="821">
        <v>36559</v>
      </c>
      <c r="C6254">
        <v>6.17</v>
      </c>
      <c r="D6254">
        <f t="shared" si="197"/>
        <v>1</v>
      </c>
    </row>
    <row r="6255" spans="1:4" x14ac:dyDescent="0.55000000000000004">
      <c r="A6255">
        <f t="shared" si="196"/>
        <v>2000</v>
      </c>
      <c r="B6255" s="821">
        <v>36558</v>
      </c>
      <c r="C6255">
        <v>6.32</v>
      </c>
      <c r="D6255">
        <f t="shared" si="197"/>
        <v>1</v>
      </c>
    </row>
    <row r="6256" spans="1:4" x14ac:dyDescent="0.55000000000000004">
      <c r="A6256">
        <f t="shared" si="196"/>
        <v>2000</v>
      </c>
      <c r="B6256" s="821">
        <v>36557</v>
      </c>
      <c r="C6256">
        <v>6.43</v>
      </c>
      <c r="D6256">
        <f t="shared" si="197"/>
        <v>1</v>
      </c>
    </row>
    <row r="6257" spans="1:4" x14ac:dyDescent="0.55000000000000004">
      <c r="A6257">
        <f t="shared" si="196"/>
        <v>2000</v>
      </c>
      <c r="B6257" s="821">
        <v>36556</v>
      </c>
      <c r="C6257">
        <v>6.49</v>
      </c>
      <c r="D6257">
        <f t="shared" si="197"/>
        <v>1</v>
      </c>
    </row>
    <row r="6258" spans="1:4" x14ac:dyDescent="0.55000000000000004">
      <c r="A6258">
        <f t="shared" si="196"/>
        <v>2000</v>
      </c>
      <c r="B6258" s="821">
        <v>36553</v>
      </c>
      <c r="C6258">
        <v>6.45</v>
      </c>
      <c r="D6258">
        <f t="shared" si="197"/>
        <v>1</v>
      </c>
    </row>
    <row r="6259" spans="1:4" x14ac:dyDescent="0.55000000000000004">
      <c r="A6259">
        <f t="shared" si="196"/>
        <v>2000</v>
      </c>
      <c r="B6259" s="821">
        <v>36552</v>
      </c>
      <c r="C6259">
        <v>6.53</v>
      </c>
      <c r="D6259">
        <f t="shared" si="197"/>
        <v>1</v>
      </c>
    </row>
    <row r="6260" spans="1:4" x14ac:dyDescent="0.55000000000000004">
      <c r="A6260">
        <f t="shared" si="196"/>
        <v>2000</v>
      </c>
      <c r="B6260" s="821">
        <v>36551</v>
      </c>
      <c r="C6260">
        <v>6.6</v>
      </c>
      <c r="D6260">
        <f t="shared" si="197"/>
        <v>1</v>
      </c>
    </row>
    <row r="6261" spans="1:4" x14ac:dyDescent="0.55000000000000004">
      <c r="A6261">
        <f t="shared" si="196"/>
        <v>2000</v>
      </c>
      <c r="B6261" s="821">
        <v>36550</v>
      </c>
      <c r="C6261">
        <v>6.64</v>
      </c>
      <c r="D6261">
        <f t="shared" si="197"/>
        <v>1</v>
      </c>
    </row>
    <row r="6262" spans="1:4" x14ac:dyDescent="0.55000000000000004">
      <c r="A6262">
        <f t="shared" si="196"/>
        <v>2000</v>
      </c>
      <c r="B6262" s="821">
        <v>36549</v>
      </c>
      <c r="C6262">
        <v>6.65</v>
      </c>
      <c r="D6262">
        <f t="shared" si="197"/>
        <v>1</v>
      </c>
    </row>
    <row r="6263" spans="1:4" x14ac:dyDescent="0.55000000000000004">
      <c r="A6263">
        <f t="shared" si="196"/>
        <v>2000</v>
      </c>
      <c r="B6263" s="821">
        <v>36546</v>
      </c>
      <c r="C6263">
        <v>6.71</v>
      </c>
      <c r="D6263">
        <f t="shared" si="197"/>
        <v>1</v>
      </c>
    </row>
    <row r="6264" spans="1:4" x14ac:dyDescent="0.55000000000000004">
      <c r="A6264">
        <f t="shared" si="196"/>
        <v>2000</v>
      </c>
      <c r="B6264" s="821">
        <v>36545</v>
      </c>
      <c r="C6264">
        <v>6.74</v>
      </c>
      <c r="D6264">
        <f t="shared" si="197"/>
        <v>1</v>
      </c>
    </row>
    <row r="6265" spans="1:4" x14ac:dyDescent="0.55000000000000004">
      <c r="A6265">
        <f t="shared" si="196"/>
        <v>2000</v>
      </c>
      <c r="B6265" s="821">
        <v>36544</v>
      </c>
      <c r="C6265">
        <v>6.72</v>
      </c>
      <c r="D6265">
        <f t="shared" si="197"/>
        <v>1</v>
      </c>
    </row>
    <row r="6266" spans="1:4" x14ac:dyDescent="0.55000000000000004">
      <c r="A6266">
        <f t="shared" si="196"/>
        <v>2000</v>
      </c>
      <c r="B6266" s="821">
        <v>36543</v>
      </c>
      <c r="C6266">
        <v>6.75</v>
      </c>
      <c r="D6266">
        <f t="shared" si="197"/>
        <v>1</v>
      </c>
    </row>
    <row r="6267" spans="1:4" x14ac:dyDescent="0.55000000000000004">
      <c r="A6267">
        <f t="shared" si="196"/>
        <v>2000</v>
      </c>
      <c r="B6267" s="821">
        <v>36539</v>
      </c>
      <c r="C6267">
        <v>6.69</v>
      </c>
      <c r="D6267">
        <f t="shared" si="197"/>
        <v>1</v>
      </c>
    </row>
    <row r="6268" spans="1:4" x14ac:dyDescent="0.55000000000000004">
      <c r="A6268">
        <f t="shared" si="196"/>
        <v>2000</v>
      </c>
      <c r="B6268" s="821">
        <v>36538</v>
      </c>
      <c r="C6268">
        <v>6.65</v>
      </c>
      <c r="D6268">
        <f t="shared" si="197"/>
        <v>1</v>
      </c>
    </row>
    <row r="6269" spans="1:4" x14ac:dyDescent="0.55000000000000004">
      <c r="A6269">
        <f t="shared" si="196"/>
        <v>2000</v>
      </c>
      <c r="B6269" s="821">
        <v>36537</v>
      </c>
      <c r="C6269">
        <v>6.71</v>
      </c>
      <c r="D6269">
        <f t="shared" si="197"/>
        <v>1</v>
      </c>
    </row>
    <row r="6270" spans="1:4" x14ac:dyDescent="0.55000000000000004">
      <c r="A6270">
        <f t="shared" si="196"/>
        <v>2000</v>
      </c>
      <c r="B6270" s="821">
        <v>36536</v>
      </c>
      <c r="C6270">
        <v>6.68</v>
      </c>
      <c r="D6270">
        <f t="shared" si="197"/>
        <v>1</v>
      </c>
    </row>
    <row r="6271" spans="1:4" x14ac:dyDescent="0.55000000000000004">
      <c r="A6271">
        <f t="shared" si="196"/>
        <v>2000</v>
      </c>
      <c r="B6271" s="821">
        <v>36535</v>
      </c>
      <c r="C6271">
        <v>6.59</v>
      </c>
      <c r="D6271">
        <f t="shared" si="197"/>
        <v>1</v>
      </c>
    </row>
    <row r="6272" spans="1:4" x14ac:dyDescent="0.55000000000000004">
      <c r="A6272">
        <f t="shared" si="196"/>
        <v>2000</v>
      </c>
      <c r="B6272" s="821">
        <v>36532</v>
      </c>
      <c r="C6272">
        <v>6.55</v>
      </c>
      <c r="D6272">
        <f t="shared" si="197"/>
        <v>1</v>
      </c>
    </row>
    <row r="6273" spans="1:4" x14ac:dyDescent="0.55000000000000004">
      <c r="A6273">
        <f t="shared" si="196"/>
        <v>2000</v>
      </c>
      <c r="B6273" s="821">
        <v>36531</v>
      </c>
      <c r="C6273">
        <v>6.58</v>
      </c>
      <c r="D6273">
        <f t="shared" si="197"/>
        <v>1</v>
      </c>
    </row>
    <row r="6274" spans="1:4" x14ac:dyDescent="0.55000000000000004">
      <c r="A6274">
        <f t="shared" si="196"/>
        <v>2000</v>
      </c>
      <c r="B6274" s="821">
        <v>36530</v>
      </c>
      <c r="C6274">
        <v>6.64</v>
      </c>
      <c r="D6274">
        <f t="shared" si="197"/>
        <v>1</v>
      </c>
    </row>
    <row r="6275" spans="1:4" x14ac:dyDescent="0.55000000000000004">
      <c r="A6275">
        <f t="shared" si="196"/>
        <v>2000</v>
      </c>
      <c r="B6275" s="821">
        <v>36529</v>
      </c>
      <c r="C6275">
        <v>6.53</v>
      </c>
      <c r="D6275">
        <f t="shared" si="197"/>
        <v>1</v>
      </c>
    </row>
    <row r="6276" spans="1:4" x14ac:dyDescent="0.55000000000000004">
      <c r="A6276">
        <f t="shared" ref="A6276:A6339" si="198">YEAR(B6276)</f>
        <v>2000</v>
      </c>
      <c r="B6276" s="821">
        <v>36528</v>
      </c>
      <c r="C6276">
        <v>6.61</v>
      </c>
      <c r="D6276">
        <f t="shared" ref="D6276:D6339" si="199">IF(C6276&gt;4,1,0)</f>
        <v>1</v>
      </c>
    </row>
    <row r="6277" spans="1:4" x14ac:dyDescent="0.55000000000000004">
      <c r="A6277">
        <f t="shared" si="198"/>
        <v>1999</v>
      </c>
      <c r="B6277" s="821">
        <v>36525</v>
      </c>
      <c r="C6277">
        <v>6.48</v>
      </c>
      <c r="D6277">
        <f t="shared" si="199"/>
        <v>1</v>
      </c>
    </row>
    <row r="6278" spans="1:4" x14ac:dyDescent="0.55000000000000004">
      <c r="A6278">
        <f t="shared" si="198"/>
        <v>1999</v>
      </c>
      <c r="B6278" s="821">
        <v>36524</v>
      </c>
      <c r="C6278">
        <v>6.43</v>
      </c>
      <c r="D6278">
        <f t="shared" si="199"/>
        <v>1</v>
      </c>
    </row>
    <row r="6279" spans="1:4" x14ac:dyDescent="0.55000000000000004">
      <c r="A6279">
        <f t="shared" si="198"/>
        <v>1999</v>
      </c>
      <c r="B6279" s="821">
        <v>36523</v>
      </c>
      <c r="C6279">
        <v>6.45</v>
      </c>
      <c r="D6279">
        <f t="shared" si="199"/>
        <v>1</v>
      </c>
    </row>
    <row r="6280" spans="1:4" x14ac:dyDescent="0.55000000000000004">
      <c r="A6280">
        <f t="shared" si="198"/>
        <v>1999</v>
      </c>
      <c r="B6280" s="821">
        <v>36522</v>
      </c>
      <c r="C6280">
        <v>6.48</v>
      </c>
      <c r="D6280">
        <f t="shared" si="199"/>
        <v>1</v>
      </c>
    </row>
    <row r="6281" spans="1:4" x14ac:dyDescent="0.55000000000000004">
      <c r="A6281">
        <f t="shared" si="198"/>
        <v>1999</v>
      </c>
      <c r="B6281" s="821">
        <v>36521</v>
      </c>
      <c r="C6281">
        <v>6.46</v>
      </c>
      <c r="D6281">
        <f t="shared" si="199"/>
        <v>1</v>
      </c>
    </row>
    <row r="6282" spans="1:4" x14ac:dyDescent="0.55000000000000004">
      <c r="A6282">
        <f t="shared" si="198"/>
        <v>1999</v>
      </c>
      <c r="B6282" s="821">
        <v>36517</v>
      </c>
      <c r="C6282">
        <v>6.48</v>
      </c>
      <c r="D6282">
        <f t="shared" si="199"/>
        <v>1</v>
      </c>
    </row>
    <row r="6283" spans="1:4" x14ac:dyDescent="0.55000000000000004">
      <c r="A6283">
        <f t="shared" si="198"/>
        <v>1999</v>
      </c>
      <c r="B6283" s="821">
        <v>36516</v>
      </c>
      <c r="C6283">
        <v>6.47</v>
      </c>
      <c r="D6283">
        <f t="shared" si="199"/>
        <v>1</v>
      </c>
    </row>
    <row r="6284" spans="1:4" x14ac:dyDescent="0.55000000000000004">
      <c r="A6284">
        <f t="shared" si="198"/>
        <v>1999</v>
      </c>
      <c r="B6284" s="821">
        <v>36515</v>
      </c>
      <c r="C6284">
        <v>6.46</v>
      </c>
      <c r="D6284">
        <f t="shared" si="199"/>
        <v>1</v>
      </c>
    </row>
    <row r="6285" spans="1:4" x14ac:dyDescent="0.55000000000000004">
      <c r="A6285">
        <f t="shared" si="198"/>
        <v>1999</v>
      </c>
      <c r="B6285" s="821">
        <v>36514</v>
      </c>
      <c r="C6285">
        <v>6.44</v>
      </c>
      <c r="D6285">
        <f t="shared" si="199"/>
        <v>1</v>
      </c>
    </row>
    <row r="6286" spans="1:4" x14ac:dyDescent="0.55000000000000004">
      <c r="A6286">
        <f t="shared" si="198"/>
        <v>1999</v>
      </c>
      <c r="B6286" s="821">
        <v>36511</v>
      </c>
      <c r="C6286">
        <v>6.38</v>
      </c>
      <c r="D6286">
        <f t="shared" si="199"/>
        <v>1</v>
      </c>
    </row>
    <row r="6287" spans="1:4" x14ac:dyDescent="0.55000000000000004">
      <c r="A6287">
        <f t="shared" si="198"/>
        <v>1999</v>
      </c>
      <c r="B6287" s="821">
        <v>36510</v>
      </c>
      <c r="C6287">
        <v>6.39</v>
      </c>
      <c r="D6287">
        <f t="shared" si="199"/>
        <v>1</v>
      </c>
    </row>
    <row r="6288" spans="1:4" x14ac:dyDescent="0.55000000000000004">
      <c r="A6288">
        <f t="shared" si="198"/>
        <v>1999</v>
      </c>
      <c r="B6288" s="821">
        <v>36509</v>
      </c>
      <c r="C6288">
        <v>6.34</v>
      </c>
      <c r="D6288">
        <f t="shared" si="199"/>
        <v>1</v>
      </c>
    </row>
    <row r="6289" spans="1:4" x14ac:dyDescent="0.55000000000000004">
      <c r="A6289">
        <f t="shared" si="198"/>
        <v>1999</v>
      </c>
      <c r="B6289" s="821">
        <v>36508</v>
      </c>
      <c r="C6289">
        <v>6.31</v>
      </c>
      <c r="D6289">
        <f t="shared" si="199"/>
        <v>1</v>
      </c>
    </row>
    <row r="6290" spans="1:4" x14ac:dyDescent="0.55000000000000004">
      <c r="A6290">
        <f t="shared" si="198"/>
        <v>1999</v>
      </c>
      <c r="B6290" s="821">
        <v>36507</v>
      </c>
      <c r="C6290">
        <v>6.2</v>
      </c>
      <c r="D6290">
        <f t="shared" si="199"/>
        <v>1</v>
      </c>
    </row>
    <row r="6291" spans="1:4" x14ac:dyDescent="0.55000000000000004">
      <c r="A6291">
        <f t="shared" si="198"/>
        <v>1999</v>
      </c>
      <c r="B6291" s="821">
        <v>36504</v>
      </c>
      <c r="C6291">
        <v>6.17</v>
      </c>
      <c r="D6291">
        <f t="shared" si="199"/>
        <v>1</v>
      </c>
    </row>
    <row r="6292" spans="1:4" x14ac:dyDescent="0.55000000000000004">
      <c r="A6292">
        <f t="shared" si="198"/>
        <v>1999</v>
      </c>
      <c r="B6292" s="821">
        <v>36503</v>
      </c>
      <c r="C6292">
        <v>6.22</v>
      </c>
      <c r="D6292">
        <f t="shared" si="199"/>
        <v>1</v>
      </c>
    </row>
    <row r="6293" spans="1:4" x14ac:dyDescent="0.55000000000000004">
      <c r="A6293">
        <f t="shared" si="198"/>
        <v>1999</v>
      </c>
      <c r="B6293" s="821">
        <v>36502</v>
      </c>
      <c r="C6293">
        <v>6.23</v>
      </c>
      <c r="D6293">
        <f t="shared" si="199"/>
        <v>1</v>
      </c>
    </row>
    <row r="6294" spans="1:4" x14ac:dyDescent="0.55000000000000004">
      <c r="A6294">
        <f t="shared" si="198"/>
        <v>1999</v>
      </c>
      <c r="B6294" s="821">
        <v>36501</v>
      </c>
      <c r="C6294">
        <v>6.21</v>
      </c>
      <c r="D6294">
        <f t="shared" si="199"/>
        <v>1</v>
      </c>
    </row>
    <row r="6295" spans="1:4" x14ac:dyDescent="0.55000000000000004">
      <c r="A6295">
        <f t="shared" si="198"/>
        <v>1999</v>
      </c>
      <c r="B6295" s="821">
        <v>36500</v>
      </c>
      <c r="C6295">
        <v>6.25</v>
      </c>
      <c r="D6295">
        <f t="shared" si="199"/>
        <v>1</v>
      </c>
    </row>
    <row r="6296" spans="1:4" x14ac:dyDescent="0.55000000000000004">
      <c r="A6296">
        <f t="shared" si="198"/>
        <v>1999</v>
      </c>
      <c r="B6296" s="821">
        <v>36497</v>
      </c>
      <c r="C6296">
        <v>6.27</v>
      </c>
      <c r="D6296">
        <f t="shared" si="199"/>
        <v>1</v>
      </c>
    </row>
    <row r="6297" spans="1:4" x14ac:dyDescent="0.55000000000000004">
      <c r="A6297">
        <f t="shared" si="198"/>
        <v>1999</v>
      </c>
      <c r="B6297" s="821">
        <v>36496</v>
      </c>
      <c r="C6297">
        <v>6.31</v>
      </c>
      <c r="D6297">
        <f t="shared" si="199"/>
        <v>1</v>
      </c>
    </row>
    <row r="6298" spans="1:4" x14ac:dyDescent="0.55000000000000004">
      <c r="A6298">
        <f t="shared" si="198"/>
        <v>1999</v>
      </c>
      <c r="B6298" s="821">
        <v>36495</v>
      </c>
      <c r="C6298">
        <v>6.3</v>
      </c>
      <c r="D6298">
        <f t="shared" si="199"/>
        <v>1</v>
      </c>
    </row>
    <row r="6299" spans="1:4" x14ac:dyDescent="0.55000000000000004">
      <c r="A6299">
        <f t="shared" si="198"/>
        <v>1999</v>
      </c>
      <c r="B6299" s="821">
        <v>36494</v>
      </c>
      <c r="C6299">
        <v>6.29</v>
      </c>
      <c r="D6299">
        <f t="shared" si="199"/>
        <v>1</v>
      </c>
    </row>
    <row r="6300" spans="1:4" x14ac:dyDescent="0.55000000000000004">
      <c r="A6300">
        <f t="shared" si="198"/>
        <v>1999</v>
      </c>
      <c r="B6300" s="821">
        <v>36493</v>
      </c>
      <c r="C6300">
        <v>6.31</v>
      </c>
      <c r="D6300">
        <f t="shared" si="199"/>
        <v>1</v>
      </c>
    </row>
    <row r="6301" spans="1:4" x14ac:dyDescent="0.55000000000000004">
      <c r="A6301">
        <f t="shared" si="198"/>
        <v>1999</v>
      </c>
      <c r="B6301" s="821">
        <v>36490</v>
      </c>
      <c r="C6301">
        <v>6.24</v>
      </c>
      <c r="D6301">
        <f t="shared" si="199"/>
        <v>1</v>
      </c>
    </row>
    <row r="6302" spans="1:4" x14ac:dyDescent="0.55000000000000004">
      <c r="A6302">
        <f t="shared" si="198"/>
        <v>1999</v>
      </c>
      <c r="B6302" s="821">
        <v>36488</v>
      </c>
      <c r="C6302">
        <v>6.22</v>
      </c>
      <c r="D6302">
        <f t="shared" si="199"/>
        <v>1</v>
      </c>
    </row>
    <row r="6303" spans="1:4" x14ac:dyDescent="0.55000000000000004">
      <c r="A6303">
        <f t="shared" si="198"/>
        <v>1999</v>
      </c>
      <c r="B6303" s="821">
        <v>36487</v>
      </c>
      <c r="C6303">
        <v>6.2</v>
      </c>
      <c r="D6303">
        <f t="shared" si="199"/>
        <v>1</v>
      </c>
    </row>
    <row r="6304" spans="1:4" x14ac:dyDescent="0.55000000000000004">
      <c r="A6304">
        <f t="shared" si="198"/>
        <v>1999</v>
      </c>
      <c r="B6304" s="821">
        <v>36486</v>
      </c>
      <c r="C6304">
        <v>6.2</v>
      </c>
      <c r="D6304">
        <f t="shared" si="199"/>
        <v>1</v>
      </c>
    </row>
    <row r="6305" spans="1:4" x14ac:dyDescent="0.55000000000000004">
      <c r="A6305">
        <f t="shared" si="198"/>
        <v>1999</v>
      </c>
      <c r="B6305" s="821">
        <v>36483</v>
      </c>
      <c r="C6305">
        <v>6.17</v>
      </c>
      <c r="D6305">
        <f t="shared" si="199"/>
        <v>1</v>
      </c>
    </row>
    <row r="6306" spans="1:4" x14ac:dyDescent="0.55000000000000004">
      <c r="A6306">
        <f t="shared" si="198"/>
        <v>1999</v>
      </c>
      <c r="B6306" s="821">
        <v>36482</v>
      </c>
      <c r="C6306">
        <v>6.17</v>
      </c>
      <c r="D6306">
        <f t="shared" si="199"/>
        <v>1</v>
      </c>
    </row>
    <row r="6307" spans="1:4" x14ac:dyDescent="0.55000000000000004">
      <c r="A6307">
        <f t="shared" si="198"/>
        <v>1999</v>
      </c>
      <c r="B6307" s="821">
        <v>36481</v>
      </c>
      <c r="C6307">
        <v>6.13</v>
      </c>
      <c r="D6307">
        <f t="shared" si="199"/>
        <v>1</v>
      </c>
    </row>
    <row r="6308" spans="1:4" x14ac:dyDescent="0.55000000000000004">
      <c r="A6308">
        <f t="shared" si="198"/>
        <v>1999</v>
      </c>
      <c r="B6308" s="821">
        <v>36480</v>
      </c>
      <c r="C6308">
        <v>6.06</v>
      </c>
      <c r="D6308">
        <f t="shared" si="199"/>
        <v>1</v>
      </c>
    </row>
    <row r="6309" spans="1:4" x14ac:dyDescent="0.55000000000000004">
      <c r="A6309">
        <f t="shared" si="198"/>
        <v>1999</v>
      </c>
      <c r="B6309" s="821">
        <v>36479</v>
      </c>
      <c r="C6309">
        <v>6.04</v>
      </c>
      <c r="D6309">
        <f t="shared" si="199"/>
        <v>1</v>
      </c>
    </row>
    <row r="6310" spans="1:4" x14ac:dyDescent="0.55000000000000004">
      <c r="A6310">
        <f t="shared" si="198"/>
        <v>1999</v>
      </c>
      <c r="B6310" s="821">
        <v>36476</v>
      </c>
      <c r="C6310">
        <v>6.03</v>
      </c>
      <c r="D6310">
        <f t="shared" si="199"/>
        <v>1</v>
      </c>
    </row>
    <row r="6311" spans="1:4" x14ac:dyDescent="0.55000000000000004">
      <c r="A6311">
        <f t="shared" si="198"/>
        <v>1999</v>
      </c>
      <c r="B6311" s="821">
        <v>36474</v>
      </c>
      <c r="C6311">
        <v>6.09</v>
      </c>
      <c r="D6311">
        <f t="shared" si="199"/>
        <v>1</v>
      </c>
    </row>
    <row r="6312" spans="1:4" x14ac:dyDescent="0.55000000000000004">
      <c r="A6312">
        <f t="shared" si="198"/>
        <v>1999</v>
      </c>
      <c r="B6312" s="821">
        <v>36473</v>
      </c>
      <c r="C6312">
        <v>6.07</v>
      </c>
      <c r="D6312">
        <f t="shared" si="199"/>
        <v>1</v>
      </c>
    </row>
    <row r="6313" spans="1:4" x14ac:dyDescent="0.55000000000000004">
      <c r="A6313">
        <f t="shared" si="198"/>
        <v>1999</v>
      </c>
      <c r="B6313" s="821">
        <v>36472</v>
      </c>
      <c r="C6313">
        <v>6.06</v>
      </c>
      <c r="D6313">
        <f t="shared" si="199"/>
        <v>1</v>
      </c>
    </row>
    <row r="6314" spans="1:4" x14ac:dyDescent="0.55000000000000004">
      <c r="A6314">
        <f t="shared" si="198"/>
        <v>1999</v>
      </c>
      <c r="B6314" s="821">
        <v>36469</v>
      </c>
      <c r="C6314">
        <v>6.05</v>
      </c>
      <c r="D6314">
        <f t="shared" si="199"/>
        <v>1</v>
      </c>
    </row>
    <row r="6315" spans="1:4" x14ac:dyDescent="0.55000000000000004">
      <c r="A6315">
        <f t="shared" si="198"/>
        <v>1999</v>
      </c>
      <c r="B6315" s="821">
        <v>36468</v>
      </c>
      <c r="C6315">
        <v>6.09</v>
      </c>
      <c r="D6315">
        <f t="shared" si="199"/>
        <v>1</v>
      </c>
    </row>
    <row r="6316" spans="1:4" x14ac:dyDescent="0.55000000000000004">
      <c r="A6316">
        <f t="shared" si="198"/>
        <v>1999</v>
      </c>
      <c r="B6316" s="821">
        <v>36467</v>
      </c>
      <c r="C6316">
        <v>6.14</v>
      </c>
      <c r="D6316">
        <f t="shared" si="199"/>
        <v>1</v>
      </c>
    </row>
    <row r="6317" spans="1:4" x14ac:dyDescent="0.55000000000000004">
      <c r="A6317">
        <f t="shared" si="198"/>
        <v>1999</v>
      </c>
      <c r="B6317" s="821">
        <v>36466</v>
      </c>
      <c r="C6317">
        <v>6.15</v>
      </c>
      <c r="D6317">
        <f t="shared" si="199"/>
        <v>1</v>
      </c>
    </row>
    <row r="6318" spans="1:4" x14ac:dyDescent="0.55000000000000004">
      <c r="A6318">
        <f t="shared" si="198"/>
        <v>1999</v>
      </c>
      <c r="B6318" s="821">
        <v>36465</v>
      </c>
      <c r="C6318">
        <v>6.19</v>
      </c>
      <c r="D6318">
        <f t="shared" si="199"/>
        <v>1</v>
      </c>
    </row>
    <row r="6319" spans="1:4" x14ac:dyDescent="0.55000000000000004">
      <c r="A6319">
        <f t="shared" si="198"/>
        <v>1999</v>
      </c>
      <c r="B6319" s="821">
        <v>36462</v>
      </c>
      <c r="C6319">
        <v>6.16</v>
      </c>
      <c r="D6319">
        <f t="shared" si="199"/>
        <v>1</v>
      </c>
    </row>
    <row r="6320" spans="1:4" x14ac:dyDescent="0.55000000000000004">
      <c r="A6320">
        <f t="shared" si="198"/>
        <v>1999</v>
      </c>
      <c r="B6320" s="821">
        <v>36461</v>
      </c>
      <c r="C6320">
        <v>6.25</v>
      </c>
      <c r="D6320">
        <f t="shared" si="199"/>
        <v>1</v>
      </c>
    </row>
    <row r="6321" spans="1:4" x14ac:dyDescent="0.55000000000000004">
      <c r="A6321">
        <f t="shared" si="198"/>
        <v>1999</v>
      </c>
      <c r="B6321" s="821">
        <v>36460</v>
      </c>
      <c r="C6321">
        <v>6.33</v>
      </c>
      <c r="D6321">
        <f t="shared" si="199"/>
        <v>1</v>
      </c>
    </row>
    <row r="6322" spans="1:4" x14ac:dyDescent="0.55000000000000004">
      <c r="A6322">
        <f t="shared" si="198"/>
        <v>1999</v>
      </c>
      <c r="B6322" s="821">
        <v>36459</v>
      </c>
      <c r="C6322">
        <v>6.38</v>
      </c>
      <c r="D6322">
        <f t="shared" si="199"/>
        <v>1</v>
      </c>
    </row>
    <row r="6323" spans="1:4" x14ac:dyDescent="0.55000000000000004">
      <c r="A6323">
        <f t="shared" si="198"/>
        <v>1999</v>
      </c>
      <c r="B6323" s="821">
        <v>36458</v>
      </c>
      <c r="C6323">
        <v>6.36</v>
      </c>
      <c r="D6323">
        <f t="shared" si="199"/>
        <v>1</v>
      </c>
    </row>
    <row r="6324" spans="1:4" x14ac:dyDescent="0.55000000000000004">
      <c r="A6324">
        <f t="shared" si="198"/>
        <v>1999</v>
      </c>
      <c r="B6324" s="821">
        <v>36455</v>
      </c>
      <c r="C6324">
        <v>6.36</v>
      </c>
      <c r="D6324">
        <f t="shared" si="199"/>
        <v>1</v>
      </c>
    </row>
    <row r="6325" spans="1:4" x14ac:dyDescent="0.55000000000000004">
      <c r="A6325">
        <f t="shared" si="198"/>
        <v>1999</v>
      </c>
      <c r="B6325" s="821">
        <v>36454</v>
      </c>
      <c r="C6325">
        <v>6.36</v>
      </c>
      <c r="D6325">
        <f t="shared" si="199"/>
        <v>1</v>
      </c>
    </row>
    <row r="6326" spans="1:4" x14ac:dyDescent="0.55000000000000004">
      <c r="A6326">
        <f t="shared" si="198"/>
        <v>1999</v>
      </c>
      <c r="B6326" s="821">
        <v>36453</v>
      </c>
      <c r="C6326">
        <v>6.34</v>
      </c>
      <c r="D6326">
        <f t="shared" si="199"/>
        <v>1</v>
      </c>
    </row>
    <row r="6327" spans="1:4" x14ac:dyDescent="0.55000000000000004">
      <c r="A6327">
        <f t="shared" si="198"/>
        <v>1999</v>
      </c>
      <c r="B6327" s="821">
        <v>36452</v>
      </c>
      <c r="C6327">
        <v>6.35</v>
      </c>
      <c r="D6327">
        <f t="shared" si="199"/>
        <v>1</v>
      </c>
    </row>
    <row r="6328" spans="1:4" x14ac:dyDescent="0.55000000000000004">
      <c r="A6328">
        <f t="shared" si="198"/>
        <v>1999</v>
      </c>
      <c r="B6328" s="821">
        <v>36451</v>
      </c>
      <c r="C6328">
        <v>6.3</v>
      </c>
      <c r="D6328">
        <f t="shared" si="199"/>
        <v>1</v>
      </c>
    </row>
    <row r="6329" spans="1:4" x14ac:dyDescent="0.55000000000000004">
      <c r="A6329">
        <f t="shared" si="198"/>
        <v>1999</v>
      </c>
      <c r="B6329" s="821">
        <v>36448</v>
      </c>
      <c r="C6329">
        <v>6.26</v>
      </c>
      <c r="D6329">
        <f t="shared" si="199"/>
        <v>1</v>
      </c>
    </row>
    <row r="6330" spans="1:4" x14ac:dyDescent="0.55000000000000004">
      <c r="A6330">
        <f t="shared" si="198"/>
        <v>1999</v>
      </c>
      <c r="B6330" s="821">
        <v>36447</v>
      </c>
      <c r="C6330">
        <v>6.32</v>
      </c>
      <c r="D6330">
        <f t="shared" si="199"/>
        <v>1</v>
      </c>
    </row>
    <row r="6331" spans="1:4" x14ac:dyDescent="0.55000000000000004">
      <c r="A6331">
        <f t="shared" si="198"/>
        <v>1999</v>
      </c>
      <c r="B6331" s="821">
        <v>36446</v>
      </c>
      <c r="C6331">
        <v>6.29</v>
      </c>
      <c r="D6331">
        <f t="shared" si="199"/>
        <v>1</v>
      </c>
    </row>
    <row r="6332" spans="1:4" x14ac:dyDescent="0.55000000000000004">
      <c r="A6332">
        <f t="shared" si="198"/>
        <v>1999</v>
      </c>
      <c r="B6332" s="821">
        <v>36445</v>
      </c>
      <c r="C6332">
        <v>6.23</v>
      </c>
      <c r="D6332">
        <f t="shared" si="199"/>
        <v>1</v>
      </c>
    </row>
    <row r="6333" spans="1:4" x14ac:dyDescent="0.55000000000000004">
      <c r="A6333">
        <f t="shared" si="198"/>
        <v>1999</v>
      </c>
      <c r="B6333" s="821">
        <v>36441</v>
      </c>
      <c r="C6333">
        <v>6.2</v>
      </c>
      <c r="D6333">
        <f t="shared" si="199"/>
        <v>1</v>
      </c>
    </row>
    <row r="6334" spans="1:4" x14ac:dyDescent="0.55000000000000004">
      <c r="A6334">
        <f t="shared" si="198"/>
        <v>1999</v>
      </c>
      <c r="B6334" s="821">
        <v>36440</v>
      </c>
      <c r="C6334">
        <v>6.19</v>
      </c>
      <c r="D6334">
        <f t="shared" si="199"/>
        <v>1</v>
      </c>
    </row>
    <row r="6335" spans="1:4" x14ac:dyDescent="0.55000000000000004">
      <c r="A6335">
        <f t="shared" si="198"/>
        <v>1999</v>
      </c>
      <c r="B6335" s="821">
        <v>36439</v>
      </c>
      <c r="C6335">
        <v>6.17</v>
      </c>
      <c r="D6335">
        <f t="shared" si="199"/>
        <v>1</v>
      </c>
    </row>
    <row r="6336" spans="1:4" x14ac:dyDescent="0.55000000000000004">
      <c r="A6336">
        <f t="shared" si="198"/>
        <v>1999</v>
      </c>
      <c r="B6336" s="821">
        <v>36438</v>
      </c>
      <c r="C6336">
        <v>6.17</v>
      </c>
      <c r="D6336">
        <f t="shared" si="199"/>
        <v>1</v>
      </c>
    </row>
    <row r="6337" spans="1:4" x14ac:dyDescent="0.55000000000000004">
      <c r="A6337">
        <f t="shared" si="198"/>
        <v>1999</v>
      </c>
      <c r="B6337" s="821">
        <v>36437</v>
      </c>
      <c r="C6337">
        <v>6.1</v>
      </c>
      <c r="D6337">
        <f t="shared" si="199"/>
        <v>1</v>
      </c>
    </row>
    <row r="6338" spans="1:4" x14ac:dyDescent="0.55000000000000004">
      <c r="A6338">
        <f t="shared" si="198"/>
        <v>1999</v>
      </c>
      <c r="B6338" s="821">
        <v>36434</v>
      </c>
      <c r="C6338">
        <v>6.15</v>
      </c>
      <c r="D6338">
        <f t="shared" si="199"/>
        <v>1</v>
      </c>
    </row>
    <row r="6339" spans="1:4" x14ac:dyDescent="0.55000000000000004">
      <c r="A6339">
        <f t="shared" si="198"/>
        <v>1999</v>
      </c>
      <c r="B6339" s="821">
        <v>36433</v>
      </c>
      <c r="C6339">
        <v>6.06</v>
      </c>
      <c r="D6339">
        <f t="shared" si="199"/>
        <v>1</v>
      </c>
    </row>
    <row r="6340" spans="1:4" x14ac:dyDescent="0.55000000000000004">
      <c r="A6340">
        <f t="shared" ref="A6340:A6403" si="200">YEAR(B6340)</f>
        <v>1999</v>
      </c>
      <c r="B6340" s="821">
        <v>36432</v>
      </c>
      <c r="C6340">
        <v>6.13</v>
      </c>
      <c r="D6340">
        <f t="shared" ref="D6340:D6403" si="201">IF(C6340&gt;4,1,0)</f>
        <v>1</v>
      </c>
    </row>
    <row r="6341" spans="1:4" x14ac:dyDescent="0.55000000000000004">
      <c r="A6341">
        <f t="shared" si="200"/>
        <v>1999</v>
      </c>
      <c r="B6341" s="821">
        <v>36431</v>
      </c>
      <c r="C6341">
        <v>6.07</v>
      </c>
      <c r="D6341">
        <f t="shared" si="201"/>
        <v>1</v>
      </c>
    </row>
    <row r="6342" spans="1:4" x14ac:dyDescent="0.55000000000000004">
      <c r="A6342">
        <f t="shared" si="200"/>
        <v>1999</v>
      </c>
      <c r="B6342" s="821">
        <v>36430</v>
      </c>
      <c r="C6342">
        <v>6.02</v>
      </c>
      <c r="D6342">
        <f t="shared" si="201"/>
        <v>1</v>
      </c>
    </row>
    <row r="6343" spans="1:4" x14ac:dyDescent="0.55000000000000004">
      <c r="A6343">
        <f t="shared" si="200"/>
        <v>1999</v>
      </c>
      <c r="B6343" s="821">
        <v>36427</v>
      </c>
      <c r="C6343">
        <v>5.95</v>
      </c>
      <c r="D6343">
        <f t="shared" si="201"/>
        <v>1</v>
      </c>
    </row>
    <row r="6344" spans="1:4" x14ac:dyDescent="0.55000000000000004">
      <c r="A6344">
        <f t="shared" si="200"/>
        <v>1999</v>
      </c>
      <c r="B6344" s="821">
        <v>36426</v>
      </c>
      <c r="C6344">
        <v>6.05</v>
      </c>
      <c r="D6344">
        <f t="shared" si="201"/>
        <v>1</v>
      </c>
    </row>
    <row r="6345" spans="1:4" x14ac:dyDescent="0.55000000000000004">
      <c r="A6345">
        <f t="shared" si="200"/>
        <v>1999</v>
      </c>
      <c r="B6345" s="821">
        <v>36425</v>
      </c>
      <c r="C6345">
        <v>6.1</v>
      </c>
      <c r="D6345">
        <f t="shared" si="201"/>
        <v>1</v>
      </c>
    </row>
    <row r="6346" spans="1:4" x14ac:dyDescent="0.55000000000000004">
      <c r="A6346">
        <f t="shared" si="200"/>
        <v>1999</v>
      </c>
      <c r="B6346" s="821">
        <v>36424</v>
      </c>
      <c r="C6346">
        <v>6.1</v>
      </c>
      <c r="D6346">
        <f t="shared" si="201"/>
        <v>1</v>
      </c>
    </row>
    <row r="6347" spans="1:4" x14ac:dyDescent="0.55000000000000004">
      <c r="A6347">
        <f t="shared" si="200"/>
        <v>1999</v>
      </c>
      <c r="B6347" s="821">
        <v>36423</v>
      </c>
      <c r="C6347">
        <v>6.08</v>
      </c>
      <c r="D6347">
        <f t="shared" si="201"/>
        <v>1</v>
      </c>
    </row>
    <row r="6348" spans="1:4" x14ac:dyDescent="0.55000000000000004">
      <c r="A6348">
        <f t="shared" si="200"/>
        <v>1999</v>
      </c>
      <c r="B6348" s="821">
        <v>36420</v>
      </c>
      <c r="C6348">
        <v>6.05</v>
      </c>
      <c r="D6348">
        <f t="shared" si="201"/>
        <v>1</v>
      </c>
    </row>
    <row r="6349" spans="1:4" x14ac:dyDescent="0.55000000000000004">
      <c r="A6349">
        <f t="shared" si="200"/>
        <v>1999</v>
      </c>
      <c r="B6349" s="821">
        <v>36419</v>
      </c>
      <c r="C6349">
        <v>6.08</v>
      </c>
      <c r="D6349">
        <f t="shared" si="201"/>
        <v>1</v>
      </c>
    </row>
    <row r="6350" spans="1:4" x14ac:dyDescent="0.55000000000000004">
      <c r="A6350">
        <f t="shared" si="200"/>
        <v>1999</v>
      </c>
      <c r="B6350" s="821">
        <v>36418</v>
      </c>
      <c r="C6350">
        <v>6.11</v>
      </c>
      <c r="D6350">
        <f t="shared" si="201"/>
        <v>1</v>
      </c>
    </row>
    <row r="6351" spans="1:4" x14ac:dyDescent="0.55000000000000004">
      <c r="A6351">
        <f t="shared" si="200"/>
        <v>1999</v>
      </c>
      <c r="B6351" s="821">
        <v>36417</v>
      </c>
      <c r="C6351">
        <v>6.11</v>
      </c>
      <c r="D6351">
        <f t="shared" si="201"/>
        <v>1</v>
      </c>
    </row>
    <row r="6352" spans="1:4" x14ac:dyDescent="0.55000000000000004">
      <c r="A6352">
        <f t="shared" si="200"/>
        <v>1999</v>
      </c>
      <c r="B6352" s="821">
        <v>36416</v>
      </c>
      <c r="C6352">
        <v>6.06</v>
      </c>
      <c r="D6352">
        <f t="shared" si="201"/>
        <v>1</v>
      </c>
    </row>
    <row r="6353" spans="1:4" x14ac:dyDescent="0.55000000000000004">
      <c r="A6353">
        <f t="shared" si="200"/>
        <v>1999</v>
      </c>
      <c r="B6353" s="821">
        <v>36413</v>
      </c>
      <c r="C6353">
        <v>6.03</v>
      </c>
      <c r="D6353">
        <f t="shared" si="201"/>
        <v>1</v>
      </c>
    </row>
    <row r="6354" spans="1:4" x14ac:dyDescent="0.55000000000000004">
      <c r="A6354">
        <f t="shared" si="200"/>
        <v>1999</v>
      </c>
      <c r="B6354" s="821">
        <v>36412</v>
      </c>
      <c r="C6354">
        <v>6.1</v>
      </c>
      <c r="D6354">
        <f t="shared" si="201"/>
        <v>1</v>
      </c>
    </row>
    <row r="6355" spans="1:4" x14ac:dyDescent="0.55000000000000004">
      <c r="A6355">
        <f t="shared" si="200"/>
        <v>1999</v>
      </c>
      <c r="B6355" s="821">
        <v>36411</v>
      </c>
      <c r="C6355">
        <v>6.07</v>
      </c>
      <c r="D6355">
        <f t="shared" si="201"/>
        <v>1</v>
      </c>
    </row>
    <row r="6356" spans="1:4" x14ac:dyDescent="0.55000000000000004">
      <c r="A6356">
        <f t="shared" si="200"/>
        <v>1999</v>
      </c>
      <c r="B6356" s="821">
        <v>36410</v>
      </c>
      <c r="C6356">
        <v>6.07</v>
      </c>
      <c r="D6356">
        <f t="shared" si="201"/>
        <v>1</v>
      </c>
    </row>
    <row r="6357" spans="1:4" x14ac:dyDescent="0.55000000000000004">
      <c r="A6357">
        <f t="shared" si="200"/>
        <v>1999</v>
      </c>
      <c r="B6357" s="821">
        <v>36406</v>
      </c>
      <c r="C6357">
        <v>6.03</v>
      </c>
      <c r="D6357">
        <f t="shared" si="201"/>
        <v>1</v>
      </c>
    </row>
    <row r="6358" spans="1:4" x14ac:dyDescent="0.55000000000000004">
      <c r="A6358">
        <f t="shared" si="200"/>
        <v>1999</v>
      </c>
      <c r="B6358" s="821">
        <v>36405</v>
      </c>
      <c r="C6358">
        <v>6.15</v>
      </c>
      <c r="D6358">
        <f t="shared" si="201"/>
        <v>1</v>
      </c>
    </row>
    <row r="6359" spans="1:4" x14ac:dyDescent="0.55000000000000004">
      <c r="A6359">
        <f t="shared" si="200"/>
        <v>1999</v>
      </c>
      <c r="B6359" s="821">
        <v>36404</v>
      </c>
      <c r="C6359">
        <v>6.08</v>
      </c>
      <c r="D6359">
        <f t="shared" si="201"/>
        <v>1</v>
      </c>
    </row>
    <row r="6360" spans="1:4" x14ac:dyDescent="0.55000000000000004">
      <c r="A6360">
        <f t="shared" si="200"/>
        <v>1999</v>
      </c>
      <c r="B6360" s="821">
        <v>36403</v>
      </c>
      <c r="C6360">
        <v>6.07</v>
      </c>
      <c r="D6360">
        <f t="shared" si="201"/>
        <v>1</v>
      </c>
    </row>
    <row r="6361" spans="1:4" x14ac:dyDescent="0.55000000000000004">
      <c r="A6361">
        <f t="shared" si="200"/>
        <v>1999</v>
      </c>
      <c r="B6361" s="821">
        <v>36402</v>
      </c>
      <c r="C6361">
        <v>6.07</v>
      </c>
      <c r="D6361">
        <f t="shared" si="201"/>
        <v>1</v>
      </c>
    </row>
    <row r="6362" spans="1:4" x14ac:dyDescent="0.55000000000000004">
      <c r="A6362">
        <f t="shared" si="200"/>
        <v>1999</v>
      </c>
      <c r="B6362" s="821">
        <v>36399</v>
      </c>
      <c r="C6362">
        <v>5.96</v>
      </c>
      <c r="D6362">
        <f t="shared" si="201"/>
        <v>1</v>
      </c>
    </row>
    <row r="6363" spans="1:4" x14ac:dyDescent="0.55000000000000004">
      <c r="A6363">
        <f t="shared" si="200"/>
        <v>1999</v>
      </c>
      <c r="B6363" s="821">
        <v>36398</v>
      </c>
      <c r="C6363">
        <v>5.88</v>
      </c>
      <c r="D6363">
        <f t="shared" si="201"/>
        <v>1</v>
      </c>
    </row>
    <row r="6364" spans="1:4" x14ac:dyDescent="0.55000000000000004">
      <c r="A6364">
        <f t="shared" si="200"/>
        <v>1999</v>
      </c>
      <c r="B6364" s="821">
        <v>36397</v>
      </c>
      <c r="C6364">
        <v>5.87</v>
      </c>
      <c r="D6364">
        <f t="shared" si="201"/>
        <v>1</v>
      </c>
    </row>
    <row r="6365" spans="1:4" x14ac:dyDescent="0.55000000000000004">
      <c r="A6365">
        <f t="shared" si="200"/>
        <v>1999</v>
      </c>
      <c r="B6365" s="821">
        <v>36396</v>
      </c>
      <c r="C6365">
        <v>5.95</v>
      </c>
      <c r="D6365">
        <f t="shared" si="201"/>
        <v>1</v>
      </c>
    </row>
    <row r="6366" spans="1:4" x14ac:dyDescent="0.55000000000000004">
      <c r="A6366">
        <f t="shared" si="200"/>
        <v>1999</v>
      </c>
      <c r="B6366" s="821">
        <v>36395</v>
      </c>
      <c r="C6366">
        <v>5.98</v>
      </c>
      <c r="D6366">
        <f t="shared" si="201"/>
        <v>1</v>
      </c>
    </row>
    <row r="6367" spans="1:4" x14ac:dyDescent="0.55000000000000004">
      <c r="A6367">
        <f t="shared" si="200"/>
        <v>1999</v>
      </c>
      <c r="B6367" s="821">
        <v>36392</v>
      </c>
      <c r="C6367">
        <v>5.99</v>
      </c>
      <c r="D6367">
        <f t="shared" si="201"/>
        <v>1</v>
      </c>
    </row>
    <row r="6368" spans="1:4" x14ac:dyDescent="0.55000000000000004">
      <c r="A6368">
        <f t="shared" si="200"/>
        <v>1999</v>
      </c>
      <c r="B6368" s="821">
        <v>36391</v>
      </c>
      <c r="C6368">
        <v>6.03</v>
      </c>
      <c r="D6368">
        <f t="shared" si="201"/>
        <v>1</v>
      </c>
    </row>
    <row r="6369" spans="1:4" x14ac:dyDescent="0.55000000000000004">
      <c r="A6369">
        <f t="shared" si="200"/>
        <v>1999</v>
      </c>
      <c r="B6369" s="821">
        <v>36390</v>
      </c>
      <c r="C6369">
        <v>6.01</v>
      </c>
      <c r="D6369">
        <f t="shared" si="201"/>
        <v>1</v>
      </c>
    </row>
    <row r="6370" spans="1:4" x14ac:dyDescent="0.55000000000000004">
      <c r="A6370">
        <f t="shared" si="200"/>
        <v>1999</v>
      </c>
      <c r="B6370" s="821">
        <v>36389</v>
      </c>
      <c r="C6370">
        <v>6.02</v>
      </c>
      <c r="D6370">
        <f t="shared" si="201"/>
        <v>1</v>
      </c>
    </row>
    <row r="6371" spans="1:4" x14ac:dyDescent="0.55000000000000004">
      <c r="A6371">
        <f t="shared" si="200"/>
        <v>1999</v>
      </c>
      <c r="B6371" s="821">
        <v>36388</v>
      </c>
      <c r="C6371">
        <v>6.1</v>
      </c>
      <c r="D6371">
        <f t="shared" si="201"/>
        <v>1</v>
      </c>
    </row>
    <row r="6372" spans="1:4" x14ac:dyDescent="0.55000000000000004">
      <c r="A6372">
        <f t="shared" si="200"/>
        <v>1999</v>
      </c>
      <c r="B6372" s="821">
        <v>36385</v>
      </c>
      <c r="C6372">
        <v>6.09</v>
      </c>
      <c r="D6372">
        <f t="shared" si="201"/>
        <v>1</v>
      </c>
    </row>
    <row r="6373" spans="1:4" x14ac:dyDescent="0.55000000000000004">
      <c r="A6373">
        <f t="shared" si="200"/>
        <v>1999</v>
      </c>
      <c r="B6373" s="821">
        <v>36384</v>
      </c>
      <c r="C6373">
        <v>6.18</v>
      </c>
      <c r="D6373">
        <f t="shared" si="201"/>
        <v>1</v>
      </c>
    </row>
    <row r="6374" spans="1:4" x14ac:dyDescent="0.55000000000000004">
      <c r="A6374">
        <f t="shared" si="200"/>
        <v>1999</v>
      </c>
      <c r="B6374" s="821">
        <v>36383</v>
      </c>
      <c r="C6374">
        <v>6.22</v>
      </c>
      <c r="D6374">
        <f t="shared" si="201"/>
        <v>1</v>
      </c>
    </row>
    <row r="6375" spans="1:4" x14ac:dyDescent="0.55000000000000004">
      <c r="A6375">
        <f t="shared" si="200"/>
        <v>1999</v>
      </c>
      <c r="B6375" s="821">
        <v>36382</v>
      </c>
      <c r="C6375">
        <v>6.25</v>
      </c>
      <c r="D6375">
        <f t="shared" si="201"/>
        <v>1</v>
      </c>
    </row>
    <row r="6376" spans="1:4" x14ac:dyDescent="0.55000000000000004">
      <c r="A6376">
        <f t="shared" si="200"/>
        <v>1999</v>
      </c>
      <c r="B6376" s="821">
        <v>36381</v>
      </c>
      <c r="C6376">
        <v>6.23</v>
      </c>
      <c r="D6376">
        <f t="shared" si="201"/>
        <v>1</v>
      </c>
    </row>
    <row r="6377" spans="1:4" x14ac:dyDescent="0.55000000000000004">
      <c r="A6377">
        <f t="shared" si="200"/>
        <v>1999</v>
      </c>
      <c r="B6377" s="821">
        <v>36378</v>
      </c>
      <c r="C6377">
        <v>6.16</v>
      </c>
      <c r="D6377">
        <f t="shared" si="201"/>
        <v>1</v>
      </c>
    </row>
    <row r="6378" spans="1:4" x14ac:dyDescent="0.55000000000000004">
      <c r="A6378">
        <f t="shared" si="200"/>
        <v>1999</v>
      </c>
      <c r="B6378" s="821">
        <v>36377</v>
      </c>
      <c r="C6378">
        <v>6.05</v>
      </c>
      <c r="D6378">
        <f t="shared" si="201"/>
        <v>1</v>
      </c>
    </row>
    <row r="6379" spans="1:4" x14ac:dyDescent="0.55000000000000004">
      <c r="A6379">
        <f t="shared" si="200"/>
        <v>1999</v>
      </c>
      <c r="B6379" s="821">
        <v>36376</v>
      </c>
      <c r="C6379">
        <v>6.12</v>
      </c>
      <c r="D6379">
        <f t="shared" si="201"/>
        <v>1</v>
      </c>
    </row>
    <row r="6380" spans="1:4" x14ac:dyDescent="0.55000000000000004">
      <c r="A6380">
        <f t="shared" si="200"/>
        <v>1999</v>
      </c>
      <c r="B6380" s="821">
        <v>36375</v>
      </c>
      <c r="C6380">
        <v>6.15</v>
      </c>
      <c r="D6380">
        <f t="shared" si="201"/>
        <v>1</v>
      </c>
    </row>
    <row r="6381" spans="1:4" x14ac:dyDescent="0.55000000000000004">
      <c r="A6381">
        <f t="shared" si="200"/>
        <v>1999</v>
      </c>
      <c r="B6381" s="821">
        <v>36374</v>
      </c>
      <c r="C6381">
        <v>6.13</v>
      </c>
      <c r="D6381">
        <f t="shared" si="201"/>
        <v>1</v>
      </c>
    </row>
    <row r="6382" spans="1:4" x14ac:dyDescent="0.55000000000000004">
      <c r="A6382">
        <f t="shared" si="200"/>
        <v>1999</v>
      </c>
      <c r="B6382" s="821">
        <v>36371</v>
      </c>
      <c r="C6382">
        <v>6.11</v>
      </c>
      <c r="D6382">
        <f t="shared" si="201"/>
        <v>1</v>
      </c>
    </row>
    <row r="6383" spans="1:4" x14ac:dyDescent="0.55000000000000004">
      <c r="A6383">
        <f t="shared" si="200"/>
        <v>1999</v>
      </c>
      <c r="B6383" s="821">
        <v>36370</v>
      </c>
      <c r="C6383">
        <v>6.07</v>
      </c>
      <c r="D6383">
        <f t="shared" si="201"/>
        <v>1</v>
      </c>
    </row>
    <row r="6384" spans="1:4" x14ac:dyDescent="0.55000000000000004">
      <c r="A6384">
        <f t="shared" si="200"/>
        <v>1999</v>
      </c>
      <c r="B6384" s="821">
        <v>36369</v>
      </c>
      <c r="C6384">
        <v>6.01</v>
      </c>
      <c r="D6384">
        <f t="shared" si="201"/>
        <v>1</v>
      </c>
    </row>
    <row r="6385" spans="1:4" x14ac:dyDescent="0.55000000000000004">
      <c r="A6385">
        <f t="shared" si="200"/>
        <v>1999</v>
      </c>
      <c r="B6385" s="821">
        <v>36368</v>
      </c>
      <c r="C6385">
        <v>6.01</v>
      </c>
      <c r="D6385">
        <f t="shared" si="201"/>
        <v>1</v>
      </c>
    </row>
    <row r="6386" spans="1:4" x14ac:dyDescent="0.55000000000000004">
      <c r="A6386">
        <f t="shared" si="200"/>
        <v>1999</v>
      </c>
      <c r="B6386" s="821">
        <v>36367</v>
      </c>
      <c r="C6386">
        <v>6.04</v>
      </c>
      <c r="D6386">
        <f t="shared" si="201"/>
        <v>1</v>
      </c>
    </row>
    <row r="6387" spans="1:4" x14ac:dyDescent="0.55000000000000004">
      <c r="A6387">
        <f t="shared" si="200"/>
        <v>1999</v>
      </c>
      <c r="B6387" s="821">
        <v>36364</v>
      </c>
      <c r="C6387">
        <v>6.02</v>
      </c>
      <c r="D6387">
        <f t="shared" si="201"/>
        <v>1</v>
      </c>
    </row>
    <row r="6388" spans="1:4" x14ac:dyDescent="0.55000000000000004">
      <c r="A6388">
        <f t="shared" si="200"/>
        <v>1999</v>
      </c>
      <c r="B6388" s="821">
        <v>36363</v>
      </c>
      <c r="C6388">
        <v>5.97</v>
      </c>
      <c r="D6388">
        <f t="shared" si="201"/>
        <v>1</v>
      </c>
    </row>
    <row r="6389" spans="1:4" x14ac:dyDescent="0.55000000000000004">
      <c r="A6389">
        <f t="shared" si="200"/>
        <v>1999</v>
      </c>
      <c r="B6389" s="821">
        <v>36362</v>
      </c>
      <c r="C6389">
        <v>5.91</v>
      </c>
      <c r="D6389">
        <f t="shared" si="201"/>
        <v>1</v>
      </c>
    </row>
    <row r="6390" spans="1:4" x14ac:dyDescent="0.55000000000000004">
      <c r="A6390">
        <f t="shared" si="200"/>
        <v>1999</v>
      </c>
      <c r="B6390" s="821">
        <v>36361</v>
      </c>
      <c r="C6390">
        <v>5.89</v>
      </c>
      <c r="D6390">
        <f t="shared" si="201"/>
        <v>1</v>
      </c>
    </row>
    <row r="6391" spans="1:4" x14ac:dyDescent="0.55000000000000004">
      <c r="A6391">
        <f t="shared" si="200"/>
        <v>1999</v>
      </c>
      <c r="B6391" s="821">
        <v>36360</v>
      </c>
      <c r="C6391">
        <v>5.9</v>
      </c>
      <c r="D6391">
        <f t="shared" si="201"/>
        <v>1</v>
      </c>
    </row>
    <row r="6392" spans="1:4" x14ac:dyDescent="0.55000000000000004">
      <c r="A6392">
        <f t="shared" si="200"/>
        <v>1999</v>
      </c>
      <c r="B6392" s="821">
        <v>36357</v>
      </c>
      <c r="C6392">
        <v>5.9</v>
      </c>
      <c r="D6392">
        <f t="shared" si="201"/>
        <v>1</v>
      </c>
    </row>
    <row r="6393" spans="1:4" x14ac:dyDescent="0.55000000000000004">
      <c r="A6393">
        <f t="shared" si="200"/>
        <v>1999</v>
      </c>
      <c r="B6393" s="821">
        <v>36356</v>
      </c>
      <c r="C6393">
        <v>5.91</v>
      </c>
      <c r="D6393">
        <f t="shared" si="201"/>
        <v>1</v>
      </c>
    </row>
    <row r="6394" spans="1:4" x14ac:dyDescent="0.55000000000000004">
      <c r="A6394">
        <f t="shared" si="200"/>
        <v>1999</v>
      </c>
      <c r="B6394" s="821">
        <v>36355</v>
      </c>
      <c r="C6394">
        <v>5.92</v>
      </c>
      <c r="D6394">
        <f t="shared" si="201"/>
        <v>1</v>
      </c>
    </row>
    <row r="6395" spans="1:4" x14ac:dyDescent="0.55000000000000004">
      <c r="A6395">
        <f t="shared" si="200"/>
        <v>1999</v>
      </c>
      <c r="B6395" s="821">
        <v>36354</v>
      </c>
      <c r="C6395">
        <v>5.9</v>
      </c>
      <c r="D6395">
        <f t="shared" si="201"/>
        <v>1</v>
      </c>
    </row>
    <row r="6396" spans="1:4" x14ac:dyDescent="0.55000000000000004">
      <c r="A6396">
        <f t="shared" si="200"/>
        <v>1999</v>
      </c>
      <c r="B6396" s="821">
        <v>36353</v>
      </c>
      <c r="C6396">
        <v>5.92</v>
      </c>
      <c r="D6396">
        <f t="shared" si="201"/>
        <v>1</v>
      </c>
    </row>
    <row r="6397" spans="1:4" x14ac:dyDescent="0.55000000000000004">
      <c r="A6397">
        <f t="shared" si="200"/>
        <v>1999</v>
      </c>
      <c r="B6397" s="821">
        <v>36350</v>
      </c>
      <c r="C6397">
        <v>6.01</v>
      </c>
      <c r="D6397">
        <f t="shared" si="201"/>
        <v>1</v>
      </c>
    </row>
    <row r="6398" spans="1:4" x14ac:dyDescent="0.55000000000000004">
      <c r="A6398">
        <f t="shared" si="200"/>
        <v>1999</v>
      </c>
      <c r="B6398" s="821">
        <v>36349</v>
      </c>
      <c r="C6398">
        <v>6.01</v>
      </c>
      <c r="D6398">
        <f t="shared" si="201"/>
        <v>1</v>
      </c>
    </row>
    <row r="6399" spans="1:4" x14ac:dyDescent="0.55000000000000004">
      <c r="A6399">
        <f t="shared" si="200"/>
        <v>1999</v>
      </c>
      <c r="B6399" s="821">
        <v>36348</v>
      </c>
      <c r="C6399">
        <v>6.08</v>
      </c>
      <c r="D6399">
        <f t="shared" si="201"/>
        <v>1</v>
      </c>
    </row>
    <row r="6400" spans="1:4" x14ac:dyDescent="0.55000000000000004">
      <c r="A6400">
        <f t="shared" si="200"/>
        <v>1999</v>
      </c>
      <c r="B6400" s="821">
        <v>36347</v>
      </c>
      <c r="C6400">
        <v>6.05</v>
      </c>
      <c r="D6400">
        <f t="shared" si="201"/>
        <v>1</v>
      </c>
    </row>
    <row r="6401" spans="1:4" x14ac:dyDescent="0.55000000000000004">
      <c r="A6401">
        <f t="shared" si="200"/>
        <v>1999</v>
      </c>
      <c r="B6401" s="821">
        <v>36343</v>
      </c>
      <c r="C6401">
        <v>6</v>
      </c>
      <c r="D6401">
        <f t="shared" si="201"/>
        <v>1</v>
      </c>
    </row>
    <row r="6402" spans="1:4" x14ac:dyDescent="0.55000000000000004">
      <c r="A6402">
        <f t="shared" si="200"/>
        <v>1999</v>
      </c>
      <c r="B6402" s="821">
        <v>36342</v>
      </c>
      <c r="C6402">
        <v>6.02</v>
      </c>
      <c r="D6402">
        <f t="shared" si="201"/>
        <v>1</v>
      </c>
    </row>
    <row r="6403" spans="1:4" x14ac:dyDescent="0.55000000000000004">
      <c r="A6403">
        <f t="shared" si="200"/>
        <v>1999</v>
      </c>
      <c r="B6403" s="821">
        <v>36341</v>
      </c>
      <c r="C6403">
        <v>5.98</v>
      </c>
      <c r="D6403">
        <f t="shared" si="201"/>
        <v>1</v>
      </c>
    </row>
    <row r="6404" spans="1:4" x14ac:dyDescent="0.55000000000000004">
      <c r="A6404">
        <f t="shared" ref="A6404:A6467" si="202">YEAR(B6404)</f>
        <v>1999</v>
      </c>
      <c r="B6404" s="821">
        <v>36340</v>
      </c>
      <c r="C6404">
        <v>6.07</v>
      </c>
      <c r="D6404">
        <f t="shared" ref="D6404:D6467" si="203">IF(C6404&gt;4,1,0)</f>
        <v>1</v>
      </c>
    </row>
    <row r="6405" spans="1:4" x14ac:dyDescent="0.55000000000000004">
      <c r="A6405">
        <f t="shared" si="202"/>
        <v>1999</v>
      </c>
      <c r="B6405" s="821">
        <v>36339</v>
      </c>
      <c r="C6405">
        <v>6.1</v>
      </c>
      <c r="D6405">
        <f t="shared" si="203"/>
        <v>1</v>
      </c>
    </row>
    <row r="6406" spans="1:4" x14ac:dyDescent="0.55000000000000004">
      <c r="A6406">
        <f t="shared" si="202"/>
        <v>1999</v>
      </c>
      <c r="B6406" s="821">
        <v>36336</v>
      </c>
      <c r="C6406">
        <v>6.16</v>
      </c>
      <c r="D6406">
        <f t="shared" si="203"/>
        <v>1</v>
      </c>
    </row>
    <row r="6407" spans="1:4" x14ac:dyDescent="0.55000000000000004">
      <c r="A6407">
        <f t="shared" si="202"/>
        <v>1999</v>
      </c>
      <c r="B6407" s="821">
        <v>36335</v>
      </c>
      <c r="C6407">
        <v>6.17</v>
      </c>
      <c r="D6407">
        <f t="shared" si="203"/>
        <v>1</v>
      </c>
    </row>
    <row r="6408" spans="1:4" x14ac:dyDescent="0.55000000000000004">
      <c r="A6408">
        <f t="shared" si="202"/>
        <v>1999</v>
      </c>
      <c r="B6408" s="821">
        <v>36334</v>
      </c>
      <c r="C6408">
        <v>6.13</v>
      </c>
      <c r="D6408">
        <f t="shared" si="203"/>
        <v>1</v>
      </c>
    </row>
    <row r="6409" spans="1:4" x14ac:dyDescent="0.55000000000000004">
      <c r="A6409">
        <f t="shared" si="202"/>
        <v>1999</v>
      </c>
      <c r="B6409" s="821">
        <v>36333</v>
      </c>
      <c r="C6409">
        <v>6.07</v>
      </c>
      <c r="D6409">
        <f t="shared" si="203"/>
        <v>1</v>
      </c>
    </row>
    <row r="6410" spans="1:4" x14ac:dyDescent="0.55000000000000004">
      <c r="A6410">
        <f t="shared" si="202"/>
        <v>1999</v>
      </c>
      <c r="B6410" s="821">
        <v>36332</v>
      </c>
      <c r="C6410">
        <v>6.03</v>
      </c>
      <c r="D6410">
        <f t="shared" si="203"/>
        <v>1</v>
      </c>
    </row>
    <row r="6411" spans="1:4" x14ac:dyDescent="0.55000000000000004">
      <c r="A6411">
        <f t="shared" si="202"/>
        <v>1999</v>
      </c>
      <c r="B6411" s="821">
        <v>36329</v>
      </c>
      <c r="C6411">
        <v>5.98</v>
      </c>
      <c r="D6411">
        <f t="shared" si="203"/>
        <v>1</v>
      </c>
    </row>
    <row r="6412" spans="1:4" x14ac:dyDescent="0.55000000000000004">
      <c r="A6412">
        <f t="shared" si="202"/>
        <v>1999</v>
      </c>
      <c r="B6412" s="821">
        <v>36328</v>
      </c>
      <c r="C6412">
        <v>5.95</v>
      </c>
      <c r="D6412">
        <f t="shared" si="203"/>
        <v>1</v>
      </c>
    </row>
    <row r="6413" spans="1:4" x14ac:dyDescent="0.55000000000000004">
      <c r="A6413">
        <f t="shared" si="202"/>
        <v>1999</v>
      </c>
      <c r="B6413" s="821">
        <v>36327</v>
      </c>
      <c r="C6413">
        <v>6.08</v>
      </c>
      <c r="D6413">
        <f t="shared" si="203"/>
        <v>1</v>
      </c>
    </row>
    <row r="6414" spans="1:4" x14ac:dyDescent="0.55000000000000004">
      <c r="A6414">
        <f t="shared" si="202"/>
        <v>1999</v>
      </c>
      <c r="B6414" s="821">
        <v>36326</v>
      </c>
      <c r="C6414">
        <v>6.11</v>
      </c>
      <c r="D6414">
        <f t="shared" si="203"/>
        <v>1</v>
      </c>
    </row>
    <row r="6415" spans="1:4" x14ac:dyDescent="0.55000000000000004">
      <c r="A6415">
        <f t="shared" si="202"/>
        <v>1999</v>
      </c>
      <c r="B6415" s="821">
        <v>36325</v>
      </c>
      <c r="C6415">
        <v>6.11</v>
      </c>
      <c r="D6415">
        <f t="shared" si="203"/>
        <v>1</v>
      </c>
    </row>
    <row r="6416" spans="1:4" x14ac:dyDescent="0.55000000000000004">
      <c r="A6416">
        <f t="shared" si="202"/>
        <v>1999</v>
      </c>
      <c r="B6416" s="821">
        <v>36322</v>
      </c>
      <c r="C6416">
        <v>6.13</v>
      </c>
      <c r="D6416">
        <f t="shared" si="203"/>
        <v>1</v>
      </c>
    </row>
    <row r="6417" spans="1:4" x14ac:dyDescent="0.55000000000000004">
      <c r="A6417">
        <f t="shared" si="202"/>
        <v>1999</v>
      </c>
      <c r="B6417" s="821">
        <v>36321</v>
      </c>
      <c r="C6417">
        <v>6.05</v>
      </c>
      <c r="D6417">
        <f t="shared" si="203"/>
        <v>1</v>
      </c>
    </row>
    <row r="6418" spans="1:4" x14ac:dyDescent="0.55000000000000004">
      <c r="A6418">
        <f t="shared" si="202"/>
        <v>1999</v>
      </c>
      <c r="B6418" s="821">
        <v>36320</v>
      </c>
      <c r="C6418">
        <v>6.02</v>
      </c>
      <c r="D6418">
        <f t="shared" si="203"/>
        <v>1</v>
      </c>
    </row>
    <row r="6419" spans="1:4" x14ac:dyDescent="0.55000000000000004">
      <c r="A6419">
        <f t="shared" si="202"/>
        <v>1999</v>
      </c>
      <c r="B6419" s="821">
        <v>36319</v>
      </c>
      <c r="C6419">
        <v>6</v>
      </c>
      <c r="D6419">
        <f t="shared" si="203"/>
        <v>1</v>
      </c>
    </row>
    <row r="6420" spans="1:4" x14ac:dyDescent="0.55000000000000004">
      <c r="A6420">
        <f t="shared" si="202"/>
        <v>1999</v>
      </c>
      <c r="B6420" s="821">
        <v>36318</v>
      </c>
      <c r="C6420">
        <v>5.97</v>
      </c>
      <c r="D6420">
        <f t="shared" si="203"/>
        <v>1</v>
      </c>
    </row>
    <row r="6421" spans="1:4" x14ac:dyDescent="0.55000000000000004">
      <c r="A6421">
        <f t="shared" si="202"/>
        <v>1999</v>
      </c>
      <c r="B6421" s="821">
        <v>36315</v>
      </c>
      <c r="C6421">
        <v>5.97</v>
      </c>
      <c r="D6421">
        <f t="shared" si="203"/>
        <v>1</v>
      </c>
    </row>
    <row r="6422" spans="1:4" x14ac:dyDescent="0.55000000000000004">
      <c r="A6422">
        <f t="shared" si="202"/>
        <v>1999</v>
      </c>
      <c r="B6422" s="821">
        <v>36314</v>
      </c>
      <c r="C6422">
        <v>5.96</v>
      </c>
      <c r="D6422">
        <f t="shared" si="203"/>
        <v>1</v>
      </c>
    </row>
    <row r="6423" spans="1:4" x14ac:dyDescent="0.55000000000000004">
      <c r="A6423">
        <f t="shared" si="202"/>
        <v>1999</v>
      </c>
      <c r="B6423" s="821">
        <v>36313</v>
      </c>
      <c r="C6423">
        <v>5.94</v>
      </c>
      <c r="D6423">
        <f t="shared" si="203"/>
        <v>1</v>
      </c>
    </row>
    <row r="6424" spans="1:4" x14ac:dyDescent="0.55000000000000004">
      <c r="A6424">
        <f t="shared" si="202"/>
        <v>1999</v>
      </c>
      <c r="B6424" s="821">
        <v>36312</v>
      </c>
      <c r="C6424">
        <v>5.94</v>
      </c>
      <c r="D6424">
        <f t="shared" si="203"/>
        <v>1</v>
      </c>
    </row>
    <row r="6425" spans="1:4" x14ac:dyDescent="0.55000000000000004">
      <c r="A6425">
        <f t="shared" si="202"/>
        <v>1999</v>
      </c>
      <c r="B6425" s="821">
        <v>36308</v>
      </c>
      <c r="C6425">
        <v>5.84</v>
      </c>
      <c r="D6425">
        <f t="shared" si="203"/>
        <v>1</v>
      </c>
    </row>
    <row r="6426" spans="1:4" x14ac:dyDescent="0.55000000000000004">
      <c r="A6426">
        <f t="shared" si="202"/>
        <v>1999</v>
      </c>
      <c r="B6426" s="821">
        <v>36307</v>
      </c>
      <c r="C6426">
        <v>5.85</v>
      </c>
      <c r="D6426">
        <f t="shared" si="203"/>
        <v>1</v>
      </c>
    </row>
    <row r="6427" spans="1:4" x14ac:dyDescent="0.55000000000000004">
      <c r="A6427">
        <f t="shared" si="202"/>
        <v>1999</v>
      </c>
      <c r="B6427" s="821">
        <v>36306</v>
      </c>
      <c r="C6427">
        <v>5.8</v>
      </c>
      <c r="D6427">
        <f t="shared" si="203"/>
        <v>1</v>
      </c>
    </row>
    <row r="6428" spans="1:4" x14ac:dyDescent="0.55000000000000004">
      <c r="A6428">
        <f t="shared" si="202"/>
        <v>1999</v>
      </c>
      <c r="B6428" s="821">
        <v>36305</v>
      </c>
      <c r="C6428">
        <v>5.76</v>
      </c>
      <c r="D6428">
        <f t="shared" si="203"/>
        <v>1</v>
      </c>
    </row>
    <row r="6429" spans="1:4" x14ac:dyDescent="0.55000000000000004">
      <c r="A6429">
        <f t="shared" si="202"/>
        <v>1999</v>
      </c>
      <c r="B6429" s="821">
        <v>36304</v>
      </c>
      <c r="C6429">
        <v>5.77</v>
      </c>
      <c r="D6429">
        <f t="shared" si="203"/>
        <v>1</v>
      </c>
    </row>
    <row r="6430" spans="1:4" x14ac:dyDescent="0.55000000000000004">
      <c r="A6430">
        <f t="shared" si="202"/>
        <v>1999</v>
      </c>
      <c r="B6430" s="821">
        <v>36301</v>
      </c>
      <c r="C6430">
        <v>5.78</v>
      </c>
      <c r="D6430">
        <f t="shared" si="203"/>
        <v>1</v>
      </c>
    </row>
    <row r="6431" spans="1:4" x14ac:dyDescent="0.55000000000000004">
      <c r="A6431">
        <f t="shared" si="202"/>
        <v>1999</v>
      </c>
      <c r="B6431" s="821">
        <v>36300</v>
      </c>
      <c r="C6431">
        <v>5.83</v>
      </c>
      <c r="D6431">
        <f t="shared" si="203"/>
        <v>1</v>
      </c>
    </row>
    <row r="6432" spans="1:4" x14ac:dyDescent="0.55000000000000004">
      <c r="A6432">
        <f t="shared" si="202"/>
        <v>1999</v>
      </c>
      <c r="B6432" s="821">
        <v>36299</v>
      </c>
      <c r="C6432">
        <v>5.81</v>
      </c>
      <c r="D6432">
        <f t="shared" si="203"/>
        <v>1</v>
      </c>
    </row>
    <row r="6433" spans="1:4" x14ac:dyDescent="0.55000000000000004">
      <c r="A6433">
        <f t="shared" si="202"/>
        <v>1999</v>
      </c>
      <c r="B6433" s="821">
        <v>36298</v>
      </c>
      <c r="C6433">
        <v>5.9</v>
      </c>
      <c r="D6433">
        <f t="shared" si="203"/>
        <v>1</v>
      </c>
    </row>
    <row r="6434" spans="1:4" x14ac:dyDescent="0.55000000000000004">
      <c r="A6434">
        <f t="shared" si="202"/>
        <v>1999</v>
      </c>
      <c r="B6434" s="821">
        <v>36297</v>
      </c>
      <c r="C6434">
        <v>5.91</v>
      </c>
      <c r="D6434">
        <f t="shared" si="203"/>
        <v>1</v>
      </c>
    </row>
    <row r="6435" spans="1:4" x14ac:dyDescent="0.55000000000000004">
      <c r="A6435">
        <f t="shared" si="202"/>
        <v>1999</v>
      </c>
      <c r="B6435" s="821">
        <v>36294</v>
      </c>
      <c r="C6435">
        <v>5.92</v>
      </c>
      <c r="D6435">
        <f t="shared" si="203"/>
        <v>1</v>
      </c>
    </row>
    <row r="6436" spans="1:4" x14ac:dyDescent="0.55000000000000004">
      <c r="A6436">
        <f t="shared" si="202"/>
        <v>1999</v>
      </c>
      <c r="B6436" s="821">
        <v>36293</v>
      </c>
      <c r="C6436">
        <v>5.75</v>
      </c>
      <c r="D6436">
        <f t="shared" si="203"/>
        <v>1</v>
      </c>
    </row>
    <row r="6437" spans="1:4" x14ac:dyDescent="0.55000000000000004">
      <c r="A6437">
        <f t="shared" si="202"/>
        <v>1999</v>
      </c>
      <c r="B6437" s="821">
        <v>36292</v>
      </c>
      <c r="C6437">
        <v>5.83</v>
      </c>
      <c r="D6437">
        <f t="shared" si="203"/>
        <v>1</v>
      </c>
    </row>
    <row r="6438" spans="1:4" x14ac:dyDescent="0.55000000000000004">
      <c r="A6438">
        <f t="shared" si="202"/>
        <v>1999</v>
      </c>
      <c r="B6438" s="821">
        <v>36291</v>
      </c>
      <c r="C6438">
        <v>5.85</v>
      </c>
      <c r="D6438">
        <f t="shared" si="203"/>
        <v>1</v>
      </c>
    </row>
    <row r="6439" spans="1:4" x14ac:dyDescent="0.55000000000000004">
      <c r="A6439">
        <f t="shared" si="202"/>
        <v>1999</v>
      </c>
      <c r="B6439" s="821">
        <v>36290</v>
      </c>
      <c r="C6439">
        <v>5.79</v>
      </c>
      <c r="D6439">
        <f t="shared" si="203"/>
        <v>1</v>
      </c>
    </row>
    <row r="6440" spans="1:4" x14ac:dyDescent="0.55000000000000004">
      <c r="A6440">
        <f t="shared" si="202"/>
        <v>1999</v>
      </c>
      <c r="B6440" s="821">
        <v>36287</v>
      </c>
      <c r="C6440">
        <v>5.82</v>
      </c>
      <c r="D6440">
        <f t="shared" si="203"/>
        <v>1</v>
      </c>
    </row>
    <row r="6441" spans="1:4" x14ac:dyDescent="0.55000000000000004">
      <c r="A6441">
        <f t="shared" si="202"/>
        <v>1999</v>
      </c>
      <c r="B6441" s="821">
        <v>36286</v>
      </c>
      <c r="C6441">
        <v>5.8</v>
      </c>
      <c r="D6441">
        <f t="shared" si="203"/>
        <v>1</v>
      </c>
    </row>
    <row r="6442" spans="1:4" x14ac:dyDescent="0.55000000000000004">
      <c r="A6442">
        <f t="shared" si="202"/>
        <v>1999</v>
      </c>
      <c r="B6442" s="821">
        <v>36285</v>
      </c>
      <c r="C6442">
        <v>5.71</v>
      </c>
      <c r="D6442">
        <f t="shared" si="203"/>
        <v>1</v>
      </c>
    </row>
    <row r="6443" spans="1:4" x14ac:dyDescent="0.55000000000000004">
      <c r="A6443">
        <f t="shared" si="202"/>
        <v>1999</v>
      </c>
      <c r="B6443" s="821">
        <v>36284</v>
      </c>
      <c r="C6443">
        <v>5.72</v>
      </c>
      <c r="D6443">
        <f t="shared" si="203"/>
        <v>1</v>
      </c>
    </row>
    <row r="6444" spans="1:4" x14ac:dyDescent="0.55000000000000004">
      <c r="A6444">
        <f t="shared" si="202"/>
        <v>1999</v>
      </c>
      <c r="B6444" s="821">
        <v>36283</v>
      </c>
      <c r="C6444">
        <v>5.67</v>
      </c>
      <c r="D6444">
        <f t="shared" si="203"/>
        <v>1</v>
      </c>
    </row>
    <row r="6445" spans="1:4" x14ac:dyDescent="0.55000000000000004">
      <c r="A6445">
        <f t="shared" si="202"/>
        <v>1999</v>
      </c>
      <c r="B6445" s="821">
        <v>36280</v>
      </c>
      <c r="C6445">
        <v>5.68</v>
      </c>
      <c r="D6445">
        <f t="shared" si="203"/>
        <v>1</v>
      </c>
    </row>
    <row r="6446" spans="1:4" x14ac:dyDescent="0.55000000000000004">
      <c r="A6446">
        <f t="shared" si="202"/>
        <v>1999</v>
      </c>
      <c r="B6446" s="821">
        <v>36279</v>
      </c>
      <c r="C6446">
        <v>5.53</v>
      </c>
      <c r="D6446">
        <f t="shared" si="203"/>
        <v>1</v>
      </c>
    </row>
    <row r="6447" spans="1:4" x14ac:dyDescent="0.55000000000000004">
      <c r="A6447">
        <f t="shared" si="202"/>
        <v>1999</v>
      </c>
      <c r="B6447" s="821">
        <v>36278</v>
      </c>
      <c r="C6447">
        <v>5.58</v>
      </c>
      <c r="D6447">
        <f t="shared" si="203"/>
        <v>1</v>
      </c>
    </row>
    <row r="6448" spans="1:4" x14ac:dyDescent="0.55000000000000004">
      <c r="A6448">
        <f t="shared" si="202"/>
        <v>1999</v>
      </c>
      <c r="B6448" s="821">
        <v>36277</v>
      </c>
      <c r="C6448">
        <v>5.55</v>
      </c>
      <c r="D6448">
        <f t="shared" si="203"/>
        <v>1</v>
      </c>
    </row>
    <row r="6449" spans="1:4" x14ac:dyDescent="0.55000000000000004">
      <c r="A6449">
        <f t="shared" si="202"/>
        <v>1999</v>
      </c>
      <c r="B6449" s="821">
        <v>36276</v>
      </c>
      <c r="C6449">
        <v>5.57</v>
      </c>
      <c r="D6449">
        <f t="shared" si="203"/>
        <v>1</v>
      </c>
    </row>
    <row r="6450" spans="1:4" x14ac:dyDescent="0.55000000000000004">
      <c r="A6450">
        <f t="shared" si="202"/>
        <v>1999</v>
      </c>
      <c r="B6450" s="821">
        <v>36273</v>
      </c>
      <c r="C6450">
        <v>5.6</v>
      </c>
      <c r="D6450">
        <f t="shared" si="203"/>
        <v>1</v>
      </c>
    </row>
    <row r="6451" spans="1:4" x14ac:dyDescent="0.55000000000000004">
      <c r="A6451">
        <f t="shared" si="202"/>
        <v>1999</v>
      </c>
      <c r="B6451" s="821">
        <v>36272</v>
      </c>
      <c r="C6451">
        <v>5.61</v>
      </c>
      <c r="D6451">
        <f t="shared" si="203"/>
        <v>1</v>
      </c>
    </row>
    <row r="6452" spans="1:4" x14ac:dyDescent="0.55000000000000004">
      <c r="A6452">
        <f t="shared" si="202"/>
        <v>1999</v>
      </c>
      <c r="B6452" s="821">
        <v>36271</v>
      </c>
      <c r="C6452">
        <v>5.52</v>
      </c>
      <c r="D6452">
        <f t="shared" si="203"/>
        <v>1</v>
      </c>
    </row>
    <row r="6453" spans="1:4" x14ac:dyDescent="0.55000000000000004">
      <c r="A6453">
        <f t="shared" si="202"/>
        <v>1999</v>
      </c>
      <c r="B6453" s="821">
        <v>36270</v>
      </c>
      <c r="C6453">
        <v>5.52</v>
      </c>
      <c r="D6453">
        <f t="shared" si="203"/>
        <v>1</v>
      </c>
    </row>
    <row r="6454" spans="1:4" x14ac:dyDescent="0.55000000000000004">
      <c r="A6454">
        <f t="shared" si="202"/>
        <v>1999</v>
      </c>
      <c r="B6454" s="821">
        <v>36269</v>
      </c>
      <c r="C6454">
        <v>5.55</v>
      </c>
      <c r="D6454">
        <f t="shared" si="203"/>
        <v>1</v>
      </c>
    </row>
    <row r="6455" spans="1:4" x14ac:dyDescent="0.55000000000000004">
      <c r="A6455">
        <f t="shared" si="202"/>
        <v>1999</v>
      </c>
      <c r="B6455" s="821">
        <v>36266</v>
      </c>
      <c r="C6455">
        <v>5.57</v>
      </c>
      <c r="D6455">
        <f t="shared" si="203"/>
        <v>1</v>
      </c>
    </row>
    <row r="6456" spans="1:4" x14ac:dyDescent="0.55000000000000004">
      <c r="A6456">
        <f t="shared" si="202"/>
        <v>1999</v>
      </c>
      <c r="B6456" s="821">
        <v>36265</v>
      </c>
      <c r="C6456">
        <v>5.53</v>
      </c>
      <c r="D6456">
        <f t="shared" si="203"/>
        <v>1</v>
      </c>
    </row>
    <row r="6457" spans="1:4" x14ac:dyDescent="0.55000000000000004">
      <c r="A6457">
        <f t="shared" si="202"/>
        <v>1999</v>
      </c>
      <c r="B6457" s="821">
        <v>36264</v>
      </c>
      <c r="C6457">
        <v>5.51</v>
      </c>
      <c r="D6457">
        <f t="shared" si="203"/>
        <v>1</v>
      </c>
    </row>
    <row r="6458" spans="1:4" x14ac:dyDescent="0.55000000000000004">
      <c r="A6458">
        <f t="shared" si="202"/>
        <v>1999</v>
      </c>
      <c r="B6458" s="821">
        <v>36263</v>
      </c>
      <c r="C6458">
        <v>5.5</v>
      </c>
      <c r="D6458">
        <f t="shared" si="203"/>
        <v>1</v>
      </c>
    </row>
    <row r="6459" spans="1:4" x14ac:dyDescent="0.55000000000000004">
      <c r="A6459">
        <f t="shared" si="202"/>
        <v>1999</v>
      </c>
      <c r="B6459" s="821">
        <v>36262</v>
      </c>
      <c r="C6459">
        <v>5.45</v>
      </c>
      <c r="D6459">
        <f t="shared" si="203"/>
        <v>1</v>
      </c>
    </row>
    <row r="6460" spans="1:4" x14ac:dyDescent="0.55000000000000004">
      <c r="A6460">
        <f t="shared" si="202"/>
        <v>1999</v>
      </c>
      <c r="B6460" s="821">
        <v>36259</v>
      </c>
      <c r="C6460">
        <v>5.46</v>
      </c>
      <c r="D6460">
        <f t="shared" si="203"/>
        <v>1</v>
      </c>
    </row>
    <row r="6461" spans="1:4" x14ac:dyDescent="0.55000000000000004">
      <c r="A6461">
        <f t="shared" si="202"/>
        <v>1999</v>
      </c>
      <c r="B6461" s="821">
        <v>36258</v>
      </c>
      <c r="C6461">
        <v>5.44</v>
      </c>
      <c r="D6461">
        <f t="shared" si="203"/>
        <v>1</v>
      </c>
    </row>
    <row r="6462" spans="1:4" x14ac:dyDescent="0.55000000000000004">
      <c r="A6462">
        <f t="shared" si="202"/>
        <v>1999</v>
      </c>
      <c r="B6462" s="821">
        <v>36257</v>
      </c>
      <c r="C6462">
        <v>5.51</v>
      </c>
      <c r="D6462">
        <f t="shared" si="203"/>
        <v>1</v>
      </c>
    </row>
    <row r="6463" spans="1:4" x14ac:dyDescent="0.55000000000000004">
      <c r="A6463">
        <f t="shared" si="202"/>
        <v>1999</v>
      </c>
      <c r="B6463" s="821">
        <v>36256</v>
      </c>
      <c r="C6463">
        <v>5.52</v>
      </c>
      <c r="D6463">
        <f t="shared" si="203"/>
        <v>1</v>
      </c>
    </row>
    <row r="6464" spans="1:4" x14ac:dyDescent="0.55000000000000004">
      <c r="A6464">
        <f t="shared" si="202"/>
        <v>1999</v>
      </c>
      <c r="B6464" s="821">
        <v>36255</v>
      </c>
      <c r="C6464">
        <v>5.59</v>
      </c>
      <c r="D6464">
        <f t="shared" si="203"/>
        <v>1</v>
      </c>
    </row>
    <row r="6465" spans="1:4" x14ac:dyDescent="0.55000000000000004">
      <c r="A6465">
        <f t="shared" si="202"/>
        <v>1999</v>
      </c>
      <c r="B6465" s="821">
        <v>36252</v>
      </c>
      <c r="C6465">
        <v>5.59</v>
      </c>
      <c r="D6465">
        <f t="shared" si="203"/>
        <v>1</v>
      </c>
    </row>
    <row r="6466" spans="1:4" x14ac:dyDescent="0.55000000000000004">
      <c r="A6466">
        <f t="shared" si="202"/>
        <v>1999</v>
      </c>
      <c r="B6466" s="821">
        <v>36251</v>
      </c>
      <c r="C6466">
        <v>5.67</v>
      </c>
      <c r="D6466">
        <f t="shared" si="203"/>
        <v>1</v>
      </c>
    </row>
    <row r="6467" spans="1:4" x14ac:dyDescent="0.55000000000000004">
      <c r="A6467">
        <f t="shared" si="202"/>
        <v>1999</v>
      </c>
      <c r="B6467" s="821">
        <v>36250</v>
      </c>
      <c r="C6467">
        <v>5.63</v>
      </c>
      <c r="D6467">
        <f t="shared" si="203"/>
        <v>1</v>
      </c>
    </row>
    <row r="6468" spans="1:4" x14ac:dyDescent="0.55000000000000004">
      <c r="A6468">
        <f t="shared" ref="A6468:A6531" si="204">YEAR(B6468)</f>
        <v>1999</v>
      </c>
      <c r="B6468" s="821">
        <v>36249</v>
      </c>
      <c r="C6468">
        <v>5.59</v>
      </c>
      <c r="D6468">
        <f t="shared" ref="D6468:D6531" si="205">IF(C6468&gt;4,1,0)</f>
        <v>1</v>
      </c>
    </row>
    <row r="6469" spans="1:4" x14ac:dyDescent="0.55000000000000004">
      <c r="A6469">
        <f t="shared" si="204"/>
        <v>1999</v>
      </c>
      <c r="B6469" s="821">
        <v>36248</v>
      </c>
      <c r="C6469">
        <v>5.65</v>
      </c>
      <c r="D6469">
        <f t="shared" si="205"/>
        <v>1</v>
      </c>
    </row>
    <row r="6470" spans="1:4" x14ac:dyDescent="0.55000000000000004">
      <c r="A6470">
        <f t="shared" si="204"/>
        <v>1999</v>
      </c>
      <c r="B6470" s="821">
        <v>36245</v>
      </c>
      <c r="C6470">
        <v>5.61</v>
      </c>
      <c r="D6470">
        <f t="shared" si="205"/>
        <v>1</v>
      </c>
    </row>
    <row r="6471" spans="1:4" x14ac:dyDescent="0.55000000000000004">
      <c r="A6471">
        <f t="shared" si="204"/>
        <v>1999</v>
      </c>
      <c r="B6471" s="821">
        <v>36244</v>
      </c>
      <c r="C6471">
        <v>5.59</v>
      </c>
      <c r="D6471">
        <f t="shared" si="205"/>
        <v>1</v>
      </c>
    </row>
    <row r="6472" spans="1:4" x14ac:dyDescent="0.55000000000000004">
      <c r="A6472">
        <f t="shared" si="204"/>
        <v>1999</v>
      </c>
      <c r="B6472" s="821">
        <v>36243</v>
      </c>
      <c r="C6472">
        <v>5.54</v>
      </c>
      <c r="D6472">
        <f t="shared" si="205"/>
        <v>1</v>
      </c>
    </row>
    <row r="6473" spans="1:4" x14ac:dyDescent="0.55000000000000004">
      <c r="A6473">
        <f t="shared" si="204"/>
        <v>1999</v>
      </c>
      <c r="B6473" s="821">
        <v>36242</v>
      </c>
      <c r="C6473">
        <v>5.57</v>
      </c>
      <c r="D6473">
        <f t="shared" si="205"/>
        <v>1</v>
      </c>
    </row>
    <row r="6474" spans="1:4" x14ac:dyDescent="0.55000000000000004">
      <c r="A6474">
        <f t="shared" si="204"/>
        <v>1999</v>
      </c>
      <c r="B6474" s="821">
        <v>36241</v>
      </c>
      <c r="C6474">
        <v>5.57</v>
      </c>
      <c r="D6474">
        <f t="shared" si="205"/>
        <v>1</v>
      </c>
    </row>
    <row r="6475" spans="1:4" x14ac:dyDescent="0.55000000000000004">
      <c r="A6475">
        <f t="shared" si="204"/>
        <v>1999</v>
      </c>
      <c r="B6475" s="821">
        <v>36238</v>
      </c>
      <c r="C6475">
        <v>5.53</v>
      </c>
      <c r="D6475">
        <f t="shared" si="205"/>
        <v>1</v>
      </c>
    </row>
    <row r="6476" spans="1:4" x14ac:dyDescent="0.55000000000000004">
      <c r="A6476">
        <f t="shared" si="204"/>
        <v>1999</v>
      </c>
      <c r="B6476" s="821">
        <v>36237</v>
      </c>
      <c r="C6476">
        <v>5.49</v>
      </c>
      <c r="D6476">
        <f t="shared" si="205"/>
        <v>1</v>
      </c>
    </row>
    <row r="6477" spans="1:4" x14ac:dyDescent="0.55000000000000004">
      <c r="A6477">
        <f t="shared" si="204"/>
        <v>1999</v>
      </c>
      <c r="B6477" s="821">
        <v>36236</v>
      </c>
      <c r="C6477">
        <v>5.51</v>
      </c>
      <c r="D6477">
        <f t="shared" si="205"/>
        <v>1</v>
      </c>
    </row>
    <row r="6478" spans="1:4" x14ac:dyDescent="0.55000000000000004">
      <c r="A6478">
        <f t="shared" si="204"/>
        <v>1999</v>
      </c>
      <c r="B6478" s="821">
        <v>36235</v>
      </c>
      <c r="C6478">
        <v>5.48</v>
      </c>
      <c r="D6478">
        <f t="shared" si="205"/>
        <v>1</v>
      </c>
    </row>
    <row r="6479" spans="1:4" x14ac:dyDescent="0.55000000000000004">
      <c r="A6479">
        <f t="shared" si="204"/>
        <v>1999</v>
      </c>
      <c r="B6479" s="821">
        <v>36234</v>
      </c>
      <c r="C6479">
        <v>5.51</v>
      </c>
      <c r="D6479">
        <f t="shared" si="205"/>
        <v>1</v>
      </c>
    </row>
    <row r="6480" spans="1:4" x14ac:dyDescent="0.55000000000000004">
      <c r="A6480">
        <f t="shared" si="204"/>
        <v>1999</v>
      </c>
      <c r="B6480" s="821">
        <v>36231</v>
      </c>
      <c r="C6480">
        <v>5.54</v>
      </c>
      <c r="D6480">
        <f t="shared" si="205"/>
        <v>1</v>
      </c>
    </row>
    <row r="6481" spans="1:4" x14ac:dyDescent="0.55000000000000004">
      <c r="A6481">
        <f t="shared" si="204"/>
        <v>1999</v>
      </c>
      <c r="B6481" s="821">
        <v>36230</v>
      </c>
      <c r="C6481">
        <v>5.57</v>
      </c>
      <c r="D6481">
        <f t="shared" si="205"/>
        <v>1</v>
      </c>
    </row>
    <row r="6482" spans="1:4" x14ac:dyDescent="0.55000000000000004">
      <c r="A6482">
        <f t="shared" si="204"/>
        <v>1999</v>
      </c>
      <c r="B6482" s="821">
        <v>36229</v>
      </c>
      <c r="C6482">
        <v>5.56</v>
      </c>
      <c r="D6482">
        <f t="shared" si="205"/>
        <v>1</v>
      </c>
    </row>
    <row r="6483" spans="1:4" x14ac:dyDescent="0.55000000000000004">
      <c r="A6483">
        <f t="shared" si="204"/>
        <v>1999</v>
      </c>
      <c r="B6483" s="821">
        <v>36228</v>
      </c>
      <c r="C6483">
        <v>5.54</v>
      </c>
      <c r="D6483">
        <f t="shared" si="205"/>
        <v>1</v>
      </c>
    </row>
    <row r="6484" spans="1:4" x14ac:dyDescent="0.55000000000000004">
      <c r="A6484">
        <f t="shared" si="204"/>
        <v>1999</v>
      </c>
      <c r="B6484" s="821">
        <v>36227</v>
      </c>
      <c r="C6484">
        <v>5.6</v>
      </c>
      <c r="D6484">
        <f t="shared" si="205"/>
        <v>1</v>
      </c>
    </row>
    <row r="6485" spans="1:4" x14ac:dyDescent="0.55000000000000004">
      <c r="A6485">
        <f t="shared" si="204"/>
        <v>1999</v>
      </c>
      <c r="B6485" s="821">
        <v>36224</v>
      </c>
      <c r="C6485">
        <v>5.6</v>
      </c>
      <c r="D6485">
        <f t="shared" si="205"/>
        <v>1</v>
      </c>
    </row>
    <row r="6486" spans="1:4" x14ac:dyDescent="0.55000000000000004">
      <c r="A6486">
        <f t="shared" si="204"/>
        <v>1999</v>
      </c>
      <c r="B6486" s="821">
        <v>36223</v>
      </c>
      <c r="C6486">
        <v>5.69</v>
      </c>
      <c r="D6486">
        <f t="shared" si="205"/>
        <v>1</v>
      </c>
    </row>
    <row r="6487" spans="1:4" x14ac:dyDescent="0.55000000000000004">
      <c r="A6487">
        <f t="shared" si="204"/>
        <v>1999</v>
      </c>
      <c r="B6487" s="821">
        <v>36222</v>
      </c>
      <c r="C6487">
        <v>5.68</v>
      </c>
      <c r="D6487">
        <f t="shared" si="205"/>
        <v>1</v>
      </c>
    </row>
    <row r="6488" spans="1:4" x14ac:dyDescent="0.55000000000000004">
      <c r="A6488">
        <f t="shared" si="204"/>
        <v>1999</v>
      </c>
      <c r="B6488" s="821">
        <v>36221</v>
      </c>
      <c r="C6488">
        <v>5.63</v>
      </c>
      <c r="D6488">
        <f t="shared" si="205"/>
        <v>1</v>
      </c>
    </row>
    <row r="6489" spans="1:4" x14ac:dyDescent="0.55000000000000004">
      <c r="A6489">
        <f t="shared" si="204"/>
        <v>1999</v>
      </c>
      <c r="B6489" s="821">
        <v>36220</v>
      </c>
      <c r="C6489">
        <v>5.67</v>
      </c>
      <c r="D6489">
        <f t="shared" si="205"/>
        <v>1</v>
      </c>
    </row>
    <row r="6490" spans="1:4" x14ac:dyDescent="0.55000000000000004">
      <c r="A6490">
        <f t="shared" si="204"/>
        <v>1999</v>
      </c>
      <c r="B6490" s="821">
        <v>36217</v>
      </c>
      <c r="C6490">
        <v>5.57</v>
      </c>
      <c r="D6490">
        <f t="shared" si="205"/>
        <v>1</v>
      </c>
    </row>
    <row r="6491" spans="1:4" x14ac:dyDescent="0.55000000000000004">
      <c r="A6491">
        <f t="shared" si="204"/>
        <v>1999</v>
      </c>
      <c r="B6491" s="821">
        <v>36216</v>
      </c>
      <c r="C6491">
        <v>5.61</v>
      </c>
      <c r="D6491">
        <f t="shared" si="205"/>
        <v>1</v>
      </c>
    </row>
    <row r="6492" spans="1:4" x14ac:dyDescent="0.55000000000000004">
      <c r="A6492">
        <f t="shared" si="204"/>
        <v>1999</v>
      </c>
      <c r="B6492" s="821">
        <v>36215</v>
      </c>
      <c r="C6492">
        <v>5.51</v>
      </c>
      <c r="D6492">
        <f t="shared" si="205"/>
        <v>1</v>
      </c>
    </row>
    <row r="6493" spans="1:4" x14ac:dyDescent="0.55000000000000004">
      <c r="A6493">
        <f t="shared" si="204"/>
        <v>1999</v>
      </c>
      <c r="B6493" s="821">
        <v>36214</v>
      </c>
      <c r="C6493">
        <v>5.42</v>
      </c>
      <c r="D6493">
        <f t="shared" si="205"/>
        <v>1</v>
      </c>
    </row>
    <row r="6494" spans="1:4" x14ac:dyDescent="0.55000000000000004">
      <c r="A6494">
        <f t="shared" si="204"/>
        <v>1999</v>
      </c>
      <c r="B6494" s="821">
        <v>36213</v>
      </c>
      <c r="C6494">
        <v>5.36</v>
      </c>
      <c r="D6494">
        <f t="shared" si="205"/>
        <v>1</v>
      </c>
    </row>
    <row r="6495" spans="1:4" x14ac:dyDescent="0.55000000000000004">
      <c r="A6495">
        <f t="shared" si="204"/>
        <v>1999</v>
      </c>
      <c r="B6495" s="821">
        <v>36210</v>
      </c>
      <c r="C6495">
        <v>5.38</v>
      </c>
      <c r="D6495">
        <f t="shared" si="205"/>
        <v>1</v>
      </c>
    </row>
    <row r="6496" spans="1:4" x14ac:dyDescent="0.55000000000000004">
      <c r="A6496">
        <f t="shared" si="204"/>
        <v>1999</v>
      </c>
      <c r="B6496" s="821">
        <v>36209</v>
      </c>
      <c r="C6496">
        <v>5.37</v>
      </c>
      <c r="D6496">
        <f t="shared" si="205"/>
        <v>1</v>
      </c>
    </row>
    <row r="6497" spans="1:4" x14ac:dyDescent="0.55000000000000004">
      <c r="A6497">
        <f t="shared" si="204"/>
        <v>1999</v>
      </c>
      <c r="B6497" s="821">
        <v>36208</v>
      </c>
      <c r="C6497">
        <v>5.32</v>
      </c>
      <c r="D6497">
        <f t="shared" si="205"/>
        <v>1</v>
      </c>
    </row>
    <row r="6498" spans="1:4" x14ac:dyDescent="0.55000000000000004">
      <c r="A6498">
        <f t="shared" si="204"/>
        <v>1999</v>
      </c>
      <c r="B6498" s="821">
        <v>36207</v>
      </c>
      <c r="C6498">
        <v>5.35</v>
      </c>
      <c r="D6498">
        <f t="shared" si="205"/>
        <v>1</v>
      </c>
    </row>
    <row r="6499" spans="1:4" x14ac:dyDescent="0.55000000000000004">
      <c r="A6499">
        <f t="shared" si="204"/>
        <v>1999</v>
      </c>
      <c r="B6499" s="821">
        <v>36203</v>
      </c>
      <c r="C6499">
        <v>5.42</v>
      </c>
      <c r="D6499">
        <f t="shared" si="205"/>
        <v>1</v>
      </c>
    </row>
    <row r="6500" spans="1:4" x14ac:dyDescent="0.55000000000000004">
      <c r="A6500">
        <f t="shared" si="204"/>
        <v>1999</v>
      </c>
      <c r="B6500" s="821">
        <v>36202</v>
      </c>
      <c r="C6500">
        <v>5.29</v>
      </c>
      <c r="D6500">
        <f t="shared" si="205"/>
        <v>1</v>
      </c>
    </row>
    <row r="6501" spans="1:4" x14ac:dyDescent="0.55000000000000004">
      <c r="A6501">
        <f t="shared" si="204"/>
        <v>1999</v>
      </c>
      <c r="B6501" s="821">
        <v>36201</v>
      </c>
      <c r="C6501">
        <v>5.34</v>
      </c>
      <c r="D6501">
        <f t="shared" si="205"/>
        <v>1</v>
      </c>
    </row>
    <row r="6502" spans="1:4" x14ac:dyDescent="0.55000000000000004">
      <c r="A6502">
        <f t="shared" si="204"/>
        <v>1999</v>
      </c>
      <c r="B6502" s="821">
        <v>36200</v>
      </c>
      <c r="C6502">
        <v>5.33</v>
      </c>
      <c r="D6502">
        <f t="shared" si="205"/>
        <v>1</v>
      </c>
    </row>
    <row r="6503" spans="1:4" x14ac:dyDescent="0.55000000000000004">
      <c r="A6503">
        <f t="shared" si="204"/>
        <v>1999</v>
      </c>
      <c r="B6503" s="821">
        <v>36199</v>
      </c>
      <c r="C6503">
        <v>5.35</v>
      </c>
      <c r="D6503">
        <f t="shared" si="205"/>
        <v>1</v>
      </c>
    </row>
    <row r="6504" spans="1:4" x14ac:dyDescent="0.55000000000000004">
      <c r="A6504">
        <f t="shared" si="204"/>
        <v>1999</v>
      </c>
      <c r="B6504" s="821">
        <v>36196</v>
      </c>
      <c r="C6504">
        <v>5.34</v>
      </c>
      <c r="D6504">
        <f t="shared" si="205"/>
        <v>1</v>
      </c>
    </row>
    <row r="6505" spans="1:4" x14ac:dyDescent="0.55000000000000004">
      <c r="A6505">
        <f t="shared" si="204"/>
        <v>1999</v>
      </c>
      <c r="B6505" s="821">
        <v>36195</v>
      </c>
      <c r="C6505">
        <v>5.3</v>
      </c>
      <c r="D6505">
        <f t="shared" si="205"/>
        <v>1</v>
      </c>
    </row>
    <row r="6506" spans="1:4" x14ac:dyDescent="0.55000000000000004">
      <c r="A6506">
        <f t="shared" si="204"/>
        <v>1999</v>
      </c>
      <c r="B6506" s="821">
        <v>36194</v>
      </c>
      <c r="C6506">
        <v>5.25</v>
      </c>
      <c r="D6506">
        <f t="shared" si="205"/>
        <v>1</v>
      </c>
    </row>
    <row r="6507" spans="1:4" x14ac:dyDescent="0.55000000000000004">
      <c r="A6507">
        <f t="shared" si="204"/>
        <v>1999</v>
      </c>
      <c r="B6507" s="821">
        <v>36193</v>
      </c>
      <c r="C6507">
        <v>5.24</v>
      </c>
      <c r="D6507">
        <f t="shared" si="205"/>
        <v>1</v>
      </c>
    </row>
    <row r="6508" spans="1:4" x14ac:dyDescent="0.55000000000000004">
      <c r="A6508">
        <f t="shared" si="204"/>
        <v>1999</v>
      </c>
      <c r="B6508" s="821">
        <v>36192</v>
      </c>
      <c r="C6508">
        <v>5.19</v>
      </c>
      <c r="D6508">
        <f t="shared" si="205"/>
        <v>1</v>
      </c>
    </row>
    <row r="6509" spans="1:4" x14ac:dyDescent="0.55000000000000004">
      <c r="A6509">
        <f t="shared" si="204"/>
        <v>1999</v>
      </c>
      <c r="B6509" s="821">
        <v>36189</v>
      </c>
      <c r="C6509">
        <v>5.09</v>
      </c>
      <c r="D6509">
        <f t="shared" si="205"/>
        <v>1</v>
      </c>
    </row>
    <row r="6510" spans="1:4" x14ac:dyDescent="0.55000000000000004">
      <c r="A6510">
        <f t="shared" si="204"/>
        <v>1999</v>
      </c>
      <c r="B6510" s="821">
        <v>36188</v>
      </c>
      <c r="C6510">
        <v>5.1100000000000003</v>
      </c>
      <c r="D6510">
        <f t="shared" si="205"/>
        <v>1</v>
      </c>
    </row>
    <row r="6511" spans="1:4" x14ac:dyDescent="0.55000000000000004">
      <c r="A6511">
        <f t="shared" si="204"/>
        <v>1999</v>
      </c>
      <c r="B6511" s="821">
        <v>36187</v>
      </c>
      <c r="C6511">
        <v>5.14</v>
      </c>
      <c r="D6511">
        <f t="shared" si="205"/>
        <v>1</v>
      </c>
    </row>
    <row r="6512" spans="1:4" x14ac:dyDescent="0.55000000000000004">
      <c r="A6512">
        <f t="shared" si="204"/>
        <v>1999</v>
      </c>
      <c r="B6512" s="821">
        <v>36186</v>
      </c>
      <c r="C6512">
        <v>5.12</v>
      </c>
      <c r="D6512">
        <f t="shared" si="205"/>
        <v>1</v>
      </c>
    </row>
    <row r="6513" spans="1:4" x14ac:dyDescent="0.55000000000000004">
      <c r="A6513">
        <f t="shared" si="204"/>
        <v>1999</v>
      </c>
      <c r="B6513" s="821">
        <v>36185</v>
      </c>
      <c r="C6513">
        <v>5.12</v>
      </c>
      <c r="D6513">
        <f t="shared" si="205"/>
        <v>1</v>
      </c>
    </row>
    <row r="6514" spans="1:4" x14ac:dyDescent="0.55000000000000004">
      <c r="A6514">
        <f t="shared" si="204"/>
        <v>1999</v>
      </c>
      <c r="B6514" s="821">
        <v>36182</v>
      </c>
      <c r="C6514">
        <v>5.09</v>
      </c>
      <c r="D6514">
        <f t="shared" si="205"/>
        <v>1</v>
      </c>
    </row>
    <row r="6515" spans="1:4" x14ac:dyDescent="0.55000000000000004">
      <c r="A6515">
        <f t="shared" si="204"/>
        <v>1999</v>
      </c>
      <c r="B6515" s="821">
        <v>36181</v>
      </c>
      <c r="C6515">
        <v>5.14</v>
      </c>
      <c r="D6515">
        <f t="shared" si="205"/>
        <v>1</v>
      </c>
    </row>
    <row r="6516" spans="1:4" x14ac:dyDescent="0.55000000000000004">
      <c r="A6516">
        <f t="shared" si="204"/>
        <v>1999</v>
      </c>
      <c r="B6516" s="821">
        <v>36180</v>
      </c>
      <c r="C6516">
        <v>5.18</v>
      </c>
      <c r="D6516">
        <f t="shared" si="205"/>
        <v>1</v>
      </c>
    </row>
    <row r="6517" spans="1:4" x14ac:dyDescent="0.55000000000000004">
      <c r="A6517">
        <f t="shared" si="204"/>
        <v>1999</v>
      </c>
      <c r="B6517" s="821">
        <v>36179</v>
      </c>
      <c r="C6517">
        <v>5.14</v>
      </c>
      <c r="D6517">
        <f t="shared" si="205"/>
        <v>1</v>
      </c>
    </row>
    <row r="6518" spans="1:4" x14ac:dyDescent="0.55000000000000004">
      <c r="A6518">
        <f t="shared" si="204"/>
        <v>1999</v>
      </c>
      <c r="B6518" s="821">
        <v>36175</v>
      </c>
      <c r="C6518">
        <v>5.0999999999999996</v>
      </c>
      <c r="D6518">
        <f t="shared" si="205"/>
        <v>1</v>
      </c>
    </row>
    <row r="6519" spans="1:4" x14ac:dyDescent="0.55000000000000004">
      <c r="A6519">
        <f t="shared" si="204"/>
        <v>1999</v>
      </c>
      <c r="B6519" s="821">
        <v>36174</v>
      </c>
      <c r="C6519">
        <v>5.07</v>
      </c>
      <c r="D6519">
        <f t="shared" si="205"/>
        <v>1</v>
      </c>
    </row>
    <row r="6520" spans="1:4" x14ac:dyDescent="0.55000000000000004">
      <c r="A6520">
        <f t="shared" si="204"/>
        <v>1999</v>
      </c>
      <c r="B6520" s="821">
        <v>36173</v>
      </c>
      <c r="C6520">
        <v>5.16</v>
      </c>
      <c r="D6520">
        <f t="shared" si="205"/>
        <v>1</v>
      </c>
    </row>
    <row r="6521" spans="1:4" x14ac:dyDescent="0.55000000000000004">
      <c r="A6521">
        <f t="shared" si="204"/>
        <v>1999</v>
      </c>
      <c r="B6521" s="821">
        <v>36172</v>
      </c>
      <c r="C6521">
        <v>5.23</v>
      </c>
      <c r="D6521">
        <f t="shared" si="205"/>
        <v>1</v>
      </c>
    </row>
    <row r="6522" spans="1:4" x14ac:dyDescent="0.55000000000000004">
      <c r="A6522">
        <f t="shared" si="204"/>
        <v>1999</v>
      </c>
      <c r="B6522" s="821">
        <v>36171</v>
      </c>
      <c r="C6522">
        <v>5.29</v>
      </c>
      <c r="D6522">
        <f t="shared" si="205"/>
        <v>1</v>
      </c>
    </row>
    <row r="6523" spans="1:4" x14ac:dyDescent="0.55000000000000004">
      <c r="A6523">
        <f t="shared" si="204"/>
        <v>1999</v>
      </c>
      <c r="B6523" s="821">
        <v>36168</v>
      </c>
      <c r="C6523">
        <v>5.26</v>
      </c>
      <c r="D6523">
        <f t="shared" si="205"/>
        <v>1</v>
      </c>
    </row>
    <row r="6524" spans="1:4" x14ac:dyDescent="0.55000000000000004">
      <c r="A6524">
        <f t="shared" si="204"/>
        <v>1999</v>
      </c>
      <c r="B6524" s="821">
        <v>36167</v>
      </c>
      <c r="C6524">
        <v>5.23</v>
      </c>
      <c r="D6524">
        <f t="shared" si="205"/>
        <v>1</v>
      </c>
    </row>
    <row r="6525" spans="1:4" x14ac:dyDescent="0.55000000000000004">
      <c r="A6525">
        <f t="shared" si="204"/>
        <v>1999</v>
      </c>
      <c r="B6525" s="821">
        <v>36166</v>
      </c>
      <c r="C6525">
        <v>5.17</v>
      </c>
      <c r="D6525">
        <f t="shared" si="205"/>
        <v>1</v>
      </c>
    </row>
    <row r="6526" spans="1:4" x14ac:dyDescent="0.55000000000000004">
      <c r="A6526">
        <f t="shared" si="204"/>
        <v>1999</v>
      </c>
      <c r="B6526" s="821">
        <v>36165</v>
      </c>
      <c r="C6526">
        <v>5.21</v>
      </c>
      <c r="D6526">
        <f t="shared" si="205"/>
        <v>1</v>
      </c>
    </row>
    <row r="6527" spans="1:4" x14ac:dyDescent="0.55000000000000004">
      <c r="A6527">
        <f t="shared" si="204"/>
        <v>1999</v>
      </c>
      <c r="B6527" s="821">
        <v>36164</v>
      </c>
      <c r="C6527">
        <v>5.15</v>
      </c>
      <c r="D6527">
        <f t="shared" si="205"/>
        <v>1</v>
      </c>
    </row>
    <row r="6528" spans="1:4" x14ac:dyDescent="0.55000000000000004">
      <c r="A6528">
        <f t="shared" si="204"/>
        <v>1998</v>
      </c>
      <c r="B6528" s="821">
        <v>36160</v>
      </c>
      <c r="C6528">
        <v>5.09</v>
      </c>
      <c r="D6528">
        <f t="shared" si="205"/>
        <v>1</v>
      </c>
    </row>
    <row r="6529" spans="1:4" x14ac:dyDescent="0.55000000000000004">
      <c r="A6529">
        <f t="shared" si="204"/>
        <v>1998</v>
      </c>
      <c r="B6529" s="821">
        <v>36159</v>
      </c>
      <c r="C6529">
        <v>5.09</v>
      </c>
      <c r="D6529">
        <f t="shared" si="205"/>
        <v>1</v>
      </c>
    </row>
    <row r="6530" spans="1:4" x14ac:dyDescent="0.55000000000000004">
      <c r="A6530">
        <f t="shared" si="204"/>
        <v>1998</v>
      </c>
      <c r="B6530" s="821">
        <v>36158</v>
      </c>
      <c r="C6530">
        <v>5.12</v>
      </c>
      <c r="D6530">
        <f t="shared" si="205"/>
        <v>1</v>
      </c>
    </row>
    <row r="6531" spans="1:4" x14ac:dyDescent="0.55000000000000004">
      <c r="A6531">
        <f t="shared" si="204"/>
        <v>1998</v>
      </c>
      <c r="B6531" s="821">
        <v>36157</v>
      </c>
      <c r="C6531">
        <v>5.17</v>
      </c>
      <c r="D6531">
        <f t="shared" si="205"/>
        <v>1</v>
      </c>
    </row>
    <row r="6532" spans="1:4" x14ac:dyDescent="0.55000000000000004">
      <c r="A6532">
        <f t="shared" ref="A6532:A6595" si="206">YEAR(B6532)</f>
        <v>1998</v>
      </c>
      <c r="B6532" s="821">
        <v>36153</v>
      </c>
      <c r="C6532">
        <v>5.23</v>
      </c>
      <c r="D6532">
        <f t="shared" ref="D6532:D6595" si="207">IF(C6532&gt;4,1,0)</f>
        <v>1</v>
      </c>
    </row>
    <row r="6533" spans="1:4" x14ac:dyDescent="0.55000000000000004">
      <c r="A6533">
        <f t="shared" si="206"/>
        <v>1998</v>
      </c>
      <c r="B6533" s="821">
        <v>36152</v>
      </c>
      <c r="C6533">
        <v>5.2</v>
      </c>
      <c r="D6533">
        <f t="shared" si="207"/>
        <v>1</v>
      </c>
    </row>
    <row r="6534" spans="1:4" x14ac:dyDescent="0.55000000000000004">
      <c r="A6534">
        <f t="shared" si="206"/>
        <v>1998</v>
      </c>
      <c r="B6534" s="821">
        <v>36151</v>
      </c>
      <c r="C6534">
        <v>5.13</v>
      </c>
      <c r="D6534">
        <f t="shared" si="207"/>
        <v>1</v>
      </c>
    </row>
    <row r="6535" spans="1:4" x14ac:dyDescent="0.55000000000000004">
      <c r="A6535">
        <f t="shared" si="206"/>
        <v>1998</v>
      </c>
      <c r="B6535" s="821">
        <v>36150</v>
      </c>
      <c r="C6535">
        <v>5.07</v>
      </c>
      <c r="D6535">
        <f t="shared" si="207"/>
        <v>1</v>
      </c>
    </row>
    <row r="6536" spans="1:4" x14ac:dyDescent="0.55000000000000004">
      <c r="A6536">
        <f t="shared" si="206"/>
        <v>1998</v>
      </c>
      <c r="B6536" s="821">
        <v>36147</v>
      </c>
      <c r="C6536">
        <v>5.01</v>
      </c>
      <c r="D6536">
        <f t="shared" si="207"/>
        <v>1</v>
      </c>
    </row>
    <row r="6537" spans="1:4" x14ac:dyDescent="0.55000000000000004">
      <c r="A6537">
        <f t="shared" si="206"/>
        <v>1998</v>
      </c>
      <c r="B6537" s="821">
        <v>36146</v>
      </c>
      <c r="C6537">
        <v>5.01</v>
      </c>
      <c r="D6537">
        <f t="shared" si="207"/>
        <v>1</v>
      </c>
    </row>
    <row r="6538" spans="1:4" x14ac:dyDescent="0.55000000000000004">
      <c r="A6538">
        <f t="shared" si="206"/>
        <v>1998</v>
      </c>
      <c r="B6538" s="821">
        <v>36145</v>
      </c>
      <c r="C6538">
        <v>5.01</v>
      </c>
      <c r="D6538">
        <f t="shared" si="207"/>
        <v>1</v>
      </c>
    </row>
    <row r="6539" spans="1:4" x14ac:dyDescent="0.55000000000000004">
      <c r="A6539">
        <f t="shared" si="206"/>
        <v>1998</v>
      </c>
      <c r="B6539" s="821">
        <v>36144</v>
      </c>
      <c r="C6539">
        <v>5.03</v>
      </c>
      <c r="D6539">
        <f t="shared" si="207"/>
        <v>1</v>
      </c>
    </row>
    <row r="6540" spans="1:4" x14ac:dyDescent="0.55000000000000004">
      <c r="A6540">
        <f t="shared" si="206"/>
        <v>1998</v>
      </c>
      <c r="B6540" s="821">
        <v>36143</v>
      </c>
      <c r="C6540">
        <v>4.99</v>
      </c>
      <c r="D6540">
        <f t="shared" si="207"/>
        <v>1</v>
      </c>
    </row>
    <row r="6541" spans="1:4" x14ac:dyDescent="0.55000000000000004">
      <c r="A6541">
        <f t="shared" si="206"/>
        <v>1998</v>
      </c>
      <c r="B6541" s="821">
        <v>36140</v>
      </c>
      <c r="C6541">
        <v>5.0199999999999996</v>
      </c>
      <c r="D6541">
        <f t="shared" si="207"/>
        <v>1</v>
      </c>
    </row>
    <row r="6542" spans="1:4" x14ac:dyDescent="0.55000000000000004">
      <c r="A6542">
        <f t="shared" si="206"/>
        <v>1998</v>
      </c>
      <c r="B6542" s="821">
        <v>36139</v>
      </c>
      <c r="C6542">
        <v>4.95</v>
      </c>
      <c r="D6542">
        <f t="shared" si="207"/>
        <v>1</v>
      </c>
    </row>
    <row r="6543" spans="1:4" x14ac:dyDescent="0.55000000000000004">
      <c r="A6543">
        <f t="shared" si="206"/>
        <v>1998</v>
      </c>
      <c r="B6543" s="821">
        <v>36138</v>
      </c>
      <c r="C6543">
        <v>4.97</v>
      </c>
      <c r="D6543">
        <f t="shared" si="207"/>
        <v>1</v>
      </c>
    </row>
    <row r="6544" spans="1:4" x14ac:dyDescent="0.55000000000000004">
      <c r="A6544">
        <f t="shared" si="206"/>
        <v>1998</v>
      </c>
      <c r="B6544" s="821">
        <v>36137</v>
      </c>
      <c r="C6544">
        <v>5</v>
      </c>
      <c r="D6544">
        <f t="shared" si="207"/>
        <v>1</v>
      </c>
    </row>
    <row r="6545" spans="1:4" x14ac:dyDescent="0.55000000000000004">
      <c r="A6545">
        <f t="shared" si="206"/>
        <v>1998</v>
      </c>
      <c r="B6545" s="821">
        <v>36136</v>
      </c>
      <c r="C6545">
        <v>5.05</v>
      </c>
      <c r="D6545">
        <f t="shared" si="207"/>
        <v>1</v>
      </c>
    </row>
    <row r="6546" spans="1:4" x14ac:dyDescent="0.55000000000000004">
      <c r="A6546">
        <f t="shared" si="206"/>
        <v>1998</v>
      </c>
      <c r="B6546" s="821">
        <v>36133</v>
      </c>
      <c r="C6546">
        <v>5.05</v>
      </c>
      <c r="D6546">
        <f t="shared" si="207"/>
        <v>1</v>
      </c>
    </row>
    <row r="6547" spans="1:4" x14ac:dyDescent="0.55000000000000004">
      <c r="A6547">
        <f t="shared" si="206"/>
        <v>1998</v>
      </c>
      <c r="B6547" s="821">
        <v>36132</v>
      </c>
      <c r="C6547">
        <v>5.0199999999999996</v>
      </c>
      <c r="D6547">
        <f t="shared" si="207"/>
        <v>1</v>
      </c>
    </row>
    <row r="6548" spans="1:4" x14ac:dyDescent="0.55000000000000004">
      <c r="A6548">
        <f t="shared" si="206"/>
        <v>1998</v>
      </c>
      <c r="B6548" s="821">
        <v>36131</v>
      </c>
      <c r="C6548">
        <v>5.03</v>
      </c>
      <c r="D6548">
        <f t="shared" si="207"/>
        <v>1</v>
      </c>
    </row>
    <row r="6549" spans="1:4" x14ac:dyDescent="0.55000000000000004">
      <c r="A6549">
        <f t="shared" si="206"/>
        <v>1998</v>
      </c>
      <c r="B6549" s="821">
        <v>36130</v>
      </c>
      <c r="C6549">
        <v>5.0599999999999996</v>
      </c>
      <c r="D6549">
        <f t="shared" si="207"/>
        <v>1</v>
      </c>
    </row>
    <row r="6550" spans="1:4" x14ac:dyDescent="0.55000000000000004">
      <c r="A6550">
        <f t="shared" si="206"/>
        <v>1998</v>
      </c>
      <c r="B6550" s="821">
        <v>36129</v>
      </c>
      <c r="C6550">
        <v>5.08</v>
      </c>
      <c r="D6550">
        <f t="shared" si="207"/>
        <v>1</v>
      </c>
    </row>
    <row r="6551" spans="1:4" x14ac:dyDescent="0.55000000000000004">
      <c r="A6551">
        <f t="shared" si="206"/>
        <v>1998</v>
      </c>
      <c r="B6551" s="821">
        <v>36126</v>
      </c>
      <c r="C6551">
        <v>5.16</v>
      </c>
      <c r="D6551">
        <f t="shared" si="207"/>
        <v>1</v>
      </c>
    </row>
    <row r="6552" spans="1:4" x14ac:dyDescent="0.55000000000000004">
      <c r="A6552">
        <f t="shared" si="206"/>
        <v>1998</v>
      </c>
      <c r="B6552" s="821">
        <v>36124</v>
      </c>
      <c r="C6552">
        <v>5.19</v>
      </c>
      <c r="D6552">
        <f t="shared" si="207"/>
        <v>1</v>
      </c>
    </row>
    <row r="6553" spans="1:4" x14ac:dyDescent="0.55000000000000004">
      <c r="A6553">
        <f t="shared" si="206"/>
        <v>1998</v>
      </c>
      <c r="B6553" s="821">
        <v>36123</v>
      </c>
      <c r="C6553">
        <v>5.23</v>
      </c>
      <c r="D6553">
        <f t="shared" si="207"/>
        <v>1</v>
      </c>
    </row>
    <row r="6554" spans="1:4" x14ac:dyDescent="0.55000000000000004">
      <c r="A6554">
        <f t="shared" si="206"/>
        <v>1998</v>
      </c>
      <c r="B6554" s="821">
        <v>36122</v>
      </c>
      <c r="C6554">
        <v>5.25</v>
      </c>
      <c r="D6554">
        <f t="shared" si="207"/>
        <v>1</v>
      </c>
    </row>
    <row r="6555" spans="1:4" x14ac:dyDescent="0.55000000000000004">
      <c r="A6555">
        <f t="shared" si="206"/>
        <v>1998</v>
      </c>
      <c r="B6555" s="821">
        <v>36119</v>
      </c>
      <c r="C6555">
        <v>5.22</v>
      </c>
      <c r="D6555">
        <f t="shared" si="207"/>
        <v>1</v>
      </c>
    </row>
    <row r="6556" spans="1:4" x14ac:dyDescent="0.55000000000000004">
      <c r="A6556">
        <f t="shared" si="206"/>
        <v>1998</v>
      </c>
      <c r="B6556" s="821">
        <v>36118</v>
      </c>
      <c r="C6556">
        <v>5.25</v>
      </c>
      <c r="D6556">
        <f t="shared" si="207"/>
        <v>1</v>
      </c>
    </row>
    <row r="6557" spans="1:4" x14ac:dyDescent="0.55000000000000004">
      <c r="A6557">
        <f t="shared" si="206"/>
        <v>1998</v>
      </c>
      <c r="B6557" s="821">
        <v>36117</v>
      </c>
      <c r="C6557">
        <v>5.25</v>
      </c>
      <c r="D6557">
        <f t="shared" si="207"/>
        <v>1</v>
      </c>
    </row>
    <row r="6558" spans="1:4" x14ac:dyDescent="0.55000000000000004">
      <c r="A6558">
        <f t="shared" si="206"/>
        <v>1998</v>
      </c>
      <c r="B6558" s="821">
        <v>36116</v>
      </c>
      <c r="C6558">
        <v>5.3</v>
      </c>
      <c r="D6558">
        <f t="shared" si="207"/>
        <v>1</v>
      </c>
    </row>
    <row r="6559" spans="1:4" x14ac:dyDescent="0.55000000000000004">
      <c r="A6559">
        <f t="shared" si="206"/>
        <v>1998</v>
      </c>
      <c r="B6559" s="821">
        <v>36115</v>
      </c>
      <c r="C6559">
        <v>5.28</v>
      </c>
      <c r="D6559">
        <f t="shared" si="207"/>
        <v>1</v>
      </c>
    </row>
    <row r="6560" spans="1:4" x14ac:dyDescent="0.55000000000000004">
      <c r="A6560">
        <f t="shared" si="206"/>
        <v>1998</v>
      </c>
      <c r="B6560" s="821">
        <v>36112</v>
      </c>
      <c r="C6560">
        <v>5.26</v>
      </c>
      <c r="D6560">
        <f t="shared" si="207"/>
        <v>1</v>
      </c>
    </row>
    <row r="6561" spans="1:4" x14ac:dyDescent="0.55000000000000004">
      <c r="A6561">
        <f t="shared" si="206"/>
        <v>1998</v>
      </c>
      <c r="B6561" s="821">
        <v>36111</v>
      </c>
      <c r="C6561">
        <v>5.25</v>
      </c>
      <c r="D6561">
        <f t="shared" si="207"/>
        <v>1</v>
      </c>
    </row>
    <row r="6562" spans="1:4" x14ac:dyDescent="0.55000000000000004">
      <c r="A6562">
        <f t="shared" si="206"/>
        <v>1998</v>
      </c>
      <c r="B6562" s="821">
        <v>36109</v>
      </c>
      <c r="C6562">
        <v>5.27</v>
      </c>
      <c r="D6562">
        <f t="shared" si="207"/>
        <v>1</v>
      </c>
    </row>
    <row r="6563" spans="1:4" x14ac:dyDescent="0.55000000000000004">
      <c r="A6563">
        <f t="shared" si="206"/>
        <v>1998</v>
      </c>
      <c r="B6563" s="821">
        <v>36108</v>
      </c>
      <c r="C6563">
        <v>5.28</v>
      </c>
      <c r="D6563">
        <f t="shared" si="207"/>
        <v>1</v>
      </c>
    </row>
    <row r="6564" spans="1:4" x14ac:dyDescent="0.55000000000000004">
      <c r="A6564">
        <f t="shared" si="206"/>
        <v>1998</v>
      </c>
      <c r="B6564" s="821">
        <v>36105</v>
      </c>
      <c r="C6564">
        <v>5.37</v>
      </c>
      <c r="D6564">
        <f t="shared" si="207"/>
        <v>1</v>
      </c>
    </row>
    <row r="6565" spans="1:4" x14ac:dyDescent="0.55000000000000004">
      <c r="A6565">
        <f t="shared" si="206"/>
        <v>1998</v>
      </c>
      <c r="B6565" s="821">
        <v>36104</v>
      </c>
      <c r="C6565">
        <v>5.29</v>
      </c>
      <c r="D6565">
        <f t="shared" si="207"/>
        <v>1</v>
      </c>
    </row>
    <row r="6566" spans="1:4" x14ac:dyDescent="0.55000000000000004">
      <c r="A6566">
        <f t="shared" si="206"/>
        <v>1998</v>
      </c>
      <c r="B6566" s="821">
        <v>36103</v>
      </c>
      <c r="C6566">
        <v>5.34</v>
      </c>
      <c r="D6566">
        <f t="shared" si="207"/>
        <v>1</v>
      </c>
    </row>
    <row r="6567" spans="1:4" x14ac:dyDescent="0.55000000000000004">
      <c r="A6567">
        <f t="shared" si="206"/>
        <v>1998</v>
      </c>
      <c r="B6567" s="821">
        <v>36102</v>
      </c>
      <c r="C6567">
        <v>5.22</v>
      </c>
      <c r="D6567">
        <f t="shared" si="207"/>
        <v>1</v>
      </c>
    </row>
    <row r="6568" spans="1:4" x14ac:dyDescent="0.55000000000000004">
      <c r="A6568">
        <f t="shared" si="206"/>
        <v>1998</v>
      </c>
      <c r="B6568" s="821">
        <v>36101</v>
      </c>
      <c r="C6568">
        <v>5.23</v>
      </c>
      <c r="D6568">
        <f t="shared" si="207"/>
        <v>1</v>
      </c>
    </row>
    <row r="6569" spans="1:4" x14ac:dyDescent="0.55000000000000004">
      <c r="A6569">
        <f t="shared" si="206"/>
        <v>1998</v>
      </c>
      <c r="B6569" s="821">
        <v>36098</v>
      </c>
      <c r="C6569">
        <v>5.15</v>
      </c>
      <c r="D6569">
        <f t="shared" si="207"/>
        <v>1</v>
      </c>
    </row>
    <row r="6570" spans="1:4" x14ac:dyDescent="0.55000000000000004">
      <c r="A6570">
        <f t="shared" si="206"/>
        <v>1998</v>
      </c>
      <c r="B6570" s="821">
        <v>36097</v>
      </c>
      <c r="C6570">
        <v>5.09</v>
      </c>
      <c r="D6570">
        <f t="shared" si="207"/>
        <v>1</v>
      </c>
    </row>
    <row r="6571" spans="1:4" x14ac:dyDescent="0.55000000000000004">
      <c r="A6571">
        <f t="shared" si="206"/>
        <v>1998</v>
      </c>
      <c r="B6571" s="821">
        <v>36096</v>
      </c>
      <c r="C6571">
        <v>5.13</v>
      </c>
      <c r="D6571">
        <f t="shared" si="207"/>
        <v>1</v>
      </c>
    </row>
    <row r="6572" spans="1:4" x14ac:dyDescent="0.55000000000000004">
      <c r="A6572">
        <f t="shared" si="206"/>
        <v>1998</v>
      </c>
      <c r="B6572" s="821">
        <v>36095</v>
      </c>
      <c r="C6572">
        <v>5.08</v>
      </c>
      <c r="D6572">
        <f t="shared" si="207"/>
        <v>1</v>
      </c>
    </row>
    <row r="6573" spans="1:4" x14ac:dyDescent="0.55000000000000004">
      <c r="A6573">
        <f t="shared" si="206"/>
        <v>1998</v>
      </c>
      <c r="B6573" s="821">
        <v>36094</v>
      </c>
      <c r="C6573">
        <v>5.13</v>
      </c>
      <c r="D6573">
        <f t="shared" si="207"/>
        <v>1</v>
      </c>
    </row>
    <row r="6574" spans="1:4" x14ac:dyDescent="0.55000000000000004">
      <c r="A6574">
        <f t="shared" si="206"/>
        <v>1998</v>
      </c>
      <c r="B6574" s="821">
        <v>36091</v>
      </c>
      <c r="C6574">
        <v>5.16</v>
      </c>
      <c r="D6574">
        <f t="shared" si="207"/>
        <v>1</v>
      </c>
    </row>
    <row r="6575" spans="1:4" x14ac:dyDescent="0.55000000000000004">
      <c r="A6575">
        <f t="shared" si="206"/>
        <v>1998</v>
      </c>
      <c r="B6575" s="821">
        <v>36090</v>
      </c>
      <c r="C6575">
        <v>5.13</v>
      </c>
      <c r="D6575">
        <f t="shared" si="207"/>
        <v>1</v>
      </c>
    </row>
    <row r="6576" spans="1:4" x14ac:dyDescent="0.55000000000000004">
      <c r="A6576">
        <f t="shared" si="206"/>
        <v>1998</v>
      </c>
      <c r="B6576" s="821">
        <v>36089</v>
      </c>
      <c r="C6576">
        <v>5.08</v>
      </c>
      <c r="D6576">
        <f t="shared" si="207"/>
        <v>1</v>
      </c>
    </row>
    <row r="6577" spans="1:4" x14ac:dyDescent="0.55000000000000004">
      <c r="A6577">
        <f t="shared" si="206"/>
        <v>1998</v>
      </c>
      <c r="B6577" s="821">
        <v>36088</v>
      </c>
      <c r="C6577">
        <v>5.0599999999999996</v>
      </c>
      <c r="D6577">
        <f t="shared" si="207"/>
        <v>1</v>
      </c>
    </row>
    <row r="6578" spans="1:4" x14ac:dyDescent="0.55000000000000004">
      <c r="A6578">
        <f t="shared" si="206"/>
        <v>1998</v>
      </c>
      <c r="B6578" s="821">
        <v>36087</v>
      </c>
      <c r="C6578">
        <v>4.9800000000000004</v>
      </c>
      <c r="D6578">
        <f t="shared" si="207"/>
        <v>1</v>
      </c>
    </row>
    <row r="6579" spans="1:4" x14ac:dyDescent="0.55000000000000004">
      <c r="A6579">
        <f t="shared" si="206"/>
        <v>1998</v>
      </c>
      <c r="B6579" s="821">
        <v>36084</v>
      </c>
      <c r="C6579">
        <v>4.96</v>
      </c>
      <c r="D6579">
        <f t="shared" si="207"/>
        <v>1</v>
      </c>
    </row>
    <row r="6580" spans="1:4" x14ac:dyDescent="0.55000000000000004">
      <c r="A6580">
        <f t="shared" si="206"/>
        <v>1998</v>
      </c>
      <c r="B6580" s="821">
        <v>36083</v>
      </c>
      <c r="C6580">
        <v>5.0199999999999996</v>
      </c>
      <c r="D6580">
        <f t="shared" si="207"/>
        <v>1</v>
      </c>
    </row>
    <row r="6581" spans="1:4" x14ac:dyDescent="0.55000000000000004">
      <c r="A6581">
        <f t="shared" si="206"/>
        <v>1998</v>
      </c>
      <c r="B6581" s="821">
        <v>36082</v>
      </c>
      <c r="C6581">
        <v>5</v>
      </c>
      <c r="D6581">
        <f t="shared" si="207"/>
        <v>1</v>
      </c>
    </row>
    <row r="6582" spans="1:4" x14ac:dyDescent="0.55000000000000004">
      <c r="A6582">
        <f t="shared" si="206"/>
        <v>1998</v>
      </c>
      <c r="B6582" s="821">
        <v>36081</v>
      </c>
      <c r="C6582">
        <v>5.0999999999999996</v>
      </c>
      <c r="D6582">
        <f t="shared" si="207"/>
        <v>1</v>
      </c>
    </row>
    <row r="6583" spans="1:4" x14ac:dyDescent="0.55000000000000004">
      <c r="A6583">
        <f t="shared" si="206"/>
        <v>1998</v>
      </c>
      <c r="B6583" s="821">
        <v>36077</v>
      </c>
      <c r="C6583">
        <v>5.13</v>
      </c>
      <c r="D6583">
        <f t="shared" si="207"/>
        <v>1</v>
      </c>
    </row>
    <row r="6584" spans="1:4" x14ac:dyDescent="0.55000000000000004">
      <c r="A6584">
        <f t="shared" si="206"/>
        <v>1998</v>
      </c>
      <c r="B6584" s="821">
        <v>36076</v>
      </c>
      <c r="C6584">
        <v>4.99</v>
      </c>
      <c r="D6584">
        <f t="shared" si="207"/>
        <v>1</v>
      </c>
    </row>
    <row r="6585" spans="1:4" x14ac:dyDescent="0.55000000000000004">
      <c r="A6585">
        <f t="shared" si="206"/>
        <v>1998</v>
      </c>
      <c r="B6585" s="821">
        <v>36075</v>
      </c>
      <c r="C6585">
        <v>4.83</v>
      </c>
      <c r="D6585">
        <f t="shared" si="207"/>
        <v>1</v>
      </c>
    </row>
    <row r="6586" spans="1:4" x14ac:dyDescent="0.55000000000000004">
      <c r="A6586">
        <f t="shared" si="206"/>
        <v>1998</v>
      </c>
      <c r="B6586" s="821">
        <v>36074</v>
      </c>
      <c r="C6586">
        <v>4.75</v>
      </c>
      <c r="D6586">
        <f t="shared" si="207"/>
        <v>1</v>
      </c>
    </row>
    <row r="6587" spans="1:4" x14ac:dyDescent="0.55000000000000004">
      <c r="A6587">
        <f t="shared" si="206"/>
        <v>1998</v>
      </c>
      <c r="B6587" s="821">
        <v>36073</v>
      </c>
      <c r="C6587">
        <v>4.7</v>
      </c>
      <c r="D6587">
        <f t="shared" si="207"/>
        <v>1</v>
      </c>
    </row>
    <row r="6588" spans="1:4" x14ac:dyDescent="0.55000000000000004">
      <c r="A6588">
        <f t="shared" si="206"/>
        <v>1998</v>
      </c>
      <c r="B6588" s="821">
        <v>36070</v>
      </c>
      <c r="C6588">
        <v>4.8499999999999996</v>
      </c>
      <c r="D6588">
        <f t="shared" si="207"/>
        <v>1</v>
      </c>
    </row>
    <row r="6589" spans="1:4" x14ac:dyDescent="0.55000000000000004">
      <c r="A6589">
        <f t="shared" si="206"/>
        <v>1998</v>
      </c>
      <c r="B6589" s="821">
        <v>36069</v>
      </c>
      <c r="C6589">
        <v>4.9000000000000004</v>
      </c>
      <c r="D6589">
        <f t="shared" si="207"/>
        <v>1</v>
      </c>
    </row>
    <row r="6590" spans="1:4" x14ac:dyDescent="0.55000000000000004">
      <c r="A6590">
        <f t="shared" si="206"/>
        <v>1998</v>
      </c>
      <c r="B6590" s="821">
        <v>36068</v>
      </c>
      <c r="C6590">
        <v>4.9800000000000004</v>
      </c>
      <c r="D6590">
        <f t="shared" si="207"/>
        <v>1</v>
      </c>
    </row>
    <row r="6591" spans="1:4" x14ac:dyDescent="0.55000000000000004">
      <c r="A6591">
        <f t="shared" si="206"/>
        <v>1998</v>
      </c>
      <c r="B6591" s="821">
        <v>36067</v>
      </c>
      <c r="C6591">
        <v>5.0999999999999996</v>
      </c>
      <c r="D6591">
        <f t="shared" si="207"/>
        <v>1</v>
      </c>
    </row>
    <row r="6592" spans="1:4" x14ac:dyDescent="0.55000000000000004">
      <c r="A6592">
        <f t="shared" si="206"/>
        <v>1998</v>
      </c>
      <c r="B6592" s="821">
        <v>36066</v>
      </c>
      <c r="C6592">
        <v>5.15</v>
      </c>
      <c r="D6592">
        <f t="shared" si="207"/>
        <v>1</v>
      </c>
    </row>
    <row r="6593" spans="1:4" x14ac:dyDescent="0.55000000000000004">
      <c r="A6593">
        <f t="shared" si="206"/>
        <v>1998</v>
      </c>
      <c r="B6593" s="821">
        <v>36063</v>
      </c>
      <c r="C6593">
        <v>5.13</v>
      </c>
      <c r="D6593">
        <f t="shared" si="207"/>
        <v>1</v>
      </c>
    </row>
    <row r="6594" spans="1:4" x14ac:dyDescent="0.55000000000000004">
      <c r="A6594">
        <f t="shared" si="206"/>
        <v>1998</v>
      </c>
      <c r="B6594" s="821">
        <v>36062</v>
      </c>
      <c r="C6594">
        <v>5.15</v>
      </c>
      <c r="D6594">
        <f t="shared" si="207"/>
        <v>1</v>
      </c>
    </row>
    <row r="6595" spans="1:4" x14ac:dyDescent="0.55000000000000004">
      <c r="A6595">
        <f t="shared" si="206"/>
        <v>1998</v>
      </c>
      <c r="B6595" s="821">
        <v>36061</v>
      </c>
      <c r="C6595">
        <v>5.16</v>
      </c>
      <c r="D6595">
        <f t="shared" si="207"/>
        <v>1</v>
      </c>
    </row>
    <row r="6596" spans="1:4" x14ac:dyDescent="0.55000000000000004">
      <c r="A6596">
        <f t="shared" ref="A6596:A6659" si="208">YEAR(B6596)</f>
        <v>1998</v>
      </c>
      <c r="B6596" s="821">
        <v>36060</v>
      </c>
      <c r="C6596">
        <v>5.16</v>
      </c>
      <c r="D6596">
        <f t="shared" ref="D6596:D6659" si="209">IF(C6596&gt;4,1,0)</f>
        <v>1</v>
      </c>
    </row>
    <row r="6597" spans="1:4" x14ac:dyDescent="0.55000000000000004">
      <c r="A6597">
        <f t="shared" si="208"/>
        <v>1998</v>
      </c>
      <c r="B6597" s="821">
        <v>36059</v>
      </c>
      <c r="C6597">
        <v>5.12</v>
      </c>
      <c r="D6597">
        <f t="shared" si="209"/>
        <v>1</v>
      </c>
    </row>
    <row r="6598" spans="1:4" x14ac:dyDescent="0.55000000000000004">
      <c r="A6598">
        <f t="shared" si="208"/>
        <v>1998</v>
      </c>
      <c r="B6598" s="821">
        <v>36056</v>
      </c>
      <c r="C6598">
        <v>5.15</v>
      </c>
      <c r="D6598">
        <f t="shared" si="209"/>
        <v>1</v>
      </c>
    </row>
    <row r="6599" spans="1:4" x14ac:dyDescent="0.55000000000000004">
      <c r="A6599">
        <f t="shared" si="208"/>
        <v>1998</v>
      </c>
      <c r="B6599" s="821">
        <v>36055</v>
      </c>
      <c r="C6599">
        <v>5.18</v>
      </c>
      <c r="D6599">
        <f t="shared" si="209"/>
        <v>1</v>
      </c>
    </row>
    <row r="6600" spans="1:4" x14ac:dyDescent="0.55000000000000004">
      <c r="A6600">
        <f t="shared" si="208"/>
        <v>1998</v>
      </c>
      <c r="B6600" s="821">
        <v>36054</v>
      </c>
      <c r="C6600">
        <v>5.23</v>
      </c>
      <c r="D6600">
        <f t="shared" si="209"/>
        <v>1</v>
      </c>
    </row>
    <row r="6601" spans="1:4" x14ac:dyDescent="0.55000000000000004">
      <c r="A6601">
        <f t="shared" si="208"/>
        <v>1998</v>
      </c>
      <c r="B6601" s="821">
        <v>36053</v>
      </c>
      <c r="C6601">
        <v>5.25</v>
      </c>
      <c r="D6601">
        <f t="shared" si="209"/>
        <v>1</v>
      </c>
    </row>
    <row r="6602" spans="1:4" x14ac:dyDescent="0.55000000000000004">
      <c r="A6602">
        <f t="shared" si="208"/>
        <v>1998</v>
      </c>
      <c r="B6602" s="821">
        <v>36052</v>
      </c>
      <c r="C6602">
        <v>5.23</v>
      </c>
      <c r="D6602">
        <f t="shared" si="209"/>
        <v>1</v>
      </c>
    </row>
    <row r="6603" spans="1:4" x14ac:dyDescent="0.55000000000000004">
      <c r="A6603">
        <f t="shared" si="208"/>
        <v>1998</v>
      </c>
      <c r="B6603" s="821">
        <v>36049</v>
      </c>
      <c r="C6603">
        <v>5.23</v>
      </c>
      <c r="D6603">
        <f t="shared" si="209"/>
        <v>1</v>
      </c>
    </row>
    <row r="6604" spans="1:4" x14ac:dyDescent="0.55000000000000004">
      <c r="A6604">
        <f t="shared" si="208"/>
        <v>1998</v>
      </c>
      <c r="B6604" s="821">
        <v>36048</v>
      </c>
      <c r="C6604">
        <v>5.18</v>
      </c>
      <c r="D6604">
        <f t="shared" si="209"/>
        <v>1</v>
      </c>
    </row>
    <row r="6605" spans="1:4" x14ac:dyDescent="0.55000000000000004">
      <c r="A6605">
        <f t="shared" si="208"/>
        <v>1998</v>
      </c>
      <c r="B6605" s="821">
        <v>36047</v>
      </c>
      <c r="C6605">
        <v>5.28</v>
      </c>
      <c r="D6605">
        <f t="shared" si="209"/>
        <v>1</v>
      </c>
    </row>
    <row r="6606" spans="1:4" x14ac:dyDescent="0.55000000000000004">
      <c r="A6606">
        <f t="shared" si="208"/>
        <v>1998</v>
      </c>
      <c r="B6606" s="821">
        <v>36046</v>
      </c>
      <c r="C6606">
        <v>5.34</v>
      </c>
      <c r="D6606">
        <f t="shared" si="209"/>
        <v>1</v>
      </c>
    </row>
    <row r="6607" spans="1:4" x14ac:dyDescent="0.55000000000000004">
      <c r="A6607">
        <f t="shared" si="208"/>
        <v>1998</v>
      </c>
      <c r="B6607" s="821">
        <v>36042</v>
      </c>
      <c r="C6607">
        <v>5.29</v>
      </c>
      <c r="D6607">
        <f t="shared" si="209"/>
        <v>1</v>
      </c>
    </row>
    <row r="6608" spans="1:4" x14ac:dyDescent="0.55000000000000004">
      <c r="A6608">
        <f t="shared" si="208"/>
        <v>1998</v>
      </c>
      <c r="B6608" s="821">
        <v>36041</v>
      </c>
      <c r="C6608">
        <v>5.31</v>
      </c>
      <c r="D6608">
        <f t="shared" si="209"/>
        <v>1</v>
      </c>
    </row>
    <row r="6609" spans="1:4" x14ac:dyDescent="0.55000000000000004">
      <c r="A6609">
        <f t="shared" si="208"/>
        <v>1998</v>
      </c>
      <c r="B6609" s="821">
        <v>36040</v>
      </c>
      <c r="C6609">
        <v>5.34</v>
      </c>
      <c r="D6609">
        <f t="shared" si="209"/>
        <v>1</v>
      </c>
    </row>
    <row r="6610" spans="1:4" x14ac:dyDescent="0.55000000000000004">
      <c r="A6610">
        <f t="shared" si="208"/>
        <v>1998</v>
      </c>
      <c r="B6610" s="821">
        <v>36039</v>
      </c>
      <c r="C6610">
        <v>5.34</v>
      </c>
      <c r="D6610">
        <f t="shared" si="209"/>
        <v>1</v>
      </c>
    </row>
    <row r="6611" spans="1:4" x14ac:dyDescent="0.55000000000000004">
      <c r="A6611">
        <f t="shared" si="208"/>
        <v>1998</v>
      </c>
      <c r="B6611" s="821">
        <v>36038</v>
      </c>
      <c r="C6611">
        <v>5.3</v>
      </c>
      <c r="D6611">
        <f t="shared" si="209"/>
        <v>1</v>
      </c>
    </row>
    <row r="6612" spans="1:4" x14ac:dyDescent="0.55000000000000004">
      <c r="A6612">
        <f t="shared" si="208"/>
        <v>1998</v>
      </c>
      <c r="B6612" s="821">
        <v>36035</v>
      </c>
      <c r="C6612">
        <v>5.37</v>
      </c>
      <c r="D6612">
        <f t="shared" si="209"/>
        <v>1</v>
      </c>
    </row>
    <row r="6613" spans="1:4" x14ac:dyDescent="0.55000000000000004">
      <c r="A6613">
        <f t="shared" si="208"/>
        <v>1998</v>
      </c>
      <c r="B6613" s="821">
        <v>36034</v>
      </c>
      <c r="C6613">
        <v>5.38</v>
      </c>
      <c r="D6613">
        <f t="shared" si="209"/>
        <v>1</v>
      </c>
    </row>
    <row r="6614" spans="1:4" x14ac:dyDescent="0.55000000000000004">
      <c r="A6614">
        <f t="shared" si="208"/>
        <v>1998</v>
      </c>
      <c r="B6614" s="821">
        <v>36033</v>
      </c>
      <c r="C6614">
        <v>5.44</v>
      </c>
      <c r="D6614">
        <f t="shared" si="209"/>
        <v>1</v>
      </c>
    </row>
    <row r="6615" spans="1:4" x14ac:dyDescent="0.55000000000000004">
      <c r="A6615">
        <f t="shared" si="208"/>
        <v>1998</v>
      </c>
      <c r="B6615" s="821">
        <v>36032</v>
      </c>
      <c r="C6615">
        <v>5.44</v>
      </c>
      <c r="D6615">
        <f t="shared" si="209"/>
        <v>1</v>
      </c>
    </row>
    <row r="6616" spans="1:4" x14ac:dyDescent="0.55000000000000004">
      <c r="A6616">
        <f t="shared" si="208"/>
        <v>1998</v>
      </c>
      <c r="B6616" s="821">
        <v>36031</v>
      </c>
      <c r="C6616">
        <v>5.48</v>
      </c>
      <c r="D6616">
        <f t="shared" si="209"/>
        <v>1</v>
      </c>
    </row>
    <row r="6617" spans="1:4" x14ac:dyDescent="0.55000000000000004">
      <c r="A6617">
        <f t="shared" si="208"/>
        <v>1998</v>
      </c>
      <c r="B6617" s="821">
        <v>36028</v>
      </c>
      <c r="C6617">
        <v>5.46</v>
      </c>
      <c r="D6617">
        <f t="shared" si="209"/>
        <v>1</v>
      </c>
    </row>
    <row r="6618" spans="1:4" x14ac:dyDescent="0.55000000000000004">
      <c r="A6618">
        <f t="shared" si="208"/>
        <v>1998</v>
      </c>
      <c r="B6618" s="821">
        <v>36027</v>
      </c>
      <c r="C6618">
        <v>5.52</v>
      </c>
      <c r="D6618">
        <f t="shared" si="209"/>
        <v>1</v>
      </c>
    </row>
    <row r="6619" spans="1:4" x14ac:dyDescent="0.55000000000000004">
      <c r="A6619">
        <f t="shared" si="208"/>
        <v>1998</v>
      </c>
      <c r="B6619" s="821">
        <v>36026</v>
      </c>
      <c r="C6619">
        <v>5.56</v>
      </c>
      <c r="D6619">
        <f t="shared" si="209"/>
        <v>1</v>
      </c>
    </row>
    <row r="6620" spans="1:4" x14ac:dyDescent="0.55000000000000004">
      <c r="A6620">
        <f t="shared" si="208"/>
        <v>1998</v>
      </c>
      <c r="B6620" s="821">
        <v>36025</v>
      </c>
      <c r="C6620">
        <v>5.56</v>
      </c>
      <c r="D6620">
        <f t="shared" si="209"/>
        <v>1</v>
      </c>
    </row>
    <row r="6621" spans="1:4" x14ac:dyDescent="0.55000000000000004">
      <c r="A6621">
        <f t="shared" si="208"/>
        <v>1998</v>
      </c>
      <c r="B6621" s="821">
        <v>36024</v>
      </c>
      <c r="C6621">
        <v>5.56</v>
      </c>
      <c r="D6621">
        <f t="shared" si="209"/>
        <v>1</v>
      </c>
    </row>
    <row r="6622" spans="1:4" x14ac:dyDescent="0.55000000000000004">
      <c r="A6622">
        <f t="shared" si="208"/>
        <v>1998</v>
      </c>
      <c r="B6622" s="821">
        <v>36021</v>
      </c>
      <c r="C6622">
        <v>5.55</v>
      </c>
      <c r="D6622">
        <f t="shared" si="209"/>
        <v>1</v>
      </c>
    </row>
    <row r="6623" spans="1:4" x14ac:dyDescent="0.55000000000000004">
      <c r="A6623">
        <f t="shared" si="208"/>
        <v>1998</v>
      </c>
      <c r="B6623" s="821">
        <v>36020</v>
      </c>
      <c r="C6623">
        <v>5.6</v>
      </c>
      <c r="D6623">
        <f t="shared" si="209"/>
        <v>1</v>
      </c>
    </row>
    <row r="6624" spans="1:4" x14ac:dyDescent="0.55000000000000004">
      <c r="A6624">
        <f t="shared" si="208"/>
        <v>1998</v>
      </c>
      <c r="B6624" s="821">
        <v>36019</v>
      </c>
      <c r="C6624">
        <v>5.62</v>
      </c>
      <c r="D6624">
        <f t="shared" si="209"/>
        <v>1</v>
      </c>
    </row>
    <row r="6625" spans="1:4" x14ac:dyDescent="0.55000000000000004">
      <c r="A6625">
        <f t="shared" si="208"/>
        <v>1998</v>
      </c>
      <c r="B6625" s="821">
        <v>36018</v>
      </c>
      <c r="C6625">
        <v>5.6</v>
      </c>
      <c r="D6625">
        <f t="shared" si="209"/>
        <v>1</v>
      </c>
    </row>
    <row r="6626" spans="1:4" x14ac:dyDescent="0.55000000000000004">
      <c r="A6626">
        <f t="shared" si="208"/>
        <v>1998</v>
      </c>
      <c r="B6626" s="821">
        <v>36017</v>
      </c>
      <c r="C6626">
        <v>5.63</v>
      </c>
      <c r="D6626">
        <f t="shared" si="209"/>
        <v>1</v>
      </c>
    </row>
    <row r="6627" spans="1:4" x14ac:dyDescent="0.55000000000000004">
      <c r="A6627">
        <f t="shared" si="208"/>
        <v>1998</v>
      </c>
      <c r="B6627" s="821">
        <v>36014</v>
      </c>
      <c r="C6627">
        <v>5.63</v>
      </c>
      <c r="D6627">
        <f t="shared" si="209"/>
        <v>1</v>
      </c>
    </row>
    <row r="6628" spans="1:4" x14ac:dyDescent="0.55000000000000004">
      <c r="A6628">
        <f t="shared" si="208"/>
        <v>1998</v>
      </c>
      <c r="B6628" s="821">
        <v>36013</v>
      </c>
      <c r="C6628">
        <v>5.67</v>
      </c>
      <c r="D6628">
        <f t="shared" si="209"/>
        <v>1</v>
      </c>
    </row>
    <row r="6629" spans="1:4" x14ac:dyDescent="0.55000000000000004">
      <c r="A6629">
        <f t="shared" si="208"/>
        <v>1998</v>
      </c>
      <c r="B6629" s="821">
        <v>36012</v>
      </c>
      <c r="C6629">
        <v>5.66</v>
      </c>
      <c r="D6629">
        <f t="shared" si="209"/>
        <v>1</v>
      </c>
    </row>
    <row r="6630" spans="1:4" x14ac:dyDescent="0.55000000000000004">
      <c r="A6630">
        <f t="shared" si="208"/>
        <v>1998</v>
      </c>
      <c r="B6630" s="821">
        <v>36011</v>
      </c>
      <c r="C6630">
        <v>5.65</v>
      </c>
      <c r="D6630">
        <f t="shared" si="209"/>
        <v>1</v>
      </c>
    </row>
    <row r="6631" spans="1:4" x14ac:dyDescent="0.55000000000000004">
      <c r="A6631">
        <f t="shared" si="208"/>
        <v>1998</v>
      </c>
      <c r="B6631" s="821">
        <v>36010</v>
      </c>
      <c r="C6631">
        <v>5.67</v>
      </c>
      <c r="D6631">
        <f t="shared" si="209"/>
        <v>1</v>
      </c>
    </row>
    <row r="6632" spans="1:4" x14ac:dyDescent="0.55000000000000004">
      <c r="A6632">
        <f t="shared" si="208"/>
        <v>1998</v>
      </c>
      <c r="B6632" s="821">
        <v>36007</v>
      </c>
      <c r="C6632">
        <v>5.72</v>
      </c>
      <c r="D6632">
        <f t="shared" si="209"/>
        <v>1</v>
      </c>
    </row>
    <row r="6633" spans="1:4" x14ac:dyDescent="0.55000000000000004">
      <c r="A6633">
        <f t="shared" si="208"/>
        <v>1998</v>
      </c>
      <c r="B6633" s="821">
        <v>36006</v>
      </c>
      <c r="C6633">
        <v>5.73</v>
      </c>
      <c r="D6633">
        <f t="shared" si="209"/>
        <v>1</v>
      </c>
    </row>
    <row r="6634" spans="1:4" x14ac:dyDescent="0.55000000000000004">
      <c r="A6634">
        <f t="shared" si="208"/>
        <v>1998</v>
      </c>
      <c r="B6634" s="821">
        <v>36005</v>
      </c>
      <c r="C6634">
        <v>5.77</v>
      </c>
      <c r="D6634">
        <f t="shared" si="209"/>
        <v>1</v>
      </c>
    </row>
    <row r="6635" spans="1:4" x14ac:dyDescent="0.55000000000000004">
      <c r="A6635">
        <f t="shared" si="208"/>
        <v>1998</v>
      </c>
      <c r="B6635" s="821">
        <v>36004</v>
      </c>
      <c r="C6635">
        <v>5.74</v>
      </c>
      <c r="D6635">
        <f t="shared" si="209"/>
        <v>1</v>
      </c>
    </row>
    <row r="6636" spans="1:4" x14ac:dyDescent="0.55000000000000004">
      <c r="A6636">
        <f t="shared" si="208"/>
        <v>1998</v>
      </c>
      <c r="B6636" s="821">
        <v>36003</v>
      </c>
      <c r="C6636">
        <v>5.7</v>
      </c>
      <c r="D6636">
        <f t="shared" si="209"/>
        <v>1</v>
      </c>
    </row>
    <row r="6637" spans="1:4" x14ac:dyDescent="0.55000000000000004">
      <c r="A6637">
        <f t="shared" si="208"/>
        <v>1998</v>
      </c>
      <c r="B6637" s="821">
        <v>36000</v>
      </c>
      <c r="C6637">
        <v>5.68</v>
      </c>
      <c r="D6637">
        <f t="shared" si="209"/>
        <v>1</v>
      </c>
    </row>
    <row r="6638" spans="1:4" x14ac:dyDescent="0.55000000000000004">
      <c r="A6638">
        <f t="shared" si="208"/>
        <v>1998</v>
      </c>
      <c r="B6638" s="821">
        <v>35999</v>
      </c>
      <c r="C6638">
        <v>5.66</v>
      </c>
      <c r="D6638">
        <f t="shared" si="209"/>
        <v>1</v>
      </c>
    </row>
    <row r="6639" spans="1:4" x14ac:dyDescent="0.55000000000000004">
      <c r="A6639">
        <f t="shared" si="208"/>
        <v>1998</v>
      </c>
      <c r="B6639" s="821">
        <v>35998</v>
      </c>
      <c r="C6639">
        <v>5.68</v>
      </c>
      <c r="D6639">
        <f t="shared" si="209"/>
        <v>1</v>
      </c>
    </row>
    <row r="6640" spans="1:4" x14ac:dyDescent="0.55000000000000004">
      <c r="A6640">
        <f t="shared" si="208"/>
        <v>1998</v>
      </c>
      <c r="B6640" s="821">
        <v>35997</v>
      </c>
      <c r="C6640">
        <v>5.67</v>
      </c>
      <c r="D6640">
        <f t="shared" si="209"/>
        <v>1</v>
      </c>
    </row>
    <row r="6641" spans="1:4" x14ac:dyDescent="0.55000000000000004">
      <c r="A6641">
        <f t="shared" si="208"/>
        <v>1998</v>
      </c>
      <c r="B6641" s="821">
        <v>35996</v>
      </c>
      <c r="C6641">
        <v>5.71</v>
      </c>
      <c r="D6641">
        <f t="shared" si="209"/>
        <v>1</v>
      </c>
    </row>
    <row r="6642" spans="1:4" x14ac:dyDescent="0.55000000000000004">
      <c r="A6642">
        <f t="shared" si="208"/>
        <v>1998</v>
      </c>
      <c r="B6642" s="821">
        <v>35993</v>
      </c>
      <c r="C6642">
        <v>5.75</v>
      </c>
      <c r="D6642">
        <f t="shared" si="209"/>
        <v>1</v>
      </c>
    </row>
    <row r="6643" spans="1:4" x14ac:dyDescent="0.55000000000000004">
      <c r="A6643">
        <f t="shared" si="208"/>
        <v>1998</v>
      </c>
      <c r="B6643" s="821">
        <v>35992</v>
      </c>
      <c r="C6643">
        <v>5.72</v>
      </c>
      <c r="D6643">
        <f t="shared" si="209"/>
        <v>1</v>
      </c>
    </row>
    <row r="6644" spans="1:4" x14ac:dyDescent="0.55000000000000004">
      <c r="A6644">
        <f t="shared" si="208"/>
        <v>1998</v>
      </c>
      <c r="B6644" s="821">
        <v>35991</v>
      </c>
      <c r="C6644">
        <v>5.7</v>
      </c>
      <c r="D6644">
        <f t="shared" si="209"/>
        <v>1</v>
      </c>
    </row>
    <row r="6645" spans="1:4" x14ac:dyDescent="0.55000000000000004">
      <c r="A6645">
        <f t="shared" si="208"/>
        <v>1998</v>
      </c>
      <c r="B6645" s="821">
        <v>35990</v>
      </c>
      <c r="C6645">
        <v>5.72</v>
      </c>
      <c r="D6645">
        <f t="shared" si="209"/>
        <v>1</v>
      </c>
    </row>
    <row r="6646" spans="1:4" x14ac:dyDescent="0.55000000000000004">
      <c r="A6646">
        <f t="shared" si="208"/>
        <v>1998</v>
      </c>
      <c r="B6646" s="821">
        <v>35989</v>
      </c>
      <c r="C6646">
        <v>5.68</v>
      </c>
      <c r="D6646">
        <f t="shared" si="209"/>
        <v>1</v>
      </c>
    </row>
    <row r="6647" spans="1:4" x14ac:dyDescent="0.55000000000000004">
      <c r="A6647">
        <f t="shared" si="208"/>
        <v>1998</v>
      </c>
      <c r="B6647" s="821">
        <v>35986</v>
      </c>
      <c r="C6647">
        <v>5.63</v>
      </c>
      <c r="D6647">
        <f t="shared" si="209"/>
        <v>1</v>
      </c>
    </row>
    <row r="6648" spans="1:4" x14ac:dyDescent="0.55000000000000004">
      <c r="A6648">
        <f t="shared" si="208"/>
        <v>1998</v>
      </c>
      <c r="B6648" s="821">
        <v>35985</v>
      </c>
      <c r="C6648">
        <v>5.6</v>
      </c>
      <c r="D6648">
        <f t="shared" si="209"/>
        <v>1</v>
      </c>
    </row>
    <row r="6649" spans="1:4" x14ac:dyDescent="0.55000000000000004">
      <c r="A6649">
        <f t="shared" si="208"/>
        <v>1998</v>
      </c>
      <c r="B6649" s="821">
        <v>35984</v>
      </c>
      <c r="C6649">
        <v>5.63</v>
      </c>
      <c r="D6649">
        <f t="shared" si="209"/>
        <v>1</v>
      </c>
    </row>
    <row r="6650" spans="1:4" x14ac:dyDescent="0.55000000000000004">
      <c r="A6650">
        <f t="shared" si="208"/>
        <v>1998</v>
      </c>
      <c r="B6650" s="821">
        <v>35983</v>
      </c>
      <c r="C6650">
        <v>5.6</v>
      </c>
      <c r="D6650">
        <f t="shared" si="209"/>
        <v>1</v>
      </c>
    </row>
    <row r="6651" spans="1:4" x14ac:dyDescent="0.55000000000000004">
      <c r="A6651">
        <f t="shared" si="208"/>
        <v>1998</v>
      </c>
      <c r="B6651" s="821">
        <v>35982</v>
      </c>
      <c r="C6651">
        <v>5.57</v>
      </c>
      <c r="D6651">
        <f t="shared" si="209"/>
        <v>1</v>
      </c>
    </row>
    <row r="6652" spans="1:4" x14ac:dyDescent="0.55000000000000004">
      <c r="A6652">
        <f t="shared" si="208"/>
        <v>1998</v>
      </c>
      <c r="B6652" s="821">
        <v>35978</v>
      </c>
      <c r="C6652">
        <v>5.6</v>
      </c>
      <c r="D6652">
        <f t="shared" si="209"/>
        <v>1</v>
      </c>
    </row>
    <row r="6653" spans="1:4" x14ac:dyDescent="0.55000000000000004">
      <c r="A6653">
        <f t="shared" si="208"/>
        <v>1998</v>
      </c>
      <c r="B6653" s="821">
        <v>35977</v>
      </c>
      <c r="C6653">
        <v>5.63</v>
      </c>
      <c r="D6653">
        <f t="shared" si="209"/>
        <v>1</v>
      </c>
    </row>
    <row r="6654" spans="1:4" x14ac:dyDescent="0.55000000000000004">
      <c r="A6654">
        <f t="shared" si="208"/>
        <v>1998</v>
      </c>
      <c r="B6654" s="821">
        <v>35976</v>
      </c>
      <c r="C6654">
        <v>5.62</v>
      </c>
      <c r="D6654">
        <f t="shared" si="209"/>
        <v>1</v>
      </c>
    </row>
    <row r="6655" spans="1:4" x14ac:dyDescent="0.55000000000000004">
      <c r="A6655">
        <f t="shared" si="208"/>
        <v>1998</v>
      </c>
      <c r="B6655" s="821">
        <v>35975</v>
      </c>
      <c r="C6655">
        <v>5.65</v>
      </c>
      <c r="D6655">
        <f t="shared" si="209"/>
        <v>1</v>
      </c>
    </row>
    <row r="6656" spans="1:4" x14ac:dyDescent="0.55000000000000004">
      <c r="A6656">
        <f t="shared" si="208"/>
        <v>1998</v>
      </c>
      <c r="B6656" s="821">
        <v>35972</v>
      </c>
      <c r="C6656">
        <v>5.64</v>
      </c>
      <c r="D6656">
        <f t="shared" si="209"/>
        <v>1</v>
      </c>
    </row>
    <row r="6657" spans="1:4" x14ac:dyDescent="0.55000000000000004">
      <c r="A6657">
        <f t="shared" si="208"/>
        <v>1998</v>
      </c>
      <c r="B6657" s="821">
        <v>35971</v>
      </c>
      <c r="C6657">
        <v>5.66</v>
      </c>
      <c r="D6657">
        <f t="shared" si="209"/>
        <v>1</v>
      </c>
    </row>
    <row r="6658" spans="1:4" x14ac:dyDescent="0.55000000000000004">
      <c r="A6658">
        <f t="shared" si="208"/>
        <v>1998</v>
      </c>
      <c r="B6658" s="821">
        <v>35970</v>
      </c>
      <c r="C6658">
        <v>5.66</v>
      </c>
      <c r="D6658">
        <f t="shared" si="209"/>
        <v>1</v>
      </c>
    </row>
    <row r="6659" spans="1:4" x14ac:dyDescent="0.55000000000000004">
      <c r="A6659">
        <f t="shared" si="208"/>
        <v>1998</v>
      </c>
      <c r="B6659" s="821">
        <v>35969</v>
      </c>
      <c r="C6659">
        <v>5.64</v>
      </c>
      <c r="D6659">
        <f t="shared" si="209"/>
        <v>1</v>
      </c>
    </row>
    <row r="6660" spans="1:4" x14ac:dyDescent="0.55000000000000004">
      <c r="A6660">
        <f t="shared" ref="A6660:A6723" si="210">YEAR(B6660)</f>
        <v>1998</v>
      </c>
      <c r="B6660" s="821">
        <v>35968</v>
      </c>
      <c r="C6660">
        <v>5.66</v>
      </c>
      <c r="D6660">
        <f t="shared" ref="D6660:D6723" si="211">IF(C6660&gt;4,1,0)</f>
        <v>1</v>
      </c>
    </row>
    <row r="6661" spans="1:4" x14ac:dyDescent="0.55000000000000004">
      <c r="A6661">
        <f t="shared" si="210"/>
        <v>1998</v>
      </c>
      <c r="B6661" s="821">
        <v>35965</v>
      </c>
      <c r="C6661">
        <v>5.67</v>
      </c>
      <c r="D6661">
        <f t="shared" si="211"/>
        <v>1</v>
      </c>
    </row>
    <row r="6662" spans="1:4" x14ac:dyDescent="0.55000000000000004">
      <c r="A6662">
        <f t="shared" si="210"/>
        <v>1998</v>
      </c>
      <c r="B6662" s="821">
        <v>35964</v>
      </c>
      <c r="C6662">
        <v>5.7</v>
      </c>
      <c r="D6662">
        <f t="shared" si="211"/>
        <v>1</v>
      </c>
    </row>
    <row r="6663" spans="1:4" x14ac:dyDescent="0.55000000000000004">
      <c r="A6663">
        <f t="shared" si="210"/>
        <v>1998</v>
      </c>
      <c r="B6663" s="821">
        <v>35963</v>
      </c>
      <c r="C6663">
        <v>5.74</v>
      </c>
      <c r="D6663">
        <f t="shared" si="211"/>
        <v>1</v>
      </c>
    </row>
    <row r="6664" spans="1:4" x14ac:dyDescent="0.55000000000000004">
      <c r="A6664">
        <f t="shared" si="210"/>
        <v>1998</v>
      </c>
      <c r="B6664" s="821">
        <v>35962</v>
      </c>
      <c r="C6664">
        <v>5.65</v>
      </c>
      <c r="D6664">
        <f t="shared" si="211"/>
        <v>1</v>
      </c>
    </row>
    <row r="6665" spans="1:4" x14ac:dyDescent="0.55000000000000004">
      <c r="A6665">
        <f t="shared" si="210"/>
        <v>1998</v>
      </c>
      <c r="B6665" s="821">
        <v>35961</v>
      </c>
      <c r="C6665">
        <v>5.61</v>
      </c>
      <c r="D6665">
        <f t="shared" si="211"/>
        <v>1</v>
      </c>
    </row>
    <row r="6666" spans="1:4" x14ac:dyDescent="0.55000000000000004">
      <c r="A6666">
        <f t="shared" si="210"/>
        <v>1998</v>
      </c>
      <c r="B6666" s="821">
        <v>35958</v>
      </c>
      <c r="C6666">
        <v>5.66</v>
      </c>
      <c r="D6666">
        <f t="shared" si="211"/>
        <v>1</v>
      </c>
    </row>
    <row r="6667" spans="1:4" x14ac:dyDescent="0.55000000000000004">
      <c r="A6667">
        <f t="shared" si="210"/>
        <v>1998</v>
      </c>
      <c r="B6667" s="821">
        <v>35957</v>
      </c>
      <c r="C6667">
        <v>5.65</v>
      </c>
      <c r="D6667">
        <f t="shared" si="211"/>
        <v>1</v>
      </c>
    </row>
    <row r="6668" spans="1:4" x14ac:dyDescent="0.55000000000000004">
      <c r="A6668">
        <f t="shared" si="210"/>
        <v>1998</v>
      </c>
      <c r="B6668" s="821">
        <v>35956</v>
      </c>
      <c r="C6668">
        <v>5.7</v>
      </c>
      <c r="D6668">
        <f t="shared" si="211"/>
        <v>1</v>
      </c>
    </row>
    <row r="6669" spans="1:4" x14ac:dyDescent="0.55000000000000004">
      <c r="A6669">
        <f t="shared" si="210"/>
        <v>1998</v>
      </c>
      <c r="B6669" s="821">
        <v>35955</v>
      </c>
      <c r="C6669">
        <v>5.79</v>
      </c>
      <c r="D6669">
        <f t="shared" si="211"/>
        <v>1</v>
      </c>
    </row>
    <row r="6670" spans="1:4" x14ac:dyDescent="0.55000000000000004">
      <c r="A6670">
        <f t="shared" si="210"/>
        <v>1998</v>
      </c>
      <c r="B6670" s="821">
        <v>35954</v>
      </c>
      <c r="C6670">
        <v>5.79</v>
      </c>
      <c r="D6670">
        <f t="shared" si="211"/>
        <v>1</v>
      </c>
    </row>
    <row r="6671" spans="1:4" x14ac:dyDescent="0.55000000000000004">
      <c r="A6671">
        <f t="shared" si="210"/>
        <v>1998</v>
      </c>
      <c r="B6671" s="821">
        <v>35951</v>
      </c>
      <c r="C6671">
        <v>5.79</v>
      </c>
      <c r="D6671">
        <f t="shared" si="211"/>
        <v>1</v>
      </c>
    </row>
    <row r="6672" spans="1:4" x14ac:dyDescent="0.55000000000000004">
      <c r="A6672">
        <f t="shared" si="210"/>
        <v>1998</v>
      </c>
      <c r="B6672" s="821">
        <v>35950</v>
      </c>
      <c r="C6672">
        <v>5.82</v>
      </c>
      <c r="D6672">
        <f t="shared" si="211"/>
        <v>1</v>
      </c>
    </row>
    <row r="6673" spans="1:4" x14ac:dyDescent="0.55000000000000004">
      <c r="A6673">
        <f t="shared" si="210"/>
        <v>1998</v>
      </c>
      <c r="B6673" s="821">
        <v>35949</v>
      </c>
      <c r="C6673">
        <v>5.8</v>
      </c>
      <c r="D6673">
        <f t="shared" si="211"/>
        <v>1</v>
      </c>
    </row>
    <row r="6674" spans="1:4" x14ac:dyDescent="0.55000000000000004">
      <c r="A6674">
        <f t="shared" si="210"/>
        <v>1998</v>
      </c>
      <c r="B6674" s="821">
        <v>35948</v>
      </c>
      <c r="C6674">
        <v>5.8</v>
      </c>
      <c r="D6674">
        <f t="shared" si="211"/>
        <v>1</v>
      </c>
    </row>
    <row r="6675" spans="1:4" x14ac:dyDescent="0.55000000000000004">
      <c r="A6675">
        <f t="shared" si="210"/>
        <v>1998</v>
      </c>
      <c r="B6675" s="821">
        <v>35947</v>
      </c>
      <c r="C6675">
        <v>5.78</v>
      </c>
      <c r="D6675">
        <f t="shared" si="211"/>
        <v>1</v>
      </c>
    </row>
    <row r="6676" spans="1:4" x14ac:dyDescent="0.55000000000000004">
      <c r="A6676">
        <f t="shared" si="210"/>
        <v>1998</v>
      </c>
      <c r="B6676" s="821">
        <v>35944</v>
      </c>
      <c r="C6676">
        <v>5.81</v>
      </c>
      <c r="D6676">
        <f t="shared" si="211"/>
        <v>1</v>
      </c>
    </row>
    <row r="6677" spans="1:4" x14ac:dyDescent="0.55000000000000004">
      <c r="A6677">
        <f t="shared" si="210"/>
        <v>1998</v>
      </c>
      <c r="B6677" s="821">
        <v>35943</v>
      </c>
      <c r="C6677">
        <v>5.83</v>
      </c>
      <c r="D6677">
        <f t="shared" si="211"/>
        <v>1</v>
      </c>
    </row>
    <row r="6678" spans="1:4" x14ac:dyDescent="0.55000000000000004">
      <c r="A6678">
        <f t="shared" si="210"/>
        <v>1998</v>
      </c>
      <c r="B6678" s="821">
        <v>35942</v>
      </c>
      <c r="C6678">
        <v>5.83</v>
      </c>
      <c r="D6678">
        <f t="shared" si="211"/>
        <v>1</v>
      </c>
    </row>
    <row r="6679" spans="1:4" x14ac:dyDescent="0.55000000000000004">
      <c r="A6679">
        <f t="shared" si="210"/>
        <v>1998</v>
      </c>
      <c r="B6679" s="821">
        <v>35941</v>
      </c>
      <c r="C6679">
        <v>5.85</v>
      </c>
      <c r="D6679">
        <f t="shared" si="211"/>
        <v>1</v>
      </c>
    </row>
    <row r="6680" spans="1:4" x14ac:dyDescent="0.55000000000000004">
      <c r="A6680">
        <f t="shared" si="210"/>
        <v>1998</v>
      </c>
      <c r="B6680" s="821">
        <v>35937</v>
      </c>
      <c r="C6680">
        <v>5.9</v>
      </c>
      <c r="D6680">
        <f t="shared" si="211"/>
        <v>1</v>
      </c>
    </row>
    <row r="6681" spans="1:4" x14ac:dyDescent="0.55000000000000004">
      <c r="A6681">
        <f t="shared" si="210"/>
        <v>1998</v>
      </c>
      <c r="B6681" s="821">
        <v>35936</v>
      </c>
      <c r="C6681">
        <v>5.93</v>
      </c>
      <c r="D6681">
        <f t="shared" si="211"/>
        <v>1</v>
      </c>
    </row>
    <row r="6682" spans="1:4" x14ac:dyDescent="0.55000000000000004">
      <c r="A6682">
        <f t="shared" si="210"/>
        <v>1998</v>
      </c>
      <c r="B6682" s="821">
        <v>35935</v>
      </c>
      <c r="C6682">
        <v>5.89</v>
      </c>
      <c r="D6682">
        <f t="shared" si="211"/>
        <v>1</v>
      </c>
    </row>
    <row r="6683" spans="1:4" x14ac:dyDescent="0.55000000000000004">
      <c r="A6683">
        <f t="shared" si="210"/>
        <v>1998</v>
      </c>
      <c r="B6683" s="821">
        <v>35934</v>
      </c>
      <c r="C6683">
        <v>5.94</v>
      </c>
      <c r="D6683">
        <f t="shared" si="211"/>
        <v>1</v>
      </c>
    </row>
    <row r="6684" spans="1:4" x14ac:dyDescent="0.55000000000000004">
      <c r="A6684">
        <f t="shared" si="210"/>
        <v>1998</v>
      </c>
      <c r="B6684" s="821">
        <v>35933</v>
      </c>
      <c r="C6684">
        <v>5.92</v>
      </c>
      <c r="D6684">
        <f t="shared" si="211"/>
        <v>1</v>
      </c>
    </row>
    <row r="6685" spans="1:4" x14ac:dyDescent="0.55000000000000004">
      <c r="A6685">
        <f t="shared" si="210"/>
        <v>1998</v>
      </c>
      <c r="B6685" s="821">
        <v>35930</v>
      </c>
      <c r="C6685">
        <v>5.97</v>
      </c>
      <c r="D6685">
        <f t="shared" si="211"/>
        <v>1</v>
      </c>
    </row>
    <row r="6686" spans="1:4" x14ac:dyDescent="0.55000000000000004">
      <c r="A6686">
        <f t="shared" si="210"/>
        <v>1998</v>
      </c>
      <c r="B6686" s="821">
        <v>35929</v>
      </c>
      <c r="C6686">
        <v>5.98</v>
      </c>
      <c r="D6686">
        <f t="shared" si="211"/>
        <v>1</v>
      </c>
    </row>
    <row r="6687" spans="1:4" x14ac:dyDescent="0.55000000000000004">
      <c r="A6687">
        <f t="shared" si="210"/>
        <v>1998</v>
      </c>
      <c r="B6687" s="821">
        <v>35928</v>
      </c>
      <c r="C6687">
        <v>5.95</v>
      </c>
      <c r="D6687">
        <f t="shared" si="211"/>
        <v>1</v>
      </c>
    </row>
    <row r="6688" spans="1:4" x14ac:dyDescent="0.55000000000000004">
      <c r="A6688">
        <f t="shared" si="210"/>
        <v>1998</v>
      </c>
      <c r="B6688" s="821">
        <v>35927</v>
      </c>
      <c r="C6688">
        <v>5.96</v>
      </c>
      <c r="D6688">
        <f t="shared" si="211"/>
        <v>1</v>
      </c>
    </row>
    <row r="6689" spans="1:4" x14ac:dyDescent="0.55000000000000004">
      <c r="A6689">
        <f t="shared" si="210"/>
        <v>1998</v>
      </c>
      <c r="B6689" s="821">
        <v>35926</v>
      </c>
      <c r="C6689">
        <v>6.04</v>
      </c>
      <c r="D6689">
        <f t="shared" si="211"/>
        <v>1</v>
      </c>
    </row>
    <row r="6690" spans="1:4" x14ac:dyDescent="0.55000000000000004">
      <c r="A6690">
        <f t="shared" si="210"/>
        <v>1998</v>
      </c>
      <c r="B6690" s="821">
        <v>35923</v>
      </c>
      <c r="C6690">
        <v>5.98</v>
      </c>
      <c r="D6690">
        <f t="shared" si="211"/>
        <v>1</v>
      </c>
    </row>
    <row r="6691" spans="1:4" x14ac:dyDescent="0.55000000000000004">
      <c r="A6691">
        <f t="shared" si="210"/>
        <v>1998</v>
      </c>
      <c r="B6691" s="821">
        <v>35922</v>
      </c>
      <c r="C6691">
        <v>5.95</v>
      </c>
      <c r="D6691">
        <f t="shared" si="211"/>
        <v>1</v>
      </c>
    </row>
    <row r="6692" spans="1:4" x14ac:dyDescent="0.55000000000000004">
      <c r="A6692">
        <f t="shared" si="210"/>
        <v>1998</v>
      </c>
      <c r="B6692" s="821">
        <v>35921</v>
      </c>
      <c r="C6692">
        <v>5.94</v>
      </c>
      <c r="D6692">
        <f t="shared" si="211"/>
        <v>1</v>
      </c>
    </row>
    <row r="6693" spans="1:4" x14ac:dyDescent="0.55000000000000004">
      <c r="A6693">
        <f t="shared" si="210"/>
        <v>1998</v>
      </c>
      <c r="B6693" s="821">
        <v>35920</v>
      </c>
      <c r="C6693">
        <v>5.98</v>
      </c>
      <c r="D6693">
        <f t="shared" si="211"/>
        <v>1</v>
      </c>
    </row>
    <row r="6694" spans="1:4" x14ac:dyDescent="0.55000000000000004">
      <c r="A6694">
        <f t="shared" si="210"/>
        <v>1998</v>
      </c>
      <c r="B6694" s="821">
        <v>35919</v>
      </c>
      <c r="C6694">
        <v>5.94</v>
      </c>
      <c r="D6694">
        <f t="shared" si="211"/>
        <v>1</v>
      </c>
    </row>
    <row r="6695" spans="1:4" x14ac:dyDescent="0.55000000000000004">
      <c r="A6695">
        <f t="shared" si="210"/>
        <v>1998</v>
      </c>
      <c r="B6695" s="821">
        <v>35916</v>
      </c>
      <c r="C6695">
        <v>5.94</v>
      </c>
      <c r="D6695">
        <f t="shared" si="211"/>
        <v>1</v>
      </c>
    </row>
    <row r="6696" spans="1:4" x14ac:dyDescent="0.55000000000000004">
      <c r="A6696">
        <f t="shared" si="210"/>
        <v>1998</v>
      </c>
      <c r="B6696" s="821">
        <v>35915</v>
      </c>
      <c r="C6696">
        <v>5.95</v>
      </c>
      <c r="D6696">
        <f t="shared" si="211"/>
        <v>1</v>
      </c>
    </row>
    <row r="6697" spans="1:4" x14ac:dyDescent="0.55000000000000004">
      <c r="A6697">
        <f t="shared" si="210"/>
        <v>1998</v>
      </c>
      <c r="B6697" s="821">
        <v>35914</v>
      </c>
      <c r="C6697">
        <v>6.08</v>
      </c>
      <c r="D6697">
        <f t="shared" si="211"/>
        <v>1</v>
      </c>
    </row>
    <row r="6698" spans="1:4" x14ac:dyDescent="0.55000000000000004">
      <c r="A6698">
        <f t="shared" si="210"/>
        <v>1998</v>
      </c>
      <c r="B6698" s="821">
        <v>35913</v>
      </c>
      <c r="C6698">
        <v>6.07</v>
      </c>
      <c r="D6698">
        <f t="shared" si="211"/>
        <v>1</v>
      </c>
    </row>
    <row r="6699" spans="1:4" x14ac:dyDescent="0.55000000000000004">
      <c r="A6699">
        <f t="shared" si="210"/>
        <v>1998</v>
      </c>
      <c r="B6699" s="821">
        <v>35912</v>
      </c>
      <c r="C6699">
        <v>6.07</v>
      </c>
      <c r="D6699">
        <f t="shared" si="211"/>
        <v>1</v>
      </c>
    </row>
    <row r="6700" spans="1:4" x14ac:dyDescent="0.55000000000000004">
      <c r="A6700">
        <f t="shared" si="210"/>
        <v>1998</v>
      </c>
      <c r="B6700" s="821">
        <v>35909</v>
      </c>
      <c r="C6700">
        <v>5.95</v>
      </c>
      <c r="D6700">
        <f t="shared" si="211"/>
        <v>1</v>
      </c>
    </row>
    <row r="6701" spans="1:4" x14ac:dyDescent="0.55000000000000004">
      <c r="A6701">
        <f t="shared" si="210"/>
        <v>1998</v>
      </c>
      <c r="B6701" s="821">
        <v>35908</v>
      </c>
      <c r="C6701">
        <v>5.98</v>
      </c>
      <c r="D6701">
        <f t="shared" si="211"/>
        <v>1</v>
      </c>
    </row>
    <row r="6702" spans="1:4" x14ac:dyDescent="0.55000000000000004">
      <c r="A6702">
        <f t="shared" si="210"/>
        <v>1998</v>
      </c>
      <c r="B6702" s="821">
        <v>35907</v>
      </c>
      <c r="C6702">
        <v>5.96</v>
      </c>
      <c r="D6702">
        <f t="shared" si="211"/>
        <v>1</v>
      </c>
    </row>
    <row r="6703" spans="1:4" x14ac:dyDescent="0.55000000000000004">
      <c r="A6703">
        <f t="shared" si="210"/>
        <v>1998</v>
      </c>
      <c r="B6703" s="821">
        <v>35906</v>
      </c>
      <c r="C6703">
        <v>5.96</v>
      </c>
      <c r="D6703">
        <f t="shared" si="211"/>
        <v>1</v>
      </c>
    </row>
    <row r="6704" spans="1:4" x14ac:dyDescent="0.55000000000000004">
      <c r="A6704">
        <f t="shared" si="210"/>
        <v>1998</v>
      </c>
      <c r="B6704" s="821">
        <v>35905</v>
      </c>
      <c r="C6704">
        <v>5.92</v>
      </c>
      <c r="D6704">
        <f t="shared" si="211"/>
        <v>1</v>
      </c>
    </row>
    <row r="6705" spans="1:4" x14ac:dyDescent="0.55000000000000004">
      <c r="A6705">
        <f t="shared" si="210"/>
        <v>1998</v>
      </c>
      <c r="B6705" s="821">
        <v>35902</v>
      </c>
      <c r="C6705">
        <v>5.88</v>
      </c>
      <c r="D6705">
        <f t="shared" si="211"/>
        <v>1</v>
      </c>
    </row>
    <row r="6706" spans="1:4" x14ac:dyDescent="0.55000000000000004">
      <c r="A6706">
        <f t="shared" si="210"/>
        <v>1998</v>
      </c>
      <c r="B6706" s="821">
        <v>35901</v>
      </c>
      <c r="C6706">
        <v>5.87</v>
      </c>
      <c r="D6706">
        <f t="shared" si="211"/>
        <v>1</v>
      </c>
    </row>
    <row r="6707" spans="1:4" x14ac:dyDescent="0.55000000000000004">
      <c r="A6707">
        <f t="shared" si="210"/>
        <v>1998</v>
      </c>
      <c r="B6707" s="821">
        <v>35900</v>
      </c>
      <c r="C6707">
        <v>5.89</v>
      </c>
      <c r="D6707">
        <f t="shared" si="211"/>
        <v>1</v>
      </c>
    </row>
    <row r="6708" spans="1:4" x14ac:dyDescent="0.55000000000000004">
      <c r="A6708">
        <f t="shared" si="210"/>
        <v>1998</v>
      </c>
      <c r="B6708" s="821">
        <v>35899</v>
      </c>
      <c r="C6708">
        <v>5.91</v>
      </c>
      <c r="D6708">
        <f t="shared" si="211"/>
        <v>1</v>
      </c>
    </row>
    <row r="6709" spans="1:4" x14ac:dyDescent="0.55000000000000004">
      <c r="A6709">
        <f t="shared" si="210"/>
        <v>1998</v>
      </c>
      <c r="B6709" s="821">
        <v>35898</v>
      </c>
      <c r="C6709">
        <v>5.94</v>
      </c>
      <c r="D6709">
        <f t="shared" si="211"/>
        <v>1</v>
      </c>
    </row>
    <row r="6710" spans="1:4" x14ac:dyDescent="0.55000000000000004">
      <c r="A6710">
        <f t="shared" si="210"/>
        <v>1998</v>
      </c>
      <c r="B6710" s="821">
        <v>35894</v>
      </c>
      <c r="C6710">
        <v>5.88</v>
      </c>
      <c r="D6710">
        <f t="shared" si="211"/>
        <v>1</v>
      </c>
    </row>
    <row r="6711" spans="1:4" x14ac:dyDescent="0.55000000000000004">
      <c r="A6711">
        <f t="shared" si="210"/>
        <v>1998</v>
      </c>
      <c r="B6711" s="821">
        <v>35893</v>
      </c>
      <c r="C6711">
        <v>5.9</v>
      </c>
      <c r="D6711">
        <f t="shared" si="211"/>
        <v>1</v>
      </c>
    </row>
    <row r="6712" spans="1:4" x14ac:dyDescent="0.55000000000000004">
      <c r="A6712">
        <f t="shared" si="210"/>
        <v>1998</v>
      </c>
      <c r="B6712" s="821">
        <v>35892</v>
      </c>
      <c r="C6712">
        <v>5.84</v>
      </c>
      <c r="D6712">
        <f t="shared" si="211"/>
        <v>1</v>
      </c>
    </row>
    <row r="6713" spans="1:4" x14ac:dyDescent="0.55000000000000004">
      <c r="A6713">
        <f t="shared" si="210"/>
        <v>1998</v>
      </c>
      <c r="B6713" s="821">
        <v>35891</v>
      </c>
      <c r="C6713">
        <v>5.82</v>
      </c>
      <c r="D6713">
        <f t="shared" si="211"/>
        <v>1</v>
      </c>
    </row>
    <row r="6714" spans="1:4" x14ac:dyDescent="0.55000000000000004">
      <c r="A6714">
        <f t="shared" si="210"/>
        <v>1998</v>
      </c>
      <c r="B6714" s="821">
        <v>35888</v>
      </c>
      <c r="C6714">
        <v>5.78</v>
      </c>
      <c r="D6714">
        <f t="shared" si="211"/>
        <v>1</v>
      </c>
    </row>
    <row r="6715" spans="1:4" x14ac:dyDescent="0.55000000000000004">
      <c r="A6715">
        <f t="shared" si="210"/>
        <v>1998</v>
      </c>
      <c r="B6715" s="821">
        <v>35887</v>
      </c>
      <c r="C6715">
        <v>5.85</v>
      </c>
      <c r="D6715">
        <f t="shared" si="211"/>
        <v>1</v>
      </c>
    </row>
    <row r="6716" spans="1:4" x14ac:dyDescent="0.55000000000000004">
      <c r="A6716">
        <f t="shared" si="210"/>
        <v>1998</v>
      </c>
      <c r="B6716" s="821">
        <v>35886</v>
      </c>
      <c r="C6716">
        <v>5.9</v>
      </c>
      <c r="D6716">
        <f t="shared" si="211"/>
        <v>1</v>
      </c>
    </row>
    <row r="6717" spans="1:4" x14ac:dyDescent="0.55000000000000004">
      <c r="A6717">
        <f t="shared" si="210"/>
        <v>1998</v>
      </c>
      <c r="B6717" s="821">
        <v>35885</v>
      </c>
      <c r="C6717">
        <v>5.94</v>
      </c>
      <c r="D6717">
        <f t="shared" si="211"/>
        <v>1</v>
      </c>
    </row>
    <row r="6718" spans="1:4" x14ac:dyDescent="0.55000000000000004">
      <c r="A6718">
        <f t="shared" si="210"/>
        <v>1998</v>
      </c>
      <c r="B6718" s="821">
        <v>35884</v>
      </c>
      <c r="C6718">
        <v>5.98</v>
      </c>
      <c r="D6718">
        <f t="shared" si="211"/>
        <v>1</v>
      </c>
    </row>
    <row r="6719" spans="1:4" x14ac:dyDescent="0.55000000000000004">
      <c r="A6719">
        <f t="shared" si="210"/>
        <v>1998</v>
      </c>
      <c r="B6719" s="821">
        <v>35881</v>
      </c>
      <c r="C6719">
        <v>5.96</v>
      </c>
      <c r="D6719">
        <f t="shared" si="211"/>
        <v>1</v>
      </c>
    </row>
    <row r="6720" spans="1:4" x14ac:dyDescent="0.55000000000000004">
      <c r="A6720">
        <f t="shared" si="210"/>
        <v>1998</v>
      </c>
      <c r="B6720" s="821">
        <v>35880</v>
      </c>
      <c r="C6720">
        <v>5.96</v>
      </c>
      <c r="D6720">
        <f t="shared" si="211"/>
        <v>1</v>
      </c>
    </row>
    <row r="6721" spans="1:4" x14ac:dyDescent="0.55000000000000004">
      <c r="A6721">
        <f t="shared" si="210"/>
        <v>1998</v>
      </c>
      <c r="B6721" s="821">
        <v>35879</v>
      </c>
      <c r="C6721">
        <v>5.94</v>
      </c>
      <c r="D6721">
        <f t="shared" si="211"/>
        <v>1</v>
      </c>
    </row>
    <row r="6722" spans="1:4" x14ac:dyDescent="0.55000000000000004">
      <c r="A6722">
        <f t="shared" si="210"/>
        <v>1998</v>
      </c>
      <c r="B6722" s="821">
        <v>35878</v>
      </c>
      <c r="C6722">
        <v>5.88</v>
      </c>
      <c r="D6722">
        <f t="shared" si="211"/>
        <v>1</v>
      </c>
    </row>
    <row r="6723" spans="1:4" x14ac:dyDescent="0.55000000000000004">
      <c r="A6723">
        <f t="shared" si="210"/>
        <v>1998</v>
      </c>
      <c r="B6723" s="821">
        <v>35877</v>
      </c>
      <c r="C6723">
        <v>5.88</v>
      </c>
      <c r="D6723">
        <f t="shared" si="211"/>
        <v>1</v>
      </c>
    </row>
    <row r="6724" spans="1:4" x14ac:dyDescent="0.55000000000000004">
      <c r="A6724">
        <f t="shared" ref="A6724:A6787" si="212">YEAR(B6724)</f>
        <v>1998</v>
      </c>
      <c r="B6724" s="821">
        <v>35874</v>
      </c>
      <c r="C6724">
        <v>5.89</v>
      </c>
      <c r="D6724">
        <f t="shared" ref="D6724:D6787" si="213">IF(C6724&gt;4,1,0)</f>
        <v>1</v>
      </c>
    </row>
    <row r="6725" spans="1:4" x14ac:dyDescent="0.55000000000000004">
      <c r="A6725">
        <f t="shared" si="212"/>
        <v>1998</v>
      </c>
      <c r="B6725" s="821">
        <v>35873</v>
      </c>
      <c r="C6725">
        <v>5.9</v>
      </c>
      <c r="D6725">
        <f t="shared" si="213"/>
        <v>1</v>
      </c>
    </row>
    <row r="6726" spans="1:4" x14ac:dyDescent="0.55000000000000004">
      <c r="A6726">
        <f t="shared" si="212"/>
        <v>1998</v>
      </c>
      <c r="B6726" s="821">
        <v>35872</v>
      </c>
      <c r="C6726">
        <v>5.91</v>
      </c>
      <c r="D6726">
        <f t="shared" si="213"/>
        <v>1</v>
      </c>
    </row>
    <row r="6727" spans="1:4" x14ac:dyDescent="0.55000000000000004">
      <c r="A6727">
        <f t="shared" si="212"/>
        <v>1998</v>
      </c>
      <c r="B6727" s="821">
        <v>35871</v>
      </c>
      <c r="C6727">
        <v>5.89</v>
      </c>
      <c r="D6727">
        <f t="shared" si="213"/>
        <v>1</v>
      </c>
    </row>
    <row r="6728" spans="1:4" x14ac:dyDescent="0.55000000000000004">
      <c r="A6728">
        <f t="shared" si="212"/>
        <v>1998</v>
      </c>
      <c r="B6728" s="821">
        <v>35870</v>
      </c>
      <c r="C6728">
        <v>5.86</v>
      </c>
      <c r="D6728">
        <f t="shared" si="213"/>
        <v>1</v>
      </c>
    </row>
    <row r="6729" spans="1:4" x14ac:dyDescent="0.55000000000000004">
      <c r="A6729">
        <f t="shared" si="212"/>
        <v>1998</v>
      </c>
      <c r="B6729" s="821">
        <v>35867</v>
      </c>
      <c r="C6729">
        <v>5.89</v>
      </c>
      <c r="D6729">
        <f t="shared" si="213"/>
        <v>1</v>
      </c>
    </row>
    <row r="6730" spans="1:4" x14ac:dyDescent="0.55000000000000004">
      <c r="A6730">
        <f t="shared" si="212"/>
        <v>1998</v>
      </c>
      <c r="B6730" s="821">
        <v>35866</v>
      </c>
      <c r="C6730">
        <v>5.87</v>
      </c>
      <c r="D6730">
        <f t="shared" si="213"/>
        <v>1</v>
      </c>
    </row>
    <row r="6731" spans="1:4" x14ac:dyDescent="0.55000000000000004">
      <c r="A6731">
        <f t="shared" si="212"/>
        <v>1998</v>
      </c>
      <c r="B6731" s="821">
        <v>35865</v>
      </c>
      <c r="C6731">
        <v>5.93</v>
      </c>
      <c r="D6731">
        <f t="shared" si="213"/>
        <v>1</v>
      </c>
    </row>
    <row r="6732" spans="1:4" x14ac:dyDescent="0.55000000000000004">
      <c r="A6732">
        <f t="shared" si="212"/>
        <v>1998</v>
      </c>
      <c r="B6732" s="821">
        <v>35864</v>
      </c>
      <c r="C6732">
        <v>5.97</v>
      </c>
      <c r="D6732">
        <f t="shared" si="213"/>
        <v>1</v>
      </c>
    </row>
    <row r="6733" spans="1:4" x14ac:dyDescent="0.55000000000000004">
      <c r="A6733">
        <f t="shared" si="212"/>
        <v>1998</v>
      </c>
      <c r="B6733" s="821">
        <v>35863</v>
      </c>
      <c r="C6733">
        <v>5.97</v>
      </c>
      <c r="D6733">
        <f t="shared" si="213"/>
        <v>1</v>
      </c>
    </row>
    <row r="6734" spans="1:4" x14ac:dyDescent="0.55000000000000004">
      <c r="A6734">
        <f t="shared" si="212"/>
        <v>1998</v>
      </c>
      <c r="B6734" s="821">
        <v>35860</v>
      </c>
      <c r="C6734">
        <v>6.02</v>
      </c>
      <c r="D6734">
        <f t="shared" si="213"/>
        <v>1</v>
      </c>
    </row>
    <row r="6735" spans="1:4" x14ac:dyDescent="0.55000000000000004">
      <c r="A6735">
        <f t="shared" si="212"/>
        <v>1998</v>
      </c>
      <c r="B6735" s="821">
        <v>35859</v>
      </c>
      <c r="C6735">
        <v>6.07</v>
      </c>
      <c r="D6735">
        <f t="shared" si="213"/>
        <v>1</v>
      </c>
    </row>
    <row r="6736" spans="1:4" x14ac:dyDescent="0.55000000000000004">
      <c r="A6736">
        <f t="shared" si="212"/>
        <v>1998</v>
      </c>
      <c r="B6736" s="821">
        <v>35858</v>
      </c>
      <c r="C6736">
        <v>6.05</v>
      </c>
      <c r="D6736">
        <f t="shared" si="213"/>
        <v>1</v>
      </c>
    </row>
    <row r="6737" spans="1:4" x14ac:dyDescent="0.55000000000000004">
      <c r="A6737">
        <f t="shared" si="212"/>
        <v>1998</v>
      </c>
      <c r="B6737" s="821">
        <v>35857</v>
      </c>
      <c r="C6737">
        <v>6.07</v>
      </c>
      <c r="D6737">
        <f t="shared" si="213"/>
        <v>1</v>
      </c>
    </row>
    <row r="6738" spans="1:4" x14ac:dyDescent="0.55000000000000004">
      <c r="A6738">
        <f t="shared" si="212"/>
        <v>1998</v>
      </c>
      <c r="B6738" s="821">
        <v>35856</v>
      </c>
      <c r="C6738">
        <v>6.03</v>
      </c>
      <c r="D6738">
        <f t="shared" si="213"/>
        <v>1</v>
      </c>
    </row>
    <row r="6739" spans="1:4" x14ac:dyDescent="0.55000000000000004">
      <c r="A6739">
        <f t="shared" si="212"/>
        <v>1998</v>
      </c>
      <c r="B6739" s="821">
        <v>35853</v>
      </c>
      <c r="C6739">
        <v>5.92</v>
      </c>
      <c r="D6739">
        <f t="shared" si="213"/>
        <v>1</v>
      </c>
    </row>
    <row r="6740" spans="1:4" x14ac:dyDescent="0.55000000000000004">
      <c r="A6740">
        <f t="shared" si="212"/>
        <v>1998</v>
      </c>
      <c r="B6740" s="821">
        <v>35852</v>
      </c>
      <c r="C6740">
        <v>5.95</v>
      </c>
      <c r="D6740">
        <f t="shared" si="213"/>
        <v>1</v>
      </c>
    </row>
    <row r="6741" spans="1:4" x14ac:dyDescent="0.55000000000000004">
      <c r="A6741">
        <f t="shared" si="212"/>
        <v>1998</v>
      </c>
      <c r="B6741" s="821">
        <v>35851</v>
      </c>
      <c r="C6741">
        <v>5.93</v>
      </c>
      <c r="D6741">
        <f t="shared" si="213"/>
        <v>1</v>
      </c>
    </row>
    <row r="6742" spans="1:4" x14ac:dyDescent="0.55000000000000004">
      <c r="A6742">
        <f t="shared" si="212"/>
        <v>1998</v>
      </c>
      <c r="B6742" s="821">
        <v>35850</v>
      </c>
      <c r="C6742">
        <v>5.97</v>
      </c>
      <c r="D6742">
        <f t="shared" si="213"/>
        <v>1</v>
      </c>
    </row>
    <row r="6743" spans="1:4" x14ac:dyDescent="0.55000000000000004">
      <c r="A6743">
        <f t="shared" si="212"/>
        <v>1998</v>
      </c>
      <c r="B6743" s="821">
        <v>35849</v>
      </c>
      <c r="C6743">
        <v>5.91</v>
      </c>
      <c r="D6743">
        <f t="shared" si="213"/>
        <v>1</v>
      </c>
    </row>
    <row r="6744" spans="1:4" x14ac:dyDescent="0.55000000000000004">
      <c r="A6744">
        <f t="shared" si="212"/>
        <v>1998</v>
      </c>
      <c r="B6744" s="821">
        <v>35846</v>
      </c>
      <c r="C6744">
        <v>5.87</v>
      </c>
      <c r="D6744">
        <f t="shared" si="213"/>
        <v>1</v>
      </c>
    </row>
    <row r="6745" spans="1:4" x14ac:dyDescent="0.55000000000000004">
      <c r="A6745">
        <f t="shared" si="212"/>
        <v>1998</v>
      </c>
      <c r="B6745" s="821">
        <v>35845</v>
      </c>
      <c r="C6745">
        <v>5.85</v>
      </c>
      <c r="D6745">
        <f t="shared" si="213"/>
        <v>1</v>
      </c>
    </row>
    <row r="6746" spans="1:4" x14ac:dyDescent="0.55000000000000004">
      <c r="A6746">
        <f t="shared" si="212"/>
        <v>1998</v>
      </c>
      <c r="B6746" s="821">
        <v>35844</v>
      </c>
      <c r="C6746">
        <v>5.84</v>
      </c>
      <c r="D6746">
        <f t="shared" si="213"/>
        <v>1</v>
      </c>
    </row>
    <row r="6747" spans="1:4" x14ac:dyDescent="0.55000000000000004">
      <c r="A6747">
        <f t="shared" si="212"/>
        <v>1998</v>
      </c>
      <c r="B6747" s="821">
        <v>35843</v>
      </c>
      <c r="C6747">
        <v>5.8</v>
      </c>
      <c r="D6747">
        <f t="shared" si="213"/>
        <v>1</v>
      </c>
    </row>
    <row r="6748" spans="1:4" x14ac:dyDescent="0.55000000000000004">
      <c r="A6748">
        <f t="shared" si="212"/>
        <v>1998</v>
      </c>
      <c r="B6748" s="821">
        <v>35839</v>
      </c>
      <c r="C6748">
        <v>5.85</v>
      </c>
      <c r="D6748">
        <f t="shared" si="213"/>
        <v>1</v>
      </c>
    </row>
    <row r="6749" spans="1:4" x14ac:dyDescent="0.55000000000000004">
      <c r="A6749">
        <f t="shared" si="212"/>
        <v>1998</v>
      </c>
      <c r="B6749" s="821">
        <v>35838</v>
      </c>
      <c r="C6749">
        <v>5.87</v>
      </c>
      <c r="D6749">
        <f t="shared" si="213"/>
        <v>1</v>
      </c>
    </row>
    <row r="6750" spans="1:4" x14ac:dyDescent="0.55000000000000004">
      <c r="A6750">
        <f t="shared" si="212"/>
        <v>1998</v>
      </c>
      <c r="B6750" s="821">
        <v>35837</v>
      </c>
      <c r="C6750">
        <v>5.86</v>
      </c>
      <c r="D6750">
        <f t="shared" si="213"/>
        <v>1</v>
      </c>
    </row>
    <row r="6751" spans="1:4" x14ac:dyDescent="0.55000000000000004">
      <c r="A6751">
        <f t="shared" si="212"/>
        <v>1998</v>
      </c>
      <c r="B6751" s="821">
        <v>35836</v>
      </c>
      <c r="C6751">
        <v>5.93</v>
      </c>
      <c r="D6751">
        <f t="shared" si="213"/>
        <v>1</v>
      </c>
    </row>
    <row r="6752" spans="1:4" x14ac:dyDescent="0.55000000000000004">
      <c r="A6752">
        <f t="shared" si="212"/>
        <v>1998</v>
      </c>
      <c r="B6752" s="821">
        <v>35835</v>
      </c>
      <c r="C6752">
        <v>5.94</v>
      </c>
      <c r="D6752">
        <f t="shared" si="213"/>
        <v>1</v>
      </c>
    </row>
    <row r="6753" spans="1:4" x14ac:dyDescent="0.55000000000000004">
      <c r="A6753">
        <f t="shared" si="212"/>
        <v>1998</v>
      </c>
      <c r="B6753" s="821">
        <v>35832</v>
      </c>
      <c r="C6753">
        <v>5.92</v>
      </c>
      <c r="D6753">
        <f t="shared" si="213"/>
        <v>1</v>
      </c>
    </row>
    <row r="6754" spans="1:4" x14ac:dyDescent="0.55000000000000004">
      <c r="A6754">
        <f t="shared" si="212"/>
        <v>1998</v>
      </c>
      <c r="B6754" s="821">
        <v>35831</v>
      </c>
      <c r="C6754">
        <v>5.92</v>
      </c>
      <c r="D6754">
        <f t="shared" si="213"/>
        <v>1</v>
      </c>
    </row>
    <row r="6755" spans="1:4" x14ac:dyDescent="0.55000000000000004">
      <c r="A6755">
        <f t="shared" si="212"/>
        <v>1998</v>
      </c>
      <c r="B6755" s="821">
        <v>35830</v>
      </c>
      <c r="C6755">
        <v>5.87</v>
      </c>
      <c r="D6755">
        <f t="shared" si="213"/>
        <v>1</v>
      </c>
    </row>
    <row r="6756" spans="1:4" x14ac:dyDescent="0.55000000000000004">
      <c r="A6756">
        <f t="shared" si="212"/>
        <v>1998</v>
      </c>
      <c r="B6756" s="821">
        <v>35829</v>
      </c>
      <c r="C6756">
        <v>5.86</v>
      </c>
      <c r="D6756">
        <f t="shared" si="213"/>
        <v>1</v>
      </c>
    </row>
    <row r="6757" spans="1:4" x14ac:dyDescent="0.55000000000000004">
      <c r="A6757">
        <f t="shared" si="212"/>
        <v>1998</v>
      </c>
      <c r="B6757" s="821">
        <v>35828</v>
      </c>
      <c r="C6757">
        <v>5.87</v>
      </c>
      <c r="D6757">
        <f t="shared" si="213"/>
        <v>1</v>
      </c>
    </row>
    <row r="6758" spans="1:4" x14ac:dyDescent="0.55000000000000004">
      <c r="A6758">
        <f t="shared" si="212"/>
        <v>1998</v>
      </c>
      <c r="B6758" s="821">
        <v>35825</v>
      </c>
      <c r="C6758">
        <v>5.82</v>
      </c>
      <c r="D6758">
        <f t="shared" si="213"/>
        <v>1</v>
      </c>
    </row>
    <row r="6759" spans="1:4" x14ac:dyDescent="0.55000000000000004">
      <c r="A6759">
        <f t="shared" si="212"/>
        <v>1998</v>
      </c>
      <c r="B6759" s="821">
        <v>35824</v>
      </c>
      <c r="C6759">
        <v>5.85</v>
      </c>
      <c r="D6759">
        <f t="shared" si="213"/>
        <v>1</v>
      </c>
    </row>
    <row r="6760" spans="1:4" x14ac:dyDescent="0.55000000000000004">
      <c r="A6760">
        <f t="shared" si="212"/>
        <v>1998</v>
      </c>
      <c r="B6760" s="821">
        <v>35823</v>
      </c>
      <c r="C6760">
        <v>5.94</v>
      </c>
      <c r="D6760">
        <f t="shared" si="213"/>
        <v>1</v>
      </c>
    </row>
    <row r="6761" spans="1:4" x14ac:dyDescent="0.55000000000000004">
      <c r="A6761">
        <f t="shared" si="212"/>
        <v>1998</v>
      </c>
      <c r="B6761" s="821">
        <v>35822</v>
      </c>
      <c r="C6761">
        <v>5.95</v>
      </c>
      <c r="D6761">
        <f t="shared" si="213"/>
        <v>1</v>
      </c>
    </row>
    <row r="6762" spans="1:4" x14ac:dyDescent="0.55000000000000004">
      <c r="A6762">
        <f t="shared" si="212"/>
        <v>1998</v>
      </c>
      <c r="B6762" s="821">
        <v>35821</v>
      </c>
      <c r="C6762">
        <v>5.9</v>
      </c>
      <c r="D6762">
        <f t="shared" si="213"/>
        <v>1</v>
      </c>
    </row>
    <row r="6763" spans="1:4" x14ac:dyDescent="0.55000000000000004">
      <c r="A6763">
        <f t="shared" si="212"/>
        <v>1998</v>
      </c>
      <c r="B6763" s="821">
        <v>35818</v>
      </c>
      <c r="C6763">
        <v>5.98</v>
      </c>
      <c r="D6763">
        <f t="shared" si="213"/>
        <v>1</v>
      </c>
    </row>
    <row r="6764" spans="1:4" x14ac:dyDescent="0.55000000000000004">
      <c r="A6764">
        <f t="shared" si="212"/>
        <v>1998</v>
      </c>
      <c r="B6764" s="821">
        <v>35817</v>
      </c>
      <c r="C6764">
        <v>5.85</v>
      </c>
      <c r="D6764">
        <f t="shared" si="213"/>
        <v>1</v>
      </c>
    </row>
    <row r="6765" spans="1:4" x14ac:dyDescent="0.55000000000000004">
      <c r="A6765">
        <f t="shared" si="212"/>
        <v>1998</v>
      </c>
      <c r="B6765" s="821">
        <v>35816</v>
      </c>
      <c r="C6765">
        <v>5.81</v>
      </c>
      <c r="D6765">
        <f t="shared" si="213"/>
        <v>1</v>
      </c>
    </row>
    <row r="6766" spans="1:4" x14ac:dyDescent="0.55000000000000004">
      <c r="A6766">
        <f t="shared" si="212"/>
        <v>1998</v>
      </c>
      <c r="B6766" s="821">
        <v>35815</v>
      </c>
      <c r="C6766">
        <v>5.83</v>
      </c>
      <c r="D6766">
        <f t="shared" si="213"/>
        <v>1</v>
      </c>
    </row>
    <row r="6767" spans="1:4" x14ac:dyDescent="0.55000000000000004">
      <c r="A6767">
        <f t="shared" si="212"/>
        <v>1998</v>
      </c>
      <c r="B6767" s="821">
        <v>35811</v>
      </c>
      <c r="C6767">
        <v>5.81</v>
      </c>
      <c r="D6767">
        <f t="shared" si="213"/>
        <v>1</v>
      </c>
    </row>
    <row r="6768" spans="1:4" x14ac:dyDescent="0.55000000000000004">
      <c r="A6768">
        <f t="shared" si="212"/>
        <v>1998</v>
      </c>
      <c r="B6768" s="821">
        <v>35810</v>
      </c>
      <c r="C6768">
        <v>5.74</v>
      </c>
      <c r="D6768">
        <f t="shared" si="213"/>
        <v>1</v>
      </c>
    </row>
    <row r="6769" spans="1:4" x14ac:dyDescent="0.55000000000000004">
      <c r="A6769">
        <f t="shared" si="212"/>
        <v>1998</v>
      </c>
      <c r="B6769" s="821">
        <v>35809</v>
      </c>
      <c r="C6769">
        <v>5.74</v>
      </c>
      <c r="D6769">
        <f t="shared" si="213"/>
        <v>1</v>
      </c>
    </row>
    <row r="6770" spans="1:4" x14ac:dyDescent="0.55000000000000004">
      <c r="A6770">
        <f t="shared" si="212"/>
        <v>1998</v>
      </c>
      <c r="B6770" s="821">
        <v>35808</v>
      </c>
      <c r="C6770">
        <v>5.71</v>
      </c>
      <c r="D6770">
        <f t="shared" si="213"/>
        <v>1</v>
      </c>
    </row>
    <row r="6771" spans="1:4" x14ac:dyDescent="0.55000000000000004">
      <c r="A6771">
        <f t="shared" si="212"/>
        <v>1998</v>
      </c>
      <c r="B6771" s="821">
        <v>35807</v>
      </c>
      <c r="C6771">
        <v>5.7</v>
      </c>
      <c r="D6771">
        <f t="shared" si="213"/>
        <v>1</v>
      </c>
    </row>
    <row r="6772" spans="1:4" x14ac:dyDescent="0.55000000000000004">
      <c r="A6772">
        <f t="shared" si="212"/>
        <v>1998</v>
      </c>
      <c r="B6772" s="821">
        <v>35804</v>
      </c>
      <c r="C6772">
        <v>5.71</v>
      </c>
      <c r="D6772">
        <f t="shared" si="213"/>
        <v>1</v>
      </c>
    </row>
    <row r="6773" spans="1:4" x14ac:dyDescent="0.55000000000000004">
      <c r="A6773">
        <f t="shared" si="212"/>
        <v>1998</v>
      </c>
      <c r="B6773" s="821">
        <v>35803</v>
      </c>
      <c r="C6773">
        <v>5.75</v>
      </c>
      <c r="D6773">
        <f t="shared" si="213"/>
        <v>1</v>
      </c>
    </row>
    <row r="6774" spans="1:4" x14ac:dyDescent="0.55000000000000004">
      <c r="A6774">
        <f t="shared" si="212"/>
        <v>1998</v>
      </c>
      <c r="B6774" s="821">
        <v>35802</v>
      </c>
      <c r="C6774">
        <v>5.8</v>
      </c>
      <c r="D6774">
        <f t="shared" si="213"/>
        <v>1</v>
      </c>
    </row>
    <row r="6775" spans="1:4" x14ac:dyDescent="0.55000000000000004">
      <c r="A6775">
        <f t="shared" si="212"/>
        <v>1998</v>
      </c>
      <c r="B6775" s="821">
        <v>35801</v>
      </c>
      <c r="C6775">
        <v>5.73</v>
      </c>
      <c r="D6775">
        <f t="shared" si="213"/>
        <v>1</v>
      </c>
    </row>
    <row r="6776" spans="1:4" x14ac:dyDescent="0.55000000000000004">
      <c r="A6776">
        <f t="shared" si="212"/>
        <v>1998</v>
      </c>
      <c r="B6776" s="821">
        <v>35800</v>
      </c>
      <c r="C6776">
        <v>5.74</v>
      </c>
      <c r="D6776">
        <f t="shared" si="213"/>
        <v>1</v>
      </c>
    </row>
    <row r="6777" spans="1:4" x14ac:dyDescent="0.55000000000000004">
      <c r="A6777">
        <f t="shared" si="212"/>
        <v>1998</v>
      </c>
      <c r="B6777" s="821">
        <v>35797</v>
      </c>
      <c r="C6777">
        <v>5.86</v>
      </c>
      <c r="D6777">
        <f t="shared" si="213"/>
        <v>1</v>
      </c>
    </row>
    <row r="6778" spans="1:4" x14ac:dyDescent="0.55000000000000004">
      <c r="A6778">
        <f t="shared" si="212"/>
        <v>1997</v>
      </c>
      <c r="B6778" s="821">
        <v>35795</v>
      </c>
      <c r="C6778">
        <v>5.93</v>
      </c>
      <c r="D6778">
        <f t="shared" si="213"/>
        <v>1</v>
      </c>
    </row>
    <row r="6779" spans="1:4" x14ac:dyDescent="0.55000000000000004">
      <c r="A6779">
        <f t="shared" si="212"/>
        <v>1997</v>
      </c>
      <c r="B6779" s="821">
        <v>35794</v>
      </c>
      <c r="C6779">
        <v>5.98</v>
      </c>
      <c r="D6779">
        <f t="shared" si="213"/>
        <v>1</v>
      </c>
    </row>
    <row r="6780" spans="1:4" x14ac:dyDescent="0.55000000000000004">
      <c r="A6780">
        <f t="shared" si="212"/>
        <v>1997</v>
      </c>
      <c r="B6780" s="821">
        <v>35793</v>
      </c>
      <c r="C6780">
        <v>5.93</v>
      </c>
      <c r="D6780">
        <f t="shared" si="213"/>
        <v>1</v>
      </c>
    </row>
    <row r="6781" spans="1:4" x14ac:dyDescent="0.55000000000000004">
      <c r="A6781">
        <f t="shared" si="212"/>
        <v>1997</v>
      </c>
      <c r="B6781" s="821">
        <v>35790</v>
      </c>
      <c r="C6781">
        <v>5.9</v>
      </c>
      <c r="D6781">
        <f t="shared" si="213"/>
        <v>1</v>
      </c>
    </row>
    <row r="6782" spans="1:4" x14ac:dyDescent="0.55000000000000004">
      <c r="A6782">
        <f t="shared" si="212"/>
        <v>1997</v>
      </c>
      <c r="B6782" s="821">
        <v>35788</v>
      </c>
      <c r="C6782">
        <v>5.91</v>
      </c>
      <c r="D6782">
        <f t="shared" si="213"/>
        <v>1</v>
      </c>
    </row>
    <row r="6783" spans="1:4" x14ac:dyDescent="0.55000000000000004">
      <c r="A6783">
        <f t="shared" si="212"/>
        <v>1997</v>
      </c>
      <c r="B6783" s="821">
        <v>35787</v>
      </c>
      <c r="C6783">
        <v>5.9</v>
      </c>
      <c r="D6783">
        <f t="shared" si="213"/>
        <v>1</v>
      </c>
    </row>
    <row r="6784" spans="1:4" x14ac:dyDescent="0.55000000000000004">
      <c r="A6784">
        <f t="shared" si="212"/>
        <v>1997</v>
      </c>
      <c r="B6784" s="821">
        <v>35786</v>
      </c>
      <c r="C6784">
        <v>5.89</v>
      </c>
      <c r="D6784">
        <f t="shared" si="213"/>
        <v>1</v>
      </c>
    </row>
    <row r="6785" spans="1:4" x14ac:dyDescent="0.55000000000000004">
      <c r="A6785">
        <f t="shared" si="212"/>
        <v>1997</v>
      </c>
      <c r="B6785" s="821">
        <v>35783</v>
      </c>
      <c r="C6785">
        <v>5.92</v>
      </c>
      <c r="D6785">
        <f t="shared" si="213"/>
        <v>1</v>
      </c>
    </row>
    <row r="6786" spans="1:4" x14ac:dyDescent="0.55000000000000004">
      <c r="A6786">
        <f t="shared" si="212"/>
        <v>1997</v>
      </c>
      <c r="B6786" s="821">
        <v>35782</v>
      </c>
      <c r="C6786">
        <v>5.94</v>
      </c>
      <c r="D6786">
        <f t="shared" si="213"/>
        <v>1</v>
      </c>
    </row>
    <row r="6787" spans="1:4" x14ac:dyDescent="0.55000000000000004">
      <c r="A6787">
        <f t="shared" si="212"/>
        <v>1997</v>
      </c>
      <c r="B6787" s="821">
        <v>35781</v>
      </c>
      <c r="C6787">
        <v>5.99</v>
      </c>
      <c r="D6787">
        <f t="shared" si="213"/>
        <v>1</v>
      </c>
    </row>
    <row r="6788" spans="1:4" x14ac:dyDescent="0.55000000000000004">
      <c r="A6788">
        <f t="shared" ref="A6788:A6851" si="214">YEAR(B6788)</f>
        <v>1997</v>
      </c>
      <c r="B6788" s="821">
        <v>35780</v>
      </c>
      <c r="C6788">
        <v>5.96</v>
      </c>
      <c r="D6788">
        <f t="shared" ref="D6788:D6851" si="215">IF(C6788&gt;4,1,0)</f>
        <v>1</v>
      </c>
    </row>
    <row r="6789" spans="1:4" x14ac:dyDescent="0.55000000000000004">
      <c r="A6789">
        <f t="shared" si="214"/>
        <v>1997</v>
      </c>
      <c r="B6789" s="821">
        <v>35779</v>
      </c>
      <c r="C6789">
        <v>5.97</v>
      </c>
      <c r="D6789">
        <f t="shared" si="215"/>
        <v>1</v>
      </c>
    </row>
    <row r="6790" spans="1:4" x14ac:dyDescent="0.55000000000000004">
      <c r="A6790">
        <f t="shared" si="214"/>
        <v>1997</v>
      </c>
      <c r="B6790" s="821">
        <v>35776</v>
      </c>
      <c r="C6790">
        <v>5.94</v>
      </c>
      <c r="D6790">
        <f t="shared" si="215"/>
        <v>1</v>
      </c>
    </row>
    <row r="6791" spans="1:4" x14ac:dyDescent="0.55000000000000004">
      <c r="A6791">
        <f t="shared" si="214"/>
        <v>1997</v>
      </c>
      <c r="B6791" s="821">
        <v>35775</v>
      </c>
      <c r="C6791">
        <v>6.02</v>
      </c>
      <c r="D6791">
        <f t="shared" si="215"/>
        <v>1</v>
      </c>
    </row>
    <row r="6792" spans="1:4" x14ac:dyDescent="0.55000000000000004">
      <c r="A6792">
        <f t="shared" si="214"/>
        <v>1997</v>
      </c>
      <c r="B6792" s="821">
        <v>35774</v>
      </c>
      <c r="C6792">
        <v>6.1</v>
      </c>
      <c r="D6792">
        <f t="shared" si="215"/>
        <v>1</v>
      </c>
    </row>
    <row r="6793" spans="1:4" x14ac:dyDescent="0.55000000000000004">
      <c r="A6793">
        <f t="shared" si="214"/>
        <v>1997</v>
      </c>
      <c r="B6793" s="821">
        <v>35773</v>
      </c>
      <c r="C6793">
        <v>6.14</v>
      </c>
      <c r="D6793">
        <f t="shared" si="215"/>
        <v>1</v>
      </c>
    </row>
    <row r="6794" spans="1:4" x14ac:dyDescent="0.55000000000000004">
      <c r="A6794">
        <f t="shared" si="214"/>
        <v>1997</v>
      </c>
      <c r="B6794" s="821">
        <v>35772</v>
      </c>
      <c r="C6794">
        <v>6.14</v>
      </c>
      <c r="D6794">
        <f t="shared" si="215"/>
        <v>1</v>
      </c>
    </row>
    <row r="6795" spans="1:4" x14ac:dyDescent="0.55000000000000004">
      <c r="A6795">
        <f t="shared" si="214"/>
        <v>1997</v>
      </c>
      <c r="B6795" s="821">
        <v>35769</v>
      </c>
      <c r="C6795">
        <v>6.09</v>
      </c>
      <c r="D6795">
        <f t="shared" si="215"/>
        <v>1</v>
      </c>
    </row>
    <row r="6796" spans="1:4" x14ac:dyDescent="0.55000000000000004">
      <c r="A6796">
        <f t="shared" si="214"/>
        <v>1997</v>
      </c>
      <c r="B6796" s="821">
        <v>35768</v>
      </c>
      <c r="C6796">
        <v>6.04</v>
      </c>
      <c r="D6796">
        <f t="shared" si="215"/>
        <v>1</v>
      </c>
    </row>
    <row r="6797" spans="1:4" x14ac:dyDescent="0.55000000000000004">
      <c r="A6797">
        <f t="shared" si="214"/>
        <v>1997</v>
      </c>
      <c r="B6797" s="821">
        <v>35767</v>
      </c>
      <c r="C6797">
        <v>6.02</v>
      </c>
      <c r="D6797">
        <f t="shared" si="215"/>
        <v>1</v>
      </c>
    </row>
    <row r="6798" spans="1:4" x14ac:dyDescent="0.55000000000000004">
      <c r="A6798">
        <f t="shared" si="214"/>
        <v>1997</v>
      </c>
      <c r="B6798" s="821">
        <v>35766</v>
      </c>
      <c r="C6798">
        <v>6.03</v>
      </c>
      <c r="D6798">
        <f t="shared" si="215"/>
        <v>1</v>
      </c>
    </row>
    <row r="6799" spans="1:4" x14ac:dyDescent="0.55000000000000004">
      <c r="A6799">
        <f t="shared" si="214"/>
        <v>1997</v>
      </c>
      <c r="B6799" s="821">
        <v>35765</v>
      </c>
      <c r="C6799">
        <v>6.04</v>
      </c>
      <c r="D6799">
        <f t="shared" si="215"/>
        <v>1</v>
      </c>
    </row>
    <row r="6800" spans="1:4" x14ac:dyDescent="0.55000000000000004">
      <c r="A6800">
        <f t="shared" si="214"/>
        <v>1997</v>
      </c>
      <c r="B6800" s="821">
        <v>35762</v>
      </c>
      <c r="C6800">
        <v>6.04</v>
      </c>
      <c r="D6800">
        <f t="shared" si="215"/>
        <v>1</v>
      </c>
    </row>
    <row r="6801" spans="1:4" x14ac:dyDescent="0.55000000000000004">
      <c r="A6801">
        <f t="shared" si="214"/>
        <v>1997</v>
      </c>
      <c r="B6801" s="821">
        <v>35760</v>
      </c>
      <c r="C6801">
        <v>6.06</v>
      </c>
      <c r="D6801">
        <f t="shared" si="215"/>
        <v>1</v>
      </c>
    </row>
    <row r="6802" spans="1:4" x14ac:dyDescent="0.55000000000000004">
      <c r="A6802">
        <f t="shared" si="214"/>
        <v>1997</v>
      </c>
      <c r="B6802" s="821">
        <v>35759</v>
      </c>
      <c r="C6802">
        <v>6.06</v>
      </c>
      <c r="D6802">
        <f t="shared" si="215"/>
        <v>1</v>
      </c>
    </row>
    <row r="6803" spans="1:4" x14ac:dyDescent="0.55000000000000004">
      <c r="A6803">
        <f t="shared" si="214"/>
        <v>1997</v>
      </c>
      <c r="B6803" s="821">
        <v>35758</v>
      </c>
      <c r="C6803">
        <v>6.08</v>
      </c>
      <c r="D6803">
        <f t="shared" si="215"/>
        <v>1</v>
      </c>
    </row>
    <row r="6804" spans="1:4" x14ac:dyDescent="0.55000000000000004">
      <c r="A6804">
        <f t="shared" si="214"/>
        <v>1997</v>
      </c>
      <c r="B6804" s="821">
        <v>35755</v>
      </c>
      <c r="C6804">
        <v>6.04</v>
      </c>
      <c r="D6804">
        <f t="shared" si="215"/>
        <v>1</v>
      </c>
    </row>
    <row r="6805" spans="1:4" x14ac:dyDescent="0.55000000000000004">
      <c r="A6805">
        <f t="shared" si="214"/>
        <v>1997</v>
      </c>
      <c r="B6805" s="821">
        <v>35754</v>
      </c>
      <c r="C6805">
        <v>6.05</v>
      </c>
      <c r="D6805">
        <f t="shared" si="215"/>
        <v>1</v>
      </c>
    </row>
    <row r="6806" spans="1:4" x14ac:dyDescent="0.55000000000000004">
      <c r="A6806">
        <f t="shared" si="214"/>
        <v>1997</v>
      </c>
      <c r="B6806" s="821">
        <v>35753</v>
      </c>
      <c r="C6806">
        <v>6.03</v>
      </c>
      <c r="D6806">
        <f t="shared" si="215"/>
        <v>1</v>
      </c>
    </row>
    <row r="6807" spans="1:4" x14ac:dyDescent="0.55000000000000004">
      <c r="A6807">
        <f t="shared" si="214"/>
        <v>1997</v>
      </c>
      <c r="B6807" s="821">
        <v>35752</v>
      </c>
      <c r="C6807">
        <v>6.07</v>
      </c>
      <c r="D6807">
        <f t="shared" si="215"/>
        <v>1</v>
      </c>
    </row>
    <row r="6808" spans="1:4" x14ac:dyDescent="0.55000000000000004">
      <c r="A6808">
        <f t="shared" si="214"/>
        <v>1997</v>
      </c>
      <c r="B6808" s="821">
        <v>35751</v>
      </c>
      <c r="C6808">
        <v>6.07</v>
      </c>
      <c r="D6808">
        <f t="shared" si="215"/>
        <v>1</v>
      </c>
    </row>
    <row r="6809" spans="1:4" x14ac:dyDescent="0.55000000000000004">
      <c r="A6809">
        <f t="shared" si="214"/>
        <v>1997</v>
      </c>
      <c r="B6809" s="821">
        <v>35748</v>
      </c>
      <c r="C6809">
        <v>6.09</v>
      </c>
      <c r="D6809">
        <f t="shared" si="215"/>
        <v>1</v>
      </c>
    </row>
    <row r="6810" spans="1:4" x14ac:dyDescent="0.55000000000000004">
      <c r="A6810">
        <f t="shared" si="214"/>
        <v>1997</v>
      </c>
      <c r="B6810" s="821">
        <v>35747</v>
      </c>
      <c r="C6810">
        <v>6.11</v>
      </c>
      <c r="D6810">
        <f t="shared" si="215"/>
        <v>1</v>
      </c>
    </row>
    <row r="6811" spans="1:4" x14ac:dyDescent="0.55000000000000004">
      <c r="A6811">
        <f t="shared" si="214"/>
        <v>1997</v>
      </c>
      <c r="B6811" s="821">
        <v>35746</v>
      </c>
      <c r="C6811">
        <v>6.13</v>
      </c>
      <c r="D6811">
        <f t="shared" si="215"/>
        <v>1</v>
      </c>
    </row>
    <row r="6812" spans="1:4" x14ac:dyDescent="0.55000000000000004">
      <c r="A6812">
        <f t="shared" si="214"/>
        <v>1997</v>
      </c>
      <c r="B6812" s="821">
        <v>35744</v>
      </c>
      <c r="C6812">
        <v>6.15</v>
      </c>
      <c r="D6812">
        <f t="shared" si="215"/>
        <v>1</v>
      </c>
    </row>
    <row r="6813" spans="1:4" x14ac:dyDescent="0.55000000000000004">
      <c r="A6813">
        <f t="shared" si="214"/>
        <v>1997</v>
      </c>
      <c r="B6813" s="821">
        <v>35741</v>
      </c>
      <c r="C6813">
        <v>6.14</v>
      </c>
      <c r="D6813">
        <f t="shared" si="215"/>
        <v>1</v>
      </c>
    </row>
    <row r="6814" spans="1:4" x14ac:dyDescent="0.55000000000000004">
      <c r="A6814">
        <f t="shared" si="214"/>
        <v>1997</v>
      </c>
      <c r="B6814" s="821">
        <v>35740</v>
      </c>
      <c r="C6814">
        <v>6.15</v>
      </c>
      <c r="D6814">
        <f t="shared" si="215"/>
        <v>1</v>
      </c>
    </row>
    <row r="6815" spans="1:4" x14ac:dyDescent="0.55000000000000004">
      <c r="A6815">
        <f t="shared" si="214"/>
        <v>1997</v>
      </c>
      <c r="B6815" s="821">
        <v>35739</v>
      </c>
      <c r="C6815">
        <v>6.24</v>
      </c>
      <c r="D6815">
        <f t="shared" si="215"/>
        <v>1</v>
      </c>
    </row>
    <row r="6816" spans="1:4" x14ac:dyDescent="0.55000000000000004">
      <c r="A6816">
        <f t="shared" si="214"/>
        <v>1997</v>
      </c>
      <c r="B6816" s="821">
        <v>35738</v>
      </c>
      <c r="C6816">
        <v>6.25</v>
      </c>
      <c r="D6816">
        <f t="shared" si="215"/>
        <v>1</v>
      </c>
    </row>
    <row r="6817" spans="1:4" x14ac:dyDescent="0.55000000000000004">
      <c r="A6817">
        <f t="shared" si="214"/>
        <v>1997</v>
      </c>
      <c r="B6817" s="821">
        <v>35737</v>
      </c>
      <c r="C6817">
        <v>6.21</v>
      </c>
      <c r="D6817">
        <f t="shared" si="215"/>
        <v>1</v>
      </c>
    </row>
    <row r="6818" spans="1:4" x14ac:dyDescent="0.55000000000000004">
      <c r="A6818">
        <f t="shared" si="214"/>
        <v>1997</v>
      </c>
      <c r="B6818" s="821">
        <v>35734</v>
      </c>
      <c r="C6818">
        <v>6.15</v>
      </c>
      <c r="D6818">
        <f t="shared" si="215"/>
        <v>1</v>
      </c>
    </row>
    <row r="6819" spans="1:4" x14ac:dyDescent="0.55000000000000004">
      <c r="A6819">
        <f t="shared" si="214"/>
        <v>1997</v>
      </c>
      <c r="B6819" s="821">
        <v>35733</v>
      </c>
      <c r="C6819">
        <v>6.17</v>
      </c>
      <c r="D6819">
        <f t="shared" si="215"/>
        <v>1</v>
      </c>
    </row>
    <row r="6820" spans="1:4" x14ac:dyDescent="0.55000000000000004">
      <c r="A6820">
        <f t="shared" si="214"/>
        <v>1997</v>
      </c>
      <c r="B6820" s="821">
        <v>35732</v>
      </c>
      <c r="C6820">
        <v>6.23</v>
      </c>
      <c r="D6820">
        <f t="shared" si="215"/>
        <v>1</v>
      </c>
    </row>
    <row r="6821" spans="1:4" x14ac:dyDescent="0.55000000000000004">
      <c r="A6821">
        <f t="shared" si="214"/>
        <v>1997</v>
      </c>
      <c r="B6821" s="821">
        <v>35731</v>
      </c>
      <c r="C6821">
        <v>6.29</v>
      </c>
      <c r="D6821">
        <f t="shared" si="215"/>
        <v>1</v>
      </c>
    </row>
    <row r="6822" spans="1:4" x14ac:dyDescent="0.55000000000000004">
      <c r="A6822">
        <f t="shared" si="214"/>
        <v>1997</v>
      </c>
      <c r="B6822" s="821">
        <v>35730</v>
      </c>
      <c r="C6822">
        <v>6.24</v>
      </c>
      <c r="D6822">
        <f t="shared" si="215"/>
        <v>1</v>
      </c>
    </row>
    <row r="6823" spans="1:4" x14ac:dyDescent="0.55000000000000004">
      <c r="A6823">
        <f t="shared" si="214"/>
        <v>1997</v>
      </c>
      <c r="B6823" s="821">
        <v>35727</v>
      </c>
      <c r="C6823">
        <v>6.3</v>
      </c>
      <c r="D6823">
        <f t="shared" si="215"/>
        <v>1</v>
      </c>
    </row>
    <row r="6824" spans="1:4" x14ac:dyDescent="0.55000000000000004">
      <c r="A6824">
        <f t="shared" si="214"/>
        <v>1997</v>
      </c>
      <c r="B6824" s="821">
        <v>35726</v>
      </c>
      <c r="C6824">
        <v>6.33</v>
      </c>
      <c r="D6824">
        <f t="shared" si="215"/>
        <v>1</v>
      </c>
    </row>
    <row r="6825" spans="1:4" x14ac:dyDescent="0.55000000000000004">
      <c r="A6825">
        <f t="shared" si="214"/>
        <v>1997</v>
      </c>
      <c r="B6825" s="821">
        <v>35725</v>
      </c>
      <c r="C6825">
        <v>6.41</v>
      </c>
      <c r="D6825">
        <f t="shared" si="215"/>
        <v>1</v>
      </c>
    </row>
    <row r="6826" spans="1:4" x14ac:dyDescent="0.55000000000000004">
      <c r="A6826">
        <f t="shared" si="214"/>
        <v>1997</v>
      </c>
      <c r="B6826" s="821">
        <v>35724</v>
      </c>
      <c r="C6826">
        <v>6.42</v>
      </c>
      <c r="D6826">
        <f t="shared" si="215"/>
        <v>1</v>
      </c>
    </row>
    <row r="6827" spans="1:4" x14ac:dyDescent="0.55000000000000004">
      <c r="A6827">
        <f t="shared" si="214"/>
        <v>1997</v>
      </c>
      <c r="B6827" s="821">
        <v>35723</v>
      </c>
      <c r="C6827">
        <v>6.42</v>
      </c>
      <c r="D6827">
        <f t="shared" si="215"/>
        <v>1</v>
      </c>
    </row>
    <row r="6828" spans="1:4" x14ac:dyDescent="0.55000000000000004">
      <c r="A6828">
        <f t="shared" si="214"/>
        <v>1997</v>
      </c>
      <c r="B6828" s="821">
        <v>35720</v>
      </c>
      <c r="C6828">
        <v>6.44</v>
      </c>
      <c r="D6828">
        <f t="shared" si="215"/>
        <v>1</v>
      </c>
    </row>
    <row r="6829" spans="1:4" x14ac:dyDescent="0.55000000000000004">
      <c r="A6829">
        <f t="shared" si="214"/>
        <v>1997</v>
      </c>
      <c r="B6829" s="821">
        <v>35719</v>
      </c>
      <c r="C6829">
        <v>6.39</v>
      </c>
      <c r="D6829">
        <f t="shared" si="215"/>
        <v>1</v>
      </c>
    </row>
    <row r="6830" spans="1:4" x14ac:dyDescent="0.55000000000000004">
      <c r="A6830">
        <f t="shared" si="214"/>
        <v>1997</v>
      </c>
      <c r="B6830" s="821">
        <v>35718</v>
      </c>
      <c r="C6830">
        <v>6.39</v>
      </c>
      <c r="D6830">
        <f t="shared" si="215"/>
        <v>1</v>
      </c>
    </row>
    <row r="6831" spans="1:4" x14ac:dyDescent="0.55000000000000004">
      <c r="A6831">
        <f t="shared" si="214"/>
        <v>1997</v>
      </c>
      <c r="B6831" s="821">
        <v>35717</v>
      </c>
      <c r="C6831">
        <v>6.36</v>
      </c>
      <c r="D6831">
        <f t="shared" si="215"/>
        <v>1</v>
      </c>
    </row>
    <row r="6832" spans="1:4" x14ac:dyDescent="0.55000000000000004">
      <c r="A6832">
        <f t="shared" si="214"/>
        <v>1997</v>
      </c>
      <c r="B6832" s="821">
        <v>35713</v>
      </c>
      <c r="C6832">
        <v>6.44</v>
      </c>
      <c r="D6832">
        <f t="shared" si="215"/>
        <v>1</v>
      </c>
    </row>
    <row r="6833" spans="1:4" x14ac:dyDescent="0.55000000000000004">
      <c r="A6833">
        <f t="shared" si="214"/>
        <v>1997</v>
      </c>
      <c r="B6833" s="821">
        <v>35712</v>
      </c>
      <c r="C6833">
        <v>6.38</v>
      </c>
      <c r="D6833">
        <f t="shared" si="215"/>
        <v>1</v>
      </c>
    </row>
    <row r="6834" spans="1:4" x14ac:dyDescent="0.55000000000000004">
      <c r="A6834">
        <f t="shared" si="214"/>
        <v>1997</v>
      </c>
      <c r="B6834" s="821">
        <v>35711</v>
      </c>
      <c r="C6834">
        <v>6.37</v>
      </c>
      <c r="D6834">
        <f t="shared" si="215"/>
        <v>1</v>
      </c>
    </row>
    <row r="6835" spans="1:4" x14ac:dyDescent="0.55000000000000004">
      <c r="A6835">
        <f t="shared" si="214"/>
        <v>1997</v>
      </c>
      <c r="B6835" s="821">
        <v>35710</v>
      </c>
      <c r="C6835">
        <v>6.24</v>
      </c>
      <c r="D6835">
        <f t="shared" si="215"/>
        <v>1</v>
      </c>
    </row>
    <row r="6836" spans="1:4" x14ac:dyDescent="0.55000000000000004">
      <c r="A6836">
        <f t="shared" si="214"/>
        <v>1997</v>
      </c>
      <c r="B6836" s="821">
        <v>35709</v>
      </c>
      <c r="C6836">
        <v>6.27</v>
      </c>
      <c r="D6836">
        <f t="shared" si="215"/>
        <v>1</v>
      </c>
    </row>
    <row r="6837" spans="1:4" x14ac:dyDescent="0.55000000000000004">
      <c r="A6837">
        <f t="shared" si="214"/>
        <v>1997</v>
      </c>
      <c r="B6837" s="821">
        <v>35706</v>
      </c>
      <c r="C6837">
        <v>6.3</v>
      </c>
      <c r="D6837">
        <f t="shared" si="215"/>
        <v>1</v>
      </c>
    </row>
    <row r="6838" spans="1:4" x14ac:dyDescent="0.55000000000000004">
      <c r="A6838">
        <f t="shared" si="214"/>
        <v>1997</v>
      </c>
      <c r="B6838" s="821">
        <v>35705</v>
      </c>
      <c r="C6838">
        <v>6.31</v>
      </c>
      <c r="D6838">
        <f t="shared" si="215"/>
        <v>1</v>
      </c>
    </row>
    <row r="6839" spans="1:4" x14ac:dyDescent="0.55000000000000004">
      <c r="A6839">
        <f t="shared" si="214"/>
        <v>1997</v>
      </c>
      <c r="B6839" s="821">
        <v>35704</v>
      </c>
      <c r="C6839">
        <v>6.33</v>
      </c>
      <c r="D6839">
        <f t="shared" si="215"/>
        <v>1</v>
      </c>
    </row>
    <row r="6840" spans="1:4" x14ac:dyDescent="0.55000000000000004">
      <c r="A6840">
        <f t="shared" si="214"/>
        <v>1997</v>
      </c>
      <c r="B6840" s="821">
        <v>35703</v>
      </c>
      <c r="C6840">
        <v>6.41</v>
      </c>
      <c r="D6840">
        <f t="shared" si="215"/>
        <v>1</v>
      </c>
    </row>
    <row r="6841" spans="1:4" x14ac:dyDescent="0.55000000000000004">
      <c r="A6841">
        <f t="shared" si="214"/>
        <v>1997</v>
      </c>
      <c r="B6841" s="821">
        <v>35702</v>
      </c>
      <c r="C6841">
        <v>6.39</v>
      </c>
      <c r="D6841">
        <f t="shared" si="215"/>
        <v>1</v>
      </c>
    </row>
    <row r="6842" spans="1:4" x14ac:dyDescent="0.55000000000000004">
      <c r="A6842">
        <f t="shared" si="214"/>
        <v>1997</v>
      </c>
      <c r="B6842" s="821">
        <v>35699</v>
      </c>
      <c r="C6842">
        <v>6.37</v>
      </c>
      <c r="D6842">
        <f t="shared" si="215"/>
        <v>1</v>
      </c>
    </row>
    <row r="6843" spans="1:4" x14ac:dyDescent="0.55000000000000004">
      <c r="A6843">
        <f t="shared" si="214"/>
        <v>1997</v>
      </c>
      <c r="B6843" s="821">
        <v>35698</v>
      </c>
      <c r="C6843">
        <v>6.4</v>
      </c>
      <c r="D6843">
        <f t="shared" si="215"/>
        <v>1</v>
      </c>
    </row>
    <row r="6844" spans="1:4" x14ac:dyDescent="0.55000000000000004">
      <c r="A6844">
        <f t="shared" si="214"/>
        <v>1997</v>
      </c>
      <c r="B6844" s="821">
        <v>35697</v>
      </c>
      <c r="C6844">
        <v>6.32</v>
      </c>
      <c r="D6844">
        <f t="shared" si="215"/>
        <v>1</v>
      </c>
    </row>
    <row r="6845" spans="1:4" x14ac:dyDescent="0.55000000000000004">
      <c r="A6845">
        <f t="shared" si="214"/>
        <v>1997</v>
      </c>
      <c r="B6845" s="821">
        <v>35696</v>
      </c>
      <c r="C6845">
        <v>6.38</v>
      </c>
      <c r="D6845">
        <f t="shared" si="215"/>
        <v>1</v>
      </c>
    </row>
    <row r="6846" spans="1:4" x14ac:dyDescent="0.55000000000000004">
      <c r="A6846">
        <f t="shared" si="214"/>
        <v>1997</v>
      </c>
      <c r="B6846" s="821">
        <v>35695</v>
      </c>
      <c r="C6846">
        <v>6.35</v>
      </c>
      <c r="D6846">
        <f t="shared" si="215"/>
        <v>1</v>
      </c>
    </row>
    <row r="6847" spans="1:4" x14ac:dyDescent="0.55000000000000004">
      <c r="A6847">
        <f t="shared" si="214"/>
        <v>1997</v>
      </c>
      <c r="B6847" s="821">
        <v>35692</v>
      </c>
      <c r="C6847">
        <v>6.38</v>
      </c>
      <c r="D6847">
        <f t="shared" si="215"/>
        <v>1</v>
      </c>
    </row>
    <row r="6848" spans="1:4" x14ac:dyDescent="0.55000000000000004">
      <c r="A6848">
        <f t="shared" si="214"/>
        <v>1997</v>
      </c>
      <c r="B6848" s="821">
        <v>35691</v>
      </c>
      <c r="C6848">
        <v>6.4</v>
      </c>
      <c r="D6848">
        <f t="shared" si="215"/>
        <v>1</v>
      </c>
    </row>
    <row r="6849" spans="1:4" x14ac:dyDescent="0.55000000000000004">
      <c r="A6849">
        <f t="shared" si="214"/>
        <v>1997</v>
      </c>
      <c r="B6849" s="821">
        <v>35690</v>
      </c>
      <c r="C6849">
        <v>6.39</v>
      </c>
      <c r="D6849">
        <f t="shared" si="215"/>
        <v>1</v>
      </c>
    </row>
    <row r="6850" spans="1:4" x14ac:dyDescent="0.55000000000000004">
      <c r="A6850">
        <f t="shared" si="214"/>
        <v>1997</v>
      </c>
      <c r="B6850" s="821">
        <v>35689</v>
      </c>
      <c r="C6850">
        <v>6.41</v>
      </c>
      <c r="D6850">
        <f t="shared" si="215"/>
        <v>1</v>
      </c>
    </row>
    <row r="6851" spans="1:4" x14ac:dyDescent="0.55000000000000004">
      <c r="A6851">
        <f t="shared" si="214"/>
        <v>1997</v>
      </c>
      <c r="B6851" s="821">
        <v>35688</v>
      </c>
      <c r="C6851">
        <v>6.58</v>
      </c>
      <c r="D6851">
        <f t="shared" si="215"/>
        <v>1</v>
      </c>
    </row>
    <row r="6852" spans="1:4" x14ac:dyDescent="0.55000000000000004">
      <c r="A6852">
        <f t="shared" ref="A6852:A6915" si="216">YEAR(B6852)</f>
        <v>1997</v>
      </c>
      <c r="B6852" s="821">
        <v>35685</v>
      </c>
      <c r="C6852">
        <v>6.59</v>
      </c>
      <c r="D6852">
        <f t="shared" ref="D6852:D6915" si="217">IF(C6852&gt;4,1,0)</f>
        <v>1</v>
      </c>
    </row>
    <row r="6853" spans="1:4" x14ac:dyDescent="0.55000000000000004">
      <c r="A6853">
        <f t="shared" si="216"/>
        <v>1997</v>
      </c>
      <c r="B6853" s="821">
        <v>35684</v>
      </c>
      <c r="C6853">
        <v>6.68</v>
      </c>
      <c r="D6853">
        <f t="shared" si="217"/>
        <v>1</v>
      </c>
    </row>
    <row r="6854" spans="1:4" x14ac:dyDescent="0.55000000000000004">
      <c r="A6854">
        <f t="shared" si="216"/>
        <v>1997</v>
      </c>
      <c r="B6854" s="821">
        <v>35683</v>
      </c>
      <c r="C6854">
        <v>6.66</v>
      </c>
      <c r="D6854">
        <f t="shared" si="217"/>
        <v>1</v>
      </c>
    </row>
    <row r="6855" spans="1:4" x14ac:dyDescent="0.55000000000000004">
      <c r="A6855">
        <f t="shared" si="216"/>
        <v>1997</v>
      </c>
      <c r="B6855" s="821">
        <v>35682</v>
      </c>
      <c r="C6855">
        <v>6.63</v>
      </c>
      <c r="D6855">
        <f t="shared" si="217"/>
        <v>1</v>
      </c>
    </row>
    <row r="6856" spans="1:4" x14ac:dyDescent="0.55000000000000004">
      <c r="A6856">
        <f t="shared" si="216"/>
        <v>1997</v>
      </c>
      <c r="B6856" s="821">
        <v>35681</v>
      </c>
      <c r="C6856">
        <v>6.62</v>
      </c>
      <c r="D6856">
        <f t="shared" si="217"/>
        <v>1</v>
      </c>
    </row>
    <row r="6857" spans="1:4" x14ac:dyDescent="0.55000000000000004">
      <c r="A6857">
        <f t="shared" si="216"/>
        <v>1997</v>
      </c>
      <c r="B6857" s="821">
        <v>35678</v>
      </c>
      <c r="C6857">
        <v>6.65</v>
      </c>
      <c r="D6857">
        <f t="shared" si="217"/>
        <v>1</v>
      </c>
    </row>
    <row r="6858" spans="1:4" x14ac:dyDescent="0.55000000000000004">
      <c r="A6858">
        <f t="shared" si="216"/>
        <v>1997</v>
      </c>
      <c r="B6858" s="821">
        <v>35677</v>
      </c>
      <c r="C6858">
        <v>6.61</v>
      </c>
      <c r="D6858">
        <f t="shared" si="217"/>
        <v>1</v>
      </c>
    </row>
    <row r="6859" spans="1:4" x14ac:dyDescent="0.55000000000000004">
      <c r="A6859">
        <f t="shared" si="216"/>
        <v>1997</v>
      </c>
      <c r="B6859" s="821">
        <v>35676</v>
      </c>
      <c r="C6859">
        <v>6.6</v>
      </c>
      <c r="D6859">
        <f t="shared" si="217"/>
        <v>1</v>
      </c>
    </row>
    <row r="6860" spans="1:4" x14ac:dyDescent="0.55000000000000004">
      <c r="A6860">
        <f t="shared" si="216"/>
        <v>1997</v>
      </c>
      <c r="B6860" s="821">
        <v>35675</v>
      </c>
      <c r="C6860">
        <v>6.58</v>
      </c>
      <c r="D6860">
        <f t="shared" si="217"/>
        <v>1</v>
      </c>
    </row>
    <row r="6861" spans="1:4" x14ac:dyDescent="0.55000000000000004">
      <c r="A6861">
        <f t="shared" si="216"/>
        <v>1997</v>
      </c>
      <c r="B6861" s="821">
        <v>35671</v>
      </c>
      <c r="C6861">
        <v>6.61</v>
      </c>
      <c r="D6861">
        <f t="shared" si="217"/>
        <v>1</v>
      </c>
    </row>
    <row r="6862" spans="1:4" x14ac:dyDescent="0.55000000000000004">
      <c r="A6862">
        <f t="shared" si="216"/>
        <v>1997</v>
      </c>
      <c r="B6862" s="821">
        <v>35670</v>
      </c>
      <c r="C6862">
        <v>6.57</v>
      </c>
      <c r="D6862">
        <f t="shared" si="217"/>
        <v>1</v>
      </c>
    </row>
    <row r="6863" spans="1:4" x14ac:dyDescent="0.55000000000000004">
      <c r="A6863">
        <f t="shared" si="216"/>
        <v>1997</v>
      </c>
      <c r="B6863" s="821">
        <v>35669</v>
      </c>
      <c r="C6863">
        <v>6.66</v>
      </c>
      <c r="D6863">
        <f t="shared" si="217"/>
        <v>1</v>
      </c>
    </row>
    <row r="6864" spans="1:4" x14ac:dyDescent="0.55000000000000004">
      <c r="A6864">
        <f t="shared" si="216"/>
        <v>1997</v>
      </c>
      <c r="B6864" s="821">
        <v>35668</v>
      </c>
      <c r="C6864">
        <v>6.66</v>
      </c>
      <c r="D6864">
        <f t="shared" si="217"/>
        <v>1</v>
      </c>
    </row>
    <row r="6865" spans="1:4" x14ac:dyDescent="0.55000000000000004">
      <c r="A6865">
        <f t="shared" si="216"/>
        <v>1997</v>
      </c>
      <c r="B6865" s="821">
        <v>35667</v>
      </c>
      <c r="C6865">
        <v>6.67</v>
      </c>
      <c r="D6865">
        <f t="shared" si="217"/>
        <v>1</v>
      </c>
    </row>
    <row r="6866" spans="1:4" x14ac:dyDescent="0.55000000000000004">
      <c r="A6866">
        <f t="shared" si="216"/>
        <v>1997</v>
      </c>
      <c r="B6866" s="821">
        <v>35664</v>
      </c>
      <c r="C6866">
        <v>6.67</v>
      </c>
      <c r="D6866">
        <f t="shared" si="217"/>
        <v>1</v>
      </c>
    </row>
    <row r="6867" spans="1:4" x14ac:dyDescent="0.55000000000000004">
      <c r="A6867">
        <f t="shared" si="216"/>
        <v>1997</v>
      </c>
      <c r="B6867" s="821">
        <v>35663</v>
      </c>
      <c r="C6867">
        <v>6.6</v>
      </c>
      <c r="D6867">
        <f t="shared" si="217"/>
        <v>1</v>
      </c>
    </row>
    <row r="6868" spans="1:4" x14ac:dyDescent="0.55000000000000004">
      <c r="A6868">
        <f t="shared" si="216"/>
        <v>1997</v>
      </c>
      <c r="B6868" s="821">
        <v>35662</v>
      </c>
      <c r="C6868">
        <v>6.54</v>
      </c>
      <c r="D6868">
        <f t="shared" si="217"/>
        <v>1</v>
      </c>
    </row>
    <row r="6869" spans="1:4" x14ac:dyDescent="0.55000000000000004">
      <c r="A6869">
        <f t="shared" si="216"/>
        <v>1997</v>
      </c>
      <c r="B6869" s="821">
        <v>35661</v>
      </c>
      <c r="C6869">
        <v>6.51</v>
      </c>
      <c r="D6869">
        <f t="shared" si="217"/>
        <v>1</v>
      </c>
    </row>
    <row r="6870" spans="1:4" x14ac:dyDescent="0.55000000000000004">
      <c r="A6870">
        <f t="shared" si="216"/>
        <v>1997</v>
      </c>
      <c r="B6870" s="821">
        <v>35660</v>
      </c>
      <c r="C6870">
        <v>6.53</v>
      </c>
      <c r="D6870">
        <f t="shared" si="217"/>
        <v>1</v>
      </c>
    </row>
    <row r="6871" spans="1:4" x14ac:dyDescent="0.55000000000000004">
      <c r="A6871">
        <f t="shared" si="216"/>
        <v>1997</v>
      </c>
      <c r="B6871" s="821">
        <v>35657</v>
      </c>
      <c r="C6871">
        <v>6.57</v>
      </c>
      <c r="D6871">
        <f t="shared" si="217"/>
        <v>1</v>
      </c>
    </row>
    <row r="6872" spans="1:4" x14ac:dyDescent="0.55000000000000004">
      <c r="A6872">
        <f t="shared" si="216"/>
        <v>1997</v>
      </c>
      <c r="B6872" s="821">
        <v>35656</v>
      </c>
      <c r="C6872">
        <v>6.56</v>
      </c>
      <c r="D6872">
        <f t="shared" si="217"/>
        <v>1</v>
      </c>
    </row>
    <row r="6873" spans="1:4" x14ac:dyDescent="0.55000000000000004">
      <c r="A6873">
        <f t="shared" si="216"/>
        <v>1997</v>
      </c>
      <c r="B6873" s="821">
        <v>35655</v>
      </c>
      <c r="C6873">
        <v>6.64</v>
      </c>
      <c r="D6873">
        <f t="shared" si="217"/>
        <v>1</v>
      </c>
    </row>
    <row r="6874" spans="1:4" x14ac:dyDescent="0.55000000000000004">
      <c r="A6874">
        <f t="shared" si="216"/>
        <v>1997</v>
      </c>
      <c r="B6874" s="821">
        <v>35654</v>
      </c>
      <c r="C6874">
        <v>6.66</v>
      </c>
      <c r="D6874">
        <f t="shared" si="217"/>
        <v>1</v>
      </c>
    </row>
    <row r="6875" spans="1:4" x14ac:dyDescent="0.55000000000000004">
      <c r="A6875">
        <f t="shared" si="216"/>
        <v>1997</v>
      </c>
      <c r="B6875" s="821">
        <v>35653</v>
      </c>
      <c r="C6875">
        <v>6.64</v>
      </c>
      <c r="D6875">
        <f t="shared" si="217"/>
        <v>1</v>
      </c>
    </row>
    <row r="6876" spans="1:4" x14ac:dyDescent="0.55000000000000004">
      <c r="A6876">
        <f t="shared" si="216"/>
        <v>1997</v>
      </c>
      <c r="B6876" s="821">
        <v>35650</v>
      </c>
      <c r="C6876">
        <v>6.64</v>
      </c>
      <c r="D6876">
        <f t="shared" si="217"/>
        <v>1</v>
      </c>
    </row>
    <row r="6877" spans="1:4" x14ac:dyDescent="0.55000000000000004">
      <c r="A6877">
        <f t="shared" si="216"/>
        <v>1997</v>
      </c>
      <c r="B6877" s="821">
        <v>35649</v>
      </c>
      <c r="C6877">
        <v>6.51</v>
      </c>
      <c r="D6877">
        <f t="shared" si="217"/>
        <v>1</v>
      </c>
    </row>
    <row r="6878" spans="1:4" x14ac:dyDescent="0.55000000000000004">
      <c r="A6878">
        <f t="shared" si="216"/>
        <v>1997</v>
      </c>
      <c r="B6878" s="821">
        <v>35648</v>
      </c>
      <c r="C6878">
        <v>6.48</v>
      </c>
      <c r="D6878">
        <f t="shared" si="217"/>
        <v>1</v>
      </c>
    </row>
    <row r="6879" spans="1:4" x14ac:dyDescent="0.55000000000000004">
      <c r="A6879">
        <f t="shared" si="216"/>
        <v>1997</v>
      </c>
      <c r="B6879" s="821">
        <v>35647</v>
      </c>
      <c r="C6879">
        <v>6.49</v>
      </c>
      <c r="D6879">
        <f t="shared" si="217"/>
        <v>1</v>
      </c>
    </row>
    <row r="6880" spans="1:4" x14ac:dyDescent="0.55000000000000004">
      <c r="A6880">
        <f t="shared" si="216"/>
        <v>1997</v>
      </c>
      <c r="B6880" s="821">
        <v>35646</v>
      </c>
      <c r="C6880">
        <v>6.48</v>
      </c>
      <c r="D6880">
        <f t="shared" si="217"/>
        <v>1</v>
      </c>
    </row>
    <row r="6881" spans="1:4" x14ac:dyDescent="0.55000000000000004">
      <c r="A6881">
        <f t="shared" si="216"/>
        <v>1997</v>
      </c>
      <c r="B6881" s="821">
        <v>35643</v>
      </c>
      <c r="C6881">
        <v>6.46</v>
      </c>
      <c r="D6881">
        <f t="shared" si="217"/>
        <v>1</v>
      </c>
    </row>
    <row r="6882" spans="1:4" x14ac:dyDescent="0.55000000000000004">
      <c r="A6882">
        <f t="shared" si="216"/>
        <v>1997</v>
      </c>
      <c r="B6882" s="821">
        <v>35642</v>
      </c>
      <c r="C6882">
        <v>6.3</v>
      </c>
      <c r="D6882">
        <f t="shared" si="217"/>
        <v>1</v>
      </c>
    </row>
    <row r="6883" spans="1:4" x14ac:dyDescent="0.55000000000000004">
      <c r="A6883">
        <f t="shared" si="216"/>
        <v>1997</v>
      </c>
      <c r="B6883" s="821">
        <v>35641</v>
      </c>
      <c r="C6883">
        <v>6.33</v>
      </c>
      <c r="D6883">
        <f t="shared" si="217"/>
        <v>1</v>
      </c>
    </row>
    <row r="6884" spans="1:4" x14ac:dyDescent="0.55000000000000004">
      <c r="A6884">
        <f t="shared" si="216"/>
        <v>1997</v>
      </c>
      <c r="B6884" s="821">
        <v>35640</v>
      </c>
      <c r="C6884">
        <v>6.38</v>
      </c>
      <c r="D6884">
        <f t="shared" si="217"/>
        <v>1</v>
      </c>
    </row>
    <row r="6885" spans="1:4" x14ac:dyDescent="0.55000000000000004">
      <c r="A6885">
        <f t="shared" si="216"/>
        <v>1997</v>
      </c>
      <c r="B6885" s="821">
        <v>35639</v>
      </c>
      <c r="C6885">
        <v>6.43</v>
      </c>
      <c r="D6885">
        <f t="shared" si="217"/>
        <v>1</v>
      </c>
    </row>
    <row r="6886" spans="1:4" x14ac:dyDescent="0.55000000000000004">
      <c r="A6886">
        <f t="shared" si="216"/>
        <v>1997</v>
      </c>
      <c r="B6886" s="821">
        <v>35636</v>
      </c>
      <c r="C6886">
        <v>6.45</v>
      </c>
      <c r="D6886">
        <f t="shared" si="217"/>
        <v>1</v>
      </c>
    </row>
    <row r="6887" spans="1:4" x14ac:dyDescent="0.55000000000000004">
      <c r="A6887">
        <f t="shared" si="216"/>
        <v>1997</v>
      </c>
      <c r="B6887" s="821">
        <v>35635</v>
      </c>
      <c r="C6887">
        <v>6.43</v>
      </c>
      <c r="D6887">
        <f t="shared" si="217"/>
        <v>1</v>
      </c>
    </row>
    <row r="6888" spans="1:4" x14ac:dyDescent="0.55000000000000004">
      <c r="A6888">
        <f t="shared" si="216"/>
        <v>1997</v>
      </c>
      <c r="B6888" s="821">
        <v>35634</v>
      </c>
      <c r="C6888">
        <v>6.42</v>
      </c>
      <c r="D6888">
        <f t="shared" si="217"/>
        <v>1</v>
      </c>
    </row>
    <row r="6889" spans="1:4" x14ac:dyDescent="0.55000000000000004">
      <c r="A6889">
        <f t="shared" si="216"/>
        <v>1997</v>
      </c>
      <c r="B6889" s="821">
        <v>35633</v>
      </c>
      <c r="C6889">
        <v>6.43</v>
      </c>
      <c r="D6889">
        <f t="shared" si="217"/>
        <v>1</v>
      </c>
    </row>
    <row r="6890" spans="1:4" x14ac:dyDescent="0.55000000000000004">
      <c r="A6890">
        <f t="shared" si="216"/>
        <v>1997</v>
      </c>
      <c r="B6890" s="821">
        <v>35632</v>
      </c>
      <c r="C6890">
        <v>6.55</v>
      </c>
      <c r="D6890">
        <f t="shared" si="217"/>
        <v>1</v>
      </c>
    </row>
    <row r="6891" spans="1:4" x14ac:dyDescent="0.55000000000000004">
      <c r="A6891">
        <f t="shared" si="216"/>
        <v>1997</v>
      </c>
      <c r="B6891" s="821">
        <v>35629</v>
      </c>
      <c r="C6891">
        <v>6.52</v>
      </c>
      <c r="D6891">
        <f t="shared" si="217"/>
        <v>1</v>
      </c>
    </row>
    <row r="6892" spans="1:4" x14ac:dyDescent="0.55000000000000004">
      <c r="A6892">
        <f t="shared" si="216"/>
        <v>1997</v>
      </c>
      <c r="B6892" s="821">
        <v>35628</v>
      </c>
      <c r="C6892">
        <v>6.49</v>
      </c>
      <c r="D6892">
        <f t="shared" si="217"/>
        <v>1</v>
      </c>
    </row>
    <row r="6893" spans="1:4" x14ac:dyDescent="0.55000000000000004">
      <c r="A6893">
        <f t="shared" si="216"/>
        <v>1997</v>
      </c>
      <c r="B6893" s="821">
        <v>35627</v>
      </c>
      <c r="C6893">
        <v>6.48</v>
      </c>
      <c r="D6893">
        <f t="shared" si="217"/>
        <v>1</v>
      </c>
    </row>
    <row r="6894" spans="1:4" x14ac:dyDescent="0.55000000000000004">
      <c r="A6894">
        <f t="shared" si="216"/>
        <v>1997</v>
      </c>
      <c r="B6894" s="821">
        <v>35626</v>
      </c>
      <c r="C6894">
        <v>6.55</v>
      </c>
      <c r="D6894">
        <f t="shared" si="217"/>
        <v>1</v>
      </c>
    </row>
    <row r="6895" spans="1:4" x14ac:dyDescent="0.55000000000000004">
      <c r="A6895">
        <f t="shared" si="216"/>
        <v>1997</v>
      </c>
      <c r="B6895" s="821">
        <v>35625</v>
      </c>
      <c r="C6895">
        <v>6.55</v>
      </c>
      <c r="D6895">
        <f t="shared" si="217"/>
        <v>1</v>
      </c>
    </row>
    <row r="6896" spans="1:4" x14ac:dyDescent="0.55000000000000004">
      <c r="A6896">
        <f t="shared" si="216"/>
        <v>1997</v>
      </c>
      <c r="B6896" s="821">
        <v>35622</v>
      </c>
      <c r="C6896">
        <v>6.53</v>
      </c>
      <c r="D6896">
        <f t="shared" si="217"/>
        <v>1</v>
      </c>
    </row>
    <row r="6897" spans="1:4" x14ac:dyDescent="0.55000000000000004">
      <c r="A6897">
        <f t="shared" si="216"/>
        <v>1997</v>
      </c>
      <c r="B6897" s="821">
        <v>35621</v>
      </c>
      <c r="C6897">
        <v>6.56</v>
      </c>
      <c r="D6897">
        <f t="shared" si="217"/>
        <v>1</v>
      </c>
    </row>
    <row r="6898" spans="1:4" x14ac:dyDescent="0.55000000000000004">
      <c r="A6898">
        <f t="shared" si="216"/>
        <v>1997</v>
      </c>
      <c r="B6898" s="821">
        <v>35620</v>
      </c>
      <c r="C6898">
        <v>6.56</v>
      </c>
      <c r="D6898">
        <f t="shared" si="217"/>
        <v>1</v>
      </c>
    </row>
    <row r="6899" spans="1:4" x14ac:dyDescent="0.55000000000000004">
      <c r="A6899">
        <f t="shared" si="216"/>
        <v>1997</v>
      </c>
      <c r="B6899" s="821">
        <v>35619</v>
      </c>
      <c r="C6899">
        <v>6.59</v>
      </c>
      <c r="D6899">
        <f t="shared" si="217"/>
        <v>1</v>
      </c>
    </row>
    <row r="6900" spans="1:4" x14ac:dyDescent="0.55000000000000004">
      <c r="A6900">
        <f t="shared" si="216"/>
        <v>1997</v>
      </c>
      <c r="B6900" s="821">
        <v>35618</v>
      </c>
      <c r="C6900">
        <v>6.58</v>
      </c>
      <c r="D6900">
        <f t="shared" si="217"/>
        <v>1</v>
      </c>
    </row>
    <row r="6901" spans="1:4" x14ac:dyDescent="0.55000000000000004">
      <c r="A6901">
        <f t="shared" si="216"/>
        <v>1997</v>
      </c>
      <c r="B6901" s="821">
        <v>35614</v>
      </c>
      <c r="C6901">
        <v>6.63</v>
      </c>
      <c r="D6901">
        <f t="shared" si="217"/>
        <v>1</v>
      </c>
    </row>
    <row r="6902" spans="1:4" x14ac:dyDescent="0.55000000000000004">
      <c r="A6902">
        <f t="shared" si="216"/>
        <v>1997</v>
      </c>
      <c r="B6902" s="821">
        <v>35613</v>
      </c>
      <c r="C6902">
        <v>6.72</v>
      </c>
      <c r="D6902">
        <f t="shared" si="217"/>
        <v>1</v>
      </c>
    </row>
    <row r="6903" spans="1:4" x14ac:dyDescent="0.55000000000000004">
      <c r="A6903">
        <f t="shared" si="216"/>
        <v>1997</v>
      </c>
      <c r="B6903" s="821">
        <v>35612</v>
      </c>
      <c r="C6903">
        <v>6.74</v>
      </c>
      <c r="D6903">
        <f t="shared" si="217"/>
        <v>1</v>
      </c>
    </row>
    <row r="6904" spans="1:4" x14ac:dyDescent="0.55000000000000004">
      <c r="A6904">
        <f t="shared" si="216"/>
        <v>1997</v>
      </c>
      <c r="B6904" s="821">
        <v>35611</v>
      </c>
      <c r="C6904">
        <v>6.8</v>
      </c>
      <c r="D6904">
        <f t="shared" si="217"/>
        <v>1</v>
      </c>
    </row>
    <row r="6905" spans="1:4" x14ac:dyDescent="0.55000000000000004">
      <c r="A6905">
        <f t="shared" si="216"/>
        <v>1997</v>
      </c>
      <c r="B6905" s="821">
        <v>35608</v>
      </c>
      <c r="C6905">
        <v>6.75</v>
      </c>
      <c r="D6905">
        <f t="shared" si="217"/>
        <v>1</v>
      </c>
    </row>
    <row r="6906" spans="1:4" x14ac:dyDescent="0.55000000000000004">
      <c r="A6906">
        <f t="shared" si="216"/>
        <v>1997</v>
      </c>
      <c r="B6906" s="821">
        <v>35607</v>
      </c>
      <c r="C6906">
        <v>6.78</v>
      </c>
      <c r="D6906">
        <f t="shared" si="217"/>
        <v>1</v>
      </c>
    </row>
    <row r="6907" spans="1:4" x14ac:dyDescent="0.55000000000000004">
      <c r="A6907">
        <f t="shared" si="216"/>
        <v>1997</v>
      </c>
      <c r="B6907" s="821">
        <v>35606</v>
      </c>
      <c r="C6907">
        <v>6.74</v>
      </c>
      <c r="D6907">
        <f t="shared" si="217"/>
        <v>1</v>
      </c>
    </row>
    <row r="6908" spans="1:4" x14ac:dyDescent="0.55000000000000004">
      <c r="A6908">
        <f t="shared" si="216"/>
        <v>1997</v>
      </c>
      <c r="B6908" s="821">
        <v>35605</v>
      </c>
      <c r="C6908">
        <v>6.7</v>
      </c>
      <c r="D6908">
        <f t="shared" si="217"/>
        <v>1</v>
      </c>
    </row>
    <row r="6909" spans="1:4" x14ac:dyDescent="0.55000000000000004">
      <c r="A6909">
        <f t="shared" si="216"/>
        <v>1997</v>
      </c>
      <c r="B6909" s="821">
        <v>35604</v>
      </c>
      <c r="C6909">
        <v>6.69</v>
      </c>
      <c r="D6909">
        <f t="shared" si="217"/>
        <v>1</v>
      </c>
    </row>
    <row r="6910" spans="1:4" x14ac:dyDescent="0.55000000000000004">
      <c r="A6910">
        <f t="shared" si="216"/>
        <v>1997</v>
      </c>
      <c r="B6910" s="821">
        <v>35601</v>
      </c>
      <c r="C6910">
        <v>6.65</v>
      </c>
      <c r="D6910">
        <f t="shared" si="217"/>
        <v>1</v>
      </c>
    </row>
    <row r="6911" spans="1:4" x14ac:dyDescent="0.55000000000000004">
      <c r="A6911">
        <f t="shared" si="216"/>
        <v>1997</v>
      </c>
      <c r="B6911" s="821">
        <v>35600</v>
      </c>
      <c r="C6911">
        <v>6.68</v>
      </c>
      <c r="D6911">
        <f t="shared" si="217"/>
        <v>1</v>
      </c>
    </row>
    <row r="6912" spans="1:4" x14ac:dyDescent="0.55000000000000004">
      <c r="A6912">
        <f t="shared" si="216"/>
        <v>1997</v>
      </c>
      <c r="B6912" s="821">
        <v>35599</v>
      </c>
      <c r="C6912">
        <v>6.69</v>
      </c>
      <c r="D6912">
        <f t="shared" si="217"/>
        <v>1</v>
      </c>
    </row>
    <row r="6913" spans="1:4" x14ac:dyDescent="0.55000000000000004">
      <c r="A6913">
        <f t="shared" si="216"/>
        <v>1997</v>
      </c>
      <c r="B6913" s="821">
        <v>35598</v>
      </c>
      <c r="C6913">
        <v>6.72</v>
      </c>
      <c r="D6913">
        <f t="shared" si="217"/>
        <v>1</v>
      </c>
    </row>
    <row r="6914" spans="1:4" x14ac:dyDescent="0.55000000000000004">
      <c r="A6914">
        <f t="shared" si="216"/>
        <v>1997</v>
      </c>
      <c r="B6914" s="821">
        <v>35597</v>
      </c>
      <c r="C6914">
        <v>6.7</v>
      </c>
      <c r="D6914">
        <f t="shared" si="217"/>
        <v>1</v>
      </c>
    </row>
    <row r="6915" spans="1:4" x14ac:dyDescent="0.55000000000000004">
      <c r="A6915">
        <f t="shared" si="216"/>
        <v>1997</v>
      </c>
      <c r="B6915" s="821">
        <v>35594</v>
      </c>
      <c r="C6915">
        <v>6.73</v>
      </c>
      <c r="D6915">
        <f t="shared" si="217"/>
        <v>1</v>
      </c>
    </row>
    <row r="6916" spans="1:4" x14ac:dyDescent="0.55000000000000004">
      <c r="A6916">
        <f t="shared" ref="A6916:A6979" si="218">YEAR(B6916)</f>
        <v>1997</v>
      </c>
      <c r="B6916" s="821">
        <v>35593</v>
      </c>
      <c r="C6916">
        <v>6.77</v>
      </c>
      <c r="D6916">
        <f t="shared" ref="D6916:D6979" si="219">IF(C6916&gt;4,1,0)</f>
        <v>1</v>
      </c>
    </row>
    <row r="6917" spans="1:4" x14ac:dyDescent="0.55000000000000004">
      <c r="A6917">
        <f t="shared" si="218"/>
        <v>1997</v>
      </c>
      <c r="B6917" s="821">
        <v>35592</v>
      </c>
      <c r="C6917">
        <v>6.83</v>
      </c>
      <c r="D6917">
        <f t="shared" si="219"/>
        <v>1</v>
      </c>
    </row>
    <row r="6918" spans="1:4" x14ac:dyDescent="0.55000000000000004">
      <c r="A6918">
        <f t="shared" si="218"/>
        <v>1997</v>
      </c>
      <c r="B6918" s="821">
        <v>35591</v>
      </c>
      <c r="C6918">
        <v>6.84</v>
      </c>
      <c r="D6918">
        <f t="shared" si="219"/>
        <v>1</v>
      </c>
    </row>
    <row r="6919" spans="1:4" x14ac:dyDescent="0.55000000000000004">
      <c r="A6919">
        <f t="shared" si="218"/>
        <v>1997</v>
      </c>
      <c r="B6919" s="821">
        <v>35590</v>
      </c>
      <c r="C6919">
        <v>6.83</v>
      </c>
      <c r="D6919">
        <f t="shared" si="219"/>
        <v>1</v>
      </c>
    </row>
    <row r="6920" spans="1:4" x14ac:dyDescent="0.55000000000000004">
      <c r="A6920">
        <f t="shared" si="218"/>
        <v>1997</v>
      </c>
      <c r="B6920" s="821">
        <v>35587</v>
      </c>
      <c r="C6920">
        <v>6.78</v>
      </c>
      <c r="D6920">
        <f t="shared" si="219"/>
        <v>1</v>
      </c>
    </row>
    <row r="6921" spans="1:4" x14ac:dyDescent="0.55000000000000004">
      <c r="A6921">
        <f t="shared" si="218"/>
        <v>1997</v>
      </c>
      <c r="B6921" s="821">
        <v>35586</v>
      </c>
      <c r="C6921">
        <v>6.88</v>
      </c>
      <c r="D6921">
        <f t="shared" si="219"/>
        <v>1</v>
      </c>
    </row>
    <row r="6922" spans="1:4" x14ac:dyDescent="0.55000000000000004">
      <c r="A6922">
        <f t="shared" si="218"/>
        <v>1997</v>
      </c>
      <c r="B6922" s="821">
        <v>35585</v>
      </c>
      <c r="C6922">
        <v>6.88</v>
      </c>
      <c r="D6922">
        <f t="shared" si="219"/>
        <v>1</v>
      </c>
    </row>
    <row r="6923" spans="1:4" x14ac:dyDescent="0.55000000000000004">
      <c r="A6923">
        <f t="shared" si="218"/>
        <v>1997</v>
      </c>
      <c r="B6923" s="821">
        <v>35584</v>
      </c>
      <c r="C6923">
        <v>6.88</v>
      </c>
      <c r="D6923">
        <f t="shared" si="219"/>
        <v>1</v>
      </c>
    </row>
    <row r="6924" spans="1:4" x14ac:dyDescent="0.55000000000000004">
      <c r="A6924">
        <f t="shared" si="218"/>
        <v>1997</v>
      </c>
      <c r="B6924" s="821">
        <v>35583</v>
      </c>
      <c r="C6924">
        <v>6.9</v>
      </c>
      <c r="D6924">
        <f t="shared" si="219"/>
        <v>1</v>
      </c>
    </row>
    <row r="6925" spans="1:4" x14ac:dyDescent="0.55000000000000004">
      <c r="A6925">
        <f t="shared" si="218"/>
        <v>1997</v>
      </c>
      <c r="B6925" s="821">
        <v>35580</v>
      </c>
      <c r="C6925">
        <v>6.92</v>
      </c>
      <c r="D6925">
        <f t="shared" si="219"/>
        <v>1</v>
      </c>
    </row>
    <row r="6926" spans="1:4" x14ac:dyDescent="0.55000000000000004">
      <c r="A6926">
        <f t="shared" si="218"/>
        <v>1997</v>
      </c>
      <c r="B6926" s="821">
        <v>35579</v>
      </c>
      <c r="C6926">
        <v>6.99</v>
      </c>
      <c r="D6926">
        <f t="shared" si="219"/>
        <v>1</v>
      </c>
    </row>
    <row r="6927" spans="1:4" x14ac:dyDescent="0.55000000000000004">
      <c r="A6927">
        <f t="shared" si="218"/>
        <v>1997</v>
      </c>
      <c r="B6927" s="821">
        <v>35578</v>
      </c>
      <c r="C6927">
        <v>7.03</v>
      </c>
      <c r="D6927">
        <f t="shared" si="219"/>
        <v>1</v>
      </c>
    </row>
    <row r="6928" spans="1:4" x14ac:dyDescent="0.55000000000000004">
      <c r="A6928">
        <f t="shared" si="218"/>
        <v>1997</v>
      </c>
      <c r="B6928" s="821">
        <v>35577</v>
      </c>
      <c r="C6928">
        <v>7.03</v>
      </c>
      <c r="D6928">
        <f t="shared" si="219"/>
        <v>1</v>
      </c>
    </row>
    <row r="6929" spans="1:4" x14ac:dyDescent="0.55000000000000004">
      <c r="A6929">
        <f t="shared" si="218"/>
        <v>1997</v>
      </c>
      <c r="B6929" s="821">
        <v>35573</v>
      </c>
      <c r="C6929">
        <v>6.99</v>
      </c>
      <c r="D6929">
        <f t="shared" si="219"/>
        <v>1</v>
      </c>
    </row>
    <row r="6930" spans="1:4" x14ac:dyDescent="0.55000000000000004">
      <c r="A6930">
        <f t="shared" si="218"/>
        <v>1997</v>
      </c>
      <c r="B6930" s="821">
        <v>35572</v>
      </c>
      <c r="C6930">
        <v>7</v>
      </c>
      <c r="D6930">
        <f t="shared" si="219"/>
        <v>1</v>
      </c>
    </row>
    <row r="6931" spans="1:4" x14ac:dyDescent="0.55000000000000004">
      <c r="A6931">
        <f t="shared" si="218"/>
        <v>1997</v>
      </c>
      <c r="B6931" s="821">
        <v>35571</v>
      </c>
      <c r="C6931">
        <v>6.97</v>
      </c>
      <c r="D6931">
        <f t="shared" si="219"/>
        <v>1</v>
      </c>
    </row>
    <row r="6932" spans="1:4" x14ac:dyDescent="0.55000000000000004">
      <c r="A6932">
        <f t="shared" si="218"/>
        <v>1997</v>
      </c>
      <c r="B6932" s="821">
        <v>35570</v>
      </c>
      <c r="C6932">
        <v>6.92</v>
      </c>
      <c r="D6932">
        <f t="shared" si="219"/>
        <v>1</v>
      </c>
    </row>
    <row r="6933" spans="1:4" x14ac:dyDescent="0.55000000000000004">
      <c r="A6933">
        <f t="shared" si="218"/>
        <v>1997</v>
      </c>
      <c r="B6933" s="821">
        <v>35569</v>
      </c>
      <c r="C6933">
        <v>6.92</v>
      </c>
      <c r="D6933">
        <f t="shared" si="219"/>
        <v>1</v>
      </c>
    </row>
    <row r="6934" spans="1:4" x14ac:dyDescent="0.55000000000000004">
      <c r="A6934">
        <f t="shared" si="218"/>
        <v>1997</v>
      </c>
      <c r="B6934" s="821">
        <v>35566</v>
      </c>
      <c r="C6934">
        <v>6.91</v>
      </c>
      <c r="D6934">
        <f t="shared" si="219"/>
        <v>1</v>
      </c>
    </row>
    <row r="6935" spans="1:4" x14ac:dyDescent="0.55000000000000004">
      <c r="A6935">
        <f t="shared" si="218"/>
        <v>1997</v>
      </c>
      <c r="B6935" s="821">
        <v>35565</v>
      </c>
      <c r="C6935">
        <v>6.88</v>
      </c>
      <c r="D6935">
        <f t="shared" si="219"/>
        <v>1</v>
      </c>
    </row>
    <row r="6936" spans="1:4" x14ac:dyDescent="0.55000000000000004">
      <c r="A6936">
        <f t="shared" si="218"/>
        <v>1997</v>
      </c>
      <c r="B6936" s="821">
        <v>35564</v>
      </c>
      <c r="C6936">
        <v>6.9</v>
      </c>
      <c r="D6936">
        <f t="shared" si="219"/>
        <v>1</v>
      </c>
    </row>
    <row r="6937" spans="1:4" x14ac:dyDescent="0.55000000000000004">
      <c r="A6937">
        <f t="shared" si="218"/>
        <v>1997</v>
      </c>
      <c r="B6937" s="821">
        <v>35563</v>
      </c>
      <c r="C6937">
        <v>6.92</v>
      </c>
      <c r="D6937">
        <f t="shared" si="219"/>
        <v>1</v>
      </c>
    </row>
    <row r="6938" spans="1:4" x14ac:dyDescent="0.55000000000000004">
      <c r="A6938">
        <f t="shared" si="218"/>
        <v>1997</v>
      </c>
      <c r="B6938" s="821">
        <v>35562</v>
      </c>
      <c r="C6938">
        <v>6.88</v>
      </c>
      <c r="D6938">
        <f t="shared" si="219"/>
        <v>1</v>
      </c>
    </row>
    <row r="6939" spans="1:4" x14ac:dyDescent="0.55000000000000004">
      <c r="A6939">
        <f t="shared" si="218"/>
        <v>1997</v>
      </c>
      <c r="B6939" s="821">
        <v>35559</v>
      </c>
      <c r="C6939">
        <v>6.89</v>
      </c>
      <c r="D6939">
        <f t="shared" si="219"/>
        <v>1</v>
      </c>
    </row>
    <row r="6940" spans="1:4" x14ac:dyDescent="0.55000000000000004">
      <c r="A6940">
        <f t="shared" si="218"/>
        <v>1997</v>
      </c>
      <c r="B6940" s="821">
        <v>35558</v>
      </c>
      <c r="C6940">
        <v>6.92</v>
      </c>
      <c r="D6940">
        <f t="shared" si="219"/>
        <v>1</v>
      </c>
    </row>
    <row r="6941" spans="1:4" x14ac:dyDescent="0.55000000000000004">
      <c r="A6941">
        <f t="shared" si="218"/>
        <v>1997</v>
      </c>
      <c r="B6941" s="821">
        <v>35557</v>
      </c>
      <c r="C6941">
        <v>6.96</v>
      </c>
      <c r="D6941">
        <f t="shared" si="219"/>
        <v>1</v>
      </c>
    </row>
    <row r="6942" spans="1:4" x14ac:dyDescent="0.55000000000000004">
      <c r="A6942">
        <f t="shared" si="218"/>
        <v>1997</v>
      </c>
      <c r="B6942" s="821">
        <v>35556</v>
      </c>
      <c r="C6942">
        <v>6.89</v>
      </c>
      <c r="D6942">
        <f t="shared" si="219"/>
        <v>1</v>
      </c>
    </row>
    <row r="6943" spans="1:4" x14ac:dyDescent="0.55000000000000004">
      <c r="A6943">
        <f t="shared" si="218"/>
        <v>1997</v>
      </c>
      <c r="B6943" s="821">
        <v>35555</v>
      </c>
      <c r="C6943">
        <v>6.9</v>
      </c>
      <c r="D6943">
        <f t="shared" si="219"/>
        <v>1</v>
      </c>
    </row>
    <row r="6944" spans="1:4" x14ac:dyDescent="0.55000000000000004">
      <c r="A6944">
        <f t="shared" si="218"/>
        <v>1997</v>
      </c>
      <c r="B6944" s="821">
        <v>35552</v>
      </c>
      <c r="C6944">
        <v>6.9</v>
      </c>
      <c r="D6944">
        <f t="shared" si="219"/>
        <v>1</v>
      </c>
    </row>
    <row r="6945" spans="1:4" x14ac:dyDescent="0.55000000000000004">
      <c r="A6945">
        <f t="shared" si="218"/>
        <v>1997</v>
      </c>
      <c r="B6945" s="821">
        <v>35551</v>
      </c>
      <c r="C6945">
        <v>6.93</v>
      </c>
      <c r="D6945">
        <f t="shared" si="219"/>
        <v>1</v>
      </c>
    </row>
    <row r="6946" spans="1:4" x14ac:dyDescent="0.55000000000000004">
      <c r="A6946">
        <f t="shared" si="218"/>
        <v>1997</v>
      </c>
      <c r="B6946" s="821">
        <v>35550</v>
      </c>
      <c r="C6946">
        <v>6.95</v>
      </c>
      <c r="D6946">
        <f t="shared" si="219"/>
        <v>1</v>
      </c>
    </row>
    <row r="6947" spans="1:4" x14ac:dyDescent="0.55000000000000004">
      <c r="A6947">
        <f t="shared" si="218"/>
        <v>1997</v>
      </c>
      <c r="B6947" s="821">
        <v>35549</v>
      </c>
      <c r="C6947">
        <v>6.99</v>
      </c>
      <c r="D6947">
        <f t="shared" si="219"/>
        <v>1</v>
      </c>
    </row>
    <row r="6948" spans="1:4" x14ac:dyDescent="0.55000000000000004">
      <c r="A6948">
        <f t="shared" si="218"/>
        <v>1997</v>
      </c>
      <c r="B6948" s="821">
        <v>35548</v>
      </c>
      <c r="C6948">
        <v>7.12</v>
      </c>
      <c r="D6948">
        <f t="shared" si="219"/>
        <v>1</v>
      </c>
    </row>
    <row r="6949" spans="1:4" x14ac:dyDescent="0.55000000000000004">
      <c r="A6949">
        <f t="shared" si="218"/>
        <v>1997</v>
      </c>
      <c r="B6949" s="821">
        <v>35545</v>
      </c>
      <c r="C6949">
        <v>7.14</v>
      </c>
      <c r="D6949">
        <f t="shared" si="219"/>
        <v>1</v>
      </c>
    </row>
    <row r="6950" spans="1:4" x14ac:dyDescent="0.55000000000000004">
      <c r="A6950">
        <f t="shared" si="218"/>
        <v>1997</v>
      </c>
      <c r="B6950" s="821">
        <v>35544</v>
      </c>
      <c r="C6950">
        <v>7.13</v>
      </c>
      <c r="D6950">
        <f t="shared" si="219"/>
        <v>1</v>
      </c>
    </row>
    <row r="6951" spans="1:4" x14ac:dyDescent="0.55000000000000004">
      <c r="A6951">
        <f t="shared" si="218"/>
        <v>1997</v>
      </c>
      <c r="B6951" s="821">
        <v>35543</v>
      </c>
      <c r="C6951">
        <v>7.09</v>
      </c>
      <c r="D6951">
        <f t="shared" si="219"/>
        <v>1</v>
      </c>
    </row>
    <row r="6952" spans="1:4" x14ac:dyDescent="0.55000000000000004">
      <c r="A6952">
        <f t="shared" si="218"/>
        <v>1997</v>
      </c>
      <c r="B6952" s="821">
        <v>35542</v>
      </c>
      <c r="C6952">
        <v>7.05</v>
      </c>
      <c r="D6952">
        <f t="shared" si="219"/>
        <v>1</v>
      </c>
    </row>
    <row r="6953" spans="1:4" x14ac:dyDescent="0.55000000000000004">
      <c r="A6953">
        <f t="shared" si="218"/>
        <v>1997</v>
      </c>
      <c r="B6953" s="821">
        <v>35541</v>
      </c>
      <c r="C6953">
        <v>7.09</v>
      </c>
      <c r="D6953">
        <f t="shared" si="219"/>
        <v>1</v>
      </c>
    </row>
    <row r="6954" spans="1:4" x14ac:dyDescent="0.55000000000000004">
      <c r="A6954">
        <f t="shared" si="218"/>
        <v>1997</v>
      </c>
      <c r="B6954" s="821">
        <v>35538</v>
      </c>
      <c r="C6954">
        <v>7.06</v>
      </c>
      <c r="D6954">
        <f t="shared" si="219"/>
        <v>1</v>
      </c>
    </row>
    <row r="6955" spans="1:4" x14ac:dyDescent="0.55000000000000004">
      <c r="A6955">
        <f t="shared" si="218"/>
        <v>1997</v>
      </c>
      <c r="B6955" s="821">
        <v>35537</v>
      </c>
      <c r="C6955">
        <v>7.07</v>
      </c>
      <c r="D6955">
        <f t="shared" si="219"/>
        <v>1</v>
      </c>
    </row>
    <row r="6956" spans="1:4" x14ac:dyDescent="0.55000000000000004">
      <c r="A6956">
        <f t="shared" si="218"/>
        <v>1997</v>
      </c>
      <c r="B6956" s="821">
        <v>35536</v>
      </c>
      <c r="C6956">
        <v>7.11</v>
      </c>
      <c r="D6956">
        <f t="shared" si="219"/>
        <v>1</v>
      </c>
    </row>
    <row r="6957" spans="1:4" x14ac:dyDescent="0.55000000000000004">
      <c r="A6957">
        <f t="shared" si="218"/>
        <v>1997</v>
      </c>
      <c r="B6957" s="821">
        <v>35535</v>
      </c>
      <c r="C6957">
        <v>7.1</v>
      </c>
      <c r="D6957">
        <f t="shared" si="219"/>
        <v>1</v>
      </c>
    </row>
    <row r="6958" spans="1:4" x14ac:dyDescent="0.55000000000000004">
      <c r="A6958">
        <f t="shared" si="218"/>
        <v>1997</v>
      </c>
      <c r="B6958" s="821">
        <v>35534</v>
      </c>
      <c r="C6958">
        <v>7.17</v>
      </c>
      <c r="D6958">
        <f t="shared" si="219"/>
        <v>1</v>
      </c>
    </row>
    <row r="6959" spans="1:4" x14ac:dyDescent="0.55000000000000004">
      <c r="A6959">
        <f t="shared" si="218"/>
        <v>1997</v>
      </c>
      <c r="B6959" s="821">
        <v>35531</v>
      </c>
      <c r="C6959">
        <v>7.17</v>
      </c>
      <c r="D6959">
        <f t="shared" si="219"/>
        <v>1</v>
      </c>
    </row>
    <row r="6960" spans="1:4" x14ac:dyDescent="0.55000000000000004">
      <c r="A6960">
        <f t="shared" si="218"/>
        <v>1997</v>
      </c>
      <c r="B6960" s="821">
        <v>35530</v>
      </c>
      <c r="C6960">
        <v>7.11</v>
      </c>
      <c r="D6960">
        <f t="shared" si="219"/>
        <v>1</v>
      </c>
    </row>
    <row r="6961" spans="1:4" x14ac:dyDescent="0.55000000000000004">
      <c r="A6961">
        <f t="shared" si="218"/>
        <v>1997</v>
      </c>
      <c r="B6961" s="821">
        <v>35529</v>
      </c>
      <c r="C6961">
        <v>7.11</v>
      </c>
      <c r="D6961">
        <f t="shared" si="219"/>
        <v>1</v>
      </c>
    </row>
    <row r="6962" spans="1:4" x14ac:dyDescent="0.55000000000000004">
      <c r="A6962">
        <f t="shared" si="218"/>
        <v>1997</v>
      </c>
      <c r="B6962" s="821">
        <v>35528</v>
      </c>
      <c r="C6962">
        <v>7.11</v>
      </c>
      <c r="D6962">
        <f t="shared" si="219"/>
        <v>1</v>
      </c>
    </row>
    <row r="6963" spans="1:4" x14ac:dyDescent="0.55000000000000004">
      <c r="A6963">
        <f t="shared" si="218"/>
        <v>1997</v>
      </c>
      <c r="B6963" s="821">
        <v>35527</v>
      </c>
      <c r="C6963">
        <v>7.08</v>
      </c>
      <c r="D6963">
        <f t="shared" si="219"/>
        <v>1</v>
      </c>
    </row>
    <row r="6964" spans="1:4" x14ac:dyDescent="0.55000000000000004">
      <c r="A6964">
        <f t="shared" si="218"/>
        <v>1997</v>
      </c>
      <c r="B6964" s="821">
        <v>35524</v>
      </c>
      <c r="C6964">
        <v>7.14</v>
      </c>
      <c r="D6964">
        <f t="shared" si="219"/>
        <v>1</v>
      </c>
    </row>
    <row r="6965" spans="1:4" x14ac:dyDescent="0.55000000000000004">
      <c r="A6965">
        <f t="shared" si="218"/>
        <v>1997</v>
      </c>
      <c r="B6965" s="821">
        <v>35523</v>
      </c>
      <c r="C6965">
        <v>7.08</v>
      </c>
      <c r="D6965">
        <f t="shared" si="219"/>
        <v>1</v>
      </c>
    </row>
    <row r="6966" spans="1:4" x14ac:dyDescent="0.55000000000000004">
      <c r="A6966">
        <f t="shared" si="218"/>
        <v>1997</v>
      </c>
      <c r="B6966" s="821">
        <v>35522</v>
      </c>
      <c r="C6966">
        <v>7.08</v>
      </c>
      <c r="D6966">
        <f t="shared" si="219"/>
        <v>1</v>
      </c>
    </row>
    <row r="6967" spans="1:4" x14ac:dyDescent="0.55000000000000004">
      <c r="A6967">
        <f t="shared" si="218"/>
        <v>1997</v>
      </c>
      <c r="B6967" s="821">
        <v>35521</v>
      </c>
      <c r="C6967">
        <v>7.09</v>
      </c>
      <c r="D6967">
        <f t="shared" si="219"/>
        <v>1</v>
      </c>
    </row>
    <row r="6968" spans="1:4" x14ac:dyDescent="0.55000000000000004">
      <c r="A6968">
        <f t="shared" si="218"/>
        <v>1997</v>
      </c>
      <c r="B6968" s="821">
        <v>35520</v>
      </c>
      <c r="C6968">
        <v>7.1</v>
      </c>
      <c r="D6968">
        <f t="shared" si="219"/>
        <v>1</v>
      </c>
    </row>
    <row r="6969" spans="1:4" x14ac:dyDescent="0.55000000000000004">
      <c r="A6969">
        <f t="shared" si="218"/>
        <v>1997</v>
      </c>
      <c r="B6969" s="821">
        <v>35516</v>
      </c>
      <c r="C6969">
        <v>7.09</v>
      </c>
      <c r="D6969">
        <f t="shared" si="219"/>
        <v>1</v>
      </c>
    </row>
    <row r="6970" spans="1:4" x14ac:dyDescent="0.55000000000000004">
      <c r="A6970">
        <f t="shared" si="218"/>
        <v>1997</v>
      </c>
      <c r="B6970" s="821">
        <v>35515</v>
      </c>
      <c r="C6970">
        <v>7</v>
      </c>
      <c r="D6970">
        <f t="shared" si="219"/>
        <v>1</v>
      </c>
    </row>
    <row r="6971" spans="1:4" x14ac:dyDescent="0.55000000000000004">
      <c r="A6971">
        <f t="shared" si="218"/>
        <v>1997</v>
      </c>
      <c r="B6971" s="821">
        <v>35514</v>
      </c>
      <c r="C6971">
        <v>6.95</v>
      </c>
      <c r="D6971">
        <f t="shared" si="219"/>
        <v>1</v>
      </c>
    </row>
    <row r="6972" spans="1:4" x14ac:dyDescent="0.55000000000000004">
      <c r="A6972">
        <f t="shared" si="218"/>
        <v>1997</v>
      </c>
      <c r="B6972" s="821">
        <v>35513</v>
      </c>
      <c r="C6972">
        <v>6.94</v>
      </c>
      <c r="D6972">
        <f t="shared" si="219"/>
        <v>1</v>
      </c>
    </row>
    <row r="6973" spans="1:4" x14ac:dyDescent="0.55000000000000004">
      <c r="A6973">
        <f t="shared" si="218"/>
        <v>1997</v>
      </c>
      <c r="B6973" s="821">
        <v>35510</v>
      </c>
      <c r="C6973">
        <v>6.96</v>
      </c>
      <c r="D6973">
        <f t="shared" si="219"/>
        <v>1</v>
      </c>
    </row>
    <row r="6974" spans="1:4" x14ac:dyDescent="0.55000000000000004">
      <c r="A6974">
        <f t="shared" si="218"/>
        <v>1997</v>
      </c>
      <c r="B6974" s="821">
        <v>35509</v>
      </c>
      <c r="C6974">
        <v>6.97</v>
      </c>
      <c r="D6974">
        <f t="shared" si="219"/>
        <v>1</v>
      </c>
    </row>
    <row r="6975" spans="1:4" x14ac:dyDescent="0.55000000000000004">
      <c r="A6975">
        <f t="shared" si="218"/>
        <v>1997</v>
      </c>
      <c r="B6975" s="821">
        <v>35508</v>
      </c>
      <c r="C6975">
        <v>6.99</v>
      </c>
      <c r="D6975">
        <f t="shared" si="219"/>
        <v>1</v>
      </c>
    </row>
    <row r="6976" spans="1:4" x14ac:dyDescent="0.55000000000000004">
      <c r="A6976">
        <f t="shared" si="218"/>
        <v>1997</v>
      </c>
      <c r="B6976" s="821">
        <v>35507</v>
      </c>
      <c r="C6976">
        <v>6.96</v>
      </c>
      <c r="D6976">
        <f t="shared" si="219"/>
        <v>1</v>
      </c>
    </row>
    <row r="6977" spans="1:4" x14ac:dyDescent="0.55000000000000004">
      <c r="A6977">
        <f t="shared" si="218"/>
        <v>1997</v>
      </c>
      <c r="B6977" s="821">
        <v>35506</v>
      </c>
      <c r="C6977">
        <v>6.96</v>
      </c>
      <c r="D6977">
        <f t="shared" si="219"/>
        <v>1</v>
      </c>
    </row>
    <row r="6978" spans="1:4" x14ac:dyDescent="0.55000000000000004">
      <c r="A6978">
        <f t="shared" si="218"/>
        <v>1997</v>
      </c>
      <c r="B6978" s="821">
        <v>35503</v>
      </c>
      <c r="C6978">
        <v>6.95</v>
      </c>
      <c r="D6978">
        <f t="shared" si="219"/>
        <v>1</v>
      </c>
    </row>
    <row r="6979" spans="1:4" x14ac:dyDescent="0.55000000000000004">
      <c r="A6979">
        <f t="shared" si="218"/>
        <v>1997</v>
      </c>
      <c r="B6979" s="821">
        <v>35502</v>
      </c>
      <c r="C6979">
        <v>6.98</v>
      </c>
      <c r="D6979">
        <f t="shared" si="219"/>
        <v>1</v>
      </c>
    </row>
    <row r="6980" spans="1:4" x14ac:dyDescent="0.55000000000000004">
      <c r="A6980">
        <f t="shared" ref="A6980:A7043" si="220">YEAR(B6980)</f>
        <v>1997</v>
      </c>
      <c r="B6980" s="821">
        <v>35501</v>
      </c>
      <c r="C6980">
        <v>6.87</v>
      </c>
      <c r="D6980">
        <f t="shared" ref="D6980:D7043" si="221">IF(C6980&gt;4,1,0)</f>
        <v>1</v>
      </c>
    </row>
    <row r="6981" spans="1:4" x14ac:dyDescent="0.55000000000000004">
      <c r="A6981">
        <f t="shared" si="220"/>
        <v>1997</v>
      </c>
      <c r="B6981" s="821">
        <v>35500</v>
      </c>
      <c r="C6981">
        <v>6.84</v>
      </c>
      <c r="D6981">
        <f t="shared" si="221"/>
        <v>1</v>
      </c>
    </row>
    <row r="6982" spans="1:4" x14ac:dyDescent="0.55000000000000004">
      <c r="A6982">
        <f t="shared" si="220"/>
        <v>1997</v>
      </c>
      <c r="B6982" s="821">
        <v>35499</v>
      </c>
      <c r="C6982">
        <v>6.83</v>
      </c>
      <c r="D6982">
        <f t="shared" si="221"/>
        <v>1</v>
      </c>
    </row>
    <row r="6983" spans="1:4" x14ac:dyDescent="0.55000000000000004">
      <c r="A6983">
        <f t="shared" si="220"/>
        <v>1997</v>
      </c>
      <c r="B6983" s="821">
        <v>35496</v>
      </c>
      <c r="C6983">
        <v>6.83</v>
      </c>
      <c r="D6983">
        <f t="shared" si="221"/>
        <v>1</v>
      </c>
    </row>
    <row r="6984" spans="1:4" x14ac:dyDescent="0.55000000000000004">
      <c r="A6984">
        <f t="shared" si="220"/>
        <v>1997</v>
      </c>
      <c r="B6984" s="821">
        <v>35495</v>
      </c>
      <c r="C6984">
        <v>6.89</v>
      </c>
      <c r="D6984">
        <f t="shared" si="221"/>
        <v>1</v>
      </c>
    </row>
    <row r="6985" spans="1:4" x14ac:dyDescent="0.55000000000000004">
      <c r="A6985">
        <f t="shared" si="220"/>
        <v>1997</v>
      </c>
      <c r="B6985" s="821">
        <v>35494</v>
      </c>
      <c r="C6985">
        <v>6.85</v>
      </c>
      <c r="D6985">
        <f t="shared" si="221"/>
        <v>1</v>
      </c>
    </row>
    <row r="6986" spans="1:4" x14ac:dyDescent="0.55000000000000004">
      <c r="A6986">
        <f t="shared" si="220"/>
        <v>1997</v>
      </c>
      <c r="B6986" s="821">
        <v>35493</v>
      </c>
      <c r="C6986">
        <v>6.86</v>
      </c>
      <c r="D6986">
        <f t="shared" si="221"/>
        <v>1</v>
      </c>
    </row>
    <row r="6987" spans="1:4" x14ac:dyDescent="0.55000000000000004">
      <c r="A6987">
        <f t="shared" si="220"/>
        <v>1997</v>
      </c>
      <c r="B6987" s="821">
        <v>35492</v>
      </c>
      <c r="C6987">
        <v>6.83</v>
      </c>
      <c r="D6987">
        <f t="shared" si="221"/>
        <v>1</v>
      </c>
    </row>
    <row r="6988" spans="1:4" x14ac:dyDescent="0.55000000000000004">
      <c r="A6988">
        <f t="shared" si="220"/>
        <v>1997</v>
      </c>
      <c r="B6988" s="821">
        <v>35489</v>
      </c>
      <c r="C6988">
        <v>6.8</v>
      </c>
      <c r="D6988">
        <f t="shared" si="221"/>
        <v>1</v>
      </c>
    </row>
    <row r="6989" spans="1:4" x14ac:dyDescent="0.55000000000000004">
      <c r="A6989">
        <f t="shared" si="220"/>
        <v>1997</v>
      </c>
      <c r="B6989" s="821">
        <v>35488</v>
      </c>
      <c r="C6989">
        <v>6.82</v>
      </c>
      <c r="D6989">
        <f t="shared" si="221"/>
        <v>1</v>
      </c>
    </row>
    <row r="6990" spans="1:4" x14ac:dyDescent="0.55000000000000004">
      <c r="A6990">
        <f t="shared" si="220"/>
        <v>1997</v>
      </c>
      <c r="B6990" s="821">
        <v>35487</v>
      </c>
      <c r="C6990">
        <v>6.8</v>
      </c>
      <c r="D6990">
        <f t="shared" si="221"/>
        <v>1</v>
      </c>
    </row>
    <row r="6991" spans="1:4" x14ac:dyDescent="0.55000000000000004">
      <c r="A6991">
        <f t="shared" si="220"/>
        <v>1997</v>
      </c>
      <c r="B6991" s="821">
        <v>35486</v>
      </c>
      <c r="C6991">
        <v>6.66</v>
      </c>
      <c r="D6991">
        <f t="shared" si="221"/>
        <v>1</v>
      </c>
    </row>
    <row r="6992" spans="1:4" x14ac:dyDescent="0.55000000000000004">
      <c r="A6992">
        <f t="shared" si="220"/>
        <v>1997</v>
      </c>
      <c r="B6992" s="821">
        <v>35485</v>
      </c>
      <c r="C6992">
        <v>6.66</v>
      </c>
      <c r="D6992">
        <f t="shared" si="221"/>
        <v>1</v>
      </c>
    </row>
    <row r="6993" spans="1:4" x14ac:dyDescent="0.55000000000000004">
      <c r="A6993">
        <f t="shared" si="220"/>
        <v>1997</v>
      </c>
      <c r="B6993" s="821">
        <v>35482</v>
      </c>
      <c r="C6993">
        <v>6.63</v>
      </c>
      <c r="D6993">
        <f t="shared" si="221"/>
        <v>1</v>
      </c>
    </row>
    <row r="6994" spans="1:4" x14ac:dyDescent="0.55000000000000004">
      <c r="A6994">
        <f t="shared" si="220"/>
        <v>1997</v>
      </c>
      <c r="B6994" s="821">
        <v>35481</v>
      </c>
      <c r="C6994">
        <v>6.64</v>
      </c>
      <c r="D6994">
        <f t="shared" si="221"/>
        <v>1</v>
      </c>
    </row>
    <row r="6995" spans="1:4" x14ac:dyDescent="0.55000000000000004">
      <c r="A6995">
        <f t="shared" si="220"/>
        <v>1997</v>
      </c>
      <c r="B6995" s="821">
        <v>35480</v>
      </c>
      <c r="C6995">
        <v>6.57</v>
      </c>
      <c r="D6995">
        <f t="shared" si="221"/>
        <v>1</v>
      </c>
    </row>
    <row r="6996" spans="1:4" x14ac:dyDescent="0.55000000000000004">
      <c r="A6996">
        <f t="shared" si="220"/>
        <v>1997</v>
      </c>
      <c r="B6996" s="821">
        <v>35479</v>
      </c>
      <c r="C6996">
        <v>6.55</v>
      </c>
      <c r="D6996">
        <f t="shared" si="221"/>
        <v>1</v>
      </c>
    </row>
    <row r="6997" spans="1:4" x14ac:dyDescent="0.55000000000000004">
      <c r="A6997">
        <f t="shared" si="220"/>
        <v>1997</v>
      </c>
      <c r="B6997" s="821">
        <v>35475</v>
      </c>
      <c r="C6997">
        <v>6.53</v>
      </c>
      <c r="D6997">
        <f t="shared" si="221"/>
        <v>1</v>
      </c>
    </row>
    <row r="6998" spans="1:4" x14ac:dyDescent="0.55000000000000004">
      <c r="A6998">
        <f t="shared" si="220"/>
        <v>1997</v>
      </c>
      <c r="B6998" s="821">
        <v>35474</v>
      </c>
      <c r="C6998">
        <v>6.58</v>
      </c>
      <c r="D6998">
        <f t="shared" si="221"/>
        <v>1</v>
      </c>
    </row>
    <row r="6999" spans="1:4" x14ac:dyDescent="0.55000000000000004">
      <c r="A6999">
        <f t="shared" si="220"/>
        <v>1997</v>
      </c>
      <c r="B6999" s="821">
        <v>35473</v>
      </c>
      <c r="C6999">
        <v>6.72</v>
      </c>
      <c r="D6999">
        <f t="shared" si="221"/>
        <v>1</v>
      </c>
    </row>
    <row r="7000" spans="1:4" x14ac:dyDescent="0.55000000000000004">
      <c r="A7000">
        <f t="shared" si="220"/>
        <v>1997</v>
      </c>
      <c r="B7000" s="821">
        <v>35472</v>
      </c>
      <c r="C7000">
        <v>6.71</v>
      </c>
      <c r="D7000">
        <f t="shared" si="221"/>
        <v>1</v>
      </c>
    </row>
    <row r="7001" spans="1:4" x14ac:dyDescent="0.55000000000000004">
      <c r="A7001">
        <f t="shared" si="220"/>
        <v>1997</v>
      </c>
      <c r="B7001" s="821">
        <v>35471</v>
      </c>
      <c r="C7001">
        <v>6.71</v>
      </c>
      <c r="D7001">
        <f t="shared" si="221"/>
        <v>1</v>
      </c>
    </row>
    <row r="7002" spans="1:4" x14ac:dyDescent="0.55000000000000004">
      <c r="A7002">
        <f t="shared" si="220"/>
        <v>1997</v>
      </c>
      <c r="B7002" s="821">
        <v>35468</v>
      </c>
      <c r="C7002">
        <v>6.72</v>
      </c>
      <c r="D7002">
        <f t="shared" si="221"/>
        <v>1</v>
      </c>
    </row>
    <row r="7003" spans="1:4" x14ac:dyDescent="0.55000000000000004">
      <c r="A7003">
        <f t="shared" si="220"/>
        <v>1997</v>
      </c>
      <c r="B7003" s="821">
        <v>35467</v>
      </c>
      <c r="C7003">
        <v>6.76</v>
      </c>
      <c r="D7003">
        <f t="shared" si="221"/>
        <v>1</v>
      </c>
    </row>
    <row r="7004" spans="1:4" x14ac:dyDescent="0.55000000000000004">
      <c r="A7004">
        <f t="shared" si="220"/>
        <v>1997</v>
      </c>
      <c r="B7004" s="821">
        <v>35466</v>
      </c>
      <c r="C7004">
        <v>6.75</v>
      </c>
      <c r="D7004">
        <f t="shared" si="221"/>
        <v>1</v>
      </c>
    </row>
    <row r="7005" spans="1:4" x14ac:dyDescent="0.55000000000000004">
      <c r="A7005">
        <f t="shared" si="220"/>
        <v>1997</v>
      </c>
      <c r="B7005" s="821">
        <v>35465</v>
      </c>
      <c r="C7005">
        <v>6.72</v>
      </c>
      <c r="D7005">
        <f t="shared" si="221"/>
        <v>1</v>
      </c>
    </row>
    <row r="7006" spans="1:4" x14ac:dyDescent="0.55000000000000004">
      <c r="A7006">
        <f t="shared" si="220"/>
        <v>1997</v>
      </c>
      <c r="B7006" s="821">
        <v>35464</v>
      </c>
      <c r="C7006">
        <v>6.74</v>
      </c>
      <c r="D7006">
        <f t="shared" si="221"/>
        <v>1</v>
      </c>
    </row>
    <row r="7007" spans="1:4" x14ac:dyDescent="0.55000000000000004">
      <c r="A7007">
        <f t="shared" si="220"/>
        <v>1997</v>
      </c>
      <c r="B7007" s="821">
        <v>35461</v>
      </c>
      <c r="C7007">
        <v>6.8</v>
      </c>
      <c r="D7007">
        <f t="shared" si="221"/>
        <v>1</v>
      </c>
    </row>
    <row r="7008" spans="1:4" x14ac:dyDescent="0.55000000000000004">
      <c r="A7008">
        <f t="shared" si="220"/>
        <v>1997</v>
      </c>
      <c r="B7008" s="821">
        <v>35460</v>
      </c>
      <c r="C7008">
        <v>6.88</v>
      </c>
      <c r="D7008">
        <f t="shared" si="221"/>
        <v>1</v>
      </c>
    </row>
    <row r="7009" spans="1:4" x14ac:dyDescent="0.55000000000000004">
      <c r="A7009">
        <f t="shared" si="220"/>
        <v>1997</v>
      </c>
      <c r="B7009" s="821">
        <v>35459</v>
      </c>
      <c r="C7009">
        <v>6.9</v>
      </c>
      <c r="D7009">
        <f t="shared" si="221"/>
        <v>1</v>
      </c>
    </row>
    <row r="7010" spans="1:4" x14ac:dyDescent="0.55000000000000004">
      <c r="A7010">
        <f t="shared" si="220"/>
        <v>1997</v>
      </c>
      <c r="B7010" s="821">
        <v>35458</v>
      </c>
      <c r="C7010">
        <v>6.91</v>
      </c>
      <c r="D7010">
        <f t="shared" si="221"/>
        <v>1</v>
      </c>
    </row>
    <row r="7011" spans="1:4" x14ac:dyDescent="0.55000000000000004">
      <c r="A7011">
        <f t="shared" si="220"/>
        <v>1997</v>
      </c>
      <c r="B7011" s="821">
        <v>35457</v>
      </c>
      <c r="C7011">
        <v>6.94</v>
      </c>
      <c r="D7011">
        <f t="shared" si="221"/>
        <v>1</v>
      </c>
    </row>
    <row r="7012" spans="1:4" x14ac:dyDescent="0.55000000000000004">
      <c r="A7012">
        <f t="shared" si="220"/>
        <v>1997</v>
      </c>
      <c r="B7012" s="821">
        <v>35454</v>
      </c>
      <c r="C7012">
        <v>6.89</v>
      </c>
      <c r="D7012">
        <f t="shared" si="221"/>
        <v>1</v>
      </c>
    </row>
    <row r="7013" spans="1:4" x14ac:dyDescent="0.55000000000000004">
      <c r="A7013">
        <f t="shared" si="220"/>
        <v>1997</v>
      </c>
      <c r="B7013" s="821">
        <v>35453</v>
      </c>
      <c r="C7013">
        <v>6.85</v>
      </c>
      <c r="D7013">
        <f t="shared" si="221"/>
        <v>1</v>
      </c>
    </row>
    <row r="7014" spans="1:4" x14ac:dyDescent="0.55000000000000004">
      <c r="A7014">
        <f t="shared" si="220"/>
        <v>1997</v>
      </c>
      <c r="B7014" s="821">
        <v>35452</v>
      </c>
      <c r="C7014">
        <v>6.83</v>
      </c>
      <c r="D7014">
        <f t="shared" si="221"/>
        <v>1</v>
      </c>
    </row>
    <row r="7015" spans="1:4" x14ac:dyDescent="0.55000000000000004">
      <c r="A7015">
        <f t="shared" si="220"/>
        <v>1997</v>
      </c>
      <c r="B7015" s="821">
        <v>35451</v>
      </c>
      <c r="C7015">
        <v>6.78</v>
      </c>
      <c r="D7015">
        <f t="shared" si="221"/>
        <v>1</v>
      </c>
    </row>
    <row r="7016" spans="1:4" x14ac:dyDescent="0.55000000000000004">
      <c r="A7016">
        <f t="shared" si="220"/>
        <v>1997</v>
      </c>
      <c r="B7016" s="821">
        <v>35447</v>
      </c>
      <c r="C7016">
        <v>6.83</v>
      </c>
      <c r="D7016">
        <f t="shared" si="221"/>
        <v>1</v>
      </c>
    </row>
    <row r="7017" spans="1:4" x14ac:dyDescent="0.55000000000000004">
      <c r="A7017">
        <f t="shared" si="220"/>
        <v>1997</v>
      </c>
      <c r="B7017" s="821">
        <v>35446</v>
      </c>
      <c r="C7017">
        <v>6.83</v>
      </c>
      <c r="D7017">
        <f t="shared" si="221"/>
        <v>1</v>
      </c>
    </row>
    <row r="7018" spans="1:4" x14ac:dyDescent="0.55000000000000004">
      <c r="A7018">
        <f t="shared" si="220"/>
        <v>1997</v>
      </c>
      <c r="B7018" s="821">
        <v>35445</v>
      </c>
      <c r="C7018">
        <v>6.79</v>
      </c>
      <c r="D7018">
        <f t="shared" si="221"/>
        <v>1</v>
      </c>
    </row>
    <row r="7019" spans="1:4" x14ac:dyDescent="0.55000000000000004">
      <c r="A7019">
        <f t="shared" si="220"/>
        <v>1997</v>
      </c>
      <c r="B7019" s="821">
        <v>35444</v>
      </c>
      <c r="C7019">
        <v>6.77</v>
      </c>
      <c r="D7019">
        <f t="shared" si="221"/>
        <v>1</v>
      </c>
    </row>
    <row r="7020" spans="1:4" x14ac:dyDescent="0.55000000000000004">
      <c r="A7020">
        <f t="shared" si="220"/>
        <v>1997</v>
      </c>
      <c r="B7020" s="821">
        <v>35443</v>
      </c>
      <c r="C7020">
        <v>6.85</v>
      </c>
      <c r="D7020">
        <f t="shared" si="221"/>
        <v>1</v>
      </c>
    </row>
    <row r="7021" spans="1:4" x14ac:dyDescent="0.55000000000000004">
      <c r="A7021">
        <f t="shared" si="220"/>
        <v>1997</v>
      </c>
      <c r="B7021" s="821">
        <v>35440</v>
      </c>
      <c r="C7021">
        <v>6.86</v>
      </c>
      <c r="D7021">
        <f t="shared" si="221"/>
        <v>1</v>
      </c>
    </row>
    <row r="7022" spans="1:4" x14ac:dyDescent="0.55000000000000004">
      <c r="A7022">
        <f t="shared" si="220"/>
        <v>1997</v>
      </c>
      <c r="B7022" s="821">
        <v>35439</v>
      </c>
      <c r="C7022">
        <v>6.76</v>
      </c>
      <c r="D7022">
        <f t="shared" si="221"/>
        <v>1</v>
      </c>
    </row>
    <row r="7023" spans="1:4" x14ac:dyDescent="0.55000000000000004">
      <c r="A7023">
        <f t="shared" si="220"/>
        <v>1997</v>
      </c>
      <c r="B7023" s="821">
        <v>35438</v>
      </c>
      <c r="C7023">
        <v>6.83</v>
      </c>
      <c r="D7023">
        <f t="shared" si="221"/>
        <v>1</v>
      </c>
    </row>
    <row r="7024" spans="1:4" x14ac:dyDescent="0.55000000000000004">
      <c r="A7024">
        <f t="shared" si="220"/>
        <v>1997</v>
      </c>
      <c r="B7024" s="821">
        <v>35437</v>
      </c>
      <c r="C7024">
        <v>6.8</v>
      </c>
      <c r="D7024">
        <f t="shared" si="221"/>
        <v>1</v>
      </c>
    </row>
    <row r="7025" spans="1:4" x14ac:dyDescent="0.55000000000000004">
      <c r="A7025">
        <f t="shared" si="220"/>
        <v>1997</v>
      </c>
      <c r="B7025" s="821">
        <v>35436</v>
      </c>
      <c r="C7025">
        <v>6.77</v>
      </c>
      <c r="D7025">
        <f t="shared" si="221"/>
        <v>1</v>
      </c>
    </row>
    <row r="7026" spans="1:4" x14ac:dyDescent="0.55000000000000004">
      <c r="A7026">
        <f t="shared" si="220"/>
        <v>1997</v>
      </c>
      <c r="B7026" s="821">
        <v>35433</v>
      </c>
      <c r="C7026">
        <v>6.74</v>
      </c>
      <c r="D7026">
        <f t="shared" si="221"/>
        <v>1</v>
      </c>
    </row>
    <row r="7027" spans="1:4" x14ac:dyDescent="0.55000000000000004">
      <c r="A7027">
        <f t="shared" si="220"/>
        <v>1997</v>
      </c>
      <c r="B7027" s="821">
        <v>35432</v>
      </c>
      <c r="C7027">
        <v>6.75</v>
      </c>
      <c r="D7027">
        <f t="shared" si="221"/>
        <v>1</v>
      </c>
    </row>
    <row r="7028" spans="1:4" x14ac:dyDescent="0.55000000000000004">
      <c r="A7028">
        <f t="shared" si="220"/>
        <v>1996</v>
      </c>
      <c r="B7028" s="821">
        <v>35430</v>
      </c>
      <c r="C7028">
        <v>6.65</v>
      </c>
      <c r="D7028">
        <f t="shared" si="221"/>
        <v>1</v>
      </c>
    </row>
    <row r="7029" spans="1:4" x14ac:dyDescent="0.55000000000000004">
      <c r="A7029">
        <f t="shared" si="220"/>
        <v>1996</v>
      </c>
      <c r="B7029" s="821">
        <v>35429</v>
      </c>
      <c r="C7029">
        <v>6.54</v>
      </c>
      <c r="D7029">
        <f t="shared" si="221"/>
        <v>1</v>
      </c>
    </row>
    <row r="7030" spans="1:4" x14ac:dyDescent="0.55000000000000004">
      <c r="A7030">
        <f t="shared" si="220"/>
        <v>1996</v>
      </c>
      <c r="B7030" s="821">
        <v>35426</v>
      </c>
      <c r="C7030">
        <v>6.54</v>
      </c>
      <c r="D7030">
        <f t="shared" si="221"/>
        <v>1</v>
      </c>
    </row>
    <row r="7031" spans="1:4" x14ac:dyDescent="0.55000000000000004">
      <c r="A7031">
        <f t="shared" si="220"/>
        <v>1996</v>
      </c>
      <c r="B7031" s="821">
        <v>35425</v>
      </c>
      <c r="C7031">
        <v>6.59</v>
      </c>
      <c r="D7031">
        <f t="shared" si="221"/>
        <v>1</v>
      </c>
    </row>
    <row r="7032" spans="1:4" x14ac:dyDescent="0.55000000000000004">
      <c r="A7032">
        <f t="shared" si="220"/>
        <v>1996</v>
      </c>
      <c r="B7032" s="821">
        <v>35423</v>
      </c>
      <c r="C7032">
        <v>6.59</v>
      </c>
      <c r="D7032">
        <f t="shared" si="221"/>
        <v>1</v>
      </c>
    </row>
    <row r="7033" spans="1:4" x14ac:dyDescent="0.55000000000000004">
      <c r="A7033">
        <f t="shared" si="220"/>
        <v>1996</v>
      </c>
      <c r="B7033" s="821">
        <v>35422</v>
      </c>
      <c r="C7033">
        <v>6.58</v>
      </c>
      <c r="D7033">
        <f t="shared" si="221"/>
        <v>1</v>
      </c>
    </row>
    <row r="7034" spans="1:4" x14ac:dyDescent="0.55000000000000004">
      <c r="A7034">
        <f t="shared" si="220"/>
        <v>1996</v>
      </c>
      <c r="B7034" s="821">
        <v>35419</v>
      </c>
      <c r="C7034">
        <v>6.59</v>
      </c>
      <c r="D7034">
        <f t="shared" si="221"/>
        <v>1</v>
      </c>
    </row>
    <row r="7035" spans="1:4" x14ac:dyDescent="0.55000000000000004">
      <c r="A7035">
        <f t="shared" si="220"/>
        <v>1996</v>
      </c>
      <c r="B7035" s="821">
        <v>35418</v>
      </c>
      <c r="C7035">
        <v>6.6</v>
      </c>
      <c r="D7035">
        <f t="shared" si="221"/>
        <v>1</v>
      </c>
    </row>
    <row r="7036" spans="1:4" x14ac:dyDescent="0.55000000000000004">
      <c r="A7036">
        <f t="shared" si="220"/>
        <v>1996</v>
      </c>
      <c r="B7036" s="821">
        <v>35417</v>
      </c>
      <c r="C7036">
        <v>6.69</v>
      </c>
      <c r="D7036">
        <f t="shared" si="221"/>
        <v>1</v>
      </c>
    </row>
    <row r="7037" spans="1:4" x14ac:dyDescent="0.55000000000000004">
      <c r="A7037">
        <f t="shared" si="220"/>
        <v>1996</v>
      </c>
      <c r="B7037" s="821">
        <v>35416</v>
      </c>
      <c r="C7037">
        <v>6.66</v>
      </c>
      <c r="D7037">
        <f t="shared" si="221"/>
        <v>1</v>
      </c>
    </row>
    <row r="7038" spans="1:4" x14ac:dyDescent="0.55000000000000004">
      <c r="A7038">
        <f t="shared" si="220"/>
        <v>1996</v>
      </c>
      <c r="B7038" s="821">
        <v>35415</v>
      </c>
      <c r="C7038">
        <v>6.63</v>
      </c>
      <c r="D7038">
        <f t="shared" si="221"/>
        <v>1</v>
      </c>
    </row>
    <row r="7039" spans="1:4" x14ac:dyDescent="0.55000000000000004">
      <c r="A7039">
        <f t="shared" si="220"/>
        <v>1996</v>
      </c>
      <c r="B7039" s="821">
        <v>35412</v>
      </c>
      <c r="C7039">
        <v>6.58</v>
      </c>
      <c r="D7039">
        <f t="shared" si="221"/>
        <v>1</v>
      </c>
    </row>
    <row r="7040" spans="1:4" x14ac:dyDescent="0.55000000000000004">
      <c r="A7040">
        <f t="shared" si="220"/>
        <v>1996</v>
      </c>
      <c r="B7040" s="821">
        <v>35411</v>
      </c>
      <c r="C7040">
        <v>6.64</v>
      </c>
      <c r="D7040">
        <f t="shared" si="221"/>
        <v>1</v>
      </c>
    </row>
    <row r="7041" spans="1:4" x14ac:dyDescent="0.55000000000000004">
      <c r="A7041">
        <f t="shared" si="220"/>
        <v>1996</v>
      </c>
      <c r="B7041" s="821">
        <v>35410</v>
      </c>
      <c r="C7041">
        <v>6.61</v>
      </c>
      <c r="D7041">
        <f t="shared" si="221"/>
        <v>1</v>
      </c>
    </row>
    <row r="7042" spans="1:4" x14ac:dyDescent="0.55000000000000004">
      <c r="A7042">
        <f t="shared" si="220"/>
        <v>1996</v>
      </c>
      <c r="B7042" s="821">
        <v>35409</v>
      </c>
      <c r="C7042">
        <v>6.49</v>
      </c>
      <c r="D7042">
        <f t="shared" si="221"/>
        <v>1</v>
      </c>
    </row>
    <row r="7043" spans="1:4" x14ac:dyDescent="0.55000000000000004">
      <c r="A7043">
        <f t="shared" si="220"/>
        <v>1996</v>
      </c>
      <c r="B7043" s="821">
        <v>35408</v>
      </c>
      <c r="C7043">
        <v>6.48</v>
      </c>
      <c r="D7043">
        <f t="shared" si="221"/>
        <v>1</v>
      </c>
    </row>
    <row r="7044" spans="1:4" x14ac:dyDescent="0.55000000000000004">
      <c r="A7044">
        <f t="shared" ref="A7044:A7107" si="222">YEAR(B7044)</f>
        <v>1996</v>
      </c>
      <c r="B7044" s="821">
        <v>35405</v>
      </c>
      <c r="C7044">
        <v>6.53</v>
      </c>
      <c r="D7044">
        <f t="shared" ref="D7044:D7107" si="223">IF(C7044&gt;4,1,0)</f>
        <v>1</v>
      </c>
    </row>
    <row r="7045" spans="1:4" x14ac:dyDescent="0.55000000000000004">
      <c r="A7045">
        <f t="shared" si="222"/>
        <v>1996</v>
      </c>
      <c r="B7045" s="821">
        <v>35404</v>
      </c>
      <c r="C7045">
        <v>6.5</v>
      </c>
      <c r="D7045">
        <f t="shared" si="223"/>
        <v>1</v>
      </c>
    </row>
    <row r="7046" spans="1:4" x14ac:dyDescent="0.55000000000000004">
      <c r="A7046">
        <f t="shared" si="222"/>
        <v>1996</v>
      </c>
      <c r="B7046" s="821">
        <v>35403</v>
      </c>
      <c r="C7046">
        <v>6.4</v>
      </c>
      <c r="D7046">
        <f t="shared" si="223"/>
        <v>1</v>
      </c>
    </row>
    <row r="7047" spans="1:4" x14ac:dyDescent="0.55000000000000004">
      <c r="A7047">
        <f t="shared" si="222"/>
        <v>1996</v>
      </c>
      <c r="B7047" s="821">
        <v>35402</v>
      </c>
      <c r="C7047">
        <v>6.35</v>
      </c>
      <c r="D7047">
        <f t="shared" si="223"/>
        <v>1</v>
      </c>
    </row>
    <row r="7048" spans="1:4" x14ac:dyDescent="0.55000000000000004">
      <c r="A7048">
        <f t="shared" si="222"/>
        <v>1996</v>
      </c>
      <c r="B7048" s="821">
        <v>35401</v>
      </c>
      <c r="C7048">
        <v>6.36</v>
      </c>
      <c r="D7048">
        <f t="shared" si="223"/>
        <v>1</v>
      </c>
    </row>
    <row r="7049" spans="1:4" x14ac:dyDescent="0.55000000000000004">
      <c r="A7049">
        <f t="shared" si="222"/>
        <v>1996</v>
      </c>
      <c r="B7049" s="821">
        <v>35398</v>
      </c>
      <c r="C7049">
        <v>6.36</v>
      </c>
      <c r="D7049">
        <f t="shared" si="223"/>
        <v>1</v>
      </c>
    </row>
    <row r="7050" spans="1:4" x14ac:dyDescent="0.55000000000000004">
      <c r="A7050">
        <f t="shared" si="222"/>
        <v>1996</v>
      </c>
      <c r="B7050" s="821">
        <v>35396</v>
      </c>
      <c r="C7050">
        <v>6.44</v>
      </c>
      <c r="D7050">
        <f t="shared" si="223"/>
        <v>1</v>
      </c>
    </row>
    <row r="7051" spans="1:4" x14ac:dyDescent="0.55000000000000004">
      <c r="A7051">
        <f t="shared" si="222"/>
        <v>1996</v>
      </c>
      <c r="B7051" s="821">
        <v>35395</v>
      </c>
      <c r="C7051">
        <v>6.43</v>
      </c>
      <c r="D7051">
        <f t="shared" si="223"/>
        <v>1</v>
      </c>
    </row>
    <row r="7052" spans="1:4" x14ac:dyDescent="0.55000000000000004">
      <c r="A7052">
        <f t="shared" si="222"/>
        <v>1996</v>
      </c>
      <c r="B7052" s="821">
        <v>35394</v>
      </c>
      <c r="C7052">
        <v>6.42</v>
      </c>
      <c r="D7052">
        <f t="shared" si="223"/>
        <v>1</v>
      </c>
    </row>
    <row r="7053" spans="1:4" x14ac:dyDescent="0.55000000000000004">
      <c r="A7053">
        <f t="shared" si="222"/>
        <v>1996</v>
      </c>
      <c r="B7053" s="821">
        <v>35391</v>
      </c>
      <c r="C7053">
        <v>6.44</v>
      </c>
      <c r="D7053">
        <f t="shared" si="223"/>
        <v>1</v>
      </c>
    </row>
    <row r="7054" spans="1:4" x14ac:dyDescent="0.55000000000000004">
      <c r="A7054">
        <f t="shared" si="222"/>
        <v>1996</v>
      </c>
      <c r="B7054" s="821">
        <v>35390</v>
      </c>
      <c r="C7054">
        <v>6.42</v>
      </c>
      <c r="D7054">
        <f t="shared" si="223"/>
        <v>1</v>
      </c>
    </row>
    <row r="7055" spans="1:4" x14ac:dyDescent="0.55000000000000004">
      <c r="A7055">
        <f t="shared" si="222"/>
        <v>1996</v>
      </c>
      <c r="B7055" s="821">
        <v>35389</v>
      </c>
      <c r="C7055">
        <v>6.41</v>
      </c>
      <c r="D7055">
        <f t="shared" si="223"/>
        <v>1</v>
      </c>
    </row>
    <row r="7056" spans="1:4" x14ac:dyDescent="0.55000000000000004">
      <c r="A7056">
        <f t="shared" si="222"/>
        <v>1996</v>
      </c>
      <c r="B7056" s="821">
        <v>35388</v>
      </c>
      <c r="C7056">
        <v>6.44</v>
      </c>
      <c r="D7056">
        <f t="shared" si="223"/>
        <v>1</v>
      </c>
    </row>
    <row r="7057" spans="1:4" x14ac:dyDescent="0.55000000000000004">
      <c r="A7057">
        <f t="shared" si="222"/>
        <v>1996</v>
      </c>
      <c r="B7057" s="821">
        <v>35387</v>
      </c>
      <c r="C7057">
        <v>6.46</v>
      </c>
      <c r="D7057">
        <f t="shared" si="223"/>
        <v>1</v>
      </c>
    </row>
    <row r="7058" spans="1:4" x14ac:dyDescent="0.55000000000000004">
      <c r="A7058">
        <f t="shared" si="222"/>
        <v>1996</v>
      </c>
      <c r="B7058" s="821">
        <v>35384</v>
      </c>
      <c r="C7058">
        <v>6.46</v>
      </c>
      <c r="D7058">
        <f t="shared" si="223"/>
        <v>1</v>
      </c>
    </row>
    <row r="7059" spans="1:4" x14ac:dyDescent="0.55000000000000004">
      <c r="A7059">
        <f t="shared" si="222"/>
        <v>1996</v>
      </c>
      <c r="B7059" s="821">
        <v>35383</v>
      </c>
      <c r="C7059">
        <v>6.42</v>
      </c>
      <c r="D7059">
        <f t="shared" si="223"/>
        <v>1</v>
      </c>
    </row>
    <row r="7060" spans="1:4" x14ac:dyDescent="0.55000000000000004">
      <c r="A7060">
        <f t="shared" si="222"/>
        <v>1996</v>
      </c>
      <c r="B7060" s="821">
        <v>35382</v>
      </c>
      <c r="C7060">
        <v>6.46</v>
      </c>
      <c r="D7060">
        <f t="shared" si="223"/>
        <v>1</v>
      </c>
    </row>
    <row r="7061" spans="1:4" x14ac:dyDescent="0.55000000000000004">
      <c r="A7061">
        <f t="shared" si="222"/>
        <v>1996</v>
      </c>
      <c r="B7061" s="821">
        <v>35381</v>
      </c>
      <c r="C7061">
        <v>6.44</v>
      </c>
      <c r="D7061">
        <f t="shared" si="223"/>
        <v>1</v>
      </c>
    </row>
    <row r="7062" spans="1:4" x14ac:dyDescent="0.55000000000000004">
      <c r="A7062">
        <f t="shared" si="222"/>
        <v>1996</v>
      </c>
      <c r="B7062" s="821">
        <v>35377</v>
      </c>
      <c r="C7062">
        <v>6.51</v>
      </c>
      <c r="D7062">
        <f t="shared" si="223"/>
        <v>1</v>
      </c>
    </row>
    <row r="7063" spans="1:4" x14ac:dyDescent="0.55000000000000004">
      <c r="A7063">
        <f t="shared" si="222"/>
        <v>1996</v>
      </c>
      <c r="B7063" s="821">
        <v>35376</v>
      </c>
      <c r="C7063">
        <v>6.48</v>
      </c>
      <c r="D7063">
        <f t="shared" si="223"/>
        <v>1</v>
      </c>
    </row>
    <row r="7064" spans="1:4" x14ac:dyDescent="0.55000000000000004">
      <c r="A7064">
        <f t="shared" si="222"/>
        <v>1996</v>
      </c>
      <c r="B7064" s="821">
        <v>35375</v>
      </c>
      <c r="C7064">
        <v>6.61</v>
      </c>
      <c r="D7064">
        <f t="shared" si="223"/>
        <v>1</v>
      </c>
    </row>
    <row r="7065" spans="1:4" x14ac:dyDescent="0.55000000000000004">
      <c r="A7065">
        <f t="shared" si="222"/>
        <v>1996</v>
      </c>
      <c r="B7065" s="821">
        <v>35374</v>
      </c>
      <c r="C7065">
        <v>6.6</v>
      </c>
      <c r="D7065">
        <f t="shared" si="223"/>
        <v>1</v>
      </c>
    </row>
    <row r="7066" spans="1:4" x14ac:dyDescent="0.55000000000000004">
      <c r="A7066">
        <f t="shared" si="222"/>
        <v>1996</v>
      </c>
      <c r="B7066" s="821">
        <v>35373</v>
      </c>
      <c r="C7066">
        <v>6.67</v>
      </c>
      <c r="D7066">
        <f t="shared" si="223"/>
        <v>1</v>
      </c>
    </row>
    <row r="7067" spans="1:4" x14ac:dyDescent="0.55000000000000004">
      <c r="A7067">
        <f t="shared" si="222"/>
        <v>1996</v>
      </c>
      <c r="B7067" s="821">
        <v>35370</v>
      </c>
      <c r="C7067">
        <v>6.68</v>
      </c>
      <c r="D7067">
        <f t="shared" si="223"/>
        <v>1</v>
      </c>
    </row>
    <row r="7068" spans="1:4" x14ac:dyDescent="0.55000000000000004">
      <c r="A7068">
        <f t="shared" si="222"/>
        <v>1996</v>
      </c>
      <c r="B7068" s="821">
        <v>35369</v>
      </c>
      <c r="C7068">
        <v>6.66</v>
      </c>
      <c r="D7068">
        <f t="shared" si="223"/>
        <v>1</v>
      </c>
    </row>
    <row r="7069" spans="1:4" x14ac:dyDescent="0.55000000000000004">
      <c r="A7069">
        <f t="shared" si="222"/>
        <v>1996</v>
      </c>
      <c r="B7069" s="821">
        <v>35368</v>
      </c>
      <c r="C7069">
        <v>6.69</v>
      </c>
      <c r="D7069">
        <f t="shared" si="223"/>
        <v>1</v>
      </c>
    </row>
    <row r="7070" spans="1:4" x14ac:dyDescent="0.55000000000000004">
      <c r="A7070">
        <f t="shared" si="222"/>
        <v>1996</v>
      </c>
      <c r="B7070" s="821">
        <v>35367</v>
      </c>
      <c r="C7070">
        <v>6.7</v>
      </c>
      <c r="D7070">
        <f t="shared" si="223"/>
        <v>1</v>
      </c>
    </row>
    <row r="7071" spans="1:4" x14ac:dyDescent="0.55000000000000004">
      <c r="A7071">
        <f t="shared" si="222"/>
        <v>1996</v>
      </c>
      <c r="B7071" s="821">
        <v>35366</v>
      </c>
      <c r="C7071">
        <v>6.83</v>
      </c>
      <c r="D7071">
        <f t="shared" si="223"/>
        <v>1</v>
      </c>
    </row>
    <row r="7072" spans="1:4" x14ac:dyDescent="0.55000000000000004">
      <c r="A7072">
        <f t="shared" si="222"/>
        <v>1996</v>
      </c>
      <c r="B7072" s="821">
        <v>35363</v>
      </c>
      <c r="C7072">
        <v>6.82</v>
      </c>
      <c r="D7072">
        <f t="shared" si="223"/>
        <v>1</v>
      </c>
    </row>
    <row r="7073" spans="1:4" x14ac:dyDescent="0.55000000000000004">
      <c r="A7073">
        <f t="shared" si="222"/>
        <v>1996</v>
      </c>
      <c r="B7073" s="821">
        <v>35362</v>
      </c>
      <c r="C7073">
        <v>6.85</v>
      </c>
      <c r="D7073">
        <f t="shared" si="223"/>
        <v>1</v>
      </c>
    </row>
    <row r="7074" spans="1:4" x14ac:dyDescent="0.55000000000000004">
      <c r="A7074">
        <f t="shared" si="222"/>
        <v>1996</v>
      </c>
      <c r="B7074" s="821">
        <v>35361</v>
      </c>
      <c r="C7074">
        <v>6.84</v>
      </c>
      <c r="D7074">
        <f t="shared" si="223"/>
        <v>1</v>
      </c>
    </row>
    <row r="7075" spans="1:4" x14ac:dyDescent="0.55000000000000004">
      <c r="A7075">
        <f t="shared" si="222"/>
        <v>1996</v>
      </c>
      <c r="B7075" s="821">
        <v>35360</v>
      </c>
      <c r="C7075">
        <v>6.85</v>
      </c>
      <c r="D7075">
        <f t="shared" si="223"/>
        <v>1</v>
      </c>
    </row>
    <row r="7076" spans="1:4" x14ac:dyDescent="0.55000000000000004">
      <c r="A7076">
        <f t="shared" si="222"/>
        <v>1996</v>
      </c>
      <c r="B7076" s="821">
        <v>35359</v>
      </c>
      <c r="C7076">
        <v>6.81</v>
      </c>
      <c r="D7076">
        <f t="shared" si="223"/>
        <v>1</v>
      </c>
    </row>
    <row r="7077" spans="1:4" x14ac:dyDescent="0.55000000000000004">
      <c r="A7077">
        <f t="shared" si="222"/>
        <v>1996</v>
      </c>
      <c r="B7077" s="821">
        <v>35356</v>
      </c>
      <c r="C7077">
        <v>6.79</v>
      </c>
      <c r="D7077">
        <f t="shared" si="223"/>
        <v>1</v>
      </c>
    </row>
    <row r="7078" spans="1:4" x14ac:dyDescent="0.55000000000000004">
      <c r="A7078">
        <f t="shared" si="222"/>
        <v>1996</v>
      </c>
      <c r="B7078" s="821">
        <v>35355</v>
      </c>
      <c r="C7078">
        <v>6.81</v>
      </c>
      <c r="D7078">
        <f t="shared" si="223"/>
        <v>1</v>
      </c>
    </row>
    <row r="7079" spans="1:4" x14ac:dyDescent="0.55000000000000004">
      <c r="A7079">
        <f t="shared" si="222"/>
        <v>1996</v>
      </c>
      <c r="B7079" s="821">
        <v>35354</v>
      </c>
      <c r="C7079">
        <v>6.86</v>
      </c>
      <c r="D7079">
        <f t="shared" si="223"/>
        <v>1</v>
      </c>
    </row>
    <row r="7080" spans="1:4" x14ac:dyDescent="0.55000000000000004">
      <c r="A7080">
        <f t="shared" si="222"/>
        <v>1996</v>
      </c>
      <c r="B7080" s="821">
        <v>35353</v>
      </c>
      <c r="C7080">
        <v>6.85</v>
      </c>
      <c r="D7080">
        <f t="shared" si="223"/>
        <v>1</v>
      </c>
    </row>
    <row r="7081" spans="1:4" x14ac:dyDescent="0.55000000000000004">
      <c r="A7081">
        <f t="shared" si="222"/>
        <v>1996</v>
      </c>
      <c r="B7081" s="821">
        <v>35349</v>
      </c>
      <c r="C7081">
        <v>6.84</v>
      </c>
      <c r="D7081">
        <f t="shared" si="223"/>
        <v>1</v>
      </c>
    </row>
    <row r="7082" spans="1:4" x14ac:dyDescent="0.55000000000000004">
      <c r="A7082">
        <f t="shared" si="222"/>
        <v>1996</v>
      </c>
      <c r="B7082" s="821">
        <v>35348</v>
      </c>
      <c r="C7082">
        <v>6.89</v>
      </c>
      <c r="D7082">
        <f t="shared" si="223"/>
        <v>1</v>
      </c>
    </row>
    <row r="7083" spans="1:4" x14ac:dyDescent="0.55000000000000004">
      <c r="A7083">
        <f t="shared" si="222"/>
        <v>1996</v>
      </c>
      <c r="B7083" s="821">
        <v>35347</v>
      </c>
      <c r="C7083">
        <v>6.83</v>
      </c>
      <c r="D7083">
        <f t="shared" si="223"/>
        <v>1</v>
      </c>
    </row>
    <row r="7084" spans="1:4" x14ac:dyDescent="0.55000000000000004">
      <c r="A7084">
        <f t="shared" si="222"/>
        <v>1996</v>
      </c>
      <c r="B7084" s="821">
        <v>35346</v>
      </c>
      <c r="C7084">
        <v>6.79</v>
      </c>
      <c r="D7084">
        <f t="shared" si="223"/>
        <v>1</v>
      </c>
    </row>
    <row r="7085" spans="1:4" x14ac:dyDescent="0.55000000000000004">
      <c r="A7085">
        <f t="shared" si="222"/>
        <v>1996</v>
      </c>
      <c r="B7085" s="821">
        <v>35345</v>
      </c>
      <c r="C7085">
        <v>6.78</v>
      </c>
      <c r="D7085">
        <f t="shared" si="223"/>
        <v>1</v>
      </c>
    </row>
    <row r="7086" spans="1:4" x14ac:dyDescent="0.55000000000000004">
      <c r="A7086">
        <f t="shared" si="222"/>
        <v>1996</v>
      </c>
      <c r="B7086" s="821">
        <v>35342</v>
      </c>
      <c r="C7086">
        <v>6.74</v>
      </c>
      <c r="D7086">
        <f t="shared" si="223"/>
        <v>1</v>
      </c>
    </row>
    <row r="7087" spans="1:4" x14ac:dyDescent="0.55000000000000004">
      <c r="A7087">
        <f t="shared" si="222"/>
        <v>1996</v>
      </c>
      <c r="B7087" s="821">
        <v>35341</v>
      </c>
      <c r="C7087">
        <v>6.84</v>
      </c>
      <c r="D7087">
        <f t="shared" si="223"/>
        <v>1</v>
      </c>
    </row>
    <row r="7088" spans="1:4" x14ac:dyDescent="0.55000000000000004">
      <c r="A7088">
        <f t="shared" si="222"/>
        <v>1996</v>
      </c>
      <c r="B7088" s="821">
        <v>35340</v>
      </c>
      <c r="C7088">
        <v>6.84</v>
      </c>
      <c r="D7088">
        <f t="shared" si="223"/>
        <v>1</v>
      </c>
    </row>
    <row r="7089" spans="1:4" x14ac:dyDescent="0.55000000000000004">
      <c r="A7089">
        <f t="shared" si="222"/>
        <v>1996</v>
      </c>
      <c r="B7089" s="821">
        <v>35339</v>
      </c>
      <c r="C7089">
        <v>6.88</v>
      </c>
      <c r="D7089">
        <f t="shared" si="223"/>
        <v>1</v>
      </c>
    </row>
    <row r="7090" spans="1:4" x14ac:dyDescent="0.55000000000000004">
      <c r="A7090">
        <f t="shared" si="222"/>
        <v>1996</v>
      </c>
      <c r="B7090" s="821">
        <v>35338</v>
      </c>
      <c r="C7090">
        <v>6.93</v>
      </c>
      <c r="D7090">
        <f t="shared" si="223"/>
        <v>1</v>
      </c>
    </row>
    <row r="7091" spans="1:4" x14ac:dyDescent="0.55000000000000004">
      <c r="A7091">
        <f t="shared" si="222"/>
        <v>1996</v>
      </c>
      <c r="B7091" s="821">
        <v>35335</v>
      </c>
      <c r="C7091">
        <v>6.91</v>
      </c>
      <c r="D7091">
        <f t="shared" si="223"/>
        <v>1</v>
      </c>
    </row>
    <row r="7092" spans="1:4" x14ac:dyDescent="0.55000000000000004">
      <c r="A7092">
        <f t="shared" si="222"/>
        <v>1996</v>
      </c>
      <c r="B7092" s="821">
        <v>35334</v>
      </c>
      <c r="C7092">
        <v>6.88</v>
      </c>
      <c r="D7092">
        <f t="shared" si="223"/>
        <v>1</v>
      </c>
    </row>
    <row r="7093" spans="1:4" x14ac:dyDescent="0.55000000000000004">
      <c r="A7093">
        <f t="shared" si="222"/>
        <v>1996</v>
      </c>
      <c r="B7093" s="821">
        <v>35333</v>
      </c>
      <c r="C7093">
        <v>6.93</v>
      </c>
      <c r="D7093">
        <f t="shared" si="223"/>
        <v>1</v>
      </c>
    </row>
    <row r="7094" spans="1:4" x14ac:dyDescent="0.55000000000000004">
      <c r="A7094">
        <f t="shared" si="222"/>
        <v>1996</v>
      </c>
      <c r="B7094" s="821">
        <v>35332</v>
      </c>
      <c r="C7094">
        <v>6.99</v>
      </c>
      <c r="D7094">
        <f t="shared" si="223"/>
        <v>1</v>
      </c>
    </row>
    <row r="7095" spans="1:4" x14ac:dyDescent="0.55000000000000004">
      <c r="A7095">
        <f t="shared" si="222"/>
        <v>1996</v>
      </c>
      <c r="B7095" s="821">
        <v>35331</v>
      </c>
      <c r="C7095">
        <v>7.02</v>
      </c>
      <c r="D7095">
        <f t="shared" si="223"/>
        <v>1</v>
      </c>
    </row>
    <row r="7096" spans="1:4" x14ac:dyDescent="0.55000000000000004">
      <c r="A7096">
        <f t="shared" si="222"/>
        <v>1996</v>
      </c>
      <c r="B7096" s="821">
        <v>35328</v>
      </c>
      <c r="C7096">
        <v>7.04</v>
      </c>
      <c r="D7096">
        <f t="shared" si="223"/>
        <v>1</v>
      </c>
    </row>
    <row r="7097" spans="1:4" x14ac:dyDescent="0.55000000000000004">
      <c r="A7097">
        <f t="shared" si="222"/>
        <v>1996</v>
      </c>
      <c r="B7097" s="821">
        <v>35327</v>
      </c>
      <c r="C7097">
        <v>7.05</v>
      </c>
      <c r="D7097">
        <f t="shared" si="223"/>
        <v>1</v>
      </c>
    </row>
    <row r="7098" spans="1:4" x14ac:dyDescent="0.55000000000000004">
      <c r="A7098">
        <f t="shared" si="222"/>
        <v>1996</v>
      </c>
      <c r="B7098" s="821">
        <v>35326</v>
      </c>
      <c r="C7098">
        <v>7.02</v>
      </c>
      <c r="D7098">
        <f t="shared" si="223"/>
        <v>1</v>
      </c>
    </row>
    <row r="7099" spans="1:4" x14ac:dyDescent="0.55000000000000004">
      <c r="A7099">
        <f t="shared" si="222"/>
        <v>1996</v>
      </c>
      <c r="B7099" s="821">
        <v>35325</v>
      </c>
      <c r="C7099">
        <v>7</v>
      </c>
      <c r="D7099">
        <f t="shared" si="223"/>
        <v>1</v>
      </c>
    </row>
    <row r="7100" spans="1:4" x14ac:dyDescent="0.55000000000000004">
      <c r="A7100">
        <f t="shared" si="222"/>
        <v>1996</v>
      </c>
      <c r="B7100" s="821">
        <v>35324</v>
      </c>
      <c r="C7100">
        <v>6.95</v>
      </c>
      <c r="D7100">
        <f t="shared" si="223"/>
        <v>1</v>
      </c>
    </row>
    <row r="7101" spans="1:4" x14ac:dyDescent="0.55000000000000004">
      <c r="A7101">
        <f t="shared" si="222"/>
        <v>1996</v>
      </c>
      <c r="B7101" s="821">
        <v>35321</v>
      </c>
      <c r="C7101">
        <v>6.95</v>
      </c>
      <c r="D7101">
        <f t="shared" si="223"/>
        <v>1</v>
      </c>
    </row>
    <row r="7102" spans="1:4" x14ac:dyDescent="0.55000000000000004">
      <c r="A7102">
        <f t="shared" si="222"/>
        <v>1996</v>
      </c>
      <c r="B7102" s="821">
        <v>35320</v>
      </c>
      <c r="C7102">
        <v>7.08</v>
      </c>
      <c r="D7102">
        <f t="shared" si="223"/>
        <v>1</v>
      </c>
    </row>
    <row r="7103" spans="1:4" x14ac:dyDescent="0.55000000000000004">
      <c r="A7103">
        <f t="shared" si="222"/>
        <v>1996</v>
      </c>
      <c r="B7103" s="821">
        <v>35319</v>
      </c>
      <c r="C7103">
        <v>7.12</v>
      </c>
      <c r="D7103">
        <f t="shared" si="223"/>
        <v>1</v>
      </c>
    </row>
    <row r="7104" spans="1:4" x14ac:dyDescent="0.55000000000000004">
      <c r="A7104">
        <f t="shared" si="222"/>
        <v>1996</v>
      </c>
      <c r="B7104" s="821">
        <v>35318</v>
      </c>
      <c r="C7104">
        <v>7.13</v>
      </c>
      <c r="D7104">
        <f t="shared" si="223"/>
        <v>1</v>
      </c>
    </row>
    <row r="7105" spans="1:4" x14ac:dyDescent="0.55000000000000004">
      <c r="A7105">
        <f t="shared" si="222"/>
        <v>1996</v>
      </c>
      <c r="B7105" s="821">
        <v>35317</v>
      </c>
      <c r="C7105">
        <v>7.08</v>
      </c>
      <c r="D7105">
        <f t="shared" si="223"/>
        <v>1</v>
      </c>
    </row>
    <row r="7106" spans="1:4" x14ac:dyDescent="0.55000000000000004">
      <c r="A7106">
        <f t="shared" si="222"/>
        <v>1996</v>
      </c>
      <c r="B7106" s="821">
        <v>35314</v>
      </c>
      <c r="C7106">
        <v>7.12</v>
      </c>
      <c r="D7106">
        <f t="shared" si="223"/>
        <v>1</v>
      </c>
    </row>
    <row r="7107" spans="1:4" x14ac:dyDescent="0.55000000000000004">
      <c r="A7107">
        <f t="shared" si="222"/>
        <v>1996</v>
      </c>
      <c r="B7107" s="821">
        <v>35313</v>
      </c>
      <c r="C7107">
        <v>7.15</v>
      </c>
      <c r="D7107">
        <f t="shared" si="223"/>
        <v>1</v>
      </c>
    </row>
    <row r="7108" spans="1:4" x14ac:dyDescent="0.55000000000000004">
      <c r="A7108">
        <f t="shared" ref="A7108:A7171" si="224">YEAR(B7108)</f>
        <v>1996</v>
      </c>
      <c r="B7108" s="821">
        <v>35312</v>
      </c>
      <c r="C7108">
        <v>7.1</v>
      </c>
      <c r="D7108">
        <f t="shared" ref="D7108:D7171" si="225">IF(C7108&gt;4,1,0)</f>
        <v>1</v>
      </c>
    </row>
    <row r="7109" spans="1:4" x14ac:dyDescent="0.55000000000000004">
      <c r="A7109">
        <f t="shared" si="224"/>
        <v>1996</v>
      </c>
      <c r="B7109" s="821">
        <v>35311</v>
      </c>
      <c r="C7109">
        <v>7.07</v>
      </c>
      <c r="D7109">
        <f t="shared" si="225"/>
        <v>1</v>
      </c>
    </row>
    <row r="7110" spans="1:4" x14ac:dyDescent="0.55000000000000004">
      <c r="A7110">
        <f t="shared" si="224"/>
        <v>1996</v>
      </c>
      <c r="B7110" s="821">
        <v>35307</v>
      </c>
      <c r="C7110">
        <v>7.13</v>
      </c>
      <c r="D7110">
        <f t="shared" si="225"/>
        <v>1</v>
      </c>
    </row>
    <row r="7111" spans="1:4" x14ac:dyDescent="0.55000000000000004">
      <c r="A7111">
        <f t="shared" si="224"/>
        <v>1996</v>
      </c>
      <c r="B7111" s="821">
        <v>35306</v>
      </c>
      <c r="C7111">
        <v>7.05</v>
      </c>
      <c r="D7111">
        <f t="shared" si="225"/>
        <v>1</v>
      </c>
    </row>
    <row r="7112" spans="1:4" x14ac:dyDescent="0.55000000000000004">
      <c r="A7112">
        <f t="shared" si="224"/>
        <v>1996</v>
      </c>
      <c r="B7112" s="821">
        <v>35305</v>
      </c>
      <c r="C7112">
        <v>6.99</v>
      </c>
      <c r="D7112">
        <f t="shared" si="225"/>
        <v>1</v>
      </c>
    </row>
    <row r="7113" spans="1:4" x14ac:dyDescent="0.55000000000000004">
      <c r="A7113">
        <f t="shared" si="224"/>
        <v>1996</v>
      </c>
      <c r="B7113" s="821">
        <v>35304</v>
      </c>
      <c r="C7113">
        <v>6.97</v>
      </c>
      <c r="D7113">
        <f t="shared" si="225"/>
        <v>1</v>
      </c>
    </row>
    <row r="7114" spans="1:4" x14ac:dyDescent="0.55000000000000004">
      <c r="A7114">
        <f t="shared" si="224"/>
        <v>1996</v>
      </c>
      <c r="B7114" s="821">
        <v>35303</v>
      </c>
      <c r="C7114">
        <v>7</v>
      </c>
      <c r="D7114">
        <f t="shared" si="225"/>
        <v>1</v>
      </c>
    </row>
    <row r="7115" spans="1:4" x14ac:dyDescent="0.55000000000000004">
      <c r="A7115">
        <f t="shared" si="224"/>
        <v>1996</v>
      </c>
      <c r="B7115" s="821">
        <v>35300</v>
      </c>
      <c r="C7115">
        <v>6.93</v>
      </c>
      <c r="D7115">
        <f t="shared" si="225"/>
        <v>1</v>
      </c>
    </row>
    <row r="7116" spans="1:4" x14ac:dyDescent="0.55000000000000004">
      <c r="A7116">
        <f t="shared" si="224"/>
        <v>1996</v>
      </c>
      <c r="B7116" s="821">
        <v>35299</v>
      </c>
      <c r="C7116">
        <v>6.84</v>
      </c>
      <c r="D7116">
        <f t="shared" si="225"/>
        <v>1</v>
      </c>
    </row>
    <row r="7117" spans="1:4" x14ac:dyDescent="0.55000000000000004">
      <c r="A7117">
        <f t="shared" si="224"/>
        <v>1996</v>
      </c>
      <c r="B7117" s="821">
        <v>35298</v>
      </c>
      <c r="C7117">
        <v>6.83</v>
      </c>
      <c r="D7117">
        <f t="shared" si="225"/>
        <v>1</v>
      </c>
    </row>
    <row r="7118" spans="1:4" x14ac:dyDescent="0.55000000000000004">
      <c r="A7118">
        <f t="shared" si="224"/>
        <v>1996</v>
      </c>
      <c r="B7118" s="821">
        <v>35297</v>
      </c>
      <c r="C7118">
        <v>6.8</v>
      </c>
      <c r="D7118">
        <f t="shared" si="225"/>
        <v>1</v>
      </c>
    </row>
    <row r="7119" spans="1:4" x14ac:dyDescent="0.55000000000000004">
      <c r="A7119">
        <f t="shared" si="224"/>
        <v>1996</v>
      </c>
      <c r="B7119" s="821">
        <v>35296</v>
      </c>
      <c r="C7119">
        <v>6.8</v>
      </c>
      <c r="D7119">
        <f t="shared" si="225"/>
        <v>1</v>
      </c>
    </row>
    <row r="7120" spans="1:4" x14ac:dyDescent="0.55000000000000004">
      <c r="A7120">
        <f t="shared" si="224"/>
        <v>1996</v>
      </c>
      <c r="B7120" s="821">
        <v>35293</v>
      </c>
      <c r="C7120">
        <v>6.77</v>
      </c>
      <c r="D7120">
        <f t="shared" si="225"/>
        <v>1</v>
      </c>
    </row>
    <row r="7121" spans="1:4" x14ac:dyDescent="0.55000000000000004">
      <c r="A7121">
        <f t="shared" si="224"/>
        <v>1996</v>
      </c>
      <c r="B7121" s="821">
        <v>35292</v>
      </c>
      <c r="C7121">
        <v>6.82</v>
      </c>
      <c r="D7121">
        <f t="shared" si="225"/>
        <v>1</v>
      </c>
    </row>
    <row r="7122" spans="1:4" x14ac:dyDescent="0.55000000000000004">
      <c r="A7122">
        <f t="shared" si="224"/>
        <v>1996</v>
      </c>
      <c r="B7122" s="821">
        <v>35291</v>
      </c>
      <c r="C7122">
        <v>6.78</v>
      </c>
      <c r="D7122">
        <f t="shared" si="225"/>
        <v>1</v>
      </c>
    </row>
    <row r="7123" spans="1:4" x14ac:dyDescent="0.55000000000000004">
      <c r="A7123">
        <f t="shared" si="224"/>
        <v>1996</v>
      </c>
      <c r="B7123" s="821">
        <v>35290</v>
      </c>
      <c r="C7123">
        <v>6.78</v>
      </c>
      <c r="D7123">
        <f t="shared" si="225"/>
        <v>1</v>
      </c>
    </row>
    <row r="7124" spans="1:4" x14ac:dyDescent="0.55000000000000004">
      <c r="A7124">
        <f t="shared" si="224"/>
        <v>1996</v>
      </c>
      <c r="B7124" s="821">
        <v>35289</v>
      </c>
      <c r="C7124">
        <v>6.7</v>
      </c>
      <c r="D7124">
        <f t="shared" si="225"/>
        <v>1</v>
      </c>
    </row>
    <row r="7125" spans="1:4" x14ac:dyDescent="0.55000000000000004">
      <c r="A7125">
        <f t="shared" si="224"/>
        <v>1996</v>
      </c>
      <c r="B7125" s="821">
        <v>35286</v>
      </c>
      <c r="C7125">
        <v>6.7</v>
      </c>
      <c r="D7125">
        <f t="shared" si="225"/>
        <v>1</v>
      </c>
    </row>
    <row r="7126" spans="1:4" x14ac:dyDescent="0.55000000000000004">
      <c r="A7126">
        <f t="shared" si="224"/>
        <v>1996</v>
      </c>
      <c r="B7126" s="821">
        <v>35285</v>
      </c>
      <c r="C7126">
        <v>6.76</v>
      </c>
      <c r="D7126">
        <f t="shared" si="225"/>
        <v>1</v>
      </c>
    </row>
    <row r="7127" spans="1:4" x14ac:dyDescent="0.55000000000000004">
      <c r="A7127">
        <f t="shared" si="224"/>
        <v>1996</v>
      </c>
      <c r="B7127" s="821">
        <v>35284</v>
      </c>
      <c r="C7127">
        <v>6.78</v>
      </c>
      <c r="D7127">
        <f t="shared" si="225"/>
        <v>1</v>
      </c>
    </row>
    <row r="7128" spans="1:4" x14ac:dyDescent="0.55000000000000004">
      <c r="A7128">
        <f t="shared" si="224"/>
        <v>1996</v>
      </c>
      <c r="B7128" s="821">
        <v>35283</v>
      </c>
      <c r="C7128">
        <v>6.76</v>
      </c>
      <c r="D7128">
        <f t="shared" si="225"/>
        <v>1</v>
      </c>
    </row>
    <row r="7129" spans="1:4" x14ac:dyDescent="0.55000000000000004">
      <c r="A7129">
        <f t="shared" si="224"/>
        <v>1996</v>
      </c>
      <c r="B7129" s="821">
        <v>35282</v>
      </c>
      <c r="C7129">
        <v>6.75</v>
      </c>
      <c r="D7129">
        <f t="shared" si="225"/>
        <v>1</v>
      </c>
    </row>
    <row r="7130" spans="1:4" x14ac:dyDescent="0.55000000000000004">
      <c r="A7130">
        <f t="shared" si="224"/>
        <v>1996</v>
      </c>
      <c r="B7130" s="821">
        <v>35279</v>
      </c>
      <c r="C7130">
        <v>6.74</v>
      </c>
      <c r="D7130">
        <f t="shared" si="225"/>
        <v>1</v>
      </c>
    </row>
    <row r="7131" spans="1:4" x14ac:dyDescent="0.55000000000000004">
      <c r="A7131">
        <f t="shared" si="224"/>
        <v>1996</v>
      </c>
      <c r="B7131" s="821">
        <v>35278</v>
      </c>
      <c r="C7131">
        <v>6.84</v>
      </c>
      <c r="D7131">
        <f t="shared" si="225"/>
        <v>1</v>
      </c>
    </row>
    <row r="7132" spans="1:4" x14ac:dyDescent="0.55000000000000004">
      <c r="A7132">
        <f t="shared" si="224"/>
        <v>1996</v>
      </c>
      <c r="B7132" s="821">
        <v>35277</v>
      </c>
      <c r="C7132">
        <v>6.98</v>
      </c>
      <c r="D7132">
        <f t="shared" si="225"/>
        <v>1</v>
      </c>
    </row>
    <row r="7133" spans="1:4" x14ac:dyDescent="0.55000000000000004">
      <c r="A7133">
        <f t="shared" si="224"/>
        <v>1996</v>
      </c>
      <c r="B7133" s="821">
        <v>35276</v>
      </c>
      <c r="C7133">
        <v>7.05</v>
      </c>
      <c r="D7133">
        <f t="shared" si="225"/>
        <v>1</v>
      </c>
    </row>
    <row r="7134" spans="1:4" x14ac:dyDescent="0.55000000000000004">
      <c r="A7134">
        <f t="shared" si="224"/>
        <v>1996</v>
      </c>
      <c r="B7134" s="821">
        <v>35275</v>
      </c>
      <c r="C7134">
        <v>7.09</v>
      </c>
      <c r="D7134">
        <f t="shared" si="225"/>
        <v>1</v>
      </c>
    </row>
    <row r="7135" spans="1:4" x14ac:dyDescent="0.55000000000000004">
      <c r="A7135">
        <f t="shared" si="224"/>
        <v>1996</v>
      </c>
      <c r="B7135" s="821">
        <v>35272</v>
      </c>
      <c r="C7135">
        <v>7.02</v>
      </c>
      <c r="D7135">
        <f t="shared" si="225"/>
        <v>1</v>
      </c>
    </row>
    <row r="7136" spans="1:4" x14ac:dyDescent="0.55000000000000004">
      <c r="A7136">
        <f t="shared" si="224"/>
        <v>1996</v>
      </c>
      <c r="B7136" s="821">
        <v>35271</v>
      </c>
      <c r="C7136">
        <v>7.04</v>
      </c>
      <c r="D7136">
        <f t="shared" si="225"/>
        <v>1</v>
      </c>
    </row>
    <row r="7137" spans="1:4" x14ac:dyDescent="0.55000000000000004">
      <c r="A7137">
        <f t="shared" si="224"/>
        <v>1996</v>
      </c>
      <c r="B7137" s="821">
        <v>35270</v>
      </c>
      <c r="C7137">
        <v>7.04</v>
      </c>
      <c r="D7137">
        <f t="shared" si="225"/>
        <v>1</v>
      </c>
    </row>
    <row r="7138" spans="1:4" x14ac:dyDescent="0.55000000000000004">
      <c r="A7138">
        <f t="shared" si="224"/>
        <v>1996</v>
      </c>
      <c r="B7138" s="821">
        <v>35269</v>
      </c>
      <c r="C7138">
        <v>6.97</v>
      </c>
      <c r="D7138">
        <f t="shared" si="225"/>
        <v>1</v>
      </c>
    </row>
    <row r="7139" spans="1:4" x14ac:dyDescent="0.55000000000000004">
      <c r="A7139">
        <f t="shared" si="224"/>
        <v>1996</v>
      </c>
      <c r="B7139" s="821">
        <v>35268</v>
      </c>
      <c r="C7139">
        <v>7.01</v>
      </c>
      <c r="D7139">
        <f t="shared" si="225"/>
        <v>1</v>
      </c>
    </row>
    <row r="7140" spans="1:4" x14ac:dyDescent="0.55000000000000004">
      <c r="A7140">
        <f t="shared" si="224"/>
        <v>1996</v>
      </c>
      <c r="B7140" s="821">
        <v>35265</v>
      </c>
      <c r="C7140">
        <v>6.97</v>
      </c>
      <c r="D7140">
        <f t="shared" si="225"/>
        <v>1</v>
      </c>
    </row>
    <row r="7141" spans="1:4" x14ac:dyDescent="0.55000000000000004">
      <c r="A7141">
        <f t="shared" si="224"/>
        <v>1996</v>
      </c>
      <c r="B7141" s="821">
        <v>35264</v>
      </c>
      <c r="C7141">
        <v>6.92</v>
      </c>
      <c r="D7141">
        <f t="shared" si="225"/>
        <v>1</v>
      </c>
    </row>
    <row r="7142" spans="1:4" x14ac:dyDescent="0.55000000000000004">
      <c r="A7142">
        <f t="shared" si="224"/>
        <v>1996</v>
      </c>
      <c r="B7142" s="821">
        <v>35263</v>
      </c>
      <c r="C7142">
        <v>7.02</v>
      </c>
      <c r="D7142">
        <f t="shared" si="225"/>
        <v>1</v>
      </c>
    </row>
    <row r="7143" spans="1:4" x14ac:dyDescent="0.55000000000000004">
      <c r="A7143">
        <f t="shared" si="224"/>
        <v>1996</v>
      </c>
      <c r="B7143" s="821">
        <v>35262</v>
      </c>
      <c r="C7143">
        <v>7.03</v>
      </c>
      <c r="D7143">
        <f t="shared" si="225"/>
        <v>1</v>
      </c>
    </row>
    <row r="7144" spans="1:4" x14ac:dyDescent="0.55000000000000004">
      <c r="A7144">
        <f t="shared" si="224"/>
        <v>1996</v>
      </c>
      <c r="B7144" s="821">
        <v>35261</v>
      </c>
      <c r="C7144">
        <v>7.07</v>
      </c>
      <c r="D7144">
        <f t="shared" si="225"/>
        <v>1</v>
      </c>
    </row>
    <row r="7145" spans="1:4" x14ac:dyDescent="0.55000000000000004">
      <c r="A7145">
        <f t="shared" si="224"/>
        <v>1996</v>
      </c>
      <c r="B7145" s="821">
        <v>35258</v>
      </c>
      <c r="C7145">
        <v>7.03</v>
      </c>
      <c r="D7145">
        <f t="shared" si="225"/>
        <v>1</v>
      </c>
    </row>
    <row r="7146" spans="1:4" x14ac:dyDescent="0.55000000000000004">
      <c r="A7146">
        <f t="shared" si="224"/>
        <v>1996</v>
      </c>
      <c r="B7146" s="821">
        <v>35257</v>
      </c>
      <c r="C7146">
        <v>7.07</v>
      </c>
      <c r="D7146">
        <f t="shared" si="225"/>
        <v>1</v>
      </c>
    </row>
    <row r="7147" spans="1:4" x14ac:dyDescent="0.55000000000000004">
      <c r="A7147">
        <f t="shared" si="224"/>
        <v>1996</v>
      </c>
      <c r="B7147" s="821">
        <v>35256</v>
      </c>
      <c r="C7147">
        <v>7.1</v>
      </c>
      <c r="D7147">
        <f t="shared" si="225"/>
        <v>1</v>
      </c>
    </row>
    <row r="7148" spans="1:4" x14ac:dyDescent="0.55000000000000004">
      <c r="A7148">
        <f t="shared" si="224"/>
        <v>1996</v>
      </c>
      <c r="B7148" s="821">
        <v>35255</v>
      </c>
      <c r="C7148">
        <v>7.15</v>
      </c>
      <c r="D7148">
        <f t="shared" si="225"/>
        <v>1</v>
      </c>
    </row>
    <row r="7149" spans="1:4" x14ac:dyDescent="0.55000000000000004">
      <c r="A7149">
        <f t="shared" si="224"/>
        <v>1996</v>
      </c>
      <c r="B7149" s="821">
        <v>35254</v>
      </c>
      <c r="C7149">
        <v>7.19</v>
      </c>
      <c r="D7149">
        <f t="shared" si="225"/>
        <v>1</v>
      </c>
    </row>
    <row r="7150" spans="1:4" x14ac:dyDescent="0.55000000000000004">
      <c r="A7150">
        <f t="shared" si="224"/>
        <v>1996</v>
      </c>
      <c r="B7150" s="821">
        <v>35251</v>
      </c>
      <c r="C7150">
        <v>7.19</v>
      </c>
      <c r="D7150">
        <f t="shared" si="225"/>
        <v>1</v>
      </c>
    </row>
    <row r="7151" spans="1:4" x14ac:dyDescent="0.55000000000000004">
      <c r="A7151">
        <f t="shared" si="224"/>
        <v>1996</v>
      </c>
      <c r="B7151" s="821">
        <v>35249</v>
      </c>
      <c r="C7151">
        <v>6.94</v>
      </c>
      <c r="D7151">
        <f t="shared" si="225"/>
        <v>1</v>
      </c>
    </row>
    <row r="7152" spans="1:4" x14ac:dyDescent="0.55000000000000004">
      <c r="A7152">
        <f t="shared" si="224"/>
        <v>1996</v>
      </c>
      <c r="B7152" s="821">
        <v>35248</v>
      </c>
      <c r="C7152">
        <v>6.94</v>
      </c>
      <c r="D7152">
        <f t="shared" si="225"/>
        <v>1</v>
      </c>
    </row>
    <row r="7153" spans="1:4" x14ac:dyDescent="0.55000000000000004">
      <c r="A7153">
        <f t="shared" si="224"/>
        <v>1996</v>
      </c>
      <c r="B7153" s="821">
        <v>35247</v>
      </c>
      <c r="C7153">
        <v>6.91</v>
      </c>
      <c r="D7153">
        <f t="shared" si="225"/>
        <v>1</v>
      </c>
    </row>
    <row r="7154" spans="1:4" x14ac:dyDescent="0.55000000000000004">
      <c r="A7154">
        <f t="shared" si="224"/>
        <v>1996</v>
      </c>
      <c r="B7154" s="821">
        <v>35244</v>
      </c>
      <c r="C7154">
        <v>6.9</v>
      </c>
      <c r="D7154">
        <f t="shared" si="225"/>
        <v>1</v>
      </c>
    </row>
    <row r="7155" spans="1:4" x14ac:dyDescent="0.55000000000000004">
      <c r="A7155">
        <f t="shared" si="224"/>
        <v>1996</v>
      </c>
      <c r="B7155" s="821">
        <v>35243</v>
      </c>
      <c r="C7155">
        <v>6.99</v>
      </c>
      <c r="D7155">
        <f t="shared" si="225"/>
        <v>1</v>
      </c>
    </row>
    <row r="7156" spans="1:4" x14ac:dyDescent="0.55000000000000004">
      <c r="A7156">
        <f t="shared" si="224"/>
        <v>1996</v>
      </c>
      <c r="B7156" s="821">
        <v>35242</v>
      </c>
      <c r="C7156">
        <v>7.05</v>
      </c>
      <c r="D7156">
        <f t="shared" si="225"/>
        <v>1</v>
      </c>
    </row>
    <row r="7157" spans="1:4" x14ac:dyDescent="0.55000000000000004">
      <c r="A7157">
        <f t="shared" si="224"/>
        <v>1996</v>
      </c>
      <c r="B7157" s="821">
        <v>35241</v>
      </c>
      <c r="C7157">
        <v>7.06</v>
      </c>
      <c r="D7157">
        <f t="shared" si="225"/>
        <v>1</v>
      </c>
    </row>
    <row r="7158" spans="1:4" x14ac:dyDescent="0.55000000000000004">
      <c r="A7158">
        <f t="shared" si="224"/>
        <v>1996</v>
      </c>
      <c r="B7158" s="821">
        <v>35240</v>
      </c>
      <c r="C7158">
        <v>7.09</v>
      </c>
      <c r="D7158">
        <f t="shared" si="225"/>
        <v>1</v>
      </c>
    </row>
    <row r="7159" spans="1:4" x14ac:dyDescent="0.55000000000000004">
      <c r="A7159">
        <f t="shared" si="224"/>
        <v>1996</v>
      </c>
      <c r="B7159" s="821">
        <v>35237</v>
      </c>
      <c r="C7159">
        <v>7.11</v>
      </c>
      <c r="D7159">
        <f t="shared" si="225"/>
        <v>1</v>
      </c>
    </row>
    <row r="7160" spans="1:4" x14ac:dyDescent="0.55000000000000004">
      <c r="A7160">
        <f t="shared" si="224"/>
        <v>1996</v>
      </c>
      <c r="B7160" s="821">
        <v>35236</v>
      </c>
      <c r="C7160">
        <v>7.12</v>
      </c>
      <c r="D7160">
        <f t="shared" si="225"/>
        <v>1</v>
      </c>
    </row>
    <row r="7161" spans="1:4" x14ac:dyDescent="0.55000000000000004">
      <c r="A7161">
        <f t="shared" si="224"/>
        <v>1996</v>
      </c>
      <c r="B7161" s="821">
        <v>35235</v>
      </c>
      <c r="C7161">
        <v>7.12</v>
      </c>
      <c r="D7161">
        <f t="shared" si="225"/>
        <v>1</v>
      </c>
    </row>
    <row r="7162" spans="1:4" x14ac:dyDescent="0.55000000000000004">
      <c r="A7162">
        <f t="shared" si="224"/>
        <v>1996</v>
      </c>
      <c r="B7162" s="821">
        <v>35234</v>
      </c>
      <c r="C7162">
        <v>7.09</v>
      </c>
      <c r="D7162">
        <f t="shared" si="225"/>
        <v>1</v>
      </c>
    </row>
    <row r="7163" spans="1:4" x14ac:dyDescent="0.55000000000000004">
      <c r="A7163">
        <f t="shared" si="224"/>
        <v>1996</v>
      </c>
      <c r="B7163" s="821">
        <v>35233</v>
      </c>
      <c r="C7163">
        <v>7.06</v>
      </c>
      <c r="D7163">
        <f t="shared" si="225"/>
        <v>1</v>
      </c>
    </row>
    <row r="7164" spans="1:4" x14ac:dyDescent="0.55000000000000004">
      <c r="A7164">
        <f t="shared" si="224"/>
        <v>1996</v>
      </c>
      <c r="B7164" s="821">
        <v>35230</v>
      </c>
      <c r="C7164">
        <v>7.1</v>
      </c>
      <c r="D7164">
        <f t="shared" si="225"/>
        <v>1</v>
      </c>
    </row>
    <row r="7165" spans="1:4" x14ac:dyDescent="0.55000000000000004">
      <c r="A7165">
        <f t="shared" si="224"/>
        <v>1996</v>
      </c>
      <c r="B7165" s="821">
        <v>35229</v>
      </c>
      <c r="C7165">
        <v>7.15</v>
      </c>
      <c r="D7165">
        <f t="shared" si="225"/>
        <v>1</v>
      </c>
    </row>
    <row r="7166" spans="1:4" x14ac:dyDescent="0.55000000000000004">
      <c r="A7166">
        <f t="shared" si="224"/>
        <v>1996</v>
      </c>
      <c r="B7166" s="821">
        <v>35228</v>
      </c>
      <c r="C7166">
        <v>7.18</v>
      </c>
      <c r="D7166">
        <f t="shared" si="225"/>
        <v>1</v>
      </c>
    </row>
    <row r="7167" spans="1:4" x14ac:dyDescent="0.55000000000000004">
      <c r="A7167">
        <f t="shared" si="224"/>
        <v>1996</v>
      </c>
      <c r="B7167" s="821">
        <v>35227</v>
      </c>
      <c r="C7167">
        <v>7.13</v>
      </c>
      <c r="D7167">
        <f t="shared" si="225"/>
        <v>1</v>
      </c>
    </row>
    <row r="7168" spans="1:4" x14ac:dyDescent="0.55000000000000004">
      <c r="A7168">
        <f t="shared" si="224"/>
        <v>1996</v>
      </c>
      <c r="B7168" s="821">
        <v>35226</v>
      </c>
      <c r="C7168">
        <v>7.1</v>
      </c>
      <c r="D7168">
        <f t="shared" si="225"/>
        <v>1</v>
      </c>
    </row>
    <row r="7169" spans="1:4" x14ac:dyDescent="0.55000000000000004">
      <c r="A7169">
        <f t="shared" si="224"/>
        <v>1996</v>
      </c>
      <c r="B7169" s="821">
        <v>35223</v>
      </c>
      <c r="C7169">
        <v>7.05</v>
      </c>
      <c r="D7169">
        <f t="shared" si="225"/>
        <v>1</v>
      </c>
    </row>
    <row r="7170" spans="1:4" x14ac:dyDescent="0.55000000000000004">
      <c r="A7170">
        <f t="shared" si="224"/>
        <v>1996</v>
      </c>
      <c r="B7170" s="821">
        <v>35222</v>
      </c>
      <c r="C7170">
        <v>6.91</v>
      </c>
      <c r="D7170">
        <f t="shared" si="225"/>
        <v>1</v>
      </c>
    </row>
    <row r="7171" spans="1:4" x14ac:dyDescent="0.55000000000000004">
      <c r="A7171">
        <f t="shared" si="224"/>
        <v>1996</v>
      </c>
      <c r="B7171" s="821">
        <v>35221</v>
      </c>
      <c r="C7171">
        <v>6.96</v>
      </c>
      <c r="D7171">
        <f t="shared" si="225"/>
        <v>1</v>
      </c>
    </row>
    <row r="7172" spans="1:4" x14ac:dyDescent="0.55000000000000004">
      <c r="A7172">
        <f t="shared" ref="A7172:A7235" si="226">YEAR(B7172)</f>
        <v>1996</v>
      </c>
      <c r="B7172" s="821">
        <v>35220</v>
      </c>
      <c r="C7172">
        <v>7</v>
      </c>
      <c r="D7172">
        <f t="shared" ref="D7172:D7235" si="227">IF(C7172&gt;4,1,0)</f>
        <v>1</v>
      </c>
    </row>
    <row r="7173" spans="1:4" x14ac:dyDescent="0.55000000000000004">
      <c r="A7173">
        <f t="shared" si="226"/>
        <v>1996</v>
      </c>
      <c r="B7173" s="821">
        <v>35219</v>
      </c>
      <c r="C7173">
        <v>7.01</v>
      </c>
      <c r="D7173">
        <f t="shared" si="227"/>
        <v>1</v>
      </c>
    </row>
    <row r="7174" spans="1:4" x14ac:dyDescent="0.55000000000000004">
      <c r="A7174">
        <f t="shared" si="226"/>
        <v>1996</v>
      </c>
      <c r="B7174" s="821">
        <v>35216</v>
      </c>
      <c r="C7174">
        <v>7</v>
      </c>
      <c r="D7174">
        <f t="shared" si="227"/>
        <v>1</v>
      </c>
    </row>
    <row r="7175" spans="1:4" x14ac:dyDescent="0.55000000000000004">
      <c r="A7175">
        <f t="shared" si="226"/>
        <v>1996</v>
      </c>
      <c r="B7175" s="821">
        <v>35215</v>
      </c>
      <c r="C7175">
        <v>6.92</v>
      </c>
      <c r="D7175">
        <f t="shared" si="227"/>
        <v>1</v>
      </c>
    </row>
    <row r="7176" spans="1:4" x14ac:dyDescent="0.55000000000000004">
      <c r="A7176">
        <f t="shared" si="226"/>
        <v>1996</v>
      </c>
      <c r="B7176" s="821">
        <v>35214</v>
      </c>
      <c r="C7176">
        <v>6.94</v>
      </c>
      <c r="D7176">
        <f t="shared" si="227"/>
        <v>1</v>
      </c>
    </row>
    <row r="7177" spans="1:4" x14ac:dyDescent="0.55000000000000004">
      <c r="A7177">
        <f t="shared" si="226"/>
        <v>1996</v>
      </c>
      <c r="B7177" s="821">
        <v>35213</v>
      </c>
      <c r="C7177">
        <v>6.85</v>
      </c>
      <c r="D7177">
        <f t="shared" si="227"/>
        <v>1</v>
      </c>
    </row>
    <row r="7178" spans="1:4" x14ac:dyDescent="0.55000000000000004">
      <c r="A7178">
        <f t="shared" si="226"/>
        <v>1996</v>
      </c>
      <c r="B7178" s="821">
        <v>35209</v>
      </c>
      <c r="C7178">
        <v>6.84</v>
      </c>
      <c r="D7178">
        <f t="shared" si="227"/>
        <v>1</v>
      </c>
    </row>
    <row r="7179" spans="1:4" x14ac:dyDescent="0.55000000000000004">
      <c r="A7179">
        <f t="shared" si="226"/>
        <v>1996</v>
      </c>
      <c r="B7179" s="821">
        <v>35208</v>
      </c>
      <c r="C7179">
        <v>6.87</v>
      </c>
      <c r="D7179">
        <f t="shared" si="227"/>
        <v>1</v>
      </c>
    </row>
    <row r="7180" spans="1:4" x14ac:dyDescent="0.55000000000000004">
      <c r="A7180">
        <f t="shared" si="226"/>
        <v>1996</v>
      </c>
      <c r="B7180" s="821">
        <v>35207</v>
      </c>
      <c r="C7180">
        <v>6.81</v>
      </c>
      <c r="D7180">
        <f t="shared" si="227"/>
        <v>1</v>
      </c>
    </row>
    <row r="7181" spans="1:4" x14ac:dyDescent="0.55000000000000004">
      <c r="A7181">
        <f t="shared" si="226"/>
        <v>1996</v>
      </c>
      <c r="B7181" s="821">
        <v>35206</v>
      </c>
      <c r="C7181">
        <v>6.85</v>
      </c>
      <c r="D7181">
        <f t="shared" si="227"/>
        <v>1</v>
      </c>
    </row>
    <row r="7182" spans="1:4" x14ac:dyDescent="0.55000000000000004">
      <c r="A7182">
        <f t="shared" si="226"/>
        <v>1996</v>
      </c>
      <c r="B7182" s="821">
        <v>35205</v>
      </c>
      <c r="C7182">
        <v>6.82</v>
      </c>
      <c r="D7182">
        <f t="shared" si="227"/>
        <v>1</v>
      </c>
    </row>
    <row r="7183" spans="1:4" x14ac:dyDescent="0.55000000000000004">
      <c r="A7183">
        <f t="shared" si="226"/>
        <v>1996</v>
      </c>
      <c r="B7183" s="821">
        <v>35202</v>
      </c>
      <c r="C7183">
        <v>6.84</v>
      </c>
      <c r="D7183">
        <f t="shared" si="227"/>
        <v>1</v>
      </c>
    </row>
    <row r="7184" spans="1:4" x14ac:dyDescent="0.55000000000000004">
      <c r="A7184">
        <f t="shared" si="226"/>
        <v>1996</v>
      </c>
      <c r="B7184" s="821">
        <v>35201</v>
      </c>
      <c r="C7184">
        <v>6.9</v>
      </c>
      <c r="D7184">
        <f t="shared" si="227"/>
        <v>1</v>
      </c>
    </row>
    <row r="7185" spans="1:4" x14ac:dyDescent="0.55000000000000004">
      <c r="A7185">
        <f t="shared" si="226"/>
        <v>1996</v>
      </c>
      <c r="B7185" s="821">
        <v>35200</v>
      </c>
      <c r="C7185">
        <v>6.84</v>
      </c>
      <c r="D7185">
        <f t="shared" si="227"/>
        <v>1</v>
      </c>
    </row>
    <row r="7186" spans="1:4" x14ac:dyDescent="0.55000000000000004">
      <c r="A7186">
        <f t="shared" si="226"/>
        <v>1996</v>
      </c>
      <c r="B7186" s="821">
        <v>35199</v>
      </c>
      <c r="C7186">
        <v>6.85</v>
      </c>
      <c r="D7186">
        <f t="shared" si="227"/>
        <v>1</v>
      </c>
    </row>
    <row r="7187" spans="1:4" x14ac:dyDescent="0.55000000000000004">
      <c r="A7187">
        <f t="shared" si="226"/>
        <v>1996</v>
      </c>
      <c r="B7187" s="821">
        <v>35198</v>
      </c>
      <c r="C7187">
        <v>6.9</v>
      </c>
      <c r="D7187">
        <f t="shared" si="227"/>
        <v>1</v>
      </c>
    </row>
    <row r="7188" spans="1:4" x14ac:dyDescent="0.55000000000000004">
      <c r="A7188">
        <f t="shared" si="226"/>
        <v>1996</v>
      </c>
      <c r="B7188" s="821">
        <v>35195</v>
      </c>
      <c r="C7188">
        <v>6.93</v>
      </c>
      <c r="D7188">
        <f t="shared" si="227"/>
        <v>1</v>
      </c>
    </row>
    <row r="7189" spans="1:4" x14ac:dyDescent="0.55000000000000004">
      <c r="A7189">
        <f t="shared" si="226"/>
        <v>1996</v>
      </c>
      <c r="B7189" s="821">
        <v>35194</v>
      </c>
      <c r="C7189">
        <v>7.02</v>
      </c>
      <c r="D7189">
        <f t="shared" si="227"/>
        <v>1</v>
      </c>
    </row>
    <row r="7190" spans="1:4" x14ac:dyDescent="0.55000000000000004">
      <c r="A7190">
        <f t="shared" si="226"/>
        <v>1996</v>
      </c>
      <c r="B7190" s="821">
        <v>35193</v>
      </c>
      <c r="C7190">
        <v>7</v>
      </c>
      <c r="D7190">
        <f t="shared" si="227"/>
        <v>1</v>
      </c>
    </row>
    <row r="7191" spans="1:4" x14ac:dyDescent="0.55000000000000004">
      <c r="A7191">
        <f t="shared" si="226"/>
        <v>1996</v>
      </c>
      <c r="B7191" s="821">
        <v>35192</v>
      </c>
      <c r="C7191">
        <v>7.08</v>
      </c>
      <c r="D7191">
        <f t="shared" si="227"/>
        <v>1</v>
      </c>
    </row>
    <row r="7192" spans="1:4" x14ac:dyDescent="0.55000000000000004">
      <c r="A7192">
        <f t="shared" si="226"/>
        <v>1996</v>
      </c>
      <c r="B7192" s="821">
        <v>35191</v>
      </c>
      <c r="C7192">
        <v>7.07</v>
      </c>
      <c r="D7192">
        <f t="shared" si="227"/>
        <v>1</v>
      </c>
    </row>
    <row r="7193" spans="1:4" x14ac:dyDescent="0.55000000000000004">
      <c r="A7193">
        <f t="shared" si="226"/>
        <v>1996</v>
      </c>
      <c r="B7193" s="821">
        <v>35188</v>
      </c>
      <c r="C7193">
        <v>7.12</v>
      </c>
      <c r="D7193">
        <f t="shared" si="227"/>
        <v>1</v>
      </c>
    </row>
    <row r="7194" spans="1:4" x14ac:dyDescent="0.55000000000000004">
      <c r="A7194">
        <f t="shared" si="226"/>
        <v>1996</v>
      </c>
      <c r="B7194" s="821">
        <v>35187</v>
      </c>
      <c r="C7194">
        <v>7.05</v>
      </c>
      <c r="D7194">
        <f t="shared" si="227"/>
        <v>1</v>
      </c>
    </row>
    <row r="7195" spans="1:4" x14ac:dyDescent="0.55000000000000004">
      <c r="A7195">
        <f t="shared" si="226"/>
        <v>1996</v>
      </c>
      <c r="B7195" s="821">
        <v>35186</v>
      </c>
      <c r="C7195">
        <v>6.91</v>
      </c>
      <c r="D7195">
        <f t="shared" si="227"/>
        <v>1</v>
      </c>
    </row>
    <row r="7196" spans="1:4" x14ac:dyDescent="0.55000000000000004">
      <c r="A7196">
        <f t="shared" si="226"/>
        <v>1996</v>
      </c>
      <c r="B7196" s="821">
        <v>35185</v>
      </c>
      <c r="C7196">
        <v>6.89</v>
      </c>
      <c r="D7196">
        <f t="shared" si="227"/>
        <v>1</v>
      </c>
    </row>
    <row r="7197" spans="1:4" x14ac:dyDescent="0.55000000000000004">
      <c r="A7197">
        <f t="shared" si="226"/>
        <v>1996</v>
      </c>
      <c r="B7197" s="821">
        <v>35184</v>
      </c>
      <c r="C7197">
        <v>6.83</v>
      </c>
      <c r="D7197">
        <f t="shared" si="227"/>
        <v>1</v>
      </c>
    </row>
    <row r="7198" spans="1:4" x14ac:dyDescent="0.55000000000000004">
      <c r="A7198">
        <f t="shared" si="226"/>
        <v>1996</v>
      </c>
      <c r="B7198" s="821">
        <v>35181</v>
      </c>
      <c r="C7198">
        <v>6.79</v>
      </c>
      <c r="D7198">
        <f t="shared" si="227"/>
        <v>1</v>
      </c>
    </row>
    <row r="7199" spans="1:4" x14ac:dyDescent="0.55000000000000004">
      <c r="A7199">
        <f t="shared" si="226"/>
        <v>1996</v>
      </c>
      <c r="B7199" s="821">
        <v>35180</v>
      </c>
      <c r="C7199">
        <v>6.81</v>
      </c>
      <c r="D7199">
        <f t="shared" si="227"/>
        <v>1</v>
      </c>
    </row>
    <row r="7200" spans="1:4" x14ac:dyDescent="0.55000000000000004">
      <c r="A7200">
        <f t="shared" si="226"/>
        <v>1996</v>
      </c>
      <c r="B7200" s="821">
        <v>35179</v>
      </c>
      <c r="C7200">
        <v>6.81</v>
      </c>
      <c r="D7200">
        <f t="shared" si="227"/>
        <v>1</v>
      </c>
    </row>
    <row r="7201" spans="1:4" x14ac:dyDescent="0.55000000000000004">
      <c r="A7201">
        <f t="shared" si="226"/>
        <v>1996</v>
      </c>
      <c r="B7201" s="821">
        <v>35178</v>
      </c>
      <c r="C7201">
        <v>6.78</v>
      </c>
      <c r="D7201">
        <f t="shared" si="227"/>
        <v>1</v>
      </c>
    </row>
    <row r="7202" spans="1:4" x14ac:dyDescent="0.55000000000000004">
      <c r="A7202">
        <f t="shared" si="226"/>
        <v>1996</v>
      </c>
      <c r="B7202" s="821">
        <v>35177</v>
      </c>
      <c r="C7202">
        <v>6.75</v>
      </c>
      <c r="D7202">
        <f t="shared" si="227"/>
        <v>1</v>
      </c>
    </row>
    <row r="7203" spans="1:4" x14ac:dyDescent="0.55000000000000004">
      <c r="A7203">
        <f t="shared" si="226"/>
        <v>1996</v>
      </c>
      <c r="B7203" s="821">
        <v>35174</v>
      </c>
      <c r="C7203">
        <v>6.8</v>
      </c>
      <c r="D7203">
        <f t="shared" si="227"/>
        <v>1</v>
      </c>
    </row>
    <row r="7204" spans="1:4" x14ac:dyDescent="0.55000000000000004">
      <c r="A7204">
        <f t="shared" si="226"/>
        <v>1996</v>
      </c>
      <c r="B7204" s="821">
        <v>35173</v>
      </c>
      <c r="C7204">
        <v>6.84</v>
      </c>
      <c r="D7204">
        <f t="shared" si="227"/>
        <v>1</v>
      </c>
    </row>
    <row r="7205" spans="1:4" x14ac:dyDescent="0.55000000000000004">
      <c r="A7205">
        <f t="shared" si="226"/>
        <v>1996</v>
      </c>
      <c r="B7205" s="821">
        <v>35172</v>
      </c>
      <c r="C7205">
        <v>6.81</v>
      </c>
      <c r="D7205">
        <f t="shared" si="227"/>
        <v>1</v>
      </c>
    </row>
    <row r="7206" spans="1:4" x14ac:dyDescent="0.55000000000000004">
      <c r="A7206">
        <f t="shared" si="226"/>
        <v>1996</v>
      </c>
      <c r="B7206" s="821">
        <v>35171</v>
      </c>
      <c r="C7206">
        <v>6.78</v>
      </c>
      <c r="D7206">
        <f t="shared" si="227"/>
        <v>1</v>
      </c>
    </row>
    <row r="7207" spans="1:4" x14ac:dyDescent="0.55000000000000004">
      <c r="A7207">
        <f t="shared" si="226"/>
        <v>1996</v>
      </c>
      <c r="B7207" s="821">
        <v>35170</v>
      </c>
      <c r="C7207">
        <v>6.79</v>
      </c>
      <c r="D7207">
        <f t="shared" si="227"/>
        <v>1</v>
      </c>
    </row>
    <row r="7208" spans="1:4" x14ac:dyDescent="0.55000000000000004">
      <c r="A7208">
        <f t="shared" si="226"/>
        <v>1996</v>
      </c>
      <c r="B7208" s="821">
        <v>35167</v>
      </c>
      <c r="C7208">
        <v>6.81</v>
      </c>
      <c r="D7208">
        <f t="shared" si="227"/>
        <v>1</v>
      </c>
    </row>
    <row r="7209" spans="1:4" x14ac:dyDescent="0.55000000000000004">
      <c r="A7209">
        <f t="shared" si="226"/>
        <v>1996</v>
      </c>
      <c r="B7209" s="821">
        <v>35166</v>
      </c>
      <c r="C7209">
        <v>6.95</v>
      </c>
      <c r="D7209">
        <f t="shared" si="227"/>
        <v>1</v>
      </c>
    </row>
    <row r="7210" spans="1:4" x14ac:dyDescent="0.55000000000000004">
      <c r="A7210">
        <f t="shared" si="226"/>
        <v>1996</v>
      </c>
      <c r="B7210" s="821">
        <v>35165</v>
      </c>
      <c r="C7210">
        <v>6.91</v>
      </c>
      <c r="D7210">
        <f t="shared" si="227"/>
        <v>1</v>
      </c>
    </row>
    <row r="7211" spans="1:4" x14ac:dyDescent="0.55000000000000004">
      <c r="A7211">
        <f t="shared" si="226"/>
        <v>1996</v>
      </c>
      <c r="B7211" s="821">
        <v>35164</v>
      </c>
      <c r="C7211">
        <v>6.84</v>
      </c>
      <c r="D7211">
        <f t="shared" si="227"/>
        <v>1</v>
      </c>
    </row>
    <row r="7212" spans="1:4" x14ac:dyDescent="0.55000000000000004">
      <c r="A7212">
        <f t="shared" si="226"/>
        <v>1996</v>
      </c>
      <c r="B7212" s="821">
        <v>35163</v>
      </c>
      <c r="C7212">
        <v>6.88</v>
      </c>
      <c r="D7212">
        <f t="shared" si="227"/>
        <v>1</v>
      </c>
    </row>
    <row r="7213" spans="1:4" x14ac:dyDescent="0.55000000000000004">
      <c r="A7213">
        <f t="shared" si="226"/>
        <v>1996</v>
      </c>
      <c r="B7213" s="821">
        <v>35160</v>
      </c>
      <c r="C7213">
        <v>6.83</v>
      </c>
      <c r="D7213">
        <f t="shared" si="227"/>
        <v>1</v>
      </c>
    </row>
    <row r="7214" spans="1:4" x14ac:dyDescent="0.55000000000000004">
      <c r="A7214">
        <f t="shared" si="226"/>
        <v>1996</v>
      </c>
      <c r="B7214" s="821">
        <v>35159</v>
      </c>
      <c r="C7214">
        <v>6.66</v>
      </c>
      <c r="D7214">
        <f t="shared" si="227"/>
        <v>1</v>
      </c>
    </row>
    <row r="7215" spans="1:4" x14ac:dyDescent="0.55000000000000004">
      <c r="A7215">
        <f t="shared" si="226"/>
        <v>1996</v>
      </c>
      <c r="B7215" s="821">
        <v>35158</v>
      </c>
      <c r="C7215">
        <v>6.63</v>
      </c>
      <c r="D7215">
        <f t="shared" si="227"/>
        <v>1</v>
      </c>
    </row>
    <row r="7216" spans="1:4" x14ac:dyDescent="0.55000000000000004">
      <c r="A7216">
        <f t="shared" si="226"/>
        <v>1996</v>
      </c>
      <c r="B7216" s="821">
        <v>35157</v>
      </c>
      <c r="C7216">
        <v>6.62</v>
      </c>
      <c r="D7216">
        <f t="shared" si="227"/>
        <v>1</v>
      </c>
    </row>
    <row r="7217" spans="1:4" x14ac:dyDescent="0.55000000000000004">
      <c r="A7217">
        <f t="shared" si="226"/>
        <v>1996</v>
      </c>
      <c r="B7217" s="821">
        <v>35156</v>
      </c>
      <c r="C7217">
        <v>6.66</v>
      </c>
      <c r="D7217">
        <f t="shared" si="227"/>
        <v>1</v>
      </c>
    </row>
    <row r="7218" spans="1:4" x14ac:dyDescent="0.55000000000000004">
      <c r="A7218">
        <f t="shared" si="226"/>
        <v>1996</v>
      </c>
      <c r="B7218" s="821">
        <v>35153</v>
      </c>
      <c r="C7218">
        <v>6.67</v>
      </c>
      <c r="D7218">
        <f t="shared" si="227"/>
        <v>1</v>
      </c>
    </row>
    <row r="7219" spans="1:4" x14ac:dyDescent="0.55000000000000004">
      <c r="A7219">
        <f t="shared" si="226"/>
        <v>1996</v>
      </c>
      <c r="B7219" s="821">
        <v>35152</v>
      </c>
      <c r="C7219">
        <v>6.73</v>
      </c>
      <c r="D7219">
        <f t="shared" si="227"/>
        <v>1</v>
      </c>
    </row>
    <row r="7220" spans="1:4" x14ac:dyDescent="0.55000000000000004">
      <c r="A7220">
        <f t="shared" si="226"/>
        <v>1996</v>
      </c>
      <c r="B7220" s="821">
        <v>35151</v>
      </c>
      <c r="C7220">
        <v>6.68</v>
      </c>
      <c r="D7220">
        <f t="shared" si="227"/>
        <v>1</v>
      </c>
    </row>
    <row r="7221" spans="1:4" x14ac:dyDescent="0.55000000000000004">
      <c r="A7221">
        <f t="shared" si="226"/>
        <v>1996</v>
      </c>
      <c r="B7221" s="821">
        <v>35150</v>
      </c>
      <c r="C7221">
        <v>6.59</v>
      </c>
      <c r="D7221">
        <f t="shared" si="227"/>
        <v>1</v>
      </c>
    </row>
    <row r="7222" spans="1:4" x14ac:dyDescent="0.55000000000000004">
      <c r="A7222">
        <f t="shared" si="226"/>
        <v>1996</v>
      </c>
      <c r="B7222" s="821">
        <v>35149</v>
      </c>
      <c r="C7222">
        <v>6.58</v>
      </c>
      <c r="D7222">
        <f t="shared" si="227"/>
        <v>1</v>
      </c>
    </row>
    <row r="7223" spans="1:4" x14ac:dyDescent="0.55000000000000004">
      <c r="A7223">
        <f t="shared" si="226"/>
        <v>1996</v>
      </c>
      <c r="B7223" s="821">
        <v>35146</v>
      </c>
      <c r="C7223">
        <v>6.65</v>
      </c>
      <c r="D7223">
        <f t="shared" si="227"/>
        <v>1</v>
      </c>
    </row>
    <row r="7224" spans="1:4" x14ac:dyDescent="0.55000000000000004">
      <c r="A7224">
        <f t="shared" si="226"/>
        <v>1996</v>
      </c>
      <c r="B7224" s="821">
        <v>35145</v>
      </c>
      <c r="C7224">
        <v>6.62</v>
      </c>
      <c r="D7224">
        <f t="shared" si="227"/>
        <v>1</v>
      </c>
    </row>
    <row r="7225" spans="1:4" x14ac:dyDescent="0.55000000000000004">
      <c r="A7225">
        <f t="shared" si="226"/>
        <v>1996</v>
      </c>
      <c r="B7225" s="821">
        <v>35144</v>
      </c>
      <c r="C7225">
        <v>6.65</v>
      </c>
      <c r="D7225">
        <f t="shared" si="227"/>
        <v>1</v>
      </c>
    </row>
    <row r="7226" spans="1:4" x14ac:dyDescent="0.55000000000000004">
      <c r="A7226">
        <f t="shared" si="226"/>
        <v>1996</v>
      </c>
      <c r="B7226" s="821">
        <v>35143</v>
      </c>
      <c r="C7226">
        <v>6.7</v>
      </c>
      <c r="D7226">
        <f t="shared" si="227"/>
        <v>1</v>
      </c>
    </row>
    <row r="7227" spans="1:4" x14ac:dyDescent="0.55000000000000004">
      <c r="A7227">
        <f t="shared" si="226"/>
        <v>1996</v>
      </c>
      <c r="B7227" s="821">
        <v>35142</v>
      </c>
      <c r="C7227">
        <v>6.71</v>
      </c>
      <c r="D7227">
        <f t="shared" si="227"/>
        <v>1</v>
      </c>
    </row>
    <row r="7228" spans="1:4" x14ac:dyDescent="0.55000000000000004">
      <c r="A7228">
        <f t="shared" si="226"/>
        <v>1996</v>
      </c>
      <c r="B7228" s="821">
        <v>35139</v>
      </c>
      <c r="C7228">
        <v>6.75</v>
      </c>
      <c r="D7228">
        <f t="shared" si="227"/>
        <v>1</v>
      </c>
    </row>
    <row r="7229" spans="1:4" x14ac:dyDescent="0.55000000000000004">
      <c r="A7229">
        <f t="shared" si="226"/>
        <v>1996</v>
      </c>
      <c r="B7229" s="821">
        <v>35138</v>
      </c>
      <c r="C7229">
        <v>6.68</v>
      </c>
      <c r="D7229">
        <f t="shared" si="227"/>
        <v>1</v>
      </c>
    </row>
    <row r="7230" spans="1:4" x14ac:dyDescent="0.55000000000000004">
      <c r="A7230">
        <f t="shared" si="226"/>
        <v>1996</v>
      </c>
      <c r="B7230" s="821">
        <v>35137</v>
      </c>
      <c r="C7230">
        <v>6.68</v>
      </c>
      <c r="D7230">
        <f t="shared" si="227"/>
        <v>1</v>
      </c>
    </row>
    <row r="7231" spans="1:4" x14ac:dyDescent="0.55000000000000004">
      <c r="A7231">
        <f t="shared" si="226"/>
        <v>1996</v>
      </c>
      <c r="B7231" s="821">
        <v>35136</v>
      </c>
      <c r="C7231">
        <v>6.66</v>
      </c>
      <c r="D7231">
        <f t="shared" si="227"/>
        <v>1</v>
      </c>
    </row>
    <row r="7232" spans="1:4" x14ac:dyDescent="0.55000000000000004">
      <c r="A7232">
        <f t="shared" si="226"/>
        <v>1996</v>
      </c>
      <c r="B7232" s="821">
        <v>35135</v>
      </c>
      <c r="C7232">
        <v>6.63</v>
      </c>
      <c r="D7232">
        <f t="shared" si="227"/>
        <v>1</v>
      </c>
    </row>
    <row r="7233" spans="1:4" x14ac:dyDescent="0.55000000000000004">
      <c r="A7233">
        <f t="shared" si="226"/>
        <v>1996</v>
      </c>
      <c r="B7233" s="821">
        <v>35132</v>
      </c>
      <c r="C7233">
        <v>6.7</v>
      </c>
      <c r="D7233">
        <f t="shared" si="227"/>
        <v>1</v>
      </c>
    </row>
    <row r="7234" spans="1:4" x14ac:dyDescent="0.55000000000000004">
      <c r="A7234">
        <f t="shared" si="226"/>
        <v>1996</v>
      </c>
      <c r="B7234" s="821">
        <v>35131</v>
      </c>
      <c r="C7234">
        <v>6.46</v>
      </c>
      <c r="D7234">
        <f t="shared" si="227"/>
        <v>1</v>
      </c>
    </row>
    <row r="7235" spans="1:4" x14ac:dyDescent="0.55000000000000004">
      <c r="A7235">
        <f t="shared" si="226"/>
        <v>1996</v>
      </c>
      <c r="B7235" s="821">
        <v>35130</v>
      </c>
      <c r="C7235">
        <v>6.44</v>
      </c>
      <c r="D7235">
        <f t="shared" si="227"/>
        <v>1</v>
      </c>
    </row>
    <row r="7236" spans="1:4" x14ac:dyDescent="0.55000000000000004">
      <c r="A7236">
        <f t="shared" ref="A7236:A7299" si="228">YEAR(B7236)</f>
        <v>1996</v>
      </c>
      <c r="B7236" s="821">
        <v>35129</v>
      </c>
      <c r="C7236">
        <v>6.39</v>
      </c>
      <c r="D7236">
        <f t="shared" ref="D7236:D7299" si="229">IF(C7236&gt;4,1,0)</f>
        <v>1</v>
      </c>
    </row>
    <row r="7237" spans="1:4" x14ac:dyDescent="0.55000000000000004">
      <c r="A7237">
        <f t="shared" si="228"/>
        <v>1996</v>
      </c>
      <c r="B7237" s="821">
        <v>35128</v>
      </c>
      <c r="C7237">
        <v>6.34</v>
      </c>
      <c r="D7237">
        <f t="shared" si="229"/>
        <v>1</v>
      </c>
    </row>
    <row r="7238" spans="1:4" x14ac:dyDescent="0.55000000000000004">
      <c r="A7238">
        <f t="shared" si="228"/>
        <v>1996</v>
      </c>
      <c r="B7238" s="821">
        <v>35125</v>
      </c>
      <c r="C7238">
        <v>6.38</v>
      </c>
      <c r="D7238">
        <f t="shared" si="229"/>
        <v>1</v>
      </c>
    </row>
    <row r="7239" spans="1:4" x14ac:dyDescent="0.55000000000000004">
      <c r="A7239">
        <f t="shared" si="228"/>
        <v>1996</v>
      </c>
      <c r="B7239" s="821">
        <v>35124</v>
      </c>
      <c r="C7239">
        <v>6.48</v>
      </c>
      <c r="D7239">
        <f t="shared" si="229"/>
        <v>1</v>
      </c>
    </row>
    <row r="7240" spans="1:4" x14ac:dyDescent="0.55000000000000004">
      <c r="A7240">
        <f t="shared" si="228"/>
        <v>1996</v>
      </c>
      <c r="B7240" s="821">
        <v>35123</v>
      </c>
      <c r="C7240">
        <v>6.48</v>
      </c>
      <c r="D7240">
        <f t="shared" si="229"/>
        <v>1</v>
      </c>
    </row>
    <row r="7241" spans="1:4" x14ac:dyDescent="0.55000000000000004">
      <c r="A7241">
        <f t="shared" si="228"/>
        <v>1996</v>
      </c>
      <c r="B7241" s="821">
        <v>35122</v>
      </c>
      <c r="C7241">
        <v>6.47</v>
      </c>
      <c r="D7241">
        <f t="shared" si="229"/>
        <v>1</v>
      </c>
    </row>
    <row r="7242" spans="1:4" x14ac:dyDescent="0.55000000000000004">
      <c r="A7242">
        <f t="shared" si="228"/>
        <v>1996</v>
      </c>
      <c r="B7242" s="821">
        <v>35121</v>
      </c>
      <c r="C7242">
        <v>6.45</v>
      </c>
      <c r="D7242">
        <f t="shared" si="229"/>
        <v>1</v>
      </c>
    </row>
    <row r="7243" spans="1:4" x14ac:dyDescent="0.55000000000000004">
      <c r="A7243">
        <f t="shared" si="228"/>
        <v>1996</v>
      </c>
      <c r="B7243" s="821">
        <v>35118</v>
      </c>
      <c r="C7243">
        <v>6.42</v>
      </c>
      <c r="D7243">
        <f t="shared" si="229"/>
        <v>1</v>
      </c>
    </row>
    <row r="7244" spans="1:4" x14ac:dyDescent="0.55000000000000004">
      <c r="A7244">
        <f t="shared" si="228"/>
        <v>1996</v>
      </c>
      <c r="B7244" s="821">
        <v>35117</v>
      </c>
      <c r="C7244">
        <v>6.36</v>
      </c>
      <c r="D7244">
        <f t="shared" si="229"/>
        <v>1</v>
      </c>
    </row>
    <row r="7245" spans="1:4" x14ac:dyDescent="0.55000000000000004">
      <c r="A7245">
        <f t="shared" si="228"/>
        <v>1996</v>
      </c>
      <c r="B7245" s="821">
        <v>35116</v>
      </c>
      <c r="C7245">
        <v>6.39</v>
      </c>
      <c r="D7245">
        <f t="shared" si="229"/>
        <v>1</v>
      </c>
    </row>
    <row r="7246" spans="1:4" x14ac:dyDescent="0.55000000000000004">
      <c r="A7246">
        <f t="shared" si="228"/>
        <v>1996</v>
      </c>
      <c r="B7246" s="821">
        <v>35115</v>
      </c>
      <c r="C7246">
        <v>6.39</v>
      </c>
      <c r="D7246">
        <f t="shared" si="229"/>
        <v>1</v>
      </c>
    </row>
    <row r="7247" spans="1:4" x14ac:dyDescent="0.55000000000000004">
      <c r="A7247">
        <f t="shared" si="228"/>
        <v>1996</v>
      </c>
      <c r="B7247" s="821">
        <v>35111</v>
      </c>
      <c r="C7247">
        <v>6.23</v>
      </c>
      <c r="D7247">
        <f t="shared" si="229"/>
        <v>1</v>
      </c>
    </row>
    <row r="7248" spans="1:4" x14ac:dyDescent="0.55000000000000004">
      <c r="A7248">
        <f t="shared" si="228"/>
        <v>1996</v>
      </c>
      <c r="B7248" s="821">
        <v>35110</v>
      </c>
      <c r="C7248">
        <v>6.16</v>
      </c>
      <c r="D7248">
        <f t="shared" si="229"/>
        <v>1</v>
      </c>
    </row>
    <row r="7249" spans="1:4" x14ac:dyDescent="0.55000000000000004">
      <c r="A7249">
        <f t="shared" si="228"/>
        <v>1996</v>
      </c>
      <c r="B7249" s="821">
        <v>35109</v>
      </c>
      <c r="C7249">
        <v>6.07</v>
      </c>
      <c r="D7249">
        <f t="shared" si="229"/>
        <v>1</v>
      </c>
    </row>
    <row r="7250" spans="1:4" x14ac:dyDescent="0.55000000000000004">
      <c r="A7250">
        <f t="shared" si="228"/>
        <v>1996</v>
      </c>
      <c r="B7250" s="821">
        <v>35108</v>
      </c>
      <c r="C7250">
        <v>6.02</v>
      </c>
      <c r="D7250">
        <f t="shared" si="229"/>
        <v>1</v>
      </c>
    </row>
    <row r="7251" spans="1:4" x14ac:dyDescent="0.55000000000000004">
      <c r="A7251">
        <f t="shared" si="228"/>
        <v>1996</v>
      </c>
      <c r="B7251" s="821">
        <v>35107</v>
      </c>
      <c r="C7251">
        <v>6.05</v>
      </c>
      <c r="D7251">
        <f t="shared" si="229"/>
        <v>1</v>
      </c>
    </row>
    <row r="7252" spans="1:4" x14ac:dyDescent="0.55000000000000004">
      <c r="A7252">
        <f t="shared" si="228"/>
        <v>1996</v>
      </c>
      <c r="B7252" s="821">
        <v>35104</v>
      </c>
      <c r="C7252">
        <v>6.11</v>
      </c>
      <c r="D7252">
        <f t="shared" si="229"/>
        <v>1</v>
      </c>
    </row>
    <row r="7253" spans="1:4" x14ac:dyDescent="0.55000000000000004">
      <c r="A7253">
        <f t="shared" si="228"/>
        <v>1996</v>
      </c>
      <c r="B7253" s="821">
        <v>35103</v>
      </c>
      <c r="C7253">
        <v>6.09</v>
      </c>
      <c r="D7253">
        <f t="shared" si="229"/>
        <v>1</v>
      </c>
    </row>
    <row r="7254" spans="1:4" x14ac:dyDescent="0.55000000000000004">
      <c r="A7254">
        <f t="shared" si="228"/>
        <v>1996</v>
      </c>
      <c r="B7254" s="821">
        <v>35102</v>
      </c>
      <c r="C7254">
        <v>6.15</v>
      </c>
      <c r="D7254">
        <f t="shared" si="229"/>
        <v>1</v>
      </c>
    </row>
    <row r="7255" spans="1:4" x14ac:dyDescent="0.55000000000000004">
      <c r="A7255">
        <f t="shared" si="228"/>
        <v>1996</v>
      </c>
      <c r="B7255" s="821">
        <v>35101</v>
      </c>
      <c r="C7255">
        <v>6.14</v>
      </c>
      <c r="D7255">
        <f t="shared" si="229"/>
        <v>1</v>
      </c>
    </row>
    <row r="7256" spans="1:4" x14ac:dyDescent="0.55000000000000004">
      <c r="A7256">
        <f t="shared" si="228"/>
        <v>1996</v>
      </c>
      <c r="B7256" s="821">
        <v>35100</v>
      </c>
      <c r="C7256">
        <v>6.15</v>
      </c>
      <c r="D7256">
        <f t="shared" si="229"/>
        <v>1</v>
      </c>
    </row>
    <row r="7257" spans="1:4" x14ac:dyDescent="0.55000000000000004">
      <c r="A7257">
        <f t="shared" si="228"/>
        <v>1996</v>
      </c>
      <c r="B7257" s="821">
        <v>35097</v>
      </c>
      <c r="C7257">
        <v>6.15</v>
      </c>
      <c r="D7257">
        <f t="shared" si="229"/>
        <v>1</v>
      </c>
    </row>
    <row r="7258" spans="1:4" x14ac:dyDescent="0.55000000000000004">
      <c r="A7258">
        <f t="shared" si="228"/>
        <v>1996</v>
      </c>
      <c r="B7258" s="821">
        <v>35096</v>
      </c>
      <c r="C7258">
        <v>6.08</v>
      </c>
      <c r="D7258">
        <f t="shared" si="229"/>
        <v>1</v>
      </c>
    </row>
    <row r="7259" spans="1:4" x14ac:dyDescent="0.55000000000000004">
      <c r="A7259">
        <f t="shared" si="228"/>
        <v>1996</v>
      </c>
      <c r="B7259" s="821">
        <v>35095</v>
      </c>
      <c r="C7259">
        <v>6.03</v>
      </c>
      <c r="D7259">
        <f t="shared" si="229"/>
        <v>1</v>
      </c>
    </row>
    <row r="7260" spans="1:4" x14ac:dyDescent="0.55000000000000004">
      <c r="A7260">
        <f t="shared" si="228"/>
        <v>1996</v>
      </c>
      <c r="B7260" s="821">
        <v>35094</v>
      </c>
      <c r="C7260">
        <v>6.04</v>
      </c>
      <c r="D7260">
        <f t="shared" si="229"/>
        <v>1</v>
      </c>
    </row>
    <row r="7261" spans="1:4" x14ac:dyDescent="0.55000000000000004">
      <c r="A7261">
        <f t="shared" si="228"/>
        <v>1996</v>
      </c>
      <c r="B7261" s="821">
        <v>35093</v>
      </c>
      <c r="C7261">
        <v>6.09</v>
      </c>
      <c r="D7261">
        <f t="shared" si="229"/>
        <v>1</v>
      </c>
    </row>
    <row r="7262" spans="1:4" x14ac:dyDescent="0.55000000000000004">
      <c r="A7262">
        <f t="shared" si="228"/>
        <v>1996</v>
      </c>
      <c r="B7262" s="821">
        <v>35090</v>
      </c>
      <c r="C7262">
        <v>6.04</v>
      </c>
      <c r="D7262">
        <f t="shared" si="229"/>
        <v>1</v>
      </c>
    </row>
    <row r="7263" spans="1:4" x14ac:dyDescent="0.55000000000000004">
      <c r="A7263">
        <f t="shared" si="228"/>
        <v>1996</v>
      </c>
      <c r="B7263" s="821">
        <v>35089</v>
      </c>
      <c r="C7263">
        <v>6.11</v>
      </c>
      <c r="D7263">
        <f t="shared" si="229"/>
        <v>1</v>
      </c>
    </row>
    <row r="7264" spans="1:4" x14ac:dyDescent="0.55000000000000004">
      <c r="A7264">
        <f t="shared" si="228"/>
        <v>1996</v>
      </c>
      <c r="B7264" s="821">
        <v>35088</v>
      </c>
      <c r="C7264">
        <v>6.02</v>
      </c>
      <c r="D7264">
        <f t="shared" si="229"/>
        <v>1</v>
      </c>
    </row>
    <row r="7265" spans="1:4" x14ac:dyDescent="0.55000000000000004">
      <c r="A7265">
        <f t="shared" si="228"/>
        <v>1996</v>
      </c>
      <c r="B7265" s="821">
        <v>35087</v>
      </c>
      <c r="C7265">
        <v>6.09</v>
      </c>
      <c r="D7265">
        <f t="shared" si="229"/>
        <v>1</v>
      </c>
    </row>
    <row r="7266" spans="1:4" x14ac:dyDescent="0.55000000000000004">
      <c r="A7266">
        <f t="shared" si="228"/>
        <v>1996</v>
      </c>
      <c r="B7266" s="821">
        <v>35086</v>
      </c>
      <c r="C7266">
        <v>6.04</v>
      </c>
      <c r="D7266">
        <f t="shared" si="229"/>
        <v>1</v>
      </c>
    </row>
    <row r="7267" spans="1:4" x14ac:dyDescent="0.55000000000000004">
      <c r="A7267">
        <f t="shared" si="228"/>
        <v>1996</v>
      </c>
      <c r="B7267" s="821">
        <v>35083</v>
      </c>
      <c r="C7267">
        <v>5.97</v>
      </c>
      <c r="D7267">
        <f t="shared" si="229"/>
        <v>1</v>
      </c>
    </row>
    <row r="7268" spans="1:4" x14ac:dyDescent="0.55000000000000004">
      <c r="A7268">
        <f t="shared" si="228"/>
        <v>1996</v>
      </c>
      <c r="B7268" s="821">
        <v>35082</v>
      </c>
      <c r="C7268">
        <v>5.98</v>
      </c>
      <c r="D7268">
        <f t="shared" si="229"/>
        <v>1</v>
      </c>
    </row>
    <row r="7269" spans="1:4" x14ac:dyDescent="0.55000000000000004">
      <c r="A7269">
        <f t="shared" si="228"/>
        <v>1996</v>
      </c>
      <c r="B7269" s="821">
        <v>35081</v>
      </c>
      <c r="C7269">
        <v>6</v>
      </c>
      <c r="D7269">
        <f t="shared" si="229"/>
        <v>1</v>
      </c>
    </row>
    <row r="7270" spans="1:4" x14ac:dyDescent="0.55000000000000004">
      <c r="A7270">
        <f t="shared" si="228"/>
        <v>1996</v>
      </c>
      <c r="B7270" s="821">
        <v>35080</v>
      </c>
      <c r="C7270">
        <v>6.09</v>
      </c>
      <c r="D7270">
        <f t="shared" si="229"/>
        <v>1</v>
      </c>
    </row>
    <row r="7271" spans="1:4" x14ac:dyDescent="0.55000000000000004">
      <c r="A7271">
        <f t="shared" si="228"/>
        <v>1996</v>
      </c>
      <c r="B7271" s="821">
        <v>35076</v>
      </c>
      <c r="C7271">
        <v>6.16</v>
      </c>
      <c r="D7271">
        <f t="shared" si="229"/>
        <v>1</v>
      </c>
    </row>
    <row r="7272" spans="1:4" x14ac:dyDescent="0.55000000000000004">
      <c r="A7272">
        <f t="shared" si="228"/>
        <v>1996</v>
      </c>
      <c r="B7272" s="821">
        <v>35075</v>
      </c>
      <c r="C7272">
        <v>6.16</v>
      </c>
      <c r="D7272">
        <f t="shared" si="229"/>
        <v>1</v>
      </c>
    </row>
    <row r="7273" spans="1:4" x14ac:dyDescent="0.55000000000000004">
      <c r="A7273">
        <f t="shared" si="228"/>
        <v>1996</v>
      </c>
      <c r="B7273" s="821">
        <v>35074</v>
      </c>
      <c r="C7273">
        <v>6.16</v>
      </c>
      <c r="D7273">
        <f t="shared" si="229"/>
        <v>1</v>
      </c>
    </row>
    <row r="7274" spans="1:4" x14ac:dyDescent="0.55000000000000004">
      <c r="A7274">
        <f t="shared" si="228"/>
        <v>1996</v>
      </c>
      <c r="B7274" s="821">
        <v>35073</v>
      </c>
      <c r="C7274">
        <v>6.06</v>
      </c>
      <c r="D7274">
        <f t="shared" si="229"/>
        <v>1</v>
      </c>
    </row>
    <row r="7275" spans="1:4" x14ac:dyDescent="0.55000000000000004">
      <c r="A7275">
        <f t="shared" si="228"/>
        <v>1996</v>
      </c>
      <c r="B7275" s="821">
        <v>35072</v>
      </c>
      <c r="C7275">
        <v>6.04</v>
      </c>
      <c r="D7275">
        <f t="shared" si="229"/>
        <v>1</v>
      </c>
    </row>
    <row r="7276" spans="1:4" x14ac:dyDescent="0.55000000000000004">
      <c r="A7276">
        <f t="shared" si="228"/>
        <v>1996</v>
      </c>
      <c r="B7276" s="821">
        <v>35069</v>
      </c>
      <c r="C7276">
        <v>6.05</v>
      </c>
      <c r="D7276">
        <f t="shared" si="229"/>
        <v>1</v>
      </c>
    </row>
    <row r="7277" spans="1:4" x14ac:dyDescent="0.55000000000000004">
      <c r="A7277">
        <f t="shared" si="228"/>
        <v>1996</v>
      </c>
      <c r="B7277" s="821">
        <v>35068</v>
      </c>
      <c r="C7277">
        <v>6.03</v>
      </c>
      <c r="D7277">
        <f t="shared" si="229"/>
        <v>1</v>
      </c>
    </row>
    <row r="7278" spans="1:4" x14ac:dyDescent="0.55000000000000004">
      <c r="A7278">
        <f t="shared" si="228"/>
        <v>1996</v>
      </c>
      <c r="B7278" s="821">
        <v>35067</v>
      </c>
      <c r="C7278">
        <v>5.96</v>
      </c>
      <c r="D7278">
        <f t="shared" si="229"/>
        <v>1</v>
      </c>
    </row>
    <row r="7279" spans="1:4" x14ac:dyDescent="0.55000000000000004">
      <c r="A7279">
        <f t="shared" si="228"/>
        <v>1996</v>
      </c>
      <c r="B7279" s="821">
        <v>35066</v>
      </c>
      <c r="C7279">
        <v>5.97</v>
      </c>
      <c r="D7279">
        <f t="shared" si="229"/>
        <v>1</v>
      </c>
    </row>
    <row r="7280" spans="1:4" x14ac:dyDescent="0.55000000000000004">
      <c r="A7280">
        <f t="shared" si="228"/>
        <v>1995</v>
      </c>
      <c r="B7280" s="821">
        <v>35062</v>
      </c>
      <c r="C7280">
        <v>5.96</v>
      </c>
      <c r="D7280">
        <f t="shared" si="229"/>
        <v>1</v>
      </c>
    </row>
    <row r="7281" spans="1:4" x14ac:dyDescent="0.55000000000000004">
      <c r="A7281">
        <f t="shared" si="228"/>
        <v>1995</v>
      </c>
      <c r="B7281" s="821">
        <v>35061</v>
      </c>
      <c r="C7281">
        <v>5.98</v>
      </c>
      <c r="D7281">
        <f t="shared" si="229"/>
        <v>1</v>
      </c>
    </row>
    <row r="7282" spans="1:4" x14ac:dyDescent="0.55000000000000004">
      <c r="A7282">
        <f t="shared" si="228"/>
        <v>1995</v>
      </c>
      <c r="B7282" s="821">
        <v>35060</v>
      </c>
      <c r="C7282">
        <v>6.01</v>
      </c>
      <c r="D7282">
        <f t="shared" si="229"/>
        <v>1</v>
      </c>
    </row>
    <row r="7283" spans="1:4" x14ac:dyDescent="0.55000000000000004">
      <c r="A7283">
        <f t="shared" si="228"/>
        <v>1995</v>
      </c>
      <c r="B7283" s="821">
        <v>35059</v>
      </c>
      <c r="C7283">
        <v>6.04</v>
      </c>
      <c r="D7283">
        <f t="shared" si="229"/>
        <v>1</v>
      </c>
    </row>
    <row r="7284" spans="1:4" x14ac:dyDescent="0.55000000000000004">
      <c r="A7284">
        <f t="shared" si="228"/>
        <v>1995</v>
      </c>
      <c r="B7284" s="821">
        <v>35055</v>
      </c>
      <c r="C7284">
        <v>6.06</v>
      </c>
      <c r="D7284">
        <f t="shared" si="229"/>
        <v>1</v>
      </c>
    </row>
    <row r="7285" spans="1:4" x14ac:dyDescent="0.55000000000000004">
      <c r="A7285">
        <f t="shared" si="228"/>
        <v>1995</v>
      </c>
      <c r="B7285" s="821">
        <v>35054</v>
      </c>
      <c r="C7285">
        <v>6.11</v>
      </c>
      <c r="D7285">
        <f t="shared" si="229"/>
        <v>1</v>
      </c>
    </row>
    <row r="7286" spans="1:4" x14ac:dyDescent="0.55000000000000004">
      <c r="A7286">
        <f t="shared" si="228"/>
        <v>1995</v>
      </c>
      <c r="B7286" s="821">
        <v>35053</v>
      </c>
      <c r="C7286">
        <v>6.11</v>
      </c>
      <c r="D7286">
        <f t="shared" si="229"/>
        <v>1</v>
      </c>
    </row>
    <row r="7287" spans="1:4" x14ac:dyDescent="0.55000000000000004">
      <c r="A7287">
        <f t="shared" si="228"/>
        <v>1995</v>
      </c>
      <c r="B7287" s="821">
        <v>35052</v>
      </c>
      <c r="C7287">
        <v>6.14</v>
      </c>
      <c r="D7287">
        <f t="shared" si="229"/>
        <v>1</v>
      </c>
    </row>
    <row r="7288" spans="1:4" x14ac:dyDescent="0.55000000000000004">
      <c r="A7288">
        <f t="shared" si="228"/>
        <v>1995</v>
      </c>
      <c r="B7288" s="821">
        <v>35051</v>
      </c>
      <c r="C7288">
        <v>6.2</v>
      </c>
      <c r="D7288">
        <f t="shared" si="229"/>
        <v>1</v>
      </c>
    </row>
    <row r="7289" spans="1:4" x14ac:dyDescent="0.55000000000000004">
      <c r="A7289">
        <f t="shared" si="228"/>
        <v>1995</v>
      </c>
      <c r="B7289" s="821">
        <v>35048</v>
      </c>
      <c r="C7289">
        <v>6.09</v>
      </c>
      <c r="D7289">
        <f t="shared" si="229"/>
        <v>1</v>
      </c>
    </row>
    <row r="7290" spans="1:4" x14ac:dyDescent="0.55000000000000004">
      <c r="A7290">
        <f t="shared" si="228"/>
        <v>1995</v>
      </c>
      <c r="B7290" s="821">
        <v>35047</v>
      </c>
      <c r="C7290">
        <v>6.08</v>
      </c>
      <c r="D7290">
        <f t="shared" si="229"/>
        <v>1</v>
      </c>
    </row>
    <row r="7291" spans="1:4" x14ac:dyDescent="0.55000000000000004">
      <c r="A7291">
        <f t="shared" si="228"/>
        <v>1995</v>
      </c>
      <c r="B7291" s="821">
        <v>35046</v>
      </c>
      <c r="C7291">
        <v>6.07</v>
      </c>
      <c r="D7291">
        <f t="shared" si="229"/>
        <v>1</v>
      </c>
    </row>
    <row r="7292" spans="1:4" x14ac:dyDescent="0.55000000000000004">
      <c r="A7292">
        <f t="shared" si="228"/>
        <v>1995</v>
      </c>
      <c r="B7292" s="821">
        <v>35045</v>
      </c>
      <c r="C7292">
        <v>6.05</v>
      </c>
      <c r="D7292">
        <f t="shared" si="229"/>
        <v>1</v>
      </c>
    </row>
    <row r="7293" spans="1:4" x14ac:dyDescent="0.55000000000000004">
      <c r="A7293">
        <f t="shared" si="228"/>
        <v>1995</v>
      </c>
      <c r="B7293" s="821">
        <v>35044</v>
      </c>
      <c r="C7293">
        <v>6.04</v>
      </c>
      <c r="D7293">
        <f t="shared" si="229"/>
        <v>1</v>
      </c>
    </row>
    <row r="7294" spans="1:4" x14ac:dyDescent="0.55000000000000004">
      <c r="A7294">
        <f t="shared" si="228"/>
        <v>1995</v>
      </c>
      <c r="B7294" s="821">
        <v>35041</v>
      </c>
      <c r="C7294">
        <v>6.06</v>
      </c>
      <c r="D7294">
        <f t="shared" si="229"/>
        <v>1</v>
      </c>
    </row>
    <row r="7295" spans="1:4" x14ac:dyDescent="0.55000000000000004">
      <c r="A7295">
        <f t="shared" si="228"/>
        <v>1995</v>
      </c>
      <c r="B7295" s="821">
        <v>35040</v>
      </c>
      <c r="C7295">
        <v>6.07</v>
      </c>
      <c r="D7295">
        <f t="shared" si="229"/>
        <v>1</v>
      </c>
    </row>
    <row r="7296" spans="1:4" x14ac:dyDescent="0.55000000000000004">
      <c r="A7296">
        <f t="shared" si="228"/>
        <v>1995</v>
      </c>
      <c r="B7296" s="821">
        <v>35039</v>
      </c>
      <c r="C7296">
        <v>6.03</v>
      </c>
      <c r="D7296">
        <f t="shared" si="229"/>
        <v>1</v>
      </c>
    </row>
    <row r="7297" spans="1:4" x14ac:dyDescent="0.55000000000000004">
      <c r="A7297">
        <f t="shared" si="228"/>
        <v>1995</v>
      </c>
      <c r="B7297" s="821">
        <v>35038</v>
      </c>
      <c r="C7297">
        <v>6.04</v>
      </c>
      <c r="D7297">
        <f t="shared" si="229"/>
        <v>1</v>
      </c>
    </row>
    <row r="7298" spans="1:4" x14ac:dyDescent="0.55000000000000004">
      <c r="A7298">
        <f t="shared" si="228"/>
        <v>1995</v>
      </c>
      <c r="B7298" s="821">
        <v>35037</v>
      </c>
      <c r="C7298">
        <v>6.01</v>
      </c>
      <c r="D7298">
        <f t="shared" si="229"/>
        <v>1</v>
      </c>
    </row>
    <row r="7299" spans="1:4" x14ac:dyDescent="0.55000000000000004">
      <c r="A7299">
        <f t="shared" si="228"/>
        <v>1995</v>
      </c>
      <c r="B7299" s="821">
        <v>35034</v>
      </c>
      <c r="C7299">
        <v>6.1</v>
      </c>
      <c r="D7299">
        <f t="shared" si="229"/>
        <v>1</v>
      </c>
    </row>
    <row r="7300" spans="1:4" x14ac:dyDescent="0.55000000000000004">
      <c r="A7300">
        <f t="shared" ref="A7300:A7363" si="230">YEAR(B7300)</f>
        <v>1995</v>
      </c>
      <c r="B7300" s="821">
        <v>35033</v>
      </c>
      <c r="C7300">
        <v>6.14</v>
      </c>
      <c r="D7300">
        <f t="shared" ref="D7300:D7363" si="231">IF(C7300&gt;4,1,0)</f>
        <v>1</v>
      </c>
    </row>
    <row r="7301" spans="1:4" x14ac:dyDescent="0.55000000000000004">
      <c r="A7301">
        <f t="shared" si="230"/>
        <v>1995</v>
      </c>
      <c r="B7301" s="821">
        <v>35032</v>
      </c>
      <c r="C7301">
        <v>6.22</v>
      </c>
      <c r="D7301">
        <f t="shared" si="231"/>
        <v>1</v>
      </c>
    </row>
    <row r="7302" spans="1:4" x14ac:dyDescent="0.55000000000000004">
      <c r="A7302">
        <f t="shared" si="230"/>
        <v>1995</v>
      </c>
      <c r="B7302" s="821">
        <v>35031</v>
      </c>
      <c r="C7302">
        <v>6.24</v>
      </c>
      <c r="D7302">
        <f t="shared" si="231"/>
        <v>1</v>
      </c>
    </row>
    <row r="7303" spans="1:4" x14ac:dyDescent="0.55000000000000004">
      <c r="A7303">
        <f t="shared" si="230"/>
        <v>1995</v>
      </c>
      <c r="B7303" s="821">
        <v>35030</v>
      </c>
      <c r="C7303">
        <v>6.23</v>
      </c>
      <c r="D7303">
        <f t="shared" si="231"/>
        <v>1</v>
      </c>
    </row>
    <row r="7304" spans="1:4" x14ac:dyDescent="0.55000000000000004">
      <c r="A7304">
        <f t="shared" si="230"/>
        <v>1995</v>
      </c>
      <c r="B7304" s="821">
        <v>35027</v>
      </c>
      <c r="C7304">
        <v>6.25</v>
      </c>
      <c r="D7304">
        <f t="shared" si="231"/>
        <v>1</v>
      </c>
    </row>
    <row r="7305" spans="1:4" x14ac:dyDescent="0.55000000000000004">
      <c r="A7305">
        <f t="shared" si="230"/>
        <v>1995</v>
      </c>
      <c r="B7305" s="821">
        <v>35025</v>
      </c>
      <c r="C7305">
        <v>6.28</v>
      </c>
      <c r="D7305">
        <f t="shared" si="231"/>
        <v>1</v>
      </c>
    </row>
    <row r="7306" spans="1:4" x14ac:dyDescent="0.55000000000000004">
      <c r="A7306">
        <f t="shared" si="230"/>
        <v>1995</v>
      </c>
      <c r="B7306" s="821">
        <v>35024</v>
      </c>
      <c r="C7306">
        <v>6.27</v>
      </c>
      <c r="D7306">
        <f t="shared" si="231"/>
        <v>1</v>
      </c>
    </row>
    <row r="7307" spans="1:4" x14ac:dyDescent="0.55000000000000004">
      <c r="A7307">
        <f t="shared" si="230"/>
        <v>1995</v>
      </c>
      <c r="B7307" s="821">
        <v>35023</v>
      </c>
      <c r="C7307">
        <v>6.25</v>
      </c>
      <c r="D7307">
        <f t="shared" si="231"/>
        <v>1</v>
      </c>
    </row>
    <row r="7308" spans="1:4" x14ac:dyDescent="0.55000000000000004">
      <c r="A7308">
        <f t="shared" si="230"/>
        <v>1995</v>
      </c>
      <c r="B7308" s="821">
        <v>35020</v>
      </c>
      <c r="C7308">
        <v>6.23</v>
      </c>
      <c r="D7308">
        <f t="shared" si="231"/>
        <v>1</v>
      </c>
    </row>
    <row r="7309" spans="1:4" x14ac:dyDescent="0.55000000000000004">
      <c r="A7309">
        <f t="shared" si="230"/>
        <v>1995</v>
      </c>
      <c r="B7309" s="821">
        <v>35019</v>
      </c>
      <c r="C7309">
        <v>6.24</v>
      </c>
      <c r="D7309">
        <f t="shared" si="231"/>
        <v>1</v>
      </c>
    </row>
    <row r="7310" spans="1:4" x14ac:dyDescent="0.55000000000000004">
      <c r="A7310">
        <f t="shared" si="230"/>
        <v>1995</v>
      </c>
      <c r="B7310" s="821">
        <v>35018</v>
      </c>
      <c r="C7310">
        <v>6.3</v>
      </c>
      <c r="D7310">
        <f t="shared" si="231"/>
        <v>1</v>
      </c>
    </row>
    <row r="7311" spans="1:4" x14ac:dyDescent="0.55000000000000004">
      <c r="A7311">
        <f t="shared" si="230"/>
        <v>1995</v>
      </c>
      <c r="B7311" s="821">
        <v>35017</v>
      </c>
      <c r="C7311">
        <v>6.3</v>
      </c>
      <c r="D7311">
        <f t="shared" si="231"/>
        <v>1</v>
      </c>
    </row>
    <row r="7312" spans="1:4" x14ac:dyDescent="0.55000000000000004">
      <c r="A7312">
        <f t="shared" si="230"/>
        <v>1995</v>
      </c>
      <c r="B7312" s="821">
        <v>35016</v>
      </c>
      <c r="C7312">
        <v>6.28</v>
      </c>
      <c r="D7312">
        <f t="shared" si="231"/>
        <v>1</v>
      </c>
    </row>
    <row r="7313" spans="1:4" x14ac:dyDescent="0.55000000000000004">
      <c r="A7313">
        <f t="shared" si="230"/>
        <v>1995</v>
      </c>
      <c r="B7313" s="821">
        <v>35013</v>
      </c>
      <c r="C7313">
        <v>6.33</v>
      </c>
      <c r="D7313">
        <f t="shared" si="231"/>
        <v>1</v>
      </c>
    </row>
    <row r="7314" spans="1:4" x14ac:dyDescent="0.55000000000000004">
      <c r="A7314">
        <f t="shared" si="230"/>
        <v>1995</v>
      </c>
      <c r="B7314" s="821">
        <v>35012</v>
      </c>
      <c r="C7314">
        <v>6.29</v>
      </c>
      <c r="D7314">
        <f t="shared" si="231"/>
        <v>1</v>
      </c>
    </row>
    <row r="7315" spans="1:4" x14ac:dyDescent="0.55000000000000004">
      <c r="A7315">
        <f t="shared" si="230"/>
        <v>1995</v>
      </c>
      <c r="B7315" s="821">
        <v>35011</v>
      </c>
      <c r="C7315">
        <v>6.25</v>
      </c>
      <c r="D7315">
        <f t="shared" si="231"/>
        <v>1</v>
      </c>
    </row>
    <row r="7316" spans="1:4" x14ac:dyDescent="0.55000000000000004">
      <c r="A7316">
        <f t="shared" si="230"/>
        <v>1995</v>
      </c>
      <c r="B7316" s="821">
        <v>35010</v>
      </c>
      <c r="C7316">
        <v>6.31</v>
      </c>
      <c r="D7316">
        <f t="shared" si="231"/>
        <v>1</v>
      </c>
    </row>
    <row r="7317" spans="1:4" x14ac:dyDescent="0.55000000000000004">
      <c r="A7317">
        <f t="shared" si="230"/>
        <v>1995</v>
      </c>
      <c r="B7317" s="821">
        <v>35009</v>
      </c>
      <c r="C7317">
        <v>6.29</v>
      </c>
      <c r="D7317">
        <f t="shared" si="231"/>
        <v>1</v>
      </c>
    </row>
    <row r="7318" spans="1:4" x14ac:dyDescent="0.55000000000000004">
      <c r="A7318">
        <f t="shared" si="230"/>
        <v>1995</v>
      </c>
      <c r="B7318" s="821">
        <v>35006</v>
      </c>
      <c r="C7318">
        <v>6.28</v>
      </c>
      <c r="D7318">
        <f t="shared" si="231"/>
        <v>1</v>
      </c>
    </row>
    <row r="7319" spans="1:4" x14ac:dyDescent="0.55000000000000004">
      <c r="A7319">
        <f t="shared" si="230"/>
        <v>1995</v>
      </c>
      <c r="B7319" s="821">
        <v>35005</v>
      </c>
      <c r="C7319">
        <v>6.25</v>
      </c>
      <c r="D7319">
        <f t="shared" si="231"/>
        <v>1</v>
      </c>
    </row>
    <row r="7320" spans="1:4" x14ac:dyDescent="0.55000000000000004">
      <c r="A7320">
        <f t="shared" si="230"/>
        <v>1995</v>
      </c>
      <c r="B7320" s="821">
        <v>35004</v>
      </c>
      <c r="C7320">
        <v>6.29</v>
      </c>
      <c r="D7320">
        <f t="shared" si="231"/>
        <v>1</v>
      </c>
    </row>
    <row r="7321" spans="1:4" x14ac:dyDescent="0.55000000000000004">
      <c r="A7321">
        <f t="shared" si="230"/>
        <v>1995</v>
      </c>
      <c r="B7321" s="821">
        <v>35003</v>
      </c>
      <c r="C7321">
        <v>6.34</v>
      </c>
      <c r="D7321">
        <f t="shared" si="231"/>
        <v>1</v>
      </c>
    </row>
    <row r="7322" spans="1:4" x14ac:dyDescent="0.55000000000000004">
      <c r="A7322">
        <f t="shared" si="230"/>
        <v>1995</v>
      </c>
      <c r="B7322" s="821">
        <v>35002</v>
      </c>
      <c r="C7322">
        <v>6.35</v>
      </c>
      <c r="D7322">
        <f t="shared" si="231"/>
        <v>1</v>
      </c>
    </row>
    <row r="7323" spans="1:4" x14ac:dyDescent="0.55000000000000004">
      <c r="A7323">
        <f t="shared" si="230"/>
        <v>1995</v>
      </c>
      <c r="B7323" s="821">
        <v>34999</v>
      </c>
      <c r="C7323">
        <v>6.35</v>
      </c>
      <c r="D7323">
        <f t="shared" si="231"/>
        <v>1</v>
      </c>
    </row>
    <row r="7324" spans="1:4" x14ac:dyDescent="0.55000000000000004">
      <c r="A7324">
        <f t="shared" si="230"/>
        <v>1995</v>
      </c>
      <c r="B7324" s="821">
        <v>34998</v>
      </c>
      <c r="C7324">
        <v>6.38</v>
      </c>
      <c r="D7324">
        <f t="shared" si="231"/>
        <v>1</v>
      </c>
    </row>
    <row r="7325" spans="1:4" x14ac:dyDescent="0.55000000000000004">
      <c r="A7325">
        <f t="shared" si="230"/>
        <v>1995</v>
      </c>
      <c r="B7325" s="821">
        <v>34997</v>
      </c>
      <c r="C7325">
        <v>6.32</v>
      </c>
      <c r="D7325">
        <f t="shared" si="231"/>
        <v>1</v>
      </c>
    </row>
    <row r="7326" spans="1:4" x14ac:dyDescent="0.55000000000000004">
      <c r="A7326">
        <f t="shared" si="230"/>
        <v>1995</v>
      </c>
      <c r="B7326" s="821">
        <v>34996</v>
      </c>
      <c r="C7326">
        <v>6.33</v>
      </c>
      <c r="D7326">
        <f t="shared" si="231"/>
        <v>1</v>
      </c>
    </row>
    <row r="7327" spans="1:4" x14ac:dyDescent="0.55000000000000004">
      <c r="A7327">
        <f t="shared" si="230"/>
        <v>1995</v>
      </c>
      <c r="B7327" s="821">
        <v>34995</v>
      </c>
      <c r="C7327">
        <v>6.38</v>
      </c>
      <c r="D7327">
        <f t="shared" si="231"/>
        <v>1</v>
      </c>
    </row>
    <row r="7328" spans="1:4" x14ac:dyDescent="0.55000000000000004">
      <c r="A7328">
        <f t="shared" si="230"/>
        <v>1995</v>
      </c>
      <c r="B7328" s="821">
        <v>34992</v>
      </c>
      <c r="C7328">
        <v>6.35</v>
      </c>
      <c r="D7328">
        <f t="shared" si="231"/>
        <v>1</v>
      </c>
    </row>
    <row r="7329" spans="1:4" x14ac:dyDescent="0.55000000000000004">
      <c r="A7329">
        <f t="shared" si="230"/>
        <v>1995</v>
      </c>
      <c r="B7329" s="821">
        <v>34991</v>
      </c>
      <c r="C7329">
        <v>6.31</v>
      </c>
      <c r="D7329">
        <f t="shared" si="231"/>
        <v>1</v>
      </c>
    </row>
    <row r="7330" spans="1:4" x14ac:dyDescent="0.55000000000000004">
      <c r="A7330">
        <f t="shared" si="230"/>
        <v>1995</v>
      </c>
      <c r="B7330" s="821">
        <v>34990</v>
      </c>
      <c r="C7330">
        <v>6.32</v>
      </c>
      <c r="D7330">
        <f t="shared" si="231"/>
        <v>1</v>
      </c>
    </row>
    <row r="7331" spans="1:4" x14ac:dyDescent="0.55000000000000004">
      <c r="A7331">
        <f t="shared" si="230"/>
        <v>1995</v>
      </c>
      <c r="B7331" s="821">
        <v>34989</v>
      </c>
      <c r="C7331">
        <v>6.3</v>
      </c>
      <c r="D7331">
        <f t="shared" si="231"/>
        <v>1</v>
      </c>
    </row>
    <row r="7332" spans="1:4" x14ac:dyDescent="0.55000000000000004">
      <c r="A7332">
        <f t="shared" si="230"/>
        <v>1995</v>
      </c>
      <c r="B7332" s="821">
        <v>34988</v>
      </c>
      <c r="C7332">
        <v>6.32</v>
      </c>
      <c r="D7332">
        <f t="shared" si="231"/>
        <v>1</v>
      </c>
    </row>
    <row r="7333" spans="1:4" x14ac:dyDescent="0.55000000000000004">
      <c r="A7333">
        <f t="shared" si="230"/>
        <v>1995</v>
      </c>
      <c r="B7333" s="821">
        <v>34985</v>
      </c>
      <c r="C7333">
        <v>6.3</v>
      </c>
      <c r="D7333">
        <f t="shared" si="231"/>
        <v>1</v>
      </c>
    </row>
    <row r="7334" spans="1:4" x14ac:dyDescent="0.55000000000000004">
      <c r="A7334">
        <f t="shared" si="230"/>
        <v>1995</v>
      </c>
      <c r="B7334" s="821">
        <v>34984</v>
      </c>
      <c r="C7334">
        <v>6.41</v>
      </c>
      <c r="D7334">
        <f t="shared" si="231"/>
        <v>1</v>
      </c>
    </row>
    <row r="7335" spans="1:4" x14ac:dyDescent="0.55000000000000004">
      <c r="A7335">
        <f t="shared" si="230"/>
        <v>1995</v>
      </c>
      <c r="B7335" s="821">
        <v>34983</v>
      </c>
      <c r="C7335">
        <v>6.44</v>
      </c>
      <c r="D7335">
        <f t="shared" si="231"/>
        <v>1</v>
      </c>
    </row>
    <row r="7336" spans="1:4" x14ac:dyDescent="0.55000000000000004">
      <c r="A7336">
        <f t="shared" si="230"/>
        <v>1995</v>
      </c>
      <c r="B7336" s="821">
        <v>34982</v>
      </c>
      <c r="C7336">
        <v>6.43</v>
      </c>
      <c r="D7336">
        <f t="shared" si="231"/>
        <v>1</v>
      </c>
    </row>
    <row r="7337" spans="1:4" x14ac:dyDescent="0.55000000000000004">
      <c r="A7337">
        <f t="shared" si="230"/>
        <v>1995</v>
      </c>
      <c r="B7337" s="821">
        <v>34978</v>
      </c>
      <c r="C7337">
        <v>6.43</v>
      </c>
      <c r="D7337">
        <f t="shared" si="231"/>
        <v>1</v>
      </c>
    </row>
    <row r="7338" spans="1:4" x14ac:dyDescent="0.55000000000000004">
      <c r="A7338">
        <f t="shared" si="230"/>
        <v>1995</v>
      </c>
      <c r="B7338" s="821">
        <v>34977</v>
      </c>
      <c r="C7338">
        <v>6.43</v>
      </c>
      <c r="D7338">
        <f t="shared" si="231"/>
        <v>1</v>
      </c>
    </row>
    <row r="7339" spans="1:4" x14ac:dyDescent="0.55000000000000004">
      <c r="A7339">
        <f t="shared" si="230"/>
        <v>1995</v>
      </c>
      <c r="B7339" s="821">
        <v>34976</v>
      </c>
      <c r="C7339">
        <v>6.44</v>
      </c>
      <c r="D7339">
        <f t="shared" si="231"/>
        <v>1</v>
      </c>
    </row>
    <row r="7340" spans="1:4" x14ac:dyDescent="0.55000000000000004">
      <c r="A7340">
        <f t="shared" si="230"/>
        <v>1995</v>
      </c>
      <c r="B7340" s="821">
        <v>34975</v>
      </c>
      <c r="C7340">
        <v>6.46</v>
      </c>
      <c r="D7340">
        <f t="shared" si="231"/>
        <v>1</v>
      </c>
    </row>
    <row r="7341" spans="1:4" x14ac:dyDescent="0.55000000000000004">
      <c r="A7341">
        <f t="shared" si="230"/>
        <v>1995</v>
      </c>
      <c r="B7341" s="821">
        <v>34974</v>
      </c>
      <c r="C7341">
        <v>6.48</v>
      </c>
      <c r="D7341">
        <f t="shared" si="231"/>
        <v>1</v>
      </c>
    </row>
    <row r="7342" spans="1:4" x14ac:dyDescent="0.55000000000000004">
      <c r="A7342">
        <f t="shared" si="230"/>
        <v>1995</v>
      </c>
      <c r="B7342" s="821">
        <v>34971</v>
      </c>
      <c r="C7342">
        <v>6.49</v>
      </c>
      <c r="D7342">
        <f t="shared" si="231"/>
        <v>1</v>
      </c>
    </row>
    <row r="7343" spans="1:4" x14ac:dyDescent="0.55000000000000004">
      <c r="A7343">
        <f t="shared" si="230"/>
        <v>1995</v>
      </c>
      <c r="B7343" s="821">
        <v>34970</v>
      </c>
      <c r="C7343">
        <v>6.59</v>
      </c>
      <c r="D7343">
        <f t="shared" si="231"/>
        <v>1</v>
      </c>
    </row>
    <row r="7344" spans="1:4" x14ac:dyDescent="0.55000000000000004">
      <c r="A7344">
        <f t="shared" si="230"/>
        <v>1995</v>
      </c>
      <c r="B7344" s="821">
        <v>34969</v>
      </c>
      <c r="C7344">
        <v>6.61</v>
      </c>
      <c r="D7344">
        <f t="shared" si="231"/>
        <v>1</v>
      </c>
    </row>
    <row r="7345" spans="1:4" x14ac:dyDescent="0.55000000000000004">
      <c r="A7345">
        <f t="shared" si="230"/>
        <v>1995</v>
      </c>
      <c r="B7345" s="821">
        <v>34968</v>
      </c>
      <c r="C7345">
        <v>6.58</v>
      </c>
      <c r="D7345">
        <f t="shared" si="231"/>
        <v>1</v>
      </c>
    </row>
    <row r="7346" spans="1:4" x14ac:dyDescent="0.55000000000000004">
      <c r="A7346">
        <f t="shared" si="230"/>
        <v>1995</v>
      </c>
      <c r="B7346" s="821">
        <v>34967</v>
      </c>
      <c r="C7346">
        <v>6.58</v>
      </c>
      <c r="D7346">
        <f t="shared" si="231"/>
        <v>1</v>
      </c>
    </row>
    <row r="7347" spans="1:4" x14ac:dyDescent="0.55000000000000004">
      <c r="A7347">
        <f t="shared" si="230"/>
        <v>1995</v>
      </c>
      <c r="B7347" s="821">
        <v>34964</v>
      </c>
      <c r="C7347">
        <v>6.59</v>
      </c>
      <c r="D7347">
        <f t="shared" si="231"/>
        <v>1</v>
      </c>
    </row>
    <row r="7348" spans="1:4" x14ac:dyDescent="0.55000000000000004">
      <c r="A7348">
        <f t="shared" si="230"/>
        <v>1995</v>
      </c>
      <c r="B7348" s="821">
        <v>34963</v>
      </c>
      <c r="C7348">
        <v>6.56</v>
      </c>
      <c r="D7348">
        <f t="shared" si="231"/>
        <v>1</v>
      </c>
    </row>
    <row r="7349" spans="1:4" x14ac:dyDescent="0.55000000000000004">
      <c r="A7349">
        <f t="shared" si="230"/>
        <v>1995</v>
      </c>
      <c r="B7349" s="821">
        <v>34962</v>
      </c>
      <c r="C7349">
        <v>6.46</v>
      </c>
      <c r="D7349">
        <f t="shared" si="231"/>
        <v>1</v>
      </c>
    </row>
    <row r="7350" spans="1:4" x14ac:dyDescent="0.55000000000000004">
      <c r="A7350">
        <f t="shared" si="230"/>
        <v>1995</v>
      </c>
      <c r="B7350" s="821">
        <v>34961</v>
      </c>
      <c r="C7350">
        <v>6.49</v>
      </c>
      <c r="D7350">
        <f t="shared" si="231"/>
        <v>1</v>
      </c>
    </row>
    <row r="7351" spans="1:4" x14ac:dyDescent="0.55000000000000004">
      <c r="A7351">
        <f t="shared" si="230"/>
        <v>1995</v>
      </c>
      <c r="B7351" s="821">
        <v>34960</v>
      </c>
      <c r="C7351">
        <v>6.53</v>
      </c>
      <c r="D7351">
        <f t="shared" si="231"/>
        <v>1</v>
      </c>
    </row>
    <row r="7352" spans="1:4" x14ac:dyDescent="0.55000000000000004">
      <c r="A7352">
        <f t="shared" si="230"/>
        <v>1995</v>
      </c>
      <c r="B7352" s="821">
        <v>34957</v>
      </c>
      <c r="C7352">
        <v>6.47</v>
      </c>
      <c r="D7352">
        <f t="shared" si="231"/>
        <v>1</v>
      </c>
    </row>
    <row r="7353" spans="1:4" x14ac:dyDescent="0.55000000000000004">
      <c r="A7353">
        <f t="shared" si="230"/>
        <v>1995</v>
      </c>
      <c r="B7353" s="821">
        <v>34956</v>
      </c>
      <c r="C7353">
        <v>6.45</v>
      </c>
      <c r="D7353">
        <f t="shared" si="231"/>
        <v>1</v>
      </c>
    </row>
    <row r="7354" spans="1:4" x14ac:dyDescent="0.55000000000000004">
      <c r="A7354">
        <f t="shared" si="230"/>
        <v>1995</v>
      </c>
      <c r="B7354" s="821">
        <v>34955</v>
      </c>
      <c r="C7354">
        <v>6.52</v>
      </c>
      <c r="D7354">
        <f t="shared" si="231"/>
        <v>1</v>
      </c>
    </row>
    <row r="7355" spans="1:4" x14ac:dyDescent="0.55000000000000004">
      <c r="A7355">
        <f t="shared" si="230"/>
        <v>1995</v>
      </c>
      <c r="B7355" s="821">
        <v>34954</v>
      </c>
      <c r="C7355">
        <v>6.51</v>
      </c>
      <c r="D7355">
        <f t="shared" si="231"/>
        <v>1</v>
      </c>
    </row>
    <row r="7356" spans="1:4" x14ac:dyDescent="0.55000000000000004">
      <c r="A7356">
        <f t="shared" si="230"/>
        <v>1995</v>
      </c>
      <c r="B7356" s="821">
        <v>34953</v>
      </c>
      <c r="C7356">
        <v>6.6</v>
      </c>
      <c r="D7356">
        <f t="shared" si="231"/>
        <v>1</v>
      </c>
    </row>
    <row r="7357" spans="1:4" x14ac:dyDescent="0.55000000000000004">
      <c r="A7357">
        <f t="shared" si="230"/>
        <v>1995</v>
      </c>
      <c r="B7357" s="821">
        <v>34950</v>
      </c>
      <c r="C7357">
        <v>6.6</v>
      </c>
      <c r="D7357">
        <f t="shared" si="231"/>
        <v>1</v>
      </c>
    </row>
    <row r="7358" spans="1:4" x14ac:dyDescent="0.55000000000000004">
      <c r="A7358">
        <f t="shared" si="230"/>
        <v>1995</v>
      </c>
      <c r="B7358" s="821">
        <v>34949</v>
      </c>
      <c r="C7358">
        <v>6.6</v>
      </c>
      <c r="D7358">
        <f t="shared" si="231"/>
        <v>1</v>
      </c>
    </row>
    <row r="7359" spans="1:4" x14ac:dyDescent="0.55000000000000004">
      <c r="A7359">
        <f t="shared" si="230"/>
        <v>1995</v>
      </c>
      <c r="B7359" s="821">
        <v>34948</v>
      </c>
      <c r="C7359">
        <v>6.57</v>
      </c>
      <c r="D7359">
        <f t="shared" si="231"/>
        <v>1</v>
      </c>
    </row>
    <row r="7360" spans="1:4" x14ac:dyDescent="0.55000000000000004">
      <c r="A7360">
        <f t="shared" si="230"/>
        <v>1995</v>
      </c>
      <c r="B7360" s="821">
        <v>34947</v>
      </c>
      <c r="C7360">
        <v>6.57</v>
      </c>
      <c r="D7360">
        <f t="shared" si="231"/>
        <v>1</v>
      </c>
    </row>
    <row r="7361" spans="1:4" x14ac:dyDescent="0.55000000000000004">
      <c r="A7361">
        <f t="shared" si="230"/>
        <v>1995</v>
      </c>
      <c r="B7361" s="821">
        <v>34943</v>
      </c>
      <c r="C7361">
        <v>6.61</v>
      </c>
      <c r="D7361">
        <f t="shared" si="231"/>
        <v>1</v>
      </c>
    </row>
    <row r="7362" spans="1:4" x14ac:dyDescent="0.55000000000000004">
      <c r="A7362">
        <f t="shared" si="230"/>
        <v>1995</v>
      </c>
      <c r="B7362" s="821">
        <v>34942</v>
      </c>
      <c r="C7362">
        <v>6.65</v>
      </c>
      <c r="D7362">
        <f t="shared" si="231"/>
        <v>1</v>
      </c>
    </row>
    <row r="7363" spans="1:4" x14ac:dyDescent="0.55000000000000004">
      <c r="A7363">
        <f t="shared" si="230"/>
        <v>1995</v>
      </c>
      <c r="B7363" s="821">
        <v>34941</v>
      </c>
      <c r="C7363">
        <v>6.7</v>
      </c>
      <c r="D7363">
        <f t="shared" si="231"/>
        <v>1</v>
      </c>
    </row>
    <row r="7364" spans="1:4" x14ac:dyDescent="0.55000000000000004">
      <c r="A7364">
        <f t="shared" ref="A7364:A7427" si="232">YEAR(B7364)</f>
        <v>1995</v>
      </c>
      <c r="B7364" s="821">
        <v>34940</v>
      </c>
      <c r="C7364">
        <v>6.72</v>
      </c>
      <c r="D7364">
        <f t="shared" ref="D7364:D7427" si="233">IF(C7364&gt;4,1,0)</f>
        <v>1</v>
      </c>
    </row>
    <row r="7365" spans="1:4" x14ac:dyDescent="0.55000000000000004">
      <c r="A7365">
        <f t="shared" si="232"/>
        <v>1995</v>
      </c>
      <c r="B7365" s="821">
        <v>34939</v>
      </c>
      <c r="C7365">
        <v>6.7</v>
      </c>
      <c r="D7365">
        <f t="shared" si="233"/>
        <v>1</v>
      </c>
    </row>
    <row r="7366" spans="1:4" x14ac:dyDescent="0.55000000000000004">
      <c r="A7366">
        <f t="shared" si="232"/>
        <v>1995</v>
      </c>
      <c r="B7366" s="821">
        <v>34936</v>
      </c>
      <c r="C7366">
        <v>6.72</v>
      </c>
      <c r="D7366">
        <f t="shared" si="233"/>
        <v>1</v>
      </c>
    </row>
    <row r="7367" spans="1:4" x14ac:dyDescent="0.55000000000000004">
      <c r="A7367">
        <f t="shared" si="232"/>
        <v>1995</v>
      </c>
      <c r="B7367" s="821">
        <v>34935</v>
      </c>
      <c r="C7367">
        <v>6.84</v>
      </c>
      <c r="D7367">
        <f t="shared" si="233"/>
        <v>1</v>
      </c>
    </row>
    <row r="7368" spans="1:4" x14ac:dyDescent="0.55000000000000004">
      <c r="A7368">
        <f t="shared" si="232"/>
        <v>1995</v>
      </c>
      <c r="B7368" s="821">
        <v>34934</v>
      </c>
      <c r="C7368">
        <v>6.92</v>
      </c>
      <c r="D7368">
        <f t="shared" si="233"/>
        <v>1</v>
      </c>
    </row>
    <row r="7369" spans="1:4" x14ac:dyDescent="0.55000000000000004">
      <c r="A7369">
        <f t="shared" si="232"/>
        <v>1995</v>
      </c>
      <c r="B7369" s="821">
        <v>34933</v>
      </c>
      <c r="C7369">
        <v>6.89</v>
      </c>
      <c r="D7369">
        <f t="shared" si="233"/>
        <v>1</v>
      </c>
    </row>
    <row r="7370" spans="1:4" x14ac:dyDescent="0.55000000000000004">
      <c r="A7370">
        <f t="shared" si="232"/>
        <v>1995</v>
      </c>
      <c r="B7370" s="821">
        <v>34932</v>
      </c>
      <c r="C7370">
        <v>6.87</v>
      </c>
      <c r="D7370">
        <f t="shared" si="233"/>
        <v>1</v>
      </c>
    </row>
    <row r="7371" spans="1:4" x14ac:dyDescent="0.55000000000000004">
      <c r="A7371">
        <f t="shared" si="232"/>
        <v>1995</v>
      </c>
      <c r="B7371" s="821">
        <v>34929</v>
      </c>
      <c r="C7371">
        <v>6.91</v>
      </c>
      <c r="D7371">
        <f t="shared" si="233"/>
        <v>1</v>
      </c>
    </row>
    <row r="7372" spans="1:4" x14ac:dyDescent="0.55000000000000004">
      <c r="A7372">
        <f t="shared" si="232"/>
        <v>1995</v>
      </c>
      <c r="B7372" s="821">
        <v>34928</v>
      </c>
      <c r="C7372">
        <v>6.9</v>
      </c>
      <c r="D7372">
        <f t="shared" si="233"/>
        <v>1</v>
      </c>
    </row>
    <row r="7373" spans="1:4" x14ac:dyDescent="0.55000000000000004">
      <c r="A7373">
        <f t="shared" si="232"/>
        <v>1995</v>
      </c>
      <c r="B7373" s="821">
        <v>34927</v>
      </c>
      <c r="C7373">
        <v>6.89</v>
      </c>
      <c r="D7373">
        <f t="shared" si="233"/>
        <v>1</v>
      </c>
    </row>
    <row r="7374" spans="1:4" x14ac:dyDescent="0.55000000000000004">
      <c r="A7374">
        <f t="shared" si="232"/>
        <v>1995</v>
      </c>
      <c r="B7374" s="821">
        <v>34926</v>
      </c>
      <c r="C7374">
        <v>6.92</v>
      </c>
      <c r="D7374">
        <f t="shared" si="233"/>
        <v>1</v>
      </c>
    </row>
    <row r="7375" spans="1:4" x14ac:dyDescent="0.55000000000000004">
      <c r="A7375">
        <f t="shared" si="232"/>
        <v>1995</v>
      </c>
      <c r="B7375" s="821">
        <v>34925</v>
      </c>
      <c r="C7375">
        <v>6.96</v>
      </c>
      <c r="D7375">
        <f t="shared" si="233"/>
        <v>1</v>
      </c>
    </row>
    <row r="7376" spans="1:4" x14ac:dyDescent="0.55000000000000004">
      <c r="A7376">
        <f t="shared" si="232"/>
        <v>1995</v>
      </c>
      <c r="B7376" s="821">
        <v>34922</v>
      </c>
      <c r="C7376">
        <v>6.98</v>
      </c>
      <c r="D7376">
        <f t="shared" si="233"/>
        <v>1</v>
      </c>
    </row>
    <row r="7377" spans="1:4" x14ac:dyDescent="0.55000000000000004">
      <c r="A7377">
        <f t="shared" si="232"/>
        <v>1995</v>
      </c>
      <c r="B7377" s="821">
        <v>34921</v>
      </c>
      <c r="C7377">
        <v>6.9</v>
      </c>
      <c r="D7377">
        <f t="shared" si="233"/>
        <v>1</v>
      </c>
    </row>
    <row r="7378" spans="1:4" x14ac:dyDescent="0.55000000000000004">
      <c r="A7378">
        <f t="shared" si="232"/>
        <v>1995</v>
      </c>
      <c r="B7378" s="821">
        <v>34920</v>
      </c>
      <c r="C7378">
        <v>6.93</v>
      </c>
      <c r="D7378">
        <f t="shared" si="233"/>
        <v>1</v>
      </c>
    </row>
    <row r="7379" spans="1:4" x14ac:dyDescent="0.55000000000000004">
      <c r="A7379">
        <f t="shared" si="232"/>
        <v>1995</v>
      </c>
      <c r="B7379" s="821">
        <v>34919</v>
      </c>
      <c r="C7379">
        <v>6.89</v>
      </c>
      <c r="D7379">
        <f t="shared" si="233"/>
        <v>1</v>
      </c>
    </row>
    <row r="7380" spans="1:4" x14ac:dyDescent="0.55000000000000004">
      <c r="A7380">
        <f t="shared" si="232"/>
        <v>1995</v>
      </c>
      <c r="B7380" s="821">
        <v>34918</v>
      </c>
      <c r="C7380">
        <v>6.89</v>
      </c>
      <c r="D7380">
        <f t="shared" si="233"/>
        <v>1</v>
      </c>
    </row>
    <row r="7381" spans="1:4" x14ac:dyDescent="0.55000000000000004">
      <c r="A7381">
        <f t="shared" si="232"/>
        <v>1995</v>
      </c>
      <c r="B7381" s="821">
        <v>34915</v>
      </c>
      <c r="C7381">
        <v>6.9</v>
      </c>
      <c r="D7381">
        <f t="shared" si="233"/>
        <v>1</v>
      </c>
    </row>
    <row r="7382" spans="1:4" x14ac:dyDescent="0.55000000000000004">
      <c r="A7382">
        <f t="shared" si="232"/>
        <v>1995</v>
      </c>
      <c r="B7382" s="821">
        <v>34914</v>
      </c>
      <c r="C7382">
        <v>6.93</v>
      </c>
      <c r="D7382">
        <f t="shared" si="233"/>
        <v>1</v>
      </c>
    </row>
    <row r="7383" spans="1:4" x14ac:dyDescent="0.55000000000000004">
      <c r="A7383">
        <f t="shared" si="232"/>
        <v>1995</v>
      </c>
      <c r="B7383" s="821">
        <v>34913</v>
      </c>
      <c r="C7383">
        <v>6.86</v>
      </c>
      <c r="D7383">
        <f t="shared" si="233"/>
        <v>1</v>
      </c>
    </row>
    <row r="7384" spans="1:4" x14ac:dyDescent="0.55000000000000004">
      <c r="A7384">
        <f t="shared" si="232"/>
        <v>1995</v>
      </c>
      <c r="B7384" s="821">
        <v>34912</v>
      </c>
      <c r="C7384">
        <v>6.92</v>
      </c>
      <c r="D7384">
        <f t="shared" si="233"/>
        <v>1</v>
      </c>
    </row>
    <row r="7385" spans="1:4" x14ac:dyDescent="0.55000000000000004">
      <c r="A7385">
        <f t="shared" si="232"/>
        <v>1995</v>
      </c>
      <c r="B7385" s="821">
        <v>34911</v>
      </c>
      <c r="C7385">
        <v>6.86</v>
      </c>
      <c r="D7385">
        <f t="shared" si="233"/>
        <v>1</v>
      </c>
    </row>
    <row r="7386" spans="1:4" x14ac:dyDescent="0.55000000000000004">
      <c r="A7386">
        <f t="shared" si="232"/>
        <v>1995</v>
      </c>
      <c r="B7386" s="821">
        <v>34908</v>
      </c>
      <c r="C7386">
        <v>6.91</v>
      </c>
      <c r="D7386">
        <f t="shared" si="233"/>
        <v>1</v>
      </c>
    </row>
    <row r="7387" spans="1:4" x14ac:dyDescent="0.55000000000000004">
      <c r="A7387">
        <f t="shared" si="232"/>
        <v>1995</v>
      </c>
      <c r="B7387" s="821">
        <v>34907</v>
      </c>
      <c r="C7387">
        <v>6.84</v>
      </c>
      <c r="D7387">
        <f t="shared" si="233"/>
        <v>1</v>
      </c>
    </row>
    <row r="7388" spans="1:4" x14ac:dyDescent="0.55000000000000004">
      <c r="A7388">
        <f t="shared" si="232"/>
        <v>1995</v>
      </c>
      <c r="B7388" s="821">
        <v>34906</v>
      </c>
      <c r="C7388">
        <v>6.9</v>
      </c>
      <c r="D7388">
        <f t="shared" si="233"/>
        <v>1</v>
      </c>
    </row>
    <row r="7389" spans="1:4" x14ac:dyDescent="0.55000000000000004">
      <c r="A7389">
        <f t="shared" si="232"/>
        <v>1995</v>
      </c>
      <c r="B7389" s="821">
        <v>34905</v>
      </c>
      <c r="C7389">
        <v>6.84</v>
      </c>
      <c r="D7389">
        <f t="shared" si="233"/>
        <v>1</v>
      </c>
    </row>
    <row r="7390" spans="1:4" x14ac:dyDescent="0.55000000000000004">
      <c r="A7390">
        <f t="shared" si="232"/>
        <v>1995</v>
      </c>
      <c r="B7390" s="821">
        <v>34904</v>
      </c>
      <c r="C7390">
        <v>6.9</v>
      </c>
      <c r="D7390">
        <f t="shared" si="233"/>
        <v>1</v>
      </c>
    </row>
    <row r="7391" spans="1:4" x14ac:dyDescent="0.55000000000000004">
      <c r="A7391">
        <f t="shared" si="232"/>
        <v>1995</v>
      </c>
      <c r="B7391" s="821">
        <v>34901</v>
      </c>
      <c r="C7391">
        <v>6.96</v>
      </c>
      <c r="D7391">
        <f t="shared" si="233"/>
        <v>1</v>
      </c>
    </row>
    <row r="7392" spans="1:4" x14ac:dyDescent="0.55000000000000004">
      <c r="A7392">
        <f t="shared" si="232"/>
        <v>1995</v>
      </c>
      <c r="B7392" s="821">
        <v>34900</v>
      </c>
      <c r="C7392">
        <v>6.87</v>
      </c>
      <c r="D7392">
        <f t="shared" si="233"/>
        <v>1</v>
      </c>
    </row>
    <row r="7393" spans="1:4" x14ac:dyDescent="0.55000000000000004">
      <c r="A7393">
        <f t="shared" si="232"/>
        <v>1995</v>
      </c>
      <c r="B7393" s="821">
        <v>34899</v>
      </c>
      <c r="C7393">
        <v>6.89</v>
      </c>
      <c r="D7393">
        <f t="shared" si="233"/>
        <v>1</v>
      </c>
    </row>
    <row r="7394" spans="1:4" x14ac:dyDescent="0.55000000000000004">
      <c r="A7394">
        <f t="shared" si="232"/>
        <v>1995</v>
      </c>
      <c r="B7394" s="821">
        <v>34898</v>
      </c>
      <c r="C7394">
        <v>6.73</v>
      </c>
      <c r="D7394">
        <f t="shared" si="233"/>
        <v>1</v>
      </c>
    </row>
    <row r="7395" spans="1:4" x14ac:dyDescent="0.55000000000000004">
      <c r="A7395">
        <f t="shared" si="232"/>
        <v>1995</v>
      </c>
      <c r="B7395" s="821">
        <v>34897</v>
      </c>
      <c r="C7395">
        <v>6.67</v>
      </c>
      <c r="D7395">
        <f t="shared" si="233"/>
        <v>1</v>
      </c>
    </row>
    <row r="7396" spans="1:4" x14ac:dyDescent="0.55000000000000004">
      <c r="A7396">
        <f t="shared" si="232"/>
        <v>1995</v>
      </c>
      <c r="B7396" s="821">
        <v>34894</v>
      </c>
      <c r="C7396">
        <v>6.6</v>
      </c>
      <c r="D7396">
        <f t="shared" si="233"/>
        <v>1</v>
      </c>
    </row>
    <row r="7397" spans="1:4" x14ac:dyDescent="0.55000000000000004">
      <c r="A7397">
        <f t="shared" si="232"/>
        <v>1995</v>
      </c>
      <c r="B7397" s="821">
        <v>34893</v>
      </c>
      <c r="C7397">
        <v>6.55</v>
      </c>
      <c r="D7397">
        <f t="shared" si="233"/>
        <v>1</v>
      </c>
    </row>
    <row r="7398" spans="1:4" x14ac:dyDescent="0.55000000000000004">
      <c r="A7398">
        <f t="shared" si="232"/>
        <v>1995</v>
      </c>
      <c r="B7398" s="821">
        <v>34892</v>
      </c>
      <c r="C7398">
        <v>6.55</v>
      </c>
      <c r="D7398">
        <f t="shared" si="233"/>
        <v>1</v>
      </c>
    </row>
    <row r="7399" spans="1:4" x14ac:dyDescent="0.55000000000000004">
      <c r="A7399">
        <f t="shared" si="232"/>
        <v>1995</v>
      </c>
      <c r="B7399" s="821">
        <v>34891</v>
      </c>
      <c r="C7399">
        <v>6.57</v>
      </c>
      <c r="D7399">
        <f t="shared" si="233"/>
        <v>1</v>
      </c>
    </row>
    <row r="7400" spans="1:4" x14ac:dyDescent="0.55000000000000004">
      <c r="A7400">
        <f t="shared" si="232"/>
        <v>1995</v>
      </c>
      <c r="B7400" s="821">
        <v>34890</v>
      </c>
      <c r="C7400">
        <v>6.51</v>
      </c>
      <c r="D7400">
        <f t="shared" si="233"/>
        <v>1</v>
      </c>
    </row>
    <row r="7401" spans="1:4" x14ac:dyDescent="0.55000000000000004">
      <c r="A7401">
        <f t="shared" si="232"/>
        <v>1995</v>
      </c>
      <c r="B7401" s="821">
        <v>34887</v>
      </c>
      <c r="C7401">
        <v>6.52</v>
      </c>
      <c r="D7401">
        <f t="shared" si="233"/>
        <v>1</v>
      </c>
    </row>
    <row r="7402" spans="1:4" x14ac:dyDescent="0.55000000000000004">
      <c r="A7402">
        <f t="shared" si="232"/>
        <v>1995</v>
      </c>
      <c r="B7402" s="821">
        <v>34886</v>
      </c>
      <c r="C7402">
        <v>6.51</v>
      </c>
      <c r="D7402">
        <f t="shared" si="233"/>
        <v>1</v>
      </c>
    </row>
    <row r="7403" spans="1:4" x14ac:dyDescent="0.55000000000000004">
      <c r="A7403">
        <f t="shared" si="232"/>
        <v>1995</v>
      </c>
      <c r="B7403" s="821">
        <v>34885</v>
      </c>
      <c r="C7403">
        <v>6.61</v>
      </c>
      <c r="D7403">
        <f t="shared" si="233"/>
        <v>1</v>
      </c>
    </row>
    <row r="7404" spans="1:4" x14ac:dyDescent="0.55000000000000004">
      <c r="A7404">
        <f t="shared" si="232"/>
        <v>1995</v>
      </c>
      <c r="B7404" s="821">
        <v>34883</v>
      </c>
      <c r="C7404">
        <v>6.63</v>
      </c>
      <c r="D7404">
        <f t="shared" si="233"/>
        <v>1</v>
      </c>
    </row>
    <row r="7405" spans="1:4" x14ac:dyDescent="0.55000000000000004">
      <c r="A7405">
        <f t="shared" si="232"/>
        <v>1995</v>
      </c>
      <c r="B7405" s="821">
        <v>34880</v>
      </c>
      <c r="C7405">
        <v>6.63</v>
      </c>
      <c r="D7405">
        <f t="shared" si="233"/>
        <v>1</v>
      </c>
    </row>
    <row r="7406" spans="1:4" x14ac:dyDescent="0.55000000000000004">
      <c r="A7406">
        <f t="shared" si="232"/>
        <v>1995</v>
      </c>
      <c r="B7406" s="821">
        <v>34879</v>
      </c>
      <c r="C7406">
        <v>6.65</v>
      </c>
      <c r="D7406">
        <f t="shared" si="233"/>
        <v>1</v>
      </c>
    </row>
    <row r="7407" spans="1:4" x14ac:dyDescent="0.55000000000000004">
      <c r="A7407">
        <f t="shared" si="232"/>
        <v>1995</v>
      </c>
      <c r="B7407" s="821">
        <v>34878</v>
      </c>
      <c r="C7407">
        <v>6.52</v>
      </c>
      <c r="D7407">
        <f t="shared" si="233"/>
        <v>1</v>
      </c>
    </row>
    <row r="7408" spans="1:4" x14ac:dyDescent="0.55000000000000004">
      <c r="A7408">
        <f t="shared" si="232"/>
        <v>1995</v>
      </c>
      <c r="B7408" s="821">
        <v>34877</v>
      </c>
      <c r="C7408">
        <v>6.56</v>
      </c>
      <c r="D7408">
        <f t="shared" si="233"/>
        <v>1</v>
      </c>
    </row>
    <row r="7409" spans="1:4" x14ac:dyDescent="0.55000000000000004">
      <c r="A7409">
        <f t="shared" si="232"/>
        <v>1995</v>
      </c>
      <c r="B7409" s="821">
        <v>34876</v>
      </c>
      <c r="C7409">
        <v>6.54</v>
      </c>
      <c r="D7409">
        <f t="shared" si="233"/>
        <v>1</v>
      </c>
    </row>
    <row r="7410" spans="1:4" x14ac:dyDescent="0.55000000000000004">
      <c r="A7410">
        <f t="shared" si="232"/>
        <v>1995</v>
      </c>
      <c r="B7410" s="821">
        <v>34873</v>
      </c>
      <c r="C7410">
        <v>6.51</v>
      </c>
      <c r="D7410">
        <f t="shared" si="233"/>
        <v>1</v>
      </c>
    </row>
    <row r="7411" spans="1:4" x14ac:dyDescent="0.55000000000000004">
      <c r="A7411">
        <f t="shared" si="232"/>
        <v>1995</v>
      </c>
      <c r="B7411" s="821">
        <v>34872</v>
      </c>
      <c r="C7411">
        <v>6.48</v>
      </c>
      <c r="D7411">
        <f t="shared" si="233"/>
        <v>1</v>
      </c>
    </row>
    <row r="7412" spans="1:4" x14ac:dyDescent="0.55000000000000004">
      <c r="A7412">
        <f t="shared" si="232"/>
        <v>1995</v>
      </c>
      <c r="B7412" s="821">
        <v>34871</v>
      </c>
      <c r="C7412">
        <v>6.55</v>
      </c>
      <c r="D7412">
        <f t="shared" si="233"/>
        <v>1</v>
      </c>
    </row>
    <row r="7413" spans="1:4" x14ac:dyDescent="0.55000000000000004">
      <c r="A7413">
        <f t="shared" si="232"/>
        <v>1995</v>
      </c>
      <c r="B7413" s="821">
        <v>34870</v>
      </c>
      <c r="C7413">
        <v>6.57</v>
      </c>
      <c r="D7413">
        <f t="shared" si="233"/>
        <v>1</v>
      </c>
    </row>
    <row r="7414" spans="1:4" x14ac:dyDescent="0.55000000000000004">
      <c r="A7414">
        <f t="shared" si="232"/>
        <v>1995</v>
      </c>
      <c r="B7414" s="821">
        <v>34869</v>
      </c>
      <c r="C7414">
        <v>6.56</v>
      </c>
      <c r="D7414">
        <f t="shared" si="233"/>
        <v>1</v>
      </c>
    </row>
    <row r="7415" spans="1:4" x14ac:dyDescent="0.55000000000000004">
      <c r="A7415">
        <f t="shared" si="232"/>
        <v>1995</v>
      </c>
      <c r="B7415" s="821">
        <v>34866</v>
      </c>
      <c r="C7415">
        <v>6.62</v>
      </c>
      <c r="D7415">
        <f t="shared" si="233"/>
        <v>1</v>
      </c>
    </row>
    <row r="7416" spans="1:4" x14ac:dyDescent="0.55000000000000004">
      <c r="A7416">
        <f t="shared" si="232"/>
        <v>1995</v>
      </c>
      <c r="B7416" s="821">
        <v>34865</v>
      </c>
      <c r="C7416">
        <v>6.61</v>
      </c>
      <c r="D7416">
        <f t="shared" si="233"/>
        <v>1</v>
      </c>
    </row>
    <row r="7417" spans="1:4" x14ac:dyDescent="0.55000000000000004">
      <c r="A7417">
        <f t="shared" si="232"/>
        <v>1995</v>
      </c>
      <c r="B7417" s="821">
        <v>34864</v>
      </c>
      <c r="C7417">
        <v>6.57</v>
      </c>
      <c r="D7417">
        <f t="shared" si="233"/>
        <v>1</v>
      </c>
    </row>
    <row r="7418" spans="1:4" x14ac:dyDescent="0.55000000000000004">
      <c r="A7418">
        <f t="shared" si="232"/>
        <v>1995</v>
      </c>
      <c r="B7418" s="821">
        <v>34863</v>
      </c>
      <c r="C7418">
        <v>6.56</v>
      </c>
      <c r="D7418">
        <f t="shared" si="233"/>
        <v>1</v>
      </c>
    </row>
    <row r="7419" spans="1:4" x14ac:dyDescent="0.55000000000000004">
      <c r="A7419">
        <f t="shared" si="232"/>
        <v>1995</v>
      </c>
      <c r="B7419" s="821">
        <v>34862</v>
      </c>
      <c r="C7419">
        <v>6.71</v>
      </c>
      <c r="D7419">
        <f t="shared" si="233"/>
        <v>1</v>
      </c>
    </row>
    <row r="7420" spans="1:4" x14ac:dyDescent="0.55000000000000004">
      <c r="A7420">
        <f t="shared" si="232"/>
        <v>1995</v>
      </c>
      <c r="B7420" s="821">
        <v>34859</v>
      </c>
      <c r="C7420">
        <v>6.72</v>
      </c>
      <c r="D7420">
        <f t="shared" si="233"/>
        <v>1</v>
      </c>
    </row>
    <row r="7421" spans="1:4" x14ac:dyDescent="0.55000000000000004">
      <c r="A7421">
        <f t="shared" si="232"/>
        <v>1995</v>
      </c>
      <c r="B7421" s="821">
        <v>34858</v>
      </c>
      <c r="C7421">
        <v>6.57</v>
      </c>
      <c r="D7421">
        <f t="shared" si="233"/>
        <v>1</v>
      </c>
    </row>
    <row r="7422" spans="1:4" x14ac:dyDescent="0.55000000000000004">
      <c r="A7422">
        <f t="shared" si="232"/>
        <v>1995</v>
      </c>
      <c r="B7422" s="821">
        <v>34857</v>
      </c>
      <c r="C7422">
        <v>6.53</v>
      </c>
      <c r="D7422">
        <f t="shared" si="233"/>
        <v>1</v>
      </c>
    </row>
    <row r="7423" spans="1:4" x14ac:dyDescent="0.55000000000000004">
      <c r="A7423">
        <f t="shared" si="232"/>
        <v>1995</v>
      </c>
      <c r="B7423" s="821">
        <v>34856</v>
      </c>
      <c r="C7423">
        <v>6.51</v>
      </c>
      <c r="D7423">
        <f t="shared" si="233"/>
        <v>1</v>
      </c>
    </row>
    <row r="7424" spans="1:4" x14ac:dyDescent="0.55000000000000004">
      <c r="A7424">
        <f t="shared" si="232"/>
        <v>1995</v>
      </c>
      <c r="B7424" s="821">
        <v>34855</v>
      </c>
      <c r="C7424">
        <v>6.51</v>
      </c>
      <c r="D7424">
        <f t="shared" si="233"/>
        <v>1</v>
      </c>
    </row>
    <row r="7425" spans="1:4" x14ac:dyDescent="0.55000000000000004">
      <c r="A7425">
        <f t="shared" si="232"/>
        <v>1995</v>
      </c>
      <c r="B7425" s="821">
        <v>34852</v>
      </c>
      <c r="C7425">
        <v>6.52</v>
      </c>
      <c r="D7425">
        <f t="shared" si="233"/>
        <v>1</v>
      </c>
    </row>
    <row r="7426" spans="1:4" x14ac:dyDescent="0.55000000000000004">
      <c r="A7426">
        <f t="shared" si="232"/>
        <v>1995</v>
      </c>
      <c r="B7426" s="821">
        <v>34851</v>
      </c>
      <c r="C7426">
        <v>6.61</v>
      </c>
      <c r="D7426">
        <f t="shared" si="233"/>
        <v>1</v>
      </c>
    </row>
    <row r="7427" spans="1:4" x14ac:dyDescent="0.55000000000000004">
      <c r="A7427">
        <f t="shared" si="232"/>
        <v>1995</v>
      </c>
      <c r="B7427" s="821">
        <v>34850</v>
      </c>
      <c r="C7427">
        <v>6.67</v>
      </c>
      <c r="D7427">
        <f t="shared" si="233"/>
        <v>1</v>
      </c>
    </row>
    <row r="7428" spans="1:4" x14ac:dyDescent="0.55000000000000004">
      <c r="A7428">
        <f t="shared" ref="A7428:A7491" si="234">YEAR(B7428)</f>
        <v>1995</v>
      </c>
      <c r="B7428" s="821">
        <v>34849</v>
      </c>
      <c r="C7428">
        <v>6.67</v>
      </c>
      <c r="D7428">
        <f t="shared" ref="D7428:D7491" si="235">IF(C7428&gt;4,1,0)</f>
        <v>1</v>
      </c>
    </row>
    <row r="7429" spans="1:4" x14ac:dyDescent="0.55000000000000004">
      <c r="A7429">
        <f t="shared" si="234"/>
        <v>1995</v>
      </c>
      <c r="B7429" s="821">
        <v>34845</v>
      </c>
      <c r="C7429">
        <v>6.75</v>
      </c>
      <c r="D7429">
        <f t="shared" si="235"/>
        <v>1</v>
      </c>
    </row>
    <row r="7430" spans="1:4" x14ac:dyDescent="0.55000000000000004">
      <c r="A7430">
        <f t="shared" si="234"/>
        <v>1995</v>
      </c>
      <c r="B7430" s="821">
        <v>34844</v>
      </c>
      <c r="C7430">
        <v>6.73</v>
      </c>
      <c r="D7430">
        <f t="shared" si="235"/>
        <v>1</v>
      </c>
    </row>
    <row r="7431" spans="1:4" x14ac:dyDescent="0.55000000000000004">
      <c r="A7431">
        <f t="shared" si="234"/>
        <v>1995</v>
      </c>
      <c r="B7431" s="821">
        <v>34843</v>
      </c>
      <c r="C7431">
        <v>6.77</v>
      </c>
      <c r="D7431">
        <f t="shared" si="235"/>
        <v>1</v>
      </c>
    </row>
    <row r="7432" spans="1:4" x14ac:dyDescent="0.55000000000000004">
      <c r="A7432">
        <f t="shared" si="234"/>
        <v>1995</v>
      </c>
      <c r="B7432" s="821">
        <v>34842</v>
      </c>
      <c r="C7432">
        <v>6.87</v>
      </c>
      <c r="D7432">
        <f t="shared" si="235"/>
        <v>1</v>
      </c>
    </row>
    <row r="7433" spans="1:4" x14ac:dyDescent="0.55000000000000004">
      <c r="A7433">
        <f t="shared" si="234"/>
        <v>1995</v>
      </c>
      <c r="B7433" s="821">
        <v>34841</v>
      </c>
      <c r="C7433">
        <v>6.92</v>
      </c>
      <c r="D7433">
        <f t="shared" si="235"/>
        <v>1</v>
      </c>
    </row>
    <row r="7434" spans="1:4" x14ac:dyDescent="0.55000000000000004">
      <c r="A7434">
        <f t="shared" si="234"/>
        <v>1995</v>
      </c>
      <c r="B7434" s="821">
        <v>34838</v>
      </c>
      <c r="C7434">
        <v>6.91</v>
      </c>
      <c r="D7434">
        <f t="shared" si="235"/>
        <v>1</v>
      </c>
    </row>
    <row r="7435" spans="1:4" x14ac:dyDescent="0.55000000000000004">
      <c r="A7435">
        <f t="shared" si="234"/>
        <v>1995</v>
      </c>
      <c r="B7435" s="821">
        <v>34837</v>
      </c>
      <c r="C7435">
        <v>6.91</v>
      </c>
      <c r="D7435">
        <f t="shared" si="235"/>
        <v>1</v>
      </c>
    </row>
    <row r="7436" spans="1:4" x14ac:dyDescent="0.55000000000000004">
      <c r="A7436">
        <f t="shared" si="234"/>
        <v>1995</v>
      </c>
      <c r="B7436" s="821">
        <v>34836</v>
      </c>
      <c r="C7436">
        <v>6.86</v>
      </c>
      <c r="D7436">
        <f t="shared" si="235"/>
        <v>1</v>
      </c>
    </row>
    <row r="7437" spans="1:4" x14ac:dyDescent="0.55000000000000004">
      <c r="A7437">
        <f t="shared" si="234"/>
        <v>1995</v>
      </c>
      <c r="B7437" s="821">
        <v>34835</v>
      </c>
      <c r="C7437">
        <v>6.87</v>
      </c>
      <c r="D7437">
        <f t="shared" si="235"/>
        <v>1</v>
      </c>
    </row>
    <row r="7438" spans="1:4" x14ac:dyDescent="0.55000000000000004">
      <c r="A7438">
        <f t="shared" si="234"/>
        <v>1995</v>
      </c>
      <c r="B7438" s="821">
        <v>34834</v>
      </c>
      <c r="C7438">
        <v>6.95</v>
      </c>
      <c r="D7438">
        <f t="shared" si="235"/>
        <v>1</v>
      </c>
    </row>
    <row r="7439" spans="1:4" x14ac:dyDescent="0.55000000000000004">
      <c r="A7439">
        <f t="shared" si="234"/>
        <v>1995</v>
      </c>
      <c r="B7439" s="821">
        <v>34831</v>
      </c>
      <c r="C7439">
        <v>7</v>
      </c>
      <c r="D7439">
        <f t="shared" si="235"/>
        <v>1</v>
      </c>
    </row>
    <row r="7440" spans="1:4" x14ac:dyDescent="0.55000000000000004">
      <c r="A7440">
        <f t="shared" si="234"/>
        <v>1995</v>
      </c>
      <c r="B7440" s="821">
        <v>34830</v>
      </c>
      <c r="C7440">
        <v>6.99</v>
      </c>
      <c r="D7440">
        <f t="shared" si="235"/>
        <v>1</v>
      </c>
    </row>
    <row r="7441" spans="1:4" x14ac:dyDescent="0.55000000000000004">
      <c r="A7441">
        <f t="shared" si="234"/>
        <v>1995</v>
      </c>
      <c r="B7441" s="821">
        <v>34829</v>
      </c>
      <c r="C7441">
        <v>6.97</v>
      </c>
      <c r="D7441">
        <f t="shared" si="235"/>
        <v>1</v>
      </c>
    </row>
    <row r="7442" spans="1:4" x14ac:dyDescent="0.55000000000000004">
      <c r="A7442">
        <f t="shared" si="234"/>
        <v>1995</v>
      </c>
      <c r="B7442" s="821">
        <v>34828</v>
      </c>
      <c r="C7442">
        <v>6.94</v>
      </c>
      <c r="D7442">
        <f t="shared" si="235"/>
        <v>1</v>
      </c>
    </row>
    <row r="7443" spans="1:4" x14ac:dyDescent="0.55000000000000004">
      <c r="A7443">
        <f t="shared" si="234"/>
        <v>1995</v>
      </c>
      <c r="B7443" s="821">
        <v>34827</v>
      </c>
      <c r="C7443">
        <v>7.02</v>
      </c>
      <c r="D7443">
        <f t="shared" si="235"/>
        <v>1</v>
      </c>
    </row>
    <row r="7444" spans="1:4" x14ac:dyDescent="0.55000000000000004">
      <c r="A7444">
        <f t="shared" si="234"/>
        <v>1995</v>
      </c>
      <c r="B7444" s="821">
        <v>34824</v>
      </c>
      <c r="C7444">
        <v>7.02</v>
      </c>
      <c r="D7444">
        <f t="shared" si="235"/>
        <v>1</v>
      </c>
    </row>
    <row r="7445" spans="1:4" x14ac:dyDescent="0.55000000000000004">
      <c r="A7445">
        <f t="shared" si="234"/>
        <v>1995</v>
      </c>
      <c r="B7445" s="821">
        <v>34823</v>
      </c>
      <c r="C7445">
        <v>7.15</v>
      </c>
      <c r="D7445">
        <f t="shared" si="235"/>
        <v>1</v>
      </c>
    </row>
    <row r="7446" spans="1:4" x14ac:dyDescent="0.55000000000000004">
      <c r="A7446">
        <f t="shared" si="234"/>
        <v>1995</v>
      </c>
      <c r="B7446" s="821">
        <v>34822</v>
      </c>
      <c r="C7446">
        <v>7.25</v>
      </c>
      <c r="D7446">
        <f t="shared" si="235"/>
        <v>1</v>
      </c>
    </row>
    <row r="7447" spans="1:4" x14ac:dyDescent="0.55000000000000004">
      <c r="A7447">
        <f t="shared" si="234"/>
        <v>1995</v>
      </c>
      <c r="B7447" s="821">
        <v>34821</v>
      </c>
      <c r="C7447">
        <v>7.33</v>
      </c>
      <c r="D7447">
        <f t="shared" si="235"/>
        <v>1</v>
      </c>
    </row>
    <row r="7448" spans="1:4" x14ac:dyDescent="0.55000000000000004">
      <c r="A7448">
        <f t="shared" si="234"/>
        <v>1995</v>
      </c>
      <c r="B7448" s="821">
        <v>34820</v>
      </c>
      <c r="C7448">
        <v>7.35</v>
      </c>
      <c r="D7448">
        <f t="shared" si="235"/>
        <v>1</v>
      </c>
    </row>
    <row r="7449" spans="1:4" x14ac:dyDescent="0.55000000000000004">
      <c r="A7449">
        <f t="shared" si="234"/>
        <v>1995</v>
      </c>
      <c r="B7449" s="821">
        <v>34817</v>
      </c>
      <c r="C7449">
        <v>7.34</v>
      </c>
      <c r="D7449">
        <f t="shared" si="235"/>
        <v>1</v>
      </c>
    </row>
    <row r="7450" spans="1:4" x14ac:dyDescent="0.55000000000000004">
      <c r="A7450">
        <f t="shared" si="234"/>
        <v>1995</v>
      </c>
      <c r="B7450" s="821">
        <v>34816</v>
      </c>
      <c r="C7450">
        <v>7.33</v>
      </c>
      <c r="D7450">
        <f t="shared" si="235"/>
        <v>1</v>
      </c>
    </row>
    <row r="7451" spans="1:4" x14ac:dyDescent="0.55000000000000004">
      <c r="A7451">
        <f t="shared" si="234"/>
        <v>1995</v>
      </c>
      <c r="B7451" s="821">
        <v>34815</v>
      </c>
      <c r="C7451">
        <v>7.32</v>
      </c>
      <c r="D7451">
        <f t="shared" si="235"/>
        <v>1</v>
      </c>
    </row>
    <row r="7452" spans="1:4" x14ac:dyDescent="0.55000000000000004">
      <c r="A7452">
        <f t="shared" si="234"/>
        <v>1995</v>
      </c>
      <c r="B7452" s="821">
        <v>34814</v>
      </c>
      <c r="C7452">
        <v>7.33</v>
      </c>
      <c r="D7452">
        <f t="shared" si="235"/>
        <v>1</v>
      </c>
    </row>
    <row r="7453" spans="1:4" x14ac:dyDescent="0.55000000000000004">
      <c r="A7453">
        <f t="shared" si="234"/>
        <v>1995</v>
      </c>
      <c r="B7453" s="821">
        <v>34813</v>
      </c>
      <c r="C7453">
        <v>7.32</v>
      </c>
      <c r="D7453">
        <f t="shared" si="235"/>
        <v>1</v>
      </c>
    </row>
    <row r="7454" spans="1:4" x14ac:dyDescent="0.55000000000000004">
      <c r="A7454">
        <f t="shared" si="234"/>
        <v>1995</v>
      </c>
      <c r="B7454" s="821">
        <v>34810</v>
      </c>
      <c r="C7454">
        <v>7.34</v>
      </c>
      <c r="D7454">
        <f t="shared" si="235"/>
        <v>1</v>
      </c>
    </row>
    <row r="7455" spans="1:4" x14ac:dyDescent="0.55000000000000004">
      <c r="A7455">
        <f t="shared" si="234"/>
        <v>1995</v>
      </c>
      <c r="B7455" s="821">
        <v>34809</v>
      </c>
      <c r="C7455">
        <v>7.35</v>
      </c>
      <c r="D7455">
        <f t="shared" si="235"/>
        <v>1</v>
      </c>
    </row>
    <row r="7456" spans="1:4" x14ac:dyDescent="0.55000000000000004">
      <c r="A7456">
        <f t="shared" si="234"/>
        <v>1995</v>
      </c>
      <c r="B7456" s="821">
        <v>34808</v>
      </c>
      <c r="C7456">
        <v>7.37</v>
      </c>
      <c r="D7456">
        <f t="shared" si="235"/>
        <v>1</v>
      </c>
    </row>
    <row r="7457" spans="1:4" x14ac:dyDescent="0.55000000000000004">
      <c r="A7457">
        <f t="shared" si="234"/>
        <v>1995</v>
      </c>
      <c r="B7457" s="821">
        <v>34807</v>
      </c>
      <c r="C7457">
        <v>7.4</v>
      </c>
      <c r="D7457">
        <f t="shared" si="235"/>
        <v>1</v>
      </c>
    </row>
    <row r="7458" spans="1:4" x14ac:dyDescent="0.55000000000000004">
      <c r="A7458">
        <f t="shared" si="234"/>
        <v>1995</v>
      </c>
      <c r="B7458" s="821">
        <v>34806</v>
      </c>
      <c r="C7458">
        <v>7.39</v>
      </c>
      <c r="D7458">
        <f t="shared" si="235"/>
        <v>1</v>
      </c>
    </row>
    <row r="7459" spans="1:4" x14ac:dyDescent="0.55000000000000004">
      <c r="A7459">
        <f t="shared" si="234"/>
        <v>1995</v>
      </c>
      <c r="B7459" s="821">
        <v>34802</v>
      </c>
      <c r="C7459">
        <v>7.34</v>
      </c>
      <c r="D7459">
        <f t="shared" si="235"/>
        <v>1</v>
      </c>
    </row>
    <row r="7460" spans="1:4" x14ac:dyDescent="0.55000000000000004">
      <c r="A7460">
        <f t="shared" si="234"/>
        <v>1995</v>
      </c>
      <c r="B7460" s="821">
        <v>34801</v>
      </c>
      <c r="C7460">
        <v>7.36</v>
      </c>
      <c r="D7460">
        <f t="shared" si="235"/>
        <v>1</v>
      </c>
    </row>
    <row r="7461" spans="1:4" x14ac:dyDescent="0.55000000000000004">
      <c r="A7461">
        <f t="shared" si="234"/>
        <v>1995</v>
      </c>
      <c r="B7461" s="821">
        <v>34800</v>
      </c>
      <c r="C7461">
        <v>7.37</v>
      </c>
      <c r="D7461">
        <f t="shared" si="235"/>
        <v>1</v>
      </c>
    </row>
    <row r="7462" spans="1:4" x14ac:dyDescent="0.55000000000000004">
      <c r="A7462">
        <f t="shared" si="234"/>
        <v>1995</v>
      </c>
      <c r="B7462" s="821">
        <v>34799</v>
      </c>
      <c r="C7462">
        <v>7.39</v>
      </c>
      <c r="D7462">
        <f t="shared" si="235"/>
        <v>1</v>
      </c>
    </row>
    <row r="7463" spans="1:4" x14ac:dyDescent="0.55000000000000004">
      <c r="A7463">
        <f t="shared" si="234"/>
        <v>1995</v>
      </c>
      <c r="B7463" s="821">
        <v>34796</v>
      </c>
      <c r="C7463">
        <v>7.39</v>
      </c>
      <c r="D7463">
        <f t="shared" si="235"/>
        <v>1</v>
      </c>
    </row>
    <row r="7464" spans="1:4" x14ac:dyDescent="0.55000000000000004">
      <c r="A7464">
        <f t="shared" si="234"/>
        <v>1995</v>
      </c>
      <c r="B7464" s="821">
        <v>34795</v>
      </c>
      <c r="C7464">
        <v>7.36</v>
      </c>
      <c r="D7464">
        <f t="shared" si="235"/>
        <v>1</v>
      </c>
    </row>
    <row r="7465" spans="1:4" x14ac:dyDescent="0.55000000000000004">
      <c r="A7465">
        <f t="shared" si="234"/>
        <v>1995</v>
      </c>
      <c r="B7465" s="821">
        <v>34794</v>
      </c>
      <c r="C7465">
        <v>7.38</v>
      </c>
      <c r="D7465">
        <f t="shared" si="235"/>
        <v>1</v>
      </c>
    </row>
    <row r="7466" spans="1:4" x14ac:dyDescent="0.55000000000000004">
      <c r="A7466">
        <f t="shared" si="234"/>
        <v>1995</v>
      </c>
      <c r="B7466" s="821">
        <v>34793</v>
      </c>
      <c r="C7466">
        <v>7.38</v>
      </c>
      <c r="D7466">
        <f t="shared" si="235"/>
        <v>1</v>
      </c>
    </row>
    <row r="7467" spans="1:4" x14ac:dyDescent="0.55000000000000004">
      <c r="A7467">
        <f t="shared" si="234"/>
        <v>1995</v>
      </c>
      <c r="B7467" s="821">
        <v>34792</v>
      </c>
      <c r="C7467">
        <v>7.39</v>
      </c>
      <c r="D7467">
        <f t="shared" si="235"/>
        <v>1</v>
      </c>
    </row>
    <row r="7468" spans="1:4" x14ac:dyDescent="0.55000000000000004">
      <c r="A7468">
        <f t="shared" si="234"/>
        <v>1995</v>
      </c>
      <c r="B7468" s="821">
        <v>34789</v>
      </c>
      <c r="C7468">
        <v>7.44</v>
      </c>
      <c r="D7468">
        <f t="shared" si="235"/>
        <v>1</v>
      </c>
    </row>
    <row r="7469" spans="1:4" x14ac:dyDescent="0.55000000000000004">
      <c r="A7469">
        <f t="shared" si="234"/>
        <v>1995</v>
      </c>
      <c r="B7469" s="821">
        <v>34788</v>
      </c>
      <c r="C7469">
        <v>7.43</v>
      </c>
      <c r="D7469">
        <f t="shared" si="235"/>
        <v>1</v>
      </c>
    </row>
    <row r="7470" spans="1:4" x14ac:dyDescent="0.55000000000000004">
      <c r="A7470">
        <f t="shared" si="234"/>
        <v>1995</v>
      </c>
      <c r="B7470" s="821">
        <v>34787</v>
      </c>
      <c r="C7470">
        <v>7.4</v>
      </c>
      <c r="D7470">
        <f t="shared" si="235"/>
        <v>1</v>
      </c>
    </row>
    <row r="7471" spans="1:4" x14ac:dyDescent="0.55000000000000004">
      <c r="A7471">
        <f t="shared" si="234"/>
        <v>1995</v>
      </c>
      <c r="B7471" s="821">
        <v>34786</v>
      </c>
      <c r="C7471">
        <v>7.41</v>
      </c>
      <c r="D7471">
        <f t="shared" si="235"/>
        <v>1</v>
      </c>
    </row>
    <row r="7472" spans="1:4" x14ac:dyDescent="0.55000000000000004">
      <c r="A7472">
        <f t="shared" si="234"/>
        <v>1995</v>
      </c>
      <c r="B7472" s="821">
        <v>34785</v>
      </c>
      <c r="C7472">
        <v>7.33</v>
      </c>
      <c r="D7472">
        <f t="shared" si="235"/>
        <v>1</v>
      </c>
    </row>
    <row r="7473" spans="1:4" x14ac:dyDescent="0.55000000000000004">
      <c r="A7473">
        <f t="shared" si="234"/>
        <v>1995</v>
      </c>
      <c r="B7473" s="821">
        <v>34782</v>
      </c>
      <c r="C7473">
        <v>7.38</v>
      </c>
      <c r="D7473">
        <f t="shared" si="235"/>
        <v>1</v>
      </c>
    </row>
    <row r="7474" spans="1:4" x14ac:dyDescent="0.55000000000000004">
      <c r="A7474">
        <f t="shared" si="234"/>
        <v>1995</v>
      </c>
      <c r="B7474" s="821">
        <v>34781</v>
      </c>
      <c r="C7474">
        <v>7.47</v>
      </c>
      <c r="D7474">
        <f t="shared" si="235"/>
        <v>1</v>
      </c>
    </row>
    <row r="7475" spans="1:4" x14ac:dyDescent="0.55000000000000004">
      <c r="A7475">
        <f t="shared" si="234"/>
        <v>1995</v>
      </c>
      <c r="B7475" s="821">
        <v>34780</v>
      </c>
      <c r="C7475">
        <v>7.46</v>
      </c>
      <c r="D7475">
        <f t="shared" si="235"/>
        <v>1</v>
      </c>
    </row>
    <row r="7476" spans="1:4" x14ac:dyDescent="0.55000000000000004">
      <c r="A7476">
        <f t="shared" si="234"/>
        <v>1995</v>
      </c>
      <c r="B7476" s="821">
        <v>34779</v>
      </c>
      <c r="C7476">
        <v>7.43</v>
      </c>
      <c r="D7476">
        <f t="shared" si="235"/>
        <v>1</v>
      </c>
    </row>
    <row r="7477" spans="1:4" x14ac:dyDescent="0.55000000000000004">
      <c r="A7477">
        <f t="shared" si="234"/>
        <v>1995</v>
      </c>
      <c r="B7477" s="821">
        <v>34778</v>
      </c>
      <c r="C7477">
        <v>7.4</v>
      </c>
      <c r="D7477">
        <f t="shared" si="235"/>
        <v>1</v>
      </c>
    </row>
    <row r="7478" spans="1:4" x14ac:dyDescent="0.55000000000000004">
      <c r="A7478">
        <f t="shared" si="234"/>
        <v>1995</v>
      </c>
      <c r="B7478" s="821">
        <v>34775</v>
      </c>
      <c r="C7478">
        <v>7.37</v>
      </c>
      <c r="D7478">
        <f t="shared" si="235"/>
        <v>1</v>
      </c>
    </row>
    <row r="7479" spans="1:4" x14ac:dyDescent="0.55000000000000004">
      <c r="A7479">
        <f t="shared" si="234"/>
        <v>1995</v>
      </c>
      <c r="B7479" s="821">
        <v>34774</v>
      </c>
      <c r="C7479">
        <v>7.33</v>
      </c>
      <c r="D7479">
        <f t="shared" si="235"/>
        <v>1</v>
      </c>
    </row>
    <row r="7480" spans="1:4" x14ac:dyDescent="0.55000000000000004">
      <c r="A7480">
        <f t="shared" si="234"/>
        <v>1995</v>
      </c>
      <c r="B7480" s="821">
        <v>34773</v>
      </c>
      <c r="C7480">
        <v>7.36</v>
      </c>
      <c r="D7480">
        <f t="shared" si="235"/>
        <v>1</v>
      </c>
    </row>
    <row r="7481" spans="1:4" x14ac:dyDescent="0.55000000000000004">
      <c r="A7481">
        <f t="shared" si="234"/>
        <v>1995</v>
      </c>
      <c r="B7481" s="821">
        <v>34772</v>
      </c>
      <c r="C7481">
        <v>7.35</v>
      </c>
      <c r="D7481">
        <f t="shared" si="235"/>
        <v>1</v>
      </c>
    </row>
    <row r="7482" spans="1:4" x14ac:dyDescent="0.55000000000000004">
      <c r="A7482">
        <f t="shared" si="234"/>
        <v>1995</v>
      </c>
      <c r="B7482" s="821">
        <v>34771</v>
      </c>
      <c r="C7482">
        <v>7.45</v>
      </c>
      <c r="D7482">
        <f t="shared" si="235"/>
        <v>1</v>
      </c>
    </row>
    <row r="7483" spans="1:4" x14ac:dyDescent="0.55000000000000004">
      <c r="A7483">
        <f t="shared" si="234"/>
        <v>1995</v>
      </c>
      <c r="B7483" s="821">
        <v>34768</v>
      </c>
      <c r="C7483">
        <v>7.46</v>
      </c>
      <c r="D7483">
        <f t="shared" si="235"/>
        <v>1</v>
      </c>
    </row>
    <row r="7484" spans="1:4" x14ac:dyDescent="0.55000000000000004">
      <c r="A7484">
        <f t="shared" si="234"/>
        <v>1995</v>
      </c>
      <c r="B7484" s="821">
        <v>34767</v>
      </c>
      <c r="C7484">
        <v>7.53</v>
      </c>
      <c r="D7484">
        <f t="shared" si="235"/>
        <v>1</v>
      </c>
    </row>
    <row r="7485" spans="1:4" x14ac:dyDescent="0.55000000000000004">
      <c r="A7485">
        <f t="shared" si="234"/>
        <v>1995</v>
      </c>
      <c r="B7485" s="821">
        <v>34766</v>
      </c>
      <c r="C7485">
        <v>7.56</v>
      </c>
      <c r="D7485">
        <f t="shared" si="235"/>
        <v>1</v>
      </c>
    </row>
    <row r="7486" spans="1:4" x14ac:dyDescent="0.55000000000000004">
      <c r="A7486">
        <f t="shared" si="234"/>
        <v>1995</v>
      </c>
      <c r="B7486" s="821">
        <v>34765</v>
      </c>
      <c r="C7486">
        <v>7.64</v>
      </c>
      <c r="D7486">
        <f t="shared" si="235"/>
        <v>1</v>
      </c>
    </row>
    <row r="7487" spans="1:4" x14ac:dyDescent="0.55000000000000004">
      <c r="A7487">
        <f t="shared" si="234"/>
        <v>1995</v>
      </c>
      <c r="B7487" s="821">
        <v>34764</v>
      </c>
      <c r="C7487">
        <v>7.59</v>
      </c>
      <c r="D7487">
        <f t="shared" si="235"/>
        <v>1</v>
      </c>
    </row>
    <row r="7488" spans="1:4" x14ac:dyDescent="0.55000000000000004">
      <c r="A7488">
        <f t="shared" si="234"/>
        <v>1995</v>
      </c>
      <c r="B7488" s="821">
        <v>34761</v>
      </c>
      <c r="C7488">
        <v>7.56</v>
      </c>
      <c r="D7488">
        <f t="shared" si="235"/>
        <v>1</v>
      </c>
    </row>
    <row r="7489" spans="1:4" x14ac:dyDescent="0.55000000000000004">
      <c r="A7489">
        <f t="shared" si="234"/>
        <v>1995</v>
      </c>
      <c r="B7489" s="821">
        <v>34760</v>
      </c>
      <c r="C7489">
        <v>7.5</v>
      </c>
      <c r="D7489">
        <f t="shared" si="235"/>
        <v>1</v>
      </c>
    </row>
    <row r="7490" spans="1:4" x14ac:dyDescent="0.55000000000000004">
      <c r="A7490">
        <f t="shared" si="234"/>
        <v>1995</v>
      </c>
      <c r="B7490" s="821">
        <v>34759</v>
      </c>
      <c r="C7490">
        <v>7.45</v>
      </c>
      <c r="D7490">
        <f t="shared" si="235"/>
        <v>1</v>
      </c>
    </row>
    <row r="7491" spans="1:4" x14ac:dyDescent="0.55000000000000004">
      <c r="A7491">
        <f t="shared" si="234"/>
        <v>1995</v>
      </c>
      <c r="B7491" s="821">
        <v>34758</v>
      </c>
      <c r="C7491">
        <v>7.46</v>
      </c>
      <c r="D7491">
        <f t="shared" si="235"/>
        <v>1</v>
      </c>
    </row>
    <row r="7492" spans="1:4" x14ac:dyDescent="0.55000000000000004">
      <c r="A7492">
        <f t="shared" ref="A7492:A7555" si="236">YEAR(B7492)</f>
        <v>1995</v>
      </c>
      <c r="B7492" s="821">
        <v>34757</v>
      </c>
      <c r="C7492">
        <v>7.49</v>
      </c>
      <c r="D7492">
        <f t="shared" ref="D7492:D7555" si="237">IF(C7492&gt;4,1,0)</f>
        <v>1</v>
      </c>
    </row>
    <row r="7493" spans="1:4" x14ac:dyDescent="0.55000000000000004">
      <c r="A7493">
        <f t="shared" si="236"/>
        <v>1995</v>
      </c>
      <c r="B7493" s="821">
        <v>34754</v>
      </c>
      <c r="C7493">
        <v>7.54</v>
      </c>
      <c r="D7493">
        <f t="shared" si="237"/>
        <v>1</v>
      </c>
    </row>
    <row r="7494" spans="1:4" x14ac:dyDescent="0.55000000000000004">
      <c r="A7494">
        <f t="shared" si="236"/>
        <v>1995</v>
      </c>
      <c r="B7494" s="821">
        <v>34753</v>
      </c>
      <c r="C7494">
        <v>7.56</v>
      </c>
      <c r="D7494">
        <f t="shared" si="237"/>
        <v>1</v>
      </c>
    </row>
    <row r="7495" spans="1:4" x14ac:dyDescent="0.55000000000000004">
      <c r="A7495">
        <f t="shared" si="236"/>
        <v>1995</v>
      </c>
      <c r="B7495" s="821">
        <v>34752</v>
      </c>
      <c r="C7495">
        <v>7.54</v>
      </c>
      <c r="D7495">
        <f t="shared" si="237"/>
        <v>1</v>
      </c>
    </row>
    <row r="7496" spans="1:4" x14ac:dyDescent="0.55000000000000004">
      <c r="A7496">
        <f t="shared" si="236"/>
        <v>1995</v>
      </c>
      <c r="B7496" s="821">
        <v>34751</v>
      </c>
      <c r="C7496">
        <v>7.61</v>
      </c>
      <c r="D7496">
        <f t="shared" si="237"/>
        <v>1</v>
      </c>
    </row>
    <row r="7497" spans="1:4" x14ac:dyDescent="0.55000000000000004">
      <c r="A7497">
        <f t="shared" si="236"/>
        <v>1995</v>
      </c>
      <c r="B7497" s="821">
        <v>34747</v>
      </c>
      <c r="C7497">
        <v>7.59</v>
      </c>
      <c r="D7497">
        <f t="shared" si="237"/>
        <v>1</v>
      </c>
    </row>
    <row r="7498" spans="1:4" x14ac:dyDescent="0.55000000000000004">
      <c r="A7498">
        <f t="shared" si="236"/>
        <v>1995</v>
      </c>
      <c r="B7498" s="821">
        <v>34746</v>
      </c>
      <c r="C7498">
        <v>7.57</v>
      </c>
      <c r="D7498">
        <f t="shared" si="237"/>
        <v>1</v>
      </c>
    </row>
    <row r="7499" spans="1:4" x14ac:dyDescent="0.55000000000000004">
      <c r="A7499">
        <f t="shared" si="236"/>
        <v>1995</v>
      </c>
      <c r="B7499" s="821">
        <v>34745</v>
      </c>
      <c r="C7499">
        <v>7.58</v>
      </c>
      <c r="D7499">
        <f t="shared" si="237"/>
        <v>1</v>
      </c>
    </row>
    <row r="7500" spans="1:4" x14ac:dyDescent="0.55000000000000004">
      <c r="A7500">
        <f t="shared" si="236"/>
        <v>1995</v>
      </c>
      <c r="B7500" s="821">
        <v>34744</v>
      </c>
      <c r="C7500">
        <v>7.61</v>
      </c>
      <c r="D7500">
        <f t="shared" si="237"/>
        <v>1</v>
      </c>
    </row>
    <row r="7501" spans="1:4" x14ac:dyDescent="0.55000000000000004">
      <c r="A7501">
        <f t="shared" si="236"/>
        <v>1995</v>
      </c>
      <c r="B7501" s="821">
        <v>34743</v>
      </c>
      <c r="C7501">
        <v>7.67</v>
      </c>
      <c r="D7501">
        <f t="shared" si="237"/>
        <v>1</v>
      </c>
    </row>
    <row r="7502" spans="1:4" x14ac:dyDescent="0.55000000000000004">
      <c r="A7502">
        <f t="shared" si="236"/>
        <v>1995</v>
      </c>
      <c r="B7502" s="821">
        <v>34740</v>
      </c>
      <c r="C7502">
        <v>7.68</v>
      </c>
      <c r="D7502">
        <f t="shared" si="237"/>
        <v>1</v>
      </c>
    </row>
    <row r="7503" spans="1:4" x14ac:dyDescent="0.55000000000000004">
      <c r="A7503">
        <f t="shared" si="236"/>
        <v>1995</v>
      </c>
      <c r="B7503" s="821">
        <v>34739</v>
      </c>
      <c r="C7503">
        <v>7.65</v>
      </c>
      <c r="D7503">
        <f t="shared" si="237"/>
        <v>1</v>
      </c>
    </row>
    <row r="7504" spans="1:4" x14ac:dyDescent="0.55000000000000004">
      <c r="A7504">
        <f t="shared" si="236"/>
        <v>1995</v>
      </c>
      <c r="B7504" s="821">
        <v>34738</v>
      </c>
      <c r="C7504">
        <v>7.66</v>
      </c>
      <c r="D7504">
        <f t="shared" si="237"/>
        <v>1</v>
      </c>
    </row>
    <row r="7505" spans="1:4" x14ac:dyDescent="0.55000000000000004">
      <c r="A7505">
        <f t="shared" si="236"/>
        <v>1995</v>
      </c>
      <c r="B7505" s="821">
        <v>34737</v>
      </c>
      <c r="C7505">
        <v>7.65</v>
      </c>
      <c r="D7505">
        <f t="shared" si="237"/>
        <v>1</v>
      </c>
    </row>
    <row r="7506" spans="1:4" x14ac:dyDescent="0.55000000000000004">
      <c r="A7506">
        <f t="shared" si="236"/>
        <v>1995</v>
      </c>
      <c r="B7506" s="821">
        <v>34736</v>
      </c>
      <c r="C7506">
        <v>7.64</v>
      </c>
      <c r="D7506">
        <f t="shared" si="237"/>
        <v>1</v>
      </c>
    </row>
    <row r="7507" spans="1:4" x14ac:dyDescent="0.55000000000000004">
      <c r="A7507">
        <f t="shared" si="236"/>
        <v>1995</v>
      </c>
      <c r="B7507" s="821">
        <v>34733</v>
      </c>
      <c r="C7507">
        <v>7.61</v>
      </c>
      <c r="D7507">
        <f t="shared" si="237"/>
        <v>1</v>
      </c>
    </row>
    <row r="7508" spans="1:4" x14ac:dyDescent="0.55000000000000004">
      <c r="A7508">
        <f t="shared" si="236"/>
        <v>1995</v>
      </c>
      <c r="B7508" s="821">
        <v>34732</v>
      </c>
      <c r="C7508">
        <v>7.76</v>
      </c>
      <c r="D7508">
        <f t="shared" si="237"/>
        <v>1</v>
      </c>
    </row>
    <row r="7509" spans="1:4" x14ac:dyDescent="0.55000000000000004">
      <c r="A7509">
        <f t="shared" si="236"/>
        <v>1995</v>
      </c>
      <c r="B7509" s="821">
        <v>34731</v>
      </c>
      <c r="C7509">
        <v>7.75</v>
      </c>
      <c r="D7509">
        <f t="shared" si="237"/>
        <v>1</v>
      </c>
    </row>
    <row r="7510" spans="1:4" x14ac:dyDescent="0.55000000000000004">
      <c r="A7510">
        <f t="shared" si="236"/>
        <v>1995</v>
      </c>
      <c r="B7510" s="821">
        <v>34730</v>
      </c>
      <c r="C7510">
        <v>7.71</v>
      </c>
      <c r="D7510">
        <f t="shared" si="237"/>
        <v>1</v>
      </c>
    </row>
    <row r="7511" spans="1:4" x14ac:dyDescent="0.55000000000000004">
      <c r="A7511">
        <f t="shared" si="236"/>
        <v>1995</v>
      </c>
      <c r="B7511" s="821">
        <v>34729</v>
      </c>
      <c r="C7511">
        <v>7.76</v>
      </c>
      <c r="D7511">
        <f t="shared" si="237"/>
        <v>1</v>
      </c>
    </row>
    <row r="7512" spans="1:4" x14ac:dyDescent="0.55000000000000004">
      <c r="A7512">
        <f t="shared" si="236"/>
        <v>1995</v>
      </c>
      <c r="B7512" s="821">
        <v>34726</v>
      </c>
      <c r="C7512">
        <v>7.75</v>
      </c>
      <c r="D7512">
        <f t="shared" si="237"/>
        <v>1</v>
      </c>
    </row>
    <row r="7513" spans="1:4" x14ac:dyDescent="0.55000000000000004">
      <c r="A7513">
        <f t="shared" si="236"/>
        <v>1995</v>
      </c>
      <c r="B7513" s="821">
        <v>34725</v>
      </c>
      <c r="C7513">
        <v>7.85</v>
      </c>
      <c r="D7513">
        <f t="shared" si="237"/>
        <v>1</v>
      </c>
    </row>
    <row r="7514" spans="1:4" x14ac:dyDescent="0.55000000000000004">
      <c r="A7514">
        <f t="shared" si="236"/>
        <v>1995</v>
      </c>
      <c r="B7514" s="821">
        <v>34724</v>
      </c>
      <c r="C7514">
        <v>7.88</v>
      </c>
      <c r="D7514">
        <f t="shared" si="237"/>
        <v>1</v>
      </c>
    </row>
    <row r="7515" spans="1:4" x14ac:dyDescent="0.55000000000000004">
      <c r="A7515">
        <f t="shared" si="236"/>
        <v>1995</v>
      </c>
      <c r="B7515" s="821">
        <v>34723</v>
      </c>
      <c r="C7515">
        <v>7.93</v>
      </c>
      <c r="D7515">
        <f t="shared" si="237"/>
        <v>1</v>
      </c>
    </row>
    <row r="7516" spans="1:4" x14ac:dyDescent="0.55000000000000004">
      <c r="A7516">
        <f t="shared" si="236"/>
        <v>1995</v>
      </c>
      <c r="B7516" s="821">
        <v>34722</v>
      </c>
      <c r="C7516">
        <v>7.91</v>
      </c>
      <c r="D7516">
        <f t="shared" si="237"/>
        <v>1</v>
      </c>
    </row>
    <row r="7517" spans="1:4" x14ac:dyDescent="0.55000000000000004">
      <c r="A7517">
        <f t="shared" si="236"/>
        <v>1995</v>
      </c>
      <c r="B7517" s="821">
        <v>34719</v>
      </c>
      <c r="C7517">
        <v>7.9</v>
      </c>
      <c r="D7517">
        <f t="shared" si="237"/>
        <v>1</v>
      </c>
    </row>
    <row r="7518" spans="1:4" x14ac:dyDescent="0.55000000000000004">
      <c r="A7518">
        <f t="shared" si="236"/>
        <v>1995</v>
      </c>
      <c r="B7518" s="821">
        <v>34718</v>
      </c>
      <c r="C7518">
        <v>7.82</v>
      </c>
      <c r="D7518">
        <f t="shared" si="237"/>
        <v>1</v>
      </c>
    </row>
    <row r="7519" spans="1:4" x14ac:dyDescent="0.55000000000000004">
      <c r="A7519">
        <f t="shared" si="236"/>
        <v>1995</v>
      </c>
      <c r="B7519" s="821">
        <v>34717</v>
      </c>
      <c r="C7519">
        <v>7.78</v>
      </c>
      <c r="D7519">
        <f t="shared" si="237"/>
        <v>1</v>
      </c>
    </row>
    <row r="7520" spans="1:4" x14ac:dyDescent="0.55000000000000004">
      <c r="A7520">
        <f t="shared" si="236"/>
        <v>1995</v>
      </c>
      <c r="B7520" s="821">
        <v>34716</v>
      </c>
      <c r="C7520">
        <v>7.78</v>
      </c>
      <c r="D7520">
        <f t="shared" si="237"/>
        <v>1</v>
      </c>
    </row>
    <row r="7521" spans="1:4" x14ac:dyDescent="0.55000000000000004">
      <c r="A7521">
        <f t="shared" si="236"/>
        <v>1995</v>
      </c>
      <c r="B7521" s="821">
        <v>34712</v>
      </c>
      <c r="C7521">
        <v>7.8</v>
      </c>
      <c r="D7521">
        <f t="shared" si="237"/>
        <v>1</v>
      </c>
    </row>
    <row r="7522" spans="1:4" x14ac:dyDescent="0.55000000000000004">
      <c r="A7522">
        <f t="shared" si="236"/>
        <v>1995</v>
      </c>
      <c r="B7522" s="821">
        <v>34711</v>
      </c>
      <c r="C7522">
        <v>7.88</v>
      </c>
      <c r="D7522">
        <f t="shared" si="237"/>
        <v>1</v>
      </c>
    </row>
    <row r="7523" spans="1:4" x14ac:dyDescent="0.55000000000000004">
      <c r="A7523">
        <f t="shared" si="236"/>
        <v>1995</v>
      </c>
      <c r="B7523" s="821">
        <v>34710</v>
      </c>
      <c r="C7523">
        <v>7.85</v>
      </c>
      <c r="D7523">
        <f t="shared" si="237"/>
        <v>1</v>
      </c>
    </row>
    <row r="7524" spans="1:4" x14ac:dyDescent="0.55000000000000004">
      <c r="A7524">
        <f t="shared" si="236"/>
        <v>1995</v>
      </c>
      <c r="B7524" s="821">
        <v>34709</v>
      </c>
      <c r="C7524">
        <v>7.87</v>
      </c>
      <c r="D7524">
        <f t="shared" si="237"/>
        <v>1</v>
      </c>
    </row>
    <row r="7525" spans="1:4" x14ac:dyDescent="0.55000000000000004">
      <c r="A7525">
        <f t="shared" si="236"/>
        <v>1995</v>
      </c>
      <c r="B7525" s="821">
        <v>34708</v>
      </c>
      <c r="C7525">
        <v>7.9</v>
      </c>
      <c r="D7525">
        <f t="shared" si="237"/>
        <v>1</v>
      </c>
    </row>
    <row r="7526" spans="1:4" x14ac:dyDescent="0.55000000000000004">
      <c r="A7526">
        <f t="shared" si="236"/>
        <v>1995</v>
      </c>
      <c r="B7526" s="821">
        <v>34705</v>
      </c>
      <c r="C7526">
        <v>7.87</v>
      </c>
      <c r="D7526">
        <f t="shared" si="237"/>
        <v>1</v>
      </c>
    </row>
    <row r="7527" spans="1:4" x14ac:dyDescent="0.55000000000000004">
      <c r="A7527">
        <f t="shared" si="236"/>
        <v>1995</v>
      </c>
      <c r="B7527" s="821">
        <v>34704</v>
      </c>
      <c r="C7527">
        <v>7.91</v>
      </c>
      <c r="D7527">
        <f t="shared" si="237"/>
        <v>1</v>
      </c>
    </row>
    <row r="7528" spans="1:4" x14ac:dyDescent="0.55000000000000004">
      <c r="A7528">
        <f t="shared" si="236"/>
        <v>1995</v>
      </c>
      <c r="B7528" s="821">
        <v>34703</v>
      </c>
      <c r="C7528">
        <v>7.85</v>
      </c>
      <c r="D7528">
        <f t="shared" si="237"/>
        <v>1</v>
      </c>
    </row>
    <row r="7529" spans="1:4" x14ac:dyDescent="0.55000000000000004">
      <c r="A7529">
        <f t="shared" si="236"/>
        <v>1995</v>
      </c>
      <c r="B7529" s="821">
        <v>34702</v>
      </c>
      <c r="C7529">
        <v>7.93</v>
      </c>
      <c r="D7529">
        <f t="shared" si="237"/>
        <v>1</v>
      </c>
    </row>
    <row r="7530" spans="1:4" x14ac:dyDescent="0.55000000000000004">
      <c r="A7530">
        <f t="shared" si="236"/>
        <v>1994</v>
      </c>
      <c r="B7530" s="821">
        <v>34698</v>
      </c>
      <c r="C7530">
        <v>7.89</v>
      </c>
      <c r="D7530">
        <f t="shared" si="237"/>
        <v>1</v>
      </c>
    </row>
    <row r="7531" spans="1:4" x14ac:dyDescent="0.55000000000000004">
      <c r="A7531">
        <f t="shared" si="236"/>
        <v>1994</v>
      </c>
      <c r="B7531" s="821">
        <v>34697</v>
      </c>
      <c r="C7531">
        <v>7.85</v>
      </c>
      <c r="D7531">
        <f t="shared" si="237"/>
        <v>1</v>
      </c>
    </row>
    <row r="7532" spans="1:4" x14ac:dyDescent="0.55000000000000004">
      <c r="A7532">
        <f t="shared" si="236"/>
        <v>1994</v>
      </c>
      <c r="B7532" s="821">
        <v>34696</v>
      </c>
      <c r="C7532">
        <v>7.83</v>
      </c>
      <c r="D7532">
        <f t="shared" si="237"/>
        <v>1</v>
      </c>
    </row>
    <row r="7533" spans="1:4" x14ac:dyDescent="0.55000000000000004">
      <c r="A7533">
        <f t="shared" si="236"/>
        <v>1994</v>
      </c>
      <c r="B7533" s="821">
        <v>34695</v>
      </c>
      <c r="C7533">
        <v>7.76</v>
      </c>
      <c r="D7533">
        <f t="shared" si="237"/>
        <v>1</v>
      </c>
    </row>
    <row r="7534" spans="1:4" x14ac:dyDescent="0.55000000000000004">
      <c r="A7534">
        <f t="shared" si="236"/>
        <v>1994</v>
      </c>
      <c r="B7534" s="821">
        <v>34691</v>
      </c>
      <c r="C7534">
        <v>7.85</v>
      </c>
      <c r="D7534">
        <f t="shared" si="237"/>
        <v>1</v>
      </c>
    </row>
    <row r="7535" spans="1:4" x14ac:dyDescent="0.55000000000000004">
      <c r="A7535">
        <f t="shared" si="236"/>
        <v>1994</v>
      </c>
      <c r="B7535" s="821">
        <v>34690</v>
      </c>
      <c r="C7535">
        <v>7.87</v>
      </c>
      <c r="D7535">
        <f t="shared" si="237"/>
        <v>1</v>
      </c>
    </row>
    <row r="7536" spans="1:4" x14ac:dyDescent="0.55000000000000004">
      <c r="A7536">
        <f t="shared" si="236"/>
        <v>1994</v>
      </c>
      <c r="B7536" s="821">
        <v>34689</v>
      </c>
      <c r="C7536">
        <v>7.84</v>
      </c>
      <c r="D7536">
        <f t="shared" si="237"/>
        <v>1</v>
      </c>
    </row>
    <row r="7537" spans="1:4" x14ac:dyDescent="0.55000000000000004">
      <c r="A7537">
        <f t="shared" si="236"/>
        <v>1994</v>
      </c>
      <c r="B7537" s="821">
        <v>34688</v>
      </c>
      <c r="C7537">
        <v>7.85</v>
      </c>
      <c r="D7537">
        <f t="shared" si="237"/>
        <v>1</v>
      </c>
    </row>
    <row r="7538" spans="1:4" x14ac:dyDescent="0.55000000000000004">
      <c r="A7538">
        <f t="shared" si="236"/>
        <v>1994</v>
      </c>
      <c r="B7538" s="821">
        <v>34687</v>
      </c>
      <c r="C7538">
        <v>7.84</v>
      </c>
      <c r="D7538">
        <f t="shared" si="237"/>
        <v>1</v>
      </c>
    </row>
    <row r="7539" spans="1:4" x14ac:dyDescent="0.55000000000000004">
      <c r="A7539">
        <f t="shared" si="236"/>
        <v>1994</v>
      </c>
      <c r="B7539" s="821">
        <v>34684</v>
      </c>
      <c r="C7539">
        <v>7.86</v>
      </c>
      <c r="D7539">
        <f t="shared" si="237"/>
        <v>1</v>
      </c>
    </row>
    <row r="7540" spans="1:4" x14ac:dyDescent="0.55000000000000004">
      <c r="A7540">
        <f t="shared" si="236"/>
        <v>1994</v>
      </c>
      <c r="B7540" s="821">
        <v>34683</v>
      </c>
      <c r="C7540">
        <v>7.86</v>
      </c>
      <c r="D7540">
        <f t="shared" si="237"/>
        <v>1</v>
      </c>
    </row>
    <row r="7541" spans="1:4" x14ac:dyDescent="0.55000000000000004">
      <c r="A7541">
        <f t="shared" si="236"/>
        <v>1994</v>
      </c>
      <c r="B7541" s="821">
        <v>34682</v>
      </c>
      <c r="C7541">
        <v>7.86</v>
      </c>
      <c r="D7541">
        <f t="shared" si="237"/>
        <v>1</v>
      </c>
    </row>
    <row r="7542" spans="1:4" x14ac:dyDescent="0.55000000000000004">
      <c r="A7542">
        <f t="shared" si="236"/>
        <v>1994</v>
      </c>
      <c r="B7542" s="821">
        <v>34681</v>
      </c>
      <c r="C7542">
        <v>7.86</v>
      </c>
      <c r="D7542">
        <f t="shared" si="237"/>
        <v>1</v>
      </c>
    </row>
    <row r="7543" spans="1:4" x14ac:dyDescent="0.55000000000000004">
      <c r="A7543">
        <f t="shared" si="236"/>
        <v>1994</v>
      </c>
      <c r="B7543" s="821">
        <v>34680</v>
      </c>
      <c r="C7543">
        <v>7.92</v>
      </c>
      <c r="D7543">
        <f t="shared" si="237"/>
        <v>1</v>
      </c>
    </row>
    <row r="7544" spans="1:4" x14ac:dyDescent="0.55000000000000004">
      <c r="A7544">
        <f t="shared" si="236"/>
        <v>1994</v>
      </c>
      <c r="B7544" s="821">
        <v>34677</v>
      </c>
      <c r="C7544">
        <v>7.86</v>
      </c>
      <c r="D7544">
        <f t="shared" si="237"/>
        <v>1</v>
      </c>
    </row>
    <row r="7545" spans="1:4" x14ac:dyDescent="0.55000000000000004">
      <c r="A7545">
        <f t="shared" si="236"/>
        <v>1994</v>
      </c>
      <c r="B7545" s="821">
        <v>34676</v>
      </c>
      <c r="C7545">
        <v>7.88</v>
      </c>
      <c r="D7545">
        <f t="shared" si="237"/>
        <v>1</v>
      </c>
    </row>
    <row r="7546" spans="1:4" x14ac:dyDescent="0.55000000000000004">
      <c r="A7546">
        <f t="shared" si="236"/>
        <v>1994</v>
      </c>
      <c r="B7546" s="821">
        <v>34675</v>
      </c>
      <c r="C7546">
        <v>7.9</v>
      </c>
      <c r="D7546">
        <f t="shared" si="237"/>
        <v>1</v>
      </c>
    </row>
    <row r="7547" spans="1:4" x14ac:dyDescent="0.55000000000000004">
      <c r="A7547">
        <f t="shared" si="236"/>
        <v>1994</v>
      </c>
      <c r="B7547" s="821">
        <v>34674</v>
      </c>
      <c r="C7547">
        <v>7.84</v>
      </c>
      <c r="D7547">
        <f t="shared" si="237"/>
        <v>1</v>
      </c>
    </row>
    <row r="7548" spans="1:4" x14ac:dyDescent="0.55000000000000004">
      <c r="A7548">
        <f t="shared" si="236"/>
        <v>1994</v>
      </c>
      <c r="B7548" s="821">
        <v>34673</v>
      </c>
      <c r="C7548">
        <v>7.94</v>
      </c>
      <c r="D7548">
        <f t="shared" si="237"/>
        <v>1</v>
      </c>
    </row>
    <row r="7549" spans="1:4" x14ac:dyDescent="0.55000000000000004">
      <c r="A7549">
        <f t="shared" si="236"/>
        <v>1994</v>
      </c>
      <c r="B7549" s="821">
        <v>34670</v>
      </c>
      <c r="C7549">
        <v>7.92</v>
      </c>
      <c r="D7549">
        <f t="shared" si="237"/>
        <v>1</v>
      </c>
    </row>
    <row r="7550" spans="1:4" x14ac:dyDescent="0.55000000000000004">
      <c r="A7550">
        <f t="shared" si="236"/>
        <v>1994</v>
      </c>
      <c r="B7550" s="821">
        <v>34669</v>
      </c>
      <c r="C7550">
        <v>8.02</v>
      </c>
      <c r="D7550">
        <f t="shared" si="237"/>
        <v>1</v>
      </c>
    </row>
    <row r="7551" spans="1:4" x14ac:dyDescent="0.55000000000000004">
      <c r="A7551">
        <f t="shared" si="236"/>
        <v>1994</v>
      </c>
      <c r="B7551" s="821">
        <v>34668</v>
      </c>
      <c r="C7551">
        <v>7.99</v>
      </c>
      <c r="D7551">
        <f t="shared" si="237"/>
        <v>1</v>
      </c>
    </row>
    <row r="7552" spans="1:4" x14ac:dyDescent="0.55000000000000004">
      <c r="A7552">
        <f t="shared" si="236"/>
        <v>1994</v>
      </c>
      <c r="B7552" s="821">
        <v>34667</v>
      </c>
      <c r="C7552">
        <v>8.0500000000000007</v>
      </c>
      <c r="D7552">
        <f t="shared" si="237"/>
        <v>1</v>
      </c>
    </row>
    <row r="7553" spans="1:4" x14ac:dyDescent="0.55000000000000004">
      <c r="A7553">
        <f t="shared" si="236"/>
        <v>1994</v>
      </c>
      <c r="B7553" s="821">
        <v>34666</v>
      </c>
      <c r="C7553">
        <v>7.99</v>
      </c>
      <c r="D7553">
        <f t="shared" si="237"/>
        <v>1</v>
      </c>
    </row>
    <row r="7554" spans="1:4" x14ac:dyDescent="0.55000000000000004">
      <c r="A7554">
        <f t="shared" si="236"/>
        <v>1994</v>
      </c>
      <c r="B7554" s="821">
        <v>34663</v>
      </c>
      <c r="C7554">
        <v>7.94</v>
      </c>
      <c r="D7554">
        <f t="shared" si="237"/>
        <v>1</v>
      </c>
    </row>
    <row r="7555" spans="1:4" x14ac:dyDescent="0.55000000000000004">
      <c r="A7555">
        <f t="shared" si="236"/>
        <v>1994</v>
      </c>
      <c r="B7555" s="821">
        <v>34661</v>
      </c>
      <c r="C7555">
        <v>7.96</v>
      </c>
      <c r="D7555">
        <f t="shared" si="237"/>
        <v>1</v>
      </c>
    </row>
    <row r="7556" spans="1:4" x14ac:dyDescent="0.55000000000000004">
      <c r="A7556">
        <f t="shared" ref="A7556:A7619" si="238">YEAR(B7556)</f>
        <v>1994</v>
      </c>
      <c r="B7556" s="821">
        <v>34660</v>
      </c>
      <c r="C7556">
        <v>8.11</v>
      </c>
      <c r="D7556">
        <f t="shared" ref="D7556:D7619" si="239">IF(C7556&gt;4,1,0)</f>
        <v>1</v>
      </c>
    </row>
    <row r="7557" spans="1:4" x14ac:dyDescent="0.55000000000000004">
      <c r="A7557">
        <f t="shared" si="238"/>
        <v>1994</v>
      </c>
      <c r="B7557" s="821">
        <v>34659</v>
      </c>
      <c r="C7557">
        <v>8.14</v>
      </c>
      <c r="D7557">
        <f t="shared" si="239"/>
        <v>1</v>
      </c>
    </row>
    <row r="7558" spans="1:4" x14ac:dyDescent="0.55000000000000004">
      <c r="A7558">
        <f t="shared" si="238"/>
        <v>1994</v>
      </c>
      <c r="B7558" s="821">
        <v>34656</v>
      </c>
      <c r="C7558">
        <v>8.14</v>
      </c>
      <c r="D7558">
        <f t="shared" si="239"/>
        <v>1</v>
      </c>
    </row>
    <row r="7559" spans="1:4" x14ac:dyDescent="0.55000000000000004">
      <c r="A7559">
        <f t="shared" si="238"/>
        <v>1994</v>
      </c>
      <c r="B7559" s="821">
        <v>34655</v>
      </c>
      <c r="C7559">
        <v>8.14</v>
      </c>
      <c r="D7559">
        <f t="shared" si="239"/>
        <v>1</v>
      </c>
    </row>
    <row r="7560" spans="1:4" x14ac:dyDescent="0.55000000000000004">
      <c r="A7560">
        <f t="shared" si="238"/>
        <v>1994</v>
      </c>
      <c r="B7560" s="821">
        <v>34654</v>
      </c>
      <c r="C7560">
        <v>8.09</v>
      </c>
      <c r="D7560">
        <f t="shared" si="239"/>
        <v>1</v>
      </c>
    </row>
    <row r="7561" spans="1:4" x14ac:dyDescent="0.55000000000000004">
      <c r="A7561">
        <f t="shared" si="238"/>
        <v>1994</v>
      </c>
      <c r="B7561" s="821">
        <v>34653</v>
      </c>
      <c r="C7561">
        <v>8.0500000000000007</v>
      </c>
      <c r="D7561">
        <f t="shared" si="239"/>
        <v>1</v>
      </c>
    </row>
    <row r="7562" spans="1:4" x14ac:dyDescent="0.55000000000000004">
      <c r="A7562">
        <f t="shared" si="238"/>
        <v>1994</v>
      </c>
      <c r="B7562" s="821">
        <v>34652</v>
      </c>
      <c r="C7562">
        <v>8.09</v>
      </c>
      <c r="D7562">
        <f t="shared" si="239"/>
        <v>1</v>
      </c>
    </row>
    <row r="7563" spans="1:4" x14ac:dyDescent="0.55000000000000004">
      <c r="A7563">
        <f t="shared" si="238"/>
        <v>1994</v>
      </c>
      <c r="B7563" s="821">
        <v>34648</v>
      </c>
      <c r="C7563">
        <v>8.15</v>
      </c>
      <c r="D7563">
        <f t="shared" si="239"/>
        <v>1</v>
      </c>
    </row>
    <row r="7564" spans="1:4" x14ac:dyDescent="0.55000000000000004">
      <c r="A7564">
        <f t="shared" si="238"/>
        <v>1994</v>
      </c>
      <c r="B7564" s="821">
        <v>34647</v>
      </c>
      <c r="C7564">
        <v>8.09</v>
      </c>
      <c r="D7564">
        <f t="shared" si="239"/>
        <v>1</v>
      </c>
    </row>
    <row r="7565" spans="1:4" x14ac:dyDescent="0.55000000000000004">
      <c r="A7565">
        <f t="shared" si="238"/>
        <v>1994</v>
      </c>
      <c r="B7565" s="821">
        <v>34646</v>
      </c>
      <c r="C7565">
        <v>8.1199999999999992</v>
      </c>
      <c r="D7565">
        <f t="shared" si="239"/>
        <v>1</v>
      </c>
    </row>
    <row r="7566" spans="1:4" x14ac:dyDescent="0.55000000000000004">
      <c r="A7566">
        <f t="shared" si="238"/>
        <v>1994</v>
      </c>
      <c r="B7566" s="821">
        <v>34645</v>
      </c>
      <c r="C7566">
        <v>8.16</v>
      </c>
      <c r="D7566">
        <f t="shared" si="239"/>
        <v>1</v>
      </c>
    </row>
    <row r="7567" spans="1:4" x14ac:dyDescent="0.55000000000000004">
      <c r="A7567">
        <f t="shared" si="238"/>
        <v>1994</v>
      </c>
      <c r="B7567" s="821">
        <v>34642</v>
      </c>
      <c r="C7567">
        <v>8.16</v>
      </c>
      <c r="D7567">
        <f t="shared" si="239"/>
        <v>1</v>
      </c>
    </row>
    <row r="7568" spans="1:4" x14ac:dyDescent="0.55000000000000004">
      <c r="A7568">
        <f t="shared" si="238"/>
        <v>1994</v>
      </c>
      <c r="B7568" s="821">
        <v>34641</v>
      </c>
      <c r="C7568">
        <v>8.11</v>
      </c>
      <c r="D7568">
        <f t="shared" si="239"/>
        <v>1</v>
      </c>
    </row>
    <row r="7569" spans="1:4" x14ac:dyDescent="0.55000000000000004">
      <c r="A7569">
        <f t="shared" si="238"/>
        <v>1994</v>
      </c>
      <c r="B7569" s="821">
        <v>34640</v>
      </c>
      <c r="C7569">
        <v>8.09</v>
      </c>
      <c r="D7569">
        <f t="shared" si="239"/>
        <v>1</v>
      </c>
    </row>
    <row r="7570" spans="1:4" x14ac:dyDescent="0.55000000000000004">
      <c r="A7570">
        <f t="shared" si="238"/>
        <v>1994</v>
      </c>
      <c r="B7570" s="821">
        <v>34639</v>
      </c>
      <c r="C7570">
        <v>8.06</v>
      </c>
      <c r="D7570">
        <f t="shared" si="239"/>
        <v>1</v>
      </c>
    </row>
    <row r="7571" spans="1:4" x14ac:dyDescent="0.55000000000000004">
      <c r="A7571">
        <f t="shared" si="238"/>
        <v>1994</v>
      </c>
      <c r="B7571" s="821">
        <v>34638</v>
      </c>
      <c r="C7571">
        <v>7.97</v>
      </c>
      <c r="D7571">
        <f t="shared" si="239"/>
        <v>1</v>
      </c>
    </row>
    <row r="7572" spans="1:4" x14ac:dyDescent="0.55000000000000004">
      <c r="A7572">
        <f t="shared" si="238"/>
        <v>1994</v>
      </c>
      <c r="B7572" s="821">
        <v>34635</v>
      </c>
      <c r="C7572">
        <v>7.96</v>
      </c>
      <c r="D7572">
        <f t="shared" si="239"/>
        <v>1</v>
      </c>
    </row>
    <row r="7573" spans="1:4" x14ac:dyDescent="0.55000000000000004">
      <c r="A7573">
        <f t="shared" si="238"/>
        <v>1994</v>
      </c>
      <c r="B7573" s="821">
        <v>34634</v>
      </c>
      <c r="C7573">
        <v>8.0500000000000007</v>
      </c>
      <c r="D7573">
        <f t="shared" si="239"/>
        <v>1</v>
      </c>
    </row>
    <row r="7574" spans="1:4" x14ac:dyDescent="0.55000000000000004">
      <c r="A7574">
        <f t="shared" si="238"/>
        <v>1994</v>
      </c>
      <c r="B7574" s="821">
        <v>34633</v>
      </c>
      <c r="C7574">
        <v>8.06</v>
      </c>
      <c r="D7574">
        <f t="shared" si="239"/>
        <v>1</v>
      </c>
    </row>
    <row r="7575" spans="1:4" x14ac:dyDescent="0.55000000000000004">
      <c r="A7575">
        <f t="shared" si="238"/>
        <v>1994</v>
      </c>
      <c r="B7575" s="821">
        <v>34632</v>
      </c>
      <c r="C7575">
        <v>8.06</v>
      </c>
      <c r="D7575">
        <f t="shared" si="239"/>
        <v>1</v>
      </c>
    </row>
    <row r="7576" spans="1:4" x14ac:dyDescent="0.55000000000000004">
      <c r="A7576">
        <f t="shared" si="238"/>
        <v>1994</v>
      </c>
      <c r="B7576" s="821">
        <v>34631</v>
      </c>
      <c r="C7576">
        <v>8.0399999999999991</v>
      </c>
      <c r="D7576">
        <f t="shared" si="239"/>
        <v>1</v>
      </c>
    </row>
    <row r="7577" spans="1:4" x14ac:dyDescent="0.55000000000000004">
      <c r="A7577">
        <f t="shared" si="238"/>
        <v>1994</v>
      </c>
      <c r="B7577" s="821">
        <v>34628</v>
      </c>
      <c r="C7577">
        <v>7.99</v>
      </c>
      <c r="D7577">
        <f t="shared" si="239"/>
        <v>1</v>
      </c>
    </row>
    <row r="7578" spans="1:4" x14ac:dyDescent="0.55000000000000004">
      <c r="A7578">
        <f t="shared" si="238"/>
        <v>1994</v>
      </c>
      <c r="B7578" s="821">
        <v>34627</v>
      </c>
      <c r="C7578">
        <v>8</v>
      </c>
      <c r="D7578">
        <f t="shared" si="239"/>
        <v>1</v>
      </c>
    </row>
    <row r="7579" spans="1:4" x14ac:dyDescent="0.55000000000000004">
      <c r="A7579">
        <f t="shared" si="238"/>
        <v>1994</v>
      </c>
      <c r="B7579" s="821">
        <v>34626</v>
      </c>
      <c r="C7579">
        <v>7.9</v>
      </c>
      <c r="D7579">
        <f t="shared" si="239"/>
        <v>1</v>
      </c>
    </row>
    <row r="7580" spans="1:4" x14ac:dyDescent="0.55000000000000004">
      <c r="A7580">
        <f t="shared" si="238"/>
        <v>1994</v>
      </c>
      <c r="B7580" s="821">
        <v>34625</v>
      </c>
      <c r="C7580">
        <v>7.86</v>
      </c>
      <c r="D7580">
        <f t="shared" si="239"/>
        <v>1</v>
      </c>
    </row>
    <row r="7581" spans="1:4" x14ac:dyDescent="0.55000000000000004">
      <c r="A7581">
        <f t="shared" si="238"/>
        <v>1994</v>
      </c>
      <c r="B7581" s="821">
        <v>34624</v>
      </c>
      <c r="C7581">
        <v>7.83</v>
      </c>
      <c r="D7581">
        <f t="shared" si="239"/>
        <v>1</v>
      </c>
    </row>
    <row r="7582" spans="1:4" x14ac:dyDescent="0.55000000000000004">
      <c r="A7582">
        <f t="shared" si="238"/>
        <v>1994</v>
      </c>
      <c r="B7582" s="821">
        <v>34621</v>
      </c>
      <c r="C7582">
        <v>7.83</v>
      </c>
      <c r="D7582">
        <f t="shared" si="239"/>
        <v>1</v>
      </c>
    </row>
    <row r="7583" spans="1:4" x14ac:dyDescent="0.55000000000000004">
      <c r="A7583">
        <f t="shared" si="238"/>
        <v>1994</v>
      </c>
      <c r="B7583" s="821">
        <v>34620</v>
      </c>
      <c r="C7583">
        <v>7.84</v>
      </c>
      <c r="D7583">
        <f t="shared" si="239"/>
        <v>1</v>
      </c>
    </row>
    <row r="7584" spans="1:4" x14ac:dyDescent="0.55000000000000004">
      <c r="A7584">
        <f t="shared" si="238"/>
        <v>1994</v>
      </c>
      <c r="B7584" s="821">
        <v>34619</v>
      </c>
      <c r="C7584">
        <v>7.89</v>
      </c>
      <c r="D7584">
        <f t="shared" si="239"/>
        <v>1</v>
      </c>
    </row>
    <row r="7585" spans="1:4" x14ac:dyDescent="0.55000000000000004">
      <c r="A7585">
        <f t="shared" si="238"/>
        <v>1994</v>
      </c>
      <c r="B7585" s="821">
        <v>34618</v>
      </c>
      <c r="C7585">
        <v>7.86</v>
      </c>
      <c r="D7585">
        <f t="shared" si="239"/>
        <v>1</v>
      </c>
    </row>
    <row r="7586" spans="1:4" x14ac:dyDescent="0.55000000000000004">
      <c r="A7586">
        <f t="shared" si="238"/>
        <v>1994</v>
      </c>
      <c r="B7586" s="821">
        <v>34614</v>
      </c>
      <c r="C7586">
        <v>7.91</v>
      </c>
      <c r="D7586">
        <f t="shared" si="239"/>
        <v>1</v>
      </c>
    </row>
    <row r="7587" spans="1:4" x14ac:dyDescent="0.55000000000000004">
      <c r="A7587">
        <f t="shared" si="238"/>
        <v>1994</v>
      </c>
      <c r="B7587" s="821">
        <v>34613</v>
      </c>
      <c r="C7587">
        <v>7.95</v>
      </c>
      <c r="D7587">
        <f t="shared" si="239"/>
        <v>1</v>
      </c>
    </row>
    <row r="7588" spans="1:4" x14ac:dyDescent="0.55000000000000004">
      <c r="A7588">
        <f t="shared" si="238"/>
        <v>1994</v>
      </c>
      <c r="B7588" s="821">
        <v>34612</v>
      </c>
      <c r="C7588">
        <v>7.95</v>
      </c>
      <c r="D7588">
        <f t="shared" si="239"/>
        <v>1</v>
      </c>
    </row>
    <row r="7589" spans="1:4" x14ac:dyDescent="0.55000000000000004">
      <c r="A7589">
        <f t="shared" si="238"/>
        <v>1994</v>
      </c>
      <c r="B7589" s="821">
        <v>34611</v>
      </c>
      <c r="C7589">
        <v>7.89</v>
      </c>
      <c r="D7589">
        <f t="shared" si="239"/>
        <v>1</v>
      </c>
    </row>
    <row r="7590" spans="1:4" x14ac:dyDescent="0.55000000000000004">
      <c r="A7590">
        <f t="shared" si="238"/>
        <v>1994</v>
      </c>
      <c r="B7590" s="821">
        <v>34610</v>
      </c>
      <c r="C7590">
        <v>7.86</v>
      </c>
      <c r="D7590">
        <f t="shared" si="239"/>
        <v>1</v>
      </c>
    </row>
    <row r="7591" spans="1:4" x14ac:dyDescent="0.55000000000000004">
      <c r="A7591">
        <f t="shared" si="238"/>
        <v>1994</v>
      </c>
      <c r="B7591" s="821">
        <v>34607</v>
      </c>
      <c r="C7591">
        <v>7.82</v>
      </c>
      <c r="D7591">
        <f t="shared" si="239"/>
        <v>1</v>
      </c>
    </row>
    <row r="7592" spans="1:4" x14ac:dyDescent="0.55000000000000004">
      <c r="A7592">
        <f t="shared" si="238"/>
        <v>1994</v>
      </c>
      <c r="B7592" s="821">
        <v>34606</v>
      </c>
      <c r="C7592">
        <v>7.86</v>
      </c>
      <c r="D7592">
        <f t="shared" si="239"/>
        <v>1</v>
      </c>
    </row>
    <row r="7593" spans="1:4" x14ac:dyDescent="0.55000000000000004">
      <c r="A7593">
        <f t="shared" si="238"/>
        <v>1994</v>
      </c>
      <c r="B7593" s="821">
        <v>34605</v>
      </c>
      <c r="C7593">
        <v>7.81</v>
      </c>
      <c r="D7593">
        <f t="shared" si="239"/>
        <v>1</v>
      </c>
    </row>
    <row r="7594" spans="1:4" x14ac:dyDescent="0.55000000000000004">
      <c r="A7594">
        <f t="shared" si="238"/>
        <v>1994</v>
      </c>
      <c r="B7594" s="821">
        <v>34604</v>
      </c>
      <c r="C7594">
        <v>7.85</v>
      </c>
      <c r="D7594">
        <f t="shared" si="239"/>
        <v>1</v>
      </c>
    </row>
    <row r="7595" spans="1:4" x14ac:dyDescent="0.55000000000000004">
      <c r="A7595">
        <f t="shared" si="238"/>
        <v>1994</v>
      </c>
      <c r="B7595" s="821">
        <v>34603</v>
      </c>
      <c r="C7595">
        <v>7.8</v>
      </c>
      <c r="D7595">
        <f t="shared" si="239"/>
        <v>1</v>
      </c>
    </row>
    <row r="7596" spans="1:4" x14ac:dyDescent="0.55000000000000004">
      <c r="A7596">
        <f t="shared" si="238"/>
        <v>1994</v>
      </c>
      <c r="B7596" s="821">
        <v>34600</v>
      </c>
      <c r="C7596">
        <v>7.8</v>
      </c>
      <c r="D7596">
        <f t="shared" si="239"/>
        <v>1</v>
      </c>
    </row>
    <row r="7597" spans="1:4" x14ac:dyDescent="0.55000000000000004">
      <c r="A7597">
        <f t="shared" si="238"/>
        <v>1994</v>
      </c>
      <c r="B7597" s="821">
        <v>34599</v>
      </c>
      <c r="C7597">
        <v>7.79</v>
      </c>
      <c r="D7597">
        <f t="shared" si="239"/>
        <v>1</v>
      </c>
    </row>
    <row r="7598" spans="1:4" x14ac:dyDescent="0.55000000000000004">
      <c r="A7598">
        <f t="shared" si="238"/>
        <v>1994</v>
      </c>
      <c r="B7598" s="821">
        <v>34598</v>
      </c>
      <c r="C7598">
        <v>7.8</v>
      </c>
      <c r="D7598">
        <f t="shared" si="239"/>
        <v>1</v>
      </c>
    </row>
    <row r="7599" spans="1:4" x14ac:dyDescent="0.55000000000000004">
      <c r="A7599">
        <f t="shared" si="238"/>
        <v>1994</v>
      </c>
      <c r="B7599" s="821">
        <v>34597</v>
      </c>
      <c r="C7599">
        <v>7.78</v>
      </c>
      <c r="D7599">
        <f t="shared" si="239"/>
        <v>1</v>
      </c>
    </row>
    <row r="7600" spans="1:4" x14ac:dyDescent="0.55000000000000004">
      <c r="A7600">
        <f t="shared" si="238"/>
        <v>1994</v>
      </c>
      <c r="B7600" s="821">
        <v>34596</v>
      </c>
      <c r="C7600">
        <v>7.75</v>
      </c>
      <c r="D7600">
        <f t="shared" si="239"/>
        <v>1</v>
      </c>
    </row>
    <row r="7601" spans="1:4" x14ac:dyDescent="0.55000000000000004">
      <c r="A7601">
        <f t="shared" si="238"/>
        <v>1994</v>
      </c>
      <c r="B7601" s="821">
        <v>34593</v>
      </c>
      <c r="C7601">
        <v>7.78</v>
      </c>
      <c r="D7601">
        <f t="shared" si="239"/>
        <v>1</v>
      </c>
    </row>
    <row r="7602" spans="1:4" x14ac:dyDescent="0.55000000000000004">
      <c r="A7602">
        <f t="shared" si="238"/>
        <v>1994</v>
      </c>
      <c r="B7602" s="821">
        <v>34592</v>
      </c>
      <c r="C7602">
        <v>7.64</v>
      </c>
      <c r="D7602">
        <f t="shared" si="239"/>
        <v>1</v>
      </c>
    </row>
    <row r="7603" spans="1:4" x14ac:dyDescent="0.55000000000000004">
      <c r="A7603">
        <f t="shared" si="238"/>
        <v>1994</v>
      </c>
      <c r="B7603" s="821">
        <v>34591</v>
      </c>
      <c r="C7603">
        <v>7.68</v>
      </c>
      <c r="D7603">
        <f t="shared" si="239"/>
        <v>1</v>
      </c>
    </row>
    <row r="7604" spans="1:4" x14ac:dyDescent="0.55000000000000004">
      <c r="A7604">
        <f t="shared" si="238"/>
        <v>1994</v>
      </c>
      <c r="B7604" s="821">
        <v>34590</v>
      </c>
      <c r="C7604">
        <v>7.7</v>
      </c>
      <c r="D7604">
        <f t="shared" si="239"/>
        <v>1</v>
      </c>
    </row>
    <row r="7605" spans="1:4" x14ac:dyDescent="0.55000000000000004">
      <c r="A7605">
        <f t="shared" si="238"/>
        <v>1994</v>
      </c>
      <c r="B7605" s="821">
        <v>34589</v>
      </c>
      <c r="C7605">
        <v>7.72</v>
      </c>
      <c r="D7605">
        <f t="shared" si="239"/>
        <v>1</v>
      </c>
    </row>
    <row r="7606" spans="1:4" x14ac:dyDescent="0.55000000000000004">
      <c r="A7606">
        <f t="shared" si="238"/>
        <v>1994</v>
      </c>
      <c r="B7606" s="821">
        <v>34586</v>
      </c>
      <c r="C7606">
        <v>7.71</v>
      </c>
      <c r="D7606">
        <f t="shared" si="239"/>
        <v>1</v>
      </c>
    </row>
    <row r="7607" spans="1:4" x14ac:dyDescent="0.55000000000000004">
      <c r="A7607">
        <f t="shared" si="238"/>
        <v>1994</v>
      </c>
      <c r="B7607" s="821">
        <v>34585</v>
      </c>
      <c r="C7607">
        <v>7.58</v>
      </c>
      <c r="D7607">
        <f t="shared" si="239"/>
        <v>1</v>
      </c>
    </row>
    <row r="7608" spans="1:4" x14ac:dyDescent="0.55000000000000004">
      <c r="A7608">
        <f t="shared" si="238"/>
        <v>1994</v>
      </c>
      <c r="B7608" s="821">
        <v>34584</v>
      </c>
      <c r="C7608">
        <v>7.58</v>
      </c>
      <c r="D7608">
        <f t="shared" si="239"/>
        <v>1</v>
      </c>
    </row>
    <row r="7609" spans="1:4" x14ac:dyDescent="0.55000000000000004">
      <c r="A7609">
        <f t="shared" si="238"/>
        <v>1994</v>
      </c>
      <c r="B7609" s="821">
        <v>34583</v>
      </c>
      <c r="C7609">
        <v>7.55</v>
      </c>
      <c r="D7609">
        <f t="shared" si="239"/>
        <v>1</v>
      </c>
    </row>
    <row r="7610" spans="1:4" x14ac:dyDescent="0.55000000000000004">
      <c r="A7610">
        <f t="shared" si="238"/>
        <v>1994</v>
      </c>
      <c r="B7610" s="821">
        <v>34579</v>
      </c>
      <c r="C7610">
        <v>7.5</v>
      </c>
      <c r="D7610">
        <f t="shared" si="239"/>
        <v>1</v>
      </c>
    </row>
    <row r="7611" spans="1:4" x14ac:dyDescent="0.55000000000000004">
      <c r="A7611">
        <f t="shared" si="238"/>
        <v>1994</v>
      </c>
      <c r="B7611" s="821">
        <v>34578</v>
      </c>
      <c r="C7611">
        <v>7.46</v>
      </c>
      <c r="D7611">
        <f t="shared" si="239"/>
        <v>1</v>
      </c>
    </row>
    <row r="7612" spans="1:4" x14ac:dyDescent="0.55000000000000004">
      <c r="A7612">
        <f t="shared" si="238"/>
        <v>1994</v>
      </c>
      <c r="B7612" s="821">
        <v>34577</v>
      </c>
      <c r="C7612">
        <v>7.46</v>
      </c>
      <c r="D7612">
        <f t="shared" si="239"/>
        <v>1</v>
      </c>
    </row>
    <row r="7613" spans="1:4" x14ac:dyDescent="0.55000000000000004">
      <c r="A7613">
        <f t="shared" si="238"/>
        <v>1994</v>
      </c>
      <c r="B7613" s="821">
        <v>34576</v>
      </c>
      <c r="C7613">
        <v>7.47</v>
      </c>
      <c r="D7613">
        <f t="shared" si="239"/>
        <v>1</v>
      </c>
    </row>
    <row r="7614" spans="1:4" x14ac:dyDescent="0.55000000000000004">
      <c r="A7614">
        <f t="shared" si="238"/>
        <v>1994</v>
      </c>
      <c r="B7614" s="821">
        <v>34575</v>
      </c>
      <c r="C7614">
        <v>7.5</v>
      </c>
      <c r="D7614">
        <f t="shared" si="239"/>
        <v>1</v>
      </c>
    </row>
    <row r="7615" spans="1:4" x14ac:dyDescent="0.55000000000000004">
      <c r="A7615">
        <f t="shared" si="238"/>
        <v>1994</v>
      </c>
      <c r="B7615" s="821">
        <v>34572</v>
      </c>
      <c r="C7615">
        <v>7.49</v>
      </c>
      <c r="D7615">
        <f t="shared" si="239"/>
        <v>1</v>
      </c>
    </row>
    <row r="7616" spans="1:4" x14ac:dyDescent="0.55000000000000004">
      <c r="A7616">
        <f t="shared" si="238"/>
        <v>1994</v>
      </c>
      <c r="B7616" s="821">
        <v>34571</v>
      </c>
      <c r="C7616">
        <v>7.55</v>
      </c>
      <c r="D7616">
        <f t="shared" si="239"/>
        <v>1</v>
      </c>
    </row>
    <row r="7617" spans="1:4" x14ac:dyDescent="0.55000000000000004">
      <c r="A7617">
        <f t="shared" si="238"/>
        <v>1994</v>
      </c>
      <c r="B7617" s="821">
        <v>34570</v>
      </c>
      <c r="C7617">
        <v>7.47</v>
      </c>
      <c r="D7617">
        <f t="shared" si="239"/>
        <v>1</v>
      </c>
    </row>
    <row r="7618" spans="1:4" x14ac:dyDescent="0.55000000000000004">
      <c r="A7618">
        <f t="shared" si="238"/>
        <v>1994</v>
      </c>
      <c r="B7618" s="821">
        <v>34569</v>
      </c>
      <c r="C7618">
        <v>7.54</v>
      </c>
      <c r="D7618">
        <f t="shared" si="239"/>
        <v>1</v>
      </c>
    </row>
    <row r="7619" spans="1:4" x14ac:dyDescent="0.55000000000000004">
      <c r="A7619">
        <f t="shared" si="238"/>
        <v>1994</v>
      </c>
      <c r="B7619" s="821">
        <v>34568</v>
      </c>
      <c r="C7619">
        <v>7.56</v>
      </c>
      <c r="D7619">
        <f t="shared" si="239"/>
        <v>1</v>
      </c>
    </row>
    <row r="7620" spans="1:4" x14ac:dyDescent="0.55000000000000004">
      <c r="A7620">
        <f t="shared" ref="A7620:A7683" si="240">YEAR(B7620)</f>
        <v>1994</v>
      </c>
      <c r="B7620" s="821">
        <v>34565</v>
      </c>
      <c r="C7620">
        <v>7.5</v>
      </c>
      <c r="D7620">
        <f t="shared" ref="D7620:D7683" si="241">IF(C7620&gt;4,1,0)</f>
        <v>1</v>
      </c>
    </row>
    <row r="7621" spans="1:4" x14ac:dyDescent="0.55000000000000004">
      <c r="A7621">
        <f t="shared" si="240"/>
        <v>1994</v>
      </c>
      <c r="B7621" s="821">
        <v>34564</v>
      </c>
      <c r="C7621">
        <v>7.5</v>
      </c>
      <c r="D7621">
        <f t="shared" si="241"/>
        <v>1</v>
      </c>
    </row>
    <row r="7622" spans="1:4" x14ac:dyDescent="0.55000000000000004">
      <c r="A7622">
        <f t="shared" si="240"/>
        <v>1994</v>
      </c>
      <c r="B7622" s="821">
        <v>34563</v>
      </c>
      <c r="C7622">
        <v>7.39</v>
      </c>
      <c r="D7622">
        <f t="shared" si="241"/>
        <v>1</v>
      </c>
    </row>
    <row r="7623" spans="1:4" x14ac:dyDescent="0.55000000000000004">
      <c r="A7623">
        <f t="shared" si="240"/>
        <v>1994</v>
      </c>
      <c r="B7623" s="821">
        <v>34562</v>
      </c>
      <c r="C7623">
        <v>7.39</v>
      </c>
      <c r="D7623">
        <f t="shared" si="241"/>
        <v>1</v>
      </c>
    </row>
    <row r="7624" spans="1:4" x14ac:dyDescent="0.55000000000000004">
      <c r="A7624">
        <f t="shared" si="240"/>
        <v>1994</v>
      </c>
      <c r="B7624" s="821">
        <v>34561</v>
      </c>
      <c r="C7624">
        <v>7.51</v>
      </c>
      <c r="D7624">
        <f t="shared" si="241"/>
        <v>1</v>
      </c>
    </row>
    <row r="7625" spans="1:4" x14ac:dyDescent="0.55000000000000004">
      <c r="A7625">
        <f t="shared" si="240"/>
        <v>1994</v>
      </c>
      <c r="B7625" s="821">
        <v>34558</v>
      </c>
      <c r="C7625">
        <v>7.48</v>
      </c>
      <c r="D7625">
        <f t="shared" si="241"/>
        <v>1</v>
      </c>
    </row>
    <row r="7626" spans="1:4" x14ac:dyDescent="0.55000000000000004">
      <c r="A7626">
        <f t="shared" si="240"/>
        <v>1994</v>
      </c>
      <c r="B7626" s="821">
        <v>34557</v>
      </c>
      <c r="C7626">
        <v>7.56</v>
      </c>
      <c r="D7626">
        <f t="shared" si="241"/>
        <v>1</v>
      </c>
    </row>
    <row r="7627" spans="1:4" x14ac:dyDescent="0.55000000000000004">
      <c r="A7627">
        <f t="shared" si="240"/>
        <v>1994</v>
      </c>
      <c r="B7627" s="821">
        <v>34556</v>
      </c>
      <c r="C7627">
        <v>7.58</v>
      </c>
      <c r="D7627">
        <f t="shared" si="241"/>
        <v>1</v>
      </c>
    </row>
    <row r="7628" spans="1:4" x14ac:dyDescent="0.55000000000000004">
      <c r="A7628">
        <f t="shared" si="240"/>
        <v>1994</v>
      </c>
      <c r="B7628" s="821">
        <v>34555</v>
      </c>
      <c r="C7628">
        <v>7.57</v>
      </c>
      <c r="D7628">
        <f t="shared" si="241"/>
        <v>1</v>
      </c>
    </row>
    <row r="7629" spans="1:4" x14ac:dyDescent="0.55000000000000004">
      <c r="A7629">
        <f t="shared" si="240"/>
        <v>1994</v>
      </c>
      <c r="B7629" s="821">
        <v>34554</v>
      </c>
      <c r="C7629">
        <v>7.53</v>
      </c>
      <c r="D7629">
        <f t="shared" si="241"/>
        <v>1</v>
      </c>
    </row>
    <row r="7630" spans="1:4" x14ac:dyDescent="0.55000000000000004">
      <c r="A7630">
        <f t="shared" si="240"/>
        <v>1994</v>
      </c>
      <c r="B7630" s="821">
        <v>34551</v>
      </c>
      <c r="C7630">
        <v>7.54</v>
      </c>
      <c r="D7630">
        <f t="shared" si="241"/>
        <v>1</v>
      </c>
    </row>
    <row r="7631" spans="1:4" x14ac:dyDescent="0.55000000000000004">
      <c r="A7631">
        <f t="shared" si="240"/>
        <v>1994</v>
      </c>
      <c r="B7631" s="821">
        <v>34550</v>
      </c>
      <c r="C7631">
        <v>7.4</v>
      </c>
      <c r="D7631">
        <f t="shared" si="241"/>
        <v>1</v>
      </c>
    </row>
    <row r="7632" spans="1:4" x14ac:dyDescent="0.55000000000000004">
      <c r="A7632">
        <f t="shared" si="240"/>
        <v>1994</v>
      </c>
      <c r="B7632" s="821">
        <v>34549</v>
      </c>
      <c r="C7632">
        <v>7.38</v>
      </c>
      <c r="D7632">
        <f t="shared" si="241"/>
        <v>1</v>
      </c>
    </row>
    <row r="7633" spans="1:4" x14ac:dyDescent="0.55000000000000004">
      <c r="A7633">
        <f t="shared" si="240"/>
        <v>1994</v>
      </c>
      <c r="B7633" s="821">
        <v>34548</v>
      </c>
      <c r="C7633">
        <v>7.4</v>
      </c>
      <c r="D7633">
        <f t="shared" si="241"/>
        <v>1</v>
      </c>
    </row>
    <row r="7634" spans="1:4" x14ac:dyDescent="0.55000000000000004">
      <c r="A7634">
        <f t="shared" si="240"/>
        <v>1994</v>
      </c>
      <c r="B7634" s="821">
        <v>34547</v>
      </c>
      <c r="C7634">
        <v>7.41</v>
      </c>
      <c r="D7634">
        <f t="shared" si="241"/>
        <v>1</v>
      </c>
    </row>
    <row r="7635" spans="1:4" x14ac:dyDescent="0.55000000000000004">
      <c r="A7635">
        <f t="shared" si="240"/>
        <v>1994</v>
      </c>
      <c r="B7635" s="821">
        <v>34544</v>
      </c>
      <c r="C7635">
        <v>7.39</v>
      </c>
      <c r="D7635">
        <f t="shared" si="241"/>
        <v>1</v>
      </c>
    </row>
    <row r="7636" spans="1:4" x14ac:dyDescent="0.55000000000000004">
      <c r="A7636">
        <f t="shared" si="240"/>
        <v>1994</v>
      </c>
      <c r="B7636" s="821">
        <v>34543</v>
      </c>
      <c r="C7636">
        <v>7.55</v>
      </c>
      <c r="D7636">
        <f t="shared" si="241"/>
        <v>1</v>
      </c>
    </row>
    <row r="7637" spans="1:4" x14ac:dyDescent="0.55000000000000004">
      <c r="A7637">
        <f t="shared" si="240"/>
        <v>1994</v>
      </c>
      <c r="B7637" s="821">
        <v>34542</v>
      </c>
      <c r="C7637">
        <v>7.6</v>
      </c>
      <c r="D7637">
        <f t="shared" si="241"/>
        <v>1</v>
      </c>
    </row>
    <row r="7638" spans="1:4" x14ac:dyDescent="0.55000000000000004">
      <c r="A7638">
        <f t="shared" si="240"/>
        <v>1994</v>
      </c>
      <c r="B7638" s="821">
        <v>34541</v>
      </c>
      <c r="C7638">
        <v>7.55</v>
      </c>
      <c r="D7638">
        <f t="shared" si="241"/>
        <v>1</v>
      </c>
    </row>
    <row r="7639" spans="1:4" x14ac:dyDescent="0.55000000000000004">
      <c r="A7639">
        <f t="shared" si="240"/>
        <v>1994</v>
      </c>
      <c r="B7639" s="821">
        <v>34540</v>
      </c>
      <c r="C7639">
        <v>7.53</v>
      </c>
      <c r="D7639">
        <f t="shared" si="241"/>
        <v>1</v>
      </c>
    </row>
    <row r="7640" spans="1:4" x14ac:dyDescent="0.55000000000000004">
      <c r="A7640">
        <f t="shared" si="240"/>
        <v>1994</v>
      </c>
      <c r="B7640" s="821">
        <v>34537</v>
      </c>
      <c r="C7640">
        <v>7.56</v>
      </c>
      <c r="D7640">
        <f t="shared" si="241"/>
        <v>1</v>
      </c>
    </row>
    <row r="7641" spans="1:4" x14ac:dyDescent="0.55000000000000004">
      <c r="A7641">
        <f t="shared" si="240"/>
        <v>1994</v>
      </c>
      <c r="B7641" s="821">
        <v>34536</v>
      </c>
      <c r="C7641">
        <v>7.55</v>
      </c>
      <c r="D7641">
        <f t="shared" si="241"/>
        <v>1</v>
      </c>
    </row>
    <row r="7642" spans="1:4" x14ac:dyDescent="0.55000000000000004">
      <c r="A7642">
        <f t="shared" si="240"/>
        <v>1994</v>
      </c>
      <c r="B7642" s="821">
        <v>34535</v>
      </c>
      <c r="C7642">
        <v>7.55</v>
      </c>
      <c r="D7642">
        <f t="shared" si="241"/>
        <v>1</v>
      </c>
    </row>
    <row r="7643" spans="1:4" x14ac:dyDescent="0.55000000000000004">
      <c r="A7643">
        <f t="shared" si="240"/>
        <v>1994</v>
      </c>
      <c r="B7643" s="821">
        <v>34534</v>
      </c>
      <c r="C7643">
        <v>7.47</v>
      </c>
      <c r="D7643">
        <f t="shared" si="241"/>
        <v>1</v>
      </c>
    </row>
    <row r="7644" spans="1:4" x14ac:dyDescent="0.55000000000000004">
      <c r="A7644">
        <f t="shared" si="240"/>
        <v>1994</v>
      </c>
      <c r="B7644" s="821">
        <v>34533</v>
      </c>
      <c r="C7644">
        <v>7.51</v>
      </c>
      <c r="D7644">
        <f t="shared" si="241"/>
        <v>1</v>
      </c>
    </row>
    <row r="7645" spans="1:4" x14ac:dyDescent="0.55000000000000004">
      <c r="A7645">
        <f t="shared" si="240"/>
        <v>1994</v>
      </c>
      <c r="B7645" s="821">
        <v>34530</v>
      </c>
      <c r="C7645">
        <v>7.55</v>
      </c>
      <c r="D7645">
        <f t="shared" si="241"/>
        <v>1</v>
      </c>
    </row>
    <row r="7646" spans="1:4" x14ac:dyDescent="0.55000000000000004">
      <c r="A7646">
        <f t="shared" si="240"/>
        <v>1994</v>
      </c>
      <c r="B7646" s="821">
        <v>34529</v>
      </c>
      <c r="C7646">
        <v>7.54</v>
      </c>
      <c r="D7646">
        <f t="shared" si="241"/>
        <v>1</v>
      </c>
    </row>
    <row r="7647" spans="1:4" x14ac:dyDescent="0.55000000000000004">
      <c r="A7647">
        <f t="shared" si="240"/>
        <v>1994</v>
      </c>
      <c r="B7647" s="821">
        <v>34528</v>
      </c>
      <c r="C7647">
        <v>7.68</v>
      </c>
      <c r="D7647">
        <f t="shared" si="241"/>
        <v>1</v>
      </c>
    </row>
    <row r="7648" spans="1:4" x14ac:dyDescent="0.55000000000000004">
      <c r="A7648">
        <f t="shared" si="240"/>
        <v>1994</v>
      </c>
      <c r="B7648" s="821">
        <v>34527</v>
      </c>
      <c r="C7648">
        <v>7.69</v>
      </c>
      <c r="D7648">
        <f t="shared" si="241"/>
        <v>1</v>
      </c>
    </row>
    <row r="7649" spans="1:4" x14ac:dyDescent="0.55000000000000004">
      <c r="A7649">
        <f t="shared" si="240"/>
        <v>1994</v>
      </c>
      <c r="B7649" s="821">
        <v>34526</v>
      </c>
      <c r="C7649">
        <v>7.73</v>
      </c>
      <c r="D7649">
        <f t="shared" si="241"/>
        <v>1</v>
      </c>
    </row>
    <row r="7650" spans="1:4" x14ac:dyDescent="0.55000000000000004">
      <c r="A7650">
        <f t="shared" si="240"/>
        <v>1994</v>
      </c>
      <c r="B7650" s="821">
        <v>34523</v>
      </c>
      <c r="C7650">
        <v>7.7</v>
      </c>
      <c r="D7650">
        <f t="shared" si="241"/>
        <v>1</v>
      </c>
    </row>
    <row r="7651" spans="1:4" x14ac:dyDescent="0.55000000000000004">
      <c r="A7651">
        <f t="shared" si="240"/>
        <v>1994</v>
      </c>
      <c r="B7651" s="821">
        <v>34522</v>
      </c>
      <c r="C7651">
        <v>7.6</v>
      </c>
      <c r="D7651">
        <f t="shared" si="241"/>
        <v>1</v>
      </c>
    </row>
    <row r="7652" spans="1:4" x14ac:dyDescent="0.55000000000000004">
      <c r="A7652">
        <f t="shared" si="240"/>
        <v>1994</v>
      </c>
      <c r="B7652" s="821">
        <v>34521</v>
      </c>
      <c r="C7652">
        <v>7.61</v>
      </c>
      <c r="D7652">
        <f t="shared" si="241"/>
        <v>1</v>
      </c>
    </row>
    <row r="7653" spans="1:4" x14ac:dyDescent="0.55000000000000004">
      <c r="A7653">
        <f t="shared" si="240"/>
        <v>1994</v>
      </c>
      <c r="B7653" s="821">
        <v>34520</v>
      </c>
      <c r="C7653">
        <v>7.6</v>
      </c>
      <c r="D7653">
        <f t="shared" si="241"/>
        <v>1</v>
      </c>
    </row>
    <row r="7654" spans="1:4" x14ac:dyDescent="0.55000000000000004">
      <c r="A7654">
        <f t="shared" si="240"/>
        <v>1994</v>
      </c>
      <c r="B7654" s="821">
        <v>34516</v>
      </c>
      <c r="C7654">
        <v>7.62</v>
      </c>
      <c r="D7654">
        <f t="shared" si="241"/>
        <v>1</v>
      </c>
    </row>
    <row r="7655" spans="1:4" x14ac:dyDescent="0.55000000000000004">
      <c r="A7655">
        <f t="shared" si="240"/>
        <v>1994</v>
      </c>
      <c r="B7655" s="821">
        <v>34515</v>
      </c>
      <c r="C7655">
        <v>7.63</v>
      </c>
      <c r="D7655">
        <f t="shared" si="241"/>
        <v>1</v>
      </c>
    </row>
    <row r="7656" spans="1:4" x14ac:dyDescent="0.55000000000000004">
      <c r="A7656">
        <f t="shared" si="240"/>
        <v>1994</v>
      </c>
      <c r="B7656" s="821">
        <v>34514</v>
      </c>
      <c r="C7656">
        <v>7.51</v>
      </c>
      <c r="D7656">
        <f t="shared" si="241"/>
        <v>1</v>
      </c>
    </row>
    <row r="7657" spans="1:4" x14ac:dyDescent="0.55000000000000004">
      <c r="A7657">
        <f t="shared" si="240"/>
        <v>1994</v>
      </c>
      <c r="B7657" s="821">
        <v>34513</v>
      </c>
      <c r="C7657">
        <v>7.53</v>
      </c>
      <c r="D7657">
        <f t="shared" si="241"/>
        <v>1</v>
      </c>
    </row>
    <row r="7658" spans="1:4" x14ac:dyDescent="0.55000000000000004">
      <c r="A7658">
        <f t="shared" si="240"/>
        <v>1994</v>
      </c>
      <c r="B7658" s="821">
        <v>34512</v>
      </c>
      <c r="C7658">
        <v>7.46</v>
      </c>
      <c r="D7658">
        <f t="shared" si="241"/>
        <v>1</v>
      </c>
    </row>
    <row r="7659" spans="1:4" x14ac:dyDescent="0.55000000000000004">
      <c r="A7659">
        <f t="shared" si="240"/>
        <v>1994</v>
      </c>
      <c r="B7659" s="821">
        <v>34509</v>
      </c>
      <c r="C7659">
        <v>7.52</v>
      </c>
      <c r="D7659">
        <f t="shared" si="241"/>
        <v>1</v>
      </c>
    </row>
    <row r="7660" spans="1:4" x14ac:dyDescent="0.55000000000000004">
      <c r="A7660">
        <f t="shared" si="240"/>
        <v>1994</v>
      </c>
      <c r="B7660" s="821">
        <v>34508</v>
      </c>
      <c r="C7660">
        <v>7.4</v>
      </c>
      <c r="D7660">
        <f t="shared" si="241"/>
        <v>1</v>
      </c>
    </row>
    <row r="7661" spans="1:4" x14ac:dyDescent="0.55000000000000004">
      <c r="A7661">
        <f t="shared" si="240"/>
        <v>1994</v>
      </c>
      <c r="B7661" s="821">
        <v>34507</v>
      </c>
      <c r="C7661">
        <v>7.41</v>
      </c>
      <c r="D7661">
        <f t="shared" si="241"/>
        <v>1</v>
      </c>
    </row>
    <row r="7662" spans="1:4" x14ac:dyDescent="0.55000000000000004">
      <c r="A7662">
        <f t="shared" si="240"/>
        <v>1994</v>
      </c>
      <c r="B7662" s="821">
        <v>34506</v>
      </c>
      <c r="C7662">
        <v>7.51</v>
      </c>
      <c r="D7662">
        <f t="shared" si="241"/>
        <v>1</v>
      </c>
    </row>
    <row r="7663" spans="1:4" x14ac:dyDescent="0.55000000000000004">
      <c r="A7663">
        <f t="shared" si="240"/>
        <v>1994</v>
      </c>
      <c r="B7663" s="821">
        <v>34505</v>
      </c>
      <c r="C7663">
        <v>7.46</v>
      </c>
      <c r="D7663">
        <f t="shared" si="241"/>
        <v>1</v>
      </c>
    </row>
    <row r="7664" spans="1:4" x14ac:dyDescent="0.55000000000000004">
      <c r="A7664">
        <f t="shared" si="240"/>
        <v>1994</v>
      </c>
      <c r="B7664" s="821">
        <v>34502</v>
      </c>
      <c r="C7664">
        <v>7.45</v>
      </c>
      <c r="D7664">
        <f t="shared" si="241"/>
        <v>1</v>
      </c>
    </row>
    <row r="7665" spans="1:4" x14ac:dyDescent="0.55000000000000004">
      <c r="A7665">
        <f t="shared" si="240"/>
        <v>1994</v>
      </c>
      <c r="B7665" s="821">
        <v>34501</v>
      </c>
      <c r="C7665">
        <v>7.38</v>
      </c>
      <c r="D7665">
        <f t="shared" si="241"/>
        <v>1</v>
      </c>
    </row>
    <row r="7666" spans="1:4" x14ac:dyDescent="0.55000000000000004">
      <c r="A7666">
        <f t="shared" si="240"/>
        <v>1994</v>
      </c>
      <c r="B7666" s="821">
        <v>34500</v>
      </c>
      <c r="C7666">
        <v>7.41</v>
      </c>
      <c r="D7666">
        <f t="shared" si="241"/>
        <v>1</v>
      </c>
    </row>
    <row r="7667" spans="1:4" x14ac:dyDescent="0.55000000000000004">
      <c r="A7667">
        <f t="shared" si="240"/>
        <v>1994</v>
      </c>
      <c r="B7667" s="821">
        <v>34499</v>
      </c>
      <c r="C7667">
        <v>7.31</v>
      </c>
      <c r="D7667">
        <f t="shared" si="241"/>
        <v>1</v>
      </c>
    </row>
    <row r="7668" spans="1:4" x14ac:dyDescent="0.55000000000000004">
      <c r="A7668">
        <f t="shared" si="240"/>
        <v>1994</v>
      </c>
      <c r="B7668" s="821">
        <v>34498</v>
      </c>
      <c r="C7668">
        <v>7.36</v>
      </c>
      <c r="D7668">
        <f t="shared" si="241"/>
        <v>1</v>
      </c>
    </row>
    <row r="7669" spans="1:4" x14ac:dyDescent="0.55000000000000004">
      <c r="A7669">
        <f t="shared" si="240"/>
        <v>1994</v>
      </c>
      <c r="B7669" s="821">
        <v>34495</v>
      </c>
      <c r="C7669">
        <v>7.32</v>
      </c>
      <c r="D7669">
        <f t="shared" si="241"/>
        <v>1</v>
      </c>
    </row>
    <row r="7670" spans="1:4" x14ac:dyDescent="0.55000000000000004">
      <c r="A7670">
        <f t="shared" si="240"/>
        <v>1994</v>
      </c>
      <c r="B7670" s="821">
        <v>34494</v>
      </c>
      <c r="C7670">
        <v>7.28</v>
      </c>
      <c r="D7670">
        <f t="shared" si="241"/>
        <v>1</v>
      </c>
    </row>
    <row r="7671" spans="1:4" x14ac:dyDescent="0.55000000000000004">
      <c r="A7671">
        <f t="shared" si="240"/>
        <v>1994</v>
      </c>
      <c r="B7671" s="821">
        <v>34493</v>
      </c>
      <c r="C7671">
        <v>7.28</v>
      </c>
      <c r="D7671">
        <f t="shared" si="241"/>
        <v>1</v>
      </c>
    </row>
    <row r="7672" spans="1:4" x14ac:dyDescent="0.55000000000000004">
      <c r="A7672">
        <f t="shared" si="240"/>
        <v>1994</v>
      </c>
      <c r="B7672" s="821">
        <v>34492</v>
      </c>
      <c r="C7672">
        <v>7.26</v>
      </c>
      <c r="D7672">
        <f t="shared" si="241"/>
        <v>1</v>
      </c>
    </row>
    <row r="7673" spans="1:4" x14ac:dyDescent="0.55000000000000004">
      <c r="A7673">
        <f t="shared" si="240"/>
        <v>1994</v>
      </c>
      <c r="B7673" s="821">
        <v>34491</v>
      </c>
      <c r="C7673">
        <v>7.21</v>
      </c>
      <c r="D7673">
        <f t="shared" si="241"/>
        <v>1</v>
      </c>
    </row>
    <row r="7674" spans="1:4" x14ac:dyDescent="0.55000000000000004">
      <c r="A7674">
        <f t="shared" si="240"/>
        <v>1994</v>
      </c>
      <c r="B7674" s="821">
        <v>34488</v>
      </c>
      <c r="C7674">
        <v>7.26</v>
      </c>
      <c r="D7674">
        <f t="shared" si="241"/>
        <v>1</v>
      </c>
    </row>
    <row r="7675" spans="1:4" x14ac:dyDescent="0.55000000000000004">
      <c r="A7675">
        <f t="shared" si="240"/>
        <v>1994</v>
      </c>
      <c r="B7675" s="821">
        <v>34487</v>
      </c>
      <c r="C7675">
        <v>7.35</v>
      </c>
      <c r="D7675">
        <f t="shared" si="241"/>
        <v>1</v>
      </c>
    </row>
    <row r="7676" spans="1:4" x14ac:dyDescent="0.55000000000000004">
      <c r="A7676">
        <f t="shared" si="240"/>
        <v>1994</v>
      </c>
      <c r="B7676" s="821">
        <v>34486</v>
      </c>
      <c r="C7676">
        <v>7.39</v>
      </c>
      <c r="D7676">
        <f t="shared" si="241"/>
        <v>1</v>
      </c>
    </row>
    <row r="7677" spans="1:4" x14ac:dyDescent="0.55000000000000004">
      <c r="A7677">
        <f t="shared" si="240"/>
        <v>1994</v>
      </c>
      <c r="B7677" s="821">
        <v>34485</v>
      </c>
      <c r="C7677">
        <v>7.44</v>
      </c>
      <c r="D7677">
        <f t="shared" si="241"/>
        <v>1</v>
      </c>
    </row>
    <row r="7678" spans="1:4" x14ac:dyDescent="0.55000000000000004">
      <c r="A7678">
        <f t="shared" si="240"/>
        <v>1994</v>
      </c>
      <c r="B7678" s="821">
        <v>34481</v>
      </c>
      <c r="C7678">
        <v>7.4</v>
      </c>
      <c r="D7678">
        <f t="shared" si="241"/>
        <v>1</v>
      </c>
    </row>
    <row r="7679" spans="1:4" x14ac:dyDescent="0.55000000000000004">
      <c r="A7679">
        <f t="shared" si="240"/>
        <v>1994</v>
      </c>
      <c r="B7679" s="821">
        <v>34480</v>
      </c>
      <c r="C7679">
        <v>7.37</v>
      </c>
      <c r="D7679">
        <f t="shared" si="241"/>
        <v>1</v>
      </c>
    </row>
    <row r="7680" spans="1:4" x14ac:dyDescent="0.55000000000000004">
      <c r="A7680">
        <f t="shared" si="240"/>
        <v>1994</v>
      </c>
      <c r="B7680" s="821">
        <v>34479</v>
      </c>
      <c r="C7680">
        <v>7.37</v>
      </c>
      <c r="D7680">
        <f t="shared" si="241"/>
        <v>1</v>
      </c>
    </row>
    <row r="7681" spans="1:4" x14ac:dyDescent="0.55000000000000004">
      <c r="A7681">
        <f t="shared" si="240"/>
        <v>1994</v>
      </c>
      <c r="B7681" s="821">
        <v>34478</v>
      </c>
      <c r="C7681">
        <v>7.41</v>
      </c>
      <c r="D7681">
        <f t="shared" si="241"/>
        <v>1</v>
      </c>
    </row>
    <row r="7682" spans="1:4" x14ac:dyDescent="0.55000000000000004">
      <c r="A7682">
        <f t="shared" si="240"/>
        <v>1994</v>
      </c>
      <c r="B7682" s="821">
        <v>34477</v>
      </c>
      <c r="C7682">
        <v>7.44</v>
      </c>
      <c r="D7682">
        <f t="shared" si="241"/>
        <v>1</v>
      </c>
    </row>
    <row r="7683" spans="1:4" x14ac:dyDescent="0.55000000000000004">
      <c r="A7683">
        <f t="shared" si="240"/>
        <v>1994</v>
      </c>
      <c r="B7683" s="821">
        <v>34474</v>
      </c>
      <c r="C7683">
        <v>7.3</v>
      </c>
      <c r="D7683">
        <f t="shared" si="241"/>
        <v>1</v>
      </c>
    </row>
    <row r="7684" spans="1:4" x14ac:dyDescent="0.55000000000000004">
      <c r="A7684">
        <f t="shared" ref="A7684:A7747" si="242">YEAR(B7684)</f>
        <v>1994</v>
      </c>
      <c r="B7684" s="821">
        <v>34473</v>
      </c>
      <c r="C7684">
        <v>7.24</v>
      </c>
      <c r="D7684">
        <f t="shared" ref="D7684:D7747" si="243">IF(C7684&gt;4,1,0)</f>
        <v>1</v>
      </c>
    </row>
    <row r="7685" spans="1:4" x14ac:dyDescent="0.55000000000000004">
      <c r="A7685">
        <f t="shared" si="242"/>
        <v>1994</v>
      </c>
      <c r="B7685" s="821">
        <v>34472</v>
      </c>
      <c r="C7685">
        <v>7.27</v>
      </c>
      <c r="D7685">
        <f t="shared" si="243"/>
        <v>1</v>
      </c>
    </row>
    <row r="7686" spans="1:4" x14ac:dyDescent="0.55000000000000004">
      <c r="A7686">
        <f t="shared" si="242"/>
        <v>1994</v>
      </c>
      <c r="B7686" s="821">
        <v>34471</v>
      </c>
      <c r="C7686">
        <v>7.27</v>
      </c>
      <c r="D7686">
        <f t="shared" si="243"/>
        <v>1</v>
      </c>
    </row>
    <row r="7687" spans="1:4" x14ac:dyDescent="0.55000000000000004">
      <c r="A7687">
        <f t="shared" si="242"/>
        <v>1994</v>
      </c>
      <c r="B7687" s="821">
        <v>34470</v>
      </c>
      <c r="C7687">
        <v>7.46</v>
      </c>
      <c r="D7687">
        <f t="shared" si="243"/>
        <v>1</v>
      </c>
    </row>
    <row r="7688" spans="1:4" x14ac:dyDescent="0.55000000000000004">
      <c r="A7688">
        <f t="shared" si="242"/>
        <v>1994</v>
      </c>
      <c r="B7688" s="821">
        <v>34467</v>
      </c>
      <c r="C7688">
        <v>7.5</v>
      </c>
      <c r="D7688">
        <f t="shared" si="243"/>
        <v>1</v>
      </c>
    </row>
    <row r="7689" spans="1:4" x14ac:dyDescent="0.55000000000000004">
      <c r="A7689">
        <f t="shared" si="242"/>
        <v>1994</v>
      </c>
      <c r="B7689" s="821">
        <v>34466</v>
      </c>
      <c r="C7689">
        <v>7.57</v>
      </c>
      <c r="D7689">
        <f t="shared" si="243"/>
        <v>1</v>
      </c>
    </row>
    <row r="7690" spans="1:4" x14ac:dyDescent="0.55000000000000004">
      <c r="A7690">
        <f t="shared" si="242"/>
        <v>1994</v>
      </c>
      <c r="B7690" s="821">
        <v>34465</v>
      </c>
      <c r="C7690">
        <v>7.6</v>
      </c>
      <c r="D7690">
        <f t="shared" si="243"/>
        <v>1</v>
      </c>
    </row>
    <row r="7691" spans="1:4" x14ac:dyDescent="0.55000000000000004">
      <c r="A7691">
        <f t="shared" si="242"/>
        <v>1994</v>
      </c>
      <c r="B7691" s="821">
        <v>34464</v>
      </c>
      <c r="C7691">
        <v>7.5</v>
      </c>
      <c r="D7691">
        <f t="shared" si="243"/>
        <v>1</v>
      </c>
    </row>
    <row r="7692" spans="1:4" x14ac:dyDescent="0.55000000000000004">
      <c r="A7692">
        <f t="shared" si="242"/>
        <v>1994</v>
      </c>
      <c r="B7692" s="821">
        <v>34463</v>
      </c>
      <c r="C7692">
        <v>7.63</v>
      </c>
      <c r="D7692">
        <f t="shared" si="243"/>
        <v>1</v>
      </c>
    </row>
    <row r="7693" spans="1:4" x14ac:dyDescent="0.55000000000000004">
      <c r="A7693">
        <f t="shared" si="242"/>
        <v>1994</v>
      </c>
      <c r="B7693" s="821">
        <v>34460</v>
      </c>
      <c r="C7693">
        <v>7.53</v>
      </c>
      <c r="D7693">
        <f t="shared" si="243"/>
        <v>1</v>
      </c>
    </row>
    <row r="7694" spans="1:4" x14ac:dyDescent="0.55000000000000004">
      <c r="A7694">
        <f t="shared" si="242"/>
        <v>1994</v>
      </c>
      <c r="B7694" s="821">
        <v>34459</v>
      </c>
      <c r="C7694">
        <v>7.33</v>
      </c>
      <c r="D7694">
        <f t="shared" si="243"/>
        <v>1</v>
      </c>
    </row>
    <row r="7695" spans="1:4" x14ac:dyDescent="0.55000000000000004">
      <c r="A7695">
        <f t="shared" si="242"/>
        <v>1994</v>
      </c>
      <c r="B7695" s="821">
        <v>34458</v>
      </c>
      <c r="C7695">
        <v>7.35</v>
      </c>
      <c r="D7695">
        <f t="shared" si="243"/>
        <v>1</v>
      </c>
    </row>
    <row r="7696" spans="1:4" x14ac:dyDescent="0.55000000000000004">
      <c r="A7696">
        <f t="shared" si="242"/>
        <v>1994</v>
      </c>
      <c r="B7696" s="821">
        <v>34457</v>
      </c>
      <c r="C7696">
        <v>7.35</v>
      </c>
      <c r="D7696">
        <f t="shared" si="243"/>
        <v>1</v>
      </c>
    </row>
    <row r="7697" spans="1:4" x14ac:dyDescent="0.55000000000000004">
      <c r="A7697">
        <f t="shared" si="242"/>
        <v>1994</v>
      </c>
      <c r="B7697" s="821">
        <v>34456</v>
      </c>
      <c r="C7697">
        <v>7.33</v>
      </c>
      <c r="D7697">
        <f t="shared" si="243"/>
        <v>1</v>
      </c>
    </row>
    <row r="7698" spans="1:4" x14ac:dyDescent="0.55000000000000004">
      <c r="A7698">
        <f t="shared" si="242"/>
        <v>1994</v>
      </c>
      <c r="B7698" s="821">
        <v>34453</v>
      </c>
      <c r="C7698">
        <v>7.31</v>
      </c>
      <c r="D7698">
        <f t="shared" si="243"/>
        <v>1</v>
      </c>
    </row>
    <row r="7699" spans="1:4" x14ac:dyDescent="0.55000000000000004">
      <c r="A7699">
        <f t="shared" si="242"/>
        <v>1994</v>
      </c>
      <c r="B7699" s="821">
        <v>34452</v>
      </c>
      <c r="C7699">
        <v>7.29</v>
      </c>
      <c r="D7699">
        <f t="shared" si="243"/>
        <v>1</v>
      </c>
    </row>
    <row r="7700" spans="1:4" x14ac:dyDescent="0.55000000000000004">
      <c r="A7700">
        <f t="shared" si="242"/>
        <v>1994</v>
      </c>
      <c r="B7700" s="821">
        <v>34450</v>
      </c>
      <c r="C7700">
        <v>7.12</v>
      </c>
      <c r="D7700">
        <f t="shared" si="243"/>
        <v>1</v>
      </c>
    </row>
    <row r="7701" spans="1:4" x14ac:dyDescent="0.55000000000000004">
      <c r="A7701">
        <f t="shared" si="242"/>
        <v>1994</v>
      </c>
      <c r="B7701" s="821">
        <v>34449</v>
      </c>
      <c r="C7701">
        <v>7.14</v>
      </c>
      <c r="D7701">
        <f t="shared" si="243"/>
        <v>1</v>
      </c>
    </row>
    <row r="7702" spans="1:4" x14ac:dyDescent="0.55000000000000004">
      <c r="A7702">
        <f t="shared" si="242"/>
        <v>1994</v>
      </c>
      <c r="B7702" s="821">
        <v>34446</v>
      </c>
      <c r="C7702">
        <v>7.21</v>
      </c>
      <c r="D7702">
        <f t="shared" si="243"/>
        <v>1</v>
      </c>
    </row>
    <row r="7703" spans="1:4" x14ac:dyDescent="0.55000000000000004">
      <c r="A7703">
        <f t="shared" si="242"/>
        <v>1994</v>
      </c>
      <c r="B7703" s="821">
        <v>34445</v>
      </c>
      <c r="C7703">
        <v>7.22</v>
      </c>
      <c r="D7703">
        <f t="shared" si="243"/>
        <v>1</v>
      </c>
    </row>
    <row r="7704" spans="1:4" x14ac:dyDescent="0.55000000000000004">
      <c r="A7704">
        <f t="shared" si="242"/>
        <v>1994</v>
      </c>
      <c r="B7704" s="821">
        <v>34444</v>
      </c>
      <c r="C7704">
        <v>7.33</v>
      </c>
      <c r="D7704">
        <f t="shared" si="243"/>
        <v>1</v>
      </c>
    </row>
    <row r="7705" spans="1:4" x14ac:dyDescent="0.55000000000000004">
      <c r="A7705">
        <f t="shared" si="242"/>
        <v>1994</v>
      </c>
      <c r="B7705" s="821">
        <v>34443</v>
      </c>
      <c r="C7705">
        <v>7.37</v>
      </c>
      <c r="D7705">
        <f t="shared" si="243"/>
        <v>1</v>
      </c>
    </row>
    <row r="7706" spans="1:4" x14ac:dyDescent="0.55000000000000004">
      <c r="A7706">
        <f t="shared" si="242"/>
        <v>1994</v>
      </c>
      <c r="B7706" s="821">
        <v>34442</v>
      </c>
      <c r="C7706">
        <v>7.41</v>
      </c>
      <c r="D7706">
        <f t="shared" si="243"/>
        <v>1</v>
      </c>
    </row>
    <row r="7707" spans="1:4" x14ac:dyDescent="0.55000000000000004">
      <c r="A7707">
        <f t="shared" si="242"/>
        <v>1994</v>
      </c>
      <c r="B7707" s="821">
        <v>34439</v>
      </c>
      <c r="C7707">
        <v>7.29</v>
      </c>
      <c r="D7707">
        <f t="shared" si="243"/>
        <v>1</v>
      </c>
    </row>
    <row r="7708" spans="1:4" x14ac:dyDescent="0.55000000000000004">
      <c r="A7708">
        <f t="shared" si="242"/>
        <v>1994</v>
      </c>
      <c r="B7708" s="821">
        <v>34438</v>
      </c>
      <c r="C7708">
        <v>7.29</v>
      </c>
      <c r="D7708">
        <f t="shared" si="243"/>
        <v>1</v>
      </c>
    </row>
    <row r="7709" spans="1:4" x14ac:dyDescent="0.55000000000000004">
      <c r="A7709">
        <f t="shared" si="242"/>
        <v>1994</v>
      </c>
      <c r="B7709" s="821">
        <v>34437</v>
      </c>
      <c r="C7709">
        <v>7.26</v>
      </c>
      <c r="D7709">
        <f t="shared" si="243"/>
        <v>1</v>
      </c>
    </row>
    <row r="7710" spans="1:4" x14ac:dyDescent="0.55000000000000004">
      <c r="A7710">
        <f t="shared" si="242"/>
        <v>1994</v>
      </c>
      <c r="B7710" s="821">
        <v>34436</v>
      </c>
      <c r="C7710">
        <v>7.2</v>
      </c>
      <c r="D7710">
        <f t="shared" si="243"/>
        <v>1</v>
      </c>
    </row>
    <row r="7711" spans="1:4" x14ac:dyDescent="0.55000000000000004">
      <c r="A7711">
        <f t="shared" si="242"/>
        <v>1994</v>
      </c>
      <c r="B7711" s="821">
        <v>34435</v>
      </c>
      <c r="C7711">
        <v>7.24</v>
      </c>
      <c r="D7711">
        <f t="shared" si="243"/>
        <v>1</v>
      </c>
    </row>
    <row r="7712" spans="1:4" x14ac:dyDescent="0.55000000000000004">
      <c r="A7712">
        <f t="shared" si="242"/>
        <v>1994</v>
      </c>
      <c r="B7712" s="821">
        <v>34432</v>
      </c>
      <c r="C7712">
        <v>7.26</v>
      </c>
      <c r="D7712">
        <f t="shared" si="243"/>
        <v>1</v>
      </c>
    </row>
    <row r="7713" spans="1:4" x14ac:dyDescent="0.55000000000000004">
      <c r="A7713">
        <f t="shared" si="242"/>
        <v>1994</v>
      </c>
      <c r="B7713" s="821">
        <v>34431</v>
      </c>
      <c r="C7713">
        <v>7.21</v>
      </c>
      <c r="D7713">
        <f t="shared" si="243"/>
        <v>1</v>
      </c>
    </row>
    <row r="7714" spans="1:4" x14ac:dyDescent="0.55000000000000004">
      <c r="A7714">
        <f t="shared" si="242"/>
        <v>1994</v>
      </c>
      <c r="B7714" s="821">
        <v>34430</v>
      </c>
      <c r="C7714">
        <v>7.25</v>
      </c>
      <c r="D7714">
        <f t="shared" si="243"/>
        <v>1</v>
      </c>
    </row>
    <row r="7715" spans="1:4" x14ac:dyDescent="0.55000000000000004">
      <c r="A7715">
        <f t="shared" si="242"/>
        <v>1994</v>
      </c>
      <c r="B7715" s="821">
        <v>34429</v>
      </c>
      <c r="C7715">
        <v>7.28</v>
      </c>
      <c r="D7715">
        <f t="shared" si="243"/>
        <v>1</v>
      </c>
    </row>
    <row r="7716" spans="1:4" x14ac:dyDescent="0.55000000000000004">
      <c r="A7716">
        <f t="shared" si="242"/>
        <v>1994</v>
      </c>
      <c r="B7716" s="821">
        <v>34428</v>
      </c>
      <c r="C7716">
        <v>7.43</v>
      </c>
      <c r="D7716">
        <f t="shared" si="243"/>
        <v>1</v>
      </c>
    </row>
    <row r="7717" spans="1:4" x14ac:dyDescent="0.55000000000000004">
      <c r="A7717">
        <f t="shared" si="242"/>
        <v>1994</v>
      </c>
      <c r="B7717" s="821">
        <v>34424</v>
      </c>
      <c r="C7717">
        <v>7.11</v>
      </c>
      <c r="D7717">
        <f t="shared" si="243"/>
        <v>1</v>
      </c>
    </row>
    <row r="7718" spans="1:4" x14ac:dyDescent="0.55000000000000004">
      <c r="A7718">
        <f t="shared" si="242"/>
        <v>1994</v>
      </c>
      <c r="B7718" s="821">
        <v>34423</v>
      </c>
      <c r="C7718">
        <v>7.1</v>
      </c>
      <c r="D7718">
        <f t="shared" si="243"/>
        <v>1</v>
      </c>
    </row>
    <row r="7719" spans="1:4" x14ac:dyDescent="0.55000000000000004">
      <c r="A7719">
        <f t="shared" si="242"/>
        <v>1994</v>
      </c>
      <c r="B7719" s="821">
        <v>34422</v>
      </c>
      <c r="C7719">
        <v>7.06</v>
      </c>
      <c r="D7719">
        <f t="shared" si="243"/>
        <v>1</v>
      </c>
    </row>
    <row r="7720" spans="1:4" x14ac:dyDescent="0.55000000000000004">
      <c r="A7720">
        <f t="shared" si="242"/>
        <v>1994</v>
      </c>
      <c r="B7720" s="821">
        <v>34421</v>
      </c>
      <c r="C7720">
        <v>6.98</v>
      </c>
      <c r="D7720">
        <f t="shared" si="243"/>
        <v>1</v>
      </c>
    </row>
    <row r="7721" spans="1:4" x14ac:dyDescent="0.55000000000000004">
      <c r="A7721">
        <f t="shared" si="242"/>
        <v>1994</v>
      </c>
      <c r="B7721" s="821">
        <v>34418</v>
      </c>
      <c r="C7721">
        <v>6.99</v>
      </c>
      <c r="D7721">
        <f t="shared" si="243"/>
        <v>1</v>
      </c>
    </row>
    <row r="7722" spans="1:4" x14ac:dyDescent="0.55000000000000004">
      <c r="A7722">
        <f t="shared" si="242"/>
        <v>1994</v>
      </c>
      <c r="B7722" s="821">
        <v>34417</v>
      </c>
      <c r="C7722">
        <v>6.98</v>
      </c>
      <c r="D7722">
        <f t="shared" si="243"/>
        <v>1</v>
      </c>
    </row>
    <row r="7723" spans="1:4" x14ac:dyDescent="0.55000000000000004">
      <c r="A7723">
        <f t="shared" si="242"/>
        <v>1994</v>
      </c>
      <c r="B7723" s="821">
        <v>34416</v>
      </c>
      <c r="C7723">
        <v>6.85</v>
      </c>
      <c r="D7723">
        <f t="shared" si="243"/>
        <v>1</v>
      </c>
    </row>
    <row r="7724" spans="1:4" x14ac:dyDescent="0.55000000000000004">
      <c r="A7724">
        <f t="shared" si="242"/>
        <v>1994</v>
      </c>
      <c r="B7724" s="821">
        <v>34415</v>
      </c>
      <c r="C7724">
        <v>6.85</v>
      </c>
      <c r="D7724">
        <f t="shared" si="243"/>
        <v>1</v>
      </c>
    </row>
    <row r="7725" spans="1:4" x14ac:dyDescent="0.55000000000000004">
      <c r="A7725">
        <f t="shared" si="242"/>
        <v>1994</v>
      </c>
      <c r="B7725" s="821">
        <v>34414</v>
      </c>
      <c r="C7725">
        <v>6.94</v>
      </c>
      <c r="D7725">
        <f t="shared" si="243"/>
        <v>1</v>
      </c>
    </row>
    <row r="7726" spans="1:4" x14ac:dyDescent="0.55000000000000004">
      <c r="A7726">
        <f t="shared" si="242"/>
        <v>1994</v>
      </c>
      <c r="B7726" s="821">
        <v>34411</v>
      </c>
      <c r="C7726">
        <v>6.9</v>
      </c>
      <c r="D7726">
        <f t="shared" si="243"/>
        <v>1</v>
      </c>
    </row>
    <row r="7727" spans="1:4" x14ac:dyDescent="0.55000000000000004">
      <c r="A7727">
        <f t="shared" si="242"/>
        <v>1994</v>
      </c>
      <c r="B7727" s="821">
        <v>34410</v>
      </c>
      <c r="C7727">
        <v>6.82</v>
      </c>
      <c r="D7727">
        <f t="shared" si="243"/>
        <v>1</v>
      </c>
    </row>
    <row r="7728" spans="1:4" x14ac:dyDescent="0.55000000000000004">
      <c r="A7728">
        <f t="shared" si="242"/>
        <v>1994</v>
      </c>
      <c r="B7728" s="821">
        <v>34409</v>
      </c>
      <c r="C7728">
        <v>6.82</v>
      </c>
      <c r="D7728">
        <f t="shared" si="243"/>
        <v>1</v>
      </c>
    </row>
    <row r="7729" spans="1:4" x14ac:dyDescent="0.55000000000000004">
      <c r="A7729">
        <f t="shared" si="242"/>
        <v>1994</v>
      </c>
      <c r="B7729" s="821">
        <v>34408</v>
      </c>
      <c r="C7729">
        <v>6.9</v>
      </c>
      <c r="D7729">
        <f t="shared" si="243"/>
        <v>1</v>
      </c>
    </row>
    <row r="7730" spans="1:4" x14ac:dyDescent="0.55000000000000004">
      <c r="A7730">
        <f t="shared" si="242"/>
        <v>1994</v>
      </c>
      <c r="B7730" s="821">
        <v>34407</v>
      </c>
      <c r="C7730">
        <v>6.93</v>
      </c>
      <c r="D7730">
        <f t="shared" si="243"/>
        <v>1</v>
      </c>
    </row>
    <row r="7731" spans="1:4" x14ac:dyDescent="0.55000000000000004">
      <c r="A7731">
        <f t="shared" si="242"/>
        <v>1994</v>
      </c>
      <c r="B7731" s="821">
        <v>34404</v>
      </c>
      <c r="C7731">
        <v>6.91</v>
      </c>
      <c r="D7731">
        <f t="shared" si="243"/>
        <v>1</v>
      </c>
    </row>
    <row r="7732" spans="1:4" x14ac:dyDescent="0.55000000000000004">
      <c r="A7732">
        <f t="shared" si="242"/>
        <v>1994</v>
      </c>
      <c r="B7732" s="821">
        <v>34403</v>
      </c>
      <c r="C7732">
        <v>6.94</v>
      </c>
      <c r="D7732">
        <f t="shared" si="243"/>
        <v>1</v>
      </c>
    </row>
    <row r="7733" spans="1:4" x14ac:dyDescent="0.55000000000000004">
      <c r="A7733">
        <f t="shared" si="242"/>
        <v>1994</v>
      </c>
      <c r="B7733" s="821">
        <v>34402</v>
      </c>
      <c r="C7733">
        <v>6.85</v>
      </c>
      <c r="D7733">
        <f t="shared" si="243"/>
        <v>1</v>
      </c>
    </row>
    <row r="7734" spans="1:4" x14ac:dyDescent="0.55000000000000004">
      <c r="A7734">
        <f t="shared" si="242"/>
        <v>1994</v>
      </c>
      <c r="B7734" s="821">
        <v>34401</v>
      </c>
      <c r="C7734">
        <v>6.85</v>
      </c>
      <c r="D7734">
        <f t="shared" si="243"/>
        <v>1</v>
      </c>
    </row>
    <row r="7735" spans="1:4" x14ac:dyDescent="0.55000000000000004">
      <c r="A7735">
        <f t="shared" si="242"/>
        <v>1994</v>
      </c>
      <c r="B7735" s="821">
        <v>34400</v>
      </c>
      <c r="C7735">
        <v>6.8</v>
      </c>
      <c r="D7735">
        <f t="shared" si="243"/>
        <v>1</v>
      </c>
    </row>
    <row r="7736" spans="1:4" x14ac:dyDescent="0.55000000000000004">
      <c r="A7736">
        <f t="shared" si="242"/>
        <v>1994</v>
      </c>
      <c r="B7736" s="821">
        <v>34397</v>
      </c>
      <c r="C7736">
        <v>6.85</v>
      </c>
      <c r="D7736">
        <f t="shared" si="243"/>
        <v>1</v>
      </c>
    </row>
    <row r="7737" spans="1:4" x14ac:dyDescent="0.55000000000000004">
      <c r="A7737">
        <f t="shared" si="242"/>
        <v>1994</v>
      </c>
      <c r="B7737" s="821">
        <v>34396</v>
      </c>
      <c r="C7737">
        <v>6.84</v>
      </c>
      <c r="D7737">
        <f t="shared" si="243"/>
        <v>1</v>
      </c>
    </row>
    <row r="7738" spans="1:4" x14ac:dyDescent="0.55000000000000004">
      <c r="A7738">
        <f t="shared" si="242"/>
        <v>1994</v>
      </c>
      <c r="B7738" s="821">
        <v>34395</v>
      </c>
      <c r="C7738">
        <v>6.79</v>
      </c>
      <c r="D7738">
        <f t="shared" si="243"/>
        <v>1</v>
      </c>
    </row>
    <row r="7739" spans="1:4" x14ac:dyDescent="0.55000000000000004">
      <c r="A7739">
        <f t="shared" si="242"/>
        <v>1994</v>
      </c>
      <c r="B7739" s="821">
        <v>34394</v>
      </c>
      <c r="C7739">
        <v>6.79</v>
      </c>
      <c r="D7739">
        <f t="shared" si="243"/>
        <v>1</v>
      </c>
    </row>
    <row r="7740" spans="1:4" x14ac:dyDescent="0.55000000000000004">
      <c r="A7740">
        <f t="shared" si="242"/>
        <v>1994</v>
      </c>
      <c r="B7740" s="821">
        <v>34393</v>
      </c>
      <c r="C7740">
        <v>6.67</v>
      </c>
      <c r="D7740">
        <f t="shared" si="243"/>
        <v>1</v>
      </c>
    </row>
    <row r="7741" spans="1:4" x14ac:dyDescent="0.55000000000000004">
      <c r="A7741">
        <f t="shared" si="242"/>
        <v>1994</v>
      </c>
      <c r="B7741" s="821">
        <v>34390</v>
      </c>
      <c r="C7741">
        <v>6.73</v>
      </c>
      <c r="D7741">
        <f t="shared" si="243"/>
        <v>1</v>
      </c>
    </row>
    <row r="7742" spans="1:4" x14ac:dyDescent="0.55000000000000004">
      <c r="A7742">
        <f t="shared" si="242"/>
        <v>1994</v>
      </c>
      <c r="B7742" s="821">
        <v>34389</v>
      </c>
      <c r="C7742">
        <v>6.75</v>
      </c>
      <c r="D7742">
        <f t="shared" si="243"/>
        <v>1</v>
      </c>
    </row>
    <row r="7743" spans="1:4" x14ac:dyDescent="0.55000000000000004">
      <c r="A7743">
        <f t="shared" si="242"/>
        <v>1994</v>
      </c>
      <c r="B7743" s="821">
        <v>34388</v>
      </c>
      <c r="C7743">
        <v>6.65</v>
      </c>
      <c r="D7743">
        <f t="shared" si="243"/>
        <v>1</v>
      </c>
    </row>
    <row r="7744" spans="1:4" x14ac:dyDescent="0.55000000000000004">
      <c r="A7744">
        <f t="shared" si="242"/>
        <v>1994</v>
      </c>
      <c r="B7744" s="821">
        <v>34387</v>
      </c>
      <c r="C7744">
        <v>6.6</v>
      </c>
      <c r="D7744">
        <f t="shared" si="243"/>
        <v>1</v>
      </c>
    </row>
    <row r="7745" spans="1:4" x14ac:dyDescent="0.55000000000000004">
      <c r="A7745">
        <f t="shared" si="242"/>
        <v>1994</v>
      </c>
      <c r="B7745" s="821">
        <v>34383</v>
      </c>
      <c r="C7745">
        <v>6.63</v>
      </c>
      <c r="D7745">
        <f t="shared" si="243"/>
        <v>1</v>
      </c>
    </row>
    <row r="7746" spans="1:4" x14ac:dyDescent="0.55000000000000004">
      <c r="A7746">
        <f t="shared" si="242"/>
        <v>1994</v>
      </c>
      <c r="B7746" s="821">
        <v>34382</v>
      </c>
      <c r="C7746">
        <v>6.54</v>
      </c>
      <c r="D7746">
        <f t="shared" si="243"/>
        <v>1</v>
      </c>
    </row>
    <row r="7747" spans="1:4" x14ac:dyDescent="0.55000000000000004">
      <c r="A7747">
        <f t="shared" si="242"/>
        <v>1994</v>
      </c>
      <c r="B7747" s="821">
        <v>34381</v>
      </c>
      <c r="C7747">
        <v>6.46</v>
      </c>
      <c r="D7747">
        <f t="shared" si="243"/>
        <v>1</v>
      </c>
    </row>
    <row r="7748" spans="1:4" x14ac:dyDescent="0.55000000000000004">
      <c r="A7748">
        <f t="shared" ref="A7748:A7811" si="244">YEAR(B7748)</f>
        <v>1994</v>
      </c>
      <c r="B7748" s="821">
        <v>34380</v>
      </c>
      <c r="C7748">
        <v>6.45</v>
      </c>
      <c r="D7748">
        <f t="shared" ref="D7748:D7811" si="245">IF(C7748&gt;4,1,0)</f>
        <v>1</v>
      </c>
    </row>
    <row r="7749" spans="1:4" x14ac:dyDescent="0.55000000000000004">
      <c r="A7749">
        <f t="shared" si="244"/>
        <v>1994</v>
      </c>
      <c r="B7749" s="821">
        <v>34379</v>
      </c>
      <c r="C7749">
        <v>6.45</v>
      </c>
      <c r="D7749">
        <f t="shared" si="245"/>
        <v>1</v>
      </c>
    </row>
    <row r="7750" spans="1:4" x14ac:dyDescent="0.55000000000000004">
      <c r="A7750">
        <f t="shared" si="244"/>
        <v>1994</v>
      </c>
      <c r="B7750" s="821">
        <v>34376</v>
      </c>
      <c r="C7750">
        <v>6.41</v>
      </c>
      <c r="D7750">
        <f t="shared" si="245"/>
        <v>1</v>
      </c>
    </row>
    <row r="7751" spans="1:4" x14ac:dyDescent="0.55000000000000004">
      <c r="A7751">
        <f t="shared" si="244"/>
        <v>1994</v>
      </c>
      <c r="B7751" s="821">
        <v>34375</v>
      </c>
      <c r="C7751">
        <v>6.45</v>
      </c>
      <c r="D7751">
        <f t="shared" si="245"/>
        <v>1</v>
      </c>
    </row>
    <row r="7752" spans="1:4" x14ac:dyDescent="0.55000000000000004">
      <c r="A7752">
        <f t="shared" si="244"/>
        <v>1994</v>
      </c>
      <c r="B7752" s="821">
        <v>34374</v>
      </c>
      <c r="C7752">
        <v>6.43</v>
      </c>
      <c r="D7752">
        <f t="shared" si="245"/>
        <v>1</v>
      </c>
    </row>
    <row r="7753" spans="1:4" x14ac:dyDescent="0.55000000000000004">
      <c r="A7753">
        <f t="shared" si="244"/>
        <v>1994</v>
      </c>
      <c r="B7753" s="821">
        <v>34373</v>
      </c>
      <c r="C7753">
        <v>6.44</v>
      </c>
      <c r="D7753">
        <f t="shared" si="245"/>
        <v>1</v>
      </c>
    </row>
    <row r="7754" spans="1:4" x14ac:dyDescent="0.55000000000000004">
      <c r="A7754">
        <f t="shared" si="244"/>
        <v>1994</v>
      </c>
      <c r="B7754" s="821">
        <v>34372</v>
      </c>
      <c r="C7754">
        <v>6.38</v>
      </c>
      <c r="D7754">
        <f t="shared" si="245"/>
        <v>1</v>
      </c>
    </row>
    <row r="7755" spans="1:4" x14ac:dyDescent="0.55000000000000004">
      <c r="A7755">
        <f t="shared" si="244"/>
        <v>1994</v>
      </c>
      <c r="B7755" s="821">
        <v>34369</v>
      </c>
      <c r="C7755">
        <v>6.37</v>
      </c>
      <c r="D7755">
        <f t="shared" si="245"/>
        <v>1</v>
      </c>
    </row>
    <row r="7756" spans="1:4" x14ac:dyDescent="0.55000000000000004">
      <c r="A7756">
        <f t="shared" si="244"/>
        <v>1994</v>
      </c>
      <c r="B7756" s="821">
        <v>34368</v>
      </c>
      <c r="C7756">
        <v>6.31</v>
      </c>
      <c r="D7756">
        <f t="shared" si="245"/>
        <v>1</v>
      </c>
    </row>
    <row r="7757" spans="1:4" x14ac:dyDescent="0.55000000000000004">
      <c r="A7757">
        <f t="shared" si="244"/>
        <v>1994</v>
      </c>
      <c r="B7757" s="821">
        <v>34367</v>
      </c>
      <c r="C7757">
        <v>6.29</v>
      </c>
      <c r="D7757">
        <f t="shared" si="245"/>
        <v>1</v>
      </c>
    </row>
    <row r="7758" spans="1:4" x14ac:dyDescent="0.55000000000000004">
      <c r="A7758">
        <f t="shared" si="244"/>
        <v>1994</v>
      </c>
      <c r="B7758" s="821">
        <v>34366</v>
      </c>
      <c r="C7758">
        <v>6.31</v>
      </c>
      <c r="D7758">
        <f t="shared" si="245"/>
        <v>1</v>
      </c>
    </row>
    <row r="7759" spans="1:4" x14ac:dyDescent="0.55000000000000004">
      <c r="A7759">
        <f t="shared" si="244"/>
        <v>1994</v>
      </c>
      <c r="B7759" s="821">
        <v>34365</v>
      </c>
      <c r="C7759">
        <v>6.23</v>
      </c>
      <c r="D7759">
        <f t="shared" si="245"/>
        <v>1</v>
      </c>
    </row>
    <row r="7760" spans="1:4" x14ac:dyDescent="0.55000000000000004">
      <c r="A7760">
        <f t="shared" si="244"/>
        <v>1994</v>
      </c>
      <c r="B7760" s="821">
        <v>34362</v>
      </c>
      <c r="C7760">
        <v>6.21</v>
      </c>
      <c r="D7760">
        <f t="shared" si="245"/>
        <v>1</v>
      </c>
    </row>
    <row r="7761" spans="1:4" x14ac:dyDescent="0.55000000000000004">
      <c r="A7761">
        <f t="shared" si="244"/>
        <v>1994</v>
      </c>
      <c r="B7761" s="821">
        <v>34361</v>
      </c>
      <c r="C7761">
        <v>6.27</v>
      </c>
      <c r="D7761">
        <f t="shared" si="245"/>
        <v>1</v>
      </c>
    </row>
    <row r="7762" spans="1:4" x14ac:dyDescent="0.55000000000000004">
      <c r="A7762">
        <f t="shared" si="244"/>
        <v>1994</v>
      </c>
      <c r="B7762" s="821">
        <v>34360</v>
      </c>
      <c r="C7762">
        <v>6.33</v>
      </c>
      <c r="D7762">
        <f t="shared" si="245"/>
        <v>1</v>
      </c>
    </row>
    <row r="7763" spans="1:4" x14ac:dyDescent="0.55000000000000004">
      <c r="A7763">
        <f t="shared" si="244"/>
        <v>1994</v>
      </c>
      <c r="B7763" s="821">
        <v>34359</v>
      </c>
      <c r="C7763">
        <v>6.34</v>
      </c>
      <c r="D7763">
        <f t="shared" si="245"/>
        <v>1</v>
      </c>
    </row>
    <row r="7764" spans="1:4" x14ac:dyDescent="0.55000000000000004">
      <c r="A7764">
        <f t="shared" si="244"/>
        <v>1994</v>
      </c>
      <c r="B7764" s="821">
        <v>34358</v>
      </c>
      <c r="C7764">
        <v>6.3</v>
      </c>
      <c r="D7764">
        <f t="shared" si="245"/>
        <v>1</v>
      </c>
    </row>
    <row r="7765" spans="1:4" x14ac:dyDescent="0.55000000000000004">
      <c r="A7765">
        <f t="shared" si="244"/>
        <v>1994</v>
      </c>
      <c r="B7765" s="821">
        <v>34355</v>
      </c>
      <c r="C7765">
        <v>6.29</v>
      </c>
      <c r="D7765">
        <f t="shared" si="245"/>
        <v>1</v>
      </c>
    </row>
    <row r="7766" spans="1:4" x14ac:dyDescent="0.55000000000000004">
      <c r="A7766">
        <f t="shared" si="244"/>
        <v>1994</v>
      </c>
      <c r="B7766" s="821">
        <v>34354</v>
      </c>
      <c r="C7766">
        <v>6.27</v>
      </c>
      <c r="D7766">
        <f t="shared" si="245"/>
        <v>1</v>
      </c>
    </row>
    <row r="7767" spans="1:4" x14ac:dyDescent="0.55000000000000004">
      <c r="A7767">
        <f t="shared" si="244"/>
        <v>1994</v>
      </c>
      <c r="B7767" s="821">
        <v>34353</v>
      </c>
      <c r="C7767">
        <v>6.3</v>
      </c>
      <c r="D7767">
        <f t="shared" si="245"/>
        <v>1</v>
      </c>
    </row>
    <row r="7768" spans="1:4" x14ac:dyDescent="0.55000000000000004">
      <c r="A7768">
        <f t="shared" si="244"/>
        <v>1994</v>
      </c>
      <c r="B7768" s="821">
        <v>34352</v>
      </c>
      <c r="C7768">
        <v>6.28</v>
      </c>
      <c r="D7768">
        <f t="shared" si="245"/>
        <v>1</v>
      </c>
    </row>
    <row r="7769" spans="1:4" x14ac:dyDescent="0.55000000000000004">
      <c r="A7769">
        <f t="shared" si="244"/>
        <v>1994</v>
      </c>
      <c r="B7769" s="821">
        <v>34348</v>
      </c>
      <c r="C7769">
        <v>6.3</v>
      </c>
      <c r="D7769">
        <f t="shared" si="245"/>
        <v>1</v>
      </c>
    </row>
    <row r="7770" spans="1:4" x14ac:dyDescent="0.55000000000000004">
      <c r="A7770">
        <f t="shared" si="244"/>
        <v>1994</v>
      </c>
      <c r="B7770" s="821">
        <v>34347</v>
      </c>
      <c r="C7770">
        <v>6.26</v>
      </c>
      <c r="D7770">
        <f t="shared" si="245"/>
        <v>1</v>
      </c>
    </row>
    <row r="7771" spans="1:4" x14ac:dyDescent="0.55000000000000004">
      <c r="A7771">
        <f t="shared" si="244"/>
        <v>1994</v>
      </c>
      <c r="B7771" s="821">
        <v>34346</v>
      </c>
      <c r="C7771">
        <v>6.17</v>
      </c>
      <c r="D7771">
        <f t="shared" si="245"/>
        <v>1</v>
      </c>
    </row>
    <row r="7772" spans="1:4" x14ac:dyDescent="0.55000000000000004">
      <c r="A7772">
        <f t="shared" si="244"/>
        <v>1994</v>
      </c>
      <c r="B7772" s="821">
        <v>34345</v>
      </c>
      <c r="C7772">
        <v>6.25</v>
      </c>
      <c r="D7772">
        <f t="shared" si="245"/>
        <v>1</v>
      </c>
    </row>
    <row r="7773" spans="1:4" x14ac:dyDescent="0.55000000000000004">
      <c r="A7773">
        <f t="shared" si="244"/>
        <v>1994</v>
      </c>
      <c r="B7773" s="821">
        <v>34344</v>
      </c>
      <c r="C7773">
        <v>6.24</v>
      </c>
      <c r="D7773">
        <f t="shared" si="245"/>
        <v>1</v>
      </c>
    </row>
    <row r="7774" spans="1:4" x14ac:dyDescent="0.55000000000000004">
      <c r="A7774">
        <f t="shared" si="244"/>
        <v>1994</v>
      </c>
      <c r="B7774" s="821">
        <v>34341</v>
      </c>
      <c r="C7774">
        <v>6.24</v>
      </c>
      <c r="D7774">
        <f t="shared" si="245"/>
        <v>1</v>
      </c>
    </row>
    <row r="7775" spans="1:4" x14ac:dyDescent="0.55000000000000004">
      <c r="A7775">
        <f t="shared" si="244"/>
        <v>1994</v>
      </c>
      <c r="B7775" s="821">
        <v>34340</v>
      </c>
      <c r="C7775">
        <v>6.36</v>
      </c>
      <c r="D7775">
        <f t="shared" si="245"/>
        <v>1</v>
      </c>
    </row>
    <row r="7776" spans="1:4" x14ac:dyDescent="0.55000000000000004">
      <c r="A7776">
        <f t="shared" si="244"/>
        <v>1994</v>
      </c>
      <c r="B7776" s="821">
        <v>34339</v>
      </c>
      <c r="C7776">
        <v>6.4</v>
      </c>
      <c r="D7776">
        <f t="shared" si="245"/>
        <v>1</v>
      </c>
    </row>
    <row r="7777" spans="1:4" x14ac:dyDescent="0.55000000000000004">
      <c r="A7777">
        <f t="shared" si="244"/>
        <v>1994</v>
      </c>
      <c r="B7777" s="821">
        <v>34338</v>
      </c>
      <c r="C7777">
        <v>6.37</v>
      </c>
      <c r="D7777">
        <f t="shared" si="245"/>
        <v>1</v>
      </c>
    </row>
    <row r="7778" spans="1:4" x14ac:dyDescent="0.55000000000000004">
      <c r="A7778">
        <f t="shared" si="244"/>
        <v>1994</v>
      </c>
      <c r="B7778" s="821">
        <v>34337</v>
      </c>
      <c r="C7778">
        <v>6.41</v>
      </c>
      <c r="D7778">
        <f t="shared" si="245"/>
        <v>1</v>
      </c>
    </row>
    <row r="7779" spans="1:4" x14ac:dyDescent="0.55000000000000004">
      <c r="A7779">
        <f t="shared" si="244"/>
        <v>1993</v>
      </c>
      <c r="B7779" s="821">
        <v>34334</v>
      </c>
      <c r="C7779">
        <v>6.35</v>
      </c>
      <c r="D7779">
        <f t="shared" si="245"/>
        <v>1</v>
      </c>
    </row>
    <row r="7780" spans="1:4" x14ac:dyDescent="0.55000000000000004">
      <c r="A7780">
        <f t="shared" si="244"/>
        <v>1993</v>
      </c>
      <c r="B7780" s="821">
        <v>34333</v>
      </c>
      <c r="C7780">
        <v>6.34</v>
      </c>
      <c r="D7780">
        <f t="shared" si="245"/>
        <v>1</v>
      </c>
    </row>
    <row r="7781" spans="1:4" x14ac:dyDescent="0.55000000000000004">
      <c r="A7781">
        <f t="shared" si="244"/>
        <v>1993</v>
      </c>
      <c r="B7781" s="821">
        <v>34332</v>
      </c>
      <c r="C7781">
        <v>6.25</v>
      </c>
      <c r="D7781">
        <f t="shared" si="245"/>
        <v>1</v>
      </c>
    </row>
    <row r="7782" spans="1:4" x14ac:dyDescent="0.55000000000000004">
      <c r="A7782">
        <f t="shared" si="244"/>
        <v>1993</v>
      </c>
      <c r="B7782" s="821">
        <v>34331</v>
      </c>
      <c r="C7782">
        <v>6.24</v>
      </c>
      <c r="D7782">
        <f t="shared" si="245"/>
        <v>1</v>
      </c>
    </row>
    <row r="7783" spans="1:4" x14ac:dyDescent="0.55000000000000004">
      <c r="A7783">
        <f t="shared" si="244"/>
        <v>1993</v>
      </c>
      <c r="B7783" s="821">
        <v>34330</v>
      </c>
      <c r="C7783">
        <v>6.23</v>
      </c>
      <c r="D7783">
        <f t="shared" si="245"/>
        <v>1</v>
      </c>
    </row>
    <row r="7784" spans="1:4" x14ac:dyDescent="0.55000000000000004">
      <c r="A7784">
        <f t="shared" si="244"/>
        <v>1993</v>
      </c>
      <c r="B7784" s="821">
        <v>34326</v>
      </c>
      <c r="C7784">
        <v>6.22</v>
      </c>
      <c r="D7784">
        <f t="shared" si="245"/>
        <v>1</v>
      </c>
    </row>
    <row r="7785" spans="1:4" x14ac:dyDescent="0.55000000000000004">
      <c r="A7785">
        <f t="shared" si="244"/>
        <v>1993</v>
      </c>
      <c r="B7785" s="821">
        <v>34325</v>
      </c>
      <c r="C7785">
        <v>6.22</v>
      </c>
      <c r="D7785">
        <f t="shared" si="245"/>
        <v>1</v>
      </c>
    </row>
    <row r="7786" spans="1:4" x14ac:dyDescent="0.55000000000000004">
      <c r="A7786">
        <f t="shared" si="244"/>
        <v>1993</v>
      </c>
      <c r="B7786" s="821">
        <v>34324</v>
      </c>
      <c r="C7786">
        <v>6.32</v>
      </c>
      <c r="D7786">
        <f t="shared" si="245"/>
        <v>1</v>
      </c>
    </row>
    <row r="7787" spans="1:4" x14ac:dyDescent="0.55000000000000004">
      <c r="A7787">
        <f t="shared" si="244"/>
        <v>1993</v>
      </c>
      <c r="B7787" s="821">
        <v>34323</v>
      </c>
      <c r="C7787">
        <v>6.3</v>
      </c>
      <c r="D7787">
        <f t="shared" si="245"/>
        <v>1</v>
      </c>
    </row>
    <row r="7788" spans="1:4" x14ac:dyDescent="0.55000000000000004">
      <c r="A7788">
        <f t="shared" si="244"/>
        <v>1993</v>
      </c>
      <c r="B7788" s="821">
        <v>34320</v>
      </c>
      <c r="C7788">
        <v>6.29</v>
      </c>
      <c r="D7788">
        <f t="shared" si="245"/>
        <v>1</v>
      </c>
    </row>
    <row r="7789" spans="1:4" x14ac:dyDescent="0.55000000000000004">
      <c r="A7789">
        <f t="shared" si="244"/>
        <v>1993</v>
      </c>
      <c r="B7789" s="821">
        <v>34319</v>
      </c>
      <c r="C7789">
        <v>6.31</v>
      </c>
      <c r="D7789">
        <f t="shared" si="245"/>
        <v>1</v>
      </c>
    </row>
    <row r="7790" spans="1:4" x14ac:dyDescent="0.55000000000000004">
      <c r="A7790">
        <f t="shared" si="244"/>
        <v>1993</v>
      </c>
      <c r="B7790" s="821">
        <v>34318</v>
      </c>
      <c r="C7790">
        <v>6.29</v>
      </c>
      <c r="D7790">
        <f t="shared" si="245"/>
        <v>1</v>
      </c>
    </row>
    <row r="7791" spans="1:4" x14ac:dyDescent="0.55000000000000004">
      <c r="A7791">
        <f t="shared" si="244"/>
        <v>1993</v>
      </c>
      <c r="B7791" s="821">
        <v>34317</v>
      </c>
      <c r="C7791">
        <v>6.29</v>
      </c>
      <c r="D7791">
        <f t="shared" si="245"/>
        <v>1</v>
      </c>
    </row>
    <row r="7792" spans="1:4" x14ac:dyDescent="0.55000000000000004">
      <c r="A7792">
        <f t="shared" si="244"/>
        <v>1993</v>
      </c>
      <c r="B7792" s="821">
        <v>34316</v>
      </c>
      <c r="C7792">
        <v>6.24</v>
      </c>
      <c r="D7792">
        <f t="shared" si="245"/>
        <v>1</v>
      </c>
    </row>
    <row r="7793" spans="1:4" x14ac:dyDescent="0.55000000000000004">
      <c r="A7793">
        <f t="shared" si="244"/>
        <v>1993</v>
      </c>
      <c r="B7793" s="821">
        <v>34313</v>
      </c>
      <c r="C7793">
        <v>6.19</v>
      </c>
      <c r="D7793">
        <f t="shared" si="245"/>
        <v>1</v>
      </c>
    </row>
    <row r="7794" spans="1:4" x14ac:dyDescent="0.55000000000000004">
      <c r="A7794">
        <f t="shared" si="244"/>
        <v>1993</v>
      </c>
      <c r="B7794" s="821">
        <v>34312</v>
      </c>
      <c r="C7794">
        <v>6.15</v>
      </c>
      <c r="D7794">
        <f t="shared" si="245"/>
        <v>1</v>
      </c>
    </row>
    <row r="7795" spans="1:4" x14ac:dyDescent="0.55000000000000004">
      <c r="A7795">
        <f t="shared" si="244"/>
        <v>1993</v>
      </c>
      <c r="B7795" s="821">
        <v>34311</v>
      </c>
      <c r="C7795">
        <v>6.17</v>
      </c>
      <c r="D7795">
        <f t="shared" si="245"/>
        <v>1</v>
      </c>
    </row>
    <row r="7796" spans="1:4" x14ac:dyDescent="0.55000000000000004">
      <c r="A7796">
        <f t="shared" si="244"/>
        <v>1993</v>
      </c>
      <c r="B7796" s="821">
        <v>34310</v>
      </c>
      <c r="C7796">
        <v>6.17</v>
      </c>
      <c r="D7796">
        <f t="shared" si="245"/>
        <v>1</v>
      </c>
    </row>
    <row r="7797" spans="1:4" x14ac:dyDescent="0.55000000000000004">
      <c r="A7797">
        <f t="shared" si="244"/>
        <v>1993</v>
      </c>
      <c r="B7797" s="821">
        <v>34309</v>
      </c>
      <c r="C7797">
        <v>6.17</v>
      </c>
      <c r="D7797">
        <f t="shared" si="245"/>
        <v>1</v>
      </c>
    </row>
    <row r="7798" spans="1:4" x14ac:dyDescent="0.55000000000000004">
      <c r="A7798">
        <f t="shared" si="244"/>
        <v>1993</v>
      </c>
      <c r="B7798" s="821">
        <v>34306</v>
      </c>
      <c r="C7798">
        <v>6.25</v>
      </c>
      <c r="D7798">
        <f t="shared" si="245"/>
        <v>1</v>
      </c>
    </row>
    <row r="7799" spans="1:4" x14ac:dyDescent="0.55000000000000004">
      <c r="A7799">
        <f t="shared" si="244"/>
        <v>1993</v>
      </c>
      <c r="B7799" s="821">
        <v>34305</v>
      </c>
      <c r="C7799">
        <v>6.27</v>
      </c>
      <c r="D7799">
        <f t="shared" si="245"/>
        <v>1</v>
      </c>
    </row>
    <row r="7800" spans="1:4" x14ac:dyDescent="0.55000000000000004">
      <c r="A7800">
        <f t="shared" si="244"/>
        <v>1993</v>
      </c>
      <c r="B7800" s="821">
        <v>34304</v>
      </c>
      <c r="C7800">
        <v>6.28</v>
      </c>
      <c r="D7800">
        <f t="shared" si="245"/>
        <v>1</v>
      </c>
    </row>
    <row r="7801" spans="1:4" x14ac:dyDescent="0.55000000000000004">
      <c r="A7801">
        <f t="shared" si="244"/>
        <v>1993</v>
      </c>
      <c r="B7801" s="821">
        <v>34303</v>
      </c>
      <c r="C7801">
        <v>6.29</v>
      </c>
      <c r="D7801">
        <f t="shared" si="245"/>
        <v>1</v>
      </c>
    </row>
    <row r="7802" spans="1:4" x14ac:dyDescent="0.55000000000000004">
      <c r="A7802">
        <f t="shared" si="244"/>
        <v>1993</v>
      </c>
      <c r="B7802" s="821">
        <v>34302</v>
      </c>
      <c r="C7802">
        <v>6.23</v>
      </c>
      <c r="D7802">
        <f t="shared" si="245"/>
        <v>1</v>
      </c>
    </row>
    <row r="7803" spans="1:4" x14ac:dyDescent="0.55000000000000004">
      <c r="A7803">
        <f t="shared" si="244"/>
        <v>1993</v>
      </c>
      <c r="B7803" s="821">
        <v>34299</v>
      </c>
      <c r="C7803">
        <v>6.26</v>
      </c>
      <c r="D7803">
        <f t="shared" si="245"/>
        <v>1</v>
      </c>
    </row>
    <row r="7804" spans="1:4" x14ac:dyDescent="0.55000000000000004">
      <c r="A7804">
        <f t="shared" si="244"/>
        <v>1993</v>
      </c>
      <c r="B7804" s="821">
        <v>34297</v>
      </c>
      <c r="C7804">
        <v>6.31</v>
      </c>
      <c r="D7804">
        <f t="shared" si="245"/>
        <v>1</v>
      </c>
    </row>
    <row r="7805" spans="1:4" x14ac:dyDescent="0.55000000000000004">
      <c r="A7805">
        <f t="shared" si="244"/>
        <v>1993</v>
      </c>
      <c r="B7805" s="821">
        <v>34296</v>
      </c>
      <c r="C7805">
        <v>6.3</v>
      </c>
      <c r="D7805">
        <f t="shared" si="245"/>
        <v>1</v>
      </c>
    </row>
    <row r="7806" spans="1:4" x14ac:dyDescent="0.55000000000000004">
      <c r="A7806">
        <f t="shared" si="244"/>
        <v>1993</v>
      </c>
      <c r="B7806" s="821">
        <v>34295</v>
      </c>
      <c r="C7806">
        <v>6.36</v>
      </c>
      <c r="D7806">
        <f t="shared" si="245"/>
        <v>1</v>
      </c>
    </row>
    <row r="7807" spans="1:4" x14ac:dyDescent="0.55000000000000004">
      <c r="A7807">
        <f t="shared" si="244"/>
        <v>1993</v>
      </c>
      <c r="B7807" s="821">
        <v>34292</v>
      </c>
      <c r="C7807">
        <v>6.34</v>
      </c>
      <c r="D7807">
        <f t="shared" si="245"/>
        <v>1</v>
      </c>
    </row>
    <row r="7808" spans="1:4" x14ac:dyDescent="0.55000000000000004">
      <c r="A7808">
        <f t="shared" si="244"/>
        <v>1993</v>
      </c>
      <c r="B7808" s="821">
        <v>34291</v>
      </c>
      <c r="C7808">
        <v>6.23</v>
      </c>
      <c r="D7808">
        <f t="shared" si="245"/>
        <v>1</v>
      </c>
    </row>
    <row r="7809" spans="1:4" x14ac:dyDescent="0.55000000000000004">
      <c r="A7809">
        <f t="shared" si="244"/>
        <v>1993</v>
      </c>
      <c r="B7809" s="821">
        <v>34290</v>
      </c>
      <c r="C7809">
        <v>6.19</v>
      </c>
      <c r="D7809">
        <f t="shared" si="245"/>
        <v>1</v>
      </c>
    </row>
    <row r="7810" spans="1:4" x14ac:dyDescent="0.55000000000000004">
      <c r="A7810">
        <f t="shared" si="244"/>
        <v>1993</v>
      </c>
      <c r="B7810" s="821">
        <v>34289</v>
      </c>
      <c r="C7810">
        <v>6.17</v>
      </c>
      <c r="D7810">
        <f t="shared" si="245"/>
        <v>1</v>
      </c>
    </row>
    <row r="7811" spans="1:4" x14ac:dyDescent="0.55000000000000004">
      <c r="A7811">
        <f t="shared" si="244"/>
        <v>1993</v>
      </c>
      <c r="B7811" s="821">
        <v>34288</v>
      </c>
      <c r="C7811">
        <v>6.17</v>
      </c>
      <c r="D7811">
        <f t="shared" si="245"/>
        <v>1</v>
      </c>
    </row>
    <row r="7812" spans="1:4" x14ac:dyDescent="0.55000000000000004">
      <c r="A7812">
        <f t="shared" ref="A7812:A7875" si="246">YEAR(B7812)</f>
        <v>1993</v>
      </c>
      <c r="B7812" s="821">
        <v>34285</v>
      </c>
      <c r="C7812">
        <v>6.15</v>
      </c>
      <c r="D7812">
        <f t="shared" ref="D7812:D7875" si="247">IF(C7812&gt;4,1,0)</f>
        <v>1</v>
      </c>
    </row>
    <row r="7813" spans="1:4" x14ac:dyDescent="0.55000000000000004">
      <c r="A7813">
        <f t="shared" si="246"/>
        <v>1993</v>
      </c>
      <c r="B7813" s="821">
        <v>34283</v>
      </c>
      <c r="C7813">
        <v>6.21</v>
      </c>
      <c r="D7813">
        <f t="shared" si="247"/>
        <v>1</v>
      </c>
    </row>
    <row r="7814" spans="1:4" x14ac:dyDescent="0.55000000000000004">
      <c r="A7814">
        <f t="shared" si="246"/>
        <v>1993</v>
      </c>
      <c r="B7814" s="821">
        <v>34282</v>
      </c>
      <c r="C7814">
        <v>6.16</v>
      </c>
      <c r="D7814">
        <f t="shared" si="247"/>
        <v>1</v>
      </c>
    </row>
    <row r="7815" spans="1:4" x14ac:dyDescent="0.55000000000000004">
      <c r="A7815">
        <f t="shared" si="246"/>
        <v>1993</v>
      </c>
      <c r="B7815" s="821">
        <v>34281</v>
      </c>
      <c r="C7815">
        <v>6.22</v>
      </c>
      <c r="D7815">
        <f t="shared" si="247"/>
        <v>1</v>
      </c>
    </row>
    <row r="7816" spans="1:4" x14ac:dyDescent="0.55000000000000004">
      <c r="A7816">
        <f t="shared" si="246"/>
        <v>1993</v>
      </c>
      <c r="B7816" s="821">
        <v>34278</v>
      </c>
      <c r="C7816">
        <v>6.22</v>
      </c>
      <c r="D7816">
        <f t="shared" si="247"/>
        <v>1</v>
      </c>
    </row>
    <row r="7817" spans="1:4" x14ac:dyDescent="0.55000000000000004">
      <c r="A7817">
        <f t="shared" si="246"/>
        <v>1993</v>
      </c>
      <c r="B7817" s="821">
        <v>34277</v>
      </c>
      <c r="C7817">
        <v>6.19</v>
      </c>
      <c r="D7817">
        <f t="shared" si="247"/>
        <v>1</v>
      </c>
    </row>
    <row r="7818" spans="1:4" x14ac:dyDescent="0.55000000000000004">
      <c r="A7818">
        <f t="shared" si="246"/>
        <v>1993</v>
      </c>
      <c r="B7818" s="821">
        <v>34276</v>
      </c>
      <c r="C7818">
        <v>6.11</v>
      </c>
      <c r="D7818">
        <f t="shared" si="247"/>
        <v>1</v>
      </c>
    </row>
    <row r="7819" spans="1:4" x14ac:dyDescent="0.55000000000000004">
      <c r="A7819">
        <f t="shared" si="246"/>
        <v>1993</v>
      </c>
      <c r="B7819" s="821">
        <v>34275</v>
      </c>
      <c r="C7819">
        <v>6.07</v>
      </c>
      <c r="D7819">
        <f t="shared" si="247"/>
        <v>1</v>
      </c>
    </row>
    <row r="7820" spans="1:4" x14ac:dyDescent="0.55000000000000004">
      <c r="A7820">
        <f t="shared" si="246"/>
        <v>1993</v>
      </c>
      <c r="B7820" s="821">
        <v>34274</v>
      </c>
      <c r="C7820">
        <v>6.02</v>
      </c>
      <c r="D7820">
        <f t="shared" si="247"/>
        <v>1</v>
      </c>
    </row>
    <row r="7821" spans="1:4" x14ac:dyDescent="0.55000000000000004">
      <c r="A7821">
        <f t="shared" si="246"/>
        <v>1993</v>
      </c>
      <c r="B7821" s="821">
        <v>34271</v>
      </c>
      <c r="C7821">
        <v>5.96</v>
      </c>
      <c r="D7821">
        <f t="shared" si="247"/>
        <v>1</v>
      </c>
    </row>
    <row r="7822" spans="1:4" x14ac:dyDescent="0.55000000000000004">
      <c r="A7822">
        <f t="shared" si="246"/>
        <v>1993</v>
      </c>
      <c r="B7822" s="821">
        <v>34270</v>
      </c>
      <c r="C7822">
        <v>5.97</v>
      </c>
      <c r="D7822">
        <f t="shared" si="247"/>
        <v>1</v>
      </c>
    </row>
    <row r="7823" spans="1:4" x14ac:dyDescent="0.55000000000000004">
      <c r="A7823">
        <f t="shared" si="246"/>
        <v>1993</v>
      </c>
      <c r="B7823" s="821">
        <v>34269</v>
      </c>
      <c r="C7823">
        <v>6</v>
      </c>
      <c r="D7823">
        <f t="shared" si="247"/>
        <v>1</v>
      </c>
    </row>
    <row r="7824" spans="1:4" x14ac:dyDescent="0.55000000000000004">
      <c r="A7824">
        <f t="shared" si="246"/>
        <v>1993</v>
      </c>
      <c r="B7824" s="821">
        <v>34268</v>
      </c>
      <c r="C7824">
        <v>6</v>
      </c>
      <c r="D7824">
        <f t="shared" si="247"/>
        <v>1</v>
      </c>
    </row>
    <row r="7825" spans="1:4" x14ac:dyDescent="0.55000000000000004">
      <c r="A7825">
        <f t="shared" si="246"/>
        <v>1993</v>
      </c>
      <c r="B7825" s="821">
        <v>34267</v>
      </c>
      <c r="C7825">
        <v>6.02</v>
      </c>
      <c r="D7825">
        <f t="shared" si="247"/>
        <v>1</v>
      </c>
    </row>
    <row r="7826" spans="1:4" x14ac:dyDescent="0.55000000000000004">
      <c r="A7826">
        <f t="shared" si="246"/>
        <v>1993</v>
      </c>
      <c r="B7826" s="821">
        <v>34264</v>
      </c>
      <c r="C7826">
        <v>5.98</v>
      </c>
      <c r="D7826">
        <f t="shared" si="247"/>
        <v>1</v>
      </c>
    </row>
    <row r="7827" spans="1:4" x14ac:dyDescent="0.55000000000000004">
      <c r="A7827">
        <f t="shared" si="246"/>
        <v>1993</v>
      </c>
      <c r="B7827" s="821">
        <v>34263</v>
      </c>
      <c r="C7827">
        <v>5.92</v>
      </c>
      <c r="D7827">
        <f t="shared" si="247"/>
        <v>1</v>
      </c>
    </row>
    <row r="7828" spans="1:4" x14ac:dyDescent="0.55000000000000004">
      <c r="A7828">
        <f t="shared" si="246"/>
        <v>1993</v>
      </c>
      <c r="B7828" s="821">
        <v>34262</v>
      </c>
      <c r="C7828">
        <v>5.83</v>
      </c>
      <c r="D7828">
        <f t="shared" si="247"/>
        <v>1</v>
      </c>
    </row>
    <row r="7829" spans="1:4" x14ac:dyDescent="0.55000000000000004">
      <c r="A7829">
        <f t="shared" si="246"/>
        <v>1993</v>
      </c>
      <c r="B7829" s="821">
        <v>34261</v>
      </c>
      <c r="C7829">
        <v>5.85</v>
      </c>
      <c r="D7829">
        <f t="shared" si="247"/>
        <v>1</v>
      </c>
    </row>
    <row r="7830" spans="1:4" x14ac:dyDescent="0.55000000000000004">
      <c r="A7830">
        <f t="shared" si="246"/>
        <v>1993</v>
      </c>
      <c r="B7830" s="821">
        <v>34260</v>
      </c>
      <c r="C7830">
        <v>5.85</v>
      </c>
      <c r="D7830">
        <f t="shared" si="247"/>
        <v>1</v>
      </c>
    </row>
    <row r="7831" spans="1:4" x14ac:dyDescent="0.55000000000000004">
      <c r="A7831">
        <f t="shared" si="246"/>
        <v>1993</v>
      </c>
      <c r="B7831" s="821">
        <v>34257</v>
      </c>
      <c r="C7831">
        <v>5.78</v>
      </c>
      <c r="D7831">
        <f t="shared" si="247"/>
        <v>1</v>
      </c>
    </row>
    <row r="7832" spans="1:4" x14ac:dyDescent="0.55000000000000004">
      <c r="A7832">
        <f t="shared" si="246"/>
        <v>1993</v>
      </c>
      <c r="B7832" s="821">
        <v>34256</v>
      </c>
      <c r="C7832">
        <v>5.86</v>
      </c>
      <c r="D7832">
        <f t="shared" si="247"/>
        <v>1</v>
      </c>
    </row>
    <row r="7833" spans="1:4" x14ac:dyDescent="0.55000000000000004">
      <c r="A7833">
        <f t="shared" si="246"/>
        <v>1993</v>
      </c>
      <c r="B7833" s="821">
        <v>34255</v>
      </c>
      <c r="C7833">
        <v>5.92</v>
      </c>
      <c r="D7833">
        <f t="shared" si="247"/>
        <v>1</v>
      </c>
    </row>
    <row r="7834" spans="1:4" x14ac:dyDescent="0.55000000000000004">
      <c r="A7834">
        <f t="shared" si="246"/>
        <v>1993</v>
      </c>
      <c r="B7834" s="821">
        <v>34254</v>
      </c>
      <c r="C7834">
        <v>5.92</v>
      </c>
      <c r="D7834">
        <f t="shared" si="247"/>
        <v>1</v>
      </c>
    </row>
    <row r="7835" spans="1:4" x14ac:dyDescent="0.55000000000000004">
      <c r="A7835">
        <f t="shared" si="246"/>
        <v>1993</v>
      </c>
      <c r="B7835" s="821">
        <v>34250</v>
      </c>
      <c r="C7835">
        <v>5.92</v>
      </c>
      <c r="D7835">
        <f t="shared" si="247"/>
        <v>1</v>
      </c>
    </row>
    <row r="7836" spans="1:4" x14ac:dyDescent="0.55000000000000004">
      <c r="A7836">
        <f t="shared" si="246"/>
        <v>1993</v>
      </c>
      <c r="B7836" s="821">
        <v>34249</v>
      </c>
      <c r="C7836">
        <v>6.01</v>
      </c>
      <c r="D7836">
        <f t="shared" si="247"/>
        <v>1</v>
      </c>
    </row>
    <row r="7837" spans="1:4" x14ac:dyDescent="0.55000000000000004">
      <c r="A7837">
        <f t="shared" si="246"/>
        <v>1993</v>
      </c>
      <c r="B7837" s="821">
        <v>34248</v>
      </c>
      <c r="C7837">
        <v>6.01</v>
      </c>
      <c r="D7837">
        <f t="shared" si="247"/>
        <v>1</v>
      </c>
    </row>
    <row r="7838" spans="1:4" x14ac:dyDescent="0.55000000000000004">
      <c r="A7838">
        <f t="shared" si="246"/>
        <v>1993</v>
      </c>
      <c r="B7838" s="821">
        <v>34247</v>
      </c>
      <c r="C7838">
        <v>6.01</v>
      </c>
      <c r="D7838">
        <f t="shared" si="247"/>
        <v>1</v>
      </c>
    </row>
    <row r="7839" spans="1:4" x14ac:dyDescent="0.55000000000000004">
      <c r="A7839">
        <f t="shared" si="246"/>
        <v>1993</v>
      </c>
      <c r="B7839" s="821">
        <v>34246</v>
      </c>
      <c r="C7839">
        <v>5.99</v>
      </c>
      <c r="D7839">
        <f t="shared" si="247"/>
        <v>1</v>
      </c>
    </row>
    <row r="7840" spans="1:4" x14ac:dyDescent="0.55000000000000004">
      <c r="A7840">
        <f t="shared" si="246"/>
        <v>1993</v>
      </c>
      <c r="B7840" s="821">
        <v>34243</v>
      </c>
      <c r="C7840">
        <v>5.98</v>
      </c>
      <c r="D7840">
        <f t="shared" si="247"/>
        <v>1</v>
      </c>
    </row>
    <row r="7841" spans="1:4" x14ac:dyDescent="0.55000000000000004">
      <c r="A7841">
        <f t="shared" si="246"/>
        <v>1993</v>
      </c>
      <c r="B7841" s="821">
        <v>34242</v>
      </c>
      <c r="C7841">
        <v>6.04</v>
      </c>
      <c r="D7841">
        <f t="shared" si="247"/>
        <v>1</v>
      </c>
    </row>
    <row r="7842" spans="1:4" x14ac:dyDescent="0.55000000000000004">
      <c r="A7842">
        <f t="shared" si="246"/>
        <v>1993</v>
      </c>
      <c r="B7842" s="821">
        <v>34241</v>
      </c>
      <c r="C7842">
        <v>6</v>
      </c>
      <c r="D7842">
        <f t="shared" si="247"/>
        <v>1</v>
      </c>
    </row>
    <row r="7843" spans="1:4" x14ac:dyDescent="0.55000000000000004">
      <c r="A7843">
        <f t="shared" si="246"/>
        <v>1993</v>
      </c>
      <c r="B7843" s="821">
        <v>34240</v>
      </c>
      <c r="C7843">
        <v>5.94</v>
      </c>
      <c r="D7843">
        <f t="shared" si="247"/>
        <v>1</v>
      </c>
    </row>
    <row r="7844" spans="1:4" x14ac:dyDescent="0.55000000000000004">
      <c r="A7844">
        <f t="shared" si="246"/>
        <v>1993</v>
      </c>
      <c r="B7844" s="821">
        <v>34239</v>
      </c>
      <c r="C7844">
        <v>5.97</v>
      </c>
      <c r="D7844">
        <f t="shared" si="247"/>
        <v>1</v>
      </c>
    </row>
    <row r="7845" spans="1:4" x14ac:dyDescent="0.55000000000000004">
      <c r="A7845">
        <f t="shared" si="246"/>
        <v>1993</v>
      </c>
      <c r="B7845" s="821">
        <v>34236</v>
      </c>
      <c r="C7845">
        <v>6.06</v>
      </c>
      <c r="D7845">
        <f t="shared" si="247"/>
        <v>1</v>
      </c>
    </row>
    <row r="7846" spans="1:4" x14ac:dyDescent="0.55000000000000004">
      <c r="A7846">
        <f t="shared" si="246"/>
        <v>1993</v>
      </c>
      <c r="B7846" s="821">
        <v>34235</v>
      </c>
      <c r="C7846">
        <v>6.06</v>
      </c>
      <c r="D7846">
        <f t="shared" si="247"/>
        <v>1</v>
      </c>
    </row>
    <row r="7847" spans="1:4" x14ac:dyDescent="0.55000000000000004">
      <c r="A7847">
        <f t="shared" si="246"/>
        <v>1993</v>
      </c>
      <c r="B7847" s="821">
        <v>34234</v>
      </c>
      <c r="C7847">
        <v>6.1</v>
      </c>
      <c r="D7847">
        <f t="shared" si="247"/>
        <v>1</v>
      </c>
    </row>
    <row r="7848" spans="1:4" x14ac:dyDescent="0.55000000000000004">
      <c r="A7848">
        <f t="shared" si="246"/>
        <v>1993</v>
      </c>
      <c r="B7848" s="821">
        <v>34233</v>
      </c>
      <c r="C7848">
        <v>6.14</v>
      </c>
      <c r="D7848">
        <f t="shared" si="247"/>
        <v>1</v>
      </c>
    </row>
    <row r="7849" spans="1:4" x14ac:dyDescent="0.55000000000000004">
      <c r="A7849">
        <f t="shared" si="246"/>
        <v>1993</v>
      </c>
      <c r="B7849" s="821">
        <v>34232</v>
      </c>
      <c r="C7849">
        <v>6.08</v>
      </c>
      <c r="D7849">
        <f t="shared" si="247"/>
        <v>1</v>
      </c>
    </row>
    <row r="7850" spans="1:4" x14ac:dyDescent="0.55000000000000004">
      <c r="A7850">
        <f t="shared" si="246"/>
        <v>1993</v>
      </c>
      <c r="B7850" s="821">
        <v>34229</v>
      </c>
      <c r="C7850">
        <v>6.04</v>
      </c>
      <c r="D7850">
        <f t="shared" si="247"/>
        <v>1</v>
      </c>
    </row>
    <row r="7851" spans="1:4" x14ac:dyDescent="0.55000000000000004">
      <c r="A7851">
        <f t="shared" si="246"/>
        <v>1993</v>
      </c>
      <c r="B7851" s="821">
        <v>34228</v>
      </c>
      <c r="C7851">
        <v>6.01</v>
      </c>
      <c r="D7851">
        <f t="shared" si="247"/>
        <v>1</v>
      </c>
    </row>
    <row r="7852" spans="1:4" x14ac:dyDescent="0.55000000000000004">
      <c r="A7852">
        <f t="shared" si="246"/>
        <v>1993</v>
      </c>
      <c r="B7852" s="821">
        <v>34227</v>
      </c>
      <c r="C7852">
        <v>6</v>
      </c>
      <c r="D7852">
        <f t="shared" si="247"/>
        <v>1</v>
      </c>
    </row>
    <row r="7853" spans="1:4" x14ac:dyDescent="0.55000000000000004">
      <c r="A7853">
        <f t="shared" si="246"/>
        <v>1993</v>
      </c>
      <c r="B7853" s="821">
        <v>34226</v>
      </c>
      <c r="C7853">
        <v>5.97</v>
      </c>
      <c r="D7853">
        <f t="shared" si="247"/>
        <v>1</v>
      </c>
    </row>
    <row r="7854" spans="1:4" x14ac:dyDescent="0.55000000000000004">
      <c r="A7854">
        <f t="shared" si="246"/>
        <v>1993</v>
      </c>
      <c r="B7854" s="821">
        <v>34225</v>
      </c>
      <c r="C7854">
        <v>5.86</v>
      </c>
      <c r="D7854">
        <f t="shared" si="247"/>
        <v>1</v>
      </c>
    </row>
    <row r="7855" spans="1:4" x14ac:dyDescent="0.55000000000000004">
      <c r="A7855">
        <f t="shared" si="246"/>
        <v>1993</v>
      </c>
      <c r="B7855" s="821">
        <v>34222</v>
      </c>
      <c r="C7855">
        <v>5.89</v>
      </c>
      <c r="D7855">
        <f t="shared" si="247"/>
        <v>1</v>
      </c>
    </row>
    <row r="7856" spans="1:4" x14ac:dyDescent="0.55000000000000004">
      <c r="A7856">
        <f t="shared" si="246"/>
        <v>1993</v>
      </c>
      <c r="B7856" s="821">
        <v>34221</v>
      </c>
      <c r="C7856">
        <v>5.96</v>
      </c>
      <c r="D7856">
        <f t="shared" si="247"/>
        <v>1</v>
      </c>
    </row>
    <row r="7857" spans="1:4" x14ac:dyDescent="0.55000000000000004">
      <c r="A7857">
        <f t="shared" si="246"/>
        <v>1993</v>
      </c>
      <c r="B7857" s="821">
        <v>34220</v>
      </c>
      <c r="C7857">
        <v>5.86</v>
      </c>
      <c r="D7857">
        <f t="shared" si="247"/>
        <v>1</v>
      </c>
    </row>
    <row r="7858" spans="1:4" x14ac:dyDescent="0.55000000000000004">
      <c r="A7858">
        <f t="shared" si="246"/>
        <v>1993</v>
      </c>
      <c r="B7858" s="821">
        <v>34219</v>
      </c>
      <c r="C7858">
        <v>5.88</v>
      </c>
      <c r="D7858">
        <f t="shared" si="247"/>
        <v>1</v>
      </c>
    </row>
    <row r="7859" spans="1:4" x14ac:dyDescent="0.55000000000000004">
      <c r="A7859">
        <f t="shared" si="246"/>
        <v>1993</v>
      </c>
      <c r="B7859" s="821">
        <v>34215</v>
      </c>
      <c r="C7859">
        <v>5.95</v>
      </c>
      <c r="D7859">
        <f t="shared" si="247"/>
        <v>1</v>
      </c>
    </row>
    <row r="7860" spans="1:4" x14ac:dyDescent="0.55000000000000004">
      <c r="A7860">
        <f t="shared" si="246"/>
        <v>1993</v>
      </c>
      <c r="B7860" s="821">
        <v>34214</v>
      </c>
      <c r="C7860">
        <v>6.04</v>
      </c>
      <c r="D7860">
        <f t="shared" si="247"/>
        <v>1</v>
      </c>
    </row>
    <row r="7861" spans="1:4" x14ac:dyDescent="0.55000000000000004">
      <c r="A7861">
        <f t="shared" si="246"/>
        <v>1993</v>
      </c>
      <c r="B7861" s="821">
        <v>34213</v>
      </c>
      <c r="C7861">
        <v>6.09</v>
      </c>
      <c r="D7861">
        <f t="shared" si="247"/>
        <v>1</v>
      </c>
    </row>
    <row r="7862" spans="1:4" x14ac:dyDescent="0.55000000000000004">
      <c r="A7862">
        <f t="shared" si="246"/>
        <v>1993</v>
      </c>
      <c r="B7862" s="821">
        <v>34212</v>
      </c>
      <c r="C7862">
        <v>6.09</v>
      </c>
      <c r="D7862">
        <f t="shared" si="247"/>
        <v>1</v>
      </c>
    </row>
    <row r="7863" spans="1:4" x14ac:dyDescent="0.55000000000000004">
      <c r="A7863">
        <f t="shared" si="246"/>
        <v>1993</v>
      </c>
      <c r="B7863" s="821">
        <v>34211</v>
      </c>
      <c r="C7863">
        <v>6.12</v>
      </c>
      <c r="D7863">
        <f t="shared" si="247"/>
        <v>1</v>
      </c>
    </row>
    <row r="7864" spans="1:4" x14ac:dyDescent="0.55000000000000004">
      <c r="A7864">
        <f t="shared" si="246"/>
        <v>1993</v>
      </c>
      <c r="B7864" s="821">
        <v>34208</v>
      </c>
      <c r="C7864">
        <v>6.13</v>
      </c>
      <c r="D7864">
        <f t="shared" si="247"/>
        <v>1</v>
      </c>
    </row>
    <row r="7865" spans="1:4" x14ac:dyDescent="0.55000000000000004">
      <c r="A7865">
        <f t="shared" si="246"/>
        <v>1993</v>
      </c>
      <c r="B7865" s="821">
        <v>34207</v>
      </c>
      <c r="C7865">
        <v>6.09</v>
      </c>
      <c r="D7865">
        <f t="shared" si="247"/>
        <v>1</v>
      </c>
    </row>
    <row r="7866" spans="1:4" x14ac:dyDescent="0.55000000000000004">
      <c r="A7866">
        <f t="shared" si="246"/>
        <v>1993</v>
      </c>
      <c r="B7866" s="821">
        <v>34206</v>
      </c>
      <c r="C7866">
        <v>6.18</v>
      </c>
      <c r="D7866">
        <f t="shared" si="247"/>
        <v>1</v>
      </c>
    </row>
    <row r="7867" spans="1:4" x14ac:dyDescent="0.55000000000000004">
      <c r="A7867">
        <f t="shared" si="246"/>
        <v>1993</v>
      </c>
      <c r="B7867" s="821">
        <v>34205</v>
      </c>
      <c r="C7867">
        <v>6.2</v>
      </c>
      <c r="D7867">
        <f t="shared" si="247"/>
        <v>1</v>
      </c>
    </row>
    <row r="7868" spans="1:4" x14ac:dyDescent="0.55000000000000004">
      <c r="A7868">
        <f t="shared" si="246"/>
        <v>1993</v>
      </c>
      <c r="B7868" s="821">
        <v>34204</v>
      </c>
      <c r="C7868">
        <v>6.22</v>
      </c>
      <c r="D7868">
        <f t="shared" si="247"/>
        <v>1</v>
      </c>
    </row>
    <row r="7869" spans="1:4" x14ac:dyDescent="0.55000000000000004">
      <c r="A7869">
        <f t="shared" si="246"/>
        <v>1993</v>
      </c>
      <c r="B7869" s="821">
        <v>34201</v>
      </c>
      <c r="C7869">
        <v>6.22</v>
      </c>
      <c r="D7869">
        <f t="shared" si="247"/>
        <v>1</v>
      </c>
    </row>
    <row r="7870" spans="1:4" x14ac:dyDescent="0.55000000000000004">
      <c r="A7870">
        <f t="shared" si="246"/>
        <v>1993</v>
      </c>
      <c r="B7870" s="821">
        <v>34200</v>
      </c>
      <c r="C7870">
        <v>6.21</v>
      </c>
      <c r="D7870">
        <f t="shared" si="247"/>
        <v>1</v>
      </c>
    </row>
    <row r="7871" spans="1:4" x14ac:dyDescent="0.55000000000000004">
      <c r="A7871">
        <f t="shared" si="246"/>
        <v>1993</v>
      </c>
      <c r="B7871" s="821">
        <v>34199</v>
      </c>
      <c r="C7871">
        <v>6.26</v>
      </c>
      <c r="D7871">
        <f t="shared" si="247"/>
        <v>1</v>
      </c>
    </row>
    <row r="7872" spans="1:4" x14ac:dyDescent="0.55000000000000004">
      <c r="A7872">
        <f t="shared" si="246"/>
        <v>1993</v>
      </c>
      <c r="B7872" s="821">
        <v>34198</v>
      </c>
      <c r="C7872">
        <v>6.31</v>
      </c>
      <c r="D7872">
        <f t="shared" si="247"/>
        <v>1</v>
      </c>
    </row>
    <row r="7873" spans="1:4" x14ac:dyDescent="0.55000000000000004">
      <c r="A7873">
        <f t="shared" si="246"/>
        <v>1993</v>
      </c>
      <c r="B7873" s="821">
        <v>34197</v>
      </c>
      <c r="C7873">
        <v>6.31</v>
      </c>
      <c r="D7873">
        <f t="shared" si="247"/>
        <v>1</v>
      </c>
    </row>
    <row r="7874" spans="1:4" x14ac:dyDescent="0.55000000000000004">
      <c r="A7874">
        <f t="shared" si="246"/>
        <v>1993</v>
      </c>
      <c r="B7874" s="821">
        <v>34194</v>
      </c>
      <c r="C7874">
        <v>6.35</v>
      </c>
      <c r="D7874">
        <f t="shared" si="247"/>
        <v>1</v>
      </c>
    </row>
    <row r="7875" spans="1:4" x14ac:dyDescent="0.55000000000000004">
      <c r="A7875">
        <f t="shared" si="246"/>
        <v>1993</v>
      </c>
      <c r="B7875" s="821">
        <v>34193</v>
      </c>
      <c r="C7875">
        <v>6.37</v>
      </c>
      <c r="D7875">
        <f t="shared" si="247"/>
        <v>1</v>
      </c>
    </row>
    <row r="7876" spans="1:4" x14ac:dyDescent="0.55000000000000004">
      <c r="A7876">
        <f t="shared" ref="A7876:A7939" si="248">YEAR(B7876)</f>
        <v>1993</v>
      </c>
      <c r="B7876" s="821">
        <v>34192</v>
      </c>
      <c r="C7876">
        <v>6.44</v>
      </c>
      <c r="D7876">
        <f t="shared" ref="D7876:D7939" si="249">IF(C7876&gt;4,1,0)</f>
        <v>1</v>
      </c>
    </row>
    <row r="7877" spans="1:4" x14ac:dyDescent="0.55000000000000004">
      <c r="A7877">
        <f t="shared" si="248"/>
        <v>1993</v>
      </c>
      <c r="B7877" s="821">
        <v>34191</v>
      </c>
      <c r="C7877">
        <v>6.45</v>
      </c>
      <c r="D7877">
        <f t="shared" si="249"/>
        <v>1</v>
      </c>
    </row>
    <row r="7878" spans="1:4" x14ac:dyDescent="0.55000000000000004">
      <c r="A7878">
        <f t="shared" si="248"/>
        <v>1993</v>
      </c>
      <c r="B7878" s="821">
        <v>34190</v>
      </c>
      <c r="C7878">
        <v>6.47</v>
      </c>
      <c r="D7878">
        <f t="shared" si="249"/>
        <v>1</v>
      </c>
    </row>
    <row r="7879" spans="1:4" x14ac:dyDescent="0.55000000000000004">
      <c r="A7879">
        <f t="shared" si="248"/>
        <v>1993</v>
      </c>
      <c r="B7879" s="821">
        <v>34187</v>
      </c>
      <c r="C7879">
        <v>6.53</v>
      </c>
      <c r="D7879">
        <f t="shared" si="249"/>
        <v>1</v>
      </c>
    </row>
    <row r="7880" spans="1:4" x14ac:dyDescent="0.55000000000000004">
      <c r="A7880">
        <f t="shared" si="248"/>
        <v>1993</v>
      </c>
      <c r="B7880" s="821">
        <v>34186</v>
      </c>
      <c r="C7880">
        <v>6.53</v>
      </c>
      <c r="D7880">
        <f t="shared" si="249"/>
        <v>1</v>
      </c>
    </row>
    <row r="7881" spans="1:4" x14ac:dyDescent="0.55000000000000004">
      <c r="A7881">
        <f t="shared" si="248"/>
        <v>1993</v>
      </c>
      <c r="B7881" s="821">
        <v>34185</v>
      </c>
      <c r="C7881">
        <v>6.54</v>
      </c>
      <c r="D7881">
        <f t="shared" si="249"/>
        <v>1</v>
      </c>
    </row>
    <row r="7882" spans="1:4" x14ac:dyDescent="0.55000000000000004">
      <c r="A7882">
        <f t="shared" si="248"/>
        <v>1993</v>
      </c>
      <c r="B7882" s="821">
        <v>34184</v>
      </c>
      <c r="C7882">
        <v>6.53</v>
      </c>
      <c r="D7882">
        <f t="shared" si="249"/>
        <v>1</v>
      </c>
    </row>
    <row r="7883" spans="1:4" x14ac:dyDescent="0.55000000000000004">
      <c r="A7883">
        <f t="shared" si="248"/>
        <v>1993</v>
      </c>
      <c r="B7883" s="821">
        <v>34183</v>
      </c>
      <c r="C7883">
        <v>6.56</v>
      </c>
      <c r="D7883">
        <f t="shared" si="249"/>
        <v>1</v>
      </c>
    </row>
    <row r="7884" spans="1:4" x14ac:dyDescent="0.55000000000000004">
      <c r="A7884">
        <f t="shared" si="248"/>
        <v>1993</v>
      </c>
      <c r="B7884" s="821">
        <v>34180</v>
      </c>
      <c r="C7884">
        <v>6.57</v>
      </c>
      <c r="D7884">
        <f t="shared" si="249"/>
        <v>1</v>
      </c>
    </row>
    <row r="7885" spans="1:4" x14ac:dyDescent="0.55000000000000004">
      <c r="A7885">
        <f t="shared" si="248"/>
        <v>1993</v>
      </c>
      <c r="B7885" s="821">
        <v>34179</v>
      </c>
      <c r="C7885">
        <v>6.57</v>
      </c>
      <c r="D7885">
        <f t="shared" si="249"/>
        <v>1</v>
      </c>
    </row>
    <row r="7886" spans="1:4" x14ac:dyDescent="0.55000000000000004">
      <c r="A7886">
        <f t="shared" si="248"/>
        <v>1993</v>
      </c>
      <c r="B7886" s="821">
        <v>34178</v>
      </c>
      <c r="C7886">
        <v>6.66</v>
      </c>
      <c r="D7886">
        <f t="shared" si="249"/>
        <v>1</v>
      </c>
    </row>
    <row r="7887" spans="1:4" x14ac:dyDescent="0.55000000000000004">
      <c r="A7887">
        <f t="shared" si="248"/>
        <v>1993</v>
      </c>
      <c r="B7887" s="821">
        <v>34177</v>
      </c>
      <c r="C7887">
        <v>6.68</v>
      </c>
      <c r="D7887">
        <f t="shared" si="249"/>
        <v>1</v>
      </c>
    </row>
    <row r="7888" spans="1:4" x14ac:dyDescent="0.55000000000000004">
      <c r="A7888">
        <f t="shared" si="248"/>
        <v>1993</v>
      </c>
      <c r="B7888" s="821">
        <v>34176</v>
      </c>
      <c r="C7888">
        <v>6.68</v>
      </c>
      <c r="D7888">
        <f t="shared" si="249"/>
        <v>1</v>
      </c>
    </row>
    <row r="7889" spans="1:4" x14ac:dyDescent="0.55000000000000004">
      <c r="A7889">
        <f t="shared" si="248"/>
        <v>1993</v>
      </c>
      <c r="B7889" s="821">
        <v>34173</v>
      </c>
      <c r="C7889">
        <v>6.71</v>
      </c>
      <c r="D7889">
        <f t="shared" si="249"/>
        <v>1</v>
      </c>
    </row>
    <row r="7890" spans="1:4" x14ac:dyDescent="0.55000000000000004">
      <c r="A7890">
        <f t="shared" si="248"/>
        <v>1993</v>
      </c>
      <c r="B7890" s="821">
        <v>34172</v>
      </c>
      <c r="C7890">
        <v>6.65</v>
      </c>
      <c r="D7890">
        <f t="shared" si="249"/>
        <v>1</v>
      </c>
    </row>
    <row r="7891" spans="1:4" x14ac:dyDescent="0.55000000000000004">
      <c r="A7891">
        <f t="shared" si="248"/>
        <v>1993</v>
      </c>
      <c r="B7891" s="821">
        <v>34171</v>
      </c>
      <c r="C7891">
        <v>6.62</v>
      </c>
      <c r="D7891">
        <f t="shared" si="249"/>
        <v>1</v>
      </c>
    </row>
    <row r="7892" spans="1:4" x14ac:dyDescent="0.55000000000000004">
      <c r="A7892">
        <f t="shared" si="248"/>
        <v>1993</v>
      </c>
      <c r="B7892" s="821">
        <v>34170</v>
      </c>
      <c r="C7892">
        <v>6.55</v>
      </c>
      <c r="D7892">
        <f t="shared" si="249"/>
        <v>1</v>
      </c>
    </row>
    <row r="7893" spans="1:4" x14ac:dyDescent="0.55000000000000004">
      <c r="A7893">
        <f t="shared" si="248"/>
        <v>1993</v>
      </c>
      <c r="B7893" s="821">
        <v>34169</v>
      </c>
      <c r="C7893">
        <v>6.54</v>
      </c>
      <c r="D7893">
        <f t="shared" si="249"/>
        <v>1</v>
      </c>
    </row>
    <row r="7894" spans="1:4" x14ac:dyDescent="0.55000000000000004">
      <c r="A7894">
        <f t="shared" si="248"/>
        <v>1993</v>
      </c>
      <c r="B7894" s="821">
        <v>34166</v>
      </c>
      <c r="C7894">
        <v>6.54</v>
      </c>
      <c r="D7894">
        <f t="shared" si="249"/>
        <v>1</v>
      </c>
    </row>
    <row r="7895" spans="1:4" x14ac:dyDescent="0.55000000000000004">
      <c r="A7895">
        <f t="shared" si="248"/>
        <v>1993</v>
      </c>
      <c r="B7895" s="821">
        <v>34165</v>
      </c>
      <c r="C7895">
        <v>6.55</v>
      </c>
      <c r="D7895">
        <f t="shared" si="249"/>
        <v>1</v>
      </c>
    </row>
    <row r="7896" spans="1:4" x14ac:dyDescent="0.55000000000000004">
      <c r="A7896">
        <f t="shared" si="248"/>
        <v>1993</v>
      </c>
      <c r="B7896" s="821">
        <v>34164</v>
      </c>
      <c r="C7896">
        <v>6.56</v>
      </c>
      <c r="D7896">
        <f t="shared" si="249"/>
        <v>1</v>
      </c>
    </row>
    <row r="7897" spans="1:4" x14ac:dyDescent="0.55000000000000004">
      <c r="A7897">
        <f t="shared" si="248"/>
        <v>1993</v>
      </c>
      <c r="B7897" s="821">
        <v>34163</v>
      </c>
      <c r="C7897">
        <v>6.62</v>
      </c>
      <c r="D7897">
        <f t="shared" si="249"/>
        <v>1</v>
      </c>
    </row>
    <row r="7898" spans="1:4" x14ac:dyDescent="0.55000000000000004">
      <c r="A7898">
        <f t="shared" si="248"/>
        <v>1993</v>
      </c>
      <c r="B7898" s="821">
        <v>34162</v>
      </c>
      <c r="C7898">
        <v>6.62</v>
      </c>
      <c r="D7898">
        <f t="shared" si="249"/>
        <v>1</v>
      </c>
    </row>
    <row r="7899" spans="1:4" x14ac:dyDescent="0.55000000000000004">
      <c r="A7899">
        <f t="shared" si="248"/>
        <v>1993</v>
      </c>
      <c r="B7899" s="821">
        <v>34159</v>
      </c>
      <c r="C7899">
        <v>6.64</v>
      </c>
      <c r="D7899">
        <f t="shared" si="249"/>
        <v>1</v>
      </c>
    </row>
    <row r="7900" spans="1:4" x14ac:dyDescent="0.55000000000000004">
      <c r="A7900">
        <f t="shared" si="248"/>
        <v>1993</v>
      </c>
      <c r="B7900" s="821">
        <v>34158</v>
      </c>
      <c r="C7900">
        <v>6.66</v>
      </c>
      <c r="D7900">
        <f t="shared" si="249"/>
        <v>1</v>
      </c>
    </row>
    <row r="7901" spans="1:4" x14ac:dyDescent="0.55000000000000004">
      <c r="A7901">
        <f t="shared" si="248"/>
        <v>1993</v>
      </c>
      <c r="B7901" s="821">
        <v>34157</v>
      </c>
      <c r="C7901">
        <v>6.68</v>
      </c>
      <c r="D7901">
        <f t="shared" si="249"/>
        <v>1</v>
      </c>
    </row>
    <row r="7902" spans="1:4" x14ac:dyDescent="0.55000000000000004">
      <c r="A7902">
        <f t="shared" si="248"/>
        <v>1993</v>
      </c>
      <c r="B7902" s="821">
        <v>34156</v>
      </c>
      <c r="C7902">
        <v>6.68</v>
      </c>
      <c r="D7902">
        <f t="shared" si="249"/>
        <v>1</v>
      </c>
    </row>
    <row r="7903" spans="1:4" x14ac:dyDescent="0.55000000000000004">
      <c r="A7903">
        <f t="shared" si="248"/>
        <v>1993</v>
      </c>
      <c r="B7903" s="821">
        <v>34152</v>
      </c>
      <c r="C7903">
        <v>6.67</v>
      </c>
      <c r="D7903">
        <f t="shared" si="249"/>
        <v>1</v>
      </c>
    </row>
    <row r="7904" spans="1:4" x14ac:dyDescent="0.55000000000000004">
      <c r="A7904">
        <f t="shared" si="248"/>
        <v>1993</v>
      </c>
      <c r="B7904" s="821">
        <v>34151</v>
      </c>
      <c r="C7904">
        <v>6.69</v>
      </c>
      <c r="D7904">
        <f t="shared" si="249"/>
        <v>1</v>
      </c>
    </row>
    <row r="7905" spans="1:4" x14ac:dyDescent="0.55000000000000004">
      <c r="A7905">
        <f t="shared" si="248"/>
        <v>1993</v>
      </c>
      <c r="B7905" s="821">
        <v>34150</v>
      </c>
      <c r="C7905">
        <v>6.68</v>
      </c>
      <c r="D7905">
        <f t="shared" si="249"/>
        <v>1</v>
      </c>
    </row>
    <row r="7906" spans="1:4" x14ac:dyDescent="0.55000000000000004">
      <c r="A7906">
        <f t="shared" si="248"/>
        <v>1993</v>
      </c>
      <c r="B7906" s="821">
        <v>34149</v>
      </c>
      <c r="C7906">
        <v>6.67</v>
      </c>
      <c r="D7906">
        <f t="shared" si="249"/>
        <v>1</v>
      </c>
    </row>
    <row r="7907" spans="1:4" x14ac:dyDescent="0.55000000000000004">
      <c r="A7907">
        <f t="shared" si="248"/>
        <v>1993</v>
      </c>
      <c r="B7907" s="821">
        <v>34148</v>
      </c>
      <c r="C7907">
        <v>6.67</v>
      </c>
      <c r="D7907">
        <f t="shared" si="249"/>
        <v>1</v>
      </c>
    </row>
    <row r="7908" spans="1:4" x14ac:dyDescent="0.55000000000000004">
      <c r="A7908">
        <f t="shared" si="248"/>
        <v>1993</v>
      </c>
      <c r="B7908" s="821">
        <v>34145</v>
      </c>
      <c r="C7908">
        <v>6.71</v>
      </c>
      <c r="D7908">
        <f t="shared" si="249"/>
        <v>1</v>
      </c>
    </row>
    <row r="7909" spans="1:4" x14ac:dyDescent="0.55000000000000004">
      <c r="A7909">
        <f t="shared" si="248"/>
        <v>1993</v>
      </c>
      <c r="B7909" s="821">
        <v>34144</v>
      </c>
      <c r="C7909">
        <v>6.74</v>
      </c>
      <c r="D7909">
        <f t="shared" si="249"/>
        <v>1</v>
      </c>
    </row>
    <row r="7910" spans="1:4" x14ac:dyDescent="0.55000000000000004">
      <c r="A7910">
        <f t="shared" si="248"/>
        <v>1993</v>
      </c>
      <c r="B7910" s="821">
        <v>34143</v>
      </c>
      <c r="C7910">
        <v>6.77</v>
      </c>
      <c r="D7910">
        <f t="shared" si="249"/>
        <v>1</v>
      </c>
    </row>
    <row r="7911" spans="1:4" x14ac:dyDescent="0.55000000000000004">
      <c r="A7911">
        <f t="shared" si="248"/>
        <v>1993</v>
      </c>
      <c r="B7911" s="821">
        <v>34142</v>
      </c>
      <c r="C7911">
        <v>6.78</v>
      </c>
      <c r="D7911">
        <f t="shared" si="249"/>
        <v>1</v>
      </c>
    </row>
    <row r="7912" spans="1:4" x14ac:dyDescent="0.55000000000000004">
      <c r="A7912">
        <f t="shared" si="248"/>
        <v>1993</v>
      </c>
      <c r="B7912" s="821">
        <v>34141</v>
      </c>
      <c r="C7912">
        <v>6.78</v>
      </c>
      <c r="D7912">
        <f t="shared" si="249"/>
        <v>1</v>
      </c>
    </row>
    <row r="7913" spans="1:4" x14ac:dyDescent="0.55000000000000004">
      <c r="A7913">
        <f t="shared" si="248"/>
        <v>1993</v>
      </c>
      <c r="B7913" s="821">
        <v>34138</v>
      </c>
      <c r="C7913">
        <v>6.82</v>
      </c>
      <c r="D7913">
        <f t="shared" si="249"/>
        <v>1</v>
      </c>
    </row>
    <row r="7914" spans="1:4" x14ac:dyDescent="0.55000000000000004">
      <c r="A7914">
        <f t="shared" si="248"/>
        <v>1993</v>
      </c>
      <c r="B7914" s="821">
        <v>34137</v>
      </c>
      <c r="C7914">
        <v>6.81</v>
      </c>
      <c r="D7914">
        <f t="shared" si="249"/>
        <v>1</v>
      </c>
    </row>
    <row r="7915" spans="1:4" x14ac:dyDescent="0.55000000000000004">
      <c r="A7915">
        <f t="shared" si="248"/>
        <v>1993</v>
      </c>
      <c r="B7915" s="821">
        <v>34136</v>
      </c>
      <c r="C7915">
        <v>6.82</v>
      </c>
      <c r="D7915">
        <f t="shared" si="249"/>
        <v>1</v>
      </c>
    </row>
    <row r="7916" spans="1:4" x14ac:dyDescent="0.55000000000000004">
      <c r="A7916">
        <f t="shared" si="248"/>
        <v>1993</v>
      </c>
      <c r="B7916" s="821">
        <v>34135</v>
      </c>
      <c r="C7916">
        <v>6.83</v>
      </c>
      <c r="D7916">
        <f t="shared" si="249"/>
        <v>1</v>
      </c>
    </row>
    <row r="7917" spans="1:4" x14ac:dyDescent="0.55000000000000004">
      <c r="A7917">
        <f t="shared" si="248"/>
        <v>1993</v>
      </c>
      <c r="B7917" s="821">
        <v>34134</v>
      </c>
      <c r="C7917">
        <v>6.81</v>
      </c>
      <c r="D7917">
        <f t="shared" si="249"/>
        <v>1</v>
      </c>
    </row>
    <row r="7918" spans="1:4" x14ac:dyDescent="0.55000000000000004">
      <c r="A7918">
        <f t="shared" si="248"/>
        <v>1993</v>
      </c>
      <c r="B7918" s="821">
        <v>34131</v>
      </c>
      <c r="C7918">
        <v>6.8</v>
      </c>
      <c r="D7918">
        <f t="shared" si="249"/>
        <v>1</v>
      </c>
    </row>
    <row r="7919" spans="1:4" x14ac:dyDescent="0.55000000000000004">
      <c r="A7919">
        <f t="shared" si="248"/>
        <v>1993</v>
      </c>
      <c r="B7919" s="821">
        <v>34130</v>
      </c>
      <c r="C7919">
        <v>6.88</v>
      </c>
      <c r="D7919">
        <f t="shared" si="249"/>
        <v>1</v>
      </c>
    </row>
    <row r="7920" spans="1:4" x14ac:dyDescent="0.55000000000000004">
      <c r="A7920">
        <f t="shared" si="248"/>
        <v>1993</v>
      </c>
      <c r="B7920" s="821">
        <v>34129</v>
      </c>
      <c r="C7920">
        <v>6.87</v>
      </c>
      <c r="D7920">
        <f t="shared" si="249"/>
        <v>1</v>
      </c>
    </row>
    <row r="7921" spans="1:4" x14ac:dyDescent="0.55000000000000004">
      <c r="A7921">
        <f t="shared" si="248"/>
        <v>1993</v>
      </c>
      <c r="B7921" s="821">
        <v>34128</v>
      </c>
      <c r="C7921">
        <v>6.91</v>
      </c>
      <c r="D7921">
        <f t="shared" si="249"/>
        <v>1</v>
      </c>
    </row>
    <row r="7922" spans="1:4" x14ac:dyDescent="0.55000000000000004">
      <c r="A7922">
        <f t="shared" si="248"/>
        <v>1993</v>
      </c>
      <c r="B7922" s="821">
        <v>34127</v>
      </c>
      <c r="C7922">
        <v>6.88</v>
      </c>
      <c r="D7922">
        <f t="shared" si="249"/>
        <v>1</v>
      </c>
    </row>
    <row r="7923" spans="1:4" x14ac:dyDescent="0.55000000000000004">
      <c r="A7923">
        <f t="shared" si="248"/>
        <v>1993</v>
      </c>
      <c r="B7923" s="821">
        <v>34124</v>
      </c>
      <c r="C7923">
        <v>6.91</v>
      </c>
      <c r="D7923">
        <f t="shared" si="249"/>
        <v>1</v>
      </c>
    </row>
    <row r="7924" spans="1:4" x14ac:dyDescent="0.55000000000000004">
      <c r="A7924">
        <f t="shared" si="248"/>
        <v>1993</v>
      </c>
      <c r="B7924" s="821">
        <v>34123</v>
      </c>
      <c r="C7924">
        <v>6.86</v>
      </c>
      <c r="D7924">
        <f t="shared" si="249"/>
        <v>1</v>
      </c>
    </row>
    <row r="7925" spans="1:4" x14ac:dyDescent="0.55000000000000004">
      <c r="A7925">
        <f t="shared" si="248"/>
        <v>1993</v>
      </c>
      <c r="B7925" s="821">
        <v>34122</v>
      </c>
      <c r="C7925">
        <v>6.88</v>
      </c>
      <c r="D7925">
        <f t="shared" si="249"/>
        <v>1</v>
      </c>
    </row>
    <row r="7926" spans="1:4" x14ac:dyDescent="0.55000000000000004">
      <c r="A7926">
        <f t="shared" si="248"/>
        <v>1993</v>
      </c>
      <c r="B7926" s="821">
        <v>34121</v>
      </c>
      <c r="C7926">
        <v>6.88</v>
      </c>
      <c r="D7926">
        <f t="shared" si="249"/>
        <v>1</v>
      </c>
    </row>
    <row r="7927" spans="1:4" x14ac:dyDescent="0.55000000000000004">
      <c r="A7927">
        <f t="shared" si="248"/>
        <v>1993</v>
      </c>
      <c r="B7927" s="821">
        <v>34117</v>
      </c>
      <c r="C7927">
        <v>6.98</v>
      </c>
      <c r="D7927">
        <f t="shared" si="249"/>
        <v>1</v>
      </c>
    </row>
    <row r="7928" spans="1:4" x14ac:dyDescent="0.55000000000000004">
      <c r="A7928">
        <f t="shared" si="248"/>
        <v>1993</v>
      </c>
      <c r="B7928" s="821">
        <v>34116</v>
      </c>
      <c r="C7928">
        <v>6.93</v>
      </c>
      <c r="D7928">
        <f t="shared" si="249"/>
        <v>1</v>
      </c>
    </row>
    <row r="7929" spans="1:4" x14ac:dyDescent="0.55000000000000004">
      <c r="A7929">
        <f t="shared" si="248"/>
        <v>1993</v>
      </c>
      <c r="B7929" s="821">
        <v>34115</v>
      </c>
      <c r="C7929">
        <v>6.94</v>
      </c>
      <c r="D7929">
        <f t="shared" si="249"/>
        <v>1</v>
      </c>
    </row>
    <row r="7930" spans="1:4" x14ac:dyDescent="0.55000000000000004">
      <c r="A7930">
        <f t="shared" si="248"/>
        <v>1993</v>
      </c>
      <c r="B7930" s="821">
        <v>34114</v>
      </c>
      <c r="C7930">
        <v>7.01</v>
      </c>
      <c r="D7930">
        <f t="shared" si="249"/>
        <v>1</v>
      </c>
    </row>
    <row r="7931" spans="1:4" x14ac:dyDescent="0.55000000000000004">
      <c r="A7931">
        <f t="shared" si="248"/>
        <v>1993</v>
      </c>
      <c r="B7931" s="821">
        <v>34113</v>
      </c>
      <c r="C7931">
        <v>6.99</v>
      </c>
      <c r="D7931">
        <f t="shared" si="249"/>
        <v>1</v>
      </c>
    </row>
    <row r="7932" spans="1:4" x14ac:dyDescent="0.55000000000000004">
      <c r="A7932">
        <f t="shared" si="248"/>
        <v>1993</v>
      </c>
      <c r="B7932" s="821">
        <v>34110</v>
      </c>
      <c r="C7932">
        <v>7.03</v>
      </c>
      <c r="D7932">
        <f t="shared" si="249"/>
        <v>1</v>
      </c>
    </row>
    <row r="7933" spans="1:4" x14ac:dyDescent="0.55000000000000004">
      <c r="A7933">
        <f t="shared" si="248"/>
        <v>1993</v>
      </c>
      <c r="B7933" s="821">
        <v>34109</v>
      </c>
      <c r="C7933">
        <v>6.99</v>
      </c>
      <c r="D7933">
        <f t="shared" si="249"/>
        <v>1</v>
      </c>
    </row>
    <row r="7934" spans="1:4" x14ac:dyDescent="0.55000000000000004">
      <c r="A7934">
        <f t="shared" si="248"/>
        <v>1993</v>
      </c>
      <c r="B7934" s="821">
        <v>34108</v>
      </c>
      <c r="C7934">
        <v>6.98</v>
      </c>
      <c r="D7934">
        <f t="shared" si="249"/>
        <v>1</v>
      </c>
    </row>
    <row r="7935" spans="1:4" x14ac:dyDescent="0.55000000000000004">
      <c r="A7935">
        <f t="shared" si="248"/>
        <v>1993</v>
      </c>
      <c r="B7935" s="821">
        <v>34107</v>
      </c>
      <c r="C7935">
        <v>7.02</v>
      </c>
      <c r="D7935">
        <f t="shared" si="249"/>
        <v>1</v>
      </c>
    </row>
    <row r="7936" spans="1:4" x14ac:dyDescent="0.55000000000000004">
      <c r="A7936">
        <f t="shared" si="248"/>
        <v>1993</v>
      </c>
      <c r="B7936" s="821">
        <v>34106</v>
      </c>
      <c r="C7936">
        <v>6.97</v>
      </c>
      <c r="D7936">
        <f t="shared" si="249"/>
        <v>1</v>
      </c>
    </row>
    <row r="7937" spans="1:4" x14ac:dyDescent="0.55000000000000004">
      <c r="A7937">
        <f t="shared" si="248"/>
        <v>1993</v>
      </c>
      <c r="B7937" s="821">
        <v>34103</v>
      </c>
      <c r="C7937">
        <v>6.95</v>
      </c>
      <c r="D7937">
        <f t="shared" si="249"/>
        <v>1</v>
      </c>
    </row>
    <row r="7938" spans="1:4" x14ac:dyDescent="0.55000000000000004">
      <c r="A7938">
        <f t="shared" si="248"/>
        <v>1993</v>
      </c>
      <c r="B7938" s="821">
        <v>34102</v>
      </c>
      <c r="C7938">
        <v>6.96</v>
      </c>
      <c r="D7938">
        <f t="shared" si="249"/>
        <v>1</v>
      </c>
    </row>
    <row r="7939" spans="1:4" x14ac:dyDescent="0.55000000000000004">
      <c r="A7939">
        <f t="shared" si="248"/>
        <v>1993</v>
      </c>
      <c r="B7939" s="821">
        <v>34101</v>
      </c>
      <c r="C7939">
        <v>6.86</v>
      </c>
      <c r="D7939">
        <f t="shared" si="249"/>
        <v>1</v>
      </c>
    </row>
    <row r="7940" spans="1:4" x14ac:dyDescent="0.55000000000000004">
      <c r="A7940">
        <f t="shared" ref="A7940:A8003" si="250">YEAR(B7940)</f>
        <v>1993</v>
      </c>
      <c r="B7940" s="821">
        <v>34100</v>
      </c>
      <c r="C7940">
        <v>6.82</v>
      </c>
      <c r="D7940">
        <f t="shared" ref="D7940:D8003" si="251">IF(C7940&gt;4,1,0)</f>
        <v>1</v>
      </c>
    </row>
    <row r="7941" spans="1:4" x14ac:dyDescent="0.55000000000000004">
      <c r="A7941">
        <f t="shared" si="250"/>
        <v>1993</v>
      </c>
      <c r="B7941" s="821">
        <v>34099</v>
      </c>
      <c r="C7941">
        <v>6.81</v>
      </c>
      <c r="D7941">
        <f t="shared" si="251"/>
        <v>1</v>
      </c>
    </row>
    <row r="7942" spans="1:4" x14ac:dyDescent="0.55000000000000004">
      <c r="A7942">
        <f t="shared" si="250"/>
        <v>1993</v>
      </c>
      <c r="B7942" s="821">
        <v>34096</v>
      </c>
      <c r="C7942">
        <v>6.85</v>
      </c>
      <c r="D7942">
        <f t="shared" si="251"/>
        <v>1</v>
      </c>
    </row>
    <row r="7943" spans="1:4" x14ac:dyDescent="0.55000000000000004">
      <c r="A7943">
        <f t="shared" si="250"/>
        <v>1993</v>
      </c>
      <c r="B7943" s="821">
        <v>34095</v>
      </c>
      <c r="C7943">
        <v>6.8</v>
      </c>
      <c r="D7943">
        <f t="shared" si="251"/>
        <v>1</v>
      </c>
    </row>
    <row r="7944" spans="1:4" x14ac:dyDescent="0.55000000000000004">
      <c r="A7944">
        <f t="shared" si="250"/>
        <v>1993</v>
      </c>
      <c r="B7944" s="821">
        <v>34094</v>
      </c>
      <c r="C7944">
        <v>6.82</v>
      </c>
      <c r="D7944">
        <f t="shared" si="251"/>
        <v>1</v>
      </c>
    </row>
    <row r="7945" spans="1:4" x14ac:dyDescent="0.55000000000000004">
      <c r="A7945">
        <f t="shared" si="250"/>
        <v>1993</v>
      </c>
      <c r="B7945" s="821">
        <v>34093</v>
      </c>
      <c r="C7945">
        <v>6.81</v>
      </c>
      <c r="D7945">
        <f t="shared" si="251"/>
        <v>1</v>
      </c>
    </row>
    <row r="7946" spans="1:4" x14ac:dyDescent="0.55000000000000004">
      <c r="A7946">
        <f t="shared" si="250"/>
        <v>1993</v>
      </c>
      <c r="B7946" s="821">
        <v>34092</v>
      </c>
      <c r="C7946">
        <v>6.86</v>
      </c>
      <c r="D7946">
        <f t="shared" si="251"/>
        <v>1</v>
      </c>
    </row>
    <row r="7947" spans="1:4" x14ac:dyDescent="0.55000000000000004">
      <c r="A7947">
        <f t="shared" si="250"/>
        <v>1993</v>
      </c>
      <c r="B7947" s="821">
        <v>34089</v>
      </c>
      <c r="C7947">
        <v>6.95</v>
      </c>
      <c r="D7947">
        <f t="shared" si="251"/>
        <v>1</v>
      </c>
    </row>
    <row r="7948" spans="1:4" x14ac:dyDescent="0.55000000000000004">
      <c r="A7948">
        <f t="shared" si="250"/>
        <v>1993</v>
      </c>
      <c r="B7948" s="821">
        <v>34088</v>
      </c>
      <c r="C7948">
        <v>6.88</v>
      </c>
      <c r="D7948">
        <f t="shared" si="251"/>
        <v>1</v>
      </c>
    </row>
    <row r="7949" spans="1:4" x14ac:dyDescent="0.55000000000000004">
      <c r="A7949">
        <f t="shared" si="250"/>
        <v>1993</v>
      </c>
      <c r="B7949" s="821">
        <v>34087</v>
      </c>
      <c r="C7949">
        <v>6.91</v>
      </c>
      <c r="D7949">
        <f t="shared" si="251"/>
        <v>1</v>
      </c>
    </row>
    <row r="7950" spans="1:4" x14ac:dyDescent="0.55000000000000004">
      <c r="A7950">
        <f t="shared" si="250"/>
        <v>1993</v>
      </c>
      <c r="B7950" s="821">
        <v>34086</v>
      </c>
      <c r="C7950">
        <v>6.9</v>
      </c>
      <c r="D7950">
        <f t="shared" si="251"/>
        <v>1</v>
      </c>
    </row>
    <row r="7951" spans="1:4" x14ac:dyDescent="0.55000000000000004">
      <c r="A7951">
        <f t="shared" si="250"/>
        <v>1993</v>
      </c>
      <c r="B7951" s="821">
        <v>34085</v>
      </c>
      <c r="C7951">
        <v>6.83</v>
      </c>
      <c r="D7951">
        <f t="shared" si="251"/>
        <v>1</v>
      </c>
    </row>
    <row r="7952" spans="1:4" x14ac:dyDescent="0.55000000000000004">
      <c r="A7952">
        <f t="shared" si="250"/>
        <v>1993</v>
      </c>
      <c r="B7952" s="821">
        <v>34082</v>
      </c>
      <c r="C7952">
        <v>6.79</v>
      </c>
      <c r="D7952">
        <f t="shared" si="251"/>
        <v>1</v>
      </c>
    </row>
    <row r="7953" spans="1:4" x14ac:dyDescent="0.55000000000000004">
      <c r="A7953">
        <f t="shared" si="250"/>
        <v>1993</v>
      </c>
      <c r="B7953" s="821">
        <v>34081</v>
      </c>
      <c r="C7953">
        <v>6.75</v>
      </c>
      <c r="D7953">
        <f t="shared" si="251"/>
        <v>1</v>
      </c>
    </row>
    <row r="7954" spans="1:4" x14ac:dyDescent="0.55000000000000004">
      <c r="A7954">
        <f t="shared" si="250"/>
        <v>1993</v>
      </c>
      <c r="B7954" s="821">
        <v>34080</v>
      </c>
      <c r="C7954">
        <v>6.75</v>
      </c>
      <c r="D7954">
        <f t="shared" si="251"/>
        <v>1</v>
      </c>
    </row>
    <row r="7955" spans="1:4" x14ac:dyDescent="0.55000000000000004">
      <c r="A7955">
        <f t="shared" si="250"/>
        <v>1993</v>
      </c>
      <c r="B7955" s="821">
        <v>34079</v>
      </c>
      <c r="C7955">
        <v>6.76</v>
      </c>
      <c r="D7955">
        <f t="shared" si="251"/>
        <v>1</v>
      </c>
    </row>
    <row r="7956" spans="1:4" x14ac:dyDescent="0.55000000000000004">
      <c r="A7956">
        <f t="shared" si="250"/>
        <v>1993</v>
      </c>
      <c r="B7956" s="821">
        <v>34078</v>
      </c>
      <c r="C7956">
        <v>6.73</v>
      </c>
      <c r="D7956">
        <f t="shared" si="251"/>
        <v>1</v>
      </c>
    </row>
    <row r="7957" spans="1:4" x14ac:dyDescent="0.55000000000000004">
      <c r="A7957">
        <f t="shared" si="250"/>
        <v>1993</v>
      </c>
      <c r="B7957" s="821">
        <v>34075</v>
      </c>
      <c r="C7957">
        <v>6.76</v>
      </c>
      <c r="D7957">
        <f t="shared" si="251"/>
        <v>1</v>
      </c>
    </row>
    <row r="7958" spans="1:4" x14ac:dyDescent="0.55000000000000004">
      <c r="A7958">
        <f t="shared" si="250"/>
        <v>1993</v>
      </c>
      <c r="B7958" s="821">
        <v>34074</v>
      </c>
      <c r="C7958">
        <v>6.73</v>
      </c>
      <c r="D7958">
        <f t="shared" si="251"/>
        <v>1</v>
      </c>
    </row>
    <row r="7959" spans="1:4" x14ac:dyDescent="0.55000000000000004">
      <c r="A7959">
        <f t="shared" si="250"/>
        <v>1993</v>
      </c>
      <c r="B7959" s="821">
        <v>34073</v>
      </c>
      <c r="C7959">
        <v>6.76</v>
      </c>
      <c r="D7959">
        <f t="shared" si="251"/>
        <v>1</v>
      </c>
    </row>
    <row r="7960" spans="1:4" x14ac:dyDescent="0.55000000000000004">
      <c r="A7960">
        <f t="shared" si="250"/>
        <v>1993</v>
      </c>
      <c r="B7960" s="821">
        <v>34072</v>
      </c>
      <c r="C7960">
        <v>6.8</v>
      </c>
      <c r="D7960">
        <f t="shared" si="251"/>
        <v>1</v>
      </c>
    </row>
    <row r="7961" spans="1:4" x14ac:dyDescent="0.55000000000000004">
      <c r="A7961">
        <f t="shared" si="250"/>
        <v>1993</v>
      </c>
      <c r="B7961" s="821">
        <v>34071</v>
      </c>
      <c r="C7961">
        <v>6.79</v>
      </c>
      <c r="D7961">
        <f t="shared" si="251"/>
        <v>1</v>
      </c>
    </row>
    <row r="7962" spans="1:4" x14ac:dyDescent="0.55000000000000004">
      <c r="A7962">
        <f t="shared" si="250"/>
        <v>1993</v>
      </c>
      <c r="B7962" s="821">
        <v>34067</v>
      </c>
      <c r="C7962">
        <v>6.85</v>
      </c>
      <c r="D7962">
        <f t="shared" si="251"/>
        <v>1</v>
      </c>
    </row>
    <row r="7963" spans="1:4" x14ac:dyDescent="0.55000000000000004">
      <c r="A7963">
        <f t="shared" si="250"/>
        <v>1993</v>
      </c>
      <c r="B7963" s="821">
        <v>34066</v>
      </c>
      <c r="C7963">
        <v>6.96</v>
      </c>
      <c r="D7963">
        <f t="shared" si="251"/>
        <v>1</v>
      </c>
    </row>
    <row r="7964" spans="1:4" x14ac:dyDescent="0.55000000000000004">
      <c r="A7964">
        <f t="shared" si="250"/>
        <v>1993</v>
      </c>
      <c r="B7964" s="821">
        <v>34065</v>
      </c>
      <c r="C7964">
        <v>6.97</v>
      </c>
      <c r="D7964">
        <f t="shared" si="251"/>
        <v>1</v>
      </c>
    </row>
    <row r="7965" spans="1:4" x14ac:dyDescent="0.55000000000000004">
      <c r="A7965">
        <f t="shared" si="250"/>
        <v>1993</v>
      </c>
      <c r="B7965" s="821">
        <v>34064</v>
      </c>
      <c r="C7965">
        <v>7.04</v>
      </c>
      <c r="D7965">
        <f t="shared" si="251"/>
        <v>1</v>
      </c>
    </row>
    <row r="7966" spans="1:4" x14ac:dyDescent="0.55000000000000004">
      <c r="A7966">
        <f t="shared" si="250"/>
        <v>1993</v>
      </c>
      <c r="B7966" s="821">
        <v>34061</v>
      </c>
      <c r="C7966">
        <v>7.06</v>
      </c>
      <c r="D7966">
        <f t="shared" si="251"/>
        <v>1</v>
      </c>
    </row>
    <row r="7967" spans="1:4" x14ac:dyDescent="0.55000000000000004">
      <c r="A7967">
        <f t="shared" si="250"/>
        <v>1993</v>
      </c>
      <c r="B7967" s="821">
        <v>34060</v>
      </c>
      <c r="C7967">
        <v>6.97</v>
      </c>
      <c r="D7967">
        <f t="shared" si="251"/>
        <v>1</v>
      </c>
    </row>
    <row r="7968" spans="1:4" x14ac:dyDescent="0.55000000000000004">
      <c r="A7968">
        <f t="shared" si="250"/>
        <v>1993</v>
      </c>
      <c r="B7968" s="821">
        <v>34059</v>
      </c>
      <c r="C7968">
        <v>6.93</v>
      </c>
      <c r="D7968">
        <f t="shared" si="251"/>
        <v>1</v>
      </c>
    </row>
    <row r="7969" spans="1:4" x14ac:dyDescent="0.55000000000000004">
      <c r="A7969">
        <f t="shared" si="250"/>
        <v>1993</v>
      </c>
      <c r="B7969" s="821">
        <v>34058</v>
      </c>
      <c r="C7969">
        <v>6.91</v>
      </c>
      <c r="D7969">
        <f t="shared" si="251"/>
        <v>1</v>
      </c>
    </row>
    <row r="7970" spans="1:4" x14ac:dyDescent="0.55000000000000004">
      <c r="A7970">
        <f t="shared" si="250"/>
        <v>1993</v>
      </c>
      <c r="B7970" s="821">
        <v>34057</v>
      </c>
      <c r="C7970">
        <v>6.9</v>
      </c>
      <c r="D7970">
        <f t="shared" si="251"/>
        <v>1</v>
      </c>
    </row>
    <row r="7971" spans="1:4" x14ac:dyDescent="0.55000000000000004">
      <c r="A7971">
        <f t="shared" si="250"/>
        <v>1993</v>
      </c>
      <c r="B7971" s="821">
        <v>34054</v>
      </c>
      <c r="C7971">
        <v>6.94</v>
      </c>
      <c r="D7971">
        <f t="shared" si="251"/>
        <v>1</v>
      </c>
    </row>
    <row r="7972" spans="1:4" x14ac:dyDescent="0.55000000000000004">
      <c r="A7972">
        <f t="shared" si="250"/>
        <v>1993</v>
      </c>
      <c r="B7972" s="821">
        <v>34053</v>
      </c>
      <c r="C7972">
        <v>6.83</v>
      </c>
      <c r="D7972">
        <f t="shared" si="251"/>
        <v>1</v>
      </c>
    </row>
    <row r="7973" spans="1:4" x14ac:dyDescent="0.55000000000000004">
      <c r="A7973">
        <f t="shared" si="250"/>
        <v>1993</v>
      </c>
      <c r="B7973" s="821">
        <v>34052</v>
      </c>
      <c r="C7973">
        <v>6.81</v>
      </c>
      <c r="D7973">
        <f t="shared" si="251"/>
        <v>1</v>
      </c>
    </row>
    <row r="7974" spans="1:4" x14ac:dyDescent="0.55000000000000004">
      <c r="A7974">
        <f t="shared" si="250"/>
        <v>1993</v>
      </c>
      <c r="B7974" s="821">
        <v>34051</v>
      </c>
      <c r="C7974">
        <v>6.77</v>
      </c>
      <c r="D7974">
        <f t="shared" si="251"/>
        <v>1</v>
      </c>
    </row>
    <row r="7975" spans="1:4" x14ac:dyDescent="0.55000000000000004">
      <c r="A7975">
        <f t="shared" si="250"/>
        <v>1993</v>
      </c>
      <c r="B7975" s="821">
        <v>34050</v>
      </c>
      <c r="C7975">
        <v>6.81</v>
      </c>
      <c r="D7975">
        <f t="shared" si="251"/>
        <v>1</v>
      </c>
    </row>
    <row r="7976" spans="1:4" x14ac:dyDescent="0.55000000000000004">
      <c r="A7976">
        <f t="shared" si="250"/>
        <v>1993</v>
      </c>
      <c r="B7976" s="821">
        <v>34047</v>
      </c>
      <c r="C7976">
        <v>6.81</v>
      </c>
      <c r="D7976">
        <f t="shared" si="251"/>
        <v>1</v>
      </c>
    </row>
    <row r="7977" spans="1:4" x14ac:dyDescent="0.55000000000000004">
      <c r="A7977">
        <f t="shared" si="250"/>
        <v>1993</v>
      </c>
      <c r="B7977" s="821">
        <v>34046</v>
      </c>
      <c r="C7977">
        <v>6.8</v>
      </c>
      <c r="D7977">
        <f t="shared" si="251"/>
        <v>1</v>
      </c>
    </row>
    <row r="7978" spans="1:4" x14ac:dyDescent="0.55000000000000004">
      <c r="A7978">
        <f t="shared" si="250"/>
        <v>1993</v>
      </c>
      <c r="B7978" s="821">
        <v>34045</v>
      </c>
      <c r="C7978">
        <v>6.86</v>
      </c>
      <c r="D7978">
        <f t="shared" si="251"/>
        <v>1</v>
      </c>
    </row>
    <row r="7979" spans="1:4" x14ac:dyDescent="0.55000000000000004">
      <c r="A7979">
        <f t="shared" si="250"/>
        <v>1993</v>
      </c>
      <c r="B7979" s="821">
        <v>34044</v>
      </c>
      <c r="C7979">
        <v>6.87</v>
      </c>
      <c r="D7979">
        <f t="shared" si="251"/>
        <v>1</v>
      </c>
    </row>
    <row r="7980" spans="1:4" x14ac:dyDescent="0.55000000000000004">
      <c r="A7980">
        <f t="shared" si="250"/>
        <v>1993</v>
      </c>
      <c r="B7980" s="821">
        <v>34043</v>
      </c>
      <c r="C7980">
        <v>6.91</v>
      </c>
      <c r="D7980">
        <f t="shared" si="251"/>
        <v>1</v>
      </c>
    </row>
    <row r="7981" spans="1:4" x14ac:dyDescent="0.55000000000000004">
      <c r="A7981">
        <f t="shared" si="250"/>
        <v>1993</v>
      </c>
      <c r="B7981" s="821">
        <v>34040</v>
      </c>
      <c r="C7981">
        <v>6.86</v>
      </c>
      <c r="D7981">
        <f t="shared" si="251"/>
        <v>1</v>
      </c>
    </row>
    <row r="7982" spans="1:4" x14ac:dyDescent="0.55000000000000004">
      <c r="A7982">
        <f t="shared" si="250"/>
        <v>1993</v>
      </c>
      <c r="B7982" s="821">
        <v>34039</v>
      </c>
      <c r="C7982">
        <v>6.75</v>
      </c>
      <c r="D7982">
        <f t="shared" si="251"/>
        <v>1</v>
      </c>
    </row>
    <row r="7983" spans="1:4" x14ac:dyDescent="0.55000000000000004">
      <c r="A7983">
        <f t="shared" si="250"/>
        <v>1993</v>
      </c>
      <c r="B7983" s="821">
        <v>34038</v>
      </c>
      <c r="C7983">
        <v>6.75</v>
      </c>
      <c r="D7983">
        <f t="shared" si="251"/>
        <v>1</v>
      </c>
    </row>
    <row r="7984" spans="1:4" x14ac:dyDescent="0.55000000000000004">
      <c r="A7984">
        <f t="shared" si="250"/>
        <v>1993</v>
      </c>
      <c r="B7984" s="821">
        <v>34037</v>
      </c>
      <c r="C7984">
        <v>6.73</v>
      </c>
      <c r="D7984">
        <f t="shared" si="251"/>
        <v>1</v>
      </c>
    </row>
    <row r="7985" spans="1:4" x14ac:dyDescent="0.55000000000000004">
      <c r="A7985">
        <f t="shared" si="250"/>
        <v>1993</v>
      </c>
      <c r="B7985" s="821">
        <v>34036</v>
      </c>
      <c r="C7985">
        <v>6.72</v>
      </c>
      <c r="D7985">
        <f t="shared" si="251"/>
        <v>1</v>
      </c>
    </row>
    <row r="7986" spans="1:4" x14ac:dyDescent="0.55000000000000004">
      <c r="A7986">
        <f t="shared" si="250"/>
        <v>1993</v>
      </c>
      <c r="B7986" s="821">
        <v>34033</v>
      </c>
      <c r="C7986">
        <v>6.76</v>
      </c>
      <c r="D7986">
        <f t="shared" si="251"/>
        <v>1</v>
      </c>
    </row>
    <row r="7987" spans="1:4" x14ac:dyDescent="0.55000000000000004">
      <c r="A7987">
        <f t="shared" si="250"/>
        <v>1993</v>
      </c>
      <c r="B7987" s="821">
        <v>34032</v>
      </c>
      <c r="C7987">
        <v>6.73</v>
      </c>
      <c r="D7987">
        <f t="shared" si="251"/>
        <v>1</v>
      </c>
    </row>
    <row r="7988" spans="1:4" x14ac:dyDescent="0.55000000000000004">
      <c r="A7988">
        <f t="shared" si="250"/>
        <v>1993</v>
      </c>
      <c r="B7988" s="821">
        <v>34031</v>
      </c>
      <c r="C7988">
        <v>6.78</v>
      </c>
      <c r="D7988">
        <f t="shared" si="251"/>
        <v>1</v>
      </c>
    </row>
    <row r="7989" spans="1:4" x14ac:dyDescent="0.55000000000000004">
      <c r="A7989">
        <f t="shared" si="250"/>
        <v>1993</v>
      </c>
      <c r="B7989" s="821">
        <v>34030</v>
      </c>
      <c r="C7989">
        <v>6.84</v>
      </c>
      <c r="D7989">
        <f t="shared" si="251"/>
        <v>1</v>
      </c>
    </row>
    <row r="7990" spans="1:4" x14ac:dyDescent="0.55000000000000004">
      <c r="A7990">
        <f t="shared" si="250"/>
        <v>1993</v>
      </c>
      <c r="B7990" s="821">
        <v>34029</v>
      </c>
      <c r="C7990">
        <v>6.83</v>
      </c>
      <c r="D7990">
        <f t="shared" si="251"/>
        <v>1</v>
      </c>
    </row>
    <row r="7991" spans="1:4" x14ac:dyDescent="0.55000000000000004">
      <c r="A7991">
        <f t="shared" si="250"/>
        <v>1993</v>
      </c>
      <c r="B7991" s="821">
        <v>34026</v>
      </c>
      <c r="C7991">
        <v>6.9</v>
      </c>
      <c r="D7991">
        <f t="shared" si="251"/>
        <v>1</v>
      </c>
    </row>
    <row r="7992" spans="1:4" x14ac:dyDescent="0.55000000000000004">
      <c r="A7992">
        <f t="shared" si="250"/>
        <v>1993</v>
      </c>
      <c r="B7992" s="821">
        <v>34025</v>
      </c>
      <c r="C7992">
        <v>6.89</v>
      </c>
      <c r="D7992">
        <f t="shared" si="251"/>
        <v>1</v>
      </c>
    </row>
    <row r="7993" spans="1:4" x14ac:dyDescent="0.55000000000000004">
      <c r="A7993">
        <f t="shared" si="250"/>
        <v>1993</v>
      </c>
      <c r="B7993" s="821">
        <v>34024</v>
      </c>
      <c r="C7993">
        <v>6.88</v>
      </c>
      <c r="D7993">
        <f t="shared" si="251"/>
        <v>1</v>
      </c>
    </row>
    <row r="7994" spans="1:4" x14ac:dyDescent="0.55000000000000004">
      <c r="A7994">
        <f t="shared" si="250"/>
        <v>1993</v>
      </c>
      <c r="B7994" s="821">
        <v>34023</v>
      </c>
      <c r="C7994">
        <v>6.83</v>
      </c>
      <c r="D7994">
        <f t="shared" si="251"/>
        <v>1</v>
      </c>
    </row>
    <row r="7995" spans="1:4" x14ac:dyDescent="0.55000000000000004">
      <c r="A7995">
        <f t="shared" si="250"/>
        <v>1993</v>
      </c>
      <c r="B7995" s="821">
        <v>34022</v>
      </c>
      <c r="C7995">
        <v>6.95</v>
      </c>
      <c r="D7995">
        <f t="shared" si="251"/>
        <v>1</v>
      </c>
    </row>
    <row r="7996" spans="1:4" x14ac:dyDescent="0.55000000000000004">
      <c r="A7996">
        <f t="shared" si="250"/>
        <v>1993</v>
      </c>
      <c r="B7996" s="821">
        <v>34019</v>
      </c>
      <c r="C7996">
        <v>7.01</v>
      </c>
      <c r="D7996">
        <f t="shared" si="251"/>
        <v>1</v>
      </c>
    </row>
    <row r="7997" spans="1:4" x14ac:dyDescent="0.55000000000000004">
      <c r="A7997">
        <f t="shared" si="250"/>
        <v>1993</v>
      </c>
      <c r="B7997" s="821">
        <v>34018</v>
      </c>
      <c r="C7997">
        <v>7.02</v>
      </c>
      <c r="D7997">
        <f t="shared" si="251"/>
        <v>1</v>
      </c>
    </row>
    <row r="7998" spans="1:4" x14ac:dyDescent="0.55000000000000004">
      <c r="A7998">
        <f t="shared" si="250"/>
        <v>1993</v>
      </c>
      <c r="B7998" s="821">
        <v>34017</v>
      </c>
      <c r="C7998">
        <v>7.11</v>
      </c>
      <c r="D7998">
        <f t="shared" si="251"/>
        <v>1</v>
      </c>
    </row>
    <row r="7999" spans="1:4" x14ac:dyDescent="0.55000000000000004">
      <c r="A7999">
        <f t="shared" si="250"/>
        <v>1993</v>
      </c>
      <c r="B7999" s="821">
        <v>34016</v>
      </c>
      <c r="C7999">
        <v>7.14</v>
      </c>
      <c r="D7999">
        <f t="shared" si="251"/>
        <v>1</v>
      </c>
    </row>
    <row r="8000" spans="1:4" x14ac:dyDescent="0.55000000000000004">
      <c r="A8000">
        <f t="shared" si="250"/>
        <v>1993</v>
      </c>
      <c r="B8000" s="821">
        <v>34012</v>
      </c>
      <c r="C8000">
        <v>7.13</v>
      </c>
      <c r="D8000">
        <f t="shared" si="251"/>
        <v>1</v>
      </c>
    </row>
    <row r="8001" spans="1:4" x14ac:dyDescent="0.55000000000000004">
      <c r="A8001">
        <f t="shared" si="250"/>
        <v>1993</v>
      </c>
      <c r="B8001" s="821">
        <v>34011</v>
      </c>
      <c r="C8001">
        <v>7.15</v>
      </c>
      <c r="D8001">
        <f t="shared" si="251"/>
        <v>1</v>
      </c>
    </row>
    <row r="8002" spans="1:4" x14ac:dyDescent="0.55000000000000004">
      <c r="A8002">
        <f t="shared" si="250"/>
        <v>1993</v>
      </c>
      <c r="B8002" s="821">
        <v>34010</v>
      </c>
      <c r="C8002">
        <v>7.26</v>
      </c>
      <c r="D8002">
        <f t="shared" si="251"/>
        <v>1</v>
      </c>
    </row>
    <row r="8003" spans="1:4" x14ac:dyDescent="0.55000000000000004">
      <c r="A8003">
        <f t="shared" si="250"/>
        <v>1993</v>
      </c>
      <c r="B8003" s="821">
        <v>34009</v>
      </c>
      <c r="C8003">
        <v>7.2</v>
      </c>
      <c r="D8003">
        <f t="shared" si="251"/>
        <v>1</v>
      </c>
    </row>
    <row r="8004" spans="1:4" x14ac:dyDescent="0.55000000000000004">
      <c r="A8004">
        <f t="shared" ref="A8004:A8067" si="252">YEAR(B8004)</f>
        <v>1993</v>
      </c>
      <c r="B8004" s="821">
        <v>34008</v>
      </c>
      <c r="C8004">
        <v>7.18</v>
      </c>
      <c r="D8004">
        <f t="shared" ref="D8004:D8067" si="253">IF(C8004&gt;4,1,0)</f>
        <v>1</v>
      </c>
    </row>
    <row r="8005" spans="1:4" x14ac:dyDescent="0.55000000000000004">
      <c r="A8005">
        <f t="shared" si="252"/>
        <v>1993</v>
      </c>
      <c r="B8005" s="821">
        <v>34005</v>
      </c>
      <c r="C8005">
        <v>7.17</v>
      </c>
      <c r="D8005">
        <f t="shared" si="253"/>
        <v>1</v>
      </c>
    </row>
    <row r="8006" spans="1:4" x14ac:dyDescent="0.55000000000000004">
      <c r="A8006">
        <f t="shared" si="252"/>
        <v>1993</v>
      </c>
      <c r="B8006" s="821">
        <v>34004</v>
      </c>
      <c r="C8006">
        <v>7.19</v>
      </c>
      <c r="D8006">
        <f t="shared" si="253"/>
        <v>1</v>
      </c>
    </row>
    <row r="8007" spans="1:4" x14ac:dyDescent="0.55000000000000004">
      <c r="A8007">
        <f t="shared" si="252"/>
        <v>1993</v>
      </c>
      <c r="B8007" s="821">
        <v>34003</v>
      </c>
      <c r="C8007">
        <v>7.23</v>
      </c>
      <c r="D8007">
        <f t="shared" si="253"/>
        <v>1</v>
      </c>
    </row>
    <row r="8008" spans="1:4" x14ac:dyDescent="0.55000000000000004">
      <c r="A8008">
        <f t="shared" si="252"/>
        <v>1993</v>
      </c>
      <c r="B8008" s="821">
        <v>34002</v>
      </c>
      <c r="C8008">
        <v>7.25</v>
      </c>
      <c r="D8008">
        <f t="shared" si="253"/>
        <v>1</v>
      </c>
    </row>
    <row r="8009" spans="1:4" x14ac:dyDescent="0.55000000000000004">
      <c r="A8009">
        <f t="shared" si="252"/>
        <v>1993</v>
      </c>
      <c r="B8009" s="821">
        <v>34001</v>
      </c>
      <c r="C8009">
        <v>7.21</v>
      </c>
      <c r="D8009">
        <f t="shared" si="253"/>
        <v>1</v>
      </c>
    </row>
    <row r="8010" spans="1:4" x14ac:dyDescent="0.55000000000000004">
      <c r="A8010">
        <f t="shared" si="252"/>
        <v>1993</v>
      </c>
      <c r="B8010" s="821">
        <v>33998</v>
      </c>
      <c r="C8010">
        <v>7.21</v>
      </c>
      <c r="D8010">
        <f t="shared" si="253"/>
        <v>1</v>
      </c>
    </row>
    <row r="8011" spans="1:4" x14ac:dyDescent="0.55000000000000004">
      <c r="A8011">
        <f t="shared" si="252"/>
        <v>1993</v>
      </c>
      <c r="B8011" s="821">
        <v>33997</v>
      </c>
      <c r="C8011">
        <v>7.23</v>
      </c>
      <c r="D8011">
        <f t="shared" si="253"/>
        <v>1</v>
      </c>
    </row>
    <row r="8012" spans="1:4" x14ac:dyDescent="0.55000000000000004">
      <c r="A8012">
        <f t="shared" si="252"/>
        <v>1993</v>
      </c>
      <c r="B8012" s="821">
        <v>33996</v>
      </c>
      <c r="C8012">
        <v>7.25</v>
      </c>
      <c r="D8012">
        <f t="shared" si="253"/>
        <v>1</v>
      </c>
    </row>
    <row r="8013" spans="1:4" x14ac:dyDescent="0.55000000000000004">
      <c r="A8013">
        <f t="shared" si="252"/>
        <v>1993</v>
      </c>
      <c r="B8013" s="821">
        <v>33995</v>
      </c>
      <c r="C8013">
        <v>7.26</v>
      </c>
      <c r="D8013">
        <f t="shared" si="253"/>
        <v>1</v>
      </c>
    </row>
    <row r="8014" spans="1:4" x14ac:dyDescent="0.55000000000000004">
      <c r="A8014">
        <f t="shared" si="252"/>
        <v>1993</v>
      </c>
      <c r="B8014" s="821">
        <v>33994</v>
      </c>
      <c r="C8014">
        <v>7.22</v>
      </c>
      <c r="D8014">
        <f t="shared" si="253"/>
        <v>1</v>
      </c>
    </row>
    <row r="8015" spans="1:4" x14ac:dyDescent="0.55000000000000004">
      <c r="A8015">
        <f t="shared" si="252"/>
        <v>1993</v>
      </c>
      <c r="B8015" s="821">
        <v>33991</v>
      </c>
      <c r="C8015">
        <v>7.3</v>
      </c>
      <c r="D8015">
        <f t="shared" si="253"/>
        <v>1</v>
      </c>
    </row>
    <row r="8016" spans="1:4" x14ac:dyDescent="0.55000000000000004">
      <c r="A8016">
        <f t="shared" si="252"/>
        <v>1993</v>
      </c>
      <c r="B8016" s="821">
        <v>33990</v>
      </c>
      <c r="C8016">
        <v>7.31</v>
      </c>
      <c r="D8016">
        <f t="shared" si="253"/>
        <v>1</v>
      </c>
    </row>
    <row r="8017" spans="1:4" x14ac:dyDescent="0.55000000000000004">
      <c r="A8017">
        <f t="shared" si="252"/>
        <v>1993</v>
      </c>
      <c r="B8017" s="821">
        <v>33989</v>
      </c>
      <c r="C8017">
        <v>7.32</v>
      </c>
      <c r="D8017">
        <f t="shared" si="253"/>
        <v>1</v>
      </c>
    </row>
    <row r="8018" spans="1:4" x14ac:dyDescent="0.55000000000000004">
      <c r="A8018">
        <f t="shared" si="252"/>
        <v>1993</v>
      </c>
      <c r="B8018" s="821">
        <v>33988</v>
      </c>
      <c r="C8018">
        <v>7.31</v>
      </c>
      <c r="D8018">
        <f t="shared" si="253"/>
        <v>1</v>
      </c>
    </row>
    <row r="8019" spans="1:4" x14ac:dyDescent="0.55000000000000004">
      <c r="A8019">
        <f t="shared" si="252"/>
        <v>1993</v>
      </c>
      <c r="B8019" s="821">
        <v>33984</v>
      </c>
      <c r="C8019">
        <v>7.35</v>
      </c>
      <c r="D8019">
        <f t="shared" si="253"/>
        <v>1</v>
      </c>
    </row>
    <row r="8020" spans="1:4" x14ac:dyDescent="0.55000000000000004">
      <c r="A8020">
        <f t="shared" si="252"/>
        <v>1993</v>
      </c>
      <c r="B8020" s="821">
        <v>33983</v>
      </c>
      <c r="C8020">
        <v>7.41</v>
      </c>
      <c r="D8020">
        <f t="shared" si="253"/>
        <v>1</v>
      </c>
    </row>
    <row r="8021" spans="1:4" x14ac:dyDescent="0.55000000000000004">
      <c r="A8021">
        <f t="shared" si="252"/>
        <v>1993</v>
      </c>
      <c r="B8021" s="821">
        <v>33982</v>
      </c>
      <c r="C8021">
        <v>7.45</v>
      </c>
      <c r="D8021">
        <f t="shared" si="253"/>
        <v>1</v>
      </c>
    </row>
    <row r="8022" spans="1:4" x14ac:dyDescent="0.55000000000000004">
      <c r="A8022">
        <f t="shared" si="252"/>
        <v>1993</v>
      </c>
      <c r="B8022" s="821">
        <v>33981</v>
      </c>
      <c r="C8022">
        <v>7.48</v>
      </c>
      <c r="D8022">
        <f t="shared" si="253"/>
        <v>1</v>
      </c>
    </row>
    <row r="8023" spans="1:4" x14ac:dyDescent="0.55000000000000004">
      <c r="A8023">
        <f t="shared" si="252"/>
        <v>1993</v>
      </c>
      <c r="B8023" s="821">
        <v>33980</v>
      </c>
      <c r="C8023">
        <v>7.47</v>
      </c>
      <c r="D8023">
        <f t="shared" si="253"/>
        <v>1</v>
      </c>
    </row>
    <row r="8024" spans="1:4" x14ac:dyDescent="0.55000000000000004">
      <c r="A8024">
        <f t="shared" si="252"/>
        <v>1993</v>
      </c>
      <c r="B8024" s="821">
        <v>33977</v>
      </c>
      <c r="C8024">
        <v>7.47</v>
      </c>
      <c r="D8024">
        <f t="shared" si="253"/>
        <v>1</v>
      </c>
    </row>
    <row r="8025" spans="1:4" x14ac:dyDescent="0.55000000000000004">
      <c r="A8025">
        <f t="shared" si="252"/>
        <v>1993</v>
      </c>
      <c r="B8025" s="821">
        <v>33976</v>
      </c>
      <c r="C8025">
        <v>7.45</v>
      </c>
      <c r="D8025">
        <f t="shared" si="253"/>
        <v>1</v>
      </c>
    </row>
    <row r="8026" spans="1:4" x14ac:dyDescent="0.55000000000000004">
      <c r="A8026">
        <f t="shared" si="252"/>
        <v>1993</v>
      </c>
      <c r="B8026" s="821">
        <v>33975</v>
      </c>
      <c r="C8026">
        <v>7.34</v>
      </c>
      <c r="D8026">
        <f t="shared" si="253"/>
        <v>1</v>
      </c>
    </row>
    <row r="8027" spans="1:4" x14ac:dyDescent="0.55000000000000004">
      <c r="A8027">
        <f t="shared" si="252"/>
        <v>1993</v>
      </c>
      <c r="B8027" s="821">
        <v>33974</v>
      </c>
      <c r="C8027">
        <v>7.33</v>
      </c>
      <c r="D8027">
        <f t="shared" si="253"/>
        <v>1</v>
      </c>
    </row>
    <row r="8028" spans="1:4" x14ac:dyDescent="0.55000000000000004">
      <c r="A8028">
        <f t="shared" si="252"/>
        <v>1993</v>
      </c>
      <c r="B8028" s="821">
        <v>33973</v>
      </c>
      <c r="C8028">
        <v>7.33</v>
      </c>
      <c r="D8028">
        <f t="shared" si="253"/>
        <v>1</v>
      </c>
    </row>
    <row r="8029" spans="1:4" x14ac:dyDescent="0.55000000000000004">
      <c r="A8029">
        <f t="shared" si="252"/>
        <v>1992</v>
      </c>
      <c r="B8029" s="821">
        <v>33969</v>
      </c>
      <c r="C8029">
        <v>7.4</v>
      </c>
      <c r="D8029">
        <f t="shared" si="253"/>
        <v>1</v>
      </c>
    </row>
    <row r="8030" spans="1:4" x14ac:dyDescent="0.55000000000000004">
      <c r="A8030">
        <f t="shared" si="252"/>
        <v>1992</v>
      </c>
      <c r="B8030" s="821">
        <v>33968</v>
      </c>
      <c r="C8030">
        <v>7.39</v>
      </c>
      <c r="D8030">
        <f t="shared" si="253"/>
        <v>1</v>
      </c>
    </row>
    <row r="8031" spans="1:4" x14ac:dyDescent="0.55000000000000004">
      <c r="A8031">
        <f t="shared" si="252"/>
        <v>1992</v>
      </c>
      <c r="B8031" s="821">
        <v>33967</v>
      </c>
      <c r="C8031">
        <v>7.37</v>
      </c>
      <c r="D8031">
        <f t="shared" si="253"/>
        <v>1</v>
      </c>
    </row>
    <row r="8032" spans="1:4" x14ac:dyDescent="0.55000000000000004">
      <c r="A8032">
        <f t="shared" si="252"/>
        <v>1992</v>
      </c>
      <c r="B8032" s="821">
        <v>33966</v>
      </c>
      <c r="C8032">
        <v>7.4</v>
      </c>
      <c r="D8032">
        <f t="shared" si="253"/>
        <v>1</v>
      </c>
    </row>
    <row r="8033" spans="1:4" x14ac:dyDescent="0.55000000000000004">
      <c r="A8033">
        <f t="shared" si="252"/>
        <v>1992</v>
      </c>
      <c r="B8033" s="821">
        <v>33962</v>
      </c>
      <c r="C8033">
        <v>7.36</v>
      </c>
      <c r="D8033">
        <f t="shared" si="253"/>
        <v>1</v>
      </c>
    </row>
    <row r="8034" spans="1:4" x14ac:dyDescent="0.55000000000000004">
      <c r="A8034">
        <f t="shared" si="252"/>
        <v>1992</v>
      </c>
      <c r="B8034" s="821">
        <v>33961</v>
      </c>
      <c r="C8034">
        <v>7.36</v>
      </c>
      <c r="D8034">
        <f t="shared" si="253"/>
        <v>1</v>
      </c>
    </row>
    <row r="8035" spans="1:4" x14ac:dyDescent="0.55000000000000004">
      <c r="A8035">
        <f t="shared" si="252"/>
        <v>1992</v>
      </c>
      <c r="B8035" s="821">
        <v>33960</v>
      </c>
      <c r="C8035">
        <v>7.34</v>
      </c>
      <c r="D8035">
        <f t="shared" si="253"/>
        <v>1</v>
      </c>
    </row>
    <row r="8036" spans="1:4" x14ac:dyDescent="0.55000000000000004">
      <c r="A8036">
        <f t="shared" si="252"/>
        <v>1992</v>
      </c>
      <c r="B8036" s="821">
        <v>33959</v>
      </c>
      <c r="C8036">
        <v>7.38</v>
      </c>
      <c r="D8036">
        <f t="shared" si="253"/>
        <v>1</v>
      </c>
    </row>
    <row r="8037" spans="1:4" x14ac:dyDescent="0.55000000000000004">
      <c r="A8037">
        <f t="shared" si="252"/>
        <v>1992</v>
      </c>
      <c r="B8037" s="821">
        <v>33956</v>
      </c>
      <c r="C8037">
        <v>7.43</v>
      </c>
      <c r="D8037">
        <f t="shared" si="253"/>
        <v>1</v>
      </c>
    </row>
    <row r="8038" spans="1:4" x14ac:dyDescent="0.55000000000000004">
      <c r="A8038">
        <f t="shared" si="252"/>
        <v>1992</v>
      </c>
      <c r="B8038" s="821">
        <v>33955</v>
      </c>
      <c r="C8038">
        <v>7.43</v>
      </c>
      <c r="D8038">
        <f t="shared" si="253"/>
        <v>1</v>
      </c>
    </row>
    <row r="8039" spans="1:4" x14ac:dyDescent="0.55000000000000004">
      <c r="A8039">
        <f t="shared" si="252"/>
        <v>1992</v>
      </c>
      <c r="B8039" s="821">
        <v>33954</v>
      </c>
      <c r="C8039">
        <v>7.44</v>
      </c>
      <c r="D8039">
        <f t="shared" si="253"/>
        <v>1</v>
      </c>
    </row>
    <row r="8040" spans="1:4" x14ac:dyDescent="0.55000000000000004">
      <c r="A8040">
        <f t="shared" si="252"/>
        <v>1992</v>
      </c>
      <c r="B8040" s="821">
        <v>33953</v>
      </c>
      <c r="C8040">
        <v>7.45</v>
      </c>
      <c r="D8040">
        <f t="shared" si="253"/>
        <v>1</v>
      </c>
    </row>
    <row r="8041" spans="1:4" x14ac:dyDescent="0.55000000000000004">
      <c r="A8041">
        <f t="shared" si="252"/>
        <v>1992</v>
      </c>
      <c r="B8041" s="821">
        <v>33952</v>
      </c>
      <c r="C8041">
        <v>7.45</v>
      </c>
      <c r="D8041">
        <f t="shared" si="253"/>
        <v>1</v>
      </c>
    </row>
    <row r="8042" spans="1:4" x14ac:dyDescent="0.55000000000000004">
      <c r="A8042">
        <f t="shared" si="252"/>
        <v>1992</v>
      </c>
      <c r="B8042" s="821">
        <v>33949</v>
      </c>
      <c r="C8042">
        <v>7.44</v>
      </c>
      <c r="D8042">
        <f t="shared" si="253"/>
        <v>1</v>
      </c>
    </row>
    <row r="8043" spans="1:4" x14ac:dyDescent="0.55000000000000004">
      <c r="A8043">
        <f t="shared" si="252"/>
        <v>1992</v>
      </c>
      <c r="B8043" s="821">
        <v>33948</v>
      </c>
      <c r="C8043">
        <v>7.42</v>
      </c>
      <c r="D8043">
        <f t="shared" si="253"/>
        <v>1</v>
      </c>
    </row>
    <row r="8044" spans="1:4" x14ac:dyDescent="0.55000000000000004">
      <c r="A8044">
        <f t="shared" si="252"/>
        <v>1992</v>
      </c>
      <c r="B8044" s="821">
        <v>33947</v>
      </c>
      <c r="C8044">
        <v>7.44</v>
      </c>
      <c r="D8044">
        <f t="shared" si="253"/>
        <v>1</v>
      </c>
    </row>
    <row r="8045" spans="1:4" x14ac:dyDescent="0.55000000000000004">
      <c r="A8045">
        <f t="shared" si="252"/>
        <v>1992</v>
      </c>
      <c r="B8045" s="821">
        <v>33946</v>
      </c>
      <c r="C8045">
        <v>7.44</v>
      </c>
      <c r="D8045">
        <f t="shared" si="253"/>
        <v>1</v>
      </c>
    </row>
    <row r="8046" spans="1:4" x14ac:dyDescent="0.55000000000000004">
      <c r="A8046">
        <f t="shared" si="252"/>
        <v>1992</v>
      </c>
      <c r="B8046" s="821">
        <v>33945</v>
      </c>
      <c r="C8046">
        <v>7.45</v>
      </c>
      <c r="D8046">
        <f t="shared" si="253"/>
        <v>1</v>
      </c>
    </row>
    <row r="8047" spans="1:4" x14ac:dyDescent="0.55000000000000004">
      <c r="A8047">
        <f t="shared" si="252"/>
        <v>1992</v>
      </c>
      <c r="B8047" s="821">
        <v>33942</v>
      </c>
      <c r="C8047">
        <v>7.5</v>
      </c>
      <c r="D8047">
        <f t="shared" si="253"/>
        <v>1</v>
      </c>
    </row>
    <row r="8048" spans="1:4" x14ac:dyDescent="0.55000000000000004">
      <c r="A8048">
        <f t="shared" si="252"/>
        <v>1992</v>
      </c>
      <c r="B8048" s="821">
        <v>33941</v>
      </c>
      <c r="C8048">
        <v>7.57</v>
      </c>
      <c r="D8048">
        <f t="shared" si="253"/>
        <v>1</v>
      </c>
    </row>
    <row r="8049" spans="1:4" x14ac:dyDescent="0.55000000000000004">
      <c r="A8049">
        <f t="shared" si="252"/>
        <v>1992</v>
      </c>
      <c r="B8049" s="821">
        <v>33940</v>
      </c>
      <c r="C8049">
        <v>7.57</v>
      </c>
      <c r="D8049">
        <f t="shared" si="253"/>
        <v>1</v>
      </c>
    </row>
    <row r="8050" spans="1:4" x14ac:dyDescent="0.55000000000000004">
      <c r="A8050">
        <f t="shared" si="252"/>
        <v>1992</v>
      </c>
      <c r="B8050" s="821">
        <v>33939</v>
      </c>
      <c r="C8050">
        <v>7.57</v>
      </c>
      <c r="D8050">
        <f t="shared" si="253"/>
        <v>1</v>
      </c>
    </row>
    <row r="8051" spans="1:4" x14ac:dyDescent="0.55000000000000004">
      <c r="A8051">
        <f t="shared" si="252"/>
        <v>1992</v>
      </c>
      <c r="B8051" s="821">
        <v>33938</v>
      </c>
      <c r="C8051">
        <v>7.59</v>
      </c>
      <c r="D8051">
        <f t="shared" si="253"/>
        <v>1</v>
      </c>
    </row>
    <row r="8052" spans="1:4" x14ac:dyDescent="0.55000000000000004">
      <c r="A8052">
        <f t="shared" si="252"/>
        <v>1992</v>
      </c>
      <c r="B8052" s="821">
        <v>33935</v>
      </c>
      <c r="C8052">
        <v>7.59</v>
      </c>
      <c r="D8052">
        <f t="shared" si="253"/>
        <v>1</v>
      </c>
    </row>
    <row r="8053" spans="1:4" x14ac:dyDescent="0.55000000000000004">
      <c r="A8053">
        <f t="shared" si="252"/>
        <v>1992</v>
      </c>
      <c r="B8053" s="821">
        <v>33933</v>
      </c>
      <c r="C8053">
        <v>7.54</v>
      </c>
      <c r="D8053">
        <f t="shared" si="253"/>
        <v>1</v>
      </c>
    </row>
    <row r="8054" spans="1:4" x14ac:dyDescent="0.55000000000000004">
      <c r="A8054">
        <f t="shared" si="252"/>
        <v>1992</v>
      </c>
      <c r="B8054" s="821">
        <v>33932</v>
      </c>
      <c r="C8054">
        <v>7.53</v>
      </c>
      <c r="D8054">
        <f t="shared" si="253"/>
        <v>1</v>
      </c>
    </row>
    <row r="8055" spans="1:4" x14ac:dyDescent="0.55000000000000004">
      <c r="A8055">
        <f t="shared" si="252"/>
        <v>1992</v>
      </c>
      <c r="B8055" s="821">
        <v>33931</v>
      </c>
      <c r="C8055">
        <v>7.56</v>
      </c>
      <c r="D8055">
        <f t="shared" si="253"/>
        <v>1</v>
      </c>
    </row>
    <row r="8056" spans="1:4" x14ac:dyDescent="0.55000000000000004">
      <c r="A8056">
        <f t="shared" si="252"/>
        <v>1992</v>
      </c>
      <c r="B8056" s="821">
        <v>33928</v>
      </c>
      <c r="C8056">
        <v>7.54</v>
      </c>
      <c r="D8056">
        <f t="shared" si="253"/>
        <v>1</v>
      </c>
    </row>
    <row r="8057" spans="1:4" x14ac:dyDescent="0.55000000000000004">
      <c r="A8057">
        <f t="shared" si="252"/>
        <v>1992</v>
      </c>
      <c r="B8057" s="821">
        <v>33927</v>
      </c>
      <c r="C8057">
        <v>7.54</v>
      </c>
      <c r="D8057">
        <f t="shared" si="253"/>
        <v>1</v>
      </c>
    </row>
    <row r="8058" spans="1:4" x14ac:dyDescent="0.55000000000000004">
      <c r="A8058">
        <f t="shared" si="252"/>
        <v>1992</v>
      </c>
      <c r="B8058" s="821">
        <v>33926</v>
      </c>
      <c r="C8058">
        <v>7.51</v>
      </c>
      <c r="D8058">
        <f t="shared" si="253"/>
        <v>1</v>
      </c>
    </row>
    <row r="8059" spans="1:4" x14ac:dyDescent="0.55000000000000004">
      <c r="A8059">
        <f t="shared" si="252"/>
        <v>1992</v>
      </c>
      <c r="B8059" s="821">
        <v>33925</v>
      </c>
      <c r="C8059">
        <v>7.55</v>
      </c>
      <c r="D8059">
        <f t="shared" si="253"/>
        <v>1</v>
      </c>
    </row>
    <row r="8060" spans="1:4" x14ac:dyDescent="0.55000000000000004">
      <c r="A8060">
        <f t="shared" si="252"/>
        <v>1992</v>
      </c>
      <c r="B8060" s="821">
        <v>33924</v>
      </c>
      <c r="C8060">
        <v>7.56</v>
      </c>
      <c r="D8060">
        <f t="shared" si="253"/>
        <v>1</v>
      </c>
    </row>
    <row r="8061" spans="1:4" x14ac:dyDescent="0.55000000000000004">
      <c r="A8061">
        <f t="shared" si="252"/>
        <v>1992</v>
      </c>
      <c r="B8061" s="821">
        <v>33921</v>
      </c>
      <c r="C8061">
        <v>7.57</v>
      </c>
      <c r="D8061">
        <f t="shared" si="253"/>
        <v>1</v>
      </c>
    </row>
    <row r="8062" spans="1:4" x14ac:dyDescent="0.55000000000000004">
      <c r="A8062">
        <f t="shared" si="252"/>
        <v>1992</v>
      </c>
      <c r="B8062" s="821">
        <v>33920</v>
      </c>
      <c r="C8062">
        <v>7.57</v>
      </c>
      <c r="D8062">
        <f t="shared" si="253"/>
        <v>1</v>
      </c>
    </row>
    <row r="8063" spans="1:4" x14ac:dyDescent="0.55000000000000004">
      <c r="A8063">
        <f t="shared" si="252"/>
        <v>1992</v>
      </c>
      <c r="B8063" s="821">
        <v>33918</v>
      </c>
      <c r="C8063">
        <v>7.68</v>
      </c>
      <c r="D8063">
        <f t="shared" si="253"/>
        <v>1</v>
      </c>
    </row>
    <row r="8064" spans="1:4" x14ac:dyDescent="0.55000000000000004">
      <c r="A8064">
        <f t="shared" si="252"/>
        <v>1992</v>
      </c>
      <c r="B8064" s="821">
        <v>33917</v>
      </c>
      <c r="C8064">
        <v>7.75</v>
      </c>
      <c r="D8064">
        <f t="shared" si="253"/>
        <v>1</v>
      </c>
    </row>
    <row r="8065" spans="1:4" x14ac:dyDescent="0.55000000000000004">
      <c r="A8065">
        <f t="shared" si="252"/>
        <v>1992</v>
      </c>
      <c r="B8065" s="821">
        <v>33914</v>
      </c>
      <c r="C8065">
        <v>7.76</v>
      </c>
      <c r="D8065">
        <f t="shared" si="253"/>
        <v>1</v>
      </c>
    </row>
    <row r="8066" spans="1:4" x14ac:dyDescent="0.55000000000000004">
      <c r="A8066">
        <f t="shared" si="252"/>
        <v>1992</v>
      </c>
      <c r="B8066" s="821">
        <v>33913</v>
      </c>
      <c r="C8066">
        <v>7.69</v>
      </c>
      <c r="D8066">
        <f t="shared" si="253"/>
        <v>1</v>
      </c>
    </row>
    <row r="8067" spans="1:4" x14ac:dyDescent="0.55000000000000004">
      <c r="A8067">
        <f t="shared" si="252"/>
        <v>1992</v>
      </c>
      <c r="B8067" s="821">
        <v>33912</v>
      </c>
      <c r="C8067">
        <v>7.69</v>
      </c>
      <c r="D8067">
        <f t="shared" si="253"/>
        <v>1</v>
      </c>
    </row>
    <row r="8068" spans="1:4" x14ac:dyDescent="0.55000000000000004">
      <c r="A8068">
        <f t="shared" ref="A8068:A8131" si="254">YEAR(B8068)</f>
        <v>1992</v>
      </c>
      <c r="B8068" s="821">
        <v>33911</v>
      </c>
      <c r="C8068">
        <v>7.65</v>
      </c>
      <c r="D8068">
        <f t="shared" ref="D8068:D8131" si="255">IF(C8068&gt;4,1,0)</f>
        <v>1</v>
      </c>
    </row>
    <row r="8069" spans="1:4" x14ac:dyDescent="0.55000000000000004">
      <c r="A8069">
        <f t="shared" si="254"/>
        <v>1992</v>
      </c>
      <c r="B8069" s="821">
        <v>33910</v>
      </c>
      <c r="C8069">
        <v>7.66</v>
      </c>
      <c r="D8069">
        <f t="shared" si="255"/>
        <v>1</v>
      </c>
    </row>
    <row r="8070" spans="1:4" x14ac:dyDescent="0.55000000000000004">
      <c r="A8070">
        <f t="shared" si="254"/>
        <v>1992</v>
      </c>
      <c r="B8070" s="821">
        <v>33907</v>
      </c>
      <c r="C8070">
        <v>7.63</v>
      </c>
      <c r="D8070">
        <f t="shared" si="255"/>
        <v>1</v>
      </c>
    </row>
    <row r="8071" spans="1:4" x14ac:dyDescent="0.55000000000000004">
      <c r="A8071">
        <f t="shared" si="254"/>
        <v>1992</v>
      </c>
      <c r="B8071" s="821">
        <v>33906</v>
      </c>
      <c r="C8071">
        <v>7.6</v>
      </c>
      <c r="D8071">
        <f t="shared" si="255"/>
        <v>1</v>
      </c>
    </row>
    <row r="8072" spans="1:4" x14ac:dyDescent="0.55000000000000004">
      <c r="A8072">
        <f t="shared" si="254"/>
        <v>1992</v>
      </c>
      <c r="B8072" s="821">
        <v>33905</v>
      </c>
      <c r="C8072">
        <v>7.64</v>
      </c>
      <c r="D8072">
        <f t="shared" si="255"/>
        <v>1</v>
      </c>
    </row>
    <row r="8073" spans="1:4" x14ac:dyDescent="0.55000000000000004">
      <c r="A8073">
        <f t="shared" si="254"/>
        <v>1992</v>
      </c>
      <c r="B8073" s="821">
        <v>33904</v>
      </c>
      <c r="C8073">
        <v>7.62</v>
      </c>
      <c r="D8073">
        <f t="shared" si="255"/>
        <v>1</v>
      </c>
    </row>
    <row r="8074" spans="1:4" x14ac:dyDescent="0.55000000000000004">
      <c r="A8074">
        <f t="shared" si="254"/>
        <v>1992</v>
      </c>
      <c r="B8074" s="821">
        <v>33903</v>
      </c>
      <c r="C8074">
        <v>7.66</v>
      </c>
      <c r="D8074">
        <f t="shared" si="255"/>
        <v>1</v>
      </c>
    </row>
    <row r="8075" spans="1:4" x14ac:dyDescent="0.55000000000000004">
      <c r="A8075">
        <f t="shared" si="254"/>
        <v>1992</v>
      </c>
      <c r="B8075" s="821">
        <v>33900</v>
      </c>
      <c r="C8075">
        <v>7.65</v>
      </c>
      <c r="D8075">
        <f t="shared" si="255"/>
        <v>1</v>
      </c>
    </row>
    <row r="8076" spans="1:4" x14ac:dyDescent="0.55000000000000004">
      <c r="A8076">
        <f t="shared" si="254"/>
        <v>1992</v>
      </c>
      <c r="B8076" s="821">
        <v>33899</v>
      </c>
      <c r="C8076">
        <v>7.61</v>
      </c>
      <c r="D8076">
        <f t="shared" si="255"/>
        <v>1</v>
      </c>
    </row>
    <row r="8077" spans="1:4" x14ac:dyDescent="0.55000000000000004">
      <c r="A8077">
        <f t="shared" si="254"/>
        <v>1992</v>
      </c>
      <c r="B8077" s="821">
        <v>33898</v>
      </c>
      <c r="C8077">
        <v>7.63</v>
      </c>
      <c r="D8077">
        <f t="shared" si="255"/>
        <v>1</v>
      </c>
    </row>
    <row r="8078" spans="1:4" x14ac:dyDescent="0.55000000000000004">
      <c r="A8078">
        <f t="shared" si="254"/>
        <v>1992</v>
      </c>
      <c r="B8078" s="821">
        <v>33897</v>
      </c>
      <c r="C8078">
        <v>7.65</v>
      </c>
      <c r="D8078">
        <f t="shared" si="255"/>
        <v>1</v>
      </c>
    </row>
    <row r="8079" spans="1:4" x14ac:dyDescent="0.55000000000000004">
      <c r="A8079">
        <f t="shared" si="254"/>
        <v>1992</v>
      </c>
      <c r="B8079" s="821">
        <v>33896</v>
      </c>
      <c r="C8079">
        <v>7.57</v>
      </c>
      <c r="D8079">
        <f t="shared" si="255"/>
        <v>1</v>
      </c>
    </row>
    <row r="8080" spans="1:4" x14ac:dyDescent="0.55000000000000004">
      <c r="A8080">
        <f t="shared" si="254"/>
        <v>1992</v>
      </c>
      <c r="B8080" s="821">
        <v>33893</v>
      </c>
      <c r="C8080">
        <v>7.54</v>
      </c>
      <c r="D8080">
        <f t="shared" si="255"/>
        <v>1</v>
      </c>
    </row>
    <row r="8081" spans="1:4" x14ac:dyDescent="0.55000000000000004">
      <c r="A8081">
        <f t="shared" si="254"/>
        <v>1992</v>
      </c>
      <c r="B8081" s="821">
        <v>33892</v>
      </c>
      <c r="C8081">
        <v>7.51</v>
      </c>
      <c r="D8081">
        <f t="shared" si="255"/>
        <v>1</v>
      </c>
    </row>
    <row r="8082" spans="1:4" x14ac:dyDescent="0.55000000000000004">
      <c r="A8082">
        <f t="shared" si="254"/>
        <v>1992</v>
      </c>
      <c r="B8082" s="821">
        <v>33891</v>
      </c>
      <c r="C8082">
        <v>7.5</v>
      </c>
      <c r="D8082">
        <f t="shared" si="255"/>
        <v>1</v>
      </c>
    </row>
    <row r="8083" spans="1:4" x14ac:dyDescent="0.55000000000000004">
      <c r="A8083">
        <f t="shared" si="254"/>
        <v>1992</v>
      </c>
      <c r="B8083" s="821">
        <v>33890</v>
      </c>
      <c r="C8083">
        <v>7.53</v>
      </c>
      <c r="D8083">
        <f t="shared" si="255"/>
        <v>1</v>
      </c>
    </row>
    <row r="8084" spans="1:4" x14ac:dyDescent="0.55000000000000004">
      <c r="A8084">
        <f t="shared" si="254"/>
        <v>1992</v>
      </c>
      <c r="B8084" s="821">
        <v>33886</v>
      </c>
      <c r="C8084">
        <v>7.52</v>
      </c>
      <c r="D8084">
        <f t="shared" si="255"/>
        <v>1</v>
      </c>
    </row>
    <row r="8085" spans="1:4" x14ac:dyDescent="0.55000000000000004">
      <c r="A8085">
        <f t="shared" si="254"/>
        <v>1992</v>
      </c>
      <c r="B8085" s="821">
        <v>33885</v>
      </c>
      <c r="C8085">
        <v>7.45</v>
      </c>
      <c r="D8085">
        <f t="shared" si="255"/>
        <v>1</v>
      </c>
    </row>
    <row r="8086" spans="1:4" x14ac:dyDescent="0.55000000000000004">
      <c r="A8086">
        <f t="shared" si="254"/>
        <v>1992</v>
      </c>
      <c r="B8086" s="821">
        <v>33884</v>
      </c>
      <c r="C8086">
        <v>7.48</v>
      </c>
      <c r="D8086">
        <f t="shared" si="255"/>
        <v>1</v>
      </c>
    </row>
    <row r="8087" spans="1:4" x14ac:dyDescent="0.55000000000000004">
      <c r="A8087">
        <f t="shared" si="254"/>
        <v>1992</v>
      </c>
      <c r="B8087" s="821">
        <v>33883</v>
      </c>
      <c r="C8087">
        <v>7.41</v>
      </c>
      <c r="D8087">
        <f t="shared" si="255"/>
        <v>1</v>
      </c>
    </row>
    <row r="8088" spans="1:4" x14ac:dyDescent="0.55000000000000004">
      <c r="A8088">
        <f t="shared" si="254"/>
        <v>1992</v>
      </c>
      <c r="B8088" s="821">
        <v>33882</v>
      </c>
      <c r="C8088">
        <v>7.34</v>
      </c>
      <c r="D8088">
        <f t="shared" si="255"/>
        <v>1</v>
      </c>
    </row>
    <row r="8089" spans="1:4" x14ac:dyDescent="0.55000000000000004">
      <c r="A8089">
        <f t="shared" si="254"/>
        <v>1992</v>
      </c>
      <c r="B8089" s="821">
        <v>33879</v>
      </c>
      <c r="C8089">
        <v>7.33</v>
      </c>
      <c r="D8089">
        <f t="shared" si="255"/>
        <v>1</v>
      </c>
    </row>
    <row r="8090" spans="1:4" x14ac:dyDescent="0.55000000000000004">
      <c r="A8090">
        <f t="shared" si="254"/>
        <v>1992</v>
      </c>
      <c r="B8090" s="821">
        <v>33878</v>
      </c>
      <c r="C8090">
        <v>7.3</v>
      </c>
      <c r="D8090">
        <f t="shared" si="255"/>
        <v>1</v>
      </c>
    </row>
    <row r="8091" spans="1:4" x14ac:dyDescent="0.55000000000000004">
      <c r="A8091">
        <f t="shared" si="254"/>
        <v>1992</v>
      </c>
      <c r="B8091" s="821">
        <v>33877</v>
      </c>
      <c r="C8091">
        <v>7.38</v>
      </c>
      <c r="D8091">
        <f t="shared" si="255"/>
        <v>1</v>
      </c>
    </row>
    <row r="8092" spans="1:4" x14ac:dyDescent="0.55000000000000004">
      <c r="A8092">
        <f t="shared" si="254"/>
        <v>1992</v>
      </c>
      <c r="B8092" s="821">
        <v>33876</v>
      </c>
      <c r="C8092">
        <v>7.36</v>
      </c>
      <c r="D8092">
        <f t="shared" si="255"/>
        <v>1</v>
      </c>
    </row>
    <row r="8093" spans="1:4" x14ac:dyDescent="0.55000000000000004">
      <c r="A8093">
        <f t="shared" si="254"/>
        <v>1992</v>
      </c>
      <c r="B8093" s="821">
        <v>33875</v>
      </c>
      <c r="C8093">
        <v>7.34</v>
      </c>
      <c r="D8093">
        <f t="shared" si="255"/>
        <v>1</v>
      </c>
    </row>
    <row r="8094" spans="1:4" x14ac:dyDescent="0.55000000000000004">
      <c r="A8094">
        <f t="shared" si="254"/>
        <v>1992</v>
      </c>
      <c r="B8094" s="821">
        <v>33872</v>
      </c>
      <c r="C8094">
        <v>7.35</v>
      </c>
      <c r="D8094">
        <f t="shared" si="255"/>
        <v>1</v>
      </c>
    </row>
    <row r="8095" spans="1:4" x14ac:dyDescent="0.55000000000000004">
      <c r="A8095">
        <f t="shared" si="254"/>
        <v>1992</v>
      </c>
      <c r="B8095" s="821">
        <v>33871</v>
      </c>
      <c r="C8095">
        <v>7.42</v>
      </c>
      <c r="D8095">
        <f t="shared" si="255"/>
        <v>1</v>
      </c>
    </row>
    <row r="8096" spans="1:4" x14ac:dyDescent="0.55000000000000004">
      <c r="A8096">
        <f t="shared" si="254"/>
        <v>1992</v>
      </c>
      <c r="B8096" s="821">
        <v>33870</v>
      </c>
      <c r="C8096">
        <v>7.48</v>
      </c>
      <c r="D8096">
        <f t="shared" si="255"/>
        <v>1</v>
      </c>
    </row>
    <row r="8097" spans="1:4" x14ac:dyDescent="0.55000000000000004">
      <c r="A8097">
        <f t="shared" si="254"/>
        <v>1992</v>
      </c>
      <c r="B8097" s="821">
        <v>33869</v>
      </c>
      <c r="C8097">
        <v>7.45</v>
      </c>
      <c r="D8097">
        <f t="shared" si="255"/>
        <v>1</v>
      </c>
    </row>
    <row r="8098" spans="1:4" x14ac:dyDescent="0.55000000000000004">
      <c r="A8098">
        <f t="shared" si="254"/>
        <v>1992</v>
      </c>
      <c r="B8098" s="821">
        <v>33868</v>
      </c>
      <c r="C8098">
        <v>7.35</v>
      </c>
      <c r="D8098">
        <f t="shared" si="255"/>
        <v>1</v>
      </c>
    </row>
    <row r="8099" spans="1:4" x14ac:dyDescent="0.55000000000000004">
      <c r="A8099">
        <f t="shared" si="254"/>
        <v>1992</v>
      </c>
      <c r="B8099" s="821">
        <v>33865</v>
      </c>
      <c r="C8099">
        <v>7.32</v>
      </c>
      <c r="D8099">
        <f t="shared" si="255"/>
        <v>1</v>
      </c>
    </row>
    <row r="8100" spans="1:4" x14ac:dyDescent="0.55000000000000004">
      <c r="A8100">
        <f t="shared" si="254"/>
        <v>1992</v>
      </c>
      <c r="B8100" s="821">
        <v>33864</v>
      </c>
      <c r="C8100">
        <v>7.34</v>
      </c>
      <c r="D8100">
        <f t="shared" si="255"/>
        <v>1</v>
      </c>
    </row>
    <row r="8101" spans="1:4" x14ac:dyDescent="0.55000000000000004">
      <c r="A8101">
        <f t="shared" si="254"/>
        <v>1992</v>
      </c>
      <c r="B8101" s="821">
        <v>33863</v>
      </c>
      <c r="C8101">
        <v>7.35</v>
      </c>
      <c r="D8101">
        <f t="shared" si="255"/>
        <v>1</v>
      </c>
    </row>
    <row r="8102" spans="1:4" x14ac:dyDescent="0.55000000000000004">
      <c r="A8102">
        <f t="shared" si="254"/>
        <v>1992</v>
      </c>
      <c r="B8102" s="821">
        <v>33862</v>
      </c>
      <c r="C8102">
        <v>7.33</v>
      </c>
      <c r="D8102">
        <f t="shared" si="255"/>
        <v>1</v>
      </c>
    </row>
    <row r="8103" spans="1:4" x14ac:dyDescent="0.55000000000000004">
      <c r="A8103">
        <f t="shared" si="254"/>
        <v>1992</v>
      </c>
      <c r="B8103" s="821">
        <v>33861</v>
      </c>
      <c r="C8103">
        <v>7.26</v>
      </c>
      <c r="D8103">
        <f t="shared" si="255"/>
        <v>1</v>
      </c>
    </row>
    <row r="8104" spans="1:4" x14ac:dyDescent="0.55000000000000004">
      <c r="A8104">
        <f t="shared" si="254"/>
        <v>1992</v>
      </c>
      <c r="B8104" s="821">
        <v>33858</v>
      </c>
      <c r="C8104">
        <v>7.3</v>
      </c>
      <c r="D8104">
        <f t="shared" si="255"/>
        <v>1</v>
      </c>
    </row>
    <row r="8105" spans="1:4" x14ac:dyDescent="0.55000000000000004">
      <c r="A8105">
        <f t="shared" si="254"/>
        <v>1992</v>
      </c>
      <c r="B8105" s="821">
        <v>33857</v>
      </c>
      <c r="C8105">
        <v>7.24</v>
      </c>
      <c r="D8105">
        <f t="shared" si="255"/>
        <v>1</v>
      </c>
    </row>
    <row r="8106" spans="1:4" x14ac:dyDescent="0.55000000000000004">
      <c r="A8106">
        <f t="shared" si="254"/>
        <v>1992</v>
      </c>
      <c r="B8106" s="821">
        <v>33856</v>
      </c>
      <c r="C8106">
        <v>7.25</v>
      </c>
      <c r="D8106">
        <f t="shared" si="255"/>
        <v>1</v>
      </c>
    </row>
    <row r="8107" spans="1:4" x14ac:dyDescent="0.55000000000000004">
      <c r="A8107">
        <f t="shared" si="254"/>
        <v>1992</v>
      </c>
      <c r="B8107" s="821">
        <v>33855</v>
      </c>
      <c r="C8107">
        <v>7.23</v>
      </c>
      <c r="D8107">
        <f t="shared" si="255"/>
        <v>1</v>
      </c>
    </row>
    <row r="8108" spans="1:4" x14ac:dyDescent="0.55000000000000004">
      <c r="A8108">
        <f t="shared" si="254"/>
        <v>1992</v>
      </c>
      <c r="B8108" s="821">
        <v>33851</v>
      </c>
      <c r="C8108">
        <v>7.29</v>
      </c>
      <c r="D8108">
        <f t="shared" si="255"/>
        <v>1</v>
      </c>
    </row>
    <row r="8109" spans="1:4" x14ac:dyDescent="0.55000000000000004">
      <c r="A8109">
        <f t="shared" si="254"/>
        <v>1992</v>
      </c>
      <c r="B8109" s="821">
        <v>33850</v>
      </c>
      <c r="C8109">
        <v>7.37</v>
      </c>
      <c r="D8109">
        <f t="shared" si="255"/>
        <v>1</v>
      </c>
    </row>
    <row r="8110" spans="1:4" x14ac:dyDescent="0.55000000000000004">
      <c r="A8110">
        <f t="shared" si="254"/>
        <v>1992</v>
      </c>
      <c r="B8110" s="821">
        <v>33849</v>
      </c>
      <c r="C8110">
        <v>7.37</v>
      </c>
      <c r="D8110">
        <f t="shared" si="255"/>
        <v>1</v>
      </c>
    </row>
    <row r="8111" spans="1:4" x14ac:dyDescent="0.55000000000000004">
      <c r="A8111">
        <f t="shared" si="254"/>
        <v>1992</v>
      </c>
      <c r="B8111" s="821">
        <v>33848</v>
      </c>
      <c r="C8111">
        <v>7.38</v>
      </c>
      <c r="D8111">
        <f t="shared" si="255"/>
        <v>1</v>
      </c>
    </row>
    <row r="8112" spans="1:4" x14ac:dyDescent="0.55000000000000004">
      <c r="A8112">
        <f t="shared" si="254"/>
        <v>1992</v>
      </c>
      <c r="B8112" s="821">
        <v>33847</v>
      </c>
      <c r="C8112">
        <v>7.42</v>
      </c>
      <c r="D8112">
        <f t="shared" si="255"/>
        <v>1</v>
      </c>
    </row>
    <row r="8113" spans="1:4" x14ac:dyDescent="0.55000000000000004">
      <c r="A8113">
        <f t="shared" si="254"/>
        <v>1992</v>
      </c>
      <c r="B8113" s="821">
        <v>33844</v>
      </c>
      <c r="C8113">
        <v>7.42</v>
      </c>
      <c r="D8113">
        <f t="shared" si="255"/>
        <v>1</v>
      </c>
    </row>
    <row r="8114" spans="1:4" x14ac:dyDescent="0.55000000000000004">
      <c r="A8114">
        <f t="shared" si="254"/>
        <v>1992</v>
      </c>
      <c r="B8114" s="821">
        <v>33843</v>
      </c>
      <c r="C8114">
        <v>7.42</v>
      </c>
      <c r="D8114">
        <f t="shared" si="255"/>
        <v>1</v>
      </c>
    </row>
    <row r="8115" spans="1:4" x14ac:dyDescent="0.55000000000000004">
      <c r="A8115">
        <f t="shared" si="254"/>
        <v>1992</v>
      </c>
      <c r="B8115" s="821">
        <v>33842</v>
      </c>
      <c r="C8115">
        <v>7.43</v>
      </c>
      <c r="D8115">
        <f t="shared" si="255"/>
        <v>1</v>
      </c>
    </row>
    <row r="8116" spans="1:4" x14ac:dyDescent="0.55000000000000004">
      <c r="A8116">
        <f t="shared" si="254"/>
        <v>1992</v>
      </c>
      <c r="B8116" s="821">
        <v>33841</v>
      </c>
      <c r="C8116">
        <v>7.47</v>
      </c>
      <c r="D8116">
        <f t="shared" si="255"/>
        <v>1</v>
      </c>
    </row>
    <row r="8117" spans="1:4" x14ac:dyDescent="0.55000000000000004">
      <c r="A8117">
        <f t="shared" si="254"/>
        <v>1992</v>
      </c>
      <c r="B8117" s="821">
        <v>33840</v>
      </c>
      <c r="C8117">
        <v>7.44</v>
      </c>
      <c r="D8117">
        <f t="shared" si="255"/>
        <v>1</v>
      </c>
    </row>
    <row r="8118" spans="1:4" x14ac:dyDescent="0.55000000000000004">
      <c r="A8118">
        <f t="shared" si="254"/>
        <v>1992</v>
      </c>
      <c r="B8118" s="821">
        <v>33837</v>
      </c>
      <c r="C8118">
        <v>7.36</v>
      </c>
      <c r="D8118">
        <f t="shared" si="255"/>
        <v>1</v>
      </c>
    </row>
    <row r="8119" spans="1:4" x14ac:dyDescent="0.55000000000000004">
      <c r="A8119">
        <f t="shared" si="254"/>
        <v>1992</v>
      </c>
      <c r="B8119" s="821">
        <v>33836</v>
      </c>
      <c r="C8119">
        <v>7.32</v>
      </c>
      <c r="D8119">
        <f t="shared" si="255"/>
        <v>1</v>
      </c>
    </row>
    <row r="8120" spans="1:4" x14ac:dyDescent="0.55000000000000004">
      <c r="A8120">
        <f t="shared" si="254"/>
        <v>1992</v>
      </c>
      <c r="B8120" s="821">
        <v>33835</v>
      </c>
      <c r="C8120">
        <v>7.33</v>
      </c>
      <c r="D8120">
        <f t="shared" si="255"/>
        <v>1</v>
      </c>
    </row>
    <row r="8121" spans="1:4" x14ac:dyDescent="0.55000000000000004">
      <c r="A8121">
        <f t="shared" si="254"/>
        <v>1992</v>
      </c>
      <c r="B8121" s="821">
        <v>33834</v>
      </c>
      <c r="C8121">
        <v>7.33</v>
      </c>
      <c r="D8121">
        <f t="shared" si="255"/>
        <v>1</v>
      </c>
    </row>
    <row r="8122" spans="1:4" x14ac:dyDescent="0.55000000000000004">
      <c r="A8122">
        <f t="shared" si="254"/>
        <v>1992</v>
      </c>
      <c r="B8122" s="821">
        <v>33833</v>
      </c>
      <c r="C8122">
        <v>7.37</v>
      </c>
      <c r="D8122">
        <f t="shared" si="255"/>
        <v>1</v>
      </c>
    </row>
    <row r="8123" spans="1:4" x14ac:dyDescent="0.55000000000000004">
      <c r="A8123">
        <f t="shared" si="254"/>
        <v>1992</v>
      </c>
      <c r="B8123" s="821">
        <v>33830</v>
      </c>
      <c r="C8123">
        <v>7.33</v>
      </c>
      <c r="D8123">
        <f t="shared" si="255"/>
        <v>1</v>
      </c>
    </row>
    <row r="8124" spans="1:4" x14ac:dyDescent="0.55000000000000004">
      <c r="A8124">
        <f t="shared" si="254"/>
        <v>1992</v>
      </c>
      <c r="B8124" s="821">
        <v>33829</v>
      </c>
      <c r="C8124">
        <v>7.36</v>
      </c>
      <c r="D8124">
        <f t="shared" si="255"/>
        <v>1</v>
      </c>
    </row>
    <row r="8125" spans="1:4" x14ac:dyDescent="0.55000000000000004">
      <c r="A8125">
        <f t="shared" si="254"/>
        <v>1992</v>
      </c>
      <c r="B8125" s="821">
        <v>33828</v>
      </c>
      <c r="C8125">
        <v>7.33</v>
      </c>
      <c r="D8125">
        <f t="shared" si="255"/>
        <v>1</v>
      </c>
    </row>
    <row r="8126" spans="1:4" x14ac:dyDescent="0.55000000000000004">
      <c r="A8126">
        <f t="shared" si="254"/>
        <v>1992</v>
      </c>
      <c r="B8126" s="821">
        <v>33827</v>
      </c>
      <c r="C8126">
        <v>7.33</v>
      </c>
      <c r="D8126">
        <f t="shared" si="255"/>
        <v>1</v>
      </c>
    </row>
    <row r="8127" spans="1:4" x14ac:dyDescent="0.55000000000000004">
      <c r="A8127">
        <f t="shared" si="254"/>
        <v>1992</v>
      </c>
      <c r="B8127" s="821">
        <v>33826</v>
      </c>
      <c r="C8127">
        <v>7.37</v>
      </c>
      <c r="D8127">
        <f t="shared" si="255"/>
        <v>1</v>
      </c>
    </row>
    <row r="8128" spans="1:4" x14ac:dyDescent="0.55000000000000004">
      <c r="A8128">
        <f t="shared" si="254"/>
        <v>1992</v>
      </c>
      <c r="B8128" s="821">
        <v>33823</v>
      </c>
      <c r="C8128">
        <v>7.4</v>
      </c>
      <c r="D8128">
        <f t="shared" si="255"/>
        <v>1</v>
      </c>
    </row>
    <row r="8129" spans="1:4" x14ac:dyDescent="0.55000000000000004">
      <c r="A8129">
        <f t="shared" si="254"/>
        <v>1992</v>
      </c>
      <c r="B8129" s="821">
        <v>33822</v>
      </c>
      <c r="C8129">
        <v>7.45</v>
      </c>
      <c r="D8129">
        <f t="shared" si="255"/>
        <v>1</v>
      </c>
    </row>
    <row r="8130" spans="1:4" x14ac:dyDescent="0.55000000000000004">
      <c r="A8130">
        <f t="shared" si="254"/>
        <v>1992</v>
      </c>
      <c r="B8130" s="821">
        <v>33821</v>
      </c>
      <c r="C8130">
        <v>7.43</v>
      </c>
      <c r="D8130">
        <f t="shared" si="255"/>
        <v>1</v>
      </c>
    </row>
    <row r="8131" spans="1:4" x14ac:dyDescent="0.55000000000000004">
      <c r="A8131">
        <f t="shared" si="254"/>
        <v>1992</v>
      </c>
      <c r="B8131" s="821">
        <v>33820</v>
      </c>
      <c r="C8131">
        <v>7.43</v>
      </c>
      <c r="D8131">
        <f t="shared" si="255"/>
        <v>1</v>
      </c>
    </row>
    <row r="8132" spans="1:4" x14ac:dyDescent="0.55000000000000004">
      <c r="A8132">
        <f t="shared" ref="A8132:A8195" si="256">YEAR(B8132)</f>
        <v>1992</v>
      </c>
      <c r="B8132" s="821">
        <v>33819</v>
      </c>
      <c r="C8132">
        <v>7.46</v>
      </c>
      <c r="D8132">
        <f t="shared" ref="D8132:D8195" si="257">IF(C8132&gt;4,1,0)</f>
        <v>1</v>
      </c>
    </row>
    <row r="8133" spans="1:4" x14ac:dyDescent="0.55000000000000004">
      <c r="A8133">
        <f t="shared" si="256"/>
        <v>1992</v>
      </c>
      <c r="B8133" s="821">
        <v>33816</v>
      </c>
      <c r="C8133">
        <v>7.46</v>
      </c>
      <c r="D8133">
        <f t="shared" si="257"/>
        <v>1</v>
      </c>
    </row>
    <row r="8134" spans="1:4" x14ac:dyDescent="0.55000000000000004">
      <c r="A8134">
        <f t="shared" si="256"/>
        <v>1992</v>
      </c>
      <c r="B8134" s="821">
        <v>33815</v>
      </c>
      <c r="C8134">
        <v>7.46</v>
      </c>
      <c r="D8134">
        <f t="shared" si="257"/>
        <v>1</v>
      </c>
    </row>
    <row r="8135" spans="1:4" x14ac:dyDescent="0.55000000000000004">
      <c r="A8135">
        <f t="shared" si="256"/>
        <v>1992</v>
      </c>
      <c r="B8135" s="821">
        <v>33814</v>
      </c>
      <c r="C8135">
        <v>7.43</v>
      </c>
      <c r="D8135">
        <f t="shared" si="257"/>
        <v>1</v>
      </c>
    </row>
    <row r="8136" spans="1:4" x14ac:dyDescent="0.55000000000000004">
      <c r="A8136">
        <f t="shared" si="256"/>
        <v>1992</v>
      </c>
      <c r="B8136" s="821">
        <v>33813</v>
      </c>
      <c r="C8136">
        <v>7.44</v>
      </c>
      <c r="D8136">
        <f t="shared" si="257"/>
        <v>1</v>
      </c>
    </row>
    <row r="8137" spans="1:4" x14ac:dyDescent="0.55000000000000004">
      <c r="A8137">
        <f t="shared" si="256"/>
        <v>1992</v>
      </c>
      <c r="B8137" s="821">
        <v>33812</v>
      </c>
      <c r="C8137">
        <v>7.53</v>
      </c>
      <c r="D8137">
        <f t="shared" si="257"/>
        <v>1</v>
      </c>
    </row>
    <row r="8138" spans="1:4" x14ac:dyDescent="0.55000000000000004">
      <c r="A8138">
        <f t="shared" si="256"/>
        <v>1992</v>
      </c>
      <c r="B8138" s="821">
        <v>33809</v>
      </c>
      <c r="C8138">
        <v>7.57</v>
      </c>
      <c r="D8138">
        <f t="shared" si="257"/>
        <v>1</v>
      </c>
    </row>
    <row r="8139" spans="1:4" x14ac:dyDescent="0.55000000000000004">
      <c r="A8139">
        <f t="shared" si="256"/>
        <v>1992</v>
      </c>
      <c r="B8139" s="821">
        <v>33808</v>
      </c>
      <c r="C8139">
        <v>7.54</v>
      </c>
      <c r="D8139">
        <f t="shared" si="257"/>
        <v>1</v>
      </c>
    </row>
    <row r="8140" spans="1:4" x14ac:dyDescent="0.55000000000000004">
      <c r="A8140">
        <f t="shared" si="256"/>
        <v>1992</v>
      </c>
      <c r="B8140" s="821">
        <v>33807</v>
      </c>
      <c r="C8140">
        <v>7.62</v>
      </c>
      <c r="D8140">
        <f t="shared" si="257"/>
        <v>1</v>
      </c>
    </row>
    <row r="8141" spans="1:4" x14ac:dyDescent="0.55000000000000004">
      <c r="A8141">
        <f t="shared" si="256"/>
        <v>1992</v>
      </c>
      <c r="B8141" s="821">
        <v>33806</v>
      </c>
      <c r="C8141">
        <v>7.67</v>
      </c>
      <c r="D8141">
        <f t="shared" si="257"/>
        <v>1</v>
      </c>
    </row>
    <row r="8142" spans="1:4" x14ac:dyDescent="0.55000000000000004">
      <c r="A8142">
        <f t="shared" si="256"/>
        <v>1992</v>
      </c>
      <c r="B8142" s="821">
        <v>33805</v>
      </c>
      <c r="C8142">
        <v>7.66</v>
      </c>
      <c r="D8142">
        <f t="shared" si="257"/>
        <v>1</v>
      </c>
    </row>
    <row r="8143" spans="1:4" x14ac:dyDescent="0.55000000000000004">
      <c r="A8143">
        <f t="shared" si="256"/>
        <v>1992</v>
      </c>
      <c r="B8143" s="821">
        <v>33802</v>
      </c>
      <c r="C8143">
        <v>7.68</v>
      </c>
      <c r="D8143">
        <f t="shared" si="257"/>
        <v>1</v>
      </c>
    </row>
    <row r="8144" spans="1:4" x14ac:dyDescent="0.55000000000000004">
      <c r="A8144">
        <f t="shared" si="256"/>
        <v>1992</v>
      </c>
      <c r="B8144" s="821">
        <v>33801</v>
      </c>
      <c r="C8144">
        <v>7.62</v>
      </c>
      <c r="D8144">
        <f t="shared" si="257"/>
        <v>1</v>
      </c>
    </row>
    <row r="8145" spans="1:4" x14ac:dyDescent="0.55000000000000004">
      <c r="A8145">
        <f t="shared" si="256"/>
        <v>1992</v>
      </c>
      <c r="B8145" s="821">
        <v>33800</v>
      </c>
      <c r="C8145">
        <v>7.64</v>
      </c>
      <c r="D8145">
        <f t="shared" si="257"/>
        <v>1</v>
      </c>
    </row>
    <row r="8146" spans="1:4" x14ac:dyDescent="0.55000000000000004">
      <c r="A8146">
        <f t="shared" si="256"/>
        <v>1992</v>
      </c>
      <c r="B8146" s="821">
        <v>33799</v>
      </c>
      <c r="C8146">
        <v>7.69</v>
      </c>
      <c r="D8146">
        <f t="shared" si="257"/>
        <v>1</v>
      </c>
    </row>
    <row r="8147" spans="1:4" x14ac:dyDescent="0.55000000000000004">
      <c r="A8147">
        <f t="shared" si="256"/>
        <v>1992</v>
      </c>
      <c r="B8147" s="821">
        <v>33798</v>
      </c>
      <c r="C8147">
        <v>7.67</v>
      </c>
      <c r="D8147">
        <f t="shared" si="257"/>
        <v>1</v>
      </c>
    </row>
    <row r="8148" spans="1:4" x14ac:dyDescent="0.55000000000000004">
      <c r="A8148">
        <f t="shared" si="256"/>
        <v>1992</v>
      </c>
      <c r="B8148" s="821">
        <v>33795</v>
      </c>
      <c r="C8148">
        <v>7.64</v>
      </c>
      <c r="D8148">
        <f t="shared" si="257"/>
        <v>1</v>
      </c>
    </row>
    <row r="8149" spans="1:4" x14ac:dyDescent="0.55000000000000004">
      <c r="A8149">
        <f t="shared" si="256"/>
        <v>1992</v>
      </c>
      <c r="B8149" s="821">
        <v>33794</v>
      </c>
      <c r="C8149">
        <v>7.61</v>
      </c>
      <c r="D8149">
        <f t="shared" si="257"/>
        <v>1</v>
      </c>
    </row>
    <row r="8150" spans="1:4" x14ac:dyDescent="0.55000000000000004">
      <c r="A8150">
        <f t="shared" si="256"/>
        <v>1992</v>
      </c>
      <c r="B8150" s="821">
        <v>33793</v>
      </c>
      <c r="C8150">
        <v>7.61</v>
      </c>
      <c r="D8150">
        <f t="shared" si="257"/>
        <v>1</v>
      </c>
    </row>
    <row r="8151" spans="1:4" x14ac:dyDescent="0.55000000000000004">
      <c r="A8151">
        <f t="shared" si="256"/>
        <v>1992</v>
      </c>
      <c r="B8151" s="821">
        <v>33792</v>
      </c>
      <c r="C8151">
        <v>7.61</v>
      </c>
      <c r="D8151">
        <f t="shared" si="257"/>
        <v>1</v>
      </c>
    </row>
    <row r="8152" spans="1:4" x14ac:dyDescent="0.55000000000000004">
      <c r="A8152">
        <f t="shared" si="256"/>
        <v>1992</v>
      </c>
      <c r="B8152" s="821">
        <v>33791</v>
      </c>
      <c r="C8152">
        <v>7.62</v>
      </c>
      <c r="D8152">
        <f t="shared" si="257"/>
        <v>1</v>
      </c>
    </row>
    <row r="8153" spans="1:4" x14ac:dyDescent="0.55000000000000004">
      <c r="A8153">
        <f t="shared" si="256"/>
        <v>1992</v>
      </c>
      <c r="B8153" s="821">
        <v>33787</v>
      </c>
      <c r="C8153">
        <v>7.63</v>
      </c>
      <c r="D8153">
        <f t="shared" si="257"/>
        <v>1</v>
      </c>
    </row>
    <row r="8154" spans="1:4" x14ac:dyDescent="0.55000000000000004">
      <c r="A8154">
        <f t="shared" si="256"/>
        <v>1992</v>
      </c>
      <c r="B8154" s="821">
        <v>33786</v>
      </c>
      <c r="C8154">
        <v>7.76</v>
      </c>
      <c r="D8154">
        <f t="shared" si="257"/>
        <v>1</v>
      </c>
    </row>
    <row r="8155" spans="1:4" x14ac:dyDescent="0.55000000000000004">
      <c r="A8155">
        <f t="shared" si="256"/>
        <v>1992</v>
      </c>
      <c r="B8155" s="821">
        <v>33785</v>
      </c>
      <c r="C8155">
        <v>7.79</v>
      </c>
      <c r="D8155">
        <f t="shared" si="257"/>
        <v>1</v>
      </c>
    </row>
    <row r="8156" spans="1:4" x14ac:dyDescent="0.55000000000000004">
      <c r="A8156">
        <f t="shared" si="256"/>
        <v>1992</v>
      </c>
      <c r="B8156" s="821">
        <v>33784</v>
      </c>
      <c r="C8156">
        <v>7.78</v>
      </c>
      <c r="D8156">
        <f t="shared" si="257"/>
        <v>1</v>
      </c>
    </row>
    <row r="8157" spans="1:4" x14ac:dyDescent="0.55000000000000004">
      <c r="A8157">
        <f t="shared" si="256"/>
        <v>1992</v>
      </c>
      <c r="B8157" s="821">
        <v>33781</v>
      </c>
      <c r="C8157">
        <v>7.79</v>
      </c>
      <c r="D8157">
        <f t="shared" si="257"/>
        <v>1</v>
      </c>
    </row>
    <row r="8158" spans="1:4" x14ac:dyDescent="0.55000000000000004">
      <c r="A8158">
        <f t="shared" si="256"/>
        <v>1992</v>
      </c>
      <c r="B8158" s="821">
        <v>33780</v>
      </c>
      <c r="C8158">
        <v>7.78</v>
      </c>
      <c r="D8158">
        <f t="shared" si="257"/>
        <v>1</v>
      </c>
    </row>
    <row r="8159" spans="1:4" x14ac:dyDescent="0.55000000000000004">
      <c r="A8159">
        <f t="shared" si="256"/>
        <v>1992</v>
      </c>
      <c r="B8159" s="821">
        <v>33779</v>
      </c>
      <c r="C8159">
        <v>7.83</v>
      </c>
      <c r="D8159">
        <f t="shared" si="257"/>
        <v>1</v>
      </c>
    </row>
    <row r="8160" spans="1:4" x14ac:dyDescent="0.55000000000000004">
      <c r="A8160">
        <f t="shared" si="256"/>
        <v>1992</v>
      </c>
      <c r="B8160" s="821">
        <v>33778</v>
      </c>
      <c r="C8160">
        <v>7.85</v>
      </c>
      <c r="D8160">
        <f t="shared" si="257"/>
        <v>1</v>
      </c>
    </row>
    <row r="8161" spans="1:4" x14ac:dyDescent="0.55000000000000004">
      <c r="A8161">
        <f t="shared" si="256"/>
        <v>1992</v>
      </c>
      <c r="B8161" s="821">
        <v>33777</v>
      </c>
      <c r="C8161">
        <v>7.84</v>
      </c>
      <c r="D8161">
        <f t="shared" si="257"/>
        <v>1</v>
      </c>
    </row>
    <row r="8162" spans="1:4" x14ac:dyDescent="0.55000000000000004">
      <c r="A8162">
        <f t="shared" si="256"/>
        <v>1992</v>
      </c>
      <c r="B8162" s="821">
        <v>33774</v>
      </c>
      <c r="C8162">
        <v>7.83</v>
      </c>
      <c r="D8162">
        <f t="shared" si="257"/>
        <v>1</v>
      </c>
    </row>
    <row r="8163" spans="1:4" x14ac:dyDescent="0.55000000000000004">
      <c r="A8163">
        <f t="shared" si="256"/>
        <v>1992</v>
      </c>
      <c r="B8163" s="821">
        <v>33773</v>
      </c>
      <c r="C8163">
        <v>7.8</v>
      </c>
      <c r="D8163">
        <f t="shared" si="257"/>
        <v>1</v>
      </c>
    </row>
    <row r="8164" spans="1:4" x14ac:dyDescent="0.55000000000000004">
      <c r="A8164">
        <f t="shared" si="256"/>
        <v>1992</v>
      </c>
      <c r="B8164" s="821">
        <v>33772</v>
      </c>
      <c r="C8164">
        <v>7.82</v>
      </c>
      <c r="D8164">
        <f t="shared" si="257"/>
        <v>1</v>
      </c>
    </row>
    <row r="8165" spans="1:4" x14ac:dyDescent="0.55000000000000004">
      <c r="A8165">
        <f t="shared" si="256"/>
        <v>1992</v>
      </c>
      <c r="B8165" s="821">
        <v>33771</v>
      </c>
      <c r="C8165">
        <v>7.84</v>
      </c>
      <c r="D8165">
        <f t="shared" si="257"/>
        <v>1</v>
      </c>
    </row>
    <row r="8166" spans="1:4" x14ac:dyDescent="0.55000000000000004">
      <c r="A8166">
        <f t="shared" si="256"/>
        <v>1992</v>
      </c>
      <c r="B8166" s="821">
        <v>33770</v>
      </c>
      <c r="C8166">
        <v>7.85</v>
      </c>
      <c r="D8166">
        <f t="shared" si="257"/>
        <v>1</v>
      </c>
    </row>
    <row r="8167" spans="1:4" x14ac:dyDescent="0.55000000000000004">
      <c r="A8167">
        <f t="shared" si="256"/>
        <v>1992</v>
      </c>
      <c r="B8167" s="821">
        <v>33767</v>
      </c>
      <c r="C8167">
        <v>7.85</v>
      </c>
      <c r="D8167">
        <f t="shared" si="257"/>
        <v>1</v>
      </c>
    </row>
    <row r="8168" spans="1:4" x14ac:dyDescent="0.55000000000000004">
      <c r="A8168">
        <f t="shared" si="256"/>
        <v>1992</v>
      </c>
      <c r="B8168" s="821">
        <v>33766</v>
      </c>
      <c r="C8168">
        <v>7.88</v>
      </c>
      <c r="D8168">
        <f t="shared" si="257"/>
        <v>1</v>
      </c>
    </row>
    <row r="8169" spans="1:4" x14ac:dyDescent="0.55000000000000004">
      <c r="A8169">
        <f t="shared" si="256"/>
        <v>1992</v>
      </c>
      <c r="B8169" s="821">
        <v>33765</v>
      </c>
      <c r="C8169">
        <v>7.9</v>
      </c>
      <c r="D8169">
        <f t="shared" si="257"/>
        <v>1</v>
      </c>
    </row>
    <row r="8170" spans="1:4" x14ac:dyDescent="0.55000000000000004">
      <c r="A8170">
        <f t="shared" si="256"/>
        <v>1992</v>
      </c>
      <c r="B8170" s="821">
        <v>33764</v>
      </c>
      <c r="C8170">
        <v>7.88</v>
      </c>
      <c r="D8170">
        <f t="shared" si="257"/>
        <v>1</v>
      </c>
    </row>
    <row r="8171" spans="1:4" x14ac:dyDescent="0.55000000000000004">
      <c r="A8171">
        <f t="shared" si="256"/>
        <v>1992</v>
      </c>
      <c r="B8171" s="821">
        <v>33763</v>
      </c>
      <c r="C8171">
        <v>7.84</v>
      </c>
      <c r="D8171">
        <f t="shared" si="257"/>
        <v>1</v>
      </c>
    </row>
    <row r="8172" spans="1:4" x14ac:dyDescent="0.55000000000000004">
      <c r="A8172">
        <f t="shared" si="256"/>
        <v>1992</v>
      </c>
      <c r="B8172" s="821">
        <v>33760</v>
      </c>
      <c r="C8172">
        <v>7.84</v>
      </c>
      <c r="D8172">
        <f t="shared" si="257"/>
        <v>1</v>
      </c>
    </row>
    <row r="8173" spans="1:4" x14ac:dyDescent="0.55000000000000004">
      <c r="A8173">
        <f t="shared" si="256"/>
        <v>1992</v>
      </c>
      <c r="B8173" s="821">
        <v>33759</v>
      </c>
      <c r="C8173">
        <v>7.88</v>
      </c>
      <c r="D8173">
        <f t="shared" si="257"/>
        <v>1</v>
      </c>
    </row>
    <row r="8174" spans="1:4" x14ac:dyDescent="0.55000000000000004">
      <c r="A8174">
        <f t="shared" si="256"/>
        <v>1992</v>
      </c>
      <c r="B8174" s="821">
        <v>33758</v>
      </c>
      <c r="C8174">
        <v>7.88</v>
      </c>
      <c r="D8174">
        <f t="shared" si="257"/>
        <v>1</v>
      </c>
    </row>
    <row r="8175" spans="1:4" x14ac:dyDescent="0.55000000000000004">
      <c r="A8175">
        <f t="shared" si="256"/>
        <v>1992</v>
      </c>
      <c r="B8175" s="821">
        <v>33757</v>
      </c>
      <c r="C8175">
        <v>7.87</v>
      </c>
      <c r="D8175">
        <f t="shared" si="257"/>
        <v>1</v>
      </c>
    </row>
    <row r="8176" spans="1:4" x14ac:dyDescent="0.55000000000000004">
      <c r="A8176">
        <f t="shared" si="256"/>
        <v>1992</v>
      </c>
      <c r="B8176" s="821">
        <v>33756</v>
      </c>
      <c r="C8176">
        <v>7.9</v>
      </c>
      <c r="D8176">
        <f t="shared" si="257"/>
        <v>1</v>
      </c>
    </row>
    <row r="8177" spans="1:4" x14ac:dyDescent="0.55000000000000004">
      <c r="A8177">
        <f t="shared" si="256"/>
        <v>1992</v>
      </c>
      <c r="B8177" s="821">
        <v>33753</v>
      </c>
      <c r="C8177">
        <v>7.84</v>
      </c>
      <c r="D8177">
        <f t="shared" si="257"/>
        <v>1</v>
      </c>
    </row>
    <row r="8178" spans="1:4" x14ac:dyDescent="0.55000000000000004">
      <c r="A8178">
        <f t="shared" si="256"/>
        <v>1992</v>
      </c>
      <c r="B8178" s="821">
        <v>33752</v>
      </c>
      <c r="C8178">
        <v>7.87</v>
      </c>
      <c r="D8178">
        <f t="shared" si="257"/>
        <v>1</v>
      </c>
    </row>
    <row r="8179" spans="1:4" x14ac:dyDescent="0.55000000000000004">
      <c r="A8179">
        <f t="shared" si="256"/>
        <v>1992</v>
      </c>
      <c r="B8179" s="821">
        <v>33751</v>
      </c>
      <c r="C8179">
        <v>7.91</v>
      </c>
      <c r="D8179">
        <f t="shared" si="257"/>
        <v>1</v>
      </c>
    </row>
    <row r="8180" spans="1:4" x14ac:dyDescent="0.55000000000000004">
      <c r="A8180">
        <f t="shared" si="256"/>
        <v>1992</v>
      </c>
      <c r="B8180" s="821">
        <v>33750</v>
      </c>
      <c r="C8180">
        <v>7.92</v>
      </c>
      <c r="D8180">
        <f t="shared" si="257"/>
        <v>1</v>
      </c>
    </row>
    <row r="8181" spans="1:4" x14ac:dyDescent="0.55000000000000004">
      <c r="A8181">
        <f t="shared" si="256"/>
        <v>1992</v>
      </c>
      <c r="B8181" s="821">
        <v>33746</v>
      </c>
      <c r="C8181">
        <v>7.83</v>
      </c>
      <c r="D8181">
        <f t="shared" si="257"/>
        <v>1</v>
      </c>
    </row>
    <row r="8182" spans="1:4" x14ac:dyDescent="0.55000000000000004">
      <c r="A8182">
        <f t="shared" si="256"/>
        <v>1992</v>
      </c>
      <c r="B8182" s="821">
        <v>33745</v>
      </c>
      <c r="C8182">
        <v>7.86</v>
      </c>
      <c r="D8182">
        <f t="shared" si="257"/>
        <v>1</v>
      </c>
    </row>
    <row r="8183" spans="1:4" x14ac:dyDescent="0.55000000000000004">
      <c r="A8183">
        <f t="shared" si="256"/>
        <v>1992</v>
      </c>
      <c r="B8183" s="821">
        <v>33744</v>
      </c>
      <c r="C8183">
        <v>7.79</v>
      </c>
      <c r="D8183">
        <f t="shared" si="257"/>
        <v>1</v>
      </c>
    </row>
    <row r="8184" spans="1:4" x14ac:dyDescent="0.55000000000000004">
      <c r="A8184">
        <f t="shared" si="256"/>
        <v>1992</v>
      </c>
      <c r="B8184" s="821">
        <v>33743</v>
      </c>
      <c r="C8184">
        <v>7.77</v>
      </c>
      <c r="D8184">
        <f t="shared" si="257"/>
        <v>1</v>
      </c>
    </row>
    <row r="8185" spans="1:4" x14ac:dyDescent="0.55000000000000004">
      <c r="A8185">
        <f t="shared" si="256"/>
        <v>1992</v>
      </c>
      <c r="B8185" s="821">
        <v>33742</v>
      </c>
      <c r="C8185">
        <v>7.82</v>
      </c>
      <c r="D8185">
        <f t="shared" si="257"/>
        <v>1</v>
      </c>
    </row>
    <row r="8186" spans="1:4" x14ac:dyDescent="0.55000000000000004">
      <c r="A8186">
        <f t="shared" si="256"/>
        <v>1992</v>
      </c>
      <c r="B8186" s="821">
        <v>33739</v>
      </c>
      <c r="C8186">
        <v>7.81</v>
      </c>
      <c r="D8186">
        <f t="shared" si="257"/>
        <v>1</v>
      </c>
    </row>
    <row r="8187" spans="1:4" x14ac:dyDescent="0.55000000000000004">
      <c r="A8187">
        <f t="shared" si="256"/>
        <v>1992</v>
      </c>
      <c r="B8187" s="821">
        <v>33738</v>
      </c>
      <c r="C8187">
        <v>7.87</v>
      </c>
      <c r="D8187">
        <f t="shared" si="257"/>
        <v>1</v>
      </c>
    </row>
    <row r="8188" spans="1:4" x14ac:dyDescent="0.55000000000000004">
      <c r="A8188">
        <f t="shared" si="256"/>
        <v>1992</v>
      </c>
      <c r="B8188" s="821">
        <v>33737</v>
      </c>
      <c r="C8188">
        <v>7.85</v>
      </c>
      <c r="D8188">
        <f t="shared" si="257"/>
        <v>1</v>
      </c>
    </row>
    <row r="8189" spans="1:4" x14ac:dyDescent="0.55000000000000004">
      <c r="A8189">
        <f t="shared" si="256"/>
        <v>1992</v>
      </c>
      <c r="B8189" s="821">
        <v>33736</v>
      </c>
      <c r="C8189">
        <v>7.86</v>
      </c>
      <c r="D8189">
        <f t="shared" si="257"/>
        <v>1</v>
      </c>
    </row>
    <row r="8190" spans="1:4" x14ac:dyDescent="0.55000000000000004">
      <c r="A8190">
        <f t="shared" si="256"/>
        <v>1992</v>
      </c>
      <c r="B8190" s="821">
        <v>33735</v>
      </c>
      <c r="C8190">
        <v>7.9</v>
      </c>
      <c r="D8190">
        <f t="shared" si="257"/>
        <v>1</v>
      </c>
    </row>
    <row r="8191" spans="1:4" x14ac:dyDescent="0.55000000000000004">
      <c r="A8191">
        <f t="shared" si="256"/>
        <v>1992</v>
      </c>
      <c r="B8191" s="821">
        <v>33732</v>
      </c>
      <c r="C8191">
        <v>7.9</v>
      </c>
      <c r="D8191">
        <f t="shared" si="257"/>
        <v>1</v>
      </c>
    </row>
    <row r="8192" spans="1:4" x14ac:dyDescent="0.55000000000000004">
      <c r="A8192">
        <f t="shared" si="256"/>
        <v>1992</v>
      </c>
      <c r="B8192" s="821">
        <v>33731</v>
      </c>
      <c r="C8192">
        <v>8</v>
      </c>
      <c r="D8192">
        <f t="shared" si="257"/>
        <v>1</v>
      </c>
    </row>
    <row r="8193" spans="1:4" x14ac:dyDescent="0.55000000000000004">
      <c r="A8193">
        <f t="shared" si="256"/>
        <v>1992</v>
      </c>
      <c r="B8193" s="821">
        <v>33730</v>
      </c>
      <c r="C8193">
        <v>7.97</v>
      </c>
      <c r="D8193">
        <f t="shared" si="257"/>
        <v>1</v>
      </c>
    </row>
    <row r="8194" spans="1:4" x14ac:dyDescent="0.55000000000000004">
      <c r="A8194">
        <f t="shared" si="256"/>
        <v>1992</v>
      </c>
      <c r="B8194" s="821">
        <v>33729</v>
      </c>
      <c r="C8194">
        <v>8.01</v>
      </c>
      <c r="D8194">
        <f t="shared" si="257"/>
        <v>1</v>
      </c>
    </row>
    <row r="8195" spans="1:4" x14ac:dyDescent="0.55000000000000004">
      <c r="A8195">
        <f t="shared" si="256"/>
        <v>1992</v>
      </c>
      <c r="B8195" s="821">
        <v>33728</v>
      </c>
      <c r="C8195">
        <v>8.0299999999999994</v>
      </c>
      <c r="D8195">
        <f t="shared" si="257"/>
        <v>1</v>
      </c>
    </row>
    <row r="8196" spans="1:4" x14ac:dyDescent="0.55000000000000004">
      <c r="A8196">
        <f t="shared" ref="A8196:A8259" si="258">YEAR(B8196)</f>
        <v>1992</v>
      </c>
      <c r="B8196" s="821">
        <v>33725</v>
      </c>
      <c r="C8196">
        <v>8.01</v>
      </c>
      <c r="D8196">
        <f t="shared" ref="D8196:D8259" si="259">IF(C8196&gt;4,1,0)</f>
        <v>1</v>
      </c>
    </row>
    <row r="8197" spans="1:4" x14ac:dyDescent="0.55000000000000004">
      <c r="A8197">
        <f t="shared" si="258"/>
        <v>1992</v>
      </c>
      <c r="B8197" s="821">
        <v>33724</v>
      </c>
      <c r="C8197">
        <v>8.06</v>
      </c>
      <c r="D8197">
        <f t="shared" si="259"/>
        <v>1</v>
      </c>
    </row>
    <row r="8198" spans="1:4" x14ac:dyDescent="0.55000000000000004">
      <c r="A8198">
        <f t="shared" si="258"/>
        <v>1992</v>
      </c>
      <c r="B8198" s="821">
        <v>33723</v>
      </c>
      <c r="C8198">
        <v>8.08</v>
      </c>
      <c r="D8198">
        <f t="shared" si="259"/>
        <v>1</v>
      </c>
    </row>
    <row r="8199" spans="1:4" x14ac:dyDescent="0.55000000000000004">
      <c r="A8199">
        <f t="shared" si="258"/>
        <v>1992</v>
      </c>
      <c r="B8199" s="821">
        <v>33722</v>
      </c>
      <c r="C8199">
        <v>8.06</v>
      </c>
      <c r="D8199">
        <f t="shared" si="259"/>
        <v>1</v>
      </c>
    </row>
    <row r="8200" spans="1:4" x14ac:dyDescent="0.55000000000000004">
      <c r="A8200">
        <f t="shared" si="258"/>
        <v>1992</v>
      </c>
      <c r="B8200" s="821">
        <v>33721</v>
      </c>
      <c r="C8200">
        <v>8.1</v>
      </c>
      <c r="D8200">
        <f t="shared" si="259"/>
        <v>1</v>
      </c>
    </row>
    <row r="8201" spans="1:4" x14ac:dyDescent="0.55000000000000004">
      <c r="A8201">
        <f t="shared" si="258"/>
        <v>1992</v>
      </c>
      <c r="B8201" s="821">
        <v>33718</v>
      </c>
      <c r="C8201">
        <v>8.06</v>
      </c>
      <c r="D8201">
        <f t="shared" si="259"/>
        <v>1</v>
      </c>
    </row>
    <row r="8202" spans="1:4" x14ac:dyDescent="0.55000000000000004">
      <c r="A8202">
        <f t="shared" si="258"/>
        <v>1992</v>
      </c>
      <c r="B8202" s="821">
        <v>33717</v>
      </c>
      <c r="C8202">
        <v>8.06</v>
      </c>
      <c r="D8202">
        <f t="shared" si="259"/>
        <v>1</v>
      </c>
    </row>
    <row r="8203" spans="1:4" x14ac:dyDescent="0.55000000000000004">
      <c r="A8203">
        <f t="shared" si="258"/>
        <v>1992</v>
      </c>
      <c r="B8203" s="821">
        <v>33716</v>
      </c>
      <c r="C8203">
        <v>8.0399999999999991</v>
      </c>
      <c r="D8203">
        <f t="shared" si="259"/>
        <v>1</v>
      </c>
    </row>
    <row r="8204" spans="1:4" x14ac:dyDescent="0.55000000000000004">
      <c r="A8204">
        <f t="shared" si="258"/>
        <v>1992</v>
      </c>
      <c r="B8204" s="821">
        <v>33715</v>
      </c>
      <c r="C8204">
        <v>8.0299999999999994</v>
      </c>
      <c r="D8204">
        <f t="shared" si="259"/>
        <v>1</v>
      </c>
    </row>
    <row r="8205" spans="1:4" x14ac:dyDescent="0.55000000000000004">
      <c r="A8205">
        <f t="shared" si="258"/>
        <v>1992</v>
      </c>
      <c r="B8205" s="821">
        <v>33714</v>
      </c>
      <c r="C8205">
        <v>8.02</v>
      </c>
      <c r="D8205">
        <f t="shared" si="259"/>
        <v>1</v>
      </c>
    </row>
    <row r="8206" spans="1:4" x14ac:dyDescent="0.55000000000000004">
      <c r="A8206">
        <f t="shared" si="258"/>
        <v>1992</v>
      </c>
      <c r="B8206" s="821">
        <v>33710</v>
      </c>
      <c r="C8206">
        <v>7.93</v>
      </c>
      <c r="D8206">
        <f t="shared" si="259"/>
        <v>1</v>
      </c>
    </row>
    <row r="8207" spans="1:4" x14ac:dyDescent="0.55000000000000004">
      <c r="A8207">
        <f t="shared" si="258"/>
        <v>1992</v>
      </c>
      <c r="B8207" s="821">
        <v>33709</v>
      </c>
      <c r="C8207">
        <v>7.87</v>
      </c>
      <c r="D8207">
        <f t="shared" si="259"/>
        <v>1</v>
      </c>
    </row>
    <row r="8208" spans="1:4" x14ac:dyDescent="0.55000000000000004">
      <c r="A8208">
        <f t="shared" si="258"/>
        <v>1992</v>
      </c>
      <c r="B8208" s="821">
        <v>33708</v>
      </c>
      <c r="C8208">
        <v>7.88</v>
      </c>
      <c r="D8208">
        <f t="shared" si="259"/>
        <v>1</v>
      </c>
    </row>
    <row r="8209" spans="1:4" x14ac:dyDescent="0.55000000000000004">
      <c r="A8209">
        <f t="shared" si="258"/>
        <v>1992</v>
      </c>
      <c r="B8209" s="821">
        <v>33707</v>
      </c>
      <c r="C8209">
        <v>7.86</v>
      </c>
      <c r="D8209">
        <f t="shared" si="259"/>
        <v>1</v>
      </c>
    </row>
    <row r="8210" spans="1:4" x14ac:dyDescent="0.55000000000000004">
      <c r="A8210">
        <f t="shared" si="258"/>
        <v>1992</v>
      </c>
      <c r="B8210" s="821">
        <v>33704</v>
      </c>
      <c r="C8210">
        <v>7.89</v>
      </c>
      <c r="D8210">
        <f t="shared" si="259"/>
        <v>1</v>
      </c>
    </row>
    <row r="8211" spans="1:4" x14ac:dyDescent="0.55000000000000004">
      <c r="A8211">
        <f t="shared" si="258"/>
        <v>1992</v>
      </c>
      <c r="B8211" s="821">
        <v>33703</v>
      </c>
      <c r="C8211">
        <v>7.85</v>
      </c>
      <c r="D8211">
        <f t="shared" si="259"/>
        <v>1</v>
      </c>
    </row>
    <row r="8212" spans="1:4" x14ac:dyDescent="0.55000000000000004">
      <c r="A8212">
        <f t="shared" si="258"/>
        <v>1992</v>
      </c>
      <c r="B8212" s="821">
        <v>33702</v>
      </c>
      <c r="C8212">
        <v>7.94</v>
      </c>
      <c r="D8212">
        <f t="shared" si="259"/>
        <v>1</v>
      </c>
    </row>
    <row r="8213" spans="1:4" x14ac:dyDescent="0.55000000000000004">
      <c r="A8213">
        <f t="shared" si="258"/>
        <v>1992</v>
      </c>
      <c r="B8213" s="821">
        <v>33701</v>
      </c>
      <c r="C8213">
        <v>7.9</v>
      </c>
      <c r="D8213">
        <f t="shared" si="259"/>
        <v>1</v>
      </c>
    </row>
    <row r="8214" spans="1:4" x14ac:dyDescent="0.55000000000000004">
      <c r="A8214">
        <f t="shared" si="258"/>
        <v>1992</v>
      </c>
      <c r="B8214" s="821">
        <v>33700</v>
      </c>
      <c r="C8214">
        <v>7.88</v>
      </c>
      <c r="D8214">
        <f t="shared" si="259"/>
        <v>1</v>
      </c>
    </row>
    <row r="8215" spans="1:4" x14ac:dyDescent="0.55000000000000004">
      <c r="A8215">
        <f t="shared" si="258"/>
        <v>1992</v>
      </c>
      <c r="B8215" s="821">
        <v>33697</v>
      </c>
      <c r="C8215">
        <v>7.88</v>
      </c>
      <c r="D8215">
        <f t="shared" si="259"/>
        <v>1</v>
      </c>
    </row>
    <row r="8216" spans="1:4" x14ac:dyDescent="0.55000000000000004">
      <c r="A8216">
        <f t="shared" si="258"/>
        <v>1992</v>
      </c>
      <c r="B8216" s="821">
        <v>33696</v>
      </c>
      <c r="C8216">
        <v>7.92</v>
      </c>
      <c r="D8216">
        <f t="shared" si="259"/>
        <v>1</v>
      </c>
    </row>
    <row r="8217" spans="1:4" x14ac:dyDescent="0.55000000000000004">
      <c r="A8217">
        <f t="shared" si="258"/>
        <v>1992</v>
      </c>
      <c r="B8217" s="821">
        <v>33695</v>
      </c>
      <c r="C8217">
        <v>7.9</v>
      </c>
      <c r="D8217">
        <f t="shared" si="259"/>
        <v>1</v>
      </c>
    </row>
    <row r="8218" spans="1:4" x14ac:dyDescent="0.55000000000000004">
      <c r="A8218">
        <f t="shared" si="258"/>
        <v>1992</v>
      </c>
      <c r="B8218" s="821">
        <v>33694</v>
      </c>
      <c r="C8218">
        <v>7.96</v>
      </c>
      <c r="D8218">
        <f t="shared" si="259"/>
        <v>1</v>
      </c>
    </row>
    <row r="8219" spans="1:4" x14ac:dyDescent="0.55000000000000004">
      <c r="A8219">
        <f t="shared" si="258"/>
        <v>1992</v>
      </c>
      <c r="B8219" s="821">
        <v>33693</v>
      </c>
      <c r="C8219">
        <v>7.95</v>
      </c>
      <c r="D8219">
        <f t="shared" si="259"/>
        <v>1</v>
      </c>
    </row>
    <row r="8220" spans="1:4" x14ac:dyDescent="0.55000000000000004">
      <c r="A8220">
        <f t="shared" si="258"/>
        <v>1992</v>
      </c>
      <c r="B8220" s="821">
        <v>33690</v>
      </c>
      <c r="C8220">
        <v>7.94</v>
      </c>
      <c r="D8220">
        <f t="shared" si="259"/>
        <v>1</v>
      </c>
    </row>
    <row r="8221" spans="1:4" x14ac:dyDescent="0.55000000000000004">
      <c r="A8221">
        <f t="shared" si="258"/>
        <v>1992</v>
      </c>
      <c r="B8221" s="821">
        <v>33689</v>
      </c>
      <c r="C8221">
        <v>7.99</v>
      </c>
      <c r="D8221">
        <f t="shared" si="259"/>
        <v>1</v>
      </c>
    </row>
    <row r="8222" spans="1:4" x14ac:dyDescent="0.55000000000000004">
      <c r="A8222">
        <f t="shared" si="258"/>
        <v>1992</v>
      </c>
      <c r="B8222" s="821">
        <v>33688</v>
      </c>
      <c r="C8222">
        <v>7.94</v>
      </c>
      <c r="D8222">
        <f t="shared" si="259"/>
        <v>1</v>
      </c>
    </row>
    <row r="8223" spans="1:4" x14ac:dyDescent="0.55000000000000004">
      <c r="A8223">
        <f t="shared" si="258"/>
        <v>1992</v>
      </c>
      <c r="B8223" s="821">
        <v>33687</v>
      </c>
      <c r="C8223">
        <v>7.94</v>
      </c>
      <c r="D8223">
        <f t="shared" si="259"/>
        <v>1</v>
      </c>
    </row>
    <row r="8224" spans="1:4" x14ac:dyDescent="0.55000000000000004">
      <c r="A8224">
        <f t="shared" si="258"/>
        <v>1992</v>
      </c>
      <c r="B8224" s="821">
        <v>33686</v>
      </c>
      <c r="C8224">
        <v>8.0399999999999991</v>
      </c>
      <c r="D8224">
        <f t="shared" si="259"/>
        <v>1</v>
      </c>
    </row>
    <row r="8225" spans="1:4" x14ac:dyDescent="0.55000000000000004">
      <c r="A8225">
        <f t="shared" si="258"/>
        <v>1992</v>
      </c>
      <c r="B8225" s="821">
        <v>33683</v>
      </c>
      <c r="C8225">
        <v>8.0500000000000007</v>
      </c>
      <c r="D8225">
        <f t="shared" si="259"/>
        <v>1</v>
      </c>
    </row>
    <row r="8226" spans="1:4" x14ac:dyDescent="0.55000000000000004">
      <c r="A8226">
        <f t="shared" si="258"/>
        <v>1992</v>
      </c>
      <c r="B8226" s="821">
        <v>33682</v>
      </c>
      <c r="C8226">
        <v>7.98</v>
      </c>
      <c r="D8226">
        <f t="shared" si="259"/>
        <v>1</v>
      </c>
    </row>
    <row r="8227" spans="1:4" x14ac:dyDescent="0.55000000000000004">
      <c r="A8227">
        <f t="shared" si="258"/>
        <v>1992</v>
      </c>
      <c r="B8227" s="821">
        <v>33681</v>
      </c>
      <c r="C8227">
        <v>8.01</v>
      </c>
      <c r="D8227">
        <f t="shared" si="259"/>
        <v>1</v>
      </c>
    </row>
    <row r="8228" spans="1:4" x14ac:dyDescent="0.55000000000000004">
      <c r="A8228">
        <f t="shared" si="258"/>
        <v>1992</v>
      </c>
      <c r="B8228" s="821">
        <v>33680</v>
      </c>
      <c r="C8228">
        <v>8.02</v>
      </c>
      <c r="D8228">
        <f t="shared" si="259"/>
        <v>1</v>
      </c>
    </row>
    <row r="8229" spans="1:4" x14ac:dyDescent="0.55000000000000004">
      <c r="A8229">
        <f t="shared" si="258"/>
        <v>1992</v>
      </c>
      <c r="B8229" s="821">
        <v>33679</v>
      </c>
      <c r="C8229">
        <v>8.07</v>
      </c>
      <c r="D8229">
        <f t="shared" si="259"/>
        <v>1</v>
      </c>
    </row>
    <row r="8230" spans="1:4" x14ac:dyDescent="0.55000000000000004">
      <c r="A8230">
        <f t="shared" si="258"/>
        <v>1992</v>
      </c>
      <c r="B8230" s="821">
        <v>33676</v>
      </c>
      <c r="C8230">
        <v>8.06</v>
      </c>
      <c r="D8230">
        <f t="shared" si="259"/>
        <v>1</v>
      </c>
    </row>
    <row r="8231" spans="1:4" x14ac:dyDescent="0.55000000000000004">
      <c r="A8231">
        <f t="shared" si="258"/>
        <v>1992</v>
      </c>
      <c r="B8231" s="821">
        <v>33675</v>
      </c>
      <c r="C8231">
        <v>8.0399999999999991</v>
      </c>
      <c r="D8231">
        <f t="shared" si="259"/>
        <v>1</v>
      </c>
    </row>
    <row r="8232" spans="1:4" x14ac:dyDescent="0.55000000000000004">
      <c r="A8232">
        <f t="shared" si="258"/>
        <v>1992</v>
      </c>
      <c r="B8232" s="821">
        <v>33674</v>
      </c>
      <c r="C8232">
        <v>7.96</v>
      </c>
      <c r="D8232">
        <f t="shared" si="259"/>
        <v>1</v>
      </c>
    </row>
    <row r="8233" spans="1:4" x14ac:dyDescent="0.55000000000000004">
      <c r="A8233">
        <f t="shared" si="258"/>
        <v>1992</v>
      </c>
      <c r="B8233" s="821">
        <v>33673</v>
      </c>
      <c r="C8233">
        <v>7.89</v>
      </c>
      <c r="D8233">
        <f t="shared" si="259"/>
        <v>1</v>
      </c>
    </row>
    <row r="8234" spans="1:4" x14ac:dyDescent="0.55000000000000004">
      <c r="A8234">
        <f t="shared" si="258"/>
        <v>1992</v>
      </c>
      <c r="B8234" s="821">
        <v>33672</v>
      </c>
      <c r="C8234">
        <v>7.88</v>
      </c>
      <c r="D8234">
        <f t="shared" si="259"/>
        <v>1</v>
      </c>
    </row>
    <row r="8235" spans="1:4" x14ac:dyDescent="0.55000000000000004">
      <c r="A8235">
        <f t="shared" si="258"/>
        <v>1992</v>
      </c>
      <c r="B8235" s="821">
        <v>33669</v>
      </c>
      <c r="C8235">
        <v>7.93</v>
      </c>
      <c r="D8235">
        <f t="shared" si="259"/>
        <v>1</v>
      </c>
    </row>
    <row r="8236" spans="1:4" x14ac:dyDescent="0.55000000000000004">
      <c r="A8236">
        <f t="shared" si="258"/>
        <v>1992</v>
      </c>
      <c r="B8236" s="821">
        <v>33668</v>
      </c>
      <c r="C8236">
        <v>7.95</v>
      </c>
      <c r="D8236">
        <f t="shared" si="259"/>
        <v>1</v>
      </c>
    </row>
    <row r="8237" spans="1:4" x14ac:dyDescent="0.55000000000000004">
      <c r="A8237">
        <f t="shared" si="258"/>
        <v>1992</v>
      </c>
      <c r="B8237" s="821">
        <v>33667</v>
      </c>
      <c r="C8237">
        <v>7.9</v>
      </c>
      <c r="D8237">
        <f t="shared" si="259"/>
        <v>1</v>
      </c>
    </row>
    <row r="8238" spans="1:4" x14ac:dyDescent="0.55000000000000004">
      <c r="A8238">
        <f t="shared" si="258"/>
        <v>1992</v>
      </c>
      <c r="B8238" s="821">
        <v>33666</v>
      </c>
      <c r="C8238">
        <v>7.93</v>
      </c>
      <c r="D8238">
        <f t="shared" si="259"/>
        <v>1</v>
      </c>
    </row>
    <row r="8239" spans="1:4" x14ac:dyDescent="0.55000000000000004">
      <c r="A8239">
        <f t="shared" si="258"/>
        <v>1992</v>
      </c>
      <c r="B8239" s="821">
        <v>33665</v>
      </c>
      <c r="C8239">
        <v>7.9</v>
      </c>
      <c r="D8239">
        <f t="shared" si="259"/>
        <v>1</v>
      </c>
    </row>
    <row r="8240" spans="1:4" x14ac:dyDescent="0.55000000000000004">
      <c r="A8240">
        <f t="shared" si="258"/>
        <v>1992</v>
      </c>
      <c r="B8240" s="821">
        <v>33662</v>
      </c>
      <c r="C8240">
        <v>7.8</v>
      </c>
      <c r="D8240">
        <f t="shared" si="259"/>
        <v>1</v>
      </c>
    </row>
    <row r="8241" spans="1:4" x14ac:dyDescent="0.55000000000000004">
      <c r="A8241">
        <f t="shared" si="258"/>
        <v>1992</v>
      </c>
      <c r="B8241" s="821">
        <v>33661</v>
      </c>
      <c r="C8241">
        <v>7.86</v>
      </c>
      <c r="D8241">
        <f t="shared" si="259"/>
        <v>1</v>
      </c>
    </row>
    <row r="8242" spans="1:4" x14ac:dyDescent="0.55000000000000004">
      <c r="A8242">
        <f t="shared" si="258"/>
        <v>1992</v>
      </c>
      <c r="B8242" s="821">
        <v>33660</v>
      </c>
      <c r="C8242">
        <v>7.85</v>
      </c>
      <c r="D8242">
        <f t="shared" si="259"/>
        <v>1</v>
      </c>
    </row>
    <row r="8243" spans="1:4" x14ac:dyDescent="0.55000000000000004">
      <c r="A8243">
        <f t="shared" si="258"/>
        <v>1992</v>
      </c>
      <c r="B8243" s="821">
        <v>33659</v>
      </c>
      <c r="C8243">
        <v>7.94</v>
      </c>
      <c r="D8243">
        <f t="shared" si="259"/>
        <v>1</v>
      </c>
    </row>
    <row r="8244" spans="1:4" x14ac:dyDescent="0.55000000000000004">
      <c r="A8244">
        <f t="shared" si="258"/>
        <v>1992</v>
      </c>
      <c r="B8244" s="821">
        <v>33658</v>
      </c>
      <c r="C8244">
        <v>7.97</v>
      </c>
      <c r="D8244">
        <f t="shared" si="259"/>
        <v>1</v>
      </c>
    </row>
    <row r="8245" spans="1:4" x14ac:dyDescent="0.55000000000000004">
      <c r="A8245">
        <f t="shared" si="258"/>
        <v>1992</v>
      </c>
      <c r="B8245" s="821">
        <v>33655</v>
      </c>
      <c r="C8245">
        <v>7.95</v>
      </c>
      <c r="D8245">
        <f t="shared" si="259"/>
        <v>1</v>
      </c>
    </row>
    <row r="8246" spans="1:4" x14ac:dyDescent="0.55000000000000004">
      <c r="A8246">
        <f t="shared" si="258"/>
        <v>1992</v>
      </c>
      <c r="B8246" s="821">
        <v>33654</v>
      </c>
      <c r="C8246">
        <v>7.91</v>
      </c>
      <c r="D8246">
        <f t="shared" si="259"/>
        <v>1</v>
      </c>
    </row>
    <row r="8247" spans="1:4" x14ac:dyDescent="0.55000000000000004">
      <c r="A8247">
        <f t="shared" si="258"/>
        <v>1992</v>
      </c>
      <c r="B8247" s="821">
        <v>33653</v>
      </c>
      <c r="C8247">
        <v>7.93</v>
      </c>
      <c r="D8247">
        <f t="shared" si="259"/>
        <v>1</v>
      </c>
    </row>
    <row r="8248" spans="1:4" x14ac:dyDescent="0.55000000000000004">
      <c r="A8248">
        <f t="shared" si="258"/>
        <v>1992</v>
      </c>
      <c r="B8248" s="821">
        <v>33652</v>
      </c>
      <c r="C8248">
        <v>7.97</v>
      </c>
      <c r="D8248">
        <f t="shared" si="259"/>
        <v>1</v>
      </c>
    </row>
    <row r="8249" spans="1:4" x14ac:dyDescent="0.55000000000000004">
      <c r="A8249">
        <f t="shared" si="258"/>
        <v>1992</v>
      </c>
      <c r="B8249" s="821">
        <v>33648</v>
      </c>
      <c r="C8249">
        <v>7.91</v>
      </c>
      <c r="D8249">
        <f t="shared" si="259"/>
        <v>1</v>
      </c>
    </row>
    <row r="8250" spans="1:4" x14ac:dyDescent="0.55000000000000004">
      <c r="A8250">
        <f t="shared" si="258"/>
        <v>1992</v>
      </c>
      <c r="B8250" s="821">
        <v>33647</v>
      </c>
      <c r="C8250">
        <v>7.92</v>
      </c>
      <c r="D8250">
        <f t="shared" si="259"/>
        <v>1</v>
      </c>
    </row>
    <row r="8251" spans="1:4" x14ac:dyDescent="0.55000000000000004">
      <c r="A8251">
        <f t="shared" si="258"/>
        <v>1992</v>
      </c>
      <c r="B8251" s="821">
        <v>33646</v>
      </c>
      <c r="C8251">
        <v>7.81</v>
      </c>
      <c r="D8251">
        <f t="shared" si="259"/>
        <v>1</v>
      </c>
    </row>
    <row r="8252" spans="1:4" x14ac:dyDescent="0.55000000000000004">
      <c r="A8252">
        <f t="shared" si="258"/>
        <v>1992</v>
      </c>
      <c r="B8252" s="821">
        <v>33645</v>
      </c>
      <c r="C8252">
        <v>7.79</v>
      </c>
      <c r="D8252">
        <f t="shared" si="259"/>
        <v>1</v>
      </c>
    </row>
    <row r="8253" spans="1:4" x14ac:dyDescent="0.55000000000000004">
      <c r="A8253">
        <f t="shared" si="258"/>
        <v>1992</v>
      </c>
      <c r="B8253" s="821">
        <v>33644</v>
      </c>
      <c r="C8253">
        <v>7.79</v>
      </c>
      <c r="D8253">
        <f t="shared" si="259"/>
        <v>1</v>
      </c>
    </row>
    <row r="8254" spans="1:4" x14ac:dyDescent="0.55000000000000004">
      <c r="A8254">
        <f t="shared" si="258"/>
        <v>1992</v>
      </c>
      <c r="B8254" s="821">
        <v>33641</v>
      </c>
      <c r="C8254">
        <v>7.77</v>
      </c>
      <c r="D8254">
        <f t="shared" si="259"/>
        <v>1</v>
      </c>
    </row>
    <row r="8255" spans="1:4" x14ac:dyDescent="0.55000000000000004">
      <c r="A8255">
        <f t="shared" si="258"/>
        <v>1992</v>
      </c>
      <c r="B8255" s="821">
        <v>33640</v>
      </c>
      <c r="C8255">
        <v>7.75</v>
      </c>
      <c r="D8255">
        <f t="shared" si="259"/>
        <v>1</v>
      </c>
    </row>
    <row r="8256" spans="1:4" x14ac:dyDescent="0.55000000000000004">
      <c r="A8256">
        <f t="shared" si="258"/>
        <v>1992</v>
      </c>
      <c r="B8256" s="821">
        <v>33639</v>
      </c>
      <c r="C8256">
        <v>7.74</v>
      </c>
      <c r="D8256">
        <f t="shared" si="259"/>
        <v>1</v>
      </c>
    </row>
    <row r="8257" spans="1:4" x14ac:dyDescent="0.55000000000000004">
      <c r="A8257">
        <f t="shared" si="258"/>
        <v>1992</v>
      </c>
      <c r="B8257" s="821">
        <v>33638</v>
      </c>
      <c r="C8257">
        <v>7.76</v>
      </c>
      <c r="D8257">
        <f t="shared" si="259"/>
        <v>1</v>
      </c>
    </row>
    <row r="8258" spans="1:4" x14ac:dyDescent="0.55000000000000004">
      <c r="A8258">
        <f t="shared" si="258"/>
        <v>1992</v>
      </c>
      <c r="B8258" s="821">
        <v>33637</v>
      </c>
      <c r="C8258">
        <v>7.82</v>
      </c>
      <c r="D8258">
        <f t="shared" si="259"/>
        <v>1</v>
      </c>
    </row>
    <row r="8259" spans="1:4" x14ac:dyDescent="0.55000000000000004">
      <c r="A8259">
        <f t="shared" si="258"/>
        <v>1992</v>
      </c>
      <c r="B8259" s="821">
        <v>33634</v>
      </c>
      <c r="C8259">
        <v>7.77</v>
      </c>
      <c r="D8259">
        <f t="shared" si="259"/>
        <v>1</v>
      </c>
    </row>
    <row r="8260" spans="1:4" x14ac:dyDescent="0.55000000000000004">
      <c r="A8260">
        <f t="shared" ref="A8260:A8323" si="260">YEAR(B8260)</f>
        <v>1992</v>
      </c>
      <c r="B8260" s="821">
        <v>33633</v>
      </c>
      <c r="C8260">
        <v>7.79</v>
      </c>
      <c r="D8260">
        <f t="shared" ref="D8260:D8323" si="261">IF(C8260&gt;4,1,0)</f>
        <v>1</v>
      </c>
    </row>
    <row r="8261" spans="1:4" x14ac:dyDescent="0.55000000000000004">
      <c r="A8261">
        <f t="shared" si="260"/>
        <v>1992</v>
      </c>
      <c r="B8261" s="821">
        <v>33632</v>
      </c>
      <c r="C8261">
        <v>7.75</v>
      </c>
      <c r="D8261">
        <f t="shared" si="261"/>
        <v>1</v>
      </c>
    </row>
    <row r="8262" spans="1:4" x14ac:dyDescent="0.55000000000000004">
      <c r="A8262">
        <f t="shared" si="260"/>
        <v>1992</v>
      </c>
      <c r="B8262" s="821">
        <v>33631</v>
      </c>
      <c r="C8262">
        <v>7.66</v>
      </c>
      <c r="D8262">
        <f t="shared" si="261"/>
        <v>1</v>
      </c>
    </row>
    <row r="8263" spans="1:4" x14ac:dyDescent="0.55000000000000004">
      <c r="A8263">
        <f t="shared" si="260"/>
        <v>1992</v>
      </c>
      <c r="B8263" s="821">
        <v>33630</v>
      </c>
      <c r="C8263">
        <v>7.71</v>
      </c>
      <c r="D8263">
        <f t="shared" si="261"/>
        <v>1</v>
      </c>
    </row>
    <row r="8264" spans="1:4" x14ac:dyDescent="0.55000000000000004">
      <c r="A8264">
        <f t="shared" si="260"/>
        <v>1992</v>
      </c>
      <c r="B8264" s="821">
        <v>33627</v>
      </c>
      <c r="C8264">
        <v>7.71</v>
      </c>
      <c r="D8264">
        <f t="shared" si="261"/>
        <v>1</v>
      </c>
    </row>
    <row r="8265" spans="1:4" x14ac:dyDescent="0.55000000000000004">
      <c r="A8265">
        <f t="shared" si="260"/>
        <v>1992</v>
      </c>
      <c r="B8265" s="821">
        <v>33626</v>
      </c>
      <c r="C8265">
        <v>7.71</v>
      </c>
      <c r="D8265">
        <f t="shared" si="261"/>
        <v>1</v>
      </c>
    </row>
    <row r="8266" spans="1:4" x14ac:dyDescent="0.55000000000000004">
      <c r="A8266">
        <f t="shared" si="260"/>
        <v>1992</v>
      </c>
      <c r="B8266" s="821">
        <v>33625</v>
      </c>
      <c r="C8266">
        <v>7.62</v>
      </c>
      <c r="D8266">
        <f t="shared" si="261"/>
        <v>1</v>
      </c>
    </row>
    <row r="8267" spans="1:4" x14ac:dyDescent="0.55000000000000004">
      <c r="A8267">
        <f t="shared" si="260"/>
        <v>1992</v>
      </c>
      <c r="B8267" s="821">
        <v>33624</v>
      </c>
      <c r="C8267">
        <v>7.57</v>
      </c>
      <c r="D8267">
        <f t="shared" si="261"/>
        <v>1</v>
      </c>
    </row>
    <row r="8268" spans="1:4" x14ac:dyDescent="0.55000000000000004">
      <c r="A8268">
        <f t="shared" si="260"/>
        <v>1992</v>
      </c>
      <c r="B8268" s="821">
        <v>33620</v>
      </c>
      <c r="C8268">
        <v>7.61</v>
      </c>
      <c r="D8268">
        <f t="shared" si="261"/>
        <v>1</v>
      </c>
    </row>
    <row r="8269" spans="1:4" x14ac:dyDescent="0.55000000000000004">
      <c r="A8269">
        <f t="shared" si="260"/>
        <v>1992</v>
      </c>
      <c r="B8269" s="821">
        <v>33619</v>
      </c>
      <c r="C8269">
        <v>7.65</v>
      </c>
      <c r="D8269">
        <f t="shared" si="261"/>
        <v>1</v>
      </c>
    </row>
    <row r="8270" spans="1:4" x14ac:dyDescent="0.55000000000000004">
      <c r="A8270">
        <f t="shared" si="260"/>
        <v>1992</v>
      </c>
      <c r="B8270" s="821">
        <v>33618</v>
      </c>
      <c r="C8270">
        <v>7.57</v>
      </c>
      <c r="D8270">
        <f t="shared" si="261"/>
        <v>1</v>
      </c>
    </row>
    <row r="8271" spans="1:4" x14ac:dyDescent="0.55000000000000004">
      <c r="A8271">
        <f t="shared" si="260"/>
        <v>1992</v>
      </c>
      <c r="B8271" s="821">
        <v>33617</v>
      </c>
      <c r="C8271">
        <v>7.54</v>
      </c>
      <c r="D8271">
        <f t="shared" si="261"/>
        <v>1</v>
      </c>
    </row>
    <row r="8272" spans="1:4" x14ac:dyDescent="0.55000000000000004">
      <c r="A8272">
        <f t="shared" si="260"/>
        <v>1992</v>
      </c>
      <c r="B8272" s="821">
        <v>33616</v>
      </c>
      <c r="C8272">
        <v>7.49</v>
      </c>
      <c r="D8272">
        <f t="shared" si="261"/>
        <v>1</v>
      </c>
    </row>
    <row r="8273" spans="1:4" x14ac:dyDescent="0.55000000000000004">
      <c r="A8273">
        <f t="shared" si="260"/>
        <v>1992</v>
      </c>
      <c r="B8273" s="821">
        <v>33613</v>
      </c>
      <c r="C8273">
        <v>7.47</v>
      </c>
      <c r="D8273">
        <f t="shared" si="261"/>
        <v>1</v>
      </c>
    </row>
    <row r="8274" spans="1:4" x14ac:dyDescent="0.55000000000000004">
      <c r="A8274">
        <f t="shared" si="260"/>
        <v>1992</v>
      </c>
      <c r="B8274" s="821">
        <v>33612</v>
      </c>
      <c r="C8274">
        <v>7.42</v>
      </c>
      <c r="D8274">
        <f t="shared" si="261"/>
        <v>1</v>
      </c>
    </row>
    <row r="8275" spans="1:4" x14ac:dyDescent="0.55000000000000004">
      <c r="A8275">
        <f t="shared" si="260"/>
        <v>1992</v>
      </c>
      <c r="B8275" s="821">
        <v>33611</v>
      </c>
      <c r="C8275">
        <v>7.41</v>
      </c>
      <c r="D8275">
        <f t="shared" si="261"/>
        <v>1</v>
      </c>
    </row>
    <row r="8276" spans="1:4" x14ac:dyDescent="0.55000000000000004">
      <c r="A8276">
        <f t="shared" si="260"/>
        <v>1992</v>
      </c>
      <c r="B8276" s="821">
        <v>33610</v>
      </c>
      <c r="C8276">
        <v>7.39</v>
      </c>
      <c r="D8276">
        <f t="shared" si="261"/>
        <v>1</v>
      </c>
    </row>
    <row r="8277" spans="1:4" x14ac:dyDescent="0.55000000000000004">
      <c r="A8277">
        <f t="shared" si="260"/>
        <v>1992</v>
      </c>
      <c r="B8277" s="821">
        <v>33609</v>
      </c>
      <c r="C8277">
        <v>7.44</v>
      </c>
      <c r="D8277">
        <f t="shared" si="261"/>
        <v>1</v>
      </c>
    </row>
    <row r="8278" spans="1:4" x14ac:dyDescent="0.55000000000000004">
      <c r="A8278">
        <f t="shared" si="260"/>
        <v>1992</v>
      </c>
      <c r="B8278" s="821">
        <v>33606</v>
      </c>
      <c r="C8278">
        <v>7.48</v>
      </c>
      <c r="D8278">
        <f t="shared" si="261"/>
        <v>1</v>
      </c>
    </row>
    <row r="8279" spans="1:4" x14ac:dyDescent="0.55000000000000004">
      <c r="A8279">
        <f t="shared" si="260"/>
        <v>1992</v>
      </c>
      <c r="B8279" s="821">
        <v>33605</v>
      </c>
      <c r="C8279">
        <v>7.46</v>
      </c>
      <c r="D8279">
        <f t="shared" si="261"/>
        <v>1</v>
      </c>
    </row>
    <row r="8280" spans="1:4" x14ac:dyDescent="0.55000000000000004">
      <c r="A8280">
        <f t="shared" si="260"/>
        <v>1991</v>
      </c>
      <c r="B8280" s="821">
        <v>33603</v>
      </c>
      <c r="C8280">
        <v>7.41</v>
      </c>
      <c r="D8280">
        <f t="shared" si="261"/>
        <v>1</v>
      </c>
    </row>
    <row r="8281" spans="1:4" x14ac:dyDescent="0.55000000000000004">
      <c r="A8281">
        <f t="shared" si="260"/>
        <v>1991</v>
      </c>
      <c r="B8281" s="821">
        <v>33602</v>
      </c>
      <c r="C8281">
        <v>7.45</v>
      </c>
      <c r="D8281">
        <f t="shared" si="261"/>
        <v>1</v>
      </c>
    </row>
    <row r="8282" spans="1:4" x14ac:dyDescent="0.55000000000000004">
      <c r="A8282">
        <f t="shared" si="260"/>
        <v>1991</v>
      </c>
      <c r="B8282" s="821">
        <v>33599</v>
      </c>
      <c r="C8282">
        <v>7.52</v>
      </c>
      <c r="D8282">
        <f t="shared" si="261"/>
        <v>1</v>
      </c>
    </row>
    <row r="8283" spans="1:4" x14ac:dyDescent="0.55000000000000004">
      <c r="A8283">
        <f t="shared" si="260"/>
        <v>1991</v>
      </c>
      <c r="B8283" s="821">
        <v>33598</v>
      </c>
      <c r="C8283">
        <v>7.51</v>
      </c>
      <c r="D8283">
        <f t="shared" si="261"/>
        <v>1</v>
      </c>
    </row>
    <row r="8284" spans="1:4" x14ac:dyDescent="0.55000000000000004">
      <c r="A8284">
        <f t="shared" si="260"/>
        <v>1991</v>
      </c>
      <c r="B8284" s="821">
        <v>33596</v>
      </c>
      <c r="C8284">
        <v>7.53</v>
      </c>
      <c r="D8284">
        <f t="shared" si="261"/>
        <v>1</v>
      </c>
    </row>
    <row r="8285" spans="1:4" x14ac:dyDescent="0.55000000000000004">
      <c r="A8285">
        <f t="shared" si="260"/>
        <v>1991</v>
      </c>
      <c r="B8285" s="821">
        <v>33595</v>
      </c>
      <c r="C8285">
        <v>7.53</v>
      </c>
      <c r="D8285">
        <f t="shared" si="261"/>
        <v>1</v>
      </c>
    </row>
    <row r="8286" spans="1:4" x14ac:dyDescent="0.55000000000000004">
      <c r="A8286">
        <f t="shared" si="260"/>
        <v>1991</v>
      </c>
      <c r="B8286" s="821">
        <v>33592</v>
      </c>
      <c r="C8286">
        <v>7.59</v>
      </c>
      <c r="D8286">
        <f t="shared" si="261"/>
        <v>1</v>
      </c>
    </row>
    <row r="8287" spans="1:4" x14ac:dyDescent="0.55000000000000004">
      <c r="A8287">
        <f t="shared" si="260"/>
        <v>1991</v>
      </c>
      <c r="B8287" s="821">
        <v>33591</v>
      </c>
      <c r="C8287">
        <v>7.68</v>
      </c>
      <c r="D8287">
        <f t="shared" si="261"/>
        <v>1</v>
      </c>
    </row>
    <row r="8288" spans="1:4" x14ac:dyDescent="0.55000000000000004">
      <c r="A8288">
        <f t="shared" si="260"/>
        <v>1991</v>
      </c>
      <c r="B8288" s="821">
        <v>33590</v>
      </c>
      <c r="C8288">
        <v>7.76</v>
      </c>
      <c r="D8288">
        <f t="shared" si="261"/>
        <v>1</v>
      </c>
    </row>
    <row r="8289" spans="1:4" x14ac:dyDescent="0.55000000000000004">
      <c r="A8289">
        <f t="shared" si="260"/>
        <v>1991</v>
      </c>
      <c r="B8289" s="821">
        <v>33589</v>
      </c>
      <c r="C8289">
        <v>7.75</v>
      </c>
      <c r="D8289">
        <f t="shared" si="261"/>
        <v>1</v>
      </c>
    </row>
    <row r="8290" spans="1:4" x14ac:dyDescent="0.55000000000000004">
      <c r="A8290">
        <f t="shared" si="260"/>
        <v>1991</v>
      </c>
      <c r="B8290" s="821">
        <v>33588</v>
      </c>
      <c r="C8290">
        <v>7.77</v>
      </c>
      <c r="D8290">
        <f t="shared" si="261"/>
        <v>1</v>
      </c>
    </row>
    <row r="8291" spans="1:4" x14ac:dyDescent="0.55000000000000004">
      <c r="A8291">
        <f t="shared" si="260"/>
        <v>1991</v>
      </c>
      <c r="B8291" s="821">
        <v>33585</v>
      </c>
      <c r="C8291">
        <v>7.79</v>
      </c>
      <c r="D8291">
        <f t="shared" si="261"/>
        <v>1</v>
      </c>
    </row>
    <row r="8292" spans="1:4" x14ac:dyDescent="0.55000000000000004">
      <c r="A8292">
        <f t="shared" si="260"/>
        <v>1991</v>
      </c>
      <c r="B8292" s="821">
        <v>33584</v>
      </c>
      <c r="C8292">
        <v>7.77</v>
      </c>
      <c r="D8292">
        <f t="shared" si="261"/>
        <v>1</v>
      </c>
    </row>
    <row r="8293" spans="1:4" x14ac:dyDescent="0.55000000000000004">
      <c r="A8293">
        <f t="shared" si="260"/>
        <v>1991</v>
      </c>
      <c r="B8293" s="821">
        <v>33583</v>
      </c>
      <c r="C8293">
        <v>7.81</v>
      </c>
      <c r="D8293">
        <f t="shared" si="261"/>
        <v>1</v>
      </c>
    </row>
    <row r="8294" spans="1:4" x14ac:dyDescent="0.55000000000000004">
      <c r="A8294">
        <f t="shared" si="260"/>
        <v>1991</v>
      </c>
      <c r="B8294" s="821">
        <v>33582</v>
      </c>
      <c r="C8294">
        <v>7.79</v>
      </c>
      <c r="D8294">
        <f t="shared" si="261"/>
        <v>1</v>
      </c>
    </row>
    <row r="8295" spans="1:4" x14ac:dyDescent="0.55000000000000004">
      <c r="A8295">
        <f t="shared" si="260"/>
        <v>1991</v>
      </c>
      <c r="B8295" s="821">
        <v>33581</v>
      </c>
      <c r="C8295">
        <v>7.78</v>
      </c>
      <c r="D8295">
        <f t="shared" si="261"/>
        <v>1</v>
      </c>
    </row>
    <row r="8296" spans="1:4" x14ac:dyDescent="0.55000000000000004">
      <c r="A8296">
        <f t="shared" si="260"/>
        <v>1991</v>
      </c>
      <c r="B8296" s="821">
        <v>33578</v>
      </c>
      <c r="C8296">
        <v>7.78</v>
      </c>
      <c r="D8296">
        <f t="shared" si="261"/>
        <v>1</v>
      </c>
    </row>
    <row r="8297" spans="1:4" x14ac:dyDescent="0.55000000000000004">
      <c r="A8297">
        <f t="shared" si="260"/>
        <v>1991</v>
      </c>
      <c r="B8297" s="821">
        <v>33577</v>
      </c>
      <c r="C8297">
        <v>7.86</v>
      </c>
      <c r="D8297">
        <f t="shared" si="261"/>
        <v>1</v>
      </c>
    </row>
    <row r="8298" spans="1:4" x14ac:dyDescent="0.55000000000000004">
      <c r="A8298">
        <f t="shared" si="260"/>
        <v>1991</v>
      </c>
      <c r="B8298" s="821">
        <v>33576</v>
      </c>
      <c r="C8298">
        <v>7.84</v>
      </c>
      <c r="D8298">
        <f t="shared" si="261"/>
        <v>1</v>
      </c>
    </row>
    <row r="8299" spans="1:4" x14ac:dyDescent="0.55000000000000004">
      <c r="A8299">
        <f t="shared" si="260"/>
        <v>1991</v>
      </c>
      <c r="B8299" s="821">
        <v>33575</v>
      </c>
      <c r="C8299">
        <v>7.9</v>
      </c>
      <c r="D8299">
        <f t="shared" si="261"/>
        <v>1</v>
      </c>
    </row>
    <row r="8300" spans="1:4" x14ac:dyDescent="0.55000000000000004">
      <c r="A8300">
        <f t="shared" si="260"/>
        <v>1991</v>
      </c>
      <c r="B8300" s="821">
        <v>33574</v>
      </c>
      <c r="C8300">
        <v>7.92</v>
      </c>
      <c r="D8300">
        <f t="shared" si="261"/>
        <v>1</v>
      </c>
    </row>
    <row r="8301" spans="1:4" x14ac:dyDescent="0.55000000000000004">
      <c r="A8301">
        <f t="shared" si="260"/>
        <v>1991</v>
      </c>
      <c r="B8301" s="821">
        <v>33571</v>
      </c>
      <c r="C8301">
        <v>7.94</v>
      </c>
      <c r="D8301">
        <f t="shared" si="261"/>
        <v>1</v>
      </c>
    </row>
    <row r="8302" spans="1:4" x14ac:dyDescent="0.55000000000000004">
      <c r="A8302">
        <f t="shared" si="260"/>
        <v>1991</v>
      </c>
      <c r="B8302" s="821">
        <v>33569</v>
      </c>
      <c r="C8302">
        <v>7.97</v>
      </c>
      <c r="D8302">
        <f t="shared" si="261"/>
        <v>1</v>
      </c>
    </row>
    <row r="8303" spans="1:4" x14ac:dyDescent="0.55000000000000004">
      <c r="A8303">
        <f t="shared" si="260"/>
        <v>1991</v>
      </c>
      <c r="B8303" s="821">
        <v>33568</v>
      </c>
      <c r="C8303">
        <v>7.95</v>
      </c>
      <c r="D8303">
        <f t="shared" si="261"/>
        <v>1</v>
      </c>
    </row>
    <row r="8304" spans="1:4" x14ac:dyDescent="0.55000000000000004">
      <c r="A8304">
        <f t="shared" si="260"/>
        <v>1991</v>
      </c>
      <c r="B8304" s="821">
        <v>33567</v>
      </c>
      <c r="C8304">
        <v>7.99</v>
      </c>
      <c r="D8304">
        <f t="shared" si="261"/>
        <v>1</v>
      </c>
    </row>
    <row r="8305" spans="1:4" x14ac:dyDescent="0.55000000000000004">
      <c r="A8305">
        <f t="shared" si="260"/>
        <v>1991</v>
      </c>
      <c r="B8305" s="821">
        <v>33564</v>
      </c>
      <c r="C8305">
        <v>7.99</v>
      </c>
      <c r="D8305">
        <f t="shared" si="261"/>
        <v>1</v>
      </c>
    </row>
    <row r="8306" spans="1:4" x14ac:dyDescent="0.55000000000000004">
      <c r="A8306">
        <f t="shared" si="260"/>
        <v>1991</v>
      </c>
      <c r="B8306" s="821">
        <v>33563</v>
      </c>
      <c r="C8306">
        <v>7.96</v>
      </c>
      <c r="D8306">
        <f t="shared" si="261"/>
        <v>1</v>
      </c>
    </row>
    <row r="8307" spans="1:4" x14ac:dyDescent="0.55000000000000004">
      <c r="A8307">
        <f t="shared" si="260"/>
        <v>1991</v>
      </c>
      <c r="B8307" s="821">
        <v>33562</v>
      </c>
      <c r="C8307">
        <v>7.92</v>
      </c>
      <c r="D8307">
        <f t="shared" si="261"/>
        <v>1</v>
      </c>
    </row>
    <row r="8308" spans="1:4" x14ac:dyDescent="0.55000000000000004">
      <c r="A8308">
        <f t="shared" si="260"/>
        <v>1991</v>
      </c>
      <c r="B8308" s="821">
        <v>33561</v>
      </c>
      <c r="C8308">
        <v>7.9</v>
      </c>
      <c r="D8308">
        <f t="shared" si="261"/>
        <v>1</v>
      </c>
    </row>
    <row r="8309" spans="1:4" x14ac:dyDescent="0.55000000000000004">
      <c r="A8309">
        <f t="shared" si="260"/>
        <v>1991</v>
      </c>
      <c r="B8309" s="821">
        <v>33560</v>
      </c>
      <c r="C8309">
        <v>7.84</v>
      </c>
      <c r="D8309">
        <f t="shared" si="261"/>
        <v>1</v>
      </c>
    </row>
    <row r="8310" spans="1:4" x14ac:dyDescent="0.55000000000000004">
      <c r="A8310">
        <f t="shared" si="260"/>
        <v>1991</v>
      </c>
      <c r="B8310" s="821">
        <v>33557</v>
      </c>
      <c r="C8310">
        <v>7.84</v>
      </c>
      <c r="D8310">
        <f t="shared" si="261"/>
        <v>1</v>
      </c>
    </row>
    <row r="8311" spans="1:4" x14ac:dyDescent="0.55000000000000004">
      <c r="A8311">
        <f t="shared" si="260"/>
        <v>1991</v>
      </c>
      <c r="B8311" s="821">
        <v>33556</v>
      </c>
      <c r="C8311">
        <v>7.82</v>
      </c>
      <c r="D8311">
        <f t="shared" si="261"/>
        <v>1</v>
      </c>
    </row>
    <row r="8312" spans="1:4" x14ac:dyDescent="0.55000000000000004">
      <c r="A8312">
        <f t="shared" si="260"/>
        <v>1991</v>
      </c>
      <c r="B8312" s="821">
        <v>33555</v>
      </c>
      <c r="C8312">
        <v>7.88</v>
      </c>
      <c r="D8312">
        <f t="shared" si="261"/>
        <v>1</v>
      </c>
    </row>
    <row r="8313" spans="1:4" x14ac:dyDescent="0.55000000000000004">
      <c r="A8313">
        <f t="shared" si="260"/>
        <v>1991</v>
      </c>
      <c r="B8313" s="821">
        <v>33554</v>
      </c>
      <c r="C8313">
        <v>7.8</v>
      </c>
      <c r="D8313">
        <f t="shared" si="261"/>
        <v>1</v>
      </c>
    </row>
    <row r="8314" spans="1:4" x14ac:dyDescent="0.55000000000000004">
      <c r="A8314">
        <f t="shared" si="260"/>
        <v>1991</v>
      </c>
      <c r="B8314" s="821">
        <v>33550</v>
      </c>
      <c r="C8314">
        <v>7.88</v>
      </c>
      <c r="D8314">
        <f t="shared" si="261"/>
        <v>1</v>
      </c>
    </row>
    <row r="8315" spans="1:4" x14ac:dyDescent="0.55000000000000004">
      <c r="A8315">
        <f t="shared" si="260"/>
        <v>1991</v>
      </c>
      <c r="B8315" s="821">
        <v>33549</v>
      </c>
      <c r="C8315">
        <v>7.92</v>
      </c>
      <c r="D8315">
        <f t="shared" si="261"/>
        <v>1</v>
      </c>
    </row>
    <row r="8316" spans="1:4" x14ac:dyDescent="0.55000000000000004">
      <c r="A8316">
        <f t="shared" si="260"/>
        <v>1991</v>
      </c>
      <c r="B8316" s="821">
        <v>33548</v>
      </c>
      <c r="C8316">
        <v>8.01</v>
      </c>
      <c r="D8316">
        <f t="shared" si="261"/>
        <v>1</v>
      </c>
    </row>
    <row r="8317" spans="1:4" x14ac:dyDescent="0.55000000000000004">
      <c r="A8317">
        <f t="shared" si="260"/>
        <v>1991</v>
      </c>
      <c r="B8317" s="821">
        <v>33547</v>
      </c>
      <c r="C8317">
        <v>8.02</v>
      </c>
      <c r="D8317">
        <f t="shared" si="261"/>
        <v>1</v>
      </c>
    </row>
    <row r="8318" spans="1:4" x14ac:dyDescent="0.55000000000000004">
      <c r="A8318">
        <f t="shared" si="260"/>
        <v>1991</v>
      </c>
      <c r="B8318" s="821">
        <v>33546</v>
      </c>
      <c r="C8318">
        <v>7.95</v>
      </c>
      <c r="D8318">
        <f t="shared" si="261"/>
        <v>1</v>
      </c>
    </row>
    <row r="8319" spans="1:4" x14ac:dyDescent="0.55000000000000004">
      <c r="A8319">
        <f t="shared" si="260"/>
        <v>1991</v>
      </c>
      <c r="B8319" s="821">
        <v>33543</v>
      </c>
      <c r="C8319">
        <v>7.93</v>
      </c>
      <c r="D8319">
        <f t="shared" si="261"/>
        <v>1</v>
      </c>
    </row>
    <row r="8320" spans="1:4" x14ac:dyDescent="0.55000000000000004">
      <c r="A8320">
        <f t="shared" si="260"/>
        <v>1991</v>
      </c>
      <c r="B8320" s="821">
        <v>33542</v>
      </c>
      <c r="C8320">
        <v>7.91</v>
      </c>
      <c r="D8320">
        <f t="shared" si="261"/>
        <v>1</v>
      </c>
    </row>
    <row r="8321" spans="1:4" x14ac:dyDescent="0.55000000000000004">
      <c r="A8321">
        <f t="shared" si="260"/>
        <v>1991</v>
      </c>
      <c r="B8321" s="821">
        <v>33541</v>
      </c>
      <c r="C8321">
        <v>7.9</v>
      </c>
      <c r="D8321">
        <f t="shared" si="261"/>
        <v>1</v>
      </c>
    </row>
    <row r="8322" spans="1:4" x14ac:dyDescent="0.55000000000000004">
      <c r="A8322">
        <f t="shared" si="260"/>
        <v>1991</v>
      </c>
      <c r="B8322" s="821">
        <v>33540</v>
      </c>
      <c r="C8322">
        <v>7.91</v>
      </c>
      <c r="D8322">
        <f t="shared" si="261"/>
        <v>1</v>
      </c>
    </row>
    <row r="8323" spans="1:4" x14ac:dyDescent="0.55000000000000004">
      <c r="A8323">
        <f t="shared" si="260"/>
        <v>1991</v>
      </c>
      <c r="B8323" s="821">
        <v>33539</v>
      </c>
      <c r="C8323">
        <v>8.0299999999999994</v>
      </c>
      <c r="D8323">
        <f t="shared" si="261"/>
        <v>1</v>
      </c>
    </row>
    <row r="8324" spans="1:4" x14ac:dyDescent="0.55000000000000004">
      <c r="A8324">
        <f t="shared" ref="A8324:A8387" si="262">YEAR(B8324)</f>
        <v>1991</v>
      </c>
      <c r="B8324" s="821">
        <v>33536</v>
      </c>
      <c r="C8324">
        <v>8.0500000000000007</v>
      </c>
      <c r="D8324">
        <f t="shared" ref="D8324:D8387" si="263">IF(C8324&gt;4,1,0)</f>
        <v>1</v>
      </c>
    </row>
    <row r="8325" spans="1:4" x14ac:dyDescent="0.55000000000000004">
      <c r="A8325">
        <f t="shared" si="262"/>
        <v>1991</v>
      </c>
      <c r="B8325" s="821">
        <v>33535</v>
      </c>
      <c r="C8325">
        <v>8.0299999999999994</v>
      </c>
      <c r="D8325">
        <f t="shared" si="263"/>
        <v>1</v>
      </c>
    </row>
    <row r="8326" spans="1:4" x14ac:dyDescent="0.55000000000000004">
      <c r="A8326">
        <f t="shared" si="262"/>
        <v>1991</v>
      </c>
      <c r="B8326" s="821">
        <v>33534</v>
      </c>
      <c r="C8326">
        <v>8.09</v>
      </c>
      <c r="D8326">
        <f t="shared" si="263"/>
        <v>1</v>
      </c>
    </row>
    <row r="8327" spans="1:4" x14ac:dyDescent="0.55000000000000004">
      <c r="A8327">
        <f t="shared" si="262"/>
        <v>1991</v>
      </c>
      <c r="B8327" s="821">
        <v>33533</v>
      </c>
      <c r="C8327">
        <v>8.1</v>
      </c>
      <c r="D8327">
        <f t="shared" si="263"/>
        <v>1</v>
      </c>
    </row>
    <row r="8328" spans="1:4" x14ac:dyDescent="0.55000000000000004">
      <c r="A8328">
        <f t="shared" si="262"/>
        <v>1991</v>
      </c>
      <c r="B8328" s="821">
        <v>33532</v>
      </c>
      <c r="C8328">
        <v>8.06</v>
      </c>
      <c r="D8328">
        <f t="shared" si="263"/>
        <v>1</v>
      </c>
    </row>
    <row r="8329" spans="1:4" x14ac:dyDescent="0.55000000000000004">
      <c r="A8329">
        <f t="shared" si="262"/>
        <v>1991</v>
      </c>
      <c r="B8329" s="821">
        <v>33529</v>
      </c>
      <c r="C8329">
        <v>7.97</v>
      </c>
      <c r="D8329">
        <f t="shared" si="263"/>
        <v>1</v>
      </c>
    </row>
    <row r="8330" spans="1:4" x14ac:dyDescent="0.55000000000000004">
      <c r="A8330">
        <f t="shared" si="262"/>
        <v>1991</v>
      </c>
      <c r="B8330" s="821">
        <v>33528</v>
      </c>
      <c r="C8330">
        <v>8</v>
      </c>
      <c r="D8330">
        <f t="shared" si="263"/>
        <v>1</v>
      </c>
    </row>
    <row r="8331" spans="1:4" x14ac:dyDescent="0.55000000000000004">
      <c r="A8331">
        <f t="shared" si="262"/>
        <v>1991</v>
      </c>
      <c r="B8331" s="821">
        <v>33527</v>
      </c>
      <c r="C8331">
        <v>7.88</v>
      </c>
      <c r="D8331">
        <f t="shared" si="263"/>
        <v>1</v>
      </c>
    </row>
    <row r="8332" spans="1:4" x14ac:dyDescent="0.55000000000000004">
      <c r="A8332">
        <f t="shared" si="262"/>
        <v>1991</v>
      </c>
      <c r="B8332" s="821">
        <v>33526</v>
      </c>
      <c r="C8332">
        <v>7.87</v>
      </c>
      <c r="D8332">
        <f t="shared" si="263"/>
        <v>1</v>
      </c>
    </row>
    <row r="8333" spans="1:4" x14ac:dyDescent="0.55000000000000004">
      <c r="A8333">
        <f t="shared" si="262"/>
        <v>1991</v>
      </c>
      <c r="B8333" s="821">
        <v>33522</v>
      </c>
      <c r="C8333">
        <v>7.9</v>
      </c>
      <c r="D8333">
        <f t="shared" si="263"/>
        <v>1</v>
      </c>
    </row>
    <row r="8334" spans="1:4" x14ac:dyDescent="0.55000000000000004">
      <c r="A8334">
        <f t="shared" si="262"/>
        <v>1991</v>
      </c>
      <c r="B8334" s="821">
        <v>33521</v>
      </c>
      <c r="C8334">
        <v>7.98</v>
      </c>
      <c r="D8334">
        <f t="shared" si="263"/>
        <v>1</v>
      </c>
    </row>
    <row r="8335" spans="1:4" x14ac:dyDescent="0.55000000000000004">
      <c r="A8335">
        <f t="shared" si="262"/>
        <v>1991</v>
      </c>
      <c r="B8335" s="821">
        <v>33520</v>
      </c>
      <c r="C8335">
        <v>7.91</v>
      </c>
      <c r="D8335">
        <f t="shared" si="263"/>
        <v>1</v>
      </c>
    </row>
    <row r="8336" spans="1:4" x14ac:dyDescent="0.55000000000000004">
      <c r="A8336">
        <f t="shared" si="262"/>
        <v>1991</v>
      </c>
      <c r="B8336" s="821">
        <v>33519</v>
      </c>
      <c r="C8336">
        <v>7.82</v>
      </c>
      <c r="D8336">
        <f t="shared" si="263"/>
        <v>1</v>
      </c>
    </row>
    <row r="8337" spans="1:4" x14ac:dyDescent="0.55000000000000004">
      <c r="A8337">
        <f t="shared" si="262"/>
        <v>1991</v>
      </c>
      <c r="B8337" s="821">
        <v>33518</v>
      </c>
      <c r="C8337">
        <v>7.79</v>
      </c>
      <c r="D8337">
        <f t="shared" si="263"/>
        <v>1</v>
      </c>
    </row>
    <row r="8338" spans="1:4" x14ac:dyDescent="0.55000000000000004">
      <c r="A8338">
        <f t="shared" si="262"/>
        <v>1991</v>
      </c>
      <c r="B8338" s="821">
        <v>33515</v>
      </c>
      <c r="C8338">
        <v>7.79</v>
      </c>
      <c r="D8338">
        <f t="shared" si="263"/>
        <v>1</v>
      </c>
    </row>
    <row r="8339" spans="1:4" x14ac:dyDescent="0.55000000000000004">
      <c r="A8339">
        <f t="shared" si="262"/>
        <v>1991</v>
      </c>
      <c r="B8339" s="821">
        <v>33514</v>
      </c>
      <c r="C8339">
        <v>7.84</v>
      </c>
      <c r="D8339">
        <f t="shared" si="263"/>
        <v>1</v>
      </c>
    </row>
    <row r="8340" spans="1:4" x14ac:dyDescent="0.55000000000000004">
      <c r="A8340">
        <f t="shared" si="262"/>
        <v>1991</v>
      </c>
      <c r="B8340" s="821">
        <v>33513</v>
      </c>
      <c r="C8340">
        <v>7.83</v>
      </c>
      <c r="D8340">
        <f t="shared" si="263"/>
        <v>1</v>
      </c>
    </row>
    <row r="8341" spans="1:4" x14ac:dyDescent="0.55000000000000004">
      <c r="A8341">
        <f t="shared" si="262"/>
        <v>1991</v>
      </c>
      <c r="B8341" s="821">
        <v>33512</v>
      </c>
      <c r="C8341">
        <v>7.81</v>
      </c>
      <c r="D8341">
        <f t="shared" si="263"/>
        <v>1</v>
      </c>
    </row>
    <row r="8342" spans="1:4" x14ac:dyDescent="0.55000000000000004">
      <c r="A8342">
        <f t="shared" si="262"/>
        <v>1991</v>
      </c>
      <c r="B8342" s="821">
        <v>33511</v>
      </c>
      <c r="C8342">
        <v>7.82</v>
      </c>
      <c r="D8342">
        <f t="shared" si="263"/>
        <v>1</v>
      </c>
    </row>
    <row r="8343" spans="1:4" x14ac:dyDescent="0.55000000000000004">
      <c r="A8343">
        <f t="shared" si="262"/>
        <v>1991</v>
      </c>
      <c r="B8343" s="821">
        <v>33508</v>
      </c>
      <c r="C8343">
        <v>7.83</v>
      </c>
      <c r="D8343">
        <f t="shared" si="263"/>
        <v>1</v>
      </c>
    </row>
    <row r="8344" spans="1:4" x14ac:dyDescent="0.55000000000000004">
      <c r="A8344">
        <f t="shared" si="262"/>
        <v>1991</v>
      </c>
      <c r="B8344" s="821">
        <v>33507</v>
      </c>
      <c r="C8344">
        <v>7.89</v>
      </c>
      <c r="D8344">
        <f t="shared" si="263"/>
        <v>1</v>
      </c>
    </row>
    <row r="8345" spans="1:4" x14ac:dyDescent="0.55000000000000004">
      <c r="A8345">
        <f t="shared" si="262"/>
        <v>1991</v>
      </c>
      <c r="B8345" s="821">
        <v>33506</v>
      </c>
      <c r="C8345">
        <v>7.91</v>
      </c>
      <c r="D8345">
        <f t="shared" si="263"/>
        <v>1</v>
      </c>
    </row>
    <row r="8346" spans="1:4" x14ac:dyDescent="0.55000000000000004">
      <c r="A8346">
        <f t="shared" si="262"/>
        <v>1991</v>
      </c>
      <c r="B8346" s="821">
        <v>33505</v>
      </c>
      <c r="C8346">
        <v>7.89</v>
      </c>
      <c r="D8346">
        <f t="shared" si="263"/>
        <v>1</v>
      </c>
    </row>
    <row r="8347" spans="1:4" x14ac:dyDescent="0.55000000000000004">
      <c r="A8347">
        <f t="shared" si="262"/>
        <v>1991</v>
      </c>
      <c r="B8347" s="821">
        <v>33504</v>
      </c>
      <c r="C8347">
        <v>7.88</v>
      </c>
      <c r="D8347">
        <f t="shared" si="263"/>
        <v>1</v>
      </c>
    </row>
    <row r="8348" spans="1:4" x14ac:dyDescent="0.55000000000000004">
      <c r="A8348">
        <f t="shared" si="262"/>
        <v>1991</v>
      </c>
      <c r="B8348" s="821">
        <v>33501</v>
      </c>
      <c r="C8348">
        <v>7.89</v>
      </c>
      <c r="D8348">
        <f t="shared" si="263"/>
        <v>1</v>
      </c>
    </row>
    <row r="8349" spans="1:4" x14ac:dyDescent="0.55000000000000004">
      <c r="A8349">
        <f t="shared" si="262"/>
        <v>1991</v>
      </c>
      <c r="B8349" s="821">
        <v>33500</v>
      </c>
      <c r="C8349">
        <v>7.92</v>
      </c>
      <c r="D8349">
        <f t="shared" si="263"/>
        <v>1</v>
      </c>
    </row>
    <row r="8350" spans="1:4" x14ac:dyDescent="0.55000000000000004">
      <c r="A8350">
        <f t="shared" si="262"/>
        <v>1991</v>
      </c>
      <c r="B8350" s="821">
        <v>33499</v>
      </c>
      <c r="C8350">
        <v>7.92</v>
      </c>
      <c r="D8350">
        <f t="shared" si="263"/>
        <v>1</v>
      </c>
    </row>
    <row r="8351" spans="1:4" x14ac:dyDescent="0.55000000000000004">
      <c r="A8351">
        <f t="shared" si="262"/>
        <v>1991</v>
      </c>
      <c r="B8351" s="821">
        <v>33498</v>
      </c>
      <c r="C8351">
        <v>7.92</v>
      </c>
      <c r="D8351">
        <f t="shared" si="263"/>
        <v>1</v>
      </c>
    </row>
    <row r="8352" spans="1:4" x14ac:dyDescent="0.55000000000000004">
      <c r="A8352">
        <f t="shared" si="262"/>
        <v>1991</v>
      </c>
      <c r="B8352" s="821">
        <v>33497</v>
      </c>
      <c r="C8352">
        <v>7.93</v>
      </c>
      <c r="D8352">
        <f t="shared" si="263"/>
        <v>1</v>
      </c>
    </row>
    <row r="8353" spans="1:4" x14ac:dyDescent="0.55000000000000004">
      <c r="A8353">
        <f t="shared" si="262"/>
        <v>1991</v>
      </c>
      <c r="B8353" s="821">
        <v>33494</v>
      </c>
      <c r="C8353">
        <v>7.95</v>
      </c>
      <c r="D8353">
        <f t="shared" si="263"/>
        <v>1</v>
      </c>
    </row>
    <row r="8354" spans="1:4" x14ac:dyDescent="0.55000000000000004">
      <c r="A8354">
        <f t="shared" si="262"/>
        <v>1991</v>
      </c>
      <c r="B8354" s="821">
        <v>33493</v>
      </c>
      <c r="C8354">
        <v>7.96</v>
      </c>
      <c r="D8354">
        <f t="shared" si="263"/>
        <v>1</v>
      </c>
    </row>
    <row r="8355" spans="1:4" x14ac:dyDescent="0.55000000000000004">
      <c r="A8355">
        <f t="shared" si="262"/>
        <v>1991</v>
      </c>
      <c r="B8355" s="821">
        <v>33492</v>
      </c>
      <c r="C8355">
        <v>8.02</v>
      </c>
      <c r="D8355">
        <f t="shared" si="263"/>
        <v>1</v>
      </c>
    </row>
    <row r="8356" spans="1:4" x14ac:dyDescent="0.55000000000000004">
      <c r="A8356">
        <f t="shared" si="262"/>
        <v>1991</v>
      </c>
      <c r="B8356" s="821">
        <v>33491</v>
      </c>
      <c r="C8356">
        <v>8.01</v>
      </c>
      <c r="D8356">
        <f t="shared" si="263"/>
        <v>1</v>
      </c>
    </row>
    <row r="8357" spans="1:4" x14ac:dyDescent="0.55000000000000004">
      <c r="A8357">
        <f t="shared" si="262"/>
        <v>1991</v>
      </c>
      <c r="B8357" s="821">
        <v>33490</v>
      </c>
      <c r="C8357">
        <v>8</v>
      </c>
      <c r="D8357">
        <f t="shared" si="263"/>
        <v>1</v>
      </c>
    </row>
    <row r="8358" spans="1:4" x14ac:dyDescent="0.55000000000000004">
      <c r="A8358">
        <f t="shared" si="262"/>
        <v>1991</v>
      </c>
      <c r="B8358" s="821">
        <v>33487</v>
      </c>
      <c r="C8358">
        <v>8.02</v>
      </c>
      <c r="D8358">
        <f t="shared" si="263"/>
        <v>1</v>
      </c>
    </row>
    <row r="8359" spans="1:4" x14ac:dyDescent="0.55000000000000004">
      <c r="A8359">
        <f t="shared" si="262"/>
        <v>1991</v>
      </c>
      <c r="B8359" s="821">
        <v>33486</v>
      </c>
      <c r="C8359">
        <v>8.09</v>
      </c>
      <c r="D8359">
        <f t="shared" si="263"/>
        <v>1</v>
      </c>
    </row>
    <row r="8360" spans="1:4" x14ac:dyDescent="0.55000000000000004">
      <c r="A8360">
        <f t="shared" si="262"/>
        <v>1991</v>
      </c>
      <c r="B8360" s="821">
        <v>33485</v>
      </c>
      <c r="C8360">
        <v>8.06</v>
      </c>
      <c r="D8360">
        <f t="shared" si="263"/>
        <v>1</v>
      </c>
    </row>
    <row r="8361" spans="1:4" x14ac:dyDescent="0.55000000000000004">
      <c r="A8361">
        <f t="shared" si="262"/>
        <v>1991</v>
      </c>
      <c r="B8361" s="821">
        <v>33484</v>
      </c>
      <c r="C8361">
        <v>8.0500000000000007</v>
      </c>
      <c r="D8361">
        <f t="shared" si="263"/>
        <v>1</v>
      </c>
    </row>
    <row r="8362" spans="1:4" x14ac:dyDescent="0.55000000000000004">
      <c r="A8362">
        <f t="shared" si="262"/>
        <v>1991</v>
      </c>
      <c r="B8362" s="821">
        <v>33480</v>
      </c>
      <c r="C8362">
        <v>8.06</v>
      </c>
      <c r="D8362">
        <f t="shared" si="263"/>
        <v>1</v>
      </c>
    </row>
    <row r="8363" spans="1:4" x14ac:dyDescent="0.55000000000000004">
      <c r="A8363">
        <f t="shared" si="262"/>
        <v>1991</v>
      </c>
      <c r="B8363" s="821">
        <v>33479</v>
      </c>
      <c r="C8363">
        <v>7.99</v>
      </c>
      <c r="D8363">
        <f t="shared" si="263"/>
        <v>1</v>
      </c>
    </row>
    <row r="8364" spans="1:4" x14ac:dyDescent="0.55000000000000004">
      <c r="A8364">
        <f t="shared" si="262"/>
        <v>1991</v>
      </c>
      <c r="B8364" s="821">
        <v>33478</v>
      </c>
      <c r="C8364">
        <v>8.06</v>
      </c>
      <c r="D8364">
        <f t="shared" si="263"/>
        <v>1</v>
      </c>
    </row>
    <row r="8365" spans="1:4" x14ac:dyDescent="0.55000000000000004">
      <c r="A8365">
        <f t="shared" si="262"/>
        <v>1991</v>
      </c>
      <c r="B8365" s="821">
        <v>33477</v>
      </c>
      <c r="C8365">
        <v>8.14</v>
      </c>
      <c r="D8365">
        <f t="shared" si="263"/>
        <v>1</v>
      </c>
    </row>
    <row r="8366" spans="1:4" x14ac:dyDescent="0.55000000000000004">
      <c r="A8366">
        <f t="shared" si="262"/>
        <v>1991</v>
      </c>
      <c r="B8366" s="821">
        <v>33476</v>
      </c>
      <c r="C8366">
        <v>8.15</v>
      </c>
      <c r="D8366">
        <f t="shared" si="263"/>
        <v>1</v>
      </c>
    </row>
    <row r="8367" spans="1:4" x14ac:dyDescent="0.55000000000000004">
      <c r="A8367">
        <f t="shared" si="262"/>
        <v>1991</v>
      </c>
      <c r="B8367" s="821">
        <v>33473</v>
      </c>
      <c r="C8367">
        <v>8.1300000000000008</v>
      </c>
      <c r="D8367">
        <f t="shared" si="263"/>
        <v>1</v>
      </c>
    </row>
    <row r="8368" spans="1:4" x14ac:dyDescent="0.55000000000000004">
      <c r="A8368">
        <f t="shared" si="262"/>
        <v>1991</v>
      </c>
      <c r="B8368" s="821">
        <v>33472</v>
      </c>
      <c r="C8368">
        <v>8.0500000000000007</v>
      </c>
      <c r="D8368">
        <f t="shared" si="263"/>
        <v>1</v>
      </c>
    </row>
    <row r="8369" spans="1:4" x14ac:dyDescent="0.55000000000000004">
      <c r="A8369">
        <f t="shared" si="262"/>
        <v>1991</v>
      </c>
      <c r="B8369" s="821">
        <v>33471</v>
      </c>
      <c r="C8369">
        <v>8.07</v>
      </c>
      <c r="D8369">
        <f t="shared" si="263"/>
        <v>1</v>
      </c>
    </row>
    <row r="8370" spans="1:4" x14ac:dyDescent="0.55000000000000004">
      <c r="A8370">
        <f t="shared" si="262"/>
        <v>1991</v>
      </c>
      <c r="B8370" s="821">
        <v>33470</v>
      </c>
      <c r="C8370">
        <v>8.09</v>
      </c>
      <c r="D8370">
        <f t="shared" si="263"/>
        <v>1</v>
      </c>
    </row>
    <row r="8371" spans="1:4" x14ac:dyDescent="0.55000000000000004">
      <c r="A8371">
        <f t="shared" si="262"/>
        <v>1991</v>
      </c>
      <c r="B8371" s="821">
        <v>33469</v>
      </c>
      <c r="C8371">
        <v>8.11</v>
      </c>
      <c r="D8371">
        <f t="shared" si="263"/>
        <v>1</v>
      </c>
    </row>
    <row r="8372" spans="1:4" x14ac:dyDescent="0.55000000000000004">
      <c r="A8372">
        <f t="shared" si="262"/>
        <v>1991</v>
      </c>
      <c r="B8372" s="821">
        <v>33466</v>
      </c>
      <c r="C8372">
        <v>8.09</v>
      </c>
      <c r="D8372">
        <f t="shared" si="263"/>
        <v>1</v>
      </c>
    </row>
    <row r="8373" spans="1:4" x14ac:dyDescent="0.55000000000000004">
      <c r="A8373">
        <f t="shared" si="262"/>
        <v>1991</v>
      </c>
      <c r="B8373" s="821">
        <v>33465</v>
      </c>
      <c r="C8373">
        <v>8.09</v>
      </c>
      <c r="D8373">
        <f t="shared" si="263"/>
        <v>1</v>
      </c>
    </row>
    <row r="8374" spans="1:4" x14ac:dyDescent="0.55000000000000004">
      <c r="A8374">
        <f t="shared" si="262"/>
        <v>1991</v>
      </c>
      <c r="B8374" s="821">
        <v>33464</v>
      </c>
      <c r="C8374">
        <v>8.08</v>
      </c>
      <c r="D8374">
        <f t="shared" si="263"/>
        <v>1</v>
      </c>
    </row>
    <row r="8375" spans="1:4" x14ac:dyDescent="0.55000000000000004">
      <c r="A8375">
        <f t="shared" si="262"/>
        <v>1991</v>
      </c>
      <c r="B8375" s="821">
        <v>33463</v>
      </c>
      <c r="C8375">
        <v>8.17</v>
      </c>
      <c r="D8375">
        <f t="shared" si="263"/>
        <v>1</v>
      </c>
    </row>
    <row r="8376" spans="1:4" x14ac:dyDescent="0.55000000000000004">
      <c r="A8376">
        <f t="shared" si="262"/>
        <v>1991</v>
      </c>
      <c r="B8376" s="821">
        <v>33462</v>
      </c>
      <c r="C8376">
        <v>8.2100000000000009</v>
      </c>
      <c r="D8376">
        <f t="shared" si="263"/>
        <v>1</v>
      </c>
    </row>
    <row r="8377" spans="1:4" x14ac:dyDescent="0.55000000000000004">
      <c r="A8377">
        <f t="shared" si="262"/>
        <v>1991</v>
      </c>
      <c r="B8377" s="821">
        <v>33459</v>
      </c>
      <c r="C8377">
        <v>8.23</v>
      </c>
      <c r="D8377">
        <f t="shared" si="263"/>
        <v>1</v>
      </c>
    </row>
    <row r="8378" spans="1:4" x14ac:dyDescent="0.55000000000000004">
      <c r="A8378">
        <f t="shared" si="262"/>
        <v>1991</v>
      </c>
      <c r="B8378" s="821">
        <v>33458</v>
      </c>
      <c r="C8378">
        <v>8.2200000000000006</v>
      </c>
      <c r="D8378">
        <f t="shared" si="263"/>
        <v>1</v>
      </c>
    </row>
    <row r="8379" spans="1:4" x14ac:dyDescent="0.55000000000000004">
      <c r="A8379">
        <f t="shared" si="262"/>
        <v>1991</v>
      </c>
      <c r="B8379" s="821">
        <v>33457</v>
      </c>
      <c r="C8379">
        <v>8.17</v>
      </c>
      <c r="D8379">
        <f t="shared" si="263"/>
        <v>1</v>
      </c>
    </row>
    <row r="8380" spans="1:4" x14ac:dyDescent="0.55000000000000004">
      <c r="A8380">
        <f t="shared" si="262"/>
        <v>1991</v>
      </c>
      <c r="B8380" s="821">
        <v>33456</v>
      </c>
      <c r="C8380">
        <v>8.18</v>
      </c>
      <c r="D8380">
        <f t="shared" si="263"/>
        <v>1</v>
      </c>
    </row>
    <row r="8381" spans="1:4" x14ac:dyDescent="0.55000000000000004">
      <c r="A8381">
        <f t="shared" si="262"/>
        <v>1991</v>
      </c>
      <c r="B8381" s="821">
        <v>33455</v>
      </c>
      <c r="C8381">
        <v>8.24</v>
      </c>
      <c r="D8381">
        <f t="shared" si="263"/>
        <v>1</v>
      </c>
    </row>
    <row r="8382" spans="1:4" x14ac:dyDescent="0.55000000000000004">
      <c r="A8382">
        <f t="shared" si="262"/>
        <v>1991</v>
      </c>
      <c r="B8382" s="821">
        <v>33452</v>
      </c>
      <c r="C8382">
        <v>8.25</v>
      </c>
      <c r="D8382">
        <f t="shared" si="263"/>
        <v>1</v>
      </c>
    </row>
    <row r="8383" spans="1:4" x14ac:dyDescent="0.55000000000000004">
      <c r="A8383">
        <f t="shared" si="262"/>
        <v>1991</v>
      </c>
      <c r="B8383" s="821">
        <v>33451</v>
      </c>
      <c r="C8383">
        <v>8.3800000000000008</v>
      </c>
      <c r="D8383">
        <f t="shared" si="263"/>
        <v>1</v>
      </c>
    </row>
    <row r="8384" spans="1:4" x14ac:dyDescent="0.55000000000000004">
      <c r="A8384">
        <f t="shared" si="262"/>
        <v>1991</v>
      </c>
      <c r="B8384" s="821">
        <v>33450</v>
      </c>
      <c r="C8384">
        <v>8.36</v>
      </c>
      <c r="D8384">
        <f t="shared" si="263"/>
        <v>1</v>
      </c>
    </row>
    <row r="8385" spans="1:4" x14ac:dyDescent="0.55000000000000004">
      <c r="A8385">
        <f t="shared" si="262"/>
        <v>1991</v>
      </c>
      <c r="B8385" s="821">
        <v>33449</v>
      </c>
      <c r="C8385">
        <v>8.39</v>
      </c>
      <c r="D8385">
        <f t="shared" si="263"/>
        <v>1</v>
      </c>
    </row>
    <row r="8386" spans="1:4" x14ac:dyDescent="0.55000000000000004">
      <c r="A8386">
        <f t="shared" si="262"/>
        <v>1991</v>
      </c>
      <c r="B8386" s="821">
        <v>33448</v>
      </c>
      <c r="C8386">
        <v>8.39</v>
      </c>
      <c r="D8386">
        <f t="shared" si="263"/>
        <v>1</v>
      </c>
    </row>
    <row r="8387" spans="1:4" x14ac:dyDescent="0.55000000000000004">
      <c r="A8387">
        <f t="shared" si="262"/>
        <v>1991</v>
      </c>
      <c r="B8387" s="821">
        <v>33445</v>
      </c>
      <c r="C8387">
        <v>8.39</v>
      </c>
      <c r="D8387">
        <f t="shared" si="263"/>
        <v>1</v>
      </c>
    </row>
    <row r="8388" spans="1:4" x14ac:dyDescent="0.55000000000000004">
      <c r="A8388">
        <f t="shared" ref="A8388:A8451" si="264">YEAR(B8388)</f>
        <v>1991</v>
      </c>
      <c r="B8388" s="821">
        <v>33444</v>
      </c>
      <c r="C8388">
        <v>8.3800000000000008</v>
      </c>
      <c r="D8388">
        <f t="shared" ref="D8388:D8451" si="265">IF(C8388&gt;4,1,0)</f>
        <v>1</v>
      </c>
    </row>
    <row r="8389" spans="1:4" x14ac:dyDescent="0.55000000000000004">
      <c r="A8389">
        <f t="shared" si="264"/>
        <v>1991</v>
      </c>
      <c r="B8389" s="821">
        <v>33443</v>
      </c>
      <c r="C8389">
        <v>8.42</v>
      </c>
      <c r="D8389">
        <f t="shared" si="265"/>
        <v>1</v>
      </c>
    </row>
    <row r="8390" spans="1:4" x14ac:dyDescent="0.55000000000000004">
      <c r="A8390">
        <f t="shared" si="264"/>
        <v>1991</v>
      </c>
      <c r="B8390" s="821">
        <v>33442</v>
      </c>
      <c r="C8390">
        <v>8.5</v>
      </c>
      <c r="D8390">
        <f t="shared" si="265"/>
        <v>1</v>
      </c>
    </row>
    <row r="8391" spans="1:4" x14ac:dyDescent="0.55000000000000004">
      <c r="A8391">
        <f t="shared" si="264"/>
        <v>1991</v>
      </c>
      <c r="B8391" s="821">
        <v>33441</v>
      </c>
      <c r="C8391">
        <v>8.48</v>
      </c>
      <c r="D8391">
        <f t="shared" si="265"/>
        <v>1</v>
      </c>
    </row>
    <row r="8392" spans="1:4" x14ac:dyDescent="0.55000000000000004">
      <c r="A8392">
        <f t="shared" si="264"/>
        <v>1991</v>
      </c>
      <c r="B8392" s="821">
        <v>33438</v>
      </c>
      <c r="C8392">
        <v>8.48</v>
      </c>
      <c r="D8392">
        <f t="shared" si="265"/>
        <v>1</v>
      </c>
    </row>
    <row r="8393" spans="1:4" x14ac:dyDescent="0.55000000000000004">
      <c r="A8393">
        <f t="shared" si="264"/>
        <v>1991</v>
      </c>
      <c r="B8393" s="821">
        <v>33437</v>
      </c>
      <c r="C8393">
        <v>8.5</v>
      </c>
      <c r="D8393">
        <f t="shared" si="265"/>
        <v>1</v>
      </c>
    </row>
    <row r="8394" spans="1:4" x14ac:dyDescent="0.55000000000000004">
      <c r="A8394">
        <f t="shared" si="264"/>
        <v>1991</v>
      </c>
      <c r="B8394" s="821">
        <v>33436</v>
      </c>
      <c r="C8394">
        <v>8.49</v>
      </c>
      <c r="D8394">
        <f t="shared" si="265"/>
        <v>1</v>
      </c>
    </row>
    <row r="8395" spans="1:4" x14ac:dyDescent="0.55000000000000004">
      <c r="A8395">
        <f t="shared" si="264"/>
        <v>1991</v>
      </c>
      <c r="B8395" s="821">
        <v>33435</v>
      </c>
      <c r="C8395">
        <v>8.4600000000000009</v>
      </c>
      <c r="D8395">
        <f t="shared" si="265"/>
        <v>1</v>
      </c>
    </row>
    <row r="8396" spans="1:4" x14ac:dyDescent="0.55000000000000004">
      <c r="A8396">
        <f t="shared" si="264"/>
        <v>1991</v>
      </c>
      <c r="B8396" s="821">
        <v>33434</v>
      </c>
      <c r="C8396">
        <v>8.44</v>
      </c>
      <c r="D8396">
        <f t="shared" si="265"/>
        <v>1</v>
      </c>
    </row>
    <row r="8397" spans="1:4" x14ac:dyDescent="0.55000000000000004">
      <c r="A8397">
        <f t="shared" si="264"/>
        <v>1991</v>
      </c>
      <c r="B8397" s="821">
        <v>33431</v>
      </c>
      <c r="C8397">
        <v>8.44</v>
      </c>
      <c r="D8397">
        <f t="shared" si="265"/>
        <v>1</v>
      </c>
    </row>
    <row r="8398" spans="1:4" x14ac:dyDescent="0.55000000000000004">
      <c r="A8398">
        <f t="shared" si="264"/>
        <v>1991</v>
      </c>
      <c r="B8398" s="821">
        <v>33430</v>
      </c>
      <c r="C8398">
        <v>8.4700000000000006</v>
      </c>
      <c r="D8398">
        <f t="shared" si="265"/>
        <v>1</v>
      </c>
    </row>
    <row r="8399" spans="1:4" x14ac:dyDescent="0.55000000000000004">
      <c r="A8399">
        <f t="shared" si="264"/>
        <v>1991</v>
      </c>
      <c r="B8399" s="821">
        <v>33429</v>
      </c>
      <c r="C8399">
        <v>8.5299999999999994</v>
      </c>
      <c r="D8399">
        <f t="shared" si="265"/>
        <v>1</v>
      </c>
    </row>
    <row r="8400" spans="1:4" x14ac:dyDescent="0.55000000000000004">
      <c r="A8400">
        <f t="shared" si="264"/>
        <v>1991</v>
      </c>
      <c r="B8400" s="821">
        <v>33428</v>
      </c>
      <c r="C8400">
        <v>8.5299999999999994</v>
      </c>
      <c r="D8400">
        <f t="shared" si="265"/>
        <v>1</v>
      </c>
    </row>
    <row r="8401" spans="1:4" x14ac:dyDescent="0.55000000000000004">
      <c r="A8401">
        <f t="shared" si="264"/>
        <v>1991</v>
      </c>
      <c r="B8401" s="821">
        <v>33427</v>
      </c>
      <c r="C8401">
        <v>8.51</v>
      </c>
      <c r="D8401">
        <f t="shared" si="265"/>
        <v>1</v>
      </c>
    </row>
    <row r="8402" spans="1:4" x14ac:dyDescent="0.55000000000000004">
      <c r="A8402">
        <f t="shared" si="264"/>
        <v>1991</v>
      </c>
      <c r="B8402" s="821">
        <v>33424</v>
      </c>
      <c r="C8402">
        <v>8.49</v>
      </c>
      <c r="D8402">
        <f t="shared" si="265"/>
        <v>1</v>
      </c>
    </row>
    <row r="8403" spans="1:4" x14ac:dyDescent="0.55000000000000004">
      <c r="A8403">
        <f t="shared" si="264"/>
        <v>1991</v>
      </c>
      <c r="B8403" s="821">
        <v>33422</v>
      </c>
      <c r="C8403">
        <v>8.42</v>
      </c>
      <c r="D8403">
        <f t="shared" si="265"/>
        <v>1</v>
      </c>
    </row>
    <row r="8404" spans="1:4" x14ac:dyDescent="0.55000000000000004">
      <c r="A8404">
        <f t="shared" si="264"/>
        <v>1991</v>
      </c>
      <c r="B8404" s="821">
        <v>33421</v>
      </c>
      <c r="C8404">
        <v>8.44</v>
      </c>
      <c r="D8404">
        <f t="shared" si="265"/>
        <v>1</v>
      </c>
    </row>
    <row r="8405" spans="1:4" x14ac:dyDescent="0.55000000000000004">
      <c r="A8405">
        <f t="shared" si="264"/>
        <v>1991</v>
      </c>
      <c r="B8405" s="821">
        <v>33420</v>
      </c>
      <c r="C8405">
        <v>8.44</v>
      </c>
      <c r="D8405">
        <f t="shared" si="265"/>
        <v>1</v>
      </c>
    </row>
    <row r="8406" spans="1:4" x14ac:dyDescent="0.55000000000000004">
      <c r="A8406">
        <f t="shared" si="264"/>
        <v>1991</v>
      </c>
      <c r="B8406" s="821">
        <v>33417</v>
      </c>
      <c r="C8406">
        <v>8.42</v>
      </c>
      <c r="D8406">
        <f t="shared" si="265"/>
        <v>1</v>
      </c>
    </row>
    <row r="8407" spans="1:4" x14ac:dyDescent="0.55000000000000004">
      <c r="A8407">
        <f t="shared" si="264"/>
        <v>1991</v>
      </c>
      <c r="B8407" s="821">
        <v>33416</v>
      </c>
      <c r="C8407">
        <v>8.49</v>
      </c>
      <c r="D8407">
        <f t="shared" si="265"/>
        <v>1</v>
      </c>
    </row>
    <row r="8408" spans="1:4" x14ac:dyDescent="0.55000000000000004">
      <c r="A8408">
        <f t="shared" si="264"/>
        <v>1991</v>
      </c>
      <c r="B8408" s="821">
        <v>33415</v>
      </c>
      <c r="C8408">
        <v>8.51</v>
      </c>
      <c r="D8408">
        <f t="shared" si="265"/>
        <v>1</v>
      </c>
    </row>
    <row r="8409" spans="1:4" x14ac:dyDescent="0.55000000000000004">
      <c r="A8409">
        <f t="shared" si="264"/>
        <v>1991</v>
      </c>
      <c r="B8409" s="821">
        <v>33414</v>
      </c>
      <c r="C8409">
        <v>8.51</v>
      </c>
      <c r="D8409">
        <f t="shared" si="265"/>
        <v>1</v>
      </c>
    </row>
    <row r="8410" spans="1:4" x14ac:dyDescent="0.55000000000000004">
      <c r="A8410">
        <f t="shared" si="264"/>
        <v>1991</v>
      </c>
      <c r="B8410" s="821">
        <v>33413</v>
      </c>
      <c r="C8410">
        <v>8.51</v>
      </c>
      <c r="D8410">
        <f t="shared" si="265"/>
        <v>1</v>
      </c>
    </row>
    <row r="8411" spans="1:4" x14ac:dyDescent="0.55000000000000004">
      <c r="A8411">
        <f t="shared" si="264"/>
        <v>1991</v>
      </c>
      <c r="B8411" s="821">
        <v>33410</v>
      </c>
      <c r="C8411">
        <v>8.51</v>
      </c>
      <c r="D8411">
        <f t="shared" si="265"/>
        <v>1</v>
      </c>
    </row>
    <row r="8412" spans="1:4" x14ac:dyDescent="0.55000000000000004">
      <c r="A8412">
        <f t="shared" si="264"/>
        <v>1991</v>
      </c>
      <c r="B8412" s="821">
        <v>33409</v>
      </c>
      <c r="C8412">
        <v>8.48</v>
      </c>
      <c r="D8412">
        <f t="shared" si="265"/>
        <v>1</v>
      </c>
    </row>
    <row r="8413" spans="1:4" x14ac:dyDescent="0.55000000000000004">
      <c r="A8413">
        <f t="shared" si="264"/>
        <v>1991</v>
      </c>
      <c r="B8413" s="821">
        <v>33408</v>
      </c>
      <c r="C8413">
        <v>8.52</v>
      </c>
      <c r="D8413">
        <f t="shared" si="265"/>
        <v>1</v>
      </c>
    </row>
    <row r="8414" spans="1:4" x14ac:dyDescent="0.55000000000000004">
      <c r="A8414">
        <f t="shared" si="264"/>
        <v>1991</v>
      </c>
      <c r="B8414" s="821">
        <v>33407</v>
      </c>
      <c r="C8414">
        <v>8.52</v>
      </c>
      <c r="D8414">
        <f t="shared" si="265"/>
        <v>1</v>
      </c>
    </row>
    <row r="8415" spans="1:4" x14ac:dyDescent="0.55000000000000004">
      <c r="A8415">
        <f t="shared" si="264"/>
        <v>1991</v>
      </c>
      <c r="B8415" s="821">
        <v>33406</v>
      </c>
      <c r="C8415">
        <v>8.49</v>
      </c>
      <c r="D8415">
        <f t="shared" si="265"/>
        <v>1</v>
      </c>
    </row>
    <row r="8416" spans="1:4" x14ac:dyDescent="0.55000000000000004">
      <c r="A8416">
        <f t="shared" si="264"/>
        <v>1991</v>
      </c>
      <c r="B8416" s="821">
        <v>33403</v>
      </c>
      <c r="C8416">
        <v>8.4700000000000006</v>
      </c>
      <c r="D8416">
        <f t="shared" si="265"/>
        <v>1</v>
      </c>
    </row>
    <row r="8417" spans="1:4" x14ac:dyDescent="0.55000000000000004">
      <c r="A8417">
        <f t="shared" si="264"/>
        <v>1991</v>
      </c>
      <c r="B8417" s="821">
        <v>33402</v>
      </c>
      <c r="C8417">
        <v>8.5299999999999994</v>
      </c>
      <c r="D8417">
        <f t="shared" si="265"/>
        <v>1</v>
      </c>
    </row>
    <row r="8418" spans="1:4" x14ac:dyDescent="0.55000000000000004">
      <c r="A8418">
        <f t="shared" si="264"/>
        <v>1991</v>
      </c>
      <c r="B8418" s="821">
        <v>33401</v>
      </c>
      <c r="C8418">
        <v>8.5500000000000007</v>
      </c>
      <c r="D8418">
        <f t="shared" si="265"/>
        <v>1</v>
      </c>
    </row>
    <row r="8419" spans="1:4" x14ac:dyDescent="0.55000000000000004">
      <c r="A8419">
        <f t="shared" si="264"/>
        <v>1991</v>
      </c>
      <c r="B8419" s="821">
        <v>33400</v>
      </c>
      <c r="C8419">
        <v>8.48</v>
      </c>
      <c r="D8419">
        <f t="shared" si="265"/>
        <v>1</v>
      </c>
    </row>
    <row r="8420" spans="1:4" x14ac:dyDescent="0.55000000000000004">
      <c r="A8420">
        <f t="shared" si="264"/>
        <v>1991</v>
      </c>
      <c r="B8420" s="821">
        <v>33399</v>
      </c>
      <c r="C8420">
        <v>8.48</v>
      </c>
      <c r="D8420">
        <f t="shared" si="265"/>
        <v>1</v>
      </c>
    </row>
    <row r="8421" spans="1:4" x14ac:dyDescent="0.55000000000000004">
      <c r="A8421">
        <f t="shared" si="264"/>
        <v>1991</v>
      </c>
      <c r="B8421" s="821">
        <v>33396</v>
      </c>
      <c r="C8421">
        <v>8.48</v>
      </c>
      <c r="D8421">
        <f t="shared" si="265"/>
        <v>1</v>
      </c>
    </row>
    <row r="8422" spans="1:4" x14ac:dyDescent="0.55000000000000004">
      <c r="A8422">
        <f t="shared" si="264"/>
        <v>1991</v>
      </c>
      <c r="B8422" s="821">
        <v>33395</v>
      </c>
      <c r="C8422">
        <v>8.42</v>
      </c>
      <c r="D8422">
        <f t="shared" si="265"/>
        <v>1</v>
      </c>
    </row>
    <row r="8423" spans="1:4" x14ac:dyDescent="0.55000000000000004">
      <c r="A8423">
        <f t="shared" si="264"/>
        <v>1991</v>
      </c>
      <c r="B8423" s="821">
        <v>33394</v>
      </c>
      <c r="C8423">
        <v>8.39</v>
      </c>
      <c r="D8423">
        <f t="shared" si="265"/>
        <v>1</v>
      </c>
    </row>
    <row r="8424" spans="1:4" x14ac:dyDescent="0.55000000000000004">
      <c r="A8424">
        <f t="shared" si="264"/>
        <v>1991</v>
      </c>
      <c r="B8424" s="821">
        <v>33393</v>
      </c>
      <c r="C8424">
        <v>8.34</v>
      </c>
      <c r="D8424">
        <f t="shared" si="265"/>
        <v>1</v>
      </c>
    </row>
    <row r="8425" spans="1:4" x14ac:dyDescent="0.55000000000000004">
      <c r="A8425">
        <f t="shared" si="264"/>
        <v>1991</v>
      </c>
      <c r="B8425" s="821">
        <v>33392</v>
      </c>
      <c r="C8425">
        <v>8.34</v>
      </c>
      <c r="D8425">
        <f t="shared" si="265"/>
        <v>1</v>
      </c>
    </row>
    <row r="8426" spans="1:4" x14ac:dyDescent="0.55000000000000004">
      <c r="A8426">
        <f t="shared" si="264"/>
        <v>1991</v>
      </c>
      <c r="B8426" s="821">
        <v>33389</v>
      </c>
      <c r="C8426">
        <v>8.26</v>
      </c>
      <c r="D8426">
        <f t="shared" si="265"/>
        <v>1</v>
      </c>
    </row>
    <row r="8427" spans="1:4" x14ac:dyDescent="0.55000000000000004">
      <c r="A8427">
        <f t="shared" si="264"/>
        <v>1991</v>
      </c>
      <c r="B8427" s="821">
        <v>33388</v>
      </c>
      <c r="C8427">
        <v>8.2200000000000006</v>
      </c>
      <c r="D8427">
        <f t="shared" si="265"/>
        <v>1</v>
      </c>
    </row>
    <row r="8428" spans="1:4" x14ac:dyDescent="0.55000000000000004">
      <c r="A8428">
        <f t="shared" si="264"/>
        <v>1991</v>
      </c>
      <c r="B8428" s="821">
        <v>33387</v>
      </c>
      <c r="C8428">
        <v>8.2899999999999991</v>
      </c>
      <c r="D8428">
        <f t="shared" si="265"/>
        <v>1</v>
      </c>
    </row>
    <row r="8429" spans="1:4" x14ac:dyDescent="0.55000000000000004">
      <c r="A8429">
        <f t="shared" si="264"/>
        <v>1991</v>
      </c>
      <c r="B8429" s="821">
        <v>33386</v>
      </c>
      <c r="C8429">
        <v>8.2799999999999994</v>
      </c>
      <c r="D8429">
        <f t="shared" si="265"/>
        <v>1</v>
      </c>
    </row>
    <row r="8430" spans="1:4" x14ac:dyDescent="0.55000000000000004">
      <c r="A8430">
        <f t="shared" si="264"/>
        <v>1991</v>
      </c>
      <c r="B8430" s="821">
        <v>33382</v>
      </c>
      <c r="C8430">
        <v>8.31</v>
      </c>
      <c r="D8430">
        <f t="shared" si="265"/>
        <v>1</v>
      </c>
    </row>
    <row r="8431" spans="1:4" x14ac:dyDescent="0.55000000000000004">
      <c r="A8431">
        <f t="shared" si="264"/>
        <v>1991</v>
      </c>
      <c r="B8431" s="821">
        <v>33381</v>
      </c>
      <c r="C8431">
        <v>8.31</v>
      </c>
      <c r="D8431">
        <f t="shared" si="265"/>
        <v>1</v>
      </c>
    </row>
    <row r="8432" spans="1:4" x14ac:dyDescent="0.55000000000000004">
      <c r="A8432">
        <f t="shared" si="264"/>
        <v>1991</v>
      </c>
      <c r="B8432" s="821">
        <v>33380</v>
      </c>
      <c r="C8432">
        <v>8.2799999999999994</v>
      </c>
      <c r="D8432">
        <f t="shared" si="265"/>
        <v>1</v>
      </c>
    </row>
    <row r="8433" spans="1:4" x14ac:dyDescent="0.55000000000000004">
      <c r="A8433">
        <f t="shared" si="264"/>
        <v>1991</v>
      </c>
      <c r="B8433" s="821">
        <v>33379</v>
      </c>
      <c r="C8433">
        <v>8.26</v>
      </c>
      <c r="D8433">
        <f t="shared" si="265"/>
        <v>1</v>
      </c>
    </row>
    <row r="8434" spans="1:4" x14ac:dyDescent="0.55000000000000004">
      <c r="A8434">
        <f t="shared" si="264"/>
        <v>1991</v>
      </c>
      <c r="B8434" s="821">
        <v>33378</v>
      </c>
      <c r="C8434">
        <v>8.3000000000000007</v>
      </c>
      <c r="D8434">
        <f t="shared" si="265"/>
        <v>1</v>
      </c>
    </row>
    <row r="8435" spans="1:4" x14ac:dyDescent="0.55000000000000004">
      <c r="A8435">
        <f t="shared" si="264"/>
        <v>1991</v>
      </c>
      <c r="B8435" s="821">
        <v>33375</v>
      </c>
      <c r="C8435">
        <v>8.2799999999999994</v>
      </c>
      <c r="D8435">
        <f t="shared" si="265"/>
        <v>1</v>
      </c>
    </row>
    <row r="8436" spans="1:4" x14ac:dyDescent="0.55000000000000004">
      <c r="A8436">
        <f t="shared" si="264"/>
        <v>1991</v>
      </c>
      <c r="B8436" s="821">
        <v>33374</v>
      </c>
      <c r="C8436">
        <v>8.33</v>
      </c>
      <c r="D8436">
        <f t="shared" si="265"/>
        <v>1</v>
      </c>
    </row>
    <row r="8437" spans="1:4" x14ac:dyDescent="0.55000000000000004">
      <c r="A8437">
        <f t="shared" si="264"/>
        <v>1991</v>
      </c>
      <c r="B8437" s="821">
        <v>33373</v>
      </c>
      <c r="C8437">
        <v>8.34</v>
      </c>
      <c r="D8437">
        <f t="shared" si="265"/>
        <v>1</v>
      </c>
    </row>
    <row r="8438" spans="1:4" x14ac:dyDescent="0.55000000000000004">
      <c r="A8438">
        <f t="shared" si="264"/>
        <v>1991</v>
      </c>
      <c r="B8438" s="821">
        <v>33372</v>
      </c>
      <c r="C8438">
        <v>8.36</v>
      </c>
      <c r="D8438">
        <f t="shared" si="265"/>
        <v>1</v>
      </c>
    </row>
    <row r="8439" spans="1:4" x14ac:dyDescent="0.55000000000000004">
      <c r="A8439">
        <f t="shared" si="264"/>
        <v>1991</v>
      </c>
      <c r="B8439" s="821">
        <v>33371</v>
      </c>
      <c r="C8439">
        <v>8.27</v>
      </c>
      <c r="D8439">
        <f t="shared" si="265"/>
        <v>1</v>
      </c>
    </row>
    <row r="8440" spans="1:4" x14ac:dyDescent="0.55000000000000004">
      <c r="A8440">
        <f t="shared" si="264"/>
        <v>1991</v>
      </c>
      <c r="B8440" s="821">
        <v>33368</v>
      </c>
      <c r="C8440">
        <v>8.33</v>
      </c>
      <c r="D8440">
        <f t="shared" si="265"/>
        <v>1</v>
      </c>
    </row>
    <row r="8441" spans="1:4" x14ac:dyDescent="0.55000000000000004">
      <c r="A8441">
        <f t="shared" si="264"/>
        <v>1991</v>
      </c>
      <c r="B8441" s="821">
        <v>33367</v>
      </c>
      <c r="C8441">
        <v>8.2100000000000009</v>
      </c>
      <c r="D8441">
        <f t="shared" si="265"/>
        <v>1</v>
      </c>
    </row>
    <row r="8442" spans="1:4" x14ac:dyDescent="0.55000000000000004">
      <c r="A8442">
        <f t="shared" si="264"/>
        <v>1991</v>
      </c>
      <c r="B8442" s="821">
        <v>33366</v>
      </c>
      <c r="C8442">
        <v>8.24</v>
      </c>
      <c r="D8442">
        <f t="shared" si="265"/>
        <v>1</v>
      </c>
    </row>
    <row r="8443" spans="1:4" x14ac:dyDescent="0.55000000000000004">
      <c r="A8443">
        <f t="shared" si="264"/>
        <v>1991</v>
      </c>
      <c r="B8443" s="821">
        <v>33365</v>
      </c>
      <c r="C8443">
        <v>8.24</v>
      </c>
      <c r="D8443">
        <f t="shared" si="265"/>
        <v>1</v>
      </c>
    </row>
    <row r="8444" spans="1:4" x14ac:dyDescent="0.55000000000000004">
      <c r="A8444">
        <f t="shared" si="264"/>
        <v>1991</v>
      </c>
      <c r="B8444" s="821">
        <v>33364</v>
      </c>
      <c r="C8444">
        <v>8.23</v>
      </c>
      <c r="D8444">
        <f t="shared" si="265"/>
        <v>1</v>
      </c>
    </row>
    <row r="8445" spans="1:4" x14ac:dyDescent="0.55000000000000004">
      <c r="A8445">
        <f t="shared" si="264"/>
        <v>1991</v>
      </c>
      <c r="B8445" s="821">
        <v>33361</v>
      </c>
      <c r="C8445">
        <v>8.2200000000000006</v>
      </c>
      <c r="D8445">
        <f t="shared" si="265"/>
        <v>1</v>
      </c>
    </row>
    <row r="8446" spans="1:4" x14ac:dyDescent="0.55000000000000004">
      <c r="A8446">
        <f t="shared" si="264"/>
        <v>1991</v>
      </c>
      <c r="B8446" s="821">
        <v>33360</v>
      </c>
      <c r="C8446">
        <v>8.14</v>
      </c>
      <c r="D8446">
        <f t="shared" si="265"/>
        <v>1</v>
      </c>
    </row>
    <row r="8447" spans="1:4" x14ac:dyDescent="0.55000000000000004">
      <c r="A8447">
        <f t="shared" si="264"/>
        <v>1991</v>
      </c>
      <c r="B8447" s="821">
        <v>33359</v>
      </c>
      <c r="C8447">
        <v>8.18</v>
      </c>
      <c r="D8447">
        <f t="shared" si="265"/>
        <v>1</v>
      </c>
    </row>
    <row r="8448" spans="1:4" x14ac:dyDescent="0.55000000000000004">
      <c r="A8448">
        <f t="shared" si="264"/>
        <v>1991</v>
      </c>
      <c r="B8448" s="821">
        <v>33358</v>
      </c>
      <c r="C8448">
        <v>8.1999999999999993</v>
      </c>
      <c r="D8448">
        <f t="shared" si="265"/>
        <v>1</v>
      </c>
    </row>
    <row r="8449" spans="1:4" x14ac:dyDescent="0.55000000000000004">
      <c r="A8449">
        <f t="shared" si="264"/>
        <v>1991</v>
      </c>
      <c r="B8449" s="821">
        <v>33357</v>
      </c>
      <c r="C8449">
        <v>8.23</v>
      </c>
      <c r="D8449">
        <f t="shared" si="265"/>
        <v>1</v>
      </c>
    </row>
    <row r="8450" spans="1:4" x14ac:dyDescent="0.55000000000000004">
      <c r="A8450">
        <f t="shared" si="264"/>
        <v>1991</v>
      </c>
      <c r="B8450" s="821">
        <v>33354</v>
      </c>
      <c r="C8450">
        <v>8.2200000000000006</v>
      </c>
      <c r="D8450">
        <f t="shared" si="265"/>
        <v>1</v>
      </c>
    </row>
    <row r="8451" spans="1:4" x14ac:dyDescent="0.55000000000000004">
      <c r="A8451">
        <f t="shared" si="264"/>
        <v>1991</v>
      </c>
      <c r="B8451" s="821">
        <v>33353</v>
      </c>
      <c r="C8451">
        <v>8.24</v>
      </c>
      <c r="D8451">
        <f t="shared" si="265"/>
        <v>1</v>
      </c>
    </row>
    <row r="8452" spans="1:4" x14ac:dyDescent="0.55000000000000004">
      <c r="A8452">
        <f t="shared" ref="A8452:A8515" si="266">YEAR(B8452)</f>
        <v>1991</v>
      </c>
      <c r="B8452" s="821">
        <v>33352</v>
      </c>
      <c r="C8452">
        <v>8.2200000000000006</v>
      </c>
      <c r="D8452">
        <f t="shared" ref="D8452:D8515" si="267">IF(C8452&gt;4,1,0)</f>
        <v>1</v>
      </c>
    </row>
    <row r="8453" spans="1:4" x14ac:dyDescent="0.55000000000000004">
      <c r="A8453">
        <f t="shared" si="266"/>
        <v>1991</v>
      </c>
      <c r="B8453" s="821">
        <v>33351</v>
      </c>
      <c r="C8453">
        <v>8.2799999999999994</v>
      </c>
      <c r="D8453">
        <f t="shared" si="267"/>
        <v>1</v>
      </c>
    </row>
    <row r="8454" spans="1:4" x14ac:dyDescent="0.55000000000000004">
      <c r="A8454">
        <f t="shared" si="266"/>
        <v>1991</v>
      </c>
      <c r="B8454" s="821">
        <v>33350</v>
      </c>
      <c r="C8454">
        <v>8.3000000000000007</v>
      </c>
      <c r="D8454">
        <f t="shared" si="267"/>
        <v>1</v>
      </c>
    </row>
    <row r="8455" spans="1:4" x14ac:dyDescent="0.55000000000000004">
      <c r="A8455">
        <f t="shared" si="266"/>
        <v>1991</v>
      </c>
      <c r="B8455" s="821">
        <v>33347</v>
      </c>
      <c r="C8455">
        <v>8.24</v>
      </c>
      <c r="D8455">
        <f t="shared" si="267"/>
        <v>1</v>
      </c>
    </row>
    <row r="8456" spans="1:4" x14ac:dyDescent="0.55000000000000004">
      <c r="A8456">
        <f t="shared" si="266"/>
        <v>1991</v>
      </c>
      <c r="B8456" s="821">
        <v>33346</v>
      </c>
      <c r="C8456">
        <v>8.18</v>
      </c>
      <c r="D8456">
        <f t="shared" si="267"/>
        <v>1</v>
      </c>
    </row>
    <row r="8457" spans="1:4" x14ac:dyDescent="0.55000000000000004">
      <c r="A8457">
        <f t="shared" si="266"/>
        <v>1991</v>
      </c>
      <c r="B8457" s="821">
        <v>33345</v>
      </c>
      <c r="C8457">
        <v>8.11</v>
      </c>
      <c r="D8457">
        <f t="shared" si="267"/>
        <v>1</v>
      </c>
    </row>
    <row r="8458" spans="1:4" x14ac:dyDescent="0.55000000000000004">
      <c r="A8458">
        <f t="shared" si="266"/>
        <v>1991</v>
      </c>
      <c r="B8458" s="821">
        <v>33344</v>
      </c>
      <c r="C8458">
        <v>8.1300000000000008</v>
      </c>
      <c r="D8458">
        <f t="shared" si="267"/>
        <v>1</v>
      </c>
    </row>
    <row r="8459" spans="1:4" x14ac:dyDescent="0.55000000000000004">
      <c r="A8459">
        <f t="shared" si="266"/>
        <v>1991</v>
      </c>
      <c r="B8459" s="821">
        <v>33343</v>
      </c>
      <c r="C8459">
        <v>8.1199999999999992</v>
      </c>
      <c r="D8459">
        <f t="shared" si="267"/>
        <v>1</v>
      </c>
    </row>
    <row r="8460" spans="1:4" x14ac:dyDescent="0.55000000000000004">
      <c r="A8460">
        <f t="shared" si="266"/>
        <v>1991</v>
      </c>
      <c r="B8460" s="821">
        <v>33340</v>
      </c>
      <c r="C8460">
        <v>8.16</v>
      </c>
      <c r="D8460">
        <f t="shared" si="267"/>
        <v>1</v>
      </c>
    </row>
    <row r="8461" spans="1:4" x14ac:dyDescent="0.55000000000000004">
      <c r="A8461">
        <f t="shared" si="266"/>
        <v>1991</v>
      </c>
      <c r="B8461" s="821">
        <v>33339</v>
      </c>
      <c r="C8461">
        <v>8.27</v>
      </c>
      <c r="D8461">
        <f t="shared" si="267"/>
        <v>1</v>
      </c>
    </row>
    <row r="8462" spans="1:4" x14ac:dyDescent="0.55000000000000004">
      <c r="A8462">
        <f t="shared" si="266"/>
        <v>1991</v>
      </c>
      <c r="B8462" s="821">
        <v>33338</v>
      </c>
      <c r="C8462">
        <v>8.27</v>
      </c>
      <c r="D8462">
        <f t="shared" si="267"/>
        <v>1</v>
      </c>
    </row>
    <row r="8463" spans="1:4" x14ac:dyDescent="0.55000000000000004">
      <c r="A8463">
        <f t="shared" si="266"/>
        <v>1991</v>
      </c>
      <c r="B8463" s="821">
        <v>33337</v>
      </c>
      <c r="C8463">
        <v>8.1999999999999993</v>
      </c>
      <c r="D8463">
        <f t="shared" si="267"/>
        <v>1</v>
      </c>
    </row>
    <row r="8464" spans="1:4" x14ac:dyDescent="0.55000000000000004">
      <c r="A8464">
        <f t="shared" si="266"/>
        <v>1991</v>
      </c>
      <c r="B8464" s="821">
        <v>33336</v>
      </c>
      <c r="C8464">
        <v>8.16</v>
      </c>
      <c r="D8464">
        <f t="shared" si="267"/>
        <v>1</v>
      </c>
    </row>
    <row r="8465" spans="1:4" x14ac:dyDescent="0.55000000000000004">
      <c r="A8465">
        <f t="shared" si="266"/>
        <v>1991</v>
      </c>
      <c r="B8465" s="821">
        <v>33333</v>
      </c>
      <c r="C8465">
        <v>8.18</v>
      </c>
      <c r="D8465">
        <f t="shared" si="267"/>
        <v>1</v>
      </c>
    </row>
    <row r="8466" spans="1:4" x14ac:dyDescent="0.55000000000000004">
      <c r="A8466">
        <f t="shared" si="266"/>
        <v>1991</v>
      </c>
      <c r="B8466" s="821">
        <v>33332</v>
      </c>
      <c r="C8466">
        <v>8.19</v>
      </c>
      <c r="D8466">
        <f t="shared" si="267"/>
        <v>1</v>
      </c>
    </row>
    <row r="8467" spans="1:4" x14ac:dyDescent="0.55000000000000004">
      <c r="A8467">
        <f t="shared" si="266"/>
        <v>1991</v>
      </c>
      <c r="B8467" s="821">
        <v>33331</v>
      </c>
      <c r="C8467">
        <v>8.24</v>
      </c>
      <c r="D8467">
        <f t="shared" si="267"/>
        <v>1</v>
      </c>
    </row>
    <row r="8468" spans="1:4" x14ac:dyDescent="0.55000000000000004">
      <c r="A8468">
        <f t="shared" si="266"/>
        <v>1991</v>
      </c>
      <c r="B8468" s="821">
        <v>33330</v>
      </c>
      <c r="C8468">
        <v>8.2200000000000006</v>
      </c>
      <c r="D8468">
        <f t="shared" si="267"/>
        <v>1</v>
      </c>
    </row>
    <row r="8469" spans="1:4" x14ac:dyDescent="0.55000000000000004">
      <c r="A8469">
        <f t="shared" si="266"/>
        <v>1991</v>
      </c>
      <c r="B8469" s="821">
        <v>33329</v>
      </c>
      <c r="C8469">
        <v>8.25</v>
      </c>
      <c r="D8469">
        <f t="shared" si="267"/>
        <v>1</v>
      </c>
    </row>
    <row r="8470" spans="1:4" x14ac:dyDescent="0.55000000000000004">
      <c r="A8470">
        <f t="shared" si="266"/>
        <v>1991</v>
      </c>
      <c r="B8470" s="821">
        <v>33325</v>
      </c>
      <c r="C8470">
        <v>8.24</v>
      </c>
      <c r="D8470">
        <f t="shared" si="267"/>
        <v>1</v>
      </c>
    </row>
    <row r="8471" spans="1:4" x14ac:dyDescent="0.55000000000000004">
      <c r="A8471">
        <f t="shared" si="266"/>
        <v>1991</v>
      </c>
      <c r="B8471" s="821">
        <v>33324</v>
      </c>
      <c r="C8471">
        <v>8.26</v>
      </c>
      <c r="D8471">
        <f t="shared" si="267"/>
        <v>1</v>
      </c>
    </row>
    <row r="8472" spans="1:4" x14ac:dyDescent="0.55000000000000004">
      <c r="A8472">
        <f t="shared" si="266"/>
        <v>1991</v>
      </c>
      <c r="B8472" s="821">
        <v>33323</v>
      </c>
      <c r="C8472">
        <v>8.31</v>
      </c>
      <c r="D8472">
        <f t="shared" si="267"/>
        <v>1</v>
      </c>
    </row>
    <row r="8473" spans="1:4" x14ac:dyDescent="0.55000000000000004">
      <c r="A8473">
        <f t="shared" si="266"/>
        <v>1991</v>
      </c>
      <c r="B8473" s="821">
        <v>33322</v>
      </c>
      <c r="C8473">
        <v>8.32</v>
      </c>
      <c r="D8473">
        <f t="shared" si="267"/>
        <v>1</v>
      </c>
    </row>
    <row r="8474" spans="1:4" x14ac:dyDescent="0.55000000000000004">
      <c r="A8474">
        <f t="shared" si="266"/>
        <v>1991</v>
      </c>
      <c r="B8474" s="821">
        <v>33319</v>
      </c>
      <c r="C8474">
        <v>8.33</v>
      </c>
      <c r="D8474">
        <f t="shared" si="267"/>
        <v>1</v>
      </c>
    </row>
    <row r="8475" spans="1:4" x14ac:dyDescent="0.55000000000000004">
      <c r="A8475">
        <f t="shared" si="266"/>
        <v>1991</v>
      </c>
      <c r="B8475" s="821">
        <v>33318</v>
      </c>
      <c r="C8475">
        <v>8.34</v>
      </c>
      <c r="D8475">
        <f t="shared" si="267"/>
        <v>1</v>
      </c>
    </row>
    <row r="8476" spans="1:4" x14ac:dyDescent="0.55000000000000004">
      <c r="A8476">
        <f t="shared" si="266"/>
        <v>1991</v>
      </c>
      <c r="B8476" s="821">
        <v>33317</v>
      </c>
      <c r="C8476">
        <v>8.3699999999999992</v>
      </c>
      <c r="D8476">
        <f t="shared" si="267"/>
        <v>1</v>
      </c>
    </row>
    <row r="8477" spans="1:4" x14ac:dyDescent="0.55000000000000004">
      <c r="A8477">
        <f t="shared" si="266"/>
        <v>1991</v>
      </c>
      <c r="B8477" s="821">
        <v>33316</v>
      </c>
      <c r="C8477">
        <v>8.42</v>
      </c>
      <c r="D8477">
        <f t="shared" si="267"/>
        <v>1</v>
      </c>
    </row>
    <row r="8478" spans="1:4" x14ac:dyDescent="0.55000000000000004">
      <c r="A8478">
        <f t="shared" si="266"/>
        <v>1991</v>
      </c>
      <c r="B8478" s="821">
        <v>33315</v>
      </c>
      <c r="C8478">
        <v>8.34</v>
      </c>
      <c r="D8478">
        <f t="shared" si="267"/>
        <v>1</v>
      </c>
    </row>
    <row r="8479" spans="1:4" x14ac:dyDescent="0.55000000000000004">
      <c r="A8479">
        <f t="shared" si="266"/>
        <v>1991</v>
      </c>
      <c r="B8479" s="821">
        <v>33312</v>
      </c>
      <c r="C8479">
        <v>8.3000000000000007</v>
      </c>
      <c r="D8479">
        <f t="shared" si="267"/>
        <v>1</v>
      </c>
    </row>
    <row r="8480" spans="1:4" x14ac:dyDescent="0.55000000000000004">
      <c r="A8480">
        <f t="shared" si="266"/>
        <v>1991</v>
      </c>
      <c r="B8480" s="821">
        <v>33311</v>
      </c>
      <c r="C8480">
        <v>8.1999999999999993</v>
      </c>
      <c r="D8480">
        <f t="shared" si="267"/>
        <v>1</v>
      </c>
    </row>
    <row r="8481" spans="1:4" x14ac:dyDescent="0.55000000000000004">
      <c r="A8481">
        <f t="shared" si="266"/>
        <v>1991</v>
      </c>
      <c r="B8481" s="821">
        <v>33310</v>
      </c>
      <c r="C8481">
        <v>8.1999999999999993</v>
      </c>
      <c r="D8481">
        <f t="shared" si="267"/>
        <v>1</v>
      </c>
    </row>
    <row r="8482" spans="1:4" x14ac:dyDescent="0.55000000000000004">
      <c r="A8482">
        <f t="shared" si="266"/>
        <v>1991</v>
      </c>
      <c r="B8482" s="821">
        <v>33309</v>
      </c>
      <c r="C8482">
        <v>8.26</v>
      </c>
      <c r="D8482">
        <f t="shared" si="267"/>
        <v>1</v>
      </c>
    </row>
    <row r="8483" spans="1:4" x14ac:dyDescent="0.55000000000000004">
      <c r="A8483">
        <f t="shared" si="266"/>
        <v>1991</v>
      </c>
      <c r="B8483" s="821">
        <v>33308</v>
      </c>
      <c r="C8483">
        <v>8.23</v>
      </c>
      <c r="D8483">
        <f t="shared" si="267"/>
        <v>1</v>
      </c>
    </row>
    <row r="8484" spans="1:4" x14ac:dyDescent="0.55000000000000004">
      <c r="A8484">
        <f t="shared" si="266"/>
        <v>1991</v>
      </c>
      <c r="B8484" s="821">
        <v>33305</v>
      </c>
      <c r="C8484">
        <v>8.3000000000000007</v>
      </c>
      <c r="D8484">
        <f t="shared" si="267"/>
        <v>1</v>
      </c>
    </row>
    <row r="8485" spans="1:4" x14ac:dyDescent="0.55000000000000004">
      <c r="A8485">
        <f t="shared" si="266"/>
        <v>1991</v>
      </c>
      <c r="B8485" s="821">
        <v>33304</v>
      </c>
      <c r="C8485">
        <v>8.23</v>
      </c>
      <c r="D8485">
        <f t="shared" si="267"/>
        <v>1</v>
      </c>
    </row>
    <row r="8486" spans="1:4" x14ac:dyDescent="0.55000000000000004">
      <c r="A8486">
        <f t="shared" si="266"/>
        <v>1991</v>
      </c>
      <c r="B8486" s="821">
        <v>33303</v>
      </c>
      <c r="C8486">
        <v>8.2899999999999991</v>
      </c>
      <c r="D8486">
        <f t="shared" si="267"/>
        <v>1</v>
      </c>
    </row>
    <row r="8487" spans="1:4" x14ac:dyDescent="0.55000000000000004">
      <c r="A8487">
        <f t="shared" si="266"/>
        <v>1991</v>
      </c>
      <c r="B8487" s="821">
        <v>33302</v>
      </c>
      <c r="C8487">
        <v>8.25</v>
      </c>
      <c r="D8487">
        <f t="shared" si="267"/>
        <v>1</v>
      </c>
    </row>
    <row r="8488" spans="1:4" x14ac:dyDescent="0.55000000000000004">
      <c r="A8488">
        <f t="shared" si="266"/>
        <v>1991</v>
      </c>
      <c r="B8488" s="821">
        <v>33301</v>
      </c>
      <c r="C8488">
        <v>8.2899999999999991</v>
      </c>
      <c r="D8488">
        <f t="shared" si="267"/>
        <v>1</v>
      </c>
    </row>
    <row r="8489" spans="1:4" x14ac:dyDescent="0.55000000000000004">
      <c r="A8489">
        <f t="shared" si="266"/>
        <v>1991</v>
      </c>
      <c r="B8489" s="821">
        <v>33298</v>
      </c>
      <c r="C8489">
        <v>8.2799999999999994</v>
      </c>
      <c r="D8489">
        <f t="shared" si="267"/>
        <v>1</v>
      </c>
    </row>
    <row r="8490" spans="1:4" x14ac:dyDescent="0.55000000000000004">
      <c r="A8490">
        <f t="shared" si="266"/>
        <v>1991</v>
      </c>
      <c r="B8490" s="821">
        <v>33297</v>
      </c>
      <c r="C8490">
        <v>8.19</v>
      </c>
      <c r="D8490">
        <f t="shared" si="267"/>
        <v>1</v>
      </c>
    </row>
    <row r="8491" spans="1:4" x14ac:dyDescent="0.55000000000000004">
      <c r="A8491">
        <f t="shared" si="266"/>
        <v>1991</v>
      </c>
      <c r="B8491" s="821">
        <v>33296</v>
      </c>
      <c r="C8491">
        <v>8.15</v>
      </c>
      <c r="D8491">
        <f t="shared" si="267"/>
        <v>1</v>
      </c>
    </row>
    <row r="8492" spans="1:4" x14ac:dyDescent="0.55000000000000004">
      <c r="A8492">
        <f t="shared" si="266"/>
        <v>1991</v>
      </c>
      <c r="B8492" s="821">
        <v>33295</v>
      </c>
      <c r="C8492">
        <v>8.14</v>
      </c>
      <c r="D8492">
        <f t="shared" si="267"/>
        <v>1</v>
      </c>
    </row>
    <row r="8493" spans="1:4" x14ac:dyDescent="0.55000000000000004">
      <c r="A8493">
        <f t="shared" si="266"/>
        <v>1991</v>
      </c>
      <c r="B8493" s="821">
        <v>33294</v>
      </c>
      <c r="C8493">
        <v>8.0500000000000007</v>
      </c>
      <c r="D8493">
        <f t="shared" si="267"/>
        <v>1</v>
      </c>
    </row>
    <row r="8494" spans="1:4" x14ac:dyDescent="0.55000000000000004">
      <c r="A8494">
        <f t="shared" si="266"/>
        <v>1991</v>
      </c>
      <c r="B8494" s="821">
        <v>33291</v>
      </c>
      <c r="C8494">
        <v>8.07</v>
      </c>
      <c r="D8494">
        <f t="shared" si="267"/>
        <v>1</v>
      </c>
    </row>
    <row r="8495" spans="1:4" x14ac:dyDescent="0.55000000000000004">
      <c r="A8495">
        <f t="shared" si="266"/>
        <v>1991</v>
      </c>
      <c r="B8495" s="821">
        <v>33290</v>
      </c>
      <c r="C8495">
        <v>8.0399999999999991</v>
      </c>
      <c r="D8495">
        <f t="shared" si="267"/>
        <v>1</v>
      </c>
    </row>
    <row r="8496" spans="1:4" x14ac:dyDescent="0.55000000000000004">
      <c r="A8496">
        <f t="shared" si="266"/>
        <v>1991</v>
      </c>
      <c r="B8496" s="821">
        <v>33289</v>
      </c>
      <c r="C8496">
        <v>8.02</v>
      </c>
      <c r="D8496">
        <f t="shared" si="267"/>
        <v>1</v>
      </c>
    </row>
    <row r="8497" spans="1:4" x14ac:dyDescent="0.55000000000000004">
      <c r="A8497">
        <f t="shared" si="266"/>
        <v>1991</v>
      </c>
      <c r="B8497" s="821">
        <v>33288</v>
      </c>
      <c r="C8497">
        <v>7.99</v>
      </c>
      <c r="D8497">
        <f t="shared" si="267"/>
        <v>1</v>
      </c>
    </row>
    <row r="8498" spans="1:4" x14ac:dyDescent="0.55000000000000004">
      <c r="A8498">
        <f t="shared" si="266"/>
        <v>1991</v>
      </c>
      <c r="B8498" s="821">
        <v>33284</v>
      </c>
      <c r="C8498">
        <v>7.97</v>
      </c>
      <c r="D8498">
        <f t="shared" si="267"/>
        <v>1</v>
      </c>
    </row>
    <row r="8499" spans="1:4" x14ac:dyDescent="0.55000000000000004">
      <c r="A8499">
        <f t="shared" si="266"/>
        <v>1991</v>
      </c>
      <c r="B8499" s="821">
        <v>33283</v>
      </c>
      <c r="C8499">
        <v>7.99</v>
      </c>
      <c r="D8499">
        <f t="shared" si="267"/>
        <v>1</v>
      </c>
    </row>
    <row r="8500" spans="1:4" x14ac:dyDescent="0.55000000000000004">
      <c r="A8500">
        <f t="shared" si="266"/>
        <v>1991</v>
      </c>
      <c r="B8500" s="821">
        <v>33282</v>
      </c>
      <c r="C8500">
        <v>7.97</v>
      </c>
      <c r="D8500">
        <f t="shared" si="267"/>
        <v>1</v>
      </c>
    </row>
    <row r="8501" spans="1:4" x14ac:dyDescent="0.55000000000000004">
      <c r="A8501">
        <f t="shared" si="266"/>
        <v>1991</v>
      </c>
      <c r="B8501" s="821">
        <v>33281</v>
      </c>
      <c r="C8501">
        <v>7.96</v>
      </c>
      <c r="D8501">
        <f t="shared" si="267"/>
        <v>1</v>
      </c>
    </row>
    <row r="8502" spans="1:4" x14ac:dyDescent="0.55000000000000004">
      <c r="A8502">
        <f t="shared" si="266"/>
        <v>1991</v>
      </c>
      <c r="B8502" s="821">
        <v>33280</v>
      </c>
      <c r="C8502">
        <v>7.97</v>
      </c>
      <c r="D8502">
        <f t="shared" si="267"/>
        <v>1</v>
      </c>
    </row>
    <row r="8503" spans="1:4" x14ac:dyDescent="0.55000000000000004">
      <c r="A8503">
        <f t="shared" si="266"/>
        <v>1991</v>
      </c>
      <c r="B8503" s="821">
        <v>33277</v>
      </c>
      <c r="C8503">
        <v>7.95</v>
      </c>
      <c r="D8503">
        <f t="shared" si="267"/>
        <v>1</v>
      </c>
    </row>
    <row r="8504" spans="1:4" x14ac:dyDescent="0.55000000000000004">
      <c r="A8504">
        <f t="shared" si="266"/>
        <v>1991</v>
      </c>
      <c r="B8504" s="821">
        <v>33276</v>
      </c>
      <c r="C8504">
        <v>8.01</v>
      </c>
      <c r="D8504">
        <f t="shared" si="267"/>
        <v>1</v>
      </c>
    </row>
    <row r="8505" spans="1:4" x14ac:dyDescent="0.55000000000000004">
      <c r="A8505">
        <f t="shared" si="266"/>
        <v>1991</v>
      </c>
      <c r="B8505" s="821">
        <v>33275</v>
      </c>
      <c r="C8505">
        <v>8.02</v>
      </c>
      <c r="D8505">
        <f t="shared" si="267"/>
        <v>1</v>
      </c>
    </row>
    <row r="8506" spans="1:4" x14ac:dyDescent="0.55000000000000004">
      <c r="A8506">
        <f t="shared" si="266"/>
        <v>1991</v>
      </c>
      <c r="B8506" s="821">
        <v>33274</v>
      </c>
      <c r="C8506">
        <v>8.02</v>
      </c>
      <c r="D8506">
        <f t="shared" si="267"/>
        <v>1</v>
      </c>
    </row>
    <row r="8507" spans="1:4" x14ac:dyDescent="0.55000000000000004">
      <c r="A8507">
        <f t="shared" si="266"/>
        <v>1991</v>
      </c>
      <c r="B8507" s="821">
        <v>33273</v>
      </c>
      <c r="C8507">
        <v>8.0500000000000007</v>
      </c>
      <c r="D8507">
        <f t="shared" si="267"/>
        <v>1</v>
      </c>
    </row>
    <row r="8508" spans="1:4" x14ac:dyDescent="0.55000000000000004">
      <c r="A8508">
        <f t="shared" si="266"/>
        <v>1991</v>
      </c>
      <c r="B8508" s="821">
        <v>33270</v>
      </c>
      <c r="C8508">
        <v>8.09</v>
      </c>
      <c r="D8508">
        <f t="shared" si="267"/>
        <v>1</v>
      </c>
    </row>
    <row r="8509" spans="1:4" x14ac:dyDescent="0.55000000000000004">
      <c r="A8509">
        <f t="shared" si="266"/>
        <v>1991</v>
      </c>
      <c r="B8509" s="821">
        <v>33269</v>
      </c>
      <c r="C8509">
        <v>8.2100000000000009</v>
      </c>
      <c r="D8509">
        <f t="shared" si="267"/>
        <v>1</v>
      </c>
    </row>
    <row r="8510" spans="1:4" x14ac:dyDescent="0.55000000000000004">
      <c r="A8510">
        <f t="shared" si="266"/>
        <v>1991</v>
      </c>
      <c r="B8510" s="821">
        <v>33268</v>
      </c>
      <c r="C8510">
        <v>8.23</v>
      </c>
      <c r="D8510">
        <f t="shared" si="267"/>
        <v>1</v>
      </c>
    </row>
    <row r="8511" spans="1:4" x14ac:dyDescent="0.55000000000000004">
      <c r="A8511">
        <f t="shared" si="266"/>
        <v>1991</v>
      </c>
      <c r="B8511" s="821">
        <v>33267</v>
      </c>
      <c r="C8511">
        <v>8.1999999999999993</v>
      </c>
      <c r="D8511">
        <f t="shared" si="267"/>
        <v>1</v>
      </c>
    </row>
    <row r="8512" spans="1:4" x14ac:dyDescent="0.55000000000000004">
      <c r="A8512">
        <f t="shared" si="266"/>
        <v>1991</v>
      </c>
      <c r="B8512" s="821">
        <v>33266</v>
      </c>
      <c r="C8512">
        <v>8.23</v>
      </c>
      <c r="D8512">
        <f t="shared" si="267"/>
        <v>1</v>
      </c>
    </row>
    <row r="8513" spans="1:4" x14ac:dyDescent="0.55000000000000004">
      <c r="A8513">
        <f t="shared" si="266"/>
        <v>1991</v>
      </c>
      <c r="B8513" s="821">
        <v>33263</v>
      </c>
      <c r="C8513">
        <v>8.24</v>
      </c>
      <c r="D8513">
        <f t="shared" si="267"/>
        <v>1</v>
      </c>
    </row>
    <row r="8514" spans="1:4" x14ac:dyDescent="0.55000000000000004">
      <c r="A8514">
        <f t="shared" si="266"/>
        <v>1991</v>
      </c>
      <c r="B8514" s="821">
        <v>33262</v>
      </c>
      <c r="C8514">
        <v>8.18</v>
      </c>
      <c r="D8514">
        <f t="shared" si="267"/>
        <v>1</v>
      </c>
    </row>
    <row r="8515" spans="1:4" x14ac:dyDescent="0.55000000000000004">
      <c r="A8515">
        <f t="shared" si="266"/>
        <v>1991</v>
      </c>
      <c r="B8515" s="821">
        <v>33261</v>
      </c>
      <c r="C8515">
        <v>8.2100000000000009</v>
      </c>
      <c r="D8515">
        <f t="shared" si="267"/>
        <v>1</v>
      </c>
    </row>
    <row r="8516" spans="1:4" x14ac:dyDescent="0.55000000000000004">
      <c r="A8516">
        <f t="shared" ref="A8516:A8579" si="268">YEAR(B8516)</f>
        <v>1991</v>
      </c>
      <c r="B8516" s="821">
        <v>33260</v>
      </c>
      <c r="C8516">
        <v>8.23</v>
      </c>
      <c r="D8516">
        <f t="shared" ref="D8516:D8579" si="269">IF(C8516&gt;4,1,0)</f>
        <v>1</v>
      </c>
    </row>
    <row r="8517" spans="1:4" x14ac:dyDescent="0.55000000000000004">
      <c r="A8517">
        <f t="shared" si="268"/>
        <v>1991</v>
      </c>
      <c r="B8517" s="821">
        <v>33256</v>
      </c>
      <c r="C8517">
        <v>8.17</v>
      </c>
      <c r="D8517">
        <f t="shared" si="269"/>
        <v>1</v>
      </c>
    </row>
    <row r="8518" spans="1:4" x14ac:dyDescent="0.55000000000000004">
      <c r="A8518">
        <f t="shared" si="268"/>
        <v>1991</v>
      </c>
      <c r="B8518" s="821">
        <v>33255</v>
      </c>
      <c r="C8518">
        <v>8.18</v>
      </c>
      <c r="D8518">
        <f t="shared" si="269"/>
        <v>1</v>
      </c>
    </row>
    <row r="8519" spans="1:4" x14ac:dyDescent="0.55000000000000004">
      <c r="A8519">
        <f t="shared" si="268"/>
        <v>1991</v>
      </c>
      <c r="B8519" s="821">
        <v>33254</v>
      </c>
      <c r="C8519">
        <v>8.4</v>
      </c>
      <c r="D8519">
        <f t="shared" si="269"/>
        <v>1</v>
      </c>
    </row>
    <row r="8520" spans="1:4" x14ac:dyDescent="0.55000000000000004">
      <c r="A8520">
        <f t="shared" si="268"/>
        <v>1991</v>
      </c>
      <c r="B8520" s="821">
        <v>33253</v>
      </c>
      <c r="C8520">
        <v>8.41</v>
      </c>
      <c r="D8520">
        <f t="shared" si="269"/>
        <v>1</v>
      </c>
    </row>
    <row r="8521" spans="1:4" x14ac:dyDescent="0.55000000000000004">
      <c r="A8521">
        <f t="shared" si="268"/>
        <v>1991</v>
      </c>
      <c r="B8521" s="821">
        <v>33252</v>
      </c>
      <c r="C8521">
        <v>8.41</v>
      </c>
      <c r="D8521">
        <f t="shared" si="269"/>
        <v>1</v>
      </c>
    </row>
    <row r="8522" spans="1:4" x14ac:dyDescent="0.55000000000000004">
      <c r="A8522">
        <f t="shared" si="268"/>
        <v>1991</v>
      </c>
      <c r="B8522" s="821">
        <v>33249</v>
      </c>
      <c r="C8522">
        <v>8.39</v>
      </c>
      <c r="D8522">
        <f t="shared" si="269"/>
        <v>1</v>
      </c>
    </row>
    <row r="8523" spans="1:4" x14ac:dyDescent="0.55000000000000004">
      <c r="A8523">
        <f t="shared" si="268"/>
        <v>1991</v>
      </c>
      <c r="B8523" s="821">
        <v>33248</v>
      </c>
      <c r="C8523">
        <v>8.3699999999999992</v>
      </c>
      <c r="D8523">
        <f t="shared" si="269"/>
        <v>1</v>
      </c>
    </row>
    <row r="8524" spans="1:4" x14ac:dyDescent="0.55000000000000004">
      <c r="A8524">
        <f t="shared" si="268"/>
        <v>1991</v>
      </c>
      <c r="B8524" s="821">
        <v>33247</v>
      </c>
      <c r="C8524">
        <v>8.4600000000000009</v>
      </c>
      <c r="D8524">
        <f t="shared" si="269"/>
        <v>1</v>
      </c>
    </row>
    <row r="8525" spans="1:4" x14ac:dyDescent="0.55000000000000004">
      <c r="A8525">
        <f t="shared" si="268"/>
        <v>1991</v>
      </c>
      <c r="B8525" s="821">
        <v>33246</v>
      </c>
      <c r="C8525">
        <v>8.3699999999999992</v>
      </c>
      <c r="D8525">
        <f t="shared" si="269"/>
        <v>1</v>
      </c>
    </row>
    <row r="8526" spans="1:4" x14ac:dyDescent="0.55000000000000004">
      <c r="A8526">
        <f t="shared" si="268"/>
        <v>1991</v>
      </c>
      <c r="B8526" s="821">
        <v>33245</v>
      </c>
      <c r="C8526">
        <v>8.32</v>
      </c>
      <c r="D8526">
        <f t="shared" si="269"/>
        <v>1</v>
      </c>
    </row>
    <row r="8527" spans="1:4" x14ac:dyDescent="0.55000000000000004">
      <c r="A8527">
        <f t="shared" si="268"/>
        <v>1991</v>
      </c>
      <c r="B8527" s="821">
        <v>33242</v>
      </c>
      <c r="C8527">
        <v>8.1999999999999993</v>
      </c>
      <c r="D8527">
        <f t="shared" si="269"/>
        <v>1</v>
      </c>
    </row>
    <row r="8528" spans="1:4" x14ac:dyDescent="0.55000000000000004">
      <c r="A8528">
        <f t="shared" si="268"/>
        <v>1991</v>
      </c>
      <c r="B8528" s="821">
        <v>33241</v>
      </c>
      <c r="C8528">
        <v>8.11</v>
      </c>
      <c r="D8528">
        <f t="shared" si="269"/>
        <v>1</v>
      </c>
    </row>
    <row r="8529" spans="1:4" x14ac:dyDescent="0.55000000000000004">
      <c r="A8529">
        <f t="shared" si="268"/>
        <v>1991</v>
      </c>
      <c r="B8529" s="821">
        <v>33240</v>
      </c>
      <c r="C8529">
        <v>8.14</v>
      </c>
      <c r="D8529">
        <f t="shared" si="269"/>
        <v>1</v>
      </c>
    </row>
    <row r="8530" spans="1:4" x14ac:dyDescent="0.55000000000000004">
      <c r="A8530">
        <f t="shared" si="268"/>
        <v>1990</v>
      </c>
      <c r="B8530" s="821">
        <v>33238</v>
      </c>
      <c r="C8530">
        <v>8.26</v>
      </c>
      <c r="D8530">
        <f t="shared" si="269"/>
        <v>1</v>
      </c>
    </row>
    <row r="8531" spans="1:4" x14ac:dyDescent="0.55000000000000004">
      <c r="A8531">
        <f t="shared" si="268"/>
        <v>1990</v>
      </c>
      <c r="B8531" s="821">
        <v>33235</v>
      </c>
      <c r="C8531">
        <v>8.31</v>
      </c>
      <c r="D8531">
        <f t="shared" si="269"/>
        <v>1</v>
      </c>
    </row>
    <row r="8532" spans="1:4" x14ac:dyDescent="0.55000000000000004">
      <c r="A8532">
        <f t="shared" si="268"/>
        <v>1990</v>
      </c>
      <c r="B8532" s="821">
        <v>33234</v>
      </c>
      <c r="C8532">
        <v>8.25</v>
      </c>
      <c r="D8532">
        <f t="shared" si="269"/>
        <v>1</v>
      </c>
    </row>
    <row r="8533" spans="1:4" x14ac:dyDescent="0.55000000000000004">
      <c r="A8533">
        <f t="shared" si="268"/>
        <v>1990</v>
      </c>
      <c r="B8533" s="821">
        <v>33233</v>
      </c>
      <c r="C8533">
        <v>8.3000000000000007</v>
      </c>
      <c r="D8533">
        <f t="shared" si="269"/>
        <v>1</v>
      </c>
    </row>
    <row r="8534" spans="1:4" x14ac:dyDescent="0.55000000000000004">
      <c r="A8534">
        <f t="shared" si="268"/>
        <v>1990</v>
      </c>
      <c r="B8534" s="821">
        <v>33231</v>
      </c>
      <c r="C8534">
        <v>8.36</v>
      </c>
      <c r="D8534">
        <f t="shared" si="269"/>
        <v>1</v>
      </c>
    </row>
    <row r="8535" spans="1:4" x14ac:dyDescent="0.55000000000000004">
      <c r="A8535">
        <f t="shared" si="268"/>
        <v>1990</v>
      </c>
      <c r="B8535" s="821">
        <v>33228</v>
      </c>
      <c r="C8535">
        <v>8.2799999999999994</v>
      </c>
      <c r="D8535">
        <f t="shared" si="269"/>
        <v>1</v>
      </c>
    </row>
    <row r="8536" spans="1:4" x14ac:dyDescent="0.55000000000000004">
      <c r="A8536">
        <f t="shared" si="268"/>
        <v>1990</v>
      </c>
      <c r="B8536" s="821">
        <v>33227</v>
      </c>
      <c r="C8536">
        <v>8.2200000000000006</v>
      </c>
      <c r="D8536">
        <f t="shared" si="269"/>
        <v>1</v>
      </c>
    </row>
    <row r="8537" spans="1:4" x14ac:dyDescent="0.55000000000000004">
      <c r="A8537">
        <f t="shared" si="268"/>
        <v>1990</v>
      </c>
      <c r="B8537" s="821">
        <v>33226</v>
      </c>
      <c r="C8537">
        <v>8.19</v>
      </c>
      <c r="D8537">
        <f t="shared" si="269"/>
        <v>1</v>
      </c>
    </row>
    <row r="8538" spans="1:4" x14ac:dyDescent="0.55000000000000004">
      <c r="A8538">
        <f t="shared" si="268"/>
        <v>1990</v>
      </c>
      <c r="B8538" s="821">
        <v>33225</v>
      </c>
      <c r="C8538">
        <v>8.15</v>
      </c>
      <c r="D8538">
        <f t="shared" si="269"/>
        <v>1</v>
      </c>
    </row>
    <row r="8539" spans="1:4" x14ac:dyDescent="0.55000000000000004">
      <c r="A8539">
        <f t="shared" si="268"/>
        <v>1990</v>
      </c>
      <c r="B8539" s="821">
        <v>33224</v>
      </c>
      <c r="C8539">
        <v>8.18</v>
      </c>
      <c r="D8539">
        <f t="shared" si="269"/>
        <v>1</v>
      </c>
    </row>
    <row r="8540" spans="1:4" x14ac:dyDescent="0.55000000000000004">
      <c r="A8540">
        <f t="shared" si="268"/>
        <v>1990</v>
      </c>
      <c r="B8540" s="821">
        <v>33221</v>
      </c>
      <c r="C8540">
        <v>8.1999999999999993</v>
      </c>
      <c r="D8540">
        <f t="shared" si="269"/>
        <v>1</v>
      </c>
    </row>
    <row r="8541" spans="1:4" x14ac:dyDescent="0.55000000000000004">
      <c r="A8541">
        <f t="shared" si="268"/>
        <v>1990</v>
      </c>
      <c r="B8541" s="821">
        <v>33220</v>
      </c>
      <c r="C8541">
        <v>8.14</v>
      </c>
      <c r="D8541">
        <f t="shared" si="269"/>
        <v>1</v>
      </c>
    </row>
    <row r="8542" spans="1:4" x14ac:dyDescent="0.55000000000000004">
      <c r="A8542">
        <f t="shared" si="268"/>
        <v>1990</v>
      </c>
      <c r="B8542" s="821">
        <v>33219</v>
      </c>
      <c r="C8542">
        <v>8.07</v>
      </c>
      <c r="D8542">
        <f t="shared" si="269"/>
        <v>1</v>
      </c>
    </row>
    <row r="8543" spans="1:4" x14ac:dyDescent="0.55000000000000004">
      <c r="A8543">
        <f t="shared" si="268"/>
        <v>1990</v>
      </c>
      <c r="B8543" s="821">
        <v>33218</v>
      </c>
      <c r="C8543">
        <v>8.1</v>
      </c>
      <c r="D8543">
        <f t="shared" si="269"/>
        <v>1</v>
      </c>
    </row>
    <row r="8544" spans="1:4" x14ac:dyDescent="0.55000000000000004">
      <c r="A8544">
        <f t="shared" si="268"/>
        <v>1990</v>
      </c>
      <c r="B8544" s="821">
        <v>33217</v>
      </c>
      <c r="C8544">
        <v>8.14</v>
      </c>
      <c r="D8544">
        <f t="shared" si="269"/>
        <v>1</v>
      </c>
    </row>
    <row r="8545" spans="1:4" x14ac:dyDescent="0.55000000000000004">
      <c r="A8545">
        <f t="shared" si="268"/>
        <v>1990</v>
      </c>
      <c r="B8545" s="821">
        <v>33214</v>
      </c>
      <c r="C8545">
        <v>8.19</v>
      </c>
      <c r="D8545">
        <f t="shared" si="269"/>
        <v>1</v>
      </c>
    </row>
    <row r="8546" spans="1:4" x14ac:dyDescent="0.55000000000000004">
      <c r="A8546">
        <f t="shared" si="268"/>
        <v>1990</v>
      </c>
      <c r="B8546" s="821">
        <v>33213</v>
      </c>
      <c r="C8546">
        <v>8.35</v>
      </c>
      <c r="D8546">
        <f t="shared" si="269"/>
        <v>1</v>
      </c>
    </row>
    <row r="8547" spans="1:4" x14ac:dyDescent="0.55000000000000004">
      <c r="A8547">
        <f t="shared" si="268"/>
        <v>1990</v>
      </c>
      <c r="B8547" s="821">
        <v>33212</v>
      </c>
      <c r="C8547">
        <v>8.32</v>
      </c>
      <c r="D8547">
        <f t="shared" si="269"/>
        <v>1</v>
      </c>
    </row>
    <row r="8548" spans="1:4" x14ac:dyDescent="0.55000000000000004">
      <c r="A8548">
        <f t="shared" si="268"/>
        <v>1990</v>
      </c>
      <c r="B8548" s="821">
        <v>33211</v>
      </c>
      <c r="C8548">
        <v>8.3699999999999992</v>
      </c>
      <c r="D8548">
        <f t="shared" si="269"/>
        <v>1</v>
      </c>
    </row>
    <row r="8549" spans="1:4" x14ac:dyDescent="0.55000000000000004">
      <c r="A8549">
        <f t="shared" si="268"/>
        <v>1990</v>
      </c>
      <c r="B8549" s="821">
        <v>33210</v>
      </c>
      <c r="C8549">
        <v>8.36</v>
      </c>
      <c r="D8549">
        <f t="shared" si="269"/>
        <v>1</v>
      </c>
    </row>
    <row r="8550" spans="1:4" x14ac:dyDescent="0.55000000000000004">
      <c r="A8550">
        <f t="shared" si="268"/>
        <v>1990</v>
      </c>
      <c r="B8550" s="821">
        <v>33207</v>
      </c>
      <c r="C8550">
        <v>8.4</v>
      </c>
      <c r="D8550">
        <f t="shared" si="269"/>
        <v>1</v>
      </c>
    </row>
    <row r="8551" spans="1:4" x14ac:dyDescent="0.55000000000000004">
      <c r="A8551">
        <f t="shared" si="268"/>
        <v>1990</v>
      </c>
      <c r="B8551" s="821">
        <v>33206</v>
      </c>
      <c r="C8551">
        <v>8.4700000000000006</v>
      </c>
      <c r="D8551">
        <f t="shared" si="269"/>
        <v>1</v>
      </c>
    </row>
    <row r="8552" spans="1:4" x14ac:dyDescent="0.55000000000000004">
      <c r="A8552">
        <f t="shared" si="268"/>
        <v>1990</v>
      </c>
      <c r="B8552" s="821">
        <v>33205</v>
      </c>
      <c r="C8552">
        <v>8.4600000000000009</v>
      </c>
      <c r="D8552">
        <f t="shared" si="269"/>
        <v>1</v>
      </c>
    </row>
    <row r="8553" spans="1:4" x14ac:dyDescent="0.55000000000000004">
      <c r="A8553">
        <f t="shared" si="268"/>
        <v>1990</v>
      </c>
      <c r="B8553" s="821">
        <v>33204</v>
      </c>
      <c r="C8553">
        <v>8.44</v>
      </c>
      <c r="D8553">
        <f t="shared" si="269"/>
        <v>1</v>
      </c>
    </row>
    <row r="8554" spans="1:4" x14ac:dyDescent="0.55000000000000004">
      <c r="A8554">
        <f t="shared" si="268"/>
        <v>1990</v>
      </c>
      <c r="B8554" s="821">
        <v>33203</v>
      </c>
      <c r="C8554">
        <v>8.42</v>
      </c>
      <c r="D8554">
        <f t="shared" si="269"/>
        <v>1</v>
      </c>
    </row>
    <row r="8555" spans="1:4" x14ac:dyDescent="0.55000000000000004">
      <c r="A8555">
        <f t="shared" si="268"/>
        <v>1990</v>
      </c>
      <c r="B8555" s="821">
        <v>33200</v>
      </c>
      <c r="C8555">
        <v>8.44</v>
      </c>
      <c r="D8555">
        <f t="shared" si="269"/>
        <v>1</v>
      </c>
    </row>
    <row r="8556" spans="1:4" x14ac:dyDescent="0.55000000000000004">
      <c r="A8556">
        <f t="shared" si="268"/>
        <v>1990</v>
      </c>
      <c r="B8556" s="821">
        <v>33198</v>
      </c>
      <c r="C8556">
        <v>8.44</v>
      </c>
      <c r="D8556">
        <f t="shared" si="269"/>
        <v>1</v>
      </c>
    </row>
    <row r="8557" spans="1:4" x14ac:dyDescent="0.55000000000000004">
      <c r="A8557">
        <f t="shared" si="268"/>
        <v>1990</v>
      </c>
      <c r="B8557" s="821">
        <v>33197</v>
      </c>
      <c r="C8557">
        <v>8.4700000000000006</v>
      </c>
      <c r="D8557">
        <f t="shared" si="269"/>
        <v>1</v>
      </c>
    </row>
    <row r="8558" spans="1:4" x14ac:dyDescent="0.55000000000000004">
      <c r="A8558">
        <f t="shared" si="268"/>
        <v>1990</v>
      </c>
      <c r="B8558" s="821">
        <v>33196</v>
      </c>
      <c r="C8558">
        <v>8.51</v>
      </c>
      <c r="D8558">
        <f t="shared" si="269"/>
        <v>1</v>
      </c>
    </row>
    <row r="8559" spans="1:4" x14ac:dyDescent="0.55000000000000004">
      <c r="A8559">
        <f t="shared" si="268"/>
        <v>1990</v>
      </c>
      <c r="B8559" s="821">
        <v>33193</v>
      </c>
      <c r="C8559">
        <v>8.4600000000000009</v>
      </c>
      <c r="D8559">
        <f t="shared" si="269"/>
        <v>1</v>
      </c>
    </row>
    <row r="8560" spans="1:4" x14ac:dyDescent="0.55000000000000004">
      <c r="A8560">
        <f t="shared" si="268"/>
        <v>1990</v>
      </c>
      <c r="B8560" s="821">
        <v>33192</v>
      </c>
      <c r="C8560">
        <v>8.5299999999999994</v>
      </c>
      <c r="D8560">
        <f t="shared" si="269"/>
        <v>1</v>
      </c>
    </row>
    <row r="8561" spans="1:4" x14ac:dyDescent="0.55000000000000004">
      <c r="A8561">
        <f t="shared" si="268"/>
        <v>1990</v>
      </c>
      <c r="B8561" s="821">
        <v>33191</v>
      </c>
      <c r="C8561">
        <v>8.51</v>
      </c>
      <c r="D8561">
        <f t="shared" si="269"/>
        <v>1</v>
      </c>
    </row>
    <row r="8562" spans="1:4" x14ac:dyDescent="0.55000000000000004">
      <c r="A8562">
        <f t="shared" si="268"/>
        <v>1990</v>
      </c>
      <c r="B8562" s="821">
        <v>33190</v>
      </c>
      <c r="C8562">
        <v>8.52</v>
      </c>
      <c r="D8562">
        <f t="shared" si="269"/>
        <v>1</v>
      </c>
    </row>
    <row r="8563" spans="1:4" x14ac:dyDescent="0.55000000000000004">
      <c r="A8563">
        <f t="shared" si="268"/>
        <v>1990</v>
      </c>
      <c r="B8563" s="821">
        <v>33186</v>
      </c>
      <c r="C8563">
        <v>8.6300000000000008</v>
      </c>
      <c r="D8563">
        <f t="shared" si="269"/>
        <v>1</v>
      </c>
    </row>
    <row r="8564" spans="1:4" x14ac:dyDescent="0.55000000000000004">
      <c r="A8564">
        <f t="shared" si="268"/>
        <v>1990</v>
      </c>
      <c r="B8564" s="821">
        <v>33185</v>
      </c>
      <c r="C8564">
        <v>8.73</v>
      </c>
      <c r="D8564">
        <f t="shared" si="269"/>
        <v>1</v>
      </c>
    </row>
    <row r="8565" spans="1:4" x14ac:dyDescent="0.55000000000000004">
      <c r="A8565">
        <f t="shared" si="268"/>
        <v>1990</v>
      </c>
      <c r="B8565" s="821">
        <v>33184</v>
      </c>
      <c r="C8565">
        <v>8.7100000000000009</v>
      </c>
      <c r="D8565">
        <f t="shared" si="269"/>
        <v>1</v>
      </c>
    </row>
    <row r="8566" spans="1:4" x14ac:dyDescent="0.55000000000000004">
      <c r="A8566">
        <f t="shared" si="268"/>
        <v>1990</v>
      </c>
      <c r="B8566" s="821">
        <v>33183</v>
      </c>
      <c r="C8566">
        <v>8.64</v>
      </c>
      <c r="D8566">
        <f t="shared" si="269"/>
        <v>1</v>
      </c>
    </row>
    <row r="8567" spans="1:4" x14ac:dyDescent="0.55000000000000004">
      <c r="A8567">
        <f t="shared" si="268"/>
        <v>1990</v>
      </c>
      <c r="B8567" s="821">
        <v>33182</v>
      </c>
      <c r="C8567">
        <v>8.6300000000000008</v>
      </c>
      <c r="D8567">
        <f t="shared" si="269"/>
        <v>1</v>
      </c>
    </row>
    <row r="8568" spans="1:4" x14ac:dyDescent="0.55000000000000004">
      <c r="A8568">
        <f t="shared" si="268"/>
        <v>1990</v>
      </c>
      <c r="B8568" s="821">
        <v>33179</v>
      </c>
      <c r="C8568">
        <v>8.6999999999999993</v>
      </c>
      <c r="D8568">
        <f t="shared" si="269"/>
        <v>1</v>
      </c>
    </row>
    <row r="8569" spans="1:4" x14ac:dyDescent="0.55000000000000004">
      <c r="A8569">
        <f t="shared" si="268"/>
        <v>1990</v>
      </c>
      <c r="B8569" s="821">
        <v>33178</v>
      </c>
      <c r="C8569">
        <v>8.6999999999999993</v>
      </c>
      <c r="D8569">
        <f t="shared" si="269"/>
        <v>1</v>
      </c>
    </row>
    <row r="8570" spans="1:4" x14ac:dyDescent="0.55000000000000004">
      <c r="A8570">
        <f t="shared" si="268"/>
        <v>1990</v>
      </c>
      <c r="B8570" s="821">
        <v>33177</v>
      </c>
      <c r="C8570">
        <v>8.7799999999999994</v>
      </c>
      <c r="D8570">
        <f t="shared" si="269"/>
        <v>1</v>
      </c>
    </row>
    <row r="8571" spans="1:4" x14ac:dyDescent="0.55000000000000004">
      <c r="A8571">
        <f t="shared" si="268"/>
        <v>1990</v>
      </c>
      <c r="B8571" s="821">
        <v>33176</v>
      </c>
      <c r="C8571">
        <v>8.83</v>
      </c>
      <c r="D8571">
        <f t="shared" si="269"/>
        <v>1</v>
      </c>
    </row>
    <row r="8572" spans="1:4" x14ac:dyDescent="0.55000000000000004">
      <c r="A8572">
        <f t="shared" si="268"/>
        <v>1990</v>
      </c>
      <c r="B8572" s="821">
        <v>33175</v>
      </c>
      <c r="C8572">
        <v>8.84</v>
      </c>
      <c r="D8572">
        <f t="shared" si="269"/>
        <v>1</v>
      </c>
    </row>
    <row r="8573" spans="1:4" x14ac:dyDescent="0.55000000000000004">
      <c r="A8573">
        <f t="shared" si="268"/>
        <v>1990</v>
      </c>
      <c r="B8573" s="821">
        <v>33172</v>
      </c>
      <c r="C8573">
        <v>8.76</v>
      </c>
      <c r="D8573">
        <f t="shared" si="269"/>
        <v>1</v>
      </c>
    </row>
    <row r="8574" spans="1:4" x14ac:dyDescent="0.55000000000000004">
      <c r="A8574">
        <f t="shared" si="268"/>
        <v>1990</v>
      </c>
      <c r="B8574" s="821">
        <v>33171</v>
      </c>
      <c r="C8574">
        <v>8.74</v>
      </c>
      <c r="D8574">
        <f t="shared" si="269"/>
        <v>1</v>
      </c>
    </row>
    <row r="8575" spans="1:4" x14ac:dyDescent="0.55000000000000004">
      <c r="A8575">
        <f t="shared" si="268"/>
        <v>1990</v>
      </c>
      <c r="B8575" s="821">
        <v>33170</v>
      </c>
      <c r="C8575">
        <v>8.7899999999999991</v>
      </c>
      <c r="D8575">
        <f t="shared" si="269"/>
        <v>1</v>
      </c>
    </row>
    <row r="8576" spans="1:4" x14ac:dyDescent="0.55000000000000004">
      <c r="A8576">
        <f t="shared" si="268"/>
        <v>1990</v>
      </c>
      <c r="B8576" s="821">
        <v>33169</v>
      </c>
      <c r="C8576">
        <v>8.7899999999999991</v>
      </c>
      <c r="D8576">
        <f t="shared" si="269"/>
        <v>1</v>
      </c>
    </row>
    <row r="8577" spans="1:4" x14ac:dyDescent="0.55000000000000004">
      <c r="A8577">
        <f t="shared" si="268"/>
        <v>1990</v>
      </c>
      <c r="B8577" s="821">
        <v>33168</v>
      </c>
      <c r="C8577">
        <v>8.76</v>
      </c>
      <c r="D8577">
        <f t="shared" si="269"/>
        <v>1</v>
      </c>
    </row>
    <row r="8578" spans="1:4" x14ac:dyDescent="0.55000000000000004">
      <c r="A8578">
        <f t="shared" si="268"/>
        <v>1990</v>
      </c>
      <c r="B8578" s="821">
        <v>33165</v>
      </c>
      <c r="C8578">
        <v>8.75</v>
      </c>
      <c r="D8578">
        <f t="shared" si="269"/>
        <v>1</v>
      </c>
    </row>
    <row r="8579" spans="1:4" x14ac:dyDescent="0.55000000000000004">
      <c r="A8579">
        <f t="shared" si="268"/>
        <v>1990</v>
      </c>
      <c r="B8579" s="821">
        <v>33164</v>
      </c>
      <c r="C8579">
        <v>8.85</v>
      </c>
      <c r="D8579">
        <f t="shared" si="269"/>
        <v>1</v>
      </c>
    </row>
    <row r="8580" spans="1:4" x14ac:dyDescent="0.55000000000000004">
      <c r="A8580">
        <f t="shared" ref="A8580:A8643" si="270">YEAR(B8580)</f>
        <v>1990</v>
      </c>
      <c r="B8580" s="821">
        <v>33163</v>
      </c>
      <c r="C8580">
        <v>8.89</v>
      </c>
      <c r="D8580">
        <f t="shared" ref="D8580:D8643" si="271">IF(C8580&gt;4,1,0)</f>
        <v>1</v>
      </c>
    </row>
    <row r="8581" spans="1:4" x14ac:dyDescent="0.55000000000000004">
      <c r="A8581">
        <f t="shared" si="270"/>
        <v>1990</v>
      </c>
      <c r="B8581" s="821">
        <v>33162</v>
      </c>
      <c r="C8581">
        <v>8.94</v>
      </c>
      <c r="D8581">
        <f t="shared" si="271"/>
        <v>1</v>
      </c>
    </row>
    <row r="8582" spans="1:4" x14ac:dyDescent="0.55000000000000004">
      <c r="A8582">
        <f t="shared" si="270"/>
        <v>1990</v>
      </c>
      <c r="B8582" s="821">
        <v>33161</v>
      </c>
      <c r="C8582">
        <v>8.9499999999999993</v>
      </c>
      <c r="D8582">
        <f t="shared" si="271"/>
        <v>1</v>
      </c>
    </row>
    <row r="8583" spans="1:4" x14ac:dyDescent="0.55000000000000004">
      <c r="A8583">
        <f t="shared" si="270"/>
        <v>1990</v>
      </c>
      <c r="B8583" s="821">
        <v>33158</v>
      </c>
      <c r="C8583">
        <v>8.98</v>
      </c>
      <c r="D8583">
        <f t="shared" si="271"/>
        <v>1</v>
      </c>
    </row>
    <row r="8584" spans="1:4" x14ac:dyDescent="0.55000000000000004">
      <c r="A8584">
        <f t="shared" si="270"/>
        <v>1990</v>
      </c>
      <c r="B8584" s="821">
        <v>33157</v>
      </c>
      <c r="C8584">
        <v>9.08</v>
      </c>
      <c r="D8584">
        <f t="shared" si="271"/>
        <v>1</v>
      </c>
    </row>
    <row r="8585" spans="1:4" x14ac:dyDescent="0.55000000000000004">
      <c r="A8585">
        <f t="shared" si="270"/>
        <v>1990</v>
      </c>
      <c r="B8585" s="821">
        <v>33156</v>
      </c>
      <c r="C8585">
        <v>9.0299999999999994</v>
      </c>
      <c r="D8585">
        <f t="shared" si="271"/>
        <v>1</v>
      </c>
    </row>
    <row r="8586" spans="1:4" x14ac:dyDescent="0.55000000000000004">
      <c r="A8586">
        <f t="shared" si="270"/>
        <v>1990</v>
      </c>
      <c r="B8586" s="821">
        <v>33155</v>
      </c>
      <c r="C8586">
        <v>8.98</v>
      </c>
      <c r="D8586">
        <f t="shared" si="271"/>
        <v>1</v>
      </c>
    </row>
    <row r="8587" spans="1:4" x14ac:dyDescent="0.55000000000000004">
      <c r="A8587">
        <f t="shared" si="270"/>
        <v>1990</v>
      </c>
      <c r="B8587" s="821">
        <v>33151</v>
      </c>
      <c r="C8587">
        <v>8.7899999999999991</v>
      </c>
      <c r="D8587">
        <f t="shared" si="271"/>
        <v>1</v>
      </c>
    </row>
    <row r="8588" spans="1:4" x14ac:dyDescent="0.55000000000000004">
      <c r="A8588">
        <f t="shared" si="270"/>
        <v>1990</v>
      </c>
      <c r="B8588" s="821">
        <v>33150</v>
      </c>
      <c r="C8588">
        <v>8.81</v>
      </c>
      <c r="D8588">
        <f t="shared" si="271"/>
        <v>1</v>
      </c>
    </row>
    <row r="8589" spans="1:4" x14ac:dyDescent="0.55000000000000004">
      <c r="A8589">
        <f t="shared" si="270"/>
        <v>1990</v>
      </c>
      <c r="B8589" s="821">
        <v>33149</v>
      </c>
      <c r="C8589">
        <v>8.85</v>
      </c>
      <c r="D8589">
        <f t="shared" si="271"/>
        <v>1</v>
      </c>
    </row>
    <row r="8590" spans="1:4" x14ac:dyDescent="0.55000000000000004">
      <c r="A8590">
        <f t="shared" si="270"/>
        <v>1990</v>
      </c>
      <c r="B8590" s="821">
        <v>33148</v>
      </c>
      <c r="C8590">
        <v>8.84</v>
      </c>
      <c r="D8590">
        <f t="shared" si="271"/>
        <v>1</v>
      </c>
    </row>
    <row r="8591" spans="1:4" x14ac:dyDescent="0.55000000000000004">
      <c r="A8591">
        <f t="shared" si="270"/>
        <v>1990</v>
      </c>
      <c r="B8591" s="821">
        <v>33147</v>
      </c>
      <c r="C8591">
        <v>8.84</v>
      </c>
      <c r="D8591">
        <f t="shared" si="271"/>
        <v>1</v>
      </c>
    </row>
    <row r="8592" spans="1:4" x14ac:dyDescent="0.55000000000000004">
      <c r="A8592">
        <f t="shared" si="270"/>
        <v>1990</v>
      </c>
      <c r="B8592" s="821">
        <v>33144</v>
      </c>
      <c r="C8592">
        <v>8.9600000000000009</v>
      </c>
      <c r="D8592">
        <f t="shared" si="271"/>
        <v>1</v>
      </c>
    </row>
    <row r="8593" spans="1:4" x14ac:dyDescent="0.55000000000000004">
      <c r="A8593">
        <f t="shared" si="270"/>
        <v>1990</v>
      </c>
      <c r="B8593" s="821">
        <v>33143</v>
      </c>
      <c r="C8593">
        <v>9.0500000000000007</v>
      </c>
      <c r="D8593">
        <f t="shared" si="271"/>
        <v>1</v>
      </c>
    </row>
    <row r="8594" spans="1:4" x14ac:dyDescent="0.55000000000000004">
      <c r="A8594">
        <f t="shared" si="270"/>
        <v>1990</v>
      </c>
      <c r="B8594" s="821">
        <v>33142</v>
      </c>
      <c r="C8594">
        <v>9.14</v>
      </c>
      <c r="D8594">
        <f t="shared" si="271"/>
        <v>1</v>
      </c>
    </row>
    <row r="8595" spans="1:4" x14ac:dyDescent="0.55000000000000004">
      <c r="A8595">
        <f t="shared" si="270"/>
        <v>1990</v>
      </c>
      <c r="B8595" s="821">
        <v>33141</v>
      </c>
      <c r="C8595">
        <v>9.15</v>
      </c>
      <c r="D8595">
        <f t="shared" si="271"/>
        <v>1</v>
      </c>
    </row>
    <row r="8596" spans="1:4" x14ac:dyDescent="0.55000000000000004">
      <c r="A8596">
        <f t="shared" si="270"/>
        <v>1990</v>
      </c>
      <c r="B8596" s="821">
        <v>33140</v>
      </c>
      <c r="C8596">
        <v>9.18</v>
      </c>
      <c r="D8596">
        <f t="shared" si="271"/>
        <v>1</v>
      </c>
    </row>
    <row r="8597" spans="1:4" x14ac:dyDescent="0.55000000000000004">
      <c r="A8597">
        <f t="shared" si="270"/>
        <v>1990</v>
      </c>
      <c r="B8597" s="821">
        <v>33137</v>
      </c>
      <c r="C8597">
        <v>9.1300000000000008</v>
      </c>
      <c r="D8597">
        <f t="shared" si="271"/>
        <v>1</v>
      </c>
    </row>
    <row r="8598" spans="1:4" x14ac:dyDescent="0.55000000000000004">
      <c r="A8598">
        <f t="shared" si="270"/>
        <v>1990</v>
      </c>
      <c r="B8598" s="821">
        <v>33136</v>
      </c>
      <c r="C8598">
        <v>9.0500000000000007</v>
      </c>
      <c r="D8598">
        <f t="shared" si="271"/>
        <v>1</v>
      </c>
    </row>
    <row r="8599" spans="1:4" x14ac:dyDescent="0.55000000000000004">
      <c r="A8599">
        <f t="shared" si="270"/>
        <v>1990</v>
      </c>
      <c r="B8599" s="821">
        <v>33135</v>
      </c>
      <c r="C8599">
        <v>9.02</v>
      </c>
      <c r="D8599">
        <f t="shared" si="271"/>
        <v>1</v>
      </c>
    </row>
    <row r="8600" spans="1:4" x14ac:dyDescent="0.55000000000000004">
      <c r="A8600">
        <f t="shared" si="270"/>
        <v>1990</v>
      </c>
      <c r="B8600" s="821">
        <v>33134</v>
      </c>
      <c r="C8600">
        <v>9.0500000000000007</v>
      </c>
      <c r="D8600">
        <f t="shared" si="271"/>
        <v>1</v>
      </c>
    </row>
    <row r="8601" spans="1:4" x14ac:dyDescent="0.55000000000000004">
      <c r="A8601">
        <f t="shared" si="270"/>
        <v>1990</v>
      </c>
      <c r="B8601" s="821">
        <v>33133</v>
      </c>
      <c r="C8601">
        <v>9.06</v>
      </c>
      <c r="D8601">
        <f t="shared" si="271"/>
        <v>1</v>
      </c>
    </row>
    <row r="8602" spans="1:4" x14ac:dyDescent="0.55000000000000004">
      <c r="A8602">
        <f t="shared" si="270"/>
        <v>1990</v>
      </c>
      <c r="B8602" s="821">
        <v>33130</v>
      </c>
      <c r="C8602">
        <v>9.01</v>
      </c>
      <c r="D8602">
        <f t="shared" si="271"/>
        <v>1</v>
      </c>
    </row>
    <row r="8603" spans="1:4" x14ac:dyDescent="0.55000000000000004">
      <c r="A8603">
        <f t="shared" si="270"/>
        <v>1990</v>
      </c>
      <c r="B8603" s="821">
        <v>33129</v>
      </c>
      <c r="C8603">
        <v>8.9600000000000009</v>
      </c>
      <c r="D8603">
        <f t="shared" si="271"/>
        <v>1</v>
      </c>
    </row>
    <row r="8604" spans="1:4" x14ac:dyDescent="0.55000000000000004">
      <c r="A8604">
        <f t="shared" si="270"/>
        <v>1990</v>
      </c>
      <c r="B8604" s="821">
        <v>33128</v>
      </c>
      <c r="C8604">
        <v>8.9600000000000009</v>
      </c>
      <c r="D8604">
        <f t="shared" si="271"/>
        <v>1</v>
      </c>
    </row>
    <row r="8605" spans="1:4" x14ac:dyDescent="0.55000000000000004">
      <c r="A8605">
        <f t="shared" si="270"/>
        <v>1990</v>
      </c>
      <c r="B8605" s="821">
        <v>33127</v>
      </c>
      <c r="C8605">
        <v>8.9600000000000009</v>
      </c>
      <c r="D8605">
        <f t="shared" si="271"/>
        <v>1</v>
      </c>
    </row>
    <row r="8606" spans="1:4" x14ac:dyDescent="0.55000000000000004">
      <c r="A8606">
        <f t="shared" si="270"/>
        <v>1990</v>
      </c>
      <c r="B8606" s="821">
        <v>33126</v>
      </c>
      <c r="C8606">
        <v>8.98</v>
      </c>
      <c r="D8606">
        <f t="shared" si="271"/>
        <v>1</v>
      </c>
    </row>
    <row r="8607" spans="1:4" x14ac:dyDescent="0.55000000000000004">
      <c r="A8607">
        <f t="shared" si="270"/>
        <v>1990</v>
      </c>
      <c r="B8607" s="821">
        <v>33123</v>
      </c>
      <c r="C8607">
        <v>8.92</v>
      </c>
      <c r="D8607">
        <f t="shared" si="271"/>
        <v>1</v>
      </c>
    </row>
    <row r="8608" spans="1:4" x14ac:dyDescent="0.55000000000000004">
      <c r="A8608">
        <f t="shared" si="270"/>
        <v>1990</v>
      </c>
      <c r="B8608" s="821">
        <v>33122</v>
      </c>
      <c r="C8608">
        <v>8.9600000000000009</v>
      </c>
      <c r="D8608">
        <f t="shared" si="271"/>
        <v>1</v>
      </c>
    </row>
    <row r="8609" spans="1:4" x14ac:dyDescent="0.55000000000000004">
      <c r="A8609">
        <f t="shared" si="270"/>
        <v>1990</v>
      </c>
      <c r="B8609" s="821">
        <v>33121</v>
      </c>
      <c r="C8609">
        <v>8.98</v>
      </c>
      <c r="D8609">
        <f t="shared" si="271"/>
        <v>1</v>
      </c>
    </row>
    <row r="8610" spans="1:4" x14ac:dyDescent="0.55000000000000004">
      <c r="A8610">
        <f t="shared" si="270"/>
        <v>1990</v>
      </c>
      <c r="B8610" s="821">
        <v>33120</v>
      </c>
      <c r="C8610">
        <v>9.0299999999999994</v>
      </c>
      <c r="D8610">
        <f t="shared" si="271"/>
        <v>1</v>
      </c>
    </row>
    <row r="8611" spans="1:4" x14ac:dyDescent="0.55000000000000004">
      <c r="A8611">
        <f t="shared" si="270"/>
        <v>1990</v>
      </c>
      <c r="B8611" s="821">
        <v>33116</v>
      </c>
      <c r="C8611">
        <v>8.99</v>
      </c>
      <c r="D8611">
        <f t="shared" si="271"/>
        <v>1</v>
      </c>
    </row>
    <row r="8612" spans="1:4" x14ac:dyDescent="0.55000000000000004">
      <c r="A8612">
        <f t="shared" si="270"/>
        <v>1990</v>
      </c>
      <c r="B8612" s="821">
        <v>33115</v>
      </c>
      <c r="C8612">
        <v>8.98</v>
      </c>
      <c r="D8612">
        <f t="shared" si="271"/>
        <v>1</v>
      </c>
    </row>
    <row r="8613" spans="1:4" x14ac:dyDescent="0.55000000000000004">
      <c r="A8613">
        <f t="shared" si="270"/>
        <v>1990</v>
      </c>
      <c r="B8613" s="821">
        <v>33114</v>
      </c>
      <c r="C8613">
        <v>8.9499999999999993</v>
      </c>
      <c r="D8613">
        <f t="shared" si="271"/>
        <v>1</v>
      </c>
    </row>
    <row r="8614" spans="1:4" x14ac:dyDescent="0.55000000000000004">
      <c r="A8614">
        <f t="shared" si="270"/>
        <v>1990</v>
      </c>
      <c r="B8614" s="821">
        <v>33113</v>
      </c>
      <c r="C8614">
        <v>9.07</v>
      </c>
      <c r="D8614">
        <f t="shared" si="271"/>
        <v>1</v>
      </c>
    </row>
    <row r="8615" spans="1:4" x14ac:dyDescent="0.55000000000000004">
      <c r="A8615">
        <f t="shared" si="270"/>
        <v>1990</v>
      </c>
      <c r="B8615" s="821">
        <v>33112</v>
      </c>
      <c r="C8615">
        <v>9.02</v>
      </c>
      <c r="D8615">
        <f t="shared" si="271"/>
        <v>1</v>
      </c>
    </row>
    <row r="8616" spans="1:4" x14ac:dyDescent="0.55000000000000004">
      <c r="A8616">
        <f t="shared" si="270"/>
        <v>1990</v>
      </c>
      <c r="B8616" s="821">
        <v>33109</v>
      </c>
      <c r="C8616">
        <v>9.17</v>
      </c>
      <c r="D8616">
        <f t="shared" si="271"/>
        <v>1</v>
      </c>
    </row>
    <row r="8617" spans="1:4" x14ac:dyDescent="0.55000000000000004">
      <c r="A8617">
        <f t="shared" si="270"/>
        <v>1990</v>
      </c>
      <c r="B8617" s="821">
        <v>33108</v>
      </c>
      <c r="C8617">
        <v>9.11</v>
      </c>
      <c r="D8617">
        <f t="shared" si="271"/>
        <v>1</v>
      </c>
    </row>
    <row r="8618" spans="1:4" x14ac:dyDescent="0.55000000000000004">
      <c r="A8618">
        <f t="shared" si="270"/>
        <v>1990</v>
      </c>
      <c r="B8618" s="821">
        <v>33107</v>
      </c>
      <c r="C8618">
        <v>9.0299999999999994</v>
      </c>
      <c r="D8618">
        <f t="shared" si="271"/>
        <v>1</v>
      </c>
    </row>
    <row r="8619" spans="1:4" x14ac:dyDescent="0.55000000000000004">
      <c r="A8619">
        <f t="shared" si="270"/>
        <v>1990</v>
      </c>
      <c r="B8619" s="821">
        <v>33106</v>
      </c>
      <c r="C8619">
        <v>8.94</v>
      </c>
      <c r="D8619">
        <f t="shared" si="271"/>
        <v>1</v>
      </c>
    </row>
    <row r="8620" spans="1:4" x14ac:dyDescent="0.55000000000000004">
      <c r="A8620">
        <f t="shared" si="270"/>
        <v>1990</v>
      </c>
      <c r="B8620" s="821">
        <v>33105</v>
      </c>
      <c r="C8620">
        <v>8.92</v>
      </c>
      <c r="D8620">
        <f t="shared" si="271"/>
        <v>1</v>
      </c>
    </row>
    <row r="8621" spans="1:4" x14ac:dyDescent="0.55000000000000004">
      <c r="A8621">
        <f t="shared" si="270"/>
        <v>1990</v>
      </c>
      <c r="B8621" s="821">
        <v>33102</v>
      </c>
      <c r="C8621">
        <v>8.94</v>
      </c>
      <c r="D8621">
        <f t="shared" si="271"/>
        <v>1</v>
      </c>
    </row>
    <row r="8622" spans="1:4" x14ac:dyDescent="0.55000000000000004">
      <c r="A8622">
        <f t="shared" si="270"/>
        <v>1990</v>
      </c>
      <c r="B8622" s="821">
        <v>33101</v>
      </c>
      <c r="C8622">
        <v>8.91</v>
      </c>
      <c r="D8622">
        <f t="shared" si="271"/>
        <v>1</v>
      </c>
    </row>
    <row r="8623" spans="1:4" x14ac:dyDescent="0.55000000000000004">
      <c r="A8623">
        <f t="shared" si="270"/>
        <v>1990</v>
      </c>
      <c r="B8623" s="821">
        <v>33100</v>
      </c>
      <c r="C8623">
        <v>8.76</v>
      </c>
      <c r="D8623">
        <f t="shared" si="271"/>
        <v>1</v>
      </c>
    </row>
    <row r="8624" spans="1:4" x14ac:dyDescent="0.55000000000000004">
      <c r="A8624">
        <f t="shared" si="270"/>
        <v>1990</v>
      </c>
      <c r="B8624" s="821">
        <v>33099</v>
      </c>
      <c r="C8624">
        <v>8.7799999999999994</v>
      </c>
      <c r="D8624">
        <f t="shared" si="271"/>
        <v>1</v>
      </c>
    </row>
    <row r="8625" spans="1:4" x14ac:dyDescent="0.55000000000000004">
      <c r="A8625">
        <f t="shared" si="270"/>
        <v>1990</v>
      </c>
      <c r="B8625" s="821">
        <v>33098</v>
      </c>
      <c r="C8625">
        <v>8.83</v>
      </c>
      <c r="D8625">
        <f t="shared" si="271"/>
        <v>1</v>
      </c>
    </row>
    <row r="8626" spans="1:4" x14ac:dyDescent="0.55000000000000004">
      <c r="A8626">
        <f t="shared" si="270"/>
        <v>1990</v>
      </c>
      <c r="B8626" s="821">
        <v>33095</v>
      </c>
      <c r="C8626">
        <v>8.7899999999999991</v>
      </c>
      <c r="D8626">
        <f t="shared" si="271"/>
        <v>1</v>
      </c>
    </row>
    <row r="8627" spans="1:4" x14ac:dyDescent="0.55000000000000004">
      <c r="A8627">
        <f t="shared" si="270"/>
        <v>1990</v>
      </c>
      <c r="B8627" s="821">
        <v>33094</v>
      </c>
      <c r="C8627">
        <v>8.75</v>
      </c>
      <c r="D8627">
        <f t="shared" si="271"/>
        <v>1</v>
      </c>
    </row>
    <row r="8628" spans="1:4" x14ac:dyDescent="0.55000000000000004">
      <c r="A8628">
        <f t="shared" si="270"/>
        <v>1990</v>
      </c>
      <c r="B8628" s="821">
        <v>33093</v>
      </c>
      <c r="C8628">
        <v>8.8699999999999992</v>
      </c>
      <c r="D8628">
        <f t="shared" si="271"/>
        <v>1</v>
      </c>
    </row>
    <row r="8629" spans="1:4" x14ac:dyDescent="0.55000000000000004">
      <c r="A8629">
        <f t="shared" si="270"/>
        <v>1990</v>
      </c>
      <c r="B8629" s="821">
        <v>33092</v>
      </c>
      <c r="C8629">
        <v>8.86</v>
      </c>
      <c r="D8629">
        <f t="shared" si="271"/>
        <v>1</v>
      </c>
    </row>
    <row r="8630" spans="1:4" x14ac:dyDescent="0.55000000000000004">
      <c r="A8630">
        <f t="shared" si="270"/>
        <v>1990</v>
      </c>
      <c r="B8630" s="821">
        <v>33091</v>
      </c>
      <c r="C8630">
        <v>8.82</v>
      </c>
      <c r="D8630">
        <f t="shared" si="271"/>
        <v>1</v>
      </c>
    </row>
    <row r="8631" spans="1:4" x14ac:dyDescent="0.55000000000000004">
      <c r="A8631">
        <f t="shared" si="270"/>
        <v>1990</v>
      </c>
      <c r="B8631" s="821">
        <v>33088</v>
      </c>
      <c r="C8631">
        <v>8.5500000000000007</v>
      </c>
      <c r="D8631">
        <f t="shared" si="271"/>
        <v>1</v>
      </c>
    </row>
    <row r="8632" spans="1:4" x14ac:dyDescent="0.55000000000000004">
      <c r="A8632">
        <f t="shared" si="270"/>
        <v>1990</v>
      </c>
      <c r="B8632" s="821">
        <v>33087</v>
      </c>
      <c r="C8632">
        <v>8.4600000000000009</v>
      </c>
      <c r="D8632">
        <f t="shared" si="271"/>
        <v>1</v>
      </c>
    </row>
    <row r="8633" spans="1:4" x14ac:dyDescent="0.55000000000000004">
      <c r="A8633">
        <f t="shared" si="270"/>
        <v>1990</v>
      </c>
      <c r="B8633" s="821">
        <v>33086</v>
      </c>
      <c r="C8633">
        <v>8.36</v>
      </c>
      <c r="D8633">
        <f t="shared" si="271"/>
        <v>1</v>
      </c>
    </row>
    <row r="8634" spans="1:4" x14ac:dyDescent="0.55000000000000004">
      <c r="A8634">
        <f t="shared" si="270"/>
        <v>1990</v>
      </c>
      <c r="B8634" s="821">
        <v>33085</v>
      </c>
      <c r="C8634">
        <v>8.42</v>
      </c>
      <c r="D8634">
        <f t="shared" si="271"/>
        <v>1</v>
      </c>
    </row>
    <row r="8635" spans="1:4" x14ac:dyDescent="0.55000000000000004">
      <c r="A8635">
        <f t="shared" si="270"/>
        <v>1990</v>
      </c>
      <c r="B8635" s="821">
        <v>33084</v>
      </c>
      <c r="C8635">
        <v>8.4</v>
      </c>
      <c r="D8635">
        <f t="shared" si="271"/>
        <v>1</v>
      </c>
    </row>
    <row r="8636" spans="1:4" x14ac:dyDescent="0.55000000000000004">
      <c r="A8636">
        <f t="shared" si="270"/>
        <v>1990</v>
      </c>
      <c r="B8636" s="821">
        <v>33081</v>
      </c>
      <c r="C8636">
        <v>8.48</v>
      </c>
      <c r="D8636">
        <f t="shared" si="271"/>
        <v>1</v>
      </c>
    </row>
    <row r="8637" spans="1:4" x14ac:dyDescent="0.55000000000000004">
      <c r="A8637">
        <f t="shared" si="270"/>
        <v>1990</v>
      </c>
      <c r="B8637" s="821">
        <v>33080</v>
      </c>
      <c r="C8637">
        <v>8.5399999999999991</v>
      </c>
      <c r="D8637">
        <f t="shared" si="271"/>
        <v>1</v>
      </c>
    </row>
    <row r="8638" spans="1:4" x14ac:dyDescent="0.55000000000000004">
      <c r="A8638">
        <f t="shared" si="270"/>
        <v>1990</v>
      </c>
      <c r="B8638" s="821">
        <v>33079</v>
      </c>
      <c r="C8638">
        <v>8.5500000000000007</v>
      </c>
      <c r="D8638">
        <f t="shared" si="271"/>
        <v>1</v>
      </c>
    </row>
    <row r="8639" spans="1:4" x14ac:dyDescent="0.55000000000000004">
      <c r="A8639">
        <f t="shared" si="270"/>
        <v>1990</v>
      </c>
      <c r="B8639" s="821">
        <v>33078</v>
      </c>
      <c r="C8639">
        <v>8.59</v>
      </c>
      <c r="D8639">
        <f t="shared" si="271"/>
        <v>1</v>
      </c>
    </row>
    <row r="8640" spans="1:4" x14ac:dyDescent="0.55000000000000004">
      <c r="A8640">
        <f t="shared" si="270"/>
        <v>1990</v>
      </c>
      <c r="B8640" s="821">
        <v>33077</v>
      </c>
      <c r="C8640">
        <v>8.5399999999999991</v>
      </c>
      <c r="D8640">
        <f t="shared" si="271"/>
        <v>1</v>
      </c>
    </row>
    <row r="8641" spans="1:4" x14ac:dyDescent="0.55000000000000004">
      <c r="A8641">
        <f t="shared" si="270"/>
        <v>1990</v>
      </c>
      <c r="B8641" s="821">
        <v>33074</v>
      </c>
      <c r="C8641">
        <v>8.5399999999999991</v>
      </c>
      <c r="D8641">
        <f t="shared" si="271"/>
        <v>1</v>
      </c>
    </row>
    <row r="8642" spans="1:4" x14ac:dyDescent="0.55000000000000004">
      <c r="A8642">
        <f t="shared" si="270"/>
        <v>1990</v>
      </c>
      <c r="B8642" s="821">
        <v>33073</v>
      </c>
      <c r="C8642">
        <v>8.56</v>
      </c>
      <c r="D8642">
        <f t="shared" si="271"/>
        <v>1</v>
      </c>
    </row>
    <row r="8643" spans="1:4" x14ac:dyDescent="0.55000000000000004">
      <c r="A8643">
        <f t="shared" si="270"/>
        <v>1990</v>
      </c>
      <c r="B8643" s="821">
        <v>33072</v>
      </c>
      <c r="C8643">
        <v>8.5500000000000007</v>
      </c>
      <c r="D8643">
        <f t="shared" si="271"/>
        <v>1</v>
      </c>
    </row>
    <row r="8644" spans="1:4" x14ac:dyDescent="0.55000000000000004">
      <c r="A8644">
        <f t="shared" ref="A8644:A8707" si="272">YEAR(B8644)</f>
        <v>1990</v>
      </c>
      <c r="B8644" s="821">
        <v>33071</v>
      </c>
      <c r="C8644">
        <v>8.4600000000000009</v>
      </c>
      <c r="D8644">
        <f t="shared" ref="D8644:D8707" si="273">IF(C8644&gt;4,1,0)</f>
        <v>1</v>
      </c>
    </row>
    <row r="8645" spans="1:4" x14ac:dyDescent="0.55000000000000004">
      <c r="A8645">
        <f t="shared" si="272"/>
        <v>1990</v>
      </c>
      <c r="B8645" s="821">
        <v>33070</v>
      </c>
      <c r="C8645">
        <v>8.4600000000000009</v>
      </c>
      <c r="D8645">
        <f t="shared" si="273"/>
        <v>1</v>
      </c>
    </row>
    <row r="8646" spans="1:4" x14ac:dyDescent="0.55000000000000004">
      <c r="A8646">
        <f t="shared" si="272"/>
        <v>1990</v>
      </c>
      <c r="B8646" s="821">
        <v>33067</v>
      </c>
      <c r="C8646">
        <v>8.4600000000000009</v>
      </c>
      <c r="D8646">
        <f t="shared" si="273"/>
        <v>1</v>
      </c>
    </row>
    <row r="8647" spans="1:4" x14ac:dyDescent="0.55000000000000004">
      <c r="A8647">
        <f t="shared" si="272"/>
        <v>1990</v>
      </c>
      <c r="B8647" s="821">
        <v>33066</v>
      </c>
      <c r="C8647">
        <v>8.5</v>
      </c>
      <c r="D8647">
        <f t="shared" si="273"/>
        <v>1</v>
      </c>
    </row>
    <row r="8648" spans="1:4" x14ac:dyDescent="0.55000000000000004">
      <c r="A8648">
        <f t="shared" si="272"/>
        <v>1990</v>
      </c>
      <c r="B8648" s="821">
        <v>33065</v>
      </c>
      <c r="C8648">
        <v>8.56</v>
      </c>
      <c r="D8648">
        <f t="shared" si="273"/>
        <v>1</v>
      </c>
    </row>
    <row r="8649" spans="1:4" x14ac:dyDescent="0.55000000000000004">
      <c r="A8649">
        <f t="shared" si="272"/>
        <v>1990</v>
      </c>
      <c r="B8649" s="821">
        <v>33064</v>
      </c>
      <c r="C8649">
        <v>8.56</v>
      </c>
      <c r="D8649">
        <f t="shared" si="273"/>
        <v>1</v>
      </c>
    </row>
    <row r="8650" spans="1:4" x14ac:dyDescent="0.55000000000000004">
      <c r="A8650">
        <f t="shared" si="272"/>
        <v>1990</v>
      </c>
      <c r="B8650" s="821">
        <v>33063</v>
      </c>
      <c r="C8650">
        <v>8.5500000000000007</v>
      </c>
      <c r="D8650">
        <f t="shared" si="273"/>
        <v>1</v>
      </c>
    </row>
    <row r="8651" spans="1:4" x14ac:dyDescent="0.55000000000000004">
      <c r="A8651">
        <f t="shared" si="272"/>
        <v>1990</v>
      </c>
      <c r="B8651" s="821">
        <v>33060</v>
      </c>
      <c r="C8651">
        <v>8.51</v>
      </c>
      <c r="D8651">
        <f t="shared" si="273"/>
        <v>1</v>
      </c>
    </row>
    <row r="8652" spans="1:4" x14ac:dyDescent="0.55000000000000004">
      <c r="A8652">
        <f t="shared" si="272"/>
        <v>1990</v>
      </c>
      <c r="B8652" s="821">
        <v>33059</v>
      </c>
      <c r="C8652">
        <v>8.42</v>
      </c>
      <c r="D8652">
        <f t="shared" si="273"/>
        <v>1</v>
      </c>
    </row>
    <row r="8653" spans="1:4" x14ac:dyDescent="0.55000000000000004">
      <c r="A8653">
        <f t="shared" si="272"/>
        <v>1990</v>
      </c>
      <c r="B8653" s="821">
        <v>33057</v>
      </c>
      <c r="C8653">
        <v>8.4</v>
      </c>
      <c r="D8653">
        <f t="shared" si="273"/>
        <v>1</v>
      </c>
    </row>
    <row r="8654" spans="1:4" x14ac:dyDescent="0.55000000000000004">
      <c r="A8654">
        <f t="shared" si="272"/>
        <v>1990</v>
      </c>
      <c r="B8654" s="821">
        <v>33056</v>
      </c>
      <c r="C8654">
        <v>8.41</v>
      </c>
      <c r="D8654">
        <f t="shared" si="273"/>
        <v>1</v>
      </c>
    </row>
    <row r="8655" spans="1:4" x14ac:dyDescent="0.55000000000000004">
      <c r="A8655">
        <f t="shared" si="272"/>
        <v>1990</v>
      </c>
      <c r="B8655" s="821">
        <v>33053</v>
      </c>
      <c r="C8655">
        <v>8.41</v>
      </c>
      <c r="D8655">
        <f t="shared" si="273"/>
        <v>1</v>
      </c>
    </row>
    <row r="8656" spans="1:4" x14ac:dyDescent="0.55000000000000004">
      <c r="A8656">
        <f t="shared" si="272"/>
        <v>1990</v>
      </c>
      <c r="B8656" s="821">
        <v>33052</v>
      </c>
      <c r="C8656">
        <v>8.4499999999999993</v>
      </c>
      <c r="D8656">
        <f t="shared" si="273"/>
        <v>1</v>
      </c>
    </row>
    <row r="8657" spans="1:4" x14ac:dyDescent="0.55000000000000004">
      <c r="A8657">
        <f t="shared" si="272"/>
        <v>1990</v>
      </c>
      <c r="B8657" s="821">
        <v>33051</v>
      </c>
      <c r="C8657">
        <v>8.49</v>
      </c>
      <c r="D8657">
        <f t="shared" si="273"/>
        <v>1</v>
      </c>
    </row>
    <row r="8658" spans="1:4" x14ac:dyDescent="0.55000000000000004">
      <c r="A8658">
        <f t="shared" si="272"/>
        <v>1990</v>
      </c>
      <c r="B8658" s="821">
        <v>33050</v>
      </c>
      <c r="C8658">
        <v>8.5299999999999994</v>
      </c>
      <c r="D8658">
        <f t="shared" si="273"/>
        <v>1</v>
      </c>
    </row>
    <row r="8659" spans="1:4" x14ac:dyDescent="0.55000000000000004">
      <c r="A8659">
        <f t="shared" si="272"/>
        <v>1990</v>
      </c>
      <c r="B8659" s="821">
        <v>33049</v>
      </c>
      <c r="C8659">
        <v>8.56</v>
      </c>
      <c r="D8659">
        <f t="shared" si="273"/>
        <v>1</v>
      </c>
    </row>
    <row r="8660" spans="1:4" x14ac:dyDescent="0.55000000000000004">
      <c r="A8660">
        <f t="shared" si="272"/>
        <v>1990</v>
      </c>
      <c r="B8660" s="821">
        <v>33046</v>
      </c>
      <c r="C8660">
        <v>8.49</v>
      </c>
      <c r="D8660">
        <f t="shared" si="273"/>
        <v>1</v>
      </c>
    </row>
    <row r="8661" spans="1:4" x14ac:dyDescent="0.55000000000000004">
      <c r="A8661">
        <f t="shared" si="272"/>
        <v>1990</v>
      </c>
      <c r="B8661" s="821">
        <v>33045</v>
      </c>
      <c r="C8661">
        <v>8.5</v>
      </c>
      <c r="D8661">
        <f t="shared" si="273"/>
        <v>1</v>
      </c>
    </row>
    <row r="8662" spans="1:4" x14ac:dyDescent="0.55000000000000004">
      <c r="A8662">
        <f t="shared" si="272"/>
        <v>1990</v>
      </c>
      <c r="B8662" s="821">
        <v>33044</v>
      </c>
      <c r="C8662">
        <v>8.52</v>
      </c>
      <c r="D8662">
        <f t="shared" si="273"/>
        <v>1</v>
      </c>
    </row>
    <row r="8663" spans="1:4" x14ac:dyDescent="0.55000000000000004">
      <c r="A8663">
        <f t="shared" si="272"/>
        <v>1990</v>
      </c>
      <c r="B8663" s="821">
        <v>33043</v>
      </c>
      <c r="C8663">
        <v>8.48</v>
      </c>
      <c r="D8663">
        <f t="shared" si="273"/>
        <v>1</v>
      </c>
    </row>
    <row r="8664" spans="1:4" x14ac:dyDescent="0.55000000000000004">
      <c r="A8664">
        <f t="shared" si="272"/>
        <v>1990</v>
      </c>
      <c r="B8664" s="821">
        <v>33042</v>
      </c>
      <c r="C8664">
        <v>8.4700000000000006</v>
      </c>
      <c r="D8664">
        <f t="shared" si="273"/>
        <v>1</v>
      </c>
    </row>
    <row r="8665" spans="1:4" x14ac:dyDescent="0.55000000000000004">
      <c r="A8665">
        <f t="shared" si="272"/>
        <v>1990</v>
      </c>
      <c r="B8665" s="821">
        <v>33039</v>
      </c>
      <c r="C8665">
        <v>8.43</v>
      </c>
      <c r="D8665">
        <f t="shared" si="273"/>
        <v>1</v>
      </c>
    </row>
    <row r="8666" spans="1:4" x14ac:dyDescent="0.55000000000000004">
      <c r="A8666">
        <f t="shared" si="272"/>
        <v>1990</v>
      </c>
      <c r="B8666" s="821">
        <v>33038</v>
      </c>
      <c r="C8666">
        <v>8.36</v>
      </c>
      <c r="D8666">
        <f t="shared" si="273"/>
        <v>1</v>
      </c>
    </row>
    <row r="8667" spans="1:4" x14ac:dyDescent="0.55000000000000004">
      <c r="A8667">
        <f t="shared" si="272"/>
        <v>1990</v>
      </c>
      <c r="B8667" s="821">
        <v>33037</v>
      </c>
      <c r="C8667">
        <v>8.39</v>
      </c>
      <c r="D8667">
        <f t="shared" si="273"/>
        <v>1</v>
      </c>
    </row>
    <row r="8668" spans="1:4" x14ac:dyDescent="0.55000000000000004">
      <c r="A8668">
        <f t="shared" si="272"/>
        <v>1990</v>
      </c>
      <c r="B8668" s="821">
        <v>33036</v>
      </c>
      <c r="C8668">
        <v>8.4499999999999993</v>
      </c>
      <c r="D8668">
        <f t="shared" si="273"/>
        <v>1</v>
      </c>
    </row>
    <row r="8669" spans="1:4" x14ac:dyDescent="0.55000000000000004">
      <c r="A8669">
        <f t="shared" si="272"/>
        <v>1990</v>
      </c>
      <c r="B8669" s="821">
        <v>33035</v>
      </c>
      <c r="C8669">
        <v>8.4499999999999993</v>
      </c>
      <c r="D8669">
        <f t="shared" si="273"/>
        <v>1</v>
      </c>
    </row>
    <row r="8670" spans="1:4" x14ac:dyDescent="0.55000000000000004">
      <c r="A8670">
        <f t="shared" si="272"/>
        <v>1990</v>
      </c>
      <c r="B8670" s="821">
        <v>33032</v>
      </c>
      <c r="C8670">
        <v>8.44</v>
      </c>
      <c r="D8670">
        <f t="shared" si="273"/>
        <v>1</v>
      </c>
    </row>
    <row r="8671" spans="1:4" x14ac:dyDescent="0.55000000000000004">
      <c r="A8671">
        <f t="shared" si="272"/>
        <v>1990</v>
      </c>
      <c r="B8671" s="821">
        <v>33031</v>
      </c>
      <c r="C8671">
        <v>8.43</v>
      </c>
      <c r="D8671">
        <f t="shared" si="273"/>
        <v>1</v>
      </c>
    </row>
    <row r="8672" spans="1:4" x14ac:dyDescent="0.55000000000000004">
      <c r="A8672">
        <f t="shared" si="272"/>
        <v>1990</v>
      </c>
      <c r="B8672" s="821">
        <v>33030</v>
      </c>
      <c r="C8672">
        <v>8.44</v>
      </c>
      <c r="D8672">
        <f t="shared" si="273"/>
        <v>1</v>
      </c>
    </row>
    <row r="8673" spans="1:4" x14ac:dyDescent="0.55000000000000004">
      <c r="A8673">
        <f t="shared" si="272"/>
        <v>1990</v>
      </c>
      <c r="B8673" s="821">
        <v>33029</v>
      </c>
      <c r="C8673">
        <v>8.4600000000000009</v>
      </c>
      <c r="D8673">
        <f t="shared" si="273"/>
        <v>1</v>
      </c>
    </row>
    <row r="8674" spans="1:4" x14ac:dyDescent="0.55000000000000004">
      <c r="A8674">
        <f t="shared" si="272"/>
        <v>1990</v>
      </c>
      <c r="B8674" s="821">
        <v>33028</v>
      </c>
      <c r="C8674">
        <v>8.43</v>
      </c>
      <c r="D8674">
        <f t="shared" si="273"/>
        <v>1</v>
      </c>
    </row>
    <row r="8675" spans="1:4" x14ac:dyDescent="0.55000000000000004">
      <c r="A8675">
        <f t="shared" si="272"/>
        <v>1990</v>
      </c>
      <c r="B8675" s="821">
        <v>33025</v>
      </c>
      <c r="C8675">
        <v>8.43</v>
      </c>
      <c r="D8675">
        <f t="shared" si="273"/>
        <v>1</v>
      </c>
    </row>
    <row r="8676" spans="1:4" x14ac:dyDescent="0.55000000000000004">
      <c r="A8676">
        <f t="shared" si="272"/>
        <v>1990</v>
      </c>
      <c r="B8676" s="821">
        <v>33024</v>
      </c>
      <c r="C8676">
        <v>8.58</v>
      </c>
      <c r="D8676">
        <f t="shared" si="273"/>
        <v>1</v>
      </c>
    </row>
    <row r="8677" spans="1:4" x14ac:dyDescent="0.55000000000000004">
      <c r="A8677">
        <f t="shared" si="272"/>
        <v>1990</v>
      </c>
      <c r="B8677" s="821">
        <v>33023</v>
      </c>
      <c r="C8677">
        <v>8.6</v>
      </c>
      <c r="D8677">
        <f t="shared" si="273"/>
        <v>1</v>
      </c>
    </row>
    <row r="8678" spans="1:4" x14ac:dyDescent="0.55000000000000004">
      <c r="A8678">
        <f t="shared" si="272"/>
        <v>1990</v>
      </c>
      <c r="B8678" s="821">
        <v>33022</v>
      </c>
      <c r="C8678">
        <v>8.64</v>
      </c>
      <c r="D8678">
        <f t="shared" si="273"/>
        <v>1</v>
      </c>
    </row>
    <row r="8679" spans="1:4" x14ac:dyDescent="0.55000000000000004">
      <c r="A8679">
        <f t="shared" si="272"/>
        <v>1990</v>
      </c>
      <c r="B8679" s="821">
        <v>33018</v>
      </c>
      <c r="C8679">
        <v>8.67</v>
      </c>
      <c r="D8679">
        <f t="shared" si="273"/>
        <v>1</v>
      </c>
    </row>
    <row r="8680" spans="1:4" x14ac:dyDescent="0.55000000000000004">
      <c r="A8680">
        <f t="shared" si="272"/>
        <v>1990</v>
      </c>
      <c r="B8680" s="821">
        <v>33017</v>
      </c>
      <c r="C8680">
        <v>8.6</v>
      </c>
      <c r="D8680">
        <f t="shared" si="273"/>
        <v>1</v>
      </c>
    </row>
    <row r="8681" spans="1:4" x14ac:dyDescent="0.55000000000000004">
      <c r="A8681">
        <f t="shared" si="272"/>
        <v>1990</v>
      </c>
      <c r="B8681" s="821">
        <v>33016</v>
      </c>
      <c r="C8681">
        <v>8.59</v>
      </c>
      <c r="D8681">
        <f t="shared" si="273"/>
        <v>1</v>
      </c>
    </row>
    <row r="8682" spans="1:4" x14ac:dyDescent="0.55000000000000004">
      <c r="A8682">
        <f t="shared" si="272"/>
        <v>1990</v>
      </c>
      <c r="B8682" s="821">
        <v>33015</v>
      </c>
      <c r="C8682">
        <v>8.61</v>
      </c>
      <c r="D8682">
        <f t="shared" si="273"/>
        <v>1</v>
      </c>
    </row>
    <row r="8683" spans="1:4" x14ac:dyDescent="0.55000000000000004">
      <c r="A8683">
        <f t="shared" si="272"/>
        <v>1990</v>
      </c>
      <c r="B8683" s="821">
        <v>33014</v>
      </c>
      <c r="C8683">
        <v>8.69</v>
      </c>
      <c r="D8683">
        <f t="shared" si="273"/>
        <v>1</v>
      </c>
    </row>
    <row r="8684" spans="1:4" x14ac:dyDescent="0.55000000000000004">
      <c r="A8684">
        <f t="shared" si="272"/>
        <v>1990</v>
      </c>
      <c r="B8684" s="821">
        <v>33011</v>
      </c>
      <c r="C8684">
        <v>8.6999999999999993</v>
      </c>
      <c r="D8684">
        <f t="shared" si="273"/>
        <v>1</v>
      </c>
    </row>
    <row r="8685" spans="1:4" x14ac:dyDescent="0.55000000000000004">
      <c r="A8685">
        <f t="shared" si="272"/>
        <v>1990</v>
      </c>
      <c r="B8685" s="821">
        <v>33010</v>
      </c>
      <c r="C8685">
        <v>8.65</v>
      </c>
      <c r="D8685">
        <f t="shared" si="273"/>
        <v>1</v>
      </c>
    </row>
    <row r="8686" spans="1:4" x14ac:dyDescent="0.55000000000000004">
      <c r="A8686">
        <f t="shared" si="272"/>
        <v>1990</v>
      </c>
      <c r="B8686" s="821">
        <v>33009</v>
      </c>
      <c r="C8686">
        <v>8.64</v>
      </c>
      <c r="D8686">
        <f t="shared" si="273"/>
        <v>1</v>
      </c>
    </row>
    <row r="8687" spans="1:4" x14ac:dyDescent="0.55000000000000004">
      <c r="A8687">
        <f t="shared" si="272"/>
        <v>1990</v>
      </c>
      <c r="B8687" s="821">
        <v>33008</v>
      </c>
      <c r="C8687">
        <v>8.6199999999999992</v>
      </c>
      <c r="D8687">
        <f t="shared" si="273"/>
        <v>1</v>
      </c>
    </row>
    <row r="8688" spans="1:4" x14ac:dyDescent="0.55000000000000004">
      <c r="A8688">
        <f t="shared" si="272"/>
        <v>1990</v>
      </c>
      <c r="B8688" s="821">
        <v>33007</v>
      </c>
      <c r="C8688">
        <v>8.58</v>
      </c>
      <c r="D8688">
        <f t="shared" si="273"/>
        <v>1</v>
      </c>
    </row>
    <row r="8689" spans="1:4" x14ac:dyDescent="0.55000000000000004">
      <c r="A8689">
        <f t="shared" si="272"/>
        <v>1990</v>
      </c>
      <c r="B8689" s="821">
        <v>33004</v>
      </c>
      <c r="C8689">
        <v>8.64</v>
      </c>
      <c r="D8689">
        <f t="shared" si="273"/>
        <v>1</v>
      </c>
    </row>
    <row r="8690" spans="1:4" x14ac:dyDescent="0.55000000000000004">
      <c r="A8690">
        <f t="shared" si="272"/>
        <v>1990</v>
      </c>
      <c r="B8690" s="821">
        <v>33003</v>
      </c>
      <c r="C8690">
        <v>8.81</v>
      </c>
      <c r="D8690">
        <f t="shared" si="273"/>
        <v>1</v>
      </c>
    </row>
    <row r="8691" spans="1:4" x14ac:dyDescent="0.55000000000000004">
      <c r="A8691">
        <f t="shared" si="272"/>
        <v>1990</v>
      </c>
      <c r="B8691" s="821">
        <v>33002</v>
      </c>
      <c r="C8691">
        <v>8.9</v>
      </c>
      <c r="D8691">
        <f t="shared" si="273"/>
        <v>1</v>
      </c>
    </row>
    <row r="8692" spans="1:4" x14ac:dyDescent="0.55000000000000004">
      <c r="A8692">
        <f t="shared" si="272"/>
        <v>1990</v>
      </c>
      <c r="B8692" s="821">
        <v>33001</v>
      </c>
      <c r="C8692">
        <v>8.81</v>
      </c>
      <c r="D8692">
        <f t="shared" si="273"/>
        <v>1</v>
      </c>
    </row>
    <row r="8693" spans="1:4" x14ac:dyDescent="0.55000000000000004">
      <c r="A8693">
        <f t="shared" si="272"/>
        <v>1990</v>
      </c>
      <c r="B8693" s="821">
        <v>33000</v>
      </c>
      <c r="C8693">
        <v>8.85</v>
      </c>
      <c r="D8693">
        <f t="shared" si="273"/>
        <v>1</v>
      </c>
    </row>
    <row r="8694" spans="1:4" x14ac:dyDescent="0.55000000000000004">
      <c r="A8694">
        <f t="shared" si="272"/>
        <v>1990</v>
      </c>
      <c r="B8694" s="821">
        <v>32997</v>
      </c>
      <c r="C8694">
        <v>8.83</v>
      </c>
      <c r="D8694">
        <f t="shared" si="273"/>
        <v>1</v>
      </c>
    </row>
    <row r="8695" spans="1:4" x14ac:dyDescent="0.55000000000000004">
      <c r="A8695">
        <f t="shared" si="272"/>
        <v>1990</v>
      </c>
      <c r="B8695" s="821">
        <v>32996</v>
      </c>
      <c r="C8695">
        <v>8.99</v>
      </c>
      <c r="D8695">
        <f t="shared" si="273"/>
        <v>1</v>
      </c>
    </row>
    <row r="8696" spans="1:4" x14ac:dyDescent="0.55000000000000004">
      <c r="A8696">
        <f t="shared" si="272"/>
        <v>1990</v>
      </c>
      <c r="B8696" s="821">
        <v>32995</v>
      </c>
      <c r="C8696">
        <v>9.0500000000000007</v>
      </c>
      <c r="D8696">
        <f t="shared" si="273"/>
        <v>1</v>
      </c>
    </row>
    <row r="8697" spans="1:4" x14ac:dyDescent="0.55000000000000004">
      <c r="A8697">
        <f t="shared" si="272"/>
        <v>1990</v>
      </c>
      <c r="B8697" s="821">
        <v>32994</v>
      </c>
      <c r="C8697">
        <v>9.0399999999999991</v>
      </c>
      <c r="D8697">
        <f t="shared" si="273"/>
        <v>1</v>
      </c>
    </row>
    <row r="8698" spans="1:4" x14ac:dyDescent="0.55000000000000004">
      <c r="A8698">
        <f t="shared" si="272"/>
        <v>1990</v>
      </c>
      <c r="B8698" s="821">
        <v>32993</v>
      </c>
      <c r="C8698">
        <v>9</v>
      </c>
      <c r="D8698">
        <f t="shared" si="273"/>
        <v>1</v>
      </c>
    </row>
    <row r="8699" spans="1:4" x14ac:dyDescent="0.55000000000000004">
      <c r="A8699">
        <f t="shared" si="272"/>
        <v>1990</v>
      </c>
      <c r="B8699" s="821">
        <v>32990</v>
      </c>
      <c r="C8699">
        <v>9.0399999999999991</v>
      </c>
      <c r="D8699">
        <f t="shared" si="273"/>
        <v>1</v>
      </c>
    </row>
    <row r="8700" spans="1:4" x14ac:dyDescent="0.55000000000000004">
      <c r="A8700">
        <f t="shared" si="272"/>
        <v>1990</v>
      </c>
      <c r="B8700" s="821">
        <v>32989</v>
      </c>
      <c r="C8700">
        <v>9.0399999999999991</v>
      </c>
      <c r="D8700">
        <f t="shared" si="273"/>
        <v>1</v>
      </c>
    </row>
    <row r="8701" spans="1:4" x14ac:dyDescent="0.55000000000000004">
      <c r="A8701">
        <f t="shared" si="272"/>
        <v>1990</v>
      </c>
      <c r="B8701" s="821">
        <v>32988</v>
      </c>
      <c r="C8701">
        <v>8.98</v>
      </c>
      <c r="D8701">
        <f t="shared" si="273"/>
        <v>1</v>
      </c>
    </row>
    <row r="8702" spans="1:4" x14ac:dyDescent="0.55000000000000004">
      <c r="A8702">
        <f t="shared" si="272"/>
        <v>1990</v>
      </c>
      <c r="B8702" s="821">
        <v>32987</v>
      </c>
      <c r="C8702">
        <v>8.98</v>
      </c>
      <c r="D8702">
        <f t="shared" si="273"/>
        <v>1</v>
      </c>
    </row>
    <row r="8703" spans="1:4" x14ac:dyDescent="0.55000000000000004">
      <c r="A8703">
        <f t="shared" si="272"/>
        <v>1990</v>
      </c>
      <c r="B8703" s="821">
        <v>32986</v>
      </c>
      <c r="C8703">
        <v>8.9600000000000009</v>
      </c>
      <c r="D8703">
        <f t="shared" si="273"/>
        <v>1</v>
      </c>
    </row>
    <row r="8704" spans="1:4" x14ac:dyDescent="0.55000000000000004">
      <c r="A8704">
        <f t="shared" si="272"/>
        <v>1990</v>
      </c>
      <c r="B8704" s="821">
        <v>32983</v>
      </c>
      <c r="C8704">
        <v>8.93</v>
      </c>
      <c r="D8704">
        <f t="shared" si="273"/>
        <v>1</v>
      </c>
    </row>
    <row r="8705" spans="1:4" x14ac:dyDescent="0.55000000000000004">
      <c r="A8705">
        <f t="shared" si="272"/>
        <v>1990</v>
      </c>
      <c r="B8705" s="821">
        <v>32982</v>
      </c>
      <c r="C8705">
        <v>8.86</v>
      </c>
      <c r="D8705">
        <f t="shared" si="273"/>
        <v>1</v>
      </c>
    </row>
    <row r="8706" spans="1:4" x14ac:dyDescent="0.55000000000000004">
      <c r="A8706">
        <f t="shared" si="272"/>
        <v>1990</v>
      </c>
      <c r="B8706" s="821">
        <v>32981</v>
      </c>
      <c r="C8706">
        <v>8.85</v>
      </c>
      <c r="D8706">
        <f t="shared" si="273"/>
        <v>1</v>
      </c>
    </row>
    <row r="8707" spans="1:4" x14ac:dyDescent="0.55000000000000004">
      <c r="A8707">
        <f t="shared" si="272"/>
        <v>1990</v>
      </c>
      <c r="B8707" s="821">
        <v>32980</v>
      </c>
      <c r="C8707">
        <v>8.74</v>
      </c>
      <c r="D8707">
        <f t="shared" si="273"/>
        <v>1</v>
      </c>
    </row>
    <row r="8708" spans="1:4" x14ac:dyDescent="0.55000000000000004">
      <c r="A8708">
        <f t="shared" ref="A8708:A8771" si="274">YEAR(B8708)</f>
        <v>1990</v>
      </c>
      <c r="B8708" s="821">
        <v>32979</v>
      </c>
      <c r="C8708">
        <v>8.64</v>
      </c>
      <c r="D8708">
        <f t="shared" ref="D8708:D8771" si="275">IF(C8708&gt;4,1,0)</f>
        <v>1</v>
      </c>
    </row>
    <row r="8709" spans="1:4" x14ac:dyDescent="0.55000000000000004">
      <c r="A8709">
        <f t="shared" si="274"/>
        <v>1990</v>
      </c>
      <c r="B8709" s="821">
        <v>32975</v>
      </c>
      <c r="C8709">
        <v>8.6</v>
      </c>
      <c r="D8709">
        <f t="shared" si="275"/>
        <v>1</v>
      </c>
    </row>
    <row r="8710" spans="1:4" x14ac:dyDescent="0.55000000000000004">
      <c r="A8710">
        <f t="shared" si="274"/>
        <v>1990</v>
      </c>
      <c r="B8710" s="821">
        <v>32974</v>
      </c>
      <c r="C8710">
        <v>8.58</v>
      </c>
      <c r="D8710">
        <f t="shared" si="275"/>
        <v>1</v>
      </c>
    </row>
    <row r="8711" spans="1:4" x14ac:dyDescent="0.55000000000000004">
      <c r="A8711">
        <f t="shared" si="274"/>
        <v>1990</v>
      </c>
      <c r="B8711" s="821">
        <v>32973</v>
      </c>
      <c r="C8711">
        <v>8.57</v>
      </c>
      <c r="D8711">
        <f t="shared" si="275"/>
        <v>1</v>
      </c>
    </row>
    <row r="8712" spans="1:4" x14ac:dyDescent="0.55000000000000004">
      <c r="A8712">
        <f t="shared" si="274"/>
        <v>1990</v>
      </c>
      <c r="B8712" s="821">
        <v>32972</v>
      </c>
      <c r="C8712">
        <v>8.5500000000000007</v>
      </c>
      <c r="D8712">
        <f t="shared" si="275"/>
        <v>1</v>
      </c>
    </row>
    <row r="8713" spans="1:4" x14ac:dyDescent="0.55000000000000004">
      <c r="A8713">
        <f t="shared" si="274"/>
        <v>1990</v>
      </c>
      <c r="B8713" s="821">
        <v>32969</v>
      </c>
      <c r="C8713">
        <v>8.52</v>
      </c>
      <c r="D8713">
        <f t="shared" si="275"/>
        <v>1</v>
      </c>
    </row>
    <row r="8714" spans="1:4" x14ac:dyDescent="0.55000000000000004">
      <c r="A8714">
        <f t="shared" si="274"/>
        <v>1990</v>
      </c>
      <c r="B8714" s="821">
        <v>32968</v>
      </c>
      <c r="C8714">
        <v>8.52</v>
      </c>
      <c r="D8714">
        <f t="shared" si="275"/>
        <v>1</v>
      </c>
    </row>
    <row r="8715" spans="1:4" x14ac:dyDescent="0.55000000000000004">
      <c r="A8715">
        <f t="shared" si="274"/>
        <v>1990</v>
      </c>
      <c r="B8715" s="821">
        <v>32967</v>
      </c>
      <c r="C8715">
        <v>8.52</v>
      </c>
      <c r="D8715">
        <f t="shared" si="275"/>
        <v>1</v>
      </c>
    </row>
    <row r="8716" spans="1:4" x14ac:dyDescent="0.55000000000000004">
      <c r="A8716">
        <f t="shared" si="274"/>
        <v>1990</v>
      </c>
      <c r="B8716" s="821">
        <v>32966</v>
      </c>
      <c r="C8716">
        <v>8.61</v>
      </c>
      <c r="D8716">
        <f t="shared" si="275"/>
        <v>1</v>
      </c>
    </row>
    <row r="8717" spans="1:4" x14ac:dyDescent="0.55000000000000004">
      <c r="A8717">
        <f t="shared" si="274"/>
        <v>1990</v>
      </c>
      <c r="B8717" s="821">
        <v>32965</v>
      </c>
      <c r="C8717">
        <v>8.6300000000000008</v>
      </c>
      <c r="D8717">
        <f t="shared" si="275"/>
        <v>1</v>
      </c>
    </row>
    <row r="8718" spans="1:4" x14ac:dyDescent="0.55000000000000004">
      <c r="A8718">
        <f t="shared" si="274"/>
        <v>1990</v>
      </c>
      <c r="B8718" s="821">
        <v>32962</v>
      </c>
      <c r="C8718">
        <v>8.6300000000000008</v>
      </c>
      <c r="D8718">
        <f t="shared" si="275"/>
        <v>1</v>
      </c>
    </row>
    <row r="8719" spans="1:4" x14ac:dyDescent="0.55000000000000004">
      <c r="A8719">
        <f t="shared" si="274"/>
        <v>1990</v>
      </c>
      <c r="B8719" s="821">
        <v>32961</v>
      </c>
      <c r="C8719">
        <v>8.58</v>
      </c>
      <c r="D8719">
        <f t="shared" si="275"/>
        <v>1</v>
      </c>
    </row>
    <row r="8720" spans="1:4" x14ac:dyDescent="0.55000000000000004">
      <c r="A8720">
        <f t="shared" si="274"/>
        <v>1990</v>
      </c>
      <c r="B8720" s="821">
        <v>32960</v>
      </c>
      <c r="C8720">
        <v>8.4700000000000006</v>
      </c>
      <c r="D8720">
        <f t="shared" si="275"/>
        <v>1</v>
      </c>
    </row>
    <row r="8721" spans="1:4" x14ac:dyDescent="0.55000000000000004">
      <c r="A8721">
        <f t="shared" si="274"/>
        <v>1990</v>
      </c>
      <c r="B8721" s="821">
        <v>32959</v>
      </c>
      <c r="C8721">
        <v>8.48</v>
      </c>
      <c r="D8721">
        <f t="shared" si="275"/>
        <v>1</v>
      </c>
    </row>
    <row r="8722" spans="1:4" x14ac:dyDescent="0.55000000000000004">
      <c r="A8722">
        <f t="shared" si="274"/>
        <v>1990</v>
      </c>
      <c r="B8722" s="821">
        <v>32958</v>
      </c>
      <c r="C8722">
        <v>8.4700000000000006</v>
      </c>
      <c r="D8722">
        <f t="shared" si="275"/>
        <v>1</v>
      </c>
    </row>
    <row r="8723" spans="1:4" x14ac:dyDescent="0.55000000000000004">
      <c r="A8723">
        <f t="shared" si="274"/>
        <v>1990</v>
      </c>
      <c r="B8723" s="821">
        <v>32955</v>
      </c>
      <c r="C8723">
        <v>8.48</v>
      </c>
      <c r="D8723">
        <f t="shared" si="275"/>
        <v>1</v>
      </c>
    </row>
    <row r="8724" spans="1:4" x14ac:dyDescent="0.55000000000000004">
      <c r="A8724">
        <f t="shared" si="274"/>
        <v>1990</v>
      </c>
      <c r="B8724" s="821">
        <v>32954</v>
      </c>
      <c r="C8724">
        <v>8.49</v>
      </c>
      <c r="D8724">
        <f t="shared" si="275"/>
        <v>1</v>
      </c>
    </row>
    <row r="8725" spans="1:4" x14ac:dyDescent="0.55000000000000004">
      <c r="A8725">
        <f t="shared" si="274"/>
        <v>1990</v>
      </c>
      <c r="B8725" s="821">
        <v>32953</v>
      </c>
      <c r="C8725">
        <v>8.4700000000000006</v>
      </c>
      <c r="D8725">
        <f t="shared" si="275"/>
        <v>1</v>
      </c>
    </row>
    <row r="8726" spans="1:4" x14ac:dyDescent="0.55000000000000004">
      <c r="A8726">
        <f t="shared" si="274"/>
        <v>1990</v>
      </c>
      <c r="B8726" s="821">
        <v>32952</v>
      </c>
      <c r="C8726">
        <v>8.4700000000000006</v>
      </c>
      <c r="D8726">
        <f t="shared" si="275"/>
        <v>1</v>
      </c>
    </row>
    <row r="8727" spans="1:4" x14ac:dyDescent="0.55000000000000004">
      <c r="A8727">
        <f t="shared" si="274"/>
        <v>1990</v>
      </c>
      <c r="B8727" s="821">
        <v>32951</v>
      </c>
      <c r="C8727">
        <v>8.5399999999999991</v>
      </c>
      <c r="D8727">
        <f t="shared" si="275"/>
        <v>1</v>
      </c>
    </row>
    <row r="8728" spans="1:4" x14ac:dyDescent="0.55000000000000004">
      <c r="A8728">
        <f t="shared" si="274"/>
        <v>1990</v>
      </c>
      <c r="B8728" s="821">
        <v>32948</v>
      </c>
      <c r="C8728">
        <v>8.5500000000000007</v>
      </c>
      <c r="D8728">
        <f t="shared" si="275"/>
        <v>1</v>
      </c>
    </row>
    <row r="8729" spans="1:4" x14ac:dyDescent="0.55000000000000004">
      <c r="A8729">
        <f t="shared" si="274"/>
        <v>1990</v>
      </c>
      <c r="B8729" s="821">
        <v>32947</v>
      </c>
      <c r="C8729">
        <v>8.6300000000000008</v>
      </c>
      <c r="D8729">
        <f t="shared" si="275"/>
        <v>1</v>
      </c>
    </row>
    <row r="8730" spans="1:4" x14ac:dyDescent="0.55000000000000004">
      <c r="A8730">
        <f t="shared" si="274"/>
        <v>1990</v>
      </c>
      <c r="B8730" s="821">
        <v>32946</v>
      </c>
      <c r="C8730">
        <v>8.61</v>
      </c>
      <c r="D8730">
        <f t="shared" si="275"/>
        <v>1</v>
      </c>
    </row>
    <row r="8731" spans="1:4" x14ac:dyDescent="0.55000000000000004">
      <c r="A8731">
        <f t="shared" si="274"/>
        <v>1990</v>
      </c>
      <c r="B8731" s="821">
        <v>32945</v>
      </c>
      <c r="C8731">
        <v>8.7200000000000006</v>
      </c>
      <c r="D8731">
        <f t="shared" si="275"/>
        <v>1</v>
      </c>
    </row>
    <row r="8732" spans="1:4" x14ac:dyDescent="0.55000000000000004">
      <c r="A8732">
        <f t="shared" si="274"/>
        <v>1990</v>
      </c>
      <c r="B8732" s="821">
        <v>32944</v>
      </c>
      <c r="C8732">
        <v>8.6199999999999992</v>
      </c>
      <c r="D8732">
        <f t="shared" si="275"/>
        <v>1</v>
      </c>
    </row>
    <row r="8733" spans="1:4" x14ac:dyDescent="0.55000000000000004">
      <c r="A8733">
        <f t="shared" si="274"/>
        <v>1990</v>
      </c>
      <c r="B8733" s="821">
        <v>32941</v>
      </c>
      <c r="C8733">
        <v>8.6300000000000008</v>
      </c>
      <c r="D8733">
        <f t="shared" si="275"/>
        <v>1</v>
      </c>
    </row>
    <row r="8734" spans="1:4" x14ac:dyDescent="0.55000000000000004">
      <c r="A8734">
        <f t="shared" si="274"/>
        <v>1990</v>
      </c>
      <c r="B8734" s="821">
        <v>32940</v>
      </c>
      <c r="C8734">
        <v>8.56</v>
      </c>
      <c r="D8734">
        <f t="shared" si="275"/>
        <v>1</v>
      </c>
    </row>
    <row r="8735" spans="1:4" x14ac:dyDescent="0.55000000000000004">
      <c r="A8735">
        <f t="shared" si="274"/>
        <v>1990</v>
      </c>
      <c r="B8735" s="821">
        <v>32939</v>
      </c>
      <c r="C8735">
        <v>8.58</v>
      </c>
      <c r="D8735">
        <f t="shared" si="275"/>
        <v>1</v>
      </c>
    </row>
    <row r="8736" spans="1:4" x14ac:dyDescent="0.55000000000000004">
      <c r="A8736">
        <f t="shared" si="274"/>
        <v>1990</v>
      </c>
      <c r="B8736" s="821">
        <v>32938</v>
      </c>
      <c r="C8736">
        <v>8.59</v>
      </c>
      <c r="D8736">
        <f t="shared" si="275"/>
        <v>1</v>
      </c>
    </row>
    <row r="8737" spans="1:4" x14ac:dyDescent="0.55000000000000004">
      <c r="A8737">
        <f t="shared" si="274"/>
        <v>1990</v>
      </c>
      <c r="B8737" s="821">
        <v>32937</v>
      </c>
      <c r="C8737">
        <v>8.66</v>
      </c>
      <c r="D8737">
        <f t="shared" si="275"/>
        <v>1</v>
      </c>
    </row>
    <row r="8738" spans="1:4" x14ac:dyDescent="0.55000000000000004">
      <c r="A8738">
        <f t="shared" si="274"/>
        <v>1990</v>
      </c>
      <c r="B8738" s="821">
        <v>32934</v>
      </c>
      <c r="C8738">
        <v>8.5500000000000007</v>
      </c>
      <c r="D8738">
        <f t="shared" si="275"/>
        <v>1</v>
      </c>
    </row>
    <row r="8739" spans="1:4" x14ac:dyDescent="0.55000000000000004">
      <c r="A8739">
        <f t="shared" si="274"/>
        <v>1990</v>
      </c>
      <c r="B8739" s="821">
        <v>32933</v>
      </c>
      <c r="C8739">
        <v>8.61</v>
      </c>
      <c r="D8739">
        <f t="shared" si="275"/>
        <v>1</v>
      </c>
    </row>
    <row r="8740" spans="1:4" x14ac:dyDescent="0.55000000000000004">
      <c r="A8740">
        <f t="shared" si="274"/>
        <v>1990</v>
      </c>
      <c r="B8740" s="821">
        <v>32932</v>
      </c>
      <c r="C8740">
        <v>8.5399999999999991</v>
      </c>
      <c r="D8740">
        <f t="shared" si="275"/>
        <v>1</v>
      </c>
    </row>
    <row r="8741" spans="1:4" x14ac:dyDescent="0.55000000000000004">
      <c r="A8741">
        <f t="shared" si="274"/>
        <v>1990</v>
      </c>
      <c r="B8741" s="821">
        <v>32931</v>
      </c>
      <c r="C8741">
        <v>8.4499999999999993</v>
      </c>
      <c r="D8741">
        <f t="shared" si="275"/>
        <v>1</v>
      </c>
    </row>
    <row r="8742" spans="1:4" x14ac:dyDescent="0.55000000000000004">
      <c r="A8742">
        <f t="shared" si="274"/>
        <v>1990</v>
      </c>
      <c r="B8742" s="821">
        <v>32930</v>
      </c>
      <c r="C8742">
        <v>8.49</v>
      </c>
      <c r="D8742">
        <f t="shared" si="275"/>
        <v>1</v>
      </c>
    </row>
    <row r="8743" spans="1:4" x14ac:dyDescent="0.55000000000000004">
      <c r="A8743">
        <f t="shared" si="274"/>
        <v>1990</v>
      </c>
      <c r="B8743" s="821">
        <v>32927</v>
      </c>
      <c r="C8743">
        <v>8.56</v>
      </c>
      <c r="D8743">
        <f t="shared" si="275"/>
        <v>1</v>
      </c>
    </row>
    <row r="8744" spans="1:4" x14ac:dyDescent="0.55000000000000004">
      <c r="A8744">
        <f t="shared" si="274"/>
        <v>1990</v>
      </c>
      <c r="B8744" s="821">
        <v>32926</v>
      </c>
      <c r="C8744">
        <v>8.56</v>
      </c>
      <c r="D8744">
        <f t="shared" si="275"/>
        <v>1</v>
      </c>
    </row>
    <row r="8745" spans="1:4" x14ac:dyDescent="0.55000000000000004">
      <c r="A8745">
        <f t="shared" si="274"/>
        <v>1990</v>
      </c>
      <c r="B8745" s="821">
        <v>32925</v>
      </c>
      <c r="C8745">
        <v>8.66</v>
      </c>
      <c r="D8745">
        <f t="shared" si="275"/>
        <v>1</v>
      </c>
    </row>
    <row r="8746" spans="1:4" x14ac:dyDescent="0.55000000000000004">
      <c r="A8746">
        <f t="shared" si="274"/>
        <v>1990</v>
      </c>
      <c r="B8746" s="821">
        <v>32924</v>
      </c>
      <c r="C8746">
        <v>8.66</v>
      </c>
      <c r="D8746">
        <f t="shared" si="275"/>
        <v>1</v>
      </c>
    </row>
    <row r="8747" spans="1:4" x14ac:dyDescent="0.55000000000000004">
      <c r="A8747">
        <f t="shared" si="274"/>
        <v>1990</v>
      </c>
      <c r="B8747" s="821">
        <v>32920</v>
      </c>
      <c r="C8747">
        <v>8.4600000000000009</v>
      </c>
      <c r="D8747">
        <f t="shared" si="275"/>
        <v>1</v>
      </c>
    </row>
    <row r="8748" spans="1:4" x14ac:dyDescent="0.55000000000000004">
      <c r="A8748">
        <f t="shared" si="274"/>
        <v>1990</v>
      </c>
      <c r="B8748" s="821">
        <v>32919</v>
      </c>
      <c r="C8748">
        <v>8.4700000000000006</v>
      </c>
      <c r="D8748">
        <f t="shared" si="275"/>
        <v>1</v>
      </c>
    </row>
    <row r="8749" spans="1:4" x14ac:dyDescent="0.55000000000000004">
      <c r="A8749">
        <f t="shared" si="274"/>
        <v>1990</v>
      </c>
      <c r="B8749" s="821">
        <v>32918</v>
      </c>
      <c r="C8749">
        <v>8.41</v>
      </c>
      <c r="D8749">
        <f t="shared" si="275"/>
        <v>1</v>
      </c>
    </row>
    <row r="8750" spans="1:4" x14ac:dyDescent="0.55000000000000004">
      <c r="A8750">
        <f t="shared" si="274"/>
        <v>1990</v>
      </c>
      <c r="B8750" s="821">
        <v>32917</v>
      </c>
      <c r="C8750">
        <v>8.39</v>
      </c>
      <c r="D8750">
        <f t="shared" si="275"/>
        <v>1</v>
      </c>
    </row>
    <row r="8751" spans="1:4" x14ac:dyDescent="0.55000000000000004">
      <c r="A8751">
        <f t="shared" si="274"/>
        <v>1990</v>
      </c>
      <c r="B8751" s="821">
        <v>32916</v>
      </c>
      <c r="C8751">
        <v>8.43</v>
      </c>
      <c r="D8751">
        <f t="shared" si="275"/>
        <v>1</v>
      </c>
    </row>
    <row r="8752" spans="1:4" x14ac:dyDescent="0.55000000000000004">
      <c r="A8752">
        <f t="shared" si="274"/>
        <v>1990</v>
      </c>
      <c r="B8752" s="821">
        <v>32913</v>
      </c>
      <c r="C8752">
        <v>8.36</v>
      </c>
      <c r="D8752">
        <f t="shared" si="275"/>
        <v>1</v>
      </c>
    </row>
    <row r="8753" spans="1:4" x14ac:dyDescent="0.55000000000000004">
      <c r="A8753">
        <f t="shared" si="274"/>
        <v>1990</v>
      </c>
      <c r="B8753" s="821">
        <v>32912</v>
      </c>
      <c r="C8753">
        <v>8.5</v>
      </c>
      <c r="D8753">
        <f t="shared" si="275"/>
        <v>1</v>
      </c>
    </row>
    <row r="8754" spans="1:4" x14ac:dyDescent="0.55000000000000004">
      <c r="A8754">
        <f t="shared" si="274"/>
        <v>1990</v>
      </c>
      <c r="B8754" s="821">
        <v>32911</v>
      </c>
      <c r="C8754">
        <v>8.57</v>
      </c>
      <c r="D8754">
        <f t="shared" si="275"/>
        <v>1</v>
      </c>
    </row>
    <row r="8755" spans="1:4" x14ac:dyDescent="0.55000000000000004">
      <c r="A8755">
        <f t="shared" si="274"/>
        <v>1990</v>
      </c>
      <c r="B8755" s="821">
        <v>32910</v>
      </c>
      <c r="C8755">
        <v>8.58</v>
      </c>
      <c r="D8755">
        <f t="shared" si="275"/>
        <v>1</v>
      </c>
    </row>
    <row r="8756" spans="1:4" x14ac:dyDescent="0.55000000000000004">
      <c r="A8756">
        <f t="shared" si="274"/>
        <v>1990</v>
      </c>
      <c r="B8756" s="821">
        <v>32909</v>
      </c>
      <c r="C8756">
        <v>8.5299999999999994</v>
      </c>
      <c r="D8756">
        <f t="shared" si="275"/>
        <v>1</v>
      </c>
    </row>
    <row r="8757" spans="1:4" x14ac:dyDescent="0.55000000000000004">
      <c r="A8757">
        <f t="shared" si="274"/>
        <v>1990</v>
      </c>
      <c r="B8757" s="821">
        <v>32906</v>
      </c>
      <c r="C8757">
        <v>8.51</v>
      </c>
      <c r="D8757">
        <f t="shared" si="275"/>
        <v>1</v>
      </c>
    </row>
    <row r="8758" spans="1:4" x14ac:dyDescent="0.55000000000000004">
      <c r="A8758">
        <f t="shared" si="274"/>
        <v>1990</v>
      </c>
      <c r="B8758" s="821">
        <v>32905</v>
      </c>
      <c r="C8758">
        <v>8.44</v>
      </c>
      <c r="D8758">
        <f t="shared" si="275"/>
        <v>1</v>
      </c>
    </row>
    <row r="8759" spans="1:4" x14ac:dyDescent="0.55000000000000004">
      <c r="A8759">
        <f t="shared" si="274"/>
        <v>1990</v>
      </c>
      <c r="B8759" s="821">
        <v>32904</v>
      </c>
      <c r="C8759">
        <v>8.4600000000000009</v>
      </c>
      <c r="D8759">
        <f t="shared" si="275"/>
        <v>1</v>
      </c>
    </row>
    <row r="8760" spans="1:4" x14ac:dyDescent="0.55000000000000004">
      <c r="A8760">
        <f t="shared" si="274"/>
        <v>1990</v>
      </c>
      <c r="B8760" s="821">
        <v>32903</v>
      </c>
      <c r="C8760">
        <v>8.5500000000000007</v>
      </c>
      <c r="D8760">
        <f t="shared" si="275"/>
        <v>1</v>
      </c>
    </row>
    <row r="8761" spans="1:4" x14ac:dyDescent="0.55000000000000004">
      <c r="A8761">
        <f t="shared" si="274"/>
        <v>1990</v>
      </c>
      <c r="B8761" s="821">
        <v>32902</v>
      </c>
      <c r="C8761">
        <v>8.5399999999999991</v>
      </c>
      <c r="D8761">
        <f t="shared" si="275"/>
        <v>1</v>
      </c>
    </row>
    <row r="8762" spans="1:4" x14ac:dyDescent="0.55000000000000004">
      <c r="A8762">
        <f t="shared" si="274"/>
        <v>1990</v>
      </c>
      <c r="B8762" s="821">
        <v>32899</v>
      </c>
      <c r="C8762">
        <v>8.5500000000000007</v>
      </c>
      <c r="D8762">
        <f t="shared" si="275"/>
        <v>1</v>
      </c>
    </row>
    <row r="8763" spans="1:4" x14ac:dyDescent="0.55000000000000004">
      <c r="A8763">
        <f t="shared" si="274"/>
        <v>1990</v>
      </c>
      <c r="B8763" s="821">
        <v>32898</v>
      </c>
      <c r="C8763">
        <v>8.4600000000000009</v>
      </c>
      <c r="D8763">
        <f t="shared" si="275"/>
        <v>1</v>
      </c>
    </row>
    <row r="8764" spans="1:4" x14ac:dyDescent="0.55000000000000004">
      <c r="A8764">
        <f t="shared" si="274"/>
        <v>1990</v>
      </c>
      <c r="B8764" s="821">
        <v>32897</v>
      </c>
      <c r="C8764">
        <v>8.41</v>
      </c>
      <c r="D8764">
        <f t="shared" si="275"/>
        <v>1</v>
      </c>
    </row>
    <row r="8765" spans="1:4" x14ac:dyDescent="0.55000000000000004">
      <c r="A8765">
        <f t="shared" si="274"/>
        <v>1990</v>
      </c>
      <c r="B8765" s="821">
        <v>32896</v>
      </c>
      <c r="C8765">
        <v>8.2899999999999991</v>
      </c>
      <c r="D8765">
        <f t="shared" si="275"/>
        <v>1</v>
      </c>
    </row>
    <row r="8766" spans="1:4" x14ac:dyDescent="0.55000000000000004">
      <c r="A8766">
        <f t="shared" si="274"/>
        <v>1990</v>
      </c>
      <c r="B8766" s="821">
        <v>32895</v>
      </c>
      <c r="C8766">
        <v>8.31</v>
      </c>
      <c r="D8766">
        <f t="shared" si="275"/>
        <v>1</v>
      </c>
    </row>
    <row r="8767" spans="1:4" x14ac:dyDescent="0.55000000000000004">
      <c r="A8767">
        <f t="shared" si="274"/>
        <v>1990</v>
      </c>
      <c r="B8767" s="821">
        <v>32892</v>
      </c>
      <c r="C8767">
        <v>8.2899999999999991</v>
      </c>
      <c r="D8767">
        <f t="shared" si="275"/>
        <v>1</v>
      </c>
    </row>
    <row r="8768" spans="1:4" x14ac:dyDescent="0.55000000000000004">
      <c r="A8768">
        <f t="shared" si="274"/>
        <v>1990</v>
      </c>
      <c r="B8768" s="821">
        <v>32891</v>
      </c>
      <c r="C8768">
        <v>8.35</v>
      </c>
      <c r="D8768">
        <f t="shared" si="275"/>
        <v>1</v>
      </c>
    </row>
    <row r="8769" spans="1:4" x14ac:dyDescent="0.55000000000000004">
      <c r="A8769">
        <f t="shared" si="274"/>
        <v>1990</v>
      </c>
      <c r="B8769" s="821">
        <v>32890</v>
      </c>
      <c r="C8769">
        <v>8.25</v>
      </c>
      <c r="D8769">
        <f t="shared" si="275"/>
        <v>1</v>
      </c>
    </row>
    <row r="8770" spans="1:4" x14ac:dyDescent="0.55000000000000004">
      <c r="A8770">
        <f t="shared" si="274"/>
        <v>1990</v>
      </c>
      <c r="B8770" s="821">
        <v>32889</v>
      </c>
      <c r="C8770">
        <v>8.25</v>
      </c>
      <c r="D8770">
        <f t="shared" si="275"/>
        <v>1</v>
      </c>
    </row>
    <row r="8771" spans="1:4" x14ac:dyDescent="0.55000000000000004">
      <c r="A8771">
        <f t="shared" si="274"/>
        <v>1990</v>
      </c>
      <c r="B8771" s="821">
        <v>32885</v>
      </c>
      <c r="C8771">
        <v>8.17</v>
      </c>
      <c r="D8771">
        <f t="shared" si="275"/>
        <v>1</v>
      </c>
    </row>
    <row r="8772" spans="1:4" x14ac:dyDescent="0.55000000000000004">
      <c r="A8772">
        <f t="shared" ref="A8772:A8835" si="276">YEAR(B8772)</f>
        <v>1990</v>
      </c>
      <c r="B8772" s="821">
        <v>32884</v>
      </c>
      <c r="C8772">
        <v>8.11</v>
      </c>
      <c r="D8772">
        <f t="shared" ref="D8772:D8835" si="277">IF(C8772&gt;4,1,0)</f>
        <v>1</v>
      </c>
    </row>
    <row r="8773" spans="1:4" x14ac:dyDescent="0.55000000000000004">
      <c r="A8773">
        <f t="shared" si="276"/>
        <v>1990</v>
      </c>
      <c r="B8773" s="821">
        <v>32883</v>
      </c>
      <c r="C8773">
        <v>8.11</v>
      </c>
      <c r="D8773">
        <f t="shared" si="277"/>
        <v>1</v>
      </c>
    </row>
    <row r="8774" spans="1:4" x14ac:dyDescent="0.55000000000000004">
      <c r="A8774">
        <f t="shared" si="276"/>
        <v>1990</v>
      </c>
      <c r="B8774" s="821">
        <v>32882</v>
      </c>
      <c r="C8774">
        <v>8.1</v>
      </c>
      <c r="D8774">
        <f t="shared" si="277"/>
        <v>1</v>
      </c>
    </row>
    <row r="8775" spans="1:4" x14ac:dyDescent="0.55000000000000004">
      <c r="A8775">
        <f t="shared" si="276"/>
        <v>1990</v>
      </c>
      <c r="B8775" s="821">
        <v>32881</v>
      </c>
      <c r="C8775">
        <v>8.09</v>
      </c>
      <c r="D8775">
        <f t="shared" si="277"/>
        <v>1</v>
      </c>
    </row>
    <row r="8776" spans="1:4" x14ac:dyDescent="0.55000000000000004">
      <c r="A8776">
        <f t="shared" si="276"/>
        <v>1990</v>
      </c>
      <c r="B8776" s="821">
        <v>32878</v>
      </c>
      <c r="C8776">
        <v>8.06</v>
      </c>
      <c r="D8776">
        <f t="shared" si="277"/>
        <v>1</v>
      </c>
    </row>
    <row r="8777" spans="1:4" x14ac:dyDescent="0.55000000000000004">
      <c r="A8777">
        <f t="shared" si="276"/>
        <v>1990</v>
      </c>
      <c r="B8777" s="821">
        <v>32877</v>
      </c>
      <c r="C8777">
        <v>8.0399999999999991</v>
      </c>
      <c r="D8777">
        <f t="shared" si="277"/>
        <v>1</v>
      </c>
    </row>
    <row r="8778" spans="1:4" x14ac:dyDescent="0.55000000000000004">
      <c r="A8778">
        <f t="shared" si="276"/>
        <v>1990</v>
      </c>
      <c r="B8778" s="821">
        <v>32876</v>
      </c>
      <c r="C8778">
        <v>8.0399999999999991</v>
      </c>
      <c r="D8778">
        <f t="shared" si="277"/>
        <v>1</v>
      </c>
    </row>
    <row r="8779" spans="1:4" x14ac:dyDescent="0.55000000000000004">
      <c r="A8779">
        <f t="shared" si="276"/>
        <v>1990</v>
      </c>
      <c r="B8779" s="821">
        <v>32875</v>
      </c>
      <c r="C8779">
        <v>8</v>
      </c>
      <c r="D8779">
        <f t="shared" si="277"/>
        <v>1</v>
      </c>
    </row>
    <row r="8780" spans="1:4" x14ac:dyDescent="0.55000000000000004">
      <c r="A8780">
        <f t="shared" si="276"/>
        <v>1989</v>
      </c>
      <c r="B8780" s="821">
        <v>32871</v>
      </c>
      <c r="C8780">
        <v>7.98</v>
      </c>
      <c r="D8780">
        <f t="shared" si="277"/>
        <v>1</v>
      </c>
    </row>
    <row r="8781" spans="1:4" x14ac:dyDescent="0.55000000000000004">
      <c r="A8781">
        <f t="shared" si="276"/>
        <v>1989</v>
      </c>
      <c r="B8781" s="821">
        <v>32870</v>
      </c>
      <c r="C8781">
        <v>7.97</v>
      </c>
      <c r="D8781">
        <f t="shared" si="277"/>
        <v>1</v>
      </c>
    </row>
    <row r="8782" spans="1:4" x14ac:dyDescent="0.55000000000000004">
      <c r="A8782">
        <f t="shared" si="276"/>
        <v>1989</v>
      </c>
      <c r="B8782" s="821">
        <v>32869</v>
      </c>
      <c r="C8782">
        <v>7.98</v>
      </c>
      <c r="D8782">
        <f t="shared" si="277"/>
        <v>1</v>
      </c>
    </row>
    <row r="8783" spans="1:4" x14ac:dyDescent="0.55000000000000004">
      <c r="A8783">
        <f t="shared" si="276"/>
        <v>1989</v>
      </c>
      <c r="B8783" s="821">
        <v>32868</v>
      </c>
      <c r="C8783">
        <v>8</v>
      </c>
      <c r="D8783">
        <f t="shared" si="277"/>
        <v>1</v>
      </c>
    </row>
    <row r="8784" spans="1:4" x14ac:dyDescent="0.55000000000000004">
      <c r="A8784">
        <f t="shared" si="276"/>
        <v>1989</v>
      </c>
      <c r="B8784" s="821">
        <v>32864</v>
      </c>
      <c r="C8784">
        <v>7.88</v>
      </c>
      <c r="D8784">
        <f t="shared" si="277"/>
        <v>1</v>
      </c>
    </row>
    <row r="8785" spans="1:4" x14ac:dyDescent="0.55000000000000004">
      <c r="A8785">
        <f t="shared" si="276"/>
        <v>1989</v>
      </c>
      <c r="B8785" s="821">
        <v>32863</v>
      </c>
      <c r="C8785">
        <v>7.86</v>
      </c>
      <c r="D8785">
        <f t="shared" si="277"/>
        <v>1</v>
      </c>
    </row>
    <row r="8786" spans="1:4" x14ac:dyDescent="0.55000000000000004">
      <c r="A8786">
        <f t="shared" si="276"/>
        <v>1989</v>
      </c>
      <c r="B8786" s="821">
        <v>32862</v>
      </c>
      <c r="C8786">
        <v>7.84</v>
      </c>
      <c r="D8786">
        <f t="shared" si="277"/>
        <v>1</v>
      </c>
    </row>
    <row r="8787" spans="1:4" x14ac:dyDescent="0.55000000000000004">
      <c r="A8787">
        <f t="shared" si="276"/>
        <v>1989</v>
      </c>
      <c r="B8787" s="821">
        <v>32861</v>
      </c>
      <c r="C8787">
        <v>7.85</v>
      </c>
      <c r="D8787">
        <f t="shared" si="277"/>
        <v>1</v>
      </c>
    </row>
    <row r="8788" spans="1:4" x14ac:dyDescent="0.55000000000000004">
      <c r="A8788">
        <f t="shared" si="276"/>
        <v>1989</v>
      </c>
      <c r="B8788" s="821">
        <v>32860</v>
      </c>
      <c r="C8788">
        <v>7.83</v>
      </c>
      <c r="D8788">
        <f t="shared" si="277"/>
        <v>1</v>
      </c>
    </row>
    <row r="8789" spans="1:4" x14ac:dyDescent="0.55000000000000004">
      <c r="A8789">
        <f t="shared" si="276"/>
        <v>1989</v>
      </c>
      <c r="B8789" s="821">
        <v>32857</v>
      </c>
      <c r="C8789">
        <v>7.86</v>
      </c>
      <c r="D8789">
        <f t="shared" si="277"/>
        <v>1</v>
      </c>
    </row>
    <row r="8790" spans="1:4" x14ac:dyDescent="0.55000000000000004">
      <c r="A8790">
        <f t="shared" si="276"/>
        <v>1989</v>
      </c>
      <c r="B8790" s="821">
        <v>32856</v>
      </c>
      <c r="C8790">
        <v>7.85</v>
      </c>
      <c r="D8790">
        <f t="shared" si="277"/>
        <v>1</v>
      </c>
    </row>
    <row r="8791" spans="1:4" x14ac:dyDescent="0.55000000000000004">
      <c r="A8791">
        <f t="shared" si="276"/>
        <v>1989</v>
      </c>
      <c r="B8791" s="821">
        <v>32855</v>
      </c>
      <c r="C8791">
        <v>7.88</v>
      </c>
      <c r="D8791">
        <f t="shared" si="277"/>
        <v>1</v>
      </c>
    </row>
    <row r="8792" spans="1:4" x14ac:dyDescent="0.55000000000000004">
      <c r="A8792">
        <f t="shared" si="276"/>
        <v>1989</v>
      </c>
      <c r="B8792" s="821">
        <v>32854</v>
      </c>
      <c r="C8792">
        <v>7.9</v>
      </c>
      <c r="D8792">
        <f t="shared" si="277"/>
        <v>1</v>
      </c>
    </row>
    <row r="8793" spans="1:4" x14ac:dyDescent="0.55000000000000004">
      <c r="A8793">
        <f t="shared" si="276"/>
        <v>1989</v>
      </c>
      <c r="B8793" s="821">
        <v>32853</v>
      </c>
      <c r="C8793">
        <v>7.89</v>
      </c>
      <c r="D8793">
        <f t="shared" si="277"/>
        <v>1</v>
      </c>
    </row>
    <row r="8794" spans="1:4" x14ac:dyDescent="0.55000000000000004">
      <c r="A8794">
        <f t="shared" si="276"/>
        <v>1989</v>
      </c>
      <c r="B8794" s="821">
        <v>32850</v>
      </c>
      <c r="C8794">
        <v>7.88</v>
      </c>
      <c r="D8794">
        <f t="shared" si="277"/>
        <v>1</v>
      </c>
    </row>
    <row r="8795" spans="1:4" x14ac:dyDescent="0.55000000000000004">
      <c r="A8795">
        <f t="shared" si="276"/>
        <v>1989</v>
      </c>
      <c r="B8795" s="821">
        <v>32849</v>
      </c>
      <c r="C8795">
        <v>7.93</v>
      </c>
      <c r="D8795">
        <f t="shared" si="277"/>
        <v>1</v>
      </c>
    </row>
    <row r="8796" spans="1:4" x14ac:dyDescent="0.55000000000000004">
      <c r="A8796">
        <f t="shared" si="276"/>
        <v>1989</v>
      </c>
      <c r="B8796" s="821">
        <v>32848</v>
      </c>
      <c r="C8796">
        <v>7.91</v>
      </c>
      <c r="D8796">
        <f t="shared" si="277"/>
        <v>1</v>
      </c>
    </row>
    <row r="8797" spans="1:4" x14ac:dyDescent="0.55000000000000004">
      <c r="A8797">
        <f t="shared" si="276"/>
        <v>1989</v>
      </c>
      <c r="B8797" s="821">
        <v>32847</v>
      </c>
      <c r="C8797">
        <v>7.88</v>
      </c>
      <c r="D8797">
        <f t="shared" si="277"/>
        <v>1</v>
      </c>
    </row>
    <row r="8798" spans="1:4" x14ac:dyDescent="0.55000000000000004">
      <c r="A8798">
        <f t="shared" si="276"/>
        <v>1989</v>
      </c>
      <c r="B8798" s="821">
        <v>32846</v>
      </c>
      <c r="C8798">
        <v>7.88</v>
      </c>
      <c r="D8798">
        <f t="shared" si="277"/>
        <v>1</v>
      </c>
    </row>
    <row r="8799" spans="1:4" x14ac:dyDescent="0.55000000000000004">
      <c r="A8799">
        <f t="shared" si="276"/>
        <v>1989</v>
      </c>
      <c r="B8799" s="821">
        <v>32843</v>
      </c>
      <c r="C8799">
        <v>7.88</v>
      </c>
      <c r="D8799">
        <f t="shared" si="277"/>
        <v>1</v>
      </c>
    </row>
    <row r="8800" spans="1:4" x14ac:dyDescent="0.55000000000000004">
      <c r="A8800">
        <f t="shared" si="276"/>
        <v>1989</v>
      </c>
      <c r="B8800" s="821">
        <v>32842</v>
      </c>
      <c r="C8800">
        <v>7.9</v>
      </c>
      <c r="D8800">
        <f t="shared" si="277"/>
        <v>1</v>
      </c>
    </row>
    <row r="8801" spans="1:4" x14ac:dyDescent="0.55000000000000004">
      <c r="A8801">
        <f t="shared" si="276"/>
        <v>1989</v>
      </c>
      <c r="B8801" s="821">
        <v>32841</v>
      </c>
      <c r="C8801">
        <v>7.93</v>
      </c>
      <c r="D8801">
        <f t="shared" si="277"/>
        <v>1</v>
      </c>
    </row>
    <row r="8802" spans="1:4" x14ac:dyDescent="0.55000000000000004">
      <c r="A8802">
        <f t="shared" si="276"/>
        <v>1989</v>
      </c>
      <c r="B8802" s="821">
        <v>32840</v>
      </c>
      <c r="C8802">
        <v>7.91</v>
      </c>
      <c r="D8802">
        <f t="shared" si="277"/>
        <v>1</v>
      </c>
    </row>
    <row r="8803" spans="1:4" x14ac:dyDescent="0.55000000000000004">
      <c r="A8803">
        <f t="shared" si="276"/>
        <v>1989</v>
      </c>
      <c r="B8803" s="821">
        <v>32839</v>
      </c>
      <c r="C8803">
        <v>7.92</v>
      </c>
      <c r="D8803">
        <f t="shared" si="277"/>
        <v>1</v>
      </c>
    </row>
    <row r="8804" spans="1:4" x14ac:dyDescent="0.55000000000000004">
      <c r="A8804">
        <f t="shared" si="276"/>
        <v>1989</v>
      </c>
      <c r="B8804" s="821">
        <v>32836</v>
      </c>
      <c r="C8804">
        <v>7.88</v>
      </c>
      <c r="D8804">
        <f t="shared" si="277"/>
        <v>1</v>
      </c>
    </row>
    <row r="8805" spans="1:4" x14ac:dyDescent="0.55000000000000004">
      <c r="A8805">
        <f t="shared" si="276"/>
        <v>1989</v>
      </c>
      <c r="B8805" s="821">
        <v>32834</v>
      </c>
      <c r="C8805">
        <v>7.88</v>
      </c>
      <c r="D8805">
        <f t="shared" si="277"/>
        <v>1</v>
      </c>
    </row>
    <row r="8806" spans="1:4" x14ac:dyDescent="0.55000000000000004">
      <c r="A8806">
        <f t="shared" si="276"/>
        <v>1989</v>
      </c>
      <c r="B8806" s="821">
        <v>32833</v>
      </c>
      <c r="C8806">
        <v>7.91</v>
      </c>
      <c r="D8806">
        <f t="shared" si="277"/>
        <v>1</v>
      </c>
    </row>
    <row r="8807" spans="1:4" x14ac:dyDescent="0.55000000000000004">
      <c r="A8807">
        <f t="shared" si="276"/>
        <v>1989</v>
      </c>
      <c r="B8807" s="821">
        <v>32832</v>
      </c>
      <c r="C8807">
        <v>7.92</v>
      </c>
      <c r="D8807">
        <f t="shared" si="277"/>
        <v>1</v>
      </c>
    </row>
    <row r="8808" spans="1:4" x14ac:dyDescent="0.55000000000000004">
      <c r="A8808">
        <f t="shared" si="276"/>
        <v>1989</v>
      </c>
      <c r="B8808" s="821">
        <v>32829</v>
      </c>
      <c r="C8808">
        <v>7.94</v>
      </c>
      <c r="D8808">
        <f t="shared" si="277"/>
        <v>1</v>
      </c>
    </row>
    <row r="8809" spans="1:4" x14ac:dyDescent="0.55000000000000004">
      <c r="A8809">
        <f t="shared" si="276"/>
        <v>1989</v>
      </c>
      <c r="B8809" s="821">
        <v>32828</v>
      </c>
      <c r="C8809">
        <v>7.87</v>
      </c>
      <c r="D8809">
        <f t="shared" si="277"/>
        <v>1</v>
      </c>
    </row>
    <row r="8810" spans="1:4" x14ac:dyDescent="0.55000000000000004">
      <c r="A8810">
        <f t="shared" si="276"/>
        <v>1989</v>
      </c>
      <c r="B8810" s="821">
        <v>32827</v>
      </c>
      <c r="C8810">
        <v>7.87</v>
      </c>
      <c r="D8810">
        <f t="shared" si="277"/>
        <v>1</v>
      </c>
    </row>
    <row r="8811" spans="1:4" x14ac:dyDescent="0.55000000000000004">
      <c r="A8811">
        <f t="shared" si="276"/>
        <v>1989</v>
      </c>
      <c r="B8811" s="821">
        <v>32826</v>
      </c>
      <c r="C8811">
        <v>7.9</v>
      </c>
      <c r="D8811">
        <f t="shared" si="277"/>
        <v>1</v>
      </c>
    </row>
    <row r="8812" spans="1:4" x14ac:dyDescent="0.55000000000000004">
      <c r="A8812">
        <f t="shared" si="276"/>
        <v>1989</v>
      </c>
      <c r="B8812" s="821">
        <v>32825</v>
      </c>
      <c r="C8812">
        <v>7.89</v>
      </c>
      <c r="D8812">
        <f t="shared" si="277"/>
        <v>1</v>
      </c>
    </row>
    <row r="8813" spans="1:4" x14ac:dyDescent="0.55000000000000004">
      <c r="A8813">
        <f t="shared" si="276"/>
        <v>1989</v>
      </c>
      <c r="B8813" s="821">
        <v>32822</v>
      </c>
      <c r="C8813">
        <v>7.9</v>
      </c>
      <c r="D8813">
        <f t="shared" si="277"/>
        <v>1</v>
      </c>
    </row>
    <row r="8814" spans="1:4" x14ac:dyDescent="0.55000000000000004">
      <c r="A8814">
        <f t="shared" si="276"/>
        <v>1989</v>
      </c>
      <c r="B8814" s="821">
        <v>32821</v>
      </c>
      <c r="C8814">
        <v>7.91</v>
      </c>
      <c r="D8814">
        <f t="shared" si="277"/>
        <v>1</v>
      </c>
    </row>
    <row r="8815" spans="1:4" x14ac:dyDescent="0.55000000000000004">
      <c r="A8815">
        <f t="shared" si="276"/>
        <v>1989</v>
      </c>
      <c r="B8815" s="821">
        <v>32820</v>
      </c>
      <c r="C8815">
        <v>7.88</v>
      </c>
      <c r="D8815">
        <f t="shared" si="277"/>
        <v>1</v>
      </c>
    </row>
    <row r="8816" spans="1:4" x14ac:dyDescent="0.55000000000000004">
      <c r="A8816">
        <f t="shared" si="276"/>
        <v>1989</v>
      </c>
      <c r="B8816" s="821">
        <v>32819</v>
      </c>
      <c r="C8816">
        <v>7.88</v>
      </c>
      <c r="D8816">
        <f t="shared" si="277"/>
        <v>1</v>
      </c>
    </row>
    <row r="8817" spans="1:4" x14ac:dyDescent="0.55000000000000004">
      <c r="A8817">
        <f t="shared" si="276"/>
        <v>1989</v>
      </c>
      <c r="B8817" s="821">
        <v>32818</v>
      </c>
      <c r="C8817">
        <v>7.97</v>
      </c>
      <c r="D8817">
        <f t="shared" si="277"/>
        <v>1</v>
      </c>
    </row>
    <row r="8818" spans="1:4" x14ac:dyDescent="0.55000000000000004">
      <c r="A8818">
        <f t="shared" si="276"/>
        <v>1989</v>
      </c>
      <c r="B8818" s="821">
        <v>32815</v>
      </c>
      <c r="C8818">
        <v>7.92</v>
      </c>
      <c r="D8818">
        <f t="shared" si="277"/>
        <v>1</v>
      </c>
    </row>
    <row r="8819" spans="1:4" x14ac:dyDescent="0.55000000000000004">
      <c r="A8819">
        <f t="shared" si="276"/>
        <v>1989</v>
      </c>
      <c r="B8819" s="821">
        <v>32814</v>
      </c>
      <c r="C8819">
        <v>7.88</v>
      </c>
      <c r="D8819">
        <f t="shared" si="277"/>
        <v>1</v>
      </c>
    </row>
    <row r="8820" spans="1:4" x14ac:dyDescent="0.55000000000000004">
      <c r="A8820">
        <f t="shared" si="276"/>
        <v>1989</v>
      </c>
      <c r="B8820" s="821">
        <v>32813</v>
      </c>
      <c r="C8820">
        <v>7.89</v>
      </c>
      <c r="D8820">
        <f t="shared" si="277"/>
        <v>1</v>
      </c>
    </row>
    <row r="8821" spans="1:4" x14ac:dyDescent="0.55000000000000004">
      <c r="A8821">
        <f t="shared" si="276"/>
        <v>1989</v>
      </c>
      <c r="B8821" s="821">
        <v>32812</v>
      </c>
      <c r="C8821">
        <v>7.92</v>
      </c>
      <c r="D8821">
        <f t="shared" si="277"/>
        <v>1</v>
      </c>
    </row>
    <row r="8822" spans="1:4" x14ac:dyDescent="0.55000000000000004">
      <c r="A8822">
        <f t="shared" si="276"/>
        <v>1989</v>
      </c>
      <c r="B8822" s="821">
        <v>32811</v>
      </c>
      <c r="C8822">
        <v>7.93</v>
      </c>
      <c r="D8822">
        <f t="shared" si="277"/>
        <v>1</v>
      </c>
    </row>
    <row r="8823" spans="1:4" x14ac:dyDescent="0.55000000000000004">
      <c r="A8823">
        <f t="shared" si="276"/>
        <v>1989</v>
      </c>
      <c r="B8823" s="821">
        <v>32808</v>
      </c>
      <c r="C8823">
        <v>7.95</v>
      </c>
      <c r="D8823">
        <f t="shared" si="277"/>
        <v>1</v>
      </c>
    </row>
    <row r="8824" spans="1:4" x14ac:dyDescent="0.55000000000000004">
      <c r="A8824">
        <f t="shared" si="276"/>
        <v>1989</v>
      </c>
      <c r="B8824" s="821">
        <v>32807</v>
      </c>
      <c r="C8824">
        <v>7.89</v>
      </c>
      <c r="D8824">
        <f t="shared" si="277"/>
        <v>1</v>
      </c>
    </row>
    <row r="8825" spans="1:4" x14ac:dyDescent="0.55000000000000004">
      <c r="A8825">
        <f t="shared" si="276"/>
        <v>1989</v>
      </c>
      <c r="B8825" s="821">
        <v>32806</v>
      </c>
      <c r="C8825">
        <v>7.88</v>
      </c>
      <c r="D8825">
        <f t="shared" si="277"/>
        <v>1</v>
      </c>
    </row>
    <row r="8826" spans="1:4" x14ac:dyDescent="0.55000000000000004">
      <c r="A8826">
        <f t="shared" si="276"/>
        <v>1989</v>
      </c>
      <c r="B8826" s="821">
        <v>32805</v>
      </c>
      <c r="C8826">
        <v>7.87</v>
      </c>
      <c r="D8826">
        <f t="shared" si="277"/>
        <v>1</v>
      </c>
    </row>
    <row r="8827" spans="1:4" x14ac:dyDescent="0.55000000000000004">
      <c r="A8827">
        <f t="shared" si="276"/>
        <v>1989</v>
      </c>
      <c r="B8827" s="821">
        <v>32804</v>
      </c>
      <c r="C8827">
        <v>7.94</v>
      </c>
      <c r="D8827">
        <f t="shared" si="277"/>
        <v>1</v>
      </c>
    </row>
    <row r="8828" spans="1:4" x14ac:dyDescent="0.55000000000000004">
      <c r="A8828">
        <f t="shared" si="276"/>
        <v>1989</v>
      </c>
      <c r="B8828" s="821">
        <v>32801</v>
      </c>
      <c r="C8828">
        <v>7.98</v>
      </c>
      <c r="D8828">
        <f t="shared" si="277"/>
        <v>1</v>
      </c>
    </row>
    <row r="8829" spans="1:4" x14ac:dyDescent="0.55000000000000004">
      <c r="A8829">
        <f t="shared" si="276"/>
        <v>1989</v>
      </c>
      <c r="B8829" s="821">
        <v>32800</v>
      </c>
      <c r="C8829">
        <v>7.97</v>
      </c>
      <c r="D8829">
        <f t="shared" si="277"/>
        <v>1</v>
      </c>
    </row>
    <row r="8830" spans="1:4" x14ac:dyDescent="0.55000000000000004">
      <c r="A8830">
        <f t="shared" si="276"/>
        <v>1989</v>
      </c>
      <c r="B8830" s="821">
        <v>32799</v>
      </c>
      <c r="C8830">
        <v>8.0299999999999994</v>
      </c>
      <c r="D8830">
        <f t="shared" si="277"/>
        <v>1</v>
      </c>
    </row>
    <row r="8831" spans="1:4" x14ac:dyDescent="0.55000000000000004">
      <c r="A8831">
        <f t="shared" si="276"/>
        <v>1989</v>
      </c>
      <c r="B8831" s="821">
        <v>32798</v>
      </c>
      <c r="C8831">
        <v>8.01</v>
      </c>
      <c r="D8831">
        <f t="shared" si="277"/>
        <v>1</v>
      </c>
    </row>
    <row r="8832" spans="1:4" x14ac:dyDescent="0.55000000000000004">
      <c r="A8832">
        <f t="shared" si="276"/>
        <v>1989</v>
      </c>
      <c r="B8832" s="821">
        <v>32797</v>
      </c>
      <c r="C8832">
        <v>7.98</v>
      </c>
      <c r="D8832">
        <f t="shared" si="277"/>
        <v>1</v>
      </c>
    </row>
    <row r="8833" spans="1:4" x14ac:dyDescent="0.55000000000000004">
      <c r="A8833">
        <f t="shared" si="276"/>
        <v>1989</v>
      </c>
      <c r="B8833" s="821">
        <v>32794</v>
      </c>
      <c r="C8833">
        <v>7.88</v>
      </c>
      <c r="D8833">
        <f t="shared" si="277"/>
        <v>1</v>
      </c>
    </row>
    <row r="8834" spans="1:4" x14ac:dyDescent="0.55000000000000004">
      <c r="A8834">
        <f t="shared" si="276"/>
        <v>1989</v>
      </c>
      <c r="B8834" s="821">
        <v>32793</v>
      </c>
      <c r="C8834">
        <v>8.02</v>
      </c>
      <c r="D8834">
        <f t="shared" si="277"/>
        <v>1</v>
      </c>
    </row>
    <row r="8835" spans="1:4" x14ac:dyDescent="0.55000000000000004">
      <c r="A8835">
        <f t="shared" si="276"/>
        <v>1989</v>
      </c>
      <c r="B8835" s="821">
        <v>32792</v>
      </c>
      <c r="C8835">
        <v>8.0500000000000007</v>
      </c>
      <c r="D8835">
        <f t="shared" si="277"/>
        <v>1</v>
      </c>
    </row>
    <row r="8836" spans="1:4" x14ac:dyDescent="0.55000000000000004">
      <c r="A8836">
        <f t="shared" ref="A8836:A8899" si="278">YEAR(B8836)</f>
        <v>1989</v>
      </c>
      <c r="B8836" s="821">
        <v>32791</v>
      </c>
      <c r="C8836">
        <v>8.01</v>
      </c>
      <c r="D8836">
        <f t="shared" ref="D8836:D8899" si="279">IF(C8836&gt;4,1,0)</f>
        <v>1</v>
      </c>
    </row>
    <row r="8837" spans="1:4" x14ac:dyDescent="0.55000000000000004">
      <c r="A8837">
        <f t="shared" si="278"/>
        <v>1989</v>
      </c>
      <c r="B8837" s="821">
        <v>32787</v>
      </c>
      <c r="C8837">
        <v>8.01</v>
      </c>
      <c r="D8837">
        <f t="shared" si="279"/>
        <v>1</v>
      </c>
    </row>
    <row r="8838" spans="1:4" x14ac:dyDescent="0.55000000000000004">
      <c r="A8838">
        <f t="shared" si="278"/>
        <v>1989</v>
      </c>
      <c r="B8838" s="821">
        <v>32786</v>
      </c>
      <c r="C8838">
        <v>8.09</v>
      </c>
      <c r="D8838">
        <f t="shared" si="279"/>
        <v>1</v>
      </c>
    </row>
    <row r="8839" spans="1:4" x14ac:dyDescent="0.55000000000000004">
      <c r="A8839">
        <f t="shared" si="278"/>
        <v>1989</v>
      </c>
      <c r="B8839" s="821">
        <v>32785</v>
      </c>
      <c r="C8839">
        <v>8.16</v>
      </c>
      <c r="D8839">
        <f t="shared" si="279"/>
        <v>1</v>
      </c>
    </row>
    <row r="8840" spans="1:4" x14ac:dyDescent="0.55000000000000004">
      <c r="A8840">
        <f t="shared" si="278"/>
        <v>1989</v>
      </c>
      <c r="B8840" s="821">
        <v>32784</v>
      </c>
      <c r="C8840">
        <v>8.19</v>
      </c>
      <c r="D8840">
        <f t="shared" si="279"/>
        <v>1</v>
      </c>
    </row>
    <row r="8841" spans="1:4" x14ac:dyDescent="0.55000000000000004">
      <c r="A8841">
        <f t="shared" si="278"/>
        <v>1989</v>
      </c>
      <c r="B8841" s="821">
        <v>32783</v>
      </c>
      <c r="C8841">
        <v>8.2200000000000006</v>
      </c>
      <c r="D8841">
        <f t="shared" si="279"/>
        <v>1</v>
      </c>
    </row>
    <row r="8842" spans="1:4" x14ac:dyDescent="0.55000000000000004">
      <c r="A8842">
        <f t="shared" si="278"/>
        <v>1989</v>
      </c>
      <c r="B8842" s="821">
        <v>32780</v>
      </c>
      <c r="C8842">
        <v>8.24</v>
      </c>
      <c r="D8842">
        <f t="shared" si="279"/>
        <v>1</v>
      </c>
    </row>
    <row r="8843" spans="1:4" x14ac:dyDescent="0.55000000000000004">
      <c r="A8843">
        <f t="shared" si="278"/>
        <v>1989</v>
      </c>
      <c r="B8843" s="821">
        <v>32779</v>
      </c>
      <c r="C8843">
        <v>8.25</v>
      </c>
      <c r="D8843">
        <f t="shared" si="279"/>
        <v>1</v>
      </c>
    </row>
    <row r="8844" spans="1:4" x14ac:dyDescent="0.55000000000000004">
      <c r="A8844">
        <f t="shared" si="278"/>
        <v>1989</v>
      </c>
      <c r="B8844" s="821">
        <v>32778</v>
      </c>
      <c r="C8844">
        <v>8.25</v>
      </c>
      <c r="D8844">
        <f t="shared" si="279"/>
        <v>1</v>
      </c>
    </row>
    <row r="8845" spans="1:4" x14ac:dyDescent="0.55000000000000004">
      <c r="A8845">
        <f t="shared" si="278"/>
        <v>1989</v>
      </c>
      <c r="B8845" s="821">
        <v>32777</v>
      </c>
      <c r="C8845">
        <v>8.25</v>
      </c>
      <c r="D8845">
        <f t="shared" si="279"/>
        <v>1</v>
      </c>
    </row>
    <row r="8846" spans="1:4" x14ac:dyDescent="0.55000000000000004">
      <c r="A8846">
        <f t="shared" si="278"/>
        <v>1989</v>
      </c>
      <c r="B8846" s="821">
        <v>32776</v>
      </c>
      <c r="C8846">
        <v>8.3000000000000007</v>
      </c>
      <c r="D8846">
        <f t="shared" si="279"/>
        <v>1</v>
      </c>
    </row>
    <row r="8847" spans="1:4" x14ac:dyDescent="0.55000000000000004">
      <c r="A8847">
        <f t="shared" si="278"/>
        <v>1989</v>
      </c>
      <c r="B8847" s="821">
        <v>32773</v>
      </c>
      <c r="C8847">
        <v>8.1999999999999993</v>
      </c>
      <c r="D8847">
        <f t="shared" si="279"/>
        <v>1</v>
      </c>
    </row>
    <row r="8848" spans="1:4" x14ac:dyDescent="0.55000000000000004">
      <c r="A8848">
        <f t="shared" si="278"/>
        <v>1989</v>
      </c>
      <c r="B8848" s="821">
        <v>32772</v>
      </c>
      <c r="C8848">
        <v>8.19</v>
      </c>
      <c r="D8848">
        <f t="shared" si="279"/>
        <v>1</v>
      </c>
    </row>
    <row r="8849" spans="1:4" x14ac:dyDescent="0.55000000000000004">
      <c r="A8849">
        <f t="shared" si="278"/>
        <v>1989</v>
      </c>
      <c r="B8849" s="821">
        <v>32771</v>
      </c>
      <c r="C8849">
        <v>8.15</v>
      </c>
      <c r="D8849">
        <f t="shared" si="279"/>
        <v>1</v>
      </c>
    </row>
    <row r="8850" spans="1:4" x14ac:dyDescent="0.55000000000000004">
      <c r="A8850">
        <f t="shared" si="278"/>
        <v>1989</v>
      </c>
      <c r="B8850" s="821">
        <v>32770</v>
      </c>
      <c r="C8850">
        <v>8.09</v>
      </c>
      <c r="D8850">
        <f t="shared" si="279"/>
        <v>1</v>
      </c>
    </row>
    <row r="8851" spans="1:4" x14ac:dyDescent="0.55000000000000004">
      <c r="A8851">
        <f t="shared" si="278"/>
        <v>1989</v>
      </c>
      <c r="B8851" s="821">
        <v>32769</v>
      </c>
      <c r="C8851">
        <v>8.09</v>
      </c>
      <c r="D8851">
        <f t="shared" si="279"/>
        <v>1</v>
      </c>
    </row>
    <row r="8852" spans="1:4" x14ac:dyDescent="0.55000000000000004">
      <c r="A8852">
        <f t="shared" si="278"/>
        <v>1989</v>
      </c>
      <c r="B8852" s="821">
        <v>32766</v>
      </c>
      <c r="C8852">
        <v>8.08</v>
      </c>
      <c r="D8852">
        <f t="shared" si="279"/>
        <v>1</v>
      </c>
    </row>
    <row r="8853" spans="1:4" x14ac:dyDescent="0.55000000000000004">
      <c r="A8853">
        <f t="shared" si="278"/>
        <v>1989</v>
      </c>
      <c r="B8853" s="821">
        <v>32765</v>
      </c>
      <c r="C8853">
        <v>8.1199999999999992</v>
      </c>
      <c r="D8853">
        <f t="shared" si="279"/>
        <v>1</v>
      </c>
    </row>
    <row r="8854" spans="1:4" x14ac:dyDescent="0.55000000000000004">
      <c r="A8854">
        <f t="shared" si="278"/>
        <v>1989</v>
      </c>
      <c r="B8854" s="821">
        <v>32764</v>
      </c>
      <c r="C8854">
        <v>8.15</v>
      </c>
      <c r="D8854">
        <f t="shared" si="279"/>
        <v>1</v>
      </c>
    </row>
    <row r="8855" spans="1:4" x14ac:dyDescent="0.55000000000000004">
      <c r="A8855">
        <f t="shared" si="278"/>
        <v>1989</v>
      </c>
      <c r="B8855" s="821">
        <v>32763</v>
      </c>
      <c r="C8855">
        <v>8.09</v>
      </c>
      <c r="D8855">
        <f t="shared" si="279"/>
        <v>1</v>
      </c>
    </row>
    <row r="8856" spans="1:4" x14ac:dyDescent="0.55000000000000004">
      <c r="A8856">
        <f t="shared" si="278"/>
        <v>1989</v>
      </c>
      <c r="B8856" s="821">
        <v>32762</v>
      </c>
      <c r="C8856">
        <v>8.07</v>
      </c>
      <c r="D8856">
        <f t="shared" si="279"/>
        <v>1</v>
      </c>
    </row>
    <row r="8857" spans="1:4" x14ac:dyDescent="0.55000000000000004">
      <c r="A8857">
        <f t="shared" si="278"/>
        <v>1989</v>
      </c>
      <c r="B8857" s="821">
        <v>32759</v>
      </c>
      <c r="C8857">
        <v>8.07</v>
      </c>
      <c r="D8857">
        <f t="shared" si="279"/>
        <v>1</v>
      </c>
    </row>
    <row r="8858" spans="1:4" x14ac:dyDescent="0.55000000000000004">
      <c r="A8858">
        <f t="shared" si="278"/>
        <v>1989</v>
      </c>
      <c r="B8858" s="821">
        <v>32758</v>
      </c>
      <c r="C8858">
        <v>8.11</v>
      </c>
      <c r="D8858">
        <f t="shared" si="279"/>
        <v>1</v>
      </c>
    </row>
    <row r="8859" spans="1:4" x14ac:dyDescent="0.55000000000000004">
      <c r="A8859">
        <f t="shared" si="278"/>
        <v>1989</v>
      </c>
      <c r="B8859" s="821">
        <v>32757</v>
      </c>
      <c r="C8859">
        <v>8.11</v>
      </c>
      <c r="D8859">
        <f t="shared" si="279"/>
        <v>1</v>
      </c>
    </row>
    <row r="8860" spans="1:4" x14ac:dyDescent="0.55000000000000004">
      <c r="A8860">
        <f t="shared" si="278"/>
        <v>1989</v>
      </c>
      <c r="B8860" s="821">
        <v>32756</v>
      </c>
      <c r="C8860">
        <v>8.14</v>
      </c>
      <c r="D8860">
        <f t="shared" si="279"/>
        <v>1</v>
      </c>
    </row>
    <row r="8861" spans="1:4" x14ac:dyDescent="0.55000000000000004">
      <c r="A8861">
        <f t="shared" si="278"/>
        <v>1989</v>
      </c>
      <c r="B8861" s="821">
        <v>32752</v>
      </c>
      <c r="C8861">
        <v>8.14</v>
      </c>
      <c r="D8861">
        <f t="shared" si="279"/>
        <v>1</v>
      </c>
    </row>
    <row r="8862" spans="1:4" x14ac:dyDescent="0.55000000000000004">
      <c r="A8862">
        <f t="shared" si="278"/>
        <v>1989</v>
      </c>
      <c r="B8862" s="821">
        <v>32751</v>
      </c>
      <c r="C8862">
        <v>8.2100000000000009</v>
      </c>
      <c r="D8862">
        <f t="shared" si="279"/>
        <v>1</v>
      </c>
    </row>
    <row r="8863" spans="1:4" x14ac:dyDescent="0.55000000000000004">
      <c r="A8863">
        <f t="shared" si="278"/>
        <v>1989</v>
      </c>
      <c r="B8863" s="821">
        <v>32750</v>
      </c>
      <c r="C8863">
        <v>8.1999999999999993</v>
      </c>
      <c r="D8863">
        <f t="shared" si="279"/>
        <v>1</v>
      </c>
    </row>
    <row r="8864" spans="1:4" x14ac:dyDescent="0.55000000000000004">
      <c r="A8864">
        <f t="shared" si="278"/>
        <v>1989</v>
      </c>
      <c r="B8864" s="821">
        <v>32749</v>
      </c>
      <c r="C8864">
        <v>8.2100000000000009</v>
      </c>
      <c r="D8864">
        <f t="shared" si="279"/>
        <v>1</v>
      </c>
    </row>
    <row r="8865" spans="1:4" x14ac:dyDescent="0.55000000000000004">
      <c r="A8865">
        <f t="shared" si="278"/>
        <v>1989</v>
      </c>
      <c r="B8865" s="821">
        <v>32748</v>
      </c>
      <c r="C8865">
        <v>8.23</v>
      </c>
      <c r="D8865">
        <f t="shared" si="279"/>
        <v>1</v>
      </c>
    </row>
    <row r="8866" spans="1:4" x14ac:dyDescent="0.55000000000000004">
      <c r="A8866">
        <f t="shared" si="278"/>
        <v>1989</v>
      </c>
      <c r="B8866" s="821">
        <v>32745</v>
      </c>
      <c r="C8866">
        <v>8.18</v>
      </c>
      <c r="D8866">
        <f t="shared" si="279"/>
        <v>1</v>
      </c>
    </row>
    <row r="8867" spans="1:4" x14ac:dyDescent="0.55000000000000004">
      <c r="A8867">
        <f t="shared" si="278"/>
        <v>1989</v>
      </c>
      <c r="B8867" s="821">
        <v>32744</v>
      </c>
      <c r="C8867">
        <v>8.16</v>
      </c>
      <c r="D8867">
        <f t="shared" si="279"/>
        <v>1</v>
      </c>
    </row>
    <row r="8868" spans="1:4" x14ac:dyDescent="0.55000000000000004">
      <c r="A8868">
        <f t="shared" si="278"/>
        <v>1989</v>
      </c>
      <c r="B8868" s="821">
        <v>32743</v>
      </c>
      <c r="C8868">
        <v>8.19</v>
      </c>
      <c r="D8868">
        <f t="shared" si="279"/>
        <v>1</v>
      </c>
    </row>
    <row r="8869" spans="1:4" x14ac:dyDescent="0.55000000000000004">
      <c r="A8869">
        <f t="shared" si="278"/>
        <v>1989</v>
      </c>
      <c r="B8869" s="821">
        <v>32742</v>
      </c>
      <c r="C8869">
        <v>8.25</v>
      </c>
      <c r="D8869">
        <f t="shared" si="279"/>
        <v>1</v>
      </c>
    </row>
    <row r="8870" spans="1:4" x14ac:dyDescent="0.55000000000000004">
      <c r="A8870">
        <f t="shared" si="278"/>
        <v>1989</v>
      </c>
      <c r="B8870" s="821">
        <v>32741</v>
      </c>
      <c r="C8870">
        <v>8.18</v>
      </c>
      <c r="D8870">
        <f t="shared" si="279"/>
        <v>1</v>
      </c>
    </row>
    <row r="8871" spans="1:4" x14ac:dyDescent="0.55000000000000004">
      <c r="A8871">
        <f t="shared" si="278"/>
        <v>1989</v>
      </c>
      <c r="B8871" s="821">
        <v>32738</v>
      </c>
      <c r="C8871">
        <v>8.15</v>
      </c>
      <c r="D8871">
        <f t="shared" si="279"/>
        <v>1</v>
      </c>
    </row>
    <row r="8872" spans="1:4" x14ac:dyDescent="0.55000000000000004">
      <c r="A8872">
        <f t="shared" si="278"/>
        <v>1989</v>
      </c>
      <c r="B8872" s="821">
        <v>32737</v>
      </c>
      <c r="C8872">
        <v>8.16</v>
      </c>
      <c r="D8872">
        <f t="shared" si="279"/>
        <v>1</v>
      </c>
    </row>
    <row r="8873" spans="1:4" x14ac:dyDescent="0.55000000000000004">
      <c r="A8873">
        <f t="shared" si="278"/>
        <v>1989</v>
      </c>
      <c r="B8873" s="821">
        <v>32736</v>
      </c>
      <c r="C8873">
        <v>8.1300000000000008</v>
      </c>
      <c r="D8873">
        <f t="shared" si="279"/>
        <v>1</v>
      </c>
    </row>
    <row r="8874" spans="1:4" x14ac:dyDescent="0.55000000000000004">
      <c r="A8874">
        <f t="shared" si="278"/>
        <v>1989</v>
      </c>
      <c r="B8874" s="821">
        <v>32735</v>
      </c>
      <c r="C8874">
        <v>8.19</v>
      </c>
      <c r="D8874">
        <f t="shared" si="279"/>
        <v>1</v>
      </c>
    </row>
    <row r="8875" spans="1:4" x14ac:dyDescent="0.55000000000000004">
      <c r="A8875">
        <f t="shared" si="278"/>
        <v>1989</v>
      </c>
      <c r="B8875" s="821">
        <v>32734</v>
      </c>
      <c r="C8875">
        <v>8.23</v>
      </c>
      <c r="D8875">
        <f t="shared" si="279"/>
        <v>1</v>
      </c>
    </row>
    <row r="8876" spans="1:4" x14ac:dyDescent="0.55000000000000004">
      <c r="A8876">
        <f t="shared" si="278"/>
        <v>1989</v>
      </c>
      <c r="B8876" s="821">
        <v>32731</v>
      </c>
      <c r="C8876">
        <v>8.1300000000000008</v>
      </c>
      <c r="D8876">
        <f t="shared" si="279"/>
        <v>1</v>
      </c>
    </row>
    <row r="8877" spans="1:4" x14ac:dyDescent="0.55000000000000004">
      <c r="A8877">
        <f t="shared" si="278"/>
        <v>1989</v>
      </c>
      <c r="B8877" s="821">
        <v>32730</v>
      </c>
      <c r="C8877">
        <v>8.08</v>
      </c>
      <c r="D8877">
        <f t="shared" si="279"/>
        <v>1</v>
      </c>
    </row>
    <row r="8878" spans="1:4" x14ac:dyDescent="0.55000000000000004">
      <c r="A8878">
        <f t="shared" si="278"/>
        <v>1989</v>
      </c>
      <c r="B8878" s="821">
        <v>32729</v>
      </c>
      <c r="C8878">
        <v>8.1199999999999992</v>
      </c>
      <c r="D8878">
        <f t="shared" si="279"/>
        <v>1</v>
      </c>
    </row>
    <row r="8879" spans="1:4" x14ac:dyDescent="0.55000000000000004">
      <c r="A8879">
        <f t="shared" si="278"/>
        <v>1989</v>
      </c>
      <c r="B8879" s="821">
        <v>32728</v>
      </c>
      <c r="C8879">
        <v>8.08</v>
      </c>
      <c r="D8879">
        <f t="shared" si="279"/>
        <v>1</v>
      </c>
    </row>
    <row r="8880" spans="1:4" x14ac:dyDescent="0.55000000000000004">
      <c r="A8880">
        <f t="shared" si="278"/>
        <v>1989</v>
      </c>
      <c r="B8880" s="821">
        <v>32727</v>
      </c>
      <c r="C8880">
        <v>8.08</v>
      </c>
      <c r="D8880">
        <f t="shared" si="279"/>
        <v>1</v>
      </c>
    </row>
    <row r="8881" spans="1:4" x14ac:dyDescent="0.55000000000000004">
      <c r="A8881">
        <f t="shared" si="278"/>
        <v>1989</v>
      </c>
      <c r="B8881" s="821">
        <v>32724</v>
      </c>
      <c r="C8881">
        <v>8.08</v>
      </c>
      <c r="D8881">
        <f t="shared" si="279"/>
        <v>1</v>
      </c>
    </row>
    <row r="8882" spans="1:4" x14ac:dyDescent="0.55000000000000004">
      <c r="A8882">
        <f t="shared" si="278"/>
        <v>1989</v>
      </c>
      <c r="B8882" s="821">
        <v>32723</v>
      </c>
      <c r="C8882">
        <v>7.9</v>
      </c>
      <c r="D8882">
        <f t="shared" si="279"/>
        <v>1</v>
      </c>
    </row>
    <row r="8883" spans="1:4" x14ac:dyDescent="0.55000000000000004">
      <c r="A8883">
        <f t="shared" si="278"/>
        <v>1989</v>
      </c>
      <c r="B8883" s="821">
        <v>32722</v>
      </c>
      <c r="C8883">
        <v>7.84</v>
      </c>
      <c r="D8883">
        <f t="shared" si="279"/>
        <v>1</v>
      </c>
    </row>
    <row r="8884" spans="1:4" x14ac:dyDescent="0.55000000000000004">
      <c r="A8884">
        <f t="shared" si="278"/>
        <v>1989</v>
      </c>
      <c r="B8884" s="821">
        <v>32721</v>
      </c>
      <c r="C8884">
        <v>7.83</v>
      </c>
      <c r="D8884">
        <f t="shared" si="279"/>
        <v>1</v>
      </c>
    </row>
    <row r="8885" spans="1:4" x14ac:dyDescent="0.55000000000000004">
      <c r="A8885">
        <f t="shared" si="278"/>
        <v>1989</v>
      </c>
      <c r="B8885" s="821">
        <v>32720</v>
      </c>
      <c r="C8885">
        <v>7.92</v>
      </c>
      <c r="D8885">
        <f t="shared" si="279"/>
        <v>1</v>
      </c>
    </row>
    <row r="8886" spans="1:4" x14ac:dyDescent="0.55000000000000004">
      <c r="A8886">
        <f t="shared" si="278"/>
        <v>1989</v>
      </c>
      <c r="B8886" s="821">
        <v>32717</v>
      </c>
      <c r="C8886">
        <v>7.99</v>
      </c>
      <c r="D8886">
        <f t="shared" si="279"/>
        <v>1</v>
      </c>
    </row>
    <row r="8887" spans="1:4" x14ac:dyDescent="0.55000000000000004">
      <c r="A8887">
        <f t="shared" si="278"/>
        <v>1989</v>
      </c>
      <c r="B8887" s="821">
        <v>32716</v>
      </c>
      <c r="C8887">
        <v>8.0299999999999994</v>
      </c>
      <c r="D8887">
        <f t="shared" si="279"/>
        <v>1</v>
      </c>
    </row>
    <row r="8888" spans="1:4" x14ac:dyDescent="0.55000000000000004">
      <c r="A8888">
        <f t="shared" si="278"/>
        <v>1989</v>
      </c>
      <c r="B8888" s="821">
        <v>32715</v>
      </c>
      <c r="C8888">
        <v>8.11</v>
      </c>
      <c r="D8888">
        <f t="shared" si="279"/>
        <v>1</v>
      </c>
    </row>
    <row r="8889" spans="1:4" x14ac:dyDescent="0.55000000000000004">
      <c r="A8889">
        <f t="shared" si="278"/>
        <v>1989</v>
      </c>
      <c r="B8889" s="821">
        <v>32714</v>
      </c>
      <c r="C8889">
        <v>8.1199999999999992</v>
      </c>
      <c r="D8889">
        <f t="shared" si="279"/>
        <v>1</v>
      </c>
    </row>
    <row r="8890" spans="1:4" x14ac:dyDescent="0.55000000000000004">
      <c r="A8890">
        <f t="shared" si="278"/>
        <v>1989</v>
      </c>
      <c r="B8890" s="821">
        <v>32713</v>
      </c>
      <c r="C8890">
        <v>8.14</v>
      </c>
      <c r="D8890">
        <f t="shared" si="279"/>
        <v>1</v>
      </c>
    </row>
    <row r="8891" spans="1:4" x14ac:dyDescent="0.55000000000000004">
      <c r="A8891">
        <f t="shared" si="278"/>
        <v>1989</v>
      </c>
      <c r="B8891" s="821">
        <v>32710</v>
      </c>
      <c r="C8891">
        <v>8.16</v>
      </c>
      <c r="D8891">
        <f t="shared" si="279"/>
        <v>1</v>
      </c>
    </row>
    <row r="8892" spans="1:4" x14ac:dyDescent="0.55000000000000004">
      <c r="A8892">
        <f t="shared" si="278"/>
        <v>1989</v>
      </c>
      <c r="B8892" s="821">
        <v>32709</v>
      </c>
      <c r="C8892">
        <v>8.1</v>
      </c>
      <c r="D8892">
        <f t="shared" si="279"/>
        <v>1</v>
      </c>
    </row>
    <row r="8893" spans="1:4" x14ac:dyDescent="0.55000000000000004">
      <c r="A8893">
        <f t="shared" si="278"/>
        <v>1989</v>
      </c>
      <c r="B8893" s="821">
        <v>32708</v>
      </c>
      <c r="C8893">
        <v>8.14</v>
      </c>
      <c r="D8893">
        <f t="shared" si="279"/>
        <v>1</v>
      </c>
    </row>
    <row r="8894" spans="1:4" x14ac:dyDescent="0.55000000000000004">
      <c r="A8894">
        <f t="shared" si="278"/>
        <v>1989</v>
      </c>
      <c r="B8894" s="821">
        <v>32707</v>
      </c>
      <c r="C8894">
        <v>8.17</v>
      </c>
      <c r="D8894">
        <f t="shared" si="279"/>
        <v>1</v>
      </c>
    </row>
    <row r="8895" spans="1:4" x14ac:dyDescent="0.55000000000000004">
      <c r="A8895">
        <f t="shared" si="278"/>
        <v>1989</v>
      </c>
      <c r="B8895" s="821">
        <v>32706</v>
      </c>
      <c r="C8895">
        <v>8.11</v>
      </c>
      <c r="D8895">
        <f t="shared" si="279"/>
        <v>1</v>
      </c>
    </row>
    <row r="8896" spans="1:4" x14ac:dyDescent="0.55000000000000004">
      <c r="A8896">
        <f t="shared" si="278"/>
        <v>1989</v>
      </c>
      <c r="B8896" s="821">
        <v>32703</v>
      </c>
      <c r="C8896">
        <v>8.09</v>
      </c>
      <c r="D8896">
        <f t="shared" si="279"/>
        <v>1</v>
      </c>
    </row>
    <row r="8897" spans="1:4" x14ac:dyDescent="0.55000000000000004">
      <c r="A8897">
        <f t="shared" si="278"/>
        <v>1989</v>
      </c>
      <c r="B8897" s="821">
        <v>32702</v>
      </c>
      <c r="C8897">
        <v>8.0500000000000007</v>
      </c>
      <c r="D8897">
        <f t="shared" si="279"/>
        <v>1</v>
      </c>
    </row>
    <row r="8898" spans="1:4" x14ac:dyDescent="0.55000000000000004">
      <c r="A8898">
        <f t="shared" si="278"/>
        <v>1989</v>
      </c>
      <c r="B8898" s="821">
        <v>32701</v>
      </c>
      <c r="C8898">
        <v>8.0399999999999991</v>
      </c>
      <c r="D8898">
        <f t="shared" si="279"/>
        <v>1</v>
      </c>
    </row>
    <row r="8899" spans="1:4" x14ac:dyDescent="0.55000000000000004">
      <c r="A8899">
        <f t="shared" si="278"/>
        <v>1989</v>
      </c>
      <c r="B8899" s="821">
        <v>32700</v>
      </c>
      <c r="C8899">
        <v>8.0399999999999991</v>
      </c>
      <c r="D8899">
        <f t="shared" si="279"/>
        <v>1</v>
      </c>
    </row>
    <row r="8900" spans="1:4" x14ac:dyDescent="0.55000000000000004">
      <c r="A8900">
        <f t="shared" ref="A8900:A8963" si="280">YEAR(B8900)</f>
        <v>1989</v>
      </c>
      <c r="B8900" s="821">
        <v>32699</v>
      </c>
      <c r="C8900">
        <v>8.02</v>
      </c>
      <c r="D8900">
        <f t="shared" ref="D8900:D8963" si="281">IF(C8900&gt;4,1,0)</f>
        <v>1</v>
      </c>
    </row>
    <row r="8901" spans="1:4" x14ac:dyDescent="0.55000000000000004">
      <c r="A8901">
        <f t="shared" si="280"/>
        <v>1989</v>
      </c>
      <c r="B8901" s="821">
        <v>32696</v>
      </c>
      <c r="C8901">
        <v>8.0399999999999991</v>
      </c>
      <c r="D8901">
        <f t="shared" si="281"/>
        <v>1</v>
      </c>
    </row>
    <row r="8902" spans="1:4" x14ac:dyDescent="0.55000000000000004">
      <c r="A8902">
        <f t="shared" si="280"/>
        <v>1989</v>
      </c>
      <c r="B8902" s="821">
        <v>32695</v>
      </c>
      <c r="C8902">
        <v>8.1</v>
      </c>
      <c r="D8902">
        <f t="shared" si="281"/>
        <v>1</v>
      </c>
    </row>
    <row r="8903" spans="1:4" x14ac:dyDescent="0.55000000000000004">
      <c r="A8903">
        <f t="shared" si="280"/>
        <v>1989</v>
      </c>
      <c r="B8903" s="821">
        <v>32694</v>
      </c>
      <c r="C8903">
        <v>8.14</v>
      </c>
      <c r="D8903">
        <f t="shared" si="281"/>
        <v>1</v>
      </c>
    </row>
    <row r="8904" spans="1:4" x14ac:dyDescent="0.55000000000000004">
      <c r="A8904">
        <f t="shared" si="280"/>
        <v>1989</v>
      </c>
      <c r="B8904" s="821">
        <v>32692</v>
      </c>
      <c r="C8904">
        <v>8.07</v>
      </c>
      <c r="D8904">
        <f t="shared" si="281"/>
        <v>1</v>
      </c>
    </row>
    <row r="8905" spans="1:4" x14ac:dyDescent="0.55000000000000004">
      <c r="A8905">
        <f t="shared" si="280"/>
        <v>1989</v>
      </c>
      <c r="B8905" s="821">
        <v>32689</v>
      </c>
      <c r="C8905">
        <v>8.0500000000000007</v>
      </c>
      <c r="D8905">
        <f t="shared" si="281"/>
        <v>1</v>
      </c>
    </row>
    <row r="8906" spans="1:4" x14ac:dyDescent="0.55000000000000004">
      <c r="A8906">
        <f t="shared" si="280"/>
        <v>1989</v>
      </c>
      <c r="B8906" s="821">
        <v>32688</v>
      </c>
      <c r="C8906">
        <v>8.09</v>
      </c>
      <c r="D8906">
        <f t="shared" si="281"/>
        <v>1</v>
      </c>
    </row>
    <row r="8907" spans="1:4" x14ac:dyDescent="0.55000000000000004">
      <c r="A8907">
        <f t="shared" si="280"/>
        <v>1989</v>
      </c>
      <c r="B8907" s="821">
        <v>32687</v>
      </c>
      <c r="C8907">
        <v>8.1300000000000008</v>
      </c>
      <c r="D8907">
        <f t="shared" si="281"/>
        <v>1</v>
      </c>
    </row>
    <row r="8908" spans="1:4" x14ac:dyDescent="0.55000000000000004">
      <c r="A8908">
        <f t="shared" si="280"/>
        <v>1989</v>
      </c>
      <c r="B8908" s="821">
        <v>32686</v>
      </c>
      <c r="C8908">
        <v>8.08</v>
      </c>
      <c r="D8908">
        <f t="shared" si="281"/>
        <v>1</v>
      </c>
    </row>
    <row r="8909" spans="1:4" x14ac:dyDescent="0.55000000000000004">
      <c r="A8909">
        <f t="shared" si="280"/>
        <v>1989</v>
      </c>
      <c r="B8909" s="821">
        <v>32685</v>
      </c>
      <c r="C8909">
        <v>8.16</v>
      </c>
      <c r="D8909">
        <f t="shared" si="281"/>
        <v>1</v>
      </c>
    </row>
    <row r="8910" spans="1:4" x14ac:dyDescent="0.55000000000000004">
      <c r="A8910">
        <f t="shared" si="280"/>
        <v>1989</v>
      </c>
      <c r="B8910" s="821">
        <v>32682</v>
      </c>
      <c r="C8910">
        <v>8.1999999999999993</v>
      </c>
      <c r="D8910">
        <f t="shared" si="281"/>
        <v>1</v>
      </c>
    </row>
    <row r="8911" spans="1:4" x14ac:dyDescent="0.55000000000000004">
      <c r="A8911">
        <f t="shared" si="280"/>
        <v>1989</v>
      </c>
      <c r="B8911" s="821">
        <v>32681</v>
      </c>
      <c r="C8911">
        <v>8.34</v>
      </c>
      <c r="D8911">
        <f t="shared" si="281"/>
        <v>1</v>
      </c>
    </row>
    <row r="8912" spans="1:4" x14ac:dyDescent="0.55000000000000004">
      <c r="A8912">
        <f t="shared" si="280"/>
        <v>1989</v>
      </c>
      <c r="B8912" s="821">
        <v>32680</v>
      </c>
      <c r="C8912">
        <v>8.33</v>
      </c>
      <c r="D8912">
        <f t="shared" si="281"/>
        <v>1</v>
      </c>
    </row>
    <row r="8913" spans="1:4" x14ac:dyDescent="0.55000000000000004">
      <c r="A8913">
        <f t="shared" si="280"/>
        <v>1989</v>
      </c>
      <c r="B8913" s="821">
        <v>32679</v>
      </c>
      <c r="C8913">
        <v>8.2799999999999994</v>
      </c>
      <c r="D8913">
        <f t="shared" si="281"/>
        <v>1</v>
      </c>
    </row>
    <row r="8914" spans="1:4" x14ac:dyDescent="0.55000000000000004">
      <c r="A8914">
        <f t="shared" si="280"/>
        <v>1989</v>
      </c>
      <c r="B8914" s="821">
        <v>32678</v>
      </c>
      <c r="C8914">
        <v>8.34</v>
      </c>
      <c r="D8914">
        <f t="shared" si="281"/>
        <v>1</v>
      </c>
    </row>
    <row r="8915" spans="1:4" x14ac:dyDescent="0.55000000000000004">
      <c r="A8915">
        <f t="shared" si="280"/>
        <v>1989</v>
      </c>
      <c r="B8915" s="821">
        <v>32675</v>
      </c>
      <c r="C8915">
        <v>8.31</v>
      </c>
      <c r="D8915">
        <f t="shared" si="281"/>
        <v>1</v>
      </c>
    </row>
    <row r="8916" spans="1:4" x14ac:dyDescent="0.55000000000000004">
      <c r="A8916">
        <f t="shared" si="280"/>
        <v>1989</v>
      </c>
      <c r="B8916" s="821">
        <v>32674</v>
      </c>
      <c r="C8916">
        <v>8.3000000000000007</v>
      </c>
      <c r="D8916">
        <f t="shared" si="281"/>
        <v>1</v>
      </c>
    </row>
    <row r="8917" spans="1:4" x14ac:dyDescent="0.55000000000000004">
      <c r="A8917">
        <f t="shared" si="280"/>
        <v>1989</v>
      </c>
      <c r="B8917" s="821">
        <v>32673</v>
      </c>
      <c r="C8917">
        <v>8.17</v>
      </c>
      <c r="D8917">
        <f t="shared" si="281"/>
        <v>1</v>
      </c>
    </row>
    <row r="8918" spans="1:4" x14ac:dyDescent="0.55000000000000004">
      <c r="A8918">
        <f t="shared" si="280"/>
        <v>1989</v>
      </c>
      <c r="B8918" s="821">
        <v>32672</v>
      </c>
      <c r="C8918">
        <v>8.2100000000000009</v>
      </c>
      <c r="D8918">
        <f t="shared" si="281"/>
        <v>1</v>
      </c>
    </row>
    <row r="8919" spans="1:4" x14ac:dyDescent="0.55000000000000004">
      <c r="A8919">
        <f t="shared" si="280"/>
        <v>1989</v>
      </c>
      <c r="B8919" s="821">
        <v>32671</v>
      </c>
      <c r="C8919">
        <v>8.1300000000000008</v>
      </c>
      <c r="D8919">
        <f t="shared" si="281"/>
        <v>1</v>
      </c>
    </row>
    <row r="8920" spans="1:4" x14ac:dyDescent="0.55000000000000004">
      <c r="A8920">
        <f t="shared" si="280"/>
        <v>1989</v>
      </c>
      <c r="B8920" s="821">
        <v>32668</v>
      </c>
      <c r="C8920">
        <v>8.15</v>
      </c>
      <c r="D8920">
        <f t="shared" si="281"/>
        <v>1</v>
      </c>
    </row>
    <row r="8921" spans="1:4" x14ac:dyDescent="0.55000000000000004">
      <c r="A8921">
        <f t="shared" si="280"/>
        <v>1989</v>
      </c>
      <c r="B8921" s="821">
        <v>32667</v>
      </c>
      <c r="C8921">
        <v>8.31</v>
      </c>
      <c r="D8921">
        <f t="shared" si="281"/>
        <v>1</v>
      </c>
    </row>
    <row r="8922" spans="1:4" x14ac:dyDescent="0.55000000000000004">
      <c r="A8922">
        <f t="shared" si="280"/>
        <v>1989</v>
      </c>
      <c r="B8922" s="821">
        <v>32666</v>
      </c>
      <c r="C8922">
        <v>8.34</v>
      </c>
      <c r="D8922">
        <f t="shared" si="281"/>
        <v>1</v>
      </c>
    </row>
    <row r="8923" spans="1:4" x14ac:dyDescent="0.55000000000000004">
      <c r="A8923">
        <f t="shared" si="280"/>
        <v>1989</v>
      </c>
      <c r="B8923" s="821">
        <v>32665</v>
      </c>
      <c r="C8923">
        <v>8.41</v>
      </c>
      <c r="D8923">
        <f t="shared" si="281"/>
        <v>1</v>
      </c>
    </row>
    <row r="8924" spans="1:4" x14ac:dyDescent="0.55000000000000004">
      <c r="A8924">
        <f t="shared" si="280"/>
        <v>1989</v>
      </c>
      <c r="B8924" s="821">
        <v>32664</v>
      </c>
      <c r="C8924">
        <v>8.44</v>
      </c>
      <c r="D8924">
        <f t="shared" si="281"/>
        <v>1</v>
      </c>
    </row>
    <row r="8925" spans="1:4" x14ac:dyDescent="0.55000000000000004">
      <c r="A8925">
        <f t="shared" si="280"/>
        <v>1989</v>
      </c>
      <c r="B8925" s="821">
        <v>32661</v>
      </c>
      <c r="C8925">
        <v>8.48</v>
      </c>
      <c r="D8925">
        <f t="shared" si="281"/>
        <v>1</v>
      </c>
    </row>
    <row r="8926" spans="1:4" x14ac:dyDescent="0.55000000000000004">
      <c r="A8926">
        <f t="shared" si="280"/>
        <v>1989</v>
      </c>
      <c r="B8926" s="821">
        <v>32660</v>
      </c>
      <c r="C8926">
        <v>8.61</v>
      </c>
      <c r="D8926">
        <f t="shared" si="281"/>
        <v>1</v>
      </c>
    </row>
    <row r="8927" spans="1:4" x14ac:dyDescent="0.55000000000000004">
      <c r="A8927">
        <f t="shared" si="280"/>
        <v>1989</v>
      </c>
      <c r="B8927" s="821">
        <v>32659</v>
      </c>
      <c r="C8927">
        <v>8.6</v>
      </c>
      <c r="D8927">
        <f t="shared" si="281"/>
        <v>1</v>
      </c>
    </row>
    <row r="8928" spans="1:4" x14ac:dyDescent="0.55000000000000004">
      <c r="A8928">
        <f t="shared" si="280"/>
        <v>1989</v>
      </c>
      <c r="B8928" s="821">
        <v>32658</v>
      </c>
      <c r="C8928">
        <v>8.6300000000000008</v>
      </c>
      <c r="D8928">
        <f t="shared" si="281"/>
        <v>1</v>
      </c>
    </row>
    <row r="8929" spans="1:4" x14ac:dyDescent="0.55000000000000004">
      <c r="A8929">
        <f t="shared" si="280"/>
        <v>1989</v>
      </c>
      <c r="B8929" s="821">
        <v>32654</v>
      </c>
      <c r="C8929">
        <v>8.6300000000000008</v>
      </c>
      <c r="D8929">
        <f t="shared" si="281"/>
        <v>1</v>
      </c>
    </row>
    <row r="8930" spans="1:4" x14ac:dyDescent="0.55000000000000004">
      <c r="A8930">
        <f t="shared" si="280"/>
        <v>1989</v>
      </c>
      <c r="B8930" s="821">
        <v>32653</v>
      </c>
      <c r="C8930">
        <v>8.66</v>
      </c>
      <c r="D8930">
        <f t="shared" si="281"/>
        <v>1</v>
      </c>
    </row>
    <row r="8931" spans="1:4" x14ac:dyDescent="0.55000000000000004">
      <c r="A8931">
        <f t="shared" si="280"/>
        <v>1989</v>
      </c>
      <c r="B8931" s="821">
        <v>32652</v>
      </c>
      <c r="C8931">
        <v>8.6300000000000008</v>
      </c>
      <c r="D8931">
        <f t="shared" si="281"/>
        <v>1</v>
      </c>
    </row>
    <row r="8932" spans="1:4" x14ac:dyDescent="0.55000000000000004">
      <c r="A8932">
        <f t="shared" si="280"/>
        <v>1989</v>
      </c>
      <c r="B8932" s="821">
        <v>32651</v>
      </c>
      <c r="C8932">
        <v>8.6199999999999992</v>
      </c>
      <c r="D8932">
        <f t="shared" si="281"/>
        <v>1</v>
      </c>
    </row>
    <row r="8933" spans="1:4" x14ac:dyDescent="0.55000000000000004">
      <c r="A8933">
        <f t="shared" si="280"/>
        <v>1989</v>
      </c>
      <c r="B8933" s="821">
        <v>32650</v>
      </c>
      <c r="C8933">
        <v>8.6</v>
      </c>
      <c r="D8933">
        <f t="shared" si="281"/>
        <v>1</v>
      </c>
    </row>
    <row r="8934" spans="1:4" x14ac:dyDescent="0.55000000000000004">
      <c r="A8934">
        <f t="shared" si="280"/>
        <v>1989</v>
      </c>
      <c r="B8934" s="821">
        <v>32647</v>
      </c>
      <c r="C8934">
        <v>8.7200000000000006</v>
      </c>
      <c r="D8934">
        <f t="shared" si="281"/>
        <v>1</v>
      </c>
    </row>
    <row r="8935" spans="1:4" x14ac:dyDescent="0.55000000000000004">
      <c r="A8935">
        <f t="shared" si="280"/>
        <v>1989</v>
      </c>
      <c r="B8935" s="821">
        <v>32646</v>
      </c>
      <c r="C8935">
        <v>8.7799999999999994</v>
      </c>
      <c r="D8935">
        <f t="shared" si="281"/>
        <v>1</v>
      </c>
    </row>
    <row r="8936" spans="1:4" x14ac:dyDescent="0.55000000000000004">
      <c r="A8936">
        <f t="shared" si="280"/>
        <v>1989</v>
      </c>
      <c r="B8936" s="821">
        <v>32645</v>
      </c>
      <c r="C8936">
        <v>8.81</v>
      </c>
      <c r="D8936">
        <f t="shared" si="281"/>
        <v>1</v>
      </c>
    </row>
    <row r="8937" spans="1:4" x14ac:dyDescent="0.55000000000000004">
      <c r="A8937">
        <f t="shared" si="280"/>
        <v>1989</v>
      </c>
      <c r="B8937" s="821">
        <v>32644</v>
      </c>
      <c r="C8937">
        <v>8.84</v>
      </c>
      <c r="D8937">
        <f t="shared" si="281"/>
        <v>1</v>
      </c>
    </row>
    <row r="8938" spans="1:4" x14ac:dyDescent="0.55000000000000004">
      <c r="A8938">
        <f t="shared" si="280"/>
        <v>1989</v>
      </c>
      <c r="B8938" s="821">
        <v>32643</v>
      </c>
      <c r="C8938">
        <v>8.85</v>
      </c>
      <c r="D8938">
        <f t="shared" si="281"/>
        <v>1</v>
      </c>
    </row>
    <row r="8939" spans="1:4" x14ac:dyDescent="0.55000000000000004">
      <c r="A8939">
        <f t="shared" si="280"/>
        <v>1989</v>
      </c>
      <c r="B8939" s="821">
        <v>32640</v>
      </c>
      <c r="C8939">
        <v>8.84</v>
      </c>
      <c r="D8939">
        <f t="shared" si="281"/>
        <v>1</v>
      </c>
    </row>
    <row r="8940" spans="1:4" x14ac:dyDescent="0.55000000000000004">
      <c r="A8940">
        <f t="shared" si="280"/>
        <v>1989</v>
      </c>
      <c r="B8940" s="821">
        <v>32639</v>
      </c>
      <c r="C8940">
        <v>9.07</v>
      </c>
      <c r="D8940">
        <f t="shared" si="281"/>
        <v>1</v>
      </c>
    </row>
    <row r="8941" spans="1:4" x14ac:dyDescent="0.55000000000000004">
      <c r="A8941">
        <f t="shared" si="280"/>
        <v>1989</v>
      </c>
      <c r="B8941" s="821">
        <v>32638</v>
      </c>
      <c r="C8941">
        <v>9.1199999999999992</v>
      </c>
      <c r="D8941">
        <f t="shared" si="281"/>
        <v>1</v>
      </c>
    </row>
    <row r="8942" spans="1:4" x14ac:dyDescent="0.55000000000000004">
      <c r="A8942">
        <f t="shared" si="280"/>
        <v>1989</v>
      </c>
      <c r="B8942" s="821">
        <v>32637</v>
      </c>
      <c r="C8942">
        <v>9.08</v>
      </c>
      <c r="D8942">
        <f t="shared" si="281"/>
        <v>1</v>
      </c>
    </row>
    <row r="8943" spans="1:4" x14ac:dyDescent="0.55000000000000004">
      <c r="A8943">
        <f t="shared" si="280"/>
        <v>1989</v>
      </c>
      <c r="B8943" s="821">
        <v>32636</v>
      </c>
      <c r="C8943">
        <v>8.99</v>
      </c>
      <c r="D8943">
        <f t="shared" si="281"/>
        <v>1</v>
      </c>
    </row>
    <row r="8944" spans="1:4" x14ac:dyDescent="0.55000000000000004">
      <c r="A8944">
        <f t="shared" si="280"/>
        <v>1989</v>
      </c>
      <c r="B8944" s="821">
        <v>32633</v>
      </c>
      <c r="C8944">
        <v>8.9499999999999993</v>
      </c>
      <c r="D8944">
        <f t="shared" si="281"/>
        <v>1</v>
      </c>
    </row>
    <row r="8945" spans="1:4" x14ac:dyDescent="0.55000000000000004">
      <c r="A8945">
        <f t="shared" si="280"/>
        <v>1989</v>
      </c>
      <c r="B8945" s="821">
        <v>32632</v>
      </c>
      <c r="C8945">
        <v>8.99</v>
      </c>
      <c r="D8945">
        <f t="shared" si="281"/>
        <v>1</v>
      </c>
    </row>
    <row r="8946" spans="1:4" x14ac:dyDescent="0.55000000000000004">
      <c r="A8946">
        <f t="shared" si="280"/>
        <v>1989</v>
      </c>
      <c r="B8946" s="821">
        <v>32631</v>
      </c>
      <c r="C8946">
        <v>8.9499999999999993</v>
      </c>
      <c r="D8946">
        <f t="shared" si="281"/>
        <v>1</v>
      </c>
    </row>
    <row r="8947" spans="1:4" x14ac:dyDescent="0.55000000000000004">
      <c r="A8947">
        <f t="shared" si="280"/>
        <v>1989</v>
      </c>
      <c r="B8947" s="821">
        <v>32630</v>
      </c>
      <c r="C8947">
        <v>8.9499999999999993</v>
      </c>
      <c r="D8947">
        <f t="shared" si="281"/>
        <v>1</v>
      </c>
    </row>
    <row r="8948" spans="1:4" x14ac:dyDescent="0.55000000000000004">
      <c r="A8948">
        <f t="shared" si="280"/>
        <v>1989</v>
      </c>
      <c r="B8948" s="821">
        <v>32629</v>
      </c>
      <c r="C8948">
        <v>9</v>
      </c>
      <c r="D8948">
        <f t="shared" si="281"/>
        <v>1</v>
      </c>
    </row>
    <row r="8949" spans="1:4" x14ac:dyDescent="0.55000000000000004">
      <c r="A8949">
        <f t="shared" si="280"/>
        <v>1989</v>
      </c>
      <c r="B8949" s="821">
        <v>32626</v>
      </c>
      <c r="C8949">
        <v>8.91</v>
      </c>
      <c r="D8949">
        <f t="shared" si="281"/>
        <v>1</v>
      </c>
    </row>
    <row r="8950" spans="1:4" x14ac:dyDescent="0.55000000000000004">
      <c r="A8950">
        <f t="shared" si="280"/>
        <v>1989</v>
      </c>
      <c r="B8950" s="821">
        <v>32625</v>
      </c>
      <c r="C8950">
        <v>8.92</v>
      </c>
      <c r="D8950">
        <f t="shared" si="281"/>
        <v>1</v>
      </c>
    </row>
    <row r="8951" spans="1:4" x14ac:dyDescent="0.55000000000000004">
      <c r="A8951">
        <f t="shared" si="280"/>
        <v>1989</v>
      </c>
      <c r="B8951" s="821">
        <v>32624</v>
      </c>
      <c r="C8951">
        <v>8.9600000000000009</v>
      </c>
      <c r="D8951">
        <f t="shared" si="281"/>
        <v>1</v>
      </c>
    </row>
    <row r="8952" spans="1:4" x14ac:dyDescent="0.55000000000000004">
      <c r="A8952">
        <f t="shared" si="280"/>
        <v>1989</v>
      </c>
      <c r="B8952" s="821">
        <v>32623</v>
      </c>
      <c r="C8952">
        <v>8.9700000000000006</v>
      </c>
      <c r="D8952">
        <f t="shared" si="281"/>
        <v>1</v>
      </c>
    </row>
    <row r="8953" spans="1:4" x14ac:dyDescent="0.55000000000000004">
      <c r="A8953">
        <f t="shared" si="280"/>
        <v>1989</v>
      </c>
      <c r="B8953" s="821">
        <v>32622</v>
      </c>
      <c r="C8953">
        <v>8.99</v>
      </c>
      <c r="D8953">
        <f t="shared" si="281"/>
        <v>1</v>
      </c>
    </row>
    <row r="8954" spans="1:4" x14ac:dyDescent="0.55000000000000004">
      <c r="A8954">
        <f t="shared" si="280"/>
        <v>1989</v>
      </c>
      <c r="B8954" s="821">
        <v>32619</v>
      </c>
      <c r="C8954">
        <v>8.99</v>
      </c>
      <c r="D8954">
        <f t="shared" si="281"/>
        <v>1</v>
      </c>
    </row>
    <row r="8955" spans="1:4" x14ac:dyDescent="0.55000000000000004">
      <c r="A8955">
        <f t="shared" si="280"/>
        <v>1989</v>
      </c>
      <c r="B8955" s="821">
        <v>32618</v>
      </c>
      <c r="C8955">
        <v>9.0299999999999994</v>
      </c>
      <c r="D8955">
        <f t="shared" si="281"/>
        <v>1</v>
      </c>
    </row>
    <row r="8956" spans="1:4" x14ac:dyDescent="0.55000000000000004">
      <c r="A8956">
        <f t="shared" si="280"/>
        <v>1989</v>
      </c>
      <c r="B8956" s="821">
        <v>32617</v>
      </c>
      <c r="C8956">
        <v>8.9600000000000009</v>
      </c>
      <c r="D8956">
        <f t="shared" si="281"/>
        <v>1</v>
      </c>
    </row>
    <row r="8957" spans="1:4" x14ac:dyDescent="0.55000000000000004">
      <c r="A8957">
        <f t="shared" si="280"/>
        <v>1989</v>
      </c>
      <c r="B8957" s="821">
        <v>32616</v>
      </c>
      <c r="C8957">
        <v>8.94</v>
      </c>
      <c r="D8957">
        <f t="shared" si="281"/>
        <v>1</v>
      </c>
    </row>
    <row r="8958" spans="1:4" x14ac:dyDescent="0.55000000000000004">
      <c r="A8958">
        <f t="shared" si="280"/>
        <v>1989</v>
      </c>
      <c r="B8958" s="821">
        <v>32615</v>
      </c>
      <c r="C8958">
        <v>9.06</v>
      </c>
      <c r="D8958">
        <f t="shared" si="281"/>
        <v>1</v>
      </c>
    </row>
    <row r="8959" spans="1:4" x14ac:dyDescent="0.55000000000000004">
      <c r="A8959">
        <f t="shared" si="280"/>
        <v>1989</v>
      </c>
      <c r="B8959" s="821">
        <v>32612</v>
      </c>
      <c r="C8959">
        <v>9.0399999999999991</v>
      </c>
      <c r="D8959">
        <f t="shared" si="281"/>
        <v>1</v>
      </c>
    </row>
    <row r="8960" spans="1:4" x14ac:dyDescent="0.55000000000000004">
      <c r="A8960">
        <f t="shared" si="280"/>
        <v>1989</v>
      </c>
      <c r="B8960" s="821">
        <v>32611</v>
      </c>
      <c r="C8960">
        <v>9.15</v>
      </c>
      <c r="D8960">
        <f t="shared" si="281"/>
        <v>1</v>
      </c>
    </row>
    <row r="8961" spans="1:4" x14ac:dyDescent="0.55000000000000004">
      <c r="A8961">
        <f t="shared" si="280"/>
        <v>1989</v>
      </c>
      <c r="B8961" s="821">
        <v>32610</v>
      </c>
      <c r="C8961">
        <v>9.11</v>
      </c>
      <c r="D8961">
        <f t="shared" si="281"/>
        <v>1</v>
      </c>
    </row>
    <row r="8962" spans="1:4" x14ac:dyDescent="0.55000000000000004">
      <c r="A8962">
        <f t="shared" si="280"/>
        <v>1989</v>
      </c>
      <c r="B8962" s="821">
        <v>32609</v>
      </c>
      <c r="C8962">
        <v>9.1</v>
      </c>
      <c r="D8962">
        <f t="shared" si="281"/>
        <v>1</v>
      </c>
    </row>
    <row r="8963" spans="1:4" x14ac:dyDescent="0.55000000000000004">
      <c r="A8963">
        <f t="shared" si="280"/>
        <v>1989</v>
      </c>
      <c r="B8963" s="821">
        <v>32608</v>
      </c>
      <c r="C8963">
        <v>9.1</v>
      </c>
      <c r="D8963">
        <f t="shared" si="281"/>
        <v>1</v>
      </c>
    </row>
    <row r="8964" spans="1:4" x14ac:dyDescent="0.55000000000000004">
      <c r="A8964">
        <f t="shared" ref="A8964:A9027" si="282">YEAR(B8964)</f>
        <v>1989</v>
      </c>
      <c r="B8964" s="821">
        <v>32605</v>
      </c>
      <c r="C8964">
        <v>9.11</v>
      </c>
      <c r="D8964">
        <f t="shared" ref="D8964:D9027" si="283">IF(C8964&gt;4,1,0)</f>
        <v>1</v>
      </c>
    </row>
    <row r="8965" spans="1:4" x14ac:dyDescent="0.55000000000000004">
      <c r="A8965">
        <f t="shared" si="282"/>
        <v>1989</v>
      </c>
      <c r="B8965" s="821">
        <v>32604</v>
      </c>
      <c r="C8965">
        <v>9.0399999999999991</v>
      </c>
      <c r="D8965">
        <f t="shared" si="283"/>
        <v>1</v>
      </c>
    </row>
    <row r="8966" spans="1:4" x14ac:dyDescent="0.55000000000000004">
      <c r="A8966">
        <f t="shared" si="282"/>
        <v>1989</v>
      </c>
      <c r="B8966" s="821">
        <v>32603</v>
      </c>
      <c r="C8966">
        <v>9.02</v>
      </c>
      <c r="D8966">
        <f t="shared" si="283"/>
        <v>1</v>
      </c>
    </row>
    <row r="8967" spans="1:4" x14ac:dyDescent="0.55000000000000004">
      <c r="A8967">
        <f t="shared" si="282"/>
        <v>1989</v>
      </c>
      <c r="B8967" s="821">
        <v>32602</v>
      </c>
      <c r="C8967">
        <v>9.0299999999999994</v>
      </c>
      <c r="D8967">
        <f t="shared" si="283"/>
        <v>1</v>
      </c>
    </row>
    <row r="8968" spans="1:4" x14ac:dyDescent="0.55000000000000004">
      <c r="A8968">
        <f t="shared" si="282"/>
        <v>1989</v>
      </c>
      <c r="B8968" s="821">
        <v>32601</v>
      </c>
      <c r="C8968">
        <v>9.07</v>
      </c>
      <c r="D8968">
        <f t="shared" si="283"/>
        <v>1</v>
      </c>
    </row>
    <row r="8969" spans="1:4" x14ac:dyDescent="0.55000000000000004">
      <c r="A8969">
        <f t="shared" si="282"/>
        <v>1989</v>
      </c>
      <c r="B8969" s="821">
        <v>32598</v>
      </c>
      <c r="C8969">
        <v>9.11</v>
      </c>
      <c r="D8969">
        <f t="shared" si="283"/>
        <v>1</v>
      </c>
    </row>
    <row r="8970" spans="1:4" x14ac:dyDescent="0.55000000000000004">
      <c r="A8970">
        <f t="shared" si="282"/>
        <v>1989</v>
      </c>
      <c r="B8970" s="821">
        <v>32597</v>
      </c>
      <c r="C8970">
        <v>9.14</v>
      </c>
      <c r="D8970">
        <f t="shared" si="283"/>
        <v>1</v>
      </c>
    </row>
    <row r="8971" spans="1:4" x14ac:dyDescent="0.55000000000000004">
      <c r="A8971">
        <f t="shared" si="282"/>
        <v>1989</v>
      </c>
      <c r="B8971" s="821">
        <v>32596</v>
      </c>
      <c r="C8971">
        <v>9.15</v>
      </c>
      <c r="D8971">
        <f t="shared" si="283"/>
        <v>1</v>
      </c>
    </row>
    <row r="8972" spans="1:4" x14ac:dyDescent="0.55000000000000004">
      <c r="A8972">
        <f t="shared" si="282"/>
        <v>1989</v>
      </c>
      <c r="B8972" s="821">
        <v>32595</v>
      </c>
      <c r="C8972">
        <v>9.1999999999999993</v>
      </c>
      <c r="D8972">
        <f t="shared" si="283"/>
        <v>1</v>
      </c>
    </row>
    <row r="8973" spans="1:4" x14ac:dyDescent="0.55000000000000004">
      <c r="A8973">
        <f t="shared" si="282"/>
        <v>1989</v>
      </c>
      <c r="B8973" s="821">
        <v>32594</v>
      </c>
      <c r="C8973">
        <v>9.23</v>
      </c>
      <c r="D8973">
        <f t="shared" si="283"/>
        <v>1</v>
      </c>
    </row>
    <row r="8974" spans="1:4" x14ac:dyDescent="0.55000000000000004">
      <c r="A8974">
        <f t="shared" si="282"/>
        <v>1989</v>
      </c>
      <c r="B8974" s="821">
        <v>32590</v>
      </c>
      <c r="C8974">
        <v>9.23</v>
      </c>
      <c r="D8974">
        <f t="shared" si="283"/>
        <v>1</v>
      </c>
    </row>
    <row r="8975" spans="1:4" x14ac:dyDescent="0.55000000000000004">
      <c r="A8975">
        <f t="shared" si="282"/>
        <v>1989</v>
      </c>
      <c r="B8975" s="821">
        <v>32589</v>
      </c>
      <c r="C8975">
        <v>9.25</v>
      </c>
      <c r="D8975">
        <f t="shared" si="283"/>
        <v>1</v>
      </c>
    </row>
    <row r="8976" spans="1:4" x14ac:dyDescent="0.55000000000000004">
      <c r="A8976">
        <f t="shared" si="282"/>
        <v>1989</v>
      </c>
      <c r="B8976" s="821">
        <v>32588</v>
      </c>
      <c r="C8976">
        <v>9.3000000000000007</v>
      </c>
      <c r="D8976">
        <f t="shared" si="283"/>
        <v>1</v>
      </c>
    </row>
    <row r="8977" spans="1:4" x14ac:dyDescent="0.55000000000000004">
      <c r="A8977">
        <f t="shared" si="282"/>
        <v>1989</v>
      </c>
      <c r="B8977" s="821">
        <v>32587</v>
      </c>
      <c r="C8977">
        <v>9.31</v>
      </c>
      <c r="D8977">
        <f t="shared" si="283"/>
        <v>1</v>
      </c>
    </row>
    <row r="8978" spans="1:4" x14ac:dyDescent="0.55000000000000004">
      <c r="A8978">
        <f t="shared" si="282"/>
        <v>1989</v>
      </c>
      <c r="B8978" s="821">
        <v>32584</v>
      </c>
      <c r="C8978">
        <v>9.3000000000000007</v>
      </c>
      <c r="D8978">
        <f t="shared" si="283"/>
        <v>1</v>
      </c>
    </row>
    <row r="8979" spans="1:4" x14ac:dyDescent="0.55000000000000004">
      <c r="A8979">
        <f t="shared" si="282"/>
        <v>1989</v>
      </c>
      <c r="B8979" s="821">
        <v>32583</v>
      </c>
      <c r="C8979">
        <v>9.1199999999999992</v>
      </c>
      <c r="D8979">
        <f t="shared" si="283"/>
        <v>1</v>
      </c>
    </row>
    <row r="8980" spans="1:4" x14ac:dyDescent="0.55000000000000004">
      <c r="A8980">
        <f t="shared" si="282"/>
        <v>1989</v>
      </c>
      <c r="B8980" s="821">
        <v>32582</v>
      </c>
      <c r="C8980">
        <v>9.1300000000000008</v>
      </c>
      <c r="D8980">
        <f t="shared" si="283"/>
        <v>1</v>
      </c>
    </row>
    <row r="8981" spans="1:4" x14ac:dyDescent="0.55000000000000004">
      <c r="A8981">
        <f t="shared" si="282"/>
        <v>1989</v>
      </c>
      <c r="B8981" s="821">
        <v>32581</v>
      </c>
      <c r="C8981">
        <v>9.1300000000000008</v>
      </c>
      <c r="D8981">
        <f t="shared" si="283"/>
        <v>1</v>
      </c>
    </row>
    <row r="8982" spans="1:4" x14ac:dyDescent="0.55000000000000004">
      <c r="A8982">
        <f t="shared" si="282"/>
        <v>1989</v>
      </c>
      <c r="B8982" s="821">
        <v>32580</v>
      </c>
      <c r="C8982">
        <v>9.15</v>
      </c>
      <c r="D8982">
        <f t="shared" si="283"/>
        <v>1</v>
      </c>
    </row>
    <row r="8983" spans="1:4" x14ac:dyDescent="0.55000000000000004">
      <c r="A8983">
        <f t="shared" si="282"/>
        <v>1989</v>
      </c>
      <c r="B8983" s="821">
        <v>32577</v>
      </c>
      <c r="C8983">
        <v>9.15</v>
      </c>
      <c r="D8983">
        <f t="shared" si="283"/>
        <v>1</v>
      </c>
    </row>
    <row r="8984" spans="1:4" x14ac:dyDescent="0.55000000000000004">
      <c r="A8984">
        <f t="shared" si="282"/>
        <v>1989</v>
      </c>
      <c r="B8984" s="821">
        <v>32576</v>
      </c>
      <c r="C8984">
        <v>9.07</v>
      </c>
      <c r="D8984">
        <f t="shared" si="283"/>
        <v>1</v>
      </c>
    </row>
    <row r="8985" spans="1:4" x14ac:dyDescent="0.55000000000000004">
      <c r="A8985">
        <f t="shared" si="282"/>
        <v>1989</v>
      </c>
      <c r="B8985" s="821">
        <v>32575</v>
      </c>
      <c r="C8985">
        <v>9.0500000000000007</v>
      </c>
      <c r="D8985">
        <f t="shared" si="283"/>
        <v>1</v>
      </c>
    </row>
    <row r="8986" spans="1:4" x14ac:dyDescent="0.55000000000000004">
      <c r="A8986">
        <f t="shared" si="282"/>
        <v>1989</v>
      </c>
      <c r="B8986" s="821">
        <v>32574</v>
      </c>
      <c r="C8986">
        <v>9.09</v>
      </c>
      <c r="D8986">
        <f t="shared" si="283"/>
        <v>1</v>
      </c>
    </row>
    <row r="8987" spans="1:4" x14ac:dyDescent="0.55000000000000004">
      <c r="A8987">
        <f t="shared" si="282"/>
        <v>1989</v>
      </c>
      <c r="B8987" s="821">
        <v>32573</v>
      </c>
      <c r="C8987">
        <v>9.09</v>
      </c>
      <c r="D8987">
        <f t="shared" si="283"/>
        <v>1</v>
      </c>
    </row>
    <row r="8988" spans="1:4" x14ac:dyDescent="0.55000000000000004">
      <c r="A8988">
        <f t="shared" si="282"/>
        <v>1989</v>
      </c>
      <c r="B8988" s="821">
        <v>32570</v>
      </c>
      <c r="C8988">
        <v>9.1300000000000008</v>
      </c>
      <c r="D8988">
        <f t="shared" si="283"/>
        <v>1</v>
      </c>
    </row>
    <row r="8989" spans="1:4" x14ac:dyDescent="0.55000000000000004">
      <c r="A8989">
        <f t="shared" si="282"/>
        <v>1989</v>
      </c>
      <c r="B8989" s="821">
        <v>32569</v>
      </c>
      <c r="C8989">
        <v>9.1300000000000008</v>
      </c>
      <c r="D8989">
        <f t="shared" si="283"/>
        <v>1</v>
      </c>
    </row>
    <row r="8990" spans="1:4" x14ac:dyDescent="0.55000000000000004">
      <c r="A8990">
        <f t="shared" si="282"/>
        <v>1989</v>
      </c>
      <c r="B8990" s="821">
        <v>32568</v>
      </c>
      <c r="C8990">
        <v>9.18</v>
      </c>
      <c r="D8990">
        <f t="shared" si="283"/>
        <v>1</v>
      </c>
    </row>
    <row r="8991" spans="1:4" x14ac:dyDescent="0.55000000000000004">
      <c r="A8991">
        <f t="shared" si="282"/>
        <v>1989</v>
      </c>
      <c r="B8991" s="821">
        <v>32567</v>
      </c>
      <c r="C8991">
        <v>9.14</v>
      </c>
      <c r="D8991">
        <f t="shared" si="283"/>
        <v>1</v>
      </c>
    </row>
    <row r="8992" spans="1:4" x14ac:dyDescent="0.55000000000000004">
      <c r="A8992">
        <f t="shared" si="282"/>
        <v>1989</v>
      </c>
      <c r="B8992" s="821">
        <v>32566</v>
      </c>
      <c r="C8992">
        <v>9.17</v>
      </c>
      <c r="D8992">
        <f t="shared" si="283"/>
        <v>1</v>
      </c>
    </row>
    <row r="8993" spans="1:4" x14ac:dyDescent="0.55000000000000004">
      <c r="A8993">
        <f t="shared" si="282"/>
        <v>1989</v>
      </c>
      <c r="B8993" s="821">
        <v>32563</v>
      </c>
      <c r="C8993">
        <v>9.18</v>
      </c>
      <c r="D8993">
        <f t="shared" si="283"/>
        <v>1</v>
      </c>
    </row>
    <row r="8994" spans="1:4" x14ac:dyDescent="0.55000000000000004">
      <c r="A8994">
        <f t="shared" si="282"/>
        <v>1989</v>
      </c>
      <c r="B8994" s="821">
        <v>32562</v>
      </c>
      <c r="C8994">
        <v>9.17</v>
      </c>
      <c r="D8994">
        <f t="shared" si="283"/>
        <v>1</v>
      </c>
    </row>
    <row r="8995" spans="1:4" x14ac:dyDescent="0.55000000000000004">
      <c r="A8995">
        <f t="shared" si="282"/>
        <v>1989</v>
      </c>
      <c r="B8995" s="821">
        <v>32561</v>
      </c>
      <c r="C8995">
        <v>9.1199999999999992</v>
      </c>
      <c r="D8995">
        <f t="shared" si="283"/>
        <v>1</v>
      </c>
    </row>
    <row r="8996" spans="1:4" x14ac:dyDescent="0.55000000000000004">
      <c r="A8996">
        <f t="shared" si="282"/>
        <v>1989</v>
      </c>
      <c r="B8996" s="821">
        <v>32560</v>
      </c>
      <c r="C8996">
        <v>9.0500000000000007</v>
      </c>
      <c r="D8996">
        <f t="shared" si="283"/>
        <v>1</v>
      </c>
    </row>
    <row r="8997" spans="1:4" x14ac:dyDescent="0.55000000000000004">
      <c r="A8997">
        <f t="shared" si="282"/>
        <v>1989</v>
      </c>
      <c r="B8997" s="821">
        <v>32556</v>
      </c>
      <c r="C8997">
        <v>9.0500000000000007</v>
      </c>
      <c r="D8997">
        <f t="shared" si="283"/>
        <v>1</v>
      </c>
    </row>
    <row r="8998" spans="1:4" x14ac:dyDescent="0.55000000000000004">
      <c r="A8998">
        <f t="shared" si="282"/>
        <v>1989</v>
      </c>
      <c r="B8998" s="821">
        <v>32555</v>
      </c>
      <c r="C8998">
        <v>9.06</v>
      </c>
      <c r="D8998">
        <f t="shared" si="283"/>
        <v>1</v>
      </c>
    </row>
    <row r="8999" spans="1:4" x14ac:dyDescent="0.55000000000000004">
      <c r="A8999">
        <f t="shared" si="282"/>
        <v>1989</v>
      </c>
      <c r="B8999" s="821">
        <v>32554</v>
      </c>
      <c r="C8999">
        <v>9.09</v>
      </c>
      <c r="D8999">
        <f t="shared" si="283"/>
        <v>1</v>
      </c>
    </row>
    <row r="9000" spans="1:4" x14ac:dyDescent="0.55000000000000004">
      <c r="A9000">
        <f t="shared" si="282"/>
        <v>1989</v>
      </c>
      <c r="B9000" s="821">
        <v>32553</v>
      </c>
      <c r="C9000">
        <v>9.1</v>
      </c>
      <c r="D9000">
        <f t="shared" si="283"/>
        <v>1</v>
      </c>
    </row>
    <row r="9001" spans="1:4" x14ac:dyDescent="0.55000000000000004">
      <c r="A9001">
        <f t="shared" si="282"/>
        <v>1989</v>
      </c>
      <c r="B9001" s="821">
        <v>32552</v>
      </c>
      <c r="C9001">
        <v>9.06</v>
      </c>
      <c r="D9001">
        <f t="shared" si="283"/>
        <v>1</v>
      </c>
    </row>
    <row r="9002" spans="1:4" x14ac:dyDescent="0.55000000000000004">
      <c r="A9002">
        <f t="shared" si="282"/>
        <v>1989</v>
      </c>
      <c r="B9002" s="821">
        <v>32549</v>
      </c>
      <c r="C9002">
        <v>9.0500000000000007</v>
      </c>
      <c r="D9002">
        <f t="shared" si="283"/>
        <v>1</v>
      </c>
    </row>
    <row r="9003" spans="1:4" x14ac:dyDescent="0.55000000000000004">
      <c r="A9003">
        <f t="shared" si="282"/>
        <v>1989</v>
      </c>
      <c r="B9003" s="821">
        <v>32548</v>
      </c>
      <c r="C9003">
        <v>8.99</v>
      </c>
      <c r="D9003">
        <f t="shared" si="283"/>
        <v>1</v>
      </c>
    </row>
    <row r="9004" spans="1:4" x14ac:dyDescent="0.55000000000000004">
      <c r="A9004">
        <f t="shared" si="282"/>
        <v>1989</v>
      </c>
      <c r="B9004" s="821">
        <v>32547</v>
      </c>
      <c r="C9004">
        <v>8.82</v>
      </c>
      <c r="D9004">
        <f t="shared" si="283"/>
        <v>1</v>
      </c>
    </row>
    <row r="9005" spans="1:4" x14ac:dyDescent="0.55000000000000004">
      <c r="A9005">
        <f t="shared" si="282"/>
        <v>1989</v>
      </c>
      <c r="B9005" s="821">
        <v>32546</v>
      </c>
      <c r="C9005">
        <v>8.8000000000000007</v>
      </c>
      <c r="D9005">
        <f t="shared" si="283"/>
        <v>1</v>
      </c>
    </row>
    <row r="9006" spans="1:4" x14ac:dyDescent="0.55000000000000004">
      <c r="A9006">
        <f t="shared" si="282"/>
        <v>1989</v>
      </c>
      <c r="B9006" s="821">
        <v>32545</v>
      </c>
      <c r="C9006">
        <v>8.85</v>
      </c>
      <c r="D9006">
        <f t="shared" si="283"/>
        <v>1</v>
      </c>
    </row>
    <row r="9007" spans="1:4" x14ac:dyDescent="0.55000000000000004">
      <c r="A9007">
        <f t="shared" si="282"/>
        <v>1989</v>
      </c>
      <c r="B9007" s="821">
        <v>32542</v>
      </c>
      <c r="C9007">
        <v>8.84</v>
      </c>
      <c r="D9007">
        <f t="shared" si="283"/>
        <v>1</v>
      </c>
    </row>
    <row r="9008" spans="1:4" x14ac:dyDescent="0.55000000000000004">
      <c r="A9008">
        <f t="shared" si="282"/>
        <v>1989</v>
      </c>
      <c r="B9008" s="821">
        <v>32541</v>
      </c>
      <c r="C9008">
        <v>8.82</v>
      </c>
      <c r="D9008">
        <f t="shared" si="283"/>
        <v>1</v>
      </c>
    </row>
    <row r="9009" spans="1:4" x14ac:dyDescent="0.55000000000000004">
      <c r="A9009">
        <f t="shared" si="282"/>
        <v>1989</v>
      </c>
      <c r="B9009" s="821">
        <v>32540</v>
      </c>
      <c r="C9009">
        <v>8.83</v>
      </c>
      <c r="D9009">
        <f t="shared" si="283"/>
        <v>1</v>
      </c>
    </row>
    <row r="9010" spans="1:4" x14ac:dyDescent="0.55000000000000004">
      <c r="A9010">
        <f t="shared" si="282"/>
        <v>1989</v>
      </c>
      <c r="B9010" s="821">
        <v>32539</v>
      </c>
      <c r="C9010">
        <v>8.84</v>
      </c>
      <c r="D9010">
        <f t="shared" si="283"/>
        <v>1</v>
      </c>
    </row>
    <row r="9011" spans="1:4" x14ac:dyDescent="0.55000000000000004">
      <c r="A9011">
        <f t="shared" si="282"/>
        <v>1989</v>
      </c>
      <c r="B9011" s="821">
        <v>32538</v>
      </c>
      <c r="C9011">
        <v>8.83</v>
      </c>
      <c r="D9011">
        <f t="shared" si="283"/>
        <v>1</v>
      </c>
    </row>
    <row r="9012" spans="1:4" x14ac:dyDescent="0.55000000000000004">
      <c r="A9012">
        <f t="shared" si="282"/>
        <v>1989</v>
      </c>
      <c r="B9012" s="821">
        <v>32535</v>
      </c>
      <c r="C9012">
        <v>8.76</v>
      </c>
      <c r="D9012">
        <f t="shared" si="283"/>
        <v>1</v>
      </c>
    </row>
    <row r="9013" spans="1:4" x14ac:dyDescent="0.55000000000000004">
      <c r="A9013">
        <f t="shared" si="282"/>
        <v>1989</v>
      </c>
      <c r="B9013" s="821">
        <v>32534</v>
      </c>
      <c r="C9013">
        <v>8.81</v>
      </c>
      <c r="D9013">
        <f t="shared" si="283"/>
        <v>1</v>
      </c>
    </row>
    <row r="9014" spans="1:4" x14ac:dyDescent="0.55000000000000004">
      <c r="A9014">
        <f t="shared" si="282"/>
        <v>1989</v>
      </c>
      <c r="B9014" s="821">
        <v>32533</v>
      </c>
      <c r="C9014">
        <v>8.82</v>
      </c>
      <c r="D9014">
        <f t="shared" si="283"/>
        <v>1</v>
      </c>
    </row>
    <row r="9015" spans="1:4" x14ac:dyDescent="0.55000000000000004">
      <c r="A9015">
        <f t="shared" si="282"/>
        <v>1989</v>
      </c>
      <c r="B9015" s="821">
        <v>32532</v>
      </c>
      <c r="C9015">
        <v>8.7799999999999994</v>
      </c>
      <c r="D9015">
        <f t="shared" si="283"/>
        <v>1</v>
      </c>
    </row>
    <row r="9016" spans="1:4" x14ac:dyDescent="0.55000000000000004">
      <c r="A9016">
        <f t="shared" si="282"/>
        <v>1989</v>
      </c>
      <c r="B9016" s="821">
        <v>32531</v>
      </c>
      <c r="C9016">
        <v>8.8699999999999992</v>
      </c>
      <c r="D9016">
        <f t="shared" si="283"/>
        <v>1</v>
      </c>
    </row>
    <row r="9017" spans="1:4" x14ac:dyDescent="0.55000000000000004">
      <c r="A9017">
        <f t="shared" si="282"/>
        <v>1989</v>
      </c>
      <c r="B9017" s="821">
        <v>32528</v>
      </c>
      <c r="C9017">
        <v>8.89</v>
      </c>
      <c r="D9017">
        <f t="shared" si="283"/>
        <v>1</v>
      </c>
    </row>
    <row r="9018" spans="1:4" x14ac:dyDescent="0.55000000000000004">
      <c r="A9018">
        <f t="shared" si="282"/>
        <v>1989</v>
      </c>
      <c r="B9018" s="821">
        <v>32527</v>
      </c>
      <c r="C9018">
        <v>8.86</v>
      </c>
      <c r="D9018">
        <f t="shared" si="283"/>
        <v>1</v>
      </c>
    </row>
    <row r="9019" spans="1:4" x14ac:dyDescent="0.55000000000000004">
      <c r="A9019">
        <f t="shared" si="282"/>
        <v>1989</v>
      </c>
      <c r="B9019" s="821">
        <v>32526</v>
      </c>
      <c r="C9019">
        <v>8.84</v>
      </c>
      <c r="D9019">
        <f t="shared" si="283"/>
        <v>1</v>
      </c>
    </row>
    <row r="9020" spans="1:4" x14ac:dyDescent="0.55000000000000004">
      <c r="A9020">
        <f t="shared" si="282"/>
        <v>1989</v>
      </c>
      <c r="B9020" s="821">
        <v>32525</v>
      </c>
      <c r="C9020">
        <v>8.89</v>
      </c>
      <c r="D9020">
        <f t="shared" si="283"/>
        <v>1</v>
      </c>
    </row>
    <row r="9021" spans="1:4" x14ac:dyDescent="0.55000000000000004">
      <c r="A9021">
        <f t="shared" si="282"/>
        <v>1989</v>
      </c>
      <c r="B9021" s="821">
        <v>32521</v>
      </c>
      <c r="C9021">
        <v>8.89</v>
      </c>
      <c r="D9021">
        <f t="shared" si="283"/>
        <v>1</v>
      </c>
    </row>
    <row r="9022" spans="1:4" x14ac:dyDescent="0.55000000000000004">
      <c r="A9022">
        <f t="shared" si="282"/>
        <v>1989</v>
      </c>
      <c r="B9022" s="821">
        <v>32520</v>
      </c>
      <c r="C9022">
        <v>8.98</v>
      </c>
      <c r="D9022">
        <f t="shared" si="283"/>
        <v>1</v>
      </c>
    </row>
    <row r="9023" spans="1:4" x14ac:dyDescent="0.55000000000000004">
      <c r="A9023">
        <f t="shared" si="282"/>
        <v>1989</v>
      </c>
      <c r="B9023" s="821">
        <v>32519</v>
      </c>
      <c r="C9023">
        <v>9.0500000000000007</v>
      </c>
      <c r="D9023">
        <f t="shared" si="283"/>
        <v>1</v>
      </c>
    </row>
    <row r="9024" spans="1:4" x14ac:dyDescent="0.55000000000000004">
      <c r="A9024">
        <f t="shared" si="282"/>
        <v>1989</v>
      </c>
      <c r="B9024" s="821">
        <v>32518</v>
      </c>
      <c r="C9024">
        <v>9.0500000000000007</v>
      </c>
      <c r="D9024">
        <f t="shared" si="283"/>
        <v>1</v>
      </c>
    </row>
    <row r="9025" spans="1:4" x14ac:dyDescent="0.55000000000000004">
      <c r="A9025">
        <f t="shared" si="282"/>
        <v>1989</v>
      </c>
      <c r="B9025" s="821">
        <v>32517</v>
      </c>
      <c r="C9025">
        <v>9.0500000000000007</v>
      </c>
      <c r="D9025">
        <f t="shared" si="283"/>
        <v>1</v>
      </c>
    </row>
    <row r="9026" spans="1:4" x14ac:dyDescent="0.55000000000000004">
      <c r="A9026">
        <f t="shared" si="282"/>
        <v>1989</v>
      </c>
      <c r="B9026" s="821">
        <v>32514</v>
      </c>
      <c r="C9026">
        <v>9.06</v>
      </c>
      <c r="D9026">
        <f t="shared" si="283"/>
        <v>1</v>
      </c>
    </row>
    <row r="9027" spans="1:4" x14ac:dyDescent="0.55000000000000004">
      <c r="A9027">
        <f t="shared" si="282"/>
        <v>1989</v>
      </c>
      <c r="B9027" s="821">
        <v>32513</v>
      </c>
      <c r="C9027">
        <v>9.1</v>
      </c>
      <c r="D9027">
        <f t="shared" si="283"/>
        <v>1</v>
      </c>
    </row>
    <row r="9028" spans="1:4" x14ac:dyDescent="0.55000000000000004">
      <c r="A9028">
        <f t="shared" ref="A9028:A9091" si="284">YEAR(B9028)</f>
        <v>1989</v>
      </c>
      <c r="B9028" s="821">
        <v>32512</v>
      </c>
      <c r="C9028">
        <v>9.08</v>
      </c>
      <c r="D9028">
        <f t="shared" ref="D9028:D9091" si="285">IF(C9028&gt;4,1,0)</f>
        <v>1</v>
      </c>
    </row>
    <row r="9029" spans="1:4" x14ac:dyDescent="0.55000000000000004">
      <c r="A9029">
        <f t="shared" si="284"/>
        <v>1989</v>
      </c>
      <c r="B9029" s="821">
        <v>32511</v>
      </c>
      <c r="C9029">
        <v>9.09</v>
      </c>
      <c r="D9029">
        <f t="shared" si="285"/>
        <v>1</v>
      </c>
    </row>
    <row r="9030" spans="1:4" x14ac:dyDescent="0.55000000000000004">
      <c r="A9030">
        <f t="shared" si="284"/>
        <v>1988</v>
      </c>
      <c r="B9030" s="821">
        <v>32507</v>
      </c>
      <c r="C9030">
        <v>9</v>
      </c>
      <c r="D9030">
        <f t="shared" si="285"/>
        <v>1</v>
      </c>
    </row>
    <row r="9031" spans="1:4" x14ac:dyDescent="0.55000000000000004">
      <c r="A9031">
        <f t="shared" si="284"/>
        <v>1988</v>
      </c>
      <c r="B9031" s="821">
        <v>32506</v>
      </c>
      <c r="C9031">
        <v>9.01</v>
      </c>
      <c r="D9031">
        <f t="shared" si="285"/>
        <v>1</v>
      </c>
    </row>
    <row r="9032" spans="1:4" x14ac:dyDescent="0.55000000000000004">
      <c r="A9032">
        <f t="shared" si="284"/>
        <v>1988</v>
      </c>
      <c r="B9032" s="821">
        <v>32505</v>
      </c>
      <c r="C9032">
        <v>9.01</v>
      </c>
      <c r="D9032">
        <f t="shared" si="285"/>
        <v>1</v>
      </c>
    </row>
    <row r="9033" spans="1:4" x14ac:dyDescent="0.55000000000000004">
      <c r="A9033">
        <f t="shared" si="284"/>
        <v>1988</v>
      </c>
      <c r="B9033" s="821">
        <v>32504</v>
      </c>
      <c r="C9033">
        <v>8.9600000000000009</v>
      </c>
      <c r="D9033">
        <f t="shared" si="285"/>
        <v>1</v>
      </c>
    </row>
    <row r="9034" spans="1:4" x14ac:dyDescent="0.55000000000000004">
      <c r="A9034">
        <f t="shared" si="284"/>
        <v>1988</v>
      </c>
      <c r="B9034" s="821">
        <v>32500</v>
      </c>
      <c r="C9034">
        <v>8.92</v>
      </c>
      <c r="D9034">
        <f t="shared" si="285"/>
        <v>1</v>
      </c>
    </row>
    <row r="9035" spans="1:4" x14ac:dyDescent="0.55000000000000004">
      <c r="A9035">
        <f t="shared" si="284"/>
        <v>1988</v>
      </c>
      <c r="B9035" s="821">
        <v>32499</v>
      </c>
      <c r="C9035">
        <v>8.94</v>
      </c>
      <c r="D9035">
        <f t="shared" si="285"/>
        <v>1</v>
      </c>
    </row>
    <row r="9036" spans="1:4" x14ac:dyDescent="0.55000000000000004">
      <c r="A9036">
        <f t="shared" si="284"/>
        <v>1988</v>
      </c>
      <c r="B9036" s="821">
        <v>32498</v>
      </c>
      <c r="C9036">
        <v>8.9600000000000009</v>
      </c>
      <c r="D9036">
        <f t="shared" si="285"/>
        <v>1</v>
      </c>
    </row>
    <row r="9037" spans="1:4" x14ac:dyDescent="0.55000000000000004">
      <c r="A9037">
        <f t="shared" si="284"/>
        <v>1988</v>
      </c>
      <c r="B9037" s="821">
        <v>32497</v>
      </c>
      <c r="C9037">
        <v>8.9600000000000009</v>
      </c>
      <c r="D9037">
        <f t="shared" si="285"/>
        <v>1</v>
      </c>
    </row>
    <row r="9038" spans="1:4" x14ac:dyDescent="0.55000000000000004">
      <c r="A9038">
        <f t="shared" si="284"/>
        <v>1988</v>
      </c>
      <c r="B9038" s="821">
        <v>32496</v>
      </c>
      <c r="C9038">
        <v>9.0500000000000007</v>
      </c>
      <c r="D9038">
        <f t="shared" si="285"/>
        <v>1</v>
      </c>
    </row>
    <row r="9039" spans="1:4" x14ac:dyDescent="0.55000000000000004">
      <c r="A9039">
        <f t="shared" si="284"/>
        <v>1988</v>
      </c>
      <c r="B9039" s="821">
        <v>32493</v>
      </c>
      <c r="C9039">
        <v>9.0500000000000007</v>
      </c>
      <c r="D9039">
        <f t="shared" si="285"/>
        <v>1</v>
      </c>
    </row>
    <row r="9040" spans="1:4" x14ac:dyDescent="0.55000000000000004">
      <c r="A9040">
        <f t="shared" si="284"/>
        <v>1988</v>
      </c>
      <c r="B9040" s="821">
        <v>32492</v>
      </c>
      <c r="C9040">
        <v>9.07</v>
      </c>
      <c r="D9040">
        <f t="shared" si="285"/>
        <v>1</v>
      </c>
    </row>
    <row r="9041" spans="1:4" x14ac:dyDescent="0.55000000000000004">
      <c r="A9041">
        <f t="shared" si="284"/>
        <v>1988</v>
      </c>
      <c r="B9041" s="821">
        <v>32491</v>
      </c>
      <c r="C9041">
        <v>9.06</v>
      </c>
      <c r="D9041">
        <f t="shared" si="285"/>
        <v>1</v>
      </c>
    </row>
    <row r="9042" spans="1:4" x14ac:dyDescent="0.55000000000000004">
      <c r="A9042">
        <f t="shared" si="284"/>
        <v>1988</v>
      </c>
      <c r="B9042" s="821">
        <v>32490</v>
      </c>
      <c r="C9042">
        <v>8.98</v>
      </c>
      <c r="D9042">
        <f t="shared" si="285"/>
        <v>1</v>
      </c>
    </row>
    <row r="9043" spans="1:4" x14ac:dyDescent="0.55000000000000004">
      <c r="A9043">
        <f t="shared" si="284"/>
        <v>1988</v>
      </c>
      <c r="B9043" s="821">
        <v>32489</v>
      </c>
      <c r="C9043">
        <v>8.94</v>
      </c>
      <c r="D9043">
        <f t="shared" si="285"/>
        <v>1</v>
      </c>
    </row>
    <row r="9044" spans="1:4" x14ac:dyDescent="0.55000000000000004">
      <c r="A9044">
        <f t="shared" si="284"/>
        <v>1988</v>
      </c>
      <c r="B9044" s="821">
        <v>32486</v>
      </c>
      <c r="C9044">
        <v>8.9700000000000006</v>
      </c>
      <c r="D9044">
        <f t="shared" si="285"/>
        <v>1</v>
      </c>
    </row>
    <row r="9045" spans="1:4" x14ac:dyDescent="0.55000000000000004">
      <c r="A9045">
        <f t="shared" si="284"/>
        <v>1988</v>
      </c>
      <c r="B9045" s="821">
        <v>32485</v>
      </c>
      <c r="C9045">
        <v>8.9700000000000006</v>
      </c>
      <c r="D9045">
        <f t="shared" si="285"/>
        <v>1</v>
      </c>
    </row>
    <row r="9046" spans="1:4" x14ac:dyDescent="0.55000000000000004">
      <c r="A9046">
        <f t="shared" si="284"/>
        <v>1988</v>
      </c>
      <c r="B9046" s="821">
        <v>32484</v>
      </c>
      <c r="C9046">
        <v>8.98</v>
      </c>
      <c r="D9046">
        <f t="shared" si="285"/>
        <v>1</v>
      </c>
    </row>
    <row r="9047" spans="1:4" x14ac:dyDescent="0.55000000000000004">
      <c r="A9047">
        <f t="shared" si="284"/>
        <v>1988</v>
      </c>
      <c r="B9047" s="821">
        <v>32483</v>
      </c>
      <c r="C9047">
        <v>8.9499999999999993</v>
      </c>
      <c r="D9047">
        <f t="shared" si="285"/>
        <v>1</v>
      </c>
    </row>
    <row r="9048" spans="1:4" x14ac:dyDescent="0.55000000000000004">
      <c r="A9048">
        <f t="shared" si="284"/>
        <v>1988</v>
      </c>
      <c r="B9048" s="821">
        <v>32482</v>
      </c>
      <c r="C9048">
        <v>9.1300000000000008</v>
      </c>
      <c r="D9048">
        <f t="shared" si="285"/>
        <v>1</v>
      </c>
    </row>
    <row r="9049" spans="1:4" x14ac:dyDescent="0.55000000000000004">
      <c r="A9049">
        <f t="shared" si="284"/>
        <v>1988</v>
      </c>
      <c r="B9049" s="821">
        <v>32479</v>
      </c>
      <c r="C9049">
        <v>9.18</v>
      </c>
      <c r="D9049">
        <f t="shared" si="285"/>
        <v>1</v>
      </c>
    </row>
    <row r="9050" spans="1:4" x14ac:dyDescent="0.55000000000000004">
      <c r="A9050">
        <f t="shared" si="284"/>
        <v>1988</v>
      </c>
      <c r="B9050" s="821">
        <v>32478</v>
      </c>
      <c r="C9050">
        <v>9.02</v>
      </c>
      <c r="D9050">
        <f t="shared" si="285"/>
        <v>1</v>
      </c>
    </row>
    <row r="9051" spans="1:4" x14ac:dyDescent="0.55000000000000004">
      <c r="A9051">
        <f t="shared" si="284"/>
        <v>1988</v>
      </c>
      <c r="B9051" s="821">
        <v>32477</v>
      </c>
      <c r="C9051">
        <v>9.07</v>
      </c>
      <c r="D9051">
        <f t="shared" si="285"/>
        <v>1</v>
      </c>
    </row>
    <row r="9052" spans="1:4" x14ac:dyDescent="0.55000000000000004">
      <c r="A9052">
        <f t="shared" si="284"/>
        <v>1988</v>
      </c>
      <c r="B9052" s="821">
        <v>32476</v>
      </c>
      <c r="C9052">
        <v>9.1300000000000008</v>
      </c>
      <c r="D9052">
        <f t="shared" si="285"/>
        <v>1</v>
      </c>
    </row>
    <row r="9053" spans="1:4" x14ac:dyDescent="0.55000000000000004">
      <c r="A9053">
        <f t="shared" si="284"/>
        <v>1988</v>
      </c>
      <c r="B9053" s="821">
        <v>32475</v>
      </c>
      <c r="C9053">
        <v>9.15</v>
      </c>
      <c r="D9053">
        <f t="shared" si="285"/>
        <v>1</v>
      </c>
    </row>
    <row r="9054" spans="1:4" x14ac:dyDescent="0.55000000000000004">
      <c r="A9054">
        <f t="shared" si="284"/>
        <v>1988</v>
      </c>
      <c r="B9054" s="821">
        <v>32472</v>
      </c>
      <c r="C9054">
        <v>9.18</v>
      </c>
      <c r="D9054">
        <f t="shared" si="285"/>
        <v>1</v>
      </c>
    </row>
    <row r="9055" spans="1:4" x14ac:dyDescent="0.55000000000000004">
      <c r="A9055">
        <f t="shared" si="284"/>
        <v>1988</v>
      </c>
      <c r="B9055" s="821">
        <v>32470</v>
      </c>
      <c r="C9055">
        <v>9.11</v>
      </c>
      <c r="D9055">
        <f t="shared" si="285"/>
        <v>1</v>
      </c>
    </row>
    <row r="9056" spans="1:4" x14ac:dyDescent="0.55000000000000004">
      <c r="A9056">
        <f t="shared" si="284"/>
        <v>1988</v>
      </c>
      <c r="B9056" s="821">
        <v>32469</v>
      </c>
      <c r="C9056">
        <v>9.1199999999999992</v>
      </c>
      <c r="D9056">
        <f t="shared" si="285"/>
        <v>1</v>
      </c>
    </row>
    <row r="9057" spans="1:4" x14ac:dyDescent="0.55000000000000004">
      <c r="A9057">
        <f t="shared" si="284"/>
        <v>1988</v>
      </c>
      <c r="B9057" s="821">
        <v>32468</v>
      </c>
      <c r="C9057">
        <v>9.11</v>
      </c>
      <c r="D9057">
        <f t="shared" si="285"/>
        <v>1</v>
      </c>
    </row>
    <row r="9058" spans="1:4" x14ac:dyDescent="0.55000000000000004">
      <c r="A9058">
        <f t="shared" si="284"/>
        <v>1988</v>
      </c>
      <c r="B9058" s="821">
        <v>32465</v>
      </c>
      <c r="C9058">
        <v>9.1199999999999992</v>
      </c>
      <c r="D9058">
        <f t="shared" si="285"/>
        <v>1</v>
      </c>
    </row>
    <row r="9059" spans="1:4" x14ac:dyDescent="0.55000000000000004">
      <c r="A9059">
        <f t="shared" si="284"/>
        <v>1988</v>
      </c>
      <c r="B9059" s="821">
        <v>32464</v>
      </c>
      <c r="C9059">
        <v>9.14</v>
      </c>
      <c r="D9059">
        <f t="shared" si="285"/>
        <v>1</v>
      </c>
    </row>
    <row r="9060" spans="1:4" x14ac:dyDescent="0.55000000000000004">
      <c r="A9060">
        <f t="shared" si="284"/>
        <v>1988</v>
      </c>
      <c r="B9060" s="821">
        <v>32463</v>
      </c>
      <c r="C9060">
        <v>9.1</v>
      </c>
      <c r="D9060">
        <f t="shared" si="285"/>
        <v>1</v>
      </c>
    </row>
    <row r="9061" spans="1:4" x14ac:dyDescent="0.55000000000000004">
      <c r="A9061">
        <f t="shared" si="284"/>
        <v>1988</v>
      </c>
      <c r="B9061" s="821">
        <v>32462</v>
      </c>
      <c r="C9061">
        <v>9.01</v>
      </c>
      <c r="D9061">
        <f t="shared" si="285"/>
        <v>1</v>
      </c>
    </row>
    <row r="9062" spans="1:4" x14ac:dyDescent="0.55000000000000004">
      <c r="A9062">
        <f t="shared" si="284"/>
        <v>1988</v>
      </c>
      <c r="B9062" s="821">
        <v>32461</v>
      </c>
      <c r="C9062">
        <v>9.01</v>
      </c>
      <c r="D9062">
        <f t="shared" si="285"/>
        <v>1</v>
      </c>
    </row>
    <row r="9063" spans="1:4" x14ac:dyDescent="0.55000000000000004">
      <c r="A9063">
        <f t="shared" si="284"/>
        <v>1988</v>
      </c>
      <c r="B9063" s="821">
        <v>32457</v>
      </c>
      <c r="C9063">
        <v>8.99</v>
      </c>
      <c r="D9063">
        <f t="shared" si="285"/>
        <v>1</v>
      </c>
    </row>
    <row r="9064" spans="1:4" x14ac:dyDescent="0.55000000000000004">
      <c r="A9064">
        <f t="shared" si="284"/>
        <v>1988</v>
      </c>
      <c r="B9064" s="821">
        <v>32456</v>
      </c>
      <c r="C9064">
        <v>9.01</v>
      </c>
      <c r="D9064">
        <f t="shared" si="285"/>
        <v>1</v>
      </c>
    </row>
    <row r="9065" spans="1:4" x14ac:dyDescent="0.55000000000000004">
      <c r="A9065">
        <f t="shared" si="284"/>
        <v>1988</v>
      </c>
      <c r="B9065" s="821">
        <v>32455</v>
      </c>
      <c r="C9065">
        <v>8.9700000000000006</v>
      </c>
      <c r="D9065">
        <f t="shared" si="285"/>
        <v>1</v>
      </c>
    </row>
    <row r="9066" spans="1:4" x14ac:dyDescent="0.55000000000000004">
      <c r="A9066">
        <f t="shared" si="284"/>
        <v>1988</v>
      </c>
      <c r="B9066" s="821">
        <v>32454</v>
      </c>
      <c r="C9066">
        <v>8.9600000000000009</v>
      </c>
      <c r="D9066">
        <f t="shared" si="285"/>
        <v>1</v>
      </c>
    </row>
    <row r="9067" spans="1:4" x14ac:dyDescent="0.55000000000000004">
      <c r="A9067">
        <f t="shared" si="284"/>
        <v>1988</v>
      </c>
      <c r="B9067" s="821">
        <v>32451</v>
      </c>
      <c r="C9067">
        <v>8.91</v>
      </c>
      <c r="D9067">
        <f t="shared" si="285"/>
        <v>1</v>
      </c>
    </row>
    <row r="9068" spans="1:4" x14ac:dyDescent="0.55000000000000004">
      <c r="A9068">
        <f t="shared" si="284"/>
        <v>1988</v>
      </c>
      <c r="B9068" s="821">
        <v>32450</v>
      </c>
      <c r="C9068">
        <v>8.76</v>
      </c>
      <c r="D9068">
        <f t="shared" si="285"/>
        <v>1</v>
      </c>
    </row>
    <row r="9069" spans="1:4" x14ac:dyDescent="0.55000000000000004">
      <c r="A9069">
        <f t="shared" si="284"/>
        <v>1988</v>
      </c>
      <c r="B9069" s="821">
        <v>32449</v>
      </c>
      <c r="C9069">
        <v>8.81</v>
      </c>
      <c r="D9069">
        <f t="shared" si="285"/>
        <v>1</v>
      </c>
    </row>
    <row r="9070" spans="1:4" x14ac:dyDescent="0.55000000000000004">
      <c r="A9070">
        <f t="shared" si="284"/>
        <v>1988</v>
      </c>
      <c r="B9070" s="821">
        <v>32448</v>
      </c>
      <c r="C9070">
        <v>8.76</v>
      </c>
      <c r="D9070">
        <f t="shared" si="285"/>
        <v>1</v>
      </c>
    </row>
    <row r="9071" spans="1:4" x14ac:dyDescent="0.55000000000000004">
      <c r="A9071">
        <f t="shared" si="284"/>
        <v>1988</v>
      </c>
      <c r="B9071" s="821">
        <v>32447</v>
      </c>
      <c r="C9071">
        <v>8.74</v>
      </c>
      <c r="D9071">
        <f t="shared" si="285"/>
        <v>1</v>
      </c>
    </row>
    <row r="9072" spans="1:4" x14ac:dyDescent="0.55000000000000004">
      <c r="A9072">
        <f t="shared" si="284"/>
        <v>1988</v>
      </c>
      <c r="B9072" s="821">
        <v>32444</v>
      </c>
      <c r="C9072">
        <v>8.8000000000000007</v>
      </c>
      <c r="D9072">
        <f t="shared" si="285"/>
        <v>1</v>
      </c>
    </row>
    <row r="9073" spans="1:4" x14ac:dyDescent="0.55000000000000004">
      <c r="A9073">
        <f t="shared" si="284"/>
        <v>1988</v>
      </c>
      <c r="B9073" s="821">
        <v>32443</v>
      </c>
      <c r="C9073">
        <v>8.84</v>
      </c>
      <c r="D9073">
        <f t="shared" si="285"/>
        <v>1</v>
      </c>
    </row>
    <row r="9074" spans="1:4" x14ac:dyDescent="0.55000000000000004">
      <c r="A9074">
        <f t="shared" si="284"/>
        <v>1988</v>
      </c>
      <c r="B9074" s="821">
        <v>32442</v>
      </c>
      <c r="C9074">
        <v>8.92</v>
      </c>
      <c r="D9074">
        <f t="shared" si="285"/>
        <v>1</v>
      </c>
    </row>
    <row r="9075" spans="1:4" x14ac:dyDescent="0.55000000000000004">
      <c r="A9075">
        <f t="shared" si="284"/>
        <v>1988</v>
      </c>
      <c r="B9075" s="821">
        <v>32441</v>
      </c>
      <c r="C9075">
        <v>8.93</v>
      </c>
      <c r="D9075">
        <f t="shared" si="285"/>
        <v>1</v>
      </c>
    </row>
    <row r="9076" spans="1:4" x14ac:dyDescent="0.55000000000000004">
      <c r="A9076">
        <f t="shared" si="284"/>
        <v>1988</v>
      </c>
      <c r="B9076" s="821">
        <v>32440</v>
      </c>
      <c r="C9076">
        <v>8.93</v>
      </c>
      <c r="D9076">
        <f t="shared" si="285"/>
        <v>1</v>
      </c>
    </row>
    <row r="9077" spans="1:4" x14ac:dyDescent="0.55000000000000004">
      <c r="A9077">
        <f t="shared" si="284"/>
        <v>1988</v>
      </c>
      <c r="B9077" s="821">
        <v>32437</v>
      </c>
      <c r="C9077">
        <v>8.89</v>
      </c>
      <c r="D9077">
        <f t="shared" si="285"/>
        <v>1</v>
      </c>
    </row>
    <row r="9078" spans="1:4" x14ac:dyDescent="0.55000000000000004">
      <c r="A9078">
        <f t="shared" si="284"/>
        <v>1988</v>
      </c>
      <c r="B9078" s="821">
        <v>32436</v>
      </c>
      <c r="C9078">
        <v>8.85</v>
      </c>
      <c r="D9078">
        <f t="shared" si="285"/>
        <v>1</v>
      </c>
    </row>
    <row r="9079" spans="1:4" x14ac:dyDescent="0.55000000000000004">
      <c r="A9079">
        <f t="shared" si="284"/>
        <v>1988</v>
      </c>
      <c r="B9079" s="821">
        <v>32435</v>
      </c>
      <c r="C9079">
        <v>8.91</v>
      </c>
      <c r="D9079">
        <f t="shared" si="285"/>
        <v>1</v>
      </c>
    </row>
    <row r="9080" spans="1:4" x14ac:dyDescent="0.55000000000000004">
      <c r="A9080">
        <f t="shared" si="284"/>
        <v>1988</v>
      </c>
      <c r="B9080" s="821">
        <v>32434</v>
      </c>
      <c r="C9080">
        <v>8.8699999999999992</v>
      </c>
      <c r="D9080">
        <f t="shared" si="285"/>
        <v>1</v>
      </c>
    </row>
    <row r="9081" spans="1:4" x14ac:dyDescent="0.55000000000000004">
      <c r="A9081">
        <f t="shared" si="284"/>
        <v>1988</v>
      </c>
      <c r="B9081" s="821">
        <v>32433</v>
      </c>
      <c r="C9081">
        <v>8.8800000000000008</v>
      </c>
      <c r="D9081">
        <f t="shared" si="285"/>
        <v>1</v>
      </c>
    </row>
    <row r="9082" spans="1:4" x14ac:dyDescent="0.55000000000000004">
      <c r="A9082">
        <f t="shared" si="284"/>
        <v>1988</v>
      </c>
      <c r="B9082" s="821">
        <v>32430</v>
      </c>
      <c r="C9082">
        <v>8.9</v>
      </c>
      <c r="D9082">
        <f t="shared" si="285"/>
        <v>1</v>
      </c>
    </row>
    <row r="9083" spans="1:4" x14ac:dyDescent="0.55000000000000004">
      <c r="A9083">
        <f t="shared" si="284"/>
        <v>1988</v>
      </c>
      <c r="B9083" s="821">
        <v>32429</v>
      </c>
      <c r="C9083">
        <v>8.94</v>
      </c>
      <c r="D9083">
        <f t="shared" si="285"/>
        <v>1</v>
      </c>
    </row>
    <row r="9084" spans="1:4" x14ac:dyDescent="0.55000000000000004">
      <c r="A9084">
        <f t="shared" si="284"/>
        <v>1988</v>
      </c>
      <c r="B9084" s="821">
        <v>32428</v>
      </c>
      <c r="C9084">
        <v>8.94</v>
      </c>
      <c r="D9084">
        <f t="shared" si="285"/>
        <v>1</v>
      </c>
    </row>
    <row r="9085" spans="1:4" x14ac:dyDescent="0.55000000000000004">
      <c r="A9085">
        <f t="shared" si="284"/>
        <v>1988</v>
      </c>
      <c r="B9085" s="821">
        <v>32427</v>
      </c>
      <c r="C9085">
        <v>8.86</v>
      </c>
      <c r="D9085">
        <f t="shared" si="285"/>
        <v>1</v>
      </c>
    </row>
    <row r="9086" spans="1:4" x14ac:dyDescent="0.55000000000000004">
      <c r="A9086">
        <f t="shared" si="284"/>
        <v>1988</v>
      </c>
      <c r="B9086" s="821">
        <v>32423</v>
      </c>
      <c r="C9086">
        <v>8.81</v>
      </c>
      <c r="D9086">
        <f t="shared" si="285"/>
        <v>1</v>
      </c>
    </row>
    <row r="9087" spans="1:4" x14ac:dyDescent="0.55000000000000004">
      <c r="A9087">
        <f t="shared" si="284"/>
        <v>1988</v>
      </c>
      <c r="B9087" s="821">
        <v>32422</v>
      </c>
      <c r="C9087">
        <v>8.9700000000000006</v>
      </c>
      <c r="D9087">
        <f t="shared" si="285"/>
        <v>1</v>
      </c>
    </row>
    <row r="9088" spans="1:4" x14ac:dyDescent="0.55000000000000004">
      <c r="A9088">
        <f t="shared" si="284"/>
        <v>1988</v>
      </c>
      <c r="B9088" s="821">
        <v>32421</v>
      </c>
      <c r="C9088">
        <v>8.98</v>
      </c>
      <c r="D9088">
        <f t="shared" si="285"/>
        <v>1</v>
      </c>
    </row>
    <row r="9089" spans="1:4" x14ac:dyDescent="0.55000000000000004">
      <c r="A9089">
        <f t="shared" si="284"/>
        <v>1988</v>
      </c>
      <c r="B9089" s="821">
        <v>32420</v>
      </c>
      <c r="C9089">
        <v>8.9700000000000006</v>
      </c>
      <c r="D9089">
        <f t="shared" si="285"/>
        <v>1</v>
      </c>
    </row>
    <row r="9090" spans="1:4" x14ac:dyDescent="0.55000000000000004">
      <c r="A9090">
        <f t="shared" si="284"/>
        <v>1988</v>
      </c>
      <c r="B9090" s="821">
        <v>32419</v>
      </c>
      <c r="C9090">
        <v>8.9600000000000009</v>
      </c>
      <c r="D9090">
        <f t="shared" si="285"/>
        <v>1</v>
      </c>
    </row>
    <row r="9091" spans="1:4" x14ac:dyDescent="0.55000000000000004">
      <c r="A9091">
        <f t="shared" si="284"/>
        <v>1988</v>
      </c>
      <c r="B9091" s="821">
        <v>32416</v>
      </c>
      <c r="C9091">
        <v>8.98</v>
      </c>
      <c r="D9091">
        <f t="shared" si="285"/>
        <v>1</v>
      </c>
    </row>
    <row r="9092" spans="1:4" x14ac:dyDescent="0.55000000000000004">
      <c r="A9092">
        <f t="shared" ref="A9092:A9155" si="286">YEAR(B9092)</f>
        <v>1988</v>
      </c>
      <c r="B9092" s="821">
        <v>32415</v>
      </c>
      <c r="C9092">
        <v>9.08</v>
      </c>
      <c r="D9092">
        <f t="shared" ref="D9092:D9155" si="287">IF(C9092&gt;4,1,0)</f>
        <v>1</v>
      </c>
    </row>
    <row r="9093" spans="1:4" x14ac:dyDescent="0.55000000000000004">
      <c r="A9093">
        <f t="shared" si="286"/>
        <v>1988</v>
      </c>
      <c r="B9093" s="821">
        <v>32414</v>
      </c>
      <c r="C9093">
        <v>9.15</v>
      </c>
      <c r="D9093">
        <f t="shared" si="287"/>
        <v>1</v>
      </c>
    </row>
    <row r="9094" spans="1:4" x14ac:dyDescent="0.55000000000000004">
      <c r="A9094">
        <f t="shared" si="286"/>
        <v>1988</v>
      </c>
      <c r="B9094" s="821">
        <v>32413</v>
      </c>
      <c r="C9094">
        <v>9.11</v>
      </c>
      <c r="D9094">
        <f t="shared" si="287"/>
        <v>1</v>
      </c>
    </row>
    <row r="9095" spans="1:4" x14ac:dyDescent="0.55000000000000004">
      <c r="A9095">
        <f t="shared" si="286"/>
        <v>1988</v>
      </c>
      <c r="B9095" s="821">
        <v>32412</v>
      </c>
      <c r="C9095">
        <v>9.09</v>
      </c>
      <c r="D9095">
        <f t="shared" si="287"/>
        <v>1</v>
      </c>
    </row>
    <row r="9096" spans="1:4" x14ac:dyDescent="0.55000000000000004">
      <c r="A9096">
        <f t="shared" si="286"/>
        <v>1988</v>
      </c>
      <c r="B9096" s="821">
        <v>32409</v>
      </c>
      <c r="C9096">
        <v>9.0500000000000007</v>
      </c>
      <c r="D9096">
        <f t="shared" si="287"/>
        <v>1</v>
      </c>
    </row>
    <row r="9097" spans="1:4" x14ac:dyDescent="0.55000000000000004">
      <c r="A9097">
        <f t="shared" si="286"/>
        <v>1988</v>
      </c>
      <c r="B9097" s="821">
        <v>32408</v>
      </c>
      <c r="C9097">
        <v>9.0500000000000007</v>
      </c>
      <c r="D9097">
        <f t="shared" si="287"/>
        <v>1</v>
      </c>
    </row>
    <row r="9098" spans="1:4" x14ac:dyDescent="0.55000000000000004">
      <c r="A9098">
        <f t="shared" si="286"/>
        <v>1988</v>
      </c>
      <c r="B9098" s="821">
        <v>32407</v>
      </c>
      <c r="C9098">
        <v>9.02</v>
      </c>
      <c r="D9098">
        <f t="shared" si="287"/>
        <v>1</v>
      </c>
    </row>
    <row r="9099" spans="1:4" x14ac:dyDescent="0.55000000000000004">
      <c r="A9099">
        <f t="shared" si="286"/>
        <v>1988</v>
      </c>
      <c r="B9099" s="821">
        <v>32406</v>
      </c>
      <c r="C9099">
        <v>9.06</v>
      </c>
      <c r="D9099">
        <f t="shared" si="287"/>
        <v>1</v>
      </c>
    </row>
    <row r="9100" spans="1:4" x14ac:dyDescent="0.55000000000000004">
      <c r="A9100">
        <f t="shared" si="286"/>
        <v>1988</v>
      </c>
      <c r="B9100" s="821">
        <v>32405</v>
      </c>
      <c r="C9100">
        <v>9.07</v>
      </c>
      <c r="D9100">
        <f t="shared" si="287"/>
        <v>1</v>
      </c>
    </row>
    <row r="9101" spans="1:4" x14ac:dyDescent="0.55000000000000004">
      <c r="A9101">
        <f t="shared" si="286"/>
        <v>1988</v>
      </c>
      <c r="B9101" s="821">
        <v>32402</v>
      </c>
      <c r="C9101">
        <v>9.01</v>
      </c>
      <c r="D9101">
        <f t="shared" si="287"/>
        <v>1</v>
      </c>
    </row>
    <row r="9102" spans="1:4" x14ac:dyDescent="0.55000000000000004">
      <c r="A9102">
        <f t="shared" si="286"/>
        <v>1988</v>
      </c>
      <c r="B9102" s="821">
        <v>32401</v>
      </c>
      <c r="C9102">
        <v>9</v>
      </c>
      <c r="D9102">
        <f t="shared" si="287"/>
        <v>1</v>
      </c>
    </row>
    <row r="9103" spans="1:4" x14ac:dyDescent="0.55000000000000004">
      <c r="A9103">
        <f t="shared" si="286"/>
        <v>1988</v>
      </c>
      <c r="B9103" s="821">
        <v>32400</v>
      </c>
      <c r="C9103">
        <v>8.9600000000000009</v>
      </c>
      <c r="D9103">
        <f t="shared" si="287"/>
        <v>1</v>
      </c>
    </row>
    <row r="9104" spans="1:4" x14ac:dyDescent="0.55000000000000004">
      <c r="A9104">
        <f t="shared" si="286"/>
        <v>1988</v>
      </c>
      <c r="B9104" s="821">
        <v>32399</v>
      </c>
      <c r="C9104">
        <v>9.01</v>
      </c>
      <c r="D9104">
        <f t="shared" si="287"/>
        <v>1</v>
      </c>
    </row>
    <row r="9105" spans="1:4" x14ac:dyDescent="0.55000000000000004">
      <c r="A9105">
        <f t="shared" si="286"/>
        <v>1988</v>
      </c>
      <c r="B9105" s="821">
        <v>32398</v>
      </c>
      <c r="C9105">
        <v>9.0399999999999991</v>
      </c>
      <c r="D9105">
        <f t="shared" si="287"/>
        <v>1</v>
      </c>
    </row>
    <row r="9106" spans="1:4" x14ac:dyDescent="0.55000000000000004">
      <c r="A9106">
        <f t="shared" si="286"/>
        <v>1988</v>
      </c>
      <c r="B9106" s="821">
        <v>32395</v>
      </c>
      <c r="C9106">
        <v>8.99</v>
      </c>
      <c r="D9106">
        <f t="shared" si="287"/>
        <v>1</v>
      </c>
    </row>
    <row r="9107" spans="1:4" x14ac:dyDescent="0.55000000000000004">
      <c r="A9107">
        <f t="shared" si="286"/>
        <v>1988</v>
      </c>
      <c r="B9107" s="821">
        <v>32394</v>
      </c>
      <c r="C9107">
        <v>9.0500000000000007</v>
      </c>
      <c r="D9107">
        <f t="shared" si="287"/>
        <v>1</v>
      </c>
    </row>
    <row r="9108" spans="1:4" x14ac:dyDescent="0.55000000000000004">
      <c r="A9108">
        <f t="shared" si="286"/>
        <v>1988</v>
      </c>
      <c r="B9108" s="821">
        <v>32393</v>
      </c>
      <c r="C9108">
        <v>9.0399999999999991</v>
      </c>
      <c r="D9108">
        <f t="shared" si="287"/>
        <v>1</v>
      </c>
    </row>
    <row r="9109" spans="1:4" x14ac:dyDescent="0.55000000000000004">
      <c r="A9109">
        <f t="shared" si="286"/>
        <v>1988</v>
      </c>
      <c r="B9109" s="821">
        <v>32392</v>
      </c>
      <c r="C9109">
        <v>9.0500000000000007</v>
      </c>
      <c r="D9109">
        <f t="shared" si="287"/>
        <v>1</v>
      </c>
    </row>
    <row r="9110" spans="1:4" x14ac:dyDescent="0.55000000000000004">
      <c r="A9110">
        <f t="shared" si="286"/>
        <v>1988</v>
      </c>
      <c r="B9110" s="821">
        <v>32388</v>
      </c>
      <c r="C9110">
        <v>9.0500000000000007</v>
      </c>
      <c r="D9110">
        <f t="shared" si="287"/>
        <v>1</v>
      </c>
    </row>
    <row r="9111" spans="1:4" x14ac:dyDescent="0.55000000000000004">
      <c r="A9111">
        <f t="shared" si="286"/>
        <v>1988</v>
      </c>
      <c r="B9111" s="821">
        <v>32387</v>
      </c>
      <c r="C9111">
        <v>9.31</v>
      </c>
      <c r="D9111">
        <f t="shared" si="287"/>
        <v>1</v>
      </c>
    </row>
    <row r="9112" spans="1:4" x14ac:dyDescent="0.55000000000000004">
      <c r="A9112">
        <f t="shared" si="286"/>
        <v>1988</v>
      </c>
      <c r="B9112" s="821">
        <v>32386</v>
      </c>
      <c r="C9112">
        <v>9.31</v>
      </c>
      <c r="D9112">
        <f t="shared" si="287"/>
        <v>1</v>
      </c>
    </row>
    <row r="9113" spans="1:4" x14ac:dyDescent="0.55000000000000004">
      <c r="A9113">
        <f t="shared" si="286"/>
        <v>1988</v>
      </c>
      <c r="B9113" s="821">
        <v>32385</v>
      </c>
      <c r="C9113">
        <v>9.33</v>
      </c>
      <c r="D9113">
        <f t="shared" si="287"/>
        <v>1</v>
      </c>
    </row>
    <row r="9114" spans="1:4" x14ac:dyDescent="0.55000000000000004">
      <c r="A9114">
        <f t="shared" si="286"/>
        <v>1988</v>
      </c>
      <c r="B9114" s="821">
        <v>32384</v>
      </c>
      <c r="C9114">
        <v>9.36</v>
      </c>
      <c r="D9114">
        <f t="shared" si="287"/>
        <v>1</v>
      </c>
    </row>
    <row r="9115" spans="1:4" x14ac:dyDescent="0.55000000000000004">
      <c r="A9115">
        <f t="shared" si="286"/>
        <v>1988</v>
      </c>
      <c r="B9115" s="821">
        <v>32381</v>
      </c>
      <c r="C9115">
        <v>9.43</v>
      </c>
      <c r="D9115">
        <f t="shared" si="287"/>
        <v>1</v>
      </c>
    </row>
    <row r="9116" spans="1:4" x14ac:dyDescent="0.55000000000000004">
      <c r="A9116">
        <f t="shared" si="286"/>
        <v>1988</v>
      </c>
      <c r="B9116" s="821">
        <v>32380</v>
      </c>
      <c r="C9116">
        <v>9.4600000000000009</v>
      </c>
      <c r="D9116">
        <f t="shared" si="287"/>
        <v>1</v>
      </c>
    </row>
    <row r="9117" spans="1:4" x14ac:dyDescent="0.55000000000000004">
      <c r="A9117">
        <f t="shared" si="286"/>
        <v>1988</v>
      </c>
      <c r="B9117" s="821">
        <v>32379</v>
      </c>
      <c r="C9117">
        <v>9.4</v>
      </c>
      <c r="D9117">
        <f t="shared" si="287"/>
        <v>1</v>
      </c>
    </row>
    <row r="9118" spans="1:4" x14ac:dyDescent="0.55000000000000004">
      <c r="A9118">
        <f t="shared" si="286"/>
        <v>1988</v>
      </c>
      <c r="B9118" s="821">
        <v>32378</v>
      </c>
      <c r="C9118">
        <v>9.39</v>
      </c>
      <c r="D9118">
        <f t="shared" si="287"/>
        <v>1</v>
      </c>
    </row>
    <row r="9119" spans="1:4" x14ac:dyDescent="0.55000000000000004">
      <c r="A9119">
        <f t="shared" si="286"/>
        <v>1988</v>
      </c>
      <c r="B9119" s="821">
        <v>32377</v>
      </c>
      <c r="C9119">
        <v>9.44</v>
      </c>
      <c r="D9119">
        <f t="shared" si="287"/>
        <v>1</v>
      </c>
    </row>
    <row r="9120" spans="1:4" x14ac:dyDescent="0.55000000000000004">
      <c r="A9120">
        <f t="shared" si="286"/>
        <v>1988</v>
      </c>
      <c r="B9120" s="821">
        <v>32374</v>
      </c>
      <c r="C9120">
        <v>9.41</v>
      </c>
      <c r="D9120">
        <f t="shared" si="287"/>
        <v>1</v>
      </c>
    </row>
    <row r="9121" spans="1:4" x14ac:dyDescent="0.55000000000000004">
      <c r="A9121">
        <f t="shared" si="286"/>
        <v>1988</v>
      </c>
      <c r="B9121" s="821">
        <v>32373</v>
      </c>
      <c r="C9121">
        <v>9.41</v>
      </c>
      <c r="D9121">
        <f t="shared" si="287"/>
        <v>1</v>
      </c>
    </row>
    <row r="9122" spans="1:4" x14ac:dyDescent="0.55000000000000004">
      <c r="A9122">
        <f t="shared" si="286"/>
        <v>1988</v>
      </c>
      <c r="B9122" s="821">
        <v>32372</v>
      </c>
      <c r="C9122">
        <v>9.43</v>
      </c>
      <c r="D9122">
        <f t="shared" si="287"/>
        <v>1</v>
      </c>
    </row>
    <row r="9123" spans="1:4" x14ac:dyDescent="0.55000000000000004">
      <c r="A9123">
        <f t="shared" si="286"/>
        <v>1988</v>
      </c>
      <c r="B9123" s="821">
        <v>32371</v>
      </c>
      <c r="C9123">
        <v>9.4</v>
      </c>
      <c r="D9123">
        <f t="shared" si="287"/>
        <v>1</v>
      </c>
    </row>
    <row r="9124" spans="1:4" x14ac:dyDescent="0.55000000000000004">
      <c r="A9124">
        <f t="shared" si="286"/>
        <v>1988</v>
      </c>
      <c r="B9124" s="821">
        <v>32370</v>
      </c>
      <c r="C9124">
        <v>9.44</v>
      </c>
      <c r="D9124">
        <f t="shared" si="287"/>
        <v>1</v>
      </c>
    </row>
    <row r="9125" spans="1:4" x14ac:dyDescent="0.55000000000000004">
      <c r="A9125">
        <f t="shared" si="286"/>
        <v>1988</v>
      </c>
      <c r="B9125" s="821">
        <v>32367</v>
      </c>
      <c r="C9125">
        <v>9.42</v>
      </c>
      <c r="D9125">
        <f t="shared" si="287"/>
        <v>1</v>
      </c>
    </row>
    <row r="9126" spans="1:4" x14ac:dyDescent="0.55000000000000004">
      <c r="A9126">
        <f t="shared" si="286"/>
        <v>1988</v>
      </c>
      <c r="B9126" s="821">
        <v>32366</v>
      </c>
      <c r="C9126">
        <v>9.4</v>
      </c>
      <c r="D9126">
        <f t="shared" si="287"/>
        <v>1</v>
      </c>
    </row>
    <row r="9127" spans="1:4" x14ac:dyDescent="0.55000000000000004">
      <c r="A9127">
        <f t="shared" si="286"/>
        <v>1988</v>
      </c>
      <c r="B9127" s="821">
        <v>32365</v>
      </c>
      <c r="C9127">
        <v>9.36</v>
      </c>
      <c r="D9127">
        <f t="shared" si="287"/>
        <v>1</v>
      </c>
    </row>
    <row r="9128" spans="1:4" x14ac:dyDescent="0.55000000000000004">
      <c r="A9128">
        <f t="shared" si="286"/>
        <v>1988</v>
      </c>
      <c r="B9128" s="821">
        <v>32364</v>
      </c>
      <c r="C9128">
        <v>9.2100000000000009</v>
      </c>
      <c r="D9128">
        <f t="shared" si="287"/>
        <v>1</v>
      </c>
    </row>
    <row r="9129" spans="1:4" x14ac:dyDescent="0.55000000000000004">
      <c r="A9129">
        <f t="shared" si="286"/>
        <v>1988</v>
      </c>
      <c r="B9129" s="821">
        <v>32363</v>
      </c>
      <c r="C9129">
        <v>9.1300000000000008</v>
      </c>
      <c r="D9129">
        <f t="shared" si="287"/>
        <v>1</v>
      </c>
    </row>
    <row r="9130" spans="1:4" x14ac:dyDescent="0.55000000000000004">
      <c r="A9130">
        <f t="shared" si="286"/>
        <v>1988</v>
      </c>
      <c r="B9130" s="821">
        <v>32360</v>
      </c>
      <c r="C9130">
        <v>9.14</v>
      </c>
      <c r="D9130">
        <f t="shared" si="287"/>
        <v>1</v>
      </c>
    </row>
    <row r="9131" spans="1:4" x14ac:dyDescent="0.55000000000000004">
      <c r="A9131">
        <f t="shared" si="286"/>
        <v>1988</v>
      </c>
      <c r="B9131" s="821">
        <v>32359</v>
      </c>
      <c r="C9131">
        <v>9.0399999999999991</v>
      </c>
      <c r="D9131">
        <f t="shared" si="287"/>
        <v>1</v>
      </c>
    </row>
    <row r="9132" spans="1:4" x14ac:dyDescent="0.55000000000000004">
      <c r="A9132">
        <f t="shared" si="286"/>
        <v>1988</v>
      </c>
      <c r="B9132" s="821">
        <v>32358</v>
      </c>
      <c r="C9132">
        <v>9.1</v>
      </c>
      <c r="D9132">
        <f t="shared" si="287"/>
        <v>1</v>
      </c>
    </row>
    <row r="9133" spans="1:4" x14ac:dyDescent="0.55000000000000004">
      <c r="A9133">
        <f t="shared" si="286"/>
        <v>1988</v>
      </c>
      <c r="B9133" s="821">
        <v>32357</v>
      </c>
      <c r="C9133">
        <v>9.08</v>
      </c>
      <c r="D9133">
        <f t="shared" si="287"/>
        <v>1</v>
      </c>
    </row>
    <row r="9134" spans="1:4" x14ac:dyDescent="0.55000000000000004">
      <c r="A9134">
        <f t="shared" si="286"/>
        <v>1988</v>
      </c>
      <c r="B9134" s="821">
        <v>32356</v>
      </c>
      <c r="C9134">
        <v>9.17</v>
      </c>
      <c r="D9134">
        <f t="shared" si="287"/>
        <v>1</v>
      </c>
    </row>
    <row r="9135" spans="1:4" x14ac:dyDescent="0.55000000000000004">
      <c r="A9135">
        <f t="shared" si="286"/>
        <v>1988</v>
      </c>
      <c r="B9135" s="821">
        <v>32353</v>
      </c>
      <c r="C9135">
        <v>9.23</v>
      </c>
      <c r="D9135">
        <f t="shared" si="287"/>
        <v>1</v>
      </c>
    </row>
    <row r="9136" spans="1:4" x14ac:dyDescent="0.55000000000000004">
      <c r="A9136">
        <f t="shared" si="286"/>
        <v>1988</v>
      </c>
      <c r="B9136" s="821">
        <v>32352</v>
      </c>
      <c r="C9136">
        <v>9.27</v>
      </c>
      <c r="D9136">
        <f t="shared" si="287"/>
        <v>1</v>
      </c>
    </row>
    <row r="9137" spans="1:4" x14ac:dyDescent="0.55000000000000004">
      <c r="A9137">
        <f t="shared" si="286"/>
        <v>1988</v>
      </c>
      <c r="B9137" s="821">
        <v>32351</v>
      </c>
      <c r="C9137">
        <v>9.26</v>
      </c>
      <c r="D9137">
        <f t="shared" si="287"/>
        <v>1</v>
      </c>
    </row>
    <row r="9138" spans="1:4" x14ac:dyDescent="0.55000000000000004">
      <c r="A9138">
        <f t="shared" si="286"/>
        <v>1988</v>
      </c>
      <c r="B9138" s="821">
        <v>32350</v>
      </c>
      <c r="C9138">
        <v>9.19</v>
      </c>
      <c r="D9138">
        <f t="shared" si="287"/>
        <v>1</v>
      </c>
    </row>
    <row r="9139" spans="1:4" x14ac:dyDescent="0.55000000000000004">
      <c r="A9139">
        <f t="shared" si="286"/>
        <v>1988</v>
      </c>
      <c r="B9139" s="821">
        <v>32349</v>
      </c>
      <c r="C9139">
        <v>9.16</v>
      </c>
      <c r="D9139">
        <f t="shared" si="287"/>
        <v>1</v>
      </c>
    </row>
    <row r="9140" spans="1:4" x14ac:dyDescent="0.55000000000000004">
      <c r="A9140">
        <f t="shared" si="286"/>
        <v>1988</v>
      </c>
      <c r="B9140" s="821">
        <v>32346</v>
      </c>
      <c r="C9140">
        <v>9.2100000000000009</v>
      </c>
      <c r="D9140">
        <f t="shared" si="287"/>
        <v>1</v>
      </c>
    </row>
    <row r="9141" spans="1:4" x14ac:dyDescent="0.55000000000000004">
      <c r="A9141">
        <f t="shared" si="286"/>
        <v>1988</v>
      </c>
      <c r="B9141" s="821">
        <v>32345</v>
      </c>
      <c r="C9141">
        <v>9.27</v>
      </c>
      <c r="D9141">
        <f t="shared" si="287"/>
        <v>1</v>
      </c>
    </row>
    <row r="9142" spans="1:4" x14ac:dyDescent="0.55000000000000004">
      <c r="A9142">
        <f t="shared" si="286"/>
        <v>1988</v>
      </c>
      <c r="B9142" s="821">
        <v>32344</v>
      </c>
      <c r="C9142">
        <v>9.24</v>
      </c>
      <c r="D9142">
        <f t="shared" si="287"/>
        <v>1</v>
      </c>
    </row>
    <row r="9143" spans="1:4" x14ac:dyDescent="0.55000000000000004">
      <c r="A9143">
        <f t="shared" si="286"/>
        <v>1988</v>
      </c>
      <c r="B9143" s="821">
        <v>32343</v>
      </c>
      <c r="C9143">
        <v>9.2100000000000009</v>
      </c>
      <c r="D9143">
        <f t="shared" si="287"/>
        <v>1</v>
      </c>
    </row>
    <row r="9144" spans="1:4" x14ac:dyDescent="0.55000000000000004">
      <c r="A9144">
        <f t="shared" si="286"/>
        <v>1988</v>
      </c>
      <c r="B9144" s="821">
        <v>32342</v>
      </c>
      <c r="C9144">
        <v>9.24</v>
      </c>
      <c r="D9144">
        <f t="shared" si="287"/>
        <v>1</v>
      </c>
    </row>
    <row r="9145" spans="1:4" x14ac:dyDescent="0.55000000000000004">
      <c r="A9145">
        <f t="shared" si="286"/>
        <v>1988</v>
      </c>
      <c r="B9145" s="821">
        <v>32339</v>
      </c>
      <c r="C9145">
        <v>9.16</v>
      </c>
      <c r="D9145">
        <f t="shared" si="287"/>
        <v>1</v>
      </c>
    </row>
    <row r="9146" spans="1:4" x14ac:dyDescent="0.55000000000000004">
      <c r="A9146">
        <f t="shared" si="286"/>
        <v>1988</v>
      </c>
      <c r="B9146" s="821">
        <v>32338</v>
      </c>
      <c r="C9146">
        <v>9.19</v>
      </c>
      <c r="D9146">
        <f t="shared" si="287"/>
        <v>1</v>
      </c>
    </row>
    <row r="9147" spans="1:4" x14ac:dyDescent="0.55000000000000004">
      <c r="A9147">
        <f t="shared" si="286"/>
        <v>1988</v>
      </c>
      <c r="B9147" s="821">
        <v>32337</v>
      </c>
      <c r="C9147">
        <v>9.1999999999999993</v>
      </c>
      <c r="D9147">
        <f t="shared" si="287"/>
        <v>1</v>
      </c>
    </row>
    <row r="9148" spans="1:4" x14ac:dyDescent="0.55000000000000004">
      <c r="A9148">
        <f t="shared" si="286"/>
        <v>1988</v>
      </c>
      <c r="B9148" s="821">
        <v>32336</v>
      </c>
      <c r="C9148">
        <v>9.11</v>
      </c>
      <c r="D9148">
        <f t="shared" si="287"/>
        <v>1</v>
      </c>
    </row>
    <row r="9149" spans="1:4" x14ac:dyDescent="0.55000000000000004">
      <c r="A9149">
        <f t="shared" si="286"/>
        <v>1988</v>
      </c>
      <c r="B9149" s="821">
        <v>32335</v>
      </c>
      <c r="C9149">
        <v>9.06</v>
      </c>
      <c r="D9149">
        <f t="shared" si="287"/>
        <v>1</v>
      </c>
    </row>
    <row r="9150" spans="1:4" x14ac:dyDescent="0.55000000000000004">
      <c r="A9150">
        <f t="shared" si="286"/>
        <v>1988</v>
      </c>
      <c r="B9150" s="821">
        <v>32332</v>
      </c>
      <c r="C9150">
        <v>9.1</v>
      </c>
      <c r="D9150">
        <f t="shared" si="287"/>
        <v>1</v>
      </c>
    </row>
    <row r="9151" spans="1:4" x14ac:dyDescent="0.55000000000000004">
      <c r="A9151">
        <f t="shared" si="286"/>
        <v>1988</v>
      </c>
      <c r="B9151" s="821">
        <v>32331</v>
      </c>
      <c r="C9151">
        <v>9</v>
      </c>
      <c r="D9151">
        <f t="shared" si="287"/>
        <v>1</v>
      </c>
    </row>
    <row r="9152" spans="1:4" x14ac:dyDescent="0.55000000000000004">
      <c r="A9152">
        <f t="shared" si="286"/>
        <v>1988</v>
      </c>
      <c r="B9152" s="821">
        <v>32330</v>
      </c>
      <c r="C9152">
        <v>8.98</v>
      </c>
      <c r="D9152">
        <f t="shared" si="287"/>
        <v>1</v>
      </c>
    </row>
    <row r="9153" spans="1:4" x14ac:dyDescent="0.55000000000000004">
      <c r="A9153">
        <f t="shared" si="286"/>
        <v>1988</v>
      </c>
      <c r="B9153" s="821">
        <v>32329</v>
      </c>
      <c r="C9153">
        <v>8.8800000000000008</v>
      </c>
      <c r="D9153">
        <f t="shared" si="287"/>
        <v>1</v>
      </c>
    </row>
    <row r="9154" spans="1:4" x14ac:dyDescent="0.55000000000000004">
      <c r="A9154">
        <f t="shared" si="286"/>
        <v>1988</v>
      </c>
      <c r="B9154" s="821">
        <v>32325</v>
      </c>
      <c r="C9154">
        <v>8.84</v>
      </c>
      <c r="D9154">
        <f t="shared" si="287"/>
        <v>1</v>
      </c>
    </row>
    <row r="9155" spans="1:4" x14ac:dyDescent="0.55000000000000004">
      <c r="A9155">
        <f t="shared" si="286"/>
        <v>1988</v>
      </c>
      <c r="B9155" s="821">
        <v>32324</v>
      </c>
      <c r="C9155">
        <v>8.8699999999999992</v>
      </c>
      <c r="D9155">
        <f t="shared" si="287"/>
        <v>1</v>
      </c>
    </row>
    <row r="9156" spans="1:4" x14ac:dyDescent="0.55000000000000004">
      <c r="A9156">
        <f t="shared" ref="A9156:A9219" si="288">YEAR(B9156)</f>
        <v>1988</v>
      </c>
      <c r="B9156" s="821">
        <v>32323</v>
      </c>
      <c r="C9156">
        <v>8.92</v>
      </c>
      <c r="D9156">
        <f t="shared" ref="D9156:D9219" si="289">IF(C9156&gt;4,1,0)</f>
        <v>1</v>
      </c>
    </row>
    <row r="9157" spans="1:4" x14ac:dyDescent="0.55000000000000004">
      <c r="A9157">
        <f t="shared" si="288"/>
        <v>1988</v>
      </c>
      <c r="B9157" s="821">
        <v>32322</v>
      </c>
      <c r="C9157">
        <v>8.89</v>
      </c>
      <c r="D9157">
        <f t="shared" si="289"/>
        <v>1</v>
      </c>
    </row>
    <row r="9158" spans="1:4" x14ac:dyDescent="0.55000000000000004">
      <c r="A9158">
        <f t="shared" si="288"/>
        <v>1988</v>
      </c>
      <c r="B9158" s="821">
        <v>32321</v>
      </c>
      <c r="C9158">
        <v>8.9600000000000009</v>
      </c>
      <c r="D9158">
        <f t="shared" si="289"/>
        <v>1</v>
      </c>
    </row>
    <row r="9159" spans="1:4" x14ac:dyDescent="0.55000000000000004">
      <c r="A9159">
        <f t="shared" si="288"/>
        <v>1988</v>
      </c>
      <c r="B9159" s="821">
        <v>32318</v>
      </c>
      <c r="C9159">
        <v>8.8699999999999992</v>
      </c>
      <c r="D9159">
        <f t="shared" si="289"/>
        <v>1</v>
      </c>
    </row>
    <row r="9160" spans="1:4" x14ac:dyDescent="0.55000000000000004">
      <c r="A9160">
        <f t="shared" si="288"/>
        <v>1988</v>
      </c>
      <c r="B9160" s="821">
        <v>32317</v>
      </c>
      <c r="C9160">
        <v>8.9</v>
      </c>
      <c r="D9160">
        <f t="shared" si="289"/>
        <v>1</v>
      </c>
    </row>
    <row r="9161" spans="1:4" x14ac:dyDescent="0.55000000000000004">
      <c r="A9161">
        <f t="shared" si="288"/>
        <v>1988</v>
      </c>
      <c r="B9161" s="821">
        <v>32316</v>
      </c>
      <c r="C9161">
        <v>8.94</v>
      </c>
      <c r="D9161">
        <f t="shared" si="289"/>
        <v>1</v>
      </c>
    </row>
    <row r="9162" spans="1:4" x14ac:dyDescent="0.55000000000000004">
      <c r="A9162">
        <f t="shared" si="288"/>
        <v>1988</v>
      </c>
      <c r="B9162" s="821">
        <v>32315</v>
      </c>
      <c r="C9162">
        <v>9.1</v>
      </c>
      <c r="D9162">
        <f t="shared" si="289"/>
        <v>1</v>
      </c>
    </row>
    <row r="9163" spans="1:4" x14ac:dyDescent="0.55000000000000004">
      <c r="A9163">
        <f t="shared" si="288"/>
        <v>1988</v>
      </c>
      <c r="B9163" s="821">
        <v>32314</v>
      </c>
      <c r="C9163">
        <v>9.09</v>
      </c>
      <c r="D9163">
        <f t="shared" si="289"/>
        <v>1</v>
      </c>
    </row>
    <row r="9164" spans="1:4" x14ac:dyDescent="0.55000000000000004">
      <c r="A9164">
        <f t="shared" si="288"/>
        <v>1988</v>
      </c>
      <c r="B9164" s="821">
        <v>32311</v>
      </c>
      <c r="C9164">
        <v>9.1199999999999992</v>
      </c>
      <c r="D9164">
        <f t="shared" si="289"/>
        <v>1</v>
      </c>
    </row>
    <row r="9165" spans="1:4" x14ac:dyDescent="0.55000000000000004">
      <c r="A9165">
        <f t="shared" si="288"/>
        <v>1988</v>
      </c>
      <c r="B9165" s="821">
        <v>32310</v>
      </c>
      <c r="C9165">
        <v>8.98</v>
      </c>
      <c r="D9165">
        <f t="shared" si="289"/>
        <v>1</v>
      </c>
    </row>
    <row r="9166" spans="1:4" x14ac:dyDescent="0.55000000000000004">
      <c r="A9166">
        <f t="shared" si="288"/>
        <v>1988</v>
      </c>
      <c r="B9166" s="821">
        <v>32309</v>
      </c>
      <c r="C9166">
        <v>8.83</v>
      </c>
      <c r="D9166">
        <f t="shared" si="289"/>
        <v>1</v>
      </c>
    </row>
    <row r="9167" spans="1:4" x14ac:dyDescent="0.55000000000000004">
      <c r="A9167">
        <f t="shared" si="288"/>
        <v>1988</v>
      </c>
      <c r="B9167" s="821">
        <v>32308</v>
      </c>
      <c r="C9167">
        <v>8.81</v>
      </c>
      <c r="D9167">
        <f t="shared" si="289"/>
        <v>1</v>
      </c>
    </row>
    <row r="9168" spans="1:4" x14ac:dyDescent="0.55000000000000004">
      <c r="A9168">
        <f t="shared" si="288"/>
        <v>1988</v>
      </c>
      <c r="B9168" s="821">
        <v>32307</v>
      </c>
      <c r="C9168">
        <v>9.02</v>
      </c>
      <c r="D9168">
        <f t="shared" si="289"/>
        <v>1</v>
      </c>
    </row>
    <row r="9169" spans="1:4" x14ac:dyDescent="0.55000000000000004">
      <c r="A9169">
        <f t="shared" si="288"/>
        <v>1988</v>
      </c>
      <c r="B9169" s="821">
        <v>32304</v>
      </c>
      <c r="C9169">
        <v>9.0399999999999991</v>
      </c>
      <c r="D9169">
        <f t="shared" si="289"/>
        <v>1</v>
      </c>
    </row>
    <row r="9170" spans="1:4" x14ac:dyDescent="0.55000000000000004">
      <c r="A9170">
        <f t="shared" si="288"/>
        <v>1988</v>
      </c>
      <c r="B9170" s="821">
        <v>32303</v>
      </c>
      <c r="C9170">
        <v>9.06</v>
      </c>
      <c r="D9170">
        <f t="shared" si="289"/>
        <v>1</v>
      </c>
    </row>
    <row r="9171" spans="1:4" x14ac:dyDescent="0.55000000000000004">
      <c r="A9171">
        <f t="shared" si="288"/>
        <v>1988</v>
      </c>
      <c r="B9171" s="821">
        <v>32302</v>
      </c>
      <c r="C9171">
        <v>9.02</v>
      </c>
      <c r="D9171">
        <f t="shared" si="289"/>
        <v>1</v>
      </c>
    </row>
    <row r="9172" spans="1:4" x14ac:dyDescent="0.55000000000000004">
      <c r="A9172">
        <f t="shared" si="288"/>
        <v>1988</v>
      </c>
      <c r="B9172" s="821">
        <v>32301</v>
      </c>
      <c r="C9172">
        <v>9.1199999999999992</v>
      </c>
      <c r="D9172">
        <f t="shared" si="289"/>
        <v>1</v>
      </c>
    </row>
    <row r="9173" spans="1:4" x14ac:dyDescent="0.55000000000000004">
      <c r="A9173">
        <f t="shared" si="288"/>
        <v>1988</v>
      </c>
      <c r="B9173" s="821">
        <v>32300</v>
      </c>
      <c r="C9173">
        <v>9.06</v>
      </c>
      <c r="D9173">
        <f t="shared" si="289"/>
        <v>1</v>
      </c>
    </row>
    <row r="9174" spans="1:4" x14ac:dyDescent="0.55000000000000004">
      <c r="A9174">
        <f t="shared" si="288"/>
        <v>1988</v>
      </c>
      <c r="B9174" s="821">
        <v>32297</v>
      </c>
      <c r="C9174">
        <v>9.07</v>
      </c>
      <c r="D9174">
        <f t="shared" si="289"/>
        <v>1</v>
      </c>
    </row>
    <row r="9175" spans="1:4" x14ac:dyDescent="0.55000000000000004">
      <c r="A9175">
        <f t="shared" si="288"/>
        <v>1988</v>
      </c>
      <c r="B9175" s="821">
        <v>32296</v>
      </c>
      <c r="C9175">
        <v>9.16</v>
      </c>
      <c r="D9175">
        <f t="shared" si="289"/>
        <v>1</v>
      </c>
    </row>
    <row r="9176" spans="1:4" x14ac:dyDescent="0.55000000000000004">
      <c r="A9176">
        <f t="shared" si="288"/>
        <v>1988</v>
      </c>
      <c r="B9176" s="821">
        <v>32295</v>
      </c>
      <c r="C9176">
        <v>9.1199999999999992</v>
      </c>
      <c r="D9176">
        <f t="shared" si="289"/>
        <v>1</v>
      </c>
    </row>
    <row r="9177" spans="1:4" x14ac:dyDescent="0.55000000000000004">
      <c r="A9177">
        <f t="shared" si="288"/>
        <v>1988</v>
      </c>
      <c r="B9177" s="821">
        <v>32294</v>
      </c>
      <c r="C9177">
        <v>9.3000000000000007</v>
      </c>
      <c r="D9177">
        <f t="shared" si="289"/>
        <v>1</v>
      </c>
    </row>
    <row r="9178" spans="1:4" x14ac:dyDescent="0.55000000000000004">
      <c r="A9178">
        <f t="shared" si="288"/>
        <v>1988</v>
      </c>
      <c r="B9178" s="821">
        <v>32290</v>
      </c>
      <c r="C9178">
        <v>9.33</v>
      </c>
      <c r="D9178">
        <f t="shared" si="289"/>
        <v>1</v>
      </c>
    </row>
    <row r="9179" spans="1:4" x14ac:dyDescent="0.55000000000000004">
      <c r="A9179">
        <f t="shared" si="288"/>
        <v>1988</v>
      </c>
      <c r="B9179" s="821">
        <v>32289</v>
      </c>
      <c r="C9179">
        <v>9.32</v>
      </c>
      <c r="D9179">
        <f t="shared" si="289"/>
        <v>1</v>
      </c>
    </row>
    <row r="9180" spans="1:4" x14ac:dyDescent="0.55000000000000004">
      <c r="A9180">
        <f t="shared" si="288"/>
        <v>1988</v>
      </c>
      <c r="B9180" s="821">
        <v>32288</v>
      </c>
      <c r="C9180">
        <v>9.31</v>
      </c>
      <c r="D9180">
        <f t="shared" si="289"/>
        <v>1</v>
      </c>
    </row>
    <row r="9181" spans="1:4" x14ac:dyDescent="0.55000000000000004">
      <c r="A9181">
        <f t="shared" si="288"/>
        <v>1988</v>
      </c>
      <c r="B9181" s="821">
        <v>32287</v>
      </c>
      <c r="C9181">
        <v>9.34</v>
      </c>
      <c r="D9181">
        <f t="shared" si="289"/>
        <v>1</v>
      </c>
    </row>
    <row r="9182" spans="1:4" x14ac:dyDescent="0.55000000000000004">
      <c r="A9182">
        <f t="shared" si="288"/>
        <v>1988</v>
      </c>
      <c r="B9182" s="821">
        <v>32286</v>
      </c>
      <c r="C9182">
        <v>9.36</v>
      </c>
      <c r="D9182">
        <f t="shared" si="289"/>
        <v>1</v>
      </c>
    </row>
    <row r="9183" spans="1:4" x14ac:dyDescent="0.55000000000000004">
      <c r="A9183">
        <f t="shared" si="288"/>
        <v>1988</v>
      </c>
      <c r="B9183" s="821">
        <v>32283</v>
      </c>
      <c r="C9183">
        <v>9.35</v>
      </c>
      <c r="D9183">
        <f t="shared" si="289"/>
        <v>1</v>
      </c>
    </row>
    <row r="9184" spans="1:4" x14ac:dyDescent="0.55000000000000004">
      <c r="A9184">
        <f t="shared" si="288"/>
        <v>1988</v>
      </c>
      <c r="B9184" s="821">
        <v>32282</v>
      </c>
      <c r="C9184">
        <v>9.3000000000000007</v>
      </c>
      <c r="D9184">
        <f t="shared" si="289"/>
        <v>1</v>
      </c>
    </row>
    <row r="9185" spans="1:4" x14ac:dyDescent="0.55000000000000004">
      <c r="A9185">
        <f t="shared" si="288"/>
        <v>1988</v>
      </c>
      <c r="B9185" s="821">
        <v>32281</v>
      </c>
      <c r="C9185">
        <v>9.31</v>
      </c>
      <c r="D9185">
        <f t="shared" si="289"/>
        <v>1</v>
      </c>
    </row>
    <row r="9186" spans="1:4" x14ac:dyDescent="0.55000000000000004">
      <c r="A9186">
        <f t="shared" si="288"/>
        <v>1988</v>
      </c>
      <c r="B9186" s="821">
        <v>32280</v>
      </c>
      <c r="C9186">
        <v>9.2200000000000006</v>
      </c>
      <c r="D9186">
        <f t="shared" si="289"/>
        <v>1</v>
      </c>
    </row>
    <row r="9187" spans="1:4" x14ac:dyDescent="0.55000000000000004">
      <c r="A9187">
        <f t="shared" si="288"/>
        <v>1988</v>
      </c>
      <c r="B9187" s="821">
        <v>32279</v>
      </c>
      <c r="C9187">
        <v>9.1300000000000008</v>
      </c>
      <c r="D9187">
        <f t="shared" si="289"/>
        <v>1</v>
      </c>
    </row>
    <row r="9188" spans="1:4" x14ac:dyDescent="0.55000000000000004">
      <c r="A9188">
        <f t="shared" si="288"/>
        <v>1988</v>
      </c>
      <c r="B9188" s="821">
        <v>32276</v>
      </c>
      <c r="C9188">
        <v>9.11</v>
      </c>
      <c r="D9188">
        <f t="shared" si="289"/>
        <v>1</v>
      </c>
    </row>
    <row r="9189" spans="1:4" x14ac:dyDescent="0.55000000000000004">
      <c r="A9189">
        <f t="shared" si="288"/>
        <v>1988</v>
      </c>
      <c r="B9189" s="821">
        <v>32275</v>
      </c>
      <c r="C9189">
        <v>9.17</v>
      </c>
      <c r="D9189">
        <f t="shared" si="289"/>
        <v>1</v>
      </c>
    </row>
    <row r="9190" spans="1:4" x14ac:dyDescent="0.55000000000000004">
      <c r="A9190">
        <f t="shared" si="288"/>
        <v>1988</v>
      </c>
      <c r="B9190" s="821">
        <v>32274</v>
      </c>
      <c r="C9190">
        <v>9.2200000000000006</v>
      </c>
      <c r="D9190">
        <f t="shared" si="289"/>
        <v>1</v>
      </c>
    </row>
    <row r="9191" spans="1:4" x14ac:dyDescent="0.55000000000000004">
      <c r="A9191">
        <f t="shared" si="288"/>
        <v>1988</v>
      </c>
      <c r="B9191" s="821">
        <v>32273</v>
      </c>
      <c r="C9191">
        <v>9.1999999999999993</v>
      </c>
      <c r="D9191">
        <f t="shared" si="289"/>
        <v>1</v>
      </c>
    </row>
    <row r="9192" spans="1:4" x14ac:dyDescent="0.55000000000000004">
      <c r="A9192">
        <f t="shared" si="288"/>
        <v>1988</v>
      </c>
      <c r="B9192" s="821">
        <v>32272</v>
      </c>
      <c r="C9192">
        <v>9.18</v>
      </c>
      <c r="D9192">
        <f t="shared" si="289"/>
        <v>1</v>
      </c>
    </row>
    <row r="9193" spans="1:4" x14ac:dyDescent="0.55000000000000004">
      <c r="A9193">
        <f t="shared" si="288"/>
        <v>1988</v>
      </c>
      <c r="B9193" s="821">
        <v>32269</v>
      </c>
      <c r="C9193">
        <v>9.18</v>
      </c>
      <c r="D9193">
        <f t="shared" si="289"/>
        <v>1</v>
      </c>
    </row>
    <row r="9194" spans="1:4" x14ac:dyDescent="0.55000000000000004">
      <c r="A9194">
        <f t="shared" si="288"/>
        <v>1988</v>
      </c>
      <c r="B9194" s="821">
        <v>32268</v>
      </c>
      <c r="C9194">
        <v>9.1199999999999992</v>
      </c>
      <c r="D9194">
        <f t="shared" si="289"/>
        <v>1</v>
      </c>
    </row>
    <row r="9195" spans="1:4" x14ac:dyDescent="0.55000000000000004">
      <c r="A9195">
        <f t="shared" si="288"/>
        <v>1988</v>
      </c>
      <c r="B9195" s="821">
        <v>32267</v>
      </c>
      <c r="C9195">
        <v>9.1300000000000008</v>
      </c>
      <c r="D9195">
        <f t="shared" si="289"/>
        <v>1</v>
      </c>
    </row>
    <row r="9196" spans="1:4" x14ac:dyDescent="0.55000000000000004">
      <c r="A9196">
        <f t="shared" si="288"/>
        <v>1988</v>
      </c>
      <c r="B9196" s="821">
        <v>32266</v>
      </c>
      <c r="C9196">
        <v>9.1199999999999992</v>
      </c>
      <c r="D9196">
        <f t="shared" si="289"/>
        <v>1</v>
      </c>
    </row>
    <row r="9197" spans="1:4" x14ac:dyDescent="0.55000000000000004">
      <c r="A9197">
        <f t="shared" si="288"/>
        <v>1988</v>
      </c>
      <c r="B9197" s="821">
        <v>32265</v>
      </c>
      <c r="C9197">
        <v>9.17</v>
      </c>
      <c r="D9197">
        <f t="shared" si="289"/>
        <v>1</v>
      </c>
    </row>
    <row r="9198" spans="1:4" x14ac:dyDescent="0.55000000000000004">
      <c r="A9198">
        <f t="shared" si="288"/>
        <v>1988</v>
      </c>
      <c r="B9198" s="821">
        <v>32262</v>
      </c>
      <c r="C9198">
        <v>9.11</v>
      </c>
      <c r="D9198">
        <f t="shared" si="289"/>
        <v>1</v>
      </c>
    </row>
    <row r="9199" spans="1:4" x14ac:dyDescent="0.55000000000000004">
      <c r="A9199">
        <f t="shared" si="288"/>
        <v>1988</v>
      </c>
      <c r="B9199" s="821">
        <v>32261</v>
      </c>
      <c r="C9199">
        <v>9.11</v>
      </c>
      <c r="D9199">
        <f t="shared" si="289"/>
        <v>1</v>
      </c>
    </row>
    <row r="9200" spans="1:4" x14ac:dyDescent="0.55000000000000004">
      <c r="A9200">
        <f t="shared" si="288"/>
        <v>1988</v>
      </c>
      <c r="B9200" s="821">
        <v>32260</v>
      </c>
      <c r="C9200">
        <v>9.0500000000000007</v>
      </c>
      <c r="D9200">
        <f t="shared" si="289"/>
        <v>1</v>
      </c>
    </row>
    <row r="9201" spans="1:4" x14ac:dyDescent="0.55000000000000004">
      <c r="A9201">
        <f t="shared" si="288"/>
        <v>1988</v>
      </c>
      <c r="B9201" s="821">
        <v>32259</v>
      </c>
      <c r="C9201">
        <v>9.0399999999999991</v>
      </c>
      <c r="D9201">
        <f t="shared" si="289"/>
        <v>1</v>
      </c>
    </row>
    <row r="9202" spans="1:4" x14ac:dyDescent="0.55000000000000004">
      <c r="A9202">
        <f t="shared" si="288"/>
        <v>1988</v>
      </c>
      <c r="B9202" s="821">
        <v>32258</v>
      </c>
      <c r="C9202">
        <v>9.0299999999999994</v>
      </c>
      <c r="D9202">
        <f t="shared" si="289"/>
        <v>1</v>
      </c>
    </row>
    <row r="9203" spans="1:4" x14ac:dyDescent="0.55000000000000004">
      <c r="A9203">
        <f t="shared" si="288"/>
        <v>1988</v>
      </c>
      <c r="B9203" s="821">
        <v>32255</v>
      </c>
      <c r="C9203">
        <v>9.0299999999999994</v>
      </c>
      <c r="D9203">
        <f t="shared" si="289"/>
        <v>1</v>
      </c>
    </row>
    <row r="9204" spans="1:4" x14ac:dyDescent="0.55000000000000004">
      <c r="A9204">
        <f t="shared" si="288"/>
        <v>1988</v>
      </c>
      <c r="B9204" s="821">
        <v>32254</v>
      </c>
      <c r="C9204">
        <v>9.06</v>
      </c>
      <c r="D9204">
        <f t="shared" si="289"/>
        <v>1</v>
      </c>
    </row>
    <row r="9205" spans="1:4" x14ac:dyDescent="0.55000000000000004">
      <c r="A9205">
        <f t="shared" si="288"/>
        <v>1988</v>
      </c>
      <c r="B9205" s="821">
        <v>32253</v>
      </c>
      <c r="C9205">
        <v>9.06</v>
      </c>
      <c r="D9205">
        <f t="shared" si="289"/>
        <v>1</v>
      </c>
    </row>
    <row r="9206" spans="1:4" x14ac:dyDescent="0.55000000000000004">
      <c r="A9206">
        <f t="shared" si="288"/>
        <v>1988</v>
      </c>
      <c r="B9206" s="821">
        <v>32252</v>
      </c>
      <c r="C9206">
        <v>9.06</v>
      </c>
      <c r="D9206">
        <f t="shared" si="289"/>
        <v>1</v>
      </c>
    </row>
    <row r="9207" spans="1:4" x14ac:dyDescent="0.55000000000000004">
      <c r="A9207">
        <f t="shared" si="288"/>
        <v>1988</v>
      </c>
      <c r="B9207" s="821">
        <v>32251</v>
      </c>
      <c r="C9207">
        <v>9.0299999999999994</v>
      </c>
      <c r="D9207">
        <f t="shared" si="289"/>
        <v>1</v>
      </c>
    </row>
    <row r="9208" spans="1:4" x14ac:dyDescent="0.55000000000000004">
      <c r="A9208">
        <f t="shared" si="288"/>
        <v>1988</v>
      </c>
      <c r="B9208" s="821">
        <v>32248</v>
      </c>
      <c r="C9208">
        <v>8.9700000000000006</v>
      </c>
      <c r="D9208">
        <f t="shared" si="289"/>
        <v>1</v>
      </c>
    </row>
    <row r="9209" spans="1:4" x14ac:dyDescent="0.55000000000000004">
      <c r="A9209">
        <f t="shared" si="288"/>
        <v>1988</v>
      </c>
      <c r="B9209" s="821">
        <v>32247</v>
      </c>
      <c r="C9209">
        <v>8.91</v>
      </c>
      <c r="D9209">
        <f t="shared" si="289"/>
        <v>1</v>
      </c>
    </row>
    <row r="9210" spans="1:4" x14ac:dyDescent="0.55000000000000004">
      <c r="A9210">
        <f t="shared" si="288"/>
        <v>1988</v>
      </c>
      <c r="B9210" s="821">
        <v>32246</v>
      </c>
      <c r="C9210">
        <v>8.77</v>
      </c>
      <c r="D9210">
        <f t="shared" si="289"/>
        <v>1</v>
      </c>
    </row>
    <row r="9211" spans="1:4" x14ac:dyDescent="0.55000000000000004">
      <c r="A9211">
        <f t="shared" si="288"/>
        <v>1988</v>
      </c>
      <c r="B9211" s="821">
        <v>32245</v>
      </c>
      <c r="C9211">
        <v>8.7899999999999991</v>
      </c>
      <c r="D9211">
        <f t="shared" si="289"/>
        <v>1</v>
      </c>
    </row>
    <row r="9212" spans="1:4" x14ac:dyDescent="0.55000000000000004">
      <c r="A9212">
        <f t="shared" si="288"/>
        <v>1988</v>
      </c>
      <c r="B9212" s="821">
        <v>32244</v>
      </c>
      <c r="C9212">
        <v>8.82</v>
      </c>
      <c r="D9212">
        <f t="shared" si="289"/>
        <v>1</v>
      </c>
    </row>
    <row r="9213" spans="1:4" x14ac:dyDescent="0.55000000000000004">
      <c r="A9213">
        <f t="shared" si="288"/>
        <v>1988</v>
      </c>
      <c r="B9213" s="821">
        <v>32241</v>
      </c>
      <c r="C9213">
        <v>8.74</v>
      </c>
      <c r="D9213">
        <f t="shared" si="289"/>
        <v>1</v>
      </c>
    </row>
    <row r="9214" spans="1:4" x14ac:dyDescent="0.55000000000000004">
      <c r="A9214">
        <f t="shared" si="288"/>
        <v>1988</v>
      </c>
      <c r="B9214" s="821">
        <v>32240</v>
      </c>
      <c r="C9214">
        <v>8.82</v>
      </c>
      <c r="D9214">
        <f t="shared" si="289"/>
        <v>1</v>
      </c>
    </row>
    <row r="9215" spans="1:4" x14ac:dyDescent="0.55000000000000004">
      <c r="A9215">
        <f t="shared" si="288"/>
        <v>1988</v>
      </c>
      <c r="B9215" s="821">
        <v>32239</v>
      </c>
      <c r="C9215">
        <v>8.83</v>
      </c>
      <c r="D9215">
        <f t="shared" si="289"/>
        <v>1</v>
      </c>
    </row>
    <row r="9216" spans="1:4" x14ac:dyDescent="0.55000000000000004">
      <c r="A9216">
        <f t="shared" si="288"/>
        <v>1988</v>
      </c>
      <c r="B9216" s="821">
        <v>32238</v>
      </c>
      <c r="C9216">
        <v>8.9</v>
      </c>
      <c r="D9216">
        <f t="shared" si="289"/>
        <v>1</v>
      </c>
    </row>
    <row r="9217" spans="1:4" x14ac:dyDescent="0.55000000000000004">
      <c r="A9217">
        <f t="shared" si="288"/>
        <v>1988</v>
      </c>
      <c r="B9217" s="821">
        <v>32237</v>
      </c>
      <c r="C9217">
        <v>8.92</v>
      </c>
      <c r="D9217">
        <f t="shared" si="289"/>
        <v>1</v>
      </c>
    </row>
    <row r="9218" spans="1:4" x14ac:dyDescent="0.55000000000000004">
      <c r="A9218">
        <f t="shared" si="288"/>
        <v>1988</v>
      </c>
      <c r="B9218" s="821">
        <v>32233</v>
      </c>
      <c r="C9218">
        <v>8.82</v>
      </c>
      <c r="D9218">
        <f t="shared" si="289"/>
        <v>1</v>
      </c>
    </row>
    <row r="9219" spans="1:4" x14ac:dyDescent="0.55000000000000004">
      <c r="A9219">
        <f t="shared" si="288"/>
        <v>1988</v>
      </c>
      <c r="B9219" s="821">
        <v>32232</v>
      </c>
      <c r="C9219">
        <v>8.83</v>
      </c>
      <c r="D9219">
        <f t="shared" si="289"/>
        <v>1</v>
      </c>
    </row>
    <row r="9220" spans="1:4" x14ac:dyDescent="0.55000000000000004">
      <c r="A9220">
        <f t="shared" ref="A9220:A9283" si="290">YEAR(B9220)</f>
        <v>1988</v>
      </c>
      <c r="B9220" s="821">
        <v>32231</v>
      </c>
      <c r="C9220">
        <v>8.81</v>
      </c>
      <c r="D9220">
        <f t="shared" ref="D9220:D9283" si="291">IF(C9220&gt;4,1,0)</f>
        <v>1</v>
      </c>
    </row>
    <row r="9221" spans="1:4" x14ac:dyDescent="0.55000000000000004">
      <c r="A9221">
        <f t="shared" si="290"/>
        <v>1988</v>
      </c>
      <c r="B9221" s="821">
        <v>32230</v>
      </c>
      <c r="C9221">
        <v>8.83</v>
      </c>
      <c r="D9221">
        <f t="shared" si="291"/>
        <v>1</v>
      </c>
    </row>
    <row r="9222" spans="1:4" x14ac:dyDescent="0.55000000000000004">
      <c r="A9222">
        <f t="shared" si="290"/>
        <v>1988</v>
      </c>
      <c r="B9222" s="821">
        <v>32227</v>
      </c>
      <c r="C9222">
        <v>8.7200000000000006</v>
      </c>
      <c r="D9222">
        <f t="shared" si="291"/>
        <v>1</v>
      </c>
    </row>
    <row r="9223" spans="1:4" x14ac:dyDescent="0.55000000000000004">
      <c r="A9223">
        <f t="shared" si="290"/>
        <v>1988</v>
      </c>
      <c r="B9223" s="821">
        <v>32226</v>
      </c>
      <c r="C9223">
        <v>8.77</v>
      </c>
      <c r="D9223">
        <f t="shared" si="291"/>
        <v>1</v>
      </c>
    </row>
    <row r="9224" spans="1:4" x14ac:dyDescent="0.55000000000000004">
      <c r="A9224">
        <f t="shared" si="290"/>
        <v>1988</v>
      </c>
      <c r="B9224" s="821">
        <v>32225</v>
      </c>
      <c r="C9224">
        <v>8.76</v>
      </c>
      <c r="D9224">
        <f t="shared" si="291"/>
        <v>1</v>
      </c>
    </row>
    <row r="9225" spans="1:4" x14ac:dyDescent="0.55000000000000004">
      <c r="A9225">
        <f t="shared" si="290"/>
        <v>1988</v>
      </c>
      <c r="B9225" s="821">
        <v>32224</v>
      </c>
      <c r="C9225">
        <v>8.73</v>
      </c>
      <c r="D9225">
        <f t="shared" si="291"/>
        <v>1</v>
      </c>
    </row>
    <row r="9226" spans="1:4" x14ac:dyDescent="0.55000000000000004">
      <c r="A9226">
        <f t="shared" si="290"/>
        <v>1988</v>
      </c>
      <c r="B9226" s="821">
        <v>32223</v>
      </c>
      <c r="C9226">
        <v>8.74</v>
      </c>
      <c r="D9226">
        <f t="shared" si="291"/>
        <v>1</v>
      </c>
    </row>
    <row r="9227" spans="1:4" x14ac:dyDescent="0.55000000000000004">
      <c r="A9227">
        <f t="shared" si="290"/>
        <v>1988</v>
      </c>
      <c r="B9227" s="821">
        <v>32220</v>
      </c>
      <c r="C9227">
        <v>8.69</v>
      </c>
      <c r="D9227">
        <f t="shared" si="291"/>
        <v>1</v>
      </c>
    </row>
    <row r="9228" spans="1:4" x14ac:dyDescent="0.55000000000000004">
      <c r="A9228">
        <f t="shared" si="290"/>
        <v>1988</v>
      </c>
      <c r="B9228" s="821">
        <v>32219</v>
      </c>
      <c r="C9228">
        <v>8.57</v>
      </c>
      <c r="D9228">
        <f t="shared" si="291"/>
        <v>1</v>
      </c>
    </row>
    <row r="9229" spans="1:4" x14ac:dyDescent="0.55000000000000004">
      <c r="A9229">
        <f t="shared" si="290"/>
        <v>1988</v>
      </c>
      <c r="B9229" s="821">
        <v>32218</v>
      </c>
      <c r="C9229">
        <v>8.6300000000000008</v>
      </c>
      <c r="D9229">
        <f t="shared" si="291"/>
        <v>1</v>
      </c>
    </row>
    <row r="9230" spans="1:4" x14ac:dyDescent="0.55000000000000004">
      <c r="A9230">
        <f t="shared" si="290"/>
        <v>1988</v>
      </c>
      <c r="B9230" s="821">
        <v>32217</v>
      </c>
      <c r="C9230">
        <v>8.56</v>
      </c>
      <c r="D9230">
        <f t="shared" si="291"/>
        <v>1</v>
      </c>
    </row>
    <row r="9231" spans="1:4" x14ac:dyDescent="0.55000000000000004">
      <c r="A9231">
        <f t="shared" si="290"/>
        <v>1988</v>
      </c>
      <c r="B9231" s="821">
        <v>32216</v>
      </c>
      <c r="C9231">
        <v>8.5500000000000007</v>
      </c>
      <c r="D9231">
        <f t="shared" si="291"/>
        <v>1</v>
      </c>
    </row>
    <row r="9232" spans="1:4" x14ac:dyDescent="0.55000000000000004">
      <c r="A9232">
        <f t="shared" si="290"/>
        <v>1988</v>
      </c>
      <c r="B9232" s="821">
        <v>32213</v>
      </c>
      <c r="C9232">
        <v>8.5500000000000007</v>
      </c>
      <c r="D9232">
        <f t="shared" si="291"/>
        <v>1</v>
      </c>
    </row>
    <row r="9233" spans="1:4" x14ac:dyDescent="0.55000000000000004">
      <c r="A9233">
        <f t="shared" si="290"/>
        <v>1988</v>
      </c>
      <c r="B9233" s="821">
        <v>32212</v>
      </c>
      <c r="C9233">
        <v>8.6</v>
      </c>
      <c r="D9233">
        <f t="shared" si="291"/>
        <v>1</v>
      </c>
    </row>
    <row r="9234" spans="1:4" x14ac:dyDescent="0.55000000000000004">
      <c r="A9234">
        <f t="shared" si="290"/>
        <v>1988</v>
      </c>
      <c r="B9234" s="821">
        <v>32211</v>
      </c>
      <c r="C9234">
        <v>8.58</v>
      </c>
      <c r="D9234">
        <f t="shared" si="291"/>
        <v>1</v>
      </c>
    </row>
    <row r="9235" spans="1:4" x14ac:dyDescent="0.55000000000000004">
      <c r="A9235">
        <f t="shared" si="290"/>
        <v>1988</v>
      </c>
      <c r="B9235" s="821">
        <v>32210</v>
      </c>
      <c r="C9235">
        <v>8.58</v>
      </c>
      <c r="D9235">
        <f t="shared" si="291"/>
        <v>1</v>
      </c>
    </row>
    <row r="9236" spans="1:4" x14ac:dyDescent="0.55000000000000004">
      <c r="A9236">
        <f t="shared" si="290"/>
        <v>1988</v>
      </c>
      <c r="B9236" s="821">
        <v>32209</v>
      </c>
      <c r="C9236">
        <v>8.5399999999999991</v>
      </c>
      <c r="D9236">
        <f t="shared" si="291"/>
        <v>1</v>
      </c>
    </row>
    <row r="9237" spans="1:4" x14ac:dyDescent="0.55000000000000004">
      <c r="A9237">
        <f t="shared" si="290"/>
        <v>1988</v>
      </c>
      <c r="B9237" s="821">
        <v>32206</v>
      </c>
      <c r="C9237">
        <v>8.52</v>
      </c>
      <c r="D9237">
        <f t="shared" si="291"/>
        <v>1</v>
      </c>
    </row>
    <row r="9238" spans="1:4" x14ac:dyDescent="0.55000000000000004">
      <c r="A9238">
        <f t="shared" si="290"/>
        <v>1988</v>
      </c>
      <c r="B9238" s="821">
        <v>32205</v>
      </c>
      <c r="C9238">
        <v>8.36</v>
      </c>
      <c r="D9238">
        <f t="shared" si="291"/>
        <v>1</v>
      </c>
    </row>
    <row r="9239" spans="1:4" x14ac:dyDescent="0.55000000000000004">
      <c r="A9239">
        <f t="shared" si="290"/>
        <v>1988</v>
      </c>
      <c r="B9239" s="821">
        <v>32204</v>
      </c>
      <c r="C9239">
        <v>8.3699999999999992</v>
      </c>
      <c r="D9239">
        <f t="shared" si="291"/>
        <v>1</v>
      </c>
    </row>
    <row r="9240" spans="1:4" x14ac:dyDescent="0.55000000000000004">
      <c r="A9240">
        <f t="shared" si="290"/>
        <v>1988</v>
      </c>
      <c r="B9240" s="821">
        <v>32203</v>
      </c>
      <c r="C9240">
        <v>8.4</v>
      </c>
      <c r="D9240">
        <f t="shared" si="291"/>
        <v>1</v>
      </c>
    </row>
    <row r="9241" spans="1:4" x14ac:dyDescent="0.55000000000000004">
      <c r="A9241">
        <f t="shared" si="290"/>
        <v>1988</v>
      </c>
      <c r="B9241" s="821">
        <v>32202</v>
      </c>
      <c r="C9241">
        <v>8.39</v>
      </c>
      <c r="D9241">
        <f t="shared" si="291"/>
        <v>1</v>
      </c>
    </row>
    <row r="9242" spans="1:4" x14ac:dyDescent="0.55000000000000004">
      <c r="A9242">
        <f t="shared" si="290"/>
        <v>1988</v>
      </c>
      <c r="B9242" s="821">
        <v>32199</v>
      </c>
      <c r="C9242">
        <v>8.42</v>
      </c>
      <c r="D9242">
        <f t="shared" si="291"/>
        <v>1</v>
      </c>
    </row>
    <row r="9243" spans="1:4" x14ac:dyDescent="0.55000000000000004">
      <c r="A9243">
        <f t="shared" si="290"/>
        <v>1988</v>
      </c>
      <c r="B9243" s="821">
        <v>32198</v>
      </c>
      <c r="C9243">
        <v>8.4499999999999993</v>
      </c>
      <c r="D9243">
        <f t="shared" si="291"/>
        <v>1</v>
      </c>
    </row>
    <row r="9244" spans="1:4" x14ac:dyDescent="0.55000000000000004">
      <c r="A9244">
        <f t="shared" si="290"/>
        <v>1988</v>
      </c>
      <c r="B9244" s="821">
        <v>32197</v>
      </c>
      <c r="C9244">
        <v>8.41</v>
      </c>
      <c r="D9244">
        <f t="shared" si="291"/>
        <v>1</v>
      </c>
    </row>
    <row r="9245" spans="1:4" x14ac:dyDescent="0.55000000000000004">
      <c r="A9245">
        <f t="shared" si="290"/>
        <v>1988</v>
      </c>
      <c r="B9245" s="821">
        <v>32196</v>
      </c>
      <c r="C9245">
        <v>8.4</v>
      </c>
      <c r="D9245">
        <f t="shared" si="291"/>
        <v>1</v>
      </c>
    </row>
    <row r="9246" spans="1:4" x14ac:dyDescent="0.55000000000000004">
      <c r="A9246">
        <f t="shared" si="290"/>
        <v>1988</v>
      </c>
      <c r="B9246" s="821">
        <v>32195</v>
      </c>
      <c r="C9246">
        <v>8.48</v>
      </c>
      <c r="D9246">
        <f t="shared" si="291"/>
        <v>1</v>
      </c>
    </row>
    <row r="9247" spans="1:4" x14ac:dyDescent="0.55000000000000004">
      <c r="A9247">
        <f t="shared" si="290"/>
        <v>1988</v>
      </c>
      <c r="B9247" s="821">
        <v>32192</v>
      </c>
      <c r="C9247">
        <v>8.5</v>
      </c>
      <c r="D9247">
        <f t="shared" si="291"/>
        <v>1</v>
      </c>
    </row>
    <row r="9248" spans="1:4" x14ac:dyDescent="0.55000000000000004">
      <c r="A9248">
        <f t="shared" si="290"/>
        <v>1988</v>
      </c>
      <c r="B9248" s="821">
        <v>32191</v>
      </c>
      <c r="C9248">
        <v>8.51</v>
      </c>
      <c r="D9248">
        <f t="shared" si="291"/>
        <v>1</v>
      </c>
    </row>
    <row r="9249" spans="1:4" x14ac:dyDescent="0.55000000000000004">
      <c r="A9249">
        <f t="shared" si="290"/>
        <v>1988</v>
      </c>
      <c r="B9249" s="821">
        <v>32190</v>
      </c>
      <c r="C9249">
        <v>8.5399999999999991</v>
      </c>
      <c r="D9249">
        <f t="shared" si="291"/>
        <v>1</v>
      </c>
    </row>
    <row r="9250" spans="1:4" x14ac:dyDescent="0.55000000000000004">
      <c r="A9250">
        <f t="shared" si="290"/>
        <v>1988</v>
      </c>
      <c r="B9250" s="821">
        <v>32189</v>
      </c>
      <c r="C9250">
        <v>8.5299999999999994</v>
      </c>
      <c r="D9250">
        <f t="shared" si="291"/>
        <v>1</v>
      </c>
    </row>
    <row r="9251" spans="1:4" x14ac:dyDescent="0.55000000000000004">
      <c r="A9251">
        <f t="shared" si="290"/>
        <v>1988</v>
      </c>
      <c r="B9251" s="821">
        <v>32185</v>
      </c>
      <c r="C9251">
        <v>8.5</v>
      </c>
      <c r="D9251">
        <f t="shared" si="291"/>
        <v>1</v>
      </c>
    </row>
    <row r="9252" spans="1:4" x14ac:dyDescent="0.55000000000000004">
      <c r="A9252">
        <f t="shared" si="290"/>
        <v>1988</v>
      </c>
      <c r="B9252" s="821">
        <v>32184</v>
      </c>
      <c r="C9252">
        <v>8.4</v>
      </c>
      <c r="D9252">
        <f t="shared" si="291"/>
        <v>1</v>
      </c>
    </row>
    <row r="9253" spans="1:4" x14ac:dyDescent="0.55000000000000004">
      <c r="A9253">
        <f t="shared" si="290"/>
        <v>1988</v>
      </c>
      <c r="B9253" s="821">
        <v>32183</v>
      </c>
      <c r="C9253">
        <v>8.35</v>
      </c>
      <c r="D9253">
        <f t="shared" si="291"/>
        <v>1</v>
      </c>
    </row>
    <row r="9254" spans="1:4" x14ac:dyDescent="0.55000000000000004">
      <c r="A9254">
        <f t="shared" si="290"/>
        <v>1988</v>
      </c>
      <c r="B9254" s="821">
        <v>32182</v>
      </c>
      <c r="C9254">
        <v>8.4</v>
      </c>
      <c r="D9254">
        <f t="shared" si="291"/>
        <v>1</v>
      </c>
    </row>
    <row r="9255" spans="1:4" x14ac:dyDescent="0.55000000000000004">
      <c r="A9255">
        <f t="shared" si="290"/>
        <v>1988</v>
      </c>
      <c r="B9255" s="821">
        <v>32181</v>
      </c>
      <c r="C9255">
        <v>8.41</v>
      </c>
      <c r="D9255">
        <f t="shared" si="291"/>
        <v>1</v>
      </c>
    </row>
    <row r="9256" spans="1:4" x14ac:dyDescent="0.55000000000000004">
      <c r="A9256">
        <f t="shared" si="290"/>
        <v>1988</v>
      </c>
      <c r="B9256" s="821">
        <v>32178</v>
      </c>
      <c r="C9256">
        <v>8.36</v>
      </c>
      <c r="D9256">
        <f t="shared" si="291"/>
        <v>1</v>
      </c>
    </row>
    <row r="9257" spans="1:4" x14ac:dyDescent="0.55000000000000004">
      <c r="A9257">
        <f t="shared" si="290"/>
        <v>1988</v>
      </c>
      <c r="B9257" s="821">
        <v>32177</v>
      </c>
      <c r="C9257">
        <v>8.4600000000000009</v>
      </c>
      <c r="D9257">
        <f t="shared" si="291"/>
        <v>1</v>
      </c>
    </row>
    <row r="9258" spans="1:4" x14ac:dyDescent="0.55000000000000004">
      <c r="A9258">
        <f t="shared" si="290"/>
        <v>1988</v>
      </c>
      <c r="B9258" s="821">
        <v>32176</v>
      </c>
      <c r="C9258">
        <v>8.39</v>
      </c>
      <c r="D9258">
        <f t="shared" si="291"/>
        <v>1</v>
      </c>
    </row>
    <row r="9259" spans="1:4" x14ac:dyDescent="0.55000000000000004">
      <c r="A9259">
        <f t="shared" si="290"/>
        <v>1988</v>
      </c>
      <c r="B9259" s="821">
        <v>32175</v>
      </c>
      <c r="C9259">
        <v>8.32</v>
      </c>
      <c r="D9259">
        <f t="shared" si="291"/>
        <v>1</v>
      </c>
    </row>
    <row r="9260" spans="1:4" x14ac:dyDescent="0.55000000000000004">
      <c r="A9260">
        <f t="shared" si="290"/>
        <v>1988</v>
      </c>
      <c r="B9260" s="821">
        <v>32174</v>
      </c>
      <c r="C9260">
        <v>8.42</v>
      </c>
      <c r="D9260">
        <f t="shared" si="291"/>
        <v>1</v>
      </c>
    </row>
    <row r="9261" spans="1:4" x14ac:dyDescent="0.55000000000000004">
      <c r="A9261">
        <f t="shared" si="290"/>
        <v>1988</v>
      </c>
      <c r="B9261" s="821">
        <v>32171</v>
      </c>
      <c r="C9261">
        <v>8.42</v>
      </c>
      <c r="D9261">
        <f t="shared" si="291"/>
        <v>1</v>
      </c>
    </row>
    <row r="9262" spans="1:4" x14ac:dyDescent="0.55000000000000004">
      <c r="A9262">
        <f t="shared" si="290"/>
        <v>1988</v>
      </c>
      <c r="B9262" s="821">
        <v>32170</v>
      </c>
      <c r="C9262">
        <v>8.49</v>
      </c>
      <c r="D9262">
        <f t="shared" si="291"/>
        <v>1</v>
      </c>
    </row>
    <row r="9263" spans="1:4" x14ac:dyDescent="0.55000000000000004">
      <c r="A9263">
        <f t="shared" si="290"/>
        <v>1988</v>
      </c>
      <c r="B9263" s="821">
        <v>32169</v>
      </c>
      <c r="C9263">
        <v>8.5500000000000007</v>
      </c>
      <c r="D9263">
        <f t="shared" si="291"/>
        <v>1</v>
      </c>
    </row>
    <row r="9264" spans="1:4" x14ac:dyDescent="0.55000000000000004">
      <c r="A9264">
        <f t="shared" si="290"/>
        <v>1988</v>
      </c>
      <c r="B9264" s="821">
        <v>32168</v>
      </c>
      <c r="C9264">
        <v>8.7100000000000009</v>
      </c>
      <c r="D9264">
        <f t="shared" si="291"/>
        <v>1</v>
      </c>
    </row>
    <row r="9265" spans="1:4" x14ac:dyDescent="0.55000000000000004">
      <c r="A9265">
        <f t="shared" si="290"/>
        <v>1988</v>
      </c>
      <c r="B9265" s="821">
        <v>32167</v>
      </c>
      <c r="C9265">
        <v>8.6199999999999992</v>
      </c>
      <c r="D9265">
        <f t="shared" si="291"/>
        <v>1</v>
      </c>
    </row>
    <row r="9266" spans="1:4" x14ac:dyDescent="0.55000000000000004">
      <c r="A9266">
        <f t="shared" si="290"/>
        <v>1988</v>
      </c>
      <c r="B9266" s="821">
        <v>32164</v>
      </c>
      <c r="C9266">
        <v>8.67</v>
      </c>
      <c r="D9266">
        <f t="shared" si="291"/>
        <v>1</v>
      </c>
    </row>
    <row r="9267" spans="1:4" x14ac:dyDescent="0.55000000000000004">
      <c r="A9267">
        <f t="shared" si="290"/>
        <v>1988</v>
      </c>
      <c r="B9267" s="821">
        <v>32163</v>
      </c>
      <c r="C9267">
        <v>8.6999999999999993</v>
      </c>
      <c r="D9267">
        <f t="shared" si="291"/>
        <v>1</v>
      </c>
    </row>
    <row r="9268" spans="1:4" x14ac:dyDescent="0.55000000000000004">
      <c r="A9268">
        <f t="shared" si="290"/>
        <v>1988</v>
      </c>
      <c r="B9268" s="821">
        <v>32162</v>
      </c>
      <c r="C9268">
        <v>8.7799999999999994</v>
      </c>
      <c r="D9268">
        <f t="shared" si="291"/>
        <v>1</v>
      </c>
    </row>
    <row r="9269" spans="1:4" x14ac:dyDescent="0.55000000000000004">
      <c r="A9269">
        <f t="shared" si="290"/>
        <v>1988</v>
      </c>
      <c r="B9269" s="821">
        <v>32161</v>
      </c>
      <c r="C9269">
        <v>8.81</v>
      </c>
      <c r="D9269">
        <f t="shared" si="291"/>
        <v>1</v>
      </c>
    </row>
    <row r="9270" spans="1:4" x14ac:dyDescent="0.55000000000000004">
      <c r="A9270">
        <f t="shared" si="290"/>
        <v>1988</v>
      </c>
      <c r="B9270" s="821">
        <v>32157</v>
      </c>
      <c r="C9270">
        <v>8.76</v>
      </c>
      <c r="D9270">
        <f t="shared" si="291"/>
        <v>1</v>
      </c>
    </row>
    <row r="9271" spans="1:4" x14ac:dyDescent="0.55000000000000004">
      <c r="A9271">
        <f t="shared" si="290"/>
        <v>1988</v>
      </c>
      <c r="B9271" s="821">
        <v>32156</v>
      </c>
      <c r="C9271">
        <v>9.0500000000000007</v>
      </c>
      <c r="D9271">
        <f t="shared" si="291"/>
        <v>1</v>
      </c>
    </row>
    <row r="9272" spans="1:4" x14ac:dyDescent="0.55000000000000004">
      <c r="A9272">
        <f t="shared" si="290"/>
        <v>1988</v>
      </c>
      <c r="B9272" s="821">
        <v>32155</v>
      </c>
      <c r="C9272">
        <v>9.0500000000000007</v>
      </c>
      <c r="D9272">
        <f t="shared" si="291"/>
        <v>1</v>
      </c>
    </row>
    <row r="9273" spans="1:4" x14ac:dyDescent="0.55000000000000004">
      <c r="A9273">
        <f t="shared" si="290"/>
        <v>1988</v>
      </c>
      <c r="B9273" s="821">
        <v>32154</v>
      </c>
      <c r="C9273">
        <v>9.1</v>
      </c>
      <c r="D9273">
        <f t="shared" si="291"/>
        <v>1</v>
      </c>
    </row>
    <row r="9274" spans="1:4" x14ac:dyDescent="0.55000000000000004">
      <c r="A9274">
        <f t="shared" si="290"/>
        <v>1988</v>
      </c>
      <c r="B9274" s="821">
        <v>32153</v>
      </c>
      <c r="C9274">
        <v>9.1</v>
      </c>
      <c r="D9274">
        <f t="shared" si="291"/>
        <v>1</v>
      </c>
    </row>
    <row r="9275" spans="1:4" x14ac:dyDescent="0.55000000000000004">
      <c r="A9275">
        <f t="shared" si="290"/>
        <v>1988</v>
      </c>
      <c r="B9275" s="821">
        <v>32150</v>
      </c>
      <c r="C9275">
        <v>9.1199999999999992</v>
      </c>
      <c r="D9275">
        <f t="shared" si="291"/>
        <v>1</v>
      </c>
    </row>
    <row r="9276" spans="1:4" x14ac:dyDescent="0.55000000000000004">
      <c r="A9276">
        <f t="shared" si="290"/>
        <v>1988</v>
      </c>
      <c r="B9276" s="821">
        <v>32149</v>
      </c>
      <c r="C9276">
        <v>8.9700000000000006</v>
      </c>
      <c r="D9276">
        <f t="shared" si="291"/>
        <v>1</v>
      </c>
    </row>
    <row r="9277" spans="1:4" x14ac:dyDescent="0.55000000000000004">
      <c r="A9277">
        <f t="shared" si="290"/>
        <v>1988</v>
      </c>
      <c r="B9277" s="821">
        <v>32148</v>
      </c>
      <c r="C9277">
        <v>8.9700000000000006</v>
      </c>
      <c r="D9277">
        <f t="shared" si="291"/>
        <v>1</v>
      </c>
    </row>
    <row r="9278" spans="1:4" x14ac:dyDescent="0.55000000000000004">
      <c r="A9278">
        <f t="shared" si="290"/>
        <v>1988</v>
      </c>
      <c r="B9278" s="821">
        <v>32147</v>
      </c>
      <c r="C9278">
        <v>8.8800000000000008</v>
      </c>
      <c r="D9278">
        <f t="shared" si="291"/>
        <v>1</v>
      </c>
    </row>
    <row r="9279" spans="1:4" x14ac:dyDescent="0.55000000000000004">
      <c r="A9279">
        <f t="shared" si="290"/>
        <v>1988</v>
      </c>
      <c r="B9279" s="821">
        <v>32146</v>
      </c>
      <c r="C9279">
        <v>8.9499999999999993</v>
      </c>
      <c r="D9279">
        <f t="shared" si="291"/>
        <v>1</v>
      </c>
    </row>
    <row r="9280" spans="1:4" x14ac:dyDescent="0.55000000000000004">
      <c r="A9280">
        <f t="shared" si="290"/>
        <v>1987</v>
      </c>
      <c r="B9280" s="821">
        <v>32142</v>
      </c>
      <c r="C9280">
        <v>8.9499999999999993</v>
      </c>
      <c r="D9280">
        <f t="shared" si="291"/>
        <v>1</v>
      </c>
    </row>
    <row r="9281" spans="1:4" x14ac:dyDescent="0.55000000000000004">
      <c r="A9281">
        <f t="shared" si="290"/>
        <v>1987</v>
      </c>
      <c r="B9281" s="821">
        <v>32141</v>
      </c>
      <c r="C9281">
        <v>8.9</v>
      </c>
      <c r="D9281">
        <f t="shared" si="291"/>
        <v>1</v>
      </c>
    </row>
    <row r="9282" spans="1:4" x14ac:dyDescent="0.55000000000000004">
      <c r="A9282">
        <f t="shared" si="290"/>
        <v>1987</v>
      </c>
      <c r="B9282" s="821">
        <v>32140</v>
      </c>
      <c r="C9282">
        <v>8.9499999999999993</v>
      </c>
      <c r="D9282">
        <f t="shared" si="291"/>
        <v>1</v>
      </c>
    </row>
    <row r="9283" spans="1:4" x14ac:dyDescent="0.55000000000000004">
      <c r="A9283">
        <f t="shared" si="290"/>
        <v>1987</v>
      </c>
      <c r="B9283" s="821">
        <v>32139</v>
      </c>
      <c r="C9283">
        <v>9.01</v>
      </c>
      <c r="D9283">
        <f t="shared" si="291"/>
        <v>1</v>
      </c>
    </row>
    <row r="9284" spans="1:4" x14ac:dyDescent="0.55000000000000004">
      <c r="A9284">
        <f t="shared" ref="A9284:A9347" si="292">YEAR(B9284)</f>
        <v>1987</v>
      </c>
      <c r="B9284" s="821">
        <v>32135</v>
      </c>
      <c r="C9284">
        <v>8.9</v>
      </c>
      <c r="D9284">
        <f t="shared" ref="D9284:D9347" si="293">IF(C9284&gt;4,1,0)</f>
        <v>1</v>
      </c>
    </row>
    <row r="9285" spans="1:4" x14ac:dyDescent="0.55000000000000004">
      <c r="A9285">
        <f t="shared" si="292"/>
        <v>1987</v>
      </c>
      <c r="B9285" s="821">
        <v>32134</v>
      </c>
      <c r="C9285">
        <v>8.91</v>
      </c>
      <c r="D9285">
        <f t="shared" si="293"/>
        <v>1</v>
      </c>
    </row>
    <row r="9286" spans="1:4" x14ac:dyDescent="0.55000000000000004">
      <c r="A9286">
        <f t="shared" si="292"/>
        <v>1987</v>
      </c>
      <c r="B9286" s="821">
        <v>32133</v>
      </c>
      <c r="C9286">
        <v>9.0500000000000007</v>
      </c>
      <c r="D9286">
        <f t="shared" si="293"/>
        <v>1</v>
      </c>
    </row>
    <row r="9287" spans="1:4" x14ac:dyDescent="0.55000000000000004">
      <c r="A9287">
        <f t="shared" si="292"/>
        <v>1987</v>
      </c>
      <c r="B9287" s="821">
        <v>32132</v>
      </c>
      <c r="C9287">
        <v>9.01</v>
      </c>
      <c r="D9287">
        <f t="shared" si="293"/>
        <v>1</v>
      </c>
    </row>
    <row r="9288" spans="1:4" x14ac:dyDescent="0.55000000000000004">
      <c r="A9288">
        <f t="shared" si="292"/>
        <v>1987</v>
      </c>
      <c r="B9288" s="821">
        <v>32129</v>
      </c>
      <c r="C9288">
        <v>8.9600000000000009</v>
      </c>
      <c r="D9288">
        <f t="shared" si="293"/>
        <v>1</v>
      </c>
    </row>
    <row r="9289" spans="1:4" x14ac:dyDescent="0.55000000000000004">
      <c r="A9289">
        <f t="shared" si="292"/>
        <v>1987</v>
      </c>
      <c r="B9289" s="821">
        <v>32128</v>
      </c>
      <c r="C9289">
        <v>9.15</v>
      </c>
      <c r="D9289">
        <f t="shared" si="293"/>
        <v>1</v>
      </c>
    </row>
    <row r="9290" spans="1:4" x14ac:dyDescent="0.55000000000000004">
      <c r="A9290">
        <f t="shared" si="292"/>
        <v>1987</v>
      </c>
      <c r="B9290" s="821">
        <v>32127</v>
      </c>
      <c r="C9290">
        <v>9.14</v>
      </c>
      <c r="D9290">
        <f t="shared" si="293"/>
        <v>1</v>
      </c>
    </row>
    <row r="9291" spans="1:4" x14ac:dyDescent="0.55000000000000004">
      <c r="A9291">
        <f t="shared" si="292"/>
        <v>1987</v>
      </c>
      <c r="B9291" s="821">
        <v>32126</v>
      </c>
      <c r="C9291">
        <v>9.24</v>
      </c>
      <c r="D9291">
        <f t="shared" si="293"/>
        <v>1</v>
      </c>
    </row>
    <row r="9292" spans="1:4" x14ac:dyDescent="0.55000000000000004">
      <c r="A9292">
        <f t="shared" si="292"/>
        <v>1987</v>
      </c>
      <c r="B9292" s="821">
        <v>32125</v>
      </c>
      <c r="C9292">
        <v>9.41</v>
      </c>
      <c r="D9292">
        <f t="shared" si="293"/>
        <v>1</v>
      </c>
    </row>
    <row r="9293" spans="1:4" x14ac:dyDescent="0.55000000000000004">
      <c r="A9293">
        <f t="shared" si="292"/>
        <v>1987</v>
      </c>
      <c r="B9293" s="821">
        <v>32122</v>
      </c>
      <c r="C9293">
        <v>9.4499999999999993</v>
      </c>
      <c r="D9293">
        <f t="shared" si="293"/>
        <v>1</v>
      </c>
    </row>
    <row r="9294" spans="1:4" x14ac:dyDescent="0.55000000000000004">
      <c r="A9294">
        <f t="shared" si="292"/>
        <v>1987</v>
      </c>
      <c r="B9294" s="821">
        <v>32121</v>
      </c>
      <c r="C9294">
        <v>9.4</v>
      </c>
      <c r="D9294">
        <f t="shared" si="293"/>
        <v>1</v>
      </c>
    </row>
    <row r="9295" spans="1:4" x14ac:dyDescent="0.55000000000000004">
      <c r="A9295">
        <f t="shared" si="292"/>
        <v>1987</v>
      </c>
      <c r="B9295" s="821">
        <v>32120</v>
      </c>
      <c r="C9295">
        <v>9.2200000000000006</v>
      </c>
      <c r="D9295">
        <f t="shared" si="293"/>
        <v>1</v>
      </c>
    </row>
    <row r="9296" spans="1:4" x14ac:dyDescent="0.55000000000000004">
      <c r="A9296">
        <f t="shared" si="292"/>
        <v>1987</v>
      </c>
      <c r="B9296" s="821">
        <v>32119</v>
      </c>
      <c r="C9296">
        <v>9.26</v>
      </c>
      <c r="D9296">
        <f t="shared" si="293"/>
        <v>1</v>
      </c>
    </row>
    <row r="9297" spans="1:4" x14ac:dyDescent="0.55000000000000004">
      <c r="A9297">
        <f t="shared" si="292"/>
        <v>1987</v>
      </c>
      <c r="B9297" s="821">
        <v>32118</v>
      </c>
      <c r="C9297">
        <v>9.2200000000000006</v>
      </c>
      <c r="D9297">
        <f t="shared" si="293"/>
        <v>1</v>
      </c>
    </row>
    <row r="9298" spans="1:4" x14ac:dyDescent="0.55000000000000004">
      <c r="A9298">
        <f t="shared" si="292"/>
        <v>1987</v>
      </c>
      <c r="B9298" s="821">
        <v>32115</v>
      </c>
      <c r="C9298">
        <v>9.1199999999999992</v>
      </c>
      <c r="D9298">
        <f t="shared" si="293"/>
        <v>1</v>
      </c>
    </row>
    <row r="9299" spans="1:4" x14ac:dyDescent="0.55000000000000004">
      <c r="A9299">
        <f t="shared" si="292"/>
        <v>1987</v>
      </c>
      <c r="B9299" s="821">
        <v>32114</v>
      </c>
      <c r="C9299">
        <v>9.09</v>
      </c>
      <c r="D9299">
        <f t="shared" si="293"/>
        <v>1</v>
      </c>
    </row>
    <row r="9300" spans="1:4" x14ac:dyDescent="0.55000000000000004">
      <c r="A9300">
        <f t="shared" si="292"/>
        <v>1987</v>
      </c>
      <c r="B9300" s="821">
        <v>32113</v>
      </c>
      <c r="C9300">
        <v>9.15</v>
      </c>
      <c r="D9300">
        <f t="shared" si="293"/>
        <v>1</v>
      </c>
    </row>
    <row r="9301" spans="1:4" x14ac:dyDescent="0.55000000000000004">
      <c r="A9301">
        <f t="shared" si="292"/>
        <v>1987</v>
      </c>
      <c r="B9301" s="821">
        <v>32112</v>
      </c>
      <c r="C9301">
        <v>9.15</v>
      </c>
      <c r="D9301">
        <f t="shared" si="293"/>
        <v>1</v>
      </c>
    </row>
    <row r="9302" spans="1:4" x14ac:dyDescent="0.55000000000000004">
      <c r="A9302">
        <f t="shared" si="292"/>
        <v>1987</v>
      </c>
      <c r="B9302" s="821">
        <v>32111</v>
      </c>
      <c r="C9302">
        <v>9.1</v>
      </c>
      <c r="D9302">
        <f t="shared" si="293"/>
        <v>1</v>
      </c>
    </row>
    <row r="9303" spans="1:4" x14ac:dyDescent="0.55000000000000004">
      <c r="A9303">
        <f t="shared" si="292"/>
        <v>1987</v>
      </c>
      <c r="B9303" s="821">
        <v>32108</v>
      </c>
      <c r="C9303">
        <v>9.18</v>
      </c>
      <c r="D9303">
        <f t="shared" si="293"/>
        <v>1</v>
      </c>
    </row>
    <row r="9304" spans="1:4" x14ac:dyDescent="0.55000000000000004">
      <c r="A9304">
        <f t="shared" si="292"/>
        <v>1987</v>
      </c>
      <c r="B9304" s="821">
        <v>32106</v>
      </c>
      <c r="C9304">
        <v>9.06</v>
      </c>
      <c r="D9304">
        <f t="shared" si="293"/>
        <v>1</v>
      </c>
    </row>
    <row r="9305" spans="1:4" x14ac:dyDescent="0.55000000000000004">
      <c r="A9305">
        <f t="shared" si="292"/>
        <v>1987</v>
      </c>
      <c r="B9305" s="821">
        <v>32105</v>
      </c>
      <c r="C9305">
        <v>9</v>
      </c>
      <c r="D9305">
        <f t="shared" si="293"/>
        <v>1</v>
      </c>
    </row>
    <row r="9306" spans="1:4" x14ac:dyDescent="0.55000000000000004">
      <c r="A9306">
        <f t="shared" si="292"/>
        <v>1987</v>
      </c>
      <c r="B9306" s="821">
        <v>32104</v>
      </c>
      <c r="C9306">
        <v>8.89</v>
      </c>
      <c r="D9306">
        <f t="shared" si="293"/>
        <v>1</v>
      </c>
    </row>
    <row r="9307" spans="1:4" x14ac:dyDescent="0.55000000000000004">
      <c r="A9307">
        <f t="shared" si="292"/>
        <v>1987</v>
      </c>
      <c r="B9307" s="821">
        <v>32101</v>
      </c>
      <c r="C9307">
        <v>8.8800000000000008</v>
      </c>
      <c r="D9307">
        <f t="shared" si="293"/>
        <v>1</v>
      </c>
    </row>
    <row r="9308" spans="1:4" x14ac:dyDescent="0.55000000000000004">
      <c r="A9308">
        <f t="shared" si="292"/>
        <v>1987</v>
      </c>
      <c r="B9308" s="821">
        <v>32100</v>
      </c>
      <c r="C9308">
        <v>8.92</v>
      </c>
      <c r="D9308">
        <f t="shared" si="293"/>
        <v>1</v>
      </c>
    </row>
    <row r="9309" spans="1:4" x14ac:dyDescent="0.55000000000000004">
      <c r="A9309">
        <f t="shared" si="292"/>
        <v>1987</v>
      </c>
      <c r="B9309" s="821">
        <v>32099</v>
      </c>
      <c r="C9309">
        <v>8.94</v>
      </c>
      <c r="D9309">
        <f t="shared" si="293"/>
        <v>1</v>
      </c>
    </row>
    <row r="9310" spans="1:4" x14ac:dyDescent="0.55000000000000004">
      <c r="A9310">
        <f t="shared" si="292"/>
        <v>1987</v>
      </c>
      <c r="B9310" s="821">
        <v>32098</v>
      </c>
      <c r="C9310">
        <v>8.94</v>
      </c>
      <c r="D9310">
        <f t="shared" si="293"/>
        <v>1</v>
      </c>
    </row>
    <row r="9311" spans="1:4" x14ac:dyDescent="0.55000000000000004">
      <c r="A9311">
        <f t="shared" si="292"/>
        <v>1987</v>
      </c>
      <c r="B9311" s="821">
        <v>32097</v>
      </c>
      <c r="C9311">
        <v>8.9</v>
      </c>
      <c r="D9311">
        <f t="shared" si="293"/>
        <v>1</v>
      </c>
    </row>
    <row r="9312" spans="1:4" x14ac:dyDescent="0.55000000000000004">
      <c r="A9312">
        <f t="shared" si="292"/>
        <v>1987</v>
      </c>
      <c r="B9312" s="821">
        <v>32094</v>
      </c>
      <c r="C9312">
        <v>8.93</v>
      </c>
      <c r="D9312">
        <f t="shared" si="293"/>
        <v>1</v>
      </c>
    </row>
    <row r="9313" spans="1:4" x14ac:dyDescent="0.55000000000000004">
      <c r="A9313">
        <f t="shared" si="292"/>
        <v>1987</v>
      </c>
      <c r="B9313" s="821">
        <v>32093</v>
      </c>
      <c r="C9313">
        <v>8.8800000000000008</v>
      </c>
      <c r="D9313">
        <f t="shared" si="293"/>
        <v>1</v>
      </c>
    </row>
    <row r="9314" spans="1:4" x14ac:dyDescent="0.55000000000000004">
      <c r="A9314">
        <f t="shared" si="292"/>
        <v>1987</v>
      </c>
      <c r="B9314" s="821">
        <v>32091</v>
      </c>
      <c r="C9314">
        <v>8.8800000000000008</v>
      </c>
      <c r="D9314">
        <f t="shared" si="293"/>
        <v>1</v>
      </c>
    </row>
    <row r="9315" spans="1:4" x14ac:dyDescent="0.55000000000000004">
      <c r="A9315">
        <f t="shared" si="292"/>
        <v>1987</v>
      </c>
      <c r="B9315" s="821">
        <v>32090</v>
      </c>
      <c r="C9315">
        <v>8.86</v>
      </c>
      <c r="D9315">
        <f t="shared" si="293"/>
        <v>1</v>
      </c>
    </row>
    <row r="9316" spans="1:4" x14ac:dyDescent="0.55000000000000004">
      <c r="A9316">
        <f t="shared" si="292"/>
        <v>1987</v>
      </c>
      <c r="B9316" s="821">
        <v>32087</v>
      </c>
      <c r="C9316">
        <v>8.85</v>
      </c>
      <c r="D9316">
        <f t="shared" si="293"/>
        <v>1</v>
      </c>
    </row>
    <row r="9317" spans="1:4" x14ac:dyDescent="0.55000000000000004">
      <c r="A9317">
        <f t="shared" si="292"/>
        <v>1987</v>
      </c>
      <c r="B9317" s="821">
        <v>32086</v>
      </c>
      <c r="C9317">
        <v>8.8000000000000007</v>
      </c>
      <c r="D9317">
        <f t="shared" si="293"/>
        <v>1</v>
      </c>
    </row>
    <row r="9318" spans="1:4" x14ac:dyDescent="0.55000000000000004">
      <c r="A9318">
        <f t="shared" si="292"/>
        <v>1987</v>
      </c>
      <c r="B9318" s="821">
        <v>32085</v>
      </c>
      <c r="C9318">
        <v>8.92</v>
      </c>
      <c r="D9318">
        <f t="shared" si="293"/>
        <v>1</v>
      </c>
    </row>
    <row r="9319" spans="1:4" x14ac:dyDescent="0.55000000000000004">
      <c r="A9319">
        <f t="shared" si="292"/>
        <v>1987</v>
      </c>
      <c r="B9319" s="821">
        <v>32084</v>
      </c>
      <c r="C9319">
        <v>9.0299999999999994</v>
      </c>
      <c r="D9319">
        <f t="shared" si="293"/>
        <v>1</v>
      </c>
    </row>
    <row r="9320" spans="1:4" x14ac:dyDescent="0.55000000000000004">
      <c r="A9320">
        <f t="shared" si="292"/>
        <v>1987</v>
      </c>
      <c r="B9320" s="821">
        <v>32083</v>
      </c>
      <c r="C9320">
        <v>9.1300000000000008</v>
      </c>
      <c r="D9320">
        <f t="shared" si="293"/>
        <v>1</v>
      </c>
    </row>
    <row r="9321" spans="1:4" x14ac:dyDescent="0.55000000000000004">
      <c r="A9321">
        <f t="shared" si="292"/>
        <v>1987</v>
      </c>
      <c r="B9321" s="821">
        <v>32080</v>
      </c>
      <c r="C9321">
        <v>9.0299999999999994</v>
      </c>
      <c r="D9321">
        <f t="shared" si="293"/>
        <v>1</v>
      </c>
    </row>
    <row r="9322" spans="1:4" x14ac:dyDescent="0.55000000000000004">
      <c r="A9322">
        <f t="shared" si="292"/>
        <v>1987</v>
      </c>
      <c r="B9322" s="821">
        <v>32079</v>
      </c>
      <c r="C9322">
        <v>9.08</v>
      </c>
      <c r="D9322">
        <f t="shared" si="293"/>
        <v>1</v>
      </c>
    </row>
    <row r="9323" spans="1:4" x14ac:dyDescent="0.55000000000000004">
      <c r="A9323">
        <f t="shared" si="292"/>
        <v>1987</v>
      </c>
      <c r="B9323" s="821">
        <v>32078</v>
      </c>
      <c r="C9323">
        <v>9.14</v>
      </c>
      <c r="D9323">
        <f t="shared" si="293"/>
        <v>1</v>
      </c>
    </row>
    <row r="9324" spans="1:4" x14ac:dyDescent="0.55000000000000004">
      <c r="A9324">
        <f t="shared" si="292"/>
        <v>1987</v>
      </c>
      <c r="B9324" s="821">
        <v>32077</v>
      </c>
      <c r="C9324">
        <v>9.0399999999999991</v>
      </c>
      <c r="D9324">
        <f t="shared" si="293"/>
        <v>1</v>
      </c>
    </row>
    <row r="9325" spans="1:4" x14ac:dyDescent="0.55000000000000004">
      <c r="A9325">
        <f t="shared" si="292"/>
        <v>1987</v>
      </c>
      <c r="B9325" s="821">
        <v>32076</v>
      </c>
      <c r="C9325">
        <v>8.94</v>
      </c>
      <c r="D9325">
        <f t="shared" si="293"/>
        <v>1</v>
      </c>
    </row>
    <row r="9326" spans="1:4" x14ac:dyDescent="0.55000000000000004">
      <c r="A9326">
        <f t="shared" si="292"/>
        <v>1987</v>
      </c>
      <c r="B9326" s="821">
        <v>32073</v>
      </c>
      <c r="C9326">
        <v>9.11</v>
      </c>
      <c r="D9326">
        <f t="shared" si="293"/>
        <v>1</v>
      </c>
    </row>
    <row r="9327" spans="1:4" x14ac:dyDescent="0.55000000000000004">
      <c r="A9327">
        <f t="shared" si="292"/>
        <v>1987</v>
      </c>
      <c r="B9327" s="821">
        <v>32072</v>
      </c>
      <c r="C9327">
        <v>9.15</v>
      </c>
      <c r="D9327">
        <f t="shared" si="293"/>
        <v>1</v>
      </c>
    </row>
    <row r="9328" spans="1:4" x14ac:dyDescent="0.55000000000000004">
      <c r="A9328">
        <f t="shared" si="292"/>
        <v>1987</v>
      </c>
      <c r="B9328" s="821">
        <v>32071</v>
      </c>
      <c r="C9328">
        <v>9.44</v>
      </c>
      <c r="D9328">
        <f t="shared" si="293"/>
        <v>1</v>
      </c>
    </row>
    <row r="9329" spans="1:4" x14ac:dyDescent="0.55000000000000004">
      <c r="A9329">
        <f t="shared" si="292"/>
        <v>1987</v>
      </c>
      <c r="B9329" s="821">
        <v>32070</v>
      </c>
      <c r="C9329">
        <v>9.49</v>
      </c>
      <c r="D9329">
        <f t="shared" si="293"/>
        <v>1</v>
      </c>
    </row>
    <row r="9330" spans="1:4" x14ac:dyDescent="0.55000000000000004">
      <c r="A9330">
        <f t="shared" si="292"/>
        <v>1987</v>
      </c>
      <c r="B9330" s="821">
        <v>32069</v>
      </c>
      <c r="C9330">
        <v>10.25</v>
      </c>
      <c r="D9330">
        <f t="shared" si="293"/>
        <v>1</v>
      </c>
    </row>
    <row r="9331" spans="1:4" x14ac:dyDescent="0.55000000000000004">
      <c r="A9331">
        <f t="shared" si="292"/>
        <v>1987</v>
      </c>
      <c r="B9331" s="821">
        <v>32066</v>
      </c>
      <c r="C9331">
        <v>10.24</v>
      </c>
      <c r="D9331">
        <f t="shared" si="293"/>
        <v>1</v>
      </c>
    </row>
    <row r="9332" spans="1:4" x14ac:dyDescent="0.55000000000000004">
      <c r="A9332">
        <f t="shared" si="292"/>
        <v>1987</v>
      </c>
      <c r="B9332" s="821">
        <v>32065</v>
      </c>
      <c r="C9332">
        <v>10.24</v>
      </c>
      <c r="D9332">
        <f t="shared" si="293"/>
        <v>1</v>
      </c>
    </row>
    <row r="9333" spans="1:4" x14ac:dyDescent="0.55000000000000004">
      <c r="A9333">
        <f t="shared" si="292"/>
        <v>1987</v>
      </c>
      <c r="B9333" s="821">
        <v>32064</v>
      </c>
      <c r="C9333">
        <v>10.119999999999999</v>
      </c>
      <c r="D9333">
        <f t="shared" si="293"/>
        <v>1</v>
      </c>
    </row>
    <row r="9334" spans="1:4" x14ac:dyDescent="0.55000000000000004">
      <c r="A9334">
        <f t="shared" si="292"/>
        <v>1987</v>
      </c>
      <c r="B9334" s="821">
        <v>32063</v>
      </c>
      <c r="C9334">
        <v>9.92</v>
      </c>
      <c r="D9334">
        <f t="shared" si="293"/>
        <v>1</v>
      </c>
    </row>
    <row r="9335" spans="1:4" x14ac:dyDescent="0.55000000000000004">
      <c r="A9335">
        <f t="shared" si="292"/>
        <v>1987</v>
      </c>
      <c r="B9335" s="821">
        <v>32059</v>
      </c>
      <c r="C9335">
        <v>9.9600000000000009</v>
      </c>
      <c r="D9335">
        <f t="shared" si="293"/>
        <v>1</v>
      </c>
    </row>
    <row r="9336" spans="1:4" x14ac:dyDescent="0.55000000000000004">
      <c r="A9336">
        <f t="shared" si="292"/>
        <v>1987</v>
      </c>
      <c r="B9336" s="821">
        <v>32058</v>
      </c>
      <c r="C9336">
        <v>9.86</v>
      </c>
      <c r="D9336">
        <f t="shared" si="293"/>
        <v>1</v>
      </c>
    </row>
    <row r="9337" spans="1:4" x14ac:dyDescent="0.55000000000000004">
      <c r="A9337">
        <f t="shared" si="292"/>
        <v>1987</v>
      </c>
      <c r="B9337" s="821">
        <v>32057</v>
      </c>
      <c r="C9337">
        <v>9.7899999999999991</v>
      </c>
      <c r="D9337">
        <f t="shared" si="293"/>
        <v>1</v>
      </c>
    </row>
    <row r="9338" spans="1:4" x14ac:dyDescent="0.55000000000000004">
      <c r="A9338">
        <f t="shared" si="292"/>
        <v>1987</v>
      </c>
      <c r="B9338" s="821">
        <v>32056</v>
      </c>
      <c r="C9338">
        <v>9.81</v>
      </c>
      <c r="D9338">
        <f t="shared" si="293"/>
        <v>1</v>
      </c>
    </row>
    <row r="9339" spans="1:4" x14ac:dyDescent="0.55000000000000004">
      <c r="A9339">
        <f t="shared" si="292"/>
        <v>1987</v>
      </c>
      <c r="B9339" s="821">
        <v>32055</v>
      </c>
      <c r="C9339">
        <v>9.7899999999999991</v>
      </c>
      <c r="D9339">
        <f t="shared" si="293"/>
        <v>1</v>
      </c>
    </row>
    <row r="9340" spans="1:4" x14ac:dyDescent="0.55000000000000004">
      <c r="A9340">
        <f t="shared" si="292"/>
        <v>1987</v>
      </c>
      <c r="B9340" s="821">
        <v>32052</v>
      </c>
      <c r="C9340">
        <v>9.6999999999999993</v>
      </c>
      <c r="D9340">
        <f t="shared" si="293"/>
        <v>1</v>
      </c>
    </row>
    <row r="9341" spans="1:4" x14ac:dyDescent="0.55000000000000004">
      <c r="A9341">
        <f t="shared" si="292"/>
        <v>1987</v>
      </c>
      <c r="B9341" s="821">
        <v>32051</v>
      </c>
      <c r="C9341">
        <v>9.8000000000000007</v>
      </c>
      <c r="D9341">
        <f t="shared" si="293"/>
        <v>1</v>
      </c>
    </row>
    <row r="9342" spans="1:4" x14ac:dyDescent="0.55000000000000004">
      <c r="A9342">
        <f t="shared" si="292"/>
        <v>1987</v>
      </c>
      <c r="B9342" s="821">
        <v>32050</v>
      </c>
      <c r="C9342">
        <v>9.7899999999999991</v>
      </c>
      <c r="D9342">
        <f t="shared" si="293"/>
        <v>1</v>
      </c>
    </row>
    <row r="9343" spans="1:4" x14ac:dyDescent="0.55000000000000004">
      <c r="A9343">
        <f t="shared" si="292"/>
        <v>1987</v>
      </c>
      <c r="B9343" s="821">
        <v>32049</v>
      </c>
      <c r="C9343">
        <v>9.8000000000000007</v>
      </c>
      <c r="D9343">
        <f t="shared" si="293"/>
        <v>1</v>
      </c>
    </row>
    <row r="9344" spans="1:4" x14ac:dyDescent="0.55000000000000004">
      <c r="A9344">
        <f t="shared" si="292"/>
        <v>1987</v>
      </c>
      <c r="B9344" s="821">
        <v>32048</v>
      </c>
      <c r="C9344">
        <v>9.67</v>
      </c>
      <c r="D9344">
        <f t="shared" si="293"/>
        <v>1</v>
      </c>
    </row>
    <row r="9345" spans="1:4" x14ac:dyDescent="0.55000000000000004">
      <c r="A9345">
        <f t="shared" si="292"/>
        <v>1987</v>
      </c>
      <c r="B9345" s="821">
        <v>32045</v>
      </c>
      <c r="C9345">
        <v>9.68</v>
      </c>
      <c r="D9345">
        <f t="shared" si="293"/>
        <v>1</v>
      </c>
    </row>
    <row r="9346" spans="1:4" x14ac:dyDescent="0.55000000000000004">
      <c r="A9346">
        <f t="shared" si="292"/>
        <v>1987</v>
      </c>
      <c r="B9346" s="821">
        <v>32044</v>
      </c>
      <c r="C9346">
        <v>9.67</v>
      </c>
      <c r="D9346">
        <f t="shared" si="293"/>
        <v>1</v>
      </c>
    </row>
    <row r="9347" spans="1:4" x14ac:dyDescent="0.55000000000000004">
      <c r="A9347">
        <f t="shared" si="292"/>
        <v>1987</v>
      </c>
      <c r="B9347" s="821">
        <v>32043</v>
      </c>
      <c r="C9347">
        <v>9.5500000000000007</v>
      </c>
      <c r="D9347">
        <f t="shared" si="293"/>
        <v>1</v>
      </c>
    </row>
    <row r="9348" spans="1:4" x14ac:dyDescent="0.55000000000000004">
      <c r="A9348">
        <f t="shared" ref="A9348:A9411" si="294">YEAR(B9348)</f>
        <v>1987</v>
      </c>
      <c r="B9348" s="821">
        <v>32042</v>
      </c>
      <c r="C9348">
        <v>9.5299999999999994</v>
      </c>
      <c r="D9348">
        <f t="shared" ref="D9348:D9411" si="295">IF(C9348&gt;4,1,0)</f>
        <v>1</v>
      </c>
    </row>
    <row r="9349" spans="1:4" x14ac:dyDescent="0.55000000000000004">
      <c r="A9349">
        <f t="shared" si="294"/>
        <v>1987</v>
      </c>
      <c r="B9349" s="821">
        <v>32041</v>
      </c>
      <c r="C9349">
        <v>9.6300000000000008</v>
      </c>
      <c r="D9349">
        <f t="shared" si="295"/>
        <v>1</v>
      </c>
    </row>
    <row r="9350" spans="1:4" x14ac:dyDescent="0.55000000000000004">
      <c r="A9350">
        <f t="shared" si="294"/>
        <v>1987</v>
      </c>
      <c r="B9350" s="821">
        <v>32038</v>
      </c>
      <c r="C9350">
        <v>9.56</v>
      </c>
      <c r="D9350">
        <f t="shared" si="295"/>
        <v>1</v>
      </c>
    </row>
    <row r="9351" spans="1:4" x14ac:dyDescent="0.55000000000000004">
      <c r="A9351">
        <f t="shared" si="294"/>
        <v>1987</v>
      </c>
      <c r="B9351" s="821">
        <v>32037</v>
      </c>
      <c r="C9351">
        <v>9.65</v>
      </c>
      <c r="D9351">
        <f t="shared" si="295"/>
        <v>1</v>
      </c>
    </row>
    <row r="9352" spans="1:4" x14ac:dyDescent="0.55000000000000004">
      <c r="A9352">
        <f t="shared" si="294"/>
        <v>1987</v>
      </c>
      <c r="B9352" s="821">
        <v>32036</v>
      </c>
      <c r="C9352">
        <v>9.6999999999999993</v>
      </c>
      <c r="D9352">
        <f t="shared" si="295"/>
        <v>1</v>
      </c>
    </row>
    <row r="9353" spans="1:4" x14ac:dyDescent="0.55000000000000004">
      <c r="A9353">
        <f t="shared" si="294"/>
        <v>1987</v>
      </c>
      <c r="B9353" s="821">
        <v>32035</v>
      </c>
      <c r="C9353">
        <v>9.64</v>
      </c>
      <c r="D9353">
        <f t="shared" si="295"/>
        <v>1</v>
      </c>
    </row>
    <row r="9354" spans="1:4" x14ac:dyDescent="0.55000000000000004">
      <c r="A9354">
        <f t="shared" si="294"/>
        <v>1987</v>
      </c>
      <c r="B9354" s="821">
        <v>32034</v>
      </c>
      <c r="C9354">
        <v>9.52</v>
      </c>
      <c r="D9354">
        <f t="shared" si="295"/>
        <v>1</v>
      </c>
    </row>
    <row r="9355" spans="1:4" x14ac:dyDescent="0.55000000000000004">
      <c r="A9355">
        <f t="shared" si="294"/>
        <v>1987</v>
      </c>
      <c r="B9355" s="821">
        <v>32031</v>
      </c>
      <c r="C9355">
        <v>9.5</v>
      </c>
      <c r="D9355">
        <f t="shared" si="295"/>
        <v>1</v>
      </c>
    </row>
    <row r="9356" spans="1:4" x14ac:dyDescent="0.55000000000000004">
      <c r="A9356">
        <f t="shared" si="294"/>
        <v>1987</v>
      </c>
      <c r="B9356" s="821">
        <v>32030</v>
      </c>
      <c r="C9356">
        <v>9.6</v>
      </c>
      <c r="D9356">
        <f t="shared" si="295"/>
        <v>1</v>
      </c>
    </row>
    <row r="9357" spans="1:4" x14ac:dyDescent="0.55000000000000004">
      <c r="A9357">
        <f t="shared" si="294"/>
        <v>1987</v>
      </c>
      <c r="B9357" s="821">
        <v>32029</v>
      </c>
      <c r="C9357">
        <v>9.66</v>
      </c>
      <c r="D9357">
        <f t="shared" si="295"/>
        <v>1</v>
      </c>
    </row>
    <row r="9358" spans="1:4" x14ac:dyDescent="0.55000000000000004">
      <c r="A9358">
        <f t="shared" si="294"/>
        <v>1987</v>
      </c>
      <c r="B9358" s="821">
        <v>32028</v>
      </c>
      <c r="C9358">
        <v>9.65</v>
      </c>
      <c r="D9358">
        <f t="shared" si="295"/>
        <v>1</v>
      </c>
    </row>
    <row r="9359" spans="1:4" x14ac:dyDescent="0.55000000000000004">
      <c r="A9359">
        <f t="shared" si="294"/>
        <v>1987</v>
      </c>
      <c r="B9359" s="821">
        <v>32024</v>
      </c>
      <c r="C9359">
        <v>9.4700000000000006</v>
      </c>
      <c r="D9359">
        <f t="shared" si="295"/>
        <v>1</v>
      </c>
    </row>
    <row r="9360" spans="1:4" x14ac:dyDescent="0.55000000000000004">
      <c r="A9360">
        <f t="shared" si="294"/>
        <v>1987</v>
      </c>
      <c r="B9360" s="821">
        <v>32023</v>
      </c>
      <c r="C9360">
        <v>9.4700000000000006</v>
      </c>
      <c r="D9360">
        <f t="shared" si="295"/>
        <v>1</v>
      </c>
    </row>
    <row r="9361" spans="1:4" x14ac:dyDescent="0.55000000000000004">
      <c r="A9361">
        <f t="shared" si="294"/>
        <v>1987</v>
      </c>
      <c r="B9361" s="821">
        <v>32022</v>
      </c>
      <c r="C9361">
        <v>9.4499999999999993</v>
      </c>
      <c r="D9361">
        <f t="shared" si="295"/>
        <v>1</v>
      </c>
    </row>
    <row r="9362" spans="1:4" x14ac:dyDescent="0.55000000000000004">
      <c r="A9362">
        <f t="shared" si="294"/>
        <v>1987</v>
      </c>
      <c r="B9362" s="821">
        <v>32021</v>
      </c>
      <c r="C9362">
        <v>9.24</v>
      </c>
      <c r="D9362">
        <f t="shared" si="295"/>
        <v>1</v>
      </c>
    </row>
    <row r="9363" spans="1:4" x14ac:dyDescent="0.55000000000000004">
      <c r="A9363">
        <f t="shared" si="294"/>
        <v>1987</v>
      </c>
      <c r="B9363" s="821">
        <v>32020</v>
      </c>
      <c r="C9363">
        <v>9.17</v>
      </c>
      <c r="D9363">
        <f t="shared" si="295"/>
        <v>1</v>
      </c>
    </row>
    <row r="9364" spans="1:4" x14ac:dyDescent="0.55000000000000004">
      <c r="A9364">
        <f t="shared" si="294"/>
        <v>1987</v>
      </c>
      <c r="B9364" s="821">
        <v>32017</v>
      </c>
      <c r="C9364">
        <v>9.18</v>
      </c>
      <c r="D9364">
        <f t="shared" si="295"/>
        <v>1</v>
      </c>
    </row>
    <row r="9365" spans="1:4" x14ac:dyDescent="0.55000000000000004">
      <c r="A9365">
        <f t="shared" si="294"/>
        <v>1987</v>
      </c>
      <c r="B9365" s="821">
        <v>32016</v>
      </c>
      <c r="C9365">
        <v>9.11</v>
      </c>
      <c r="D9365">
        <f t="shared" si="295"/>
        <v>1</v>
      </c>
    </row>
    <row r="9366" spans="1:4" x14ac:dyDescent="0.55000000000000004">
      <c r="A9366">
        <f t="shared" si="294"/>
        <v>1987</v>
      </c>
      <c r="B9366" s="821">
        <v>32015</v>
      </c>
      <c r="C9366">
        <v>8.99</v>
      </c>
      <c r="D9366">
        <f t="shared" si="295"/>
        <v>1</v>
      </c>
    </row>
    <row r="9367" spans="1:4" x14ac:dyDescent="0.55000000000000004">
      <c r="A9367">
        <f t="shared" si="294"/>
        <v>1987</v>
      </c>
      <c r="B9367" s="821">
        <v>32014</v>
      </c>
      <c r="C9367">
        <v>8.94</v>
      </c>
      <c r="D9367">
        <f t="shared" si="295"/>
        <v>1</v>
      </c>
    </row>
    <row r="9368" spans="1:4" x14ac:dyDescent="0.55000000000000004">
      <c r="A9368">
        <f t="shared" si="294"/>
        <v>1987</v>
      </c>
      <c r="B9368" s="821">
        <v>32013</v>
      </c>
      <c r="C9368">
        <v>8.99</v>
      </c>
      <c r="D9368">
        <f t="shared" si="295"/>
        <v>1</v>
      </c>
    </row>
    <row r="9369" spans="1:4" x14ac:dyDescent="0.55000000000000004">
      <c r="A9369">
        <f t="shared" si="294"/>
        <v>1987</v>
      </c>
      <c r="B9369" s="821">
        <v>32010</v>
      </c>
      <c r="C9369">
        <v>8.9700000000000006</v>
      </c>
      <c r="D9369">
        <f t="shared" si="295"/>
        <v>1</v>
      </c>
    </row>
    <row r="9370" spans="1:4" x14ac:dyDescent="0.55000000000000004">
      <c r="A9370">
        <f t="shared" si="294"/>
        <v>1987</v>
      </c>
      <c r="B9370" s="821">
        <v>32009</v>
      </c>
      <c r="C9370">
        <v>8.94</v>
      </c>
      <c r="D9370">
        <f t="shared" si="295"/>
        <v>1</v>
      </c>
    </row>
    <row r="9371" spans="1:4" x14ac:dyDescent="0.55000000000000004">
      <c r="A9371">
        <f t="shared" si="294"/>
        <v>1987</v>
      </c>
      <c r="B9371" s="821">
        <v>32008</v>
      </c>
      <c r="C9371">
        <v>8.98</v>
      </c>
      <c r="D9371">
        <f t="shared" si="295"/>
        <v>1</v>
      </c>
    </row>
    <row r="9372" spans="1:4" x14ac:dyDescent="0.55000000000000004">
      <c r="A9372">
        <f t="shared" si="294"/>
        <v>1987</v>
      </c>
      <c r="B9372" s="821">
        <v>32007</v>
      </c>
      <c r="C9372">
        <v>8.9499999999999993</v>
      </c>
      <c r="D9372">
        <f t="shared" si="295"/>
        <v>1</v>
      </c>
    </row>
    <row r="9373" spans="1:4" x14ac:dyDescent="0.55000000000000004">
      <c r="A9373">
        <f t="shared" si="294"/>
        <v>1987</v>
      </c>
      <c r="B9373" s="821">
        <v>32006</v>
      </c>
      <c r="C9373">
        <v>8.77</v>
      </c>
      <c r="D9373">
        <f t="shared" si="295"/>
        <v>1</v>
      </c>
    </row>
    <row r="9374" spans="1:4" x14ac:dyDescent="0.55000000000000004">
      <c r="A9374">
        <f t="shared" si="294"/>
        <v>1987</v>
      </c>
      <c r="B9374" s="821">
        <v>32003</v>
      </c>
      <c r="C9374">
        <v>8.77</v>
      </c>
      <c r="D9374">
        <f t="shared" si="295"/>
        <v>1</v>
      </c>
    </row>
    <row r="9375" spans="1:4" x14ac:dyDescent="0.55000000000000004">
      <c r="A9375">
        <f t="shared" si="294"/>
        <v>1987</v>
      </c>
      <c r="B9375" s="821">
        <v>32002</v>
      </c>
      <c r="C9375">
        <v>8.85</v>
      </c>
      <c r="D9375">
        <f t="shared" si="295"/>
        <v>1</v>
      </c>
    </row>
    <row r="9376" spans="1:4" x14ac:dyDescent="0.55000000000000004">
      <c r="A9376">
        <f t="shared" si="294"/>
        <v>1987</v>
      </c>
      <c r="B9376" s="821">
        <v>32001</v>
      </c>
      <c r="C9376">
        <v>8.9499999999999993</v>
      </c>
      <c r="D9376">
        <f t="shared" si="295"/>
        <v>1</v>
      </c>
    </row>
    <row r="9377" spans="1:4" x14ac:dyDescent="0.55000000000000004">
      <c r="A9377">
        <f t="shared" si="294"/>
        <v>1987</v>
      </c>
      <c r="B9377" s="821">
        <v>32000</v>
      </c>
      <c r="C9377">
        <v>8.9499999999999993</v>
      </c>
      <c r="D9377">
        <f t="shared" si="295"/>
        <v>1</v>
      </c>
    </row>
    <row r="9378" spans="1:4" x14ac:dyDescent="0.55000000000000004">
      <c r="A9378">
        <f t="shared" si="294"/>
        <v>1987</v>
      </c>
      <c r="B9378" s="821">
        <v>31999</v>
      </c>
      <c r="C9378">
        <v>8.9600000000000009</v>
      </c>
      <c r="D9378">
        <f t="shared" si="295"/>
        <v>1</v>
      </c>
    </row>
    <row r="9379" spans="1:4" x14ac:dyDescent="0.55000000000000004">
      <c r="A9379">
        <f t="shared" si="294"/>
        <v>1987</v>
      </c>
      <c r="B9379" s="821">
        <v>31996</v>
      </c>
      <c r="C9379">
        <v>8.93</v>
      </c>
      <c r="D9379">
        <f t="shared" si="295"/>
        <v>1</v>
      </c>
    </row>
    <row r="9380" spans="1:4" x14ac:dyDescent="0.55000000000000004">
      <c r="A9380">
        <f t="shared" si="294"/>
        <v>1987</v>
      </c>
      <c r="B9380" s="821">
        <v>31995</v>
      </c>
      <c r="C9380">
        <v>8.9600000000000009</v>
      </c>
      <c r="D9380">
        <f t="shared" si="295"/>
        <v>1</v>
      </c>
    </row>
    <row r="9381" spans="1:4" x14ac:dyDescent="0.55000000000000004">
      <c r="A9381">
        <f t="shared" si="294"/>
        <v>1987</v>
      </c>
      <c r="B9381" s="821">
        <v>31994</v>
      </c>
      <c r="C9381">
        <v>8.9499999999999993</v>
      </c>
      <c r="D9381">
        <f t="shared" si="295"/>
        <v>1</v>
      </c>
    </row>
    <row r="9382" spans="1:4" x14ac:dyDescent="0.55000000000000004">
      <c r="A9382">
        <f t="shared" si="294"/>
        <v>1987</v>
      </c>
      <c r="B9382" s="821">
        <v>31993</v>
      </c>
      <c r="C9382">
        <v>9.0399999999999991</v>
      </c>
      <c r="D9382">
        <f t="shared" si="295"/>
        <v>1</v>
      </c>
    </row>
    <row r="9383" spans="1:4" x14ac:dyDescent="0.55000000000000004">
      <c r="A9383">
        <f t="shared" si="294"/>
        <v>1987</v>
      </c>
      <c r="B9383" s="821">
        <v>31992</v>
      </c>
      <c r="C9383">
        <v>9.02</v>
      </c>
      <c r="D9383">
        <f t="shared" si="295"/>
        <v>1</v>
      </c>
    </row>
    <row r="9384" spans="1:4" x14ac:dyDescent="0.55000000000000004">
      <c r="A9384">
        <f t="shared" si="294"/>
        <v>1987</v>
      </c>
      <c r="B9384" s="821">
        <v>31989</v>
      </c>
      <c r="C9384">
        <v>8.89</v>
      </c>
      <c r="D9384">
        <f t="shared" si="295"/>
        <v>1</v>
      </c>
    </row>
    <row r="9385" spans="1:4" x14ac:dyDescent="0.55000000000000004">
      <c r="A9385">
        <f t="shared" si="294"/>
        <v>1987</v>
      </c>
      <c r="B9385" s="821">
        <v>31988</v>
      </c>
      <c r="C9385">
        <v>8.84</v>
      </c>
      <c r="D9385">
        <f t="shared" si="295"/>
        <v>1</v>
      </c>
    </row>
    <row r="9386" spans="1:4" x14ac:dyDescent="0.55000000000000004">
      <c r="A9386">
        <f t="shared" si="294"/>
        <v>1987</v>
      </c>
      <c r="B9386" s="821">
        <v>31987</v>
      </c>
      <c r="C9386">
        <v>8.85</v>
      </c>
      <c r="D9386">
        <f t="shared" si="295"/>
        <v>1</v>
      </c>
    </row>
    <row r="9387" spans="1:4" x14ac:dyDescent="0.55000000000000004">
      <c r="A9387">
        <f t="shared" si="294"/>
        <v>1987</v>
      </c>
      <c r="B9387" s="821">
        <v>31986</v>
      </c>
      <c r="C9387">
        <v>8.86</v>
      </c>
      <c r="D9387">
        <f t="shared" si="295"/>
        <v>1</v>
      </c>
    </row>
    <row r="9388" spans="1:4" x14ac:dyDescent="0.55000000000000004">
      <c r="A9388">
        <f t="shared" si="294"/>
        <v>1987</v>
      </c>
      <c r="B9388" s="821">
        <v>31985</v>
      </c>
      <c r="C9388">
        <v>8.84</v>
      </c>
      <c r="D9388">
        <f t="shared" si="295"/>
        <v>1</v>
      </c>
    </row>
    <row r="9389" spans="1:4" x14ac:dyDescent="0.55000000000000004">
      <c r="A9389">
        <f t="shared" si="294"/>
        <v>1987</v>
      </c>
      <c r="B9389" s="821">
        <v>31982</v>
      </c>
      <c r="C9389">
        <v>8.83</v>
      </c>
      <c r="D9389">
        <f t="shared" si="295"/>
        <v>1</v>
      </c>
    </row>
    <row r="9390" spans="1:4" x14ac:dyDescent="0.55000000000000004">
      <c r="A9390">
        <f t="shared" si="294"/>
        <v>1987</v>
      </c>
      <c r="B9390" s="821">
        <v>31981</v>
      </c>
      <c r="C9390">
        <v>8.8000000000000007</v>
      </c>
      <c r="D9390">
        <f t="shared" si="295"/>
        <v>1</v>
      </c>
    </row>
    <row r="9391" spans="1:4" x14ac:dyDescent="0.55000000000000004">
      <c r="A9391">
        <f t="shared" si="294"/>
        <v>1987</v>
      </c>
      <c r="B9391" s="821">
        <v>31980</v>
      </c>
      <c r="C9391">
        <v>8.7799999999999994</v>
      </c>
      <c r="D9391">
        <f t="shared" si="295"/>
        <v>1</v>
      </c>
    </row>
    <row r="9392" spans="1:4" x14ac:dyDescent="0.55000000000000004">
      <c r="A9392">
        <f t="shared" si="294"/>
        <v>1987</v>
      </c>
      <c r="B9392" s="821">
        <v>31979</v>
      </c>
      <c r="C9392">
        <v>8.7200000000000006</v>
      </c>
      <c r="D9392">
        <f t="shared" si="295"/>
        <v>1</v>
      </c>
    </row>
    <row r="9393" spans="1:4" x14ac:dyDescent="0.55000000000000004">
      <c r="A9393">
        <f t="shared" si="294"/>
        <v>1987</v>
      </c>
      <c r="B9393" s="821">
        <v>31978</v>
      </c>
      <c r="C9393">
        <v>8.61</v>
      </c>
      <c r="D9393">
        <f t="shared" si="295"/>
        <v>1</v>
      </c>
    </row>
    <row r="9394" spans="1:4" x14ac:dyDescent="0.55000000000000004">
      <c r="A9394">
        <f t="shared" si="294"/>
        <v>1987</v>
      </c>
      <c r="B9394" s="821">
        <v>31975</v>
      </c>
      <c r="C9394">
        <v>8.5500000000000007</v>
      </c>
      <c r="D9394">
        <f t="shared" si="295"/>
        <v>1</v>
      </c>
    </row>
    <row r="9395" spans="1:4" x14ac:dyDescent="0.55000000000000004">
      <c r="A9395">
        <f t="shared" si="294"/>
        <v>1987</v>
      </c>
      <c r="B9395" s="821">
        <v>31974</v>
      </c>
      <c r="C9395">
        <v>8.59</v>
      </c>
      <c r="D9395">
        <f t="shared" si="295"/>
        <v>1</v>
      </c>
    </row>
    <row r="9396" spans="1:4" x14ac:dyDescent="0.55000000000000004">
      <c r="A9396">
        <f t="shared" si="294"/>
        <v>1987</v>
      </c>
      <c r="B9396" s="821">
        <v>31973</v>
      </c>
      <c r="C9396">
        <v>8.61</v>
      </c>
      <c r="D9396">
        <f t="shared" si="295"/>
        <v>1</v>
      </c>
    </row>
    <row r="9397" spans="1:4" x14ac:dyDescent="0.55000000000000004">
      <c r="A9397">
        <f t="shared" si="294"/>
        <v>1987</v>
      </c>
      <c r="B9397" s="821">
        <v>31972</v>
      </c>
      <c r="C9397">
        <v>8.51</v>
      </c>
      <c r="D9397">
        <f t="shared" si="295"/>
        <v>1</v>
      </c>
    </row>
    <row r="9398" spans="1:4" x14ac:dyDescent="0.55000000000000004">
      <c r="A9398">
        <f t="shared" si="294"/>
        <v>1987</v>
      </c>
      <c r="B9398" s="821">
        <v>31971</v>
      </c>
      <c r="C9398">
        <v>8.5399999999999991</v>
      </c>
      <c r="D9398">
        <f t="shared" si="295"/>
        <v>1</v>
      </c>
    </row>
    <row r="9399" spans="1:4" x14ac:dyDescent="0.55000000000000004">
      <c r="A9399">
        <f t="shared" si="294"/>
        <v>1987</v>
      </c>
      <c r="B9399" s="821">
        <v>31968</v>
      </c>
      <c r="C9399">
        <v>8.4600000000000009</v>
      </c>
      <c r="D9399">
        <f t="shared" si="295"/>
        <v>1</v>
      </c>
    </row>
    <row r="9400" spans="1:4" x14ac:dyDescent="0.55000000000000004">
      <c r="A9400">
        <f t="shared" si="294"/>
        <v>1987</v>
      </c>
      <c r="B9400" s="821">
        <v>31967</v>
      </c>
      <c r="C9400">
        <v>8.52</v>
      </c>
      <c r="D9400">
        <f t="shared" si="295"/>
        <v>1</v>
      </c>
    </row>
    <row r="9401" spans="1:4" x14ac:dyDescent="0.55000000000000004">
      <c r="A9401">
        <f t="shared" si="294"/>
        <v>1987</v>
      </c>
      <c r="B9401" s="821">
        <v>31966</v>
      </c>
      <c r="C9401">
        <v>8.4499999999999993</v>
      </c>
      <c r="D9401">
        <f t="shared" si="295"/>
        <v>1</v>
      </c>
    </row>
    <row r="9402" spans="1:4" x14ac:dyDescent="0.55000000000000004">
      <c r="A9402">
        <f t="shared" si="294"/>
        <v>1987</v>
      </c>
      <c r="B9402" s="821">
        <v>31965</v>
      </c>
      <c r="C9402">
        <v>8.4</v>
      </c>
      <c r="D9402">
        <f t="shared" si="295"/>
        <v>1</v>
      </c>
    </row>
    <row r="9403" spans="1:4" x14ac:dyDescent="0.55000000000000004">
      <c r="A9403">
        <f t="shared" si="294"/>
        <v>1987</v>
      </c>
      <c r="B9403" s="821">
        <v>31964</v>
      </c>
      <c r="C9403">
        <v>8.42</v>
      </c>
      <c r="D9403">
        <f t="shared" si="295"/>
        <v>1</v>
      </c>
    </row>
    <row r="9404" spans="1:4" x14ac:dyDescent="0.55000000000000004">
      <c r="A9404">
        <f t="shared" si="294"/>
        <v>1987</v>
      </c>
      <c r="B9404" s="821">
        <v>31960</v>
      </c>
      <c r="C9404">
        <v>8.43</v>
      </c>
      <c r="D9404">
        <f t="shared" si="295"/>
        <v>1</v>
      </c>
    </row>
    <row r="9405" spans="1:4" x14ac:dyDescent="0.55000000000000004">
      <c r="A9405">
        <f t="shared" si="294"/>
        <v>1987</v>
      </c>
      <c r="B9405" s="821">
        <v>31959</v>
      </c>
      <c r="C9405">
        <v>8.49</v>
      </c>
      <c r="D9405">
        <f t="shared" si="295"/>
        <v>1</v>
      </c>
    </row>
    <row r="9406" spans="1:4" x14ac:dyDescent="0.55000000000000004">
      <c r="A9406">
        <f t="shared" si="294"/>
        <v>1987</v>
      </c>
      <c r="B9406" s="821">
        <v>31958</v>
      </c>
      <c r="C9406">
        <v>8.51</v>
      </c>
      <c r="D9406">
        <f t="shared" si="295"/>
        <v>1</v>
      </c>
    </row>
    <row r="9407" spans="1:4" x14ac:dyDescent="0.55000000000000004">
      <c r="A9407">
        <f t="shared" si="294"/>
        <v>1987</v>
      </c>
      <c r="B9407" s="821">
        <v>31957</v>
      </c>
      <c r="C9407">
        <v>8.49</v>
      </c>
      <c r="D9407">
        <f t="shared" si="295"/>
        <v>1</v>
      </c>
    </row>
    <row r="9408" spans="1:4" x14ac:dyDescent="0.55000000000000004">
      <c r="A9408">
        <f t="shared" si="294"/>
        <v>1987</v>
      </c>
      <c r="B9408" s="821">
        <v>31954</v>
      </c>
      <c r="C9408">
        <v>8.5</v>
      </c>
      <c r="D9408">
        <f t="shared" si="295"/>
        <v>1</v>
      </c>
    </row>
    <row r="9409" spans="1:4" x14ac:dyDescent="0.55000000000000004">
      <c r="A9409">
        <f t="shared" si="294"/>
        <v>1987</v>
      </c>
      <c r="B9409" s="821">
        <v>31953</v>
      </c>
      <c r="C9409">
        <v>8.4</v>
      </c>
      <c r="D9409">
        <f t="shared" si="295"/>
        <v>1</v>
      </c>
    </row>
    <row r="9410" spans="1:4" x14ac:dyDescent="0.55000000000000004">
      <c r="A9410">
        <f t="shared" si="294"/>
        <v>1987</v>
      </c>
      <c r="B9410" s="821">
        <v>31952</v>
      </c>
      <c r="C9410">
        <v>8.4700000000000006</v>
      </c>
      <c r="D9410">
        <f t="shared" si="295"/>
        <v>1</v>
      </c>
    </row>
    <row r="9411" spans="1:4" x14ac:dyDescent="0.55000000000000004">
      <c r="A9411">
        <f t="shared" si="294"/>
        <v>1987</v>
      </c>
      <c r="B9411" s="821">
        <v>31951</v>
      </c>
      <c r="C9411">
        <v>8.41</v>
      </c>
      <c r="D9411">
        <f t="shared" si="295"/>
        <v>1</v>
      </c>
    </row>
    <row r="9412" spans="1:4" x14ac:dyDescent="0.55000000000000004">
      <c r="A9412">
        <f t="shared" ref="A9412:A9475" si="296">YEAR(B9412)</f>
        <v>1987</v>
      </c>
      <c r="B9412" s="821">
        <v>31950</v>
      </c>
      <c r="C9412">
        <v>8.41</v>
      </c>
      <c r="D9412">
        <f t="shared" ref="D9412:D9475" si="297">IF(C9412&gt;4,1,0)</f>
        <v>1</v>
      </c>
    </row>
    <row r="9413" spans="1:4" x14ac:dyDescent="0.55000000000000004">
      <c r="A9413">
        <f t="shared" si="296"/>
        <v>1987</v>
      </c>
      <c r="B9413" s="821">
        <v>31947</v>
      </c>
      <c r="C9413">
        <v>8.48</v>
      </c>
      <c r="D9413">
        <f t="shared" si="297"/>
        <v>1</v>
      </c>
    </row>
    <row r="9414" spans="1:4" x14ac:dyDescent="0.55000000000000004">
      <c r="A9414">
        <f t="shared" si="296"/>
        <v>1987</v>
      </c>
      <c r="B9414" s="821">
        <v>31946</v>
      </c>
      <c r="C9414">
        <v>8.4499999999999993</v>
      </c>
      <c r="D9414">
        <f t="shared" si="297"/>
        <v>1</v>
      </c>
    </row>
    <row r="9415" spans="1:4" x14ac:dyDescent="0.55000000000000004">
      <c r="A9415">
        <f t="shared" si="296"/>
        <v>1987</v>
      </c>
      <c r="B9415" s="821">
        <v>31945</v>
      </c>
      <c r="C9415">
        <v>8.42</v>
      </c>
      <c r="D9415">
        <f t="shared" si="297"/>
        <v>1</v>
      </c>
    </row>
    <row r="9416" spans="1:4" x14ac:dyDescent="0.55000000000000004">
      <c r="A9416">
        <f t="shared" si="296"/>
        <v>1987</v>
      </c>
      <c r="B9416" s="821">
        <v>31944</v>
      </c>
      <c r="C9416">
        <v>8.4700000000000006</v>
      </c>
      <c r="D9416">
        <f t="shared" si="297"/>
        <v>1</v>
      </c>
    </row>
    <row r="9417" spans="1:4" x14ac:dyDescent="0.55000000000000004">
      <c r="A9417">
        <f t="shared" si="296"/>
        <v>1987</v>
      </c>
      <c r="B9417" s="821">
        <v>31943</v>
      </c>
      <c r="C9417">
        <v>8.4600000000000009</v>
      </c>
      <c r="D9417">
        <f t="shared" si="297"/>
        <v>1</v>
      </c>
    </row>
    <row r="9418" spans="1:4" x14ac:dyDescent="0.55000000000000004">
      <c r="A9418">
        <f t="shared" si="296"/>
        <v>1987</v>
      </c>
      <c r="B9418" s="821">
        <v>31940</v>
      </c>
      <c r="C9418">
        <v>8.5</v>
      </c>
      <c r="D9418">
        <f t="shared" si="297"/>
        <v>1</v>
      </c>
    </row>
    <row r="9419" spans="1:4" x14ac:dyDescent="0.55000000000000004">
      <c r="A9419">
        <f t="shared" si="296"/>
        <v>1987</v>
      </c>
      <c r="B9419" s="821">
        <v>31939</v>
      </c>
      <c r="C9419">
        <v>8.69</v>
      </c>
      <c r="D9419">
        <f t="shared" si="297"/>
        <v>1</v>
      </c>
    </row>
    <row r="9420" spans="1:4" x14ac:dyDescent="0.55000000000000004">
      <c r="A9420">
        <f t="shared" si="296"/>
        <v>1987</v>
      </c>
      <c r="B9420" s="821">
        <v>31938</v>
      </c>
      <c r="C9420">
        <v>8.7200000000000006</v>
      </c>
      <c r="D9420">
        <f t="shared" si="297"/>
        <v>1</v>
      </c>
    </row>
    <row r="9421" spans="1:4" x14ac:dyDescent="0.55000000000000004">
      <c r="A9421">
        <f t="shared" si="296"/>
        <v>1987</v>
      </c>
      <c r="B9421" s="821">
        <v>31937</v>
      </c>
      <c r="C9421">
        <v>8.73</v>
      </c>
      <c r="D9421">
        <f t="shared" si="297"/>
        <v>1</v>
      </c>
    </row>
    <row r="9422" spans="1:4" x14ac:dyDescent="0.55000000000000004">
      <c r="A9422">
        <f t="shared" si="296"/>
        <v>1987</v>
      </c>
      <c r="B9422" s="821">
        <v>31936</v>
      </c>
      <c r="C9422">
        <v>8.68</v>
      </c>
      <c r="D9422">
        <f t="shared" si="297"/>
        <v>1</v>
      </c>
    </row>
    <row r="9423" spans="1:4" x14ac:dyDescent="0.55000000000000004">
      <c r="A9423">
        <f t="shared" si="296"/>
        <v>1987</v>
      </c>
      <c r="B9423" s="821">
        <v>31933</v>
      </c>
      <c r="C9423">
        <v>8.66</v>
      </c>
      <c r="D9423">
        <f t="shared" si="297"/>
        <v>1</v>
      </c>
    </row>
    <row r="9424" spans="1:4" x14ac:dyDescent="0.55000000000000004">
      <c r="A9424">
        <f t="shared" si="296"/>
        <v>1987</v>
      </c>
      <c r="B9424" s="821">
        <v>31932</v>
      </c>
      <c r="C9424">
        <v>8.76</v>
      </c>
      <c r="D9424">
        <f t="shared" si="297"/>
        <v>1</v>
      </c>
    </row>
    <row r="9425" spans="1:4" x14ac:dyDescent="0.55000000000000004">
      <c r="A9425">
        <f t="shared" si="296"/>
        <v>1987</v>
      </c>
      <c r="B9425" s="821">
        <v>31931</v>
      </c>
      <c r="C9425">
        <v>8.7899999999999991</v>
      </c>
      <c r="D9425">
        <f t="shared" si="297"/>
        <v>1</v>
      </c>
    </row>
    <row r="9426" spans="1:4" x14ac:dyDescent="0.55000000000000004">
      <c r="A9426">
        <f t="shared" si="296"/>
        <v>1987</v>
      </c>
      <c r="B9426" s="821">
        <v>31930</v>
      </c>
      <c r="C9426">
        <v>8.9</v>
      </c>
      <c r="D9426">
        <f t="shared" si="297"/>
        <v>1</v>
      </c>
    </row>
    <row r="9427" spans="1:4" x14ac:dyDescent="0.55000000000000004">
      <c r="A9427">
        <f t="shared" si="296"/>
        <v>1987</v>
      </c>
      <c r="B9427" s="821">
        <v>31929</v>
      </c>
      <c r="C9427">
        <v>8.6300000000000008</v>
      </c>
      <c r="D9427">
        <f t="shared" si="297"/>
        <v>1</v>
      </c>
    </row>
    <row r="9428" spans="1:4" x14ac:dyDescent="0.55000000000000004">
      <c r="A9428">
        <f t="shared" si="296"/>
        <v>1987</v>
      </c>
      <c r="B9428" s="821">
        <v>31926</v>
      </c>
      <c r="C9428">
        <v>8.65</v>
      </c>
      <c r="D9428">
        <f t="shared" si="297"/>
        <v>1</v>
      </c>
    </row>
    <row r="9429" spans="1:4" x14ac:dyDescent="0.55000000000000004">
      <c r="A9429">
        <f t="shared" si="296"/>
        <v>1987</v>
      </c>
      <c r="B9429" s="821">
        <v>31925</v>
      </c>
      <c r="C9429">
        <v>8.74</v>
      </c>
      <c r="D9429">
        <f t="shared" si="297"/>
        <v>1</v>
      </c>
    </row>
    <row r="9430" spans="1:4" x14ac:dyDescent="0.55000000000000004">
      <c r="A9430">
        <f t="shared" si="296"/>
        <v>1987</v>
      </c>
      <c r="B9430" s="821">
        <v>31924</v>
      </c>
      <c r="C9430">
        <v>8.75</v>
      </c>
      <c r="D9430">
        <f t="shared" si="297"/>
        <v>1</v>
      </c>
    </row>
    <row r="9431" spans="1:4" x14ac:dyDescent="0.55000000000000004">
      <c r="A9431">
        <f t="shared" si="296"/>
        <v>1987</v>
      </c>
      <c r="B9431" s="821">
        <v>31923</v>
      </c>
      <c r="C9431">
        <v>8.69</v>
      </c>
      <c r="D9431">
        <f t="shared" si="297"/>
        <v>1</v>
      </c>
    </row>
    <row r="9432" spans="1:4" x14ac:dyDescent="0.55000000000000004">
      <c r="A9432">
        <f t="shared" si="296"/>
        <v>1987</v>
      </c>
      <c r="B9432" s="821">
        <v>31919</v>
      </c>
      <c r="C9432">
        <v>8.9499999999999993</v>
      </c>
      <c r="D9432">
        <f t="shared" si="297"/>
        <v>1</v>
      </c>
    </row>
    <row r="9433" spans="1:4" x14ac:dyDescent="0.55000000000000004">
      <c r="A9433">
        <f t="shared" si="296"/>
        <v>1987</v>
      </c>
      <c r="B9433" s="821">
        <v>31918</v>
      </c>
      <c r="C9433">
        <v>9.0299999999999994</v>
      </c>
      <c r="D9433">
        <f t="shared" si="297"/>
        <v>1</v>
      </c>
    </row>
    <row r="9434" spans="1:4" x14ac:dyDescent="0.55000000000000004">
      <c r="A9434">
        <f t="shared" si="296"/>
        <v>1987</v>
      </c>
      <c r="B9434" s="821">
        <v>31917</v>
      </c>
      <c r="C9434">
        <v>9.07</v>
      </c>
      <c r="D9434">
        <f t="shared" si="297"/>
        <v>1</v>
      </c>
    </row>
    <row r="9435" spans="1:4" x14ac:dyDescent="0.55000000000000004">
      <c r="A9435">
        <f t="shared" si="296"/>
        <v>1987</v>
      </c>
      <c r="B9435" s="821">
        <v>31916</v>
      </c>
      <c r="C9435">
        <v>9.06</v>
      </c>
      <c r="D9435">
        <f t="shared" si="297"/>
        <v>1</v>
      </c>
    </row>
    <row r="9436" spans="1:4" x14ac:dyDescent="0.55000000000000004">
      <c r="A9436">
        <f t="shared" si="296"/>
        <v>1987</v>
      </c>
      <c r="B9436" s="821">
        <v>31915</v>
      </c>
      <c r="C9436">
        <v>8.8800000000000008</v>
      </c>
      <c r="D9436">
        <f t="shared" si="297"/>
        <v>1</v>
      </c>
    </row>
    <row r="9437" spans="1:4" x14ac:dyDescent="0.55000000000000004">
      <c r="A9437">
        <f t="shared" si="296"/>
        <v>1987</v>
      </c>
      <c r="B9437" s="821">
        <v>31912</v>
      </c>
      <c r="C9437">
        <v>8.92</v>
      </c>
      <c r="D9437">
        <f t="shared" si="297"/>
        <v>1</v>
      </c>
    </row>
    <row r="9438" spans="1:4" x14ac:dyDescent="0.55000000000000004">
      <c r="A9438">
        <f t="shared" si="296"/>
        <v>1987</v>
      </c>
      <c r="B9438" s="821">
        <v>31911</v>
      </c>
      <c r="C9438">
        <v>8.73</v>
      </c>
      <c r="D9438">
        <f t="shared" si="297"/>
        <v>1</v>
      </c>
    </row>
    <row r="9439" spans="1:4" x14ac:dyDescent="0.55000000000000004">
      <c r="A9439">
        <f t="shared" si="296"/>
        <v>1987</v>
      </c>
      <c r="B9439" s="821">
        <v>31910</v>
      </c>
      <c r="C9439">
        <v>8.7100000000000009</v>
      </c>
      <c r="D9439">
        <f t="shared" si="297"/>
        <v>1</v>
      </c>
    </row>
    <row r="9440" spans="1:4" x14ac:dyDescent="0.55000000000000004">
      <c r="A9440">
        <f t="shared" si="296"/>
        <v>1987</v>
      </c>
      <c r="B9440" s="821">
        <v>31909</v>
      </c>
      <c r="C9440">
        <v>8.7200000000000006</v>
      </c>
      <c r="D9440">
        <f t="shared" si="297"/>
        <v>1</v>
      </c>
    </row>
    <row r="9441" spans="1:4" x14ac:dyDescent="0.55000000000000004">
      <c r="A9441">
        <f t="shared" si="296"/>
        <v>1987</v>
      </c>
      <c r="B9441" s="821">
        <v>31908</v>
      </c>
      <c r="C9441">
        <v>8.76</v>
      </c>
      <c r="D9441">
        <f t="shared" si="297"/>
        <v>1</v>
      </c>
    </row>
    <row r="9442" spans="1:4" x14ac:dyDescent="0.55000000000000004">
      <c r="A9442">
        <f t="shared" si="296"/>
        <v>1987</v>
      </c>
      <c r="B9442" s="821">
        <v>31905</v>
      </c>
      <c r="C9442">
        <v>8.61</v>
      </c>
      <c r="D9442">
        <f t="shared" si="297"/>
        <v>1</v>
      </c>
    </row>
    <row r="9443" spans="1:4" x14ac:dyDescent="0.55000000000000004">
      <c r="A9443">
        <f t="shared" si="296"/>
        <v>1987</v>
      </c>
      <c r="B9443" s="821">
        <v>31904</v>
      </c>
      <c r="C9443">
        <v>8.6300000000000008</v>
      </c>
      <c r="D9443">
        <f t="shared" si="297"/>
        <v>1</v>
      </c>
    </row>
    <row r="9444" spans="1:4" x14ac:dyDescent="0.55000000000000004">
      <c r="A9444">
        <f t="shared" si="296"/>
        <v>1987</v>
      </c>
      <c r="B9444" s="821">
        <v>31903</v>
      </c>
      <c r="C9444">
        <v>8.75</v>
      </c>
      <c r="D9444">
        <f t="shared" si="297"/>
        <v>1</v>
      </c>
    </row>
    <row r="9445" spans="1:4" x14ac:dyDescent="0.55000000000000004">
      <c r="A9445">
        <f t="shared" si="296"/>
        <v>1987</v>
      </c>
      <c r="B9445" s="821">
        <v>31902</v>
      </c>
      <c r="C9445">
        <v>8.64</v>
      </c>
      <c r="D9445">
        <f t="shared" si="297"/>
        <v>1</v>
      </c>
    </row>
    <row r="9446" spans="1:4" x14ac:dyDescent="0.55000000000000004">
      <c r="A9446">
        <f t="shared" si="296"/>
        <v>1987</v>
      </c>
      <c r="B9446" s="821">
        <v>31901</v>
      </c>
      <c r="C9446">
        <v>8.7200000000000006</v>
      </c>
      <c r="D9446">
        <f t="shared" si="297"/>
        <v>1</v>
      </c>
    </row>
    <row r="9447" spans="1:4" x14ac:dyDescent="0.55000000000000004">
      <c r="A9447">
        <f t="shared" si="296"/>
        <v>1987</v>
      </c>
      <c r="B9447" s="821">
        <v>31898</v>
      </c>
      <c r="C9447">
        <v>8.59</v>
      </c>
      <c r="D9447">
        <f t="shared" si="297"/>
        <v>1</v>
      </c>
    </row>
    <row r="9448" spans="1:4" x14ac:dyDescent="0.55000000000000004">
      <c r="A9448">
        <f t="shared" si="296"/>
        <v>1987</v>
      </c>
      <c r="B9448" s="821">
        <v>31897</v>
      </c>
      <c r="C9448">
        <v>8.4499999999999993</v>
      </c>
      <c r="D9448">
        <f t="shared" si="297"/>
        <v>1</v>
      </c>
    </row>
    <row r="9449" spans="1:4" x14ac:dyDescent="0.55000000000000004">
      <c r="A9449">
        <f t="shared" si="296"/>
        <v>1987</v>
      </c>
      <c r="B9449" s="821">
        <v>31896</v>
      </c>
      <c r="C9449">
        <v>8.56</v>
      </c>
      <c r="D9449">
        <f t="shared" si="297"/>
        <v>1</v>
      </c>
    </row>
    <row r="9450" spans="1:4" x14ac:dyDescent="0.55000000000000004">
      <c r="A9450">
        <f t="shared" si="296"/>
        <v>1987</v>
      </c>
      <c r="B9450" s="821">
        <v>31895</v>
      </c>
      <c r="C9450">
        <v>8.5</v>
      </c>
      <c r="D9450">
        <f t="shared" si="297"/>
        <v>1</v>
      </c>
    </row>
    <row r="9451" spans="1:4" x14ac:dyDescent="0.55000000000000004">
      <c r="A9451">
        <f t="shared" si="296"/>
        <v>1987</v>
      </c>
      <c r="B9451" s="821">
        <v>31894</v>
      </c>
      <c r="C9451">
        <v>8.59</v>
      </c>
      <c r="D9451">
        <f t="shared" si="297"/>
        <v>1</v>
      </c>
    </row>
    <row r="9452" spans="1:4" x14ac:dyDescent="0.55000000000000004">
      <c r="A9452">
        <f t="shared" si="296"/>
        <v>1987</v>
      </c>
      <c r="B9452" s="821">
        <v>31891</v>
      </c>
      <c r="C9452">
        <v>8.69</v>
      </c>
      <c r="D9452">
        <f t="shared" si="297"/>
        <v>1</v>
      </c>
    </row>
    <row r="9453" spans="1:4" x14ac:dyDescent="0.55000000000000004">
      <c r="A9453">
        <f t="shared" si="296"/>
        <v>1987</v>
      </c>
      <c r="B9453" s="821">
        <v>31890</v>
      </c>
      <c r="C9453">
        <v>8.51</v>
      </c>
      <c r="D9453">
        <f t="shared" si="297"/>
        <v>1</v>
      </c>
    </row>
    <row r="9454" spans="1:4" x14ac:dyDescent="0.55000000000000004">
      <c r="A9454">
        <f t="shared" si="296"/>
        <v>1987</v>
      </c>
      <c r="B9454" s="821">
        <v>31889</v>
      </c>
      <c r="C9454">
        <v>8.44</v>
      </c>
      <c r="D9454">
        <f t="shared" si="297"/>
        <v>1</v>
      </c>
    </row>
    <row r="9455" spans="1:4" x14ac:dyDescent="0.55000000000000004">
      <c r="A9455">
        <f t="shared" si="296"/>
        <v>1987</v>
      </c>
      <c r="B9455" s="821">
        <v>31888</v>
      </c>
      <c r="C9455">
        <v>8.3800000000000008</v>
      </c>
      <c r="D9455">
        <f t="shared" si="297"/>
        <v>1</v>
      </c>
    </row>
    <row r="9456" spans="1:4" x14ac:dyDescent="0.55000000000000004">
      <c r="A9456">
        <f t="shared" si="296"/>
        <v>1987</v>
      </c>
      <c r="B9456" s="821">
        <v>31887</v>
      </c>
      <c r="C9456">
        <v>8.39</v>
      </c>
      <c r="D9456">
        <f t="shared" si="297"/>
        <v>1</v>
      </c>
    </row>
    <row r="9457" spans="1:4" x14ac:dyDescent="0.55000000000000004">
      <c r="A9457">
        <f t="shared" si="296"/>
        <v>1987</v>
      </c>
      <c r="B9457" s="821">
        <v>31883</v>
      </c>
      <c r="C9457">
        <v>8.2200000000000006</v>
      </c>
      <c r="D9457">
        <f t="shared" si="297"/>
        <v>1</v>
      </c>
    </row>
    <row r="9458" spans="1:4" x14ac:dyDescent="0.55000000000000004">
      <c r="A9458">
        <f t="shared" si="296"/>
        <v>1987</v>
      </c>
      <c r="B9458" s="821">
        <v>31882</v>
      </c>
      <c r="C9458">
        <v>8.32</v>
      </c>
      <c r="D9458">
        <f t="shared" si="297"/>
        <v>1</v>
      </c>
    </row>
    <row r="9459" spans="1:4" x14ac:dyDescent="0.55000000000000004">
      <c r="A9459">
        <f t="shared" si="296"/>
        <v>1987</v>
      </c>
      <c r="B9459" s="821">
        <v>31881</v>
      </c>
      <c r="C9459">
        <v>8.4</v>
      </c>
      <c r="D9459">
        <f t="shared" si="297"/>
        <v>1</v>
      </c>
    </row>
    <row r="9460" spans="1:4" x14ac:dyDescent="0.55000000000000004">
      <c r="A9460">
        <f t="shared" si="296"/>
        <v>1987</v>
      </c>
      <c r="B9460" s="821">
        <v>31880</v>
      </c>
      <c r="C9460">
        <v>8.26</v>
      </c>
      <c r="D9460">
        <f t="shared" si="297"/>
        <v>1</v>
      </c>
    </row>
    <row r="9461" spans="1:4" x14ac:dyDescent="0.55000000000000004">
      <c r="A9461">
        <f t="shared" si="296"/>
        <v>1987</v>
      </c>
      <c r="B9461" s="821">
        <v>31877</v>
      </c>
      <c r="C9461">
        <v>8.19</v>
      </c>
      <c r="D9461">
        <f t="shared" si="297"/>
        <v>1</v>
      </c>
    </row>
    <row r="9462" spans="1:4" x14ac:dyDescent="0.55000000000000004">
      <c r="A9462">
        <f t="shared" si="296"/>
        <v>1987</v>
      </c>
      <c r="B9462" s="821">
        <v>31876</v>
      </c>
      <c r="C9462">
        <v>8.06</v>
      </c>
      <c r="D9462">
        <f t="shared" si="297"/>
        <v>1</v>
      </c>
    </row>
    <row r="9463" spans="1:4" x14ac:dyDescent="0.55000000000000004">
      <c r="A9463">
        <f t="shared" si="296"/>
        <v>1987</v>
      </c>
      <c r="B9463" s="821">
        <v>31875</v>
      </c>
      <c r="C9463">
        <v>7.9</v>
      </c>
      <c r="D9463">
        <f t="shared" si="297"/>
        <v>1</v>
      </c>
    </row>
    <row r="9464" spans="1:4" x14ac:dyDescent="0.55000000000000004">
      <c r="A9464">
        <f t="shared" si="296"/>
        <v>1987</v>
      </c>
      <c r="B9464" s="821">
        <v>31874</v>
      </c>
      <c r="C9464">
        <v>7.92</v>
      </c>
      <c r="D9464">
        <f t="shared" si="297"/>
        <v>1</v>
      </c>
    </row>
    <row r="9465" spans="1:4" x14ac:dyDescent="0.55000000000000004">
      <c r="A9465">
        <f t="shared" si="296"/>
        <v>1987</v>
      </c>
      <c r="B9465" s="821">
        <v>31873</v>
      </c>
      <c r="C9465">
        <v>7.84</v>
      </c>
      <c r="D9465">
        <f t="shared" si="297"/>
        <v>1</v>
      </c>
    </row>
    <row r="9466" spans="1:4" x14ac:dyDescent="0.55000000000000004">
      <c r="A9466">
        <f t="shared" si="296"/>
        <v>1987</v>
      </c>
      <c r="B9466" s="821">
        <v>31870</v>
      </c>
      <c r="C9466">
        <v>7.89</v>
      </c>
      <c r="D9466">
        <f t="shared" si="297"/>
        <v>1</v>
      </c>
    </row>
    <row r="9467" spans="1:4" x14ac:dyDescent="0.55000000000000004">
      <c r="A9467">
        <f t="shared" si="296"/>
        <v>1987</v>
      </c>
      <c r="B9467" s="821">
        <v>31869</v>
      </c>
      <c r="C9467">
        <v>7.9</v>
      </c>
      <c r="D9467">
        <f t="shared" si="297"/>
        <v>1</v>
      </c>
    </row>
    <row r="9468" spans="1:4" x14ac:dyDescent="0.55000000000000004">
      <c r="A9468">
        <f t="shared" si="296"/>
        <v>1987</v>
      </c>
      <c r="B9468" s="821">
        <v>31868</v>
      </c>
      <c r="C9468">
        <v>7.89</v>
      </c>
      <c r="D9468">
        <f t="shared" si="297"/>
        <v>1</v>
      </c>
    </row>
    <row r="9469" spans="1:4" x14ac:dyDescent="0.55000000000000004">
      <c r="A9469">
        <f t="shared" si="296"/>
        <v>1987</v>
      </c>
      <c r="B9469" s="821">
        <v>31867</v>
      </c>
      <c r="C9469">
        <v>7.81</v>
      </c>
      <c r="D9469">
        <f t="shared" si="297"/>
        <v>1</v>
      </c>
    </row>
    <row r="9470" spans="1:4" x14ac:dyDescent="0.55000000000000004">
      <c r="A9470">
        <f t="shared" si="296"/>
        <v>1987</v>
      </c>
      <c r="B9470" s="821">
        <v>31866</v>
      </c>
      <c r="C9470">
        <v>7.84</v>
      </c>
      <c r="D9470">
        <f t="shared" si="297"/>
        <v>1</v>
      </c>
    </row>
    <row r="9471" spans="1:4" x14ac:dyDescent="0.55000000000000004">
      <c r="A9471">
        <f t="shared" si="296"/>
        <v>1987</v>
      </c>
      <c r="B9471" s="821">
        <v>31863</v>
      </c>
      <c r="C9471">
        <v>7.64</v>
      </c>
      <c r="D9471">
        <f t="shared" si="297"/>
        <v>1</v>
      </c>
    </row>
    <row r="9472" spans="1:4" x14ac:dyDescent="0.55000000000000004">
      <c r="A9472">
        <f t="shared" si="296"/>
        <v>1987</v>
      </c>
      <c r="B9472" s="821">
        <v>31862</v>
      </c>
      <c r="C9472">
        <v>7.56</v>
      </c>
      <c r="D9472">
        <f t="shared" si="297"/>
        <v>1</v>
      </c>
    </row>
    <row r="9473" spans="1:4" x14ac:dyDescent="0.55000000000000004">
      <c r="A9473">
        <f t="shared" si="296"/>
        <v>1987</v>
      </c>
      <c r="B9473" s="821">
        <v>31861</v>
      </c>
      <c r="C9473">
        <v>7.58</v>
      </c>
      <c r="D9473">
        <f t="shared" si="297"/>
        <v>1</v>
      </c>
    </row>
    <row r="9474" spans="1:4" x14ac:dyDescent="0.55000000000000004">
      <c r="A9474">
        <f t="shared" si="296"/>
        <v>1987</v>
      </c>
      <c r="B9474" s="821">
        <v>31860</v>
      </c>
      <c r="C9474">
        <v>7.59</v>
      </c>
      <c r="D9474">
        <f t="shared" si="297"/>
        <v>1</v>
      </c>
    </row>
    <row r="9475" spans="1:4" x14ac:dyDescent="0.55000000000000004">
      <c r="A9475">
        <f t="shared" si="296"/>
        <v>1987</v>
      </c>
      <c r="B9475" s="821">
        <v>31859</v>
      </c>
      <c r="C9475">
        <v>7.56</v>
      </c>
      <c r="D9475">
        <f t="shared" si="297"/>
        <v>1</v>
      </c>
    </row>
    <row r="9476" spans="1:4" x14ac:dyDescent="0.55000000000000004">
      <c r="A9476">
        <f t="shared" ref="A9476:A9539" si="298">YEAR(B9476)</f>
        <v>1987</v>
      </c>
      <c r="B9476" s="821">
        <v>31856</v>
      </c>
      <c r="C9476">
        <v>7.53</v>
      </c>
      <c r="D9476">
        <f t="shared" ref="D9476:D9539" si="299">IF(C9476&gt;4,1,0)</f>
        <v>1</v>
      </c>
    </row>
    <row r="9477" spans="1:4" x14ac:dyDescent="0.55000000000000004">
      <c r="A9477">
        <f t="shared" si="298"/>
        <v>1987</v>
      </c>
      <c r="B9477" s="821">
        <v>31855</v>
      </c>
      <c r="C9477">
        <v>7.51</v>
      </c>
      <c r="D9477">
        <f t="shared" si="299"/>
        <v>1</v>
      </c>
    </row>
    <row r="9478" spans="1:4" x14ac:dyDescent="0.55000000000000004">
      <c r="A9478">
        <f t="shared" si="298"/>
        <v>1987</v>
      </c>
      <c r="B9478" s="821">
        <v>31854</v>
      </c>
      <c r="C9478">
        <v>7.52</v>
      </c>
      <c r="D9478">
        <f t="shared" si="299"/>
        <v>1</v>
      </c>
    </row>
    <row r="9479" spans="1:4" x14ac:dyDescent="0.55000000000000004">
      <c r="A9479">
        <f t="shared" si="298"/>
        <v>1987</v>
      </c>
      <c r="B9479" s="821">
        <v>31853</v>
      </c>
      <c r="C9479">
        <v>7.51</v>
      </c>
      <c r="D9479">
        <f t="shared" si="299"/>
        <v>1</v>
      </c>
    </row>
    <row r="9480" spans="1:4" x14ac:dyDescent="0.55000000000000004">
      <c r="A9480">
        <f t="shared" si="298"/>
        <v>1987</v>
      </c>
      <c r="B9480" s="821">
        <v>31852</v>
      </c>
      <c r="C9480">
        <v>7.52</v>
      </c>
      <c r="D9480">
        <f t="shared" si="299"/>
        <v>1</v>
      </c>
    </row>
    <row r="9481" spans="1:4" x14ac:dyDescent="0.55000000000000004">
      <c r="A9481">
        <f t="shared" si="298"/>
        <v>1987</v>
      </c>
      <c r="B9481" s="821">
        <v>31849</v>
      </c>
      <c r="C9481">
        <v>7.49</v>
      </c>
      <c r="D9481">
        <f t="shared" si="299"/>
        <v>1</v>
      </c>
    </row>
    <row r="9482" spans="1:4" x14ac:dyDescent="0.55000000000000004">
      <c r="A9482">
        <f t="shared" si="298"/>
        <v>1987</v>
      </c>
      <c r="B9482" s="821">
        <v>31848</v>
      </c>
      <c r="C9482">
        <v>7.52</v>
      </c>
      <c r="D9482">
        <f t="shared" si="299"/>
        <v>1</v>
      </c>
    </row>
    <row r="9483" spans="1:4" x14ac:dyDescent="0.55000000000000004">
      <c r="A9483">
        <f t="shared" si="298"/>
        <v>1987</v>
      </c>
      <c r="B9483" s="821">
        <v>31847</v>
      </c>
      <c r="C9483">
        <v>7.53</v>
      </c>
      <c r="D9483">
        <f t="shared" si="299"/>
        <v>1</v>
      </c>
    </row>
    <row r="9484" spans="1:4" x14ac:dyDescent="0.55000000000000004">
      <c r="A9484">
        <f t="shared" si="298"/>
        <v>1987</v>
      </c>
      <c r="B9484" s="821">
        <v>31846</v>
      </c>
      <c r="C9484">
        <v>7.53</v>
      </c>
      <c r="D9484">
        <f t="shared" si="299"/>
        <v>1</v>
      </c>
    </row>
    <row r="9485" spans="1:4" x14ac:dyDescent="0.55000000000000004">
      <c r="A9485">
        <f t="shared" si="298"/>
        <v>1987</v>
      </c>
      <c r="B9485" s="821">
        <v>31845</v>
      </c>
      <c r="C9485">
        <v>7.53</v>
      </c>
      <c r="D9485">
        <f t="shared" si="299"/>
        <v>1</v>
      </c>
    </row>
    <row r="9486" spans="1:4" x14ac:dyDescent="0.55000000000000004">
      <c r="A9486">
        <f t="shared" si="298"/>
        <v>1987</v>
      </c>
      <c r="B9486" s="821">
        <v>31842</v>
      </c>
      <c r="C9486">
        <v>7.52</v>
      </c>
      <c r="D9486">
        <f t="shared" si="299"/>
        <v>1</v>
      </c>
    </row>
    <row r="9487" spans="1:4" x14ac:dyDescent="0.55000000000000004">
      <c r="A9487">
        <f t="shared" si="298"/>
        <v>1987</v>
      </c>
      <c r="B9487" s="821">
        <v>31841</v>
      </c>
      <c r="C9487">
        <v>7.45</v>
      </c>
      <c r="D9487">
        <f t="shared" si="299"/>
        <v>1</v>
      </c>
    </row>
    <row r="9488" spans="1:4" x14ac:dyDescent="0.55000000000000004">
      <c r="A9488">
        <f t="shared" si="298"/>
        <v>1987</v>
      </c>
      <c r="B9488" s="821">
        <v>31840</v>
      </c>
      <c r="C9488">
        <v>7.44</v>
      </c>
      <c r="D9488">
        <f t="shared" si="299"/>
        <v>1</v>
      </c>
    </row>
    <row r="9489" spans="1:4" x14ac:dyDescent="0.55000000000000004">
      <c r="A9489">
        <f t="shared" si="298"/>
        <v>1987</v>
      </c>
      <c r="B9489" s="821">
        <v>31839</v>
      </c>
      <c r="C9489">
        <v>7.49</v>
      </c>
      <c r="D9489">
        <f t="shared" si="299"/>
        <v>1</v>
      </c>
    </row>
    <row r="9490" spans="1:4" x14ac:dyDescent="0.55000000000000004">
      <c r="A9490">
        <f t="shared" si="298"/>
        <v>1987</v>
      </c>
      <c r="B9490" s="821">
        <v>31838</v>
      </c>
      <c r="C9490">
        <v>7.46</v>
      </c>
      <c r="D9490">
        <f t="shared" si="299"/>
        <v>1</v>
      </c>
    </row>
    <row r="9491" spans="1:4" x14ac:dyDescent="0.55000000000000004">
      <c r="A9491">
        <f t="shared" si="298"/>
        <v>1987</v>
      </c>
      <c r="B9491" s="821">
        <v>31835</v>
      </c>
      <c r="C9491">
        <v>7.48</v>
      </c>
      <c r="D9491">
        <f t="shared" si="299"/>
        <v>1</v>
      </c>
    </row>
    <row r="9492" spans="1:4" x14ac:dyDescent="0.55000000000000004">
      <c r="A9492">
        <f t="shared" si="298"/>
        <v>1987</v>
      </c>
      <c r="B9492" s="821">
        <v>31834</v>
      </c>
      <c r="C9492">
        <v>7.5</v>
      </c>
      <c r="D9492">
        <f t="shared" si="299"/>
        <v>1</v>
      </c>
    </row>
    <row r="9493" spans="1:4" x14ac:dyDescent="0.55000000000000004">
      <c r="A9493">
        <f t="shared" si="298"/>
        <v>1987</v>
      </c>
      <c r="B9493" s="821">
        <v>31833</v>
      </c>
      <c r="C9493">
        <v>7.5</v>
      </c>
      <c r="D9493">
        <f t="shared" si="299"/>
        <v>1</v>
      </c>
    </row>
    <row r="9494" spans="1:4" x14ac:dyDescent="0.55000000000000004">
      <c r="A9494">
        <f t="shared" si="298"/>
        <v>1987</v>
      </c>
      <c r="B9494" s="821">
        <v>31832</v>
      </c>
      <c r="C9494">
        <v>7.48</v>
      </c>
      <c r="D9494">
        <f t="shared" si="299"/>
        <v>1</v>
      </c>
    </row>
    <row r="9495" spans="1:4" x14ac:dyDescent="0.55000000000000004">
      <c r="A9495">
        <f t="shared" si="298"/>
        <v>1987</v>
      </c>
      <c r="B9495" s="821">
        <v>31831</v>
      </c>
      <c r="C9495">
        <v>7.53</v>
      </c>
      <c r="D9495">
        <f t="shared" si="299"/>
        <v>1</v>
      </c>
    </row>
    <row r="9496" spans="1:4" x14ac:dyDescent="0.55000000000000004">
      <c r="A9496">
        <f t="shared" si="298"/>
        <v>1987</v>
      </c>
      <c r="B9496" s="821">
        <v>31828</v>
      </c>
      <c r="C9496">
        <v>7.55</v>
      </c>
      <c r="D9496">
        <f t="shared" si="299"/>
        <v>1</v>
      </c>
    </row>
    <row r="9497" spans="1:4" x14ac:dyDescent="0.55000000000000004">
      <c r="A9497">
        <f t="shared" si="298"/>
        <v>1987</v>
      </c>
      <c r="B9497" s="821">
        <v>31827</v>
      </c>
      <c r="C9497">
        <v>7.55</v>
      </c>
      <c r="D9497">
        <f t="shared" si="299"/>
        <v>1</v>
      </c>
    </row>
    <row r="9498" spans="1:4" x14ac:dyDescent="0.55000000000000004">
      <c r="A9498">
        <f t="shared" si="298"/>
        <v>1987</v>
      </c>
      <c r="B9498" s="821">
        <v>31826</v>
      </c>
      <c r="C9498">
        <v>7.6</v>
      </c>
      <c r="D9498">
        <f t="shared" si="299"/>
        <v>1</v>
      </c>
    </row>
    <row r="9499" spans="1:4" x14ac:dyDescent="0.55000000000000004">
      <c r="A9499">
        <f t="shared" si="298"/>
        <v>1987</v>
      </c>
      <c r="B9499" s="821">
        <v>31825</v>
      </c>
      <c r="C9499">
        <v>7.63</v>
      </c>
      <c r="D9499">
        <f t="shared" si="299"/>
        <v>1</v>
      </c>
    </row>
    <row r="9500" spans="1:4" x14ac:dyDescent="0.55000000000000004">
      <c r="A9500">
        <f t="shared" si="298"/>
        <v>1987</v>
      </c>
      <c r="B9500" s="821">
        <v>31821</v>
      </c>
      <c r="C9500">
        <v>7.57</v>
      </c>
      <c r="D9500">
        <f t="shared" si="299"/>
        <v>1</v>
      </c>
    </row>
    <row r="9501" spans="1:4" x14ac:dyDescent="0.55000000000000004">
      <c r="A9501">
        <f t="shared" si="298"/>
        <v>1987</v>
      </c>
      <c r="B9501" s="821">
        <v>31820</v>
      </c>
      <c r="C9501">
        <v>7.59</v>
      </c>
      <c r="D9501">
        <f t="shared" si="299"/>
        <v>1</v>
      </c>
    </row>
    <row r="9502" spans="1:4" x14ac:dyDescent="0.55000000000000004">
      <c r="A9502">
        <f t="shared" si="298"/>
        <v>1987</v>
      </c>
      <c r="B9502" s="821">
        <v>31819</v>
      </c>
      <c r="C9502">
        <v>7.64</v>
      </c>
      <c r="D9502">
        <f t="shared" si="299"/>
        <v>1</v>
      </c>
    </row>
    <row r="9503" spans="1:4" x14ac:dyDescent="0.55000000000000004">
      <c r="A9503">
        <f t="shared" si="298"/>
        <v>1987</v>
      </c>
      <c r="B9503" s="821">
        <v>31818</v>
      </c>
      <c r="C9503">
        <v>7.61</v>
      </c>
      <c r="D9503">
        <f t="shared" si="299"/>
        <v>1</v>
      </c>
    </row>
    <row r="9504" spans="1:4" x14ac:dyDescent="0.55000000000000004">
      <c r="A9504">
        <f t="shared" si="298"/>
        <v>1987</v>
      </c>
      <c r="B9504" s="821">
        <v>31817</v>
      </c>
      <c r="C9504">
        <v>7.53</v>
      </c>
      <c r="D9504">
        <f t="shared" si="299"/>
        <v>1</v>
      </c>
    </row>
    <row r="9505" spans="1:4" x14ac:dyDescent="0.55000000000000004">
      <c r="A9505">
        <f t="shared" si="298"/>
        <v>1987</v>
      </c>
      <c r="B9505" s="821">
        <v>31814</v>
      </c>
      <c r="C9505">
        <v>7.47</v>
      </c>
      <c r="D9505">
        <f t="shared" si="299"/>
        <v>1</v>
      </c>
    </row>
    <row r="9506" spans="1:4" x14ac:dyDescent="0.55000000000000004">
      <c r="A9506">
        <f t="shared" si="298"/>
        <v>1987</v>
      </c>
      <c r="B9506" s="821">
        <v>31813</v>
      </c>
      <c r="C9506">
        <v>7.47</v>
      </c>
      <c r="D9506">
        <f t="shared" si="299"/>
        <v>1</v>
      </c>
    </row>
    <row r="9507" spans="1:4" x14ac:dyDescent="0.55000000000000004">
      <c r="A9507">
        <f t="shared" si="298"/>
        <v>1987</v>
      </c>
      <c r="B9507" s="821">
        <v>31812</v>
      </c>
      <c r="C9507">
        <v>7.51</v>
      </c>
      <c r="D9507">
        <f t="shared" si="299"/>
        <v>1</v>
      </c>
    </row>
    <row r="9508" spans="1:4" x14ac:dyDescent="0.55000000000000004">
      <c r="A9508">
        <f t="shared" si="298"/>
        <v>1987</v>
      </c>
      <c r="B9508" s="821">
        <v>31811</v>
      </c>
      <c r="C9508">
        <v>7.53</v>
      </c>
      <c r="D9508">
        <f t="shared" si="299"/>
        <v>1</v>
      </c>
    </row>
    <row r="9509" spans="1:4" x14ac:dyDescent="0.55000000000000004">
      <c r="A9509">
        <f t="shared" si="298"/>
        <v>1987</v>
      </c>
      <c r="B9509" s="821">
        <v>31810</v>
      </c>
      <c r="C9509">
        <v>7.52</v>
      </c>
      <c r="D9509">
        <f t="shared" si="299"/>
        <v>1</v>
      </c>
    </row>
    <row r="9510" spans="1:4" x14ac:dyDescent="0.55000000000000004">
      <c r="A9510">
        <f t="shared" si="298"/>
        <v>1987</v>
      </c>
      <c r="B9510" s="821">
        <v>31807</v>
      </c>
      <c r="C9510">
        <v>7.48</v>
      </c>
      <c r="D9510">
        <f t="shared" si="299"/>
        <v>1</v>
      </c>
    </row>
    <row r="9511" spans="1:4" x14ac:dyDescent="0.55000000000000004">
      <c r="A9511">
        <f t="shared" si="298"/>
        <v>1987</v>
      </c>
      <c r="B9511" s="821">
        <v>31806</v>
      </c>
      <c r="C9511">
        <v>7.45</v>
      </c>
      <c r="D9511">
        <f t="shared" si="299"/>
        <v>1</v>
      </c>
    </row>
    <row r="9512" spans="1:4" x14ac:dyDescent="0.55000000000000004">
      <c r="A9512">
        <f t="shared" si="298"/>
        <v>1987</v>
      </c>
      <c r="B9512" s="821">
        <v>31805</v>
      </c>
      <c r="C9512">
        <v>7.46</v>
      </c>
      <c r="D9512">
        <f t="shared" si="299"/>
        <v>1</v>
      </c>
    </row>
    <row r="9513" spans="1:4" x14ac:dyDescent="0.55000000000000004">
      <c r="A9513">
        <f t="shared" si="298"/>
        <v>1987</v>
      </c>
      <c r="B9513" s="821">
        <v>31804</v>
      </c>
      <c r="C9513">
        <v>7.49</v>
      </c>
      <c r="D9513">
        <f t="shared" si="299"/>
        <v>1</v>
      </c>
    </row>
    <row r="9514" spans="1:4" x14ac:dyDescent="0.55000000000000004">
      <c r="A9514">
        <f t="shared" si="298"/>
        <v>1987</v>
      </c>
      <c r="B9514" s="821">
        <v>31803</v>
      </c>
      <c r="C9514">
        <v>7.49</v>
      </c>
      <c r="D9514">
        <f t="shared" si="299"/>
        <v>1</v>
      </c>
    </row>
    <row r="9515" spans="1:4" x14ac:dyDescent="0.55000000000000004">
      <c r="A9515">
        <f t="shared" si="298"/>
        <v>1987</v>
      </c>
      <c r="B9515" s="821">
        <v>31800</v>
      </c>
      <c r="C9515">
        <v>7.42</v>
      </c>
      <c r="D9515">
        <f t="shared" si="299"/>
        <v>1</v>
      </c>
    </row>
    <row r="9516" spans="1:4" x14ac:dyDescent="0.55000000000000004">
      <c r="A9516">
        <f t="shared" si="298"/>
        <v>1987</v>
      </c>
      <c r="B9516" s="821">
        <v>31799</v>
      </c>
      <c r="C9516">
        <v>7.36</v>
      </c>
      <c r="D9516">
        <f t="shared" si="299"/>
        <v>1</v>
      </c>
    </row>
    <row r="9517" spans="1:4" x14ac:dyDescent="0.55000000000000004">
      <c r="A9517">
        <f t="shared" si="298"/>
        <v>1987</v>
      </c>
      <c r="B9517" s="821">
        <v>31798</v>
      </c>
      <c r="C9517">
        <v>7.33</v>
      </c>
      <c r="D9517">
        <f t="shared" si="299"/>
        <v>1</v>
      </c>
    </row>
    <row r="9518" spans="1:4" x14ac:dyDescent="0.55000000000000004">
      <c r="A9518">
        <f t="shared" si="298"/>
        <v>1987</v>
      </c>
      <c r="B9518" s="821">
        <v>31797</v>
      </c>
      <c r="C9518">
        <v>7.32</v>
      </c>
      <c r="D9518">
        <f t="shared" si="299"/>
        <v>1</v>
      </c>
    </row>
    <row r="9519" spans="1:4" x14ac:dyDescent="0.55000000000000004">
      <c r="A9519">
        <f t="shared" si="298"/>
        <v>1987</v>
      </c>
      <c r="B9519" s="821">
        <v>31793</v>
      </c>
      <c r="C9519">
        <v>7.34</v>
      </c>
      <c r="D9519">
        <f t="shared" si="299"/>
        <v>1</v>
      </c>
    </row>
    <row r="9520" spans="1:4" x14ac:dyDescent="0.55000000000000004">
      <c r="A9520">
        <f t="shared" si="298"/>
        <v>1987</v>
      </c>
      <c r="B9520" s="821">
        <v>31792</v>
      </c>
      <c r="C9520">
        <v>7.39</v>
      </c>
      <c r="D9520">
        <f t="shared" si="299"/>
        <v>1</v>
      </c>
    </row>
    <row r="9521" spans="1:4" x14ac:dyDescent="0.55000000000000004">
      <c r="A9521">
        <f t="shared" si="298"/>
        <v>1987</v>
      </c>
      <c r="B9521" s="821">
        <v>31791</v>
      </c>
      <c r="C9521">
        <v>7.41</v>
      </c>
      <c r="D9521">
        <f t="shared" si="299"/>
        <v>1</v>
      </c>
    </row>
    <row r="9522" spans="1:4" x14ac:dyDescent="0.55000000000000004">
      <c r="A9522">
        <f t="shared" si="298"/>
        <v>1987</v>
      </c>
      <c r="B9522" s="821">
        <v>31790</v>
      </c>
      <c r="C9522">
        <v>7.37</v>
      </c>
      <c r="D9522">
        <f t="shared" si="299"/>
        <v>1</v>
      </c>
    </row>
    <row r="9523" spans="1:4" x14ac:dyDescent="0.55000000000000004">
      <c r="A9523">
        <f t="shared" si="298"/>
        <v>1987</v>
      </c>
      <c r="B9523" s="821">
        <v>31789</v>
      </c>
      <c r="C9523">
        <v>7.33</v>
      </c>
      <c r="D9523">
        <f t="shared" si="299"/>
        <v>1</v>
      </c>
    </row>
    <row r="9524" spans="1:4" x14ac:dyDescent="0.55000000000000004">
      <c r="A9524">
        <f t="shared" si="298"/>
        <v>1987</v>
      </c>
      <c r="B9524" s="821">
        <v>31786</v>
      </c>
      <c r="C9524">
        <v>7.29</v>
      </c>
      <c r="D9524">
        <f t="shared" si="299"/>
        <v>1</v>
      </c>
    </row>
    <row r="9525" spans="1:4" x14ac:dyDescent="0.55000000000000004">
      <c r="A9525">
        <f t="shared" si="298"/>
        <v>1987</v>
      </c>
      <c r="B9525" s="821">
        <v>31785</v>
      </c>
      <c r="C9525">
        <v>7.31</v>
      </c>
      <c r="D9525">
        <f t="shared" si="299"/>
        <v>1</v>
      </c>
    </row>
    <row r="9526" spans="1:4" x14ac:dyDescent="0.55000000000000004">
      <c r="A9526">
        <f t="shared" si="298"/>
        <v>1987</v>
      </c>
      <c r="B9526" s="821">
        <v>31784</v>
      </c>
      <c r="C9526">
        <v>7.33</v>
      </c>
      <c r="D9526">
        <f t="shared" si="299"/>
        <v>1</v>
      </c>
    </row>
    <row r="9527" spans="1:4" x14ac:dyDescent="0.55000000000000004">
      <c r="A9527">
        <f t="shared" si="298"/>
        <v>1987</v>
      </c>
      <c r="B9527" s="821">
        <v>31783</v>
      </c>
      <c r="C9527">
        <v>7.36</v>
      </c>
      <c r="D9527">
        <f t="shared" si="299"/>
        <v>1</v>
      </c>
    </row>
    <row r="9528" spans="1:4" x14ac:dyDescent="0.55000000000000004">
      <c r="A9528">
        <f t="shared" si="298"/>
        <v>1987</v>
      </c>
      <c r="B9528" s="821">
        <v>31782</v>
      </c>
      <c r="C9528">
        <v>7.35</v>
      </c>
      <c r="D9528">
        <f t="shared" si="299"/>
        <v>1</v>
      </c>
    </row>
    <row r="9529" spans="1:4" x14ac:dyDescent="0.55000000000000004">
      <c r="A9529">
        <f t="shared" si="298"/>
        <v>1987</v>
      </c>
      <c r="B9529" s="821">
        <v>31779</v>
      </c>
      <c r="C9529">
        <v>7.44</v>
      </c>
      <c r="D9529">
        <f t="shared" si="299"/>
        <v>1</v>
      </c>
    </row>
    <row r="9530" spans="1:4" x14ac:dyDescent="0.55000000000000004">
      <c r="A9530">
        <f t="shared" si="298"/>
        <v>1986</v>
      </c>
      <c r="B9530" s="821">
        <v>31777</v>
      </c>
      <c r="C9530">
        <v>7.49</v>
      </c>
      <c r="D9530">
        <f t="shared" si="299"/>
        <v>1</v>
      </c>
    </row>
    <row r="9531" spans="1:4" x14ac:dyDescent="0.55000000000000004">
      <c r="A9531">
        <f t="shared" si="298"/>
        <v>1986</v>
      </c>
      <c r="B9531" s="821">
        <v>31776</v>
      </c>
      <c r="C9531">
        <v>7.46</v>
      </c>
      <c r="D9531">
        <f t="shared" si="299"/>
        <v>1</v>
      </c>
    </row>
    <row r="9532" spans="1:4" x14ac:dyDescent="0.55000000000000004">
      <c r="A9532">
        <f t="shared" si="298"/>
        <v>1986</v>
      </c>
      <c r="B9532" s="821">
        <v>31775</v>
      </c>
      <c r="C9532">
        <v>7.41</v>
      </c>
      <c r="D9532">
        <f t="shared" si="299"/>
        <v>1</v>
      </c>
    </row>
    <row r="9533" spans="1:4" x14ac:dyDescent="0.55000000000000004">
      <c r="A9533">
        <f t="shared" si="298"/>
        <v>1986</v>
      </c>
      <c r="B9533" s="821">
        <v>31772</v>
      </c>
      <c r="C9533">
        <v>7.34</v>
      </c>
      <c r="D9533">
        <f t="shared" si="299"/>
        <v>1</v>
      </c>
    </row>
    <row r="9534" spans="1:4" x14ac:dyDescent="0.55000000000000004">
      <c r="A9534">
        <f t="shared" si="298"/>
        <v>1986</v>
      </c>
      <c r="B9534" s="821">
        <v>31770</v>
      </c>
      <c r="C9534">
        <v>7.34</v>
      </c>
      <c r="D9534">
        <f t="shared" si="299"/>
        <v>1</v>
      </c>
    </row>
    <row r="9535" spans="1:4" x14ac:dyDescent="0.55000000000000004">
      <c r="A9535">
        <f t="shared" si="298"/>
        <v>1986</v>
      </c>
      <c r="B9535" s="821">
        <v>31769</v>
      </c>
      <c r="C9535">
        <v>7.34</v>
      </c>
      <c r="D9535">
        <f t="shared" si="299"/>
        <v>1</v>
      </c>
    </row>
    <row r="9536" spans="1:4" x14ac:dyDescent="0.55000000000000004">
      <c r="A9536">
        <f t="shared" si="298"/>
        <v>1986</v>
      </c>
      <c r="B9536" s="821">
        <v>31768</v>
      </c>
      <c r="C9536">
        <v>7.36</v>
      </c>
      <c r="D9536">
        <f t="shared" si="299"/>
        <v>1</v>
      </c>
    </row>
    <row r="9537" spans="1:4" x14ac:dyDescent="0.55000000000000004">
      <c r="A9537">
        <f t="shared" si="298"/>
        <v>1986</v>
      </c>
      <c r="B9537" s="821">
        <v>31765</v>
      </c>
      <c r="C9537">
        <v>7.36</v>
      </c>
      <c r="D9537">
        <f t="shared" si="299"/>
        <v>1</v>
      </c>
    </row>
    <row r="9538" spans="1:4" x14ac:dyDescent="0.55000000000000004">
      <c r="A9538">
        <f t="shared" si="298"/>
        <v>1986</v>
      </c>
      <c r="B9538" s="821">
        <v>31764</v>
      </c>
      <c r="C9538">
        <v>7.38</v>
      </c>
      <c r="D9538">
        <f t="shared" si="299"/>
        <v>1</v>
      </c>
    </row>
    <row r="9539" spans="1:4" x14ac:dyDescent="0.55000000000000004">
      <c r="A9539">
        <f t="shared" si="298"/>
        <v>1986</v>
      </c>
      <c r="B9539" s="821">
        <v>31763</v>
      </c>
      <c r="C9539">
        <v>7.39</v>
      </c>
      <c r="D9539">
        <f t="shared" si="299"/>
        <v>1</v>
      </c>
    </row>
    <row r="9540" spans="1:4" x14ac:dyDescent="0.55000000000000004">
      <c r="A9540">
        <f t="shared" ref="A9540:A9603" si="300">YEAR(B9540)</f>
        <v>1986</v>
      </c>
      <c r="B9540" s="821">
        <v>31762</v>
      </c>
      <c r="C9540">
        <v>7.39</v>
      </c>
      <c r="D9540">
        <f t="shared" ref="D9540:D9603" si="301">IF(C9540&gt;4,1,0)</f>
        <v>1</v>
      </c>
    </row>
    <row r="9541" spans="1:4" x14ac:dyDescent="0.55000000000000004">
      <c r="A9541">
        <f t="shared" si="300"/>
        <v>1986</v>
      </c>
      <c r="B9541" s="821">
        <v>31761</v>
      </c>
      <c r="C9541">
        <v>7.41</v>
      </c>
      <c r="D9541">
        <f t="shared" si="301"/>
        <v>1</v>
      </c>
    </row>
    <row r="9542" spans="1:4" x14ac:dyDescent="0.55000000000000004">
      <c r="A9542">
        <f t="shared" si="300"/>
        <v>1986</v>
      </c>
      <c r="B9542" s="821">
        <v>31758</v>
      </c>
      <c r="C9542">
        <v>7.39</v>
      </c>
      <c r="D9542">
        <f t="shared" si="301"/>
        <v>1</v>
      </c>
    </row>
    <row r="9543" spans="1:4" x14ac:dyDescent="0.55000000000000004">
      <c r="A9543">
        <f t="shared" si="300"/>
        <v>1986</v>
      </c>
      <c r="B9543" s="821">
        <v>31757</v>
      </c>
      <c r="C9543">
        <v>7.38</v>
      </c>
      <c r="D9543">
        <f t="shared" si="301"/>
        <v>1</v>
      </c>
    </row>
    <row r="9544" spans="1:4" x14ac:dyDescent="0.55000000000000004">
      <c r="A9544">
        <f t="shared" si="300"/>
        <v>1986</v>
      </c>
      <c r="B9544" s="821">
        <v>31756</v>
      </c>
      <c r="C9544">
        <v>7.32</v>
      </c>
      <c r="D9544">
        <f t="shared" si="301"/>
        <v>1</v>
      </c>
    </row>
    <row r="9545" spans="1:4" x14ac:dyDescent="0.55000000000000004">
      <c r="A9545">
        <f t="shared" si="300"/>
        <v>1986</v>
      </c>
      <c r="B9545" s="821">
        <v>31755</v>
      </c>
      <c r="C9545">
        <v>7.33</v>
      </c>
      <c r="D9545">
        <f t="shared" si="301"/>
        <v>1</v>
      </c>
    </row>
    <row r="9546" spans="1:4" x14ac:dyDescent="0.55000000000000004">
      <c r="A9546">
        <f t="shared" si="300"/>
        <v>1986</v>
      </c>
      <c r="B9546" s="821">
        <v>31754</v>
      </c>
      <c r="C9546">
        <v>7.34</v>
      </c>
      <c r="D9546">
        <f t="shared" si="301"/>
        <v>1</v>
      </c>
    </row>
    <row r="9547" spans="1:4" x14ac:dyDescent="0.55000000000000004">
      <c r="A9547">
        <f t="shared" si="300"/>
        <v>1986</v>
      </c>
      <c r="B9547" s="821">
        <v>31751</v>
      </c>
      <c r="C9547">
        <v>7.38</v>
      </c>
      <c r="D9547">
        <f t="shared" si="301"/>
        <v>1</v>
      </c>
    </row>
    <row r="9548" spans="1:4" x14ac:dyDescent="0.55000000000000004">
      <c r="A9548">
        <f t="shared" si="300"/>
        <v>1986</v>
      </c>
      <c r="B9548" s="821">
        <v>31750</v>
      </c>
      <c r="C9548">
        <v>7.29</v>
      </c>
      <c r="D9548">
        <f t="shared" si="301"/>
        <v>1</v>
      </c>
    </row>
    <row r="9549" spans="1:4" x14ac:dyDescent="0.55000000000000004">
      <c r="A9549">
        <f t="shared" si="300"/>
        <v>1986</v>
      </c>
      <c r="B9549" s="821">
        <v>31749</v>
      </c>
      <c r="C9549">
        <v>7.31</v>
      </c>
      <c r="D9549">
        <f t="shared" si="301"/>
        <v>1</v>
      </c>
    </row>
    <row r="9550" spans="1:4" x14ac:dyDescent="0.55000000000000004">
      <c r="A9550">
        <f t="shared" si="300"/>
        <v>1986</v>
      </c>
      <c r="B9550" s="821">
        <v>31748</v>
      </c>
      <c r="C9550">
        <v>7.34</v>
      </c>
      <c r="D9550">
        <f t="shared" si="301"/>
        <v>1</v>
      </c>
    </row>
    <row r="9551" spans="1:4" x14ac:dyDescent="0.55000000000000004">
      <c r="A9551">
        <f t="shared" si="300"/>
        <v>1986</v>
      </c>
      <c r="B9551" s="821">
        <v>31747</v>
      </c>
      <c r="C9551">
        <v>7.42</v>
      </c>
      <c r="D9551">
        <f t="shared" si="301"/>
        <v>1</v>
      </c>
    </row>
    <row r="9552" spans="1:4" x14ac:dyDescent="0.55000000000000004">
      <c r="A9552">
        <f t="shared" si="300"/>
        <v>1986</v>
      </c>
      <c r="B9552" s="821">
        <v>31744</v>
      </c>
      <c r="C9552">
        <v>7.41</v>
      </c>
      <c r="D9552">
        <f t="shared" si="301"/>
        <v>1</v>
      </c>
    </row>
    <row r="9553" spans="1:4" x14ac:dyDescent="0.55000000000000004">
      <c r="A9553">
        <f t="shared" si="300"/>
        <v>1986</v>
      </c>
      <c r="B9553" s="821">
        <v>31742</v>
      </c>
      <c r="C9553">
        <v>7.42</v>
      </c>
      <c r="D9553">
        <f t="shared" si="301"/>
        <v>1</v>
      </c>
    </row>
    <row r="9554" spans="1:4" x14ac:dyDescent="0.55000000000000004">
      <c r="A9554">
        <f t="shared" si="300"/>
        <v>1986</v>
      </c>
      <c r="B9554" s="821">
        <v>31741</v>
      </c>
      <c r="C9554">
        <v>7.44</v>
      </c>
      <c r="D9554">
        <f t="shared" si="301"/>
        <v>1</v>
      </c>
    </row>
    <row r="9555" spans="1:4" x14ac:dyDescent="0.55000000000000004">
      <c r="A9555">
        <f t="shared" si="300"/>
        <v>1986</v>
      </c>
      <c r="B9555" s="821">
        <v>31740</v>
      </c>
      <c r="C9555">
        <v>7.4</v>
      </c>
      <c r="D9555">
        <f t="shared" si="301"/>
        <v>1</v>
      </c>
    </row>
    <row r="9556" spans="1:4" x14ac:dyDescent="0.55000000000000004">
      <c r="A9556">
        <f t="shared" si="300"/>
        <v>1986</v>
      </c>
      <c r="B9556" s="821">
        <v>31737</v>
      </c>
      <c r="C9556">
        <v>7.44</v>
      </c>
      <c r="D9556">
        <f t="shared" si="301"/>
        <v>1</v>
      </c>
    </row>
    <row r="9557" spans="1:4" x14ac:dyDescent="0.55000000000000004">
      <c r="A9557">
        <f t="shared" si="300"/>
        <v>1986</v>
      </c>
      <c r="B9557" s="821">
        <v>31736</v>
      </c>
      <c r="C9557">
        <v>7.45</v>
      </c>
      <c r="D9557">
        <f t="shared" si="301"/>
        <v>1</v>
      </c>
    </row>
    <row r="9558" spans="1:4" x14ac:dyDescent="0.55000000000000004">
      <c r="A9558">
        <f t="shared" si="300"/>
        <v>1986</v>
      </c>
      <c r="B9558" s="821">
        <v>31735</v>
      </c>
      <c r="C9558">
        <v>7.44</v>
      </c>
      <c r="D9558">
        <f t="shared" si="301"/>
        <v>1</v>
      </c>
    </row>
    <row r="9559" spans="1:4" x14ac:dyDescent="0.55000000000000004">
      <c r="A9559">
        <f t="shared" si="300"/>
        <v>1986</v>
      </c>
      <c r="B9559" s="821">
        <v>31734</v>
      </c>
      <c r="C9559">
        <v>7.52</v>
      </c>
      <c r="D9559">
        <f t="shared" si="301"/>
        <v>1</v>
      </c>
    </row>
    <row r="9560" spans="1:4" x14ac:dyDescent="0.55000000000000004">
      <c r="A9560">
        <f t="shared" si="300"/>
        <v>1986</v>
      </c>
      <c r="B9560" s="821">
        <v>31733</v>
      </c>
      <c r="C9560">
        <v>7.48</v>
      </c>
      <c r="D9560">
        <f t="shared" si="301"/>
        <v>1</v>
      </c>
    </row>
    <row r="9561" spans="1:4" x14ac:dyDescent="0.55000000000000004">
      <c r="A9561">
        <f t="shared" si="300"/>
        <v>1986</v>
      </c>
      <c r="B9561" s="821">
        <v>31730</v>
      </c>
      <c r="C9561">
        <v>7.53</v>
      </c>
      <c r="D9561">
        <f t="shared" si="301"/>
        <v>1</v>
      </c>
    </row>
    <row r="9562" spans="1:4" x14ac:dyDescent="0.55000000000000004">
      <c r="A9562">
        <f t="shared" si="300"/>
        <v>1986</v>
      </c>
      <c r="B9562" s="821">
        <v>31729</v>
      </c>
      <c r="C9562">
        <v>7.59</v>
      </c>
      <c r="D9562">
        <f t="shared" si="301"/>
        <v>1</v>
      </c>
    </row>
    <row r="9563" spans="1:4" x14ac:dyDescent="0.55000000000000004">
      <c r="A9563">
        <f t="shared" si="300"/>
        <v>1986</v>
      </c>
      <c r="B9563" s="821">
        <v>31728</v>
      </c>
      <c r="C9563">
        <v>7.59</v>
      </c>
      <c r="D9563">
        <f t="shared" si="301"/>
        <v>1</v>
      </c>
    </row>
    <row r="9564" spans="1:4" x14ac:dyDescent="0.55000000000000004">
      <c r="A9564">
        <f t="shared" si="300"/>
        <v>1986</v>
      </c>
      <c r="B9564" s="821">
        <v>31726</v>
      </c>
      <c r="C9564">
        <v>7.64</v>
      </c>
      <c r="D9564">
        <f t="shared" si="301"/>
        <v>1</v>
      </c>
    </row>
    <row r="9565" spans="1:4" x14ac:dyDescent="0.55000000000000004">
      <c r="A9565">
        <f t="shared" si="300"/>
        <v>1986</v>
      </c>
      <c r="B9565" s="821">
        <v>31723</v>
      </c>
      <c r="C9565">
        <v>7.63</v>
      </c>
      <c r="D9565">
        <f t="shared" si="301"/>
        <v>1</v>
      </c>
    </row>
    <row r="9566" spans="1:4" x14ac:dyDescent="0.55000000000000004">
      <c r="A9566">
        <f t="shared" si="300"/>
        <v>1986</v>
      </c>
      <c r="B9566" s="821">
        <v>31722</v>
      </c>
      <c r="C9566">
        <v>7.55</v>
      </c>
      <c r="D9566">
        <f t="shared" si="301"/>
        <v>1</v>
      </c>
    </row>
    <row r="9567" spans="1:4" x14ac:dyDescent="0.55000000000000004">
      <c r="A9567">
        <f t="shared" si="300"/>
        <v>1986</v>
      </c>
      <c r="B9567" s="821">
        <v>31721</v>
      </c>
      <c r="C9567">
        <v>7.58</v>
      </c>
      <c r="D9567">
        <f t="shared" si="301"/>
        <v>1</v>
      </c>
    </row>
    <row r="9568" spans="1:4" x14ac:dyDescent="0.55000000000000004">
      <c r="A9568">
        <f t="shared" si="300"/>
        <v>1986</v>
      </c>
      <c r="B9568" s="821">
        <v>31720</v>
      </c>
      <c r="C9568">
        <v>7.59</v>
      </c>
      <c r="D9568">
        <f t="shared" si="301"/>
        <v>1</v>
      </c>
    </row>
    <row r="9569" spans="1:4" x14ac:dyDescent="0.55000000000000004">
      <c r="A9569">
        <f t="shared" si="300"/>
        <v>1986</v>
      </c>
      <c r="B9569" s="821">
        <v>31719</v>
      </c>
      <c r="C9569">
        <v>7.57</v>
      </c>
      <c r="D9569">
        <f t="shared" si="301"/>
        <v>1</v>
      </c>
    </row>
    <row r="9570" spans="1:4" x14ac:dyDescent="0.55000000000000004">
      <c r="A9570">
        <f t="shared" si="300"/>
        <v>1986</v>
      </c>
      <c r="B9570" s="821">
        <v>31716</v>
      </c>
      <c r="C9570">
        <v>7.61</v>
      </c>
      <c r="D9570">
        <f t="shared" si="301"/>
        <v>1</v>
      </c>
    </row>
    <row r="9571" spans="1:4" x14ac:dyDescent="0.55000000000000004">
      <c r="A9571">
        <f t="shared" si="300"/>
        <v>1986</v>
      </c>
      <c r="B9571" s="821">
        <v>31715</v>
      </c>
      <c r="C9571">
        <v>7.61</v>
      </c>
      <c r="D9571">
        <f t="shared" si="301"/>
        <v>1</v>
      </c>
    </row>
    <row r="9572" spans="1:4" x14ac:dyDescent="0.55000000000000004">
      <c r="A9572">
        <f t="shared" si="300"/>
        <v>1986</v>
      </c>
      <c r="B9572" s="821">
        <v>31714</v>
      </c>
      <c r="C9572">
        <v>7.71</v>
      </c>
      <c r="D9572">
        <f t="shared" si="301"/>
        <v>1</v>
      </c>
    </row>
    <row r="9573" spans="1:4" x14ac:dyDescent="0.55000000000000004">
      <c r="A9573">
        <f t="shared" si="300"/>
        <v>1986</v>
      </c>
      <c r="B9573" s="821">
        <v>31713</v>
      </c>
      <c r="C9573">
        <v>7.75</v>
      </c>
      <c r="D9573">
        <f t="shared" si="301"/>
        <v>1</v>
      </c>
    </row>
    <row r="9574" spans="1:4" x14ac:dyDescent="0.55000000000000004">
      <c r="A9574">
        <f t="shared" si="300"/>
        <v>1986</v>
      </c>
      <c r="B9574" s="821">
        <v>31712</v>
      </c>
      <c r="C9574">
        <v>7.71</v>
      </c>
      <c r="D9574">
        <f t="shared" si="301"/>
        <v>1</v>
      </c>
    </row>
    <row r="9575" spans="1:4" x14ac:dyDescent="0.55000000000000004">
      <c r="A9575">
        <f t="shared" si="300"/>
        <v>1986</v>
      </c>
      <c r="B9575" s="821">
        <v>31709</v>
      </c>
      <c r="C9575">
        <v>7.76</v>
      </c>
      <c r="D9575">
        <f t="shared" si="301"/>
        <v>1</v>
      </c>
    </row>
    <row r="9576" spans="1:4" x14ac:dyDescent="0.55000000000000004">
      <c r="A9576">
        <f t="shared" si="300"/>
        <v>1986</v>
      </c>
      <c r="B9576" s="821">
        <v>31708</v>
      </c>
      <c r="C9576">
        <v>7.72</v>
      </c>
      <c r="D9576">
        <f t="shared" si="301"/>
        <v>1</v>
      </c>
    </row>
    <row r="9577" spans="1:4" x14ac:dyDescent="0.55000000000000004">
      <c r="A9577">
        <f t="shared" si="300"/>
        <v>1986</v>
      </c>
      <c r="B9577" s="821">
        <v>31707</v>
      </c>
      <c r="C9577">
        <v>7.78</v>
      </c>
      <c r="D9577">
        <f t="shared" si="301"/>
        <v>1</v>
      </c>
    </row>
    <row r="9578" spans="1:4" x14ac:dyDescent="0.55000000000000004">
      <c r="A9578">
        <f t="shared" si="300"/>
        <v>1986</v>
      </c>
      <c r="B9578" s="821">
        <v>31706</v>
      </c>
      <c r="C9578">
        <v>7.84</v>
      </c>
      <c r="D9578">
        <f t="shared" si="301"/>
        <v>1</v>
      </c>
    </row>
    <row r="9579" spans="1:4" x14ac:dyDescent="0.55000000000000004">
      <c r="A9579">
        <f t="shared" si="300"/>
        <v>1986</v>
      </c>
      <c r="B9579" s="821">
        <v>31705</v>
      </c>
      <c r="C9579">
        <v>7.92</v>
      </c>
      <c r="D9579">
        <f t="shared" si="301"/>
        <v>1</v>
      </c>
    </row>
    <row r="9580" spans="1:4" x14ac:dyDescent="0.55000000000000004">
      <c r="A9580">
        <f t="shared" si="300"/>
        <v>1986</v>
      </c>
      <c r="B9580" s="821">
        <v>31702</v>
      </c>
      <c r="C9580">
        <v>7.84</v>
      </c>
      <c r="D9580">
        <f t="shared" si="301"/>
        <v>1</v>
      </c>
    </row>
    <row r="9581" spans="1:4" x14ac:dyDescent="0.55000000000000004">
      <c r="A9581">
        <f t="shared" si="300"/>
        <v>1986</v>
      </c>
      <c r="B9581" s="821">
        <v>31701</v>
      </c>
      <c r="C9581">
        <v>7.81</v>
      </c>
      <c r="D9581">
        <f t="shared" si="301"/>
        <v>1</v>
      </c>
    </row>
    <row r="9582" spans="1:4" x14ac:dyDescent="0.55000000000000004">
      <c r="A9582">
        <f t="shared" si="300"/>
        <v>1986</v>
      </c>
      <c r="B9582" s="821">
        <v>31700</v>
      </c>
      <c r="C9582">
        <v>7.78</v>
      </c>
      <c r="D9582">
        <f t="shared" si="301"/>
        <v>1</v>
      </c>
    </row>
    <row r="9583" spans="1:4" x14ac:dyDescent="0.55000000000000004">
      <c r="A9583">
        <f t="shared" si="300"/>
        <v>1986</v>
      </c>
      <c r="B9583" s="821">
        <v>31699</v>
      </c>
      <c r="C9583">
        <v>7.79</v>
      </c>
      <c r="D9583">
        <f t="shared" si="301"/>
        <v>1</v>
      </c>
    </row>
    <row r="9584" spans="1:4" x14ac:dyDescent="0.55000000000000004">
      <c r="A9584">
        <f t="shared" si="300"/>
        <v>1986</v>
      </c>
      <c r="B9584" s="821">
        <v>31695</v>
      </c>
      <c r="C9584">
        <v>7.66</v>
      </c>
      <c r="D9584">
        <f t="shared" si="301"/>
        <v>1</v>
      </c>
    </row>
    <row r="9585" spans="1:4" x14ac:dyDescent="0.55000000000000004">
      <c r="A9585">
        <f t="shared" si="300"/>
        <v>1986</v>
      </c>
      <c r="B9585" s="821">
        <v>31694</v>
      </c>
      <c r="C9585">
        <v>7.63</v>
      </c>
      <c r="D9585">
        <f t="shared" si="301"/>
        <v>1</v>
      </c>
    </row>
    <row r="9586" spans="1:4" x14ac:dyDescent="0.55000000000000004">
      <c r="A9586">
        <f t="shared" si="300"/>
        <v>1986</v>
      </c>
      <c r="B9586" s="821">
        <v>31693</v>
      </c>
      <c r="C9586">
        <v>7.6</v>
      </c>
      <c r="D9586">
        <f t="shared" si="301"/>
        <v>1</v>
      </c>
    </row>
    <row r="9587" spans="1:4" x14ac:dyDescent="0.55000000000000004">
      <c r="A9587">
        <f t="shared" si="300"/>
        <v>1986</v>
      </c>
      <c r="B9587" s="821">
        <v>31692</v>
      </c>
      <c r="C9587">
        <v>7.54</v>
      </c>
      <c r="D9587">
        <f t="shared" si="301"/>
        <v>1</v>
      </c>
    </row>
    <row r="9588" spans="1:4" x14ac:dyDescent="0.55000000000000004">
      <c r="A9588">
        <f t="shared" si="300"/>
        <v>1986</v>
      </c>
      <c r="B9588" s="821">
        <v>31691</v>
      </c>
      <c r="C9588">
        <v>7.53</v>
      </c>
      <c r="D9588">
        <f t="shared" si="301"/>
        <v>1</v>
      </c>
    </row>
    <row r="9589" spans="1:4" x14ac:dyDescent="0.55000000000000004">
      <c r="A9589">
        <f t="shared" si="300"/>
        <v>1986</v>
      </c>
      <c r="B9589" s="821">
        <v>31688</v>
      </c>
      <c r="C9589">
        <v>7.53</v>
      </c>
      <c r="D9589">
        <f t="shared" si="301"/>
        <v>1</v>
      </c>
    </row>
    <row r="9590" spans="1:4" x14ac:dyDescent="0.55000000000000004">
      <c r="A9590">
        <f t="shared" si="300"/>
        <v>1986</v>
      </c>
      <c r="B9590" s="821">
        <v>31687</v>
      </c>
      <c r="C9590">
        <v>7.61</v>
      </c>
      <c r="D9590">
        <f t="shared" si="301"/>
        <v>1</v>
      </c>
    </row>
    <row r="9591" spans="1:4" x14ac:dyDescent="0.55000000000000004">
      <c r="A9591">
        <f t="shared" si="300"/>
        <v>1986</v>
      </c>
      <c r="B9591" s="821">
        <v>31686</v>
      </c>
      <c r="C9591">
        <v>7.57</v>
      </c>
      <c r="D9591">
        <f t="shared" si="301"/>
        <v>1</v>
      </c>
    </row>
    <row r="9592" spans="1:4" x14ac:dyDescent="0.55000000000000004">
      <c r="A9592">
        <f t="shared" si="300"/>
        <v>1986</v>
      </c>
      <c r="B9592" s="821">
        <v>31685</v>
      </c>
      <c r="C9592">
        <v>7.6</v>
      </c>
      <c r="D9592">
        <f t="shared" si="301"/>
        <v>1</v>
      </c>
    </row>
    <row r="9593" spans="1:4" x14ac:dyDescent="0.55000000000000004">
      <c r="A9593">
        <f t="shared" si="300"/>
        <v>1986</v>
      </c>
      <c r="B9593" s="821">
        <v>31684</v>
      </c>
      <c r="C9593">
        <v>7.69</v>
      </c>
      <c r="D9593">
        <f t="shared" si="301"/>
        <v>1</v>
      </c>
    </row>
    <row r="9594" spans="1:4" x14ac:dyDescent="0.55000000000000004">
      <c r="A9594">
        <f t="shared" si="300"/>
        <v>1986</v>
      </c>
      <c r="B9594" s="821">
        <v>31681</v>
      </c>
      <c r="C9594">
        <v>7.63</v>
      </c>
      <c r="D9594">
        <f t="shared" si="301"/>
        <v>1</v>
      </c>
    </row>
    <row r="9595" spans="1:4" x14ac:dyDescent="0.55000000000000004">
      <c r="A9595">
        <f t="shared" si="300"/>
        <v>1986</v>
      </c>
      <c r="B9595" s="821">
        <v>31680</v>
      </c>
      <c r="C9595">
        <v>7.64</v>
      </c>
      <c r="D9595">
        <f t="shared" si="301"/>
        <v>1</v>
      </c>
    </row>
    <row r="9596" spans="1:4" x14ac:dyDescent="0.55000000000000004">
      <c r="A9596">
        <f t="shared" si="300"/>
        <v>1986</v>
      </c>
      <c r="B9596" s="821">
        <v>31679</v>
      </c>
      <c r="C9596">
        <v>7.64</v>
      </c>
      <c r="D9596">
        <f t="shared" si="301"/>
        <v>1</v>
      </c>
    </row>
    <row r="9597" spans="1:4" x14ac:dyDescent="0.55000000000000004">
      <c r="A9597">
        <f t="shared" si="300"/>
        <v>1986</v>
      </c>
      <c r="B9597" s="821">
        <v>31678</v>
      </c>
      <c r="C9597">
        <v>7.76</v>
      </c>
      <c r="D9597">
        <f t="shared" si="301"/>
        <v>1</v>
      </c>
    </row>
    <row r="9598" spans="1:4" x14ac:dyDescent="0.55000000000000004">
      <c r="A9598">
        <f t="shared" si="300"/>
        <v>1986</v>
      </c>
      <c r="B9598" s="821">
        <v>31677</v>
      </c>
      <c r="C9598">
        <v>7.79</v>
      </c>
      <c r="D9598">
        <f t="shared" si="301"/>
        <v>1</v>
      </c>
    </row>
    <row r="9599" spans="1:4" x14ac:dyDescent="0.55000000000000004">
      <c r="A9599">
        <f t="shared" si="300"/>
        <v>1986</v>
      </c>
      <c r="B9599" s="821">
        <v>31674</v>
      </c>
      <c r="C9599">
        <v>7.83</v>
      </c>
      <c r="D9599">
        <f t="shared" si="301"/>
        <v>1</v>
      </c>
    </row>
    <row r="9600" spans="1:4" x14ac:dyDescent="0.55000000000000004">
      <c r="A9600">
        <f t="shared" si="300"/>
        <v>1986</v>
      </c>
      <c r="B9600" s="821">
        <v>31673</v>
      </c>
      <c r="C9600">
        <v>7.74</v>
      </c>
      <c r="D9600">
        <f t="shared" si="301"/>
        <v>1</v>
      </c>
    </row>
    <row r="9601" spans="1:4" x14ac:dyDescent="0.55000000000000004">
      <c r="A9601">
        <f t="shared" si="300"/>
        <v>1986</v>
      </c>
      <c r="B9601" s="821">
        <v>31672</v>
      </c>
      <c r="C9601">
        <v>7.64</v>
      </c>
      <c r="D9601">
        <f t="shared" si="301"/>
        <v>1</v>
      </c>
    </row>
    <row r="9602" spans="1:4" x14ac:dyDescent="0.55000000000000004">
      <c r="A9602">
        <f t="shared" si="300"/>
        <v>1986</v>
      </c>
      <c r="B9602" s="821">
        <v>31671</v>
      </c>
      <c r="C9602">
        <v>7.67</v>
      </c>
      <c r="D9602">
        <f t="shared" si="301"/>
        <v>1</v>
      </c>
    </row>
    <row r="9603" spans="1:4" x14ac:dyDescent="0.55000000000000004">
      <c r="A9603">
        <f t="shared" si="300"/>
        <v>1986</v>
      </c>
      <c r="B9603" s="821">
        <v>31670</v>
      </c>
      <c r="C9603">
        <v>7.66</v>
      </c>
      <c r="D9603">
        <f t="shared" si="301"/>
        <v>1</v>
      </c>
    </row>
    <row r="9604" spans="1:4" x14ac:dyDescent="0.55000000000000004">
      <c r="A9604">
        <f t="shared" ref="A9604:A9667" si="302">YEAR(B9604)</f>
        <v>1986</v>
      </c>
      <c r="B9604" s="821">
        <v>31667</v>
      </c>
      <c r="C9604">
        <v>7.74</v>
      </c>
      <c r="D9604">
        <f t="shared" ref="D9604:D9667" si="303">IF(C9604&gt;4,1,0)</f>
        <v>1</v>
      </c>
    </row>
    <row r="9605" spans="1:4" x14ac:dyDescent="0.55000000000000004">
      <c r="A9605">
        <f t="shared" si="302"/>
        <v>1986</v>
      </c>
      <c r="B9605" s="821">
        <v>31666</v>
      </c>
      <c r="C9605">
        <v>7.74</v>
      </c>
      <c r="D9605">
        <f t="shared" si="303"/>
        <v>1</v>
      </c>
    </row>
    <row r="9606" spans="1:4" x14ac:dyDescent="0.55000000000000004">
      <c r="A9606">
        <f t="shared" si="302"/>
        <v>1986</v>
      </c>
      <c r="B9606" s="821">
        <v>31665</v>
      </c>
      <c r="C9606">
        <v>7.54</v>
      </c>
      <c r="D9606">
        <f t="shared" si="303"/>
        <v>1</v>
      </c>
    </row>
    <row r="9607" spans="1:4" x14ac:dyDescent="0.55000000000000004">
      <c r="A9607">
        <f t="shared" si="302"/>
        <v>1986</v>
      </c>
      <c r="B9607" s="821">
        <v>31664</v>
      </c>
      <c r="C9607">
        <v>7.53</v>
      </c>
      <c r="D9607">
        <f t="shared" si="303"/>
        <v>1</v>
      </c>
    </row>
    <row r="9608" spans="1:4" x14ac:dyDescent="0.55000000000000004">
      <c r="A9608">
        <f t="shared" si="302"/>
        <v>1986</v>
      </c>
      <c r="B9608" s="821">
        <v>31663</v>
      </c>
      <c r="C9608">
        <v>7.59</v>
      </c>
      <c r="D9608">
        <f t="shared" si="303"/>
        <v>1</v>
      </c>
    </row>
    <row r="9609" spans="1:4" x14ac:dyDescent="0.55000000000000004">
      <c r="A9609">
        <f t="shared" si="302"/>
        <v>1986</v>
      </c>
      <c r="B9609" s="821">
        <v>31660</v>
      </c>
      <c r="C9609">
        <v>7.54</v>
      </c>
      <c r="D9609">
        <f t="shared" si="303"/>
        <v>1</v>
      </c>
    </row>
    <row r="9610" spans="1:4" x14ac:dyDescent="0.55000000000000004">
      <c r="A9610">
        <f t="shared" si="302"/>
        <v>1986</v>
      </c>
      <c r="B9610" s="821">
        <v>31659</v>
      </c>
      <c r="C9610">
        <v>7.4</v>
      </c>
      <c r="D9610">
        <f t="shared" si="303"/>
        <v>1</v>
      </c>
    </row>
    <row r="9611" spans="1:4" x14ac:dyDescent="0.55000000000000004">
      <c r="A9611">
        <f t="shared" si="302"/>
        <v>1986</v>
      </c>
      <c r="B9611" s="821">
        <v>31658</v>
      </c>
      <c r="C9611">
        <v>7.43</v>
      </c>
      <c r="D9611">
        <f t="shared" si="303"/>
        <v>1</v>
      </c>
    </row>
    <row r="9612" spans="1:4" x14ac:dyDescent="0.55000000000000004">
      <c r="A9612">
        <f t="shared" si="302"/>
        <v>1986</v>
      </c>
      <c r="B9612" s="821">
        <v>31657</v>
      </c>
      <c r="C9612">
        <v>7.23</v>
      </c>
      <c r="D9612">
        <f t="shared" si="303"/>
        <v>1</v>
      </c>
    </row>
    <row r="9613" spans="1:4" x14ac:dyDescent="0.55000000000000004">
      <c r="A9613">
        <f t="shared" si="302"/>
        <v>1986</v>
      </c>
      <c r="B9613" s="821">
        <v>31653</v>
      </c>
      <c r="C9613">
        <v>7.21</v>
      </c>
      <c r="D9613">
        <f t="shared" si="303"/>
        <v>1</v>
      </c>
    </row>
    <row r="9614" spans="1:4" x14ac:dyDescent="0.55000000000000004">
      <c r="A9614">
        <f t="shared" si="302"/>
        <v>1986</v>
      </c>
      <c r="B9614" s="821">
        <v>31652</v>
      </c>
      <c r="C9614">
        <v>7.26</v>
      </c>
      <c r="D9614">
        <f t="shared" si="303"/>
        <v>1</v>
      </c>
    </row>
    <row r="9615" spans="1:4" x14ac:dyDescent="0.55000000000000004">
      <c r="A9615">
        <f t="shared" si="302"/>
        <v>1986</v>
      </c>
      <c r="B9615" s="821">
        <v>31651</v>
      </c>
      <c r="C9615">
        <v>7.28</v>
      </c>
      <c r="D9615">
        <f t="shared" si="303"/>
        <v>1</v>
      </c>
    </row>
    <row r="9616" spans="1:4" x14ac:dyDescent="0.55000000000000004">
      <c r="A9616">
        <f t="shared" si="302"/>
        <v>1986</v>
      </c>
      <c r="B9616" s="821">
        <v>31650</v>
      </c>
      <c r="C9616">
        <v>7.2</v>
      </c>
      <c r="D9616">
        <f t="shared" si="303"/>
        <v>1</v>
      </c>
    </row>
    <row r="9617" spans="1:4" x14ac:dyDescent="0.55000000000000004">
      <c r="A9617">
        <f t="shared" si="302"/>
        <v>1986</v>
      </c>
      <c r="B9617" s="821">
        <v>31649</v>
      </c>
      <c r="C9617">
        <v>7.25</v>
      </c>
      <c r="D9617">
        <f t="shared" si="303"/>
        <v>1</v>
      </c>
    </row>
    <row r="9618" spans="1:4" x14ac:dyDescent="0.55000000000000004">
      <c r="A9618">
        <f t="shared" si="302"/>
        <v>1986</v>
      </c>
      <c r="B9618" s="821">
        <v>31646</v>
      </c>
      <c r="C9618">
        <v>7.27</v>
      </c>
      <c r="D9618">
        <f t="shared" si="303"/>
        <v>1</v>
      </c>
    </row>
    <row r="9619" spans="1:4" x14ac:dyDescent="0.55000000000000004">
      <c r="A9619">
        <f t="shared" si="302"/>
        <v>1986</v>
      </c>
      <c r="B9619" s="821">
        <v>31645</v>
      </c>
      <c r="C9619">
        <v>7.19</v>
      </c>
      <c r="D9619">
        <f t="shared" si="303"/>
        <v>1</v>
      </c>
    </row>
    <row r="9620" spans="1:4" x14ac:dyDescent="0.55000000000000004">
      <c r="A9620">
        <f t="shared" si="302"/>
        <v>1986</v>
      </c>
      <c r="B9620" s="821">
        <v>31644</v>
      </c>
      <c r="C9620">
        <v>7.17</v>
      </c>
      <c r="D9620">
        <f t="shared" si="303"/>
        <v>1</v>
      </c>
    </row>
    <row r="9621" spans="1:4" x14ac:dyDescent="0.55000000000000004">
      <c r="A9621">
        <f t="shared" si="302"/>
        <v>1986</v>
      </c>
      <c r="B9621" s="821">
        <v>31643</v>
      </c>
      <c r="C9621">
        <v>7.19</v>
      </c>
      <c r="D9621">
        <f t="shared" si="303"/>
        <v>1</v>
      </c>
    </row>
    <row r="9622" spans="1:4" x14ac:dyDescent="0.55000000000000004">
      <c r="A9622">
        <f t="shared" si="302"/>
        <v>1986</v>
      </c>
      <c r="B9622" s="821">
        <v>31642</v>
      </c>
      <c r="C9622">
        <v>7.28</v>
      </c>
      <c r="D9622">
        <f t="shared" si="303"/>
        <v>1</v>
      </c>
    </row>
    <row r="9623" spans="1:4" x14ac:dyDescent="0.55000000000000004">
      <c r="A9623">
        <f t="shared" si="302"/>
        <v>1986</v>
      </c>
      <c r="B9623" s="821">
        <v>31639</v>
      </c>
      <c r="C9623">
        <v>7.29</v>
      </c>
      <c r="D9623">
        <f t="shared" si="303"/>
        <v>1</v>
      </c>
    </row>
    <row r="9624" spans="1:4" x14ac:dyDescent="0.55000000000000004">
      <c r="A9624">
        <f t="shared" si="302"/>
        <v>1986</v>
      </c>
      <c r="B9624" s="821">
        <v>31638</v>
      </c>
      <c r="C9624">
        <v>7.29</v>
      </c>
      <c r="D9624">
        <f t="shared" si="303"/>
        <v>1</v>
      </c>
    </row>
    <row r="9625" spans="1:4" x14ac:dyDescent="0.55000000000000004">
      <c r="A9625">
        <f t="shared" si="302"/>
        <v>1986</v>
      </c>
      <c r="B9625" s="821">
        <v>31637</v>
      </c>
      <c r="C9625">
        <v>7.28</v>
      </c>
      <c r="D9625">
        <f t="shared" si="303"/>
        <v>1</v>
      </c>
    </row>
    <row r="9626" spans="1:4" x14ac:dyDescent="0.55000000000000004">
      <c r="A9626">
        <f t="shared" si="302"/>
        <v>1986</v>
      </c>
      <c r="B9626" s="821">
        <v>31636</v>
      </c>
      <c r="C9626">
        <v>7.34</v>
      </c>
      <c r="D9626">
        <f t="shared" si="303"/>
        <v>1</v>
      </c>
    </row>
    <row r="9627" spans="1:4" x14ac:dyDescent="0.55000000000000004">
      <c r="A9627">
        <f t="shared" si="302"/>
        <v>1986</v>
      </c>
      <c r="B9627" s="821">
        <v>31635</v>
      </c>
      <c r="C9627">
        <v>7.35</v>
      </c>
      <c r="D9627">
        <f t="shared" si="303"/>
        <v>1</v>
      </c>
    </row>
    <row r="9628" spans="1:4" x14ac:dyDescent="0.55000000000000004">
      <c r="A9628">
        <f t="shared" si="302"/>
        <v>1986</v>
      </c>
      <c r="B9628" s="821">
        <v>31632</v>
      </c>
      <c r="C9628">
        <v>7.41</v>
      </c>
      <c r="D9628">
        <f t="shared" si="303"/>
        <v>1</v>
      </c>
    </row>
    <row r="9629" spans="1:4" x14ac:dyDescent="0.55000000000000004">
      <c r="A9629">
        <f t="shared" si="302"/>
        <v>1986</v>
      </c>
      <c r="B9629" s="821">
        <v>31631</v>
      </c>
      <c r="C9629">
        <v>7.56</v>
      </c>
      <c r="D9629">
        <f t="shared" si="303"/>
        <v>1</v>
      </c>
    </row>
    <row r="9630" spans="1:4" x14ac:dyDescent="0.55000000000000004">
      <c r="A9630">
        <f t="shared" si="302"/>
        <v>1986</v>
      </c>
      <c r="B9630" s="821">
        <v>31630</v>
      </c>
      <c r="C9630">
        <v>7.57</v>
      </c>
      <c r="D9630">
        <f t="shared" si="303"/>
        <v>1</v>
      </c>
    </row>
    <row r="9631" spans="1:4" x14ac:dyDescent="0.55000000000000004">
      <c r="A9631">
        <f t="shared" si="302"/>
        <v>1986</v>
      </c>
      <c r="B9631" s="821">
        <v>31629</v>
      </c>
      <c r="C9631">
        <v>7.54</v>
      </c>
      <c r="D9631">
        <f t="shared" si="303"/>
        <v>1</v>
      </c>
    </row>
    <row r="9632" spans="1:4" x14ac:dyDescent="0.55000000000000004">
      <c r="A9632">
        <f t="shared" si="302"/>
        <v>1986</v>
      </c>
      <c r="B9632" s="821">
        <v>31628</v>
      </c>
      <c r="C9632">
        <v>7.46</v>
      </c>
      <c r="D9632">
        <f t="shared" si="303"/>
        <v>1</v>
      </c>
    </row>
    <row r="9633" spans="1:4" x14ac:dyDescent="0.55000000000000004">
      <c r="A9633">
        <f t="shared" si="302"/>
        <v>1986</v>
      </c>
      <c r="B9633" s="821">
        <v>31625</v>
      </c>
      <c r="C9633">
        <v>7.46</v>
      </c>
      <c r="D9633">
        <f t="shared" si="303"/>
        <v>1</v>
      </c>
    </row>
    <row r="9634" spans="1:4" x14ac:dyDescent="0.55000000000000004">
      <c r="A9634">
        <f t="shared" si="302"/>
        <v>1986</v>
      </c>
      <c r="B9634" s="821">
        <v>31624</v>
      </c>
      <c r="C9634">
        <v>7.46</v>
      </c>
      <c r="D9634">
        <f t="shared" si="303"/>
        <v>1</v>
      </c>
    </row>
    <row r="9635" spans="1:4" x14ac:dyDescent="0.55000000000000004">
      <c r="A9635">
        <f t="shared" si="302"/>
        <v>1986</v>
      </c>
      <c r="B9635" s="821">
        <v>31623</v>
      </c>
      <c r="C9635">
        <v>7.51</v>
      </c>
      <c r="D9635">
        <f t="shared" si="303"/>
        <v>1</v>
      </c>
    </row>
    <row r="9636" spans="1:4" x14ac:dyDescent="0.55000000000000004">
      <c r="A9636">
        <f t="shared" si="302"/>
        <v>1986</v>
      </c>
      <c r="B9636" s="821">
        <v>31622</v>
      </c>
      <c r="C9636">
        <v>7.5</v>
      </c>
      <c r="D9636">
        <f t="shared" si="303"/>
        <v>1</v>
      </c>
    </row>
    <row r="9637" spans="1:4" x14ac:dyDescent="0.55000000000000004">
      <c r="A9637">
        <f t="shared" si="302"/>
        <v>1986</v>
      </c>
      <c r="B9637" s="821">
        <v>31621</v>
      </c>
      <c r="C9637">
        <v>7.59</v>
      </c>
      <c r="D9637">
        <f t="shared" si="303"/>
        <v>1</v>
      </c>
    </row>
    <row r="9638" spans="1:4" x14ac:dyDescent="0.55000000000000004">
      <c r="A9638">
        <f t="shared" si="302"/>
        <v>1986</v>
      </c>
      <c r="B9638" s="821">
        <v>31618</v>
      </c>
      <c r="C9638">
        <v>7.4</v>
      </c>
      <c r="D9638">
        <f t="shared" si="303"/>
        <v>1</v>
      </c>
    </row>
    <row r="9639" spans="1:4" x14ac:dyDescent="0.55000000000000004">
      <c r="A9639">
        <f t="shared" si="302"/>
        <v>1986</v>
      </c>
      <c r="B9639" s="821">
        <v>31617</v>
      </c>
      <c r="C9639">
        <v>7.41</v>
      </c>
      <c r="D9639">
        <f t="shared" si="303"/>
        <v>1</v>
      </c>
    </row>
    <row r="9640" spans="1:4" x14ac:dyDescent="0.55000000000000004">
      <c r="A9640">
        <f t="shared" si="302"/>
        <v>1986</v>
      </c>
      <c r="B9640" s="821">
        <v>31616</v>
      </c>
      <c r="C9640">
        <v>7.36</v>
      </c>
      <c r="D9640">
        <f t="shared" si="303"/>
        <v>1</v>
      </c>
    </row>
    <row r="9641" spans="1:4" x14ac:dyDescent="0.55000000000000004">
      <c r="A9641">
        <f t="shared" si="302"/>
        <v>1986</v>
      </c>
      <c r="B9641" s="821">
        <v>31615</v>
      </c>
      <c r="C9641">
        <v>7.27</v>
      </c>
      <c r="D9641">
        <f t="shared" si="303"/>
        <v>1</v>
      </c>
    </row>
    <row r="9642" spans="1:4" x14ac:dyDescent="0.55000000000000004">
      <c r="A9642">
        <f t="shared" si="302"/>
        <v>1986</v>
      </c>
      <c r="B9642" s="821">
        <v>31614</v>
      </c>
      <c r="C9642">
        <v>7.17</v>
      </c>
      <c r="D9642">
        <f t="shared" si="303"/>
        <v>1</v>
      </c>
    </row>
    <row r="9643" spans="1:4" x14ac:dyDescent="0.55000000000000004">
      <c r="A9643">
        <f t="shared" si="302"/>
        <v>1986</v>
      </c>
      <c r="B9643" s="821">
        <v>31611</v>
      </c>
      <c r="C9643">
        <v>7.19</v>
      </c>
      <c r="D9643">
        <f t="shared" si="303"/>
        <v>1</v>
      </c>
    </row>
    <row r="9644" spans="1:4" x14ac:dyDescent="0.55000000000000004">
      <c r="A9644">
        <f t="shared" si="302"/>
        <v>1986</v>
      </c>
      <c r="B9644" s="821">
        <v>31610</v>
      </c>
      <c r="C9644">
        <v>7.2</v>
      </c>
      <c r="D9644">
        <f t="shared" si="303"/>
        <v>1</v>
      </c>
    </row>
    <row r="9645" spans="1:4" x14ac:dyDescent="0.55000000000000004">
      <c r="A9645">
        <f t="shared" si="302"/>
        <v>1986</v>
      </c>
      <c r="B9645" s="821">
        <v>31609</v>
      </c>
      <c r="C9645">
        <v>7.17</v>
      </c>
      <c r="D9645">
        <f t="shared" si="303"/>
        <v>1</v>
      </c>
    </row>
    <row r="9646" spans="1:4" x14ac:dyDescent="0.55000000000000004">
      <c r="A9646">
        <f t="shared" si="302"/>
        <v>1986</v>
      </c>
      <c r="B9646" s="821">
        <v>31608</v>
      </c>
      <c r="C9646">
        <v>7.12</v>
      </c>
      <c r="D9646">
        <f t="shared" si="303"/>
        <v>1</v>
      </c>
    </row>
    <row r="9647" spans="1:4" x14ac:dyDescent="0.55000000000000004">
      <c r="A9647">
        <f t="shared" si="302"/>
        <v>1986</v>
      </c>
      <c r="B9647" s="821">
        <v>31607</v>
      </c>
      <c r="C9647">
        <v>7.14</v>
      </c>
      <c r="D9647">
        <f t="shared" si="303"/>
        <v>1</v>
      </c>
    </row>
    <row r="9648" spans="1:4" x14ac:dyDescent="0.55000000000000004">
      <c r="A9648">
        <f t="shared" si="302"/>
        <v>1986</v>
      </c>
      <c r="B9648" s="821">
        <v>31604</v>
      </c>
      <c r="C9648">
        <v>7.19</v>
      </c>
      <c r="D9648">
        <f t="shared" si="303"/>
        <v>1</v>
      </c>
    </row>
    <row r="9649" spans="1:4" x14ac:dyDescent="0.55000000000000004">
      <c r="A9649">
        <f t="shared" si="302"/>
        <v>1986</v>
      </c>
      <c r="B9649" s="821">
        <v>31603</v>
      </c>
      <c r="C9649">
        <v>7.16</v>
      </c>
      <c r="D9649">
        <f t="shared" si="303"/>
        <v>1</v>
      </c>
    </row>
    <row r="9650" spans="1:4" x14ac:dyDescent="0.55000000000000004">
      <c r="A9650">
        <f t="shared" si="302"/>
        <v>1986</v>
      </c>
      <c r="B9650" s="821">
        <v>31602</v>
      </c>
      <c r="C9650">
        <v>7.15</v>
      </c>
      <c r="D9650">
        <f t="shared" si="303"/>
        <v>1</v>
      </c>
    </row>
    <row r="9651" spans="1:4" x14ac:dyDescent="0.55000000000000004">
      <c r="A9651">
        <f t="shared" si="302"/>
        <v>1986</v>
      </c>
      <c r="B9651" s="821">
        <v>31601</v>
      </c>
      <c r="C9651">
        <v>7.23</v>
      </c>
      <c r="D9651">
        <f t="shared" si="303"/>
        <v>1</v>
      </c>
    </row>
    <row r="9652" spans="1:4" x14ac:dyDescent="0.55000000000000004">
      <c r="A9652">
        <f t="shared" si="302"/>
        <v>1986</v>
      </c>
      <c r="B9652" s="821">
        <v>31600</v>
      </c>
      <c r="C9652">
        <v>7.16</v>
      </c>
      <c r="D9652">
        <f t="shared" si="303"/>
        <v>1</v>
      </c>
    </row>
    <row r="9653" spans="1:4" x14ac:dyDescent="0.55000000000000004">
      <c r="A9653">
        <f t="shared" si="302"/>
        <v>1986</v>
      </c>
      <c r="B9653" s="821">
        <v>31596</v>
      </c>
      <c r="C9653">
        <v>7.18</v>
      </c>
      <c r="D9653">
        <f t="shared" si="303"/>
        <v>1</v>
      </c>
    </row>
    <row r="9654" spans="1:4" x14ac:dyDescent="0.55000000000000004">
      <c r="A9654">
        <f t="shared" si="302"/>
        <v>1986</v>
      </c>
      <c r="B9654" s="821">
        <v>31595</v>
      </c>
      <c r="C9654">
        <v>7.22</v>
      </c>
      <c r="D9654">
        <f t="shared" si="303"/>
        <v>1</v>
      </c>
    </row>
    <row r="9655" spans="1:4" x14ac:dyDescent="0.55000000000000004">
      <c r="A9655">
        <f t="shared" si="302"/>
        <v>1986</v>
      </c>
      <c r="B9655" s="821">
        <v>31594</v>
      </c>
      <c r="C9655">
        <v>7.21</v>
      </c>
      <c r="D9655">
        <f t="shared" si="303"/>
        <v>1</v>
      </c>
    </row>
    <row r="9656" spans="1:4" x14ac:dyDescent="0.55000000000000004">
      <c r="A9656">
        <f t="shared" si="302"/>
        <v>1986</v>
      </c>
      <c r="B9656" s="821">
        <v>31593</v>
      </c>
      <c r="C9656">
        <v>7.24</v>
      </c>
      <c r="D9656">
        <f t="shared" si="303"/>
        <v>1</v>
      </c>
    </row>
    <row r="9657" spans="1:4" x14ac:dyDescent="0.55000000000000004">
      <c r="A9657">
        <f t="shared" si="302"/>
        <v>1986</v>
      </c>
      <c r="B9657" s="821">
        <v>31590</v>
      </c>
      <c r="C9657">
        <v>7.29</v>
      </c>
      <c r="D9657">
        <f t="shared" si="303"/>
        <v>1</v>
      </c>
    </row>
    <row r="9658" spans="1:4" x14ac:dyDescent="0.55000000000000004">
      <c r="A9658">
        <f t="shared" si="302"/>
        <v>1986</v>
      </c>
      <c r="B9658" s="821">
        <v>31589</v>
      </c>
      <c r="C9658">
        <v>7.35</v>
      </c>
      <c r="D9658">
        <f t="shared" si="303"/>
        <v>1</v>
      </c>
    </row>
    <row r="9659" spans="1:4" x14ac:dyDescent="0.55000000000000004">
      <c r="A9659">
        <f t="shared" si="302"/>
        <v>1986</v>
      </c>
      <c r="B9659" s="821">
        <v>31588</v>
      </c>
      <c r="C9659">
        <v>7.36</v>
      </c>
      <c r="D9659">
        <f t="shared" si="303"/>
        <v>1</v>
      </c>
    </row>
    <row r="9660" spans="1:4" x14ac:dyDescent="0.55000000000000004">
      <c r="A9660">
        <f t="shared" si="302"/>
        <v>1986</v>
      </c>
      <c r="B9660" s="821">
        <v>31587</v>
      </c>
      <c r="C9660">
        <v>7.39</v>
      </c>
      <c r="D9660">
        <f t="shared" si="303"/>
        <v>1</v>
      </c>
    </row>
    <row r="9661" spans="1:4" x14ac:dyDescent="0.55000000000000004">
      <c r="A9661">
        <f t="shared" si="302"/>
        <v>1986</v>
      </c>
      <c r="B9661" s="821">
        <v>31586</v>
      </c>
      <c r="C9661">
        <v>7.43</v>
      </c>
      <c r="D9661">
        <f t="shared" si="303"/>
        <v>1</v>
      </c>
    </row>
    <row r="9662" spans="1:4" x14ac:dyDescent="0.55000000000000004">
      <c r="A9662">
        <f t="shared" si="302"/>
        <v>1986</v>
      </c>
      <c r="B9662" s="821">
        <v>31583</v>
      </c>
      <c r="C9662">
        <v>7.47</v>
      </c>
      <c r="D9662">
        <f t="shared" si="303"/>
        <v>1</v>
      </c>
    </row>
    <row r="9663" spans="1:4" x14ac:dyDescent="0.55000000000000004">
      <c r="A9663">
        <f t="shared" si="302"/>
        <v>1986</v>
      </c>
      <c r="B9663" s="821">
        <v>31582</v>
      </c>
      <c r="C9663">
        <v>7.52</v>
      </c>
      <c r="D9663">
        <f t="shared" si="303"/>
        <v>1</v>
      </c>
    </row>
    <row r="9664" spans="1:4" x14ac:dyDescent="0.55000000000000004">
      <c r="A9664">
        <f t="shared" si="302"/>
        <v>1986</v>
      </c>
      <c r="B9664" s="821">
        <v>31581</v>
      </c>
      <c r="C9664">
        <v>7.44</v>
      </c>
      <c r="D9664">
        <f t="shared" si="303"/>
        <v>1</v>
      </c>
    </row>
    <row r="9665" spans="1:4" x14ac:dyDescent="0.55000000000000004">
      <c r="A9665">
        <f t="shared" si="302"/>
        <v>1986</v>
      </c>
      <c r="B9665" s="821">
        <v>31580</v>
      </c>
      <c r="C9665">
        <v>7.43</v>
      </c>
      <c r="D9665">
        <f t="shared" si="303"/>
        <v>1</v>
      </c>
    </row>
    <row r="9666" spans="1:4" x14ac:dyDescent="0.55000000000000004">
      <c r="A9666">
        <f t="shared" si="302"/>
        <v>1986</v>
      </c>
      <c r="B9666" s="821">
        <v>31579</v>
      </c>
      <c r="C9666">
        <v>7.43</v>
      </c>
      <c r="D9666">
        <f t="shared" si="303"/>
        <v>1</v>
      </c>
    </row>
    <row r="9667" spans="1:4" x14ac:dyDescent="0.55000000000000004">
      <c r="A9667">
        <f t="shared" si="302"/>
        <v>1986</v>
      </c>
      <c r="B9667" s="821">
        <v>31576</v>
      </c>
      <c r="C9667">
        <v>7.52</v>
      </c>
      <c r="D9667">
        <f t="shared" si="303"/>
        <v>1</v>
      </c>
    </row>
    <row r="9668" spans="1:4" x14ac:dyDescent="0.55000000000000004">
      <c r="A9668">
        <f t="shared" ref="A9668:A9731" si="304">YEAR(B9668)</f>
        <v>1986</v>
      </c>
      <c r="B9668" s="821">
        <v>31575</v>
      </c>
      <c r="C9668">
        <v>7.7</v>
      </c>
      <c r="D9668">
        <f t="shared" ref="D9668:D9731" si="305">IF(C9668&gt;4,1,0)</f>
        <v>1</v>
      </c>
    </row>
    <row r="9669" spans="1:4" x14ac:dyDescent="0.55000000000000004">
      <c r="A9669">
        <f t="shared" si="304"/>
        <v>1986</v>
      </c>
      <c r="B9669" s="821">
        <v>31574</v>
      </c>
      <c r="C9669">
        <v>7.7</v>
      </c>
      <c r="D9669">
        <f t="shared" si="305"/>
        <v>1</v>
      </c>
    </row>
    <row r="9670" spans="1:4" x14ac:dyDescent="0.55000000000000004">
      <c r="A9670">
        <f t="shared" si="304"/>
        <v>1986</v>
      </c>
      <c r="B9670" s="821">
        <v>31573</v>
      </c>
      <c r="C9670">
        <v>7.78</v>
      </c>
      <c r="D9670">
        <f t="shared" si="305"/>
        <v>1</v>
      </c>
    </row>
    <row r="9671" spans="1:4" x14ac:dyDescent="0.55000000000000004">
      <c r="A9671">
        <f t="shared" si="304"/>
        <v>1986</v>
      </c>
      <c r="B9671" s="821">
        <v>31572</v>
      </c>
      <c r="C9671">
        <v>7.79</v>
      </c>
      <c r="D9671">
        <f t="shared" si="305"/>
        <v>1</v>
      </c>
    </row>
    <row r="9672" spans="1:4" x14ac:dyDescent="0.55000000000000004">
      <c r="A9672">
        <f t="shared" si="304"/>
        <v>1986</v>
      </c>
      <c r="B9672" s="821">
        <v>31569</v>
      </c>
      <c r="C9672">
        <v>7.65</v>
      </c>
      <c r="D9672">
        <f t="shared" si="305"/>
        <v>1</v>
      </c>
    </row>
    <row r="9673" spans="1:4" x14ac:dyDescent="0.55000000000000004">
      <c r="A9673">
        <f t="shared" si="304"/>
        <v>1986</v>
      </c>
      <c r="B9673" s="821">
        <v>31568</v>
      </c>
      <c r="C9673">
        <v>7.9</v>
      </c>
      <c r="D9673">
        <f t="shared" si="305"/>
        <v>1</v>
      </c>
    </row>
    <row r="9674" spans="1:4" x14ac:dyDescent="0.55000000000000004">
      <c r="A9674">
        <f t="shared" si="304"/>
        <v>1986</v>
      </c>
      <c r="B9674" s="821">
        <v>31567</v>
      </c>
      <c r="C9674">
        <v>7.93</v>
      </c>
      <c r="D9674">
        <f t="shared" si="305"/>
        <v>1</v>
      </c>
    </row>
    <row r="9675" spans="1:4" x14ac:dyDescent="0.55000000000000004">
      <c r="A9675">
        <f t="shared" si="304"/>
        <v>1986</v>
      </c>
      <c r="B9675" s="821">
        <v>31566</v>
      </c>
      <c r="C9675">
        <v>7.81</v>
      </c>
      <c r="D9675">
        <f t="shared" si="305"/>
        <v>1</v>
      </c>
    </row>
    <row r="9676" spans="1:4" x14ac:dyDescent="0.55000000000000004">
      <c r="A9676">
        <f t="shared" si="304"/>
        <v>1986</v>
      </c>
      <c r="B9676" s="821">
        <v>31565</v>
      </c>
      <c r="C9676">
        <v>7.91</v>
      </c>
      <c r="D9676">
        <f t="shared" si="305"/>
        <v>1</v>
      </c>
    </row>
    <row r="9677" spans="1:4" x14ac:dyDescent="0.55000000000000004">
      <c r="A9677">
        <f t="shared" si="304"/>
        <v>1986</v>
      </c>
      <c r="B9677" s="821">
        <v>31562</v>
      </c>
      <c r="C9677">
        <v>7.74</v>
      </c>
      <c r="D9677">
        <f t="shared" si="305"/>
        <v>1</v>
      </c>
    </row>
    <row r="9678" spans="1:4" x14ac:dyDescent="0.55000000000000004">
      <c r="A9678">
        <f t="shared" si="304"/>
        <v>1986</v>
      </c>
      <c r="B9678" s="821">
        <v>31561</v>
      </c>
      <c r="C9678">
        <v>7.66</v>
      </c>
      <c r="D9678">
        <f t="shared" si="305"/>
        <v>1</v>
      </c>
    </row>
    <row r="9679" spans="1:4" x14ac:dyDescent="0.55000000000000004">
      <c r="A9679">
        <f t="shared" si="304"/>
        <v>1986</v>
      </c>
      <c r="B9679" s="821">
        <v>31560</v>
      </c>
      <c r="C9679">
        <v>7.45</v>
      </c>
      <c r="D9679">
        <f t="shared" si="305"/>
        <v>1</v>
      </c>
    </row>
    <row r="9680" spans="1:4" x14ac:dyDescent="0.55000000000000004">
      <c r="A9680">
        <f t="shared" si="304"/>
        <v>1986</v>
      </c>
      <c r="B9680" s="821">
        <v>31559</v>
      </c>
      <c r="C9680">
        <v>7.41</v>
      </c>
      <c r="D9680">
        <f t="shared" si="305"/>
        <v>1</v>
      </c>
    </row>
    <row r="9681" spans="1:4" x14ac:dyDescent="0.55000000000000004">
      <c r="A9681">
        <f t="shared" si="304"/>
        <v>1986</v>
      </c>
      <c r="B9681" s="821">
        <v>31555</v>
      </c>
      <c r="C9681">
        <v>7.45</v>
      </c>
      <c r="D9681">
        <f t="shared" si="305"/>
        <v>1</v>
      </c>
    </row>
    <row r="9682" spans="1:4" x14ac:dyDescent="0.55000000000000004">
      <c r="A9682">
        <f t="shared" si="304"/>
        <v>1986</v>
      </c>
      <c r="B9682" s="821">
        <v>31554</v>
      </c>
      <c r="C9682">
        <v>7.5</v>
      </c>
      <c r="D9682">
        <f t="shared" si="305"/>
        <v>1</v>
      </c>
    </row>
    <row r="9683" spans="1:4" x14ac:dyDescent="0.55000000000000004">
      <c r="A9683">
        <f t="shared" si="304"/>
        <v>1986</v>
      </c>
      <c r="B9683" s="821">
        <v>31553</v>
      </c>
      <c r="C9683">
        <v>7.58</v>
      </c>
      <c r="D9683">
        <f t="shared" si="305"/>
        <v>1</v>
      </c>
    </row>
    <row r="9684" spans="1:4" x14ac:dyDescent="0.55000000000000004">
      <c r="A9684">
        <f t="shared" si="304"/>
        <v>1986</v>
      </c>
      <c r="B9684" s="821">
        <v>31552</v>
      </c>
      <c r="C9684">
        <v>7.58</v>
      </c>
      <c r="D9684">
        <f t="shared" si="305"/>
        <v>1</v>
      </c>
    </row>
    <row r="9685" spans="1:4" x14ac:dyDescent="0.55000000000000004">
      <c r="A9685">
        <f t="shared" si="304"/>
        <v>1986</v>
      </c>
      <c r="B9685" s="821">
        <v>31551</v>
      </c>
      <c r="C9685">
        <v>7.68</v>
      </c>
      <c r="D9685">
        <f t="shared" si="305"/>
        <v>1</v>
      </c>
    </row>
    <row r="9686" spans="1:4" x14ac:dyDescent="0.55000000000000004">
      <c r="A9686">
        <f t="shared" si="304"/>
        <v>1986</v>
      </c>
      <c r="B9686" s="821">
        <v>31548</v>
      </c>
      <c r="C9686">
        <v>7.64</v>
      </c>
      <c r="D9686">
        <f t="shared" si="305"/>
        <v>1</v>
      </c>
    </row>
    <row r="9687" spans="1:4" x14ac:dyDescent="0.55000000000000004">
      <c r="A9687">
        <f t="shared" si="304"/>
        <v>1986</v>
      </c>
      <c r="B9687" s="821">
        <v>31547</v>
      </c>
      <c r="C9687">
        <v>7.5</v>
      </c>
      <c r="D9687">
        <f t="shared" si="305"/>
        <v>1</v>
      </c>
    </row>
    <row r="9688" spans="1:4" x14ac:dyDescent="0.55000000000000004">
      <c r="A9688">
        <f t="shared" si="304"/>
        <v>1986</v>
      </c>
      <c r="B9688" s="821">
        <v>31546</v>
      </c>
      <c r="C9688">
        <v>7.43</v>
      </c>
      <c r="D9688">
        <f t="shared" si="305"/>
        <v>1</v>
      </c>
    </row>
    <row r="9689" spans="1:4" x14ac:dyDescent="0.55000000000000004">
      <c r="A9689">
        <f t="shared" si="304"/>
        <v>1986</v>
      </c>
      <c r="B9689" s="821">
        <v>31545</v>
      </c>
      <c r="C9689">
        <v>7.42</v>
      </c>
      <c r="D9689">
        <f t="shared" si="305"/>
        <v>1</v>
      </c>
    </row>
    <row r="9690" spans="1:4" x14ac:dyDescent="0.55000000000000004">
      <c r="A9690">
        <f t="shared" si="304"/>
        <v>1986</v>
      </c>
      <c r="B9690" s="821">
        <v>31544</v>
      </c>
      <c r="C9690">
        <v>7.41</v>
      </c>
      <c r="D9690">
        <f t="shared" si="305"/>
        <v>1</v>
      </c>
    </row>
    <row r="9691" spans="1:4" x14ac:dyDescent="0.55000000000000004">
      <c r="A9691">
        <f t="shared" si="304"/>
        <v>1986</v>
      </c>
      <c r="B9691" s="821">
        <v>31541</v>
      </c>
      <c r="C9691">
        <v>7.37</v>
      </c>
      <c r="D9691">
        <f t="shared" si="305"/>
        <v>1</v>
      </c>
    </row>
    <row r="9692" spans="1:4" x14ac:dyDescent="0.55000000000000004">
      <c r="A9692">
        <f t="shared" si="304"/>
        <v>1986</v>
      </c>
      <c r="B9692" s="821">
        <v>31540</v>
      </c>
      <c r="C9692">
        <v>7.36</v>
      </c>
      <c r="D9692">
        <f t="shared" si="305"/>
        <v>1</v>
      </c>
    </row>
    <row r="9693" spans="1:4" x14ac:dyDescent="0.55000000000000004">
      <c r="A9693">
        <f t="shared" si="304"/>
        <v>1986</v>
      </c>
      <c r="B9693" s="821">
        <v>31539</v>
      </c>
      <c r="C9693">
        <v>7.53</v>
      </c>
      <c r="D9693">
        <f t="shared" si="305"/>
        <v>1</v>
      </c>
    </row>
    <row r="9694" spans="1:4" x14ac:dyDescent="0.55000000000000004">
      <c r="A9694">
        <f t="shared" si="304"/>
        <v>1986</v>
      </c>
      <c r="B9694" s="821">
        <v>31538</v>
      </c>
      <c r="C9694">
        <v>7.5</v>
      </c>
      <c r="D9694">
        <f t="shared" si="305"/>
        <v>1</v>
      </c>
    </row>
    <row r="9695" spans="1:4" x14ac:dyDescent="0.55000000000000004">
      <c r="A9695">
        <f t="shared" si="304"/>
        <v>1986</v>
      </c>
      <c r="B9695" s="821">
        <v>31537</v>
      </c>
      <c r="C9695">
        <v>7.49</v>
      </c>
      <c r="D9695">
        <f t="shared" si="305"/>
        <v>1</v>
      </c>
    </row>
    <row r="9696" spans="1:4" x14ac:dyDescent="0.55000000000000004">
      <c r="A9696">
        <f t="shared" si="304"/>
        <v>1986</v>
      </c>
      <c r="B9696" s="821">
        <v>31534</v>
      </c>
      <c r="C9696">
        <v>7.62</v>
      </c>
      <c r="D9696">
        <f t="shared" si="305"/>
        <v>1</v>
      </c>
    </row>
    <row r="9697" spans="1:4" x14ac:dyDescent="0.55000000000000004">
      <c r="A9697">
        <f t="shared" si="304"/>
        <v>1986</v>
      </c>
      <c r="B9697" s="821">
        <v>31533</v>
      </c>
      <c r="C9697">
        <v>7.54</v>
      </c>
      <c r="D9697">
        <f t="shared" si="305"/>
        <v>1</v>
      </c>
    </row>
    <row r="9698" spans="1:4" x14ac:dyDescent="0.55000000000000004">
      <c r="A9698">
        <f t="shared" si="304"/>
        <v>1986</v>
      </c>
      <c r="B9698" s="821">
        <v>31532</v>
      </c>
      <c r="C9698">
        <v>7.47</v>
      </c>
      <c r="D9698">
        <f t="shared" si="305"/>
        <v>1</v>
      </c>
    </row>
    <row r="9699" spans="1:4" x14ac:dyDescent="0.55000000000000004">
      <c r="A9699">
        <f t="shared" si="304"/>
        <v>1986</v>
      </c>
      <c r="B9699" s="821">
        <v>31531</v>
      </c>
      <c r="C9699">
        <v>7.45</v>
      </c>
      <c r="D9699">
        <f t="shared" si="305"/>
        <v>1</v>
      </c>
    </row>
    <row r="9700" spans="1:4" x14ac:dyDescent="0.55000000000000004">
      <c r="A9700">
        <f t="shared" si="304"/>
        <v>1986</v>
      </c>
      <c r="B9700" s="821">
        <v>31530</v>
      </c>
      <c r="C9700">
        <v>7.54</v>
      </c>
      <c r="D9700">
        <f t="shared" si="305"/>
        <v>1</v>
      </c>
    </row>
    <row r="9701" spans="1:4" x14ac:dyDescent="0.55000000000000004">
      <c r="A9701">
        <f t="shared" si="304"/>
        <v>1986</v>
      </c>
      <c r="B9701" s="821">
        <v>31527</v>
      </c>
      <c r="C9701">
        <v>7.61</v>
      </c>
      <c r="D9701">
        <f t="shared" si="305"/>
        <v>1</v>
      </c>
    </row>
    <row r="9702" spans="1:4" x14ac:dyDescent="0.55000000000000004">
      <c r="A9702">
        <f t="shared" si="304"/>
        <v>1986</v>
      </c>
      <c r="B9702" s="821">
        <v>31526</v>
      </c>
      <c r="C9702">
        <v>7.59</v>
      </c>
      <c r="D9702">
        <f t="shared" si="305"/>
        <v>1</v>
      </c>
    </row>
    <row r="9703" spans="1:4" x14ac:dyDescent="0.55000000000000004">
      <c r="A9703">
        <f t="shared" si="304"/>
        <v>1986</v>
      </c>
      <c r="B9703" s="821">
        <v>31525</v>
      </c>
      <c r="C9703">
        <v>7.45</v>
      </c>
      <c r="D9703">
        <f t="shared" si="305"/>
        <v>1</v>
      </c>
    </row>
    <row r="9704" spans="1:4" x14ac:dyDescent="0.55000000000000004">
      <c r="A9704">
        <f t="shared" si="304"/>
        <v>1986</v>
      </c>
      <c r="B9704" s="821">
        <v>31524</v>
      </c>
      <c r="C9704">
        <v>7.28</v>
      </c>
      <c r="D9704">
        <f t="shared" si="305"/>
        <v>1</v>
      </c>
    </row>
    <row r="9705" spans="1:4" x14ac:dyDescent="0.55000000000000004">
      <c r="A9705">
        <f t="shared" si="304"/>
        <v>1986</v>
      </c>
      <c r="B9705" s="821">
        <v>31523</v>
      </c>
      <c r="C9705">
        <v>7.16</v>
      </c>
      <c r="D9705">
        <f t="shared" si="305"/>
        <v>1</v>
      </c>
    </row>
    <row r="9706" spans="1:4" x14ac:dyDescent="0.55000000000000004">
      <c r="A9706">
        <f t="shared" si="304"/>
        <v>1986</v>
      </c>
      <c r="B9706" s="821">
        <v>31520</v>
      </c>
      <c r="C9706">
        <v>7.19</v>
      </c>
      <c r="D9706">
        <f t="shared" si="305"/>
        <v>1</v>
      </c>
    </row>
    <row r="9707" spans="1:4" x14ac:dyDescent="0.55000000000000004">
      <c r="A9707">
        <f t="shared" si="304"/>
        <v>1986</v>
      </c>
      <c r="B9707" s="821">
        <v>31519</v>
      </c>
      <c r="C9707">
        <v>7.16</v>
      </c>
      <c r="D9707">
        <f t="shared" si="305"/>
        <v>1</v>
      </c>
    </row>
    <row r="9708" spans="1:4" x14ac:dyDescent="0.55000000000000004">
      <c r="A9708">
        <f t="shared" si="304"/>
        <v>1986</v>
      </c>
      <c r="B9708" s="821">
        <v>31518</v>
      </c>
      <c r="C9708">
        <v>7.14</v>
      </c>
      <c r="D9708">
        <f t="shared" si="305"/>
        <v>1</v>
      </c>
    </row>
    <row r="9709" spans="1:4" x14ac:dyDescent="0.55000000000000004">
      <c r="A9709">
        <f t="shared" si="304"/>
        <v>1986</v>
      </c>
      <c r="B9709" s="821">
        <v>31517</v>
      </c>
      <c r="C9709">
        <v>7.34</v>
      </c>
      <c r="D9709">
        <f t="shared" si="305"/>
        <v>1</v>
      </c>
    </row>
    <row r="9710" spans="1:4" x14ac:dyDescent="0.55000000000000004">
      <c r="A9710">
        <f t="shared" si="304"/>
        <v>1986</v>
      </c>
      <c r="B9710" s="821">
        <v>31516</v>
      </c>
      <c r="C9710">
        <v>7.29</v>
      </c>
      <c r="D9710">
        <f t="shared" si="305"/>
        <v>1</v>
      </c>
    </row>
    <row r="9711" spans="1:4" x14ac:dyDescent="0.55000000000000004">
      <c r="A9711">
        <f t="shared" si="304"/>
        <v>1986</v>
      </c>
      <c r="B9711" s="821">
        <v>31513</v>
      </c>
      <c r="C9711">
        <v>7.37</v>
      </c>
      <c r="D9711">
        <f t="shared" si="305"/>
        <v>1</v>
      </c>
    </row>
    <row r="9712" spans="1:4" x14ac:dyDescent="0.55000000000000004">
      <c r="A9712">
        <f t="shared" si="304"/>
        <v>1986</v>
      </c>
      <c r="B9712" s="821">
        <v>31512</v>
      </c>
      <c r="C9712">
        <v>7.31</v>
      </c>
      <c r="D9712">
        <f t="shared" si="305"/>
        <v>1</v>
      </c>
    </row>
    <row r="9713" spans="1:4" x14ac:dyDescent="0.55000000000000004">
      <c r="A9713">
        <f t="shared" si="304"/>
        <v>1986</v>
      </c>
      <c r="B9713" s="821">
        <v>31511</v>
      </c>
      <c r="C9713">
        <v>7.33</v>
      </c>
      <c r="D9713">
        <f t="shared" si="305"/>
        <v>1</v>
      </c>
    </row>
    <row r="9714" spans="1:4" x14ac:dyDescent="0.55000000000000004">
      <c r="A9714">
        <f t="shared" si="304"/>
        <v>1986</v>
      </c>
      <c r="B9714" s="821">
        <v>31510</v>
      </c>
      <c r="C9714">
        <v>7.39</v>
      </c>
      <c r="D9714">
        <f t="shared" si="305"/>
        <v>1</v>
      </c>
    </row>
    <row r="9715" spans="1:4" x14ac:dyDescent="0.55000000000000004">
      <c r="A9715">
        <f t="shared" si="304"/>
        <v>1986</v>
      </c>
      <c r="B9715" s="821">
        <v>31509</v>
      </c>
      <c r="C9715">
        <v>7.54</v>
      </c>
      <c r="D9715">
        <f t="shared" si="305"/>
        <v>1</v>
      </c>
    </row>
    <row r="9716" spans="1:4" x14ac:dyDescent="0.55000000000000004">
      <c r="A9716">
        <f t="shared" si="304"/>
        <v>1986</v>
      </c>
      <c r="B9716" s="821">
        <v>31506</v>
      </c>
      <c r="C9716">
        <v>7.53</v>
      </c>
      <c r="D9716">
        <f t="shared" si="305"/>
        <v>1</v>
      </c>
    </row>
    <row r="9717" spans="1:4" x14ac:dyDescent="0.55000000000000004">
      <c r="A9717">
        <f t="shared" si="304"/>
        <v>1986</v>
      </c>
      <c r="B9717" s="821">
        <v>31505</v>
      </c>
      <c r="C9717">
        <v>7.46</v>
      </c>
      <c r="D9717">
        <f t="shared" si="305"/>
        <v>1</v>
      </c>
    </row>
    <row r="9718" spans="1:4" x14ac:dyDescent="0.55000000000000004">
      <c r="A9718">
        <f t="shared" si="304"/>
        <v>1986</v>
      </c>
      <c r="B9718" s="821">
        <v>31504</v>
      </c>
      <c r="C9718">
        <v>7.43</v>
      </c>
      <c r="D9718">
        <f t="shared" si="305"/>
        <v>1</v>
      </c>
    </row>
    <row r="9719" spans="1:4" x14ac:dyDescent="0.55000000000000004">
      <c r="A9719">
        <f t="shared" si="304"/>
        <v>1986</v>
      </c>
      <c r="B9719" s="821">
        <v>31503</v>
      </c>
      <c r="C9719">
        <v>7.47</v>
      </c>
      <c r="D9719">
        <f t="shared" si="305"/>
        <v>1</v>
      </c>
    </row>
    <row r="9720" spans="1:4" x14ac:dyDescent="0.55000000000000004">
      <c r="A9720">
        <f t="shared" si="304"/>
        <v>1986</v>
      </c>
      <c r="B9720" s="821">
        <v>31502</v>
      </c>
      <c r="C9720">
        <v>7.44</v>
      </c>
      <c r="D9720">
        <f t="shared" si="305"/>
        <v>1</v>
      </c>
    </row>
    <row r="9721" spans="1:4" x14ac:dyDescent="0.55000000000000004">
      <c r="A9721">
        <f t="shared" si="304"/>
        <v>1986</v>
      </c>
      <c r="B9721" s="821">
        <v>31498</v>
      </c>
      <c r="C9721">
        <v>7.63</v>
      </c>
      <c r="D9721">
        <f t="shared" si="305"/>
        <v>1</v>
      </c>
    </row>
    <row r="9722" spans="1:4" x14ac:dyDescent="0.55000000000000004">
      <c r="A9722">
        <f t="shared" si="304"/>
        <v>1986</v>
      </c>
      <c r="B9722" s="821">
        <v>31497</v>
      </c>
      <c r="C9722">
        <v>7.82</v>
      </c>
      <c r="D9722">
        <f t="shared" si="305"/>
        <v>1</v>
      </c>
    </row>
    <row r="9723" spans="1:4" x14ac:dyDescent="0.55000000000000004">
      <c r="A9723">
        <f t="shared" si="304"/>
        <v>1986</v>
      </c>
      <c r="B9723" s="821">
        <v>31496</v>
      </c>
      <c r="C9723">
        <v>7.9</v>
      </c>
      <c r="D9723">
        <f t="shared" si="305"/>
        <v>1</v>
      </c>
    </row>
    <row r="9724" spans="1:4" x14ac:dyDescent="0.55000000000000004">
      <c r="A9724">
        <f t="shared" si="304"/>
        <v>1986</v>
      </c>
      <c r="B9724" s="821">
        <v>31495</v>
      </c>
      <c r="C9724">
        <v>7.89</v>
      </c>
      <c r="D9724">
        <f t="shared" si="305"/>
        <v>1</v>
      </c>
    </row>
    <row r="9725" spans="1:4" x14ac:dyDescent="0.55000000000000004">
      <c r="A9725">
        <f t="shared" si="304"/>
        <v>1986</v>
      </c>
      <c r="B9725" s="821">
        <v>31492</v>
      </c>
      <c r="C9725">
        <v>7.98</v>
      </c>
      <c r="D9725">
        <f t="shared" si="305"/>
        <v>1</v>
      </c>
    </row>
    <row r="9726" spans="1:4" x14ac:dyDescent="0.55000000000000004">
      <c r="A9726">
        <f t="shared" si="304"/>
        <v>1986</v>
      </c>
      <c r="B9726" s="821">
        <v>31491</v>
      </c>
      <c r="C9726">
        <v>7.95</v>
      </c>
      <c r="D9726">
        <f t="shared" si="305"/>
        <v>1</v>
      </c>
    </row>
    <row r="9727" spans="1:4" x14ac:dyDescent="0.55000000000000004">
      <c r="A9727">
        <f t="shared" si="304"/>
        <v>1986</v>
      </c>
      <c r="B9727" s="821">
        <v>31490</v>
      </c>
      <c r="C9727">
        <v>8</v>
      </c>
      <c r="D9727">
        <f t="shared" si="305"/>
        <v>1</v>
      </c>
    </row>
    <row r="9728" spans="1:4" x14ac:dyDescent="0.55000000000000004">
      <c r="A9728">
        <f t="shared" si="304"/>
        <v>1986</v>
      </c>
      <c r="B9728" s="821">
        <v>31489</v>
      </c>
      <c r="C9728">
        <v>8</v>
      </c>
      <c r="D9728">
        <f t="shared" si="305"/>
        <v>1</v>
      </c>
    </row>
    <row r="9729" spans="1:4" x14ac:dyDescent="0.55000000000000004">
      <c r="A9729">
        <f t="shared" si="304"/>
        <v>1986</v>
      </c>
      <c r="B9729" s="821">
        <v>31488</v>
      </c>
      <c r="C9729">
        <v>7.97</v>
      </c>
      <c r="D9729">
        <f t="shared" si="305"/>
        <v>1</v>
      </c>
    </row>
    <row r="9730" spans="1:4" x14ac:dyDescent="0.55000000000000004">
      <c r="A9730">
        <f t="shared" si="304"/>
        <v>1986</v>
      </c>
      <c r="B9730" s="821">
        <v>31485</v>
      </c>
      <c r="C9730">
        <v>7.95</v>
      </c>
      <c r="D9730">
        <f t="shared" si="305"/>
        <v>1</v>
      </c>
    </row>
    <row r="9731" spans="1:4" x14ac:dyDescent="0.55000000000000004">
      <c r="A9731">
        <f t="shared" si="304"/>
        <v>1986</v>
      </c>
      <c r="B9731" s="821">
        <v>31484</v>
      </c>
      <c r="C9731">
        <v>7.95</v>
      </c>
      <c r="D9731">
        <f t="shared" si="305"/>
        <v>1</v>
      </c>
    </row>
    <row r="9732" spans="1:4" x14ac:dyDescent="0.55000000000000004">
      <c r="A9732">
        <f t="shared" ref="A9732:A9795" si="306">YEAR(B9732)</f>
        <v>1986</v>
      </c>
      <c r="B9732" s="821">
        <v>31483</v>
      </c>
      <c r="C9732">
        <v>7.91</v>
      </c>
      <c r="D9732">
        <f t="shared" ref="D9732:D9795" si="307">IF(C9732&gt;4,1,0)</f>
        <v>1</v>
      </c>
    </row>
    <row r="9733" spans="1:4" x14ac:dyDescent="0.55000000000000004">
      <c r="A9733">
        <f t="shared" si="306"/>
        <v>1986</v>
      </c>
      <c r="B9733" s="821">
        <v>31482</v>
      </c>
      <c r="C9733">
        <v>7.94</v>
      </c>
      <c r="D9733">
        <f t="shared" si="307"/>
        <v>1</v>
      </c>
    </row>
    <row r="9734" spans="1:4" x14ac:dyDescent="0.55000000000000004">
      <c r="A9734">
        <f t="shared" si="306"/>
        <v>1986</v>
      </c>
      <c r="B9734" s="821">
        <v>31481</v>
      </c>
      <c r="C9734">
        <v>8</v>
      </c>
      <c r="D9734">
        <f t="shared" si="307"/>
        <v>1</v>
      </c>
    </row>
    <row r="9735" spans="1:4" x14ac:dyDescent="0.55000000000000004">
      <c r="A9735">
        <f t="shared" si="306"/>
        <v>1986</v>
      </c>
      <c r="B9735" s="821">
        <v>31478</v>
      </c>
      <c r="C9735">
        <v>8.15</v>
      </c>
      <c r="D9735">
        <f t="shared" si="307"/>
        <v>1</v>
      </c>
    </row>
    <row r="9736" spans="1:4" x14ac:dyDescent="0.55000000000000004">
      <c r="A9736">
        <f t="shared" si="306"/>
        <v>1986</v>
      </c>
      <c r="B9736" s="821">
        <v>31477</v>
      </c>
      <c r="C9736">
        <v>8.19</v>
      </c>
      <c r="D9736">
        <f t="shared" si="307"/>
        <v>1</v>
      </c>
    </row>
    <row r="9737" spans="1:4" x14ac:dyDescent="0.55000000000000004">
      <c r="A9737">
        <f t="shared" si="306"/>
        <v>1986</v>
      </c>
      <c r="B9737" s="821">
        <v>31476</v>
      </c>
      <c r="C9737">
        <v>8.26</v>
      </c>
      <c r="D9737">
        <f t="shared" si="307"/>
        <v>1</v>
      </c>
    </row>
    <row r="9738" spans="1:4" x14ac:dyDescent="0.55000000000000004">
      <c r="A9738">
        <f t="shared" si="306"/>
        <v>1986</v>
      </c>
      <c r="B9738" s="821">
        <v>31475</v>
      </c>
      <c r="C9738">
        <v>8.1</v>
      </c>
      <c r="D9738">
        <f t="shared" si="307"/>
        <v>1</v>
      </c>
    </row>
    <row r="9739" spans="1:4" x14ac:dyDescent="0.55000000000000004">
      <c r="A9739">
        <f t="shared" si="306"/>
        <v>1986</v>
      </c>
      <c r="B9739" s="821">
        <v>31474</v>
      </c>
      <c r="C9739">
        <v>8.16</v>
      </c>
      <c r="D9739">
        <f t="shared" si="307"/>
        <v>1</v>
      </c>
    </row>
    <row r="9740" spans="1:4" x14ac:dyDescent="0.55000000000000004">
      <c r="A9740">
        <f t="shared" si="306"/>
        <v>1986</v>
      </c>
      <c r="B9740" s="821">
        <v>31471</v>
      </c>
      <c r="C9740">
        <v>8.27</v>
      </c>
      <c r="D9740">
        <f t="shared" si="307"/>
        <v>1</v>
      </c>
    </row>
    <row r="9741" spans="1:4" x14ac:dyDescent="0.55000000000000004">
      <c r="A9741">
        <f t="shared" si="306"/>
        <v>1986</v>
      </c>
      <c r="B9741" s="821">
        <v>31470</v>
      </c>
      <c r="C9741">
        <v>8.32</v>
      </c>
      <c r="D9741">
        <f t="shared" si="307"/>
        <v>1</v>
      </c>
    </row>
    <row r="9742" spans="1:4" x14ac:dyDescent="0.55000000000000004">
      <c r="A9742">
        <f t="shared" si="306"/>
        <v>1986</v>
      </c>
      <c r="B9742" s="821">
        <v>31469</v>
      </c>
      <c r="C9742">
        <v>8.5399999999999991</v>
      </c>
      <c r="D9742">
        <f t="shared" si="307"/>
        <v>1</v>
      </c>
    </row>
    <row r="9743" spans="1:4" x14ac:dyDescent="0.55000000000000004">
      <c r="A9743">
        <f t="shared" si="306"/>
        <v>1986</v>
      </c>
      <c r="B9743" s="821">
        <v>31468</v>
      </c>
      <c r="C9743">
        <v>8.6</v>
      </c>
      <c r="D9743">
        <f t="shared" si="307"/>
        <v>1</v>
      </c>
    </row>
    <row r="9744" spans="1:4" x14ac:dyDescent="0.55000000000000004">
      <c r="A9744">
        <f t="shared" si="306"/>
        <v>1986</v>
      </c>
      <c r="B9744" s="821">
        <v>31467</v>
      </c>
      <c r="C9744">
        <v>8.61</v>
      </c>
      <c r="D9744">
        <f t="shared" si="307"/>
        <v>1</v>
      </c>
    </row>
    <row r="9745" spans="1:4" x14ac:dyDescent="0.55000000000000004">
      <c r="A9745">
        <f t="shared" si="306"/>
        <v>1986</v>
      </c>
      <c r="B9745" s="821">
        <v>31464</v>
      </c>
      <c r="C9745">
        <v>8.73</v>
      </c>
      <c r="D9745">
        <f t="shared" si="307"/>
        <v>1</v>
      </c>
    </row>
    <row r="9746" spans="1:4" x14ac:dyDescent="0.55000000000000004">
      <c r="A9746">
        <f t="shared" si="306"/>
        <v>1986</v>
      </c>
      <c r="B9746" s="821">
        <v>31463</v>
      </c>
      <c r="C9746">
        <v>8.8800000000000008</v>
      </c>
      <c r="D9746">
        <f t="shared" si="307"/>
        <v>1</v>
      </c>
    </row>
    <row r="9747" spans="1:4" x14ac:dyDescent="0.55000000000000004">
      <c r="A9747">
        <f t="shared" si="306"/>
        <v>1986</v>
      </c>
      <c r="B9747" s="821">
        <v>31462</v>
      </c>
      <c r="C9747">
        <v>8.92</v>
      </c>
      <c r="D9747">
        <f t="shared" si="307"/>
        <v>1</v>
      </c>
    </row>
    <row r="9748" spans="1:4" x14ac:dyDescent="0.55000000000000004">
      <c r="A9748">
        <f t="shared" si="306"/>
        <v>1986</v>
      </c>
      <c r="B9748" s="821">
        <v>31461</v>
      </c>
      <c r="C9748">
        <v>8.89</v>
      </c>
      <c r="D9748">
        <f t="shared" si="307"/>
        <v>1</v>
      </c>
    </row>
    <row r="9749" spans="1:4" x14ac:dyDescent="0.55000000000000004">
      <c r="A9749">
        <f t="shared" si="306"/>
        <v>1986</v>
      </c>
      <c r="B9749" s="821">
        <v>31457</v>
      </c>
      <c r="C9749">
        <v>8.93</v>
      </c>
      <c r="D9749">
        <f t="shared" si="307"/>
        <v>1</v>
      </c>
    </row>
    <row r="9750" spans="1:4" x14ac:dyDescent="0.55000000000000004">
      <c r="A9750">
        <f t="shared" si="306"/>
        <v>1986</v>
      </c>
      <c r="B9750" s="821">
        <v>31456</v>
      </c>
      <c r="C9750">
        <v>9.08</v>
      </c>
      <c r="D9750">
        <f t="shared" si="307"/>
        <v>1</v>
      </c>
    </row>
    <row r="9751" spans="1:4" x14ac:dyDescent="0.55000000000000004">
      <c r="A9751">
        <f t="shared" si="306"/>
        <v>1986</v>
      </c>
      <c r="B9751" s="821">
        <v>31455</v>
      </c>
      <c r="C9751">
        <v>9.1300000000000008</v>
      </c>
      <c r="D9751">
        <f t="shared" si="307"/>
        <v>1</v>
      </c>
    </row>
    <row r="9752" spans="1:4" x14ac:dyDescent="0.55000000000000004">
      <c r="A9752">
        <f t="shared" si="306"/>
        <v>1986</v>
      </c>
      <c r="B9752" s="821">
        <v>31454</v>
      </c>
      <c r="C9752">
        <v>9.16</v>
      </c>
      <c r="D9752">
        <f t="shared" si="307"/>
        <v>1</v>
      </c>
    </row>
    <row r="9753" spans="1:4" x14ac:dyDescent="0.55000000000000004">
      <c r="A9753">
        <f t="shared" si="306"/>
        <v>1986</v>
      </c>
      <c r="B9753" s="821">
        <v>31453</v>
      </c>
      <c r="C9753">
        <v>9.23</v>
      </c>
      <c r="D9753">
        <f t="shared" si="307"/>
        <v>1</v>
      </c>
    </row>
    <row r="9754" spans="1:4" x14ac:dyDescent="0.55000000000000004">
      <c r="A9754">
        <f t="shared" si="306"/>
        <v>1986</v>
      </c>
      <c r="B9754" s="821">
        <v>31450</v>
      </c>
      <c r="C9754">
        <v>9.32</v>
      </c>
      <c r="D9754">
        <f t="shared" si="307"/>
        <v>1</v>
      </c>
    </row>
    <row r="9755" spans="1:4" x14ac:dyDescent="0.55000000000000004">
      <c r="A9755">
        <f t="shared" si="306"/>
        <v>1986</v>
      </c>
      <c r="B9755" s="821">
        <v>31449</v>
      </c>
      <c r="C9755">
        <v>9.25</v>
      </c>
      <c r="D9755">
        <f t="shared" si="307"/>
        <v>1</v>
      </c>
    </row>
    <row r="9756" spans="1:4" x14ac:dyDescent="0.55000000000000004">
      <c r="A9756">
        <f t="shared" si="306"/>
        <v>1986</v>
      </c>
      <c r="B9756" s="821">
        <v>31448</v>
      </c>
      <c r="C9756">
        <v>9.2799999999999994</v>
      </c>
      <c r="D9756">
        <f t="shared" si="307"/>
        <v>1</v>
      </c>
    </row>
    <row r="9757" spans="1:4" x14ac:dyDescent="0.55000000000000004">
      <c r="A9757">
        <f t="shared" si="306"/>
        <v>1986</v>
      </c>
      <c r="B9757" s="821">
        <v>31447</v>
      </c>
      <c r="C9757">
        <v>9.23</v>
      </c>
      <c r="D9757">
        <f t="shared" si="307"/>
        <v>1</v>
      </c>
    </row>
    <row r="9758" spans="1:4" x14ac:dyDescent="0.55000000000000004">
      <c r="A9758">
        <f t="shared" si="306"/>
        <v>1986</v>
      </c>
      <c r="B9758" s="821">
        <v>31446</v>
      </c>
      <c r="C9758">
        <v>9.2799999999999994</v>
      </c>
      <c r="D9758">
        <f t="shared" si="307"/>
        <v>1</v>
      </c>
    </row>
    <row r="9759" spans="1:4" x14ac:dyDescent="0.55000000000000004">
      <c r="A9759">
        <f t="shared" si="306"/>
        <v>1986</v>
      </c>
      <c r="B9759" s="821">
        <v>31443</v>
      </c>
      <c r="C9759">
        <v>9.34</v>
      </c>
      <c r="D9759">
        <f t="shared" si="307"/>
        <v>1</v>
      </c>
    </row>
    <row r="9760" spans="1:4" x14ac:dyDescent="0.55000000000000004">
      <c r="A9760">
        <f t="shared" si="306"/>
        <v>1986</v>
      </c>
      <c r="B9760" s="821">
        <v>31442</v>
      </c>
      <c r="C9760">
        <v>9.36</v>
      </c>
      <c r="D9760">
        <f t="shared" si="307"/>
        <v>1</v>
      </c>
    </row>
    <row r="9761" spans="1:4" x14ac:dyDescent="0.55000000000000004">
      <c r="A9761">
        <f t="shared" si="306"/>
        <v>1986</v>
      </c>
      <c r="B9761" s="821">
        <v>31441</v>
      </c>
      <c r="C9761">
        <v>9.35</v>
      </c>
      <c r="D9761">
        <f t="shared" si="307"/>
        <v>1</v>
      </c>
    </row>
    <row r="9762" spans="1:4" x14ac:dyDescent="0.55000000000000004">
      <c r="A9762">
        <f t="shared" si="306"/>
        <v>1986</v>
      </c>
      <c r="B9762" s="821">
        <v>31440</v>
      </c>
      <c r="C9762">
        <v>9.3000000000000007</v>
      </c>
      <c r="D9762">
        <f t="shared" si="307"/>
        <v>1</v>
      </c>
    </row>
    <row r="9763" spans="1:4" x14ac:dyDescent="0.55000000000000004">
      <c r="A9763">
        <f t="shared" si="306"/>
        <v>1986</v>
      </c>
      <c r="B9763" s="821">
        <v>31439</v>
      </c>
      <c r="C9763">
        <v>9.3699999999999992</v>
      </c>
      <c r="D9763">
        <f t="shared" si="307"/>
        <v>1</v>
      </c>
    </row>
    <row r="9764" spans="1:4" x14ac:dyDescent="0.55000000000000004">
      <c r="A9764">
        <f t="shared" si="306"/>
        <v>1986</v>
      </c>
      <c r="B9764" s="821">
        <v>31436</v>
      </c>
      <c r="C9764">
        <v>9.4499999999999993</v>
      </c>
      <c r="D9764">
        <f t="shared" si="307"/>
        <v>1</v>
      </c>
    </row>
    <row r="9765" spans="1:4" x14ac:dyDescent="0.55000000000000004">
      <c r="A9765">
        <f t="shared" si="306"/>
        <v>1986</v>
      </c>
      <c r="B9765" s="821">
        <v>31435</v>
      </c>
      <c r="C9765">
        <v>9.42</v>
      </c>
      <c r="D9765">
        <f t="shared" si="307"/>
        <v>1</v>
      </c>
    </row>
    <row r="9766" spans="1:4" x14ac:dyDescent="0.55000000000000004">
      <c r="A9766">
        <f t="shared" si="306"/>
        <v>1986</v>
      </c>
      <c r="B9766" s="821">
        <v>31434</v>
      </c>
      <c r="C9766">
        <v>9.4499999999999993</v>
      </c>
      <c r="D9766">
        <f t="shared" si="307"/>
        <v>1</v>
      </c>
    </row>
    <row r="9767" spans="1:4" x14ac:dyDescent="0.55000000000000004">
      <c r="A9767">
        <f t="shared" si="306"/>
        <v>1986</v>
      </c>
      <c r="B9767" s="821">
        <v>31433</v>
      </c>
      <c r="C9767">
        <v>9.4</v>
      </c>
      <c r="D9767">
        <f t="shared" si="307"/>
        <v>1</v>
      </c>
    </row>
    <row r="9768" spans="1:4" x14ac:dyDescent="0.55000000000000004">
      <c r="A9768">
        <f t="shared" si="306"/>
        <v>1986</v>
      </c>
      <c r="B9768" s="821">
        <v>31429</v>
      </c>
      <c r="C9768">
        <v>9.4</v>
      </c>
      <c r="D9768">
        <f t="shared" si="307"/>
        <v>1</v>
      </c>
    </row>
    <row r="9769" spans="1:4" x14ac:dyDescent="0.55000000000000004">
      <c r="A9769">
        <f t="shared" si="306"/>
        <v>1986</v>
      </c>
      <c r="B9769" s="821">
        <v>31428</v>
      </c>
      <c r="C9769">
        <v>9.43</v>
      </c>
      <c r="D9769">
        <f t="shared" si="307"/>
        <v>1</v>
      </c>
    </row>
    <row r="9770" spans="1:4" x14ac:dyDescent="0.55000000000000004">
      <c r="A9770">
        <f t="shared" si="306"/>
        <v>1986</v>
      </c>
      <c r="B9770" s="821">
        <v>31427</v>
      </c>
      <c r="C9770">
        <v>9.42</v>
      </c>
      <c r="D9770">
        <f t="shared" si="307"/>
        <v>1</v>
      </c>
    </row>
    <row r="9771" spans="1:4" x14ac:dyDescent="0.55000000000000004">
      <c r="A9771">
        <f t="shared" si="306"/>
        <v>1986</v>
      </c>
      <c r="B9771" s="821">
        <v>31426</v>
      </c>
      <c r="C9771">
        <v>9.56</v>
      </c>
      <c r="D9771">
        <f t="shared" si="307"/>
        <v>1</v>
      </c>
    </row>
    <row r="9772" spans="1:4" x14ac:dyDescent="0.55000000000000004">
      <c r="A9772">
        <f t="shared" si="306"/>
        <v>1986</v>
      </c>
      <c r="B9772" s="821">
        <v>31425</v>
      </c>
      <c r="C9772">
        <v>9.65</v>
      </c>
      <c r="D9772">
        <f t="shared" si="307"/>
        <v>1</v>
      </c>
    </row>
    <row r="9773" spans="1:4" x14ac:dyDescent="0.55000000000000004">
      <c r="A9773">
        <f t="shared" si="306"/>
        <v>1986</v>
      </c>
      <c r="B9773" s="821">
        <v>31422</v>
      </c>
      <c r="C9773">
        <v>9.5399999999999991</v>
      </c>
      <c r="D9773">
        <f t="shared" si="307"/>
        <v>1</v>
      </c>
    </row>
    <row r="9774" spans="1:4" x14ac:dyDescent="0.55000000000000004">
      <c r="A9774">
        <f t="shared" si="306"/>
        <v>1986</v>
      </c>
      <c r="B9774" s="821">
        <v>31421</v>
      </c>
      <c r="C9774">
        <v>9.4499999999999993</v>
      </c>
      <c r="D9774">
        <f t="shared" si="307"/>
        <v>1</v>
      </c>
    </row>
    <row r="9775" spans="1:4" x14ac:dyDescent="0.55000000000000004">
      <c r="A9775">
        <f t="shared" si="306"/>
        <v>1986</v>
      </c>
      <c r="B9775" s="821">
        <v>31420</v>
      </c>
      <c r="C9775">
        <v>9.36</v>
      </c>
      <c r="D9775">
        <f t="shared" si="307"/>
        <v>1</v>
      </c>
    </row>
    <row r="9776" spans="1:4" x14ac:dyDescent="0.55000000000000004">
      <c r="A9776">
        <f t="shared" si="306"/>
        <v>1986</v>
      </c>
      <c r="B9776" s="821">
        <v>31419</v>
      </c>
      <c r="C9776">
        <v>9.18</v>
      </c>
      <c r="D9776">
        <f t="shared" si="307"/>
        <v>1</v>
      </c>
    </row>
    <row r="9777" spans="1:4" x14ac:dyDescent="0.55000000000000004">
      <c r="A9777">
        <f t="shared" si="306"/>
        <v>1986</v>
      </c>
      <c r="B9777" s="821">
        <v>31418</v>
      </c>
      <c r="C9777">
        <v>9.31</v>
      </c>
      <c r="D9777">
        <f t="shared" si="307"/>
        <v>1</v>
      </c>
    </row>
    <row r="9778" spans="1:4" x14ac:dyDescent="0.55000000000000004">
      <c r="A9778">
        <f t="shared" si="306"/>
        <v>1986</v>
      </c>
      <c r="B9778" s="821">
        <v>31415</v>
      </c>
      <c r="C9778">
        <v>9.3000000000000007</v>
      </c>
      <c r="D9778">
        <f t="shared" si="307"/>
        <v>1</v>
      </c>
    </row>
    <row r="9779" spans="1:4" x14ac:dyDescent="0.55000000000000004">
      <c r="A9779">
        <f t="shared" si="306"/>
        <v>1986</v>
      </c>
      <c r="B9779" s="821">
        <v>31414</v>
      </c>
      <c r="C9779">
        <v>9.2799999999999994</v>
      </c>
      <c r="D9779">
        <f t="shared" si="307"/>
        <v>1</v>
      </c>
    </row>
    <row r="9780" spans="1:4" x14ac:dyDescent="0.55000000000000004">
      <c r="A9780">
        <f t="shared" si="306"/>
        <v>1985</v>
      </c>
      <c r="B9780" s="821">
        <v>31412</v>
      </c>
      <c r="C9780">
        <v>9.27</v>
      </c>
      <c r="D9780">
        <f t="shared" si="307"/>
        <v>1</v>
      </c>
    </row>
    <row r="9781" spans="1:4" x14ac:dyDescent="0.55000000000000004">
      <c r="A9781">
        <f t="shared" si="306"/>
        <v>1985</v>
      </c>
      <c r="B9781" s="821">
        <v>31411</v>
      </c>
      <c r="C9781">
        <v>9.2799999999999994</v>
      </c>
      <c r="D9781">
        <f t="shared" si="307"/>
        <v>1</v>
      </c>
    </row>
    <row r="9782" spans="1:4" x14ac:dyDescent="0.55000000000000004">
      <c r="A9782">
        <f t="shared" si="306"/>
        <v>1985</v>
      </c>
      <c r="B9782" s="821">
        <v>31408</v>
      </c>
      <c r="C9782">
        <v>9.27</v>
      </c>
      <c r="D9782">
        <f t="shared" si="307"/>
        <v>1</v>
      </c>
    </row>
    <row r="9783" spans="1:4" x14ac:dyDescent="0.55000000000000004">
      <c r="A9783">
        <f t="shared" si="306"/>
        <v>1985</v>
      </c>
      <c r="B9783" s="821">
        <v>31407</v>
      </c>
      <c r="C9783">
        <v>9.31</v>
      </c>
      <c r="D9783">
        <f t="shared" si="307"/>
        <v>1</v>
      </c>
    </row>
    <row r="9784" spans="1:4" x14ac:dyDescent="0.55000000000000004">
      <c r="A9784">
        <f t="shared" si="306"/>
        <v>1985</v>
      </c>
      <c r="B9784" s="821">
        <v>31405</v>
      </c>
      <c r="C9784">
        <v>9.33</v>
      </c>
      <c r="D9784">
        <f t="shared" si="307"/>
        <v>1</v>
      </c>
    </row>
    <row r="9785" spans="1:4" x14ac:dyDescent="0.55000000000000004">
      <c r="A9785">
        <f t="shared" si="306"/>
        <v>1985</v>
      </c>
      <c r="B9785" s="821">
        <v>31404</v>
      </c>
      <c r="C9785">
        <v>9.34</v>
      </c>
      <c r="D9785">
        <f t="shared" si="307"/>
        <v>1</v>
      </c>
    </row>
    <row r="9786" spans="1:4" x14ac:dyDescent="0.55000000000000004">
      <c r="A9786">
        <f t="shared" si="306"/>
        <v>1985</v>
      </c>
      <c r="B9786" s="821">
        <v>31401</v>
      </c>
      <c r="C9786">
        <v>9.33</v>
      </c>
      <c r="D9786">
        <f t="shared" si="307"/>
        <v>1</v>
      </c>
    </row>
    <row r="9787" spans="1:4" x14ac:dyDescent="0.55000000000000004">
      <c r="A9787">
        <f t="shared" si="306"/>
        <v>1985</v>
      </c>
      <c r="B9787" s="821">
        <v>31400</v>
      </c>
      <c r="C9787">
        <v>9.3699999999999992</v>
      </c>
      <c r="D9787">
        <f t="shared" si="307"/>
        <v>1</v>
      </c>
    </row>
    <row r="9788" spans="1:4" x14ac:dyDescent="0.55000000000000004">
      <c r="A9788">
        <f t="shared" si="306"/>
        <v>1985</v>
      </c>
      <c r="B9788" s="821">
        <v>31399</v>
      </c>
      <c r="C9788">
        <v>9.4</v>
      </c>
      <c r="D9788">
        <f t="shared" si="307"/>
        <v>1</v>
      </c>
    </row>
    <row r="9789" spans="1:4" x14ac:dyDescent="0.55000000000000004">
      <c r="A9789">
        <f t="shared" si="306"/>
        <v>1985</v>
      </c>
      <c r="B9789" s="821">
        <v>31398</v>
      </c>
      <c r="C9789">
        <v>9.35</v>
      </c>
      <c r="D9789">
        <f t="shared" si="307"/>
        <v>1</v>
      </c>
    </row>
    <row r="9790" spans="1:4" x14ac:dyDescent="0.55000000000000004">
      <c r="A9790">
        <f t="shared" si="306"/>
        <v>1985</v>
      </c>
      <c r="B9790" s="821">
        <v>31397</v>
      </c>
      <c r="C9790">
        <v>9.4499999999999993</v>
      </c>
      <c r="D9790">
        <f t="shared" si="307"/>
        <v>1</v>
      </c>
    </row>
    <row r="9791" spans="1:4" x14ac:dyDescent="0.55000000000000004">
      <c r="A9791">
        <f t="shared" si="306"/>
        <v>1985</v>
      </c>
      <c r="B9791" s="821">
        <v>31394</v>
      </c>
      <c r="C9791">
        <v>9.5299999999999994</v>
      </c>
      <c r="D9791">
        <f t="shared" si="307"/>
        <v>1</v>
      </c>
    </row>
    <row r="9792" spans="1:4" x14ac:dyDescent="0.55000000000000004">
      <c r="A9792">
        <f t="shared" si="306"/>
        <v>1985</v>
      </c>
      <c r="B9792" s="821">
        <v>31393</v>
      </c>
      <c r="C9792">
        <v>9.58</v>
      </c>
      <c r="D9792">
        <f t="shared" si="307"/>
        <v>1</v>
      </c>
    </row>
    <row r="9793" spans="1:4" x14ac:dyDescent="0.55000000000000004">
      <c r="A9793">
        <f t="shared" si="306"/>
        <v>1985</v>
      </c>
      <c r="B9793" s="821">
        <v>31392</v>
      </c>
      <c r="C9793">
        <v>9.5299999999999994</v>
      </c>
      <c r="D9793">
        <f t="shared" si="307"/>
        <v>1</v>
      </c>
    </row>
    <row r="9794" spans="1:4" x14ac:dyDescent="0.55000000000000004">
      <c r="A9794">
        <f t="shared" si="306"/>
        <v>1985</v>
      </c>
      <c r="B9794" s="821">
        <v>31391</v>
      </c>
      <c r="C9794">
        <v>9.65</v>
      </c>
      <c r="D9794">
        <f t="shared" si="307"/>
        <v>1</v>
      </c>
    </row>
    <row r="9795" spans="1:4" x14ac:dyDescent="0.55000000000000004">
      <c r="A9795">
        <f t="shared" si="306"/>
        <v>1985</v>
      </c>
      <c r="B9795" s="821">
        <v>31390</v>
      </c>
      <c r="C9795">
        <v>9.77</v>
      </c>
      <c r="D9795">
        <f t="shared" si="307"/>
        <v>1</v>
      </c>
    </row>
    <row r="9796" spans="1:4" x14ac:dyDescent="0.55000000000000004">
      <c r="A9796">
        <f t="shared" ref="A9796:A9859" si="308">YEAR(B9796)</f>
        <v>1985</v>
      </c>
      <c r="B9796" s="821">
        <v>31387</v>
      </c>
      <c r="C9796">
        <v>9.9</v>
      </c>
      <c r="D9796">
        <f t="shared" ref="D9796:D9859" si="309">IF(C9796&gt;4,1,0)</f>
        <v>1</v>
      </c>
    </row>
    <row r="9797" spans="1:4" x14ac:dyDescent="0.55000000000000004">
      <c r="A9797">
        <f t="shared" si="308"/>
        <v>1985</v>
      </c>
      <c r="B9797" s="821">
        <v>31386</v>
      </c>
      <c r="C9797">
        <v>9.8800000000000008</v>
      </c>
      <c r="D9797">
        <f t="shared" si="309"/>
        <v>1</v>
      </c>
    </row>
    <row r="9798" spans="1:4" x14ac:dyDescent="0.55000000000000004">
      <c r="A9798">
        <f t="shared" si="308"/>
        <v>1985</v>
      </c>
      <c r="B9798" s="821">
        <v>31385</v>
      </c>
      <c r="C9798">
        <v>9.8800000000000008</v>
      </c>
      <c r="D9798">
        <f t="shared" si="309"/>
        <v>1</v>
      </c>
    </row>
    <row r="9799" spans="1:4" x14ac:dyDescent="0.55000000000000004">
      <c r="A9799">
        <f t="shared" si="308"/>
        <v>1985</v>
      </c>
      <c r="B9799" s="821">
        <v>31384</v>
      </c>
      <c r="C9799">
        <v>9.92</v>
      </c>
      <c r="D9799">
        <f t="shared" si="309"/>
        <v>1</v>
      </c>
    </row>
    <row r="9800" spans="1:4" x14ac:dyDescent="0.55000000000000004">
      <c r="A9800">
        <f t="shared" si="308"/>
        <v>1985</v>
      </c>
      <c r="B9800" s="821">
        <v>31383</v>
      </c>
      <c r="C9800">
        <v>9.94</v>
      </c>
      <c r="D9800">
        <f t="shared" si="309"/>
        <v>1</v>
      </c>
    </row>
    <row r="9801" spans="1:4" x14ac:dyDescent="0.55000000000000004">
      <c r="A9801">
        <f t="shared" si="308"/>
        <v>1985</v>
      </c>
      <c r="B9801" s="821">
        <v>31380</v>
      </c>
      <c r="C9801">
        <v>9.86</v>
      </c>
      <c r="D9801">
        <f t="shared" si="309"/>
        <v>1</v>
      </c>
    </row>
    <row r="9802" spans="1:4" x14ac:dyDescent="0.55000000000000004">
      <c r="A9802">
        <f t="shared" si="308"/>
        <v>1985</v>
      </c>
      <c r="B9802" s="821">
        <v>31378</v>
      </c>
      <c r="C9802">
        <v>9.91</v>
      </c>
      <c r="D9802">
        <f t="shared" si="309"/>
        <v>1</v>
      </c>
    </row>
    <row r="9803" spans="1:4" x14ac:dyDescent="0.55000000000000004">
      <c r="A9803">
        <f t="shared" si="308"/>
        <v>1985</v>
      </c>
      <c r="B9803" s="821">
        <v>31377</v>
      </c>
      <c r="C9803">
        <v>9.9600000000000009</v>
      </c>
      <c r="D9803">
        <f t="shared" si="309"/>
        <v>1</v>
      </c>
    </row>
    <row r="9804" spans="1:4" x14ac:dyDescent="0.55000000000000004">
      <c r="A9804">
        <f t="shared" si="308"/>
        <v>1985</v>
      </c>
      <c r="B9804" s="821">
        <v>31376</v>
      </c>
      <c r="C9804">
        <v>9.98</v>
      </c>
      <c r="D9804">
        <f t="shared" si="309"/>
        <v>1</v>
      </c>
    </row>
    <row r="9805" spans="1:4" x14ac:dyDescent="0.55000000000000004">
      <c r="A9805">
        <f t="shared" si="308"/>
        <v>1985</v>
      </c>
      <c r="B9805" s="821">
        <v>31373</v>
      </c>
      <c r="C9805">
        <v>9.9499999999999993</v>
      </c>
      <c r="D9805">
        <f t="shared" si="309"/>
        <v>1</v>
      </c>
    </row>
    <row r="9806" spans="1:4" x14ac:dyDescent="0.55000000000000004">
      <c r="A9806">
        <f t="shared" si="308"/>
        <v>1985</v>
      </c>
      <c r="B9806" s="821">
        <v>31372</v>
      </c>
      <c r="C9806">
        <v>9.93</v>
      </c>
      <c r="D9806">
        <f t="shared" si="309"/>
        <v>1</v>
      </c>
    </row>
    <row r="9807" spans="1:4" x14ac:dyDescent="0.55000000000000004">
      <c r="A9807">
        <f t="shared" si="308"/>
        <v>1985</v>
      </c>
      <c r="B9807" s="821">
        <v>31371</v>
      </c>
      <c r="C9807">
        <v>10</v>
      </c>
      <c r="D9807">
        <f t="shared" si="309"/>
        <v>1</v>
      </c>
    </row>
    <row r="9808" spans="1:4" x14ac:dyDescent="0.55000000000000004">
      <c r="A9808">
        <f t="shared" si="308"/>
        <v>1985</v>
      </c>
      <c r="B9808" s="821">
        <v>31370</v>
      </c>
      <c r="C9808">
        <v>10</v>
      </c>
      <c r="D9808">
        <f t="shared" si="309"/>
        <v>1</v>
      </c>
    </row>
    <row r="9809" spans="1:4" x14ac:dyDescent="0.55000000000000004">
      <c r="A9809">
        <f t="shared" si="308"/>
        <v>1985</v>
      </c>
      <c r="B9809" s="821">
        <v>31369</v>
      </c>
      <c r="C9809">
        <v>10.029999999999999</v>
      </c>
      <c r="D9809">
        <f t="shared" si="309"/>
        <v>1</v>
      </c>
    </row>
    <row r="9810" spans="1:4" x14ac:dyDescent="0.55000000000000004">
      <c r="A9810">
        <f t="shared" si="308"/>
        <v>1985</v>
      </c>
      <c r="B9810" s="821">
        <v>31366</v>
      </c>
      <c r="C9810">
        <v>10.18</v>
      </c>
      <c r="D9810">
        <f t="shared" si="309"/>
        <v>1</v>
      </c>
    </row>
    <row r="9811" spans="1:4" x14ac:dyDescent="0.55000000000000004">
      <c r="A9811">
        <f t="shared" si="308"/>
        <v>1985</v>
      </c>
      <c r="B9811" s="821">
        <v>31365</v>
      </c>
      <c r="C9811">
        <v>10.119999999999999</v>
      </c>
      <c r="D9811">
        <f t="shared" si="309"/>
        <v>1</v>
      </c>
    </row>
    <row r="9812" spans="1:4" x14ac:dyDescent="0.55000000000000004">
      <c r="A9812">
        <f t="shared" si="308"/>
        <v>1985</v>
      </c>
      <c r="B9812" s="821">
        <v>31364</v>
      </c>
      <c r="C9812">
        <v>10.07</v>
      </c>
      <c r="D9812">
        <f t="shared" si="309"/>
        <v>1</v>
      </c>
    </row>
    <row r="9813" spans="1:4" x14ac:dyDescent="0.55000000000000004">
      <c r="A9813">
        <f t="shared" si="308"/>
        <v>1985</v>
      </c>
      <c r="B9813" s="821">
        <v>31363</v>
      </c>
      <c r="C9813">
        <v>10.029999999999999</v>
      </c>
      <c r="D9813">
        <f t="shared" si="309"/>
        <v>1</v>
      </c>
    </row>
    <row r="9814" spans="1:4" x14ac:dyDescent="0.55000000000000004">
      <c r="A9814">
        <f t="shared" si="308"/>
        <v>1985</v>
      </c>
      <c r="B9814" s="821">
        <v>31359</v>
      </c>
      <c r="C9814">
        <v>10.130000000000001</v>
      </c>
      <c r="D9814">
        <f t="shared" si="309"/>
        <v>1</v>
      </c>
    </row>
    <row r="9815" spans="1:4" x14ac:dyDescent="0.55000000000000004">
      <c r="A9815">
        <f t="shared" si="308"/>
        <v>1985</v>
      </c>
      <c r="B9815" s="821">
        <v>31358</v>
      </c>
      <c r="C9815">
        <v>10.18</v>
      </c>
      <c r="D9815">
        <f t="shared" si="309"/>
        <v>1</v>
      </c>
    </row>
    <row r="9816" spans="1:4" x14ac:dyDescent="0.55000000000000004">
      <c r="A9816">
        <f t="shared" si="308"/>
        <v>1985</v>
      </c>
      <c r="B9816" s="821">
        <v>31357</v>
      </c>
      <c r="C9816">
        <v>10.19</v>
      </c>
      <c r="D9816">
        <f t="shared" si="309"/>
        <v>1</v>
      </c>
    </row>
    <row r="9817" spans="1:4" x14ac:dyDescent="0.55000000000000004">
      <c r="A9817">
        <f t="shared" si="308"/>
        <v>1985</v>
      </c>
      <c r="B9817" s="821">
        <v>31356</v>
      </c>
      <c r="C9817">
        <v>10.18</v>
      </c>
      <c r="D9817">
        <f t="shared" si="309"/>
        <v>1</v>
      </c>
    </row>
    <row r="9818" spans="1:4" x14ac:dyDescent="0.55000000000000004">
      <c r="A9818">
        <f t="shared" si="308"/>
        <v>1985</v>
      </c>
      <c r="B9818" s="821">
        <v>31355</v>
      </c>
      <c r="C9818">
        <v>10.23</v>
      </c>
      <c r="D9818">
        <f t="shared" si="309"/>
        <v>1</v>
      </c>
    </row>
    <row r="9819" spans="1:4" x14ac:dyDescent="0.55000000000000004">
      <c r="A9819">
        <f t="shared" si="308"/>
        <v>1985</v>
      </c>
      <c r="B9819" s="821">
        <v>31352</v>
      </c>
      <c r="C9819">
        <v>10.24</v>
      </c>
      <c r="D9819">
        <f t="shared" si="309"/>
        <v>1</v>
      </c>
    </row>
    <row r="9820" spans="1:4" x14ac:dyDescent="0.55000000000000004">
      <c r="A9820">
        <f t="shared" si="308"/>
        <v>1985</v>
      </c>
      <c r="B9820" s="821">
        <v>31351</v>
      </c>
      <c r="C9820">
        <v>10.28</v>
      </c>
      <c r="D9820">
        <f t="shared" si="309"/>
        <v>1</v>
      </c>
    </row>
    <row r="9821" spans="1:4" x14ac:dyDescent="0.55000000000000004">
      <c r="A9821">
        <f t="shared" si="308"/>
        <v>1985</v>
      </c>
      <c r="B9821" s="821">
        <v>31350</v>
      </c>
      <c r="C9821">
        <v>10.26</v>
      </c>
      <c r="D9821">
        <f t="shared" si="309"/>
        <v>1</v>
      </c>
    </row>
    <row r="9822" spans="1:4" x14ac:dyDescent="0.55000000000000004">
      <c r="A9822">
        <f t="shared" si="308"/>
        <v>1985</v>
      </c>
      <c r="B9822" s="821">
        <v>31349</v>
      </c>
      <c r="C9822">
        <v>10.37</v>
      </c>
      <c r="D9822">
        <f t="shared" si="309"/>
        <v>1</v>
      </c>
    </row>
    <row r="9823" spans="1:4" x14ac:dyDescent="0.55000000000000004">
      <c r="A9823">
        <f t="shared" si="308"/>
        <v>1985</v>
      </c>
      <c r="B9823" s="821">
        <v>31348</v>
      </c>
      <c r="C9823">
        <v>10.53</v>
      </c>
      <c r="D9823">
        <f t="shared" si="309"/>
        <v>1</v>
      </c>
    </row>
    <row r="9824" spans="1:4" x14ac:dyDescent="0.55000000000000004">
      <c r="A9824">
        <f t="shared" si="308"/>
        <v>1985</v>
      </c>
      <c r="B9824" s="821">
        <v>31345</v>
      </c>
      <c r="C9824">
        <v>10.47</v>
      </c>
      <c r="D9824">
        <f t="shared" si="309"/>
        <v>1</v>
      </c>
    </row>
    <row r="9825" spans="1:4" x14ac:dyDescent="0.55000000000000004">
      <c r="A9825">
        <f t="shared" si="308"/>
        <v>1985</v>
      </c>
      <c r="B9825" s="821">
        <v>31344</v>
      </c>
      <c r="C9825">
        <v>10.41</v>
      </c>
      <c r="D9825">
        <f t="shared" si="309"/>
        <v>1</v>
      </c>
    </row>
    <row r="9826" spans="1:4" x14ac:dyDescent="0.55000000000000004">
      <c r="A9826">
        <f t="shared" si="308"/>
        <v>1985</v>
      </c>
      <c r="B9826" s="821">
        <v>31343</v>
      </c>
      <c r="C9826">
        <v>10.39</v>
      </c>
      <c r="D9826">
        <f t="shared" si="309"/>
        <v>1</v>
      </c>
    </row>
    <row r="9827" spans="1:4" x14ac:dyDescent="0.55000000000000004">
      <c r="A9827">
        <f t="shared" si="308"/>
        <v>1985</v>
      </c>
      <c r="B9827" s="821">
        <v>31342</v>
      </c>
      <c r="C9827">
        <v>10.39</v>
      </c>
      <c r="D9827">
        <f t="shared" si="309"/>
        <v>1</v>
      </c>
    </row>
    <row r="9828" spans="1:4" x14ac:dyDescent="0.55000000000000004">
      <c r="A9828">
        <f t="shared" si="308"/>
        <v>1985</v>
      </c>
      <c r="B9828" s="821">
        <v>31341</v>
      </c>
      <c r="C9828">
        <v>10.44</v>
      </c>
      <c r="D9828">
        <f t="shared" si="309"/>
        <v>1</v>
      </c>
    </row>
    <row r="9829" spans="1:4" x14ac:dyDescent="0.55000000000000004">
      <c r="A9829">
        <f t="shared" si="308"/>
        <v>1985</v>
      </c>
      <c r="B9829" s="821">
        <v>31338</v>
      </c>
      <c r="C9829">
        <v>10.44</v>
      </c>
      <c r="D9829">
        <f t="shared" si="309"/>
        <v>1</v>
      </c>
    </row>
    <row r="9830" spans="1:4" x14ac:dyDescent="0.55000000000000004">
      <c r="A9830">
        <f t="shared" si="308"/>
        <v>1985</v>
      </c>
      <c r="B9830" s="821">
        <v>31337</v>
      </c>
      <c r="C9830">
        <v>10.47</v>
      </c>
      <c r="D9830">
        <f t="shared" si="309"/>
        <v>1</v>
      </c>
    </row>
    <row r="9831" spans="1:4" x14ac:dyDescent="0.55000000000000004">
      <c r="A9831">
        <f t="shared" si="308"/>
        <v>1985</v>
      </c>
      <c r="B9831" s="821">
        <v>31336</v>
      </c>
      <c r="C9831">
        <v>10.52</v>
      </c>
      <c r="D9831">
        <f t="shared" si="309"/>
        <v>1</v>
      </c>
    </row>
    <row r="9832" spans="1:4" x14ac:dyDescent="0.55000000000000004">
      <c r="A9832">
        <f t="shared" si="308"/>
        <v>1985</v>
      </c>
      <c r="B9832" s="821">
        <v>31335</v>
      </c>
      <c r="C9832">
        <v>10.56</v>
      </c>
      <c r="D9832">
        <f t="shared" si="309"/>
        <v>1</v>
      </c>
    </row>
    <row r="9833" spans="1:4" x14ac:dyDescent="0.55000000000000004">
      <c r="A9833">
        <f t="shared" si="308"/>
        <v>1985</v>
      </c>
      <c r="B9833" s="821">
        <v>31331</v>
      </c>
      <c r="C9833">
        <v>10.61</v>
      </c>
      <c r="D9833">
        <f t="shared" si="309"/>
        <v>1</v>
      </c>
    </row>
    <row r="9834" spans="1:4" x14ac:dyDescent="0.55000000000000004">
      <c r="A9834">
        <f t="shared" si="308"/>
        <v>1985</v>
      </c>
      <c r="B9834" s="821">
        <v>31330</v>
      </c>
      <c r="C9834">
        <v>10.61</v>
      </c>
      <c r="D9834">
        <f t="shared" si="309"/>
        <v>1</v>
      </c>
    </row>
    <row r="9835" spans="1:4" x14ac:dyDescent="0.55000000000000004">
      <c r="A9835">
        <f t="shared" si="308"/>
        <v>1985</v>
      </c>
      <c r="B9835" s="821">
        <v>31329</v>
      </c>
      <c r="C9835">
        <v>10.64</v>
      </c>
      <c r="D9835">
        <f t="shared" si="309"/>
        <v>1</v>
      </c>
    </row>
    <row r="9836" spans="1:4" x14ac:dyDescent="0.55000000000000004">
      <c r="A9836">
        <f t="shared" si="308"/>
        <v>1985</v>
      </c>
      <c r="B9836" s="821">
        <v>31328</v>
      </c>
      <c r="C9836">
        <v>10.63</v>
      </c>
      <c r="D9836">
        <f t="shared" si="309"/>
        <v>1</v>
      </c>
    </row>
    <row r="9837" spans="1:4" x14ac:dyDescent="0.55000000000000004">
      <c r="A9837">
        <f t="shared" si="308"/>
        <v>1985</v>
      </c>
      <c r="B9837" s="821">
        <v>31327</v>
      </c>
      <c r="C9837">
        <v>10.66</v>
      </c>
      <c r="D9837">
        <f t="shared" si="309"/>
        <v>1</v>
      </c>
    </row>
    <row r="9838" spans="1:4" x14ac:dyDescent="0.55000000000000004">
      <c r="A9838">
        <f t="shared" si="308"/>
        <v>1985</v>
      </c>
      <c r="B9838" s="821">
        <v>31324</v>
      </c>
      <c r="C9838">
        <v>10.61</v>
      </c>
      <c r="D9838">
        <f t="shared" si="309"/>
        <v>1</v>
      </c>
    </row>
    <row r="9839" spans="1:4" x14ac:dyDescent="0.55000000000000004">
      <c r="A9839">
        <f t="shared" si="308"/>
        <v>1985</v>
      </c>
      <c r="B9839" s="821">
        <v>31323</v>
      </c>
      <c r="C9839">
        <v>10.59</v>
      </c>
      <c r="D9839">
        <f t="shared" si="309"/>
        <v>1</v>
      </c>
    </row>
    <row r="9840" spans="1:4" x14ac:dyDescent="0.55000000000000004">
      <c r="A9840">
        <f t="shared" si="308"/>
        <v>1985</v>
      </c>
      <c r="B9840" s="821">
        <v>31322</v>
      </c>
      <c r="C9840">
        <v>10.59</v>
      </c>
      <c r="D9840">
        <f t="shared" si="309"/>
        <v>1</v>
      </c>
    </row>
    <row r="9841" spans="1:4" x14ac:dyDescent="0.55000000000000004">
      <c r="A9841">
        <f t="shared" si="308"/>
        <v>1985</v>
      </c>
      <c r="B9841" s="821">
        <v>31321</v>
      </c>
      <c r="C9841">
        <v>10.55</v>
      </c>
      <c r="D9841">
        <f t="shared" si="309"/>
        <v>1</v>
      </c>
    </row>
    <row r="9842" spans="1:4" x14ac:dyDescent="0.55000000000000004">
      <c r="A9842">
        <f t="shared" si="308"/>
        <v>1985</v>
      </c>
      <c r="B9842" s="821">
        <v>31320</v>
      </c>
      <c r="C9842">
        <v>10.57</v>
      </c>
      <c r="D9842">
        <f t="shared" si="309"/>
        <v>1</v>
      </c>
    </row>
    <row r="9843" spans="1:4" x14ac:dyDescent="0.55000000000000004">
      <c r="A9843">
        <f t="shared" si="308"/>
        <v>1985</v>
      </c>
      <c r="B9843" s="821">
        <v>31316</v>
      </c>
      <c r="C9843">
        <v>10.5</v>
      </c>
      <c r="D9843">
        <f t="shared" si="309"/>
        <v>1</v>
      </c>
    </row>
    <row r="9844" spans="1:4" x14ac:dyDescent="0.55000000000000004">
      <c r="A9844">
        <f t="shared" si="308"/>
        <v>1985</v>
      </c>
      <c r="B9844" s="821">
        <v>31315</v>
      </c>
      <c r="C9844">
        <v>10.56</v>
      </c>
      <c r="D9844">
        <f t="shared" si="309"/>
        <v>1</v>
      </c>
    </row>
    <row r="9845" spans="1:4" x14ac:dyDescent="0.55000000000000004">
      <c r="A9845">
        <f t="shared" si="308"/>
        <v>1985</v>
      </c>
      <c r="B9845" s="821">
        <v>31314</v>
      </c>
      <c r="C9845">
        <v>10.62</v>
      </c>
      <c r="D9845">
        <f t="shared" si="309"/>
        <v>1</v>
      </c>
    </row>
    <row r="9846" spans="1:4" x14ac:dyDescent="0.55000000000000004">
      <c r="A9846">
        <f t="shared" si="308"/>
        <v>1985</v>
      </c>
      <c r="B9846" s="821">
        <v>31313</v>
      </c>
      <c r="C9846">
        <v>10.64</v>
      </c>
      <c r="D9846">
        <f t="shared" si="309"/>
        <v>1</v>
      </c>
    </row>
    <row r="9847" spans="1:4" x14ac:dyDescent="0.55000000000000004">
      <c r="A9847">
        <f t="shared" si="308"/>
        <v>1985</v>
      </c>
      <c r="B9847" s="821">
        <v>31310</v>
      </c>
      <c r="C9847">
        <v>10.58</v>
      </c>
      <c r="D9847">
        <f t="shared" si="309"/>
        <v>1</v>
      </c>
    </row>
    <row r="9848" spans="1:4" x14ac:dyDescent="0.55000000000000004">
      <c r="A9848">
        <f t="shared" si="308"/>
        <v>1985</v>
      </c>
      <c r="B9848" s="821">
        <v>31309</v>
      </c>
      <c r="C9848">
        <v>10.65</v>
      </c>
      <c r="D9848">
        <f t="shared" si="309"/>
        <v>1</v>
      </c>
    </row>
    <row r="9849" spans="1:4" x14ac:dyDescent="0.55000000000000004">
      <c r="A9849">
        <f t="shared" si="308"/>
        <v>1985</v>
      </c>
      <c r="B9849" s="821">
        <v>31308</v>
      </c>
      <c r="C9849">
        <v>10.67</v>
      </c>
      <c r="D9849">
        <f t="shared" si="309"/>
        <v>1</v>
      </c>
    </row>
    <row r="9850" spans="1:4" x14ac:dyDescent="0.55000000000000004">
      <c r="A9850">
        <f t="shared" si="308"/>
        <v>1985</v>
      </c>
      <c r="B9850" s="821">
        <v>31307</v>
      </c>
      <c r="C9850">
        <v>10.64</v>
      </c>
      <c r="D9850">
        <f t="shared" si="309"/>
        <v>1</v>
      </c>
    </row>
    <row r="9851" spans="1:4" x14ac:dyDescent="0.55000000000000004">
      <c r="A9851">
        <f t="shared" si="308"/>
        <v>1985</v>
      </c>
      <c r="B9851" s="821">
        <v>31306</v>
      </c>
      <c r="C9851">
        <v>10.58</v>
      </c>
      <c r="D9851">
        <f t="shared" si="309"/>
        <v>1</v>
      </c>
    </row>
    <row r="9852" spans="1:4" x14ac:dyDescent="0.55000000000000004">
      <c r="A9852">
        <f t="shared" si="308"/>
        <v>1985</v>
      </c>
      <c r="B9852" s="821">
        <v>31303</v>
      </c>
      <c r="C9852">
        <v>10.62</v>
      </c>
      <c r="D9852">
        <f t="shared" si="309"/>
        <v>1</v>
      </c>
    </row>
    <row r="9853" spans="1:4" x14ac:dyDescent="0.55000000000000004">
      <c r="A9853">
        <f t="shared" si="308"/>
        <v>1985</v>
      </c>
      <c r="B9853" s="821">
        <v>31302</v>
      </c>
      <c r="C9853">
        <v>10.73</v>
      </c>
      <c r="D9853">
        <f t="shared" si="309"/>
        <v>1</v>
      </c>
    </row>
    <row r="9854" spans="1:4" x14ac:dyDescent="0.55000000000000004">
      <c r="A9854">
        <f t="shared" si="308"/>
        <v>1985</v>
      </c>
      <c r="B9854" s="821">
        <v>31301</v>
      </c>
      <c r="C9854">
        <v>10.73</v>
      </c>
      <c r="D9854">
        <f t="shared" si="309"/>
        <v>1</v>
      </c>
    </row>
    <row r="9855" spans="1:4" x14ac:dyDescent="0.55000000000000004">
      <c r="A9855">
        <f t="shared" si="308"/>
        <v>1985</v>
      </c>
      <c r="B9855" s="821">
        <v>31300</v>
      </c>
      <c r="C9855">
        <v>10.71</v>
      </c>
      <c r="D9855">
        <f t="shared" si="309"/>
        <v>1</v>
      </c>
    </row>
    <row r="9856" spans="1:4" x14ac:dyDescent="0.55000000000000004">
      <c r="A9856">
        <f t="shared" si="308"/>
        <v>1985</v>
      </c>
      <c r="B9856" s="821">
        <v>31299</v>
      </c>
      <c r="C9856">
        <v>10.73</v>
      </c>
      <c r="D9856">
        <f t="shared" si="309"/>
        <v>1</v>
      </c>
    </row>
    <row r="9857" spans="1:4" x14ac:dyDescent="0.55000000000000004">
      <c r="A9857">
        <f t="shared" si="308"/>
        <v>1985</v>
      </c>
      <c r="B9857" s="821">
        <v>31296</v>
      </c>
      <c r="C9857">
        <v>10.73</v>
      </c>
      <c r="D9857">
        <f t="shared" si="309"/>
        <v>1</v>
      </c>
    </row>
    <row r="9858" spans="1:4" x14ac:dyDescent="0.55000000000000004">
      <c r="A9858">
        <f t="shared" si="308"/>
        <v>1985</v>
      </c>
      <c r="B9858" s="821">
        <v>31295</v>
      </c>
      <c r="C9858">
        <v>10.49</v>
      </c>
      <c r="D9858">
        <f t="shared" si="309"/>
        <v>1</v>
      </c>
    </row>
    <row r="9859" spans="1:4" x14ac:dyDescent="0.55000000000000004">
      <c r="A9859">
        <f t="shared" si="308"/>
        <v>1985</v>
      </c>
      <c r="B9859" s="821">
        <v>31294</v>
      </c>
      <c r="C9859">
        <v>10.4</v>
      </c>
      <c r="D9859">
        <f t="shared" si="309"/>
        <v>1</v>
      </c>
    </row>
    <row r="9860" spans="1:4" x14ac:dyDescent="0.55000000000000004">
      <c r="A9860">
        <f t="shared" ref="A9860:A9923" si="310">YEAR(B9860)</f>
        <v>1985</v>
      </c>
      <c r="B9860" s="821">
        <v>31293</v>
      </c>
      <c r="C9860">
        <v>10.46</v>
      </c>
      <c r="D9860">
        <f t="shared" ref="D9860:D9923" si="311">IF(C9860&gt;4,1,0)</f>
        <v>1</v>
      </c>
    </row>
    <row r="9861" spans="1:4" x14ac:dyDescent="0.55000000000000004">
      <c r="A9861">
        <f t="shared" si="310"/>
        <v>1985</v>
      </c>
      <c r="B9861" s="821">
        <v>31289</v>
      </c>
      <c r="C9861">
        <v>10.48</v>
      </c>
      <c r="D9861">
        <f t="shared" si="311"/>
        <v>1</v>
      </c>
    </row>
    <row r="9862" spans="1:4" x14ac:dyDescent="0.55000000000000004">
      <c r="A9862">
        <f t="shared" si="310"/>
        <v>1985</v>
      </c>
      <c r="B9862" s="821">
        <v>31288</v>
      </c>
      <c r="C9862">
        <v>10.37</v>
      </c>
      <c r="D9862">
        <f t="shared" si="311"/>
        <v>1</v>
      </c>
    </row>
    <row r="9863" spans="1:4" x14ac:dyDescent="0.55000000000000004">
      <c r="A9863">
        <f t="shared" si="310"/>
        <v>1985</v>
      </c>
      <c r="B9863" s="821">
        <v>31287</v>
      </c>
      <c r="C9863">
        <v>10.41</v>
      </c>
      <c r="D9863">
        <f t="shared" si="311"/>
        <v>1</v>
      </c>
    </row>
    <row r="9864" spans="1:4" x14ac:dyDescent="0.55000000000000004">
      <c r="A9864">
        <f t="shared" si="310"/>
        <v>1985</v>
      </c>
      <c r="B9864" s="821">
        <v>31286</v>
      </c>
      <c r="C9864">
        <v>10.38</v>
      </c>
      <c r="D9864">
        <f t="shared" si="311"/>
        <v>1</v>
      </c>
    </row>
    <row r="9865" spans="1:4" x14ac:dyDescent="0.55000000000000004">
      <c r="A9865">
        <f t="shared" si="310"/>
        <v>1985</v>
      </c>
      <c r="B9865" s="821">
        <v>31285</v>
      </c>
      <c r="C9865">
        <v>10.46</v>
      </c>
      <c r="D9865">
        <f t="shared" si="311"/>
        <v>1</v>
      </c>
    </row>
    <row r="9866" spans="1:4" x14ac:dyDescent="0.55000000000000004">
      <c r="A9866">
        <f t="shared" si="310"/>
        <v>1985</v>
      </c>
      <c r="B9866" s="821">
        <v>31282</v>
      </c>
      <c r="C9866">
        <v>10.42</v>
      </c>
      <c r="D9866">
        <f t="shared" si="311"/>
        <v>1</v>
      </c>
    </row>
    <row r="9867" spans="1:4" x14ac:dyDescent="0.55000000000000004">
      <c r="A9867">
        <f t="shared" si="310"/>
        <v>1985</v>
      </c>
      <c r="B9867" s="821">
        <v>31281</v>
      </c>
      <c r="C9867">
        <v>10.41</v>
      </c>
      <c r="D9867">
        <f t="shared" si="311"/>
        <v>1</v>
      </c>
    </row>
    <row r="9868" spans="1:4" x14ac:dyDescent="0.55000000000000004">
      <c r="A9868">
        <f t="shared" si="310"/>
        <v>1985</v>
      </c>
      <c r="B9868" s="821">
        <v>31280</v>
      </c>
      <c r="C9868">
        <v>10.42</v>
      </c>
      <c r="D9868">
        <f t="shared" si="311"/>
        <v>1</v>
      </c>
    </row>
    <row r="9869" spans="1:4" x14ac:dyDescent="0.55000000000000004">
      <c r="A9869">
        <f t="shared" si="310"/>
        <v>1985</v>
      </c>
      <c r="B9869" s="821">
        <v>31279</v>
      </c>
      <c r="C9869">
        <v>10.48</v>
      </c>
      <c r="D9869">
        <f t="shared" si="311"/>
        <v>1</v>
      </c>
    </row>
    <row r="9870" spans="1:4" x14ac:dyDescent="0.55000000000000004">
      <c r="A9870">
        <f t="shared" si="310"/>
        <v>1985</v>
      </c>
      <c r="B9870" s="821">
        <v>31278</v>
      </c>
      <c r="C9870">
        <v>10.5</v>
      </c>
      <c r="D9870">
        <f t="shared" si="311"/>
        <v>1</v>
      </c>
    </row>
    <row r="9871" spans="1:4" x14ac:dyDescent="0.55000000000000004">
      <c r="A9871">
        <f t="shared" si="310"/>
        <v>1985</v>
      </c>
      <c r="B9871" s="821">
        <v>31275</v>
      </c>
      <c r="C9871">
        <v>10.54</v>
      </c>
      <c r="D9871">
        <f t="shared" si="311"/>
        <v>1</v>
      </c>
    </row>
    <row r="9872" spans="1:4" x14ac:dyDescent="0.55000000000000004">
      <c r="A9872">
        <f t="shared" si="310"/>
        <v>1985</v>
      </c>
      <c r="B9872" s="821">
        <v>31274</v>
      </c>
      <c r="C9872">
        <v>10.64</v>
      </c>
      <c r="D9872">
        <f t="shared" si="311"/>
        <v>1</v>
      </c>
    </row>
    <row r="9873" spans="1:4" x14ac:dyDescent="0.55000000000000004">
      <c r="A9873">
        <f t="shared" si="310"/>
        <v>1985</v>
      </c>
      <c r="B9873" s="821">
        <v>31273</v>
      </c>
      <c r="C9873">
        <v>10.61</v>
      </c>
      <c r="D9873">
        <f t="shared" si="311"/>
        <v>1</v>
      </c>
    </row>
    <row r="9874" spans="1:4" x14ac:dyDescent="0.55000000000000004">
      <c r="A9874">
        <f t="shared" si="310"/>
        <v>1985</v>
      </c>
      <c r="B9874" s="821">
        <v>31272</v>
      </c>
      <c r="C9874">
        <v>10.71</v>
      </c>
      <c r="D9874">
        <f t="shared" si="311"/>
        <v>1</v>
      </c>
    </row>
    <row r="9875" spans="1:4" x14ac:dyDescent="0.55000000000000004">
      <c r="A9875">
        <f t="shared" si="310"/>
        <v>1985</v>
      </c>
      <c r="B9875" s="821">
        <v>31271</v>
      </c>
      <c r="C9875">
        <v>10.66</v>
      </c>
      <c r="D9875">
        <f t="shared" si="311"/>
        <v>1</v>
      </c>
    </row>
    <row r="9876" spans="1:4" x14ac:dyDescent="0.55000000000000004">
      <c r="A9876">
        <f t="shared" si="310"/>
        <v>1985</v>
      </c>
      <c r="B9876" s="821">
        <v>31268</v>
      </c>
      <c r="C9876">
        <v>10.61</v>
      </c>
      <c r="D9876">
        <f t="shared" si="311"/>
        <v>1</v>
      </c>
    </row>
    <row r="9877" spans="1:4" x14ac:dyDescent="0.55000000000000004">
      <c r="A9877">
        <f t="shared" si="310"/>
        <v>1985</v>
      </c>
      <c r="B9877" s="821">
        <v>31267</v>
      </c>
      <c r="C9877">
        <v>10.63</v>
      </c>
      <c r="D9877">
        <f t="shared" si="311"/>
        <v>1</v>
      </c>
    </row>
    <row r="9878" spans="1:4" x14ac:dyDescent="0.55000000000000004">
      <c r="A9878">
        <f t="shared" si="310"/>
        <v>1985</v>
      </c>
      <c r="B9878" s="821">
        <v>31266</v>
      </c>
      <c r="C9878">
        <v>10.71</v>
      </c>
      <c r="D9878">
        <f t="shared" si="311"/>
        <v>1</v>
      </c>
    </row>
    <row r="9879" spans="1:4" x14ac:dyDescent="0.55000000000000004">
      <c r="A9879">
        <f t="shared" si="310"/>
        <v>1985</v>
      </c>
      <c r="B9879" s="821">
        <v>31265</v>
      </c>
      <c r="C9879">
        <v>10.75</v>
      </c>
      <c r="D9879">
        <f t="shared" si="311"/>
        <v>1</v>
      </c>
    </row>
    <row r="9880" spans="1:4" x14ac:dyDescent="0.55000000000000004">
      <c r="A9880">
        <f t="shared" si="310"/>
        <v>1985</v>
      </c>
      <c r="B9880" s="821">
        <v>31264</v>
      </c>
      <c r="C9880">
        <v>10.73</v>
      </c>
      <c r="D9880">
        <f t="shared" si="311"/>
        <v>1</v>
      </c>
    </row>
    <row r="9881" spans="1:4" x14ac:dyDescent="0.55000000000000004">
      <c r="A9881">
        <f t="shared" si="310"/>
        <v>1985</v>
      </c>
      <c r="B9881" s="821">
        <v>31261</v>
      </c>
      <c r="C9881">
        <v>10.77</v>
      </c>
      <c r="D9881">
        <f t="shared" si="311"/>
        <v>1</v>
      </c>
    </row>
    <row r="9882" spans="1:4" x14ac:dyDescent="0.55000000000000004">
      <c r="A9882">
        <f t="shared" si="310"/>
        <v>1985</v>
      </c>
      <c r="B9882" s="821">
        <v>31260</v>
      </c>
      <c r="C9882">
        <v>10.62</v>
      </c>
      <c r="D9882">
        <f t="shared" si="311"/>
        <v>1</v>
      </c>
    </row>
    <row r="9883" spans="1:4" x14ac:dyDescent="0.55000000000000004">
      <c r="A9883">
        <f t="shared" si="310"/>
        <v>1985</v>
      </c>
      <c r="B9883" s="821">
        <v>31259</v>
      </c>
      <c r="C9883">
        <v>10.7</v>
      </c>
      <c r="D9883">
        <f t="shared" si="311"/>
        <v>1</v>
      </c>
    </row>
    <row r="9884" spans="1:4" x14ac:dyDescent="0.55000000000000004">
      <c r="A9884">
        <f t="shared" si="310"/>
        <v>1985</v>
      </c>
      <c r="B9884" s="821">
        <v>31258</v>
      </c>
      <c r="C9884">
        <v>10.78</v>
      </c>
      <c r="D9884">
        <f t="shared" si="311"/>
        <v>1</v>
      </c>
    </row>
    <row r="9885" spans="1:4" x14ac:dyDescent="0.55000000000000004">
      <c r="A9885">
        <f t="shared" si="310"/>
        <v>1985</v>
      </c>
      <c r="B9885" s="821">
        <v>31257</v>
      </c>
      <c r="C9885">
        <v>10.79</v>
      </c>
      <c r="D9885">
        <f t="shared" si="311"/>
        <v>1</v>
      </c>
    </row>
    <row r="9886" spans="1:4" x14ac:dyDescent="0.55000000000000004">
      <c r="A9886">
        <f t="shared" si="310"/>
        <v>1985</v>
      </c>
      <c r="B9886" s="821">
        <v>31254</v>
      </c>
      <c r="C9886">
        <v>10.72</v>
      </c>
      <c r="D9886">
        <f t="shared" si="311"/>
        <v>1</v>
      </c>
    </row>
    <row r="9887" spans="1:4" x14ac:dyDescent="0.55000000000000004">
      <c r="A9887">
        <f t="shared" si="310"/>
        <v>1985</v>
      </c>
      <c r="B9887" s="821">
        <v>31253</v>
      </c>
      <c r="C9887">
        <v>10.64</v>
      </c>
      <c r="D9887">
        <f t="shared" si="311"/>
        <v>1</v>
      </c>
    </row>
    <row r="9888" spans="1:4" x14ac:dyDescent="0.55000000000000004">
      <c r="A9888">
        <f t="shared" si="310"/>
        <v>1985</v>
      </c>
      <c r="B9888" s="821">
        <v>31252</v>
      </c>
      <c r="C9888">
        <v>10.63</v>
      </c>
      <c r="D9888">
        <f t="shared" si="311"/>
        <v>1</v>
      </c>
    </row>
    <row r="9889" spans="1:4" x14ac:dyDescent="0.55000000000000004">
      <c r="A9889">
        <f t="shared" si="310"/>
        <v>1985</v>
      </c>
      <c r="B9889" s="821">
        <v>31251</v>
      </c>
      <c r="C9889">
        <v>10.6</v>
      </c>
      <c r="D9889">
        <f t="shared" si="311"/>
        <v>1</v>
      </c>
    </row>
    <row r="9890" spans="1:4" x14ac:dyDescent="0.55000000000000004">
      <c r="A9890">
        <f t="shared" si="310"/>
        <v>1985</v>
      </c>
      <c r="B9890" s="821">
        <v>31250</v>
      </c>
      <c r="C9890">
        <v>10.6</v>
      </c>
      <c r="D9890">
        <f t="shared" si="311"/>
        <v>1</v>
      </c>
    </row>
    <row r="9891" spans="1:4" x14ac:dyDescent="0.55000000000000004">
      <c r="A9891">
        <f t="shared" si="310"/>
        <v>1985</v>
      </c>
      <c r="B9891" s="821">
        <v>31247</v>
      </c>
      <c r="C9891">
        <v>10.52</v>
      </c>
      <c r="D9891">
        <f t="shared" si="311"/>
        <v>1</v>
      </c>
    </row>
    <row r="9892" spans="1:4" x14ac:dyDescent="0.55000000000000004">
      <c r="A9892">
        <f t="shared" si="310"/>
        <v>1985</v>
      </c>
      <c r="B9892" s="821">
        <v>31246</v>
      </c>
      <c r="C9892">
        <v>10.48</v>
      </c>
      <c r="D9892">
        <f t="shared" si="311"/>
        <v>1</v>
      </c>
    </row>
    <row r="9893" spans="1:4" x14ac:dyDescent="0.55000000000000004">
      <c r="A9893">
        <f t="shared" si="310"/>
        <v>1985</v>
      </c>
      <c r="B9893" s="821">
        <v>31245</v>
      </c>
      <c r="C9893">
        <v>10.32</v>
      </c>
      <c r="D9893">
        <f t="shared" si="311"/>
        <v>1</v>
      </c>
    </row>
    <row r="9894" spans="1:4" x14ac:dyDescent="0.55000000000000004">
      <c r="A9894">
        <f t="shared" si="310"/>
        <v>1985</v>
      </c>
      <c r="B9894" s="821">
        <v>31244</v>
      </c>
      <c r="C9894">
        <v>10.37</v>
      </c>
      <c r="D9894">
        <f t="shared" si="311"/>
        <v>1</v>
      </c>
    </row>
    <row r="9895" spans="1:4" x14ac:dyDescent="0.55000000000000004">
      <c r="A9895">
        <f t="shared" si="310"/>
        <v>1985</v>
      </c>
      <c r="B9895" s="821">
        <v>31243</v>
      </c>
      <c r="C9895">
        <v>10.42</v>
      </c>
      <c r="D9895">
        <f t="shared" si="311"/>
        <v>1</v>
      </c>
    </row>
    <row r="9896" spans="1:4" x14ac:dyDescent="0.55000000000000004">
      <c r="A9896">
        <f t="shared" si="310"/>
        <v>1985</v>
      </c>
      <c r="B9896" s="821">
        <v>31240</v>
      </c>
      <c r="C9896">
        <v>10.42</v>
      </c>
      <c r="D9896">
        <f t="shared" si="311"/>
        <v>1</v>
      </c>
    </row>
    <row r="9897" spans="1:4" x14ac:dyDescent="0.55000000000000004">
      <c r="A9897">
        <f t="shared" si="310"/>
        <v>1985</v>
      </c>
      <c r="B9897" s="821">
        <v>31239</v>
      </c>
      <c r="C9897">
        <v>10.43</v>
      </c>
      <c r="D9897">
        <f t="shared" si="311"/>
        <v>1</v>
      </c>
    </row>
    <row r="9898" spans="1:4" x14ac:dyDescent="0.55000000000000004">
      <c r="A9898">
        <f t="shared" si="310"/>
        <v>1985</v>
      </c>
      <c r="B9898" s="821">
        <v>31238</v>
      </c>
      <c r="C9898">
        <v>10.33</v>
      </c>
      <c r="D9898">
        <f t="shared" si="311"/>
        <v>1</v>
      </c>
    </row>
    <row r="9899" spans="1:4" x14ac:dyDescent="0.55000000000000004">
      <c r="A9899">
        <f t="shared" si="310"/>
        <v>1985</v>
      </c>
      <c r="B9899" s="821">
        <v>31237</v>
      </c>
      <c r="C9899">
        <v>10.31</v>
      </c>
      <c r="D9899">
        <f t="shared" si="311"/>
        <v>1</v>
      </c>
    </row>
    <row r="9900" spans="1:4" x14ac:dyDescent="0.55000000000000004">
      <c r="A9900">
        <f t="shared" si="310"/>
        <v>1985</v>
      </c>
      <c r="B9900" s="821">
        <v>31236</v>
      </c>
      <c r="C9900">
        <v>10.31</v>
      </c>
      <c r="D9900">
        <f t="shared" si="311"/>
        <v>1</v>
      </c>
    </row>
    <row r="9901" spans="1:4" x14ac:dyDescent="0.55000000000000004">
      <c r="A9901">
        <f t="shared" si="310"/>
        <v>1985</v>
      </c>
      <c r="B9901" s="821">
        <v>31233</v>
      </c>
      <c r="C9901">
        <v>10.23</v>
      </c>
      <c r="D9901">
        <f t="shared" si="311"/>
        <v>1</v>
      </c>
    </row>
    <row r="9902" spans="1:4" x14ac:dyDescent="0.55000000000000004">
      <c r="A9902">
        <f t="shared" si="310"/>
        <v>1985</v>
      </c>
      <c r="B9902" s="821">
        <v>31231</v>
      </c>
      <c r="C9902">
        <v>10.45</v>
      </c>
      <c r="D9902">
        <f t="shared" si="311"/>
        <v>1</v>
      </c>
    </row>
    <row r="9903" spans="1:4" x14ac:dyDescent="0.55000000000000004">
      <c r="A9903">
        <f t="shared" si="310"/>
        <v>1985</v>
      </c>
      <c r="B9903" s="821">
        <v>31230</v>
      </c>
      <c r="C9903">
        <v>10.43</v>
      </c>
      <c r="D9903">
        <f t="shared" si="311"/>
        <v>1</v>
      </c>
    </row>
    <row r="9904" spans="1:4" x14ac:dyDescent="0.55000000000000004">
      <c r="A9904">
        <f t="shared" si="310"/>
        <v>1985</v>
      </c>
      <c r="B9904" s="821">
        <v>31229</v>
      </c>
      <c r="C9904">
        <v>10.44</v>
      </c>
      <c r="D9904">
        <f t="shared" si="311"/>
        <v>1</v>
      </c>
    </row>
    <row r="9905" spans="1:4" x14ac:dyDescent="0.55000000000000004">
      <c r="A9905">
        <f t="shared" si="310"/>
        <v>1985</v>
      </c>
      <c r="B9905" s="821">
        <v>31226</v>
      </c>
      <c r="C9905">
        <v>10.47</v>
      </c>
      <c r="D9905">
        <f t="shared" si="311"/>
        <v>1</v>
      </c>
    </row>
    <row r="9906" spans="1:4" x14ac:dyDescent="0.55000000000000004">
      <c r="A9906">
        <f t="shared" si="310"/>
        <v>1985</v>
      </c>
      <c r="B9906" s="821">
        <v>31225</v>
      </c>
      <c r="C9906">
        <v>10.54</v>
      </c>
      <c r="D9906">
        <f t="shared" si="311"/>
        <v>1</v>
      </c>
    </row>
    <row r="9907" spans="1:4" x14ac:dyDescent="0.55000000000000004">
      <c r="A9907">
        <f t="shared" si="310"/>
        <v>1985</v>
      </c>
      <c r="B9907" s="821">
        <v>31224</v>
      </c>
      <c r="C9907">
        <v>10.68</v>
      </c>
      <c r="D9907">
        <f t="shared" si="311"/>
        <v>1</v>
      </c>
    </row>
    <row r="9908" spans="1:4" x14ac:dyDescent="0.55000000000000004">
      <c r="A9908">
        <f t="shared" si="310"/>
        <v>1985</v>
      </c>
      <c r="B9908" s="821">
        <v>31223</v>
      </c>
      <c r="C9908">
        <v>10.67</v>
      </c>
      <c r="D9908">
        <f t="shared" si="311"/>
        <v>1</v>
      </c>
    </row>
    <row r="9909" spans="1:4" x14ac:dyDescent="0.55000000000000004">
      <c r="A9909">
        <f t="shared" si="310"/>
        <v>1985</v>
      </c>
      <c r="B9909" s="821">
        <v>31222</v>
      </c>
      <c r="C9909">
        <v>10.64</v>
      </c>
      <c r="D9909">
        <f t="shared" si="311"/>
        <v>1</v>
      </c>
    </row>
    <row r="9910" spans="1:4" x14ac:dyDescent="0.55000000000000004">
      <c r="A9910">
        <f t="shared" si="310"/>
        <v>1985</v>
      </c>
      <c r="B9910" s="821">
        <v>31219</v>
      </c>
      <c r="C9910">
        <v>10.57</v>
      </c>
      <c r="D9910">
        <f t="shared" si="311"/>
        <v>1</v>
      </c>
    </row>
    <row r="9911" spans="1:4" x14ac:dyDescent="0.55000000000000004">
      <c r="A9911">
        <f t="shared" si="310"/>
        <v>1985</v>
      </c>
      <c r="B9911" s="821">
        <v>31218</v>
      </c>
      <c r="C9911">
        <v>10.44</v>
      </c>
      <c r="D9911">
        <f t="shared" si="311"/>
        <v>1</v>
      </c>
    </row>
    <row r="9912" spans="1:4" x14ac:dyDescent="0.55000000000000004">
      <c r="A9912">
        <f t="shared" si="310"/>
        <v>1985</v>
      </c>
      <c r="B9912" s="821">
        <v>31217</v>
      </c>
      <c r="C9912">
        <v>10.37</v>
      </c>
      <c r="D9912">
        <f t="shared" si="311"/>
        <v>1</v>
      </c>
    </row>
    <row r="9913" spans="1:4" x14ac:dyDescent="0.55000000000000004">
      <c r="A9913">
        <f t="shared" si="310"/>
        <v>1985</v>
      </c>
      <c r="B9913" s="821">
        <v>31216</v>
      </c>
      <c r="C9913">
        <v>10.23</v>
      </c>
      <c r="D9913">
        <f t="shared" si="311"/>
        <v>1</v>
      </c>
    </row>
    <row r="9914" spans="1:4" x14ac:dyDescent="0.55000000000000004">
      <c r="A9914">
        <f t="shared" si="310"/>
        <v>1985</v>
      </c>
      <c r="B9914" s="821">
        <v>31215</v>
      </c>
      <c r="C9914">
        <v>10.28</v>
      </c>
      <c r="D9914">
        <f t="shared" si="311"/>
        <v>1</v>
      </c>
    </row>
    <row r="9915" spans="1:4" x14ac:dyDescent="0.55000000000000004">
      <c r="A9915">
        <f t="shared" si="310"/>
        <v>1985</v>
      </c>
      <c r="B9915" s="821">
        <v>31212</v>
      </c>
      <c r="C9915">
        <v>10.31</v>
      </c>
      <c r="D9915">
        <f t="shared" si="311"/>
        <v>1</v>
      </c>
    </row>
    <row r="9916" spans="1:4" x14ac:dyDescent="0.55000000000000004">
      <c r="A9916">
        <f t="shared" si="310"/>
        <v>1985</v>
      </c>
      <c r="B9916" s="821">
        <v>31211</v>
      </c>
      <c r="C9916">
        <v>10.51</v>
      </c>
      <c r="D9916">
        <f t="shared" si="311"/>
        <v>1</v>
      </c>
    </row>
    <row r="9917" spans="1:4" x14ac:dyDescent="0.55000000000000004">
      <c r="A9917">
        <f t="shared" si="310"/>
        <v>1985</v>
      </c>
      <c r="B9917" s="821">
        <v>31210</v>
      </c>
      <c r="C9917">
        <v>10.46</v>
      </c>
      <c r="D9917">
        <f t="shared" si="311"/>
        <v>1</v>
      </c>
    </row>
    <row r="9918" spans="1:4" x14ac:dyDescent="0.55000000000000004">
      <c r="A9918">
        <f t="shared" si="310"/>
        <v>1985</v>
      </c>
      <c r="B9918" s="821">
        <v>31209</v>
      </c>
      <c r="C9918">
        <v>10.41</v>
      </c>
      <c r="D9918">
        <f t="shared" si="311"/>
        <v>1</v>
      </c>
    </row>
    <row r="9919" spans="1:4" x14ac:dyDescent="0.55000000000000004">
      <c r="A9919">
        <f t="shared" si="310"/>
        <v>1985</v>
      </c>
      <c r="B9919" s="821">
        <v>31208</v>
      </c>
      <c r="C9919">
        <v>10.47</v>
      </c>
      <c r="D9919">
        <f t="shared" si="311"/>
        <v>1</v>
      </c>
    </row>
    <row r="9920" spans="1:4" x14ac:dyDescent="0.55000000000000004">
      <c r="A9920">
        <f t="shared" si="310"/>
        <v>1985</v>
      </c>
      <c r="B9920" s="821">
        <v>31205</v>
      </c>
      <c r="C9920">
        <v>10.52</v>
      </c>
      <c r="D9920">
        <f t="shared" si="311"/>
        <v>1</v>
      </c>
    </row>
    <row r="9921" spans="1:4" x14ac:dyDescent="0.55000000000000004">
      <c r="A9921">
        <f t="shared" si="310"/>
        <v>1985</v>
      </c>
      <c r="B9921" s="821">
        <v>31204</v>
      </c>
      <c r="C9921">
        <v>10.29</v>
      </c>
      <c r="D9921">
        <f t="shared" si="311"/>
        <v>1</v>
      </c>
    </row>
    <row r="9922" spans="1:4" x14ac:dyDescent="0.55000000000000004">
      <c r="A9922">
        <f t="shared" si="310"/>
        <v>1985</v>
      </c>
      <c r="B9922" s="821">
        <v>31203</v>
      </c>
      <c r="C9922">
        <v>10.25</v>
      </c>
      <c r="D9922">
        <f t="shared" si="311"/>
        <v>1</v>
      </c>
    </row>
    <row r="9923" spans="1:4" x14ac:dyDescent="0.55000000000000004">
      <c r="A9923">
        <f t="shared" si="310"/>
        <v>1985</v>
      </c>
      <c r="B9923" s="821">
        <v>31202</v>
      </c>
      <c r="C9923">
        <v>10.39</v>
      </c>
      <c r="D9923">
        <f t="shared" si="311"/>
        <v>1</v>
      </c>
    </row>
    <row r="9924" spans="1:4" x14ac:dyDescent="0.55000000000000004">
      <c r="A9924">
        <f t="shared" ref="A9924:A9987" si="312">YEAR(B9924)</f>
        <v>1985</v>
      </c>
      <c r="B9924" s="821">
        <v>31201</v>
      </c>
      <c r="C9924">
        <v>10.4</v>
      </c>
      <c r="D9924">
        <f t="shared" ref="D9924:D9987" si="313">IF(C9924&gt;4,1,0)</f>
        <v>1</v>
      </c>
    </row>
    <row r="9925" spans="1:4" x14ac:dyDescent="0.55000000000000004">
      <c r="A9925">
        <f t="shared" si="312"/>
        <v>1985</v>
      </c>
      <c r="B9925" s="821">
        <v>31198</v>
      </c>
      <c r="C9925">
        <v>10.58</v>
      </c>
      <c r="D9925">
        <f t="shared" si="313"/>
        <v>1</v>
      </c>
    </row>
    <row r="9926" spans="1:4" x14ac:dyDescent="0.55000000000000004">
      <c r="A9926">
        <f t="shared" si="312"/>
        <v>1985</v>
      </c>
      <c r="B9926" s="821">
        <v>31197</v>
      </c>
      <c r="C9926">
        <v>10.67</v>
      </c>
      <c r="D9926">
        <f t="shared" si="313"/>
        <v>1</v>
      </c>
    </row>
    <row r="9927" spans="1:4" x14ac:dyDescent="0.55000000000000004">
      <c r="A9927">
        <f t="shared" si="312"/>
        <v>1985</v>
      </c>
      <c r="B9927" s="821">
        <v>31196</v>
      </c>
      <c r="C9927">
        <v>10.73</v>
      </c>
      <c r="D9927">
        <f t="shared" si="313"/>
        <v>1</v>
      </c>
    </row>
    <row r="9928" spans="1:4" x14ac:dyDescent="0.55000000000000004">
      <c r="A9928">
        <f t="shared" si="312"/>
        <v>1985</v>
      </c>
      <c r="B9928" s="821">
        <v>31195</v>
      </c>
      <c r="C9928">
        <v>10.72</v>
      </c>
      <c r="D9928">
        <f t="shared" si="313"/>
        <v>1</v>
      </c>
    </row>
    <row r="9929" spans="1:4" x14ac:dyDescent="0.55000000000000004">
      <c r="A9929">
        <f t="shared" si="312"/>
        <v>1985</v>
      </c>
      <c r="B9929" s="821">
        <v>31191</v>
      </c>
      <c r="C9929">
        <v>10.85</v>
      </c>
      <c r="D9929">
        <f t="shared" si="313"/>
        <v>1</v>
      </c>
    </row>
    <row r="9930" spans="1:4" x14ac:dyDescent="0.55000000000000004">
      <c r="A9930">
        <f t="shared" si="312"/>
        <v>1985</v>
      </c>
      <c r="B9930" s="821">
        <v>31190</v>
      </c>
      <c r="C9930">
        <v>10.91</v>
      </c>
      <c r="D9930">
        <f t="shared" si="313"/>
        <v>1</v>
      </c>
    </row>
    <row r="9931" spans="1:4" x14ac:dyDescent="0.55000000000000004">
      <c r="A9931">
        <f t="shared" si="312"/>
        <v>1985</v>
      </c>
      <c r="B9931" s="821">
        <v>31189</v>
      </c>
      <c r="C9931">
        <v>10.9</v>
      </c>
      <c r="D9931">
        <f t="shared" si="313"/>
        <v>1</v>
      </c>
    </row>
    <row r="9932" spans="1:4" x14ac:dyDescent="0.55000000000000004">
      <c r="A9932">
        <f t="shared" si="312"/>
        <v>1985</v>
      </c>
      <c r="B9932" s="821">
        <v>31188</v>
      </c>
      <c r="C9932">
        <v>10.85</v>
      </c>
      <c r="D9932">
        <f t="shared" si="313"/>
        <v>1</v>
      </c>
    </row>
    <row r="9933" spans="1:4" x14ac:dyDescent="0.55000000000000004">
      <c r="A9933">
        <f t="shared" si="312"/>
        <v>1985</v>
      </c>
      <c r="B9933" s="821">
        <v>31187</v>
      </c>
      <c r="C9933">
        <v>10.82</v>
      </c>
      <c r="D9933">
        <f t="shared" si="313"/>
        <v>1</v>
      </c>
    </row>
    <row r="9934" spans="1:4" x14ac:dyDescent="0.55000000000000004">
      <c r="A9934">
        <f t="shared" si="312"/>
        <v>1985</v>
      </c>
      <c r="B9934" s="821">
        <v>31184</v>
      </c>
      <c r="C9934">
        <v>11.05</v>
      </c>
      <c r="D9934">
        <f t="shared" si="313"/>
        <v>1</v>
      </c>
    </row>
    <row r="9935" spans="1:4" x14ac:dyDescent="0.55000000000000004">
      <c r="A9935">
        <f t="shared" si="312"/>
        <v>1985</v>
      </c>
      <c r="B9935" s="821">
        <v>31183</v>
      </c>
      <c r="C9935">
        <v>11.02</v>
      </c>
      <c r="D9935">
        <f t="shared" si="313"/>
        <v>1</v>
      </c>
    </row>
    <row r="9936" spans="1:4" x14ac:dyDescent="0.55000000000000004">
      <c r="A9936">
        <f t="shared" si="312"/>
        <v>1985</v>
      </c>
      <c r="B9936" s="821">
        <v>31182</v>
      </c>
      <c r="C9936">
        <v>11.08</v>
      </c>
      <c r="D9936">
        <f t="shared" si="313"/>
        <v>1</v>
      </c>
    </row>
    <row r="9937" spans="1:4" x14ac:dyDescent="0.55000000000000004">
      <c r="A9937">
        <f t="shared" si="312"/>
        <v>1985</v>
      </c>
      <c r="B9937" s="821">
        <v>31181</v>
      </c>
      <c r="C9937">
        <v>11.07</v>
      </c>
      <c r="D9937">
        <f t="shared" si="313"/>
        <v>1</v>
      </c>
    </row>
    <row r="9938" spans="1:4" x14ac:dyDescent="0.55000000000000004">
      <c r="A9938">
        <f t="shared" si="312"/>
        <v>1985</v>
      </c>
      <c r="B9938" s="821">
        <v>31180</v>
      </c>
      <c r="C9938">
        <v>11.2</v>
      </c>
      <c r="D9938">
        <f t="shared" si="313"/>
        <v>1</v>
      </c>
    </row>
    <row r="9939" spans="1:4" x14ac:dyDescent="0.55000000000000004">
      <c r="A9939">
        <f t="shared" si="312"/>
        <v>1985</v>
      </c>
      <c r="B9939" s="821">
        <v>31177</v>
      </c>
      <c r="C9939">
        <v>11.2</v>
      </c>
      <c r="D9939">
        <f t="shared" si="313"/>
        <v>1</v>
      </c>
    </row>
    <row r="9940" spans="1:4" x14ac:dyDescent="0.55000000000000004">
      <c r="A9940">
        <f t="shared" si="312"/>
        <v>1985</v>
      </c>
      <c r="B9940" s="821">
        <v>31176</v>
      </c>
      <c r="C9940">
        <v>11.34</v>
      </c>
      <c r="D9940">
        <f t="shared" si="313"/>
        <v>1</v>
      </c>
    </row>
    <row r="9941" spans="1:4" x14ac:dyDescent="0.55000000000000004">
      <c r="A9941">
        <f t="shared" si="312"/>
        <v>1985</v>
      </c>
      <c r="B9941" s="821">
        <v>31175</v>
      </c>
      <c r="C9941">
        <v>11.39</v>
      </c>
      <c r="D9941">
        <f t="shared" si="313"/>
        <v>1</v>
      </c>
    </row>
    <row r="9942" spans="1:4" x14ac:dyDescent="0.55000000000000004">
      <c r="A9942">
        <f t="shared" si="312"/>
        <v>1985</v>
      </c>
      <c r="B9942" s="821">
        <v>31174</v>
      </c>
      <c r="C9942">
        <v>11.29</v>
      </c>
      <c r="D9942">
        <f t="shared" si="313"/>
        <v>1</v>
      </c>
    </row>
    <row r="9943" spans="1:4" x14ac:dyDescent="0.55000000000000004">
      <c r="A9943">
        <f t="shared" si="312"/>
        <v>1985</v>
      </c>
      <c r="B9943" s="821">
        <v>31173</v>
      </c>
      <c r="C9943">
        <v>11.3</v>
      </c>
      <c r="D9943">
        <f t="shared" si="313"/>
        <v>1</v>
      </c>
    </row>
    <row r="9944" spans="1:4" x14ac:dyDescent="0.55000000000000004">
      <c r="A9944">
        <f t="shared" si="312"/>
        <v>1985</v>
      </c>
      <c r="B9944" s="821">
        <v>31170</v>
      </c>
      <c r="C9944">
        <v>11.31</v>
      </c>
      <c r="D9944">
        <f t="shared" si="313"/>
        <v>1</v>
      </c>
    </row>
    <row r="9945" spans="1:4" x14ac:dyDescent="0.55000000000000004">
      <c r="A9945">
        <f t="shared" si="312"/>
        <v>1985</v>
      </c>
      <c r="B9945" s="821">
        <v>31169</v>
      </c>
      <c r="C9945">
        <v>11.36</v>
      </c>
      <c r="D9945">
        <f t="shared" si="313"/>
        <v>1</v>
      </c>
    </row>
    <row r="9946" spans="1:4" x14ac:dyDescent="0.55000000000000004">
      <c r="A9946">
        <f t="shared" si="312"/>
        <v>1985</v>
      </c>
      <c r="B9946" s="821">
        <v>31168</v>
      </c>
      <c r="C9946">
        <v>11.37</v>
      </c>
      <c r="D9946">
        <f t="shared" si="313"/>
        <v>1</v>
      </c>
    </row>
    <row r="9947" spans="1:4" x14ac:dyDescent="0.55000000000000004">
      <c r="A9947">
        <f t="shared" si="312"/>
        <v>1985</v>
      </c>
      <c r="B9947" s="821">
        <v>31167</v>
      </c>
      <c r="C9947">
        <v>11.48</v>
      </c>
      <c r="D9947">
        <f t="shared" si="313"/>
        <v>1</v>
      </c>
    </row>
    <row r="9948" spans="1:4" x14ac:dyDescent="0.55000000000000004">
      <c r="A9948">
        <f t="shared" si="312"/>
        <v>1985</v>
      </c>
      <c r="B9948" s="821">
        <v>31166</v>
      </c>
      <c r="C9948">
        <v>11.54</v>
      </c>
      <c r="D9948">
        <f t="shared" si="313"/>
        <v>1</v>
      </c>
    </row>
    <row r="9949" spans="1:4" x14ac:dyDescent="0.55000000000000004">
      <c r="A9949">
        <f t="shared" si="312"/>
        <v>1985</v>
      </c>
      <c r="B9949" s="821">
        <v>31163</v>
      </c>
      <c r="C9949">
        <v>11.42</v>
      </c>
      <c r="D9949">
        <f t="shared" si="313"/>
        <v>1</v>
      </c>
    </row>
    <row r="9950" spans="1:4" x14ac:dyDescent="0.55000000000000004">
      <c r="A9950">
        <f t="shared" si="312"/>
        <v>1985</v>
      </c>
      <c r="B9950" s="821">
        <v>31162</v>
      </c>
      <c r="C9950">
        <v>11.44</v>
      </c>
      <c r="D9950">
        <f t="shared" si="313"/>
        <v>1</v>
      </c>
    </row>
    <row r="9951" spans="1:4" x14ac:dyDescent="0.55000000000000004">
      <c r="A9951">
        <f t="shared" si="312"/>
        <v>1985</v>
      </c>
      <c r="B9951" s="821">
        <v>31161</v>
      </c>
      <c r="C9951">
        <v>11.36</v>
      </c>
      <c r="D9951">
        <f t="shared" si="313"/>
        <v>1</v>
      </c>
    </row>
    <row r="9952" spans="1:4" x14ac:dyDescent="0.55000000000000004">
      <c r="A9952">
        <f t="shared" si="312"/>
        <v>1985</v>
      </c>
      <c r="B9952" s="821">
        <v>31160</v>
      </c>
      <c r="C9952">
        <v>11.34</v>
      </c>
      <c r="D9952">
        <f t="shared" si="313"/>
        <v>1</v>
      </c>
    </row>
    <row r="9953" spans="1:4" x14ac:dyDescent="0.55000000000000004">
      <c r="A9953">
        <f t="shared" si="312"/>
        <v>1985</v>
      </c>
      <c r="B9953" s="821">
        <v>31159</v>
      </c>
      <c r="C9953">
        <v>11.23</v>
      </c>
      <c r="D9953">
        <f t="shared" si="313"/>
        <v>1</v>
      </c>
    </row>
    <row r="9954" spans="1:4" x14ac:dyDescent="0.55000000000000004">
      <c r="A9954">
        <f t="shared" si="312"/>
        <v>1985</v>
      </c>
      <c r="B9954" s="821">
        <v>31156</v>
      </c>
      <c r="C9954">
        <v>11.26</v>
      </c>
      <c r="D9954">
        <f t="shared" si="313"/>
        <v>1</v>
      </c>
    </row>
    <row r="9955" spans="1:4" x14ac:dyDescent="0.55000000000000004">
      <c r="A9955">
        <f t="shared" si="312"/>
        <v>1985</v>
      </c>
      <c r="B9955" s="821">
        <v>31155</v>
      </c>
      <c r="C9955">
        <v>11.21</v>
      </c>
      <c r="D9955">
        <f t="shared" si="313"/>
        <v>1</v>
      </c>
    </row>
    <row r="9956" spans="1:4" x14ac:dyDescent="0.55000000000000004">
      <c r="A9956">
        <f t="shared" si="312"/>
        <v>1985</v>
      </c>
      <c r="B9956" s="821">
        <v>31154</v>
      </c>
      <c r="C9956">
        <v>11.33</v>
      </c>
      <c r="D9956">
        <f t="shared" si="313"/>
        <v>1</v>
      </c>
    </row>
    <row r="9957" spans="1:4" x14ac:dyDescent="0.55000000000000004">
      <c r="A9957">
        <f t="shared" si="312"/>
        <v>1985</v>
      </c>
      <c r="B9957" s="821">
        <v>31153</v>
      </c>
      <c r="C9957">
        <v>11.3</v>
      </c>
      <c r="D9957">
        <f t="shared" si="313"/>
        <v>1</v>
      </c>
    </row>
    <row r="9958" spans="1:4" x14ac:dyDescent="0.55000000000000004">
      <c r="A9958">
        <f t="shared" si="312"/>
        <v>1985</v>
      </c>
      <c r="B9958" s="821">
        <v>31152</v>
      </c>
      <c r="C9958">
        <v>11.37</v>
      </c>
      <c r="D9958">
        <f t="shared" si="313"/>
        <v>1</v>
      </c>
    </row>
    <row r="9959" spans="1:4" x14ac:dyDescent="0.55000000000000004">
      <c r="A9959">
        <f t="shared" si="312"/>
        <v>1985</v>
      </c>
      <c r="B9959" s="821">
        <v>31149</v>
      </c>
      <c r="C9959">
        <v>11.42</v>
      </c>
      <c r="D9959">
        <f t="shared" si="313"/>
        <v>1</v>
      </c>
    </row>
    <row r="9960" spans="1:4" x14ac:dyDescent="0.55000000000000004">
      <c r="A9960">
        <f t="shared" si="312"/>
        <v>1985</v>
      </c>
      <c r="B9960" s="821">
        <v>31148</v>
      </c>
      <c r="C9960">
        <v>11.4</v>
      </c>
      <c r="D9960">
        <f t="shared" si="313"/>
        <v>1</v>
      </c>
    </row>
    <row r="9961" spans="1:4" x14ac:dyDescent="0.55000000000000004">
      <c r="A9961">
        <f t="shared" si="312"/>
        <v>1985</v>
      </c>
      <c r="B9961" s="821">
        <v>31147</v>
      </c>
      <c r="C9961">
        <v>11.54</v>
      </c>
      <c r="D9961">
        <f t="shared" si="313"/>
        <v>1</v>
      </c>
    </row>
    <row r="9962" spans="1:4" x14ac:dyDescent="0.55000000000000004">
      <c r="A9962">
        <f t="shared" si="312"/>
        <v>1985</v>
      </c>
      <c r="B9962" s="821">
        <v>31146</v>
      </c>
      <c r="C9962">
        <v>11.66</v>
      </c>
      <c r="D9962">
        <f t="shared" si="313"/>
        <v>1</v>
      </c>
    </row>
    <row r="9963" spans="1:4" x14ac:dyDescent="0.55000000000000004">
      <c r="A9963">
        <f t="shared" si="312"/>
        <v>1985</v>
      </c>
      <c r="B9963" s="821">
        <v>31145</v>
      </c>
      <c r="C9963">
        <v>11.75</v>
      </c>
      <c r="D9963">
        <f t="shared" si="313"/>
        <v>1</v>
      </c>
    </row>
    <row r="9964" spans="1:4" x14ac:dyDescent="0.55000000000000004">
      <c r="A9964">
        <f t="shared" si="312"/>
        <v>1985</v>
      </c>
      <c r="B9964" s="821">
        <v>31141</v>
      </c>
      <c r="C9964">
        <v>11.74</v>
      </c>
      <c r="D9964">
        <f t="shared" si="313"/>
        <v>1</v>
      </c>
    </row>
    <row r="9965" spans="1:4" x14ac:dyDescent="0.55000000000000004">
      <c r="A9965">
        <f t="shared" si="312"/>
        <v>1985</v>
      </c>
      <c r="B9965" s="821">
        <v>31140</v>
      </c>
      <c r="C9965">
        <v>11.71</v>
      </c>
      <c r="D9965">
        <f t="shared" si="313"/>
        <v>1</v>
      </c>
    </row>
    <row r="9966" spans="1:4" x14ac:dyDescent="0.55000000000000004">
      <c r="A9966">
        <f t="shared" si="312"/>
        <v>1985</v>
      </c>
      <c r="B9966" s="821">
        <v>31139</v>
      </c>
      <c r="C9966">
        <v>11.68</v>
      </c>
      <c r="D9966">
        <f t="shared" si="313"/>
        <v>1</v>
      </c>
    </row>
    <row r="9967" spans="1:4" x14ac:dyDescent="0.55000000000000004">
      <c r="A9967">
        <f t="shared" si="312"/>
        <v>1985</v>
      </c>
      <c r="B9967" s="821">
        <v>31138</v>
      </c>
      <c r="C9967">
        <v>11.65</v>
      </c>
      <c r="D9967">
        <f t="shared" si="313"/>
        <v>1</v>
      </c>
    </row>
    <row r="9968" spans="1:4" x14ac:dyDescent="0.55000000000000004">
      <c r="A9968">
        <f t="shared" si="312"/>
        <v>1985</v>
      </c>
      <c r="B9968" s="821">
        <v>31135</v>
      </c>
      <c r="C9968">
        <v>11.64</v>
      </c>
      <c r="D9968">
        <f t="shared" si="313"/>
        <v>1</v>
      </c>
    </row>
    <row r="9969" spans="1:4" x14ac:dyDescent="0.55000000000000004">
      <c r="A9969">
        <f t="shared" si="312"/>
        <v>1985</v>
      </c>
      <c r="B9969" s="821">
        <v>31134</v>
      </c>
      <c r="C9969">
        <v>11.73</v>
      </c>
      <c r="D9969">
        <f t="shared" si="313"/>
        <v>1</v>
      </c>
    </row>
    <row r="9970" spans="1:4" x14ac:dyDescent="0.55000000000000004">
      <c r="A9970">
        <f t="shared" si="312"/>
        <v>1985</v>
      </c>
      <c r="B9970" s="821">
        <v>31133</v>
      </c>
      <c r="C9970">
        <v>11.78</v>
      </c>
      <c r="D9970">
        <f t="shared" si="313"/>
        <v>1</v>
      </c>
    </row>
    <row r="9971" spans="1:4" x14ac:dyDescent="0.55000000000000004">
      <c r="A9971">
        <f t="shared" si="312"/>
        <v>1985</v>
      </c>
      <c r="B9971" s="821">
        <v>31132</v>
      </c>
      <c r="C9971">
        <v>11.72</v>
      </c>
      <c r="D9971">
        <f t="shared" si="313"/>
        <v>1</v>
      </c>
    </row>
    <row r="9972" spans="1:4" x14ac:dyDescent="0.55000000000000004">
      <c r="A9972">
        <f t="shared" si="312"/>
        <v>1985</v>
      </c>
      <c r="B9972" s="821">
        <v>31131</v>
      </c>
      <c r="C9972">
        <v>11.79</v>
      </c>
      <c r="D9972">
        <f t="shared" si="313"/>
        <v>1</v>
      </c>
    </row>
    <row r="9973" spans="1:4" x14ac:dyDescent="0.55000000000000004">
      <c r="A9973">
        <f t="shared" si="312"/>
        <v>1985</v>
      </c>
      <c r="B9973" s="821">
        <v>31128</v>
      </c>
      <c r="C9973">
        <v>11.83</v>
      </c>
      <c r="D9973">
        <f t="shared" si="313"/>
        <v>1</v>
      </c>
    </row>
    <row r="9974" spans="1:4" x14ac:dyDescent="0.55000000000000004">
      <c r="A9974">
        <f t="shared" si="312"/>
        <v>1985</v>
      </c>
      <c r="B9974" s="821">
        <v>31127</v>
      </c>
      <c r="C9974">
        <v>11.77</v>
      </c>
      <c r="D9974">
        <f t="shared" si="313"/>
        <v>1</v>
      </c>
    </row>
    <row r="9975" spans="1:4" x14ac:dyDescent="0.55000000000000004">
      <c r="A9975">
        <f t="shared" si="312"/>
        <v>1985</v>
      </c>
      <c r="B9975" s="821">
        <v>31126</v>
      </c>
      <c r="C9975">
        <v>11.84</v>
      </c>
      <c r="D9975">
        <f t="shared" si="313"/>
        <v>1</v>
      </c>
    </row>
    <row r="9976" spans="1:4" x14ac:dyDescent="0.55000000000000004">
      <c r="A9976">
        <f t="shared" si="312"/>
        <v>1985</v>
      </c>
      <c r="B9976" s="821">
        <v>31125</v>
      </c>
      <c r="C9976">
        <v>11.93</v>
      </c>
      <c r="D9976">
        <f t="shared" si="313"/>
        <v>1</v>
      </c>
    </row>
    <row r="9977" spans="1:4" x14ac:dyDescent="0.55000000000000004">
      <c r="A9977">
        <f t="shared" si="312"/>
        <v>1985</v>
      </c>
      <c r="B9977" s="821">
        <v>31124</v>
      </c>
      <c r="C9977">
        <v>11.97</v>
      </c>
      <c r="D9977">
        <f t="shared" si="313"/>
        <v>1</v>
      </c>
    </row>
    <row r="9978" spans="1:4" x14ac:dyDescent="0.55000000000000004">
      <c r="A9978">
        <f t="shared" si="312"/>
        <v>1985</v>
      </c>
      <c r="B9978" s="821">
        <v>31121</v>
      </c>
      <c r="C9978">
        <v>11.86</v>
      </c>
      <c r="D9978">
        <f t="shared" si="313"/>
        <v>1</v>
      </c>
    </row>
    <row r="9979" spans="1:4" x14ac:dyDescent="0.55000000000000004">
      <c r="A9979">
        <f t="shared" si="312"/>
        <v>1985</v>
      </c>
      <c r="B9979" s="821">
        <v>31120</v>
      </c>
      <c r="C9979">
        <v>11.84</v>
      </c>
      <c r="D9979">
        <f t="shared" si="313"/>
        <v>1</v>
      </c>
    </row>
    <row r="9980" spans="1:4" x14ac:dyDescent="0.55000000000000004">
      <c r="A9980">
        <f t="shared" si="312"/>
        <v>1985</v>
      </c>
      <c r="B9980" s="821">
        <v>31119</v>
      </c>
      <c r="C9980">
        <v>11.83</v>
      </c>
      <c r="D9980">
        <f t="shared" si="313"/>
        <v>1</v>
      </c>
    </row>
    <row r="9981" spans="1:4" x14ac:dyDescent="0.55000000000000004">
      <c r="A9981">
        <f t="shared" si="312"/>
        <v>1985</v>
      </c>
      <c r="B9981" s="821">
        <v>31118</v>
      </c>
      <c r="C9981">
        <v>11.74</v>
      </c>
      <c r="D9981">
        <f t="shared" si="313"/>
        <v>1</v>
      </c>
    </row>
    <row r="9982" spans="1:4" x14ac:dyDescent="0.55000000000000004">
      <c r="A9982">
        <f t="shared" si="312"/>
        <v>1985</v>
      </c>
      <c r="B9982" s="821">
        <v>31117</v>
      </c>
      <c r="C9982">
        <v>11.71</v>
      </c>
      <c r="D9982">
        <f t="shared" si="313"/>
        <v>1</v>
      </c>
    </row>
    <row r="9983" spans="1:4" x14ac:dyDescent="0.55000000000000004">
      <c r="A9983">
        <f t="shared" si="312"/>
        <v>1985</v>
      </c>
      <c r="B9983" s="821">
        <v>31114</v>
      </c>
      <c r="C9983">
        <v>11.71</v>
      </c>
      <c r="D9983">
        <f t="shared" si="313"/>
        <v>1</v>
      </c>
    </row>
    <row r="9984" spans="1:4" x14ac:dyDescent="0.55000000000000004">
      <c r="A9984">
        <f t="shared" si="312"/>
        <v>1985</v>
      </c>
      <c r="B9984" s="821">
        <v>31113</v>
      </c>
      <c r="C9984">
        <v>11.93</v>
      </c>
      <c r="D9984">
        <f t="shared" si="313"/>
        <v>1</v>
      </c>
    </row>
    <row r="9985" spans="1:4" x14ac:dyDescent="0.55000000000000004">
      <c r="A9985">
        <f t="shared" si="312"/>
        <v>1985</v>
      </c>
      <c r="B9985" s="821">
        <v>31112</v>
      </c>
      <c r="C9985">
        <v>11.89</v>
      </c>
      <c r="D9985">
        <f t="shared" si="313"/>
        <v>1</v>
      </c>
    </row>
    <row r="9986" spans="1:4" x14ac:dyDescent="0.55000000000000004">
      <c r="A9986">
        <f t="shared" si="312"/>
        <v>1985</v>
      </c>
      <c r="B9986" s="821">
        <v>31111</v>
      </c>
      <c r="C9986">
        <v>11.83</v>
      </c>
      <c r="D9986">
        <f t="shared" si="313"/>
        <v>1</v>
      </c>
    </row>
    <row r="9987" spans="1:4" x14ac:dyDescent="0.55000000000000004">
      <c r="A9987">
        <f t="shared" si="312"/>
        <v>1985</v>
      </c>
      <c r="B9987" s="821">
        <v>31110</v>
      </c>
      <c r="C9987">
        <v>11.91</v>
      </c>
      <c r="D9987">
        <f t="shared" si="313"/>
        <v>1</v>
      </c>
    </row>
    <row r="9988" spans="1:4" x14ac:dyDescent="0.55000000000000004">
      <c r="A9988">
        <f t="shared" ref="A9988:A10051" si="314">YEAR(B9988)</f>
        <v>1985</v>
      </c>
      <c r="B9988" s="821">
        <v>31107</v>
      </c>
      <c r="C9988">
        <v>11.82</v>
      </c>
      <c r="D9988">
        <f t="shared" ref="D9988:D10051" si="315">IF(C9988&gt;4,1,0)</f>
        <v>1</v>
      </c>
    </row>
    <row r="9989" spans="1:4" x14ac:dyDescent="0.55000000000000004">
      <c r="A9989">
        <f t="shared" si="314"/>
        <v>1985</v>
      </c>
      <c r="B9989" s="821">
        <v>31106</v>
      </c>
      <c r="C9989">
        <v>11.9</v>
      </c>
      <c r="D9989">
        <f t="shared" si="315"/>
        <v>1</v>
      </c>
    </row>
    <row r="9990" spans="1:4" x14ac:dyDescent="0.55000000000000004">
      <c r="A9990">
        <f t="shared" si="314"/>
        <v>1985</v>
      </c>
      <c r="B9990" s="821">
        <v>31105</v>
      </c>
      <c r="C9990">
        <v>11.88</v>
      </c>
      <c r="D9990">
        <f t="shared" si="315"/>
        <v>1</v>
      </c>
    </row>
    <row r="9991" spans="1:4" x14ac:dyDescent="0.55000000000000004">
      <c r="A9991">
        <f t="shared" si="314"/>
        <v>1985</v>
      </c>
      <c r="B9991" s="821">
        <v>31104</v>
      </c>
      <c r="C9991">
        <v>11.67</v>
      </c>
      <c r="D9991">
        <f t="shared" si="315"/>
        <v>1</v>
      </c>
    </row>
    <row r="9992" spans="1:4" x14ac:dyDescent="0.55000000000000004">
      <c r="A9992">
        <f t="shared" si="314"/>
        <v>1985</v>
      </c>
      <c r="B9992" s="821">
        <v>31103</v>
      </c>
      <c r="C9992">
        <v>11.71</v>
      </c>
      <c r="D9992">
        <f t="shared" si="315"/>
        <v>1</v>
      </c>
    </row>
    <row r="9993" spans="1:4" x14ac:dyDescent="0.55000000000000004">
      <c r="A9993">
        <f t="shared" si="314"/>
        <v>1985</v>
      </c>
      <c r="B9993" s="821">
        <v>31100</v>
      </c>
      <c r="C9993">
        <v>11.71</v>
      </c>
      <c r="D9993">
        <f t="shared" si="315"/>
        <v>1</v>
      </c>
    </row>
    <row r="9994" spans="1:4" x14ac:dyDescent="0.55000000000000004">
      <c r="A9994">
        <f t="shared" si="314"/>
        <v>1985</v>
      </c>
      <c r="B9994" s="821">
        <v>31099</v>
      </c>
      <c r="C9994">
        <v>11.58</v>
      </c>
      <c r="D9994">
        <f t="shared" si="315"/>
        <v>1</v>
      </c>
    </row>
    <row r="9995" spans="1:4" x14ac:dyDescent="0.55000000000000004">
      <c r="A9995">
        <f t="shared" si="314"/>
        <v>1985</v>
      </c>
      <c r="B9995" s="821">
        <v>31098</v>
      </c>
      <c r="C9995">
        <v>11.5</v>
      </c>
      <c r="D9995">
        <f t="shared" si="315"/>
        <v>1</v>
      </c>
    </row>
    <row r="9996" spans="1:4" x14ac:dyDescent="0.55000000000000004">
      <c r="A9996">
        <f t="shared" si="314"/>
        <v>1985</v>
      </c>
      <c r="B9996" s="821">
        <v>31097</v>
      </c>
      <c r="C9996">
        <v>11.35</v>
      </c>
      <c r="D9996">
        <f t="shared" si="315"/>
        <v>1</v>
      </c>
    </row>
    <row r="9997" spans="1:4" x14ac:dyDescent="0.55000000000000004">
      <c r="A9997">
        <f t="shared" si="314"/>
        <v>1985</v>
      </c>
      <c r="B9997" s="821">
        <v>31093</v>
      </c>
      <c r="C9997">
        <v>11.37</v>
      </c>
      <c r="D9997">
        <f t="shared" si="315"/>
        <v>1</v>
      </c>
    </row>
    <row r="9998" spans="1:4" x14ac:dyDescent="0.55000000000000004">
      <c r="A9998">
        <f t="shared" si="314"/>
        <v>1985</v>
      </c>
      <c r="B9998" s="821">
        <v>31092</v>
      </c>
      <c r="C9998">
        <v>11.24</v>
      </c>
      <c r="D9998">
        <f t="shared" si="315"/>
        <v>1</v>
      </c>
    </row>
    <row r="9999" spans="1:4" x14ac:dyDescent="0.55000000000000004">
      <c r="A9999">
        <f t="shared" si="314"/>
        <v>1985</v>
      </c>
      <c r="B9999" s="821">
        <v>31091</v>
      </c>
      <c r="C9999">
        <v>11.31</v>
      </c>
      <c r="D9999">
        <f t="shared" si="315"/>
        <v>1</v>
      </c>
    </row>
    <row r="10000" spans="1:4" x14ac:dyDescent="0.55000000000000004">
      <c r="A10000">
        <f t="shared" si="314"/>
        <v>1985</v>
      </c>
      <c r="B10000" s="821">
        <v>31089</v>
      </c>
      <c r="C10000">
        <v>11.35</v>
      </c>
      <c r="D10000">
        <f t="shared" si="315"/>
        <v>1</v>
      </c>
    </row>
    <row r="10001" spans="1:4" x14ac:dyDescent="0.55000000000000004">
      <c r="A10001">
        <f t="shared" si="314"/>
        <v>1985</v>
      </c>
      <c r="B10001" s="821">
        <v>31086</v>
      </c>
      <c r="C10001">
        <v>11.27</v>
      </c>
      <c r="D10001">
        <f t="shared" si="315"/>
        <v>1</v>
      </c>
    </row>
    <row r="10002" spans="1:4" x14ac:dyDescent="0.55000000000000004">
      <c r="A10002">
        <f t="shared" si="314"/>
        <v>1985</v>
      </c>
      <c r="B10002" s="821">
        <v>31085</v>
      </c>
      <c r="C10002">
        <v>11.29</v>
      </c>
      <c r="D10002">
        <f t="shared" si="315"/>
        <v>1</v>
      </c>
    </row>
    <row r="10003" spans="1:4" x14ac:dyDescent="0.55000000000000004">
      <c r="A10003">
        <f t="shared" si="314"/>
        <v>1985</v>
      </c>
      <c r="B10003" s="821">
        <v>31084</v>
      </c>
      <c r="C10003">
        <v>11.37</v>
      </c>
      <c r="D10003">
        <f t="shared" si="315"/>
        <v>1</v>
      </c>
    </row>
    <row r="10004" spans="1:4" x14ac:dyDescent="0.55000000000000004">
      <c r="A10004">
        <f t="shared" si="314"/>
        <v>1985</v>
      </c>
      <c r="B10004" s="821">
        <v>31083</v>
      </c>
      <c r="C10004">
        <v>11.3</v>
      </c>
      <c r="D10004">
        <f t="shared" si="315"/>
        <v>1</v>
      </c>
    </row>
    <row r="10005" spans="1:4" x14ac:dyDescent="0.55000000000000004">
      <c r="A10005">
        <f t="shared" si="314"/>
        <v>1985</v>
      </c>
      <c r="B10005" s="821">
        <v>31082</v>
      </c>
      <c r="C10005">
        <v>11.34</v>
      </c>
      <c r="D10005">
        <f t="shared" si="315"/>
        <v>1</v>
      </c>
    </row>
    <row r="10006" spans="1:4" x14ac:dyDescent="0.55000000000000004">
      <c r="A10006">
        <f t="shared" si="314"/>
        <v>1985</v>
      </c>
      <c r="B10006" s="821">
        <v>31079</v>
      </c>
      <c r="C10006">
        <v>11.32</v>
      </c>
      <c r="D10006">
        <f t="shared" si="315"/>
        <v>1</v>
      </c>
    </row>
    <row r="10007" spans="1:4" x14ac:dyDescent="0.55000000000000004">
      <c r="A10007">
        <f t="shared" si="314"/>
        <v>1985</v>
      </c>
      <c r="B10007" s="821">
        <v>31078</v>
      </c>
      <c r="C10007">
        <v>11.21</v>
      </c>
      <c r="D10007">
        <f t="shared" si="315"/>
        <v>1</v>
      </c>
    </row>
    <row r="10008" spans="1:4" x14ac:dyDescent="0.55000000000000004">
      <c r="A10008">
        <f t="shared" si="314"/>
        <v>1985</v>
      </c>
      <c r="B10008" s="821">
        <v>31077</v>
      </c>
      <c r="C10008">
        <v>11.16</v>
      </c>
      <c r="D10008">
        <f t="shared" si="315"/>
        <v>1</v>
      </c>
    </row>
    <row r="10009" spans="1:4" x14ac:dyDescent="0.55000000000000004">
      <c r="A10009">
        <f t="shared" si="314"/>
        <v>1985</v>
      </c>
      <c r="B10009" s="821">
        <v>31076</v>
      </c>
      <c r="C10009">
        <v>11.18</v>
      </c>
      <c r="D10009">
        <f t="shared" si="315"/>
        <v>1</v>
      </c>
    </row>
    <row r="10010" spans="1:4" x14ac:dyDescent="0.55000000000000004">
      <c r="A10010">
        <f t="shared" si="314"/>
        <v>1985</v>
      </c>
      <c r="B10010" s="821">
        <v>31075</v>
      </c>
      <c r="C10010">
        <v>11.2</v>
      </c>
      <c r="D10010">
        <f t="shared" si="315"/>
        <v>1</v>
      </c>
    </row>
    <row r="10011" spans="1:4" x14ac:dyDescent="0.55000000000000004">
      <c r="A10011">
        <f t="shared" si="314"/>
        <v>1985</v>
      </c>
      <c r="B10011" s="821">
        <v>31072</v>
      </c>
      <c r="C10011">
        <v>11.21</v>
      </c>
      <c r="D10011">
        <f t="shared" si="315"/>
        <v>1</v>
      </c>
    </row>
    <row r="10012" spans="1:4" x14ac:dyDescent="0.55000000000000004">
      <c r="A10012">
        <f t="shared" si="314"/>
        <v>1985</v>
      </c>
      <c r="B10012" s="821">
        <v>31071</v>
      </c>
      <c r="C10012">
        <v>11.18</v>
      </c>
      <c r="D10012">
        <f t="shared" si="315"/>
        <v>1</v>
      </c>
    </row>
    <row r="10013" spans="1:4" x14ac:dyDescent="0.55000000000000004">
      <c r="A10013">
        <f t="shared" si="314"/>
        <v>1985</v>
      </c>
      <c r="B10013" s="821">
        <v>31070</v>
      </c>
      <c r="C10013">
        <v>11.33</v>
      </c>
      <c r="D10013">
        <f t="shared" si="315"/>
        <v>1</v>
      </c>
    </row>
    <row r="10014" spans="1:4" x14ac:dyDescent="0.55000000000000004">
      <c r="A10014">
        <f t="shared" si="314"/>
        <v>1985</v>
      </c>
      <c r="B10014" s="821">
        <v>31069</v>
      </c>
      <c r="C10014">
        <v>11.38</v>
      </c>
      <c r="D10014">
        <f t="shared" si="315"/>
        <v>1</v>
      </c>
    </row>
    <row r="10015" spans="1:4" x14ac:dyDescent="0.55000000000000004">
      <c r="A10015">
        <f t="shared" si="314"/>
        <v>1985</v>
      </c>
      <c r="B10015" s="821">
        <v>31065</v>
      </c>
      <c r="C10015">
        <v>11.51</v>
      </c>
      <c r="D10015">
        <f t="shared" si="315"/>
        <v>1</v>
      </c>
    </row>
    <row r="10016" spans="1:4" x14ac:dyDescent="0.55000000000000004">
      <c r="A10016">
        <f t="shared" si="314"/>
        <v>1985</v>
      </c>
      <c r="B10016" s="821">
        <v>31064</v>
      </c>
      <c r="C10016">
        <v>11.59</v>
      </c>
      <c r="D10016">
        <f t="shared" si="315"/>
        <v>1</v>
      </c>
    </row>
    <row r="10017" spans="1:4" x14ac:dyDescent="0.55000000000000004">
      <c r="A10017">
        <f t="shared" si="314"/>
        <v>1985</v>
      </c>
      <c r="B10017" s="821">
        <v>31063</v>
      </c>
      <c r="C10017">
        <v>11.59</v>
      </c>
      <c r="D10017">
        <f t="shared" si="315"/>
        <v>1</v>
      </c>
    </row>
    <row r="10018" spans="1:4" x14ac:dyDescent="0.55000000000000004">
      <c r="A10018">
        <f t="shared" si="314"/>
        <v>1985</v>
      </c>
      <c r="B10018" s="821">
        <v>31062</v>
      </c>
      <c r="C10018">
        <v>11.57</v>
      </c>
      <c r="D10018">
        <f t="shared" si="315"/>
        <v>1</v>
      </c>
    </row>
    <row r="10019" spans="1:4" x14ac:dyDescent="0.55000000000000004">
      <c r="A10019">
        <f t="shared" si="314"/>
        <v>1985</v>
      </c>
      <c r="B10019" s="821">
        <v>31061</v>
      </c>
      <c r="C10019">
        <v>11.68</v>
      </c>
      <c r="D10019">
        <f t="shared" si="315"/>
        <v>1</v>
      </c>
    </row>
    <row r="10020" spans="1:4" x14ac:dyDescent="0.55000000000000004">
      <c r="A10020">
        <f t="shared" si="314"/>
        <v>1985</v>
      </c>
      <c r="B10020" s="821">
        <v>31058</v>
      </c>
      <c r="C10020">
        <v>11.64</v>
      </c>
      <c r="D10020">
        <f t="shared" si="315"/>
        <v>1</v>
      </c>
    </row>
    <row r="10021" spans="1:4" x14ac:dyDescent="0.55000000000000004">
      <c r="A10021">
        <f t="shared" si="314"/>
        <v>1985</v>
      </c>
      <c r="B10021" s="821">
        <v>31057</v>
      </c>
      <c r="C10021">
        <v>11.53</v>
      </c>
      <c r="D10021">
        <f t="shared" si="315"/>
        <v>1</v>
      </c>
    </row>
    <row r="10022" spans="1:4" x14ac:dyDescent="0.55000000000000004">
      <c r="A10022">
        <f t="shared" si="314"/>
        <v>1985</v>
      </c>
      <c r="B10022" s="821">
        <v>31056</v>
      </c>
      <c r="C10022">
        <v>11.5</v>
      </c>
      <c r="D10022">
        <f t="shared" si="315"/>
        <v>1</v>
      </c>
    </row>
    <row r="10023" spans="1:4" x14ac:dyDescent="0.55000000000000004">
      <c r="A10023">
        <f t="shared" si="314"/>
        <v>1985</v>
      </c>
      <c r="B10023" s="821">
        <v>31055</v>
      </c>
      <c r="C10023">
        <v>11.49</v>
      </c>
      <c r="D10023">
        <f t="shared" si="315"/>
        <v>1</v>
      </c>
    </row>
    <row r="10024" spans="1:4" x14ac:dyDescent="0.55000000000000004">
      <c r="A10024">
        <f t="shared" si="314"/>
        <v>1985</v>
      </c>
      <c r="B10024" s="821">
        <v>31054</v>
      </c>
      <c r="C10024">
        <v>11.53</v>
      </c>
      <c r="D10024">
        <f t="shared" si="315"/>
        <v>1</v>
      </c>
    </row>
    <row r="10025" spans="1:4" x14ac:dyDescent="0.55000000000000004">
      <c r="A10025">
        <f t="shared" si="314"/>
        <v>1985</v>
      </c>
      <c r="B10025" s="821">
        <v>31051</v>
      </c>
      <c r="C10025">
        <v>11.7</v>
      </c>
      <c r="D10025">
        <f t="shared" si="315"/>
        <v>1</v>
      </c>
    </row>
    <row r="10026" spans="1:4" x14ac:dyDescent="0.55000000000000004">
      <c r="A10026">
        <f t="shared" si="314"/>
        <v>1985</v>
      </c>
      <c r="B10026" s="821">
        <v>31050</v>
      </c>
      <c r="C10026">
        <v>11.64</v>
      </c>
      <c r="D10026">
        <f t="shared" si="315"/>
        <v>1</v>
      </c>
    </row>
    <row r="10027" spans="1:4" x14ac:dyDescent="0.55000000000000004">
      <c r="A10027">
        <f t="shared" si="314"/>
        <v>1985</v>
      </c>
      <c r="B10027" s="821">
        <v>31049</v>
      </c>
      <c r="C10027">
        <v>11.69</v>
      </c>
      <c r="D10027">
        <f t="shared" si="315"/>
        <v>1</v>
      </c>
    </row>
    <row r="10028" spans="1:4" x14ac:dyDescent="0.55000000000000004">
      <c r="A10028">
        <f t="shared" si="314"/>
        <v>1984</v>
      </c>
      <c r="B10028" s="821">
        <v>31047</v>
      </c>
      <c r="C10028">
        <v>11.54</v>
      </c>
      <c r="D10028">
        <f t="shared" si="315"/>
        <v>1</v>
      </c>
    </row>
    <row r="10029" spans="1:4" x14ac:dyDescent="0.55000000000000004">
      <c r="A10029">
        <f t="shared" si="314"/>
        <v>1984</v>
      </c>
      <c r="B10029" s="821">
        <v>31044</v>
      </c>
      <c r="C10029">
        <v>11.49</v>
      </c>
      <c r="D10029">
        <f t="shared" si="315"/>
        <v>1</v>
      </c>
    </row>
    <row r="10030" spans="1:4" x14ac:dyDescent="0.55000000000000004">
      <c r="A10030">
        <f t="shared" si="314"/>
        <v>1984</v>
      </c>
      <c r="B10030" s="821">
        <v>31043</v>
      </c>
      <c r="C10030">
        <v>11.48</v>
      </c>
      <c r="D10030">
        <f t="shared" si="315"/>
        <v>1</v>
      </c>
    </row>
    <row r="10031" spans="1:4" x14ac:dyDescent="0.55000000000000004">
      <c r="A10031">
        <f t="shared" si="314"/>
        <v>1984</v>
      </c>
      <c r="B10031" s="821">
        <v>31042</v>
      </c>
      <c r="C10031">
        <v>11.46</v>
      </c>
      <c r="D10031">
        <f t="shared" si="315"/>
        <v>1</v>
      </c>
    </row>
    <row r="10032" spans="1:4" x14ac:dyDescent="0.55000000000000004">
      <c r="A10032">
        <f t="shared" si="314"/>
        <v>1984</v>
      </c>
      <c r="B10032" s="821">
        <v>31040</v>
      </c>
      <c r="C10032">
        <v>11.36</v>
      </c>
      <c r="D10032">
        <f t="shared" si="315"/>
        <v>1</v>
      </c>
    </row>
    <row r="10033" spans="1:4" x14ac:dyDescent="0.55000000000000004">
      <c r="A10033">
        <f t="shared" si="314"/>
        <v>1984</v>
      </c>
      <c r="B10033" s="821">
        <v>31037</v>
      </c>
      <c r="C10033">
        <v>11.38</v>
      </c>
      <c r="D10033">
        <f t="shared" si="315"/>
        <v>1</v>
      </c>
    </row>
    <row r="10034" spans="1:4" x14ac:dyDescent="0.55000000000000004">
      <c r="A10034">
        <f t="shared" si="314"/>
        <v>1984</v>
      </c>
      <c r="B10034" s="821">
        <v>31036</v>
      </c>
      <c r="C10034">
        <v>11.43</v>
      </c>
      <c r="D10034">
        <f t="shared" si="315"/>
        <v>1</v>
      </c>
    </row>
    <row r="10035" spans="1:4" x14ac:dyDescent="0.55000000000000004">
      <c r="A10035">
        <f t="shared" si="314"/>
        <v>1984</v>
      </c>
      <c r="B10035" s="821">
        <v>31035</v>
      </c>
      <c r="C10035">
        <v>11.38</v>
      </c>
      <c r="D10035">
        <f t="shared" si="315"/>
        <v>1</v>
      </c>
    </row>
    <row r="10036" spans="1:4" x14ac:dyDescent="0.55000000000000004">
      <c r="A10036">
        <f t="shared" si="314"/>
        <v>1984</v>
      </c>
      <c r="B10036" s="821">
        <v>31034</v>
      </c>
      <c r="C10036">
        <v>11.35</v>
      </c>
      <c r="D10036">
        <f t="shared" si="315"/>
        <v>1</v>
      </c>
    </row>
    <row r="10037" spans="1:4" x14ac:dyDescent="0.55000000000000004">
      <c r="A10037">
        <f t="shared" si="314"/>
        <v>1984</v>
      </c>
      <c r="B10037" s="821">
        <v>31033</v>
      </c>
      <c r="C10037">
        <v>11.5</v>
      </c>
      <c r="D10037">
        <f t="shared" si="315"/>
        <v>1</v>
      </c>
    </row>
    <row r="10038" spans="1:4" x14ac:dyDescent="0.55000000000000004">
      <c r="A10038">
        <f t="shared" si="314"/>
        <v>1984</v>
      </c>
      <c r="B10038" s="821">
        <v>31030</v>
      </c>
      <c r="C10038">
        <v>11.56</v>
      </c>
      <c r="D10038">
        <f t="shared" si="315"/>
        <v>1</v>
      </c>
    </row>
    <row r="10039" spans="1:4" x14ac:dyDescent="0.55000000000000004">
      <c r="A10039">
        <f t="shared" si="314"/>
        <v>1984</v>
      </c>
      <c r="B10039" s="821">
        <v>31029</v>
      </c>
      <c r="C10039">
        <v>11.67</v>
      </c>
      <c r="D10039">
        <f t="shared" si="315"/>
        <v>1</v>
      </c>
    </row>
    <row r="10040" spans="1:4" x14ac:dyDescent="0.55000000000000004">
      <c r="A10040">
        <f t="shared" si="314"/>
        <v>1984</v>
      </c>
      <c r="B10040" s="821">
        <v>31028</v>
      </c>
      <c r="C10040">
        <v>11.56</v>
      </c>
      <c r="D10040">
        <f t="shared" si="315"/>
        <v>1</v>
      </c>
    </row>
    <row r="10041" spans="1:4" x14ac:dyDescent="0.55000000000000004">
      <c r="A10041">
        <f t="shared" si="314"/>
        <v>1984</v>
      </c>
      <c r="B10041" s="821">
        <v>31027</v>
      </c>
      <c r="C10041">
        <v>11.59</v>
      </c>
      <c r="D10041">
        <f t="shared" si="315"/>
        <v>1</v>
      </c>
    </row>
    <row r="10042" spans="1:4" x14ac:dyDescent="0.55000000000000004">
      <c r="A10042">
        <f t="shared" si="314"/>
        <v>1984</v>
      </c>
      <c r="B10042" s="821">
        <v>31026</v>
      </c>
      <c r="C10042">
        <v>11.66</v>
      </c>
      <c r="D10042">
        <f t="shared" si="315"/>
        <v>1</v>
      </c>
    </row>
    <row r="10043" spans="1:4" x14ac:dyDescent="0.55000000000000004">
      <c r="A10043">
        <f t="shared" si="314"/>
        <v>1984</v>
      </c>
      <c r="B10043" s="821">
        <v>31023</v>
      </c>
      <c r="C10043">
        <v>11.7</v>
      </c>
      <c r="D10043">
        <f t="shared" si="315"/>
        <v>1</v>
      </c>
    </row>
    <row r="10044" spans="1:4" x14ac:dyDescent="0.55000000000000004">
      <c r="A10044">
        <f t="shared" si="314"/>
        <v>1984</v>
      </c>
      <c r="B10044" s="821">
        <v>31022</v>
      </c>
      <c r="C10044">
        <v>11.62</v>
      </c>
      <c r="D10044">
        <f t="shared" si="315"/>
        <v>1</v>
      </c>
    </row>
    <row r="10045" spans="1:4" x14ac:dyDescent="0.55000000000000004">
      <c r="A10045">
        <f t="shared" si="314"/>
        <v>1984</v>
      </c>
      <c r="B10045" s="821">
        <v>31021</v>
      </c>
      <c r="C10045">
        <v>11.53</v>
      </c>
      <c r="D10045">
        <f t="shared" si="315"/>
        <v>1</v>
      </c>
    </row>
    <row r="10046" spans="1:4" x14ac:dyDescent="0.55000000000000004">
      <c r="A10046">
        <f t="shared" si="314"/>
        <v>1984</v>
      </c>
      <c r="B10046" s="821">
        <v>31020</v>
      </c>
      <c r="C10046">
        <v>11.53</v>
      </c>
      <c r="D10046">
        <f t="shared" si="315"/>
        <v>1</v>
      </c>
    </row>
    <row r="10047" spans="1:4" x14ac:dyDescent="0.55000000000000004">
      <c r="A10047">
        <f t="shared" si="314"/>
        <v>1984</v>
      </c>
      <c r="B10047" s="821">
        <v>31019</v>
      </c>
      <c r="C10047">
        <v>11.56</v>
      </c>
      <c r="D10047">
        <f t="shared" si="315"/>
        <v>1</v>
      </c>
    </row>
    <row r="10048" spans="1:4" x14ac:dyDescent="0.55000000000000004">
      <c r="A10048">
        <f t="shared" si="314"/>
        <v>1984</v>
      </c>
      <c r="B10048" s="821">
        <v>31016</v>
      </c>
      <c r="C10048">
        <v>11.58</v>
      </c>
      <c r="D10048">
        <f t="shared" si="315"/>
        <v>1</v>
      </c>
    </row>
    <row r="10049" spans="1:4" x14ac:dyDescent="0.55000000000000004">
      <c r="A10049">
        <f t="shared" si="314"/>
        <v>1984</v>
      </c>
      <c r="B10049" s="821">
        <v>31015</v>
      </c>
      <c r="C10049">
        <v>11.47</v>
      </c>
      <c r="D10049">
        <f t="shared" si="315"/>
        <v>1</v>
      </c>
    </row>
    <row r="10050" spans="1:4" x14ac:dyDescent="0.55000000000000004">
      <c r="A10050">
        <f t="shared" si="314"/>
        <v>1984</v>
      </c>
      <c r="B10050" s="821">
        <v>31014</v>
      </c>
      <c r="C10050">
        <v>11.44</v>
      </c>
      <c r="D10050">
        <f t="shared" si="315"/>
        <v>1</v>
      </c>
    </row>
    <row r="10051" spans="1:4" x14ac:dyDescent="0.55000000000000004">
      <c r="A10051">
        <f t="shared" si="314"/>
        <v>1984</v>
      </c>
      <c r="B10051" s="821">
        <v>31013</v>
      </c>
      <c r="C10051">
        <v>11.33</v>
      </c>
      <c r="D10051">
        <f t="shared" si="315"/>
        <v>1</v>
      </c>
    </row>
    <row r="10052" spans="1:4" x14ac:dyDescent="0.55000000000000004">
      <c r="A10052">
        <f t="shared" ref="A10052:A10115" si="316">YEAR(B10052)</f>
        <v>1984</v>
      </c>
      <c r="B10052" s="821">
        <v>31012</v>
      </c>
      <c r="C10052">
        <v>11.35</v>
      </c>
      <c r="D10052">
        <f t="shared" ref="D10052:D10115" si="317">IF(C10052&gt;4,1,0)</f>
        <v>1</v>
      </c>
    </row>
    <row r="10053" spans="1:4" x14ac:dyDescent="0.55000000000000004">
      <c r="A10053">
        <f t="shared" si="316"/>
        <v>1984</v>
      </c>
      <c r="B10053" s="821">
        <v>31009</v>
      </c>
      <c r="C10053">
        <v>11.32</v>
      </c>
      <c r="D10053">
        <f t="shared" si="317"/>
        <v>1</v>
      </c>
    </row>
    <row r="10054" spans="1:4" x14ac:dyDescent="0.55000000000000004">
      <c r="A10054">
        <f t="shared" si="316"/>
        <v>1984</v>
      </c>
      <c r="B10054" s="821">
        <v>31007</v>
      </c>
      <c r="C10054">
        <v>11.46</v>
      </c>
      <c r="D10054">
        <f t="shared" si="317"/>
        <v>1</v>
      </c>
    </row>
    <row r="10055" spans="1:4" x14ac:dyDescent="0.55000000000000004">
      <c r="A10055">
        <f t="shared" si="316"/>
        <v>1984</v>
      </c>
      <c r="B10055" s="821">
        <v>31006</v>
      </c>
      <c r="C10055">
        <v>11.56</v>
      </c>
      <c r="D10055">
        <f t="shared" si="317"/>
        <v>1</v>
      </c>
    </row>
    <row r="10056" spans="1:4" x14ac:dyDescent="0.55000000000000004">
      <c r="A10056">
        <f t="shared" si="316"/>
        <v>1984</v>
      </c>
      <c r="B10056" s="821">
        <v>31005</v>
      </c>
      <c r="C10056">
        <v>11.6</v>
      </c>
      <c r="D10056">
        <f t="shared" si="317"/>
        <v>1</v>
      </c>
    </row>
    <row r="10057" spans="1:4" x14ac:dyDescent="0.55000000000000004">
      <c r="A10057">
        <f t="shared" si="316"/>
        <v>1984</v>
      </c>
      <c r="B10057" s="821">
        <v>31002</v>
      </c>
      <c r="C10057">
        <v>11.67</v>
      </c>
      <c r="D10057">
        <f t="shared" si="317"/>
        <v>1</v>
      </c>
    </row>
    <row r="10058" spans="1:4" x14ac:dyDescent="0.55000000000000004">
      <c r="A10058">
        <f t="shared" si="316"/>
        <v>1984</v>
      </c>
      <c r="B10058" s="821">
        <v>31001</v>
      </c>
      <c r="C10058">
        <v>11.7</v>
      </c>
      <c r="D10058">
        <f t="shared" si="317"/>
        <v>1</v>
      </c>
    </row>
    <row r="10059" spans="1:4" x14ac:dyDescent="0.55000000000000004">
      <c r="A10059">
        <f t="shared" si="316"/>
        <v>1984</v>
      </c>
      <c r="B10059" s="821">
        <v>31000</v>
      </c>
      <c r="C10059">
        <v>11.78</v>
      </c>
      <c r="D10059">
        <f t="shared" si="317"/>
        <v>1</v>
      </c>
    </row>
    <row r="10060" spans="1:4" x14ac:dyDescent="0.55000000000000004">
      <c r="A10060">
        <f t="shared" si="316"/>
        <v>1984</v>
      </c>
      <c r="B10060" s="821">
        <v>30999</v>
      </c>
      <c r="C10060">
        <v>11.74</v>
      </c>
      <c r="D10060">
        <f t="shared" si="317"/>
        <v>1</v>
      </c>
    </row>
    <row r="10061" spans="1:4" x14ac:dyDescent="0.55000000000000004">
      <c r="A10061">
        <f t="shared" si="316"/>
        <v>1984</v>
      </c>
      <c r="B10061" s="821">
        <v>30995</v>
      </c>
      <c r="C10061">
        <v>11.66</v>
      </c>
      <c r="D10061">
        <f t="shared" si="317"/>
        <v>1</v>
      </c>
    </row>
    <row r="10062" spans="1:4" x14ac:dyDescent="0.55000000000000004">
      <c r="A10062">
        <f t="shared" si="316"/>
        <v>1984</v>
      </c>
      <c r="B10062" s="821">
        <v>30994</v>
      </c>
      <c r="C10062">
        <v>11.78</v>
      </c>
      <c r="D10062">
        <f t="shared" si="317"/>
        <v>1</v>
      </c>
    </row>
    <row r="10063" spans="1:4" x14ac:dyDescent="0.55000000000000004">
      <c r="A10063">
        <f t="shared" si="316"/>
        <v>1984</v>
      </c>
      <c r="B10063" s="821">
        <v>30993</v>
      </c>
      <c r="C10063">
        <v>11.63</v>
      </c>
      <c r="D10063">
        <f t="shared" si="317"/>
        <v>1</v>
      </c>
    </row>
    <row r="10064" spans="1:4" x14ac:dyDescent="0.55000000000000004">
      <c r="A10064">
        <f t="shared" si="316"/>
        <v>1984</v>
      </c>
      <c r="B10064" s="821">
        <v>30991</v>
      </c>
      <c r="C10064">
        <v>11.5</v>
      </c>
      <c r="D10064">
        <f t="shared" si="317"/>
        <v>1</v>
      </c>
    </row>
    <row r="10065" spans="1:4" x14ac:dyDescent="0.55000000000000004">
      <c r="A10065">
        <f t="shared" si="316"/>
        <v>1984</v>
      </c>
      <c r="B10065" s="821">
        <v>30988</v>
      </c>
      <c r="C10065">
        <v>11.55</v>
      </c>
      <c r="D10065">
        <f t="shared" si="317"/>
        <v>1</v>
      </c>
    </row>
    <row r="10066" spans="1:4" x14ac:dyDescent="0.55000000000000004">
      <c r="A10066">
        <f t="shared" si="316"/>
        <v>1984</v>
      </c>
      <c r="B10066" s="821">
        <v>30987</v>
      </c>
      <c r="C10066">
        <v>11.53</v>
      </c>
      <c r="D10066">
        <f t="shared" si="317"/>
        <v>1</v>
      </c>
    </row>
    <row r="10067" spans="1:4" x14ac:dyDescent="0.55000000000000004">
      <c r="A10067">
        <f t="shared" si="316"/>
        <v>1984</v>
      </c>
      <c r="B10067" s="821">
        <v>30986</v>
      </c>
      <c r="C10067">
        <v>11.64</v>
      </c>
      <c r="D10067">
        <f t="shared" si="317"/>
        <v>1</v>
      </c>
    </row>
    <row r="10068" spans="1:4" x14ac:dyDescent="0.55000000000000004">
      <c r="A10068">
        <f t="shared" si="316"/>
        <v>1984</v>
      </c>
      <c r="B10068" s="821">
        <v>30985</v>
      </c>
      <c r="C10068">
        <v>11.61</v>
      </c>
      <c r="D10068">
        <f t="shared" si="317"/>
        <v>1</v>
      </c>
    </row>
    <row r="10069" spans="1:4" x14ac:dyDescent="0.55000000000000004">
      <c r="A10069">
        <f t="shared" si="316"/>
        <v>1984</v>
      </c>
      <c r="B10069" s="821">
        <v>30984</v>
      </c>
      <c r="C10069">
        <v>11.75</v>
      </c>
      <c r="D10069">
        <f t="shared" si="317"/>
        <v>1</v>
      </c>
    </row>
    <row r="10070" spans="1:4" x14ac:dyDescent="0.55000000000000004">
      <c r="A10070">
        <f t="shared" si="316"/>
        <v>1984</v>
      </c>
      <c r="B10070" s="821">
        <v>30981</v>
      </c>
      <c r="C10070">
        <v>11.78</v>
      </c>
      <c r="D10070">
        <f t="shared" si="317"/>
        <v>1</v>
      </c>
    </row>
    <row r="10071" spans="1:4" x14ac:dyDescent="0.55000000000000004">
      <c r="A10071">
        <f t="shared" si="316"/>
        <v>1984</v>
      </c>
      <c r="B10071" s="821">
        <v>30980</v>
      </c>
      <c r="C10071">
        <v>11.68</v>
      </c>
      <c r="D10071">
        <f t="shared" si="317"/>
        <v>1</v>
      </c>
    </row>
    <row r="10072" spans="1:4" x14ac:dyDescent="0.55000000000000004">
      <c r="A10072">
        <f t="shared" si="316"/>
        <v>1984</v>
      </c>
      <c r="B10072" s="821">
        <v>30979</v>
      </c>
      <c r="C10072">
        <v>11.62</v>
      </c>
      <c r="D10072">
        <f t="shared" si="317"/>
        <v>1</v>
      </c>
    </row>
    <row r="10073" spans="1:4" x14ac:dyDescent="0.55000000000000004">
      <c r="A10073">
        <f t="shared" si="316"/>
        <v>1984</v>
      </c>
      <c r="B10073" s="821">
        <v>30978</v>
      </c>
      <c r="C10073">
        <v>11.64</v>
      </c>
      <c r="D10073">
        <f t="shared" si="317"/>
        <v>1</v>
      </c>
    </row>
    <row r="10074" spans="1:4" x14ac:dyDescent="0.55000000000000004">
      <c r="A10074">
        <f t="shared" si="316"/>
        <v>1984</v>
      </c>
      <c r="B10074" s="821">
        <v>30977</v>
      </c>
      <c r="C10074">
        <v>11.69</v>
      </c>
      <c r="D10074">
        <f t="shared" si="317"/>
        <v>1</v>
      </c>
    </row>
    <row r="10075" spans="1:4" x14ac:dyDescent="0.55000000000000004">
      <c r="A10075">
        <f t="shared" si="316"/>
        <v>1984</v>
      </c>
      <c r="B10075" s="821">
        <v>30974</v>
      </c>
      <c r="C10075">
        <v>11.74</v>
      </c>
      <c r="D10075">
        <f t="shared" si="317"/>
        <v>1</v>
      </c>
    </row>
    <row r="10076" spans="1:4" x14ac:dyDescent="0.55000000000000004">
      <c r="A10076">
        <f t="shared" si="316"/>
        <v>1984</v>
      </c>
      <c r="B10076" s="821">
        <v>30973</v>
      </c>
      <c r="C10076">
        <v>11.88</v>
      </c>
      <c r="D10076">
        <f t="shared" si="317"/>
        <v>1</v>
      </c>
    </row>
    <row r="10077" spans="1:4" x14ac:dyDescent="0.55000000000000004">
      <c r="A10077">
        <f t="shared" si="316"/>
        <v>1984</v>
      </c>
      <c r="B10077" s="821">
        <v>30972</v>
      </c>
      <c r="C10077">
        <v>12.08</v>
      </c>
      <c r="D10077">
        <f t="shared" si="317"/>
        <v>1</v>
      </c>
    </row>
    <row r="10078" spans="1:4" x14ac:dyDescent="0.55000000000000004">
      <c r="A10078">
        <f t="shared" si="316"/>
        <v>1984</v>
      </c>
      <c r="B10078" s="821">
        <v>30971</v>
      </c>
      <c r="C10078">
        <v>12.15</v>
      </c>
      <c r="D10078">
        <f t="shared" si="317"/>
        <v>1</v>
      </c>
    </row>
    <row r="10079" spans="1:4" x14ac:dyDescent="0.55000000000000004">
      <c r="A10079">
        <f t="shared" si="316"/>
        <v>1984</v>
      </c>
      <c r="B10079" s="821">
        <v>30970</v>
      </c>
      <c r="C10079">
        <v>12.16</v>
      </c>
      <c r="D10079">
        <f t="shared" si="317"/>
        <v>1</v>
      </c>
    </row>
    <row r="10080" spans="1:4" x14ac:dyDescent="0.55000000000000004">
      <c r="A10080">
        <f t="shared" si="316"/>
        <v>1984</v>
      </c>
      <c r="B10080" s="821">
        <v>30967</v>
      </c>
      <c r="C10080">
        <v>12.12</v>
      </c>
      <c r="D10080">
        <f t="shared" si="317"/>
        <v>1</v>
      </c>
    </row>
    <row r="10081" spans="1:4" x14ac:dyDescent="0.55000000000000004">
      <c r="A10081">
        <f t="shared" si="316"/>
        <v>1984</v>
      </c>
      <c r="B10081" s="821">
        <v>30966</v>
      </c>
      <c r="C10081">
        <v>12.15</v>
      </c>
      <c r="D10081">
        <f t="shared" si="317"/>
        <v>1</v>
      </c>
    </row>
    <row r="10082" spans="1:4" x14ac:dyDescent="0.55000000000000004">
      <c r="A10082">
        <f t="shared" si="316"/>
        <v>1984</v>
      </c>
      <c r="B10082" s="821">
        <v>30965</v>
      </c>
      <c r="C10082">
        <v>12.19</v>
      </c>
      <c r="D10082">
        <f t="shared" si="317"/>
        <v>1</v>
      </c>
    </row>
    <row r="10083" spans="1:4" x14ac:dyDescent="0.55000000000000004">
      <c r="A10083">
        <f t="shared" si="316"/>
        <v>1984</v>
      </c>
      <c r="B10083" s="821">
        <v>30964</v>
      </c>
      <c r="C10083">
        <v>12.18</v>
      </c>
      <c r="D10083">
        <f t="shared" si="317"/>
        <v>1</v>
      </c>
    </row>
    <row r="10084" spans="1:4" x14ac:dyDescent="0.55000000000000004">
      <c r="A10084">
        <f t="shared" si="316"/>
        <v>1984</v>
      </c>
      <c r="B10084" s="821">
        <v>30960</v>
      </c>
      <c r="C10084">
        <v>12.2</v>
      </c>
      <c r="D10084">
        <f t="shared" si="317"/>
        <v>1</v>
      </c>
    </row>
    <row r="10085" spans="1:4" x14ac:dyDescent="0.55000000000000004">
      <c r="A10085">
        <f t="shared" si="316"/>
        <v>1984</v>
      </c>
      <c r="B10085" s="821">
        <v>30959</v>
      </c>
      <c r="C10085">
        <v>12.31</v>
      </c>
      <c r="D10085">
        <f t="shared" si="317"/>
        <v>1</v>
      </c>
    </row>
    <row r="10086" spans="1:4" x14ac:dyDescent="0.55000000000000004">
      <c r="A10086">
        <f t="shared" si="316"/>
        <v>1984</v>
      </c>
      <c r="B10086" s="821">
        <v>30958</v>
      </c>
      <c r="C10086">
        <v>12.36</v>
      </c>
      <c r="D10086">
        <f t="shared" si="317"/>
        <v>1</v>
      </c>
    </row>
    <row r="10087" spans="1:4" x14ac:dyDescent="0.55000000000000004">
      <c r="A10087">
        <f t="shared" si="316"/>
        <v>1984</v>
      </c>
      <c r="B10087" s="821">
        <v>30957</v>
      </c>
      <c r="C10087">
        <v>12.35</v>
      </c>
      <c r="D10087">
        <f t="shared" si="317"/>
        <v>1</v>
      </c>
    </row>
    <row r="10088" spans="1:4" x14ac:dyDescent="0.55000000000000004">
      <c r="A10088">
        <f t="shared" si="316"/>
        <v>1984</v>
      </c>
      <c r="B10088" s="821">
        <v>30956</v>
      </c>
      <c r="C10088">
        <v>12.35</v>
      </c>
      <c r="D10088">
        <f t="shared" si="317"/>
        <v>1</v>
      </c>
    </row>
    <row r="10089" spans="1:4" x14ac:dyDescent="0.55000000000000004">
      <c r="A10089">
        <f t="shared" si="316"/>
        <v>1984</v>
      </c>
      <c r="B10089" s="821">
        <v>30953</v>
      </c>
      <c r="C10089">
        <v>12.28</v>
      </c>
      <c r="D10089">
        <f t="shared" si="317"/>
        <v>1</v>
      </c>
    </row>
    <row r="10090" spans="1:4" x14ac:dyDescent="0.55000000000000004">
      <c r="A10090">
        <f t="shared" si="316"/>
        <v>1984</v>
      </c>
      <c r="B10090" s="821">
        <v>30952</v>
      </c>
      <c r="C10090">
        <v>12.12</v>
      </c>
      <c r="D10090">
        <f t="shared" si="317"/>
        <v>1</v>
      </c>
    </row>
    <row r="10091" spans="1:4" x14ac:dyDescent="0.55000000000000004">
      <c r="A10091">
        <f t="shared" si="316"/>
        <v>1984</v>
      </c>
      <c r="B10091" s="821">
        <v>30951</v>
      </c>
      <c r="C10091">
        <v>12.27</v>
      </c>
      <c r="D10091">
        <f t="shared" si="317"/>
        <v>1</v>
      </c>
    </row>
    <row r="10092" spans="1:4" x14ac:dyDescent="0.55000000000000004">
      <c r="A10092">
        <f t="shared" si="316"/>
        <v>1984</v>
      </c>
      <c r="B10092" s="821">
        <v>30950</v>
      </c>
      <c r="C10092">
        <v>12.34</v>
      </c>
      <c r="D10092">
        <f t="shared" si="317"/>
        <v>1</v>
      </c>
    </row>
    <row r="10093" spans="1:4" x14ac:dyDescent="0.55000000000000004">
      <c r="A10093">
        <f t="shared" si="316"/>
        <v>1984</v>
      </c>
      <c r="B10093" s="821">
        <v>30949</v>
      </c>
      <c r="C10093">
        <v>12.31</v>
      </c>
      <c r="D10093">
        <f t="shared" si="317"/>
        <v>1</v>
      </c>
    </row>
    <row r="10094" spans="1:4" x14ac:dyDescent="0.55000000000000004">
      <c r="A10094">
        <f t="shared" si="316"/>
        <v>1984</v>
      </c>
      <c r="B10094" s="821">
        <v>30946</v>
      </c>
      <c r="C10094">
        <v>12.22</v>
      </c>
      <c r="D10094">
        <f t="shared" si="317"/>
        <v>1</v>
      </c>
    </row>
    <row r="10095" spans="1:4" x14ac:dyDescent="0.55000000000000004">
      <c r="A10095">
        <f t="shared" si="316"/>
        <v>1984</v>
      </c>
      <c r="B10095" s="821">
        <v>30945</v>
      </c>
      <c r="C10095">
        <v>12.08</v>
      </c>
      <c r="D10095">
        <f t="shared" si="317"/>
        <v>1</v>
      </c>
    </row>
    <row r="10096" spans="1:4" x14ac:dyDescent="0.55000000000000004">
      <c r="A10096">
        <f t="shared" si="316"/>
        <v>1984</v>
      </c>
      <c r="B10096" s="821">
        <v>30944</v>
      </c>
      <c r="C10096">
        <v>12.07</v>
      </c>
      <c r="D10096">
        <f t="shared" si="317"/>
        <v>1</v>
      </c>
    </row>
    <row r="10097" spans="1:4" x14ac:dyDescent="0.55000000000000004">
      <c r="A10097">
        <f t="shared" si="316"/>
        <v>1984</v>
      </c>
      <c r="B10097" s="821">
        <v>30943</v>
      </c>
      <c r="C10097">
        <v>12.15</v>
      </c>
      <c r="D10097">
        <f t="shared" si="317"/>
        <v>1</v>
      </c>
    </row>
    <row r="10098" spans="1:4" x14ac:dyDescent="0.55000000000000004">
      <c r="A10098">
        <f t="shared" si="316"/>
        <v>1984</v>
      </c>
      <c r="B10098" s="821">
        <v>30942</v>
      </c>
      <c r="C10098">
        <v>12.18</v>
      </c>
      <c r="D10098">
        <f t="shared" si="317"/>
        <v>1</v>
      </c>
    </row>
    <row r="10099" spans="1:4" x14ac:dyDescent="0.55000000000000004">
      <c r="A10099">
        <f t="shared" si="316"/>
        <v>1984</v>
      </c>
      <c r="B10099" s="821">
        <v>30939</v>
      </c>
      <c r="C10099">
        <v>12.22</v>
      </c>
      <c r="D10099">
        <f t="shared" si="317"/>
        <v>1</v>
      </c>
    </row>
    <row r="10100" spans="1:4" x14ac:dyDescent="0.55000000000000004">
      <c r="A10100">
        <f t="shared" si="316"/>
        <v>1984</v>
      </c>
      <c r="B10100" s="821">
        <v>30938</v>
      </c>
      <c r="C10100">
        <v>12.22</v>
      </c>
      <c r="D10100">
        <f t="shared" si="317"/>
        <v>1</v>
      </c>
    </row>
    <row r="10101" spans="1:4" x14ac:dyDescent="0.55000000000000004">
      <c r="A10101">
        <f t="shared" si="316"/>
        <v>1984</v>
      </c>
      <c r="B10101" s="821">
        <v>30937</v>
      </c>
      <c r="C10101">
        <v>12.33</v>
      </c>
      <c r="D10101">
        <f t="shared" si="317"/>
        <v>1</v>
      </c>
    </row>
    <row r="10102" spans="1:4" x14ac:dyDescent="0.55000000000000004">
      <c r="A10102">
        <f t="shared" si="316"/>
        <v>1984</v>
      </c>
      <c r="B10102" s="821">
        <v>30936</v>
      </c>
      <c r="C10102">
        <v>12.31</v>
      </c>
      <c r="D10102">
        <f t="shared" si="317"/>
        <v>1</v>
      </c>
    </row>
    <row r="10103" spans="1:4" x14ac:dyDescent="0.55000000000000004">
      <c r="A10103">
        <f t="shared" si="316"/>
        <v>1984</v>
      </c>
      <c r="B10103" s="821">
        <v>30935</v>
      </c>
      <c r="C10103">
        <v>12.37</v>
      </c>
      <c r="D10103">
        <f t="shared" si="317"/>
        <v>1</v>
      </c>
    </row>
    <row r="10104" spans="1:4" x14ac:dyDescent="0.55000000000000004">
      <c r="A10104">
        <f t="shared" si="316"/>
        <v>1984</v>
      </c>
      <c r="B10104" s="821">
        <v>30932</v>
      </c>
      <c r="C10104">
        <v>12.44</v>
      </c>
      <c r="D10104">
        <f t="shared" si="317"/>
        <v>1</v>
      </c>
    </row>
    <row r="10105" spans="1:4" x14ac:dyDescent="0.55000000000000004">
      <c r="A10105">
        <f t="shared" si="316"/>
        <v>1984</v>
      </c>
      <c r="B10105" s="821">
        <v>30931</v>
      </c>
      <c r="C10105">
        <v>12.48</v>
      </c>
      <c r="D10105">
        <f t="shared" si="317"/>
        <v>1</v>
      </c>
    </row>
    <row r="10106" spans="1:4" x14ac:dyDescent="0.55000000000000004">
      <c r="A10106">
        <f t="shared" si="316"/>
        <v>1984</v>
      </c>
      <c r="B10106" s="821">
        <v>30930</v>
      </c>
      <c r="C10106">
        <v>12.61</v>
      </c>
      <c r="D10106">
        <f t="shared" si="317"/>
        <v>1</v>
      </c>
    </row>
    <row r="10107" spans="1:4" x14ac:dyDescent="0.55000000000000004">
      <c r="A10107">
        <f t="shared" si="316"/>
        <v>1984</v>
      </c>
      <c r="B10107" s="821">
        <v>30929</v>
      </c>
      <c r="C10107">
        <v>12.57</v>
      </c>
      <c r="D10107">
        <f t="shared" si="317"/>
        <v>1</v>
      </c>
    </row>
    <row r="10108" spans="1:4" x14ac:dyDescent="0.55000000000000004">
      <c r="A10108">
        <f t="shared" si="316"/>
        <v>1984</v>
      </c>
      <c r="B10108" s="821">
        <v>30925</v>
      </c>
      <c r="C10108">
        <v>12.51</v>
      </c>
      <c r="D10108">
        <f t="shared" si="317"/>
        <v>1</v>
      </c>
    </row>
    <row r="10109" spans="1:4" x14ac:dyDescent="0.55000000000000004">
      <c r="A10109">
        <f t="shared" si="316"/>
        <v>1984</v>
      </c>
      <c r="B10109" s="821">
        <v>30924</v>
      </c>
      <c r="C10109">
        <v>12.56</v>
      </c>
      <c r="D10109">
        <f t="shared" si="317"/>
        <v>1</v>
      </c>
    </row>
    <row r="10110" spans="1:4" x14ac:dyDescent="0.55000000000000004">
      <c r="A10110">
        <f t="shared" si="316"/>
        <v>1984</v>
      </c>
      <c r="B10110" s="821">
        <v>30923</v>
      </c>
      <c r="C10110">
        <v>12.57</v>
      </c>
      <c r="D10110">
        <f t="shared" si="317"/>
        <v>1</v>
      </c>
    </row>
    <row r="10111" spans="1:4" x14ac:dyDescent="0.55000000000000004">
      <c r="A10111">
        <f t="shared" si="316"/>
        <v>1984</v>
      </c>
      <c r="B10111" s="821">
        <v>30922</v>
      </c>
      <c r="C10111">
        <v>12.57</v>
      </c>
      <c r="D10111">
        <f t="shared" si="317"/>
        <v>1</v>
      </c>
    </row>
    <row r="10112" spans="1:4" x14ac:dyDescent="0.55000000000000004">
      <c r="A10112">
        <f t="shared" si="316"/>
        <v>1984</v>
      </c>
      <c r="B10112" s="821">
        <v>30921</v>
      </c>
      <c r="C10112">
        <v>12.6</v>
      </c>
      <c r="D10112">
        <f t="shared" si="317"/>
        <v>1</v>
      </c>
    </row>
    <row r="10113" spans="1:4" x14ac:dyDescent="0.55000000000000004">
      <c r="A10113">
        <f t="shared" si="316"/>
        <v>1984</v>
      </c>
      <c r="B10113" s="821">
        <v>30918</v>
      </c>
      <c r="C10113">
        <v>12.44</v>
      </c>
      <c r="D10113">
        <f t="shared" si="317"/>
        <v>1</v>
      </c>
    </row>
    <row r="10114" spans="1:4" x14ac:dyDescent="0.55000000000000004">
      <c r="A10114">
        <f t="shared" si="316"/>
        <v>1984</v>
      </c>
      <c r="B10114" s="821">
        <v>30917</v>
      </c>
      <c r="C10114">
        <v>12.45</v>
      </c>
      <c r="D10114">
        <f t="shared" si="317"/>
        <v>1</v>
      </c>
    </row>
    <row r="10115" spans="1:4" x14ac:dyDescent="0.55000000000000004">
      <c r="A10115">
        <f t="shared" si="316"/>
        <v>1984</v>
      </c>
      <c r="B10115" s="821">
        <v>30916</v>
      </c>
      <c r="C10115">
        <v>12.43</v>
      </c>
      <c r="D10115">
        <f t="shared" si="317"/>
        <v>1</v>
      </c>
    </row>
    <row r="10116" spans="1:4" x14ac:dyDescent="0.55000000000000004">
      <c r="A10116">
        <f t="shared" ref="A10116:A10179" si="318">YEAR(B10116)</f>
        <v>1984</v>
      </c>
      <c r="B10116" s="821">
        <v>30915</v>
      </c>
      <c r="C10116">
        <v>12.35</v>
      </c>
      <c r="D10116">
        <f t="shared" ref="D10116:D10179" si="319">IF(C10116&gt;4,1,0)</f>
        <v>1</v>
      </c>
    </row>
    <row r="10117" spans="1:4" x14ac:dyDescent="0.55000000000000004">
      <c r="A10117">
        <f t="shared" si="318"/>
        <v>1984</v>
      </c>
      <c r="B10117" s="821">
        <v>30914</v>
      </c>
      <c r="C10117">
        <v>12.41</v>
      </c>
      <c r="D10117">
        <f t="shared" si="319"/>
        <v>1</v>
      </c>
    </row>
    <row r="10118" spans="1:4" x14ac:dyDescent="0.55000000000000004">
      <c r="A10118">
        <f t="shared" si="318"/>
        <v>1984</v>
      </c>
      <c r="B10118" s="821">
        <v>30911</v>
      </c>
      <c r="C10118">
        <v>12.46</v>
      </c>
      <c r="D10118">
        <f t="shared" si="319"/>
        <v>1</v>
      </c>
    </row>
    <row r="10119" spans="1:4" x14ac:dyDescent="0.55000000000000004">
      <c r="A10119">
        <f t="shared" si="318"/>
        <v>1984</v>
      </c>
      <c r="B10119" s="821">
        <v>30910</v>
      </c>
      <c r="C10119">
        <v>12.51</v>
      </c>
      <c r="D10119">
        <f t="shared" si="319"/>
        <v>1</v>
      </c>
    </row>
    <row r="10120" spans="1:4" x14ac:dyDescent="0.55000000000000004">
      <c r="A10120">
        <f t="shared" si="318"/>
        <v>1984</v>
      </c>
      <c r="B10120" s="821">
        <v>30909</v>
      </c>
      <c r="C10120">
        <v>12.57</v>
      </c>
      <c r="D10120">
        <f t="shared" si="319"/>
        <v>1</v>
      </c>
    </row>
    <row r="10121" spans="1:4" x14ac:dyDescent="0.55000000000000004">
      <c r="A10121">
        <f t="shared" si="318"/>
        <v>1984</v>
      </c>
      <c r="B10121" s="821">
        <v>30908</v>
      </c>
      <c r="C10121">
        <v>12.48</v>
      </c>
      <c r="D10121">
        <f t="shared" si="319"/>
        <v>1</v>
      </c>
    </row>
    <row r="10122" spans="1:4" x14ac:dyDescent="0.55000000000000004">
      <c r="A10122">
        <f t="shared" si="318"/>
        <v>1984</v>
      </c>
      <c r="B10122" s="821">
        <v>30907</v>
      </c>
      <c r="C10122">
        <v>12.54</v>
      </c>
      <c r="D10122">
        <f t="shared" si="319"/>
        <v>1</v>
      </c>
    </row>
    <row r="10123" spans="1:4" x14ac:dyDescent="0.55000000000000004">
      <c r="A10123">
        <f t="shared" si="318"/>
        <v>1984</v>
      </c>
      <c r="B10123" s="821">
        <v>30904</v>
      </c>
      <c r="C10123">
        <v>12.47</v>
      </c>
      <c r="D10123">
        <f t="shared" si="319"/>
        <v>1</v>
      </c>
    </row>
    <row r="10124" spans="1:4" x14ac:dyDescent="0.55000000000000004">
      <c r="A10124">
        <f t="shared" si="318"/>
        <v>1984</v>
      </c>
      <c r="B10124" s="821">
        <v>30903</v>
      </c>
      <c r="C10124">
        <v>12.47</v>
      </c>
      <c r="D10124">
        <f t="shared" si="319"/>
        <v>1</v>
      </c>
    </row>
    <row r="10125" spans="1:4" x14ac:dyDescent="0.55000000000000004">
      <c r="A10125">
        <f t="shared" si="318"/>
        <v>1984</v>
      </c>
      <c r="B10125" s="821">
        <v>30902</v>
      </c>
      <c r="C10125">
        <v>12.62</v>
      </c>
      <c r="D10125">
        <f t="shared" si="319"/>
        <v>1</v>
      </c>
    </row>
    <row r="10126" spans="1:4" x14ac:dyDescent="0.55000000000000004">
      <c r="A10126">
        <f t="shared" si="318"/>
        <v>1984</v>
      </c>
      <c r="B10126" s="821">
        <v>30901</v>
      </c>
      <c r="C10126">
        <v>12.64</v>
      </c>
      <c r="D10126">
        <f t="shared" si="319"/>
        <v>1</v>
      </c>
    </row>
    <row r="10127" spans="1:4" x14ac:dyDescent="0.55000000000000004">
      <c r="A10127">
        <f t="shared" si="318"/>
        <v>1984</v>
      </c>
      <c r="B10127" s="821">
        <v>30900</v>
      </c>
      <c r="C10127">
        <v>12.69</v>
      </c>
      <c r="D10127">
        <f t="shared" si="319"/>
        <v>1</v>
      </c>
    </row>
    <row r="10128" spans="1:4" x14ac:dyDescent="0.55000000000000004">
      <c r="A10128">
        <f t="shared" si="318"/>
        <v>1984</v>
      </c>
      <c r="B10128" s="821">
        <v>30897</v>
      </c>
      <c r="C10128">
        <v>12.59</v>
      </c>
      <c r="D10128">
        <f t="shared" si="319"/>
        <v>1</v>
      </c>
    </row>
    <row r="10129" spans="1:4" x14ac:dyDescent="0.55000000000000004">
      <c r="A10129">
        <f t="shared" si="318"/>
        <v>1984</v>
      </c>
      <c r="B10129" s="821">
        <v>30896</v>
      </c>
      <c r="C10129">
        <v>12.7</v>
      </c>
      <c r="D10129">
        <f t="shared" si="319"/>
        <v>1</v>
      </c>
    </row>
    <row r="10130" spans="1:4" x14ac:dyDescent="0.55000000000000004">
      <c r="A10130">
        <f t="shared" si="318"/>
        <v>1984</v>
      </c>
      <c r="B10130" s="821">
        <v>30895</v>
      </c>
      <c r="C10130">
        <v>12.78</v>
      </c>
      <c r="D10130">
        <f t="shared" si="319"/>
        <v>1</v>
      </c>
    </row>
    <row r="10131" spans="1:4" x14ac:dyDescent="0.55000000000000004">
      <c r="A10131">
        <f t="shared" si="318"/>
        <v>1984</v>
      </c>
      <c r="B10131" s="821">
        <v>30894</v>
      </c>
      <c r="C10131">
        <v>12.87</v>
      </c>
      <c r="D10131">
        <f t="shared" si="319"/>
        <v>1</v>
      </c>
    </row>
    <row r="10132" spans="1:4" x14ac:dyDescent="0.55000000000000004">
      <c r="A10132">
        <f t="shared" si="318"/>
        <v>1984</v>
      </c>
      <c r="B10132" s="821">
        <v>30893</v>
      </c>
      <c r="C10132">
        <v>12.99</v>
      </c>
      <c r="D10132">
        <f t="shared" si="319"/>
        <v>1</v>
      </c>
    </row>
    <row r="10133" spans="1:4" x14ac:dyDescent="0.55000000000000004">
      <c r="A10133">
        <f t="shared" si="318"/>
        <v>1984</v>
      </c>
      <c r="B10133" s="821">
        <v>30890</v>
      </c>
      <c r="C10133">
        <v>12.91</v>
      </c>
      <c r="D10133">
        <f t="shared" si="319"/>
        <v>1</v>
      </c>
    </row>
    <row r="10134" spans="1:4" x14ac:dyDescent="0.55000000000000004">
      <c r="A10134">
        <f t="shared" si="318"/>
        <v>1984</v>
      </c>
      <c r="B10134" s="821">
        <v>30889</v>
      </c>
      <c r="C10134">
        <v>12.88</v>
      </c>
      <c r="D10134">
        <f t="shared" si="319"/>
        <v>1</v>
      </c>
    </row>
    <row r="10135" spans="1:4" x14ac:dyDescent="0.55000000000000004">
      <c r="A10135">
        <f t="shared" si="318"/>
        <v>1984</v>
      </c>
      <c r="B10135" s="821">
        <v>30888</v>
      </c>
      <c r="C10135">
        <v>12.97</v>
      </c>
      <c r="D10135">
        <f t="shared" si="319"/>
        <v>1</v>
      </c>
    </row>
    <row r="10136" spans="1:4" x14ac:dyDescent="0.55000000000000004">
      <c r="A10136">
        <f t="shared" si="318"/>
        <v>1984</v>
      </c>
      <c r="B10136" s="821">
        <v>30887</v>
      </c>
      <c r="C10136">
        <v>13.25</v>
      </c>
      <c r="D10136">
        <f t="shared" si="319"/>
        <v>1</v>
      </c>
    </row>
    <row r="10137" spans="1:4" x14ac:dyDescent="0.55000000000000004">
      <c r="A10137">
        <f t="shared" si="318"/>
        <v>1984</v>
      </c>
      <c r="B10137" s="821">
        <v>30886</v>
      </c>
      <c r="C10137">
        <v>13.27</v>
      </c>
      <c r="D10137">
        <f t="shared" si="319"/>
        <v>1</v>
      </c>
    </row>
    <row r="10138" spans="1:4" x14ac:dyDescent="0.55000000000000004">
      <c r="A10138">
        <f t="shared" si="318"/>
        <v>1984</v>
      </c>
      <c r="B10138" s="821">
        <v>30883</v>
      </c>
      <c r="C10138">
        <v>13.26</v>
      </c>
      <c r="D10138">
        <f t="shared" si="319"/>
        <v>1</v>
      </c>
    </row>
    <row r="10139" spans="1:4" x14ac:dyDescent="0.55000000000000004">
      <c r="A10139">
        <f t="shared" si="318"/>
        <v>1984</v>
      </c>
      <c r="B10139" s="821">
        <v>30882</v>
      </c>
      <c r="C10139">
        <v>13.12</v>
      </c>
      <c r="D10139">
        <f t="shared" si="319"/>
        <v>1</v>
      </c>
    </row>
    <row r="10140" spans="1:4" x14ac:dyDescent="0.55000000000000004">
      <c r="A10140">
        <f t="shared" si="318"/>
        <v>1984</v>
      </c>
      <c r="B10140" s="821">
        <v>30881</v>
      </c>
      <c r="C10140">
        <v>13.14</v>
      </c>
      <c r="D10140">
        <f t="shared" si="319"/>
        <v>1</v>
      </c>
    </row>
    <row r="10141" spans="1:4" x14ac:dyDescent="0.55000000000000004">
      <c r="A10141">
        <f t="shared" si="318"/>
        <v>1984</v>
      </c>
      <c r="B10141" s="821">
        <v>30880</v>
      </c>
      <c r="C10141">
        <v>13.18</v>
      </c>
      <c r="D10141">
        <f t="shared" si="319"/>
        <v>1</v>
      </c>
    </row>
    <row r="10142" spans="1:4" x14ac:dyDescent="0.55000000000000004">
      <c r="A10142">
        <f t="shared" si="318"/>
        <v>1984</v>
      </c>
      <c r="B10142" s="821">
        <v>30879</v>
      </c>
      <c r="C10142">
        <v>13.12</v>
      </c>
      <c r="D10142">
        <f t="shared" si="319"/>
        <v>1</v>
      </c>
    </row>
    <row r="10143" spans="1:4" x14ac:dyDescent="0.55000000000000004">
      <c r="A10143">
        <f t="shared" si="318"/>
        <v>1984</v>
      </c>
      <c r="B10143" s="821">
        <v>30876</v>
      </c>
      <c r="C10143">
        <v>13.12</v>
      </c>
      <c r="D10143">
        <f t="shared" si="319"/>
        <v>1</v>
      </c>
    </row>
    <row r="10144" spans="1:4" x14ac:dyDescent="0.55000000000000004">
      <c r="A10144">
        <f t="shared" si="318"/>
        <v>1984</v>
      </c>
      <c r="B10144" s="821">
        <v>30875</v>
      </c>
      <c r="C10144">
        <v>13.2</v>
      </c>
      <c r="D10144">
        <f t="shared" si="319"/>
        <v>1</v>
      </c>
    </row>
    <row r="10145" spans="1:4" x14ac:dyDescent="0.55000000000000004">
      <c r="A10145">
        <f t="shared" si="318"/>
        <v>1984</v>
      </c>
      <c r="B10145" s="821">
        <v>30874</v>
      </c>
      <c r="C10145">
        <v>13.33</v>
      </c>
      <c r="D10145">
        <f t="shared" si="319"/>
        <v>1</v>
      </c>
    </row>
    <row r="10146" spans="1:4" x14ac:dyDescent="0.55000000000000004">
      <c r="A10146">
        <f t="shared" si="318"/>
        <v>1984</v>
      </c>
      <c r="B10146" s="821">
        <v>30873</v>
      </c>
      <c r="C10146">
        <v>13.28</v>
      </c>
      <c r="D10146">
        <f t="shared" si="319"/>
        <v>1</v>
      </c>
    </row>
    <row r="10147" spans="1:4" x14ac:dyDescent="0.55000000000000004">
      <c r="A10147">
        <f t="shared" si="318"/>
        <v>1984</v>
      </c>
      <c r="B10147" s="821">
        <v>30872</v>
      </c>
      <c r="C10147">
        <v>13.28</v>
      </c>
      <c r="D10147">
        <f t="shared" si="319"/>
        <v>1</v>
      </c>
    </row>
    <row r="10148" spans="1:4" x14ac:dyDescent="0.55000000000000004">
      <c r="A10148">
        <f t="shared" si="318"/>
        <v>1984</v>
      </c>
      <c r="B10148" s="821">
        <v>30869</v>
      </c>
      <c r="C10148">
        <v>13.55</v>
      </c>
      <c r="D10148">
        <f t="shared" si="319"/>
        <v>1</v>
      </c>
    </row>
    <row r="10149" spans="1:4" x14ac:dyDescent="0.55000000000000004">
      <c r="A10149">
        <f t="shared" si="318"/>
        <v>1984</v>
      </c>
      <c r="B10149" s="821">
        <v>30868</v>
      </c>
      <c r="C10149">
        <v>13.55</v>
      </c>
      <c r="D10149">
        <f t="shared" si="319"/>
        <v>1</v>
      </c>
    </row>
    <row r="10150" spans="1:4" x14ac:dyDescent="0.55000000000000004">
      <c r="A10150">
        <f t="shared" si="318"/>
        <v>1984</v>
      </c>
      <c r="B10150" s="821">
        <v>30866</v>
      </c>
      <c r="C10150">
        <v>13.52</v>
      </c>
      <c r="D10150">
        <f t="shared" si="319"/>
        <v>1</v>
      </c>
    </row>
    <row r="10151" spans="1:4" x14ac:dyDescent="0.55000000000000004">
      <c r="A10151">
        <f t="shared" si="318"/>
        <v>1984</v>
      </c>
      <c r="B10151" s="821">
        <v>30865</v>
      </c>
      <c r="C10151">
        <v>13.64</v>
      </c>
      <c r="D10151">
        <f t="shared" si="319"/>
        <v>1</v>
      </c>
    </row>
    <row r="10152" spans="1:4" x14ac:dyDescent="0.55000000000000004">
      <c r="A10152">
        <f t="shared" si="318"/>
        <v>1984</v>
      </c>
      <c r="B10152" s="821">
        <v>30862</v>
      </c>
      <c r="C10152">
        <v>13.64</v>
      </c>
      <c r="D10152">
        <f t="shared" si="319"/>
        <v>1</v>
      </c>
    </row>
    <row r="10153" spans="1:4" x14ac:dyDescent="0.55000000000000004">
      <c r="A10153">
        <f t="shared" si="318"/>
        <v>1984</v>
      </c>
      <c r="B10153" s="821">
        <v>30861</v>
      </c>
      <c r="C10153">
        <v>13.57</v>
      </c>
      <c r="D10153">
        <f t="shared" si="319"/>
        <v>1</v>
      </c>
    </row>
    <row r="10154" spans="1:4" x14ac:dyDescent="0.55000000000000004">
      <c r="A10154">
        <f t="shared" si="318"/>
        <v>1984</v>
      </c>
      <c r="B10154" s="821">
        <v>30860</v>
      </c>
      <c r="C10154">
        <v>13.56</v>
      </c>
      <c r="D10154">
        <f t="shared" si="319"/>
        <v>1</v>
      </c>
    </row>
    <row r="10155" spans="1:4" x14ac:dyDescent="0.55000000000000004">
      <c r="A10155">
        <f t="shared" si="318"/>
        <v>1984</v>
      </c>
      <c r="B10155" s="821">
        <v>30859</v>
      </c>
      <c r="C10155">
        <v>13.6</v>
      </c>
      <c r="D10155">
        <f t="shared" si="319"/>
        <v>1</v>
      </c>
    </row>
    <row r="10156" spans="1:4" x14ac:dyDescent="0.55000000000000004">
      <c r="A10156">
        <f t="shared" si="318"/>
        <v>1984</v>
      </c>
      <c r="B10156" s="821">
        <v>30858</v>
      </c>
      <c r="C10156">
        <v>13.56</v>
      </c>
      <c r="D10156">
        <f t="shared" si="319"/>
        <v>1</v>
      </c>
    </row>
    <row r="10157" spans="1:4" x14ac:dyDescent="0.55000000000000004">
      <c r="A10157">
        <f t="shared" si="318"/>
        <v>1984</v>
      </c>
      <c r="B10157" s="821">
        <v>30855</v>
      </c>
      <c r="C10157">
        <v>13.55</v>
      </c>
      <c r="D10157">
        <f t="shared" si="319"/>
        <v>1</v>
      </c>
    </row>
    <row r="10158" spans="1:4" x14ac:dyDescent="0.55000000000000004">
      <c r="A10158">
        <f t="shared" si="318"/>
        <v>1984</v>
      </c>
      <c r="B10158" s="821">
        <v>30854</v>
      </c>
      <c r="C10158">
        <v>13.55</v>
      </c>
      <c r="D10158">
        <f t="shared" si="319"/>
        <v>1</v>
      </c>
    </row>
    <row r="10159" spans="1:4" x14ac:dyDescent="0.55000000000000004">
      <c r="A10159">
        <f t="shared" si="318"/>
        <v>1984</v>
      </c>
      <c r="B10159" s="821">
        <v>30853</v>
      </c>
      <c r="C10159">
        <v>13.49</v>
      </c>
      <c r="D10159">
        <f t="shared" si="319"/>
        <v>1</v>
      </c>
    </row>
    <row r="10160" spans="1:4" x14ac:dyDescent="0.55000000000000004">
      <c r="A10160">
        <f t="shared" si="318"/>
        <v>1984</v>
      </c>
      <c r="B10160" s="821">
        <v>30852</v>
      </c>
      <c r="C10160">
        <v>13.3</v>
      </c>
      <c r="D10160">
        <f t="shared" si="319"/>
        <v>1</v>
      </c>
    </row>
    <row r="10161" spans="1:4" x14ac:dyDescent="0.55000000000000004">
      <c r="A10161">
        <f t="shared" si="318"/>
        <v>1984</v>
      </c>
      <c r="B10161" s="821">
        <v>30851</v>
      </c>
      <c r="C10161">
        <v>13.16</v>
      </c>
      <c r="D10161">
        <f t="shared" si="319"/>
        <v>1</v>
      </c>
    </row>
    <row r="10162" spans="1:4" x14ac:dyDescent="0.55000000000000004">
      <c r="A10162">
        <f t="shared" si="318"/>
        <v>1984</v>
      </c>
      <c r="B10162" s="821">
        <v>30848</v>
      </c>
      <c r="C10162">
        <v>13.14</v>
      </c>
      <c r="D10162">
        <f t="shared" si="319"/>
        <v>1</v>
      </c>
    </row>
    <row r="10163" spans="1:4" x14ac:dyDescent="0.55000000000000004">
      <c r="A10163">
        <f t="shared" si="318"/>
        <v>1984</v>
      </c>
      <c r="B10163" s="821">
        <v>30847</v>
      </c>
      <c r="C10163">
        <v>13.28</v>
      </c>
      <c r="D10163">
        <f t="shared" si="319"/>
        <v>1</v>
      </c>
    </row>
    <row r="10164" spans="1:4" x14ac:dyDescent="0.55000000000000004">
      <c r="A10164">
        <f t="shared" si="318"/>
        <v>1984</v>
      </c>
      <c r="B10164" s="821">
        <v>30846</v>
      </c>
      <c r="C10164">
        <v>13.29</v>
      </c>
      <c r="D10164">
        <f t="shared" si="319"/>
        <v>1</v>
      </c>
    </row>
    <row r="10165" spans="1:4" x14ac:dyDescent="0.55000000000000004">
      <c r="A10165">
        <f t="shared" si="318"/>
        <v>1984</v>
      </c>
      <c r="B10165" s="821">
        <v>30845</v>
      </c>
      <c r="C10165">
        <v>13.39</v>
      </c>
      <c r="D10165">
        <f t="shared" si="319"/>
        <v>1</v>
      </c>
    </row>
    <row r="10166" spans="1:4" x14ac:dyDescent="0.55000000000000004">
      <c r="A10166">
        <f t="shared" si="318"/>
        <v>1984</v>
      </c>
      <c r="B10166" s="821">
        <v>30844</v>
      </c>
      <c r="C10166">
        <v>13.48</v>
      </c>
      <c r="D10166">
        <f t="shared" si="319"/>
        <v>1</v>
      </c>
    </row>
    <row r="10167" spans="1:4" x14ac:dyDescent="0.55000000000000004">
      <c r="A10167">
        <f t="shared" si="318"/>
        <v>1984</v>
      </c>
      <c r="B10167" s="821">
        <v>30841</v>
      </c>
      <c r="C10167">
        <v>13.42</v>
      </c>
      <c r="D10167">
        <f t="shared" si="319"/>
        <v>1</v>
      </c>
    </row>
    <row r="10168" spans="1:4" x14ac:dyDescent="0.55000000000000004">
      <c r="A10168">
        <f t="shared" si="318"/>
        <v>1984</v>
      </c>
      <c r="B10168" s="821">
        <v>30840</v>
      </c>
      <c r="C10168">
        <v>13.48</v>
      </c>
      <c r="D10168">
        <f t="shared" si="319"/>
        <v>1</v>
      </c>
    </row>
    <row r="10169" spans="1:4" x14ac:dyDescent="0.55000000000000004">
      <c r="A10169">
        <f t="shared" si="318"/>
        <v>1984</v>
      </c>
      <c r="B10169" s="821">
        <v>30839</v>
      </c>
      <c r="C10169">
        <v>13.47</v>
      </c>
      <c r="D10169">
        <f t="shared" si="319"/>
        <v>1</v>
      </c>
    </row>
    <row r="10170" spans="1:4" x14ac:dyDescent="0.55000000000000004">
      <c r="A10170">
        <f t="shared" si="318"/>
        <v>1984</v>
      </c>
      <c r="B10170" s="821">
        <v>30838</v>
      </c>
      <c r="C10170">
        <v>13.35</v>
      </c>
      <c r="D10170">
        <f t="shared" si="319"/>
        <v>1</v>
      </c>
    </row>
    <row r="10171" spans="1:4" x14ac:dyDescent="0.55000000000000004">
      <c r="A10171">
        <f t="shared" si="318"/>
        <v>1984</v>
      </c>
      <c r="B10171" s="821">
        <v>30837</v>
      </c>
      <c r="C10171">
        <v>13.37</v>
      </c>
      <c r="D10171">
        <f t="shared" si="319"/>
        <v>1</v>
      </c>
    </row>
    <row r="10172" spans="1:4" x14ac:dyDescent="0.55000000000000004">
      <c r="A10172">
        <f t="shared" si="318"/>
        <v>1984</v>
      </c>
      <c r="B10172" s="821">
        <v>30834</v>
      </c>
      <c r="C10172">
        <v>13.58</v>
      </c>
      <c r="D10172">
        <f t="shared" si="319"/>
        <v>1</v>
      </c>
    </row>
    <row r="10173" spans="1:4" x14ac:dyDescent="0.55000000000000004">
      <c r="A10173">
        <f t="shared" si="318"/>
        <v>1984</v>
      </c>
      <c r="B10173" s="821">
        <v>30833</v>
      </c>
      <c r="C10173">
        <v>13.84</v>
      </c>
      <c r="D10173">
        <f t="shared" si="319"/>
        <v>1</v>
      </c>
    </row>
    <row r="10174" spans="1:4" x14ac:dyDescent="0.55000000000000004">
      <c r="A10174">
        <f t="shared" si="318"/>
        <v>1984</v>
      </c>
      <c r="B10174" s="821">
        <v>30832</v>
      </c>
      <c r="C10174">
        <v>13.94</v>
      </c>
      <c r="D10174">
        <f t="shared" si="319"/>
        <v>1</v>
      </c>
    </row>
    <row r="10175" spans="1:4" x14ac:dyDescent="0.55000000000000004">
      <c r="A10175">
        <f t="shared" si="318"/>
        <v>1984</v>
      </c>
      <c r="B10175" s="821">
        <v>30831</v>
      </c>
      <c r="C10175">
        <v>13.85</v>
      </c>
      <c r="D10175">
        <f t="shared" si="319"/>
        <v>1</v>
      </c>
    </row>
    <row r="10176" spans="1:4" x14ac:dyDescent="0.55000000000000004">
      <c r="A10176">
        <f t="shared" si="318"/>
        <v>1984</v>
      </c>
      <c r="B10176" s="821">
        <v>30827</v>
      </c>
      <c r="C10176">
        <v>13.72</v>
      </c>
      <c r="D10176">
        <f t="shared" si="319"/>
        <v>1</v>
      </c>
    </row>
    <row r="10177" spans="1:4" x14ac:dyDescent="0.55000000000000004">
      <c r="A10177">
        <f t="shared" si="318"/>
        <v>1984</v>
      </c>
      <c r="B10177" s="821">
        <v>30826</v>
      </c>
      <c r="C10177">
        <v>13.73</v>
      </c>
      <c r="D10177">
        <f t="shared" si="319"/>
        <v>1</v>
      </c>
    </row>
    <row r="10178" spans="1:4" x14ac:dyDescent="0.55000000000000004">
      <c r="A10178">
        <f t="shared" si="318"/>
        <v>1984</v>
      </c>
      <c r="B10178" s="821">
        <v>30825</v>
      </c>
      <c r="C10178">
        <v>13.56</v>
      </c>
      <c r="D10178">
        <f t="shared" si="319"/>
        <v>1</v>
      </c>
    </row>
    <row r="10179" spans="1:4" x14ac:dyDescent="0.55000000000000004">
      <c r="A10179">
        <f t="shared" si="318"/>
        <v>1984</v>
      </c>
      <c r="B10179" s="821">
        <v>30824</v>
      </c>
      <c r="C10179">
        <v>13.53</v>
      </c>
      <c r="D10179">
        <f t="shared" si="319"/>
        <v>1</v>
      </c>
    </row>
    <row r="10180" spans="1:4" x14ac:dyDescent="0.55000000000000004">
      <c r="A10180">
        <f t="shared" ref="A10180:A10243" si="320">YEAR(B10180)</f>
        <v>1984</v>
      </c>
      <c r="B10180" s="821">
        <v>30823</v>
      </c>
      <c r="C10180">
        <v>13.46</v>
      </c>
      <c r="D10180">
        <f t="shared" ref="D10180:D10243" si="321">IF(C10180&gt;4,1,0)</f>
        <v>1</v>
      </c>
    </row>
    <row r="10181" spans="1:4" x14ac:dyDescent="0.55000000000000004">
      <c r="A10181">
        <f t="shared" si="320"/>
        <v>1984</v>
      </c>
      <c r="B10181" s="821">
        <v>30820</v>
      </c>
      <c r="C10181">
        <v>13.46</v>
      </c>
      <c r="D10181">
        <f t="shared" si="321"/>
        <v>1</v>
      </c>
    </row>
    <row r="10182" spans="1:4" x14ac:dyDescent="0.55000000000000004">
      <c r="A10182">
        <f t="shared" si="320"/>
        <v>1984</v>
      </c>
      <c r="B10182" s="821">
        <v>30819</v>
      </c>
      <c r="C10182">
        <v>13.57</v>
      </c>
      <c r="D10182">
        <f t="shared" si="321"/>
        <v>1</v>
      </c>
    </row>
    <row r="10183" spans="1:4" x14ac:dyDescent="0.55000000000000004">
      <c r="A10183">
        <f t="shared" si="320"/>
        <v>1984</v>
      </c>
      <c r="B10183" s="821">
        <v>30818</v>
      </c>
      <c r="C10183">
        <v>13.46</v>
      </c>
      <c r="D10183">
        <f t="shared" si="321"/>
        <v>1</v>
      </c>
    </row>
    <row r="10184" spans="1:4" x14ac:dyDescent="0.55000000000000004">
      <c r="A10184">
        <f t="shared" si="320"/>
        <v>1984</v>
      </c>
      <c r="B10184" s="821">
        <v>30817</v>
      </c>
      <c r="C10184">
        <v>13.5</v>
      </c>
      <c r="D10184">
        <f t="shared" si="321"/>
        <v>1</v>
      </c>
    </row>
    <row r="10185" spans="1:4" x14ac:dyDescent="0.55000000000000004">
      <c r="A10185">
        <f t="shared" si="320"/>
        <v>1984</v>
      </c>
      <c r="B10185" s="821">
        <v>30816</v>
      </c>
      <c r="C10185">
        <v>13.62</v>
      </c>
      <c r="D10185">
        <f t="shared" si="321"/>
        <v>1</v>
      </c>
    </row>
    <row r="10186" spans="1:4" x14ac:dyDescent="0.55000000000000004">
      <c r="A10186">
        <f t="shared" si="320"/>
        <v>1984</v>
      </c>
      <c r="B10186" s="821">
        <v>30813</v>
      </c>
      <c r="C10186">
        <v>13.51</v>
      </c>
      <c r="D10186">
        <f t="shared" si="321"/>
        <v>1</v>
      </c>
    </row>
    <row r="10187" spans="1:4" x14ac:dyDescent="0.55000000000000004">
      <c r="A10187">
        <f t="shared" si="320"/>
        <v>1984</v>
      </c>
      <c r="B10187" s="821">
        <v>30812</v>
      </c>
      <c r="C10187">
        <v>13.3</v>
      </c>
      <c r="D10187">
        <f t="shared" si="321"/>
        <v>1</v>
      </c>
    </row>
    <row r="10188" spans="1:4" x14ac:dyDescent="0.55000000000000004">
      <c r="A10188">
        <f t="shared" si="320"/>
        <v>1984</v>
      </c>
      <c r="B10188" s="821">
        <v>30811</v>
      </c>
      <c r="C10188">
        <v>13.26</v>
      </c>
      <c r="D10188">
        <f t="shared" si="321"/>
        <v>1</v>
      </c>
    </row>
    <row r="10189" spans="1:4" x14ac:dyDescent="0.55000000000000004">
      <c r="A10189">
        <f t="shared" si="320"/>
        <v>1984</v>
      </c>
      <c r="B10189" s="821">
        <v>30810</v>
      </c>
      <c r="C10189">
        <v>13.12</v>
      </c>
      <c r="D10189">
        <f t="shared" si="321"/>
        <v>1</v>
      </c>
    </row>
    <row r="10190" spans="1:4" x14ac:dyDescent="0.55000000000000004">
      <c r="A10190">
        <f t="shared" si="320"/>
        <v>1984</v>
      </c>
      <c r="B10190" s="821">
        <v>30809</v>
      </c>
      <c r="C10190">
        <v>13.17</v>
      </c>
      <c r="D10190">
        <f t="shared" si="321"/>
        <v>1</v>
      </c>
    </row>
    <row r="10191" spans="1:4" x14ac:dyDescent="0.55000000000000004">
      <c r="A10191">
        <f t="shared" si="320"/>
        <v>1984</v>
      </c>
      <c r="B10191" s="821">
        <v>30806</v>
      </c>
      <c r="C10191">
        <v>13.08</v>
      </c>
      <c r="D10191">
        <f t="shared" si="321"/>
        <v>1</v>
      </c>
    </row>
    <row r="10192" spans="1:4" x14ac:dyDescent="0.55000000000000004">
      <c r="A10192">
        <f t="shared" si="320"/>
        <v>1984</v>
      </c>
      <c r="B10192" s="821">
        <v>30805</v>
      </c>
      <c r="C10192">
        <v>12.92</v>
      </c>
      <c r="D10192">
        <f t="shared" si="321"/>
        <v>1</v>
      </c>
    </row>
    <row r="10193" spans="1:4" x14ac:dyDescent="0.55000000000000004">
      <c r="A10193">
        <f t="shared" si="320"/>
        <v>1984</v>
      </c>
      <c r="B10193" s="821">
        <v>30804</v>
      </c>
      <c r="C10193">
        <v>12.9</v>
      </c>
      <c r="D10193">
        <f t="shared" si="321"/>
        <v>1</v>
      </c>
    </row>
    <row r="10194" spans="1:4" x14ac:dyDescent="0.55000000000000004">
      <c r="A10194">
        <f t="shared" si="320"/>
        <v>1984</v>
      </c>
      <c r="B10194" s="821">
        <v>30803</v>
      </c>
      <c r="C10194">
        <v>12.87</v>
      </c>
      <c r="D10194">
        <f t="shared" si="321"/>
        <v>1</v>
      </c>
    </row>
    <row r="10195" spans="1:4" x14ac:dyDescent="0.55000000000000004">
      <c r="A10195">
        <f t="shared" si="320"/>
        <v>1984</v>
      </c>
      <c r="B10195" s="821">
        <v>30802</v>
      </c>
      <c r="C10195">
        <v>12.86</v>
      </c>
      <c r="D10195">
        <f t="shared" si="321"/>
        <v>1</v>
      </c>
    </row>
    <row r="10196" spans="1:4" x14ac:dyDescent="0.55000000000000004">
      <c r="A10196">
        <f t="shared" si="320"/>
        <v>1984</v>
      </c>
      <c r="B10196" s="821">
        <v>30799</v>
      </c>
      <c r="C10196">
        <v>12.82</v>
      </c>
      <c r="D10196">
        <f t="shared" si="321"/>
        <v>1</v>
      </c>
    </row>
    <row r="10197" spans="1:4" x14ac:dyDescent="0.55000000000000004">
      <c r="A10197">
        <f t="shared" si="320"/>
        <v>1984</v>
      </c>
      <c r="B10197" s="821">
        <v>30798</v>
      </c>
      <c r="C10197">
        <v>12.68</v>
      </c>
      <c r="D10197">
        <f t="shared" si="321"/>
        <v>1</v>
      </c>
    </row>
    <row r="10198" spans="1:4" x14ac:dyDescent="0.55000000000000004">
      <c r="A10198">
        <f t="shared" si="320"/>
        <v>1984</v>
      </c>
      <c r="B10198" s="821">
        <v>30797</v>
      </c>
      <c r="C10198">
        <v>12.71</v>
      </c>
      <c r="D10198">
        <f t="shared" si="321"/>
        <v>1</v>
      </c>
    </row>
    <row r="10199" spans="1:4" x14ac:dyDescent="0.55000000000000004">
      <c r="A10199">
        <f t="shared" si="320"/>
        <v>1984</v>
      </c>
      <c r="B10199" s="821">
        <v>30796</v>
      </c>
      <c r="C10199">
        <v>12.75</v>
      </c>
      <c r="D10199">
        <f t="shared" si="321"/>
        <v>1</v>
      </c>
    </row>
    <row r="10200" spans="1:4" x14ac:dyDescent="0.55000000000000004">
      <c r="A10200">
        <f t="shared" si="320"/>
        <v>1984</v>
      </c>
      <c r="B10200" s="821">
        <v>30795</v>
      </c>
      <c r="C10200">
        <v>12.82</v>
      </c>
      <c r="D10200">
        <f t="shared" si="321"/>
        <v>1</v>
      </c>
    </row>
    <row r="10201" spans="1:4" x14ac:dyDescent="0.55000000000000004">
      <c r="A10201">
        <f t="shared" si="320"/>
        <v>1984</v>
      </c>
      <c r="B10201" s="821">
        <v>30791</v>
      </c>
      <c r="C10201">
        <v>12.81</v>
      </c>
      <c r="D10201">
        <f t="shared" si="321"/>
        <v>1</v>
      </c>
    </row>
    <row r="10202" spans="1:4" x14ac:dyDescent="0.55000000000000004">
      <c r="A10202">
        <f t="shared" si="320"/>
        <v>1984</v>
      </c>
      <c r="B10202" s="821">
        <v>30790</v>
      </c>
      <c r="C10202">
        <v>12.73</v>
      </c>
      <c r="D10202">
        <f t="shared" si="321"/>
        <v>1</v>
      </c>
    </row>
    <row r="10203" spans="1:4" x14ac:dyDescent="0.55000000000000004">
      <c r="A10203">
        <f t="shared" si="320"/>
        <v>1984</v>
      </c>
      <c r="B10203" s="821">
        <v>30789</v>
      </c>
      <c r="C10203">
        <v>12.62</v>
      </c>
      <c r="D10203">
        <f t="shared" si="321"/>
        <v>1</v>
      </c>
    </row>
    <row r="10204" spans="1:4" x14ac:dyDescent="0.55000000000000004">
      <c r="A10204">
        <f t="shared" si="320"/>
        <v>1984</v>
      </c>
      <c r="B10204" s="821">
        <v>30788</v>
      </c>
      <c r="C10204">
        <v>12.65</v>
      </c>
      <c r="D10204">
        <f t="shared" si="321"/>
        <v>1</v>
      </c>
    </row>
    <row r="10205" spans="1:4" x14ac:dyDescent="0.55000000000000004">
      <c r="A10205">
        <f t="shared" si="320"/>
        <v>1984</v>
      </c>
      <c r="B10205" s="821">
        <v>30785</v>
      </c>
      <c r="C10205">
        <v>12.58</v>
      </c>
      <c r="D10205">
        <f t="shared" si="321"/>
        <v>1</v>
      </c>
    </row>
    <row r="10206" spans="1:4" x14ac:dyDescent="0.55000000000000004">
      <c r="A10206">
        <f t="shared" si="320"/>
        <v>1984</v>
      </c>
      <c r="B10206" s="821">
        <v>30784</v>
      </c>
      <c r="C10206">
        <v>12.41</v>
      </c>
      <c r="D10206">
        <f t="shared" si="321"/>
        <v>1</v>
      </c>
    </row>
    <row r="10207" spans="1:4" x14ac:dyDescent="0.55000000000000004">
      <c r="A10207">
        <f t="shared" si="320"/>
        <v>1984</v>
      </c>
      <c r="B10207" s="821">
        <v>30783</v>
      </c>
      <c r="C10207">
        <v>12.51</v>
      </c>
      <c r="D10207">
        <f t="shared" si="321"/>
        <v>1</v>
      </c>
    </row>
    <row r="10208" spans="1:4" x14ac:dyDescent="0.55000000000000004">
      <c r="A10208">
        <f t="shared" si="320"/>
        <v>1984</v>
      </c>
      <c r="B10208" s="821">
        <v>30782</v>
      </c>
      <c r="C10208">
        <v>12.54</v>
      </c>
      <c r="D10208">
        <f t="shared" si="321"/>
        <v>1</v>
      </c>
    </row>
    <row r="10209" spans="1:4" x14ac:dyDescent="0.55000000000000004">
      <c r="A10209">
        <f t="shared" si="320"/>
        <v>1984</v>
      </c>
      <c r="B10209" s="821">
        <v>30781</v>
      </c>
      <c r="C10209">
        <v>12.48</v>
      </c>
      <c r="D10209">
        <f t="shared" si="321"/>
        <v>1</v>
      </c>
    </row>
    <row r="10210" spans="1:4" x14ac:dyDescent="0.55000000000000004">
      <c r="A10210">
        <f t="shared" si="320"/>
        <v>1984</v>
      </c>
      <c r="B10210" s="821">
        <v>30778</v>
      </c>
      <c r="C10210">
        <v>12.5</v>
      </c>
      <c r="D10210">
        <f t="shared" si="321"/>
        <v>1</v>
      </c>
    </row>
    <row r="10211" spans="1:4" x14ac:dyDescent="0.55000000000000004">
      <c r="A10211">
        <f t="shared" si="320"/>
        <v>1984</v>
      </c>
      <c r="B10211" s="821">
        <v>30777</v>
      </c>
      <c r="C10211">
        <v>12.67</v>
      </c>
      <c r="D10211">
        <f t="shared" si="321"/>
        <v>1</v>
      </c>
    </row>
    <row r="10212" spans="1:4" x14ac:dyDescent="0.55000000000000004">
      <c r="A10212">
        <f t="shared" si="320"/>
        <v>1984</v>
      </c>
      <c r="B10212" s="821">
        <v>30776</v>
      </c>
      <c r="C10212">
        <v>12.67</v>
      </c>
      <c r="D10212">
        <f t="shared" si="321"/>
        <v>1</v>
      </c>
    </row>
    <row r="10213" spans="1:4" x14ac:dyDescent="0.55000000000000004">
      <c r="A10213">
        <f t="shared" si="320"/>
        <v>1984</v>
      </c>
      <c r="B10213" s="821">
        <v>30775</v>
      </c>
      <c r="C10213">
        <v>12.63</v>
      </c>
      <c r="D10213">
        <f t="shared" si="321"/>
        <v>1</v>
      </c>
    </row>
    <row r="10214" spans="1:4" x14ac:dyDescent="0.55000000000000004">
      <c r="A10214">
        <f t="shared" si="320"/>
        <v>1984</v>
      </c>
      <c r="B10214" s="821">
        <v>30774</v>
      </c>
      <c r="C10214">
        <v>12.55</v>
      </c>
      <c r="D10214">
        <f t="shared" si="321"/>
        <v>1</v>
      </c>
    </row>
    <row r="10215" spans="1:4" x14ac:dyDescent="0.55000000000000004">
      <c r="A10215">
        <f t="shared" si="320"/>
        <v>1984</v>
      </c>
      <c r="B10215" s="821">
        <v>30771</v>
      </c>
      <c r="C10215">
        <v>12.52</v>
      </c>
      <c r="D10215">
        <f t="shared" si="321"/>
        <v>1</v>
      </c>
    </row>
    <row r="10216" spans="1:4" x14ac:dyDescent="0.55000000000000004">
      <c r="A10216">
        <f t="shared" si="320"/>
        <v>1984</v>
      </c>
      <c r="B10216" s="821">
        <v>30770</v>
      </c>
      <c r="C10216">
        <v>12.42</v>
      </c>
      <c r="D10216">
        <f t="shared" si="321"/>
        <v>1</v>
      </c>
    </row>
    <row r="10217" spans="1:4" x14ac:dyDescent="0.55000000000000004">
      <c r="A10217">
        <f t="shared" si="320"/>
        <v>1984</v>
      </c>
      <c r="B10217" s="821">
        <v>30769</v>
      </c>
      <c r="C10217">
        <v>12.44</v>
      </c>
      <c r="D10217">
        <f t="shared" si="321"/>
        <v>1</v>
      </c>
    </row>
    <row r="10218" spans="1:4" x14ac:dyDescent="0.55000000000000004">
      <c r="A10218">
        <f t="shared" si="320"/>
        <v>1984</v>
      </c>
      <c r="B10218" s="821">
        <v>30768</v>
      </c>
      <c r="C10218">
        <v>12.5</v>
      </c>
      <c r="D10218">
        <f t="shared" si="321"/>
        <v>1</v>
      </c>
    </row>
    <row r="10219" spans="1:4" x14ac:dyDescent="0.55000000000000004">
      <c r="A10219">
        <f t="shared" si="320"/>
        <v>1984</v>
      </c>
      <c r="B10219" s="821">
        <v>30767</v>
      </c>
      <c r="C10219">
        <v>12.48</v>
      </c>
      <c r="D10219">
        <f t="shared" si="321"/>
        <v>1</v>
      </c>
    </row>
    <row r="10220" spans="1:4" x14ac:dyDescent="0.55000000000000004">
      <c r="A10220">
        <f t="shared" si="320"/>
        <v>1984</v>
      </c>
      <c r="B10220" s="821">
        <v>30764</v>
      </c>
      <c r="C10220">
        <v>12.5</v>
      </c>
      <c r="D10220">
        <f t="shared" si="321"/>
        <v>1</v>
      </c>
    </row>
    <row r="10221" spans="1:4" x14ac:dyDescent="0.55000000000000004">
      <c r="A10221">
        <f t="shared" si="320"/>
        <v>1984</v>
      </c>
      <c r="B10221" s="821">
        <v>30763</v>
      </c>
      <c r="C10221">
        <v>12.53</v>
      </c>
      <c r="D10221">
        <f t="shared" si="321"/>
        <v>1</v>
      </c>
    </row>
    <row r="10222" spans="1:4" x14ac:dyDescent="0.55000000000000004">
      <c r="A10222">
        <f t="shared" si="320"/>
        <v>1984</v>
      </c>
      <c r="B10222" s="821">
        <v>30762</v>
      </c>
      <c r="C10222">
        <v>12.53</v>
      </c>
      <c r="D10222">
        <f t="shared" si="321"/>
        <v>1</v>
      </c>
    </row>
    <row r="10223" spans="1:4" x14ac:dyDescent="0.55000000000000004">
      <c r="A10223">
        <f t="shared" si="320"/>
        <v>1984</v>
      </c>
      <c r="B10223" s="821">
        <v>30761</v>
      </c>
      <c r="C10223">
        <v>12.51</v>
      </c>
      <c r="D10223">
        <f t="shared" si="321"/>
        <v>1</v>
      </c>
    </row>
    <row r="10224" spans="1:4" x14ac:dyDescent="0.55000000000000004">
      <c r="A10224">
        <f t="shared" si="320"/>
        <v>1984</v>
      </c>
      <c r="B10224" s="821">
        <v>30760</v>
      </c>
      <c r="C10224">
        <v>12.53</v>
      </c>
      <c r="D10224">
        <f t="shared" si="321"/>
        <v>1</v>
      </c>
    </row>
    <row r="10225" spans="1:4" x14ac:dyDescent="0.55000000000000004">
      <c r="A10225">
        <f t="shared" si="320"/>
        <v>1984</v>
      </c>
      <c r="B10225" s="821">
        <v>30757</v>
      </c>
      <c r="C10225">
        <v>12.43</v>
      </c>
      <c r="D10225">
        <f t="shared" si="321"/>
        <v>1</v>
      </c>
    </row>
    <row r="10226" spans="1:4" x14ac:dyDescent="0.55000000000000004">
      <c r="A10226">
        <f t="shared" si="320"/>
        <v>1984</v>
      </c>
      <c r="B10226" s="821">
        <v>30756</v>
      </c>
      <c r="C10226">
        <v>12.39</v>
      </c>
      <c r="D10226">
        <f t="shared" si="321"/>
        <v>1</v>
      </c>
    </row>
    <row r="10227" spans="1:4" x14ac:dyDescent="0.55000000000000004">
      <c r="A10227">
        <f t="shared" si="320"/>
        <v>1984</v>
      </c>
      <c r="B10227" s="821">
        <v>30755</v>
      </c>
      <c r="C10227">
        <v>12.4</v>
      </c>
      <c r="D10227">
        <f t="shared" si="321"/>
        <v>1</v>
      </c>
    </row>
    <row r="10228" spans="1:4" x14ac:dyDescent="0.55000000000000004">
      <c r="A10228">
        <f t="shared" si="320"/>
        <v>1984</v>
      </c>
      <c r="B10228" s="821">
        <v>30754</v>
      </c>
      <c r="C10228">
        <v>12.37</v>
      </c>
      <c r="D10228">
        <f t="shared" si="321"/>
        <v>1</v>
      </c>
    </row>
    <row r="10229" spans="1:4" x14ac:dyDescent="0.55000000000000004">
      <c r="A10229">
        <f t="shared" si="320"/>
        <v>1984</v>
      </c>
      <c r="B10229" s="821">
        <v>30753</v>
      </c>
      <c r="C10229">
        <v>12.33</v>
      </c>
      <c r="D10229">
        <f t="shared" si="321"/>
        <v>1</v>
      </c>
    </row>
    <row r="10230" spans="1:4" x14ac:dyDescent="0.55000000000000004">
      <c r="A10230">
        <f t="shared" si="320"/>
        <v>1984</v>
      </c>
      <c r="B10230" s="821">
        <v>30750</v>
      </c>
      <c r="C10230">
        <v>12.35</v>
      </c>
      <c r="D10230">
        <f t="shared" si="321"/>
        <v>1</v>
      </c>
    </row>
    <row r="10231" spans="1:4" x14ac:dyDescent="0.55000000000000004">
      <c r="A10231">
        <f t="shared" si="320"/>
        <v>1984</v>
      </c>
      <c r="B10231" s="821">
        <v>30749</v>
      </c>
      <c r="C10231">
        <v>12.33</v>
      </c>
      <c r="D10231">
        <f t="shared" si="321"/>
        <v>1</v>
      </c>
    </row>
    <row r="10232" spans="1:4" x14ac:dyDescent="0.55000000000000004">
      <c r="A10232">
        <f t="shared" si="320"/>
        <v>1984</v>
      </c>
      <c r="B10232" s="821">
        <v>30748</v>
      </c>
      <c r="C10232">
        <v>12.31</v>
      </c>
      <c r="D10232">
        <f t="shared" si="321"/>
        <v>1</v>
      </c>
    </row>
    <row r="10233" spans="1:4" x14ac:dyDescent="0.55000000000000004">
      <c r="A10233">
        <f t="shared" si="320"/>
        <v>1984</v>
      </c>
      <c r="B10233" s="821">
        <v>30747</v>
      </c>
      <c r="C10233">
        <v>12.19</v>
      </c>
      <c r="D10233">
        <f t="shared" si="321"/>
        <v>1</v>
      </c>
    </row>
    <row r="10234" spans="1:4" x14ac:dyDescent="0.55000000000000004">
      <c r="A10234">
        <f t="shared" si="320"/>
        <v>1984</v>
      </c>
      <c r="B10234" s="821">
        <v>30746</v>
      </c>
      <c r="C10234">
        <v>12.17</v>
      </c>
      <c r="D10234">
        <f t="shared" si="321"/>
        <v>1</v>
      </c>
    </row>
    <row r="10235" spans="1:4" x14ac:dyDescent="0.55000000000000004">
      <c r="A10235">
        <f t="shared" si="320"/>
        <v>1984</v>
      </c>
      <c r="B10235" s="821">
        <v>30743</v>
      </c>
      <c r="C10235">
        <v>12.05</v>
      </c>
      <c r="D10235">
        <f t="shared" si="321"/>
        <v>1</v>
      </c>
    </row>
    <row r="10236" spans="1:4" x14ac:dyDescent="0.55000000000000004">
      <c r="A10236">
        <f t="shared" si="320"/>
        <v>1984</v>
      </c>
      <c r="B10236" s="821">
        <v>30742</v>
      </c>
      <c r="C10236">
        <v>12.16</v>
      </c>
      <c r="D10236">
        <f t="shared" si="321"/>
        <v>1</v>
      </c>
    </row>
    <row r="10237" spans="1:4" x14ac:dyDescent="0.55000000000000004">
      <c r="A10237">
        <f t="shared" si="320"/>
        <v>1984</v>
      </c>
      <c r="B10237" s="821">
        <v>30741</v>
      </c>
      <c r="C10237">
        <v>12.14</v>
      </c>
      <c r="D10237">
        <f t="shared" si="321"/>
        <v>1</v>
      </c>
    </row>
    <row r="10238" spans="1:4" x14ac:dyDescent="0.55000000000000004">
      <c r="A10238">
        <f t="shared" si="320"/>
        <v>1984</v>
      </c>
      <c r="B10238" s="821">
        <v>30740</v>
      </c>
      <c r="C10238">
        <v>12.22</v>
      </c>
      <c r="D10238">
        <f t="shared" si="321"/>
        <v>1</v>
      </c>
    </row>
    <row r="10239" spans="1:4" x14ac:dyDescent="0.55000000000000004">
      <c r="A10239">
        <f t="shared" si="320"/>
        <v>1984</v>
      </c>
      <c r="B10239" s="821">
        <v>30739</v>
      </c>
      <c r="C10239">
        <v>12.16</v>
      </c>
      <c r="D10239">
        <f t="shared" si="321"/>
        <v>1</v>
      </c>
    </row>
    <row r="10240" spans="1:4" x14ac:dyDescent="0.55000000000000004">
      <c r="A10240">
        <f t="shared" si="320"/>
        <v>1984</v>
      </c>
      <c r="B10240" s="821">
        <v>30736</v>
      </c>
      <c r="C10240">
        <v>12.1</v>
      </c>
      <c r="D10240">
        <f t="shared" si="321"/>
        <v>1</v>
      </c>
    </row>
    <row r="10241" spans="1:4" x14ac:dyDescent="0.55000000000000004">
      <c r="A10241">
        <f t="shared" si="320"/>
        <v>1984</v>
      </c>
      <c r="B10241" s="821">
        <v>30735</v>
      </c>
      <c r="C10241">
        <v>12.17</v>
      </c>
      <c r="D10241">
        <f t="shared" si="321"/>
        <v>1</v>
      </c>
    </row>
    <row r="10242" spans="1:4" x14ac:dyDescent="0.55000000000000004">
      <c r="A10242">
        <f t="shared" si="320"/>
        <v>1984</v>
      </c>
      <c r="B10242" s="821">
        <v>30734</v>
      </c>
      <c r="C10242">
        <v>12.06</v>
      </c>
      <c r="D10242">
        <f t="shared" si="321"/>
        <v>1</v>
      </c>
    </row>
    <row r="10243" spans="1:4" x14ac:dyDescent="0.55000000000000004">
      <c r="A10243">
        <f t="shared" si="320"/>
        <v>1984</v>
      </c>
      <c r="B10243" s="821">
        <v>30733</v>
      </c>
      <c r="C10243">
        <v>12.02</v>
      </c>
      <c r="D10243">
        <f t="shared" si="321"/>
        <v>1</v>
      </c>
    </row>
    <row r="10244" spans="1:4" x14ac:dyDescent="0.55000000000000004">
      <c r="A10244">
        <f t="shared" ref="A10244:A10307" si="322">YEAR(B10244)</f>
        <v>1984</v>
      </c>
      <c r="B10244" s="821">
        <v>30729</v>
      </c>
      <c r="C10244">
        <v>12.02</v>
      </c>
      <c r="D10244">
        <f t="shared" ref="D10244:D10307" si="323">IF(C10244&gt;4,1,0)</f>
        <v>1</v>
      </c>
    </row>
    <row r="10245" spans="1:4" x14ac:dyDescent="0.55000000000000004">
      <c r="A10245">
        <f t="shared" si="322"/>
        <v>1984</v>
      </c>
      <c r="B10245" s="821">
        <v>30728</v>
      </c>
      <c r="C10245">
        <v>11.94</v>
      </c>
      <c r="D10245">
        <f t="shared" si="323"/>
        <v>1</v>
      </c>
    </row>
    <row r="10246" spans="1:4" x14ac:dyDescent="0.55000000000000004">
      <c r="A10246">
        <f t="shared" si="322"/>
        <v>1984</v>
      </c>
      <c r="B10246" s="821">
        <v>30727</v>
      </c>
      <c r="C10246">
        <v>11.92</v>
      </c>
      <c r="D10246">
        <f t="shared" si="323"/>
        <v>1</v>
      </c>
    </row>
    <row r="10247" spans="1:4" x14ac:dyDescent="0.55000000000000004">
      <c r="A10247">
        <f t="shared" si="322"/>
        <v>1984</v>
      </c>
      <c r="B10247" s="821">
        <v>30726</v>
      </c>
      <c r="C10247">
        <v>11.95</v>
      </c>
      <c r="D10247">
        <f t="shared" si="323"/>
        <v>1</v>
      </c>
    </row>
    <row r="10248" spans="1:4" x14ac:dyDescent="0.55000000000000004">
      <c r="A10248">
        <f t="shared" si="322"/>
        <v>1984</v>
      </c>
      <c r="B10248" s="821">
        <v>30722</v>
      </c>
      <c r="C10248">
        <v>11.92</v>
      </c>
      <c r="D10248">
        <f t="shared" si="323"/>
        <v>1</v>
      </c>
    </row>
    <row r="10249" spans="1:4" x14ac:dyDescent="0.55000000000000004">
      <c r="A10249">
        <f t="shared" si="322"/>
        <v>1984</v>
      </c>
      <c r="B10249" s="821">
        <v>30721</v>
      </c>
      <c r="C10249">
        <v>11.84</v>
      </c>
      <c r="D10249">
        <f t="shared" si="323"/>
        <v>1</v>
      </c>
    </row>
    <row r="10250" spans="1:4" x14ac:dyDescent="0.55000000000000004">
      <c r="A10250">
        <f t="shared" si="322"/>
        <v>1984</v>
      </c>
      <c r="B10250" s="821">
        <v>30720</v>
      </c>
      <c r="C10250">
        <v>11.83</v>
      </c>
      <c r="D10250">
        <f t="shared" si="323"/>
        <v>1</v>
      </c>
    </row>
    <row r="10251" spans="1:4" x14ac:dyDescent="0.55000000000000004">
      <c r="A10251">
        <f t="shared" si="322"/>
        <v>1984</v>
      </c>
      <c r="B10251" s="821">
        <v>30719</v>
      </c>
      <c r="C10251">
        <v>11.79</v>
      </c>
      <c r="D10251">
        <f t="shared" si="323"/>
        <v>1</v>
      </c>
    </row>
    <row r="10252" spans="1:4" x14ac:dyDescent="0.55000000000000004">
      <c r="A10252">
        <f t="shared" si="322"/>
        <v>1984</v>
      </c>
      <c r="B10252" s="821">
        <v>30718</v>
      </c>
      <c r="C10252">
        <v>11.79</v>
      </c>
      <c r="D10252">
        <f t="shared" si="323"/>
        <v>1</v>
      </c>
    </row>
    <row r="10253" spans="1:4" x14ac:dyDescent="0.55000000000000004">
      <c r="A10253">
        <f t="shared" si="322"/>
        <v>1984</v>
      </c>
      <c r="B10253" s="821">
        <v>30715</v>
      </c>
      <c r="C10253">
        <v>11.72</v>
      </c>
      <c r="D10253">
        <f t="shared" si="323"/>
        <v>1</v>
      </c>
    </row>
    <row r="10254" spans="1:4" x14ac:dyDescent="0.55000000000000004">
      <c r="A10254">
        <f t="shared" si="322"/>
        <v>1984</v>
      </c>
      <c r="B10254" s="821">
        <v>30714</v>
      </c>
      <c r="C10254">
        <v>11.71</v>
      </c>
      <c r="D10254">
        <f t="shared" si="323"/>
        <v>1</v>
      </c>
    </row>
    <row r="10255" spans="1:4" x14ac:dyDescent="0.55000000000000004">
      <c r="A10255">
        <f t="shared" si="322"/>
        <v>1984</v>
      </c>
      <c r="B10255" s="821">
        <v>30713</v>
      </c>
      <c r="C10255">
        <v>11.74</v>
      </c>
      <c r="D10255">
        <f t="shared" si="323"/>
        <v>1</v>
      </c>
    </row>
    <row r="10256" spans="1:4" x14ac:dyDescent="0.55000000000000004">
      <c r="A10256">
        <f t="shared" si="322"/>
        <v>1984</v>
      </c>
      <c r="B10256" s="821">
        <v>30712</v>
      </c>
      <c r="C10256">
        <v>11.78</v>
      </c>
      <c r="D10256">
        <f t="shared" si="323"/>
        <v>1</v>
      </c>
    </row>
    <row r="10257" spans="1:4" x14ac:dyDescent="0.55000000000000004">
      <c r="A10257">
        <f t="shared" si="322"/>
        <v>1984</v>
      </c>
      <c r="B10257" s="821">
        <v>30711</v>
      </c>
      <c r="C10257">
        <v>11.74</v>
      </c>
      <c r="D10257">
        <f t="shared" si="323"/>
        <v>1</v>
      </c>
    </row>
    <row r="10258" spans="1:4" x14ac:dyDescent="0.55000000000000004">
      <c r="A10258">
        <f t="shared" si="322"/>
        <v>1984</v>
      </c>
      <c r="B10258" s="821">
        <v>30708</v>
      </c>
      <c r="C10258">
        <v>11.73</v>
      </c>
      <c r="D10258">
        <f t="shared" si="323"/>
        <v>1</v>
      </c>
    </row>
    <row r="10259" spans="1:4" x14ac:dyDescent="0.55000000000000004">
      <c r="A10259">
        <f t="shared" si="322"/>
        <v>1984</v>
      </c>
      <c r="B10259" s="821">
        <v>30707</v>
      </c>
      <c r="C10259">
        <v>11.7</v>
      </c>
      <c r="D10259">
        <f t="shared" si="323"/>
        <v>1</v>
      </c>
    </row>
    <row r="10260" spans="1:4" x14ac:dyDescent="0.55000000000000004">
      <c r="A10260">
        <f t="shared" si="322"/>
        <v>1984</v>
      </c>
      <c r="B10260" s="821">
        <v>30706</v>
      </c>
      <c r="C10260">
        <v>11.72</v>
      </c>
      <c r="D10260">
        <f t="shared" si="323"/>
        <v>1</v>
      </c>
    </row>
    <row r="10261" spans="1:4" x14ac:dyDescent="0.55000000000000004">
      <c r="A10261">
        <f t="shared" si="322"/>
        <v>1984</v>
      </c>
      <c r="B10261" s="821">
        <v>30705</v>
      </c>
      <c r="C10261">
        <v>11.69</v>
      </c>
      <c r="D10261">
        <f t="shared" si="323"/>
        <v>1</v>
      </c>
    </row>
    <row r="10262" spans="1:4" x14ac:dyDescent="0.55000000000000004">
      <c r="A10262">
        <f t="shared" si="322"/>
        <v>1984</v>
      </c>
      <c r="B10262" s="821">
        <v>30704</v>
      </c>
      <c r="C10262">
        <v>11.69</v>
      </c>
      <c r="D10262">
        <f t="shared" si="323"/>
        <v>1</v>
      </c>
    </row>
    <row r="10263" spans="1:4" x14ac:dyDescent="0.55000000000000004">
      <c r="A10263">
        <f t="shared" si="322"/>
        <v>1984</v>
      </c>
      <c r="B10263" s="821">
        <v>30701</v>
      </c>
      <c r="C10263">
        <v>11.71</v>
      </c>
      <c r="D10263">
        <f t="shared" si="323"/>
        <v>1</v>
      </c>
    </row>
    <row r="10264" spans="1:4" x14ac:dyDescent="0.55000000000000004">
      <c r="A10264">
        <f t="shared" si="322"/>
        <v>1984</v>
      </c>
      <c r="B10264" s="821">
        <v>30700</v>
      </c>
      <c r="C10264">
        <v>11.68</v>
      </c>
      <c r="D10264">
        <f t="shared" si="323"/>
        <v>1</v>
      </c>
    </row>
    <row r="10265" spans="1:4" x14ac:dyDescent="0.55000000000000004">
      <c r="A10265">
        <f t="shared" si="322"/>
        <v>1984</v>
      </c>
      <c r="B10265" s="821">
        <v>30699</v>
      </c>
      <c r="C10265">
        <v>11.7</v>
      </c>
      <c r="D10265">
        <f t="shared" si="323"/>
        <v>1</v>
      </c>
    </row>
    <row r="10266" spans="1:4" x14ac:dyDescent="0.55000000000000004">
      <c r="A10266">
        <f t="shared" si="322"/>
        <v>1984</v>
      </c>
      <c r="B10266" s="821">
        <v>30698</v>
      </c>
      <c r="C10266">
        <v>11.65</v>
      </c>
      <c r="D10266">
        <f t="shared" si="323"/>
        <v>1</v>
      </c>
    </row>
    <row r="10267" spans="1:4" x14ac:dyDescent="0.55000000000000004">
      <c r="A10267">
        <f t="shared" si="322"/>
        <v>1984</v>
      </c>
      <c r="B10267" s="821">
        <v>30697</v>
      </c>
      <c r="C10267">
        <v>11.62</v>
      </c>
      <c r="D10267">
        <f t="shared" si="323"/>
        <v>1</v>
      </c>
    </row>
    <row r="10268" spans="1:4" x14ac:dyDescent="0.55000000000000004">
      <c r="A10268">
        <f t="shared" si="322"/>
        <v>1984</v>
      </c>
      <c r="B10268" s="821">
        <v>30694</v>
      </c>
      <c r="C10268">
        <v>11.67</v>
      </c>
      <c r="D10268">
        <f t="shared" si="323"/>
        <v>1</v>
      </c>
    </row>
    <row r="10269" spans="1:4" x14ac:dyDescent="0.55000000000000004">
      <c r="A10269">
        <f t="shared" si="322"/>
        <v>1984</v>
      </c>
      <c r="B10269" s="821">
        <v>30693</v>
      </c>
      <c r="C10269">
        <v>11.81</v>
      </c>
      <c r="D10269">
        <f t="shared" si="323"/>
        <v>1</v>
      </c>
    </row>
    <row r="10270" spans="1:4" x14ac:dyDescent="0.55000000000000004">
      <c r="A10270">
        <f t="shared" si="322"/>
        <v>1984</v>
      </c>
      <c r="B10270" s="821">
        <v>30692</v>
      </c>
      <c r="C10270">
        <v>11.83</v>
      </c>
      <c r="D10270">
        <f t="shared" si="323"/>
        <v>1</v>
      </c>
    </row>
    <row r="10271" spans="1:4" x14ac:dyDescent="0.55000000000000004">
      <c r="A10271">
        <f t="shared" si="322"/>
        <v>1984</v>
      </c>
      <c r="B10271" s="821">
        <v>30691</v>
      </c>
      <c r="C10271">
        <v>11.79</v>
      </c>
      <c r="D10271">
        <f t="shared" si="323"/>
        <v>1</v>
      </c>
    </row>
    <row r="10272" spans="1:4" x14ac:dyDescent="0.55000000000000004">
      <c r="A10272">
        <f t="shared" si="322"/>
        <v>1984</v>
      </c>
      <c r="B10272" s="821">
        <v>30690</v>
      </c>
      <c r="C10272">
        <v>11.84</v>
      </c>
      <c r="D10272">
        <f t="shared" si="323"/>
        <v>1</v>
      </c>
    </row>
    <row r="10273" spans="1:4" x14ac:dyDescent="0.55000000000000004">
      <c r="A10273">
        <f t="shared" si="322"/>
        <v>1984</v>
      </c>
      <c r="B10273" s="821">
        <v>30687</v>
      </c>
      <c r="C10273">
        <v>11.82</v>
      </c>
      <c r="D10273">
        <f t="shared" si="323"/>
        <v>1</v>
      </c>
    </row>
    <row r="10274" spans="1:4" x14ac:dyDescent="0.55000000000000004">
      <c r="A10274">
        <f t="shared" si="322"/>
        <v>1984</v>
      </c>
      <c r="B10274" s="821">
        <v>30686</v>
      </c>
      <c r="C10274">
        <v>11.84</v>
      </c>
      <c r="D10274">
        <f t="shared" si="323"/>
        <v>1</v>
      </c>
    </row>
    <row r="10275" spans="1:4" x14ac:dyDescent="0.55000000000000004">
      <c r="A10275">
        <f t="shared" si="322"/>
        <v>1984</v>
      </c>
      <c r="B10275" s="821">
        <v>30685</v>
      </c>
      <c r="C10275">
        <v>11.83</v>
      </c>
      <c r="D10275">
        <f t="shared" si="323"/>
        <v>1</v>
      </c>
    </row>
    <row r="10276" spans="1:4" x14ac:dyDescent="0.55000000000000004">
      <c r="A10276">
        <f t="shared" si="322"/>
        <v>1984</v>
      </c>
      <c r="B10276" s="821">
        <v>30684</v>
      </c>
      <c r="C10276">
        <v>11.93</v>
      </c>
      <c r="D10276">
        <f t="shared" si="323"/>
        <v>1</v>
      </c>
    </row>
    <row r="10277" spans="1:4" x14ac:dyDescent="0.55000000000000004">
      <c r="A10277">
        <f t="shared" si="322"/>
        <v>1983</v>
      </c>
      <c r="B10277" s="821">
        <v>30680</v>
      </c>
      <c r="C10277">
        <v>11.87</v>
      </c>
      <c r="D10277">
        <f t="shared" si="323"/>
        <v>1</v>
      </c>
    </row>
    <row r="10278" spans="1:4" x14ac:dyDescent="0.55000000000000004">
      <c r="A10278">
        <f t="shared" si="322"/>
        <v>1983</v>
      </c>
      <c r="B10278" s="821">
        <v>30679</v>
      </c>
      <c r="C10278">
        <v>11.84</v>
      </c>
      <c r="D10278">
        <f t="shared" si="323"/>
        <v>1</v>
      </c>
    </row>
    <row r="10279" spans="1:4" x14ac:dyDescent="0.55000000000000004">
      <c r="A10279">
        <f t="shared" si="322"/>
        <v>1983</v>
      </c>
      <c r="B10279" s="821">
        <v>30678</v>
      </c>
      <c r="C10279">
        <v>11.84</v>
      </c>
      <c r="D10279">
        <f t="shared" si="323"/>
        <v>1</v>
      </c>
    </row>
    <row r="10280" spans="1:4" x14ac:dyDescent="0.55000000000000004">
      <c r="A10280">
        <f t="shared" si="322"/>
        <v>1983</v>
      </c>
      <c r="B10280" s="821">
        <v>30677</v>
      </c>
      <c r="C10280">
        <v>11.8</v>
      </c>
      <c r="D10280">
        <f t="shared" si="323"/>
        <v>1</v>
      </c>
    </row>
    <row r="10281" spans="1:4" x14ac:dyDescent="0.55000000000000004">
      <c r="A10281">
        <f t="shared" si="322"/>
        <v>1983</v>
      </c>
      <c r="B10281" s="821">
        <v>30673</v>
      </c>
      <c r="C10281">
        <v>11.86</v>
      </c>
      <c r="D10281">
        <f t="shared" si="323"/>
        <v>1</v>
      </c>
    </row>
    <row r="10282" spans="1:4" x14ac:dyDescent="0.55000000000000004">
      <c r="A10282">
        <f t="shared" si="322"/>
        <v>1983</v>
      </c>
      <c r="B10282" s="821">
        <v>30672</v>
      </c>
      <c r="C10282">
        <v>11.84</v>
      </c>
      <c r="D10282">
        <f t="shared" si="323"/>
        <v>1</v>
      </c>
    </row>
    <row r="10283" spans="1:4" x14ac:dyDescent="0.55000000000000004">
      <c r="A10283">
        <f t="shared" si="322"/>
        <v>1983</v>
      </c>
      <c r="B10283" s="821">
        <v>30671</v>
      </c>
      <c r="C10283">
        <v>11.91</v>
      </c>
      <c r="D10283">
        <f t="shared" si="323"/>
        <v>1</v>
      </c>
    </row>
    <row r="10284" spans="1:4" x14ac:dyDescent="0.55000000000000004">
      <c r="A10284">
        <f t="shared" si="322"/>
        <v>1983</v>
      </c>
      <c r="B10284" s="821">
        <v>30670</v>
      </c>
      <c r="C10284">
        <v>11.94</v>
      </c>
      <c r="D10284">
        <f t="shared" si="323"/>
        <v>1</v>
      </c>
    </row>
    <row r="10285" spans="1:4" x14ac:dyDescent="0.55000000000000004">
      <c r="A10285">
        <f t="shared" si="322"/>
        <v>1983</v>
      </c>
      <c r="B10285" s="821">
        <v>30669</v>
      </c>
      <c r="C10285">
        <v>11.94</v>
      </c>
      <c r="D10285">
        <f t="shared" si="323"/>
        <v>1</v>
      </c>
    </row>
    <row r="10286" spans="1:4" x14ac:dyDescent="0.55000000000000004">
      <c r="A10286">
        <f t="shared" si="322"/>
        <v>1983</v>
      </c>
      <c r="B10286" s="821">
        <v>30666</v>
      </c>
      <c r="C10286">
        <v>11.94</v>
      </c>
      <c r="D10286">
        <f t="shared" si="323"/>
        <v>1</v>
      </c>
    </row>
    <row r="10287" spans="1:4" x14ac:dyDescent="0.55000000000000004">
      <c r="A10287">
        <f t="shared" si="322"/>
        <v>1983</v>
      </c>
      <c r="B10287" s="821">
        <v>30665</v>
      </c>
      <c r="C10287">
        <v>11.99</v>
      </c>
      <c r="D10287">
        <f t="shared" si="323"/>
        <v>1</v>
      </c>
    </row>
    <row r="10288" spans="1:4" x14ac:dyDescent="0.55000000000000004">
      <c r="A10288">
        <f t="shared" si="322"/>
        <v>1983</v>
      </c>
      <c r="B10288" s="821">
        <v>30664</v>
      </c>
      <c r="C10288">
        <v>12.01</v>
      </c>
      <c r="D10288">
        <f t="shared" si="323"/>
        <v>1</v>
      </c>
    </row>
    <row r="10289" spans="1:4" x14ac:dyDescent="0.55000000000000004">
      <c r="A10289">
        <f t="shared" si="322"/>
        <v>1983</v>
      </c>
      <c r="B10289" s="821">
        <v>30663</v>
      </c>
      <c r="C10289">
        <v>12</v>
      </c>
      <c r="D10289">
        <f t="shared" si="323"/>
        <v>1</v>
      </c>
    </row>
    <row r="10290" spans="1:4" x14ac:dyDescent="0.55000000000000004">
      <c r="A10290">
        <f t="shared" si="322"/>
        <v>1983</v>
      </c>
      <c r="B10290" s="821">
        <v>30662</v>
      </c>
      <c r="C10290">
        <v>11.94</v>
      </c>
      <c r="D10290">
        <f t="shared" si="323"/>
        <v>1</v>
      </c>
    </row>
    <row r="10291" spans="1:4" x14ac:dyDescent="0.55000000000000004">
      <c r="A10291">
        <f t="shared" si="322"/>
        <v>1983</v>
      </c>
      <c r="B10291" s="821">
        <v>30659</v>
      </c>
      <c r="C10291">
        <v>11.95</v>
      </c>
      <c r="D10291">
        <f t="shared" si="323"/>
        <v>1</v>
      </c>
    </row>
    <row r="10292" spans="1:4" x14ac:dyDescent="0.55000000000000004">
      <c r="A10292">
        <f t="shared" si="322"/>
        <v>1983</v>
      </c>
      <c r="B10292" s="821">
        <v>30658</v>
      </c>
      <c r="C10292">
        <v>11.93</v>
      </c>
      <c r="D10292">
        <f t="shared" si="323"/>
        <v>1</v>
      </c>
    </row>
    <row r="10293" spans="1:4" x14ac:dyDescent="0.55000000000000004">
      <c r="A10293">
        <f t="shared" si="322"/>
        <v>1983</v>
      </c>
      <c r="B10293" s="821">
        <v>30657</v>
      </c>
      <c r="C10293">
        <v>11.83</v>
      </c>
      <c r="D10293">
        <f t="shared" si="323"/>
        <v>1</v>
      </c>
    </row>
    <row r="10294" spans="1:4" x14ac:dyDescent="0.55000000000000004">
      <c r="A10294">
        <f t="shared" si="322"/>
        <v>1983</v>
      </c>
      <c r="B10294" s="821">
        <v>30656</v>
      </c>
      <c r="C10294">
        <v>11.81</v>
      </c>
      <c r="D10294">
        <f t="shared" si="323"/>
        <v>1</v>
      </c>
    </row>
    <row r="10295" spans="1:4" x14ac:dyDescent="0.55000000000000004">
      <c r="A10295">
        <f t="shared" si="322"/>
        <v>1983</v>
      </c>
      <c r="B10295" s="821">
        <v>30655</v>
      </c>
      <c r="C10295">
        <v>11.81</v>
      </c>
      <c r="D10295">
        <f t="shared" si="323"/>
        <v>1</v>
      </c>
    </row>
    <row r="10296" spans="1:4" x14ac:dyDescent="0.55000000000000004">
      <c r="A10296">
        <f t="shared" si="322"/>
        <v>1983</v>
      </c>
      <c r="B10296" s="821">
        <v>30652</v>
      </c>
      <c r="C10296">
        <v>11.79</v>
      </c>
      <c r="D10296">
        <f t="shared" si="323"/>
        <v>1</v>
      </c>
    </row>
    <row r="10297" spans="1:4" x14ac:dyDescent="0.55000000000000004">
      <c r="A10297">
        <f t="shared" si="322"/>
        <v>1983</v>
      </c>
      <c r="B10297" s="821">
        <v>30651</v>
      </c>
      <c r="C10297">
        <v>11.67</v>
      </c>
      <c r="D10297">
        <f t="shared" si="323"/>
        <v>1</v>
      </c>
    </row>
    <row r="10298" spans="1:4" x14ac:dyDescent="0.55000000000000004">
      <c r="A10298">
        <f t="shared" si="322"/>
        <v>1983</v>
      </c>
      <c r="B10298" s="821">
        <v>30650</v>
      </c>
      <c r="C10298">
        <v>11.67</v>
      </c>
      <c r="D10298">
        <f t="shared" si="323"/>
        <v>1</v>
      </c>
    </row>
    <row r="10299" spans="1:4" x14ac:dyDescent="0.55000000000000004">
      <c r="A10299">
        <f t="shared" si="322"/>
        <v>1983</v>
      </c>
      <c r="B10299" s="821">
        <v>30649</v>
      </c>
      <c r="C10299">
        <v>11.62</v>
      </c>
      <c r="D10299">
        <f t="shared" si="323"/>
        <v>1</v>
      </c>
    </row>
    <row r="10300" spans="1:4" x14ac:dyDescent="0.55000000000000004">
      <c r="A10300">
        <f t="shared" si="322"/>
        <v>1983</v>
      </c>
      <c r="B10300" s="821">
        <v>30648</v>
      </c>
      <c r="C10300">
        <v>11.7</v>
      </c>
      <c r="D10300">
        <f t="shared" si="323"/>
        <v>1</v>
      </c>
    </row>
    <row r="10301" spans="1:4" x14ac:dyDescent="0.55000000000000004">
      <c r="A10301">
        <f t="shared" si="322"/>
        <v>1983</v>
      </c>
      <c r="B10301" s="821">
        <v>30645</v>
      </c>
      <c r="C10301">
        <v>11.63</v>
      </c>
      <c r="D10301">
        <f t="shared" si="323"/>
        <v>1</v>
      </c>
    </row>
    <row r="10302" spans="1:4" x14ac:dyDescent="0.55000000000000004">
      <c r="A10302">
        <f t="shared" si="322"/>
        <v>1983</v>
      </c>
      <c r="B10302" s="821">
        <v>30643</v>
      </c>
      <c r="C10302">
        <v>11.65</v>
      </c>
      <c r="D10302">
        <f t="shared" si="323"/>
        <v>1</v>
      </c>
    </row>
    <row r="10303" spans="1:4" x14ac:dyDescent="0.55000000000000004">
      <c r="A10303">
        <f t="shared" si="322"/>
        <v>1983</v>
      </c>
      <c r="B10303" s="821">
        <v>30642</v>
      </c>
      <c r="C10303">
        <v>11.64</v>
      </c>
      <c r="D10303">
        <f t="shared" si="323"/>
        <v>1</v>
      </c>
    </row>
    <row r="10304" spans="1:4" x14ac:dyDescent="0.55000000000000004">
      <c r="A10304">
        <f t="shared" si="322"/>
        <v>1983</v>
      </c>
      <c r="B10304" s="821">
        <v>30641</v>
      </c>
      <c r="C10304">
        <v>11.7</v>
      </c>
      <c r="D10304">
        <f t="shared" si="323"/>
        <v>1</v>
      </c>
    </row>
    <row r="10305" spans="1:4" x14ac:dyDescent="0.55000000000000004">
      <c r="A10305">
        <f t="shared" si="322"/>
        <v>1983</v>
      </c>
      <c r="B10305" s="821">
        <v>30638</v>
      </c>
      <c r="C10305">
        <v>11.79</v>
      </c>
      <c r="D10305">
        <f t="shared" si="323"/>
        <v>1</v>
      </c>
    </row>
    <row r="10306" spans="1:4" x14ac:dyDescent="0.55000000000000004">
      <c r="A10306">
        <f t="shared" si="322"/>
        <v>1983</v>
      </c>
      <c r="B10306" s="821">
        <v>30637</v>
      </c>
      <c r="C10306">
        <v>11.78</v>
      </c>
      <c r="D10306">
        <f t="shared" si="323"/>
        <v>1</v>
      </c>
    </row>
    <row r="10307" spans="1:4" x14ac:dyDescent="0.55000000000000004">
      <c r="A10307">
        <f t="shared" si="322"/>
        <v>1983</v>
      </c>
      <c r="B10307" s="821">
        <v>30636</v>
      </c>
      <c r="C10307">
        <v>11.76</v>
      </c>
      <c r="D10307">
        <f t="shared" si="323"/>
        <v>1</v>
      </c>
    </row>
    <row r="10308" spans="1:4" x14ac:dyDescent="0.55000000000000004">
      <c r="A10308">
        <f t="shared" ref="A10308:A10371" si="324">YEAR(B10308)</f>
        <v>1983</v>
      </c>
      <c r="B10308" s="821">
        <v>30635</v>
      </c>
      <c r="C10308">
        <v>11.72</v>
      </c>
      <c r="D10308">
        <f t="shared" ref="D10308:D10371" si="325">IF(C10308&gt;4,1,0)</f>
        <v>1</v>
      </c>
    </row>
    <row r="10309" spans="1:4" x14ac:dyDescent="0.55000000000000004">
      <c r="A10309">
        <f t="shared" si="324"/>
        <v>1983</v>
      </c>
      <c r="B10309" s="821">
        <v>30634</v>
      </c>
      <c r="C10309">
        <v>11.73</v>
      </c>
      <c r="D10309">
        <f t="shared" si="325"/>
        <v>1</v>
      </c>
    </row>
    <row r="10310" spans="1:4" x14ac:dyDescent="0.55000000000000004">
      <c r="A10310">
        <f t="shared" si="324"/>
        <v>1983</v>
      </c>
      <c r="B10310" s="821">
        <v>30630</v>
      </c>
      <c r="C10310">
        <v>11.74</v>
      </c>
      <c r="D10310">
        <f t="shared" si="325"/>
        <v>1</v>
      </c>
    </row>
    <row r="10311" spans="1:4" x14ac:dyDescent="0.55000000000000004">
      <c r="A10311">
        <f t="shared" si="324"/>
        <v>1983</v>
      </c>
      <c r="B10311" s="821">
        <v>30629</v>
      </c>
      <c r="C10311">
        <v>11.87</v>
      </c>
      <c r="D10311">
        <f t="shared" si="325"/>
        <v>1</v>
      </c>
    </row>
    <row r="10312" spans="1:4" x14ac:dyDescent="0.55000000000000004">
      <c r="A10312">
        <f t="shared" si="324"/>
        <v>1983</v>
      </c>
      <c r="B10312" s="821">
        <v>30627</v>
      </c>
      <c r="C10312">
        <v>11.9</v>
      </c>
      <c r="D10312">
        <f t="shared" si="325"/>
        <v>1</v>
      </c>
    </row>
    <row r="10313" spans="1:4" x14ac:dyDescent="0.55000000000000004">
      <c r="A10313">
        <f t="shared" si="324"/>
        <v>1983</v>
      </c>
      <c r="B10313" s="821">
        <v>30624</v>
      </c>
      <c r="C10313">
        <v>11.91</v>
      </c>
      <c r="D10313">
        <f t="shared" si="325"/>
        <v>1</v>
      </c>
    </row>
    <row r="10314" spans="1:4" x14ac:dyDescent="0.55000000000000004">
      <c r="A10314">
        <f t="shared" si="324"/>
        <v>1983</v>
      </c>
      <c r="B10314" s="821">
        <v>30623</v>
      </c>
      <c r="C10314">
        <v>11.83</v>
      </c>
      <c r="D10314">
        <f t="shared" si="325"/>
        <v>1</v>
      </c>
    </row>
    <row r="10315" spans="1:4" x14ac:dyDescent="0.55000000000000004">
      <c r="A10315">
        <f t="shared" si="324"/>
        <v>1983</v>
      </c>
      <c r="B10315" s="821">
        <v>30622</v>
      </c>
      <c r="C10315">
        <v>11.76</v>
      </c>
      <c r="D10315">
        <f t="shared" si="325"/>
        <v>1</v>
      </c>
    </row>
    <row r="10316" spans="1:4" x14ac:dyDescent="0.55000000000000004">
      <c r="A10316">
        <f t="shared" si="324"/>
        <v>1983</v>
      </c>
      <c r="B10316" s="821">
        <v>30621</v>
      </c>
      <c r="C10316">
        <v>11.77</v>
      </c>
      <c r="D10316">
        <f t="shared" si="325"/>
        <v>1</v>
      </c>
    </row>
    <row r="10317" spans="1:4" x14ac:dyDescent="0.55000000000000004">
      <c r="A10317">
        <f t="shared" si="324"/>
        <v>1983</v>
      </c>
      <c r="B10317" s="821">
        <v>30620</v>
      </c>
      <c r="C10317">
        <v>11.78</v>
      </c>
      <c r="D10317">
        <f t="shared" si="325"/>
        <v>1</v>
      </c>
    </row>
    <row r="10318" spans="1:4" x14ac:dyDescent="0.55000000000000004">
      <c r="A10318">
        <f t="shared" si="324"/>
        <v>1983</v>
      </c>
      <c r="B10318" s="821">
        <v>30617</v>
      </c>
      <c r="C10318">
        <v>11.74</v>
      </c>
      <c r="D10318">
        <f t="shared" si="325"/>
        <v>1</v>
      </c>
    </row>
    <row r="10319" spans="1:4" x14ac:dyDescent="0.55000000000000004">
      <c r="A10319">
        <f t="shared" si="324"/>
        <v>1983</v>
      </c>
      <c r="B10319" s="821">
        <v>30616</v>
      </c>
      <c r="C10319">
        <v>11.71</v>
      </c>
      <c r="D10319">
        <f t="shared" si="325"/>
        <v>1</v>
      </c>
    </row>
    <row r="10320" spans="1:4" x14ac:dyDescent="0.55000000000000004">
      <c r="A10320">
        <f t="shared" si="324"/>
        <v>1983</v>
      </c>
      <c r="B10320" s="821">
        <v>30615</v>
      </c>
      <c r="C10320">
        <v>11.73</v>
      </c>
      <c r="D10320">
        <f t="shared" si="325"/>
        <v>1</v>
      </c>
    </row>
    <row r="10321" spans="1:4" x14ac:dyDescent="0.55000000000000004">
      <c r="A10321">
        <f t="shared" si="324"/>
        <v>1983</v>
      </c>
      <c r="B10321" s="821">
        <v>30614</v>
      </c>
      <c r="C10321">
        <v>11.73</v>
      </c>
      <c r="D10321">
        <f t="shared" si="325"/>
        <v>1</v>
      </c>
    </row>
    <row r="10322" spans="1:4" x14ac:dyDescent="0.55000000000000004">
      <c r="A10322">
        <f t="shared" si="324"/>
        <v>1983</v>
      </c>
      <c r="B10322" s="821">
        <v>30613</v>
      </c>
      <c r="C10322">
        <v>11.69</v>
      </c>
      <c r="D10322">
        <f t="shared" si="325"/>
        <v>1</v>
      </c>
    </row>
    <row r="10323" spans="1:4" x14ac:dyDescent="0.55000000000000004">
      <c r="A10323">
        <f t="shared" si="324"/>
        <v>1983</v>
      </c>
      <c r="B10323" s="821">
        <v>30610</v>
      </c>
      <c r="C10323">
        <v>11.47</v>
      </c>
      <c r="D10323">
        <f t="shared" si="325"/>
        <v>1</v>
      </c>
    </row>
    <row r="10324" spans="1:4" x14ac:dyDescent="0.55000000000000004">
      <c r="A10324">
        <f t="shared" si="324"/>
        <v>1983</v>
      </c>
      <c r="B10324" s="821">
        <v>30609</v>
      </c>
      <c r="C10324">
        <v>11.51</v>
      </c>
      <c r="D10324">
        <f t="shared" si="325"/>
        <v>1</v>
      </c>
    </row>
    <row r="10325" spans="1:4" x14ac:dyDescent="0.55000000000000004">
      <c r="A10325">
        <f t="shared" si="324"/>
        <v>1983</v>
      </c>
      <c r="B10325" s="821">
        <v>30608</v>
      </c>
      <c r="C10325">
        <v>11.51</v>
      </c>
      <c r="D10325">
        <f t="shared" si="325"/>
        <v>1</v>
      </c>
    </row>
    <row r="10326" spans="1:4" x14ac:dyDescent="0.55000000000000004">
      <c r="A10326">
        <f t="shared" si="324"/>
        <v>1983</v>
      </c>
      <c r="B10326" s="821">
        <v>30607</v>
      </c>
      <c r="C10326">
        <v>11.56</v>
      </c>
      <c r="D10326">
        <f t="shared" si="325"/>
        <v>1</v>
      </c>
    </row>
    <row r="10327" spans="1:4" x14ac:dyDescent="0.55000000000000004">
      <c r="A10327">
        <f t="shared" si="324"/>
        <v>1983</v>
      </c>
      <c r="B10327" s="821">
        <v>30606</v>
      </c>
      <c r="C10327">
        <v>11.51</v>
      </c>
      <c r="D10327">
        <f t="shared" si="325"/>
        <v>1</v>
      </c>
    </row>
    <row r="10328" spans="1:4" x14ac:dyDescent="0.55000000000000004">
      <c r="A10328">
        <f t="shared" si="324"/>
        <v>1983</v>
      </c>
      <c r="B10328" s="821">
        <v>30603</v>
      </c>
      <c r="C10328">
        <v>11.61</v>
      </c>
      <c r="D10328">
        <f t="shared" si="325"/>
        <v>1</v>
      </c>
    </row>
    <row r="10329" spans="1:4" x14ac:dyDescent="0.55000000000000004">
      <c r="A10329">
        <f t="shared" si="324"/>
        <v>1983</v>
      </c>
      <c r="B10329" s="821">
        <v>30602</v>
      </c>
      <c r="C10329">
        <v>11.69</v>
      </c>
      <c r="D10329">
        <f t="shared" si="325"/>
        <v>1</v>
      </c>
    </row>
    <row r="10330" spans="1:4" x14ac:dyDescent="0.55000000000000004">
      <c r="A10330">
        <f t="shared" si="324"/>
        <v>1983</v>
      </c>
      <c r="B10330" s="821">
        <v>30601</v>
      </c>
      <c r="C10330">
        <v>11.62</v>
      </c>
      <c r="D10330">
        <f t="shared" si="325"/>
        <v>1</v>
      </c>
    </row>
    <row r="10331" spans="1:4" x14ac:dyDescent="0.55000000000000004">
      <c r="A10331">
        <f t="shared" si="324"/>
        <v>1983</v>
      </c>
      <c r="B10331" s="821">
        <v>30600</v>
      </c>
      <c r="C10331">
        <v>11.61</v>
      </c>
      <c r="D10331">
        <f t="shared" si="325"/>
        <v>1</v>
      </c>
    </row>
    <row r="10332" spans="1:4" x14ac:dyDescent="0.55000000000000004">
      <c r="A10332">
        <f t="shared" si="324"/>
        <v>1983</v>
      </c>
      <c r="B10332" s="821">
        <v>30596</v>
      </c>
      <c r="C10332">
        <v>11.38</v>
      </c>
      <c r="D10332">
        <f t="shared" si="325"/>
        <v>1</v>
      </c>
    </row>
    <row r="10333" spans="1:4" x14ac:dyDescent="0.55000000000000004">
      <c r="A10333">
        <f t="shared" si="324"/>
        <v>1983</v>
      </c>
      <c r="B10333" s="821">
        <v>30595</v>
      </c>
      <c r="C10333">
        <v>11.36</v>
      </c>
      <c r="D10333">
        <f t="shared" si="325"/>
        <v>1</v>
      </c>
    </row>
    <row r="10334" spans="1:4" x14ac:dyDescent="0.55000000000000004">
      <c r="A10334">
        <f t="shared" si="324"/>
        <v>1983</v>
      </c>
      <c r="B10334" s="821">
        <v>30594</v>
      </c>
      <c r="C10334">
        <v>11.38</v>
      </c>
      <c r="D10334">
        <f t="shared" si="325"/>
        <v>1</v>
      </c>
    </row>
    <row r="10335" spans="1:4" x14ac:dyDescent="0.55000000000000004">
      <c r="A10335">
        <f t="shared" si="324"/>
        <v>1983</v>
      </c>
      <c r="B10335" s="821">
        <v>30593</v>
      </c>
      <c r="C10335">
        <v>11.47</v>
      </c>
      <c r="D10335">
        <f t="shared" si="325"/>
        <v>1</v>
      </c>
    </row>
    <row r="10336" spans="1:4" x14ac:dyDescent="0.55000000000000004">
      <c r="A10336">
        <f t="shared" si="324"/>
        <v>1983</v>
      </c>
      <c r="B10336" s="821">
        <v>30592</v>
      </c>
      <c r="C10336">
        <v>11.48</v>
      </c>
      <c r="D10336">
        <f t="shared" si="325"/>
        <v>1</v>
      </c>
    </row>
    <row r="10337" spans="1:4" x14ac:dyDescent="0.55000000000000004">
      <c r="A10337">
        <f t="shared" si="324"/>
        <v>1983</v>
      </c>
      <c r="B10337" s="821">
        <v>30589</v>
      </c>
      <c r="C10337">
        <v>11.44</v>
      </c>
      <c r="D10337">
        <f t="shared" si="325"/>
        <v>1</v>
      </c>
    </row>
    <row r="10338" spans="1:4" x14ac:dyDescent="0.55000000000000004">
      <c r="A10338">
        <f t="shared" si="324"/>
        <v>1983</v>
      </c>
      <c r="B10338" s="821">
        <v>30588</v>
      </c>
      <c r="C10338">
        <v>11.48</v>
      </c>
      <c r="D10338">
        <f t="shared" si="325"/>
        <v>1</v>
      </c>
    </row>
    <row r="10339" spans="1:4" x14ac:dyDescent="0.55000000000000004">
      <c r="A10339">
        <f t="shared" si="324"/>
        <v>1983</v>
      </c>
      <c r="B10339" s="821">
        <v>30587</v>
      </c>
      <c r="C10339">
        <v>11.47</v>
      </c>
      <c r="D10339">
        <f t="shared" si="325"/>
        <v>1</v>
      </c>
    </row>
    <row r="10340" spans="1:4" x14ac:dyDescent="0.55000000000000004">
      <c r="A10340">
        <f t="shared" si="324"/>
        <v>1983</v>
      </c>
      <c r="B10340" s="821">
        <v>30586</v>
      </c>
      <c r="C10340">
        <v>11.44</v>
      </c>
      <c r="D10340">
        <f t="shared" si="325"/>
        <v>1</v>
      </c>
    </row>
    <row r="10341" spans="1:4" x14ac:dyDescent="0.55000000000000004">
      <c r="A10341">
        <f t="shared" si="324"/>
        <v>1983</v>
      </c>
      <c r="B10341" s="821">
        <v>30585</v>
      </c>
      <c r="C10341">
        <v>11.42</v>
      </c>
      <c r="D10341">
        <f t="shared" si="325"/>
        <v>1</v>
      </c>
    </row>
    <row r="10342" spans="1:4" x14ac:dyDescent="0.55000000000000004">
      <c r="A10342">
        <f t="shared" si="324"/>
        <v>1983</v>
      </c>
      <c r="B10342" s="821">
        <v>30582</v>
      </c>
      <c r="C10342">
        <v>11.47</v>
      </c>
      <c r="D10342">
        <f t="shared" si="325"/>
        <v>1</v>
      </c>
    </row>
    <row r="10343" spans="1:4" x14ac:dyDescent="0.55000000000000004">
      <c r="A10343">
        <f t="shared" si="324"/>
        <v>1983</v>
      </c>
      <c r="B10343" s="821">
        <v>30581</v>
      </c>
      <c r="C10343">
        <v>11.56</v>
      </c>
      <c r="D10343">
        <f t="shared" si="325"/>
        <v>1</v>
      </c>
    </row>
    <row r="10344" spans="1:4" x14ac:dyDescent="0.55000000000000004">
      <c r="A10344">
        <f t="shared" si="324"/>
        <v>1983</v>
      </c>
      <c r="B10344" s="821">
        <v>30580</v>
      </c>
      <c r="C10344">
        <v>11.6</v>
      </c>
      <c r="D10344">
        <f t="shared" si="325"/>
        <v>1</v>
      </c>
    </row>
    <row r="10345" spans="1:4" x14ac:dyDescent="0.55000000000000004">
      <c r="A10345">
        <f t="shared" si="324"/>
        <v>1983</v>
      </c>
      <c r="B10345" s="821">
        <v>30579</v>
      </c>
      <c r="C10345">
        <v>11.57</v>
      </c>
      <c r="D10345">
        <f t="shared" si="325"/>
        <v>1</v>
      </c>
    </row>
    <row r="10346" spans="1:4" x14ac:dyDescent="0.55000000000000004">
      <c r="A10346">
        <f t="shared" si="324"/>
        <v>1983</v>
      </c>
      <c r="B10346" s="821">
        <v>30578</v>
      </c>
      <c r="C10346">
        <v>11.65</v>
      </c>
      <c r="D10346">
        <f t="shared" si="325"/>
        <v>1</v>
      </c>
    </row>
    <row r="10347" spans="1:4" x14ac:dyDescent="0.55000000000000004">
      <c r="A10347">
        <f t="shared" si="324"/>
        <v>1983</v>
      </c>
      <c r="B10347" s="821">
        <v>30575</v>
      </c>
      <c r="C10347">
        <v>11.65</v>
      </c>
      <c r="D10347">
        <f t="shared" si="325"/>
        <v>1</v>
      </c>
    </row>
    <row r="10348" spans="1:4" x14ac:dyDescent="0.55000000000000004">
      <c r="A10348">
        <f t="shared" si="324"/>
        <v>1983</v>
      </c>
      <c r="B10348" s="821">
        <v>30574</v>
      </c>
      <c r="C10348">
        <v>11.8</v>
      </c>
      <c r="D10348">
        <f t="shared" si="325"/>
        <v>1</v>
      </c>
    </row>
    <row r="10349" spans="1:4" x14ac:dyDescent="0.55000000000000004">
      <c r="A10349">
        <f t="shared" si="324"/>
        <v>1983</v>
      </c>
      <c r="B10349" s="821">
        <v>30573</v>
      </c>
      <c r="C10349">
        <v>11.73</v>
      </c>
      <c r="D10349">
        <f t="shared" si="325"/>
        <v>1</v>
      </c>
    </row>
    <row r="10350" spans="1:4" x14ac:dyDescent="0.55000000000000004">
      <c r="A10350">
        <f t="shared" si="324"/>
        <v>1983</v>
      </c>
      <c r="B10350" s="821">
        <v>30572</v>
      </c>
      <c r="C10350">
        <v>11.61</v>
      </c>
      <c r="D10350">
        <f t="shared" si="325"/>
        <v>1</v>
      </c>
    </row>
    <row r="10351" spans="1:4" x14ac:dyDescent="0.55000000000000004">
      <c r="A10351">
        <f t="shared" si="324"/>
        <v>1983</v>
      </c>
      <c r="B10351" s="821">
        <v>30571</v>
      </c>
      <c r="C10351">
        <v>11.56</v>
      </c>
      <c r="D10351">
        <f t="shared" si="325"/>
        <v>1</v>
      </c>
    </row>
    <row r="10352" spans="1:4" x14ac:dyDescent="0.55000000000000004">
      <c r="A10352">
        <f t="shared" si="324"/>
        <v>1983</v>
      </c>
      <c r="B10352" s="821">
        <v>30568</v>
      </c>
      <c r="C10352">
        <v>11.7</v>
      </c>
      <c r="D10352">
        <f t="shared" si="325"/>
        <v>1</v>
      </c>
    </row>
    <row r="10353" spans="1:4" x14ac:dyDescent="0.55000000000000004">
      <c r="A10353">
        <f t="shared" si="324"/>
        <v>1983</v>
      </c>
      <c r="B10353" s="821">
        <v>30567</v>
      </c>
      <c r="C10353">
        <v>11.73</v>
      </c>
      <c r="D10353">
        <f t="shared" si="325"/>
        <v>1</v>
      </c>
    </row>
    <row r="10354" spans="1:4" x14ac:dyDescent="0.55000000000000004">
      <c r="A10354">
        <f t="shared" si="324"/>
        <v>1983</v>
      </c>
      <c r="B10354" s="821">
        <v>30566</v>
      </c>
      <c r="C10354">
        <v>11.68</v>
      </c>
      <c r="D10354">
        <f t="shared" si="325"/>
        <v>1</v>
      </c>
    </row>
    <row r="10355" spans="1:4" x14ac:dyDescent="0.55000000000000004">
      <c r="A10355">
        <f t="shared" si="324"/>
        <v>1983</v>
      </c>
      <c r="B10355" s="821">
        <v>30565</v>
      </c>
      <c r="C10355">
        <v>11.82</v>
      </c>
      <c r="D10355">
        <f t="shared" si="325"/>
        <v>1</v>
      </c>
    </row>
    <row r="10356" spans="1:4" x14ac:dyDescent="0.55000000000000004">
      <c r="A10356">
        <f t="shared" si="324"/>
        <v>1983</v>
      </c>
      <c r="B10356" s="821">
        <v>30561</v>
      </c>
      <c r="C10356">
        <v>11.97</v>
      </c>
      <c r="D10356">
        <f t="shared" si="325"/>
        <v>1</v>
      </c>
    </row>
    <row r="10357" spans="1:4" x14ac:dyDescent="0.55000000000000004">
      <c r="A10357">
        <f t="shared" si="324"/>
        <v>1983</v>
      </c>
      <c r="B10357" s="821">
        <v>30560</v>
      </c>
      <c r="C10357">
        <v>11.95</v>
      </c>
      <c r="D10357">
        <f t="shared" si="325"/>
        <v>1</v>
      </c>
    </row>
    <row r="10358" spans="1:4" x14ac:dyDescent="0.55000000000000004">
      <c r="A10358">
        <f t="shared" si="324"/>
        <v>1983</v>
      </c>
      <c r="B10358" s="821">
        <v>30559</v>
      </c>
      <c r="C10358">
        <v>11.96</v>
      </c>
      <c r="D10358">
        <f t="shared" si="325"/>
        <v>1</v>
      </c>
    </row>
    <row r="10359" spans="1:4" x14ac:dyDescent="0.55000000000000004">
      <c r="A10359">
        <f t="shared" si="324"/>
        <v>1983</v>
      </c>
      <c r="B10359" s="821">
        <v>30558</v>
      </c>
      <c r="C10359">
        <v>11.89</v>
      </c>
      <c r="D10359">
        <f t="shared" si="325"/>
        <v>1</v>
      </c>
    </row>
    <row r="10360" spans="1:4" x14ac:dyDescent="0.55000000000000004">
      <c r="A10360">
        <f t="shared" si="324"/>
        <v>1983</v>
      </c>
      <c r="B10360" s="821">
        <v>30557</v>
      </c>
      <c r="C10360">
        <v>11.81</v>
      </c>
      <c r="D10360">
        <f t="shared" si="325"/>
        <v>1</v>
      </c>
    </row>
    <row r="10361" spans="1:4" x14ac:dyDescent="0.55000000000000004">
      <c r="A10361">
        <f t="shared" si="324"/>
        <v>1983</v>
      </c>
      <c r="B10361" s="821">
        <v>30554</v>
      </c>
      <c r="C10361">
        <v>11.6</v>
      </c>
      <c r="D10361">
        <f t="shared" si="325"/>
        <v>1</v>
      </c>
    </row>
    <row r="10362" spans="1:4" x14ac:dyDescent="0.55000000000000004">
      <c r="A10362">
        <f t="shared" si="324"/>
        <v>1983</v>
      </c>
      <c r="B10362" s="821">
        <v>30553</v>
      </c>
      <c r="C10362">
        <v>11.57</v>
      </c>
      <c r="D10362">
        <f t="shared" si="325"/>
        <v>1</v>
      </c>
    </row>
    <row r="10363" spans="1:4" x14ac:dyDescent="0.55000000000000004">
      <c r="A10363">
        <f t="shared" si="324"/>
        <v>1983</v>
      </c>
      <c r="B10363" s="821">
        <v>30552</v>
      </c>
      <c r="C10363">
        <v>11.52</v>
      </c>
      <c r="D10363">
        <f t="shared" si="325"/>
        <v>1</v>
      </c>
    </row>
    <row r="10364" spans="1:4" x14ac:dyDescent="0.55000000000000004">
      <c r="A10364">
        <f t="shared" si="324"/>
        <v>1983</v>
      </c>
      <c r="B10364" s="821">
        <v>30551</v>
      </c>
      <c r="C10364">
        <v>11.56</v>
      </c>
      <c r="D10364">
        <f t="shared" si="325"/>
        <v>1</v>
      </c>
    </row>
    <row r="10365" spans="1:4" x14ac:dyDescent="0.55000000000000004">
      <c r="A10365">
        <f t="shared" si="324"/>
        <v>1983</v>
      </c>
      <c r="B10365" s="821">
        <v>30550</v>
      </c>
      <c r="C10365">
        <v>11.51</v>
      </c>
      <c r="D10365">
        <f t="shared" si="325"/>
        <v>1</v>
      </c>
    </row>
    <row r="10366" spans="1:4" x14ac:dyDescent="0.55000000000000004">
      <c r="A10366">
        <f t="shared" si="324"/>
        <v>1983</v>
      </c>
      <c r="B10366" s="821">
        <v>30547</v>
      </c>
      <c r="C10366">
        <v>11.73</v>
      </c>
      <c r="D10366">
        <f t="shared" si="325"/>
        <v>1</v>
      </c>
    </row>
    <row r="10367" spans="1:4" x14ac:dyDescent="0.55000000000000004">
      <c r="A10367">
        <f t="shared" si="324"/>
        <v>1983</v>
      </c>
      <c r="B10367" s="821">
        <v>30546</v>
      </c>
      <c r="C10367">
        <v>11.68</v>
      </c>
      <c r="D10367">
        <f t="shared" si="325"/>
        <v>1</v>
      </c>
    </row>
    <row r="10368" spans="1:4" x14ac:dyDescent="0.55000000000000004">
      <c r="A10368">
        <f t="shared" si="324"/>
        <v>1983</v>
      </c>
      <c r="B10368" s="821">
        <v>30545</v>
      </c>
      <c r="C10368">
        <v>11.61</v>
      </c>
      <c r="D10368">
        <f t="shared" si="325"/>
        <v>1</v>
      </c>
    </row>
    <row r="10369" spans="1:4" x14ac:dyDescent="0.55000000000000004">
      <c r="A10369">
        <f t="shared" si="324"/>
        <v>1983</v>
      </c>
      <c r="B10369" s="821">
        <v>30544</v>
      </c>
      <c r="C10369">
        <v>11.7</v>
      </c>
      <c r="D10369">
        <f t="shared" si="325"/>
        <v>1</v>
      </c>
    </row>
    <row r="10370" spans="1:4" x14ac:dyDescent="0.55000000000000004">
      <c r="A10370">
        <f t="shared" si="324"/>
        <v>1983</v>
      </c>
      <c r="B10370" s="821">
        <v>30543</v>
      </c>
      <c r="C10370">
        <v>11.71</v>
      </c>
      <c r="D10370">
        <f t="shared" si="325"/>
        <v>1</v>
      </c>
    </row>
    <row r="10371" spans="1:4" x14ac:dyDescent="0.55000000000000004">
      <c r="A10371">
        <f t="shared" si="324"/>
        <v>1983</v>
      </c>
      <c r="B10371" s="821">
        <v>30540</v>
      </c>
      <c r="C10371">
        <v>11.89</v>
      </c>
      <c r="D10371">
        <f t="shared" si="325"/>
        <v>1</v>
      </c>
    </row>
    <row r="10372" spans="1:4" x14ac:dyDescent="0.55000000000000004">
      <c r="A10372">
        <f t="shared" ref="A10372:A10435" si="326">YEAR(B10372)</f>
        <v>1983</v>
      </c>
      <c r="B10372" s="821">
        <v>30539</v>
      </c>
      <c r="C10372">
        <v>12</v>
      </c>
      <c r="D10372">
        <f t="shared" ref="D10372:D10435" si="327">IF(C10372&gt;4,1,0)</f>
        <v>1</v>
      </c>
    </row>
    <row r="10373" spans="1:4" x14ac:dyDescent="0.55000000000000004">
      <c r="A10373">
        <f t="shared" si="326"/>
        <v>1983</v>
      </c>
      <c r="B10373" s="821">
        <v>30538</v>
      </c>
      <c r="C10373">
        <v>12.13</v>
      </c>
      <c r="D10373">
        <f t="shared" si="327"/>
        <v>1</v>
      </c>
    </row>
    <row r="10374" spans="1:4" x14ac:dyDescent="0.55000000000000004">
      <c r="A10374">
        <f t="shared" si="326"/>
        <v>1983</v>
      </c>
      <c r="B10374" s="821">
        <v>30537</v>
      </c>
      <c r="C10374">
        <v>12.09</v>
      </c>
      <c r="D10374">
        <f t="shared" si="327"/>
        <v>1</v>
      </c>
    </row>
    <row r="10375" spans="1:4" x14ac:dyDescent="0.55000000000000004">
      <c r="A10375">
        <f t="shared" si="326"/>
        <v>1983</v>
      </c>
      <c r="B10375" s="821">
        <v>30536</v>
      </c>
      <c r="C10375">
        <v>12.15</v>
      </c>
      <c r="D10375">
        <f t="shared" si="327"/>
        <v>1</v>
      </c>
    </row>
    <row r="10376" spans="1:4" x14ac:dyDescent="0.55000000000000004">
      <c r="A10376">
        <f t="shared" si="326"/>
        <v>1983</v>
      </c>
      <c r="B10376" s="821">
        <v>30533</v>
      </c>
      <c r="C10376">
        <v>12.07</v>
      </c>
      <c r="D10376">
        <f t="shared" si="327"/>
        <v>1</v>
      </c>
    </row>
    <row r="10377" spans="1:4" x14ac:dyDescent="0.55000000000000004">
      <c r="A10377">
        <f t="shared" si="326"/>
        <v>1983</v>
      </c>
      <c r="B10377" s="821">
        <v>30532</v>
      </c>
      <c r="C10377">
        <v>12.12</v>
      </c>
      <c r="D10377">
        <f t="shared" si="327"/>
        <v>1</v>
      </c>
    </row>
    <row r="10378" spans="1:4" x14ac:dyDescent="0.55000000000000004">
      <c r="A10378">
        <f t="shared" si="326"/>
        <v>1983</v>
      </c>
      <c r="B10378" s="821">
        <v>30531</v>
      </c>
      <c r="C10378">
        <v>11.87</v>
      </c>
      <c r="D10378">
        <f t="shared" si="327"/>
        <v>1</v>
      </c>
    </row>
    <row r="10379" spans="1:4" x14ac:dyDescent="0.55000000000000004">
      <c r="A10379">
        <f t="shared" si="326"/>
        <v>1983</v>
      </c>
      <c r="B10379" s="821">
        <v>30530</v>
      </c>
      <c r="C10379">
        <v>11.78</v>
      </c>
      <c r="D10379">
        <f t="shared" si="327"/>
        <v>1</v>
      </c>
    </row>
    <row r="10380" spans="1:4" x14ac:dyDescent="0.55000000000000004">
      <c r="A10380">
        <f t="shared" si="326"/>
        <v>1983</v>
      </c>
      <c r="B10380" s="821">
        <v>30529</v>
      </c>
      <c r="C10380">
        <v>11.82</v>
      </c>
      <c r="D10380">
        <f t="shared" si="327"/>
        <v>1</v>
      </c>
    </row>
    <row r="10381" spans="1:4" x14ac:dyDescent="0.55000000000000004">
      <c r="A10381">
        <f t="shared" si="326"/>
        <v>1983</v>
      </c>
      <c r="B10381" s="821">
        <v>30526</v>
      </c>
      <c r="C10381">
        <v>11.8</v>
      </c>
      <c r="D10381">
        <f t="shared" si="327"/>
        <v>1</v>
      </c>
    </row>
    <row r="10382" spans="1:4" x14ac:dyDescent="0.55000000000000004">
      <c r="A10382">
        <f t="shared" si="326"/>
        <v>1983</v>
      </c>
      <c r="B10382" s="821">
        <v>30525</v>
      </c>
      <c r="C10382">
        <v>11.68</v>
      </c>
      <c r="D10382">
        <f t="shared" si="327"/>
        <v>1</v>
      </c>
    </row>
    <row r="10383" spans="1:4" x14ac:dyDescent="0.55000000000000004">
      <c r="A10383">
        <f t="shared" si="326"/>
        <v>1983</v>
      </c>
      <c r="B10383" s="821">
        <v>30524</v>
      </c>
      <c r="C10383">
        <v>11.53</v>
      </c>
      <c r="D10383">
        <f t="shared" si="327"/>
        <v>1</v>
      </c>
    </row>
    <row r="10384" spans="1:4" x14ac:dyDescent="0.55000000000000004">
      <c r="A10384">
        <f t="shared" si="326"/>
        <v>1983</v>
      </c>
      <c r="B10384" s="821">
        <v>30523</v>
      </c>
      <c r="C10384">
        <v>11.5</v>
      </c>
      <c r="D10384">
        <f t="shared" si="327"/>
        <v>1</v>
      </c>
    </row>
    <row r="10385" spans="1:4" x14ac:dyDescent="0.55000000000000004">
      <c r="A10385">
        <f t="shared" si="326"/>
        <v>1983</v>
      </c>
      <c r="B10385" s="821">
        <v>30522</v>
      </c>
      <c r="C10385">
        <v>11.42</v>
      </c>
      <c r="D10385">
        <f t="shared" si="327"/>
        <v>1</v>
      </c>
    </row>
    <row r="10386" spans="1:4" x14ac:dyDescent="0.55000000000000004">
      <c r="A10386">
        <f t="shared" si="326"/>
        <v>1983</v>
      </c>
      <c r="B10386" s="821">
        <v>30519</v>
      </c>
      <c r="C10386">
        <v>11.48</v>
      </c>
      <c r="D10386">
        <f t="shared" si="327"/>
        <v>1</v>
      </c>
    </row>
    <row r="10387" spans="1:4" x14ac:dyDescent="0.55000000000000004">
      <c r="A10387">
        <f t="shared" si="326"/>
        <v>1983</v>
      </c>
      <c r="B10387" s="821">
        <v>30518</v>
      </c>
      <c r="C10387">
        <v>11.34</v>
      </c>
      <c r="D10387">
        <f t="shared" si="327"/>
        <v>1</v>
      </c>
    </row>
    <row r="10388" spans="1:4" x14ac:dyDescent="0.55000000000000004">
      <c r="A10388">
        <f t="shared" si="326"/>
        <v>1983</v>
      </c>
      <c r="B10388" s="821">
        <v>30517</v>
      </c>
      <c r="C10388">
        <v>11.28</v>
      </c>
      <c r="D10388">
        <f t="shared" si="327"/>
        <v>1</v>
      </c>
    </row>
    <row r="10389" spans="1:4" x14ac:dyDescent="0.55000000000000004">
      <c r="A10389">
        <f t="shared" si="326"/>
        <v>1983</v>
      </c>
      <c r="B10389" s="821">
        <v>30516</v>
      </c>
      <c r="C10389">
        <v>11.33</v>
      </c>
      <c r="D10389">
        <f t="shared" si="327"/>
        <v>1</v>
      </c>
    </row>
    <row r="10390" spans="1:4" x14ac:dyDescent="0.55000000000000004">
      <c r="A10390">
        <f t="shared" si="326"/>
        <v>1983</v>
      </c>
      <c r="B10390" s="821">
        <v>30515</v>
      </c>
      <c r="C10390">
        <v>11.37</v>
      </c>
      <c r="D10390">
        <f t="shared" si="327"/>
        <v>1</v>
      </c>
    </row>
    <row r="10391" spans="1:4" x14ac:dyDescent="0.55000000000000004">
      <c r="A10391">
        <f t="shared" si="326"/>
        <v>1983</v>
      </c>
      <c r="B10391" s="821">
        <v>30512</v>
      </c>
      <c r="C10391">
        <v>11.47</v>
      </c>
      <c r="D10391">
        <f t="shared" si="327"/>
        <v>1</v>
      </c>
    </row>
    <row r="10392" spans="1:4" x14ac:dyDescent="0.55000000000000004">
      <c r="A10392">
        <f t="shared" si="326"/>
        <v>1983</v>
      </c>
      <c r="B10392" s="821">
        <v>30511</v>
      </c>
      <c r="C10392">
        <v>11.38</v>
      </c>
      <c r="D10392">
        <f t="shared" si="327"/>
        <v>1</v>
      </c>
    </row>
    <row r="10393" spans="1:4" x14ac:dyDescent="0.55000000000000004">
      <c r="A10393">
        <f t="shared" si="326"/>
        <v>1983</v>
      </c>
      <c r="B10393" s="821">
        <v>30510</v>
      </c>
      <c r="C10393">
        <v>11.44</v>
      </c>
      <c r="D10393">
        <f t="shared" si="327"/>
        <v>1</v>
      </c>
    </row>
    <row r="10394" spans="1:4" x14ac:dyDescent="0.55000000000000004">
      <c r="A10394">
        <f t="shared" si="326"/>
        <v>1983</v>
      </c>
      <c r="B10394" s="821">
        <v>30509</v>
      </c>
      <c r="C10394">
        <v>11.45</v>
      </c>
      <c r="D10394">
        <f t="shared" si="327"/>
        <v>1</v>
      </c>
    </row>
    <row r="10395" spans="1:4" x14ac:dyDescent="0.55000000000000004">
      <c r="A10395">
        <f t="shared" si="326"/>
        <v>1983</v>
      </c>
      <c r="B10395" s="821">
        <v>30508</v>
      </c>
      <c r="C10395">
        <v>11.29</v>
      </c>
      <c r="D10395">
        <f t="shared" si="327"/>
        <v>1</v>
      </c>
    </row>
    <row r="10396" spans="1:4" x14ac:dyDescent="0.55000000000000004">
      <c r="A10396">
        <f t="shared" si="326"/>
        <v>1983</v>
      </c>
      <c r="B10396" s="821">
        <v>30505</v>
      </c>
      <c r="C10396">
        <v>11.37</v>
      </c>
      <c r="D10396">
        <f t="shared" si="327"/>
        <v>1</v>
      </c>
    </row>
    <row r="10397" spans="1:4" x14ac:dyDescent="0.55000000000000004">
      <c r="A10397">
        <f t="shared" si="326"/>
        <v>1983</v>
      </c>
      <c r="B10397" s="821">
        <v>30504</v>
      </c>
      <c r="C10397">
        <v>11.31</v>
      </c>
      <c r="D10397">
        <f t="shared" si="327"/>
        <v>1</v>
      </c>
    </row>
    <row r="10398" spans="1:4" x14ac:dyDescent="0.55000000000000004">
      <c r="A10398">
        <f t="shared" si="326"/>
        <v>1983</v>
      </c>
      <c r="B10398" s="821">
        <v>30503</v>
      </c>
      <c r="C10398">
        <v>11.21</v>
      </c>
      <c r="D10398">
        <f t="shared" si="327"/>
        <v>1</v>
      </c>
    </row>
    <row r="10399" spans="1:4" x14ac:dyDescent="0.55000000000000004">
      <c r="A10399">
        <f t="shared" si="326"/>
        <v>1983</v>
      </c>
      <c r="B10399" s="821">
        <v>30502</v>
      </c>
      <c r="C10399">
        <v>11.25</v>
      </c>
      <c r="D10399">
        <f t="shared" si="327"/>
        <v>1</v>
      </c>
    </row>
    <row r="10400" spans="1:4" x14ac:dyDescent="0.55000000000000004">
      <c r="A10400">
        <f t="shared" si="326"/>
        <v>1983</v>
      </c>
      <c r="B10400" s="821">
        <v>30498</v>
      </c>
      <c r="C10400">
        <v>11</v>
      </c>
      <c r="D10400">
        <f t="shared" si="327"/>
        <v>1</v>
      </c>
    </row>
    <row r="10401" spans="1:4" x14ac:dyDescent="0.55000000000000004">
      <c r="A10401">
        <f t="shared" si="326"/>
        <v>1983</v>
      </c>
      <c r="B10401" s="821">
        <v>30497</v>
      </c>
      <c r="C10401">
        <v>11.01</v>
      </c>
      <c r="D10401">
        <f t="shared" si="327"/>
        <v>1</v>
      </c>
    </row>
    <row r="10402" spans="1:4" x14ac:dyDescent="0.55000000000000004">
      <c r="A10402">
        <f t="shared" si="326"/>
        <v>1983</v>
      </c>
      <c r="B10402" s="821">
        <v>30496</v>
      </c>
      <c r="C10402">
        <v>11.06</v>
      </c>
      <c r="D10402">
        <f t="shared" si="327"/>
        <v>1</v>
      </c>
    </row>
    <row r="10403" spans="1:4" x14ac:dyDescent="0.55000000000000004">
      <c r="A10403">
        <f t="shared" si="326"/>
        <v>1983</v>
      </c>
      <c r="B10403" s="821">
        <v>30495</v>
      </c>
      <c r="C10403">
        <v>11.1</v>
      </c>
      <c r="D10403">
        <f t="shared" si="327"/>
        <v>1</v>
      </c>
    </row>
    <row r="10404" spans="1:4" x14ac:dyDescent="0.55000000000000004">
      <c r="A10404">
        <f t="shared" si="326"/>
        <v>1983</v>
      </c>
      <c r="B10404" s="821">
        <v>30494</v>
      </c>
      <c r="C10404">
        <v>11.16</v>
      </c>
      <c r="D10404">
        <f t="shared" si="327"/>
        <v>1</v>
      </c>
    </row>
    <row r="10405" spans="1:4" x14ac:dyDescent="0.55000000000000004">
      <c r="A10405">
        <f t="shared" si="326"/>
        <v>1983</v>
      </c>
      <c r="B10405" s="821">
        <v>30491</v>
      </c>
      <c r="C10405">
        <v>11.06</v>
      </c>
      <c r="D10405">
        <f t="shared" si="327"/>
        <v>1</v>
      </c>
    </row>
    <row r="10406" spans="1:4" x14ac:dyDescent="0.55000000000000004">
      <c r="A10406">
        <f t="shared" si="326"/>
        <v>1983</v>
      </c>
      <c r="B10406" s="821">
        <v>30490</v>
      </c>
      <c r="C10406">
        <v>10.95</v>
      </c>
      <c r="D10406">
        <f t="shared" si="327"/>
        <v>1</v>
      </c>
    </row>
    <row r="10407" spans="1:4" x14ac:dyDescent="0.55000000000000004">
      <c r="A10407">
        <f t="shared" si="326"/>
        <v>1983</v>
      </c>
      <c r="B10407" s="821">
        <v>30489</v>
      </c>
      <c r="C10407">
        <v>10.9</v>
      </c>
      <c r="D10407">
        <f t="shared" si="327"/>
        <v>1</v>
      </c>
    </row>
    <row r="10408" spans="1:4" x14ac:dyDescent="0.55000000000000004">
      <c r="A10408">
        <f t="shared" si="326"/>
        <v>1983</v>
      </c>
      <c r="B10408" s="821">
        <v>30488</v>
      </c>
      <c r="C10408">
        <v>10.86</v>
      </c>
      <c r="D10408">
        <f t="shared" si="327"/>
        <v>1</v>
      </c>
    </row>
    <row r="10409" spans="1:4" x14ac:dyDescent="0.55000000000000004">
      <c r="A10409">
        <f t="shared" si="326"/>
        <v>1983</v>
      </c>
      <c r="B10409" s="821">
        <v>30487</v>
      </c>
      <c r="C10409">
        <v>10.85</v>
      </c>
      <c r="D10409">
        <f t="shared" si="327"/>
        <v>1</v>
      </c>
    </row>
    <row r="10410" spans="1:4" x14ac:dyDescent="0.55000000000000004">
      <c r="A10410">
        <f t="shared" si="326"/>
        <v>1983</v>
      </c>
      <c r="B10410" s="821">
        <v>30484</v>
      </c>
      <c r="C10410">
        <v>10.77</v>
      </c>
      <c r="D10410">
        <f t="shared" si="327"/>
        <v>1</v>
      </c>
    </row>
    <row r="10411" spans="1:4" x14ac:dyDescent="0.55000000000000004">
      <c r="A10411">
        <f t="shared" si="326"/>
        <v>1983</v>
      </c>
      <c r="B10411" s="821">
        <v>30483</v>
      </c>
      <c r="C10411">
        <v>10.72</v>
      </c>
      <c r="D10411">
        <f t="shared" si="327"/>
        <v>1</v>
      </c>
    </row>
    <row r="10412" spans="1:4" x14ac:dyDescent="0.55000000000000004">
      <c r="A10412">
        <f t="shared" si="326"/>
        <v>1983</v>
      </c>
      <c r="B10412" s="821">
        <v>30482</v>
      </c>
      <c r="C10412">
        <v>10.81</v>
      </c>
      <c r="D10412">
        <f t="shared" si="327"/>
        <v>1</v>
      </c>
    </row>
    <row r="10413" spans="1:4" x14ac:dyDescent="0.55000000000000004">
      <c r="A10413">
        <f t="shared" si="326"/>
        <v>1983</v>
      </c>
      <c r="B10413" s="821">
        <v>30481</v>
      </c>
      <c r="C10413">
        <v>10.88</v>
      </c>
      <c r="D10413">
        <f t="shared" si="327"/>
        <v>1</v>
      </c>
    </row>
    <row r="10414" spans="1:4" x14ac:dyDescent="0.55000000000000004">
      <c r="A10414">
        <f t="shared" si="326"/>
        <v>1983</v>
      </c>
      <c r="B10414" s="821">
        <v>30480</v>
      </c>
      <c r="C10414">
        <v>10.84</v>
      </c>
      <c r="D10414">
        <f t="shared" si="327"/>
        <v>1</v>
      </c>
    </row>
    <row r="10415" spans="1:4" x14ac:dyDescent="0.55000000000000004">
      <c r="A10415">
        <f t="shared" si="326"/>
        <v>1983</v>
      </c>
      <c r="B10415" s="821">
        <v>30477</v>
      </c>
      <c r="C10415">
        <v>10.95</v>
      </c>
      <c r="D10415">
        <f t="shared" si="327"/>
        <v>1</v>
      </c>
    </row>
    <row r="10416" spans="1:4" x14ac:dyDescent="0.55000000000000004">
      <c r="A10416">
        <f t="shared" si="326"/>
        <v>1983</v>
      </c>
      <c r="B10416" s="821">
        <v>30476</v>
      </c>
      <c r="C10416">
        <v>10.96</v>
      </c>
      <c r="D10416">
        <f t="shared" si="327"/>
        <v>1</v>
      </c>
    </row>
    <row r="10417" spans="1:4" x14ac:dyDescent="0.55000000000000004">
      <c r="A10417">
        <f t="shared" si="326"/>
        <v>1983</v>
      </c>
      <c r="B10417" s="821">
        <v>30475</v>
      </c>
      <c r="C10417">
        <v>11.02</v>
      </c>
      <c r="D10417">
        <f t="shared" si="327"/>
        <v>1</v>
      </c>
    </row>
    <row r="10418" spans="1:4" x14ac:dyDescent="0.55000000000000004">
      <c r="A10418">
        <f t="shared" si="326"/>
        <v>1983</v>
      </c>
      <c r="B10418" s="821">
        <v>30474</v>
      </c>
      <c r="C10418">
        <v>10.97</v>
      </c>
      <c r="D10418">
        <f t="shared" si="327"/>
        <v>1</v>
      </c>
    </row>
    <row r="10419" spans="1:4" x14ac:dyDescent="0.55000000000000004">
      <c r="A10419">
        <f t="shared" si="326"/>
        <v>1983</v>
      </c>
      <c r="B10419" s="821">
        <v>30473</v>
      </c>
      <c r="C10419">
        <v>10.9</v>
      </c>
      <c r="D10419">
        <f t="shared" si="327"/>
        <v>1</v>
      </c>
    </row>
    <row r="10420" spans="1:4" x14ac:dyDescent="0.55000000000000004">
      <c r="A10420">
        <f t="shared" si="326"/>
        <v>1983</v>
      </c>
      <c r="B10420" s="821">
        <v>30470</v>
      </c>
      <c r="C10420">
        <v>10.93</v>
      </c>
      <c r="D10420">
        <f t="shared" si="327"/>
        <v>1</v>
      </c>
    </row>
    <row r="10421" spans="1:4" x14ac:dyDescent="0.55000000000000004">
      <c r="A10421">
        <f t="shared" si="326"/>
        <v>1983</v>
      </c>
      <c r="B10421" s="821">
        <v>30469</v>
      </c>
      <c r="C10421">
        <v>10.91</v>
      </c>
      <c r="D10421">
        <f t="shared" si="327"/>
        <v>1</v>
      </c>
    </row>
    <row r="10422" spans="1:4" x14ac:dyDescent="0.55000000000000004">
      <c r="A10422">
        <f t="shared" si="326"/>
        <v>1983</v>
      </c>
      <c r="B10422" s="821">
        <v>30468</v>
      </c>
      <c r="C10422">
        <v>10.91</v>
      </c>
      <c r="D10422">
        <f t="shared" si="327"/>
        <v>1</v>
      </c>
    </row>
    <row r="10423" spans="1:4" x14ac:dyDescent="0.55000000000000004">
      <c r="A10423">
        <f t="shared" si="326"/>
        <v>1983</v>
      </c>
      <c r="B10423" s="821">
        <v>30467</v>
      </c>
      <c r="C10423">
        <v>10.97</v>
      </c>
      <c r="D10423">
        <f t="shared" si="327"/>
        <v>1</v>
      </c>
    </row>
    <row r="10424" spans="1:4" x14ac:dyDescent="0.55000000000000004">
      <c r="A10424">
        <f t="shared" si="326"/>
        <v>1983</v>
      </c>
      <c r="B10424" s="821">
        <v>30463</v>
      </c>
      <c r="C10424">
        <v>10.78</v>
      </c>
      <c r="D10424">
        <f t="shared" si="327"/>
        <v>1</v>
      </c>
    </row>
    <row r="10425" spans="1:4" x14ac:dyDescent="0.55000000000000004">
      <c r="A10425">
        <f t="shared" si="326"/>
        <v>1983</v>
      </c>
      <c r="B10425" s="821">
        <v>30462</v>
      </c>
      <c r="C10425">
        <v>10.76</v>
      </c>
      <c r="D10425">
        <f t="shared" si="327"/>
        <v>1</v>
      </c>
    </row>
    <row r="10426" spans="1:4" x14ac:dyDescent="0.55000000000000004">
      <c r="A10426">
        <f t="shared" si="326"/>
        <v>1983</v>
      </c>
      <c r="B10426" s="821">
        <v>30461</v>
      </c>
      <c r="C10426">
        <v>10.71</v>
      </c>
      <c r="D10426">
        <f t="shared" si="327"/>
        <v>1</v>
      </c>
    </row>
    <row r="10427" spans="1:4" x14ac:dyDescent="0.55000000000000004">
      <c r="A10427">
        <f t="shared" si="326"/>
        <v>1983</v>
      </c>
      <c r="B10427" s="821">
        <v>30460</v>
      </c>
      <c r="C10427">
        <v>10.69</v>
      </c>
      <c r="D10427">
        <f t="shared" si="327"/>
        <v>1</v>
      </c>
    </row>
    <row r="10428" spans="1:4" x14ac:dyDescent="0.55000000000000004">
      <c r="A10428">
        <f t="shared" si="326"/>
        <v>1983</v>
      </c>
      <c r="B10428" s="821">
        <v>30459</v>
      </c>
      <c r="C10428">
        <v>10.71</v>
      </c>
      <c r="D10428">
        <f t="shared" si="327"/>
        <v>1</v>
      </c>
    </row>
    <row r="10429" spans="1:4" x14ac:dyDescent="0.55000000000000004">
      <c r="A10429">
        <f t="shared" si="326"/>
        <v>1983</v>
      </c>
      <c r="B10429" s="821">
        <v>30456</v>
      </c>
      <c r="C10429">
        <v>10.69</v>
      </c>
      <c r="D10429">
        <f t="shared" si="327"/>
        <v>1</v>
      </c>
    </row>
    <row r="10430" spans="1:4" x14ac:dyDescent="0.55000000000000004">
      <c r="A10430">
        <f t="shared" si="326"/>
        <v>1983</v>
      </c>
      <c r="B10430" s="821">
        <v>30455</v>
      </c>
      <c r="C10430">
        <v>10.67</v>
      </c>
      <c r="D10430">
        <f t="shared" si="327"/>
        <v>1</v>
      </c>
    </row>
    <row r="10431" spans="1:4" x14ac:dyDescent="0.55000000000000004">
      <c r="A10431">
        <f t="shared" si="326"/>
        <v>1983</v>
      </c>
      <c r="B10431" s="821">
        <v>30454</v>
      </c>
      <c r="C10431">
        <v>10.6</v>
      </c>
      <c r="D10431">
        <f t="shared" si="327"/>
        <v>1</v>
      </c>
    </row>
    <row r="10432" spans="1:4" x14ac:dyDescent="0.55000000000000004">
      <c r="A10432">
        <f t="shared" si="326"/>
        <v>1983</v>
      </c>
      <c r="B10432" s="821">
        <v>30453</v>
      </c>
      <c r="C10432">
        <v>10.58</v>
      </c>
      <c r="D10432">
        <f t="shared" si="327"/>
        <v>1</v>
      </c>
    </row>
    <row r="10433" spans="1:4" x14ac:dyDescent="0.55000000000000004">
      <c r="A10433">
        <f t="shared" si="326"/>
        <v>1983</v>
      </c>
      <c r="B10433" s="821">
        <v>30452</v>
      </c>
      <c r="C10433">
        <v>10.54</v>
      </c>
      <c r="D10433">
        <f t="shared" si="327"/>
        <v>1</v>
      </c>
    </row>
    <row r="10434" spans="1:4" x14ac:dyDescent="0.55000000000000004">
      <c r="A10434">
        <f t="shared" si="326"/>
        <v>1983</v>
      </c>
      <c r="B10434" s="821">
        <v>30449</v>
      </c>
      <c r="C10434">
        <v>10.37</v>
      </c>
      <c r="D10434">
        <f t="shared" si="327"/>
        <v>1</v>
      </c>
    </row>
    <row r="10435" spans="1:4" x14ac:dyDescent="0.55000000000000004">
      <c r="A10435">
        <f t="shared" si="326"/>
        <v>1983</v>
      </c>
      <c r="B10435" s="821">
        <v>30448</v>
      </c>
      <c r="C10435">
        <v>10.4</v>
      </c>
      <c r="D10435">
        <f t="shared" si="327"/>
        <v>1</v>
      </c>
    </row>
    <row r="10436" spans="1:4" x14ac:dyDescent="0.55000000000000004">
      <c r="A10436">
        <f t="shared" ref="A10436:A10499" si="328">YEAR(B10436)</f>
        <v>1983</v>
      </c>
      <c r="B10436" s="821">
        <v>30447</v>
      </c>
      <c r="C10436">
        <v>10.33</v>
      </c>
      <c r="D10436">
        <f t="shared" ref="D10436:D10499" si="329">IF(C10436&gt;4,1,0)</f>
        <v>1</v>
      </c>
    </row>
    <row r="10437" spans="1:4" x14ac:dyDescent="0.55000000000000004">
      <c r="A10437">
        <f t="shared" si="328"/>
        <v>1983</v>
      </c>
      <c r="B10437" s="821">
        <v>30446</v>
      </c>
      <c r="C10437">
        <v>10.3</v>
      </c>
      <c r="D10437">
        <f t="shared" si="329"/>
        <v>1</v>
      </c>
    </row>
    <row r="10438" spans="1:4" x14ac:dyDescent="0.55000000000000004">
      <c r="A10438">
        <f t="shared" si="328"/>
        <v>1983</v>
      </c>
      <c r="B10438" s="821">
        <v>30445</v>
      </c>
      <c r="C10438">
        <v>10.37</v>
      </c>
      <c r="D10438">
        <f t="shared" si="329"/>
        <v>1</v>
      </c>
    </row>
    <row r="10439" spans="1:4" x14ac:dyDescent="0.55000000000000004">
      <c r="A10439">
        <f t="shared" si="328"/>
        <v>1983</v>
      </c>
      <c r="B10439" s="821">
        <v>30442</v>
      </c>
      <c r="C10439">
        <v>10.28</v>
      </c>
      <c r="D10439">
        <f t="shared" si="329"/>
        <v>1</v>
      </c>
    </row>
    <row r="10440" spans="1:4" x14ac:dyDescent="0.55000000000000004">
      <c r="A10440">
        <f t="shared" si="328"/>
        <v>1983</v>
      </c>
      <c r="B10440" s="821">
        <v>30441</v>
      </c>
      <c r="C10440">
        <v>10.3</v>
      </c>
      <c r="D10440">
        <f t="shared" si="329"/>
        <v>1</v>
      </c>
    </row>
    <row r="10441" spans="1:4" x14ac:dyDescent="0.55000000000000004">
      <c r="A10441">
        <f t="shared" si="328"/>
        <v>1983</v>
      </c>
      <c r="B10441" s="821">
        <v>30440</v>
      </c>
      <c r="C10441">
        <v>10.27</v>
      </c>
      <c r="D10441">
        <f t="shared" si="329"/>
        <v>1</v>
      </c>
    </row>
    <row r="10442" spans="1:4" x14ac:dyDescent="0.55000000000000004">
      <c r="A10442">
        <f t="shared" si="328"/>
        <v>1983</v>
      </c>
      <c r="B10442" s="821">
        <v>30439</v>
      </c>
      <c r="C10442">
        <v>10.38</v>
      </c>
      <c r="D10442">
        <f t="shared" si="329"/>
        <v>1</v>
      </c>
    </row>
    <row r="10443" spans="1:4" x14ac:dyDescent="0.55000000000000004">
      <c r="A10443">
        <f t="shared" si="328"/>
        <v>1983</v>
      </c>
      <c r="B10443" s="821">
        <v>30438</v>
      </c>
      <c r="C10443">
        <v>10.39</v>
      </c>
      <c r="D10443">
        <f t="shared" si="329"/>
        <v>1</v>
      </c>
    </row>
    <row r="10444" spans="1:4" x14ac:dyDescent="0.55000000000000004">
      <c r="A10444">
        <f t="shared" si="328"/>
        <v>1983</v>
      </c>
      <c r="B10444" s="821">
        <v>30435</v>
      </c>
      <c r="C10444">
        <v>10.38</v>
      </c>
      <c r="D10444">
        <f t="shared" si="329"/>
        <v>1</v>
      </c>
    </row>
    <row r="10445" spans="1:4" x14ac:dyDescent="0.55000000000000004">
      <c r="A10445">
        <f t="shared" si="328"/>
        <v>1983</v>
      </c>
      <c r="B10445" s="821">
        <v>30434</v>
      </c>
      <c r="C10445">
        <v>10.41</v>
      </c>
      <c r="D10445">
        <f t="shared" si="329"/>
        <v>1</v>
      </c>
    </row>
    <row r="10446" spans="1:4" x14ac:dyDescent="0.55000000000000004">
      <c r="A10446">
        <f t="shared" si="328"/>
        <v>1983</v>
      </c>
      <c r="B10446" s="821">
        <v>30433</v>
      </c>
      <c r="C10446">
        <v>10.43</v>
      </c>
      <c r="D10446">
        <f t="shared" si="329"/>
        <v>1</v>
      </c>
    </row>
    <row r="10447" spans="1:4" x14ac:dyDescent="0.55000000000000004">
      <c r="A10447">
        <f t="shared" si="328"/>
        <v>1983</v>
      </c>
      <c r="B10447" s="821">
        <v>30432</v>
      </c>
      <c r="C10447">
        <v>10.47</v>
      </c>
      <c r="D10447">
        <f t="shared" si="329"/>
        <v>1</v>
      </c>
    </row>
    <row r="10448" spans="1:4" x14ac:dyDescent="0.55000000000000004">
      <c r="A10448">
        <f t="shared" si="328"/>
        <v>1983</v>
      </c>
      <c r="B10448" s="821">
        <v>30431</v>
      </c>
      <c r="C10448">
        <v>10.48</v>
      </c>
      <c r="D10448">
        <f t="shared" si="329"/>
        <v>1</v>
      </c>
    </row>
    <row r="10449" spans="1:4" x14ac:dyDescent="0.55000000000000004">
      <c r="A10449">
        <f t="shared" si="328"/>
        <v>1983</v>
      </c>
      <c r="B10449" s="821">
        <v>30428</v>
      </c>
      <c r="C10449">
        <v>10.52</v>
      </c>
      <c r="D10449">
        <f t="shared" si="329"/>
        <v>1</v>
      </c>
    </row>
    <row r="10450" spans="1:4" x14ac:dyDescent="0.55000000000000004">
      <c r="A10450">
        <f t="shared" si="328"/>
        <v>1983</v>
      </c>
      <c r="B10450" s="821">
        <v>30427</v>
      </c>
      <c r="C10450">
        <v>10.53</v>
      </c>
      <c r="D10450">
        <f t="shared" si="329"/>
        <v>1</v>
      </c>
    </row>
    <row r="10451" spans="1:4" x14ac:dyDescent="0.55000000000000004">
      <c r="A10451">
        <f t="shared" si="328"/>
        <v>1983</v>
      </c>
      <c r="B10451" s="821">
        <v>30426</v>
      </c>
      <c r="C10451">
        <v>10.48</v>
      </c>
      <c r="D10451">
        <f t="shared" si="329"/>
        <v>1</v>
      </c>
    </row>
    <row r="10452" spans="1:4" x14ac:dyDescent="0.55000000000000004">
      <c r="A10452">
        <f t="shared" si="328"/>
        <v>1983</v>
      </c>
      <c r="B10452" s="821">
        <v>30425</v>
      </c>
      <c r="C10452">
        <v>10.46</v>
      </c>
      <c r="D10452">
        <f t="shared" si="329"/>
        <v>1</v>
      </c>
    </row>
    <row r="10453" spans="1:4" x14ac:dyDescent="0.55000000000000004">
      <c r="A10453">
        <f t="shared" si="328"/>
        <v>1983</v>
      </c>
      <c r="B10453" s="821">
        <v>30424</v>
      </c>
      <c r="C10453">
        <v>10.35</v>
      </c>
      <c r="D10453">
        <f t="shared" si="329"/>
        <v>1</v>
      </c>
    </row>
    <row r="10454" spans="1:4" x14ac:dyDescent="0.55000000000000004">
      <c r="A10454">
        <f t="shared" si="328"/>
        <v>1983</v>
      </c>
      <c r="B10454" s="821">
        <v>30421</v>
      </c>
      <c r="C10454">
        <v>10.4</v>
      </c>
      <c r="D10454">
        <f t="shared" si="329"/>
        <v>1</v>
      </c>
    </row>
    <row r="10455" spans="1:4" x14ac:dyDescent="0.55000000000000004">
      <c r="A10455">
        <f t="shared" si="328"/>
        <v>1983</v>
      </c>
      <c r="B10455" s="821">
        <v>30420</v>
      </c>
      <c r="C10455">
        <v>10.37</v>
      </c>
      <c r="D10455">
        <f t="shared" si="329"/>
        <v>1</v>
      </c>
    </row>
    <row r="10456" spans="1:4" x14ac:dyDescent="0.55000000000000004">
      <c r="A10456">
        <f t="shared" si="328"/>
        <v>1983</v>
      </c>
      <c r="B10456" s="821">
        <v>30419</v>
      </c>
      <c r="C10456">
        <v>10.44</v>
      </c>
      <c r="D10456">
        <f t="shared" si="329"/>
        <v>1</v>
      </c>
    </row>
    <row r="10457" spans="1:4" x14ac:dyDescent="0.55000000000000004">
      <c r="A10457">
        <f t="shared" si="328"/>
        <v>1983</v>
      </c>
      <c r="B10457" s="821">
        <v>30418</v>
      </c>
      <c r="C10457">
        <v>10.46</v>
      </c>
      <c r="D10457">
        <f t="shared" si="329"/>
        <v>1</v>
      </c>
    </row>
    <row r="10458" spans="1:4" x14ac:dyDescent="0.55000000000000004">
      <c r="A10458">
        <f t="shared" si="328"/>
        <v>1983</v>
      </c>
      <c r="B10458" s="821">
        <v>30417</v>
      </c>
      <c r="C10458">
        <v>10.46</v>
      </c>
      <c r="D10458">
        <f t="shared" si="329"/>
        <v>1</v>
      </c>
    </row>
    <row r="10459" spans="1:4" x14ac:dyDescent="0.55000000000000004">
      <c r="A10459">
        <f t="shared" si="328"/>
        <v>1983</v>
      </c>
      <c r="B10459" s="821">
        <v>30414</v>
      </c>
      <c r="C10459">
        <v>10.58</v>
      </c>
      <c r="D10459">
        <f t="shared" si="329"/>
        <v>1</v>
      </c>
    </row>
    <row r="10460" spans="1:4" x14ac:dyDescent="0.55000000000000004">
      <c r="A10460">
        <f t="shared" si="328"/>
        <v>1983</v>
      </c>
      <c r="B10460" s="821">
        <v>30413</v>
      </c>
      <c r="C10460">
        <v>10.56</v>
      </c>
      <c r="D10460">
        <f t="shared" si="329"/>
        <v>1</v>
      </c>
    </row>
    <row r="10461" spans="1:4" x14ac:dyDescent="0.55000000000000004">
      <c r="A10461">
        <f t="shared" si="328"/>
        <v>1983</v>
      </c>
      <c r="B10461" s="821">
        <v>30412</v>
      </c>
      <c r="C10461">
        <v>10.54</v>
      </c>
      <c r="D10461">
        <f t="shared" si="329"/>
        <v>1</v>
      </c>
    </row>
    <row r="10462" spans="1:4" x14ac:dyDescent="0.55000000000000004">
      <c r="A10462">
        <f t="shared" si="328"/>
        <v>1983</v>
      </c>
      <c r="B10462" s="821">
        <v>30411</v>
      </c>
      <c r="C10462">
        <v>10.55</v>
      </c>
      <c r="D10462">
        <f t="shared" si="329"/>
        <v>1</v>
      </c>
    </row>
    <row r="10463" spans="1:4" x14ac:dyDescent="0.55000000000000004">
      <c r="A10463">
        <f t="shared" si="328"/>
        <v>1983</v>
      </c>
      <c r="B10463" s="821">
        <v>30410</v>
      </c>
      <c r="C10463">
        <v>10.67</v>
      </c>
      <c r="D10463">
        <f t="shared" si="329"/>
        <v>1</v>
      </c>
    </row>
    <row r="10464" spans="1:4" x14ac:dyDescent="0.55000000000000004">
      <c r="A10464">
        <f t="shared" si="328"/>
        <v>1983</v>
      </c>
      <c r="B10464" s="821">
        <v>30406</v>
      </c>
      <c r="C10464">
        <v>10.69</v>
      </c>
      <c r="D10464">
        <f t="shared" si="329"/>
        <v>1</v>
      </c>
    </row>
    <row r="10465" spans="1:4" x14ac:dyDescent="0.55000000000000004">
      <c r="A10465">
        <f t="shared" si="328"/>
        <v>1983</v>
      </c>
      <c r="B10465" s="821">
        <v>30405</v>
      </c>
      <c r="C10465">
        <v>10.65</v>
      </c>
      <c r="D10465">
        <f t="shared" si="329"/>
        <v>1</v>
      </c>
    </row>
    <row r="10466" spans="1:4" x14ac:dyDescent="0.55000000000000004">
      <c r="A10466">
        <f t="shared" si="328"/>
        <v>1983</v>
      </c>
      <c r="B10466" s="821">
        <v>30404</v>
      </c>
      <c r="C10466">
        <v>10.66</v>
      </c>
      <c r="D10466">
        <f t="shared" si="329"/>
        <v>1</v>
      </c>
    </row>
    <row r="10467" spans="1:4" x14ac:dyDescent="0.55000000000000004">
      <c r="A10467">
        <f t="shared" si="328"/>
        <v>1983</v>
      </c>
      <c r="B10467" s="821">
        <v>30403</v>
      </c>
      <c r="C10467">
        <v>10.71</v>
      </c>
      <c r="D10467">
        <f t="shared" si="329"/>
        <v>1</v>
      </c>
    </row>
    <row r="10468" spans="1:4" x14ac:dyDescent="0.55000000000000004">
      <c r="A10468">
        <f t="shared" si="328"/>
        <v>1983</v>
      </c>
      <c r="B10468" s="821">
        <v>30400</v>
      </c>
      <c r="C10468">
        <v>10.7</v>
      </c>
      <c r="D10468">
        <f t="shared" si="329"/>
        <v>1</v>
      </c>
    </row>
    <row r="10469" spans="1:4" x14ac:dyDescent="0.55000000000000004">
      <c r="A10469">
        <f t="shared" si="328"/>
        <v>1983</v>
      </c>
      <c r="B10469" s="821">
        <v>30399</v>
      </c>
      <c r="C10469">
        <v>10.61</v>
      </c>
      <c r="D10469">
        <f t="shared" si="329"/>
        <v>1</v>
      </c>
    </row>
    <row r="10470" spans="1:4" x14ac:dyDescent="0.55000000000000004">
      <c r="A10470">
        <f t="shared" si="328"/>
        <v>1983</v>
      </c>
      <c r="B10470" s="821">
        <v>30398</v>
      </c>
      <c r="C10470">
        <v>10.64</v>
      </c>
      <c r="D10470">
        <f t="shared" si="329"/>
        <v>1</v>
      </c>
    </row>
    <row r="10471" spans="1:4" x14ac:dyDescent="0.55000000000000004">
      <c r="A10471">
        <f t="shared" si="328"/>
        <v>1983</v>
      </c>
      <c r="B10471" s="821">
        <v>30397</v>
      </c>
      <c r="C10471">
        <v>10.71</v>
      </c>
      <c r="D10471">
        <f t="shared" si="329"/>
        <v>1</v>
      </c>
    </row>
    <row r="10472" spans="1:4" x14ac:dyDescent="0.55000000000000004">
      <c r="A10472">
        <f t="shared" si="328"/>
        <v>1983</v>
      </c>
      <c r="B10472" s="821">
        <v>30396</v>
      </c>
      <c r="C10472">
        <v>10.71</v>
      </c>
      <c r="D10472">
        <f t="shared" si="329"/>
        <v>1</v>
      </c>
    </row>
    <row r="10473" spans="1:4" x14ac:dyDescent="0.55000000000000004">
      <c r="A10473">
        <f t="shared" si="328"/>
        <v>1983</v>
      </c>
      <c r="B10473" s="821">
        <v>30393</v>
      </c>
      <c r="C10473">
        <v>10.71</v>
      </c>
      <c r="D10473">
        <f t="shared" si="329"/>
        <v>1</v>
      </c>
    </row>
    <row r="10474" spans="1:4" x14ac:dyDescent="0.55000000000000004">
      <c r="A10474">
        <f t="shared" si="328"/>
        <v>1983</v>
      </c>
      <c r="B10474" s="821">
        <v>30392</v>
      </c>
      <c r="C10474">
        <v>10.68</v>
      </c>
      <c r="D10474">
        <f t="shared" si="329"/>
        <v>1</v>
      </c>
    </row>
    <row r="10475" spans="1:4" x14ac:dyDescent="0.55000000000000004">
      <c r="A10475">
        <f t="shared" si="328"/>
        <v>1983</v>
      </c>
      <c r="B10475" s="821">
        <v>30391</v>
      </c>
      <c r="C10475">
        <v>10.68</v>
      </c>
      <c r="D10475">
        <f t="shared" si="329"/>
        <v>1</v>
      </c>
    </row>
    <row r="10476" spans="1:4" x14ac:dyDescent="0.55000000000000004">
      <c r="A10476">
        <f t="shared" si="328"/>
        <v>1983</v>
      </c>
      <c r="B10476" s="821">
        <v>30390</v>
      </c>
      <c r="C10476">
        <v>10.62</v>
      </c>
      <c r="D10476">
        <f t="shared" si="329"/>
        <v>1</v>
      </c>
    </row>
    <row r="10477" spans="1:4" x14ac:dyDescent="0.55000000000000004">
      <c r="A10477">
        <f t="shared" si="328"/>
        <v>1983</v>
      </c>
      <c r="B10477" s="821">
        <v>30389</v>
      </c>
      <c r="C10477">
        <v>10.66</v>
      </c>
      <c r="D10477">
        <f t="shared" si="329"/>
        <v>1</v>
      </c>
    </row>
    <row r="10478" spans="1:4" x14ac:dyDescent="0.55000000000000004">
      <c r="A10478">
        <f t="shared" si="328"/>
        <v>1983</v>
      </c>
      <c r="B10478" s="821">
        <v>30386</v>
      </c>
      <c r="C10478">
        <v>10.75</v>
      </c>
      <c r="D10478">
        <f t="shared" si="329"/>
        <v>1</v>
      </c>
    </row>
    <row r="10479" spans="1:4" x14ac:dyDescent="0.55000000000000004">
      <c r="A10479">
        <f t="shared" si="328"/>
        <v>1983</v>
      </c>
      <c r="B10479" s="821">
        <v>30385</v>
      </c>
      <c r="C10479">
        <v>10.67</v>
      </c>
      <c r="D10479">
        <f t="shared" si="329"/>
        <v>1</v>
      </c>
    </row>
    <row r="10480" spans="1:4" x14ac:dyDescent="0.55000000000000004">
      <c r="A10480">
        <f t="shared" si="328"/>
        <v>1983</v>
      </c>
      <c r="B10480" s="821">
        <v>30384</v>
      </c>
      <c r="C10480">
        <v>10.64</v>
      </c>
      <c r="D10480">
        <f t="shared" si="329"/>
        <v>1</v>
      </c>
    </row>
    <row r="10481" spans="1:4" x14ac:dyDescent="0.55000000000000004">
      <c r="A10481">
        <f t="shared" si="328"/>
        <v>1983</v>
      </c>
      <c r="B10481" s="821">
        <v>30383</v>
      </c>
      <c r="C10481">
        <v>10.65</v>
      </c>
      <c r="D10481">
        <f t="shared" si="329"/>
        <v>1</v>
      </c>
    </row>
    <row r="10482" spans="1:4" x14ac:dyDescent="0.55000000000000004">
      <c r="A10482">
        <f t="shared" si="328"/>
        <v>1983</v>
      </c>
      <c r="B10482" s="821">
        <v>30382</v>
      </c>
      <c r="C10482">
        <v>10.59</v>
      </c>
      <c r="D10482">
        <f t="shared" si="329"/>
        <v>1</v>
      </c>
    </row>
    <row r="10483" spans="1:4" x14ac:dyDescent="0.55000000000000004">
      <c r="A10483">
        <f t="shared" si="328"/>
        <v>1983</v>
      </c>
      <c r="B10483" s="821">
        <v>30379</v>
      </c>
      <c r="C10483">
        <v>10.46</v>
      </c>
      <c r="D10483">
        <f t="shared" si="329"/>
        <v>1</v>
      </c>
    </row>
    <row r="10484" spans="1:4" x14ac:dyDescent="0.55000000000000004">
      <c r="A10484">
        <f t="shared" si="328"/>
        <v>1983</v>
      </c>
      <c r="B10484" s="821">
        <v>30378</v>
      </c>
      <c r="C10484">
        <v>10.44</v>
      </c>
      <c r="D10484">
        <f t="shared" si="329"/>
        <v>1</v>
      </c>
    </row>
    <row r="10485" spans="1:4" x14ac:dyDescent="0.55000000000000004">
      <c r="A10485">
        <f t="shared" si="328"/>
        <v>1983</v>
      </c>
      <c r="B10485" s="821">
        <v>30377</v>
      </c>
      <c r="C10485">
        <v>10.48</v>
      </c>
      <c r="D10485">
        <f t="shared" si="329"/>
        <v>1</v>
      </c>
    </row>
    <row r="10486" spans="1:4" x14ac:dyDescent="0.55000000000000004">
      <c r="A10486">
        <f t="shared" si="328"/>
        <v>1983</v>
      </c>
      <c r="B10486" s="821">
        <v>30376</v>
      </c>
      <c r="C10486">
        <v>10.45</v>
      </c>
      <c r="D10486">
        <f t="shared" si="329"/>
        <v>1</v>
      </c>
    </row>
    <row r="10487" spans="1:4" x14ac:dyDescent="0.55000000000000004">
      <c r="A10487">
        <f t="shared" si="328"/>
        <v>1983</v>
      </c>
      <c r="B10487" s="821">
        <v>30375</v>
      </c>
      <c r="C10487">
        <v>10.51</v>
      </c>
      <c r="D10487">
        <f t="shared" si="329"/>
        <v>1</v>
      </c>
    </row>
    <row r="10488" spans="1:4" x14ac:dyDescent="0.55000000000000004">
      <c r="A10488">
        <f t="shared" si="328"/>
        <v>1983</v>
      </c>
      <c r="B10488" s="821">
        <v>30372</v>
      </c>
      <c r="C10488">
        <v>10.5</v>
      </c>
      <c r="D10488">
        <f t="shared" si="329"/>
        <v>1</v>
      </c>
    </row>
    <row r="10489" spans="1:4" x14ac:dyDescent="0.55000000000000004">
      <c r="A10489">
        <f t="shared" si="328"/>
        <v>1983</v>
      </c>
      <c r="B10489" s="821">
        <v>30371</v>
      </c>
      <c r="C10489">
        <v>10.61</v>
      </c>
      <c r="D10489">
        <f t="shared" si="329"/>
        <v>1</v>
      </c>
    </row>
    <row r="10490" spans="1:4" x14ac:dyDescent="0.55000000000000004">
      <c r="A10490">
        <f t="shared" si="328"/>
        <v>1983</v>
      </c>
      <c r="B10490" s="821">
        <v>30370</v>
      </c>
      <c r="C10490">
        <v>10.62</v>
      </c>
      <c r="D10490">
        <f t="shared" si="329"/>
        <v>1</v>
      </c>
    </row>
    <row r="10491" spans="1:4" x14ac:dyDescent="0.55000000000000004">
      <c r="A10491">
        <f t="shared" si="328"/>
        <v>1983</v>
      </c>
      <c r="B10491" s="821">
        <v>30369</v>
      </c>
      <c r="C10491">
        <v>10.63</v>
      </c>
      <c r="D10491">
        <f t="shared" si="329"/>
        <v>1</v>
      </c>
    </row>
    <row r="10492" spans="1:4" x14ac:dyDescent="0.55000000000000004">
      <c r="A10492">
        <f t="shared" si="328"/>
        <v>1983</v>
      </c>
      <c r="B10492" s="821">
        <v>30365</v>
      </c>
      <c r="C10492">
        <v>10.78</v>
      </c>
      <c r="D10492">
        <f t="shared" si="329"/>
        <v>1</v>
      </c>
    </row>
    <row r="10493" spans="1:4" x14ac:dyDescent="0.55000000000000004">
      <c r="A10493">
        <f t="shared" si="328"/>
        <v>1983</v>
      </c>
      <c r="B10493" s="821">
        <v>30364</v>
      </c>
      <c r="C10493">
        <v>10.86</v>
      </c>
      <c r="D10493">
        <f t="shared" si="329"/>
        <v>1</v>
      </c>
    </row>
    <row r="10494" spans="1:4" x14ac:dyDescent="0.55000000000000004">
      <c r="A10494">
        <f t="shared" si="328"/>
        <v>1983</v>
      </c>
      <c r="B10494" s="821">
        <v>30363</v>
      </c>
      <c r="C10494">
        <v>10.95</v>
      </c>
      <c r="D10494">
        <f t="shared" si="329"/>
        <v>1</v>
      </c>
    </row>
    <row r="10495" spans="1:4" x14ac:dyDescent="0.55000000000000004">
      <c r="A10495">
        <f t="shared" si="328"/>
        <v>1983</v>
      </c>
      <c r="B10495" s="821">
        <v>30362</v>
      </c>
      <c r="C10495">
        <v>10.99</v>
      </c>
      <c r="D10495">
        <f t="shared" si="329"/>
        <v>1</v>
      </c>
    </row>
    <row r="10496" spans="1:4" x14ac:dyDescent="0.55000000000000004">
      <c r="A10496">
        <f t="shared" si="328"/>
        <v>1983</v>
      </c>
      <c r="B10496" s="821">
        <v>30361</v>
      </c>
      <c r="C10496">
        <v>10.95</v>
      </c>
      <c r="D10496">
        <f t="shared" si="329"/>
        <v>1</v>
      </c>
    </row>
    <row r="10497" spans="1:4" x14ac:dyDescent="0.55000000000000004">
      <c r="A10497">
        <f t="shared" si="328"/>
        <v>1983</v>
      </c>
      <c r="B10497" s="821">
        <v>30358</v>
      </c>
      <c r="C10497">
        <v>10.94</v>
      </c>
      <c r="D10497">
        <f t="shared" si="329"/>
        <v>1</v>
      </c>
    </row>
    <row r="10498" spans="1:4" x14ac:dyDescent="0.55000000000000004">
      <c r="A10498">
        <f t="shared" si="328"/>
        <v>1983</v>
      </c>
      <c r="B10498" s="821">
        <v>30357</v>
      </c>
      <c r="C10498">
        <v>10.96</v>
      </c>
      <c r="D10498">
        <f t="shared" si="329"/>
        <v>1</v>
      </c>
    </row>
    <row r="10499" spans="1:4" x14ac:dyDescent="0.55000000000000004">
      <c r="A10499">
        <f t="shared" si="328"/>
        <v>1983</v>
      </c>
      <c r="B10499" s="821">
        <v>30356</v>
      </c>
      <c r="C10499">
        <v>11.14</v>
      </c>
      <c r="D10499">
        <f t="shared" si="329"/>
        <v>1</v>
      </c>
    </row>
    <row r="10500" spans="1:4" x14ac:dyDescent="0.55000000000000004">
      <c r="A10500">
        <f t="shared" ref="A10500:A10563" si="330">YEAR(B10500)</f>
        <v>1983</v>
      </c>
      <c r="B10500" s="821">
        <v>30355</v>
      </c>
      <c r="C10500">
        <v>11.12</v>
      </c>
      <c r="D10500">
        <f t="shared" ref="D10500:D10563" si="331">IF(C10500&gt;4,1,0)</f>
        <v>1</v>
      </c>
    </row>
    <row r="10501" spans="1:4" x14ac:dyDescent="0.55000000000000004">
      <c r="A10501">
        <f t="shared" si="330"/>
        <v>1983</v>
      </c>
      <c r="B10501" s="821">
        <v>30354</v>
      </c>
      <c r="C10501">
        <v>11.1</v>
      </c>
      <c r="D10501">
        <f t="shared" si="331"/>
        <v>1</v>
      </c>
    </row>
    <row r="10502" spans="1:4" x14ac:dyDescent="0.55000000000000004">
      <c r="A10502">
        <f t="shared" si="330"/>
        <v>1983</v>
      </c>
      <c r="B10502" s="821">
        <v>30351</v>
      </c>
      <c r="C10502">
        <v>11.12</v>
      </c>
      <c r="D10502">
        <f t="shared" si="331"/>
        <v>1</v>
      </c>
    </row>
    <row r="10503" spans="1:4" x14ac:dyDescent="0.55000000000000004">
      <c r="A10503">
        <f t="shared" si="330"/>
        <v>1983</v>
      </c>
      <c r="B10503" s="821">
        <v>30350</v>
      </c>
      <c r="C10503">
        <v>11.06</v>
      </c>
      <c r="D10503">
        <f t="shared" si="331"/>
        <v>1</v>
      </c>
    </row>
    <row r="10504" spans="1:4" x14ac:dyDescent="0.55000000000000004">
      <c r="A10504">
        <f t="shared" si="330"/>
        <v>1983</v>
      </c>
      <c r="B10504" s="821">
        <v>30349</v>
      </c>
      <c r="C10504">
        <v>10.94</v>
      </c>
      <c r="D10504">
        <f t="shared" si="331"/>
        <v>1</v>
      </c>
    </row>
    <row r="10505" spans="1:4" x14ac:dyDescent="0.55000000000000004">
      <c r="A10505">
        <f t="shared" si="330"/>
        <v>1983</v>
      </c>
      <c r="B10505" s="821">
        <v>30348</v>
      </c>
      <c r="C10505">
        <v>10.95</v>
      </c>
      <c r="D10505">
        <f t="shared" si="331"/>
        <v>1</v>
      </c>
    </row>
    <row r="10506" spans="1:4" x14ac:dyDescent="0.55000000000000004">
      <c r="A10506">
        <f t="shared" si="330"/>
        <v>1983</v>
      </c>
      <c r="B10506" s="821">
        <v>30347</v>
      </c>
      <c r="C10506">
        <v>10.99</v>
      </c>
      <c r="D10506">
        <f t="shared" si="331"/>
        <v>1</v>
      </c>
    </row>
    <row r="10507" spans="1:4" x14ac:dyDescent="0.55000000000000004">
      <c r="A10507">
        <f t="shared" si="330"/>
        <v>1983</v>
      </c>
      <c r="B10507" s="821">
        <v>30344</v>
      </c>
      <c r="C10507">
        <v>10.9</v>
      </c>
      <c r="D10507">
        <f t="shared" si="331"/>
        <v>1</v>
      </c>
    </row>
    <row r="10508" spans="1:4" x14ac:dyDescent="0.55000000000000004">
      <c r="A10508">
        <f t="shared" si="330"/>
        <v>1983</v>
      </c>
      <c r="B10508" s="821">
        <v>30343</v>
      </c>
      <c r="C10508">
        <v>10.85</v>
      </c>
      <c r="D10508">
        <f t="shared" si="331"/>
        <v>1</v>
      </c>
    </row>
    <row r="10509" spans="1:4" x14ac:dyDescent="0.55000000000000004">
      <c r="A10509">
        <f t="shared" si="330"/>
        <v>1983</v>
      </c>
      <c r="B10509" s="821">
        <v>30342</v>
      </c>
      <c r="C10509">
        <v>10.92</v>
      </c>
      <c r="D10509">
        <f t="shared" si="331"/>
        <v>1</v>
      </c>
    </row>
    <row r="10510" spans="1:4" x14ac:dyDescent="0.55000000000000004">
      <c r="A10510">
        <f t="shared" si="330"/>
        <v>1983</v>
      </c>
      <c r="B10510" s="821">
        <v>30341</v>
      </c>
      <c r="C10510">
        <v>10.82</v>
      </c>
      <c r="D10510">
        <f t="shared" si="331"/>
        <v>1</v>
      </c>
    </row>
    <row r="10511" spans="1:4" x14ac:dyDescent="0.55000000000000004">
      <c r="A10511">
        <f t="shared" si="330"/>
        <v>1983</v>
      </c>
      <c r="B10511" s="821">
        <v>30340</v>
      </c>
      <c r="C10511">
        <v>10.88</v>
      </c>
      <c r="D10511">
        <f t="shared" si="331"/>
        <v>1</v>
      </c>
    </row>
    <row r="10512" spans="1:4" x14ac:dyDescent="0.55000000000000004">
      <c r="A10512">
        <f t="shared" si="330"/>
        <v>1983</v>
      </c>
      <c r="B10512" s="821">
        <v>30337</v>
      </c>
      <c r="C10512">
        <v>10.78</v>
      </c>
      <c r="D10512">
        <f t="shared" si="331"/>
        <v>1</v>
      </c>
    </row>
    <row r="10513" spans="1:4" x14ac:dyDescent="0.55000000000000004">
      <c r="A10513">
        <f t="shared" si="330"/>
        <v>1983</v>
      </c>
      <c r="B10513" s="821">
        <v>30336</v>
      </c>
      <c r="C10513">
        <v>10.66</v>
      </c>
      <c r="D10513">
        <f t="shared" si="331"/>
        <v>1</v>
      </c>
    </row>
    <row r="10514" spans="1:4" x14ac:dyDescent="0.55000000000000004">
      <c r="A10514">
        <f t="shared" si="330"/>
        <v>1983</v>
      </c>
      <c r="B10514" s="821">
        <v>30335</v>
      </c>
      <c r="C10514">
        <v>10.67</v>
      </c>
      <c r="D10514">
        <f t="shared" si="331"/>
        <v>1</v>
      </c>
    </row>
    <row r="10515" spans="1:4" x14ac:dyDescent="0.55000000000000004">
      <c r="A10515">
        <f t="shared" si="330"/>
        <v>1983</v>
      </c>
      <c r="B10515" s="821">
        <v>30334</v>
      </c>
      <c r="C10515">
        <v>10.56</v>
      </c>
      <c r="D10515">
        <f t="shared" si="331"/>
        <v>1</v>
      </c>
    </row>
    <row r="10516" spans="1:4" x14ac:dyDescent="0.55000000000000004">
      <c r="A10516">
        <f t="shared" si="330"/>
        <v>1983</v>
      </c>
      <c r="B10516" s="821">
        <v>30333</v>
      </c>
      <c r="C10516">
        <v>10.5</v>
      </c>
      <c r="D10516">
        <f t="shared" si="331"/>
        <v>1</v>
      </c>
    </row>
    <row r="10517" spans="1:4" x14ac:dyDescent="0.55000000000000004">
      <c r="A10517">
        <f t="shared" si="330"/>
        <v>1983</v>
      </c>
      <c r="B10517" s="821">
        <v>30330</v>
      </c>
      <c r="C10517">
        <v>10.5</v>
      </c>
      <c r="D10517">
        <f t="shared" si="331"/>
        <v>1</v>
      </c>
    </row>
    <row r="10518" spans="1:4" x14ac:dyDescent="0.55000000000000004">
      <c r="A10518">
        <f t="shared" si="330"/>
        <v>1983</v>
      </c>
      <c r="B10518" s="821">
        <v>30329</v>
      </c>
      <c r="C10518">
        <v>10.45</v>
      </c>
      <c r="D10518">
        <f t="shared" si="331"/>
        <v>1</v>
      </c>
    </row>
    <row r="10519" spans="1:4" x14ac:dyDescent="0.55000000000000004">
      <c r="A10519">
        <f t="shared" si="330"/>
        <v>1983</v>
      </c>
      <c r="B10519" s="821">
        <v>30328</v>
      </c>
      <c r="C10519">
        <v>10.46</v>
      </c>
      <c r="D10519">
        <f t="shared" si="331"/>
        <v>1</v>
      </c>
    </row>
    <row r="10520" spans="1:4" x14ac:dyDescent="0.55000000000000004">
      <c r="A10520">
        <f t="shared" si="330"/>
        <v>1983</v>
      </c>
      <c r="B10520" s="821">
        <v>30327</v>
      </c>
      <c r="C10520">
        <v>10.48</v>
      </c>
      <c r="D10520">
        <f t="shared" si="331"/>
        <v>1</v>
      </c>
    </row>
    <row r="10521" spans="1:4" x14ac:dyDescent="0.55000000000000004">
      <c r="A10521">
        <f t="shared" si="330"/>
        <v>1983</v>
      </c>
      <c r="B10521" s="821">
        <v>30326</v>
      </c>
      <c r="C10521">
        <v>10.51</v>
      </c>
      <c r="D10521">
        <f t="shared" si="331"/>
        <v>1</v>
      </c>
    </row>
    <row r="10522" spans="1:4" x14ac:dyDescent="0.55000000000000004">
      <c r="A10522">
        <f t="shared" si="330"/>
        <v>1983</v>
      </c>
      <c r="B10522" s="821">
        <v>30323</v>
      </c>
      <c r="C10522">
        <v>10.5</v>
      </c>
      <c r="D10522">
        <f t="shared" si="331"/>
        <v>1</v>
      </c>
    </row>
    <row r="10523" spans="1:4" x14ac:dyDescent="0.55000000000000004">
      <c r="A10523">
        <f t="shared" si="330"/>
        <v>1983</v>
      </c>
      <c r="B10523" s="821">
        <v>30322</v>
      </c>
      <c r="C10523">
        <v>10.5</v>
      </c>
      <c r="D10523">
        <f t="shared" si="331"/>
        <v>1</v>
      </c>
    </row>
    <row r="10524" spans="1:4" x14ac:dyDescent="0.55000000000000004">
      <c r="A10524">
        <f t="shared" si="330"/>
        <v>1983</v>
      </c>
      <c r="B10524" s="821">
        <v>30321</v>
      </c>
      <c r="C10524">
        <v>10.47</v>
      </c>
      <c r="D10524">
        <f t="shared" si="331"/>
        <v>1</v>
      </c>
    </row>
    <row r="10525" spans="1:4" x14ac:dyDescent="0.55000000000000004">
      <c r="A10525">
        <f t="shared" si="330"/>
        <v>1983</v>
      </c>
      <c r="B10525" s="821">
        <v>30320</v>
      </c>
      <c r="C10525">
        <v>10.45</v>
      </c>
      <c r="D10525">
        <f t="shared" si="331"/>
        <v>1</v>
      </c>
    </row>
    <row r="10526" spans="1:4" x14ac:dyDescent="0.55000000000000004">
      <c r="A10526">
        <f t="shared" si="330"/>
        <v>1983</v>
      </c>
      <c r="B10526" s="821">
        <v>30319</v>
      </c>
      <c r="C10526">
        <v>10.39</v>
      </c>
      <c r="D10526">
        <f t="shared" si="331"/>
        <v>1</v>
      </c>
    </row>
    <row r="10527" spans="1:4" x14ac:dyDescent="0.55000000000000004">
      <c r="A10527">
        <f t="shared" si="330"/>
        <v>1982</v>
      </c>
      <c r="B10527" s="821">
        <v>30316</v>
      </c>
      <c r="C10527">
        <v>10.43</v>
      </c>
      <c r="D10527">
        <f t="shared" si="331"/>
        <v>1</v>
      </c>
    </row>
    <row r="10528" spans="1:4" x14ac:dyDescent="0.55000000000000004">
      <c r="A10528">
        <f t="shared" si="330"/>
        <v>1982</v>
      </c>
      <c r="B10528" s="821">
        <v>30315</v>
      </c>
      <c r="C10528">
        <v>10.46</v>
      </c>
      <c r="D10528">
        <f t="shared" si="331"/>
        <v>1</v>
      </c>
    </row>
    <row r="10529" spans="1:4" x14ac:dyDescent="0.55000000000000004">
      <c r="A10529">
        <f t="shared" si="330"/>
        <v>1982</v>
      </c>
      <c r="B10529" s="821">
        <v>30314</v>
      </c>
      <c r="C10529">
        <v>10.49</v>
      </c>
      <c r="D10529">
        <f t="shared" si="331"/>
        <v>1</v>
      </c>
    </row>
    <row r="10530" spans="1:4" x14ac:dyDescent="0.55000000000000004">
      <c r="A10530">
        <f t="shared" si="330"/>
        <v>1982</v>
      </c>
      <c r="B10530" s="821">
        <v>30313</v>
      </c>
      <c r="C10530">
        <v>10.43</v>
      </c>
      <c r="D10530">
        <f t="shared" si="331"/>
        <v>1</v>
      </c>
    </row>
    <row r="10531" spans="1:4" x14ac:dyDescent="0.55000000000000004">
      <c r="A10531">
        <f t="shared" si="330"/>
        <v>1982</v>
      </c>
      <c r="B10531" s="821">
        <v>30312</v>
      </c>
      <c r="C10531">
        <v>10.44</v>
      </c>
      <c r="D10531">
        <f t="shared" si="331"/>
        <v>1</v>
      </c>
    </row>
    <row r="10532" spans="1:4" x14ac:dyDescent="0.55000000000000004">
      <c r="A10532">
        <f t="shared" si="330"/>
        <v>1982</v>
      </c>
      <c r="B10532" s="821">
        <v>30308</v>
      </c>
      <c r="C10532">
        <v>10.5</v>
      </c>
      <c r="D10532">
        <f t="shared" si="331"/>
        <v>1</v>
      </c>
    </row>
    <row r="10533" spans="1:4" x14ac:dyDescent="0.55000000000000004">
      <c r="A10533">
        <f t="shared" si="330"/>
        <v>1982</v>
      </c>
      <c r="B10533" s="821">
        <v>30307</v>
      </c>
      <c r="C10533">
        <v>10.55</v>
      </c>
      <c r="D10533">
        <f t="shared" si="331"/>
        <v>1</v>
      </c>
    </row>
    <row r="10534" spans="1:4" x14ac:dyDescent="0.55000000000000004">
      <c r="A10534">
        <f t="shared" si="330"/>
        <v>1982</v>
      </c>
      <c r="B10534" s="821">
        <v>30306</v>
      </c>
      <c r="C10534">
        <v>10.53</v>
      </c>
      <c r="D10534">
        <f t="shared" si="331"/>
        <v>1</v>
      </c>
    </row>
    <row r="10535" spans="1:4" x14ac:dyDescent="0.55000000000000004">
      <c r="A10535">
        <f t="shared" si="330"/>
        <v>1982</v>
      </c>
      <c r="B10535" s="821">
        <v>30305</v>
      </c>
      <c r="C10535">
        <v>10.77</v>
      </c>
      <c r="D10535">
        <f t="shared" si="331"/>
        <v>1</v>
      </c>
    </row>
    <row r="10536" spans="1:4" x14ac:dyDescent="0.55000000000000004">
      <c r="A10536">
        <f t="shared" si="330"/>
        <v>1982</v>
      </c>
      <c r="B10536" s="821">
        <v>30302</v>
      </c>
      <c r="C10536">
        <v>10.69</v>
      </c>
      <c r="D10536">
        <f t="shared" si="331"/>
        <v>1</v>
      </c>
    </row>
    <row r="10537" spans="1:4" x14ac:dyDescent="0.55000000000000004">
      <c r="A10537">
        <f t="shared" si="330"/>
        <v>1982</v>
      </c>
      <c r="B10537" s="821">
        <v>30301</v>
      </c>
      <c r="C10537">
        <v>10.66</v>
      </c>
      <c r="D10537">
        <f t="shared" si="331"/>
        <v>1</v>
      </c>
    </row>
    <row r="10538" spans="1:4" x14ac:dyDescent="0.55000000000000004">
      <c r="A10538">
        <f t="shared" si="330"/>
        <v>1982</v>
      </c>
      <c r="B10538" s="821">
        <v>30300</v>
      </c>
      <c r="C10538">
        <v>10.55</v>
      </c>
      <c r="D10538">
        <f t="shared" si="331"/>
        <v>1</v>
      </c>
    </row>
    <row r="10539" spans="1:4" x14ac:dyDescent="0.55000000000000004">
      <c r="A10539">
        <f t="shared" si="330"/>
        <v>1982</v>
      </c>
      <c r="B10539" s="821">
        <v>30299</v>
      </c>
      <c r="C10539">
        <v>10.48</v>
      </c>
      <c r="D10539">
        <f t="shared" si="331"/>
        <v>1</v>
      </c>
    </row>
    <row r="10540" spans="1:4" x14ac:dyDescent="0.55000000000000004">
      <c r="A10540">
        <f t="shared" si="330"/>
        <v>1982</v>
      </c>
      <c r="B10540" s="821">
        <v>30298</v>
      </c>
      <c r="C10540">
        <v>10.57</v>
      </c>
      <c r="D10540">
        <f t="shared" si="331"/>
        <v>1</v>
      </c>
    </row>
    <row r="10541" spans="1:4" x14ac:dyDescent="0.55000000000000004">
      <c r="A10541">
        <f t="shared" si="330"/>
        <v>1982</v>
      </c>
      <c r="B10541" s="821">
        <v>30295</v>
      </c>
      <c r="C10541">
        <v>10.63</v>
      </c>
      <c r="D10541">
        <f t="shared" si="331"/>
        <v>1</v>
      </c>
    </row>
    <row r="10542" spans="1:4" x14ac:dyDescent="0.55000000000000004">
      <c r="A10542">
        <f t="shared" si="330"/>
        <v>1982</v>
      </c>
      <c r="B10542" s="821">
        <v>30294</v>
      </c>
      <c r="C10542">
        <v>10.52</v>
      </c>
      <c r="D10542">
        <f t="shared" si="331"/>
        <v>1</v>
      </c>
    </row>
    <row r="10543" spans="1:4" x14ac:dyDescent="0.55000000000000004">
      <c r="A10543">
        <f t="shared" si="330"/>
        <v>1982</v>
      </c>
      <c r="B10543" s="821">
        <v>30293</v>
      </c>
      <c r="C10543">
        <v>10.54</v>
      </c>
      <c r="D10543">
        <f t="shared" si="331"/>
        <v>1</v>
      </c>
    </row>
    <row r="10544" spans="1:4" x14ac:dyDescent="0.55000000000000004">
      <c r="A10544">
        <f t="shared" si="330"/>
        <v>1982</v>
      </c>
      <c r="B10544" s="821">
        <v>30292</v>
      </c>
      <c r="C10544">
        <v>10.45</v>
      </c>
      <c r="D10544">
        <f t="shared" si="331"/>
        <v>1</v>
      </c>
    </row>
    <row r="10545" spans="1:4" x14ac:dyDescent="0.55000000000000004">
      <c r="A10545">
        <f t="shared" si="330"/>
        <v>1982</v>
      </c>
      <c r="B10545" s="821">
        <v>30291</v>
      </c>
      <c r="C10545">
        <v>10.41</v>
      </c>
      <c r="D10545">
        <f t="shared" si="331"/>
        <v>1</v>
      </c>
    </row>
    <row r="10546" spans="1:4" x14ac:dyDescent="0.55000000000000004">
      <c r="A10546">
        <f t="shared" si="330"/>
        <v>1982</v>
      </c>
      <c r="B10546" s="821">
        <v>30288</v>
      </c>
      <c r="C10546">
        <v>10.44</v>
      </c>
      <c r="D10546">
        <f t="shared" si="331"/>
        <v>1</v>
      </c>
    </row>
    <row r="10547" spans="1:4" x14ac:dyDescent="0.55000000000000004">
      <c r="A10547">
        <f t="shared" si="330"/>
        <v>1982</v>
      </c>
      <c r="B10547" s="821">
        <v>30287</v>
      </c>
      <c r="C10547">
        <v>10.63</v>
      </c>
      <c r="D10547">
        <f t="shared" si="331"/>
        <v>1</v>
      </c>
    </row>
    <row r="10548" spans="1:4" x14ac:dyDescent="0.55000000000000004">
      <c r="A10548">
        <f t="shared" si="330"/>
        <v>1982</v>
      </c>
      <c r="B10548" s="821">
        <v>30286</v>
      </c>
      <c r="C10548">
        <v>10.69</v>
      </c>
      <c r="D10548">
        <f t="shared" si="331"/>
        <v>1</v>
      </c>
    </row>
    <row r="10549" spans="1:4" x14ac:dyDescent="0.55000000000000004">
      <c r="A10549">
        <f t="shared" si="330"/>
        <v>1982</v>
      </c>
      <c r="B10549" s="821">
        <v>30285</v>
      </c>
      <c r="C10549">
        <v>10.7</v>
      </c>
      <c r="D10549">
        <f t="shared" si="331"/>
        <v>1</v>
      </c>
    </row>
    <row r="10550" spans="1:4" x14ac:dyDescent="0.55000000000000004">
      <c r="A10550">
        <f t="shared" si="330"/>
        <v>1982</v>
      </c>
      <c r="B10550" s="821">
        <v>30284</v>
      </c>
      <c r="C10550">
        <v>10.72</v>
      </c>
      <c r="D10550">
        <f t="shared" si="331"/>
        <v>1</v>
      </c>
    </row>
    <row r="10551" spans="1:4" x14ac:dyDescent="0.55000000000000004">
      <c r="A10551">
        <f t="shared" si="330"/>
        <v>1982</v>
      </c>
      <c r="B10551" s="821">
        <v>30281</v>
      </c>
      <c r="C10551">
        <v>10.47</v>
      </c>
      <c r="D10551">
        <f t="shared" si="331"/>
        <v>1</v>
      </c>
    </row>
    <row r="10552" spans="1:4" x14ac:dyDescent="0.55000000000000004">
      <c r="A10552">
        <f t="shared" si="330"/>
        <v>1982</v>
      </c>
      <c r="B10552" s="821">
        <v>30279</v>
      </c>
      <c r="C10552">
        <v>10.52</v>
      </c>
      <c r="D10552">
        <f t="shared" si="331"/>
        <v>1</v>
      </c>
    </row>
    <row r="10553" spans="1:4" x14ac:dyDescent="0.55000000000000004">
      <c r="A10553">
        <f t="shared" si="330"/>
        <v>1982</v>
      </c>
      <c r="B10553" s="821">
        <v>30278</v>
      </c>
      <c r="C10553">
        <v>10.46</v>
      </c>
      <c r="D10553">
        <f t="shared" si="331"/>
        <v>1</v>
      </c>
    </row>
    <row r="10554" spans="1:4" x14ac:dyDescent="0.55000000000000004">
      <c r="A10554">
        <f t="shared" si="330"/>
        <v>1982</v>
      </c>
      <c r="B10554" s="821">
        <v>30277</v>
      </c>
      <c r="C10554">
        <v>10.43</v>
      </c>
      <c r="D10554">
        <f t="shared" si="331"/>
        <v>1</v>
      </c>
    </row>
    <row r="10555" spans="1:4" x14ac:dyDescent="0.55000000000000004">
      <c r="A10555">
        <f t="shared" si="330"/>
        <v>1982</v>
      </c>
      <c r="B10555" s="821">
        <v>30274</v>
      </c>
      <c r="C10555">
        <v>10.35</v>
      </c>
      <c r="D10555">
        <f t="shared" si="331"/>
        <v>1</v>
      </c>
    </row>
    <row r="10556" spans="1:4" x14ac:dyDescent="0.55000000000000004">
      <c r="A10556">
        <f t="shared" si="330"/>
        <v>1982</v>
      </c>
      <c r="B10556" s="821">
        <v>30273</v>
      </c>
      <c r="C10556">
        <v>10.33</v>
      </c>
      <c r="D10556">
        <f t="shared" si="331"/>
        <v>1</v>
      </c>
    </row>
    <row r="10557" spans="1:4" x14ac:dyDescent="0.55000000000000004">
      <c r="A10557">
        <f t="shared" si="330"/>
        <v>1982</v>
      </c>
      <c r="B10557" s="821">
        <v>30272</v>
      </c>
      <c r="C10557">
        <v>10.54</v>
      </c>
      <c r="D10557">
        <f t="shared" si="331"/>
        <v>1</v>
      </c>
    </row>
    <row r="10558" spans="1:4" x14ac:dyDescent="0.55000000000000004">
      <c r="A10558">
        <f t="shared" si="330"/>
        <v>1982</v>
      </c>
      <c r="B10558" s="821">
        <v>30271</v>
      </c>
      <c r="C10558">
        <v>10.6</v>
      </c>
      <c r="D10558">
        <f t="shared" si="331"/>
        <v>1</v>
      </c>
    </row>
    <row r="10559" spans="1:4" x14ac:dyDescent="0.55000000000000004">
      <c r="A10559">
        <f t="shared" si="330"/>
        <v>1982</v>
      </c>
      <c r="B10559" s="821">
        <v>30270</v>
      </c>
      <c r="C10559">
        <v>10.52</v>
      </c>
      <c r="D10559">
        <f t="shared" si="331"/>
        <v>1</v>
      </c>
    </row>
    <row r="10560" spans="1:4" x14ac:dyDescent="0.55000000000000004">
      <c r="A10560">
        <f t="shared" si="330"/>
        <v>1982</v>
      </c>
      <c r="B10560" s="821">
        <v>30267</v>
      </c>
      <c r="C10560">
        <v>10.43</v>
      </c>
      <c r="D10560">
        <f t="shared" si="331"/>
        <v>1</v>
      </c>
    </row>
    <row r="10561" spans="1:4" x14ac:dyDescent="0.55000000000000004">
      <c r="A10561">
        <f t="shared" si="330"/>
        <v>1982</v>
      </c>
      <c r="B10561" s="821">
        <v>30265</v>
      </c>
      <c r="C10561">
        <v>10.37</v>
      </c>
      <c r="D10561">
        <f t="shared" si="331"/>
        <v>1</v>
      </c>
    </row>
    <row r="10562" spans="1:4" x14ac:dyDescent="0.55000000000000004">
      <c r="A10562">
        <f t="shared" si="330"/>
        <v>1982</v>
      </c>
      <c r="B10562" s="821">
        <v>30264</v>
      </c>
      <c r="C10562">
        <v>10.44</v>
      </c>
      <c r="D10562">
        <f t="shared" si="331"/>
        <v>1</v>
      </c>
    </row>
    <row r="10563" spans="1:4" x14ac:dyDescent="0.55000000000000004">
      <c r="A10563">
        <f t="shared" si="330"/>
        <v>1982</v>
      </c>
      <c r="B10563" s="821">
        <v>30263</v>
      </c>
      <c r="C10563">
        <v>10.61</v>
      </c>
      <c r="D10563">
        <f t="shared" si="331"/>
        <v>1</v>
      </c>
    </row>
    <row r="10564" spans="1:4" x14ac:dyDescent="0.55000000000000004">
      <c r="A10564">
        <f t="shared" ref="A10564:A10627" si="332">YEAR(B10564)</f>
        <v>1982</v>
      </c>
      <c r="B10564" s="821">
        <v>30260</v>
      </c>
      <c r="C10564">
        <v>10.59</v>
      </c>
      <c r="D10564">
        <f t="shared" ref="D10564:D10627" si="333">IF(C10564&gt;4,1,0)</f>
        <v>1</v>
      </c>
    </row>
    <row r="10565" spans="1:4" x14ac:dyDescent="0.55000000000000004">
      <c r="A10565">
        <f t="shared" si="332"/>
        <v>1982</v>
      </c>
      <c r="B10565" s="821">
        <v>30259</v>
      </c>
      <c r="C10565">
        <v>10.66</v>
      </c>
      <c r="D10565">
        <f t="shared" si="333"/>
        <v>1</v>
      </c>
    </row>
    <row r="10566" spans="1:4" x14ac:dyDescent="0.55000000000000004">
      <c r="A10566">
        <f t="shared" si="332"/>
        <v>1982</v>
      </c>
      <c r="B10566" s="821">
        <v>30258</v>
      </c>
      <c r="C10566">
        <v>10.72</v>
      </c>
      <c r="D10566">
        <f t="shared" si="333"/>
        <v>1</v>
      </c>
    </row>
    <row r="10567" spans="1:4" x14ac:dyDescent="0.55000000000000004">
      <c r="A10567">
        <f t="shared" si="332"/>
        <v>1982</v>
      </c>
      <c r="B10567" s="821">
        <v>30256</v>
      </c>
      <c r="C10567">
        <v>10.84</v>
      </c>
      <c r="D10567">
        <f t="shared" si="333"/>
        <v>1</v>
      </c>
    </row>
    <row r="10568" spans="1:4" x14ac:dyDescent="0.55000000000000004">
      <c r="A10568">
        <f t="shared" si="332"/>
        <v>1982</v>
      </c>
      <c r="B10568" s="821">
        <v>30253</v>
      </c>
      <c r="C10568">
        <v>11.01</v>
      </c>
      <c r="D10568">
        <f t="shared" si="333"/>
        <v>1</v>
      </c>
    </row>
    <row r="10569" spans="1:4" x14ac:dyDescent="0.55000000000000004">
      <c r="A10569">
        <f t="shared" si="332"/>
        <v>1982</v>
      </c>
      <c r="B10569" s="821">
        <v>30252</v>
      </c>
      <c r="C10569">
        <v>11.12</v>
      </c>
      <c r="D10569">
        <f t="shared" si="333"/>
        <v>1</v>
      </c>
    </row>
    <row r="10570" spans="1:4" x14ac:dyDescent="0.55000000000000004">
      <c r="A10570">
        <f t="shared" si="332"/>
        <v>1982</v>
      </c>
      <c r="B10570" s="821">
        <v>30251</v>
      </c>
      <c r="C10570">
        <v>11.23</v>
      </c>
      <c r="D10570">
        <f t="shared" si="333"/>
        <v>1</v>
      </c>
    </row>
    <row r="10571" spans="1:4" x14ac:dyDescent="0.55000000000000004">
      <c r="A10571">
        <f t="shared" si="332"/>
        <v>1982</v>
      </c>
      <c r="B10571" s="821">
        <v>30250</v>
      </c>
      <c r="C10571">
        <v>11.17</v>
      </c>
      <c r="D10571">
        <f t="shared" si="333"/>
        <v>1</v>
      </c>
    </row>
    <row r="10572" spans="1:4" x14ac:dyDescent="0.55000000000000004">
      <c r="A10572">
        <f t="shared" si="332"/>
        <v>1982</v>
      </c>
      <c r="B10572" s="821">
        <v>30249</v>
      </c>
      <c r="C10572">
        <v>11.25</v>
      </c>
      <c r="D10572">
        <f t="shared" si="333"/>
        <v>1</v>
      </c>
    </row>
    <row r="10573" spans="1:4" x14ac:dyDescent="0.55000000000000004">
      <c r="A10573">
        <f t="shared" si="332"/>
        <v>1982</v>
      </c>
      <c r="B10573" s="821">
        <v>30246</v>
      </c>
      <c r="C10573">
        <v>11.03</v>
      </c>
      <c r="D10573">
        <f t="shared" si="333"/>
        <v>1</v>
      </c>
    </row>
    <row r="10574" spans="1:4" x14ac:dyDescent="0.55000000000000004">
      <c r="A10574">
        <f t="shared" si="332"/>
        <v>1982</v>
      </c>
      <c r="B10574" s="821">
        <v>30245</v>
      </c>
      <c r="C10574">
        <v>10.92</v>
      </c>
      <c r="D10574">
        <f t="shared" si="333"/>
        <v>1</v>
      </c>
    </row>
    <row r="10575" spans="1:4" x14ac:dyDescent="0.55000000000000004">
      <c r="A10575">
        <f t="shared" si="332"/>
        <v>1982</v>
      </c>
      <c r="B10575" s="821">
        <v>30244</v>
      </c>
      <c r="C10575">
        <v>10.91</v>
      </c>
      <c r="D10575">
        <f t="shared" si="333"/>
        <v>1</v>
      </c>
    </row>
    <row r="10576" spans="1:4" x14ac:dyDescent="0.55000000000000004">
      <c r="A10576">
        <f t="shared" si="332"/>
        <v>1982</v>
      </c>
      <c r="B10576" s="821">
        <v>30243</v>
      </c>
      <c r="C10576">
        <v>10.87</v>
      </c>
      <c r="D10576">
        <f t="shared" si="333"/>
        <v>1</v>
      </c>
    </row>
    <row r="10577" spans="1:4" x14ac:dyDescent="0.55000000000000004">
      <c r="A10577">
        <f t="shared" si="332"/>
        <v>1982</v>
      </c>
      <c r="B10577" s="821">
        <v>30242</v>
      </c>
      <c r="C10577">
        <v>10.9</v>
      </c>
      <c r="D10577">
        <f t="shared" si="333"/>
        <v>1</v>
      </c>
    </row>
    <row r="10578" spans="1:4" x14ac:dyDescent="0.55000000000000004">
      <c r="A10578">
        <f t="shared" si="332"/>
        <v>1982</v>
      </c>
      <c r="B10578" s="821">
        <v>30239</v>
      </c>
      <c r="C10578">
        <v>11.03</v>
      </c>
      <c r="D10578">
        <f t="shared" si="333"/>
        <v>1</v>
      </c>
    </row>
    <row r="10579" spans="1:4" x14ac:dyDescent="0.55000000000000004">
      <c r="A10579">
        <f t="shared" si="332"/>
        <v>1982</v>
      </c>
      <c r="B10579" s="821">
        <v>30238</v>
      </c>
      <c r="C10579">
        <v>10.86</v>
      </c>
      <c r="D10579">
        <f t="shared" si="333"/>
        <v>1</v>
      </c>
    </row>
    <row r="10580" spans="1:4" x14ac:dyDescent="0.55000000000000004">
      <c r="A10580">
        <f t="shared" si="332"/>
        <v>1982</v>
      </c>
      <c r="B10580" s="821">
        <v>30237</v>
      </c>
      <c r="C10580">
        <v>10.75</v>
      </c>
      <c r="D10580">
        <f t="shared" si="333"/>
        <v>1</v>
      </c>
    </row>
    <row r="10581" spans="1:4" x14ac:dyDescent="0.55000000000000004">
      <c r="A10581">
        <f t="shared" si="332"/>
        <v>1982</v>
      </c>
      <c r="B10581" s="821">
        <v>30236</v>
      </c>
      <c r="C10581">
        <v>10.85</v>
      </c>
      <c r="D10581">
        <f t="shared" si="333"/>
        <v>1</v>
      </c>
    </row>
    <row r="10582" spans="1:4" x14ac:dyDescent="0.55000000000000004">
      <c r="A10582">
        <f t="shared" si="332"/>
        <v>1982</v>
      </c>
      <c r="B10582" s="821">
        <v>30232</v>
      </c>
      <c r="C10582">
        <v>11.19</v>
      </c>
      <c r="D10582">
        <f t="shared" si="333"/>
        <v>1</v>
      </c>
    </row>
    <row r="10583" spans="1:4" x14ac:dyDescent="0.55000000000000004">
      <c r="A10583">
        <f t="shared" si="332"/>
        <v>1982</v>
      </c>
      <c r="B10583" s="821">
        <v>30231</v>
      </c>
      <c r="C10583">
        <v>11.29</v>
      </c>
      <c r="D10583">
        <f t="shared" si="333"/>
        <v>1</v>
      </c>
    </row>
    <row r="10584" spans="1:4" x14ac:dyDescent="0.55000000000000004">
      <c r="A10584">
        <f t="shared" si="332"/>
        <v>1982</v>
      </c>
      <c r="B10584" s="821">
        <v>30230</v>
      </c>
      <c r="C10584">
        <v>11.69</v>
      </c>
      <c r="D10584">
        <f t="shared" si="333"/>
        <v>1</v>
      </c>
    </row>
    <row r="10585" spans="1:4" x14ac:dyDescent="0.55000000000000004">
      <c r="A10585">
        <f t="shared" si="332"/>
        <v>1982</v>
      </c>
      <c r="B10585" s="821">
        <v>30229</v>
      </c>
      <c r="C10585">
        <v>11.81</v>
      </c>
      <c r="D10585">
        <f t="shared" si="333"/>
        <v>1</v>
      </c>
    </row>
    <row r="10586" spans="1:4" x14ac:dyDescent="0.55000000000000004">
      <c r="A10586">
        <f t="shared" si="332"/>
        <v>1982</v>
      </c>
      <c r="B10586" s="821">
        <v>30228</v>
      </c>
      <c r="C10586">
        <v>11.83</v>
      </c>
      <c r="D10586">
        <f t="shared" si="333"/>
        <v>1</v>
      </c>
    </row>
    <row r="10587" spans="1:4" x14ac:dyDescent="0.55000000000000004">
      <c r="A10587">
        <f t="shared" si="332"/>
        <v>1982</v>
      </c>
      <c r="B10587" s="821">
        <v>30225</v>
      </c>
      <c r="C10587">
        <v>11.65</v>
      </c>
      <c r="D10587">
        <f t="shared" si="333"/>
        <v>1</v>
      </c>
    </row>
    <row r="10588" spans="1:4" x14ac:dyDescent="0.55000000000000004">
      <c r="A10588">
        <f t="shared" si="332"/>
        <v>1982</v>
      </c>
      <c r="B10588" s="821">
        <v>30224</v>
      </c>
      <c r="C10588">
        <v>11.79</v>
      </c>
      <c r="D10588">
        <f t="shared" si="333"/>
        <v>1</v>
      </c>
    </row>
    <row r="10589" spans="1:4" x14ac:dyDescent="0.55000000000000004">
      <c r="A10589">
        <f t="shared" si="332"/>
        <v>1982</v>
      </c>
      <c r="B10589" s="821">
        <v>30223</v>
      </c>
      <c r="C10589">
        <v>11.79</v>
      </c>
      <c r="D10589">
        <f t="shared" si="333"/>
        <v>1</v>
      </c>
    </row>
    <row r="10590" spans="1:4" x14ac:dyDescent="0.55000000000000004">
      <c r="A10590">
        <f t="shared" si="332"/>
        <v>1982</v>
      </c>
      <c r="B10590" s="821">
        <v>30222</v>
      </c>
      <c r="C10590">
        <v>11.76</v>
      </c>
      <c r="D10590">
        <f t="shared" si="333"/>
        <v>1</v>
      </c>
    </row>
    <row r="10591" spans="1:4" x14ac:dyDescent="0.55000000000000004">
      <c r="A10591">
        <f t="shared" si="332"/>
        <v>1982</v>
      </c>
      <c r="B10591" s="821">
        <v>30221</v>
      </c>
      <c r="C10591">
        <v>11.82</v>
      </c>
      <c r="D10591">
        <f t="shared" si="333"/>
        <v>1</v>
      </c>
    </row>
    <row r="10592" spans="1:4" x14ac:dyDescent="0.55000000000000004">
      <c r="A10592">
        <f t="shared" si="332"/>
        <v>1982</v>
      </c>
      <c r="B10592" s="821">
        <v>30218</v>
      </c>
      <c r="C10592">
        <v>11.88</v>
      </c>
      <c r="D10592">
        <f t="shared" si="333"/>
        <v>1</v>
      </c>
    </row>
    <row r="10593" spans="1:4" x14ac:dyDescent="0.55000000000000004">
      <c r="A10593">
        <f t="shared" si="332"/>
        <v>1982</v>
      </c>
      <c r="B10593" s="821">
        <v>30217</v>
      </c>
      <c r="C10593">
        <v>11.75</v>
      </c>
      <c r="D10593">
        <f t="shared" si="333"/>
        <v>1</v>
      </c>
    </row>
    <row r="10594" spans="1:4" x14ac:dyDescent="0.55000000000000004">
      <c r="A10594">
        <f t="shared" si="332"/>
        <v>1982</v>
      </c>
      <c r="B10594" s="821">
        <v>30216</v>
      </c>
      <c r="C10594">
        <v>11.83</v>
      </c>
      <c r="D10594">
        <f t="shared" si="333"/>
        <v>1</v>
      </c>
    </row>
    <row r="10595" spans="1:4" x14ac:dyDescent="0.55000000000000004">
      <c r="A10595">
        <f t="shared" si="332"/>
        <v>1982</v>
      </c>
      <c r="B10595" s="821">
        <v>30215</v>
      </c>
      <c r="C10595">
        <v>11.82</v>
      </c>
      <c r="D10595">
        <f t="shared" si="333"/>
        <v>1</v>
      </c>
    </row>
    <row r="10596" spans="1:4" x14ac:dyDescent="0.55000000000000004">
      <c r="A10596">
        <f t="shared" si="332"/>
        <v>1982</v>
      </c>
      <c r="B10596" s="821">
        <v>30214</v>
      </c>
      <c r="C10596">
        <v>12.04</v>
      </c>
      <c r="D10596">
        <f t="shared" si="333"/>
        <v>1</v>
      </c>
    </row>
    <row r="10597" spans="1:4" x14ac:dyDescent="0.55000000000000004">
      <c r="A10597">
        <f t="shared" si="332"/>
        <v>1982</v>
      </c>
      <c r="B10597" s="821">
        <v>30211</v>
      </c>
      <c r="C10597">
        <v>12.12</v>
      </c>
      <c r="D10597">
        <f t="shared" si="333"/>
        <v>1</v>
      </c>
    </row>
    <row r="10598" spans="1:4" x14ac:dyDescent="0.55000000000000004">
      <c r="A10598">
        <f t="shared" si="332"/>
        <v>1982</v>
      </c>
      <c r="B10598" s="821">
        <v>30210</v>
      </c>
      <c r="C10598">
        <v>12.18</v>
      </c>
      <c r="D10598">
        <f t="shared" si="333"/>
        <v>1</v>
      </c>
    </row>
    <row r="10599" spans="1:4" x14ac:dyDescent="0.55000000000000004">
      <c r="A10599">
        <f t="shared" si="332"/>
        <v>1982</v>
      </c>
      <c r="B10599" s="821">
        <v>30209</v>
      </c>
      <c r="C10599">
        <v>12.25</v>
      </c>
      <c r="D10599">
        <f t="shared" si="333"/>
        <v>1</v>
      </c>
    </row>
    <row r="10600" spans="1:4" x14ac:dyDescent="0.55000000000000004">
      <c r="A10600">
        <f t="shared" si="332"/>
        <v>1982</v>
      </c>
      <c r="B10600" s="821">
        <v>30208</v>
      </c>
      <c r="C10600">
        <v>12.24</v>
      </c>
      <c r="D10600">
        <f t="shared" si="333"/>
        <v>1</v>
      </c>
    </row>
    <row r="10601" spans="1:4" x14ac:dyDescent="0.55000000000000004">
      <c r="A10601">
        <f t="shared" si="332"/>
        <v>1982</v>
      </c>
      <c r="B10601" s="821">
        <v>30207</v>
      </c>
      <c r="C10601">
        <v>12.26</v>
      </c>
      <c r="D10601">
        <f t="shared" si="333"/>
        <v>1</v>
      </c>
    </row>
    <row r="10602" spans="1:4" x14ac:dyDescent="0.55000000000000004">
      <c r="A10602">
        <f t="shared" si="332"/>
        <v>1982</v>
      </c>
      <c r="B10602" s="821">
        <v>30204</v>
      </c>
      <c r="C10602">
        <v>12.41</v>
      </c>
      <c r="D10602">
        <f t="shared" si="333"/>
        <v>1</v>
      </c>
    </row>
    <row r="10603" spans="1:4" x14ac:dyDescent="0.55000000000000004">
      <c r="A10603">
        <f t="shared" si="332"/>
        <v>1982</v>
      </c>
      <c r="B10603" s="821">
        <v>30203</v>
      </c>
      <c r="C10603">
        <v>12.21</v>
      </c>
      <c r="D10603">
        <f t="shared" si="333"/>
        <v>1</v>
      </c>
    </row>
    <row r="10604" spans="1:4" x14ac:dyDescent="0.55000000000000004">
      <c r="A10604">
        <f t="shared" si="332"/>
        <v>1982</v>
      </c>
      <c r="B10604" s="821">
        <v>30202</v>
      </c>
      <c r="C10604">
        <v>12.17</v>
      </c>
      <c r="D10604">
        <f t="shared" si="333"/>
        <v>1</v>
      </c>
    </row>
    <row r="10605" spans="1:4" x14ac:dyDescent="0.55000000000000004">
      <c r="A10605">
        <f t="shared" si="332"/>
        <v>1982</v>
      </c>
      <c r="B10605" s="821">
        <v>30201</v>
      </c>
      <c r="C10605">
        <v>12.19</v>
      </c>
      <c r="D10605">
        <f t="shared" si="333"/>
        <v>1</v>
      </c>
    </row>
    <row r="10606" spans="1:4" x14ac:dyDescent="0.55000000000000004">
      <c r="A10606">
        <f t="shared" si="332"/>
        <v>1982</v>
      </c>
      <c r="B10606" s="821">
        <v>30197</v>
      </c>
      <c r="C10606">
        <v>12.16</v>
      </c>
      <c r="D10606">
        <f t="shared" si="333"/>
        <v>1</v>
      </c>
    </row>
    <row r="10607" spans="1:4" x14ac:dyDescent="0.55000000000000004">
      <c r="A10607">
        <f t="shared" si="332"/>
        <v>1982</v>
      </c>
      <c r="B10607" s="821">
        <v>30196</v>
      </c>
      <c r="C10607">
        <v>12.3</v>
      </c>
      <c r="D10607">
        <f t="shared" si="333"/>
        <v>1</v>
      </c>
    </row>
    <row r="10608" spans="1:4" x14ac:dyDescent="0.55000000000000004">
      <c r="A10608">
        <f t="shared" si="332"/>
        <v>1982</v>
      </c>
      <c r="B10608" s="821">
        <v>30195</v>
      </c>
      <c r="C10608">
        <v>12.41</v>
      </c>
      <c r="D10608">
        <f t="shared" si="333"/>
        <v>1</v>
      </c>
    </row>
    <row r="10609" spans="1:4" x14ac:dyDescent="0.55000000000000004">
      <c r="A10609">
        <f t="shared" si="332"/>
        <v>1982</v>
      </c>
      <c r="B10609" s="821">
        <v>30194</v>
      </c>
      <c r="C10609">
        <v>12.5</v>
      </c>
      <c r="D10609">
        <f t="shared" si="333"/>
        <v>1</v>
      </c>
    </row>
    <row r="10610" spans="1:4" x14ac:dyDescent="0.55000000000000004">
      <c r="A10610">
        <f t="shared" si="332"/>
        <v>1982</v>
      </c>
      <c r="B10610" s="821">
        <v>30193</v>
      </c>
      <c r="C10610">
        <v>12.54</v>
      </c>
      <c r="D10610">
        <f t="shared" si="333"/>
        <v>1</v>
      </c>
    </row>
    <row r="10611" spans="1:4" x14ac:dyDescent="0.55000000000000004">
      <c r="A10611">
        <f t="shared" si="332"/>
        <v>1982</v>
      </c>
      <c r="B10611" s="821">
        <v>30190</v>
      </c>
      <c r="C10611">
        <v>12.54</v>
      </c>
      <c r="D10611">
        <f t="shared" si="333"/>
        <v>1</v>
      </c>
    </row>
    <row r="10612" spans="1:4" x14ac:dyDescent="0.55000000000000004">
      <c r="A10612">
        <f t="shared" si="332"/>
        <v>1982</v>
      </c>
      <c r="B10612" s="821">
        <v>30189</v>
      </c>
      <c r="C10612">
        <v>12.31</v>
      </c>
      <c r="D10612">
        <f t="shared" si="333"/>
        <v>1</v>
      </c>
    </row>
    <row r="10613" spans="1:4" x14ac:dyDescent="0.55000000000000004">
      <c r="A10613">
        <f t="shared" si="332"/>
        <v>1982</v>
      </c>
      <c r="B10613" s="821">
        <v>30188</v>
      </c>
      <c r="C10613">
        <v>12.21</v>
      </c>
      <c r="D10613">
        <f t="shared" si="333"/>
        <v>1</v>
      </c>
    </row>
    <row r="10614" spans="1:4" x14ac:dyDescent="0.55000000000000004">
      <c r="A10614">
        <f t="shared" si="332"/>
        <v>1982</v>
      </c>
      <c r="B10614" s="821">
        <v>30187</v>
      </c>
      <c r="C10614">
        <v>12.16</v>
      </c>
      <c r="D10614">
        <f t="shared" si="333"/>
        <v>1</v>
      </c>
    </row>
    <row r="10615" spans="1:4" x14ac:dyDescent="0.55000000000000004">
      <c r="A10615">
        <f t="shared" si="332"/>
        <v>1982</v>
      </c>
      <c r="B10615" s="821">
        <v>30186</v>
      </c>
      <c r="C10615">
        <v>12.29</v>
      </c>
      <c r="D10615">
        <f t="shared" si="333"/>
        <v>1</v>
      </c>
    </row>
    <row r="10616" spans="1:4" x14ac:dyDescent="0.55000000000000004">
      <c r="A10616">
        <f t="shared" si="332"/>
        <v>1982</v>
      </c>
      <c r="B10616" s="821">
        <v>30183</v>
      </c>
      <c r="C10616">
        <v>12.14</v>
      </c>
      <c r="D10616">
        <f t="shared" si="333"/>
        <v>1</v>
      </c>
    </row>
    <row r="10617" spans="1:4" x14ac:dyDescent="0.55000000000000004">
      <c r="A10617">
        <f t="shared" si="332"/>
        <v>1982</v>
      </c>
      <c r="B10617" s="821">
        <v>30182</v>
      </c>
      <c r="C10617">
        <v>12.31</v>
      </c>
      <c r="D10617">
        <f t="shared" si="333"/>
        <v>1</v>
      </c>
    </row>
    <row r="10618" spans="1:4" x14ac:dyDescent="0.55000000000000004">
      <c r="A10618">
        <f t="shared" si="332"/>
        <v>1982</v>
      </c>
      <c r="B10618" s="821">
        <v>30181</v>
      </c>
      <c r="C10618">
        <v>12.29</v>
      </c>
      <c r="D10618">
        <f t="shared" si="333"/>
        <v>1</v>
      </c>
    </row>
    <row r="10619" spans="1:4" x14ac:dyDescent="0.55000000000000004">
      <c r="A10619">
        <f t="shared" si="332"/>
        <v>1982</v>
      </c>
      <c r="B10619" s="821">
        <v>30180</v>
      </c>
      <c r="C10619">
        <v>12.42</v>
      </c>
      <c r="D10619">
        <f t="shared" si="333"/>
        <v>1</v>
      </c>
    </row>
    <row r="10620" spans="1:4" x14ac:dyDescent="0.55000000000000004">
      <c r="A10620">
        <f t="shared" si="332"/>
        <v>1982</v>
      </c>
      <c r="B10620" s="821">
        <v>30179</v>
      </c>
      <c r="C10620">
        <v>12.8</v>
      </c>
      <c r="D10620">
        <f t="shared" si="333"/>
        <v>1</v>
      </c>
    </row>
    <row r="10621" spans="1:4" x14ac:dyDescent="0.55000000000000004">
      <c r="A10621">
        <f t="shared" si="332"/>
        <v>1982</v>
      </c>
      <c r="B10621" s="821">
        <v>30176</v>
      </c>
      <c r="C10621">
        <v>12.98</v>
      </c>
      <c r="D10621">
        <f t="shared" si="333"/>
        <v>1</v>
      </c>
    </row>
    <row r="10622" spans="1:4" x14ac:dyDescent="0.55000000000000004">
      <c r="A10622">
        <f t="shared" si="332"/>
        <v>1982</v>
      </c>
      <c r="B10622" s="821">
        <v>30175</v>
      </c>
      <c r="C10622">
        <v>13.15</v>
      </c>
      <c r="D10622">
        <f t="shared" si="333"/>
        <v>1</v>
      </c>
    </row>
    <row r="10623" spans="1:4" x14ac:dyDescent="0.55000000000000004">
      <c r="A10623">
        <f t="shared" si="332"/>
        <v>1982</v>
      </c>
      <c r="B10623" s="821">
        <v>30174</v>
      </c>
      <c r="C10623">
        <v>13.26</v>
      </c>
      <c r="D10623">
        <f t="shared" si="333"/>
        <v>1</v>
      </c>
    </row>
    <row r="10624" spans="1:4" x14ac:dyDescent="0.55000000000000004">
      <c r="A10624">
        <f t="shared" si="332"/>
        <v>1982</v>
      </c>
      <c r="B10624" s="821">
        <v>30173</v>
      </c>
      <c r="C10624">
        <v>13.27</v>
      </c>
      <c r="D10624">
        <f t="shared" si="333"/>
        <v>1</v>
      </c>
    </row>
    <row r="10625" spans="1:4" x14ac:dyDescent="0.55000000000000004">
      <c r="A10625">
        <f t="shared" si="332"/>
        <v>1982</v>
      </c>
      <c r="B10625" s="821">
        <v>30172</v>
      </c>
      <c r="C10625">
        <v>13.31</v>
      </c>
      <c r="D10625">
        <f t="shared" si="333"/>
        <v>1</v>
      </c>
    </row>
    <row r="10626" spans="1:4" x14ac:dyDescent="0.55000000000000004">
      <c r="A10626">
        <f t="shared" si="332"/>
        <v>1982</v>
      </c>
      <c r="B10626" s="821">
        <v>30169</v>
      </c>
      <c r="C10626">
        <v>13.41</v>
      </c>
      <c r="D10626">
        <f t="shared" si="333"/>
        <v>1</v>
      </c>
    </row>
    <row r="10627" spans="1:4" x14ac:dyDescent="0.55000000000000004">
      <c r="A10627">
        <f t="shared" si="332"/>
        <v>1982</v>
      </c>
      <c r="B10627" s="821">
        <v>30168</v>
      </c>
      <c r="C10627">
        <v>13.29</v>
      </c>
      <c r="D10627">
        <f t="shared" si="333"/>
        <v>1</v>
      </c>
    </row>
    <row r="10628" spans="1:4" x14ac:dyDescent="0.55000000000000004">
      <c r="A10628">
        <f t="shared" ref="A10628:A10691" si="334">YEAR(B10628)</f>
        <v>1982</v>
      </c>
      <c r="B10628" s="821">
        <v>30167</v>
      </c>
      <c r="C10628">
        <v>13.27</v>
      </c>
      <c r="D10628">
        <f t="shared" ref="D10628:D10691" si="335">IF(C10628&gt;4,1,0)</f>
        <v>1</v>
      </c>
    </row>
    <row r="10629" spans="1:4" x14ac:dyDescent="0.55000000000000004">
      <c r="A10629">
        <f t="shared" si="334"/>
        <v>1982</v>
      </c>
      <c r="B10629" s="821">
        <v>30166</v>
      </c>
      <c r="C10629">
        <v>13.27</v>
      </c>
      <c r="D10629">
        <f t="shared" si="335"/>
        <v>1</v>
      </c>
    </row>
    <row r="10630" spans="1:4" x14ac:dyDescent="0.55000000000000004">
      <c r="A10630">
        <f t="shared" si="334"/>
        <v>1982</v>
      </c>
      <c r="B10630" s="821">
        <v>30165</v>
      </c>
      <c r="C10630">
        <v>13.17</v>
      </c>
      <c r="D10630">
        <f t="shared" si="335"/>
        <v>1</v>
      </c>
    </row>
    <row r="10631" spans="1:4" x14ac:dyDescent="0.55000000000000004">
      <c r="A10631">
        <f t="shared" si="334"/>
        <v>1982</v>
      </c>
      <c r="B10631" s="821">
        <v>30162</v>
      </c>
      <c r="C10631">
        <v>13.42</v>
      </c>
      <c r="D10631">
        <f t="shared" si="335"/>
        <v>1</v>
      </c>
    </row>
    <row r="10632" spans="1:4" x14ac:dyDescent="0.55000000000000004">
      <c r="A10632">
        <f t="shared" si="334"/>
        <v>1982</v>
      </c>
      <c r="B10632" s="821">
        <v>30161</v>
      </c>
      <c r="C10632">
        <v>13.51</v>
      </c>
      <c r="D10632">
        <f t="shared" si="335"/>
        <v>1</v>
      </c>
    </row>
    <row r="10633" spans="1:4" x14ac:dyDescent="0.55000000000000004">
      <c r="A10633">
        <f t="shared" si="334"/>
        <v>1982</v>
      </c>
      <c r="B10633" s="821">
        <v>30160</v>
      </c>
      <c r="C10633">
        <v>13.6</v>
      </c>
      <c r="D10633">
        <f t="shared" si="335"/>
        <v>1</v>
      </c>
    </row>
    <row r="10634" spans="1:4" x14ac:dyDescent="0.55000000000000004">
      <c r="A10634">
        <f t="shared" si="334"/>
        <v>1982</v>
      </c>
      <c r="B10634" s="821">
        <v>30159</v>
      </c>
      <c r="C10634">
        <v>13.46</v>
      </c>
      <c r="D10634">
        <f t="shared" si="335"/>
        <v>1</v>
      </c>
    </row>
    <row r="10635" spans="1:4" x14ac:dyDescent="0.55000000000000004">
      <c r="A10635">
        <f t="shared" si="334"/>
        <v>1982</v>
      </c>
      <c r="B10635" s="821">
        <v>30158</v>
      </c>
      <c r="C10635">
        <v>13.48</v>
      </c>
      <c r="D10635">
        <f t="shared" si="335"/>
        <v>1</v>
      </c>
    </row>
    <row r="10636" spans="1:4" x14ac:dyDescent="0.55000000000000004">
      <c r="A10636">
        <f t="shared" si="334"/>
        <v>1982</v>
      </c>
      <c r="B10636" s="821">
        <v>30155</v>
      </c>
      <c r="C10636">
        <v>13.25</v>
      </c>
      <c r="D10636">
        <f t="shared" si="335"/>
        <v>1</v>
      </c>
    </row>
    <row r="10637" spans="1:4" x14ac:dyDescent="0.55000000000000004">
      <c r="A10637">
        <f t="shared" si="334"/>
        <v>1982</v>
      </c>
      <c r="B10637" s="821">
        <v>30154</v>
      </c>
      <c r="C10637">
        <v>13.2</v>
      </c>
      <c r="D10637">
        <f t="shared" si="335"/>
        <v>1</v>
      </c>
    </row>
    <row r="10638" spans="1:4" x14ac:dyDescent="0.55000000000000004">
      <c r="A10638">
        <f t="shared" si="334"/>
        <v>1982</v>
      </c>
      <c r="B10638" s="821">
        <v>30153</v>
      </c>
      <c r="C10638">
        <v>13.3</v>
      </c>
      <c r="D10638">
        <f t="shared" si="335"/>
        <v>1</v>
      </c>
    </row>
    <row r="10639" spans="1:4" x14ac:dyDescent="0.55000000000000004">
      <c r="A10639">
        <f t="shared" si="334"/>
        <v>1982</v>
      </c>
      <c r="B10639" s="821">
        <v>30152</v>
      </c>
      <c r="C10639">
        <v>13.24</v>
      </c>
      <c r="D10639">
        <f t="shared" si="335"/>
        <v>1</v>
      </c>
    </row>
    <row r="10640" spans="1:4" x14ac:dyDescent="0.55000000000000004">
      <c r="A10640">
        <f t="shared" si="334"/>
        <v>1982</v>
      </c>
      <c r="B10640" s="821">
        <v>30151</v>
      </c>
      <c r="C10640">
        <v>13.34</v>
      </c>
      <c r="D10640">
        <f t="shared" si="335"/>
        <v>1</v>
      </c>
    </row>
    <row r="10641" spans="1:4" x14ac:dyDescent="0.55000000000000004">
      <c r="A10641">
        <f t="shared" si="334"/>
        <v>1982</v>
      </c>
      <c r="B10641" s="821">
        <v>30148</v>
      </c>
      <c r="C10641">
        <v>13.35</v>
      </c>
      <c r="D10641">
        <f t="shared" si="335"/>
        <v>1</v>
      </c>
    </row>
    <row r="10642" spans="1:4" x14ac:dyDescent="0.55000000000000004">
      <c r="A10642">
        <f t="shared" si="334"/>
        <v>1982</v>
      </c>
      <c r="B10642" s="821">
        <v>30147</v>
      </c>
      <c r="C10642">
        <v>13.57</v>
      </c>
      <c r="D10642">
        <f t="shared" si="335"/>
        <v>1</v>
      </c>
    </row>
    <row r="10643" spans="1:4" x14ac:dyDescent="0.55000000000000004">
      <c r="A10643">
        <f t="shared" si="334"/>
        <v>1982</v>
      </c>
      <c r="B10643" s="821">
        <v>30146</v>
      </c>
      <c r="C10643">
        <v>13.68</v>
      </c>
      <c r="D10643">
        <f t="shared" si="335"/>
        <v>1</v>
      </c>
    </row>
    <row r="10644" spans="1:4" x14ac:dyDescent="0.55000000000000004">
      <c r="A10644">
        <f t="shared" si="334"/>
        <v>1982</v>
      </c>
      <c r="B10644" s="821">
        <v>30145</v>
      </c>
      <c r="C10644">
        <v>13.61</v>
      </c>
      <c r="D10644">
        <f t="shared" si="335"/>
        <v>1</v>
      </c>
    </row>
    <row r="10645" spans="1:4" x14ac:dyDescent="0.55000000000000004">
      <c r="A10645">
        <f t="shared" si="334"/>
        <v>1982</v>
      </c>
      <c r="B10645" s="821">
        <v>30144</v>
      </c>
      <c r="C10645">
        <v>13.46</v>
      </c>
      <c r="D10645">
        <f t="shared" si="335"/>
        <v>1</v>
      </c>
    </row>
    <row r="10646" spans="1:4" x14ac:dyDescent="0.55000000000000004">
      <c r="A10646">
        <f t="shared" si="334"/>
        <v>1982</v>
      </c>
      <c r="B10646" s="821">
        <v>30141</v>
      </c>
      <c r="C10646">
        <v>13.57</v>
      </c>
      <c r="D10646">
        <f t="shared" si="335"/>
        <v>1</v>
      </c>
    </row>
    <row r="10647" spans="1:4" x14ac:dyDescent="0.55000000000000004">
      <c r="A10647">
        <f t="shared" si="334"/>
        <v>1982</v>
      </c>
      <c r="B10647" s="821">
        <v>30140</v>
      </c>
      <c r="C10647">
        <v>13.7</v>
      </c>
      <c r="D10647">
        <f t="shared" si="335"/>
        <v>1</v>
      </c>
    </row>
    <row r="10648" spans="1:4" x14ac:dyDescent="0.55000000000000004">
      <c r="A10648">
        <f t="shared" si="334"/>
        <v>1982</v>
      </c>
      <c r="B10648" s="821">
        <v>30139</v>
      </c>
      <c r="C10648">
        <v>13.9</v>
      </c>
      <c r="D10648">
        <f t="shared" si="335"/>
        <v>1</v>
      </c>
    </row>
    <row r="10649" spans="1:4" x14ac:dyDescent="0.55000000000000004">
      <c r="A10649">
        <f t="shared" si="334"/>
        <v>1982</v>
      </c>
      <c r="B10649" s="821">
        <v>30138</v>
      </c>
      <c r="C10649">
        <v>14</v>
      </c>
      <c r="D10649">
        <f t="shared" si="335"/>
        <v>1</v>
      </c>
    </row>
    <row r="10650" spans="1:4" x14ac:dyDescent="0.55000000000000004">
      <c r="A10650">
        <f t="shared" si="334"/>
        <v>1982</v>
      </c>
      <c r="B10650" s="821">
        <v>30134</v>
      </c>
      <c r="C10650">
        <v>14.03</v>
      </c>
      <c r="D10650">
        <f t="shared" si="335"/>
        <v>1</v>
      </c>
    </row>
    <row r="10651" spans="1:4" x14ac:dyDescent="0.55000000000000004">
      <c r="A10651">
        <f t="shared" si="334"/>
        <v>1982</v>
      </c>
      <c r="B10651" s="821">
        <v>30133</v>
      </c>
      <c r="C10651">
        <v>13.9</v>
      </c>
      <c r="D10651">
        <f t="shared" si="335"/>
        <v>1</v>
      </c>
    </row>
    <row r="10652" spans="1:4" x14ac:dyDescent="0.55000000000000004">
      <c r="A10652">
        <f t="shared" si="334"/>
        <v>1982</v>
      </c>
      <c r="B10652" s="821">
        <v>30132</v>
      </c>
      <c r="C10652">
        <v>13.91</v>
      </c>
      <c r="D10652">
        <f t="shared" si="335"/>
        <v>1</v>
      </c>
    </row>
    <row r="10653" spans="1:4" x14ac:dyDescent="0.55000000000000004">
      <c r="A10653">
        <f t="shared" si="334"/>
        <v>1982</v>
      </c>
      <c r="B10653" s="821">
        <v>30131</v>
      </c>
      <c r="C10653">
        <v>14.11</v>
      </c>
      <c r="D10653">
        <f t="shared" si="335"/>
        <v>1</v>
      </c>
    </row>
    <row r="10654" spans="1:4" x14ac:dyDescent="0.55000000000000004">
      <c r="A10654">
        <f t="shared" si="334"/>
        <v>1982</v>
      </c>
      <c r="B10654" s="821">
        <v>30130</v>
      </c>
      <c r="C10654">
        <v>14.19</v>
      </c>
      <c r="D10654">
        <f t="shared" si="335"/>
        <v>1</v>
      </c>
    </row>
    <row r="10655" spans="1:4" x14ac:dyDescent="0.55000000000000004">
      <c r="A10655">
        <f t="shared" si="334"/>
        <v>1982</v>
      </c>
      <c r="B10655" s="821">
        <v>30127</v>
      </c>
      <c r="C10655">
        <v>14.24</v>
      </c>
      <c r="D10655">
        <f t="shared" si="335"/>
        <v>1</v>
      </c>
    </row>
    <row r="10656" spans="1:4" x14ac:dyDescent="0.55000000000000004">
      <c r="A10656">
        <f t="shared" si="334"/>
        <v>1982</v>
      </c>
      <c r="B10656" s="821">
        <v>30126</v>
      </c>
      <c r="C10656">
        <v>14.2</v>
      </c>
      <c r="D10656">
        <f t="shared" si="335"/>
        <v>1</v>
      </c>
    </row>
    <row r="10657" spans="1:4" x14ac:dyDescent="0.55000000000000004">
      <c r="A10657">
        <f t="shared" si="334"/>
        <v>1982</v>
      </c>
      <c r="B10657" s="821">
        <v>30125</v>
      </c>
      <c r="C10657">
        <v>14.26</v>
      </c>
      <c r="D10657">
        <f t="shared" si="335"/>
        <v>1</v>
      </c>
    </row>
    <row r="10658" spans="1:4" x14ac:dyDescent="0.55000000000000004">
      <c r="A10658">
        <f t="shared" si="334"/>
        <v>1982</v>
      </c>
      <c r="B10658" s="821">
        <v>30124</v>
      </c>
      <c r="C10658">
        <v>14.21</v>
      </c>
      <c r="D10658">
        <f t="shared" si="335"/>
        <v>1</v>
      </c>
    </row>
    <row r="10659" spans="1:4" x14ac:dyDescent="0.55000000000000004">
      <c r="A10659">
        <f t="shared" si="334"/>
        <v>1982</v>
      </c>
      <c r="B10659" s="821">
        <v>30123</v>
      </c>
      <c r="C10659">
        <v>14.15</v>
      </c>
      <c r="D10659">
        <f t="shared" si="335"/>
        <v>1</v>
      </c>
    </row>
    <row r="10660" spans="1:4" x14ac:dyDescent="0.55000000000000004">
      <c r="A10660">
        <f t="shared" si="334"/>
        <v>1982</v>
      </c>
      <c r="B10660" s="821">
        <v>30120</v>
      </c>
      <c r="C10660">
        <v>14.19</v>
      </c>
      <c r="D10660">
        <f t="shared" si="335"/>
        <v>1</v>
      </c>
    </row>
    <row r="10661" spans="1:4" x14ac:dyDescent="0.55000000000000004">
      <c r="A10661">
        <f t="shared" si="334"/>
        <v>1982</v>
      </c>
      <c r="B10661" s="821">
        <v>30119</v>
      </c>
      <c r="C10661">
        <v>14.1</v>
      </c>
      <c r="D10661">
        <f t="shared" si="335"/>
        <v>1</v>
      </c>
    </row>
    <row r="10662" spans="1:4" x14ac:dyDescent="0.55000000000000004">
      <c r="A10662">
        <f t="shared" si="334"/>
        <v>1982</v>
      </c>
      <c r="B10662" s="821">
        <v>30118</v>
      </c>
      <c r="C10662">
        <v>13.91</v>
      </c>
      <c r="D10662">
        <f t="shared" si="335"/>
        <v>1</v>
      </c>
    </row>
    <row r="10663" spans="1:4" x14ac:dyDescent="0.55000000000000004">
      <c r="A10663">
        <f t="shared" si="334"/>
        <v>1982</v>
      </c>
      <c r="B10663" s="821">
        <v>30117</v>
      </c>
      <c r="C10663">
        <v>13.87</v>
      </c>
      <c r="D10663">
        <f t="shared" si="335"/>
        <v>1</v>
      </c>
    </row>
    <row r="10664" spans="1:4" x14ac:dyDescent="0.55000000000000004">
      <c r="A10664">
        <f t="shared" si="334"/>
        <v>1982</v>
      </c>
      <c r="B10664" s="821">
        <v>30116</v>
      </c>
      <c r="C10664">
        <v>13.89</v>
      </c>
      <c r="D10664">
        <f t="shared" si="335"/>
        <v>1</v>
      </c>
    </row>
    <row r="10665" spans="1:4" x14ac:dyDescent="0.55000000000000004">
      <c r="A10665">
        <f t="shared" si="334"/>
        <v>1982</v>
      </c>
      <c r="B10665" s="821">
        <v>30113</v>
      </c>
      <c r="C10665">
        <v>13.61</v>
      </c>
      <c r="D10665">
        <f t="shared" si="335"/>
        <v>1</v>
      </c>
    </row>
    <row r="10666" spans="1:4" x14ac:dyDescent="0.55000000000000004">
      <c r="A10666">
        <f t="shared" si="334"/>
        <v>1982</v>
      </c>
      <c r="B10666" s="821">
        <v>30112</v>
      </c>
      <c r="C10666">
        <v>13.72</v>
      </c>
      <c r="D10666">
        <f t="shared" si="335"/>
        <v>1</v>
      </c>
    </row>
    <row r="10667" spans="1:4" x14ac:dyDescent="0.55000000000000004">
      <c r="A10667">
        <f t="shared" si="334"/>
        <v>1982</v>
      </c>
      <c r="B10667" s="821">
        <v>30111</v>
      </c>
      <c r="C10667">
        <v>13.71</v>
      </c>
      <c r="D10667">
        <f t="shared" si="335"/>
        <v>1</v>
      </c>
    </row>
    <row r="10668" spans="1:4" x14ac:dyDescent="0.55000000000000004">
      <c r="A10668">
        <f t="shared" si="334"/>
        <v>1982</v>
      </c>
      <c r="B10668" s="821">
        <v>30110</v>
      </c>
      <c r="C10668">
        <v>13.71</v>
      </c>
      <c r="D10668">
        <f t="shared" si="335"/>
        <v>1</v>
      </c>
    </row>
    <row r="10669" spans="1:4" x14ac:dyDescent="0.55000000000000004">
      <c r="A10669">
        <f t="shared" si="334"/>
        <v>1982</v>
      </c>
      <c r="B10669" s="821">
        <v>30109</v>
      </c>
      <c r="C10669">
        <v>13.66</v>
      </c>
      <c r="D10669">
        <f t="shared" si="335"/>
        <v>1</v>
      </c>
    </row>
    <row r="10670" spans="1:4" x14ac:dyDescent="0.55000000000000004">
      <c r="A10670">
        <f t="shared" si="334"/>
        <v>1982</v>
      </c>
      <c r="B10670" s="821">
        <v>30106</v>
      </c>
      <c r="C10670">
        <v>13.76</v>
      </c>
      <c r="D10670">
        <f t="shared" si="335"/>
        <v>1</v>
      </c>
    </row>
    <row r="10671" spans="1:4" x14ac:dyDescent="0.55000000000000004">
      <c r="A10671">
        <f t="shared" si="334"/>
        <v>1982</v>
      </c>
      <c r="B10671" s="821">
        <v>30105</v>
      </c>
      <c r="C10671">
        <v>13.66</v>
      </c>
      <c r="D10671">
        <f t="shared" si="335"/>
        <v>1</v>
      </c>
    </row>
    <row r="10672" spans="1:4" x14ac:dyDescent="0.55000000000000004">
      <c r="A10672">
        <f t="shared" si="334"/>
        <v>1982</v>
      </c>
      <c r="B10672" s="821">
        <v>30104</v>
      </c>
      <c r="C10672">
        <v>13.6</v>
      </c>
      <c r="D10672">
        <f t="shared" si="335"/>
        <v>1</v>
      </c>
    </row>
    <row r="10673" spans="1:4" x14ac:dyDescent="0.55000000000000004">
      <c r="A10673">
        <f t="shared" si="334"/>
        <v>1982</v>
      </c>
      <c r="B10673" s="821">
        <v>30103</v>
      </c>
      <c r="C10673">
        <v>13.66</v>
      </c>
      <c r="D10673">
        <f t="shared" si="335"/>
        <v>1</v>
      </c>
    </row>
    <row r="10674" spans="1:4" x14ac:dyDescent="0.55000000000000004">
      <c r="A10674">
        <f t="shared" si="334"/>
        <v>1982</v>
      </c>
      <c r="B10674" s="821">
        <v>30099</v>
      </c>
      <c r="C10674">
        <v>13.39</v>
      </c>
      <c r="D10674">
        <f t="shared" si="335"/>
        <v>1</v>
      </c>
    </row>
    <row r="10675" spans="1:4" x14ac:dyDescent="0.55000000000000004">
      <c r="A10675">
        <f t="shared" si="334"/>
        <v>1982</v>
      </c>
      <c r="B10675" s="821">
        <v>30098</v>
      </c>
      <c r="C10675">
        <v>13.36</v>
      </c>
      <c r="D10675">
        <f t="shared" si="335"/>
        <v>1</v>
      </c>
    </row>
    <row r="10676" spans="1:4" x14ac:dyDescent="0.55000000000000004">
      <c r="A10676">
        <f t="shared" si="334"/>
        <v>1982</v>
      </c>
      <c r="B10676" s="821">
        <v>30097</v>
      </c>
      <c r="C10676">
        <v>13.29</v>
      </c>
      <c r="D10676">
        <f t="shared" si="335"/>
        <v>1</v>
      </c>
    </row>
    <row r="10677" spans="1:4" x14ac:dyDescent="0.55000000000000004">
      <c r="A10677">
        <f t="shared" si="334"/>
        <v>1982</v>
      </c>
      <c r="B10677" s="821">
        <v>30096</v>
      </c>
      <c r="C10677">
        <v>13.2</v>
      </c>
      <c r="D10677">
        <f t="shared" si="335"/>
        <v>1</v>
      </c>
    </row>
    <row r="10678" spans="1:4" x14ac:dyDescent="0.55000000000000004">
      <c r="A10678">
        <f t="shared" si="334"/>
        <v>1982</v>
      </c>
      <c r="B10678" s="821">
        <v>30095</v>
      </c>
      <c r="C10678">
        <v>13.19</v>
      </c>
      <c r="D10678">
        <f t="shared" si="335"/>
        <v>1</v>
      </c>
    </row>
    <row r="10679" spans="1:4" x14ac:dyDescent="0.55000000000000004">
      <c r="A10679">
        <f t="shared" si="334"/>
        <v>1982</v>
      </c>
      <c r="B10679" s="821">
        <v>30092</v>
      </c>
      <c r="C10679">
        <v>13.17</v>
      </c>
      <c r="D10679">
        <f t="shared" si="335"/>
        <v>1</v>
      </c>
    </row>
    <row r="10680" spans="1:4" x14ac:dyDescent="0.55000000000000004">
      <c r="A10680">
        <f t="shared" si="334"/>
        <v>1982</v>
      </c>
      <c r="B10680" s="821">
        <v>30091</v>
      </c>
      <c r="C10680">
        <v>13.17</v>
      </c>
      <c r="D10680">
        <f t="shared" si="335"/>
        <v>1</v>
      </c>
    </row>
    <row r="10681" spans="1:4" x14ac:dyDescent="0.55000000000000004">
      <c r="A10681">
        <f t="shared" si="334"/>
        <v>1982</v>
      </c>
      <c r="B10681" s="821">
        <v>30090</v>
      </c>
      <c r="C10681">
        <v>13.3</v>
      </c>
      <c r="D10681">
        <f t="shared" si="335"/>
        <v>1</v>
      </c>
    </row>
    <row r="10682" spans="1:4" x14ac:dyDescent="0.55000000000000004">
      <c r="A10682">
        <f t="shared" si="334"/>
        <v>1982</v>
      </c>
      <c r="B10682" s="821">
        <v>30089</v>
      </c>
      <c r="C10682">
        <v>13.26</v>
      </c>
      <c r="D10682">
        <f t="shared" si="335"/>
        <v>1</v>
      </c>
    </row>
    <row r="10683" spans="1:4" x14ac:dyDescent="0.55000000000000004">
      <c r="A10683">
        <f t="shared" si="334"/>
        <v>1982</v>
      </c>
      <c r="B10683" s="821">
        <v>30088</v>
      </c>
      <c r="C10683">
        <v>13.29</v>
      </c>
      <c r="D10683">
        <f t="shared" si="335"/>
        <v>1</v>
      </c>
    </row>
    <row r="10684" spans="1:4" x14ac:dyDescent="0.55000000000000004">
      <c r="A10684">
        <f t="shared" si="334"/>
        <v>1982</v>
      </c>
      <c r="B10684" s="821">
        <v>30085</v>
      </c>
      <c r="C10684">
        <v>13.17</v>
      </c>
      <c r="D10684">
        <f t="shared" si="335"/>
        <v>1</v>
      </c>
    </row>
    <row r="10685" spans="1:4" x14ac:dyDescent="0.55000000000000004">
      <c r="A10685">
        <f t="shared" si="334"/>
        <v>1982</v>
      </c>
      <c r="B10685" s="821">
        <v>30084</v>
      </c>
      <c r="C10685">
        <v>13.25</v>
      </c>
      <c r="D10685">
        <f t="shared" si="335"/>
        <v>1</v>
      </c>
    </row>
    <row r="10686" spans="1:4" x14ac:dyDescent="0.55000000000000004">
      <c r="A10686">
        <f t="shared" si="334"/>
        <v>1982</v>
      </c>
      <c r="B10686" s="821">
        <v>30083</v>
      </c>
      <c r="C10686">
        <v>13.23</v>
      </c>
      <c r="D10686">
        <f t="shared" si="335"/>
        <v>1</v>
      </c>
    </row>
    <row r="10687" spans="1:4" x14ac:dyDescent="0.55000000000000004">
      <c r="A10687">
        <f t="shared" si="334"/>
        <v>1982</v>
      </c>
      <c r="B10687" s="821">
        <v>30082</v>
      </c>
      <c r="C10687">
        <v>13.08</v>
      </c>
      <c r="D10687">
        <f t="shared" si="335"/>
        <v>1</v>
      </c>
    </row>
    <row r="10688" spans="1:4" x14ac:dyDescent="0.55000000000000004">
      <c r="A10688">
        <f t="shared" si="334"/>
        <v>1982</v>
      </c>
      <c r="B10688" s="821">
        <v>30081</v>
      </c>
      <c r="C10688">
        <v>13.13</v>
      </c>
      <c r="D10688">
        <f t="shared" si="335"/>
        <v>1</v>
      </c>
    </row>
    <row r="10689" spans="1:4" x14ac:dyDescent="0.55000000000000004">
      <c r="A10689">
        <f t="shared" si="334"/>
        <v>1982</v>
      </c>
      <c r="B10689" s="821">
        <v>30078</v>
      </c>
      <c r="C10689">
        <v>13.08</v>
      </c>
      <c r="D10689">
        <f t="shared" si="335"/>
        <v>1</v>
      </c>
    </row>
    <row r="10690" spans="1:4" x14ac:dyDescent="0.55000000000000004">
      <c r="A10690">
        <f t="shared" si="334"/>
        <v>1982</v>
      </c>
      <c r="B10690" s="821">
        <v>30077</v>
      </c>
      <c r="C10690">
        <v>13.13</v>
      </c>
      <c r="D10690">
        <f t="shared" si="335"/>
        <v>1</v>
      </c>
    </row>
    <row r="10691" spans="1:4" x14ac:dyDescent="0.55000000000000004">
      <c r="A10691">
        <f t="shared" si="334"/>
        <v>1982</v>
      </c>
      <c r="B10691" s="821">
        <v>30076</v>
      </c>
      <c r="C10691">
        <v>13.34</v>
      </c>
      <c r="D10691">
        <f t="shared" si="335"/>
        <v>1</v>
      </c>
    </row>
    <row r="10692" spans="1:4" x14ac:dyDescent="0.55000000000000004">
      <c r="A10692">
        <f t="shared" ref="A10692:A10755" si="336">YEAR(B10692)</f>
        <v>1982</v>
      </c>
      <c r="B10692" s="821">
        <v>30075</v>
      </c>
      <c r="C10692">
        <v>13.37</v>
      </c>
      <c r="D10692">
        <f t="shared" ref="D10692:D10755" si="337">IF(C10692&gt;4,1,0)</f>
        <v>1</v>
      </c>
    </row>
    <row r="10693" spans="1:4" x14ac:dyDescent="0.55000000000000004">
      <c r="A10693">
        <f t="shared" si="336"/>
        <v>1982</v>
      </c>
      <c r="B10693" s="821">
        <v>30074</v>
      </c>
      <c r="C10693">
        <v>13.45</v>
      </c>
      <c r="D10693">
        <f t="shared" si="337"/>
        <v>1</v>
      </c>
    </row>
    <row r="10694" spans="1:4" x14ac:dyDescent="0.55000000000000004">
      <c r="A10694">
        <f t="shared" si="336"/>
        <v>1982</v>
      </c>
      <c r="B10694" s="821">
        <v>30071</v>
      </c>
      <c r="C10694">
        <v>13.39</v>
      </c>
      <c r="D10694">
        <f t="shared" si="337"/>
        <v>1</v>
      </c>
    </row>
    <row r="10695" spans="1:4" x14ac:dyDescent="0.55000000000000004">
      <c r="A10695">
        <f t="shared" si="336"/>
        <v>1982</v>
      </c>
      <c r="B10695" s="821">
        <v>30070</v>
      </c>
      <c r="C10695">
        <v>13.38</v>
      </c>
      <c r="D10695">
        <f t="shared" si="337"/>
        <v>1</v>
      </c>
    </row>
    <row r="10696" spans="1:4" x14ac:dyDescent="0.55000000000000004">
      <c r="A10696">
        <f t="shared" si="336"/>
        <v>1982</v>
      </c>
      <c r="B10696" s="821">
        <v>30069</v>
      </c>
      <c r="C10696">
        <v>13.27</v>
      </c>
      <c r="D10696">
        <f t="shared" si="337"/>
        <v>1</v>
      </c>
    </row>
    <row r="10697" spans="1:4" x14ac:dyDescent="0.55000000000000004">
      <c r="A10697">
        <f t="shared" si="336"/>
        <v>1982</v>
      </c>
      <c r="B10697" s="821">
        <v>30068</v>
      </c>
      <c r="C10697">
        <v>13.19</v>
      </c>
      <c r="D10697">
        <f t="shared" si="337"/>
        <v>1</v>
      </c>
    </row>
    <row r="10698" spans="1:4" x14ac:dyDescent="0.55000000000000004">
      <c r="A10698">
        <f t="shared" si="336"/>
        <v>1982</v>
      </c>
      <c r="B10698" s="821">
        <v>30067</v>
      </c>
      <c r="C10698">
        <v>13.16</v>
      </c>
      <c r="D10698">
        <f t="shared" si="337"/>
        <v>1</v>
      </c>
    </row>
    <row r="10699" spans="1:4" x14ac:dyDescent="0.55000000000000004">
      <c r="A10699">
        <f t="shared" si="336"/>
        <v>1982</v>
      </c>
      <c r="B10699" s="821">
        <v>30064</v>
      </c>
      <c r="C10699">
        <v>13.18</v>
      </c>
      <c r="D10699">
        <f t="shared" si="337"/>
        <v>1</v>
      </c>
    </row>
    <row r="10700" spans="1:4" x14ac:dyDescent="0.55000000000000004">
      <c r="A10700">
        <f t="shared" si="336"/>
        <v>1982</v>
      </c>
      <c r="B10700" s="821">
        <v>30063</v>
      </c>
      <c r="C10700">
        <v>13.19</v>
      </c>
      <c r="D10700">
        <f t="shared" si="337"/>
        <v>1</v>
      </c>
    </row>
    <row r="10701" spans="1:4" x14ac:dyDescent="0.55000000000000004">
      <c r="A10701">
        <f t="shared" si="336"/>
        <v>1982</v>
      </c>
      <c r="B10701" s="821">
        <v>30062</v>
      </c>
      <c r="C10701">
        <v>13.22</v>
      </c>
      <c r="D10701">
        <f t="shared" si="337"/>
        <v>1</v>
      </c>
    </row>
    <row r="10702" spans="1:4" x14ac:dyDescent="0.55000000000000004">
      <c r="A10702">
        <f t="shared" si="336"/>
        <v>1982</v>
      </c>
      <c r="B10702" s="821">
        <v>30061</v>
      </c>
      <c r="C10702">
        <v>13.21</v>
      </c>
      <c r="D10702">
        <f t="shared" si="337"/>
        <v>1</v>
      </c>
    </row>
    <row r="10703" spans="1:4" x14ac:dyDescent="0.55000000000000004">
      <c r="A10703">
        <f t="shared" si="336"/>
        <v>1982</v>
      </c>
      <c r="B10703" s="821">
        <v>30060</v>
      </c>
      <c r="C10703">
        <v>13.13</v>
      </c>
      <c r="D10703">
        <f t="shared" si="337"/>
        <v>1</v>
      </c>
    </row>
    <row r="10704" spans="1:4" x14ac:dyDescent="0.55000000000000004">
      <c r="A10704">
        <f t="shared" si="336"/>
        <v>1982</v>
      </c>
      <c r="B10704" s="821">
        <v>30057</v>
      </c>
      <c r="C10704">
        <v>13.18</v>
      </c>
      <c r="D10704">
        <f t="shared" si="337"/>
        <v>1</v>
      </c>
    </row>
    <row r="10705" spans="1:4" x14ac:dyDescent="0.55000000000000004">
      <c r="A10705">
        <f t="shared" si="336"/>
        <v>1982</v>
      </c>
      <c r="B10705" s="821">
        <v>30056</v>
      </c>
      <c r="C10705">
        <v>13.32</v>
      </c>
      <c r="D10705">
        <f t="shared" si="337"/>
        <v>1</v>
      </c>
    </row>
    <row r="10706" spans="1:4" x14ac:dyDescent="0.55000000000000004">
      <c r="A10706">
        <f t="shared" si="336"/>
        <v>1982</v>
      </c>
      <c r="B10706" s="821">
        <v>30055</v>
      </c>
      <c r="C10706">
        <v>13.42</v>
      </c>
      <c r="D10706">
        <f t="shared" si="337"/>
        <v>1</v>
      </c>
    </row>
    <row r="10707" spans="1:4" x14ac:dyDescent="0.55000000000000004">
      <c r="A10707">
        <f t="shared" si="336"/>
        <v>1982</v>
      </c>
      <c r="B10707" s="821">
        <v>30054</v>
      </c>
      <c r="C10707">
        <v>13.32</v>
      </c>
      <c r="D10707">
        <f t="shared" si="337"/>
        <v>1</v>
      </c>
    </row>
    <row r="10708" spans="1:4" x14ac:dyDescent="0.55000000000000004">
      <c r="A10708">
        <f t="shared" si="336"/>
        <v>1982</v>
      </c>
      <c r="B10708" s="821">
        <v>30053</v>
      </c>
      <c r="C10708">
        <v>13.3</v>
      </c>
      <c r="D10708">
        <f t="shared" si="337"/>
        <v>1</v>
      </c>
    </row>
    <row r="10709" spans="1:4" x14ac:dyDescent="0.55000000000000004">
      <c r="A10709">
        <f t="shared" si="336"/>
        <v>1982</v>
      </c>
      <c r="B10709" s="821">
        <v>30049</v>
      </c>
      <c r="C10709">
        <v>13.48</v>
      </c>
      <c r="D10709">
        <f t="shared" si="337"/>
        <v>1</v>
      </c>
    </row>
    <row r="10710" spans="1:4" x14ac:dyDescent="0.55000000000000004">
      <c r="A10710">
        <f t="shared" si="336"/>
        <v>1982</v>
      </c>
      <c r="B10710" s="821">
        <v>30048</v>
      </c>
      <c r="C10710">
        <v>13.71</v>
      </c>
      <c r="D10710">
        <f t="shared" si="337"/>
        <v>1</v>
      </c>
    </row>
    <row r="10711" spans="1:4" x14ac:dyDescent="0.55000000000000004">
      <c r="A10711">
        <f t="shared" si="336"/>
        <v>1982</v>
      </c>
      <c r="B10711" s="821">
        <v>30047</v>
      </c>
      <c r="C10711">
        <v>13.73</v>
      </c>
      <c r="D10711">
        <f t="shared" si="337"/>
        <v>1</v>
      </c>
    </row>
    <row r="10712" spans="1:4" x14ac:dyDescent="0.55000000000000004">
      <c r="A10712">
        <f t="shared" si="336"/>
        <v>1982</v>
      </c>
      <c r="B10712" s="821">
        <v>30046</v>
      </c>
      <c r="C10712">
        <v>13.72</v>
      </c>
      <c r="D10712">
        <f t="shared" si="337"/>
        <v>1</v>
      </c>
    </row>
    <row r="10713" spans="1:4" x14ac:dyDescent="0.55000000000000004">
      <c r="A10713">
        <f t="shared" si="336"/>
        <v>1982</v>
      </c>
      <c r="B10713" s="821">
        <v>30043</v>
      </c>
      <c r="C10713">
        <v>13.61</v>
      </c>
      <c r="D10713">
        <f t="shared" si="337"/>
        <v>1</v>
      </c>
    </row>
    <row r="10714" spans="1:4" x14ac:dyDescent="0.55000000000000004">
      <c r="A10714">
        <f t="shared" si="336"/>
        <v>1982</v>
      </c>
      <c r="B10714" s="821">
        <v>30042</v>
      </c>
      <c r="C10714">
        <v>13.6</v>
      </c>
      <c r="D10714">
        <f t="shared" si="337"/>
        <v>1</v>
      </c>
    </row>
    <row r="10715" spans="1:4" x14ac:dyDescent="0.55000000000000004">
      <c r="A10715">
        <f t="shared" si="336"/>
        <v>1982</v>
      </c>
      <c r="B10715" s="821">
        <v>30041</v>
      </c>
      <c r="C10715">
        <v>13.68</v>
      </c>
      <c r="D10715">
        <f t="shared" si="337"/>
        <v>1</v>
      </c>
    </row>
    <row r="10716" spans="1:4" x14ac:dyDescent="0.55000000000000004">
      <c r="A10716">
        <f t="shared" si="336"/>
        <v>1982</v>
      </c>
      <c r="B10716" s="821">
        <v>30040</v>
      </c>
      <c r="C10716">
        <v>13.81</v>
      </c>
      <c r="D10716">
        <f t="shared" si="337"/>
        <v>1</v>
      </c>
    </row>
    <row r="10717" spans="1:4" x14ac:dyDescent="0.55000000000000004">
      <c r="A10717">
        <f t="shared" si="336"/>
        <v>1982</v>
      </c>
      <c r="B10717" s="821">
        <v>30039</v>
      </c>
      <c r="C10717">
        <v>13.79</v>
      </c>
      <c r="D10717">
        <f t="shared" si="337"/>
        <v>1</v>
      </c>
    </row>
    <row r="10718" spans="1:4" x14ac:dyDescent="0.55000000000000004">
      <c r="A10718">
        <f t="shared" si="336"/>
        <v>1982</v>
      </c>
      <c r="B10718" s="821">
        <v>30036</v>
      </c>
      <c r="C10718">
        <v>13.65</v>
      </c>
      <c r="D10718">
        <f t="shared" si="337"/>
        <v>1</v>
      </c>
    </row>
    <row r="10719" spans="1:4" x14ac:dyDescent="0.55000000000000004">
      <c r="A10719">
        <f t="shared" si="336"/>
        <v>1982</v>
      </c>
      <c r="B10719" s="821">
        <v>30035</v>
      </c>
      <c r="C10719">
        <v>13.49</v>
      </c>
      <c r="D10719">
        <f t="shared" si="337"/>
        <v>1</v>
      </c>
    </row>
    <row r="10720" spans="1:4" x14ac:dyDescent="0.55000000000000004">
      <c r="A10720">
        <f t="shared" si="336"/>
        <v>1982</v>
      </c>
      <c r="B10720" s="821">
        <v>30034</v>
      </c>
      <c r="C10720">
        <v>13.51</v>
      </c>
      <c r="D10720">
        <f t="shared" si="337"/>
        <v>1</v>
      </c>
    </row>
    <row r="10721" spans="1:4" x14ac:dyDescent="0.55000000000000004">
      <c r="A10721">
        <f t="shared" si="336"/>
        <v>1982</v>
      </c>
      <c r="B10721" s="821">
        <v>30033</v>
      </c>
      <c r="C10721">
        <v>13.36</v>
      </c>
      <c r="D10721">
        <f t="shared" si="337"/>
        <v>1</v>
      </c>
    </row>
    <row r="10722" spans="1:4" x14ac:dyDescent="0.55000000000000004">
      <c r="A10722">
        <f t="shared" si="336"/>
        <v>1982</v>
      </c>
      <c r="B10722" s="821">
        <v>30032</v>
      </c>
      <c r="C10722">
        <v>13.37</v>
      </c>
      <c r="D10722">
        <f t="shared" si="337"/>
        <v>1</v>
      </c>
    </row>
    <row r="10723" spans="1:4" x14ac:dyDescent="0.55000000000000004">
      <c r="A10723">
        <f t="shared" si="336"/>
        <v>1982</v>
      </c>
      <c r="B10723" s="821">
        <v>30029</v>
      </c>
      <c r="C10723">
        <v>13.56</v>
      </c>
      <c r="D10723">
        <f t="shared" si="337"/>
        <v>1</v>
      </c>
    </row>
    <row r="10724" spans="1:4" x14ac:dyDescent="0.55000000000000004">
      <c r="A10724">
        <f t="shared" si="336"/>
        <v>1982</v>
      </c>
      <c r="B10724" s="821">
        <v>30028</v>
      </c>
      <c r="C10724">
        <v>13.51</v>
      </c>
      <c r="D10724">
        <f t="shared" si="337"/>
        <v>1</v>
      </c>
    </row>
    <row r="10725" spans="1:4" x14ac:dyDescent="0.55000000000000004">
      <c r="A10725">
        <f t="shared" si="336"/>
        <v>1982</v>
      </c>
      <c r="B10725" s="821">
        <v>30027</v>
      </c>
      <c r="C10725">
        <v>13.52</v>
      </c>
      <c r="D10725">
        <f t="shared" si="337"/>
        <v>1</v>
      </c>
    </row>
    <row r="10726" spans="1:4" x14ac:dyDescent="0.55000000000000004">
      <c r="A10726">
        <f t="shared" si="336"/>
        <v>1982</v>
      </c>
      <c r="B10726" s="821">
        <v>30026</v>
      </c>
      <c r="C10726">
        <v>13.57</v>
      </c>
      <c r="D10726">
        <f t="shared" si="337"/>
        <v>1</v>
      </c>
    </row>
    <row r="10727" spans="1:4" x14ac:dyDescent="0.55000000000000004">
      <c r="A10727">
        <f t="shared" si="336"/>
        <v>1982</v>
      </c>
      <c r="B10727" s="821">
        <v>30025</v>
      </c>
      <c r="C10727">
        <v>13.56</v>
      </c>
      <c r="D10727">
        <f t="shared" si="337"/>
        <v>1</v>
      </c>
    </row>
    <row r="10728" spans="1:4" x14ac:dyDescent="0.55000000000000004">
      <c r="A10728">
        <f t="shared" si="336"/>
        <v>1982</v>
      </c>
      <c r="B10728" s="821">
        <v>30022</v>
      </c>
      <c r="C10728">
        <v>13.65</v>
      </c>
      <c r="D10728">
        <f t="shared" si="337"/>
        <v>1</v>
      </c>
    </row>
    <row r="10729" spans="1:4" x14ac:dyDescent="0.55000000000000004">
      <c r="A10729">
        <f t="shared" si="336"/>
        <v>1982</v>
      </c>
      <c r="B10729" s="821">
        <v>30021</v>
      </c>
      <c r="C10729">
        <v>13.65</v>
      </c>
      <c r="D10729">
        <f t="shared" si="337"/>
        <v>1</v>
      </c>
    </row>
    <row r="10730" spans="1:4" x14ac:dyDescent="0.55000000000000004">
      <c r="A10730">
        <f t="shared" si="336"/>
        <v>1982</v>
      </c>
      <c r="B10730" s="821">
        <v>30020</v>
      </c>
      <c r="C10730">
        <v>13.5</v>
      </c>
      <c r="D10730">
        <f t="shared" si="337"/>
        <v>1</v>
      </c>
    </row>
    <row r="10731" spans="1:4" x14ac:dyDescent="0.55000000000000004">
      <c r="A10731">
        <f t="shared" si="336"/>
        <v>1982</v>
      </c>
      <c r="B10731" s="821">
        <v>30019</v>
      </c>
      <c r="C10731">
        <v>13.43</v>
      </c>
      <c r="D10731">
        <f t="shared" si="337"/>
        <v>1</v>
      </c>
    </row>
    <row r="10732" spans="1:4" x14ac:dyDescent="0.55000000000000004">
      <c r="A10732">
        <f t="shared" si="336"/>
        <v>1982</v>
      </c>
      <c r="B10732" s="821">
        <v>30018</v>
      </c>
      <c r="C10732">
        <v>13.49</v>
      </c>
      <c r="D10732">
        <f t="shared" si="337"/>
        <v>1</v>
      </c>
    </row>
    <row r="10733" spans="1:4" x14ac:dyDescent="0.55000000000000004">
      <c r="A10733">
        <f t="shared" si="336"/>
        <v>1982</v>
      </c>
      <c r="B10733" s="821">
        <v>30015</v>
      </c>
      <c r="C10733">
        <v>13.35</v>
      </c>
      <c r="D10733">
        <f t="shared" si="337"/>
        <v>1</v>
      </c>
    </row>
    <row r="10734" spans="1:4" x14ac:dyDescent="0.55000000000000004">
      <c r="A10734">
        <f t="shared" si="336"/>
        <v>1982</v>
      </c>
      <c r="B10734" s="821">
        <v>30014</v>
      </c>
      <c r="C10734">
        <v>13.35</v>
      </c>
      <c r="D10734">
        <f t="shared" si="337"/>
        <v>1</v>
      </c>
    </row>
    <row r="10735" spans="1:4" x14ac:dyDescent="0.55000000000000004">
      <c r="A10735">
        <f t="shared" si="336"/>
        <v>1982</v>
      </c>
      <c r="B10735" s="821">
        <v>30013</v>
      </c>
      <c r="C10735">
        <v>13.39</v>
      </c>
      <c r="D10735">
        <f t="shared" si="337"/>
        <v>1</v>
      </c>
    </row>
    <row r="10736" spans="1:4" x14ac:dyDescent="0.55000000000000004">
      <c r="A10736">
        <f t="shared" si="336"/>
        <v>1982</v>
      </c>
      <c r="B10736" s="821">
        <v>30012</v>
      </c>
      <c r="C10736">
        <v>13.44</v>
      </c>
      <c r="D10736">
        <f t="shared" si="337"/>
        <v>1</v>
      </c>
    </row>
    <row r="10737" spans="1:4" x14ac:dyDescent="0.55000000000000004">
      <c r="A10737">
        <f t="shared" si="336"/>
        <v>1982</v>
      </c>
      <c r="B10737" s="821">
        <v>30011</v>
      </c>
      <c r="C10737">
        <v>13.63</v>
      </c>
      <c r="D10737">
        <f t="shared" si="337"/>
        <v>1</v>
      </c>
    </row>
    <row r="10738" spans="1:4" x14ac:dyDescent="0.55000000000000004">
      <c r="A10738">
        <f t="shared" si="336"/>
        <v>1982</v>
      </c>
      <c r="B10738" s="821">
        <v>30008</v>
      </c>
      <c r="C10738">
        <v>13.83</v>
      </c>
      <c r="D10738">
        <f t="shared" si="337"/>
        <v>1</v>
      </c>
    </row>
    <row r="10739" spans="1:4" x14ac:dyDescent="0.55000000000000004">
      <c r="A10739">
        <f t="shared" si="336"/>
        <v>1982</v>
      </c>
      <c r="B10739" s="821">
        <v>30007</v>
      </c>
      <c r="C10739">
        <v>13.72</v>
      </c>
      <c r="D10739">
        <f t="shared" si="337"/>
        <v>1</v>
      </c>
    </row>
    <row r="10740" spans="1:4" x14ac:dyDescent="0.55000000000000004">
      <c r="A10740">
        <f t="shared" si="336"/>
        <v>1982</v>
      </c>
      <c r="B10740" s="821">
        <v>30006</v>
      </c>
      <c r="C10740">
        <v>13.62</v>
      </c>
      <c r="D10740">
        <f t="shared" si="337"/>
        <v>1</v>
      </c>
    </row>
    <row r="10741" spans="1:4" x14ac:dyDescent="0.55000000000000004">
      <c r="A10741">
        <f t="shared" si="336"/>
        <v>1982</v>
      </c>
      <c r="B10741" s="821">
        <v>30005</v>
      </c>
      <c r="C10741">
        <v>13.73</v>
      </c>
      <c r="D10741">
        <f t="shared" si="337"/>
        <v>1</v>
      </c>
    </row>
    <row r="10742" spans="1:4" x14ac:dyDescent="0.55000000000000004">
      <c r="A10742">
        <f t="shared" si="336"/>
        <v>1982</v>
      </c>
      <c r="B10742" s="821">
        <v>30004</v>
      </c>
      <c r="C10742">
        <v>13.65</v>
      </c>
      <c r="D10742">
        <f t="shared" si="337"/>
        <v>1</v>
      </c>
    </row>
    <row r="10743" spans="1:4" x14ac:dyDescent="0.55000000000000004">
      <c r="A10743">
        <f t="shared" si="336"/>
        <v>1982</v>
      </c>
      <c r="B10743" s="821">
        <v>30001</v>
      </c>
      <c r="C10743">
        <v>14.02</v>
      </c>
      <c r="D10743">
        <f t="shared" si="337"/>
        <v>1</v>
      </c>
    </row>
    <row r="10744" spans="1:4" x14ac:dyDescent="0.55000000000000004">
      <c r="A10744">
        <f t="shared" si="336"/>
        <v>1982</v>
      </c>
      <c r="B10744" s="821">
        <v>30000</v>
      </c>
      <c r="C10744">
        <v>14.06</v>
      </c>
      <c r="D10744">
        <f t="shared" si="337"/>
        <v>1</v>
      </c>
    </row>
    <row r="10745" spans="1:4" x14ac:dyDescent="0.55000000000000004">
      <c r="A10745">
        <f t="shared" si="336"/>
        <v>1982</v>
      </c>
      <c r="B10745" s="821">
        <v>29999</v>
      </c>
      <c r="C10745">
        <v>14.3</v>
      </c>
      <c r="D10745">
        <f t="shared" si="337"/>
        <v>1</v>
      </c>
    </row>
    <row r="10746" spans="1:4" x14ac:dyDescent="0.55000000000000004">
      <c r="A10746">
        <f t="shared" si="336"/>
        <v>1982</v>
      </c>
      <c r="B10746" s="821">
        <v>29998</v>
      </c>
      <c r="C10746">
        <v>14.33</v>
      </c>
      <c r="D10746">
        <f t="shared" si="337"/>
        <v>1</v>
      </c>
    </row>
    <row r="10747" spans="1:4" x14ac:dyDescent="0.55000000000000004">
      <c r="A10747">
        <f t="shared" si="336"/>
        <v>1982</v>
      </c>
      <c r="B10747" s="821">
        <v>29993</v>
      </c>
      <c r="C10747">
        <v>14.54</v>
      </c>
      <c r="D10747">
        <f t="shared" si="337"/>
        <v>1</v>
      </c>
    </row>
    <row r="10748" spans="1:4" x14ac:dyDescent="0.55000000000000004">
      <c r="A10748">
        <f t="shared" si="336"/>
        <v>1982</v>
      </c>
      <c r="B10748" s="821">
        <v>29992</v>
      </c>
      <c r="C10748">
        <v>14.64</v>
      </c>
      <c r="D10748">
        <f t="shared" si="337"/>
        <v>1</v>
      </c>
    </row>
    <row r="10749" spans="1:4" x14ac:dyDescent="0.55000000000000004">
      <c r="A10749">
        <f t="shared" si="336"/>
        <v>1982</v>
      </c>
      <c r="B10749" s="821">
        <v>29991</v>
      </c>
      <c r="C10749">
        <v>14.8</v>
      </c>
      <c r="D10749">
        <f t="shared" si="337"/>
        <v>1</v>
      </c>
    </row>
    <row r="10750" spans="1:4" x14ac:dyDescent="0.55000000000000004">
      <c r="A10750">
        <f t="shared" si="336"/>
        <v>1982</v>
      </c>
      <c r="B10750" s="821">
        <v>29990</v>
      </c>
      <c r="C10750">
        <v>14.74</v>
      </c>
      <c r="D10750">
        <f t="shared" si="337"/>
        <v>1</v>
      </c>
    </row>
    <row r="10751" spans="1:4" x14ac:dyDescent="0.55000000000000004">
      <c r="A10751">
        <f t="shared" si="336"/>
        <v>1982</v>
      </c>
      <c r="B10751" s="821">
        <v>29987</v>
      </c>
      <c r="C10751">
        <v>14.43</v>
      </c>
      <c r="D10751">
        <f t="shared" si="337"/>
        <v>1</v>
      </c>
    </row>
    <row r="10752" spans="1:4" x14ac:dyDescent="0.55000000000000004">
      <c r="A10752">
        <f t="shared" si="336"/>
        <v>1982</v>
      </c>
      <c r="B10752" s="821">
        <v>29986</v>
      </c>
      <c r="C10752">
        <v>14.54</v>
      </c>
      <c r="D10752">
        <f t="shared" si="337"/>
        <v>1</v>
      </c>
    </row>
    <row r="10753" spans="1:4" x14ac:dyDescent="0.55000000000000004">
      <c r="A10753">
        <f t="shared" si="336"/>
        <v>1982</v>
      </c>
      <c r="B10753" s="821">
        <v>29985</v>
      </c>
      <c r="C10753">
        <v>14.41</v>
      </c>
      <c r="D10753">
        <f t="shared" si="337"/>
        <v>1</v>
      </c>
    </row>
    <row r="10754" spans="1:4" x14ac:dyDescent="0.55000000000000004">
      <c r="A10754">
        <f t="shared" si="336"/>
        <v>1982</v>
      </c>
      <c r="B10754" s="821">
        <v>29984</v>
      </c>
      <c r="C10754">
        <v>14.26</v>
      </c>
      <c r="D10754">
        <f t="shared" si="337"/>
        <v>1</v>
      </c>
    </row>
    <row r="10755" spans="1:4" x14ac:dyDescent="0.55000000000000004">
      <c r="A10755">
        <f t="shared" si="336"/>
        <v>1982</v>
      </c>
      <c r="B10755" s="821">
        <v>29983</v>
      </c>
      <c r="C10755">
        <v>14.33</v>
      </c>
      <c r="D10755">
        <f t="shared" si="337"/>
        <v>1</v>
      </c>
    </row>
    <row r="10756" spans="1:4" x14ac:dyDescent="0.55000000000000004">
      <c r="A10756">
        <f t="shared" ref="A10756:A10819" si="338">YEAR(B10756)</f>
        <v>1982</v>
      </c>
      <c r="B10756" s="821">
        <v>29980</v>
      </c>
      <c r="C10756">
        <v>13.91</v>
      </c>
      <c r="D10756">
        <f t="shared" ref="D10756:D10819" si="339">IF(C10756&gt;4,1,0)</f>
        <v>1</v>
      </c>
    </row>
    <row r="10757" spans="1:4" x14ac:dyDescent="0.55000000000000004">
      <c r="A10757">
        <f t="shared" si="338"/>
        <v>1982</v>
      </c>
      <c r="B10757" s="821">
        <v>29979</v>
      </c>
      <c r="C10757">
        <v>13.98</v>
      </c>
      <c r="D10757">
        <f t="shared" si="339"/>
        <v>1</v>
      </c>
    </row>
    <row r="10758" spans="1:4" x14ac:dyDescent="0.55000000000000004">
      <c r="A10758">
        <f t="shared" si="338"/>
        <v>1982</v>
      </c>
      <c r="B10758" s="821">
        <v>29978</v>
      </c>
      <c r="C10758">
        <v>14.17</v>
      </c>
      <c r="D10758">
        <f t="shared" si="339"/>
        <v>1</v>
      </c>
    </row>
    <row r="10759" spans="1:4" x14ac:dyDescent="0.55000000000000004">
      <c r="A10759">
        <f t="shared" si="338"/>
        <v>1982</v>
      </c>
      <c r="B10759" s="821">
        <v>29977</v>
      </c>
      <c r="C10759">
        <v>14.19</v>
      </c>
      <c r="D10759">
        <f t="shared" si="339"/>
        <v>1</v>
      </c>
    </row>
    <row r="10760" spans="1:4" x14ac:dyDescent="0.55000000000000004">
      <c r="A10760">
        <f t="shared" si="338"/>
        <v>1982</v>
      </c>
      <c r="B10760" s="821">
        <v>29976</v>
      </c>
      <c r="C10760">
        <v>14.2</v>
      </c>
      <c r="D10760">
        <f t="shared" si="339"/>
        <v>1</v>
      </c>
    </row>
    <row r="10761" spans="1:4" x14ac:dyDescent="0.55000000000000004">
      <c r="A10761">
        <f t="shared" si="338"/>
        <v>1982</v>
      </c>
      <c r="B10761" s="821">
        <v>29973</v>
      </c>
      <c r="C10761">
        <v>14.24</v>
      </c>
      <c r="D10761">
        <f t="shared" si="339"/>
        <v>1</v>
      </c>
    </row>
    <row r="10762" spans="1:4" x14ac:dyDescent="0.55000000000000004">
      <c r="A10762">
        <f t="shared" si="338"/>
        <v>1982</v>
      </c>
      <c r="B10762" s="821">
        <v>29972</v>
      </c>
      <c r="C10762">
        <v>14.21</v>
      </c>
      <c r="D10762">
        <f t="shared" si="339"/>
        <v>1</v>
      </c>
    </row>
    <row r="10763" spans="1:4" x14ac:dyDescent="0.55000000000000004">
      <c r="A10763">
        <f t="shared" si="338"/>
        <v>1982</v>
      </c>
      <c r="B10763" s="821">
        <v>29971</v>
      </c>
      <c r="C10763">
        <v>14.32</v>
      </c>
      <c r="D10763">
        <f t="shared" si="339"/>
        <v>1</v>
      </c>
    </row>
    <row r="10764" spans="1:4" x14ac:dyDescent="0.55000000000000004">
      <c r="A10764">
        <f t="shared" si="338"/>
        <v>1982</v>
      </c>
      <c r="B10764" s="821">
        <v>29970</v>
      </c>
      <c r="C10764">
        <v>14.36</v>
      </c>
      <c r="D10764">
        <f t="shared" si="339"/>
        <v>1</v>
      </c>
    </row>
    <row r="10765" spans="1:4" x14ac:dyDescent="0.55000000000000004">
      <c r="A10765">
        <f t="shared" si="338"/>
        <v>1982</v>
      </c>
      <c r="B10765" s="821">
        <v>29969</v>
      </c>
      <c r="C10765">
        <v>14.27</v>
      </c>
      <c r="D10765">
        <f t="shared" si="339"/>
        <v>1</v>
      </c>
    </row>
    <row r="10766" spans="1:4" x14ac:dyDescent="0.55000000000000004">
      <c r="A10766">
        <f t="shared" si="338"/>
        <v>1982</v>
      </c>
      <c r="B10766" s="821">
        <v>29966</v>
      </c>
      <c r="C10766">
        <v>14.41</v>
      </c>
      <c r="D10766">
        <f t="shared" si="339"/>
        <v>1</v>
      </c>
    </row>
    <row r="10767" spans="1:4" x14ac:dyDescent="0.55000000000000004">
      <c r="A10767">
        <f t="shared" si="338"/>
        <v>1982</v>
      </c>
      <c r="B10767" s="821">
        <v>29965</v>
      </c>
      <c r="C10767">
        <v>14.31</v>
      </c>
      <c r="D10767">
        <f t="shared" si="339"/>
        <v>1</v>
      </c>
    </row>
    <row r="10768" spans="1:4" x14ac:dyDescent="0.55000000000000004">
      <c r="A10768">
        <f t="shared" si="338"/>
        <v>1982</v>
      </c>
      <c r="B10768" s="821">
        <v>29964</v>
      </c>
      <c r="C10768">
        <v>14.47</v>
      </c>
      <c r="D10768">
        <f t="shared" si="339"/>
        <v>1</v>
      </c>
    </row>
    <row r="10769" spans="1:4" x14ac:dyDescent="0.55000000000000004">
      <c r="A10769">
        <f t="shared" si="338"/>
        <v>1982</v>
      </c>
      <c r="B10769" s="821">
        <v>29963</v>
      </c>
      <c r="C10769">
        <v>14.27</v>
      </c>
      <c r="D10769">
        <f t="shared" si="339"/>
        <v>1</v>
      </c>
    </row>
    <row r="10770" spans="1:4" x14ac:dyDescent="0.55000000000000004">
      <c r="A10770">
        <f t="shared" si="338"/>
        <v>1982</v>
      </c>
      <c r="B10770" s="821">
        <v>29962</v>
      </c>
      <c r="C10770">
        <v>14.43</v>
      </c>
      <c r="D10770">
        <f t="shared" si="339"/>
        <v>1</v>
      </c>
    </row>
    <row r="10771" spans="1:4" x14ac:dyDescent="0.55000000000000004">
      <c r="A10771">
        <f t="shared" si="338"/>
        <v>1982</v>
      </c>
      <c r="B10771" s="821">
        <v>29959</v>
      </c>
      <c r="C10771">
        <v>14.13</v>
      </c>
      <c r="D10771">
        <f t="shared" si="339"/>
        <v>1</v>
      </c>
    </row>
    <row r="10772" spans="1:4" x14ac:dyDescent="0.55000000000000004">
      <c r="A10772">
        <f t="shared" si="338"/>
        <v>1982</v>
      </c>
      <c r="B10772" s="821">
        <v>29958</v>
      </c>
      <c r="C10772">
        <v>14.32</v>
      </c>
      <c r="D10772">
        <f t="shared" si="339"/>
        <v>1</v>
      </c>
    </row>
    <row r="10773" spans="1:4" x14ac:dyDescent="0.55000000000000004">
      <c r="A10773">
        <f t="shared" si="338"/>
        <v>1982</v>
      </c>
      <c r="B10773" s="821">
        <v>29957</v>
      </c>
      <c r="C10773">
        <v>14.28</v>
      </c>
      <c r="D10773">
        <f t="shared" si="339"/>
        <v>1</v>
      </c>
    </row>
    <row r="10774" spans="1:4" x14ac:dyDescent="0.55000000000000004">
      <c r="A10774">
        <f t="shared" si="338"/>
        <v>1982</v>
      </c>
      <c r="B10774" s="821">
        <v>29956</v>
      </c>
      <c r="C10774">
        <v>14.14</v>
      </c>
      <c r="D10774">
        <f t="shared" si="339"/>
        <v>1</v>
      </c>
    </row>
    <row r="10775" spans="1:4" x14ac:dyDescent="0.55000000000000004">
      <c r="A10775">
        <f t="shared" si="338"/>
        <v>1982</v>
      </c>
      <c r="B10775" s="821">
        <v>29955</v>
      </c>
      <c r="C10775">
        <v>13.87</v>
      </c>
      <c r="D10775">
        <f t="shared" si="339"/>
        <v>1</v>
      </c>
    </row>
    <row r="10776" spans="1:4" x14ac:dyDescent="0.55000000000000004">
      <c r="A10776">
        <f t="shared" si="338"/>
        <v>1981</v>
      </c>
      <c r="B10776" s="821">
        <v>29951</v>
      </c>
      <c r="C10776">
        <v>13.65</v>
      </c>
      <c r="D10776">
        <f t="shared" si="339"/>
        <v>1</v>
      </c>
    </row>
    <row r="10777" spans="1:4" x14ac:dyDescent="0.55000000000000004">
      <c r="A10777">
        <f t="shared" si="338"/>
        <v>1981</v>
      </c>
      <c r="B10777" s="821">
        <v>29950</v>
      </c>
      <c r="C10777">
        <v>13.86</v>
      </c>
      <c r="D10777">
        <f t="shared" si="339"/>
        <v>1</v>
      </c>
    </row>
    <row r="10778" spans="1:4" x14ac:dyDescent="0.55000000000000004">
      <c r="A10778">
        <f t="shared" si="338"/>
        <v>1981</v>
      </c>
      <c r="B10778" s="821">
        <v>29949</v>
      </c>
      <c r="C10778">
        <v>13.88</v>
      </c>
      <c r="D10778">
        <f t="shared" si="339"/>
        <v>1</v>
      </c>
    </row>
    <row r="10779" spans="1:4" x14ac:dyDescent="0.55000000000000004">
      <c r="A10779">
        <f t="shared" si="338"/>
        <v>1981</v>
      </c>
      <c r="B10779" s="821">
        <v>29948</v>
      </c>
      <c r="C10779">
        <v>13.72</v>
      </c>
      <c r="D10779">
        <f t="shared" si="339"/>
        <v>1</v>
      </c>
    </row>
    <row r="10780" spans="1:4" x14ac:dyDescent="0.55000000000000004">
      <c r="A10780">
        <f t="shared" si="338"/>
        <v>1981</v>
      </c>
      <c r="B10780" s="821">
        <v>29944</v>
      </c>
      <c r="C10780">
        <v>13.76</v>
      </c>
      <c r="D10780">
        <f t="shared" si="339"/>
        <v>1</v>
      </c>
    </row>
    <row r="10781" spans="1:4" x14ac:dyDescent="0.55000000000000004">
      <c r="A10781">
        <f t="shared" si="338"/>
        <v>1981</v>
      </c>
      <c r="B10781" s="821">
        <v>29943</v>
      </c>
      <c r="C10781">
        <v>13.85</v>
      </c>
      <c r="D10781">
        <f t="shared" si="339"/>
        <v>1</v>
      </c>
    </row>
    <row r="10782" spans="1:4" x14ac:dyDescent="0.55000000000000004">
      <c r="A10782">
        <f t="shared" si="338"/>
        <v>1981</v>
      </c>
      <c r="B10782" s="821">
        <v>29942</v>
      </c>
      <c r="C10782">
        <v>13.65</v>
      </c>
      <c r="D10782">
        <f t="shared" si="339"/>
        <v>1</v>
      </c>
    </row>
    <row r="10783" spans="1:4" x14ac:dyDescent="0.55000000000000004">
      <c r="A10783">
        <f t="shared" si="338"/>
        <v>1981</v>
      </c>
      <c r="B10783" s="821">
        <v>29941</v>
      </c>
      <c r="C10783">
        <v>13.55</v>
      </c>
      <c r="D10783">
        <f t="shared" si="339"/>
        <v>1</v>
      </c>
    </row>
    <row r="10784" spans="1:4" x14ac:dyDescent="0.55000000000000004">
      <c r="A10784">
        <f t="shared" si="338"/>
        <v>1981</v>
      </c>
      <c r="B10784" s="821">
        <v>29938</v>
      </c>
      <c r="C10784">
        <v>13.3</v>
      </c>
      <c r="D10784">
        <f t="shared" si="339"/>
        <v>1</v>
      </c>
    </row>
    <row r="10785" spans="1:4" x14ac:dyDescent="0.55000000000000004">
      <c r="A10785">
        <f t="shared" si="338"/>
        <v>1981</v>
      </c>
      <c r="B10785" s="821">
        <v>29937</v>
      </c>
      <c r="C10785">
        <v>13.48</v>
      </c>
      <c r="D10785">
        <f t="shared" si="339"/>
        <v>1</v>
      </c>
    </row>
    <row r="10786" spans="1:4" x14ac:dyDescent="0.55000000000000004">
      <c r="A10786">
        <f t="shared" si="338"/>
        <v>1981</v>
      </c>
      <c r="B10786" s="821">
        <v>29936</v>
      </c>
      <c r="C10786">
        <v>13.32</v>
      </c>
      <c r="D10786">
        <f t="shared" si="339"/>
        <v>1</v>
      </c>
    </row>
    <row r="10787" spans="1:4" x14ac:dyDescent="0.55000000000000004">
      <c r="A10787">
        <f t="shared" si="338"/>
        <v>1981</v>
      </c>
      <c r="B10787" s="821">
        <v>29935</v>
      </c>
      <c r="C10787">
        <v>13.3</v>
      </c>
      <c r="D10787">
        <f t="shared" si="339"/>
        <v>1</v>
      </c>
    </row>
    <row r="10788" spans="1:4" x14ac:dyDescent="0.55000000000000004">
      <c r="A10788">
        <f t="shared" si="338"/>
        <v>1981</v>
      </c>
      <c r="B10788" s="821">
        <v>29934</v>
      </c>
      <c r="C10788">
        <v>13.34</v>
      </c>
      <c r="D10788">
        <f t="shared" si="339"/>
        <v>1</v>
      </c>
    </row>
    <row r="10789" spans="1:4" x14ac:dyDescent="0.55000000000000004">
      <c r="A10789">
        <f t="shared" si="338"/>
        <v>1981</v>
      </c>
      <c r="B10789" s="821">
        <v>29931</v>
      </c>
      <c r="C10789">
        <v>13.55</v>
      </c>
      <c r="D10789">
        <f t="shared" si="339"/>
        <v>1</v>
      </c>
    </row>
    <row r="10790" spans="1:4" x14ac:dyDescent="0.55000000000000004">
      <c r="A10790">
        <f t="shared" si="338"/>
        <v>1981</v>
      </c>
      <c r="B10790" s="821">
        <v>29930</v>
      </c>
      <c r="C10790">
        <v>13.58</v>
      </c>
      <c r="D10790">
        <f t="shared" si="339"/>
        <v>1</v>
      </c>
    </row>
    <row r="10791" spans="1:4" x14ac:dyDescent="0.55000000000000004">
      <c r="A10791">
        <f t="shared" si="338"/>
        <v>1981</v>
      </c>
      <c r="B10791" s="821">
        <v>29929</v>
      </c>
      <c r="C10791">
        <v>13.39</v>
      </c>
      <c r="D10791">
        <f t="shared" si="339"/>
        <v>1</v>
      </c>
    </row>
    <row r="10792" spans="1:4" x14ac:dyDescent="0.55000000000000004">
      <c r="A10792">
        <f t="shared" si="338"/>
        <v>1981</v>
      </c>
      <c r="B10792" s="821">
        <v>29928</v>
      </c>
      <c r="C10792">
        <v>13.24</v>
      </c>
      <c r="D10792">
        <f t="shared" si="339"/>
        <v>1</v>
      </c>
    </row>
    <row r="10793" spans="1:4" x14ac:dyDescent="0.55000000000000004">
      <c r="A10793">
        <f t="shared" si="338"/>
        <v>1981</v>
      </c>
      <c r="B10793" s="821">
        <v>29927</v>
      </c>
      <c r="C10793">
        <v>13.26</v>
      </c>
      <c r="D10793">
        <f t="shared" si="339"/>
        <v>1</v>
      </c>
    </row>
    <row r="10794" spans="1:4" x14ac:dyDescent="0.55000000000000004">
      <c r="A10794">
        <f t="shared" si="338"/>
        <v>1981</v>
      </c>
      <c r="B10794" s="821">
        <v>29924</v>
      </c>
      <c r="C10794">
        <v>12.89</v>
      </c>
      <c r="D10794">
        <f t="shared" si="339"/>
        <v>1</v>
      </c>
    </row>
    <row r="10795" spans="1:4" x14ac:dyDescent="0.55000000000000004">
      <c r="A10795">
        <f t="shared" si="338"/>
        <v>1981</v>
      </c>
      <c r="B10795" s="821">
        <v>29923</v>
      </c>
      <c r="C10795">
        <v>13.16</v>
      </c>
      <c r="D10795">
        <f t="shared" si="339"/>
        <v>1</v>
      </c>
    </row>
    <row r="10796" spans="1:4" x14ac:dyDescent="0.55000000000000004">
      <c r="A10796">
        <f t="shared" si="338"/>
        <v>1981</v>
      </c>
      <c r="B10796" s="821">
        <v>29922</v>
      </c>
      <c r="C10796">
        <v>13.21</v>
      </c>
      <c r="D10796">
        <f t="shared" si="339"/>
        <v>1</v>
      </c>
    </row>
    <row r="10797" spans="1:4" x14ac:dyDescent="0.55000000000000004">
      <c r="A10797">
        <f t="shared" si="338"/>
        <v>1981</v>
      </c>
      <c r="B10797" s="821">
        <v>29921</v>
      </c>
      <c r="C10797">
        <v>13.06</v>
      </c>
      <c r="D10797">
        <f t="shared" si="339"/>
        <v>1</v>
      </c>
    </row>
    <row r="10798" spans="1:4" x14ac:dyDescent="0.55000000000000004">
      <c r="A10798">
        <f t="shared" si="338"/>
        <v>1981</v>
      </c>
      <c r="B10798" s="821">
        <v>29920</v>
      </c>
      <c r="C10798">
        <v>12.91</v>
      </c>
      <c r="D10798">
        <f t="shared" si="339"/>
        <v>1</v>
      </c>
    </row>
    <row r="10799" spans="1:4" x14ac:dyDescent="0.55000000000000004">
      <c r="A10799">
        <f t="shared" si="338"/>
        <v>1981</v>
      </c>
      <c r="B10799" s="821">
        <v>29917</v>
      </c>
      <c r="C10799">
        <v>12.76</v>
      </c>
      <c r="D10799">
        <f t="shared" si="339"/>
        <v>1</v>
      </c>
    </row>
    <row r="10800" spans="1:4" x14ac:dyDescent="0.55000000000000004">
      <c r="A10800">
        <f t="shared" si="338"/>
        <v>1981</v>
      </c>
      <c r="B10800" s="821">
        <v>29915</v>
      </c>
      <c r="C10800">
        <v>12.83</v>
      </c>
      <c r="D10800">
        <f t="shared" si="339"/>
        <v>1</v>
      </c>
    </row>
    <row r="10801" spans="1:4" x14ac:dyDescent="0.55000000000000004">
      <c r="A10801">
        <f t="shared" si="338"/>
        <v>1981</v>
      </c>
      <c r="B10801" s="821">
        <v>29914</v>
      </c>
      <c r="C10801">
        <v>13.03</v>
      </c>
      <c r="D10801">
        <f t="shared" si="339"/>
        <v>1</v>
      </c>
    </row>
    <row r="10802" spans="1:4" x14ac:dyDescent="0.55000000000000004">
      <c r="A10802">
        <f t="shared" si="338"/>
        <v>1981</v>
      </c>
      <c r="B10802" s="821">
        <v>29913</v>
      </c>
      <c r="C10802">
        <v>13.38</v>
      </c>
      <c r="D10802">
        <f t="shared" si="339"/>
        <v>1</v>
      </c>
    </row>
    <row r="10803" spans="1:4" x14ac:dyDescent="0.55000000000000004">
      <c r="A10803">
        <f t="shared" si="338"/>
        <v>1981</v>
      </c>
      <c r="B10803" s="821">
        <v>29910</v>
      </c>
      <c r="C10803">
        <v>13.08</v>
      </c>
      <c r="D10803">
        <f t="shared" si="339"/>
        <v>1</v>
      </c>
    </row>
    <row r="10804" spans="1:4" x14ac:dyDescent="0.55000000000000004">
      <c r="A10804">
        <f t="shared" si="338"/>
        <v>1981</v>
      </c>
      <c r="B10804" s="821">
        <v>29909</v>
      </c>
      <c r="C10804">
        <v>13.09</v>
      </c>
      <c r="D10804">
        <f t="shared" si="339"/>
        <v>1</v>
      </c>
    </row>
    <row r="10805" spans="1:4" x14ac:dyDescent="0.55000000000000004">
      <c r="A10805">
        <f t="shared" si="338"/>
        <v>1981</v>
      </c>
      <c r="B10805" s="821">
        <v>29908</v>
      </c>
      <c r="C10805">
        <v>13.05</v>
      </c>
      <c r="D10805">
        <f t="shared" si="339"/>
        <v>1</v>
      </c>
    </row>
    <row r="10806" spans="1:4" x14ac:dyDescent="0.55000000000000004">
      <c r="A10806">
        <f t="shared" si="338"/>
        <v>1981</v>
      </c>
      <c r="B10806" s="821">
        <v>29907</v>
      </c>
      <c r="C10806">
        <v>13.25</v>
      </c>
      <c r="D10806">
        <f t="shared" si="339"/>
        <v>1</v>
      </c>
    </row>
    <row r="10807" spans="1:4" x14ac:dyDescent="0.55000000000000004">
      <c r="A10807">
        <f t="shared" si="338"/>
        <v>1981</v>
      </c>
      <c r="B10807" s="821">
        <v>29906</v>
      </c>
      <c r="C10807">
        <v>13.11</v>
      </c>
      <c r="D10807">
        <f t="shared" si="339"/>
        <v>1</v>
      </c>
    </row>
    <row r="10808" spans="1:4" x14ac:dyDescent="0.55000000000000004">
      <c r="A10808">
        <f t="shared" si="338"/>
        <v>1981</v>
      </c>
      <c r="B10808" s="821">
        <v>29903</v>
      </c>
      <c r="C10808">
        <v>13.26</v>
      </c>
      <c r="D10808">
        <f t="shared" si="339"/>
        <v>1</v>
      </c>
    </row>
    <row r="10809" spans="1:4" x14ac:dyDescent="0.55000000000000004">
      <c r="A10809">
        <f t="shared" si="338"/>
        <v>1981</v>
      </c>
      <c r="B10809" s="821">
        <v>29902</v>
      </c>
      <c r="C10809">
        <v>13.21</v>
      </c>
      <c r="D10809">
        <f t="shared" si="339"/>
        <v>1</v>
      </c>
    </row>
    <row r="10810" spans="1:4" x14ac:dyDescent="0.55000000000000004">
      <c r="A10810">
        <f t="shared" si="338"/>
        <v>1981</v>
      </c>
      <c r="B10810" s="821">
        <v>29900</v>
      </c>
      <c r="C10810">
        <v>13.55</v>
      </c>
      <c r="D10810">
        <f t="shared" si="339"/>
        <v>1</v>
      </c>
    </row>
    <row r="10811" spans="1:4" x14ac:dyDescent="0.55000000000000004">
      <c r="A10811">
        <f t="shared" si="338"/>
        <v>1981</v>
      </c>
      <c r="B10811" s="821">
        <v>29899</v>
      </c>
      <c r="C10811">
        <v>13.56</v>
      </c>
      <c r="D10811">
        <f t="shared" si="339"/>
        <v>1</v>
      </c>
    </row>
    <row r="10812" spans="1:4" x14ac:dyDescent="0.55000000000000004">
      <c r="A10812">
        <f t="shared" si="338"/>
        <v>1981</v>
      </c>
      <c r="B10812" s="821">
        <v>29896</v>
      </c>
      <c r="C10812">
        <v>13.85</v>
      </c>
      <c r="D10812">
        <f t="shared" si="339"/>
        <v>1</v>
      </c>
    </row>
    <row r="10813" spans="1:4" x14ac:dyDescent="0.55000000000000004">
      <c r="A10813">
        <f t="shared" si="338"/>
        <v>1981</v>
      </c>
      <c r="B10813" s="821">
        <v>29895</v>
      </c>
      <c r="C10813">
        <v>14.06</v>
      </c>
      <c r="D10813">
        <f t="shared" si="339"/>
        <v>1</v>
      </c>
    </row>
    <row r="10814" spans="1:4" x14ac:dyDescent="0.55000000000000004">
      <c r="A10814">
        <f t="shared" si="338"/>
        <v>1981</v>
      </c>
      <c r="B10814" s="821">
        <v>29894</v>
      </c>
      <c r="C10814">
        <v>13.96</v>
      </c>
      <c r="D10814">
        <f t="shared" si="339"/>
        <v>1</v>
      </c>
    </row>
    <row r="10815" spans="1:4" x14ac:dyDescent="0.55000000000000004">
      <c r="A10815">
        <f t="shared" si="338"/>
        <v>1981</v>
      </c>
      <c r="B10815" s="821">
        <v>29892</v>
      </c>
      <c r="C10815">
        <v>14.41</v>
      </c>
      <c r="D10815">
        <f t="shared" si="339"/>
        <v>1</v>
      </c>
    </row>
    <row r="10816" spans="1:4" x14ac:dyDescent="0.55000000000000004">
      <c r="A10816">
        <f t="shared" si="338"/>
        <v>1981</v>
      </c>
      <c r="B10816" s="821">
        <v>29889</v>
      </c>
      <c r="C10816">
        <v>14.36</v>
      </c>
      <c r="D10816">
        <f t="shared" si="339"/>
        <v>1</v>
      </c>
    </row>
    <row r="10817" spans="1:4" x14ac:dyDescent="0.55000000000000004">
      <c r="A10817">
        <f t="shared" si="338"/>
        <v>1981</v>
      </c>
      <c r="B10817" s="821">
        <v>29888</v>
      </c>
      <c r="C10817">
        <v>14.66</v>
      </c>
      <c r="D10817">
        <f t="shared" si="339"/>
        <v>1</v>
      </c>
    </row>
    <row r="10818" spans="1:4" x14ac:dyDescent="0.55000000000000004">
      <c r="A10818">
        <f t="shared" si="338"/>
        <v>1981</v>
      </c>
      <c r="B10818" s="821">
        <v>29887</v>
      </c>
      <c r="C10818">
        <v>15.03</v>
      </c>
      <c r="D10818">
        <f t="shared" si="339"/>
        <v>1</v>
      </c>
    </row>
    <row r="10819" spans="1:4" x14ac:dyDescent="0.55000000000000004">
      <c r="A10819">
        <f t="shared" si="338"/>
        <v>1981</v>
      </c>
      <c r="B10819" s="821">
        <v>29886</v>
      </c>
      <c r="C10819">
        <v>15.09</v>
      </c>
      <c r="D10819">
        <f t="shared" si="339"/>
        <v>1</v>
      </c>
    </row>
    <row r="10820" spans="1:4" x14ac:dyDescent="0.55000000000000004">
      <c r="A10820">
        <f t="shared" ref="A10820:A10883" si="340">YEAR(B10820)</f>
        <v>1981</v>
      </c>
      <c r="B10820" s="821">
        <v>29885</v>
      </c>
      <c r="C10820">
        <v>15.21</v>
      </c>
      <c r="D10820">
        <f t="shared" ref="D10820:D10883" si="341">IF(C10820&gt;4,1,0)</f>
        <v>1</v>
      </c>
    </row>
    <row r="10821" spans="1:4" x14ac:dyDescent="0.55000000000000004">
      <c r="A10821">
        <f t="shared" si="340"/>
        <v>1981</v>
      </c>
      <c r="B10821" s="821">
        <v>29882</v>
      </c>
      <c r="C10821">
        <v>14.81</v>
      </c>
      <c r="D10821">
        <f t="shared" si="341"/>
        <v>1</v>
      </c>
    </row>
    <row r="10822" spans="1:4" x14ac:dyDescent="0.55000000000000004">
      <c r="A10822">
        <f t="shared" si="340"/>
        <v>1981</v>
      </c>
      <c r="B10822" s="821">
        <v>29881</v>
      </c>
      <c r="C10822">
        <v>14.91</v>
      </c>
      <c r="D10822">
        <f t="shared" si="341"/>
        <v>1</v>
      </c>
    </row>
    <row r="10823" spans="1:4" x14ac:dyDescent="0.55000000000000004">
      <c r="A10823">
        <f t="shared" si="340"/>
        <v>1981</v>
      </c>
      <c r="B10823" s="821">
        <v>29880</v>
      </c>
      <c r="C10823">
        <v>14.94</v>
      </c>
      <c r="D10823">
        <f t="shared" si="341"/>
        <v>1</v>
      </c>
    </row>
    <row r="10824" spans="1:4" x14ac:dyDescent="0.55000000000000004">
      <c r="A10824">
        <f t="shared" si="340"/>
        <v>1981</v>
      </c>
      <c r="B10824" s="821">
        <v>29879</v>
      </c>
      <c r="C10824">
        <v>14.66</v>
      </c>
      <c r="D10824">
        <f t="shared" si="341"/>
        <v>1</v>
      </c>
    </row>
    <row r="10825" spans="1:4" x14ac:dyDescent="0.55000000000000004">
      <c r="A10825">
        <f t="shared" si="340"/>
        <v>1981</v>
      </c>
      <c r="B10825" s="821">
        <v>29878</v>
      </c>
      <c r="C10825">
        <v>14.52</v>
      </c>
      <c r="D10825">
        <f t="shared" si="341"/>
        <v>1</v>
      </c>
    </row>
    <row r="10826" spans="1:4" x14ac:dyDescent="0.55000000000000004">
      <c r="A10826">
        <f t="shared" si="340"/>
        <v>1981</v>
      </c>
      <c r="B10826" s="821">
        <v>29875</v>
      </c>
      <c r="C10826">
        <v>14.55</v>
      </c>
      <c r="D10826">
        <f t="shared" si="341"/>
        <v>1</v>
      </c>
    </row>
    <row r="10827" spans="1:4" x14ac:dyDescent="0.55000000000000004">
      <c r="A10827">
        <f t="shared" si="340"/>
        <v>1981</v>
      </c>
      <c r="B10827" s="821">
        <v>29874</v>
      </c>
      <c r="C10827">
        <v>14.39</v>
      </c>
      <c r="D10827">
        <f t="shared" si="341"/>
        <v>1</v>
      </c>
    </row>
    <row r="10828" spans="1:4" x14ac:dyDescent="0.55000000000000004">
      <c r="A10828">
        <f t="shared" si="340"/>
        <v>1981</v>
      </c>
      <c r="B10828" s="821">
        <v>29873</v>
      </c>
      <c r="C10828">
        <v>14.48</v>
      </c>
      <c r="D10828">
        <f t="shared" si="341"/>
        <v>1</v>
      </c>
    </row>
    <row r="10829" spans="1:4" x14ac:dyDescent="0.55000000000000004">
      <c r="A10829">
        <f t="shared" si="340"/>
        <v>1981</v>
      </c>
      <c r="B10829" s="821">
        <v>29872</v>
      </c>
      <c r="C10829">
        <v>14.36</v>
      </c>
      <c r="D10829">
        <f t="shared" si="341"/>
        <v>1</v>
      </c>
    </row>
    <row r="10830" spans="1:4" x14ac:dyDescent="0.55000000000000004">
      <c r="A10830">
        <f t="shared" si="340"/>
        <v>1981</v>
      </c>
      <c r="B10830" s="821">
        <v>29868</v>
      </c>
      <c r="C10830">
        <v>14.26</v>
      </c>
      <c r="D10830">
        <f t="shared" si="341"/>
        <v>1</v>
      </c>
    </row>
    <row r="10831" spans="1:4" x14ac:dyDescent="0.55000000000000004">
      <c r="A10831">
        <f t="shared" si="340"/>
        <v>1981</v>
      </c>
      <c r="B10831" s="821">
        <v>29867</v>
      </c>
      <c r="C10831">
        <v>14.44</v>
      </c>
      <c r="D10831">
        <f t="shared" si="341"/>
        <v>1</v>
      </c>
    </row>
    <row r="10832" spans="1:4" x14ac:dyDescent="0.55000000000000004">
      <c r="A10832">
        <f t="shared" si="340"/>
        <v>1981</v>
      </c>
      <c r="B10832" s="821">
        <v>29866</v>
      </c>
      <c r="C10832">
        <v>14.54</v>
      </c>
      <c r="D10832">
        <f t="shared" si="341"/>
        <v>1</v>
      </c>
    </row>
    <row r="10833" spans="1:4" x14ac:dyDescent="0.55000000000000004">
      <c r="A10833">
        <f t="shared" si="340"/>
        <v>1981</v>
      </c>
      <c r="B10833" s="821">
        <v>29865</v>
      </c>
      <c r="C10833">
        <v>14.6</v>
      </c>
      <c r="D10833">
        <f t="shared" si="341"/>
        <v>1</v>
      </c>
    </row>
    <row r="10834" spans="1:4" x14ac:dyDescent="0.55000000000000004">
      <c r="A10834">
        <f t="shared" si="340"/>
        <v>1981</v>
      </c>
      <c r="B10834" s="821">
        <v>29864</v>
      </c>
      <c r="C10834">
        <v>14.62</v>
      </c>
      <c r="D10834">
        <f t="shared" si="341"/>
        <v>1</v>
      </c>
    </row>
    <row r="10835" spans="1:4" x14ac:dyDescent="0.55000000000000004">
      <c r="A10835">
        <f t="shared" si="340"/>
        <v>1981</v>
      </c>
      <c r="B10835" s="821">
        <v>29861</v>
      </c>
      <c r="C10835">
        <v>14.8</v>
      </c>
      <c r="D10835">
        <f t="shared" si="341"/>
        <v>1</v>
      </c>
    </row>
    <row r="10836" spans="1:4" x14ac:dyDescent="0.55000000000000004">
      <c r="A10836">
        <f t="shared" si="340"/>
        <v>1981</v>
      </c>
      <c r="B10836" s="821">
        <v>29860</v>
      </c>
      <c r="C10836">
        <v>15.14</v>
      </c>
      <c r="D10836">
        <f t="shared" si="341"/>
        <v>1</v>
      </c>
    </row>
    <row r="10837" spans="1:4" x14ac:dyDescent="0.55000000000000004">
      <c r="A10837">
        <f t="shared" si="340"/>
        <v>1981</v>
      </c>
      <c r="B10837" s="821">
        <v>29859</v>
      </c>
      <c r="C10837">
        <v>15.19</v>
      </c>
      <c r="D10837">
        <f t="shared" si="341"/>
        <v>1</v>
      </c>
    </row>
    <row r="10838" spans="1:4" x14ac:dyDescent="0.55000000000000004">
      <c r="A10838">
        <f t="shared" si="340"/>
        <v>1981</v>
      </c>
      <c r="B10838" s="821">
        <v>29858</v>
      </c>
      <c r="C10838">
        <v>15.2</v>
      </c>
      <c r="D10838">
        <f t="shared" si="341"/>
        <v>1</v>
      </c>
    </row>
    <row r="10839" spans="1:4" x14ac:dyDescent="0.55000000000000004">
      <c r="A10839">
        <f t="shared" si="340"/>
        <v>1981</v>
      </c>
      <c r="B10839" s="821">
        <v>29857</v>
      </c>
      <c r="C10839">
        <v>15.01</v>
      </c>
      <c r="D10839">
        <f t="shared" si="341"/>
        <v>1</v>
      </c>
    </row>
    <row r="10840" spans="1:4" x14ac:dyDescent="0.55000000000000004">
      <c r="A10840">
        <f t="shared" si="340"/>
        <v>1981</v>
      </c>
      <c r="B10840" s="821">
        <v>29854</v>
      </c>
      <c r="C10840">
        <v>15.08</v>
      </c>
      <c r="D10840">
        <f t="shared" si="341"/>
        <v>1</v>
      </c>
    </row>
    <row r="10841" spans="1:4" x14ac:dyDescent="0.55000000000000004">
      <c r="A10841">
        <f t="shared" si="340"/>
        <v>1981</v>
      </c>
      <c r="B10841" s="821">
        <v>29853</v>
      </c>
      <c r="C10841">
        <v>14.69</v>
      </c>
      <c r="D10841">
        <f t="shared" si="341"/>
        <v>1</v>
      </c>
    </row>
    <row r="10842" spans="1:4" x14ac:dyDescent="0.55000000000000004">
      <c r="A10842">
        <f t="shared" si="340"/>
        <v>1981</v>
      </c>
      <c r="B10842" s="821">
        <v>29852</v>
      </c>
      <c r="C10842">
        <v>14.61</v>
      </c>
      <c r="D10842">
        <f t="shared" si="341"/>
        <v>1</v>
      </c>
    </row>
    <row r="10843" spans="1:4" x14ac:dyDescent="0.55000000000000004">
      <c r="A10843">
        <f t="shared" si="340"/>
        <v>1981</v>
      </c>
      <c r="B10843" s="821">
        <v>29851</v>
      </c>
      <c r="C10843">
        <v>14.33</v>
      </c>
      <c r="D10843">
        <f t="shared" si="341"/>
        <v>1</v>
      </c>
    </row>
    <row r="10844" spans="1:4" x14ac:dyDescent="0.55000000000000004">
      <c r="A10844">
        <f t="shared" si="340"/>
        <v>1981</v>
      </c>
      <c r="B10844" s="821">
        <v>29850</v>
      </c>
      <c r="C10844">
        <v>14.09</v>
      </c>
      <c r="D10844">
        <f t="shared" si="341"/>
        <v>1</v>
      </c>
    </row>
    <row r="10845" spans="1:4" x14ac:dyDescent="0.55000000000000004">
      <c r="A10845">
        <f t="shared" si="340"/>
        <v>1981</v>
      </c>
      <c r="B10845" s="821">
        <v>29847</v>
      </c>
      <c r="C10845">
        <v>14.22</v>
      </c>
      <c r="D10845">
        <f t="shared" si="341"/>
        <v>1</v>
      </c>
    </row>
    <row r="10846" spans="1:4" x14ac:dyDescent="0.55000000000000004">
      <c r="A10846">
        <f t="shared" si="340"/>
        <v>1981</v>
      </c>
      <c r="B10846" s="821">
        <v>29846</v>
      </c>
      <c r="C10846">
        <v>14.26</v>
      </c>
      <c r="D10846">
        <f t="shared" si="341"/>
        <v>1</v>
      </c>
    </row>
    <row r="10847" spans="1:4" x14ac:dyDescent="0.55000000000000004">
      <c r="A10847">
        <f t="shared" si="340"/>
        <v>1981</v>
      </c>
      <c r="B10847" s="821">
        <v>29845</v>
      </c>
      <c r="C10847">
        <v>14.42</v>
      </c>
      <c r="D10847">
        <f t="shared" si="341"/>
        <v>1</v>
      </c>
    </row>
    <row r="10848" spans="1:4" x14ac:dyDescent="0.55000000000000004">
      <c r="A10848">
        <f t="shared" si="340"/>
        <v>1981</v>
      </c>
      <c r="B10848" s="821">
        <v>29844</v>
      </c>
      <c r="C10848">
        <v>14.44</v>
      </c>
      <c r="D10848">
        <f t="shared" si="341"/>
        <v>1</v>
      </c>
    </row>
    <row r="10849" spans="1:4" x14ac:dyDescent="0.55000000000000004">
      <c r="A10849">
        <f t="shared" si="340"/>
        <v>1981</v>
      </c>
      <c r="B10849" s="821">
        <v>29843</v>
      </c>
      <c r="C10849">
        <v>14.51</v>
      </c>
      <c r="D10849">
        <f t="shared" si="341"/>
        <v>1</v>
      </c>
    </row>
    <row r="10850" spans="1:4" x14ac:dyDescent="0.55000000000000004">
      <c r="A10850">
        <f t="shared" si="340"/>
        <v>1981</v>
      </c>
      <c r="B10850" s="821">
        <v>29840</v>
      </c>
      <c r="C10850">
        <v>14.49</v>
      </c>
      <c r="D10850">
        <f t="shared" si="341"/>
        <v>1</v>
      </c>
    </row>
    <row r="10851" spans="1:4" x14ac:dyDescent="0.55000000000000004">
      <c r="A10851">
        <f t="shared" si="340"/>
        <v>1981</v>
      </c>
      <c r="B10851" s="821">
        <v>29839</v>
      </c>
      <c r="C10851">
        <v>14.68</v>
      </c>
      <c r="D10851">
        <f t="shared" si="341"/>
        <v>1</v>
      </c>
    </row>
    <row r="10852" spans="1:4" x14ac:dyDescent="0.55000000000000004">
      <c r="A10852">
        <f t="shared" si="340"/>
        <v>1981</v>
      </c>
      <c r="B10852" s="821">
        <v>29838</v>
      </c>
      <c r="C10852">
        <v>14.73</v>
      </c>
      <c r="D10852">
        <f t="shared" si="341"/>
        <v>1</v>
      </c>
    </row>
    <row r="10853" spans="1:4" x14ac:dyDescent="0.55000000000000004">
      <c r="A10853">
        <f t="shared" si="340"/>
        <v>1981</v>
      </c>
      <c r="B10853" s="821">
        <v>29837</v>
      </c>
      <c r="C10853">
        <v>14.99</v>
      </c>
      <c r="D10853">
        <f t="shared" si="341"/>
        <v>1</v>
      </c>
    </row>
    <row r="10854" spans="1:4" x14ac:dyDescent="0.55000000000000004">
      <c r="A10854">
        <f t="shared" si="340"/>
        <v>1981</v>
      </c>
      <c r="B10854" s="821">
        <v>29833</v>
      </c>
      <c r="C10854">
        <v>14.84</v>
      </c>
      <c r="D10854">
        <f t="shared" si="341"/>
        <v>1</v>
      </c>
    </row>
    <row r="10855" spans="1:4" x14ac:dyDescent="0.55000000000000004">
      <c r="A10855">
        <f t="shared" si="340"/>
        <v>1981</v>
      </c>
      <c r="B10855" s="821">
        <v>29832</v>
      </c>
      <c r="C10855">
        <v>14.82</v>
      </c>
      <c r="D10855">
        <f t="shared" si="341"/>
        <v>1</v>
      </c>
    </row>
    <row r="10856" spans="1:4" x14ac:dyDescent="0.55000000000000004">
      <c r="A10856">
        <f t="shared" si="340"/>
        <v>1981</v>
      </c>
      <c r="B10856" s="821">
        <v>29831</v>
      </c>
      <c r="C10856">
        <v>14.7</v>
      </c>
      <c r="D10856">
        <f t="shared" si="341"/>
        <v>1</v>
      </c>
    </row>
    <row r="10857" spans="1:4" x14ac:dyDescent="0.55000000000000004">
      <c r="A10857">
        <f t="shared" si="340"/>
        <v>1981</v>
      </c>
      <c r="B10857" s="821">
        <v>29830</v>
      </c>
      <c r="C10857">
        <v>14.7</v>
      </c>
      <c r="D10857">
        <f t="shared" si="341"/>
        <v>1</v>
      </c>
    </row>
    <row r="10858" spans="1:4" x14ac:dyDescent="0.55000000000000004">
      <c r="A10858">
        <f t="shared" si="340"/>
        <v>1981</v>
      </c>
      <c r="B10858" s="821">
        <v>29829</v>
      </c>
      <c r="C10858">
        <v>14.78</v>
      </c>
      <c r="D10858">
        <f t="shared" si="341"/>
        <v>1</v>
      </c>
    </row>
    <row r="10859" spans="1:4" x14ac:dyDescent="0.55000000000000004">
      <c r="A10859">
        <f t="shared" si="340"/>
        <v>1981</v>
      </c>
      <c r="B10859" s="821">
        <v>29826</v>
      </c>
      <c r="C10859">
        <v>14.49</v>
      </c>
      <c r="D10859">
        <f t="shared" si="341"/>
        <v>1</v>
      </c>
    </row>
    <row r="10860" spans="1:4" x14ac:dyDescent="0.55000000000000004">
      <c r="A10860">
        <f t="shared" si="340"/>
        <v>1981</v>
      </c>
      <c r="B10860" s="821">
        <v>29825</v>
      </c>
      <c r="C10860">
        <v>14.59</v>
      </c>
      <c r="D10860">
        <f t="shared" si="341"/>
        <v>1</v>
      </c>
    </row>
    <row r="10861" spans="1:4" x14ac:dyDescent="0.55000000000000004">
      <c r="A10861">
        <f t="shared" si="340"/>
        <v>1981</v>
      </c>
      <c r="B10861" s="821">
        <v>29824</v>
      </c>
      <c r="C10861">
        <v>14.6</v>
      </c>
      <c r="D10861">
        <f t="shared" si="341"/>
        <v>1</v>
      </c>
    </row>
    <row r="10862" spans="1:4" x14ac:dyDescent="0.55000000000000004">
      <c r="A10862">
        <f t="shared" si="340"/>
        <v>1981</v>
      </c>
      <c r="B10862" s="821">
        <v>29823</v>
      </c>
      <c r="C10862">
        <v>14.61</v>
      </c>
      <c r="D10862">
        <f t="shared" si="341"/>
        <v>1</v>
      </c>
    </row>
    <row r="10863" spans="1:4" x14ac:dyDescent="0.55000000000000004">
      <c r="A10863">
        <f t="shared" si="340"/>
        <v>1981</v>
      </c>
      <c r="B10863" s="821">
        <v>29822</v>
      </c>
      <c r="C10863">
        <v>14.57</v>
      </c>
      <c r="D10863">
        <f t="shared" si="341"/>
        <v>1</v>
      </c>
    </row>
    <row r="10864" spans="1:4" x14ac:dyDescent="0.55000000000000004">
      <c r="A10864">
        <f t="shared" si="340"/>
        <v>1981</v>
      </c>
      <c r="B10864" s="821">
        <v>29819</v>
      </c>
      <c r="C10864">
        <v>14.14</v>
      </c>
      <c r="D10864">
        <f t="shared" si="341"/>
        <v>1</v>
      </c>
    </row>
    <row r="10865" spans="1:4" x14ac:dyDescent="0.55000000000000004">
      <c r="A10865">
        <f t="shared" si="340"/>
        <v>1981</v>
      </c>
      <c r="B10865" s="821">
        <v>29818</v>
      </c>
      <c r="C10865">
        <v>14.08</v>
      </c>
      <c r="D10865">
        <f t="shared" si="341"/>
        <v>1</v>
      </c>
    </row>
    <row r="10866" spans="1:4" x14ac:dyDescent="0.55000000000000004">
      <c r="A10866">
        <f t="shared" si="340"/>
        <v>1981</v>
      </c>
      <c r="B10866" s="821">
        <v>29817</v>
      </c>
      <c r="C10866">
        <v>13.95</v>
      </c>
      <c r="D10866">
        <f t="shared" si="341"/>
        <v>1</v>
      </c>
    </row>
    <row r="10867" spans="1:4" x14ac:dyDescent="0.55000000000000004">
      <c r="A10867">
        <f t="shared" si="340"/>
        <v>1981</v>
      </c>
      <c r="B10867" s="821">
        <v>29816</v>
      </c>
      <c r="C10867">
        <v>13.95</v>
      </c>
      <c r="D10867">
        <f t="shared" si="341"/>
        <v>1</v>
      </c>
    </row>
    <row r="10868" spans="1:4" x14ac:dyDescent="0.55000000000000004">
      <c r="A10868">
        <f t="shared" si="340"/>
        <v>1981</v>
      </c>
      <c r="B10868" s="821">
        <v>29815</v>
      </c>
      <c r="C10868">
        <v>13.9</v>
      </c>
      <c r="D10868">
        <f t="shared" si="341"/>
        <v>1</v>
      </c>
    </row>
    <row r="10869" spans="1:4" x14ac:dyDescent="0.55000000000000004">
      <c r="A10869">
        <f t="shared" si="340"/>
        <v>1981</v>
      </c>
      <c r="B10869" s="821">
        <v>29812</v>
      </c>
      <c r="C10869">
        <v>13.95</v>
      </c>
      <c r="D10869">
        <f t="shared" si="341"/>
        <v>1</v>
      </c>
    </row>
    <row r="10870" spans="1:4" x14ac:dyDescent="0.55000000000000004">
      <c r="A10870">
        <f t="shared" si="340"/>
        <v>1981</v>
      </c>
      <c r="B10870" s="821">
        <v>29811</v>
      </c>
      <c r="C10870">
        <v>13.88</v>
      </c>
      <c r="D10870">
        <f t="shared" si="341"/>
        <v>1</v>
      </c>
    </row>
    <row r="10871" spans="1:4" x14ac:dyDescent="0.55000000000000004">
      <c r="A10871">
        <f t="shared" si="340"/>
        <v>1981</v>
      </c>
      <c r="B10871" s="821">
        <v>29810</v>
      </c>
      <c r="C10871">
        <v>13.82</v>
      </c>
      <c r="D10871">
        <f t="shared" si="341"/>
        <v>1</v>
      </c>
    </row>
    <row r="10872" spans="1:4" x14ac:dyDescent="0.55000000000000004">
      <c r="A10872">
        <f t="shared" si="340"/>
        <v>1981</v>
      </c>
      <c r="B10872" s="821">
        <v>29809</v>
      </c>
      <c r="C10872">
        <v>13.63</v>
      </c>
      <c r="D10872">
        <f t="shared" si="341"/>
        <v>1</v>
      </c>
    </row>
    <row r="10873" spans="1:4" x14ac:dyDescent="0.55000000000000004">
      <c r="A10873">
        <f t="shared" si="340"/>
        <v>1981</v>
      </c>
      <c r="B10873" s="821">
        <v>29808</v>
      </c>
      <c r="C10873">
        <v>13.88</v>
      </c>
      <c r="D10873">
        <f t="shared" si="341"/>
        <v>1</v>
      </c>
    </row>
    <row r="10874" spans="1:4" x14ac:dyDescent="0.55000000000000004">
      <c r="A10874">
        <f t="shared" si="340"/>
        <v>1981</v>
      </c>
      <c r="B10874" s="821">
        <v>29805</v>
      </c>
      <c r="C10874">
        <v>14.07</v>
      </c>
      <c r="D10874">
        <f t="shared" si="341"/>
        <v>1</v>
      </c>
    </row>
    <row r="10875" spans="1:4" x14ac:dyDescent="0.55000000000000004">
      <c r="A10875">
        <f t="shared" si="340"/>
        <v>1981</v>
      </c>
      <c r="B10875" s="821">
        <v>29804</v>
      </c>
      <c r="C10875">
        <v>14.04</v>
      </c>
      <c r="D10875">
        <f t="shared" si="341"/>
        <v>1</v>
      </c>
    </row>
    <row r="10876" spans="1:4" x14ac:dyDescent="0.55000000000000004">
      <c r="A10876">
        <f t="shared" si="340"/>
        <v>1981</v>
      </c>
      <c r="B10876" s="821">
        <v>29803</v>
      </c>
      <c r="C10876">
        <v>14.15</v>
      </c>
      <c r="D10876">
        <f t="shared" si="341"/>
        <v>1</v>
      </c>
    </row>
    <row r="10877" spans="1:4" x14ac:dyDescent="0.55000000000000004">
      <c r="A10877">
        <f t="shared" si="340"/>
        <v>1981</v>
      </c>
      <c r="B10877" s="821">
        <v>29802</v>
      </c>
      <c r="C10877">
        <v>14.17</v>
      </c>
      <c r="D10877">
        <f t="shared" si="341"/>
        <v>1</v>
      </c>
    </row>
    <row r="10878" spans="1:4" x14ac:dyDescent="0.55000000000000004">
      <c r="A10878">
        <f t="shared" si="340"/>
        <v>1981</v>
      </c>
      <c r="B10878" s="821">
        <v>29801</v>
      </c>
      <c r="C10878">
        <v>14.27</v>
      </c>
      <c r="D10878">
        <f t="shared" si="341"/>
        <v>1</v>
      </c>
    </row>
    <row r="10879" spans="1:4" x14ac:dyDescent="0.55000000000000004">
      <c r="A10879">
        <f t="shared" si="340"/>
        <v>1981</v>
      </c>
      <c r="B10879" s="821">
        <v>29798</v>
      </c>
      <c r="C10879">
        <v>13.96</v>
      </c>
      <c r="D10879">
        <f t="shared" si="341"/>
        <v>1</v>
      </c>
    </row>
    <row r="10880" spans="1:4" x14ac:dyDescent="0.55000000000000004">
      <c r="A10880">
        <f t="shared" si="340"/>
        <v>1981</v>
      </c>
      <c r="B10880" s="821">
        <v>29797</v>
      </c>
      <c r="C10880">
        <v>13.95</v>
      </c>
      <c r="D10880">
        <f t="shared" si="341"/>
        <v>1</v>
      </c>
    </row>
    <row r="10881" spans="1:4" x14ac:dyDescent="0.55000000000000004">
      <c r="A10881">
        <f t="shared" si="340"/>
        <v>1981</v>
      </c>
      <c r="B10881" s="821">
        <v>29796</v>
      </c>
      <c r="C10881">
        <v>13.92</v>
      </c>
      <c r="D10881">
        <f t="shared" si="341"/>
        <v>1</v>
      </c>
    </row>
    <row r="10882" spans="1:4" x14ac:dyDescent="0.55000000000000004">
      <c r="A10882">
        <f t="shared" si="340"/>
        <v>1981</v>
      </c>
      <c r="B10882" s="821">
        <v>29795</v>
      </c>
      <c r="C10882">
        <v>13.8</v>
      </c>
      <c r="D10882">
        <f t="shared" si="341"/>
        <v>1</v>
      </c>
    </row>
    <row r="10883" spans="1:4" x14ac:dyDescent="0.55000000000000004">
      <c r="A10883">
        <f t="shared" si="340"/>
        <v>1981</v>
      </c>
      <c r="B10883" s="821">
        <v>29794</v>
      </c>
      <c r="C10883">
        <v>13.7</v>
      </c>
      <c r="D10883">
        <f t="shared" si="341"/>
        <v>1</v>
      </c>
    </row>
    <row r="10884" spans="1:4" x14ac:dyDescent="0.55000000000000004">
      <c r="A10884">
        <f t="shared" ref="A10884:A10947" si="342">YEAR(B10884)</f>
        <v>1981</v>
      </c>
      <c r="B10884" s="821">
        <v>29791</v>
      </c>
      <c r="C10884">
        <v>13.65</v>
      </c>
      <c r="D10884">
        <f t="shared" ref="D10884:D10947" si="343">IF(C10884&gt;4,1,0)</f>
        <v>1</v>
      </c>
    </row>
    <row r="10885" spans="1:4" x14ac:dyDescent="0.55000000000000004">
      <c r="A10885">
        <f t="shared" si="342"/>
        <v>1981</v>
      </c>
      <c r="B10885" s="821">
        <v>29790</v>
      </c>
      <c r="C10885">
        <v>13.8</v>
      </c>
      <c r="D10885">
        <f t="shared" si="343"/>
        <v>1</v>
      </c>
    </row>
    <row r="10886" spans="1:4" x14ac:dyDescent="0.55000000000000004">
      <c r="A10886">
        <f t="shared" si="342"/>
        <v>1981</v>
      </c>
      <c r="B10886" s="821">
        <v>29789</v>
      </c>
      <c r="C10886">
        <v>13.87</v>
      </c>
      <c r="D10886">
        <f t="shared" si="343"/>
        <v>1</v>
      </c>
    </row>
    <row r="10887" spans="1:4" x14ac:dyDescent="0.55000000000000004">
      <c r="A10887">
        <f t="shared" si="342"/>
        <v>1981</v>
      </c>
      <c r="B10887" s="821">
        <v>29788</v>
      </c>
      <c r="C10887">
        <v>13.84</v>
      </c>
      <c r="D10887">
        <f t="shared" si="343"/>
        <v>1</v>
      </c>
    </row>
    <row r="10888" spans="1:4" x14ac:dyDescent="0.55000000000000004">
      <c r="A10888">
        <f t="shared" si="342"/>
        <v>1981</v>
      </c>
      <c r="B10888" s="821">
        <v>29787</v>
      </c>
      <c r="C10888">
        <v>13.87</v>
      </c>
      <c r="D10888">
        <f t="shared" si="343"/>
        <v>1</v>
      </c>
    </row>
    <row r="10889" spans="1:4" x14ac:dyDescent="0.55000000000000004">
      <c r="A10889">
        <f t="shared" si="342"/>
        <v>1981</v>
      </c>
      <c r="B10889" s="821">
        <v>29784</v>
      </c>
      <c r="C10889">
        <v>13.4</v>
      </c>
      <c r="D10889">
        <f t="shared" si="343"/>
        <v>1</v>
      </c>
    </row>
    <row r="10890" spans="1:4" x14ac:dyDescent="0.55000000000000004">
      <c r="A10890">
        <f t="shared" si="342"/>
        <v>1981</v>
      </c>
      <c r="B10890" s="821">
        <v>29783</v>
      </c>
      <c r="C10890">
        <v>13.44</v>
      </c>
      <c r="D10890">
        <f t="shared" si="343"/>
        <v>1</v>
      </c>
    </row>
    <row r="10891" spans="1:4" x14ac:dyDescent="0.55000000000000004">
      <c r="A10891">
        <f t="shared" si="342"/>
        <v>1981</v>
      </c>
      <c r="B10891" s="821">
        <v>29782</v>
      </c>
      <c r="C10891">
        <v>13.35</v>
      </c>
      <c r="D10891">
        <f t="shared" si="343"/>
        <v>1</v>
      </c>
    </row>
    <row r="10892" spans="1:4" x14ac:dyDescent="0.55000000000000004">
      <c r="A10892">
        <f t="shared" si="342"/>
        <v>1981</v>
      </c>
      <c r="B10892" s="821">
        <v>29781</v>
      </c>
      <c r="C10892">
        <v>13.49</v>
      </c>
      <c r="D10892">
        <f t="shared" si="343"/>
        <v>1</v>
      </c>
    </row>
    <row r="10893" spans="1:4" x14ac:dyDescent="0.55000000000000004">
      <c r="A10893">
        <f t="shared" si="342"/>
        <v>1981</v>
      </c>
      <c r="B10893" s="821">
        <v>29780</v>
      </c>
      <c r="C10893">
        <v>13.33</v>
      </c>
      <c r="D10893">
        <f t="shared" si="343"/>
        <v>1</v>
      </c>
    </row>
    <row r="10894" spans="1:4" x14ac:dyDescent="0.55000000000000004">
      <c r="A10894">
        <f t="shared" si="342"/>
        <v>1981</v>
      </c>
      <c r="B10894" s="821">
        <v>29777</v>
      </c>
      <c r="C10894">
        <v>13.25</v>
      </c>
      <c r="D10894">
        <f t="shared" si="343"/>
        <v>1</v>
      </c>
    </row>
    <row r="10895" spans="1:4" x14ac:dyDescent="0.55000000000000004">
      <c r="A10895">
        <f t="shared" si="342"/>
        <v>1981</v>
      </c>
      <c r="B10895" s="821">
        <v>29776</v>
      </c>
      <c r="C10895">
        <v>13.47</v>
      </c>
      <c r="D10895">
        <f t="shared" si="343"/>
        <v>1</v>
      </c>
    </row>
    <row r="10896" spans="1:4" x14ac:dyDescent="0.55000000000000004">
      <c r="A10896">
        <f t="shared" si="342"/>
        <v>1981</v>
      </c>
      <c r="B10896" s="821">
        <v>29775</v>
      </c>
      <c r="C10896">
        <v>13.43</v>
      </c>
      <c r="D10896">
        <f t="shared" si="343"/>
        <v>1</v>
      </c>
    </row>
    <row r="10897" spans="1:4" x14ac:dyDescent="0.55000000000000004">
      <c r="A10897">
        <f t="shared" si="342"/>
        <v>1981</v>
      </c>
      <c r="B10897" s="821">
        <v>29774</v>
      </c>
      <c r="C10897">
        <v>13.42</v>
      </c>
      <c r="D10897">
        <f t="shared" si="343"/>
        <v>1</v>
      </c>
    </row>
    <row r="10898" spans="1:4" x14ac:dyDescent="0.55000000000000004">
      <c r="A10898">
        <f t="shared" si="342"/>
        <v>1981</v>
      </c>
      <c r="B10898" s="821">
        <v>29773</v>
      </c>
      <c r="C10898">
        <v>13.19</v>
      </c>
      <c r="D10898">
        <f t="shared" si="343"/>
        <v>1</v>
      </c>
    </row>
    <row r="10899" spans="1:4" x14ac:dyDescent="0.55000000000000004">
      <c r="A10899">
        <f t="shared" si="342"/>
        <v>1981</v>
      </c>
      <c r="B10899" s="821">
        <v>29769</v>
      </c>
      <c r="C10899">
        <v>13.35</v>
      </c>
      <c r="D10899">
        <f t="shared" si="343"/>
        <v>1</v>
      </c>
    </row>
    <row r="10900" spans="1:4" x14ac:dyDescent="0.55000000000000004">
      <c r="A10900">
        <f t="shared" si="342"/>
        <v>1981</v>
      </c>
      <c r="B10900" s="821">
        <v>29768</v>
      </c>
      <c r="C10900">
        <v>13.47</v>
      </c>
      <c r="D10900">
        <f t="shared" si="343"/>
        <v>1</v>
      </c>
    </row>
    <row r="10901" spans="1:4" x14ac:dyDescent="0.55000000000000004">
      <c r="A10901">
        <f t="shared" si="342"/>
        <v>1981</v>
      </c>
      <c r="B10901" s="821">
        <v>29767</v>
      </c>
      <c r="C10901">
        <v>13.3</v>
      </c>
      <c r="D10901">
        <f t="shared" si="343"/>
        <v>1</v>
      </c>
    </row>
    <row r="10902" spans="1:4" x14ac:dyDescent="0.55000000000000004">
      <c r="A10902">
        <f t="shared" si="342"/>
        <v>1981</v>
      </c>
      <c r="B10902" s="821">
        <v>29766</v>
      </c>
      <c r="C10902">
        <v>13.11</v>
      </c>
      <c r="D10902">
        <f t="shared" si="343"/>
        <v>1</v>
      </c>
    </row>
    <row r="10903" spans="1:4" x14ac:dyDescent="0.55000000000000004">
      <c r="A10903">
        <f t="shared" si="342"/>
        <v>1981</v>
      </c>
      <c r="B10903" s="821">
        <v>29763</v>
      </c>
      <c r="C10903">
        <v>13.14</v>
      </c>
      <c r="D10903">
        <f t="shared" si="343"/>
        <v>1</v>
      </c>
    </row>
    <row r="10904" spans="1:4" x14ac:dyDescent="0.55000000000000004">
      <c r="A10904">
        <f t="shared" si="342"/>
        <v>1981</v>
      </c>
      <c r="B10904" s="821">
        <v>29762</v>
      </c>
      <c r="C10904">
        <v>13.14</v>
      </c>
      <c r="D10904">
        <f t="shared" si="343"/>
        <v>1</v>
      </c>
    </row>
    <row r="10905" spans="1:4" x14ac:dyDescent="0.55000000000000004">
      <c r="A10905">
        <f t="shared" si="342"/>
        <v>1981</v>
      </c>
      <c r="B10905" s="821">
        <v>29761</v>
      </c>
      <c r="C10905">
        <v>13.1</v>
      </c>
      <c r="D10905">
        <f t="shared" si="343"/>
        <v>1</v>
      </c>
    </row>
    <row r="10906" spans="1:4" x14ac:dyDescent="0.55000000000000004">
      <c r="A10906">
        <f t="shared" si="342"/>
        <v>1981</v>
      </c>
      <c r="B10906" s="821">
        <v>29760</v>
      </c>
      <c r="C10906">
        <v>12.99</v>
      </c>
      <c r="D10906">
        <f t="shared" si="343"/>
        <v>1</v>
      </c>
    </row>
    <row r="10907" spans="1:4" x14ac:dyDescent="0.55000000000000004">
      <c r="A10907">
        <f t="shared" si="342"/>
        <v>1981</v>
      </c>
      <c r="B10907" s="821">
        <v>29759</v>
      </c>
      <c r="C10907">
        <v>12.86</v>
      </c>
      <c r="D10907">
        <f t="shared" si="343"/>
        <v>1</v>
      </c>
    </row>
    <row r="10908" spans="1:4" x14ac:dyDescent="0.55000000000000004">
      <c r="A10908">
        <f t="shared" si="342"/>
        <v>1981</v>
      </c>
      <c r="B10908" s="821">
        <v>29756</v>
      </c>
      <c r="C10908">
        <v>12.9</v>
      </c>
      <c r="D10908">
        <f t="shared" si="343"/>
        <v>1</v>
      </c>
    </row>
    <row r="10909" spans="1:4" x14ac:dyDescent="0.55000000000000004">
      <c r="A10909">
        <f t="shared" si="342"/>
        <v>1981</v>
      </c>
      <c r="B10909" s="821">
        <v>29755</v>
      </c>
      <c r="C10909">
        <v>12.98</v>
      </c>
      <c r="D10909">
        <f t="shared" si="343"/>
        <v>1</v>
      </c>
    </row>
    <row r="10910" spans="1:4" x14ac:dyDescent="0.55000000000000004">
      <c r="A10910">
        <f t="shared" si="342"/>
        <v>1981</v>
      </c>
      <c r="B10910" s="821">
        <v>29754</v>
      </c>
      <c r="C10910">
        <v>12.73</v>
      </c>
      <c r="D10910">
        <f t="shared" si="343"/>
        <v>1</v>
      </c>
    </row>
    <row r="10911" spans="1:4" x14ac:dyDescent="0.55000000000000004">
      <c r="A10911">
        <f t="shared" si="342"/>
        <v>1981</v>
      </c>
      <c r="B10911" s="821">
        <v>29753</v>
      </c>
      <c r="C10911">
        <v>12.59</v>
      </c>
      <c r="D10911">
        <f t="shared" si="343"/>
        <v>1</v>
      </c>
    </row>
    <row r="10912" spans="1:4" x14ac:dyDescent="0.55000000000000004">
      <c r="A10912">
        <f t="shared" si="342"/>
        <v>1981</v>
      </c>
      <c r="B10912" s="821">
        <v>29752</v>
      </c>
      <c r="C10912">
        <v>12.61</v>
      </c>
      <c r="D10912">
        <f t="shared" si="343"/>
        <v>1</v>
      </c>
    </row>
    <row r="10913" spans="1:4" x14ac:dyDescent="0.55000000000000004">
      <c r="A10913">
        <f t="shared" si="342"/>
        <v>1981</v>
      </c>
      <c r="B10913" s="821">
        <v>29749</v>
      </c>
      <c r="C10913">
        <v>12.84</v>
      </c>
      <c r="D10913">
        <f t="shared" si="343"/>
        <v>1</v>
      </c>
    </row>
    <row r="10914" spans="1:4" x14ac:dyDescent="0.55000000000000004">
      <c r="A10914">
        <f t="shared" si="342"/>
        <v>1981</v>
      </c>
      <c r="B10914" s="821">
        <v>29748</v>
      </c>
      <c r="C10914">
        <v>12.84</v>
      </c>
      <c r="D10914">
        <f t="shared" si="343"/>
        <v>1</v>
      </c>
    </row>
    <row r="10915" spans="1:4" x14ac:dyDescent="0.55000000000000004">
      <c r="A10915">
        <f t="shared" si="342"/>
        <v>1981</v>
      </c>
      <c r="B10915" s="821">
        <v>29747</v>
      </c>
      <c r="C10915">
        <v>12.82</v>
      </c>
      <c r="D10915">
        <f t="shared" si="343"/>
        <v>1</v>
      </c>
    </row>
    <row r="10916" spans="1:4" x14ac:dyDescent="0.55000000000000004">
      <c r="A10916">
        <f t="shared" si="342"/>
        <v>1981</v>
      </c>
      <c r="B10916" s="821">
        <v>29746</v>
      </c>
      <c r="C10916">
        <v>12.89</v>
      </c>
      <c r="D10916">
        <f t="shared" si="343"/>
        <v>1</v>
      </c>
    </row>
    <row r="10917" spans="1:4" x14ac:dyDescent="0.55000000000000004">
      <c r="A10917">
        <f t="shared" si="342"/>
        <v>1981</v>
      </c>
      <c r="B10917" s="821">
        <v>29745</v>
      </c>
      <c r="C10917">
        <v>12.87</v>
      </c>
      <c r="D10917">
        <f t="shared" si="343"/>
        <v>1</v>
      </c>
    </row>
    <row r="10918" spans="1:4" x14ac:dyDescent="0.55000000000000004">
      <c r="A10918">
        <f t="shared" si="342"/>
        <v>1981</v>
      </c>
      <c r="B10918" s="821">
        <v>29742</v>
      </c>
      <c r="C10918">
        <v>13.11</v>
      </c>
      <c r="D10918">
        <f t="shared" si="343"/>
        <v>1</v>
      </c>
    </row>
    <row r="10919" spans="1:4" x14ac:dyDescent="0.55000000000000004">
      <c r="A10919">
        <f t="shared" si="342"/>
        <v>1981</v>
      </c>
      <c r="B10919" s="821">
        <v>29741</v>
      </c>
      <c r="C10919">
        <v>13.04</v>
      </c>
      <c r="D10919">
        <f t="shared" si="343"/>
        <v>1</v>
      </c>
    </row>
    <row r="10920" spans="1:4" x14ac:dyDescent="0.55000000000000004">
      <c r="A10920">
        <f t="shared" si="342"/>
        <v>1981</v>
      </c>
      <c r="B10920" s="821">
        <v>29740</v>
      </c>
      <c r="C10920">
        <v>13.08</v>
      </c>
      <c r="D10920">
        <f t="shared" si="343"/>
        <v>1</v>
      </c>
    </row>
    <row r="10921" spans="1:4" x14ac:dyDescent="0.55000000000000004">
      <c r="A10921">
        <f t="shared" si="342"/>
        <v>1981</v>
      </c>
      <c r="B10921" s="821">
        <v>29739</v>
      </c>
      <c r="C10921">
        <v>13.13</v>
      </c>
      <c r="D10921">
        <f t="shared" si="343"/>
        <v>1</v>
      </c>
    </row>
    <row r="10922" spans="1:4" x14ac:dyDescent="0.55000000000000004">
      <c r="A10922">
        <f t="shared" si="342"/>
        <v>1981</v>
      </c>
      <c r="B10922" s="821">
        <v>29738</v>
      </c>
      <c r="C10922">
        <v>13.06</v>
      </c>
      <c r="D10922">
        <f t="shared" si="343"/>
        <v>1</v>
      </c>
    </row>
    <row r="10923" spans="1:4" x14ac:dyDescent="0.55000000000000004">
      <c r="A10923">
        <f t="shared" si="342"/>
        <v>1981</v>
      </c>
      <c r="B10923" s="821">
        <v>29735</v>
      </c>
      <c r="C10923">
        <v>13.06</v>
      </c>
      <c r="D10923">
        <f t="shared" si="343"/>
        <v>1</v>
      </c>
    </row>
    <row r="10924" spans="1:4" x14ac:dyDescent="0.55000000000000004">
      <c r="A10924">
        <f t="shared" si="342"/>
        <v>1981</v>
      </c>
      <c r="B10924" s="821">
        <v>29734</v>
      </c>
      <c r="C10924">
        <v>13.1</v>
      </c>
      <c r="D10924">
        <f t="shared" si="343"/>
        <v>1</v>
      </c>
    </row>
    <row r="10925" spans="1:4" x14ac:dyDescent="0.55000000000000004">
      <c r="A10925">
        <f t="shared" si="342"/>
        <v>1981</v>
      </c>
      <c r="B10925" s="821">
        <v>29733</v>
      </c>
      <c r="C10925">
        <v>13.27</v>
      </c>
      <c r="D10925">
        <f t="shared" si="343"/>
        <v>1</v>
      </c>
    </row>
    <row r="10926" spans="1:4" x14ac:dyDescent="0.55000000000000004">
      <c r="A10926">
        <f t="shared" si="342"/>
        <v>1981</v>
      </c>
      <c r="B10926" s="821">
        <v>29732</v>
      </c>
      <c r="C10926">
        <v>13.22</v>
      </c>
      <c r="D10926">
        <f t="shared" si="343"/>
        <v>1</v>
      </c>
    </row>
    <row r="10927" spans="1:4" x14ac:dyDescent="0.55000000000000004">
      <c r="A10927">
        <f t="shared" si="342"/>
        <v>1981</v>
      </c>
      <c r="B10927" s="821">
        <v>29728</v>
      </c>
      <c r="C10927">
        <v>13.36</v>
      </c>
      <c r="D10927">
        <f t="shared" si="343"/>
        <v>1</v>
      </c>
    </row>
    <row r="10928" spans="1:4" x14ac:dyDescent="0.55000000000000004">
      <c r="A10928">
        <f t="shared" si="342"/>
        <v>1981</v>
      </c>
      <c r="B10928" s="821">
        <v>29727</v>
      </c>
      <c r="C10928">
        <v>13.53</v>
      </c>
      <c r="D10928">
        <f t="shared" si="343"/>
        <v>1</v>
      </c>
    </row>
    <row r="10929" spans="1:4" x14ac:dyDescent="0.55000000000000004">
      <c r="A10929">
        <f t="shared" si="342"/>
        <v>1981</v>
      </c>
      <c r="B10929" s="821">
        <v>29726</v>
      </c>
      <c r="C10929">
        <v>13.45</v>
      </c>
      <c r="D10929">
        <f t="shared" si="343"/>
        <v>1</v>
      </c>
    </row>
    <row r="10930" spans="1:4" x14ac:dyDescent="0.55000000000000004">
      <c r="A10930">
        <f t="shared" si="342"/>
        <v>1981</v>
      </c>
      <c r="B10930" s="821">
        <v>29725</v>
      </c>
      <c r="C10930">
        <v>13.47</v>
      </c>
      <c r="D10930">
        <f t="shared" si="343"/>
        <v>1</v>
      </c>
    </row>
    <row r="10931" spans="1:4" x14ac:dyDescent="0.55000000000000004">
      <c r="A10931">
        <f t="shared" si="342"/>
        <v>1981</v>
      </c>
      <c r="B10931" s="821">
        <v>29724</v>
      </c>
      <c r="C10931">
        <v>13.31</v>
      </c>
      <c r="D10931">
        <f t="shared" si="343"/>
        <v>1</v>
      </c>
    </row>
    <row r="10932" spans="1:4" x14ac:dyDescent="0.55000000000000004">
      <c r="A10932">
        <f t="shared" si="342"/>
        <v>1981</v>
      </c>
      <c r="B10932" s="821">
        <v>29721</v>
      </c>
      <c r="C10932">
        <v>13.58</v>
      </c>
      <c r="D10932">
        <f t="shared" si="343"/>
        <v>1</v>
      </c>
    </row>
    <row r="10933" spans="1:4" x14ac:dyDescent="0.55000000000000004">
      <c r="A10933">
        <f t="shared" si="342"/>
        <v>1981</v>
      </c>
      <c r="B10933" s="821">
        <v>29720</v>
      </c>
      <c r="C10933">
        <v>13.66</v>
      </c>
      <c r="D10933">
        <f t="shared" si="343"/>
        <v>1</v>
      </c>
    </row>
    <row r="10934" spans="1:4" x14ac:dyDescent="0.55000000000000004">
      <c r="A10934">
        <f t="shared" si="342"/>
        <v>1981</v>
      </c>
      <c r="B10934" s="821">
        <v>29719</v>
      </c>
      <c r="C10934">
        <v>13.95</v>
      </c>
      <c r="D10934">
        <f t="shared" si="343"/>
        <v>1</v>
      </c>
    </row>
    <row r="10935" spans="1:4" x14ac:dyDescent="0.55000000000000004">
      <c r="A10935">
        <f t="shared" si="342"/>
        <v>1981</v>
      </c>
      <c r="B10935" s="821">
        <v>29718</v>
      </c>
      <c r="C10935">
        <v>13.95</v>
      </c>
      <c r="D10935">
        <f t="shared" si="343"/>
        <v>1</v>
      </c>
    </row>
    <row r="10936" spans="1:4" x14ac:dyDescent="0.55000000000000004">
      <c r="A10936">
        <f t="shared" si="342"/>
        <v>1981</v>
      </c>
      <c r="B10936" s="821">
        <v>29717</v>
      </c>
      <c r="C10936">
        <v>13.89</v>
      </c>
      <c r="D10936">
        <f t="shared" si="343"/>
        <v>1</v>
      </c>
    </row>
    <row r="10937" spans="1:4" x14ac:dyDescent="0.55000000000000004">
      <c r="A10937">
        <f t="shared" si="342"/>
        <v>1981</v>
      </c>
      <c r="B10937" s="821">
        <v>29714</v>
      </c>
      <c r="C10937">
        <v>13.76</v>
      </c>
      <c r="D10937">
        <f t="shared" si="343"/>
        <v>1</v>
      </c>
    </row>
    <row r="10938" spans="1:4" x14ac:dyDescent="0.55000000000000004">
      <c r="A10938">
        <f t="shared" si="342"/>
        <v>1981</v>
      </c>
      <c r="B10938" s="821">
        <v>29713</v>
      </c>
      <c r="C10938">
        <v>13.84</v>
      </c>
      <c r="D10938">
        <f t="shared" si="343"/>
        <v>1</v>
      </c>
    </row>
    <row r="10939" spans="1:4" x14ac:dyDescent="0.55000000000000004">
      <c r="A10939">
        <f t="shared" si="342"/>
        <v>1981</v>
      </c>
      <c r="B10939" s="821">
        <v>29712</v>
      </c>
      <c r="C10939">
        <v>13.97</v>
      </c>
      <c r="D10939">
        <f t="shared" si="343"/>
        <v>1</v>
      </c>
    </row>
    <row r="10940" spans="1:4" x14ac:dyDescent="0.55000000000000004">
      <c r="A10940">
        <f t="shared" si="342"/>
        <v>1981</v>
      </c>
      <c r="B10940" s="821">
        <v>29711</v>
      </c>
      <c r="C10940">
        <v>14.11</v>
      </c>
      <c r="D10940">
        <f t="shared" si="343"/>
        <v>1</v>
      </c>
    </row>
    <row r="10941" spans="1:4" x14ac:dyDescent="0.55000000000000004">
      <c r="A10941">
        <f t="shared" si="342"/>
        <v>1981</v>
      </c>
      <c r="B10941" s="821">
        <v>29710</v>
      </c>
      <c r="C10941">
        <v>13.98</v>
      </c>
      <c r="D10941">
        <f t="shared" si="343"/>
        <v>1</v>
      </c>
    </row>
    <row r="10942" spans="1:4" x14ac:dyDescent="0.55000000000000004">
      <c r="A10942">
        <f t="shared" si="342"/>
        <v>1981</v>
      </c>
      <c r="B10942" s="821">
        <v>29707</v>
      </c>
      <c r="C10942">
        <v>13.59</v>
      </c>
      <c r="D10942">
        <f t="shared" si="343"/>
        <v>1</v>
      </c>
    </row>
    <row r="10943" spans="1:4" x14ac:dyDescent="0.55000000000000004">
      <c r="A10943">
        <f t="shared" si="342"/>
        <v>1981</v>
      </c>
      <c r="B10943" s="821">
        <v>29706</v>
      </c>
      <c r="C10943">
        <v>13.65</v>
      </c>
      <c r="D10943">
        <f t="shared" si="343"/>
        <v>1</v>
      </c>
    </row>
    <row r="10944" spans="1:4" x14ac:dyDescent="0.55000000000000004">
      <c r="A10944">
        <f t="shared" si="342"/>
        <v>1981</v>
      </c>
      <c r="B10944" s="821">
        <v>29705</v>
      </c>
      <c r="C10944">
        <v>13.5</v>
      </c>
      <c r="D10944">
        <f t="shared" si="343"/>
        <v>1</v>
      </c>
    </row>
    <row r="10945" spans="1:4" x14ac:dyDescent="0.55000000000000004">
      <c r="A10945">
        <f t="shared" si="342"/>
        <v>1981</v>
      </c>
      <c r="B10945" s="821">
        <v>29704</v>
      </c>
      <c r="C10945">
        <v>13.39</v>
      </c>
      <c r="D10945">
        <f t="shared" si="343"/>
        <v>1</v>
      </c>
    </row>
    <row r="10946" spans="1:4" x14ac:dyDescent="0.55000000000000004">
      <c r="A10946">
        <f t="shared" si="342"/>
        <v>1981</v>
      </c>
      <c r="B10946" s="821">
        <v>29703</v>
      </c>
      <c r="C10946">
        <v>13.38</v>
      </c>
      <c r="D10946">
        <f t="shared" si="343"/>
        <v>1</v>
      </c>
    </row>
    <row r="10947" spans="1:4" x14ac:dyDescent="0.55000000000000004">
      <c r="A10947">
        <f t="shared" si="342"/>
        <v>1981</v>
      </c>
      <c r="B10947" s="821">
        <v>29700</v>
      </c>
      <c r="C10947">
        <v>13.35</v>
      </c>
      <c r="D10947">
        <f t="shared" si="343"/>
        <v>1</v>
      </c>
    </row>
    <row r="10948" spans="1:4" x14ac:dyDescent="0.55000000000000004">
      <c r="A10948">
        <f t="shared" ref="A10948:A11011" si="344">YEAR(B10948)</f>
        <v>1981</v>
      </c>
      <c r="B10948" s="821">
        <v>29699</v>
      </c>
      <c r="C10948">
        <v>13.28</v>
      </c>
      <c r="D10948">
        <f t="shared" ref="D10948:D11011" si="345">IF(C10948&gt;4,1,0)</f>
        <v>1</v>
      </c>
    </row>
    <row r="10949" spans="1:4" x14ac:dyDescent="0.55000000000000004">
      <c r="A10949">
        <f t="shared" si="344"/>
        <v>1981</v>
      </c>
      <c r="B10949" s="821">
        <v>29698</v>
      </c>
      <c r="C10949">
        <v>13.25</v>
      </c>
      <c r="D10949">
        <f t="shared" si="345"/>
        <v>1</v>
      </c>
    </row>
    <row r="10950" spans="1:4" x14ac:dyDescent="0.55000000000000004">
      <c r="A10950">
        <f t="shared" si="344"/>
        <v>1981</v>
      </c>
      <c r="B10950" s="821">
        <v>29697</v>
      </c>
      <c r="C10950">
        <v>13.2</v>
      </c>
      <c r="D10950">
        <f t="shared" si="345"/>
        <v>1</v>
      </c>
    </row>
    <row r="10951" spans="1:4" x14ac:dyDescent="0.55000000000000004">
      <c r="A10951">
        <f t="shared" si="344"/>
        <v>1981</v>
      </c>
      <c r="B10951" s="821">
        <v>29696</v>
      </c>
      <c r="C10951">
        <v>13.17</v>
      </c>
      <c r="D10951">
        <f t="shared" si="345"/>
        <v>1</v>
      </c>
    </row>
    <row r="10952" spans="1:4" x14ac:dyDescent="0.55000000000000004">
      <c r="A10952">
        <f t="shared" si="344"/>
        <v>1981</v>
      </c>
      <c r="B10952" s="821">
        <v>29692</v>
      </c>
      <c r="C10952">
        <v>13.32</v>
      </c>
      <c r="D10952">
        <f t="shared" si="345"/>
        <v>1</v>
      </c>
    </row>
    <row r="10953" spans="1:4" x14ac:dyDescent="0.55000000000000004">
      <c r="A10953">
        <f t="shared" si="344"/>
        <v>1981</v>
      </c>
      <c r="B10953" s="821">
        <v>29691</v>
      </c>
      <c r="C10953">
        <v>13.29</v>
      </c>
      <c r="D10953">
        <f t="shared" si="345"/>
        <v>1</v>
      </c>
    </row>
    <row r="10954" spans="1:4" x14ac:dyDescent="0.55000000000000004">
      <c r="A10954">
        <f t="shared" si="344"/>
        <v>1981</v>
      </c>
      <c r="B10954" s="821">
        <v>29690</v>
      </c>
      <c r="C10954">
        <v>13.13</v>
      </c>
      <c r="D10954">
        <f t="shared" si="345"/>
        <v>1</v>
      </c>
    </row>
    <row r="10955" spans="1:4" x14ac:dyDescent="0.55000000000000004">
      <c r="A10955">
        <f t="shared" si="344"/>
        <v>1981</v>
      </c>
      <c r="B10955" s="821">
        <v>29689</v>
      </c>
      <c r="C10955">
        <v>13.23</v>
      </c>
      <c r="D10955">
        <f t="shared" si="345"/>
        <v>1</v>
      </c>
    </row>
    <row r="10956" spans="1:4" x14ac:dyDescent="0.55000000000000004">
      <c r="A10956">
        <f t="shared" si="344"/>
        <v>1981</v>
      </c>
      <c r="B10956" s="821">
        <v>29686</v>
      </c>
      <c r="C10956">
        <v>13.15</v>
      </c>
      <c r="D10956">
        <f t="shared" si="345"/>
        <v>1</v>
      </c>
    </row>
    <row r="10957" spans="1:4" x14ac:dyDescent="0.55000000000000004">
      <c r="A10957">
        <f t="shared" si="344"/>
        <v>1981</v>
      </c>
      <c r="B10957" s="821">
        <v>29685</v>
      </c>
      <c r="C10957">
        <v>13.02</v>
      </c>
      <c r="D10957">
        <f t="shared" si="345"/>
        <v>1</v>
      </c>
    </row>
    <row r="10958" spans="1:4" x14ac:dyDescent="0.55000000000000004">
      <c r="A10958">
        <f t="shared" si="344"/>
        <v>1981</v>
      </c>
      <c r="B10958" s="821">
        <v>29684</v>
      </c>
      <c r="C10958">
        <v>13.15</v>
      </c>
      <c r="D10958">
        <f t="shared" si="345"/>
        <v>1</v>
      </c>
    </row>
    <row r="10959" spans="1:4" x14ac:dyDescent="0.55000000000000004">
      <c r="A10959">
        <f t="shared" si="344"/>
        <v>1981</v>
      </c>
      <c r="B10959" s="821">
        <v>29683</v>
      </c>
      <c r="C10959">
        <v>12.99</v>
      </c>
      <c r="D10959">
        <f t="shared" si="345"/>
        <v>1</v>
      </c>
    </row>
    <row r="10960" spans="1:4" x14ac:dyDescent="0.55000000000000004">
      <c r="A10960">
        <f t="shared" si="344"/>
        <v>1981</v>
      </c>
      <c r="B10960" s="821">
        <v>29682</v>
      </c>
      <c r="C10960">
        <v>13.28</v>
      </c>
      <c r="D10960">
        <f t="shared" si="345"/>
        <v>1</v>
      </c>
    </row>
    <row r="10961" spans="1:4" x14ac:dyDescent="0.55000000000000004">
      <c r="A10961">
        <f t="shared" si="344"/>
        <v>1981</v>
      </c>
      <c r="B10961" s="821">
        <v>29679</v>
      </c>
      <c r="C10961">
        <v>12.94</v>
      </c>
      <c r="D10961">
        <f t="shared" si="345"/>
        <v>1</v>
      </c>
    </row>
    <row r="10962" spans="1:4" x14ac:dyDescent="0.55000000000000004">
      <c r="A10962">
        <f t="shared" si="344"/>
        <v>1981</v>
      </c>
      <c r="B10962" s="821">
        <v>29678</v>
      </c>
      <c r="C10962">
        <v>12.8</v>
      </c>
      <c r="D10962">
        <f t="shared" si="345"/>
        <v>1</v>
      </c>
    </row>
    <row r="10963" spans="1:4" x14ac:dyDescent="0.55000000000000004">
      <c r="A10963">
        <f t="shared" si="344"/>
        <v>1981</v>
      </c>
      <c r="B10963" s="821">
        <v>29677</v>
      </c>
      <c r="C10963">
        <v>12.65</v>
      </c>
      <c r="D10963">
        <f t="shared" si="345"/>
        <v>1</v>
      </c>
    </row>
    <row r="10964" spans="1:4" x14ac:dyDescent="0.55000000000000004">
      <c r="A10964">
        <f t="shared" si="344"/>
        <v>1981</v>
      </c>
      <c r="B10964" s="821">
        <v>29676</v>
      </c>
      <c r="C10964">
        <v>12.65</v>
      </c>
      <c r="D10964">
        <f t="shared" si="345"/>
        <v>1</v>
      </c>
    </row>
    <row r="10965" spans="1:4" x14ac:dyDescent="0.55000000000000004">
      <c r="A10965">
        <f t="shared" si="344"/>
        <v>1981</v>
      </c>
      <c r="B10965" s="821">
        <v>29675</v>
      </c>
      <c r="C10965">
        <v>12.8</v>
      </c>
      <c r="D10965">
        <f t="shared" si="345"/>
        <v>1</v>
      </c>
    </row>
    <row r="10966" spans="1:4" x14ac:dyDescent="0.55000000000000004">
      <c r="A10966">
        <f t="shared" si="344"/>
        <v>1981</v>
      </c>
      <c r="B10966" s="821">
        <v>29672</v>
      </c>
      <c r="C10966">
        <v>12.93</v>
      </c>
      <c r="D10966">
        <f t="shared" si="345"/>
        <v>1</v>
      </c>
    </row>
    <row r="10967" spans="1:4" x14ac:dyDescent="0.55000000000000004">
      <c r="A10967">
        <f t="shared" si="344"/>
        <v>1981</v>
      </c>
      <c r="B10967" s="821">
        <v>29671</v>
      </c>
      <c r="C10967">
        <v>12.92</v>
      </c>
      <c r="D10967">
        <f t="shared" si="345"/>
        <v>1</v>
      </c>
    </row>
    <row r="10968" spans="1:4" x14ac:dyDescent="0.55000000000000004">
      <c r="A10968">
        <f t="shared" si="344"/>
        <v>1981</v>
      </c>
      <c r="B10968" s="821">
        <v>29670</v>
      </c>
      <c r="C10968">
        <v>12.77</v>
      </c>
      <c r="D10968">
        <f t="shared" si="345"/>
        <v>1</v>
      </c>
    </row>
    <row r="10969" spans="1:4" x14ac:dyDescent="0.55000000000000004">
      <c r="A10969">
        <f t="shared" si="344"/>
        <v>1981</v>
      </c>
      <c r="B10969" s="821">
        <v>29669</v>
      </c>
      <c r="C10969">
        <v>12.84</v>
      </c>
      <c r="D10969">
        <f t="shared" si="345"/>
        <v>1</v>
      </c>
    </row>
    <row r="10970" spans="1:4" x14ac:dyDescent="0.55000000000000004">
      <c r="A10970">
        <f t="shared" si="344"/>
        <v>1981</v>
      </c>
      <c r="B10970" s="821">
        <v>29668</v>
      </c>
      <c r="C10970">
        <v>12.71</v>
      </c>
      <c r="D10970">
        <f t="shared" si="345"/>
        <v>1</v>
      </c>
    </row>
    <row r="10971" spans="1:4" x14ac:dyDescent="0.55000000000000004">
      <c r="A10971">
        <f t="shared" si="344"/>
        <v>1981</v>
      </c>
      <c r="B10971" s="821">
        <v>29665</v>
      </c>
      <c r="C10971">
        <v>12.34</v>
      </c>
      <c r="D10971">
        <f t="shared" si="345"/>
        <v>1</v>
      </c>
    </row>
    <row r="10972" spans="1:4" x14ac:dyDescent="0.55000000000000004">
      <c r="A10972">
        <f t="shared" si="344"/>
        <v>1981</v>
      </c>
      <c r="B10972" s="821">
        <v>29664</v>
      </c>
      <c r="C10972">
        <v>12.28</v>
      </c>
      <c r="D10972">
        <f t="shared" si="345"/>
        <v>1</v>
      </c>
    </row>
    <row r="10973" spans="1:4" x14ac:dyDescent="0.55000000000000004">
      <c r="A10973">
        <f t="shared" si="344"/>
        <v>1981</v>
      </c>
      <c r="B10973" s="821">
        <v>29663</v>
      </c>
      <c r="C10973">
        <v>12.16</v>
      </c>
      <c r="D10973">
        <f t="shared" si="345"/>
        <v>1</v>
      </c>
    </row>
    <row r="10974" spans="1:4" x14ac:dyDescent="0.55000000000000004">
      <c r="A10974">
        <f t="shared" si="344"/>
        <v>1981</v>
      </c>
      <c r="B10974" s="821">
        <v>29662</v>
      </c>
      <c r="C10974">
        <v>12.25</v>
      </c>
      <c r="D10974">
        <f t="shared" si="345"/>
        <v>1</v>
      </c>
    </row>
    <row r="10975" spans="1:4" x14ac:dyDescent="0.55000000000000004">
      <c r="A10975">
        <f t="shared" si="344"/>
        <v>1981</v>
      </c>
      <c r="B10975" s="821">
        <v>29661</v>
      </c>
      <c r="C10975">
        <v>12.41</v>
      </c>
      <c r="D10975">
        <f t="shared" si="345"/>
        <v>1</v>
      </c>
    </row>
    <row r="10976" spans="1:4" x14ac:dyDescent="0.55000000000000004">
      <c r="A10976">
        <f t="shared" si="344"/>
        <v>1981</v>
      </c>
      <c r="B10976" s="821">
        <v>29658</v>
      </c>
      <c r="C10976">
        <v>12.42</v>
      </c>
      <c r="D10976">
        <f t="shared" si="345"/>
        <v>1</v>
      </c>
    </row>
    <row r="10977" spans="1:4" x14ac:dyDescent="0.55000000000000004">
      <c r="A10977">
        <f t="shared" si="344"/>
        <v>1981</v>
      </c>
      <c r="B10977" s="821">
        <v>29657</v>
      </c>
      <c r="C10977">
        <v>12.59</v>
      </c>
      <c r="D10977">
        <f t="shared" si="345"/>
        <v>1</v>
      </c>
    </row>
    <row r="10978" spans="1:4" x14ac:dyDescent="0.55000000000000004">
      <c r="A10978">
        <f t="shared" si="344"/>
        <v>1981</v>
      </c>
      <c r="B10978" s="821">
        <v>29656</v>
      </c>
      <c r="C10978">
        <v>12.74</v>
      </c>
      <c r="D10978">
        <f t="shared" si="345"/>
        <v>1</v>
      </c>
    </row>
    <row r="10979" spans="1:4" x14ac:dyDescent="0.55000000000000004">
      <c r="A10979">
        <f t="shared" si="344"/>
        <v>1981</v>
      </c>
      <c r="B10979" s="821">
        <v>29655</v>
      </c>
      <c r="C10979">
        <v>12.69</v>
      </c>
      <c r="D10979">
        <f t="shared" si="345"/>
        <v>1</v>
      </c>
    </row>
    <row r="10980" spans="1:4" x14ac:dyDescent="0.55000000000000004">
      <c r="A10980">
        <f t="shared" si="344"/>
        <v>1981</v>
      </c>
      <c r="B10980" s="821">
        <v>29654</v>
      </c>
      <c r="C10980">
        <v>12.64</v>
      </c>
      <c r="D10980">
        <f t="shared" si="345"/>
        <v>1</v>
      </c>
    </row>
    <row r="10981" spans="1:4" x14ac:dyDescent="0.55000000000000004">
      <c r="A10981">
        <f t="shared" si="344"/>
        <v>1981</v>
      </c>
      <c r="B10981" s="821">
        <v>29651</v>
      </c>
      <c r="C10981">
        <v>12.73</v>
      </c>
      <c r="D10981">
        <f t="shared" si="345"/>
        <v>1</v>
      </c>
    </row>
    <row r="10982" spans="1:4" x14ac:dyDescent="0.55000000000000004">
      <c r="A10982">
        <f t="shared" si="344"/>
        <v>1981</v>
      </c>
      <c r="B10982" s="821">
        <v>29650</v>
      </c>
      <c r="C10982">
        <v>13</v>
      </c>
      <c r="D10982">
        <f t="shared" si="345"/>
        <v>1</v>
      </c>
    </row>
    <row r="10983" spans="1:4" x14ac:dyDescent="0.55000000000000004">
      <c r="A10983">
        <f t="shared" si="344"/>
        <v>1981</v>
      </c>
      <c r="B10983" s="821">
        <v>29649</v>
      </c>
      <c r="C10983">
        <v>13.03</v>
      </c>
      <c r="D10983">
        <f t="shared" si="345"/>
        <v>1</v>
      </c>
    </row>
    <row r="10984" spans="1:4" x14ac:dyDescent="0.55000000000000004">
      <c r="A10984">
        <f t="shared" si="344"/>
        <v>1981</v>
      </c>
      <c r="B10984" s="821">
        <v>29648</v>
      </c>
      <c r="C10984">
        <v>13</v>
      </c>
      <c r="D10984">
        <f t="shared" si="345"/>
        <v>1</v>
      </c>
    </row>
    <row r="10985" spans="1:4" x14ac:dyDescent="0.55000000000000004">
      <c r="A10985">
        <f t="shared" si="344"/>
        <v>1981</v>
      </c>
      <c r="B10985" s="821">
        <v>29647</v>
      </c>
      <c r="C10985">
        <v>13.19</v>
      </c>
      <c r="D10985">
        <f t="shared" si="345"/>
        <v>1</v>
      </c>
    </row>
    <row r="10986" spans="1:4" x14ac:dyDescent="0.55000000000000004">
      <c r="A10986">
        <f t="shared" si="344"/>
        <v>1981</v>
      </c>
      <c r="B10986" s="821">
        <v>29644</v>
      </c>
      <c r="C10986">
        <v>12.97</v>
      </c>
      <c r="D10986">
        <f t="shared" si="345"/>
        <v>1</v>
      </c>
    </row>
    <row r="10987" spans="1:4" x14ac:dyDescent="0.55000000000000004">
      <c r="A10987">
        <f t="shared" si="344"/>
        <v>1981</v>
      </c>
      <c r="B10987" s="821">
        <v>29643</v>
      </c>
      <c r="C10987">
        <v>12.98</v>
      </c>
      <c r="D10987">
        <f t="shared" si="345"/>
        <v>1</v>
      </c>
    </row>
    <row r="10988" spans="1:4" x14ac:dyDescent="0.55000000000000004">
      <c r="A10988">
        <f t="shared" si="344"/>
        <v>1981</v>
      </c>
      <c r="B10988" s="821">
        <v>29642</v>
      </c>
      <c r="C10988">
        <v>12.89</v>
      </c>
      <c r="D10988">
        <f t="shared" si="345"/>
        <v>1</v>
      </c>
    </row>
    <row r="10989" spans="1:4" x14ac:dyDescent="0.55000000000000004">
      <c r="A10989">
        <f t="shared" si="344"/>
        <v>1981</v>
      </c>
      <c r="B10989" s="821">
        <v>29641</v>
      </c>
      <c r="C10989">
        <v>12.81</v>
      </c>
      <c r="D10989">
        <f t="shared" si="345"/>
        <v>1</v>
      </c>
    </row>
    <row r="10990" spans="1:4" x14ac:dyDescent="0.55000000000000004">
      <c r="A10990">
        <f t="shared" si="344"/>
        <v>1981</v>
      </c>
      <c r="B10990" s="821">
        <v>29640</v>
      </c>
      <c r="C10990">
        <v>12.81</v>
      </c>
      <c r="D10990">
        <f t="shared" si="345"/>
        <v>1</v>
      </c>
    </row>
    <row r="10991" spans="1:4" x14ac:dyDescent="0.55000000000000004">
      <c r="A10991">
        <f t="shared" si="344"/>
        <v>1981</v>
      </c>
      <c r="B10991" s="821">
        <v>29637</v>
      </c>
      <c r="C10991">
        <v>12.54</v>
      </c>
      <c r="D10991">
        <f t="shared" si="345"/>
        <v>1</v>
      </c>
    </row>
    <row r="10992" spans="1:4" x14ac:dyDescent="0.55000000000000004">
      <c r="A10992">
        <f t="shared" si="344"/>
        <v>1981</v>
      </c>
      <c r="B10992" s="821">
        <v>29636</v>
      </c>
      <c r="C10992">
        <v>12.71</v>
      </c>
      <c r="D10992">
        <f t="shared" si="345"/>
        <v>1</v>
      </c>
    </row>
    <row r="10993" spans="1:4" x14ac:dyDescent="0.55000000000000004">
      <c r="A10993">
        <f t="shared" si="344"/>
        <v>1981</v>
      </c>
      <c r="B10993" s="821">
        <v>29635</v>
      </c>
      <c r="C10993">
        <v>12.88</v>
      </c>
      <c r="D10993">
        <f t="shared" si="345"/>
        <v>1</v>
      </c>
    </row>
    <row r="10994" spans="1:4" x14ac:dyDescent="0.55000000000000004">
      <c r="A10994">
        <f t="shared" si="344"/>
        <v>1981</v>
      </c>
      <c r="B10994" s="821">
        <v>29634</v>
      </c>
      <c r="C10994">
        <v>12.93</v>
      </c>
      <c r="D10994">
        <f t="shared" si="345"/>
        <v>1</v>
      </c>
    </row>
    <row r="10995" spans="1:4" x14ac:dyDescent="0.55000000000000004">
      <c r="A10995">
        <f t="shared" si="344"/>
        <v>1981</v>
      </c>
      <c r="B10995" s="821">
        <v>29630</v>
      </c>
      <c r="C10995">
        <v>13.2</v>
      </c>
      <c r="D10995">
        <f t="shared" si="345"/>
        <v>1</v>
      </c>
    </row>
    <row r="10996" spans="1:4" x14ac:dyDescent="0.55000000000000004">
      <c r="A10996">
        <f t="shared" si="344"/>
        <v>1981</v>
      </c>
      <c r="B10996" s="821">
        <v>29628</v>
      </c>
      <c r="C10996">
        <v>13.01</v>
      </c>
      <c r="D10996">
        <f t="shared" si="345"/>
        <v>1</v>
      </c>
    </row>
    <row r="10997" spans="1:4" x14ac:dyDescent="0.55000000000000004">
      <c r="A10997">
        <f t="shared" si="344"/>
        <v>1981</v>
      </c>
      <c r="B10997" s="821">
        <v>29627</v>
      </c>
      <c r="C10997">
        <v>12.92</v>
      </c>
      <c r="D10997">
        <f t="shared" si="345"/>
        <v>1</v>
      </c>
    </row>
    <row r="10998" spans="1:4" x14ac:dyDescent="0.55000000000000004">
      <c r="A10998">
        <f t="shared" si="344"/>
        <v>1981</v>
      </c>
      <c r="B10998" s="821">
        <v>29626</v>
      </c>
      <c r="C10998">
        <v>12.81</v>
      </c>
      <c r="D10998">
        <f t="shared" si="345"/>
        <v>1</v>
      </c>
    </row>
    <row r="10999" spans="1:4" x14ac:dyDescent="0.55000000000000004">
      <c r="A10999">
        <f t="shared" si="344"/>
        <v>1981</v>
      </c>
      <c r="B10999" s="821">
        <v>29623</v>
      </c>
      <c r="C10999">
        <v>12.73</v>
      </c>
      <c r="D10999">
        <f t="shared" si="345"/>
        <v>1</v>
      </c>
    </row>
    <row r="11000" spans="1:4" x14ac:dyDescent="0.55000000000000004">
      <c r="A11000">
        <f t="shared" si="344"/>
        <v>1981</v>
      </c>
      <c r="B11000" s="821">
        <v>29622</v>
      </c>
      <c r="C11000">
        <v>12.7</v>
      </c>
      <c r="D11000">
        <f t="shared" si="345"/>
        <v>1</v>
      </c>
    </row>
    <row r="11001" spans="1:4" x14ac:dyDescent="0.55000000000000004">
      <c r="A11001">
        <f t="shared" si="344"/>
        <v>1981</v>
      </c>
      <c r="B11001" s="821">
        <v>29621</v>
      </c>
      <c r="C11001">
        <v>12.49</v>
      </c>
      <c r="D11001">
        <f t="shared" si="345"/>
        <v>1</v>
      </c>
    </row>
    <row r="11002" spans="1:4" x14ac:dyDescent="0.55000000000000004">
      <c r="A11002">
        <f t="shared" si="344"/>
        <v>1981</v>
      </c>
      <c r="B11002" s="821">
        <v>29620</v>
      </c>
      <c r="C11002">
        <v>12.61</v>
      </c>
      <c r="D11002">
        <f t="shared" si="345"/>
        <v>1</v>
      </c>
    </row>
    <row r="11003" spans="1:4" x14ac:dyDescent="0.55000000000000004">
      <c r="A11003">
        <f t="shared" si="344"/>
        <v>1981</v>
      </c>
      <c r="B11003" s="821">
        <v>29619</v>
      </c>
      <c r="C11003">
        <v>12.45</v>
      </c>
      <c r="D11003">
        <f t="shared" si="345"/>
        <v>1</v>
      </c>
    </row>
    <row r="11004" spans="1:4" x14ac:dyDescent="0.55000000000000004">
      <c r="A11004">
        <f t="shared" si="344"/>
        <v>1981</v>
      </c>
      <c r="B11004" s="821">
        <v>29616</v>
      </c>
      <c r="C11004">
        <v>12.28</v>
      </c>
      <c r="D11004">
        <f t="shared" si="345"/>
        <v>1</v>
      </c>
    </row>
    <row r="11005" spans="1:4" x14ac:dyDescent="0.55000000000000004">
      <c r="A11005">
        <f t="shared" si="344"/>
        <v>1981</v>
      </c>
      <c r="B11005" s="821">
        <v>29615</v>
      </c>
      <c r="C11005">
        <v>12.38</v>
      </c>
      <c r="D11005">
        <f t="shared" si="345"/>
        <v>1</v>
      </c>
    </row>
    <row r="11006" spans="1:4" x14ac:dyDescent="0.55000000000000004">
      <c r="A11006">
        <f t="shared" si="344"/>
        <v>1981</v>
      </c>
      <c r="B11006" s="821">
        <v>29614</v>
      </c>
      <c r="C11006">
        <v>12.33</v>
      </c>
      <c r="D11006">
        <f t="shared" si="345"/>
        <v>1</v>
      </c>
    </row>
    <row r="11007" spans="1:4" x14ac:dyDescent="0.55000000000000004">
      <c r="A11007">
        <f t="shared" si="344"/>
        <v>1981</v>
      </c>
      <c r="B11007" s="821">
        <v>29613</v>
      </c>
      <c r="C11007">
        <v>12.31</v>
      </c>
      <c r="D11007">
        <f t="shared" si="345"/>
        <v>1</v>
      </c>
    </row>
    <row r="11008" spans="1:4" x14ac:dyDescent="0.55000000000000004">
      <c r="A11008">
        <f t="shared" si="344"/>
        <v>1981</v>
      </c>
      <c r="B11008" s="821">
        <v>29612</v>
      </c>
      <c r="C11008">
        <v>12.28</v>
      </c>
      <c r="D11008">
        <f t="shared" si="345"/>
        <v>1</v>
      </c>
    </row>
    <row r="11009" spans="1:4" x14ac:dyDescent="0.55000000000000004">
      <c r="A11009">
        <f t="shared" si="344"/>
        <v>1981</v>
      </c>
      <c r="B11009" s="821">
        <v>29609</v>
      </c>
      <c r="C11009">
        <v>12.38</v>
      </c>
      <c r="D11009">
        <f t="shared" si="345"/>
        <v>1</v>
      </c>
    </row>
    <row r="11010" spans="1:4" x14ac:dyDescent="0.55000000000000004">
      <c r="A11010">
        <f t="shared" si="344"/>
        <v>1981</v>
      </c>
      <c r="B11010" s="821">
        <v>29608</v>
      </c>
      <c r="C11010">
        <v>12.46</v>
      </c>
      <c r="D11010">
        <f t="shared" si="345"/>
        <v>1</v>
      </c>
    </row>
    <row r="11011" spans="1:4" x14ac:dyDescent="0.55000000000000004">
      <c r="A11011">
        <f t="shared" si="344"/>
        <v>1981</v>
      </c>
      <c r="B11011" s="821">
        <v>29607</v>
      </c>
      <c r="C11011">
        <v>12.33</v>
      </c>
      <c r="D11011">
        <f t="shared" si="345"/>
        <v>1</v>
      </c>
    </row>
    <row r="11012" spans="1:4" x14ac:dyDescent="0.55000000000000004">
      <c r="A11012">
        <f t="shared" ref="A11012:A11075" si="346">YEAR(B11012)</f>
        <v>1981</v>
      </c>
      <c r="B11012" s="821">
        <v>29606</v>
      </c>
      <c r="C11012">
        <v>12.11</v>
      </c>
      <c r="D11012">
        <f t="shared" ref="D11012:D11075" si="347">IF(C11012&gt;4,1,0)</f>
        <v>1</v>
      </c>
    </row>
    <row r="11013" spans="1:4" x14ac:dyDescent="0.55000000000000004">
      <c r="A11013">
        <f t="shared" si="346"/>
        <v>1981</v>
      </c>
      <c r="B11013" s="821">
        <v>29605</v>
      </c>
      <c r="C11013">
        <v>12.25</v>
      </c>
      <c r="D11013">
        <f t="shared" si="347"/>
        <v>1</v>
      </c>
    </row>
    <row r="11014" spans="1:4" x14ac:dyDescent="0.55000000000000004">
      <c r="A11014">
        <f t="shared" si="346"/>
        <v>1981</v>
      </c>
      <c r="B11014" s="821">
        <v>29602</v>
      </c>
      <c r="C11014">
        <v>12.13</v>
      </c>
      <c r="D11014">
        <f t="shared" si="347"/>
        <v>1</v>
      </c>
    </row>
    <row r="11015" spans="1:4" x14ac:dyDescent="0.55000000000000004">
      <c r="A11015">
        <f t="shared" si="346"/>
        <v>1981</v>
      </c>
      <c r="B11015" s="821">
        <v>29601</v>
      </c>
      <c r="C11015">
        <v>12.25</v>
      </c>
      <c r="D11015">
        <f t="shared" si="347"/>
        <v>1</v>
      </c>
    </row>
    <row r="11016" spans="1:4" x14ac:dyDescent="0.55000000000000004">
      <c r="A11016">
        <f t="shared" si="346"/>
        <v>1981</v>
      </c>
      <c r="B11016" s="821">
        <v>29600</v>
      </c>
      <c r="C11016">
        <v>12.07</v>
      </c>
      <c r="D11016">
        <f t="shared" si="347"/>
        <v>1</v>
      </c>
    </row>
    <row r="11017" spans="1:4" x14ac:dyDescent="0.55000000000000004">
      <c r="A11017">
        <f t="shared" si="346"/>
        <v>1981</v>
      </c>
      <c r="B11017" s="821">
        <v>29599</v>
      </c>
      <c r="C11017">
        <v>12.08</v>
      </c>
      <c r="D11017">
        <f t="shared" si="347"/>
        <v>1</v>
      </c>
    </row>
    <row r="11018" spans="1:4" x14ac:dyDescent="0.55000000000000004">
      <c r="A11018">
        <f t="shared" si="346"/>
        <v>1981</v>
      </c>
      <c r="B11018" s="821">
        <v>29598</v>
      </c>
      <c r="C11018">
        <v>12.08</v>
      </c>
      <c r="D11018">
        <f t="shared" si="347"/>
        <v>1</v>
      </c>
    </row>
    <row r="11019" spans="1:4" x14ac:dyDescent="0.55000000000000004">
      <c r="A11019">
        <f t="shared" si="346"/>
        <v>1981</v>
      </c>
      <c r="B11019" s="821">
        <v>29595</v>
      </c>
      <c r="C11019">
        <v>12.13</v>
      </c>
      <c r="D11019">
        <f t="shared" si="347"/>
        <v>1</v>
      </c>
    </row>
    <row r="11020" spans="1:4" x14ac:dyDescent="0.55000000000000004">
      <c r="A11020">
        <f t="shared" si="346"/>
        <v>1981</v>
      </c>
      <c r="B11020" s="821">
        <v>29594</v>
      </c>
      <c r="C11020">
        <v>11.91</v>
      </c>
      <c r="D11020">
        <f t="shared" si="347"/>
        <v>1</v>
      </c>
    </row>
    <row r="11021" spans="1:4" x14ac:dyDescent="0.55000000000000004">
      <c r="A11021">
        <f t="shared" si="346"/>
        <v>1981</v>
      </c>
      <c r="B11021" s="821">
        <v>29593</v>
      </c>
      <c r="C11021">
        <v>11.89</v>
      </c>
      <c r="D11021">
        <f t="shared" si="347"/>
        <v>1</v>
      </c>
    </row>
    <row r="11022" spans="1:4" x14ac:dyDescent="0.55000000000000004">
      <c r="A11022">
        <f t="shared" si="346"/>
        <v>1981</v>
      </c>
      <c r="B11022" s="821">
        <v>29592</v>
      </c>
      <c r="C11022">
        <v>11.67</v>
      </c>
      <c r="D11022">
        <f t="shared" si="347"/>
        <v>1</v>
      </c>
    </row>
    <row r="11023" spans="1:4" x14ac:dyDescent="0.55000000000000004">
      <c r="A11023">
        <f t="shared" si="346"/>
        <v>1981</v>
      </c>
      <c r="B11023" s="821">
        <v>29591</v>
      </c>
      <c r="C11023">
        <v>11.67</v>
      </c>
      <c r="D11023">
        <f t="shared" si="347"/>
        <v>1</v>
      </c>
    </row>
    <row r="11024" spans="1:4" x14ac:dyDescent="0.55000000000000004">
      <c r="A11024">
        <f t="shared" si="346"/>
        <v>1981</v>
      </c>
      <c r="B11024" s="821">
        <v>29588</v>
      </c>
      <c r="C11024">
        <v>12.01</v>
      </c>
      <c r="D11024">
        <f t="shared" si="347"/>
        <v>1</v>
      </c>
    </row>
    <row r="11025" spans="1:4" x14ac:dyDescent="0.55000000000000004">
      <c r="A11025">
        <f t="shared" si="346"/>
        <v>1980</v>
      </c>
      <c r="B11025" s="821">
        <v>29586</v>
      </c>
      <c r="C11025">
        <v>11.98</v>
      </c>
      <c r="D11025">
        <f t="shared" si="347"/>
        <v>1</v>
      </c>
    </row>
    <row r="11026" spans="1:4" x14ac:dyDescent="0.55000000000000004">
      <c r="A11026">
        <f t="shared" si="346"/>
        <v>1980</v>
      </c>
      <c r="B11026" s="821">
        <v>29585</v>
      </c>
      <c r="C11026">
        <v>11.96</v>
      </c>
      <c r="D11026">
        <f t="shared" si="347"/>
        <v>1</v>
      </c>
    </row>
    <row r="11027" spans="1:4" x14ac:dyDescent="0.55000000000000004">
      <c r="A11027">
        <f t="shared" si="346"/>
        <v>1980</v>
      </c>
      <c r="B11027" s="821">
        <v>29584</v>
      </c>
      <c r="C11027">
        <v>11.84</v>
      </c>
      <c r="D11027">
        <f t="shared" si="347"/>
        <v>1</v>
      </c>
    </row>
    <row r="11028" spans="1:4" x14ac:dyDescent="0.55000000000000004">
      <c r="A11028">
        <f t="shared" si="346"/>
        <v>1980</v>
      </c>
      <c r="B11028" s="821">
        <v>29581</v>
      </c>
      <c r="C11028">
        <v>11.84</v>
      </c>
      <c r="D11028">
        <f t="shared" si="347"/>
        <v>1</v>
      </c>
    </row>
    <row r="11029" spans="1:4" x14ac:dyDescent="0.55000000000000004">
      <c r="A11029">
        <f t="shared" si="346"/>
        <v>1980</v>
      </c>
      <c r="B11029" s="821">
        <v>29579</v>
      </c>
      <c r="C11029">
        <v>11.95</v>
      </c>
      <c r="D11029">
        <f t="shared" si="347"/>
        <v>1</v>
      </c>
    </row>
    <row r="11030" spans="1:4" x14ac:dyDescent="0.55000000000000004">
      <c r="A11030">
        <f t="shared" si="346"/>
        <v>1980</v>
      </c>
      <c r="B11030" s="821">
        <v>29578</v>
      </c>
      <c r="C11030">
        <v>11.93</v>
      </c>
      <c r="D11030">
        <f t="shared" si="347"/>
        <v>1</v>
      </c>
    </row>
    <row r="11031" spans="1:4" x14ac:dyDescent="0.55000000000000004">
      <c r="A11031">
        <f t="shared" si="346"/>
        <v>1980</v>
      </c>
      <c r="B11031" s="821">
        <v>29577</v>
      </c>
      <c r="C11031">
        <v>11.75</v>
      </c>
      <c r="D11031">
        <f t="shared" si="347"/>
        <v>1</v>
      </c>
    </row>
    <row r="11032" spans="1:4" x14ac:dyDescent="0.55000000000000004">
      <c r="A11032">
        <f t="shared" si="346"/>
        <v>1980</v>
      </c>
      <c r="B11032" s="821">
        <v>29574</v>
      </c>
      <c r="C11032">
        <v>12.22</v>
      </c>
      <c r="D11032">
        <f t="shared" si="347"/>
        <v>1</v>
      </c>
    </row>
    <row r="11033" spans="1:4" x14ac:dyDescent="0.55000000000000004">
      <c r="A11033">
        <f t="shared" si="346"/>
        <v>1980</v>
      </c>
      <c r="B11033" s="821">
        <v>29573</v>
      </c>
      <c r="C11033">
        <v>12.62</v>
      </c>
      <c r="D11033">
        <f t="shared" si="347"/>
        <v>1</v>
      </c>
    </row>
    <row r="11034" spans="1:4" x14ac:dyDescent="0.55000000000000004">
      <c r="A11034">
        <f t="shared" si="346"/>
        <v>1980</v>
      </c>
      <c r="B11034" s="821">
        <v>29572</v>
      </c>
      <c r="C11034">
        <v>12.74</v>
      </c>
      <c r="D11034">
        <f t="shared" si="347"/>
        <v>1</v>
      </c>
    </row>
    <row r="11035" spans="1:4" x14ac:dyDescent="0.55000000000000004">
      <c r="A11035">
        <f t="shared" si="346"/>
        <v>1980</v>
      </c>
      <c r="B11035" s="821">
        <v>29571</v>
      </c>
      <c r="C11035">
        <v>12.95</v>
      </c>
      <c r="D11035">
        <f t="shared" si="347"/>
        <v>1</v>
      </c>
    </row>
    <row r="11036" spans="1:4" x14ac:dyDescent="0.55000000000000004">
      <c r="A11036">
        <f t="shared" si="346"/>
        <v>1980</v>
      </c>
      <c r="B11036" s="821">
        <v>29570</v>
      </c>
      <c r="C11036">
        <v>12.85</v>
      </c>
      <c r="D11036">
        <f t="shared" si="347"/>
        <v>1</v>
      </c>
    </row>
    <row r="11037" spans="1:4" x14ac:dyDescent="0.55000000000000004">
      <c r="A11037">
        <f t="shared" si="346"/>
        <v>1980</v>
      </c>
      <c r="B11037" s="821">
        <v>29567</v>
      </c>
      <c r="C11037">
        <v>12.82</v>
      </c>
      <c r="D11037">
        <f t="shared" si="347"/>
        <v>1</v>
      </c>
    </row>
    <row r="11038" spans="1:4" x14ac:dyDescent="0.55000000000000004">
      <c r="A11038">
        <f t="shared" si="346"/>
        <v>1980</v>
      </c>
      <c r="B11038" s="821">
        <v>29566</v>
      </c>
      <c r="C11038">
        <v>13.17</v>
      </c>
      <c r="D11038">
        <f t="shared" si="347"/>
        <v>1</v>
      </c>
    </row>
    <row r="11039" spans="1:4" x14ac:dyDescent="0.55000000000000004">
      <c r="A11039">
        <f t="shared" si="346"/>
        <v>1980</v>
      </c>
      <c r="B11039" s="821">
        <v>29565</v>
      </c>
      <c r="C11039">
        <v>12.8</v>
      </c>
      <c r="D11039">
        <f t="shared" si="347"/>
        <v>1</v>
      </c>
    </row>
    <row r="11040" spans="1:4" x14ac:dyDescent="0.55000000000000004">
      <c r="A11040">
        <f t="shared" si="346"/>
        <v>1980</v>
      </c>
      <c r="B11040" s="821">
        <v>29564</v>
      </c>
      <c r="C11040">
        <v>12.68</v>
      </c>
      <c r="D11040">
        <f t="shared" si="347"/>
        <v>1</v>
      </c>
    </row>
    <row r="11041" spans="1:4" x14ac:dyDescent="0.55000000000000004">
      <c r="A11041">
        <f t="shared" si="346"/>
        <v>1980</v>
      </c>
      <c r="B11041" s="821">
        <v>29563</v>
      </c>
      <c r="C11041">
        <v>12.42</v>
      </c>
      <c r="D11041">
        <f t="shared" si="347"/>
        <v>1</v>
      </c>
    </row>
    <row r="11042" spans="1:4" x14ac:dyDescent="0.55000000000000004">
      <c r="A11042">
        <f t="shared" si="346"/>
        <v>1980</v>
      </c>
      <c r="B11042" s="821">
        <v>29560</v>
      </c>
      <c r="C11042">
        <v>12.33</v>
      </c>
      <c r="D11042">
        <f t="shared" si="347"/>
        <v>1</v>
      </c>
    </row>
    <row r="11043" spans="1:4" x14ac:dyDescent="0.55000000000000004">
      <c r="A11043">
        <f t="shared" si="346"/>
        <v>1980</v>
      </c>
      <c r="B11043" s="821">
        <v>29559</v>
      </c>
      <c r="C11043">
        <v>12.43</v>
      </c>
      <c r="D11043">
        <f t="shared" si="347"/>
        <v>1</v>
      </c>
    </row>
    <row r="11044" spans="1:4" x14ac:dyDescent="0.55000000000000004">
      <c r="A11044">
        <f t="shared" si="346"/>
        <v>1980</v>
      </c>
      <c r="B11044" s="821">
        <v>29558</v>
      </c>
      <c r="C11044">
        <v>12.41</v>
      </c>
      <c r="D11044">
        <f t="shared" si="347"/>
        <v>1</v>
      </c>
    </row>
    <row r="11045" spans="1:4" x14ac:dyDescent="0.55000000000000004">
      <c r="A11045">
        <f t="shared" si="346"/>
        <v>1980</v>
      </c>
      <c r="B11045" s="821">
        <v>29557</v>
      </c>
      <c r="C11045">
        <v>12.5</v>
      </c>
      <c r="D11045">
        <f t="shared" si="347"/>
        <v>1</v>
      </c>
    </row>
    <row r="11046" spans="1:4" x14ac:dyDescent="0.55000000000000004">
      <c r="A11046">
        <f t="shared" si="346"/>
        <v>1980</v>
      </c>
      <c r="B11046" s="821">
        <v>29556</v>
      </c>
      <c r="C11046">
        <v>12.51</v>
      </c>
      <c r="D11046">
        <f t="shared" si="347"/>
        <v>1</v>
      </c>
    </row>
    <row r="11047" spans="1:4" x14ac:dyDescent="0.55000000000000004">
      <c r="A11047">
        <f t="shared" si="346"/>
        <v>1980</v>
      </c>
      <c r="B11047" s="821">
        <v>29553</v>
      </c>
      <c r="C11047">
        <v>12.32</v>
      </c>
      <c r="D11047">
        <f t="shared" si="347"/>
        <v>1</v>
      </c>
    </row>
    <row r="11048" spans="1:4" x14ac:dyDescent="0.55000000000000004">
      <c r="A11048">
        <f t="shared" si="346"/>
        <v>1980</v>
      </c>
      <c r="B11048" s="821">
        <v>29551</v>
      </c>
      <c r="C11048">
        <v>12.27</v>
      </c>
      <c r="D11048">
        <f t="shared" si="347"/>
        <v>1</v>
      </c>
    </row>
    <row r="11049" spans="1:4" x14ac:dyDescent="0.55000000000000004">
      <c r="A11049">
        <f t="shared" si="346"/>
        <v>1980</v>
      </c>
      <c r="B11049" s="821">
        <v>29550</v>
      </c>
      <c r="C11049">
        <v>12.3</v>
      </c>
      <c r="D11049">
        <f t="shared" si="347"/>
        <v>1</v>
      </c>
    </row>
    <row r="11050" spans="1:4" x14ac:dyDescent="0.55000000000000004">
      <c r="A11050">
        <f t="shared" si="346"/>
        <v>1980</v>
      </c>
      <c r="B11050" s="821">
        <v>29549</v>
      </c>
      <c r="C11050">
        <v>12.31</v>
      </c>
      <c r="D11050">
        <f t="shared" si="347"/>
        <v>1</v>
      </c>
    </row>
    <row r="11051" spans="1:4" x14ac:dyDescent="0.55000000000000004">
      <c r="A11051">
        <f t="shared" si="346"/>
        <v>1980</v>
      </c>
      <c r="B11051" s="821">
        <v>29546</v>
      </c>
      <c r="C11051">
        <v>12.37</v>
      </c>
      <c r="D11051">
        <f t="shared" si="347"/>
        <v>1</v>
      </c>
    </row>
    <row r="11052" spans="1:4" x14ac:dyDescent="0.55000000000000004">
      <c r="A11052">
        <f t="shared" si="346"/>
        <v>1980</v>
      </c>
      <c r="B11052" s="821">
        <v>29545</v>
      </c>
      <c r="C11052">
        <v>12.22</v>
      </c>
      <c r="D11052">
        <f t="shared" si="347"/>
        <v>1</v>
      </c>
    </row>
    <row r="11053" spans="1:4" x14ac:dyDescent="0.55000000000000004">
      <c r="A11053">
        <f t="shared" si="346"/>
        <v>1980</v>
      </c>
      <c r="B11053" s="821">
        <v>29544</v>
      </c>
      <c r="C11053">
        <v>12.19</v>
      </c>
      <c r="D11053">
        <f t="shared" si="347"/>
        <v>1</v>
      </c>
    </row>
    <row r="11054" spans="1:4" x14ac:dyDescent="0.55000000000000004">
      <c r="A11054">
        <f t="shared" si="346"/>
        <v>1980</v>
      </c>
      <c r="B11054" s="821">
        <v>29543</v>
      </c>
      <c r="C11054">
        <v>12.29</v>
      </c>
      <c r="D11054">
        <f t="shared" si="347"/>
        <v>1</v>
      </c>
    </row>
    <row r="11055" spans="1:4" x14ac:dyDescent="0.55000000000000004">
      <c r="A11055">
        <f t="shared" si="346"/>
        <v>1980</v>
      </c>
      <c r="B11055" s="821">
        <v>29542</v>
      </c>
      <c r="C11055">
        <v>12.6</v>
      </c>
      <c r="D11055">
        <f t="shared" si="347"/>
        <v>1</v>
      </c>
    </row>
    <row r="11056" spans="1:4" x14ac:dyDescent="0.55000000000000004">
      <c r="A11056">
        <f t="shared" si="346"/>
        <v>1980</v>
      </c>
      <c r="B11056" s="821">
        <v>29539</v>
      </c>
      <c r="C11056">
        <v>12.45</v>
      </c>
      <c r="D11056">
        <f t="shared" si="347"/>
        <v>1</v>
      </c>
    </row>
    <row r="11057" spans="1:4" x14ac:dyDescent="0.55000000000000004">
      <c r="A11057">
        <f t="shared" si="346"/>
        <v>1980</v>
      </c>
      <c r="B11057" s="821">
        <v>29538</v>
      </c>
      <c r="C11057">
        <v>12.23</v>
      </c>
      <c r="D11057">
        <f t="shared" si="347"/>
        <v>1</v>
      </c>
    </row>
    <row r="11058" spans="1:4" x14ac:dyDescent="0.55000000000000004">
      <c r="A11058">
        <f t="shared" si="346"/>
        <v>1980</v>
      </c>
      <c r="B11058" s="821">
        <v>29537</v>
      </c>
      <c r="C11058">
        <v>12.26</v>
      </c>
      <c r="D11058">
        <f t="shared" si="347"/>
        <v>1</v>
      </c>
    </row>
    <row r="11059" spans="1:4" x14ac:dyDescent="0.55000000000000004">
      <c r="A11059">
        <f t="shared" si="346"/>
        <v>1980</v>
      </c>
      <c r="B11059" s="821">
        <v>29535</v>
      </c>
      <c r="C11059">
        <v>12.71</v>
      </c>
      <c r="D11059">
        <f t="shared" si="347"/>
        <v>1</v>
      </c>
    </row>
    <row r="11060" spans="1:4" x14ac:dyDescent="0.55000000000000004">
      <c r="A11060">
        <f t="shared" si="346"/>
        <v>1980</v>
      </c>
      <c r="B11060" s="821">
        <v>29532</v>
      </c>
      <c r="C11060">
        <v>12.59</v>
      </c>
      <c r="D11060">
        <f t="shared" si="347"/>
        <v>1</v>
      </c>
    </row>
    <row r="11061" spans="1:4" x14ac:dyDescent="0.55000000000000004">
      <c r="A11061">
        <f t="shared" si="346"/>
        <v>1980</v>
      </c>
      <c r="B11061" s="821">
        <v>29531</v>
      </c>
      <c r="C11061">
        <v>12.59</v>
      </c>
      <c r="D11061">
        <f t="shared" si="347"/>
        <v>1</v>
      </c>
    </row>
    <row r="11062" spans="1:4" x14ac:dyDescent="0.55000000000000004">
      <c r="A11062">
        <f t="shared" si="346"/>
        <v>1980</v>
      </c>
      <c r="B11062" s="821">
        <v>29530</v>
      </c>
      <c r="C11062">
        <v>12.36</v>
      </c>
      <c r="D11062">
        <f t="shared" si="347"/>
        <v>1</v>
      </c>
    </row>
    <row r="11063" spans="1:4" x14ac:dyDescent="0.55000000000000004">
      <c r="A11063">
        <f t="shared" si="346"/>
        <v>1980</v>
      </c>
      <c r="B11063" s="821">
        <v>29528</v>
      </c>
      <c r="C11063">
        <v>12.22</v>
      </c>
      <c r="D11063">
        <f t="shared" si="347"/>
        <v>1</v>
      </c>
    </row>
    <row r="11064" spans="1:4" x14ac:dyDescent="0.55000000000000004">
      <c r="A11064">
        <f t="shared" si="346"/>
        <v>1980</v>
      </c>
      <c r="B11064" s="821">
        <v>29525</v>
      </c>
      <c r="C11064">
        <v>12.23</v>
      </c>
      <c r="D11064">
        <f t="shared" si="347"/>
        <v>1</v>
      </c>
    </row>
    <row r="11065" spans="1:4" x14ac:dyDescent="0.55000000000000004">
      <c r="A11065">
        <f t="shared" si="346"/>
        <v>1980</v>
      </c>
      <c r="B11065" s="821">
        <v>29524</v>
      </c>
      <c r="C11065">
        <v>12.28</v>
      </c>
      <c r="D11065">
        <f t="shared" si="347"/>
        <v>1</v>
      </c>
    </row>
    <row r="11066" spans="1:4" x14ac:dyDescent="0.55000000000000004">
      <c r="A11066">
        <f t="shared" si="346"/>
        <v>1980</v>
      </c>
      <c r="B11066" s="821">
        <v>29523</v>
      </c>
      <c r="C11066">
        <v>12.21</v>
      </c>
      <c r="D11066">
        <f t="shared" si="347"/>
        <v>1</v>
      </c>
    </row>
    <row r="11067" spans="1:4" x14ac:dyDescent="0.55000000000000004">
      <c r="A11067">
        <f t="shared" si="346"/>
        <v>1980</v>
      </c>
      <c r="B11067" s="821">
        <v>29522</v>
      </c>
      <c r="C11067">
        <v>12.14</v>
      </c>
      <c r="D11067">
        <f t="shared" si="347"/>
        <v>1</v>
      </c>
    </row>
    <row r="11068" spans="1:4" x14ac:dyDescent="0.55000000000000004">
      <c r="A11068">
        <f t="shared" si="346"/>
        <v>1980</v>
      </c>
      <c r="B11068" s="821">
        <v>29521</v>
      </c>
      <c r="C11068">
        <v>11.96</v>
      </c>
      <c r="D11068">
        <f t="shared" si="347"/>
        <v>1</v>
      </c>
    </row>
    <row r="11069" spans="1:4" x14ac:dyDescent="0.55000000000000004">
      <c r="A11069">
        <f t="shared" si="346"/>
        <v>1980</v>
      </c>
      <c r="B11069" s="821">
        <v>29518</v>
      </c>
      <c r="C11069">
        <v>11.61</v>
      </c>
      <c r="D11069">
        <f t="shared" si="347"/>
        <v>1</v>
      </c>
    </row>
    <row r="11070" spans="1:4" x14ac:dyDescent="0.55000000000000004">
      <c r="A11070">
        <f t="shared" si="346"/>
        <v>1980</v>
      </c>
      <c r="B11070" s="821">
        <v>29517</v>
      </c>
      <c r="C11070">
        <v>11.68</v>
      </c>
      <c r="D11070">
        <f t="shared" si="347"/>
        <v>1</v>
      </c>
    </row>
    <row r="11071" spans="1:4" x14ac:dyDescent="0.55000000000000004">
      <c r="A11071">
        <f t="shared" si="346"/>
        <v>1980</v>
      </c>
      <c r="B11071" s="821">
        <v>29516</v>
      </c>
      <c r="C11071">
        <v>11.74</v>
      </c>
      <c r="D11071">
        <f t="shared" si="347"/>
        <v>1</v>
      </c>
    </row>
    <row r="11072" spans="1:4" x14ac:dyDescent="0.55000000000000004">
      <c r="A11072">
        <f t="shared" si="346"/>
        <v>1980</v>
      </c>
      <c r="B11072" s="821">
        <v>29515</v>
      </c>
      <c r="C11072">
        <v>11.53</v>
      </c>
      <c r="D11072">
        <f t="shared" si="347"/>
        <v>1</v>
      </c>
    </row>
    <row r="11073" spans="1:4" x14ac:dyDescent="0.55000000000000004">
      <c r="A11073">
        <f t="shared" si="346"/>
        <v>1980</v>
      </c>
      <c r="B11073" s="821">
        <v>29514</v>
      </c>
      <c r="C11073">
        <v>11.44</v>
      </c>
      <c r="D11073">
        <f t="shared" si="347"/>
        <v>1</v>
      </c>
    </row>
    <row r="11074" spans="1:4" x14ac:dyDescent="0.55000000000000004">
      <c r="A11074">
        <f t="shared" si="346"/>
        <v>1980</v>
      </c>
      <c r="B11074" s="821">
        <v>29511</v>
      </c>
      <c r="C11074">
        <v>11.44</v>
      </c>
      <c r="D11074">
        <f t="shared" si="347"/>
        <v>1</v>
      </c>
    </row>
    <row r="11075" spans="1:4" x14ac:dyDescent="0.55000000000000004">
      <c r="A11075">
        <f t="shared" si="346"/>
        <v>1980</v>
      </c>
      <c r="B11075" s="821">
        <v>29510</v>
      </c>
      <c r="C11075">
        <v>11.27</v>
      </c>
      <c r="D11075">
        <f t="shared" si="347"/>
        <v>1</v>
      </c>
    </row>
    <row r="11076" spans="1:4" x14ac:dyDescent="0.55000000000000004">
      <c r="A11076">
        <f t="shared" ref="A11076:A11139" si="348">YEAR(B11076)</f>
        <v>1980</v>
      </c>
      <c r="B11076" s="821">
        <v>29509</v>
      </c>
      <c r="C11076">
        <v>11.11</v>
      </c>
      <c r="D11076">
        <f t="shared" ref="D11076:D11139" si="349">IF(C11076&gt;4,1,0)</f>
        <v>1</v>
      </c>
    </row>
    <row r="11077" spans="1:4" x14ac:dyDescent="0.55000000000000004">
      <c r="A11077">
        <f t="shared" si="348"/>
        <v>1980</v>
      </c>
      <c r="B11077" s="821">
        <v>29508</v>
      </c>
      <c r="C11077">
        <v>11.16</v>
      </c>
      <c r="D11077">
        <f t="shared" si="349"/>
        <v>1</v>
      </c>
    </row>
    <row r="11078" spans="1:4" x14ac:dyDescent="0.55000000000000004">
      <c r="A11078">
        <f t="shared" si="348"/>
        <v>1980</v>
      </c>
      <c r="B11078" s="821">
        <v>29504</v>
      </c>
      <c r="C11078">
        <v>11.26</v>
      </c>
      <c r="D11078">
        <f t="shared" si="349"/>
        <v>1</v>
      </c>
    </row>
    <row r="11079" spans="1:4" x14ac:dyDescent="0.55000000000000004">
      <c r="A11079">
        <f t="shared" si="348"/>
        <v>1980</v>
      </c>
      <c r="B11079" s="821">
        <v>29503</v>
      </c>
      <c r="C11079">
        <v>11.21</v>
      </c>
      <c r="D11079">
        <f t="shared" si="349"/>
        <v>1</v>
      </c>
    </row>
    <row r="11080" spans="1:4" x14ac:dyDescent="0.55000000000000004">
      <c r="A11080">
        <f t="shared" si="348"/>
        <v>1980</v>
      </c>
      <c r="B11080" s="821">
        <v>29502</v>
      </c>
      <c r="C11080">
        <v>11.38</v>
      </c>
      <c r="D11080">
        <f t="shared" si="349"/>
        <v>1</v>
      </c>
    </row>
    <row r="11081" spans="1:4" x14ac:dyDescent="0.55000000000000004">
      <c r="A11081">
        <f t="shared" si="348"/>
        <v>1980</v>
      </c>
      <c r="B11081" s="821">
        <v>29501</v>
      </c>
      <c r="C11081">
        <v>11.3</v>
      </c>
      <c r="D11081">
        <f t="shared" si="349"/>
        <v>1</v>
      </c>
    </row>
    <row r="11082" spans="1:4" x14ac:dyDescent="0.55000000000000004">
      <c r="A11082">
        <f t="shared" si="348"/>
        <v>1980</v>
      </c>
      <c r="B11082" s="821">
        <v>29500</v>
      </c>
      <c r="C11082">
        <v>11.26</v>
      </c>
      <c r="D11082">
        <f t="shared" si="349"/>
        <v>1</v>
      </c>
    </row>
    <row r="11083" spans="1:4" x14ac:dyDescent="0.55000000000000004">
      <c r="A11083">
        <f t="shared" si="348"/>
        <v>1980</v>
      </c>
      <c r="B11083" s="821">
        <v>29497</v>
      </c>
      <c r="C11083">
        <v>11.33</v>
      </c>
      <c r="D11083">
        <f t="shared" si="349"/>
        <v>1</v>
      </c>
    </row>
    <row r="11084" spans="1:4" x14ac:dyDescent="0.55000000000000004">
      <c r="A11084">
        <f t="shared" si="348"/>
        <v>1980</v>
      </c>
      <c r="B11084" s="821">
        <v>29496</v>
      </c>
      <c r="C11084">
        <v>11.66</v>
      </c>
      <c r="D11084">
        <f t="shared" si="349"/>
        <v>1</v>
      </c>
    </row>
    <row r="11085" spans="1:4" x14ac:dyDescent="0.55000000000000004">
      <c r="A11085">
        <f t="shared" si="348"/>
        <v>1980</v>
      </c>
      <c r="B11085" s="821">
        <v>29495</v>
      </c>
      <c r="C11085">
        <v>11.69</v>
      </c>
      <c r="D11085">
        <f t="shared" si="349"/>
        <v>1</v>
      </c>
    </row>
    <row r="11086" spans="1:4" x14ac:dyDescent="0.55000000000000004">
      <c r="A11086">
        <f t="shared" si="348"/>
        <v>1980</v>
      </c>
      <c r="B11086" s="821">
        <v>29494</v>
      </c>
      <c r="C11086">
        <v>11.7</v>
      </c>
      <c r="D11086">
        <f t="shared" si="349"/>
        <v>1</v>
      </c>
    </row>
    <row r="11087" spans="1:4" x14ac:dyDescent="0.55000000000000004">
      <c r="A11087">
        <f t="shared" si="348"/>
        <v>1980</v>
      </c>
      <c r="B11087" s="821">
        <v>29493</v>
      </c>
      <c r="C11087">
        <v>11.93</v>
      </c>
      <c r="D11087">
        <f t="shared" si="349"/>
        <v>1</v>
      </c>
    </row>
    <row r="11088" spans="1:4" x14ac:dyDescent="0.55000000000000004">
      <c r="A11088">
        <f t="shared" si="348"/>
        <v>1980</v>
      </c>
      <c r="B11088" s="821">
        <v>29490</v>
      </c>
      <c r="C11088">
        <v>11.81</v>
      </c>
      <c r="D11088">
        <f t="shared" si="349"/>
        <v>1</v>
      </c>
    </row>
    <row r="11089" spans="1:4" x14ac:dyDescent="0.55000000000000004">
      <c r="A11089">
        <f t="shared" si="348"/>
        <v>1980</v>
      </c>
      <c r="B11089" s="821">
        <v>29489</v>
      </c>
      <c r="C11089">
        <v>11.66</v>
      </c>
      <c r="D11089">
        <f t="shared" si="349"/>
        <v>1</v>
      </c>
    </row>
    <row r="11090" spans="1:4" x14ac:dyDescent="0.55000000000000004">
      <c r="A11090">
        <f t="shared" si="348"/>
        <v>1980</v>
      </c>
      <c r="B11090" s="821">
        <v>29488</v>
      </c>
      <c r="C11090">
        <v>11.53</v>
      </c>
      <c r="D11090">
        <f t="shared" si="349"/>
        <v>1</v>
      </c>
    </row>
    <row r="11091" spans="1:4" x14ac:dyDescent="0.55000000000000004">
      <c r="A11091">
        <f t="shared" si="348"/>
        <v>1980</v>
      </c>
      <c r="B11091" s="821">
        <v>29487</v>
      </c>
      <c r="C11091">
        <v>11.53</v>
      </c>
      <c r="D11091">
        <f t="shared" si="349"/>
        <v>1</v>
      </c>
    </row>
    <row r="11092" spans="1:4" x14ac:dyDescent="0.55000000000000004">
      <c r="A11092">
        <f t="shared" si="348"/>
        <v>1980</v>
      </c>
      <c r="B11092" s="821">
        <v>29486</v>
      </c>
      <c r="C11092">
        <v>11.6</v>
      </c>
      <c r="D11092">
        <f t="shared" si="349"/>
        <v>1</v>
      </c>
    </row>
    <row r="11093" spans="1:4" x14ac:dyDescent="0.55000000000000004">
      <c r="A11093">
        <f t="shared" si="348"/>
        <v>1980</v>
      </c>
      <c r="B11093" s="821">
        <v>29483</v>
      </c>
      <c r="C11093">
        <v>11.25</v>
      </c>
      <c r="D11093">
        <f t="shared" si="349"/>
        <v>1</v>
      </c>
    </row>
    <row r="11094" spans="1:4" x14ac:dyDescent="0.55000000000000004">
      <c r="A11094">
        <f t="shared" si="348"/>
        <v>1980</v>
      </c>
      <c r="B11094" s="821">
        <v>29482</v>
      </c>
      <c r="C11094">
        <v>11.35</v>
      </c>
      <c r="D11094">
        <f t="shared" si="349"/>
        <v>1</v>
      </c>
    </row>
    <row r="11095" spans="1:4" x14ac:dyDescent="0.55000000000000004">
      <c r="A11095">
        <f t="shared" si="348"/>
        <v>1980</v>
      </c>
      <c r="B11095" s="821">
        <v>29481</v>
      </c>
      <c r="C11095">
        <v>11.41</v>
      </c>
      <c r="D11095">
        <f t="shared" si="349"/>
        <v>1</v>
      </c>
    </row>
    <row r="11096" spans="1:4" x14ac:dyDescent="0.55000000000000004">
      <c r="A11096">
        <f t="shared" si="348"/>
        <v>1980</v>
      </c>
      <c r="B11096" s="821">
        <v>29480</v>
      </c>
      <c r="C11096">
        <v>11.33</v>
      </c>
      <c r="D11096">
        <f t="shared" si="349"/>
        <v>1</v>
      </c>
    </row>
    <row r="11097" spans="1:4" x14ac:dyDescent="0.55000000000000004">
      <c r="A11097">
        <f t="shared" si="348"/>
        <v>1980</v>
      </c>
      <c r="B11097" s="821">
        <v>29479</v>
      </c>
      <c r="C11097">
        <v>11.38</v>
      </c>
      <c r="D11097">
        <f t="shared" si="349"/>
        <v>1</v>
      </c>
    </row>
    <row r="11098" spans="1:4" x14ac:dyDescent="0.55000000000000004">
      <c r="A11098">
        <f t="shared" si="348"/>
        <v>1980</v>
      </c>
      <c r="B11098" s="821">
        <v>29476</v>
      </c>
      <c r="C11098">
        <v>11.18</v>
      </c>
      <c r="D11098">
        <f t="shared" si="349"/>
        <v>1</v>
      </c>
    </row>
    <row r="11099" spans="1:4" x14ac:dyDescent="0.55000000000000004">
      <c r="A11099">
        <f t="shared" si="348"/>
        <v>1980</v>
      </c>
      <c r="B11099" s="821">
        <v>29475</v>
      </c>
      <c r="C11099">
        <v>11.15</v>
      </c>
      <c r="D11099">
        <f t="shared" si="349"/>
        <v>1</v>
      </c>
    </row>
    <row r="11100" spans="1:4" x14ac:dyDescent="0.55000000000000004">
      <c r="A11100">
        <f t="shared" si="348"/>
        <v>1980</v>
      </c>
      <c r="B11100" s="821">
        <v>29474</v>
      </c>
      <c r="C11100">
        <v>11.02</v>
      </c>
      <c r="D11100">
        <f t="shared" si="349"/>
        <v>1</v>
      </c>
    </row>
    <row r="11101" spans="1:4" x14ac:dyDescent="0.55000000000000004">
      <c r="A11101">
        <f t="shared" si="348"/>
        <v>1980</v>
      </c>
      <c r="B11101" s="821">
        <v>29473</v>
      </c>
      <c r="C11101">
        <v>11.05</v>
      </c>
      <c r="D11101">
        <f t="shared" si="349"/>
        <v>1</v>
      </c>
    </row>
    <row r="11102" spans="1:4" x14ac:dyDescent="0.55000000000000004">
      <c r="A11102">
        <f t="shared" si="348"/>
        <v>1980</v>
      </c>
      <c r="B11102" s="821">
        <v>29472</v>
      </c>
      <c r="C11102">
        <v>11.15</v>
      </c>
      <c r="D11102">
        <f t="shared" si="349"/>
        <v>1</v>
      </c>
    </row>
    <row r="11103" spans="1:4" x14ac:dyDescent="0.55000000000000004">
      <c r="A11103">
        <f t="shared" si="348"/>
        <v>1980</v>
      </c>
      <c r="B11103" s="821">
        <v>29469</v>
      </c>
      <c r="C11103">
        <v>11.06</v>
      </c>
      <c r="D11103">
        <f t="shared" si="349"/>
        <v>1</v>
      </c>
    </row>
    <row r="11104" spans="1:4" x14ac:dyDescent="0.55000000000000004">
      <c r="A11104">
        <f t="shared" si="348"/>
        <v>1980</v>
      </c>
      <c r="B11104" s="821">
        <v>29468</v>
      </c>
      <c r="C11104">
        <v>11.02</v>
      </c>
      <c r="D11104">
        <f t="shared" si="349"/>
        <v>1</v>
      </c>
    </row>
    <row r="11105" spans="1:4" x14ac:dyDescent="0.55000000000000004">
      <c r="A11105">
        <f t="shared" si="348"/>
        <v>1980</v>
      </c>
      <c r="B11105" s="821">
        <v>29467</v>
      </c>
      <c r="C11105">
        <v>10.94</v>
      </c>
      <c r="D11105">
        <f t="shared" si="349"/>
        <v>1</v>
      </c>
    </row>
    <row r="11106" spans="1:4" x14ac:dyDescent="0.55000000000000004">
      <c r="A11106">
        <f t="shared" si="348"/>
        <v>1980</v>
      </c>
      <c r="B11106" s="821">
        <v>29466</v>
      </c>
      <c r="C11106">
        <v>11.08</v>
      </c>
      <c r="D11106">
        <f t="shared" si="349"/>
        <v>1</v>
      </c>
    </row>
    <row r="11107" spans="1:4" x14ac:dyDescent="0.55000000000000004">
      <c r="A11107">
        <f t="shared" si="348"/>
        <v>1980</v>
      </c>
      <c r="B11107" s="821">
        <v>29462</v>
      </c>
      <c r="C11107">
        <v>11.27</v>
      </c>
      <c r="D11107">
        <f t="shared" si="349"/>
        <v>1</v>
      </c>
    </row>
    <row r="11108" spans="1:4" x14ac:dyDescent="0.55000000000000004">
      <c r="A11108">
        <f t="shared" si="348"/>
        <v>1980</v>
      </c>
      <c r="B11108" s="821">
        <v>29461</v>
      </c>
      <c r="C11108">
        <v>11.43</v>
      </c>
      <c r="D11108">
        <f t="shared" si="349"/>
        <v>1</v>
      </c>
    </row>
    <row r="11109" spans="1:4" x14ac:dyDescent="0.55000000000000004">
      <c r="A11109">
        <f t="shared" si="348"/>
        <v>1980</v>
      </c>
      <c r="B11109" s="821">
        <v>29460</v>
      </c>
      <c r="C11109">
        <v>11.33</v>
      </c>
      <c r="D11109">
        <f t="shared" si="349"/>
        <v>1</v>
      </c>
    </row>
    <row r="11110" spans="1:4" x14ac:dyDescent="0.55000000000000004">
      <c r="A11110">
        <f t="shared" si="348"/>
        <v>1980</v>
      </c>
      <c r="B11110" s="821">
        <v>29459</v>
      </c>
      <c r="C11110">
        <v>11.18</v>
      </c>
      <c r="D11110">
        <f t="shared" si="349"/>
        <v>1</v>
      </c>
    </row>
    <row r="11111" spans="1:4" x14ac:dyDescent="0.55000000000000004">
      <c r="A11111">
        <f t="shared" si="348"/>
        <v>1980</v>
      </c>
      <c r="B11111" s="821">
        <v>29458</v>
      </c>
      <c r="C11111">
        <v>11.18</v>
      </c>
      <c r="D11111">
        <f t="shared" si="349"/>
        <v>1</v>
      </c>
    </row>
    <row r="11112" spans="1:4" x14ac:dyDescent="0.55000000000000004">
      <c r="A11112">
        <f t="shared" si="348"/>
        <v>1980</v>
      </c>
      <c r="B11112" s="821">
        <v>29455</v>
      </c>
      <c r="C11112">
        <v>11.01</v>
      </c>
      <c r="D11112">
        <f t="shared" si="349"/>
        <v>1</v>
      </c>
    </row>
    <row r="11113" spans="1:4" x14ac:dyDescent="0.55000000000000004">
      <c r="A11113">
        <f t="shared" si="348"/>
        <v>1980</v>
      </c>
      <c r="B11113" s="821">
        <v>29454</v>
      </c>
      <c r="C11113">
        <v>11.15</v>
      </c>
      <c r="D11113">
        <f t="shared" si="349"/>
        <v>1</v>
      </c>
    </row>
    <row r="11114" spans="1:4" x14ac:dyDescent="0.55000000000000004">
      <c r="A11114">
        <f t="shared" si="348"/>
        <v>1980</v>
      </c>
      <c r="B11114" s="821">
        <v>29453</v>
      </c>
      <c r="C11114">
        <v>11.13</v>
      </c>
      <c r="D11114">
        <f t="shared" si="349"/>
        <v>1</v>
      </c>
    </row>
    <row r="11115" spans="1:4" x14ac:dyDescent="0.55000000000000004">
      <c r="A11115">
        <f t="shared" si="348"/>
        <v>1980</v>
      </c>
      <c r="B11115" s="821">
        <v>29452</v>
      </c>
      <c r="C11115">
        <v>11.16</v>
      </c>
      <c r="D11115">
        <f t="shared" si="349"/>
        <v>1</v>
      </c>
    </row>
    <row r="11116" spans="1:4" x14ac:dyDescent="0.55000000000000004">
      <c r="A11116">
        <f t="shared" si="348"/>
        <v>1980</v>
      </c>
      <c r="B11116" s="821">
        <v>29451</v>
      </c>
      <c r="C11116">
        <v>11.02</v>
      </c>
      <c r="D11116">
        <f t="shared" si="349"/>
        <v>1</v>
      </c>
    </row>
    <row r="11117" spans="1:4" x14ac:dyDescent="0.55000000000000004">
      <c r="A11117">
        <f t="shared" si="348"/>
        <v>1980</v>
      </c>
      <c r="B11117" s="821">
        <v>29448</v>
      </c>
      <c r="C11117">
        <v>10.83</v>
      </c>
      <c r="D11117">
        <f t="shared" si="349"/>
        <v>1</v>
      </c>
    </row>
    <row r="11118" spans="1:4" x14ac:dyDescent="0.55000000000000004">
      <c r="A11118">
        <f t="shared" si="348"/>
        <v>1980</v>
      </c>
      <c r="B11118" s="821">
        <v>29447</v>
      </c>
      <c r="C11118">
        <v>10.9</v>
      </c>
      <c r="D11118">
        <f t="shared" si="349"/>
        <v>1</v>
      </c>
    </row>
    <row r="11119" spans="1:4" x14ac:dyDescent="0.55000000000000004">
      <c r="A11119">
        <f t="shared" si="348"/>
        <v>1980</v>
      </c>
      <c r="B11119" s="821">
        <v>29446</v>
      </c>
      <c r="C11119">
        <v>10.93</v>
      </c>
      <c r="D11119">
        <f t="shared" si="349"/>
        <v>1</v>
      </c>
    </row>
    <row r="11120" spans="1:4" x14ac:dyDescent="0.55000000000000004">
      <c r="A11120">
        <f t="shared" si="348"/>
        <v>1980</v>
      </c>
      <c r="B11120" s="821">
        <v>29445</v>
      </c>
      <c r="C11120">
        <v>11.01</v>
      </c>
      <c r="D11120">
        <f t="shared" si="349"/>
        <v>1</v>
      </c>
    </row>
    <row r="11121" spans="1:4" x14ac:dyDescent="0.55000000000000004">
      <c r="A11121">
        <f t="shared" si="348"/>
        <v>1980</v>
      </c>
      <c r="B11121" s="821">
        <v>29444</v>
      </c>
      <c r="C11121">
        <v>11.05</v>
      </c>
      <c r="D11121">
        <f t="shared" si="349"/>
        <v>1</v>
      </c>
    </row>
    <row r="11122" spans="1:4" x14ac:dyDescent="0.55000000000000004">
      <c r="A11122">
        <f t="shared" si="348"/>
        <v>1980</v>
      </c>
      <c r="B11122" s="821">
        <v>29441</v>
      </c>
      <c r="C11122">
        <v>10.9</v>
      </c>
      <c r="D11122">
        <f t="shared" si="349"/>
        <v>1</v>
      </c>
    </row>
    <row r="11123" spans="1:4" x14ac:dyDescent="0.55000000000000004">
      <c r="A11123">
        <f t="shared" si="348"/>
        <v>1980</v>
      </c>
      <c r="B11123" s="821">
        <v>29440</v>
      </c>
      <c r="C11123">
        <v>10.68</v>
      </c>
      <c r="D11123">
        <f t="shared" si="349"/>
        <v>1</v>
      </c>
    </row>
    <row r="11124" spans="1:4" x14ac:dyDescent="0.55000000000000004">
      <c r="A11124">
        <f t="shared" si="348"/>
        <v>1980</v>
      </c>
      <c r="B11124" s="821">
        <v>29439</v>
      </c>
      <c r="C11124">
        <v>10.73</v>
      </c>
      <c r="D11124">
        <f t="shared" si="349"/>
        <v>1</v>
      </c>
    </row>
    <row r="11125" spans="1:4" x14ac:dyDescent="0.55000000000000004">
      <c r="A11125">
        <f t="shared" si="348"/>
        <v>1980</v>
      </c>
      <c r="B11125" s="821">
        <v>29438</v>
      </c>
      <c r="C11125">
        <v>10.69</v>
      </c>
      <c r="D11125">
        <f t="shared" si="349"/>
        <v>1</v>
      </c>
    </row>
    <row r="11126" spans="1:4" x14ac:dyDescent="0.55000000000000004">
      <c r="A11126">
        <f t="shared" si="348"/>
        <v>1980</v>
      </c>
      <c r="B11126" s="821">
        <v>29437</v>
      </c>
      <c r="C11126">
        <v>10.68</v>
      </c>
      <c r="D11126">
        <f t="shared" si="349"/>
        <v>1</v>
      </c>
    </row>
    <row r="11127" spans="1:4" x14ac:dyDescent="0.55000000000000004">
      <c r="A11127">
        <f t="shared" si="348"/>
        <v>1980</v>
      </c>
      <c r="B11127" s="821">
        <v>29434</v>
      </c>
      <c r="C11127">
        <v>10.76</v>
      </c>
      <c r="D11127">
        <f t="shared" si="349"/>
        <v>1</v>
      </c>
    </row>
    <row r="11128" spans="1:4" x14ac:dyDescent="0.55000000000000004">
      <c r="A11128">
        <f t="shared" si="348"/>
        <v>1980</v>
      </c>
      <c r="B11128" s="821">
        <v>29433</v>
      </c>
      <c r="C11128">
        <v>10.8</v>
      </c>
      <c r="D11128">
        <f t="shared" si="349"/>
        <v>1</v>
      </c>
    </row>
    <row r="11129" spans="1:4" x14ac:dyDescent="0.55000000000000004">
      <c r="A11129">
        <f t="shared" si="348"/>
        <v>1980</v>
      </c>
      <c r="B11129" s="821">
        <v>29432</v>
      </c>
      <c r="C11129">
        <v>10.51</v>
      </c>
      <c r="D11129">
        <f t="shared" si="349"/>
        <v>1</v>
      </c>
    </row>
    <row r="11130" spans="1:4" x14ac:dyDescent="0.55000000000000004">
      <c r="A11130">
        <f t="shared" si="348"/>
        <v>1980</v>
      </c>
      <c r="B11130" s="821">
        <v>29431</v>
      </c>
      <c r="C11130">
        <v>10.4</v>
      </c>
      <c r="D11130">
        <f t="shared" si="349"/>
        <v>1</v>
      </c>
    </row>
    <row r="11131" spans="1:4" x14ac:dyDescent="0.55000000000000004">
      <c r="A11131">
        <f t="shared" si="348"/>
        <v>1980</v>
      </c>
      <c r="B11131" s="821">
        <v>29430</v>
      </c>
      <c r="C11131">
        <v>10.42</v>
      </c>
      <c r="D11131">
        <f t="shared" si="349"/>
        <v>1</v>
      </c>
    </row>
    <row r="11132" spans="1:4" x14ac:dyDescent="0.55000000000000004">
      <c r="A11132">
        <f t="shared" si="348"/>
        <v>1980</v>
      </c>
      <c r="B11132" s="821">
        <v>29427</v>
      </c>
      <c r="C11132">
        <v>10.33</v>
      </c>
      <c r="D11132">
        <f t="shared" si="349"/>
        <v>1</v>
      </c>
    </row>
    <row r="11133" spans="1:4" x14ac:dyDescent="0.55000000000000004">
      <c r="A11133">
        <f t="shared" si="348"/>
        <v>1980</v>
      </c>
      <c r="B11133" s="821">
        <v>29426</v>
      </c>
      <c r="C11133">
        <v>10.24</v>
      </c>
      <c r="D11133">
        <f t="shared" si="349"/>
        <v>1</v>
      </c>
    </row>
    <row r="11134" spans="1:4" x14ac:dyDescent="0.55000000000000004">
      <c r="A11134">
        <f t="shared" si="348"/>
        <v>1980</v>
      </c>
      <c r="B11134" s="821">
        <v>29425</v>
      </c>
      <c r="C11134">
        <v>10.15</v>
      </c>
      <c r="D11134">
        <f t="shared" si="349"/>
        <v>1</v>
      </c>
    </row>
    <row r="11135" spans="1:4" x14ac:dyDescent="0.55000000000000004">
      <c r="A11135">
        <f t="shared" si="348"/>
        <v>1980</v>
      </c>
      <c r="B11135" s="821">
        <v>29424</v>
      </c>
      <c r="C11135">
        <v>10.18</v>
      </c>
      <c r="D11135">
        <f t="shared" si="349"/>
        <v>1</v>
      </c>
    </row>
    <row r="11136" spans="1:4" x14ac:dyDescent="0.55000000000000004">
      <c r="A11136">
        <f t="shared" si="348"/>
        <v>1980</v>
      </c>
      <c r="B11136" s="821">
        <v>29423</v>
      </c>
      <c r="C11136">
        <v>10.11</v>
      </c>
      <c r="D11136">
        <f t="shared" si="349"/>
        <v>1</v>
      </c>
    </row>
    <row r="11137" spans="1:4" x14ac:dyDescent="0.55000000000000004">
      <c r="A11137">
        <f t="shared" si="348"/>
        <v>1980</v>
      </c>
      <c r="B11137" s="821">
        <v>29420</v>
      </c>
      <c r="C11137">
        <v>10.19</v>
      </c>
      <c r="D11137">
        <f t="shared" si="349"/>
        <v>1</v>
      </c>
    </row>
    <row r="11138" spans="1:4" x14ac:dyDescent="0.55000000000000004">
      <c r="A11138">
        <f t="shared" si="348"/>
        <v>1980</v>
      </c>
      <c r="B11138" s="821">
        <v>29419</v>
      </c>
      <c r="C11138">
        <v>10.15</v>
      </c>
      <c r="D11138">
        <f t="shared" si="349"/>
        <v>1</v>
      </c>
    </row>
    <row r="11139" spans="1:4" x14ac:dyDescent="0.55000000000000004">
      <c r="A11139">
        <f t="shared" si="348"/>
        <v>1980</v>
      </c>
      <c r="B11139" s="821">
        <v>29418</v>
      </c>
      <c r="C11139">
        <v>10.050000000000001</v>
      </c>
      <c r="D11139">
        <f t="shared" si="349"/>
        <v>1</v>
      </c>
    </row>
    <row r="11140" spans="1:4" x14ac:dyDescent="0.55000000000000004">
      <c r="A11140">
        <f t="shared" ref="A11140:A11203" si="350">YEAR(B11140)</f>
        <v>1980</v>
      </c>
      <c r="B11140" s="821">
        <v>29417</v>
      </c>
      <c r="C11140">
        <v>10.19</v>
      </c>
      <c r="D11140">
        <f t="shared" ref="D11140:D11203" si="351">IF(C11140&gt;4,1,0)</f>
        <v>1</v>
      </c>
    </row>
    <row r="11141" spans="1:4" x14ac:dyDescent="0.55000000000000004">
      <c r="A11141">
        <f t="shared" si="350"/>
        <v>1980</v>
      </c>
      <c r="B11141" s="821">
        <v>29416</v>
      </c>
      <c r="C11141">
        <v>10.36</v>
      </c>
      <c r="D11141">
        <f t="shared" si="351"/>
        <v>1</v>
      </c>
    </row>
    <row r="11142" spans="1:4" x14ac:dyDescent="0.55000000000000004">
      <c r="A11142">
        <f t="shared" si="350"/>
        <v>1980</v>
      </c>
      <c r="B11142" s="821">
        <v>29413</v>
      </c>
      <c r="C11142">
        <v>10.3</v>
      </c>
      <c r="D11142">
        <f t="shared" si="351"/>
        <v>1</v>
      </c>
    </row>
    <row r="11143" spans="1:4" x14ac:dyDescent="0.55000000000000004">
      <c r="A11143">
        <f t="shared" si="350"/>
        <v>1980</v>
      </c>
      <c r="B11143" s="821">
        <v>29412</v>
      </c>
      <c r="C11143">
        <v>10.210000000000001</v>
      </c>
      <c r="D11143">
        <f t="shared" si="351"/>
        <v>1</v>
      </c>
    </row>
    <row r="11144" spans="1:4" x14ac:dyDescent="0.55000000000000004">
      <c r="A11144">
        <f t="shared" si="350"/>
        <v>1980</v>
      </c>
      <c r="B11144" s="821">
        <v>29411</v>
      </c>
      <c r="C11144">
        <v>10.14</v>
      </c>
      <c r="D11144">
        <f t="shared" si="351"/>
        <v>1</v>
      </c>
    </row>
    <row r="11145" spans="1:4" x14ac:dyDescent="0.55000000000000004">
      <c r="A11145">
        <f t="shared" si="350"/>
        <v>1980</v>
      </c>
      <c r="B11145" s="821">
        <v>29410</v>
      </c>
      <c r="C11145">
        <v>10.06</v>
      </c>
      <c r="D11145">
        <f t="shared" si="351"/>
        <v>1</v>
      </c>
    </row>
    <row r="11146" spans="1:4" x14ac:dyDescent="0.55000000000000004">
      <c r="A11146">
        <f t="shared" si="350"/>
        <v>1980</v>
      </c>
      <c r="B11146" s="821">
        <v>29409</v>
      </c>
      <c r="C11146">
        <v>10.220000000000001</v>
      </c>
      <c r="D11146">
        <f t="shared" si="351"/>
        <v>1</v>
      </c>
    </row>
    <row r="11147" spans="1:4" x14ac:dyDescent="0.55000000000000004">
      <c r="A11147">
        <f t="shared" si="350"/>
        <v>1980</v>
      </c>
      <c r="B11147" s="821">
        <v>29405</v>
      </c>
      <c r="C11147">
        <v>10</v>
      </c>
      <c r="D11147">
        <f t="shared" si="351"/>
        <v>1</v>
      </c>
    </row>
    <row r="11148" spans="1:4" x14ac:dyDescent="0.55000000000000004">
      <c r="A11148">
        <f t="shared" si="350"/>
        <v>1980</v>
      </c>
      <c r="B11148" s="821">
        <v>29404</v>
      </c>
      <c r="C11148">
        <v>10.119999999999999</v>
      </c>
      <c r="D11148">
        <f t="shared" si="351"/>
        <v>1</v>
      </c>
    </row>
    <row r="11149" spans="1:4" x14ac:dyDescent="0.55000000000000004">
      <c r="A11149">
        <f t="shared" si="350"/>
        <v>1980</v>
      </c>
      <c r="B11149" s="821">
        <v>29403</v>
      </c>
      <c r="C11149">
        <v>10.119999999999999</v>
      </c>
      <c r="D11149">
        <f t="shared" si="351"/>
        <v>1</v>
      </c>
    </row>
    <row r="11150" spans="1:4" x14ac:dyDescent="0.55000000000000004">
      <c r="A11150">
        <f t="shared" si="350"/>
        <v>1980</v>
      </c>
      <c r="B11150" s="821">
        <v>29402</v>
      </c>
      <c r="C11150">
        <v>9.99</v>
      </c>
      <c r="D11150">
        <f t="shared" si="351"/>
        <v>1</v>
      </c>
    </row>
    <row r="11151" spans="1:4" x14ac:dyDescent="0.55000000000000004">
      <c r="A11151">
        <f t="shared" si="350"/>
        <v>1980</v>
      </c>
      <c r="B11151" s="821">
        <v>29399</v>
      </c>
      <c r="C11151">
        <v>9.9700000000000006</v>
      </c>
      <c r="D11151">
        <f t="shared" si="351"/>
        <v>1</v>
      </c>
    </row>
    <row r="11152" spans="1:4" x14ac:dyDescent="0.55000000000000004">
      <c r="A11152">
        <f t="shared" si="350"/>
        <v>1980</v>
      </c>
      <c r="B11152" s="821">
        <v>29398</v>
      </c>
      <c r="C11152">
        <v>9.91</v>
      </c>
      <c r="D11152">
        <f t="shared" si="351"/>
        <v>1</v>
      </c>
    </row>
    <row r="11153" spans="1:4" x14ac:dyDescent="0.55000000000000004">
      <c r="A11153">
        <f t="shared" si="350"/>
        <v>1980</v>
      </c>
      <c r="B11153" s="821">
        <v>29397</v>
      </c>
      <c r="C11153">
        <v>9.7899999999999991</v>
      </c>
      <c r="D11153">
        <f t="shared" si="351"/>
        <v>1</v>
      </c>
    </row>
    <row r="11154" spans="1:4" x14ac:dyDescent="0.55000000000000004">
      <c r="A11154">
        <f t="shared" si="350"/>
        <v>1980</v>
      </c>
      <c r="B11154" s="821">
        <v>29396</v>
      </c>
      <c r="C11154">
        <v>9.6999999999999993</v>
      </c>
      <c r="D11154">
        <f t="shared" si="351"/>
        <v>1</v>
      </c>
    </row>
    <row r="11155" spans="1:4" x14ac:dyDescent="0.55000000000000004">
      <c r="A11155">
        <f t="shared" si="350"/>
        <v>1980</v>
      </c>
      <c r="B11155" s="821">
        <v>29395</v>
      </c>
      <c r="C11155">
        <v>9.66</v>
      </c>
      <c r="D11155">
        <f t="shared" si="351"/>
        <v>1</v>
      </c>
    </row>
    <row r="11156" spans="1:4" x14ac:dyDescent="0.55000000000000004">
      <c r="A11156">
        <f t="shared" si="350"/>
        <v>1980</v>
      </c>
      <c r="B11156" s="821">
        <v>29392</v>
      </c>
      <c r="C11156">
        <v>9.5</v>
      </c>
      <c r="D11156">
        <f t="shared" si="351"/>
        <v>1</v>
      </c>
    </row>
    <row r="11157" spans="1:4" x14ac:dyDescent="0.55000000000000004">
      <c r="A11157">
        <f t="shared" si="350"/>
        <v>1980</v>
      </c>
      <c r="B11157" s="821">
        <v>29391</v>
      </c>
      <c r="C11157">
        <v>9.57</v>
      </c>
      <c r="D11157">
        <f t="shared" si="351"/>
        <v>1</v>
      </c>
    </row>
    <row r="11158" spans="1:4" x14ac:dyDescent="0.55000000000000004">
      <c r="A11158">
        <f t="shared" si="350"/>
        <v>1980</v>
      </c>
      <c r="B11158" s="821">
        <v>29390</v>
      </c>
      <c r="C11158">
        <v>9.6</v>
      </c>
      <c r="D11158">
        <f t="shared" si="351"/>
        <v>1</v>
      </c>
    </row>
    <row r="11159" spans="1:4" x14ac:dyDescent="0.55000000000000004">
      <c r="A11159">
        <f t="shared" si="350"/>
        <v>1980</v>
      </c>
      <c r="B11159" s="821">
        <v>29389</v>
      </c>
      <c r="C11159">
        <v>9.52</v>
      </c>
      <c r="D11159">
        <f t="shared" si="351"/>
        <v>1</v>
      </c>
    </row>
    <row r="11160" spans="1:4" x14ac:dyDescent="0.55000000000000004">
      <c r="A11160">
        <f t="shared" si="350"/>
        <v>1980</v>
      </c>
      <c r="B11160" s="821">
        <v>29388</v>
      </c>
      <c r="C11160">
        <v>9.49</v>
      </c>
      <c r="D11160">
        <f t="shared" si="351"/>
        <v>1</v>
      </c>
    </row>
    <row r="11161" spans="1:4" x14ac:dyDescent="0.55000000000000004">
      <c r="A11161">
        <f t="shared" si="350"/>
        <v>1980</v>
      </c>
      <c r="B11161" s="821">
        <v>29385</v>
      </c>
      <c r="C11161">
        <v>9.49</v>
      </c>
      <c r="D11161">
        <f t="shared" si="351"/>
        <v>1</v>
      </c>
    </row>
    <row r="11162" spans="1:4" x14ac:dyDescent="0.55000000000000004">
      <c r="A11162">
        <f t="shared" si="350"/>
        <v>1980</v>
      </c>
      <c r="B11162" s="821">
        <v>29384</v>
      </c>
      <c r="C11162">
        <v>9.6</v>
      </c>
      <c r="D11162">
        <f t="shared" si="351"/>
        <v>1</v>
      </c>
    </row>
    <row r="11163" spans="1:4" x14ac:dyDescent="0.55000000000000004">
      <c r="A11163">
        <f t="shared" si="350"/>
        <v>1980</v>
      </c>
      <c r="B11163" s="821">
        <v>29383</v>
      </c>
      <c r="C11163">
        <v>9.7899999999999991</v>
      </c>
      <c r="D11163">
        <f t="shared" si="351"/>
        <v>1</v>
      </c>
    </row>
    <row r="11164" spans="1:4" x14ac:dyDescent="0.55000000000000004">
      <c r="A11164">
        <f t="shared" si="350"/>
        <v>1980</v>
      </c>
      <c r="B11164" s="821">
        <v>29382</v>
      </c>
      <c r="C11164">
        <v>9.8800000000000008</v>
      </c>
      <c r="D11164">
        <f t="shared" si="351"/>
        <v>1</v>
      </c>
    </row>
    <row r="11165" spans="1:4" x14ac:dyDescent="0.55000000000000004">
      <c r="A11165">
        <f t="shared" si="350"/>
        <v>1980</v>
      </c>
      <c r="B11165" s="821">
        <v>29381</v>
      </c>
      <c r="C11165">
        <v>9.75</v>
      </c>
      <c r="D11165">
        <f t="shared" si="351"/>
        <v>1</v>
      </c>
    </row>
    <row r="11166" spans="1:4" x14ac:dyDescent="0.55000000000000004">
      <c r="A11166">
        <f t="shared" si="350"/>
        <v>1980</v>
      </c>
      <c r="B11166" s="821">
        <v>29378</v>
      </c>
      <c r="C11166">
        <v>9.8699999999999992</v>
      </c>
      <c r="D11166">
        <f t="shared" si="351"/>
        <v>1</v>
      </c>
    </row>
    <row r="11167" spans="1:4" x14ac:dyDescent="0.55000000000000004">
      <c r="A11167">
        <f t="shared" si="350"/>
        <v>1980</v>
      </c>
      <c r="B11167" s="821">
        <v>29377</v>
      </c>
      <c r="C11167">
        <v>10.08</v>
      </c>
      <c r="D11167">
        <f t="shared" si="351"/>
        <v>1</v>
      </c>
    </row>
    <row r="11168" spans="1:4" x14ac:dyDescent="0.55000000000000004">
      <c r="A11168">
        <f t="shared" si="350"/>
        <v>1980</v>
      </c>
      <c r="B11168" s="821">
        <v>29376</v>
      </c>
      <c r="C11168">
        <v>10.18</v>
      </c>
      <c r="D11168">
        <f t="shared" si="351"/>
        <v>1</v>
      </c>
    </row>
    <row r="11169" spans="1:4" x14ac:dyDescent="0.55000000000000004">
      <c r="A11169">
        <f t="shared" si="350"/>
        <v>1980</v>
      </c>
      <c r="B11169" s="821">
        <v>29375</v>
      </c>
      <c r="C11169">
        <v>10.29</v>
      </c>
      <c r="D11169">
        <f t="shared" si="351"/>
        <v>1</v>
      </c>
    </row>
    <row r="11170" spans="1:4" x14ac:dyDescent="0.55000000000000004">
      <c r="A11170">
        <f t="shared" si="350"/>
        <v>1980</v>
      </c>
      <c r="B11170" s="821">
        <v>29374</v>
      </c>
      <c r="C11170">
        <v>10.45</v>
      </c>
      <c r="D11170">
        <f t="shared" si="351"/>
        <v>1</v>
      </c>
    </row>
    <row r="11171" spans="1:4" x14ac:dyDescent="0.55000000000000004">
      <c r="A11171">
        <f t="shared" si="350"/>
        <v>1980</v>
      </c>
      <c r="B11171" s="821">
        <v>29371</v>
      </c>
      <c r="C11171">
        <v>10.37</v>
      </c>
      <c r="D11171">
        <f t="shared" si="351"/>
        <v>1</v>
      </c>
    </row>
    <row r="11172" spans="1:4" x14ac:dyDescent="0.55000000000000004">
      <c r="A11172">
        <f t="shared" si="350"/>
        <v>1980</v>
      </c>
      <c r="B11172" s="821">
        <v>29370</v>
      </c>
      <c r="C11172">
        <v>10.32</v>
      </c>
      <c r="D11172">
        <f t="shared" si="351"/>
        <v>1</v>
      </c>
    </row>
    <row r="11173" spans="1:4" x14ac:dyDescent="0.55000000000000004">
      <c r="A11173">
        <f t="shared" si="350"/>
        <v>1980</v>
      </c>
      <c r="B11173" s="821">
        <v>29369</v>
      </c>
      <c r="C11173">
        <v>10.220000000000001</v>
      </c>
      <c r="D11173">
        <f t="shared" si="351"/>
        <v>1</v>
      </c>
    </row>
    <row r="11174" spans="1:4" x14ac:dyDescent="0.55000000000000004">
      <c r="A11174">
        <f t="shared" si="350"/>
        <v>1980</v>
      </c>
      <c r="B11174" s="821">
        <v>29368</v>
      </c>
      <c r="C11174">
        <v>10.1</v>
      </c>
      <c r="D11174">
        <f t="shared" si="351"/>
        <v>1</v>
      </c>
    </row>
    <row r="11175" spans="1:4" x14ac:dyDescent="0.55000000000000004">
      <c r="A11175">
        <f t="shared" si="350"/>
        <v>1980</v>
      </c>
      <c r="B11175" s="821">
        <v>29364</v>
      </c>
      <c r="C11175">
        <v>10.09</v>
      </c>
      <c r="D11175">
        <f t="shared" si="351"/>
        <v>1</v>
      </c>
    </row>
    <row r="11176" spans="1:4" x14ac:dyDescent="0.55000000000000004">
      <c r="A11176">
        <f t="shared" si="350"/>
        <v>1980</v>
      </c>
      <c r="B11176" s="821">
        <v>29363</v>
      </c>
      <c r="C11176">
        <v>10.34</v>
      </c>
      <c r="D11176">
        <f t="shared" si="351"/>
        <v>1</v>
      </c>
    </row>
    <row r="11177" spans="1:4" x14ac:dyDescent="0.55000000000000004">
      <c r="A11177">
        <f t="shared" si="350"/>
        <v>1980</v>
      </c>
      <c r="B11177" s="821">
        <v>29362</v>
      </c>
      <c r="C11177">
        <v>10.31</v>
      </c>
      <c r="D11177">
        <f t="shared" si="351"/>
        <v>1</v>
      </c>
    </row>
    <row r="11178" spans="1:4" x14ac:dyDescent="0.55000000000000004">
      <c r="A11178">
        <f t="shared" si="350"/>
        <v>1980</v>
      </c>
      <c r="B11178" s="821">
        <v>29361</v>
      </c>
      <c r="C11178">
        <v>10.47</v>
      </c>
      <c r="D11178">
        <f t="shared" si="351"/>
        <v>1</v>
      </c>
    </row>
    <row r="11179" spans="1:4" x14ac:dyDescent="0.55000000000000004">
      <c r="A11179">
        <f t="shared" si="350"/>
        <v>1980</v>
      </c>
      <c r="B11179" s="821">
        <v>29360</v>
      </c>
      <c r="C11179">
        <v>10.68</v>
      </c>
      <c r="D11179">
        <f t="shared" si="351"/>
        <v>1</v>
      </c>
    </row>
    <row r="11180" spans="1:4" x14ac:dyDescent="0.55000000000000004">
      <c r="A11180">
        <f t="shared" si="350"/>
        <v>1980</v>
      </c>
      <c r="B11180" s="821">
        <v>29357</v>
      </c>
      <c r="C11180">
        <v>10.53</v>
      </c>
      <c r="D11180">
        <f t="shared" si="351"/>
        <v>1</v>
      </c>
    </row>
    <row r="11181" spans="1:4" x14ac:dyDescent="0.55000000000000004">
      <c r="A11181">
        <f t="shared" si="350"/>
        <v>1980</v>
      </c>
      <c r="B11181" s="821">
        <v>29356</v>
      </c>
      <c r="C11181">
        <v>10.46</v>
      </c>
      <c r="D11181">
        <f t="shared" si="351"/>
        <v>1</v>
      </c>
    </row>
    <row r="11182" spans="1:4" x14ac:dyDescent="0.55000000000000004">
      <c r="A11182">
        <f t="shared" si="350"/>
        <v>1980</v>
      </c>
      <c r="B11182" s="821">
        <v>29355</v>
      </c>
      <c r="C11182">
        <v>10.26</v>
      </c>
      <c r="D11182">
        <f t="shared" si="351"/>
        <v>1</v>
      </c>
    </row>
    <row r="11183" spans="1:4" x14ac:dyDescent="0.55000000000000004">
      <c r="A11183">
        <f t="shared" si="350"/>
        <v>1980</v>
      </c>
      <c r="B11183" s="821">
        <v>29354</v>
      </c>
      <c r="C11183">
        <v>10.29</v>
      </c>
      <c r="D11183">
        <f t="shared" si="351"/>
        <v>1</v>
      </c>
    </row>
    <row r="11184" spans="1:4" x14ac:dyDescent="0.55000000000000004">
      <c r="A11184">
        <f t="shared" si="350"/>
        <v>1980</v>
      </c>
      <c r="B11184" s="821">
        <v>29353</v>
      </c>
      <c r="C11184">
        <v>10.44</v>
      </c>
      <c r="D11184">
        <f t="shared" si="351"/>
        <v>1</v>
      </c>
    </row>
    <row r="11185" spans="1:4" x14ac:dyDescent="0.55000000000000004">
      <c r="A11185">
        <f t="shared" si="350"/>
        <v>1980</v>
      </c>
      <c r="B11185" s="821">
        <v>29350</v>
      </c>
      <c r="C11185">
        <v>10.41</v>
      </c>
      <c r="D11185">
        <f t="shared" si="351"/>
        <v>1</v>
      </c>
    </row>
    <row r="11186" spans="1:4" x14ac:dyDescent="0.55000000000000004">
      <c r="A11186">
        <f t="shared" si="350"/>
        <v>1980</v>
      </c>
      <c r="B11186" s="821">
        <v>29349</v>
      </c>
      <c r="C11186">
        <v>10.34</v>
      </c>
      <c r="D11186">
        <f t="shared" si="351"/>
        <v>1</v>
      </c>
    </row>
    <row r="11187" spans="1:4" x14ac:dyDescent="0.55000000000000004">
      <c r="A11187">
        <f t="shared" si="350"/>
        <v>1980</v>
      </c>
      <c r="B11187" s="821">
        <v>29348</v>
      </c>
      <c r="C11187">
        <v>10.19</v>
      </c>
      <c r="D11187">
        <f t="shared" si="351"/>
        <v>1</v>
      </c>
    </row>
    <row r="11188" spans="1:4" x14ac:dyDescent="0.55000000000000004">
      <c r="A11188">
        <f t="shared" si="350"/>
        <v>1980</v>
      </c>
      <c r="B11188" s="821">
        <v>29347</v>
      </c>
      <c r="C11188">
        <v>10.23</v>
      </c>
      <c r="D11188">
        <f t="shared" si="351"/>
        <v>1</v>
      </c>
    </row>
    <row r="11189" spans="1:4" x14ac:dyDescent="0.55000000000000004">
      <c r="A11189">
        <f t="shared" si="350"/>
        <v>1980</v>
      </c>
      <c r="B11189" s="821">
        <v>29346</v>
      </c>
      <c r="C11189">
        <v>10.35</v>
      </c>
      <c r="D11189">
        <f t="shared" si="351"/>
        <v>1</v>
      </c>
    </row>
    <row r="11190" spans="1:4" x14ac:dyDescent="0.55000000000000004">
      <c r="A11190">
        <f t="shared" si="350"/>
        <v>1980</v>
      </c>
      <c r="B11190" s="821">
        <v>29343</v>
      </c>
      <c r="C11190">
        <v>10.47</v>
      </c>
      <c r="D11190">
        <f t="shared" si="351"/>
        <v>1</v>
      </c>
    </row>
    <row r="11191" spans="1:4" x14ac:dyDescent="0.55000000000000004">
      <c r="A11191">
        <f t="shared" si="350"/>
        <v>1980</v>
      </c>
      <c r="B11191" s="821">
        <v>29342</v>
      </c>
      <c r="C11191">
        <v>10.72</v>
      </c>
      <c r="D11191">
        <f t="shared" si="351"/>
        <v>1</v>
      </c>
    </row>
    <row r="11192" spans="1:4" x14ac:dyDescent="0.55000000000000004">
      <c r="A11192">
        <f t="shared" si="350"/>
        <v>1980</v>
      </c>
      <c r="B11192" s="821">
        <v>29341</v>
      </c>
      <c r="C11192">
        <v>10.89</v>
      </c>
      <c r="D11192">
        <f t="shared" si="351"/>
        <v>1</v>
      </c>
    </row>
    <row r="11193" spans="1:4" x14ac:dyDescent="0.55000000000000004">
      <c r="A11193">
        <f t="shared" si="350"/>
        <v>1980</v>
      </c>
      <c r="B11193" s="821">
        <v>29340</v>
      </c>
      <c r="C11193">
        <v>10.89</v>
      </c>
      <c r="D11193">
        <f t="shared" si="351"/>
        <v>1</v>
      </c>
    </row>
    <row r="11194" spans="1:4" x14ac:dyDescent="0.55000000000000004">
      <c r="A11194">
        <f t="shared" si="350"/>
        <v>1980</v>
      </c>
      <c r="B11194" s="821">
        <v>29339</v>
      </c>
      <c r="C11194">
        <v>10.86</v>
      </c>
      <c r="D11194">
        <f t="shared" si="351"/>
        <v>1</v>
      </c>
    </row>
    <row r="11195" spans="1:4" x14ac:dyDescent="0.55000000000000004">
      <c r="A11195">
        <f t="shared" si="350"/>
        <v>1980</v>
      </c>
      <c r="B11195" s="821">
        <v>29336</v>
      </c>
      <c r="C11195">
        <v>11.18</v>
      </c>
      <c r="D11195">
        <f t="shared" si="351"/>
        <v>1</v>
      </c>
    </row>
    <row r="11196" spans="1:4" x14ac:dyDescent="0.55000000000000004">
      <c r="A11196">
        <f t="shared" si="350"/>
        <v>1980</v>
      </c>
      <c r="B11196" s="821">
        <v>29335</v>
      </c>
      <c r="C11196">
        <v>11.13</v>
      </c>
      <c r="D11196">
        <f t="shared" si="351"/>
        <v>1</v>
      </c>
    </row>
    <row r="11197" spans="1:4" x14ac:dyDescent="0.55000000000000004">
      <c r="A11197">
        <f t="shared" si="350"/>
        <v>1980</v>
      </c>
      <c r="B11197" s="821">
        <v>29334</v>
      </c>
      <c r="C11197">
        <v>11.02</v>
      </c>
      <c r="D11197">
        <f t="shared" si="351"/>
        <v>1</v>
      </c>
    </row>
    <row r="11198" spans="1:4" x14ac:dyDescent="0.55000000000000004">
      <c r="A11198">
        <f t="shared" si="350"/>
        <v>1980</v>
      </c>
      <c r="B11198" s="821">
        <v>29333</v>
      </c>
      <c r="C11198">
        <v>10.94</v>
      </c>
      <c r="D11198">
        <f t="shared" si="351"/>
        <v>1</v>
      </c>
    </row>
    <row r="11199" spans="1:4" x14ac:dyDescent="0.55000000000000004">
      <c r="A11199">
        <f t="shared" si="350"/>
        <v>1980</v>
      </c>
      <c r="B11199" s="821">
        <v>29332</v>
      </c>
      <c r="C11199">
        <v>10.96</v>
      </c>
      <c r="D11199">
        <f t="shared" si="351"/>
        <v>1</v>
      </c>
    </row>
    <row r="11200" spans="1:4" x14ac:dyDescent="0.55000000000000004">
      <c r="A11200">
        <f t="shared" si="350"/>
        <v>1980</v>
      </c>
      <c r="B11200" s="821">
        <v>29329</v>
      </c>
      <c r="C11200">
        <v>10.98</v>
      </c>
      <c r="D11200">
        <f t="shared" si="351"/>
        <v>1</v>
      </c>
    </row>
    <row r="11201" spans="1:4" x14ac:dyDescent="0.55000000000000004">
      <c r="A11201">
        <f t="shared" si="350"/>
        <v>1980</v>
      </c>
      <c r="B11201" s="821">
        <v>29328</v>
      </c>
      <c r="C11201">
        <v>10.99</v>
      </c>
      <c r="D11201">
        <f t="shared" si="351"/>
        <v>1</v>
      </c>
    </row>
    <row r="11202" spans="1:4" x14ac:dyDescent="0.55000000000000004">
      <c r="A11202">
        <f t="shared" si="350"/>
        <v>1980</v>
      </c>
      <c r="B11202" s="821">
        <v>29327</v>
      </c>
      <c r="C11202">
        <v>10.91</v>
      </c>
      <c r="D11202">
        <f t="shared" si="351"/>
        <v>1</v>
      </c>
    </row>
    <row r="11203" spans="1:4" x14ac:dyDescent="0.55000000000000004">
      <c r="A11203">
        <f t="shared" si="350"/>
        <v>1980</v>
      </c>
      <c r="B11203" s="821">
        <v>29326</v>
      </c>
      <c r="C11203">
        <v>11.47</v>
      </c>
      <c r="D11203">
        <f t="shared" si="351"/>
        <v>1</v>
      </c>
    </row>
    <row r="11204" spans="1:4" x14ac:dyDescent="0.55000000000000004">
      <c r="A11204">
        <f t="shared" ref="A11204:A11267" si="352">YEAR(B11204)</f>
        <v>1980</v>
      </c>
      <c r="B11204" s="821">
        <v>29325</v>
      </c>
      <c r="C11204">
        <v>11.5</v>
      </c>
      <c r="D11204">
        <f t="shared" ref="D11204:D11267" si="353">IF(C11204&gt;4,1,0)</f>
        <v>1</v>
      </c>
    </row>
    <row r="11205" spans="1:4" x14ac:dyDescent="0.55000000000000004">
      <c r="A11205">
        <f t="shared" si="352"/>
        <v>1980</v>
      </c>
      <c r="B11205" s="821">
        <v>29322</v>
      </c>
      <c r="C11205">
        <v>11.53</v>
      </c>
      <c r="D11205">
        <f t="shared" si="353"/>
        <v>1</v>
      </c>
    </row>
    <row r="11206" spans="1:4" x14ac:dyDescent="0.55000000000000004">
      <c r="A11206">
        <f t="shared" si="352"/>
        <v>1980</v>
      </c>
      <c r="B11206" s="821">
        <v>29321</v>
      </c>
      <c r="C11206">
        <v>11.74</v>
      </c>
      <c r="D11206">
        <f t="shared" si="353"/>
        <v>1</v>
      </c>
    </row>
    <row r="11207" spans="1:4" x14ac:dyDescent="0.55000000000000004">
      <c r="A11207">
        <f t="shared" si="352"/>
        <v>1980</v>
      </c>
      <c r="B11207" s="821">
        <v>29320</v>
      </c>
      <c r="C11207">
        <v>11.79</v>
      </c>
      <c r="D11207">
        <f t="shared" si="353"/>
        <v>1</v>
      </c>
    </row>
    <row r="11208" spans="1:4" x14ac:dyDescent="0.55000000000000004">
      <c r="A11208">
        <f t="shared" si="352"/>
        <v>1980</v>
      </c>
      <c r="B11208" s="821">
        <v>29319</v>
      </c>
      <c r="C11208">
        <v>11.85</v>
      </c>
      <c r="D11208">
        <f t="shared" si="353"/>
        <v>1</v>
      </c>
    </row>
    <row r="11209" spans="1:4" x14ac:dyDescent="0.55000000000000004">
      <c r="A11209">
        <f t="shared" si="352"/>
        <v>1980</v>
      </c>
      <c r="B11209" s="821">
        <v>29318</v>
      </c>
      <c r="C11209">
        <v>11.87</v>
      </c>
      <c r="D11209">
        <f t="shared" si="353"/>
        <v>1</v>
      </c>
    </row>
    <row r="11210" spans="1:4" x14ac:dyDescent="0.55000000000000004">
      <c r="A11210">
        <f t="shared" si="352"/>
        <v>1980</v>
      </c>
      <c r="B11210" s="821">
        <v>29314</v>
      </c>
      <c r="C11210">
        <v>12.27</v>
      </c>
      <c r="D11210">
        <f t="shared" si="353"/>
        <v>1</v>
      </c>
    </row>
    <row r="11211" spans="1:4" x14ac:dyDescent="0.55000000000000004">
      <c r="A11211">
        <f t="shared" si="352"/>
        <v>1980</v>
      </c>
      <c r="B11211" s="821">
        <v>29313</v>
      </c>
      <c r="C11211">
        <v>12.28</v>
      </c>
      <c r="D11211">
        <f t="shared" si="353"/>
        <v>1</v>
      </c>
    </row>
    <row r="11212" spans="1:4" x14ac:dyDescent="0.55000000000000004">
      <c r="A11212">
        <f t="shared" si="352"/>
        <v>1980</v>
      </c>
      <c r="B11212" s="821">
        <v>29312</v>
      </c>
      <c r="C11212">
        <v>12.35</v>
      </c>
      <c r="D11212">
        <f t="shared" si="353"/>
        <v>1</v>
      </c>
    </row>
    <row r="11213" spans="1:4" x14ac:dyDescent="0.55000000000000004">
      <c r="A11213">
        <f t="shared" si="352"/>
        <v>1980</v>
      </c>
      <c r="B11213" s="821">
        <v>29311</v>
      </c>
      <c r="C11213">
        <v>12.31</v>
      </c>
      <c r="D11213">
        <f t="shared" si="353"/>
        <v>1</v>
      </c>
    </row>
    <row r="11214" spans="1:4" x14ac:dyDescent="0.55000000000000004">
      <c r="A11214">
        <f t="shared" si="352"/>
        <v>1980</v>
      </c>
      <c r="B11214" s="821">
        <v>29308</v>
      </c>
      <c r="C11214">
        <v>12.35</v>
      </c>
      <c r="D11214">
        <f t="shared" si="353"/>
        <v>1</v>
      </c>
    </row>
    <row r="11215" spans="1:4" x14ac:dyDescent="0.55000000000000004">
      <c r="A11215">
        <f t="shared" si="352"/>
        <v>1980</v>
      </c>
      <c r="B11215" s="821">
        <v>29307</v>
      </c>
      <c r="C11215">
        <v>12.5</v>
      </c>
      <c r="D11215">
        <f t="shared" si="353"/>
        <v>1</v>
      </c>
    </row>
    <row r="11216" spans="1:4" x14ac:dyDescent="0.55000000000000004">
      <c r="A11216">
        <f t="shared" si="352"/>
        <v>1980</v>
      </c>
      <c r="B11216" s="821">
        <v>29306</v>
      </c>
      <c r="C11216">
        <v>12.56</v>
      </c>
      <c r="D11216">
        <f t="shared" si="353"/>
        <v>1</v>
      </c>
    </row>
    <row r="11217" spans="1:4" x14ac:dyDescent="0.55000000000000004">
      <c r="A11217">
        <f t="shared" si="352"/>
        <v>1980</v>
      </c>
      <c r="B11217" s="821">
        <v>29305</v>
      </c>
      <c r="C11217">
        <v>12.67</v>
      </c>
      <c r="D11217">
        <f t="shared" si="353"/>
        <v>1</v>
      </c>
    </row>
    <row r="11218" spans="1:4" x14ac:dyDescent="0.55000000000000004">
      <c r="A11218">
        <f t="shared" si="352"/>
        <v>1980</v>
      </c>
      <c r="B11218" s="821">
        <v>29304</v>
      </c>
      <c r="C11218">
        <v>12.69</v>
      </c>
      <c r="D11218">
        <f t="shared" si="353"/>
        <v>1</v>
      </c>
    </row>
    <row r="11219" spans="1:4" x14ac:dyDescent="0.55000000000000004">
      <c r="A11219">
        <f t="shared" si="352"/>
        <v>1980</v>
      </c>
      <c r="B11219" s="821">
        <v>29301</v>
      </c>
      <c r="C11219">
        <v>12.28</v>
      </c>
      <c r="D11219">
        <f t="shared" si="353"/>
        <v>1</v>
      </c>
    </row>
    <row r="11220" spans="1:4" x14ac:dyDescent="0.55000000000000004">
      <c r="A11220">
        <f t="shared" si="352"/>
        <v>1980</v>
      </c>
      <c r="B11220" s="821">
        <v>29300</v>
      </c>
      <c r="C11220">
        <v>12.22</v>
      </c>
      <c r="D11220">
        <f t="shared" si="353"/>
        <v>1</v>
      </c>
    </row>
    <row r="11221" spans="1:4" x14ac:dyDescent="0.55000000000000004">
      <c r="A11221">
        <f t="shared" si="352"/>
        <v>1980</v>
      </c>
      <c r="B11221" s="821">
        <v>29299</v>
      </c>
      <c r="C11221">
        <v>11.97</v>
      </c>
      <c r="D11221">
        <f t="shared" si="353"/>
        <v>1</v>
      </c>
    </row>
    <row r="11222" spans="1:4" x14ac:dyDescent="0.55000000000000004">
      <c r="A11222">
        <f t="shared" si="352"/>
        <v>1980</v>
      </c>
      <c r="B11222" s="821">
        <v>29298</v>
      </c>
      <c r="C11222">
        <v>12</v>
      </c>
      <c r="D11222">
        <f t="shared" si="353"/>
        <v>1</v>
      </c>
    </row>
    <row r="11223" spans="1:4" x14ac:dyDescent="0.55000000000000004">
      <c r="A11223">
        <f t="shared" si="352"/>
        <v>1980</v>
      </c>
      <c r="B11223" s="821">
        <v>29297</v>
      </c>
      <c r="C11223">
        <v>12.2</v>
      </c>
      <c r="D11223">
        <f t="shared" si="353"/>
        <v>1</v>
      </c>
    </row>
    <row r="11224" spans="1:4" x14ac:dyDescent="0.55000000000000004">
      <c r="A11224">
        <f t="shared" si="352"/>
        <v>1980</v>
      </c>
      <c r="B11224" s="821">
        <v>29294</v>
      </c>
      <c r="C11224">
        <v>12.21</v>
      </c>
      <c r="D11224">
        <f t="shared" si="353"/>
        <v>1</v>
      </c>
    </row>
    <row r="11225" spans="1:4" x14ac:dyDescent="0.55000000000000004">
      <c r="A11225">
        <f t="shared" si="352"/>
        <v>1980</v>
      </c>
      <c r="B11225" s="821">
        <v>29293</v>
      </c>
      <c r="C11225">
        <v>12.19</v>
      </c>
      <c r="D11225">
        <f t="shared" si="353"/>
        <v>1</v>
      </c>
    </row>
    <row r="11226" spans="1:4" x14ac:dyDescent="0.55000000000000004">
      <c r="A11226">
        <f t="shared" si="352"/>
        <v>1980</v>
      </c>
      <c r="B11226" s="821">
        <v>29292</v>
      </c>
      <c r="C11226">
        <v>12.39</v>
      </c>
      <c r="D11226">
        <f t="shared" si="353"/>
        <v>1</v>
      </c>
    </row>
    <row r="11227" spans="1:4" x14ac:dyDescent="0.55000000000000004">
      <c r="A11227">
        <f t="shared" si="352"/>
        <v>1980</v>
      </c>
      <c r="B11227" s="821">
        <v>29291</v>
      </c>
      <c r="C11227">
        <v>12.12</v>
      </c>
      <c r="D11227">
        <f t="shared" si="353"/>
        <v>1</v>
      </c>
    </row>
    <row r="11228" spans="1:4" x14ac:dyDescent="0.55000000000000004">
      <c r="A11228">
        <f t="shared" si="352"/>
        <v>1980</v>
      </c>
      <c r="B11228" s="821">
        <v>29290</v>
      </c>
      <c r="C11228">
        <v>12.25</v>
      </c>
      <c r="D11228">
        <f t="shared" si="353"/>
        <v>1</v>
      </c>
    </row>
    <row r="11229" spans="1:4" x14ac:dyDescent="0.55000000000000004">
      <c r="A11229">
        <f t="shared" si="352"/>
        <v>1980</v>
      </c>
      <c r="B11229" s="821">
        <v>29287</v>
      </c>
      <c r="C11229">
        <v>12.5</v>
      </c>
      <c r="D11229">
        <f t="shared" si="353"/>
        <v>1</v>
      </c>
    </row>
    <row r="11230" spans="1:4" x14ac:dyDescent="0.55000000000000004">
      <c r="A11230">
        <f t="shared" si="352"/>
        <v>1980</v>
      </c>
      <c r="B11230" s="821">
        <v>29286</v>
      </c>
      <c r="C11230">
        <v>12.64</v>
      </c>
      <c r="D11230">
        <f t="shared" si="353"/>
        <v>1</v>
      </c>
    </row>
    <row r="11231" spans="1:4" x14ac:dyDescent="0.55000000000000004">
      <c r="A11231">
        <f t="shared" si="352"/>
        <v>1980</v>
      </c>
      <c r="B11231" s="821">
        <v>29285</v>
      </c>
      <c r="C11231">
        <v>12.4</v>
      </c>
      <c r="D11231">
        <f t="shared" si="353"/>
        <v>1</v>
      </c>
    </row>
    <row r="11232" spans="1:4" x14ac:dyDescent="0.55000000000000004">
      <c r="A11232">
        <f t="shared" si="352"/>
        <v>1980</v>
      </c>
      <c r="B11232" s="821">
        <v>29284</v>
      </c>
      <c r="C11232">
        <v>12.35</v>
      </c>
      <c r="D11232">
        <f t="shared" si="353"/>
        <v>1</v>
      </c>
    </row>
    <row r="11233" spans="1:4" x14ac:dyDescent="0.55000000000000004">
      <c r="A11233">
        <f t="shared" si="352"/>
        <v>1980</v>
      </c>
      <c r="B11233" s="821">
        <v>29283</v>
      </c>
      <c r="C11233">
        <v>12.32</v>
      </c>
      <c r="D11233">
        <f t="shared" si="353"/>
        <v>1</v>
      </c>
    </row>
    <row r="11234" spans="1:4" x14ac:dyDescent="0.55000000000000004">
      <c r="A11234">
        <f t="shared" si="352"/>
        <v>1980</v>
      </c>
      <c r="B11234" s="821">
        <v>29280</v>
      </c>
      <c r="C11234">
        <v>12.25</v>
      </c>
      <c r="D11234">
        <f t="shared" si="353"/>
        <v>1</v>
      </c>
    </row>
    <row r="11235" spans="1:4" x14ac:dyDescent="0.55000000000000004">
      <c r="A11235">
        <f t="shared" si="352"/>
        <v>1980</v>
      </c>
      <c r="B11235" s="821">
        <v>29279</v>
      </c>
      <c r="C11235">
        <v>12.29</v>
      </c>
      <c r="D11235">
        <f t="shared" si="353"/>
        <v>1</v>
      </c>
    </row>
    <row r="11236" spans="1:4" x14ac:dyDescent="0.55000000000000004">
      <c r="A11236">
        <f t="shared" si="352"/>
        <v>1980</v>
      </c>
      <c r="B11236" s="821">
        <v>29278</v>
      </c>
      <c r="C11236">
        <v>12.76</v>
      </c>
      <c r="D11236">
        <f t="shared" si="353"/>
        <v>1</v>
      </c>
    </row>
    <row r="11237" spans="1:4" x14ac:dyDescent="0.55000000000000004">
      <c r="A11237">
        <f t="shared" si="352"/>
        <v>1980</v>
      </c>
      <c r="B11237" s="821">
        <v>29277</v>
      </c>
      <c r="C11237">
        <v>12.85</v>
      </c>
      <c r="D11237">
        <f t="shared" si="353"/>
        <v>1</v>
      </c>
    </row>
    <row r="11238" spans="1:4" x14ac:dyDescent="0.55000000000000004">
      <c r="A11238">
        <f t="shared" si="352"/>
        <v>1980</v>
      </c>
      <c r="B11238" s="821">
        <v>29276</v>
      </c>
      <c r="C11238">
        <v>12.69</v>
      </c>
      <c r="D11238">
        <f t="shared" si="353"/>
        <v>1</v>
      </c>
    </row>
    <row r="11239" spans="1:4" x14ac:dyDescent="0.55000000000000004">
      <c r="A11239">
        <f t="shared" si="352"/>
        <v>1980</v>
      </c>
      <c r="B11239" s="821">
        <v>29273</v>
      </c>
      <c r="C11239">
        <v>12.59</v>
      </c>
      <c r="D11239">
        <f t="shared" si="353"/>
        <v>1</v>
      </c>
    </row>
    <row r="11240" spans="1:4" x14ac:dyDescent="0.55000000000000004">
      <c r="A11240">
        <f t="shared" si="352"/>
        <v>1980</v>
      </c>
      <c r="B11240" s="821">
        <v>29272</v>
      </c>
      <c r="C11240">
        <v>12.77</v>
      </c>
      <c r="D11240">
        <f t="shared" si="353"/>
        <v>1</v>
      </c>
    </row>
    <row r="11241" spans="1:4" x14ac:dyDescent="0.55000000000000004">
      <c r="A11241">
        <f t="shared" si="352"/>
        <v>1980</v>
      </c>
      <c r="B11241" s="821">
        <v>29271</v>
      </c>
      <c r="C11241">
        <v>12.56</v>
      </c>
      <c r="D11241">
        <f t="shared" si="353"/>
        <v>1</v>
      </c>
    </row>
    <row r="11242" spans="1:4" x14ac:dyDescent="0.55000000000000004">
      <c r="A11242">
        <f t="shared" si="352"/>
        <v>1980</v>
      </c>
      <c r="B11242" s="821">
        <v>29270</v>
      </c>
      <c r="C11242">
        <v>12.61</v>
      </c>
      <c r="D11242">
        <f t="shared" si="353"/>
        <v>1</v>
      </c>
    </row>
    <row r="11243" spans="1:4" x14ac:dyDescent="0.55000000000000004">
      <c r="A11243">
        <f t="shared" si="352"/>
        <v>1980</v>
      </c>
      <c r="B11243" s="821">
        <v>29266</v>
      </c>
      <c r="C11243">
        <v>12.11</v>
      </c>
      <c r="D11243">
        <f t="shared" si="353"/>
        <v>1</v>
      </c>
    </row>
    <row r="11244" spans="1:4" x14ac:dyDescent="0.55000000000000004">
      <c r="A11244">
        <f t="shared" si="352"/>
        <v>1980</v>
      </c>
      <c r="B11244" s="821">
        <v>29265</v>
      </c>
      <c r="C11244">
        <v>11.9</v>
      </c>
      <c r="D11244">
        <f t="shared" si="353"/>
        <v>1</v>
      </c>
    </row>
    <row r="11245" spans="1:4" x14ac:dyDescent="0.55000000000000004">
      <c r="A11245">
        <f t="shared" si="352"/>
        <v>1980</v>
      </c>
      <c r="B11245" s="821">
        <v>29264</v>
      </c>
      <c r="C11245">
        <v>11.82</v>
      </c>
      <c r="D11245">
        <f t="shared" si="353"/>
        <v>1</v>
      </c>
    </row>
    <row r="11246" spans="1:4" x14ac:dyDescent="0.55000000000000004">
      <c r="A11246">
        <f t="shared" si="352"/>
        <v>1980</v>
      </c>
      <c r="B11246" s="821">
        <v>29262</v>
      </c>
      <c r="C11246">
        <v>11.94</v>
      </c>
      <c r="D11246">
        <f t="shared" si="353"/>
        <v>1</v>
      </c>
    </row>
    <row r="11247" spans="1:4" x14ac:dyDescent="0.55000000000000004">
      <c r="A11247">
        <f t="shared" si="352"/>
        <v>1980</v>
      </c>
      <c r="B11247" s="821">
        <v>29259</v>
      </c>
      <c r="C11247">
        <v>11.72</v>
      </c>
      <c r="D11247">
        <f t="shared" si="353"/>
        <v>1</v>
      </c>
    </row>
    <row r="11248" spans="1:4" x14ac:dyDescent="0.55000000000000004">
      <c r="A11248">
        <f t="shared" si="352"/>
        <v>1980</v>
      </c>
      <c r="B11248" s="821">
        <v>29258</v>
      </c>
      <c r="C11248">
        <v>11.7</v>
      </c>
      <c r="D11248">
        <f t="shared" si="353"/>
        <v>1</v>
      </c>
    </row>
    <row r="11249" spans="1:4" x14ac:dyDescent="0.55000000000000004">
      <c r="A11249">
        <f t="shared" si="352"/>
        <v>1980</v>
      </c>
      <c r="B11249" s="821">
        <v>29257</v>
      </c>
      <c r="C11249">
        <v>11.78</v>
      </c>
      <c r="D11249">
        <f t="shared" si="353"/>
        <v>1</v>
      </c>
    </row>
    <row r="11250" spans="1:4" x14ac:dyDescent="0.55000000000000004">
      <c r="A11250">
        <f t="shared" si="352"/>
        <v>1980</v>
      </c>
      <c r="B11250" s="821">
        <v>29256</v>
      </c>
      <c r="C11250">
        <v>11.64</v>
      </c>
      <c r="D11250">
        <f t="shared" si="353"/>
        <v>1</v>
      </c>
    </row>
    <row r="11251" spans="1:4" x14ac:dyDescent="0.55000000000000004">
      <c r="A11251">
        <f t="shared" si="352"/>
        <v>1980</v>
      </c>
      <c r="B11251" s="821">
        <v>29255</v>
      </c>
      <c r="C11251">
        <v>11.32</v>
      </c>
      <c r="D11251">
        <f t="shared" si="353"/>
        <v>1</v>
      </c>
    </row>
    <row r="11252" spans="1:4" x14ac:dyDescent="0.55000000000000004">
      <c r="A11252">
        <f t="shared" si="352"/>
        <v>1980</v>
      </c>
      <c r="B11252" s="821">
        <v>29252</v>
      </c>
      <c r="C11252">
        <v>11.23</v>
      </c>
      <c r="D11252">
        <f t="shared" si="353"/>
        <v>1</v>
      </c>
    </row>
    <row r="11253" spans="1:4" x14ac:dyDescent="0.55000000000000004">
      <c r="A11253">
        <f t="shared" si="352"/>
        <v>1980</v>
      </c>
      <c r="B11253" s="821">
        <v>29251</v>
      </c>
      <c r="C11253">
        <v>11.09</v>
      </c>
      <c r="D11253">
        <f t="shared" si="353"/>
        <v>1</v>
      </c>
    </row>
    <row r="11254" spans="1:4" x14ac:dyDescent="0.55000000000000004">
      <c r="A11254">
        <f t="shared" si="352"/>
        <v>1980</v>
      </c>
      <c r="B11254" s="821">
        <v>29250</v>
      </c>
      <c r="C11254">
        <v>11.11</v>
      </c>
      <c r="D11254">
        <f t="shared" si="353"/>
        <v>1</v>
      </c>
    </row>
    <row r="11255" spans="1:4" x14ac:dyDescent="0.55000000000000004">
      <c r="A11255">
        <f t="shared" si="352"/>
        <v>1980</v>
      </c>
      <c r="B11255" s="821">
        <v>29249</v>
      </c>
      <c r="C11255">
        <v>11.12</v>
      </c>
      <c r="D11255">
        <f t="shared" si="353"/>
        <v>1</v>
      </c>
    </row>
    <row r="11256" spans="1:4" x14ac:dyDescent="0.55000000000000004">
      <c r="A11256">
        <f t="shared" si="352"/>
        <v>1980</v>
      </c>
      <c r="B11256" s="821">
        <v>29248</v>
      </c>
      <c r="C11256">
        <v>11.03</v>
      </c>
      <c r="D11256">
        <f t="shared" si="353"/>
        <v>1</v>
      </c>
    </row>
    <row r="11257" spans="1:4" x14ac:dyDescent="0.55000000000000004">
      <c r="A11257">
        <f t="shared" si="352"/>
        <v>1980</v>
      </c>
      <c r="B11257" s="821">
        <v>29245</v>
      </c>
      <c r="C11257">
        <v>11</v>
      </c>
      <c r="D11257">
        <f t="shared" si="353"/>
        <v>1</v>
      </c>
    </row>
    <row r="11258" spans="1:4" x14ac:dyDescent="0.55000000000000004">
      <c r="A11258">
        <f t="shared" si="352"/>
        <v>1980</v>
      </c>
      <c r="B11258" s="821">
        <v>29244</v>
      </c>
      <c r="C11258">
        <v>10.87</v>
      </c>
      <c r="D11258">
        <f t="shared" si="353"/>
        <v>1</v>
      </c>
    </row>
    <row r="11259" spans="1:4" x14ac:dyDescent="0.55000000000000004">
      <c r="A11259">
        <f t="shared" si="352"/>
        <v>1980</v>
      </c>
      <c r="B11259" s="821">
        <v>29243</v>
      </c>
      <c r="C11259">
        <v>10.68</v>
      </c>
      <c r="D11259">
        <f t="shared" si="353"/>
        <v>1</v>
      </c>
    </row>
    <row r="11260" spans="1:4" x14ac:dyDescent="0.55000000000000004">
      <c r="A11260">
        <f t="shared" si="352"/>
        <v>1980</v>
      </c>
      <c r="B11260" s="821">
        <v>29242</v>
      </c>
      <c r="C11260">
        <v>10.69</v>
      </c>
      <c r="D11260">
        <f t="shared" si="353"/>
        <v>1</v>
      </c>
    </row>
    <row r="11261" spans="1:4" x14ac:dyDescent="0.55000000000000004">
      <c r="A11261">
        <f t="shared" si="352"/>
        <v>1980</v>
      </c>
      <c r="B11261" s="821">
        <v>29241</v>
      </c>
      <c r="C11261">
        <v>10.77</v>
      </c>
      <c r="D11261">
        <f t="shared" si="353"/>
        <v>1</v>
      </c>
    </row>
    <row r="11262" spans="1:4" x14ac:dyDescent="0.55000000000000004">
      <c r="A11262">
        <f t="shared" si="352"/>
        <v>1980</v>
      </c>
      <c r="B11262" s="821">
        <v>29238</v>
      </c>
      <c r="C11262">
        <v>10.61</v>
      </c>
      <c r="D11262">
        <f t="shared" si="353"/>
        <v>1</v>
      </c>
    </row>
    <row r="11263" spans="1:4" x14ac:dyDescent="0.55000000000000004">
      <c r="A11263">
        <f t="shared" si="352"/>
        <v>1980</v>
      </c>
      <c r="B11263" s="821">
        <v>29237</v>
      </c>
      <c r="C11263">
        <v>10.47</v>
      </c>
      <c r="D11263">
        <f t="shared" si="353"/>
        <v>1</v>
      </c>
    </row>
    <row r="11264" spans="1:4" x14ac:dyDescent="0.55000000000000004">
      <c r="A11264">
        <f t="shared" si="352"/>
        <v>1980</v>
      </c>
      <c r="B11264" s="821">
        <v>29236</v>
      </c>
      <c r="C11264">
        <v>10.41</v>
      </c>
      <c r="D11264">
        <f t="shared" si="353"/>
        <v>1</v>
      </c>
    </row>
    <row r="11265" spans="1:4" x14ac:dyDescent="0.55000000000000004">
      <c r="A11265">
        <f t="shared" si="352"/>
        <v>1980</v>
      </c>
      <c r="B11265" s="821">
        <v>29235</v>
      </c>
      <c r="C11265">
        <v>10.4</v>
      </c>
      <c r="D11265">
        <f t="shared" si="353"/>
        <v>1</v>
      </c>
    </row>
    <row r="11266" spans="1:4" x14ac:dyDescent="0.55000000000000004">
      <c r="A11266">
        <f t="shared" si="352"/>
        <v>1980</v>
      </c>
      <c r="B11266" s="821">
        <v>29234</v>
      </c>
      <c r="C11266">
        <v>10.4</v>
      </c>
      <c r="D11266">
        <f t="shared" si="353"/>
        <v>1</v>
      </c>
    </row>
    <row r="11267" spans="1:4" x14ac:dyDescent="0.55000000000000004">
      <c r="A11267">
        <f t="shared" si="352"/>
        <v>1980</v>
      </c>
      <c r="B11267" s="821">
        <v>29231</v>
      </c>
      <c r="C11267">
        <v>10.38</v>
      </c>
      <c r="D11267">
        <f t="shared" si="353"/>
        <v>1</v>
      </c>
    </row>
    <row r="11268" spans="1:4" x14ac:dyDescent="0.55000000000000004">
      <c r="A11268">
        <f t="shared" ref="A11268:A11331" si="354">YEAR(B11268)</f>
        <v>1980</v>
      </c>
      <c r="B11268" s="821">
        <v>29230</v>
      </c>
      <c r="C11268">
        <v>10.26</v>
      </c>
      <c r="D11268">
        <f t="shared" ref="D11268:D11331" si="355">IF(C11268&gt;4,1,0)</f>
        <v>1</v>
      </c>
    </row>
    <row r="11269" spans="1:4" x14ac:dyDescent="0.55000000000000004">
      <c r="A11269">
        <f t="shared" si="354"/>
        <v>1980</v>
      </c>
      <c r="B11269" s="821">
        <v>29229</v>
      </c>
      <c r="C11269">
        <v>10.29</v>
      </c>
      <c r="D11269">
        <f t="shared" si="355"/>
        <v>1</v>
      </c>
    </row>
    <row r="11270" spans="1:4" x14ac:dyDescent="0.55000000000000004">
      <c r="A11270">
        <f t="shared" si="354"/>
        <v>1980</v>
      </c>
      <c r="B11270" s="821">
        <v>29228</v>
      </c>
      <c r="C11270">
        <v>10.28</v>
      </c>
      <c r="D11270">
        <f t="shared" si="355"/>
        <v>1</v>
      </c>
    </row>
    <row r="11271" spans="1:4" x14ac:dyDescent="0.55000000000000004">
      <c r="A11271">
        <f t="shared" si="354"/>
        <v>1980</v>
      </c>
      <c r="B11271" s="821">
        <v>29227</v>
      </c>
      <c r="C11271">
        <v>10.35</v>
      </c>
      <c r="D11271">
        <f t="shared" si="355"/>
        <v>1</v>
      </c>
    </row>
    <row r="11272" spans="1:4" x14ac:dyDescent="0.55000000000000004">
      <c r="A11272">
        <f t="shared" si="354"/>
        <v>1980</v>
      </c>
      <c r="B11272" s="821">
        <v>29224</v>
      </c>
      <c r="C11272">
        <v>10.34</v>
      </c>
      <c r="D11272">
        <f t="shared" si="355"/>
        <v>1</v>
      </c>
    </row>
    <row r="11273" spans="1:4" x14ac:dyDescent="0.55000000000000004">
      <c r="A11273">
        <f t="shared" si="354"/>
        <v>1980</v>
      </c>
      <c r="B11273" s="821">
        <v>29223</v>
      </c>
      <c r="C11273">
        <v>10.31</v>
      </c>
      <c r="D11273">
        <f t="shared" si="355"/>
        <v>1</v>
      </c>
    </row>
    <row r="11274" spans="1:4" x14ac:dyDescent="0.55000000000000004">
      <c r="A11274">
        <f t="shared" si="354"/>
        <v>1980</v>
      </c>
      <c r="B11274" s="821">
        <v>29222</v>
      </c>
      <c r="C11274">
        <v>10.23</v>
      </c>
      <c r="D11274">
        <f t="shared" si="355"/>
        <v>1</v>
      </c>
    </row>
    <row r="11275" spans="1:4" x14ac:dyDescent="0.55000000000000004">
      <c r="A11275">
        <f t="shared" si="354"/>
        <v>1979</v>
      </c>
      <c r="B11275" s="821">
        <v>29220</v>
      </c>
      <c r="C11275">
        <v>10.11</v>
      </c>
      <c r="D11275">
        <f t="shared" si="355"/>
        <v>1</v>
      </c>
    </row>
    <row r="11276" spans="1:4" x14ac:dyDescent="0.55000000000000004">
      <c r="A11276">
        <f t="shared" si="354"/>
        <v>1979</v>
      </c>
      <c r="B11276" s="821">
        <v>29217</v>
      </c>
      <c r="C11276">
        <v>10.16</v>
      </c>
      <c r="D11276">
        <f t="shared" si="355"/>
        <v>1</v>
      </c>
    </row>
    <row r="11277" spans="1:4" x14ac:dyDescent="0.55000000000000004">
      <c r="A11277">
        <f t="shared" si="354"/>
        <v>1979</v>
      </c>
      <c r="B11277" s="821">
        <v>29216</v>
      </c>
      <c r="C11277">
        <v>10.19</v>
      </c>
      <c r="D11277">
        <f t="shared" si="355"/>
        <v>1</v>
      </c>
    </row>
    <row r="11278" spans="1:4" x14ac:dyDescent="0.55000000000000004">
      <c r="A11278">
        <f t="shared" si="354"/>
        <v>1979</v>
      </c>
      <c r="B11278" s="821">
        <v>29215</v>
      </c>
      <c r="C11278">
        <v>10.199999999999999</v>
      </c>
      <c r="D11278">
        <f t="shared" si="355"/>
        <v>1</v>
      </c>
    </row>
    <row r="11279" spans="1:4" x14ac:dyDescent="0.55000000000000004">
      <c r="A11279">
        <f t="shared" si="354"/>
        <v>1979</v>
      </c>
      <c r="B11279" s="821">
        <v>29213</v>
      </c>
      <c r="C11279">
        <v>10.17</v>
      </c>
      <c r="D11279">
        <f t="shared" si="355"/>
        <v>1</v>
      </c>
    </row>
    <row r="11280" spans="1:4" x14ac:dyDescent="0.55000000000000004">
      <c r="A11280">
        <f t="shared" si="354"/>
        <v>1979</v>
      </c>
      <c r="B11280" s="821">
        <v>29210</v>
      </c>
      <c r="C11280">
        <v>10.17</v>
      </c>
      <c r="D11280">
        <f t="shared" si="355"/>
        <v>1</v>
      </c>
    </row>
    <row r="11281" spans="1:4" x14ac:dyDescent="0.55000000000000004">
      <c r="A11281">
        <f t="shared" si="354"/>
        <v>1979</v>
      </c>
      <c r="B11281" s="821">
        <v>29209</v>
      </c>
      <c r="C11281">
        <v>10.130000000000001</v>
      </c>
      <c r="D11281">
        <f t="shared" si="355"/>
        <v>1</v>
      </c>
    </row>
    <row r="11282" spans="1:4" x14ac:dyDescent="0.55000000000000004">
      <c r="A11282">
        <f t="shared" si="354"/>
        <v>1979</v>
      </c>
      <c r="B11282" s="821">
        <v>29208</v>
      </c>
      <c r="C11282">
        <v>10.09</v>
      </c>
      <c r="D11282">
        <f t="shared" si="355"/>
        <v>1</v>
      </c>
    </row>
    <row r="11283" spans="1:4" x14ac:dyDescent="0.55000000000000004">
      <c r="A11283">
        <f t="shared" si="354"/>
        <v>1979</v>
      </c>
      <c r="B11283" s="821">
        <v>29207</v>
      </c>
      <c r="C11283">
        <v>10.11</v>
      </c>
      <c r="D11283">
        <f t="shared" si="355"/>
        <v>1</v>
      </c>
    </row>
    <row r="11284" spans="1:4" x14ac:dyDescent="0.55000000000000004">
      <c r="A11284">
        <f t="shared" si="354"/>
        <v>1979</v>
      </c>
      <c r="B11284" s="821">
        <v>29206</v>
      </c>
      <c r="C11284">
        <v>10.14</v>
      </c>
      <c r="D11284">
        <f t="shared" si="355"/>
        <v>1</v>
      </c>
    </row>
    <row r="11285" spans="1:4" x14ac:dyDescent="0.55000000000000004">
      <c r="A11285">
        <f t="shared" si="354"/>
        <v>1979</v>
      </c>
      <c r="B11285" s="821">
        <v>29203</v>
      </c>
      <c r="C11285">
        <v>10.17</v>
      </c>
      <c r="D11285">
        <f t="shared" si="355"/>
        <v>1</v>
      </c>
    </row>
    <row r="11286" spans="1:4" x14ac:dyDescent="0.55000000000000004">
      <c r="A11286">
        <f t="shared" si="354"/>
        <v>1979</v>
      </c>
      <c r="B11286" s="821">
        <v>29202</v>
      </c>
      <c r="C11286">
        <v>10.23</v>
      </c>
      <c r="D11286">
        <f t="shared" si="355"/>
        <v>1</v>
      </c>
    </row>
    <row r="11287" spans="1:4" x14ac:dyDescent="0.55000000000000004">
      <c r="A11287">
        <f t="shared" si="354"/>
        <v>1979</v>
      </c>
      <c r="B11287" s="821">
        <v>29201</v>
      </c>
      <c r="C11287">
        <v>10.27</v>
      </c>
      <c r="D11287">
        <f t="shared" si="355"/>
        <v>1</v>
      </c>
    </row>
    <row r="11288" spans="1:4" x14ac:dyDescent="0.55000000000000004">
      <c r="A11288">
        <f t="shared" si="354"/>
        <v>1979</v>
      </c>
      <c r="B11288" s="821">
        <v>29200</v>
      </c>
      <c r="C11288">
        <v>10.18</v>
      </c>
      <c r="D11288">
        <f t="shared" si="355"/>
        <v>1</v>
      </c>
    </row>
    <row r="11289" spans="1:4" x14ac:dyDescent="0.55000000000000004">
      <c r="A11289">
        <f t="shared" si="354"/>
        <v>1979</v>
      </c>
      <c r="B11289" s="821">
        <v>29199</v>
      </c>
      <c r="C11289">
        <v>10.029999999999999</v>
      </c>
      <c r="D11289">
        <f t="shared" si="355"/>
        <v>1</v>
      </c>
    </row>
    <row r="11290" spans="1:4" x14ac:dyDescent="0.55000000000000004">
      <c r="A11290">
        <f t="shared" si="354"/>
        <v>1979</v>
      </c>
      <c r="B11290" s="821">
        <v>29196</v>
      </c>
      <c r="C11290">
        <v>10.039999999999999</v>
      </c>
      <c r="D11290">
        <f t="shared" si="355"/>
        <v>1</v>
      </c>
    </row>
    <row r="11291" spans="1:4" x14ac:dyDescent="0.55000000000000004">
      <c r="A11291">
        <f t="shared" si="354"/>
        <v>1979</v>
      </c>
      <c r="B11291" s="821">
        <v>29195</v>
      </c>
      <c r="C11291">
        <v>9.93</v>
      </c>
      <c r="D11291">
        <f t="shared" si="355"/>
        <v>1</v>
      </c>
    </row>
    <row r="11292" spans="1:4" x14ac:dyDescent="0.55000000000000004">
      <c r="A11292">
        <f t="shared" si="354"/>
        <v>1979</v>
      </c>
      <c r="B11292" s="821">
        <v>29194</v>
      </c>
      <c r="C11292">
        <v>10.01</v>
      </c>
      <c r="D11292">
        <f t="shared" si="355"/>
        <v>1</v>
      </c>
    </row>
    <row r="11293" spans="1:4" x14ac:dyDescent="0.55000000000000004">
      <c r="A11293">
        <f t="shared" si="354"/>
        <v>1979</v>
      </c>
      <c r="B11293" s="821">
        <v>29193</v>
      </c>
      <c r="C11293">
        <v>10.039999999999999</v>
      </c>
      <c r="D11293">
        <f t="shared" si="355"/>
        <v>1</v>
      </c>
    </row>
    <row r="11294" spans="1:4" x14ac:dyDescent="0.55000000000000004">
      <c r="A11294">
        <f t="shared" si="354"/>
        <v>1979</v>
      </c>
      <c r="B11294" s="821">
        <v>29192</v>
      </c>
      <c r="C11294">
        <v>10.11</v>
      </c>
      <c r="D11294">
        <f t="shared" si="355"/>
        <v>1</v>
      </c>
    </row>
    <row r="11295" spans="1:4" x14ac:dyDescent="0.55000000000000004">
      <c r="A11295">
        <f t="shared" si="354"/>
        <v>1979</v>
      </c>
      <c r="B11295" s="821">
        <v>29189</v>
      </c>
      <c r="C11295">
        <v>10.09</v>
      </c>
      <c r="D11295">
        <f t="shared" si="355"/>
        <v>1</v>
      </c>
    </row>
    <row r="11296" spans="1:4" x14ac:dyDescent="0.55000000000000004">
      <c r="A11296">
        <f t="shared" si="354"/>
        <v>1979</v>
      </c>
      <c r="B11296" s="821">
        <v>29188</v>
      </c>
      <c r="C11296">
        <v>10.06</v>
      </c>
      <c r="D11296">
        <f t="shared" si="355"/>
        <v>1</v>
      </c>
    </row>
    <row r="11297" spans="1:4" x14ac:dyDescent="0.55000000000000004">
      <c r="A11297">
        <f t="shared" si="354"/>
        <v>1979</v>
      </c>
      <c r="B11297" s="821">
        <v>29187</v>
      </c>
      <c r="C11297">
        <v>10.09</v>
      </c>
      <c r="D11297">
        <f t="shared" si="355"/>
        <v>1</v>
      </c>
    </row>
    <row r="11298" spans="1:4" x14ac:dyDescent="0.55000000000000004">
      <c r="A11298">
        <f t="shared" si="354"/>
        <v>1979</v>
      </c>
      <c r="B11298" s="821">
        <v>29186</v>
      </c>
      <c r="C11298">
        <v>10.02</v>
      </c>
      <c r="D11298">
        <f t="shared" si="355"/>
        <v>1</v>
      </c>
    </row>
    <row r="11299" spans="1:4" x14ac:dyDescent="0.55000000000000004">
      <c r="A11299">
        <f t="shared" si="354"/>
        <v>1979</v>
      </c>
      <c r="B11299" s="821">
        <v>29185</v>
      </c>
      <c r="C11299">
        <v>10.1</v>
      </c>
      <c r="D11299">
        <f t="shared" si="355"/>
        <v>1</v>
      </c>
    </row>
    <row r="11300" spans="1:4" x14ac:dyDescent="0.55000000000000004">
      <c r="A11300">
        <f t="shared" si="354"/>
        <v>1979</v>
      </c>
      <c r="B11300" s="821">
        <v>29182</v>
      </c>
      <c r="C11300">
        <v>10.210000000000001</v>
      </c>
      <c r="D11300">
        <f t="shared" si="355"/>
        <v>1</v>
      </c>
    </row>
    <row r="11301" spans="1:4" x14ac:dyDescent="0.55000000000000004">
      <c r="A11301">
        <f t="shared" si="354"/>
        <v>1979</v>
      </c>
      <c r="B11301" s="821">
        <v>29180</v>
      </c>
      <c r="C11301">
        <v>10.36</v>
      </c>
      <c r="D11301">
        <f t="shared" si="355"/>
        <v>1</v>
      </c>
    </row>
    <row r="11302" spans="1:4" x14ac:dyDescent="0.55000000000000004">
      <c r="A11302">
        <f t="shared" si="354"/>
        <v>1979</v>
      </c>
      <c r="B11302" s="821">
        <v>29179</v>
      </c>
      <c r="C11302">
        <v>10.39</v>
      </c>
      <c r="D11302">
        <f t="shared" si="355"/>
        <v>1</v>
      </c>
    </row>
    <row r="11303" spans="1:4" x14ac:dyDescent="0.55000000000000004">
      <c r="A11303">
        <f t="shared" si="354"/>
        <v>1979</v>
      </c>
      <c r="B11303" s="821">
        <v>29178</v>
      </c>
      <c r="C11303">
        <v>10.42</v>
      </c>
      <c r="D11303">
        <f t="shared" si="355"/>
        <v>1</v>
      </c>
    </row>
    <row r="11304" spans="1:4" x14ac:dyDescent="0.55000000000000004">
      <c r="A11304">
        <f t="shared" si="354"/>
        <v>1979</v>
      </c>
      <c r="B11304" s="821">
        <v>29175</v>
      </c>
      <c r="C11304">
        <v>10.41</v>
      </c>
      <c r="D11304">
        <f t="shared" si="355"/>
        <v>1</v>
      </c>
    </row>
    <row r="11305" spans="1:4" x14ac:dyDescent="0.55000000000000004">
      <c r="A11305">
        <f t="shared" si="354"/>
        <v>1979</v>
      </c>
      <c r="B11305" s="821">
        <v>29174</v>
      </c>
      <c r="C11305">
        <v>10.3</v>
      </c>
      <c r="D11305">
        <f t="shared" si="355"/>
        <v>1</v>
      </c>
    </row>
    <row r="11306" spans="1:4" x14ac:dyDescent="0.55000000000000004">
      <c r="A11306">
        <f t="shared" si="354"/>
        <v>1979</v>
      </c>
      <c r="B11306" s="821">
        <v>29173</v>
      </c>
      <c r="C11306">
        <v>10.4</v>
      </c>
      <c r="D11306">
        <f t="shared" si="355"/>
        <v>1</v>
      </c>
    </row>
    <row r="11307" spans="1:4" x14ac:dyDescent="0.55000000000000004">
      <c r="A11307">
        <f t="shared" si="354"/>
        <v>1979</v>
      </c>
      <c r="B11307" s="821">
        <v>29172</v>
      </c>
      <c r="C11307">
        <v>10.32</v>
      </c>
      <c r="D11307">
        <f t="shared" si="355"/>
        <v>1</v>
      </c>
    </row>
    <row r="11308" spans="1:4" x14ac:dyDescent="0.55000000000000004">
      <c r="A11308">
        <f t="shared" si="354"/>
        <v>1979</v>
      </c>
      <c r="B11308" s="821">
        <v>29168</v>
      </c>
      <c r="C11308">
        <v>10.34</v>
      </c>
      <c r="D11308">
        <f t="shared" si="355"/>
        <v>1</v>
      </c>
    </row>
    <row r="11309" spans="1:4" x14ac:dyDescent="0.55000000000000004">
      <c r="A11309">
        <f t="shared" si="354"/>
        <v>1979</v>
      </c>
      <c r="B11309" s="821">
        <v>29167</v>
      </c>
      <c r="C11309">
        <v>10.51</v>
      </c>
      <c r="D11309">
        <f t="shared" si="355"/>
        <v>1</v>
      </c>
    </row>
    <row r="11310" spans="1:4" x14ac:dyDescent="0.55000000000000004">
      <c r="A11310">
        <f t="shared" si="354"/>
        <v>1979</v>
      </c>
      <c r="B11310" s="821">
        <v>29166</v>
      </c>
      <c r="C11310">
        <v>10.53</v>
      </c>
      <c r="D11310">
        <f t="shared" si="355"/>
        <v>1</v>
      </c>
    </row>
    <row r="11311" spans="1:4" x14ac:dyDescent="0.55000000000000004">
      <c r="A11311">
        <f t="shared" si="354"/>
        <v>1979</v>
      </c>
      <c r="B11311" s="821">
        <v>29164</v>
      </c>
      <c r="C11311">
        <v>10.42</v>
      </c>
      <c r="D11311">
        <f t="shared" si="355"/>
        <v>1</v>
      </c>
    </row>
    <row r="11312" spans="1:4" x14ac:dyDescent="0.55000000000000004">
      <c r="A11312">
        <f t="shared" si="354"/>
        <v>1979</v>
      </c>
      <c r="B11312" s="821">
        <v>29161</v>
      </c>
      <c r="C11312">
        <v>10.44</v>
      </c>
      <c r="D11312">
        <f t="shared" si="355"/>
        <v>1</v>
      </c>
    </row>
    <row r="11313" spans="1:4" x14ac:dyDescent="0.55000000000000004">
      <c r="A11313">
        <f t="shared" si="354"/>
        <v>1979</v>
      </c>
      <c r="B11313" s="821">
        <v>29160</v>
      </c>
      <c r="C11313">
        <v>10.3</v>
      </c>
      <c r="D11313">
        <f t="shared" si="355"/>
        <v>1</v>
      </c>
    </row>
    <row r="11314" spans="1:4" x14ac:dyDescent="0.55000000000000004">
      <c r="A11314">
        <f t="shared" si="354"/>
        <v>1979</v>
      </c>
      <c r="B11314" s="821">
        <v>29159</v>
      </c>
      <c r="C11314">
        <v>10.19</v>
      </c>
      <c r="D11314">
        <f t="shared" si="355"/>
        <v>1</v>
      </c>
    </row>
    <row r="11315" spans="1:4" x14ac:dyDescent="0.55000000000000004">
      <c r="A11315">
        <f t="shared" si="354"/>
        <v>1979</v>
      </c>
      <c r="B11315" s="821">
        <v>29158</v>
      </c>
      <c r="C11315">
        <v>10.17</v>
      </c>
      <c r="D11315">
        <f t="shared" si="355"/>
        <v>1</v>
      </c>
    </row>
    <row r="11316" spans="1:4" x14ac:dyDescent="0.55000000000000004">
      <c r="A11316">
        <f t="shared" si="354"/>
        <v>1979</v>
      </c>
      <c r="B11316" s="821">
        <v>29157</v>
      </c>
      <c r="C11316">
        <v>10.220000000000001</v>
      </c>
      <c r="D11316">
        <f t="shared" si="355"/>
        <v>1</v>
      </c>
    </row>
    <row r="11317" spans="1:4" x14ac:dyDescent="0.55000000000000004">
      <c r="A11317">
        <f t="shared" si="354"/>
        <v>1979</v>
      </c>
      <c r="B11317" s="821">
        <v>29154</v>
      </c>
      <c r="C11317">
        <v>10.119999999999999</v>
      </c>
      <c r="D11317">
        <f t="shared" si="355"/>
        <v>1</v>
      </c>
    </row>
    <row r="11318" spans="1:4" x14ac:dyDescent="0.55000000000000004">
      <c r="A11318">
        <f t="shared" si="354"/>
        <v>1979</v>
      </c>
      <c r="B11318" s="821">
        <v>29153</v>
      </c>
      <c r="C11318">
        <v>10.31</v>
      </c>
      <c r="D11318">
        <f t="shared" si="355"/>
        <v>1</v>
      </c>
    </row>
    <row r="11319" spans="1:4" x14ac:dyDescent="0.55000000000000004">
      <c r="A11319">
        <f t="shared" si="354"/>
        <v>1979</v>
      </c>
      <c r="B11319" s="821">
        <v>29152</v>
      </c>
      <c r="C11319">
        <v>10.199999999999999</v>
      </c>
      <c r="D11319">
        <f t="shared" si="355"/>
        <v>1</v>
      </c>
    </row>
    <row r="11320" spans="1:4" x14ac:dyDescent="0.55000000000000004">
      <c r="A11320">
        <f t="shared" si="354"/>
        <v>1979</v>
      </c>
      <c r="B11320" s="821">
        <v>29151</v>
      </c>
      <c r="C11320">
        <v>10.33</v>
      </c>
      <c r="D11320">
        <f t="shared" si="355"/>
        <v>1</v>
      </c>
    </row>
    <row r="11321" spans="1:4" x14ac:dyDescent="0.55000000000000004">
      <c r="A11321">
        <f t="shared" si="354"/>
        <v>1979</v>
      </c>
      <c r="B11321" s="821">
        <v>29150</v>
      </c>
      <c r="C11321">
        <v>10.29</v>
      </c>
      <c r="D11321">
        <f t="shared" si="355"/>
        <v>1</v>
      </c>
    </row>
    <row r="11322" spans="1:4" x14ac:dyDescent="0.55000000000000004">
      <c r="A11322">
        <f t="shared" si="354"/>
        <v>1979</v>
      </c>
      <c r="B11322" s="821">
        <v>29147</v>
      </c>
      <c r="C11322">
        <v>10.07</v>
      </c>
      <c r="D11322">
        <f t="shared" si="355"/>
        <v>1</v>
      </c>
    </row>
    <row r="11323" spans="1:4" x14ac:dyDescent="0.55000000000000004">
      <c r="A11323">
        <f t="shared" si="354"/>
        <v>1979</v>
      </c>
      <c r="B11323" s="821">
        <v>29146</v>
      </c>
      <c r="C11323">
        <v>9.91</v>
      </c>
      <c r="D11323">
        <f t="shared" si="355"/>
        <v>1</v>
      </c>
    </row>
    <row r="11324" spans="1:4" x14ac:dyDescent="0.55000000000000004">
      <c r="A11324">
        <f t="shared" si="354"/>
        <v>1979</v>
      </c>
      <c r="B11324" s="821">
        <v>29145</v>
      </c>
      <c r="C11324">
        <v>9.75</v>
      </c>
      <c r="D11324">
        <f t="shared" si="355"/>
        <v>1</v>
      </c>
    </row>
    <row r="11325" spans="1:4" x14ac:dyDescent="0.55000000000000004">
      <c r="A11325">
        <f t="shared" si="354"/>
        <v>1979</v>
      </c>
      <c r="B11325" s="821">
        <v>29144</v>
      </c>
      <c r="C11325">
        <v>9.82</v>
      </c>
      <c r="D11325">
        <f t="shared" si="355"/>
        <v>1</v>
      </c>
    </row>
    <row r="11326" spans="1:4" x14ac:dyDescent="0.55000000000000004">
      <c r="A11326">
        <f t="shared" si="354"/>
        <v>1979</v>
      </c>
      <c r="B11326" s="821">
        <v>29143</v>
      </c>
      <c r="C11326">
        <v>9.84</v>
      </c>
      <c r="D11326">
        <f t="shared" si="355"/>
        <v>1</v>
      </c>
    </row>
    <row r="11327" spans="1:4" x14ac:dyDescent="0.55000000000000004">
      <c r="A11327">
        <f t="shared" si="354"/>
        <v>1979</v>
      </c>
      <c r="B11327" s="821">
        <v>29140</v>
      </c>
      <c r="C11327">
        <v>9.76</v>
      </c>
      <c r="D11327">
        <f t="shared" si="355"/>
        <v>1</v>
      </c>
    </row>
    <row r="11328" spans="1:4" x14ac:dyDescent="0.55000000000000004">
      <c r="A11328">
        <f t="shared" si="354"/>
        <v>1979</v>
      </c>
      <c r="B11328" s="821">
        <v>29139</v>
      </c>
      <c r="C11328">
        <v>9.77</v>
      </c>
      <c r="D11328">
        <f t="shared" si="355"/>
        <v>1</v>
      </c>
    </row>
    <row r="11329" spans="1:4" x14ac:dyDescent="0.55000000000000004">
      <c r="A11329">
        <f t="shared" si="354"/>
        <v>1979</v>
      </c>
      <c r="B11329" s="821">
        <v>29138</v>
      </c>
      <c r="C11329">
        <v>9.69</v>
      </c>
      <c r="D11329">
        <f t="shared" si="355"/>
        <v>1</v>
      </c>
    </row>
    <row r="11330" spans="1:4" x14ac:dyDescent="0.55000000000000004">
      <c r="A11330">
        <f t="shared" si="354"/>
        <v>1979</v>
      </c>
      <c r="B11330" s="821">
        <v>29137</v>
      </c>
      <c r="C11330">
        <v>9.61</v>
      </c>
      <c r="D11330">
        <f t="shared" si="355"/>
        <v>1</v>
      </c>
    </row>
    <row r="11331" spans="1:4" x14ac:dyDescent="0.55000000000000004">
      <c r="A11331">
        <f t="shared" si="354"/>
        <v>1979</v>
      </c>
      <c r="B11331" s="821">
        <v>29133</v>
      </c>
      <c r="C11331">
        <v>9.36</v>
      </c>
      <c r="D11331">
        <f t="shared" si="355"/>
        <v>1</v>
      </c>
    </row>
    <row r="11332" spans="1:4" x14ac:dyDescent="0.55000000000000004">
      <c r="A11332">
        <f t="shared" ref="A11332:A11395" si="356">YEAR(B11332)</f>
        <v>1979</v>
      </c>
      <c r="B11332" s="821">
        <v>29132</v>
      </c>
      <c r="C11332">
        <v>9.34</v>
      </c>
      <c r="D11332">
        <f t="shared" ref="D11332:D11395" si="357">IF(C11332&gt;4,1,0)</f>
        <v>1</v>
      </c>
    </row>
    <row r="11333" spans="1:4" x14ac:dyDescent="0.55000000000000004">
      <c r="A11333">
        <f t="shared" si="356"/>
        <v>1979</v>
      </c>
      <c r="B11333" s="821">
        <v>29131</v>
      </c>
      <c r="C11333">
        <v>9.3000000000000007</v>
      </c>
      <c r="D11333">
        <f t="shared" si="357"/>
        <v>1</v>
      </c>
    </row>
    <row r="11334" spans="1:4" x14ac:dyDescent="0.55000000000000004">
      <c r="A11334">
        <f t="shared" si="356"/>
        <v>1979</v>
      </c>
      <c r="B11334" s="821">
        <v>29130</v>
      </c>
      <c r="C11334">
        <v>9.2799999999999994</v>
      </c>
      <c r="D11334">
        <f t="shared" si="357"/>
        <v>1</v>
      </c>
    </row>
    <row r="11335" spans="1:4" x14ac:dyDescent="0.55000000000000004">
      <c r="A11335">
        <f t="shared" si="356"/>
        <v>1979</v>
      </c>
      <c r="B11335" s="821">
        <v>29129</v>
      </c>
      <c r="C11335">
        <v>9.32</v>
      </c>
      <c r="D11335">
        <f t="shared" si="357"/>
        <v>1</v>
      </c>
    </row>
    <row r="11336" spans="1:4" x14ac:dyDescent="0.55000000000000004">
      <c r="A11336">
        <f t="shared" si="356"/>
        <v>1979</v>
      </c>
      <c r="B11336" s="821">
        <v>29126</v>
      </c>
      <c r="C11336">
        <v>9.25</v>
      </c>
      <c r="D11336">
        <f t="shared" si="357"/>
        <v>1</v>
      </c>
    </row>
    <row r="11337" spans="1:4" x14ac:dyDescent="0.55000000000000004">
      <c r="A11337">
        <f t="shared" si="356"/>
        <v>1979</v>
      </c>
      <c r="B11337" s="821">
        <v>29125</v>
      </c>
      <c r="C11337">
        <v>9.25</v>
      </c>
      <c r="D11337">
        <f t="shared" si="357"/>
        <v>1</v>
      </c>
    </row>
    <row r="11338" spans="1:4" x14ac:dyDescent="0.55000000000000004">
      <c r="A11338">
        <f t="shared" si="356"/>
        <v>1979</v>
      </c>
      <c r="B11338" s="821">
        <v>29124</v>
      </c>
      <c r="C11338">
        <v>9.1999999999999993</v>
      </c>
      <c r="D11338">
        <f t="shared" si="357"/>
        <v>1</v>
      </c>
    </row>
    <row r="11339" spans="1:4" x14ac:dyDescent="0.55000000000000004">
      <c r="A11339">
        <f t="shared" si="356"/>
        <v>1979</v>
      </c>
      <c r="B11339" s="821">
        <v>29123</v>
      </c>
      <c r="C11339">
        <v>9.16</v>
      </c>
      <c r="D11339">
        <f t="shared" si="357"/>
        <v>1</v>
      </c>
    </row>
    <row r="11340" spans="1:4" x14ac:dyDescent="0.55000000000000004">
      <c r="A11340">
        <f t="shared" si="356"/>
        <v>1979</v>
      </c>
      <c r="B11340" s="821">
        <v>29122</v>
      </c>
      <c r="C11340">
        <v>9.17</v>
      </c>
      <c r="D11340">
        <f t="shared" si="357"/>
        <v>1</v>
      </c>
    </row>
    <row r="11341" spans="1:4" x14ac:dyDescent="0.55000000000000004">
      <c r="A11341">
        <f t="shared" si="356"/>
        <v>1979</v>
      </c>
      <c r="B11341" s="821">
        <v>29119</v>
      </c>
      <c r="C11341">
        <v>9.11</v>
      </c>
      <c r="D11341">
        <f t="shared" si="357"/>
        <v>1</v>
      </c>
    </row>
    <row r="11342" spans="1:4" x14ac:dyDescent="0.55000000000000004">
      <c r="A11342">
        <f t="shared" si="356"/>
        <v>1979</v>
      </c>
      <c r="B11342" s="821">
        <v>29118</v>
      </c>
      <c r="C11342">
        <v>9.1300000000000008</v>
      </c>
      <c r="D11342">
        <f t="shared" si="357"/>
        <v>1</v>
      </c>
    </row>
    <row r="11343" spans="1:4" x14ac:dyDescent="0.55000000000000004">
      <c r="A11343">
        <f t="shared" si="356"/>
        <v>1979</v>
      </c>
      <c r="B11343" s="821">
        <v>29117</v>
      </c>
      <c r="C11343">
        <v>9.16</v>
      </c>
      <c r="D11343">
        <f t="shared" si="357"/>
        <v>1</v>
      </c>
    </row>
    <row r="11344" spans="1:4" x14ac:dyDescent="0.55000000000000004">
      <c r="A11344">
        <f t="shared" si="356"/>
        <v>1979</v>
      </c>
      <c r="B11344" s="821">
        <v>29116</v>
      </c>
      <c r="C11344">
        <v>9.19</v>
      </c>
      <c r="D11344">
        <f t="shared" si="357"/>
        <v>1</v>
      </c>
    </row>
    <row r="11345" spans="1:4" x14ac:dyDescent="0.55000000000000004">
      <c r="A11345">
        <f t="shared" si="356"/>
        <v>1979</v>
      </c>
      <c r="B11345" s="821">
        <v>29115</v>
      </c>
      <c r="C11345">
        <v>9.19</v>
      </c>
      <c r="D11345">
        <f t="shared" si="357"/>
        <v>1</v>
      </c>
    </row>
    <row r="11346" spans="1:4" x14ac:dyDescent="0.55000000000000004">
      <c r="A11346">
        <f t="shared" si="356"/>
        <v>1979</v>
      </c>
      <c r="B11346" s="821">
        <v>29112</v>
      </c>
      <c r="C11346">
        <v>9.1300000000000008</v>
      </c>
      <c r="D11346">
        <f t="shared" si="357"/>
        <v>1</v>
      </c>
    </row>
    <row r="11347" spans="1:4" x14ac:dyDescent="0.55000000000000004">
      <c r="A11347">
        <f t="shared" si="356"/>
        <v>1979</v>
      </c>
      <c r="B11347" s="821">
        <v>29111</v>
      </c>
      <c r="C11347">
        <v>9.17</v>
      </c>
      <c r="D11347">
        <f t="shared" si="357"/>
        <v>1</v>
      </c>
    </row>
    <row r="11348" spans="1:4" x14ac:dyDescent="0.55000000000000004">
      <c r="A11348">
        <f t="shared" si="356"/>
        <v>1979</v>
      </c>
      <c r="B11348" s="821">
        <v>29110</v>
      </c>
      <c r="C11348">
        <v>9.15</v>
      </c>
      <c r="D11348">
        <f t="shared" si="357"/>
        <v>1</v>
      </c>
    </row>
    <row r="11349" spans="1:4" x14ac:dyDescent="0.55000000000000004">
      <c r="A11349">
        <f t="shared" si="356"/>
        <v>1979</v>
      </c>
      <c r="B11349" s="821">
        <v>29109</v>
      </c>
      <c r="C11349">
        <v>9.1300000000000008</v>
      </c>
      <c r="D11349">
        <f t="shared" si="357"/>
        <v>1</v>
      </c>
    </row>
    <row r="11350" spans="1:4" x14ac:dyDescent="0.55000000000000004">
      <c r="A11350">
        <f t="shared" si="356"/>
        <v>1979</v>
      </c>
      <c r="B11350" s="821">
        <v>29108</v>
      </c>
      <c r="C11350">
        <v>9.19</v>
      </c>
      <c r="D11350">
        <f t="shared" si="357"/>
        <v>1</v>
      </c>
    </row>
    <row r="11351" spans="1:4" x14ac:dyDescent="0.55000000000000004">
      <c r="A11351">
        <f t="shared" si="356"/>
        <v>1979</v>
      </c>
      <c r="B11351" s="821">
        <v>29105</v>
      </c>
      <c r="C11351">
        <v>9.18</v>
      </c>
      <c r="D11351">
        <f t="shared" si="357"/>
        <v>1</v>
      </c>
    </row>
    <row r="11352" spans="1:4" x14ac:dyDescent="0.55000000000000004">
      <c r="A11352">
        <f t="shared" si="356"/>
        <v>1979</v>
      </c>
      <c r="B11352" s="821">
        <v>29104</v>
      </c>
      <c r="C11352">
        <v>9.16</v>
      </c>
      <c r="D11352">
        <f t="shared" si="357"/>
        <v>1</v>
      </c>
    </row>
    <row r="11353" spans="1:4" x14ac:dyDescent="0.55000000000000004">
      <c r="A11353">
        <f t="shared" si="356"/>
        <v>1979</v>
      </c>
      <c r="B11353" s="821">
        <v>29103</v>
      </c>
      <c r="C11353">
        <v>9.15</v>
      </c>
      <c r="D11353">
        <f t="shared" si="357"/>
        <v>1</v>
      </c>
    </row>
    <row r="11354" spans="1:4" x14ac:dyDescent="0.55000000000000004">
      <c r="A11354">
        <f t="shared" si="356"/>
        <v>1979</v>
      </c>
      <c r="B11354" s="821">
        <v>29102</v>
      </c>
      <c r="C11354">
        <v>9.14</v>
      </c>
      <c r="D11354">
        <f t="shared" si="357"/>
        <v>1</v>
      </c>
    </row>
    <row r="11355" spans="1:4" x14ac:dyDescent="0.55000000000000004">
      <c r="A11355">
        <f t="shared" si="356"/>
        <v>1979</v>
      </c>
      <c r="B11355" s="821">
        <v>29098</v>
      </c>
      <c r="C11355">
        <v>9.09</v>
      </c>
      <c r="D11355">
        <f t="shared" si="357"/>
        <v>1</v>
      </c>
    </row>
    <row r="11356" spans="1:4" x14ac:dyDescent="0.55000000000000004">
      <c r="A11356">
        <f t="shared" si="356"/>
        <v>1979</v>
      </c>
      <c r="B11356" s="821">
        <v>29097</v>
      </c>
      <c r="C11356">
        <v>9.07</v>
      </c>
      <c r="D11356">
        <f t="shared" si="357"/>
        <v>1</v>
      </c>
    </row>
    <row r="11357" spans="1:4" x14ac:dyDescent="0.55000000000000004">
      <c r="A11357">
        <f t="shared" si="356"/>
        <v>1979</v>
      </c>
      <c r="B11357" s="821">
        <v>29096</v>
      </c>
      <c r="C11357">
        <v>9.02</v>
      </c>
      <c r="D11357">
        <f t="shared" si="357"/>
        <v>1</v>
      </c>
    </row>
    <row r="11358" spans="1:4" x14ac:dyDescent="0.55000000000000004">
      <c r="A11358">
        <f t="shared" si="356"/>
        <v>1979</v>
      </c>
      <c r="B11358" s="821">
        <v>29095</v>
      </c>
      <c r="C11358">
        <v>9.0299999999999994</v>
      </c>
      <c r="D11358">
        <f t="shared" si="357"/>
        <v>1</v>
      </c>
    </row>
    <row r="11359" spans="1:4" x14ac:dyDescent="0.55000000000000004">
      <c r="A11359">
        <f t="shared" si="356"/>
        <v>1979</v>
      </c>
      <c r="B11359" s="821">
        <v>29094</v>
      </c>
      <c r="C11359">
        <v>9.0299999999999994</v>
      </c>
      <c r="D11359">
        <f t="shared" si="357"/>
        <v>1</v>
      </c>
    </row>
    <row r="11360" spans="1:4" x14ac:dyDescent="0.55000000000000004">
      <c r="A11360">
        <f t="shared" si="356"/>
        <v>1979</v>
      </c>
      <c r="B11360" s="821">
        <v>29091</v>
      </c>
      <c r="C11360">
        <v>9.0500000000000007</v>
      </c>
      <c r="D11360">
        <f t="shared" si="357"/>
        <v>1</v>
      </c>
    </row>
    <row r="11361" spans="1:4" x14ac:dyDescent="0.55000000000000004">
      <c r="A11361">
        <f t="shared" si="356"/>
        <v>1979</v>
      </c>
      <c r="B11361" s="821">
        <v>29090</v>
      </c>
      <c r="C11361">
        <v>9</v>
      </c>
      <c r="D11361">
        <f t="shared" si="357"/>
        <v>1</v>
      </c>
    </row>
    <row r="11362" spans="1:4" x14ac:dyDescent="0.55000000000000004">
      <c r="A11362">
        <f t="shared" si="356"/>
        <v>1979</v>
      </c>
      <c r="B11362" s="821">
        <v>29089</v>
      </c>
      <c r="C11362">
        <v>8.99</v>
      </c>
      <c r="D11362">
        <f t="shared" si="357"/>
        <v>1</v>
      </c>
    </row>
    <row r="11363" spans="1:4" x14ac:dyDescent="0.55000000000000004">
      <c r="A11363">
        <f t="shared" si="356"/>
        <v>1979</v>
      </c>
      <c r="B11363" s="821">
        <v>29088</v>
      </c>
      <c r="C11363">
        <v>8.99</v>
      </c>
      <c r="D11363">
        <f t="shared" si="357"/>
        <v>1</v>
      </c>
    </row>
    <row r="11364" spans="1:4" x14ac:dyDescent="0.55000000000000004">
      <c r="A11364">
        <f t="shared" si="356"/>
        <v>1979</v>
      </c>
      <c r="B11364" s="821">
        <v>29087</v>
      </c>
      <c r="C11364">
        <v>8.9600000000000009</v>
      </c>
      <c r="D11364">
        <f t="shared" si="357"/>
        <v>1</v>
      </c>
    </row>
    <row r="11365" spans="1:4" x14ac:dyDescent="0.55000000000000004">
      <c r="A11365">
        <f t="shared" si="356"/>
        <v>1979</v>
      </c>
      <c r="B11365" s="821">
        <v>29084</v>
      </c>
      <c r="C11365">
        <v>8.9499999999999993</v>
      </c>
      <c r="D11365">
        <f t="shared" si="357"/>
        <v>1</v>
      </c>
    </row>
    <row r="11366" spans="1:4" x14ac:dyDescent="0.55000000000000004">
      <c r="A11366">
        <f t="shared" si="356"/>
        <v>1979</v>
      </c>
      <c r="B11366" s="821">
        <v>29083</v>
      </c>
      <c r="C11366">
        <v>8.9499999999999993</v>
      </c>
      <c r="D11366">
        <f t="shared" si="357"/>
        <v>1</v>
      </c>
    </row>
    <row r="11367" spans="1:4" x14ac:dyDescent="0.55000000000000004">
      <c r="A11367">
        <f t="shared" si="356"/>
        <v>1979</v>
      </c>
      <c r="B11367" s="821">
        <v>29082</v>
      </c>
      <c r="C11367">
        <v>8.9600000000000009</v>
      </c>
      <c r="D11367">
        <f t="shared" si="357"/>
        <v>1</v>
      </c>
    </row>
    <row r="11368" spans="1:4" x14ac:dyDescent="0.55000000000000004">
      <c r="A11368">
        <f t="shared" si="356"/>
        <v>1979</v>
      </c>
      <c r="B11368" s="821">
        <v>29081</v>
      </c>
      <c r="C11368">
        <v>8.9499999999999993</v>
      </c>
      <c r="D11368">
        <f t="shared" si="357"/>
        <v>1</v>
      </c>
    </row>
    <row r="11369" spans="1:4" x14ac:dyDescent="0.55000000000000004">
      <c r="A11369">
        <f t="shared" si="356"/>
        <v>1979</v>
      </c>
      <c r="B11369" s="821">
        <v>29080</v>
      </c>
      <c r="C11369">
        <v>8.9700000000000006</v>
      </c>
      <c r="D11369">
        <f t="shared" si="357"/>
        <v>1</v>
      </c>
    </row>
    <row r="11370" spans="1:4" x14ac:dyDescent="0.55000000000000004">
      <c r="A11370">
        <f t="shared" si="356"/>
        <v>1979</v>
      </c>
      <c r="B11370" s="821">
        <v>29077</v>
      </c>
      <c r="C11370">
        <v>8.9700000000000006</v>
      </c>
      <c r="D11370">
        <f t="shared" si="357"/>
        <v>1</v>
      </c>
    </row>
    <row r="11371" spans="1:4" x14ac:dyDescent="0.55000000000000004">
      <c r="A11371">
        <f t="shared" si="356"/>
        <v>1979</v>
      </c>
      <c r="B11371" s="821">
        <v>29076</v>
      </c>
      <c r="C11371">
        <v>8.9499999999999993</v>
      </c>
      <c r="D11371">
        <f t="shared" si="357"/>
        <v>1</v>
      </c>
    </row>
    <row r="11372" spans="1:4" x14ac:dyDescent="0.55000000000000004">
      <c r="A11372">
        <f t="shared" si="356"/>
        <v>1979</v>
      </c>
      <c r="B11372" s="821">
        <v>29075</v>
      </c>
      <c r="C11372">
        <v>8.91</v>
      </c>
      <c r="D11372">
        <f t="shared" si="357"/>
        <v>1</v>
      </c>
    </row>
    <row r="11373" spans="1:4" x14ac:dyDescent="0.55000000000000004">
      <c r="A11373">
        <f t="shared" si="356"/>
        <v>1979</v>
      </c>
      <c r="B11373" s="821">
        <v>29074</v>
      </c>
      <c r="C11373">
        <v>8.9</v>
      </c>
      <c r="D11373">
        <f t="shared" si="357"/>
        <v>1</v>
      </c>
    </row>
    <row r="11374" spans="1:4" x14ac:dyDescent="0.55000000000000004">
      <c r="A11374">
        <f t="shared" si="356"/>
        <v>1979</v>
      </c>
      <c r="B11374" s="821">
        <v>29073</v>
      </c>
      <c r="C11374">
        <v>8.92</v>
      </c>
      <c r="D11374">
        <f t="shared" si="357"/>
        <v>1</v>
      </c>
    </row>
    <row r="11375" spans="1:4" x14ac:dyDescent="0.55000000000000004">
      <c r="A11375">
        <f t="shared" si="356"/>
        <v>1979</v>
      </c>
      <c r="B11375" s="821">
        <v>29070</v>
      </c>
      <c r="C11375">
        <v>8.94</v>
      </c>
      <c r="D11375">
        <f t="shared" si="357"/>
        <v>1</v>
      </c>
    </row>
    <row r="11376" spans="1:4" x14ac:dyDescent="0.55000000000000004">
      <c r="A11376">
        <f t="shared" si="356"/>
        <v>1979</v>
      </c>
      <c r="B11376" s="821">
        <v>29069</v>
      </c>
      <c r="C11376">
        <v>8.92</v>
      </c>
      <c r="D11376">
        <f t="shared" si="357"/>
        <v>1</v>
      </c>
    </row>
    <row r="11377" spans="1:4" x14ac:dyDescent="0.55000000000000004">
      <c r="A11377">
        <f t="shared" si="356"/>
        <v>1979</v>
      </c>
      <c r="B11377" s="821">
        <v>29068</v>
      </c>
      <c r="C11377">
        <v>8.9700000000000006</v>
      </c>
      <c r="D11377">
        <f t="shared" si="357"/>
        <v>1</v>
      </c>
    </row>
    <row r="11378" spans="1:4" x14ac:dyDescent="0.55000000000000004">
      <c r="A11378">
        <f t="shared" si="356"/>
        <v>1979</v>
      </c>
      <c r="B11378" s="821">
        <v>29067</v>
      </c>
      <c r="C11378">
        <v>8.99</v>
      </c>
      <c r="D11378">
        <f t="shared" si="357"/>
        <v>1</v>
      </c>
    </row>
    <row r="11379" spans="1:4" x14ac:dyDescent="0.55000000000000004">
      <c r="A11379">
        <f t="shared" si="356"/>
        <v>1979</v>
      </c>
      <c r="B11379" s="821">
        <v>29066</v>
      </c>
      <c r="C11379">
        <v>9.01</v>
      </c>
      <c r="D11379">
        <f t="shared" si="357"/>
        <v>1</v>
      </c>
    </row>
    <row r="11380" spans="1:4" x14ac:dyDescent="0.55000000000000004">
      <c r="A11380">
        <f t="shared" si="356"/>
        <v>1979</v>
      </c>
      <c r="B11380" s="821">
        <v>29063</v>
      </c>
      <c r="C11380">
        <v>9.01</v>
      </c>
      <c r="D11380">
        <f t="shared" si="357"/>
        <v>1</v>
      </c>
    </row>
    <row r="11381" spans="1:4" x14ac:dyDescent="0.55000000000000004">
      <c r="A11381">
        <f t="shared" si="356"/>
        <v>1979</v>
      </c>
      <c r="B11381" s="821">
        <v>29062</v>
      </c>
      <c r="C11381">
        <v>8.98</v>
      </c>
      <c r="D11381">
        <f t="shared" si="357"/>
        <v>1</v>
      </c>
    </row>
    <row r="11382" spans="1:4" x14ac:dyDescent="0.55000000000000004">
      <c r="A11382">
        <f t="shared" si="356"/>
        <v>1979</v>
      </c>
      <c r="B11382" s="821">
        <v>29061</v>
      </c>
      <c r="C11382">
        <v>8.9700000000000006</v>
      </c>
      <c r="D11382">
        <f t="shared" si="357"/>
        <v>1</v>
      </c>
    </row>
    <row r="11383" spans="1:4" x14ac:dyDescent="0.55000000000000004">
      <c r="A11383">
        <f t="shared" si="356"/>
        <v>1979</v>
      </c>
      <c r="B11383" s="821">
        <v>29060</v>
      </c>
      <c r="C11383">
        <v>9.01</v>
      </c>
      <c r="D11383">
        <f t="shared" si="357"/>
        <v>1</v>
      </c>
    </row>
    <row r="11384" spans="1:4" x14ac:dyDescent="0.55000000000000004">
      <c r="A11384">
        <f t="shared" si="356"/>
        <v>1979</v>
      </c>
      <c r="B11384" s="821">
        <v>29059</v>
      </c>
      <c r="C11384">
        <v>8.99</v>
      </c>
      <c r="D11384">
        <f t="shared" si="357"/>
        <v>1</v>
      </c>
    </row>
    <row r="11385" spans="1:4" x14ac:dyDescent="0.55000000000000004">
      <c r="A11385">
        <f t="shared" si="356"/>
        <v>1979</v>
      </c>
      <c r="B11385" s="821">
        <v>29056</v>
      </c>
      <c r="C11385">
        <v>8.9499999999999993</v>
      </c>
      <c r="D11385">
        <f t="shared" si="357"/>
        <v>1</v>
      </c>
    </row>
    <row r="11386" spans="1:4" x14ac:dyDescent="0.55000000000000004">
      <c r="A11386">
        <f t="shared" si="356"/>
        <v>1979</v>
      </c>
      <c r="B11386" s="821">
        <v>29055</v>
      </c>
      <c r="C11386">
        <v>8.99</v>
      </c>
      <c r="D11386">
        <f t="shared" si="357"/>
        <v>1</v>
      </c>
    </row>
    <row r="11387" spans="1:4" x14ac:dyDescent="0.55000000000000004">
      <c r="A11387">
        <f t="shared" si="356"/>
        <v>1979</v>
      </c>
      <c r="B11387" s="821">
        <v>29054</v>
      </c>
      <c r="C11387">
        <v>8.99</v>
      </c>
      <c r="D11387">
        <f t="shared" si="357"/>
        <v>1</v>
      </c>
    </row>
    <row r="11388" spans="1:4" x14ac:dyDescent="0.55000000000000004">
      <c r="A11388">
        <f t="shared" si="356"/>
        <v>1979</v>
      </c>
      <c r="B11388" s="821">
        <v>29053</v>
      </c>
      <c r="C11388">
        <v>8.9700000000000006</v>
      </c>
      <c r="D11388">
        <f t="shared" si="357"/>
        <v>1</v>
      </c>
    </row>
    <row r="11389" spans="1:4" x14ac:dyDescent="0.55000000000000004">
      <c r="A11389">
        <f t="shared" si="356"/>
        <v>1979</v>
      </c>
      <c r="B11389" s="821">
        <v>29052</v>
      </c>
      <c r="C11389">
        <v>8.9499999999999993</v>
      </c>
      <c r="D11389">
        <f t="shared" si="357"/>
        <v>1</v>
      </c>
    </row>
    <row r="11390" spans="1:4" x14ac:dyDescent="0.55000000000000004">
      <c r="A11390">
        <f t="shared" si="356"/>
        <v>1979</v>
      </c>
      <c r="B11390" s="821">
        <v>29049</v>
      </c>
      <c r="C11390">
        <v>8.91</v>
      </c>
      <c r="D11390">
        <f t="shared" si="357"/>
        <v>1</v>
      </c>
    </row>
    <row r="11391" spans="1:4" x14ac:dyDescent="0.55000000000000004">
      <c r="A11391">
        <f t="shared" si="356"/>
        <v>1979</v>
      </c>
      <c r="B11391" s="821">
        <v>29048</v>
      </c>
      <c r="C11391">
        <v>8.91</v>
      </c>
      <c r="D11391">
        <f t="shared" si="357"/>
        <v>1</v>
      </c>
    </row>
    <row r="11392" spans="1:4" x14ac:dyDescent="0.55000000000000004">
      <c r="A11392">
        <f t="shared" si="356"/>
        <v>1979</v>
      </c>
      <c r="B11392" s="821">
        <v>29047</v>
      </c>
      <c r="C11392">
        <v>8.93</v>
      </c>
      <c r="D11392">
        <f t="shared" si="357"/>
        <v>1</v>
      </c>
    </row>
    <row r="11393" spans="1:4" x14ac:dyDescent="0.55000000000000004">
      <c r="A11393">
        <f t="shared" si="356"/>
        <v>1979</v>
      </c>
      <c r="B11393" s="821">
        <v>29046</v>
      </c>
      <c r="C11393">
        <v>8.89</v>
      </c>
      <c r="D11393">
        <f t="shared" si="357"/>
        <v>1</v>
      </c>
    </row>
    <row r="11394" spans="1:4" x14ac:dyDescent="0.55000000000000004">
      <c r="A11394">
        <f t="shared" si="356"/>
        <v>1979</v>
      </c>
      <c r="B11394" s="821">
        <v>29045</v>
      </c>
      <c r="C11394">
        <v>8.86</v>
      </c>
      <c r="D11394">
        <f t="shared" si="357"/>
        <v>1</v>
      </c>
    </row>
    <row r="11395" spans="1:4" x14ac:dyDescent="0.55000000000000004">
      <c r="A11395">
        <f t="shared" si="356"/>
        <v>1979</v>
      </c>
      <c r="B11395" s="821">
        <v>29042</v>
      </c>
      <c r="C11395">
        <v>8.83</v>
      </c>
      <c r="D11395">
        <f t="shared" si="357"/>
        <v>1</v>
      </c>
    </row>
    <row r="11396" spans="1:4" x14ac:dyDescent="0.55000000000000004">
      <c r="A11396">
        <f t="shared" ref="A11396:A11459" si="358">YEAR(B11396)</f>
        <v>1979</v>
      </c>
      <c r="B11396" s="821">
        <v>29041</v>
      </c>
      <c r="C11396">
        <v>8.82</v>
      </c>
      <c r="D11396">
        <f t="shared" ref="D11396:D11459" si="359">IF(C11396&gt;4,1,0)</f>
        <v>1</v>
      </c>
    </row>
    <row r="11397" spans="1:4" x14ac:dyDescent="0.55000000000000004">
      <c r="A11397">
        <f t="shared" si="358"/>
        <v>1979</v>
      </c>
      <c r="B11397" s="821">
        <v>29039</v>
      </c>
      <c r="C11397">
        <v>8.81</v>
      </c>
      <c r="D11397">
        <f t="shared" si="359"/>
        <v>1</v>
      </c>
    </row>
    <row r="11398" spans="1:4" x14ac:dyDescent="0.55000000000000004">
      <c r="A11398">
        <f t="shared" si="358"/>
        <v>1979</v>
      </c>
      <c r="B11398" s="821">
        <v>29038</v>
      </c>
      <c r="C11398">
        <v>8.8000000000000007</v>
      </c>
      <c r="D11398">
        <f t="shared" si="359"/>
        <v>1</v>
      </c>
    </row>
    <row r="11399" spans="1:4" x14ac:dyDescent="0.55000000000000004">
      <c r="A11399">
        <f t="shared" si="358"/>
        <v>1979</v>
      </c>
      <c r="B11399" s="821">
        <v>29035</v>
      </c>
      <c r="C11399">
        <v>8.83</v>
      </c>
      <c r="D11399">
        <f t="shared" si="359"/>
        <v>1</v>
      </c>
    </row>
    <row r="11400" spans="1:4" x14ac:dyDescent="0.55000000000000004">
      <c r="A11400">
        <f t="shared" si="358"/>
        <v>1979</v>
      </c>
      <c r="B11400" s="821">
        <v>29034</v>
      </c>
      <c r="C11400">
        <v>8.84</v>
      </c>
      <c r="D11400">
        <f t="shared" si="359"/>
        <v>1</v>
      </c>
    </row>
    <row r="11401" spans="1:4" x14ac:dyDescent="0.55000000000000004">
      <c r="A11401">
        <f t="shared" si="358"/>
        <v>1979</v>
      </c>
      <c r="B11401" s="821">
        <v>29033</v>
      </c>
      <c r="C11401">
        <v>8.83</v>
      </c>
      <c r="D11401">
        <f t="shared" si="359"/>
        <v>1</v>
      </c>
    </row>
    <row r="11402" spans="1:4" x14ac:dyDescent="0.55000000000000004">
      <c r="A11402">
        <f t="shared" si="358"/>
        <v>1979</v>
      </c>
      <c r="B11402" s="821">
        <v>29032</v>
      </c>
      <c r="C11402">
        <v>8.84</v>
      </c>
      <c r="D11402">
        <f t="shared" si="359"/>
        <v>1</v>
      </c>
    </row>
    <row r="11403" spans="1:4" x14ac:dyDescent="0.55000000000000004">
      <c r="A11403">
        <f t="shared" si="358"/>
        <v>1979</v>
      </c>
      <c r="B11403" s="821">
        <v>29031</v>
      </c>
      <c r="C11403">
        <v>8.92</v>
      </c>
      <c r="D11403">
        <f t="shared" si="359"/>
        <v>1</v>
      </c>
    </row>
    <row r="11404" spans="1:4" x14ac:dyDescent="0.55000000000000004">
      <c r="A11404">
        <f t="shared" si="358"/>
        <v>1979</v>
      </c>
      <c r="B11404" s="821">
        <v>29028</v>
      </c>
      <c r="C11404">
        <v>8.9499999999999993</v>
      </c>
      <c r="D11404">
        <f t="shared" si="359"/>
        <v>1</v>
      </c>
    </row>
    <row r="11405" spans="1:4" x14ac:dyDescent="0.55000000000000004">
      <c r="A11405">
        <f t="shared" si="358"/>
        <v>1979</v>
      </c>
      <c r="B11405" s="821">
        <v>29027</v>
      </c>
      <c r="C11405">
        <v>8.92</v>
      </c>
      <c r="D11405">
        <f t="shared" si="359"/>
        <v>1</v>
      </c>
    </row>
    <row r="11406" spans="1:4" x14ac:dyDescent="0.55000000000000004">
      <c r="A11406">
        <f t="shared" si="358"/>
        <v>1979</v>
      </c>
      <c r="B11406" s="821">
        <v>29026</v>
      </c>
      <c r="C11406">
        <v>8.92</v>
      </c>
      <c r="D11406">
        <f t="shared" si="359"/>
        <v>1</v>
      </c>
    </row>
    <row r="11407" spans="1:4" x14ac:dyDescent="0.55000000000000004">
      <c r="A11407">
        <f t="shared" si="358"/>
        <v>1979</v>
      </c>
      <c r="B11407" s="821">
        <v>29025</v>
      </c>
      <c r="C11407">
        <v>8.94</v>
      </c>
      <c r="D11407">
        <f t="shared" si="359"/>
        <v>1</v>
      </c>
    </row>
    <row r="11408" spans="1:4" x14ac:dyDescent="0.55000000000000004">
      <c r="A11408">
        <f t="shared" si="358"/>
        <v>1979</v>
      </c>
      <c r="B11408" s="821">
        <v>29024</v>
      </c>
      <c r="C11408">
        <v>8.93</v>
      </c>
      <c r="D11408">
        <f t="shared" si="359"/>
        <v>1</v>
      </c>
    </row>
    <row r="11409" spans="1:4" x14ac:dyDescent="0.55000000000000004">
      <c r="A11409">
        <f t="shared" si="358"/>
        <v>1979</v>
      </c>
      <c r="B11409" s="821">
        <v>29021</v>
      </c>
      <c r="C11409">
        <v>8.94</v>
      </c>
      <c r="D11409">
        <f t="shared" si="359"/>
        <v>1</v>
      </c>
    </row>
    <row r="11410" spans="1:4" x14ac:dyDescent="0.55000000000000004">
      <c r="A11410">
        <f t="shared" si="358"/>
        <v>1979</v>
      </c>
      <c r="B11410" s="821">
        <v>29020</v>
      </c>
      <c r="C11410">
        <v>8.89</v>
      </c>
      <c r="D11410">
        <f t="shared" si="359"/>
        <v>1</v>
      </c>
    </row>
    <row r="11411" spans="1:4" x14ac:dyDescent="0.55000000000000004">
      <c r="A11411">
        <f t="shared" si="358"/>
        <v>1979</v>
      </c>
      <c r="B11411" s="821">
        <v>29019</v>
      </c>
      <c r="C11411">
        <v>8.8699999999999992</v>
      </c>
      <c r="D11411">
        <f t="shared" si="359"/>
        <v>1</v>
      </c>
    </row>
    <row r="11412" spans="1:4" x14ac:dyDescent="0.55000000000000004">
      <c r="A11412">
        <f t="shared" si="358"/>
        <v>1979</v>
      </c>
      <c r="B11412" s="821">
        <v>29018</v>
      </c>
      <c r="C11412">
        <v>8.84</v>
      </c>
      <c r="D11412">
        <f t="shared" si="359"/>
        <v>1</v>
      </c>
    </row>
    <row r="11413" spans="1:4" x14ac:dyDescent="0.55000000000000004">
      <c r="A11413">
        <f t="shared" si="358"/>
        <v>1979</v>
      </c>
      <c r="B11413" s="821">
        <v>29017</v>
      </c>
      <c r="C11413">
        <v>8.94</v>
      </c>
      <c r="D11413">
        <f t="shared" si="359"/>
        <v>1</v>
      </c>
    </row>
    <row r="11414" spans="1:4" x14ac:dyDescent="0.55000000000000004">
      <c r="A11414">
        <f t="shared" si="358"/>
        <v>1979</v>
      </c>
      <c r="B11414" s="821">
        <v>29014</v>
      </c>
      <c r="C11414">
        <v>8.91</v>
      </c>
      <c r="D11414">
        <f t="shared" si="359"/>
        <v>1</v>
      </c>
    </row>
    <row r="11415" spans="1:4" x14ac:dyDescent="0.55000000000000004">
      <c r="A11415">
        <f t="shared" si="358"/>
        <v>1979</v>
      </c>
      <c r="B11415" s="821">
        <v>29013</v>
      </c>
      <c r="C11415">
        <v>8.9</v>
      </c>
      <c r="D11415">
        <f t="shared" si="359"/>
        <v>1</v>
      </c>
    </row>
    <row r="11416" spans="1:4" x14ac:dyDescent="0.55000000000000004">
      <c r="A11416">
        <f t="shared" si="358"/>
        <v>1979</v>
      </c>
      <c r="B11416" s="821">
        <v>29012</v>
      </c>
      <c r="C11416">
        <v>9</v>
      </c>
      <c r="D11416">
        <f t="shared" si="359"/>
        <v>1</v>
      </c>
    </row>
    <row r="11417" spans="1:4" x14ac:dyDescent="0.55000000000000004">
      <c r="A11417">
        <f t="shared" si="358"/>
        <v>1979</v>
      </c>
      <c r="B11417" s="821">
        <v>29011</v>
      </c>
      <c r="C11417">
        <v>9.0399999999999991</v>
      </c>
      <c r="D11417">
        <f t="shared" si="359"/>
        <v>1</v>
      </c>
    </row>
    <row r="11418" spans="1:4" x14ac:dyDescent="0.55000000000000004">
      <c r="A11418">
        <f t="shared" si="358"/>
        <v>1979</v>
      </c>
      <c r="B11418" s="821">
        <v>29010</v>
      </c>
      <c r="C11418">
        <v>9.07</v>
      </c>
      <c r="D11418">
        <f t="shared" si="359"/>
        <v>1</v>
      </c>
    </row>
    <row r="11419" spans="1:4" x14ac:dyDescent="0.55000000000000004">
      <c r="A11419">
        <f t="shared" si="358"/>
        <v>1979</v>
      </c>
      <c r="B11419" s="821">
        <v>29007</v>
      </c>
      <c r="C11419">
        <v>9.07</v>
      </c>
      <c r="D11419">
        <f t="shared" si="359"/>
        <v>1</v>
      </c>
    </row>
    <row r="11420" spans="1:4" x14ac:dyDescent="0.55000000000000004">
      <c r="A11420">
        <f t="shared" si="358"/>
        <v>1979</v>
      </c>
      <c r="B11420" s="821">
        <v>29006</v>
      </c>
      <c r="C11420">
        <v>9.08</v>
      </c>
      <c r="D11420">
        <f t="shared" si="359"/>
        <v>1</v>
      </c>
    </row>
    <row r="11421" spans="1:4" x14ac:dyDescent="0.55000000000000004">
      <c r="A11421">
        <f t="shared" si="358"/>
        <v>1979</v>
      </c>
      <c r="B11421" s="821">
        <v>29004</v>
      </c>
      <c r="C11421">
        <v>9.0299999999999994</v>
      </c>
      <c r="D11421">
        <f t="shared" si="359"/>
        <v>1</v>
      </c>
    </row>
    <row r="11422" spans="1:4" x14ac:dyDescent="0.55000000000000004">
      <c r="A11422">
        <f t="shared" si="358"/>
        <v>1979</v>
      </c>
      <c r="B11422" s="821">
        <v>29000</v>
      </c>
      <c r="C11422">
        <v>9.0299999999999994</v>
      </c>
      <c r="D11422">
        <f t="shared" si="359"/>
        <v>1</v>
      </c>
    </row>
    <row r="11423" spans="1:4" x14ac:dyDescent="0.55000000000000004">
      <c r="A11423">
        <f t="shared" si="358"/>
        <v>1979</v>
      </c>
      <c r="B11423" s="821">
        <v>28999</v>
      </c>
      <c r="C11423">
        <v>9.07</v>
      </c>
      <c r="D11423">
        <f t="shared" si="359"/>
        <v>1</v>
      </c>
    </row>
    <row r="11424" spans="1:4" x14ac:dyDescent="0.55000000000000004">
      <c r="A11424">
        <f t="shared" si="358"/>
        <v>1979</v>
      </c>
      <c r="B11424" s="821">
        <v>28998</v>
      </c>
      <c r="C11424">
        <v>9.09</v>
      </c>
      <c r="D11424">
        <f t="shared" si="359"/>
        <v>1</v>
      </c>
    </row>
    <row r="11425" spans="1:4" x14ac:dyDescent="0.55000000000000004">
      <c r="A11425">
        <f t="shared" si="358"/>
        <v>1979</v>
      </c>
      <c r="B11425" s="821">
        <v>28997</v>
      </c>
      <c r="C11425">
        <v>9.16</v>
      </c>
      <c r="D11425">
        <f t="shared" si="359"/>
        <v>1</v>
      </c>
    </row>
    <row r="11426" spans="1:4" x14ac:dyDescent="0.55000000000000004">
      <c r="A11426">
        <f t="shared" si="358"/>
        <v>1979</v>
      </c>
      <c r="B11426" s="821">
        <v>28996</v>
      </c>
      <c r="C11426">
        <v>9.1999999999999993</v>
      </c>
      <c r="D11426">
        <f t="shared" si="359"/>
        <v>1</v>
      </c>
    </row>
    <row r="11427" spans="1:4" x14ac:dyDescent="0.55000000000000004">
      <c r="A11427">
        <f t="shared" si="358"/>
        <v>1979</v>
      </c>
      <c r="B11427" s="821">
        <v>28993</v>
      </c>
      <c r="C11427">
        <v>9.18</v>
      </c>
      <c r="D11427">
        <f t="shared" si="359"/>
        <v>1</v>
      </c>
    </row>
    <row r="11428" spans="1:4" x14ac:dyDescent="0.55000000000000004">
      <c r="A11428">
        <f t="shared" si="358"/>
        <v>1979</v>
      </c>
      <c r="B11428" s="821">
        <v>28992</v>
      </c>
      <c r="C11428">
        <v>9.1999999999999993</v>
      </c>
      <c r="D11428">
        <f t="shared" si="359"/>
        <v>1</v>
      </c>
    </row>
    <row r="11429" spans="1:4" x14ac:dyDescent="0.55000000000000004">
      <c r="A11429">
        <f t="shared" si="358"/>
        <v>1979</v>
      </c>
      <c r="B11429" s="821">
        <v>28991</v>
      </c>
      <c r="C11429">
        <v>9.2200000000000006</v>
      </c>
      <c r="D11429">
        <f t="shared" si="359"/>
        <v>1</v>
      </c>
    </row>
    <row r="11430" spans="1:4" x14ac:dyDescent="0.55000000000000004">
      <c r="A11430">
        <f t="shared" si="358"/>
        <v>1979</v>
      </c>
      <c r="B11430" s="821">
        <v>28990</v>
      </c>
      <c r="C11430">
        <v>9.24</v>
      </c>
      <c r="D11430">
        <f t="shared" si="359"/>
        <v>1</v>
      </c>
    </row>
    <row r="11431" spans="1:4" x14ac:dyDescent="0.55000000000000004">
      <c r="A11431">
        <f t="shared" si="358"/>
        <v>1979</v>
      </c>
      <c r="B11431" s="821">
        <v>28989</v>
      </c>
      <c r="C11431">
        <v>9.2200000000000006</v>
      </c>
      <c r="D11431">
        <f t="shared" si="359"/>
        <v>1</v>
      </c>
    </row>
    <row r="11432" spans="1:4" x14ac:dyDescent="0.55000000000000004">
      <c r="A11432">
        <f t="shared" si="358"/>
        <v>1979</v>
      </c>
      <c r="B11432" s="821">
        <v>28986</v>
      </c>
      <c r="C11432">
        <v>9.26</v>
      </c>
      <c r="D11432">
        <f t="shared" si="359"/>
        <v>1</v>
      </c>
    </row>
    <row r="11433" spans="1:4" x14ac:dyDescent="0.55000000000000004">
      <c r="A11433">
        <f t="shared" si="358"/>
        <v>1979</v>
      </c>
      <c r="B11433" s="821">
        <v>28985</v>
      </c>
      <c r="C11433">
        <v>9.27</v>
      </c>
      <c r="D11433">
        <f t="shared" si="359"/>
        <v>1</v>
      </c>
    </row>
    <row r="11434" spans="1:4" x14ac:dyDescent="0.55000000000000004">
      <c r="A11434">
        <f t="shared" si="358"/>
        <v>1979</v>
      </c>
      <c r="B11434" s="821">
        <v>28984</v>
      </c>
      <c r="C11434">
        <v>9.26</v>
      </c>
      <c r="D11434">
        <f t="shared" si="359"/>
        <v>1</v>
      </c>
    </row>
    <row r="11435" spans="1:4" x14ac:dyDescent="0.55000000000000004">
      <c r="A11435">
        <f t="shared" si="358"/>
        <v>1979</v>
      </c>
      <c r="B11435" s="821">
        <v>28983</v>
      </c>
      <c r="C11435">
        <v>9.2799999999999994</v>
      </c>
      <c r="D11435">
        <f t="shared" si="359"/>
        <v>1</v>
      </c>
    </row>
    <row r="11436" spans="1:4" x14ac:dyDescent="0.55000000000000004">
      <c r="A11436">
        <f t="shared" si="358"/>
        <v>1979</v>
      </c>
      <c r="B11436" s="821">
        <v>28982</v>
      </c>
      <c r="C11436">
        <v>9.2799999999999994</v>
      </c>
      <c r="D11436">
        <f t="shared" si="359"/>
        <v>1</v>
      </c>
    </row>
    <row r="11437" spans="1:4" x14ac:dyDescent="0.55000000000000004">
      <c r="A11437">
        <f t="shared" si="358"/>
        <v>1979</v>
      </c>
      <c r="B11437" s="821">
        <v>28979</v>
      </c>
      <c r="C11437">
        <v>9.2899999999999991</v>
      </c>
      <c r="D11437">
        <f t="shared" si="359"/>
        <v>1</v>
      </c>
    </row>
    <row r="11438" spans="1:4" x14ac:dyDescent="0.55000000000000004">
      <c r="A11438">
        <f t="shared" si="358"/>
        <v>1979</v>
      </c>
      <c r="B11438" s="821">
        <v>28978</v>
      </c>
      <c r="C11438">
        <v>9.27</v>
      </c>
      <c r="D11438">
        <f t="shared" si="359"/>
        <v>1</v>
      </c>
    </row>
    <row r="11439" spans="1:4" x14ac:dyDescent="0.55000000000000004">
      <c r="A11439">
        <f t="shared" si="358"/>
        <v>1979</v>
      </c>
      <c r="B11439" s="821">
        <v>28977</v>
      </c>
      <c r="C11439">
        <v>9.2200000000000006</v>
      </c>
      <c r="D11439">
        <f t="shared" si="359"/>
        <v>1</v>
      </c>
    </row>
    <row r="11440" spans="1:4" x14ac:dyDescent="0.55000000000000004">
      <c r="A11440">
        <f t="shared" si="358"/>
        <v>1979</v>
      </c>
      <c r="B11440" s="821">
        <v>28976</v>
      </c>
      <c r="C11440">
        <v>9.2100000000000009</v>
      </c>
      <c r="D11440">
        <f t="shared" si="359"/>
        <v>1</v>
      </c>
    </row>
    <row r="11441" spans="1:4" x14ac:dyDescent="0.55000000000000004">
      <c r="A11441">
        <f t="shared" si="358"/>
        <v>1979</v>
      </c>
      <c r="B11441" s="821">
        <v>28975</v>
      </c>
      <c r="C11441">
        <v>9.2200000000000006</v>
      </c>
      <c r="D11441">
        <f t="shared" si="359"/>
        <v>1</v>
      </c>
    </row>
    <row r="11442" spans="1:4" x14ac:dyDescent="0.55000000000000004">
      <c r="A11442">
        <f t="shared" si="358"/>
        <v>1979</v>
      </c>
      <c r="B11442" s="821">
        <v>28972</v>
      </c>
      <c r="C11442">
        <v>9.19</v>
      </c>
      <c r="D11442">
        <f t="shared" si="359"/>
        <v>1</v>
      </c>
    </row>
    <row r="11443" spans="1:4" x14ac:dyDescent="0.55000000000000004">
      <c r="A11443">
        <f t="shared" si="358"/>
        <v>1979</v>
      </c>
      <c r="B11443" s="821">
        <v>28971</v>
      </c>
      <c r="C11443">
        <v>9.18</v>
      </c>
      <c r="D11443">
        <f t="shared" si="359"/>
        <v>1</v>
      </c>
    </row>
    <row r="11444" spans="1:4" x14ac:dyDescent="0.55000000000000004">
      <c r="A11444">
        <f t="shared" si="358"/>
        <v>1979</v>
      </c>
      <c r="B11444" s="821">
        <v>28970</v>
      </c>
      <c r="C11444">
        <v>9.1300000000000008</v>
      </c>
      <c r="D11444">
        <f t="shared" si="359"/>
        <v>1</v>
      </c>
    </row>
    <row r="11445" spans="1:4" x14ac:dyDescent="0.55000000000000004">
      <c r="A11445">
        <f t="shared" si="358"/>
        <v>1979</v>
      </c>
      <c r="B11445" s="821">
        <v>28969</v>
      </c>
      <c r="C11445">
        <v>9.14</v>
      </c>
      <c r="D11445">
        <f t="shared" si="359"/>
        <v>1</v>
      </c>
    </row>
    <row r="11446" spans="1:4" x14ac:dyDescent="0.55000000000000004">
      <c r="A11446">
        <f t="shared" si="358"/>
        <v>1979</v>
      </c>
      <c r="B11446" s="821">
        <v>28968</v>
      </c>
      <c r="C11446">
        <v>9.1300000000000008</v>
      </c>
      <c r="D11446">
        <f t="shared" si="359"/>
        <v>1</v>
      </c>
    </row>
    <row r="11447" spans="1:4" x14ac:dyDescent="0.55000000000000004">
      <c r="A11447">
        <f t="shared" si="358"/>
        <v>1979</v>
      </c>
      <c r="B11447" s="821">
        <v>28965</v>
      </c>
      <c r="C11447">
        <v>9.11</v>
      </c>
      <c r="D11447">
        <f t="shared" si="359"/>
        <v>1</v>
      </c>
    </row>
    <row r="11448" spans="1:4" x14ac:dyDescent="0.55000000000000004">
      <c r="A11448">
        <f t="shared" si="358"/>
        <v>1979</v>
      </c>
      <c r="B11448" s="821">
        <v>28964</v>
      </c>
      <c r="C11448">
        <v>9.06</v>
      </c>
      <c r="D11448">
        <f t="shared" si="359"/>
        <v>1</v>
      </c>
    </row>
    <row r="11449" spans="1:4" x14ac:dyDescent="0.55000000000000004">
      <c r="A11449">
        <f t="shared" si="358"/>
        <v>1979</v>
      </c>
      <c r="B11449" s="821">
        <v>28963</v>
      </c>
      <c r="C11449">
        <v>9.06</v>
      </c>
      <c r="D11449">
        <f t="shared" si="359"/>
        <v>1</v>
      </c>
    </row>
    <row r="11450" spans="1:4" x14ac:dyDescent="0.55000000000000004">
      <c r="A11450">
        <f t="shared" si="358"/>
        <v>1979</v>
      </c>
      <c r="B11450" s="821">
        <v>28962</v>
      </c>
      <c r="C11450">
        <v>9.07</v>
      </c>
      <c r="D11450">
        <f t="shared" si="359"/>
        <v>1</v>
      </c>
    </row>
    <row r="11451" spans="1:4" x14ac:dyDescent="0.55000000000000004">
      <c r="A11451">
        <f t="shared" si="358"/>
        <v>1979</v>
      </c>
      <c r="B11451" s="821">
        <v>28961</v>
      </c>
      <c r="C11451">
        <v>9.09</v>
      </c>
      <c r="D11451">
        <f t="shared" si="359"/>
        <v>1</v>
      </c>
    </row>
    <row r="11452" spans="1:4" x14ac:dyDescent="0.55000000000000004">
      <c r="A11452">
        <f t="shared" si="358"/>
        <v>1979</v>
      </c>
      <c r="B11452" s="821">
        <v>28957</v>
      </c>
      <c r="C11452">
        <v>9.09</v>
      </c>
      <c r="D11452">
        <f t="shared" si="359"/>
        <v>1</v>
      </c>
    </row>
    <row r="11453" spans="1:4" x14ac:dyDescent="0.55000000000000004">
      <c r="A11453">
        <f t="shared" si="358"/>
        <v>1979</v>
      </c>
      <c r="B11453" s="821">
        <v>28956</v>
      </c>
      <c r="C11453">
        <v>9.08</v>
      </c>
      <c r="D11453">
        <f t="shared" si="359"/>
        <v>1</v>
      </c>
    </row>
    <row r="11454" spans="1:4" x14ac:dyDescent="0.55000000000000004">
      <c r="A11454">
        <f t="shared" si="358"/>
        <v>1979</v>
      </c>
      <c r="B11454" s="821">
        <v>28955</v>
      </c>
      <c r="C11454">
        <v>9.07</v>
      </c>
      <c r="D11454">
        <f t="shared" si="359"/>
        <v>1</v>
      </c>
    </row>
    <row r="11455" spans="1:4" x14ac:dyDescent="0.55000000000000004">
      <c r="A11455">
        <f t="shared" si="358"/>
        <v>1979</v>
      </c>
      <c r="B11455" s="821">
        <v>28954</v>
      </c>
      <c r="C11455">
        <v>9.0399999999999991</v>
      </c>
      <c r="D11455">
        <f t="shared" si="359"/>
        <v>1</v>
      </c>
    </row>
    <row r="11456" spans="1:4" x14ac:dyDescent="0.55000000000000004">
      <c r="A11456">
        <f t="shared" si="358"/>
        <v>1979</v>
      </c>
      <c r="B11456" s="821">
        <v>28951</v>
      </c>
      <c r="C11456">
        <v>9.01</v>
      </c>
      <c r="D11456">
        <f t="shared" si="359"/>
        <v>1</v>
      </c>
    </row>
    <row r="11457" spans="1:4" x14ac:dyDescent="0.55000000000000004">
      <c r="A11457">
        <f t="shared" si="358"/>
        <v>1979</v>
      </c>
      <c r="B11457" s="821">
        <v>28950</v>
      </c>
      <c r="C11457">
        <v>8.99</v>
      </c>
      <c r="D11457">
        <f t="shared" si="359"/>
        <v>1</v>
      </c>
    </row>
    <row r="11458" spans="1:4" x14ac:dyDescent="0.55000000000000004">
      <c r="A11458">
        <f t="shared" si="358"/>
        <v>1979</v>
      </c>
      <c r="B11458" s="821">
        <v>28949</v>
      </c>
      <c r="C11458">
        <v>9</v>
      </c>
      <c r="D11458">
        <f t="shared" si="359"/>
        <v>1</v>
      </c>
    </row>
    <row r="11459" spans="1:4" x14ac:dyDescent="0.55000000000000004">
      <c r="A11459">
        <f t="shared" si="358"/>
        <v>1979</v>
      </c>
      <c r="B11459" s="821">
        <v>28948</v>
      </c>
      <c r="C11459">
        <v>9.01</v>
      </c>
      <c r="D11459">
        <f t="shared" si="359"/>
        <v>1</v>
      </c>
    </row>
    <row r="11460" spans="1:4" x14ac:dyDescent="0.55000000000000004">
      <c r="A11460">
        <f t="shared" ref="A11460:A11522" si="360">YEAR(B11460)</f>
        <v>1979</v>
      </c>
      <c r="B11460" s="821">
        <v>28947</v>
      </c>
      <c r="C11460">
        <v>9.02</v>
      </c>
      <c r="D11460">
        <f t="shared" ref="D11460:D11522" si="361">IF(C11460&gt;4,1,0)</f>
        <v>1</v>
      </c>
    </row>
    <row r="11461" spans="1:4" x14ac:dyDescent="0.55000000000000004">
      <c r="A11461">
        <f t="shared" si="360"/>
        <v>1979</v>
      </c>
      <c r="B11461" s="821">
        <v>28944</v>
      </c>
      <c r="C11461">
        <v>9.02</v>
      </c>
      <c r="D11461">
        <f t="shared" si="361"/>
        <v>1</v>
      </c>
    </row>
    <row r="11462" spans="1:4" x14ac:dyDescent="0.55000000000000004">
      <c r="A11462">
        <f t="shared" si="360"/>
        <v>1979</v>
      </c>
      <c r="B11462" s="821">
        <v>28943</v>
      </c>
      <c r="C11462">
        <v>8.99</v>
      </c>
      <c r="D11462">
        <f t="shared" si="361"/>
        <v>1</v>
      </c>
    </row>
    <row r="11463" spans="1:4" x14ac:dyDescent="0.55000000000000004">
      <c r="A11463">
        <f t="shared" si="360"/>
        <v>1979</v>
      </c>
      <c r="B11463" s="821">
        <v>28942</v>
      </c>
      <c r="C11463">
        <v>8.99</v>
      </c>
      <c r="D11463">
        <f t="shared" si="361"/>
        <v>1</v>
      </c>
    </row>
    <row r="11464" spans="1:4" x14ac:dyDescent="0.55000000000000004">
      <c r="A11464">
        <f t="shared" si="360"/>
        <v>1979</v>
      </c>
      <c r="B11464" s="821">
        <v>28941</v>
      </c>
      <c r="C11464">
        <v>9.01</v>
      </c>
      <c r="D11464">
        <f t="shared" si="361"/>
        <v>1</v>
      </c>
    </row>
    <row r="11465" spans="1:4" x14ac:dyDescent="0.55000000000000004">
      <c r="A11465">
        <f t="shared" si="360"/>
        <v>1979</v>
      </c>
      <c r="B11465" s="821">
        <v>28940</v>
      </c>
      <c r="C11465">
        <v>9.0299999999999994</v>
      </c>
      <c r="D11465">
        <f t="shared" si="361"/>
        <v>1</v>
      </c>
    </row>
    <row r="11466" spans="1:4" x14ac:dyDescent="0.55000000000000004">
      <c r="A11466">
        <f t="shared" si="360"/>
        <v>1979</v>
      </c>
      <c r="B11466" s="821">
        <v>28937</v>
      </c>
      <c r="C11466">
        <v>9.02</v>
      </c>
      <c r="D11466">
        <f t="shared" si="361"/>
        <v>1</v>
      </c>
    </row>
    <row r="11467" spans="1:4" x14ac:dyDescent="0.55000000000000004">
      <c r="A11467">
        <f t="shared" si="360"/>
        <v>1979</v>
      </c>
      <c r="B11467" s="821">
        <v>28936</v>
      </c>
      <c r="C11467">
        <v>9.0299999999999994</v>
      </c>
      <c r="D11467">
        <f t="shared" si="361"/>
        <v>1</v>
      </c>
    </row>
    <row r="11468" spans="1:4" x14ac:dyDescent="0.55000000000000004">
      <c r="A11468">
        <f t="shared" si="360"/>
        <v>1979</v>
      </c>
      <c r="B11468" s="821">
        <v>28935</v>
      </c>
      <c r="C11468">
        <v>9.0299999999999994</v>
      </c>
      <c r="D11468">
        <f t="shared" si="361"/>
        <v>1</v>
      </c>
    </row>
    <row r="11469" spans="1:4" x14ac:dyDescent="0.55000000000000004">
      <c r="A11469">
        <f t="shared" si="360"/>
        <v>1979</v>
      </c>
      <c r="B11469" s="821">
        <v>28934</v>
      </c>
      <c r="C11469">
        <v>9.0399999999999991</v>
      </c>
      <c r="D11469">
        <f t="shared" si="361"/>
        <v>1</v>
      </c>
    </row>
    <row r="11470" spans="1:4" x14ac:dyDescent="0.55000000000000004">
      <c r="A11470">
        <f t="shared" si="360"/>
        <v>1979</v>
      </c>
      <c r="B11470" s="821">
        <v>28933</v>
      </c>
      <c r="C11470">
        <v>9.0299999999999994</v>
      </c>
      <c r="D11470">
        <f t="shared" si="361"/>
        <v>1</v>
      </c>
    </row>
    <row r="11471" spans="1:4" x14ac:dyDescent="0.55000000000000004">
      <c r="A11471">
        <f t="shared" si="360"/>
        <v>1979</v>
      </c>
      <c r="B11471" s="821">
        <v>28930</v>
      </c>
      <c r="C11471">
        <v>9.0299999999999994</v>
      </c>
      <c r="D11471">
        <f t="shared" si="361"/>
        <v>1</v>
      </c>
    </row>
    <row r="11472" spans="1:4" x14ac:dyDescent="0.55000000000000004">
      <c r="A11472">
        <f t="shared" si="360"/>
        <v>1979</v>
      </c>
      <c r="B11472" s="821">
        <v>28929</v>
      </c>
      <c r="C11472">
        <v>9.0500000000000007</v>
      </c>
      <c r="D11472">
        <f t="shared" si="361"/>
        <v>1</v>
      </c>
    </row>
    <row r="11473" spans="1:4" x14ac:dyDescent="0.55000000000000004">
      <c r="A11473">
        <f t="shared" si="360"/>
        <v>1979</v>
      </c>
      <c r="B11473" s="821">
        <v>28928</v>
      </c>
      <c r="C11473">
        <v>9.0399999999999991</v>
      </c>
      <c r="D11473">
        <f t="shared" si="361"/>
        <v>1</v>
      </c>
    </row>
    <row r="11474" spans="1:4" x14ac:dyDescent="0.55000000000000004">
      <c r="A11474">
        <f t="shared" si="360"/>
        <v>1979</v>
      </c>
      <c r="B11474" s="821">
        <v>28927</v>
      </c>
      <c r="C11474">
        <v>9.02</v>
      </c>
      <c r="D11474">
        <f t="shared" si="361"/>
        <v>1</v>
      </c>
    </row>
    <row r="11475" spans="1:4" x14ac:dyDescent="0.55000000000000004">
      <c r="A11475">
        <f t="shared" si="360"/>
        <v>1979</v>
      </c>
      <c r="B11475" s="821">
        <v>28926</v>
      </c>
      <c r="C11475">
        <v>9.02</v>
      </c>
      <c r="D11475">
        <f t="shared" si="361"/>
        <v>1</v>
      </c>
    </row>
    <row r="11476" spans="1:4" x14ac:dyDescent="0.55000000000000004">
      <c r="A11476">
        <f t="shared" si="360"/>
        <v>1979</v>
      </c>
      <c r="B11476" s="821">
        <v>28923</v>
      </c>
      <c r="C11476">
        <v>9.0399999999999991</v>
      </c>
      <c r="D11476">
        <f t="shared" si="361"/>
        <v>1</v>
      </c>
    </row>
    <row r="11477" spans="1:4" x14ac:dyDescent="0.55000000000000004">
      <c r="A11477">
        <f t="shared" si="360"/>
        <v>1979</v>
      </c>
      <c r="B11477" s="821">
        <v>28922</v>
      </c>
      <c r="C11477">
        <v>9.01</v>
      </c>
      <c r="D11477">
        <f t="shared" si="361"/>
        <v>1</v>
      </c>
    </row>
    <row r="11478" spans="1:4" x14ac:dyDescent="0.55000000000000004">
      <c r="A11478">
        <f t="shared" si="360"/>
        <v>1979</v>
      </c>
      <c r="B11478" s="821">
        <v>28921</v>
      </c>
      <c r="C11478">
        <v>9.02</v>
      </c>
      <c r="D11478">
        <f t="shared" si="361"/>
        <v>1</v>
      </c>
    </row>
    <row r="11479" spans="1:4" x14ac:dyDescent="0.55000000000000004">
      <c r="A11479">
        <f t="shared" si="360"/>
        <v>1979</v>
      </c>
      <c r="B11479" s="821">
        <v>28920</v>
      </c>
      <c r="C11479">
        <v>9.06</v>
      </c>
      <c r="D11479">
        <f t="shared" si="361"/>
        <v>1</v>
      </c>
    </row>
    <row r="11480" spans="1:4" x14ac:dyDescent="0.55000000000000004">
      <c r="A11480">
        <f t="shared" si="360"/>
        <v>1979</v>
      </c>
      <c r="B11480" s="821">
        <v>28919</v>
      </c>
      <c r="C11480">
        <v>9.02</v>
      </c>
      <c r="D11480">
        <f t="shared" si="361"/>
        <v>1</v>
      </c>
    </row>
    <row r="11481" spans="1:4" x14ac:dyDescent="0.55000000000000004">
      <c r="A11481">
        <f t="shared" si="360"/>
        <v>1979</v>
      </c>
      <c r="B11481" s="821">
        <v>28916</v>
      </c>
      <c r="C11481">
        <v>9.09</v>
      </c>
      <c r="D11481">
        <f t="shared" si="361"/>
        <v>1</v>
      </c>
    </row>
    <row r="11482" spans="1:4" x14ac:dyDescent="0.55000000000000004">
      <c r="A11482">
        <f t="shared" si="360"/>
        <v>1979</v>
      </c>
      <c r="B11482" s="821">
        <v>28915</v>
      </c>
      <c r="C11482">
        <v>9.09</v>
      </c>
      <c r="D11482">
        <f t="shared" si="361"/>
        <v>1</v>
      </c>
    </row>
    <row r="11483" spans="1:4" x14ac:dyDescent="0.55000000000000004">
      <c r="A11483">
        <f t="shared" si="360"/>
        <v>1979</v>
      </c>
      <c r="B11483" s="821">
        <v>28914</v>
      </c>
      <c r="C11483">
        <v>9.08</v>
      </c>
      <c r="D11483">
        <f t="shared" si="361"/>
        <v>1</v>
      </c>
    </row>
    <row r="11484" spans="1:4" x14ac:dyDescent="0.55000000000000004">
      <c r="A11484">
        <f t="shared" si="360"/>
        <v>1979</v>
      </c>
      <c r="B11484" s="821">
        <v>28913</v>
      </c>
      <c r="C11484">
        <v>9.08</v>
      </c>
      <c r="D11484">
        <f t="shared" si="361"/>
        <v>1</v>
      </c>
    </row>
    <row r="11485" spans="1:4" x14ac:dyDescent="0.55000000000000004">
      <c r="A11485">
        <f t="shared" si="360"/>
        <v>1979</v>
      </c>
      <c r="B11485" s="821">
        <v>28912</v>
      </c>
      <c r="C11485">
        <v>9.08</v>
      </c>
      <c r="D11485">
        <f t="shared" si="361"/>
        <v>1</v>
      </c>
    </row>
    <row r="11486" spans="1:4" x14ac:dyDescent="0.55000000000000004">
      <c r="A11486">
        <f t="shared" si="360"/>
        <v>1979</v>
      </c>
      <c r="B11486" s="821">
        <v>28909</v>
      </c>
      <c r="C11486">
        <v>9.1</v>
      </c>
      <c r="D11486">
        <f t="shared" si="361"/>
        <v>1</v>
      </c>
    </row>
    <row r="11487" spans="1:4" x14ac:dyDescent="0.55000000000000004">
      <c r="A11487">
        <f t="shared" si="360"/>
        <v>1979</v>
      </c>
      <c r="B11487" s="821">
        <v>28908</v>
      </c>
      <c r="C11487">
        <v>9.08</v>
      </c>
      <c r="D11487">
        <f t="shared" si="361"/>
        <v>1</v>
      </c>
    </row>
    <row r="11488" spans="1:4" x14ac:dyDescent="0.55000000000000004">
      <c r="A11488">
        <f t="shared" si="360"/>
        <v>1979</v>
      </c>
      <c r="B11488" s="821">
        <v>28907</v>
      </c>
      <c r="C11488">
        <v>9.0399999999999991</v>
      </c>
      <c r="D11488">
        <f t="shared" si="361"/>
        <v>1</v>
      </c>
    </row>
    <row r="11489" spans="1:4" x14ac:dyDescent="0.55000000000000004">
      <c r="A11489">
        <f t="shared" si="360"/>
        <v>1979</v>
      </c>
      <c r="B11489" s="821">
        <v>28906</v>
      </c>
      <c r="C11489">
        <v>9.02</v>
      </c>
      <c r="D11489">
        <f t="shared" si="361"/>
        <v>1</v>
      </c>
    </row>
    <row r="11490" spans="1:4" x14ac:dyDescent="0.55000000000000004">
      <c r="A11490">
        <f t="shared" si="360"/>
        <v>1979</v>
      </c>
      <c r="B11490" s="821">
        <v>28902</v>
      </c>
      <c r="C11490">
        <v>9.01</v>
      </c>
      <c r="D11490">
        <f t="shared" si="361"/>
        <v>1</v>
      </c>
    </row>
    <row r="11491" spans="1:4" x14ac:dyDescent="0.55000000000000004">
      <c r="A11491">
        <f t="shared" si="360"/>
        <v>1979</v>
      </c>
      <c r="B11491" s="821">
        <v>28901</v>
      </c>
      <c r="C11491">
        <v>9.01</v>
      </c>
      <c r="D11491">
        <f t="shared" si="361"/>
        <v>1</v>
      </c>
    </row>
    <row r="11492" spans="1:4" x14ac:dyDescent="0.55000000000000004">
      <c r="A11492">
        <f t="shared" si="360"/>
        <v>1979</v>
      </c>
      <c r="B11492" s="821">
        <v>28900</v>
      </c>
      <c r="C11492">
        <v>9</v>
      </c>
      <c r="D11492">
        <f t="shared" si="361"/>
        <v>1</v>
      </c>
    </row>
    <row r="11493" spans="1:4" x14ac:dyDescent="0.55000000000000004">
      <c r="A11493">
        <f t="shared" si="360"/>
        <v>1979</v>
      </c>
      <c r="B11493" s="821">
        <v>28899</v>
      </c>
      <c r="C11493">
        <v>9</v>
      </c>
      <c r="D11493">
        <f t="shared" si="361"/>
        <v>1</v>
      </c>
    </row>
    <row r="11494" spans="1:4" x14ac:dyDescent="0.55000000000000004">
      <c r="A11494">
        <f t="shared" si="360"/>
        <v>1979</v>
      </c>
      <c r="B11494" s="821">
        <v>28895</v>
      </c>
      <c r="C11494">
        <v>9.02</v>
      </c>
      <c r="D11494">
        <f t="shared" si="361"/>
        <v>1</v>
      </c>
    </row>
    <row r="11495" spans="1:4" x14ac:dyDescent="0.55000000000000004">
      <c r="A11495">
        <f t="shared" si="360"/>
        <v>1979</v>
      </c>
      <c r="B11495" s="821">
        <v>28894</v>
      </c>
      <c r="C11495">
        <v>9</v>
      </c>
      <c r="D11495">
        <f t="shared" si="361"/>
        <v>1</v>
      </c>
    </row>
    <row r="11496" spans="1:4" x14ac:dyDescent="0.55000000000000004">
      <c r="A11496">
        <f t="shared" si="360"/>
        <v>1979</v>
      </c>
      <c r="B11496" s="821">
        <v>28893</v>
      </c>
      <c r="C11496">
        <v>9</v>
      </c>
      <c r="D11496">
        <f t="shared" si="361"/>
        <v>1</v>
      </c>
    </row>
    <row r="11497" spans="1:4" x14ac:dyDescent="0.55000000000000004">
      <c r="A11497">
        <f t="shared" si="360"/>
        <v>1979</v>
      </c>
      <c r="B11497" s="821">
        <v>28892</v>
      </c>
      <c r="C11497">
        <v>8.92</v>
      </c>
      <c r="D11497">
        <f t="shared" si="361"/>
        <v>1</v>
      </c>
    </row>
    <row r="11498" spans="1:4" x14ac:dyDescent="0.55000000000000004">
      <c r="A11498">
        <f t="shared" si="360"/>
        <v>1979</v>
      </c>
      <c r="B11498" s="821">
        <v>28891</v>
      </c>
      <c r="C11498">
        <v>8.8800000000000008</v>
      </c>
      <c r="D11498">
        <f t="shared" si="361"/>
        <v>1</v>
      </c>
    </row>
    <row r="11499" spans="1:4" x14ac:dyDescent="0.55000000000000004">
      <c r="A11499">
        <f t="shared" si="360"/>
        <v>1979</v>
      </c>
      <c r="B11499" s="821">
        <v>28888</v>
      </c>
      <c r="C11499">
        <v>8.84</v>
      </c>
      <c r="D11499">
        <f t="shared" si="361"/>
        <v>1</v>
      </c>
    </row>
    <row r="11500" spans="1:4" x14ac:dyDescent="0.55000000000000004">
      <c r="A11500">
        <f t="shared" si="360"/>
        <v>1979</v>
      </c>
      <c r="B11500" s="821">
        <v>28887</v>
      </c>
      <c r="C11500">
        <v>8.85</v>
      </c>
      <c r="D11500">
        <f t="shared" si="361"/>
        <v>1</v>
      </c>
    </row>
    <row r="11501" spans="1:4" x14ac:dyDescent="0.55000000000000004">
      <c r="A11501">
        <f t="shared" si="360"/>
        <v>1979</v>
      </c>
      <c r="B11501" s="821">
        <v>28886</v>
      </c>
      <c r="C11501">
        <v>8.85</v>
      </c>
      <c r="D11501">
        <f t="shared" si="361"/>
        <v>1</v>
      </c>
    </row>
    <row r="11502" spans="1:4" x14ac:dyDescent="0.55000000000000004">
      <c r="A11502">
        <f t="shared" si="360"/>
        <v>1979</v>
      </c>
      <c r="B11502" s="821">
        <v>28885</v>
      </c>
      <c r="C11502">
        <v>8.85</v>
      </c>
      <c r="D11502">
        <f t="shared" si="361"/>
        <v>1</v>
      </c>
    </row>
    <row r="11503" spans="1:4" x14ac:dyDescent="0.55000000000000004">
      <c r="A11503">
        <f t="shared" si="360"/>
        <v>1979</v>
      </c>
      <c r="B11503" s="821">
        <v>28884</v>
      </c>
      <c r="C11503">
        <v>8.85</v>
      </c>
      <c r="D11503">
        <f t="shared" si="361"/>
        <v>1</v>
      </c>
    </row>
    <row r="11504" spans="1:4" x14ac:dyDescent="0.55000000000000004">
      <c r="A11504">
        <f t="shared" si="360"/>
        <v>1979</v>
      </c>
      <c r="B11504" s="821">
        <v>28881</v>
      </c>
      <c r="C11504">
        <v>8.82</v>
      </c>
      <c r="D11504">
        <f t="shared" si="361"/>
        <v>1</v>
      </c>
    </row>
    <row r="11505" spans="1:4" x14ac:dyDescent="0.55000000000000004">
      <c r="A11505">
        <f t="shared" si="360"/>
        <v>1979</v>
      </c>
      <c r="B11505" s="821">
        <v>28880</v>
      </c>
      <c r="C11505">
        <v>8.84</v>
      </c>
      <c r="D11505">
        <f t="shared" si="361"/>
        <v>1</v>
      </c>
    </row>
    <row r="11506" spans="1:4" x14ac:dyDescent="0.55000000000000004">
      <c r="A11506">
        <f t="shared" si="360"/>
        <v>1979</v>
      </c>
      <c r="B11506" s="821">
        <v>28879</v>
      </c>
      <c r="C11506">
        <v>8.91</v>
      </c>
      <c r="D11506">
        <f t="shared" si="361"/>
        <v>1</v>
      </c>
    </row>
    <row r="11507" spans="1:4" x14ac:dyDescent="0.55000000000000004">
      <c r="A11507">
        <f t="shared" si="360"/>
        <v>1979</v>
      </c>
      <c r="B11507" s="821">
        <v>28878</v>
      </c>
      <c r="C11507">
        <v>8.93</v>
      </c>
      <c r="D11507">
        <f t="shared" si="361"/>
        <v>1</v>
      </c>
    </row>
    <row r="11508" spans="1:4" x14ac:dyDescent="0.55000000000000004">
      <c r="A11508">
        <f t="shared" si="360"/>
        <v>1979</v>
      </c>
      <c r="B11508" s="821">
        <v>28877</v>
      </c>
      <c r="C11508">
        <v>8.94</v>
      </c>
      <c r="D11508">
        <f t="shared" si="361"/>
        <v>1</v>
      </c>
    </row>
    <row r="11509" spans="1:4" x14ac:dyDescent="0.55000000000000004">
      <c r="A11509">
        <f t="shared" si="360"/>
        <v>1979</v>
      </c>
      <c r="B11509" s="821">
        <v>28874</v>
      </c>
      <c r="C11509">
        <v>8.9700000000000006</v>
      </c>
      <c r="D11509">
        <f t="shared" si="361"/>
        <v>1</v>
      </c>
    </row>
    <row r="11510" spans="1:4" x14ac:dyDescent="0.55000000000000004">
      <c r="A11510">
        <f t="shared" si="360"/>
        <v>1979</v>
      </c>
      <c r="B11510" s="821">
        <v>28873</v>
      </c>
      <c r="C11510">
        <v>8.99</v>
      </c>
      <c r="D11510">
        <f t="shared" si="361"/>
        <v>1</v>
      </c>
    </row>
    <row r="11511" spans="1:4" x14ac:dyDescent="0.55000000000000004">
      <c r="A11511">
        <f t="shared" si="360"/>
        <v>1979</v>
      </c>
      <c r="B11511" s="821">
        <v>28872</v>
      </c>
      <c r="C11511">
        <v>8.99</v>
      </c>
      <c r="D11511">
        <f t="shared" si="361"/>
        <v>1</v>
      </c>
    </row>
    <row r="11512" spans="1:4" x14ac:dyDescent="0.55000000000000004">
      <c r="A11512">
        <f t="shared" si="360"/>
        <v>1979</v>
      </c>
      <c r="B11512" s="821">
        <v>28871</v>
      </c>
      <c r="C11512">
        <v>8.98</v>
      </c>
      <c r="D11512">
        <f t="shared" si="361"/>
        <v>1</v>
      </c>
    </row>
    <row r="11513" spans="1:4" x14ac:dyDescent="0.55000000000000004">
      <c r="A11513">
        <f t="shared" si="360"/>
        <v>1979</v>
      </c>
      <c r="B11513" s="821">
        <v>28870</v>
      </c>
      <c r="C11513">
        <v>8.9700000000000006</v>
      </c>
      <c r="D11513">
        <f t="shared" si="361"/>
        <v>1</v>
      </c>
    </row>
    <row r="11514" spans="1:4" x14ac:dyDescent="0.55000000000000004">
      <c r="A11514">
        <f t="shared" si="360"/>
        <v>1979</v>
      </c>
      <c r="B11514" s="821">
        <v>28867</v>
      </c>
      <c r="C11514">
        <v>8.9700000000000006</v>
      </c>
      <c r="D11514">
        <f t="shared" si="361"/>
        <v>1</v>
      </c>
    </row>
    <row r="11515" spans="1:4" x14ac:dyDescent="0.55000000000000004">
      <c r="A11515">
        <f t="shared" si="360"/>
        <v>1979</v>
      </c>
      <c r="B11515" s="821">
        <v>28866</v>
      </c>
      <c r="C11515">
        <v>8.98</v>
      </c>
      <c r="D11515">
        <f t="shared" si="361"/>
        <v>1</v>
      </c>
    </row>
    <row r="11516" spans="1:4" x14ac:dyDescent="0.55000000000000004">
      <c r="A11516">
        <f t="shared" si="360"/>
        <v>1979</v>
      </c>
      <c r="B11516" s="821">
        <v>28865</v>
      </c>
      <c r="C11516">
        <v>8.99</v>
      </c>
      <c r="D11516">
        <f t="shared" si="361"/>
        <v>1</v>
      </c>
    </row>
    <row r="11517" spans="1:4" x14ac:dyDescent="0.55000000000000004">
      <c r="A11517">
        <f t="shared" si="360"/>
        <v>1979</v>
      </c>
      <c r="B11517" s="821">
        <v>28864</v>
      </c>
      <c r="C11517">
        <v>8.99</v>
      </c>
      <c r="D11517">
        <f t="shared" si="361"/>
        <v>1</v>
      </c>
    </row>
    <row r="11518" spans="1:4" x14ac:dyDescent="0.55000000000000004">
      <c r="A11518">
        <f t="shared" si="360"/>
        <v>1979</v>
      </c>
      <c r="B11518" s="821">
        <v>28863</v>
      </c>
      <c r="C11518">
        <v>8.98</v>
      </c>
      <c r="D11518">
        <f t="shared" si="361"/>
        <v>1</v>
      </c>
    </row>
    <row r="11519" spans="1:4" x14ac:dyDescent="0.55000000000000004">
      <c r="A11519">
        <f t="shared" si="360"/>
        <v>1979</v>
      </c>
      <c r="B11519" s="821">
        <v>28860</v>
      </c>
      <c r="C11519">
        <v>8.9499999999999993</v>
      </c>
      <c r="D11519">
        <f t="shared" si="361"/>
        <v>1</v>
      </c>
    </row>
    <row r="11520" spans="1:4" x14ac:dyDescent="0.55000000000000004">
      <c r="A11520">
        <f t="shared" si="360"/>
        <v>1979</v>
      </c>
      <c r="B11520" s="821">
        <v>28859</v>
      </c>
      <c r="C11520">
        <v>8.94</v>
      </c>
      <c r="D11520">
        <f t="shared" si="361"/>
        <v>1</v>
      </c>
    </row>
    <row r="11521" spans="1:4" x14ac:dyDescent="0.55000000000000004">
      <c r="A11521">
        <f t="shared" si="360"/>
        <v>1979</v>
      </c>
      <c r="B11521" s="821">
        <v>28858</v>
      </c>
      <c r="C11521">
        <v>8.9600000000000009</v>
      </c>
      <c r="D11521">
        <f t="shared" si="361"/>
        <v>1</v>
      </c>
    </row>
    <row r="11522" spans="1:4" x14ac:dyDescent="0.55000000000000004">
      <c r="A11522">
        <f t="shared" si="360"/>
        <v>1979</v>
      </c>
      <c r="B11522" s="821">
        <v>28857</v>
      </c>
      <c r="C11522">
        <v>8.99</v>
      </c>
      <c r="D11522">
        <f t="shared" si="361"/>
        <v>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ADE0C-1827-4310-9057-3D89C63067F0}">
  <sheetPr codeName="Sheet47"/>
  <dimension ref="A1:F16"/>
  <sheetViews>
    <sheetView view="pageBreakPreview" zoomScaleNormal="100" zoomScaleSheetLayoutView="100" workbookViewId="0"/>
  </sheetViews>
  <sheetFormatPr defaultColWidth="8.5234375" defaultRowHeight="13.8" x14ac:dyDescent="0.45"/>
  <cols>
    <col min="1" max="1" width="8.5234375" style="1003"/>
    <col min="2" max="2" width="30.15625" style="1003" bestFit="1" customWidth="1"/>
    <col min="3" max="16384" width="8.5234375" style="1003"/>
  </cols>
  <sheetData>
    <row r="1" spans="1:6" x14ac:dyDescent="0.45">
      <c r="B1" s="1003" t="s">
        <v>6622</v>
      </c>
      <c r="C1" s="1003" t="s">
        <v>6623</v>
      </c>
      <c r="D1" s="1003" t="s">
        <v>6592</v>
      </c>
      <c r="E1" s="1003" t="s">
        <v>6624</v>
      </c>
    </row>
    <row r="2" spans="1:6" x14ac:dyDescent="0.45">
      <c r="A2" s="1003">
        <v>2009</v>
      </c>
      <c r="B2" s="1004">
        <v>39813</v>
      </c>
      <c r="C2" s="1005">
        <v>4.4999999999999998E-2</v>
      </c>
      <c r="D2" s="1005">
        <v>0.06</v>
      </c>
      <c r="E2" s="1005">
        <f t="shared" ref="E2:E16" si="0">C2+D2</f>
        <v>0.105</v>
      </c>
    </row>
    <row r="3" spans="1:6" x14ac:dyDescent="0.45">
      <c r="A3" s="1003">
        <v>2010</v>
      </c>
      <c r="B3" s="1004">
        <v>40178</v>
      </c>
      <c r="C3" s="1005">
        <v>4.58E-2</v>
      </c>
      <c r="D3" s="1005">
        <v>5.5E-2</v>
      </c>
      <c r="E3" s="1005">
        <f t="shared" si="0"/>
        <v>0.1008</v>
      </c>
      <c r="F3" s="1003" t="s">
        <v>6625</v>
      </c>
    </row>
    <row r="4" spans="1:6" x14ac:dyDescent="0.45">
      <c r="A4" s="1003">
        <v>2011</v>
      </c>
      <c r="B4" s="1004">
        <v>40543</v>
      </c>
      <c r="C4" s="1005">
        <v>4.1300000000000003E-2</v>
      </c>
      <c r="D4" s="1005">
        <v>5.5E-2</v>
      </c>
      <c r="E4" s="1005">
        <f t="shared" si="0"/>
        <v>9.6299999999999997E-2</v>
      </c>
      <c r="F4" s="1003" t="s">
        <v>6626</v>
      </c>
    </row>
    <row r="5" spans="1:6" x14ac:dyDescent="0.45">
      <c r="A5" s="1003">
        <v>2012</v>
      </c>
      <c r="B5" s="1004">
        <v>40908</v>
      </c>
      <c r="C5" s="1005">
        <v>0.04</v>
      </c>
      <c r="D5" s="1005">
        <v>0.06</v>
      </c>
      <c r="E5" s="1005">
        <f t="shared" si="0"/>
        <v>0.1</v>
      </c>
    </row>
    <row r="6" spans="1:6" x14ac:dyDescent="0.45">
      <c r="A6" s="1003">
        <v>2013</v>
      </c>
      <c r="B6" s="1004">
        <v>41274</v>
      </c>
      <c r="C6" s="1005">
        <v>0.04</v>
      </c>
      <c r="D6" s="1005">
        <v>5.5E-2</v>
      </c>
      <c r="E6" s="1005">
        <f t="shared" si="0"/>
        <v>9.5000000000000001E-2</v>
      </c>
    </row>
    <row r="7" spans="1:6" x14ac:dyDescent="0.45">
      <c r="A7" s="1006">
        <v>2014</v>
      </c>
      <c r="B7" s="1004">
        <v>41639</v>
      </c>
      <c r="C7" s="1005">
        <v>0.04</v>
      </c>
      <c r="D7" s="1005">
        <v>0.05</v>
      </c>
      <c r="E7" s="1005">
        <f t="shared" si="0"/>
        <v>0.09</v>
      </c>
    </row>
    <row r="8" spans="1:6" x14ac:dyDescent="0.45">
      <c r="A8" s="1006">
        <f t="shared" ref="A8:A16" si="1">A7+1</f>
        <v>2015</v>
      </c>
      <c r="B8" s="1004">
        <v>42004</v>
      </c>
      <c r="C8" s="1005">
        <v>0.04</v>
      </c>
      <c r="D8" s="1005">
        <v>0.05</v>
      </c>
      <c r="E8" s="1005">
        <f t="shared" si="0"/>
        <v>0.09</v>
      </c>
    </row>
    <row r="9" spans="1:6" x14ac:dyDescent="0.45">
      <c r="A9" s="1006">
        <f t="shared" si="1"/>
        <v>2016</v>
      </c>
      <c r="B9" s="1004">
        <v>42369</v>
      </c>
      <c r="C9" s="1005">
        <v>0.04</v>
      </c>
      <c r="D9" s="1005">
        <v>0.05</v>
      </c>
      <c r="E9" s="1005">
        <f t="shared" si="0"/>
        <v>0.09</v>
      </c>
    </row>
    <row r="10" spans="1:6" x14ac:dyDescent="0.45">
      <c r="A10" s="1006">
        <f>A9+1</f>
        <v>2017</v>
      </c>
      <c r="B10" s="1007" t="s">
        <v>6627</v>
      </c>
      <c r="C10" s="1005">
        <v>3.5000000000000003E-2</v>
      </c>
      <c r="D10" s="1005">
        <v>5.5E-2</v>
      </c>
      <c r="E10" s="1005">
        <f t="shared" si="0"/>
        <v>0.09</v>
      </c>
    </row>
    <row r="11" spans="1:6" x14ac:dyDescent="0.45">
      <c r="A11" s="1006">
        <f t="shared" si="1"/>
        <v>2018</v>
      </c>
      <c r="B11" s="1007" t="s">
        <v>6628</v>
      </c>
      <c r="C11" s="1005">
        <v>3.5000000000000003E-2</v>
      </c>
      <c r="D11" s="1005">
        <v>0.05</v>
      </c>
      <c r="E11" s="1005">
        <f t="shared" si="0"/>
        <v>8.5000000000000006E-2</v>
      </c>
    </row>
    <row r="12" spans="1:6" x14ac:dyDescent="0.45">
      <c r="A12" s="1006">
        <f t="shared" si="1"/>
        <v>2019</v>
      </c>
      <c r="B12" s="1007" t="s">
        <v>6629</v>
      </c>
      <c r="C12" s="1005">
        <v>3.5000000000000003E-2</v>
      </c>
      <c r="D12" s="1005">
        <v>5.5E-2</v>
      </c>
      <c r="E12" s="1005">
        <f t="shared" si="0"/>
        <v>0.09</v>
      </c>
    </row>
    <row r="13" spans="1:6" x14ac:dyDescent="0.45">
      <c r="A13" s="1006">
        <f t="shared" si="1"/>
        <v>2020</v>
      </c>
      <c r="B13" s="1007" t="s">
        <v>6630</v>
      </c>
      <c r="C13" s="1005">
        <v>0.03</v>
      </c>
      <c r="D13" s="1005">
        <v>0.05</v>
      </c>
      <c r="E13" s="1005">
        <f t="shared" si="0"/>
        <v>0.08</v>
      </c>
    </row>
    <row r="14" spans="1:6" x14ac:dyDescent="0.45">
      <c r="A14" s="1006">
        <f t="shared" si="1"/>
        <v>2021</v>
      </c>
      <c r="B14" s="1007" t="s">
        <v>6631</v>
      </c>
      <c r="C14" s="1005">
        <v>2.5000000000000001E-2</v>
      </c>
      <c r="D14" s="1005">
        <v>5.5E-2</v>
      </c>
      <c r="E14" s="1005">
        <f t="shared" si="0"/>
        <v>0.08</v>
      </c>
    </row>
    <row r="15" spans="1:6" x14ac:dyDescent="0.45">
      <c r="A15" s="1006">
        <v>2022</v>
      </c>
      <c r="B15" s="1007" t="s">
        <v>6631</v>
      </c>
      <c r="C15" s="1005">
        <v>2.5000000000000001E-2</v>
      </c>
      <c r="D15" s="1005">
        <v>5.5E-2</v>
      </c>
      <c r="E15" s="1005">
        <f t="shared" si="0"/>
        <v>0.08</v>
      </c>
    </row>
    <row r="16" spans="1:6" x14ac:dyDescent="0.45">
      <c r="A16" s="1006">
        <f t="shared" si="1"/>
        <v>2023</v>
      </c>
      <c r="B16" s="1007" t="s">
        <v>6632</v>
      </c>
      <c r="C16" s="1005">
        <v>3.5000000000000003E-2</v>
      </c>
      <c r="D16" s="1005">
        <v>5.5E-2</v>
      </c>
      <c r="E16" s="1005">
        <f t="shared" si="0"/>
        <v>0.09</v>
      </c>
    </row>
  </sheetData>
  <pageMargins left="0.7" right="0.7" top="0.75" bottom="0.75" header="0.3" footer="0.3"/>
  <pageSetup scale="5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F30AA-42CF-4DC7-B9C8-237D91FCC4EF}">
  <sheetPr codeName="Sheet48"/>
  <dimension ref="A1:J103"/>
  <sheetViews>
    <sheetView view="pageBreakPreview" zoomScale="70" zoomScaleNormal="85" zoomScaleSheetLayoutView="70" workbookViewId="0"/>
  </sheetViews>
  <sheetFormatPr defaultColWidth="8.5234375" defaultRowHeight="13.8" x14ac:dyDescent="0.45"/>
  <cols>
    <col min="1" max="1" width="15.5234375" style="1006" customWidth="1"/>
    <col min="2" max="4" width="12.26171875" style="1020" customWidth="1"/>
    <col min="5" max="5" width="12.26171875" style="1006" customWidth="1"/>
    <col min="6" max="6" width="12.5234375" style="1006" customWidth="1"/>
    <col min="7" max="7" width="12.47265625" style="1006" customWidth="1"/>
    <col min="8" max="9" width="10.47265625" style="1006" bestFit="1" customWidth="1"/>
    <col min="10" max="10" width="11.15625" style="1006" customWidth="1"/>
    <col min="11" max="12" width="10.5234375" style="1006" customWidth="1"/>
    <col min="13" max="13" width="8.5234375" style="1006"/>
    <col min="14" max="14" width="10.5234375" style="1006" customWidth="1"/>
    <col min="15" max="16384" width="8.5234375" style="1006"/>
  </cols>
  <sheetData>
    <row r="1" spans="1:7" ht="75" x14ac:dyDescent="0.5">
      <c r="A1" s="1008" t="s">
        <v>6633</v>
      </c>
      <c r="B1" s="1009" t="s">
        <v>6634</v>
      </c>
      <c r="C1" s="1009" t="s">
        <v>6635</v>
      </c>
      <c r="D1" s="1009" t="s">
        <v>6533</v>
      </c>
      <c r="E1" s="1009" t="s">
        <v>6636</v>
      </c>
      <c r="F1" s="1009" t="s">
        <v>6526</v>
      </c>
      <c r="G1" s="1010" t="s">
        <v>6637</v>
      </c>
    </row>
    <row r="2" spans="1:7" ht="15" x14ac:dyDescent="0.5">
      <c r="A2" s="998">
        <v>1926</v>
      </c>
      <c r="B2" s="1011">
        <v>0.1162</v>
      </c>
      <c r="C2" s="1011">
        <v>3.73E-2</v>
      </c>
      <c r="D2" s="1011">
        <f>B2-C2</f>
        <v>7.8899999999999998E-2</v>
      </c>
      <c r="E2" s="1011"/>
      <c r="F2" s="1012"/>
    </row>
    <row r="3" spans="1:7" ht="15" x14ac:dyDescent="0.5">
      <c r="A3" s="998">
        <v>1927</v>
      </c>
      <c r="B3" s="1011">
        <v>0.37490000000000001</v>
      </c>
      <c r="C3" s="1011">
        <v>3.4099999999999998E-2</v>
      </c>
      <c r="D3" s="1011">
        <f t="shared" ref="D3:D66" si="0">B3-C3</f>
        <v>0.34079999999999999</v>
      </c>
      <c r="E3" s="1011">
        <f>AVERAGE(B$2:B2)</f>
        <v>0.1162</v>
      </c>
      <c r="F3" s="1012"/>
    </row>
    <row r="4" spans="1:7" ht="15" x14ac:dyDescent="0.5">
      <c r="A4" s="998">
        <v>1928</v>
      </c>
      <c r="B4" s="1011">
        <v>0.43609999999999999</v>
      </c>
      <c r="C4" s="1011">
        <v>3.2199999999999999E-2</v>
      </c>
      <c r="D4" s="1011">
        <f t="shared" si="0"/>
        <v>0.40389999999999998</v>
      </c>
      <c r="E4" s="1011">
        <f>AVERAGE(B$2:B3)</f>
        <v>0.24554999999999999</v>
      </c>
      <c r="F4" s="1012"/>
    </row>
    <row r="5" spans="1:7" ht="15" x14ac:dyDescent="0.5">
      <c r="A5" s="998">
        <v>1929</v>
      </c>
      <c r="B5" s="1011">
        <v>-8.4199999999999997E-2</v>
      </c>
      <c r="C5" s="1011">
        <v>3.4700000000000002E-2</v>
      </c>
      <c r="D5" s="1011">
        <f t="shared" si="0"/>
        <v>-0.11890000000000001</v>
      </c>
      <c r="E5" s="1011">
        <f>AVERAGE(B$2:B4)</f>
        <v>0.30906666666666666</v>
      </c>
      <c r="F5" s="1012"/>
    </row>
    <row r="6" spans="1:7" ht="15" x14ac:dyDescent="0.5">
      <c r="A6" s="998">
        <v>1930</v>
      </c>
      <c r="B6" s="1011">
        <v>-0.249</v>
      </c>
      <c r="C6" s="1011">
        <v>3.32E-2</v>
      </c>
      <c r="D6" s="1011">
        <f t="shared" si="0"/>
        <v>-0.28220000000000001</v>
      </c>
      <c r="E6" s="1011">
        <f>AVERAGE(B$2:B5)</f>
        <v>0.21074999999999999</v>
      </c>
      <c r="F6" s="1012"/>
    </row>
    <row r="7" spans="1:7" ht="15" x14ac:dyDescent="0.5">
      <c r="A7" s="998">
        <v>1931</v>
      </c>
      <c r="B7" s="1011">
        <v>-0.43340000000000001</v>
      </c>
      <c r="C7" s="1011">
        <v>3.3300000000000003E-2</v>
      </c>
      <c r="D7" s="1011">
        <f t="shared" si="0"/>
        <v>-0.4667</v>
      </c>
      <c r="E7" s="1011">
        <f>AVERAGE(B$2:B6)</f>
        <v>0.11879999999999999</v>
      </c>
      <c r="F7" s="1012"/>
    </row>
    <row r="8" spans="1:7" ht="15" x14ac:dyDescent="0.5">
      <c r="A8" s="998">
        <v>1932</v>
      </c>
      <c r="B8" s="1011">
        <v>-8.1900000000000001E-2</v>
      </c>
      <c r="C8" s="1011">
        <v>3.6900000000000002E-2</v>
      </c>
      <c r="D8" s="1011">
        <f t="shared" si="0"/>
        <v>-0.1188</v>
      </c>
      <c r="E8" s="1011">
        <f>AVERAGE(B$2:B7)</f>
        <v>2.6766666666666661E-2</v>
      </c>
      <c r="F8" s="1012"/>
    </row>
    <row r="9" spans="1:7" ht="15" x14ac:dyDescent="0.5">
      <c r="A9" s="998">
        <v>1933</v>
      </c>
      <c r="B9" s="1011">
        <v>0.53990000000000005</v>
      </c>
      <c r="C9" s="1011">
        <v>3.1199999999999999E-2</v>
      </c>
      <c r="D9" s="1011">
        <f t="shared" si="0"/>
        <v>0.50870000000000004</v>
      </c>
      <c r="E9" s="1011">
        <f>AVERAGE(B$2:B8)</f>
        <v>1.1242857142857138E-2</v>
      </c>
      <c r="F9" s="1012"/>
    </row>
    <row r="10" spans="1:7" ht="15" x14ac:dyDescent="0.5">
      <c r="A10" s="998">
        <v>1934</v>
      </c>
      <c r="B10" s="1011">
        <v>-1.44E-2</v>
      </c>
      <c r="C10" s="1011">
        <v>3.1800000000000002E-2</v>
      </c>
      <c r="D10" s="1011">
        <f t="shared" si="0"/>
        <v>-4.6200000000000005E-2</v>
      </c>
      <c r="E10" s="1011">
        <f>AVERAGE(B$2:B9)</f>
        <v>7.7325000000000005E-2</v>
      </c>
      <c r="F10" s="1012"/>
    </row>
    <row r="11" spans="1:7" ht="15" x14ac:dyDescent="0.5">
      <c r="A11" s="998">
        <v>1935</v>
      </c>
      <c r="B11" s="1011">
        <v>0.47670000000000001</v>
      </c>
      <c r="C11" s="1011">
        <v>2.81E-2</v>
      </c>
      <c r="D11" s="1011">
        <f t="shared" si="0"/>
        <v>0.4486</v>
      </c>
      <c r="E11" s="1011">
        <f>AVERAGE(B$2:B10)</f>
        <v>6.7133333333333337E-2</v>
      </c>
      <c r="F11" s="1012"/>
    </row>
    <row r="12" spans="1:7" ht="15" x14ac:dyDescent="0.5">
      <c r="A12" s="998">
        <v>1936</v>
      </c>
      <c r="B12" s="1011">
        <v>0.3392</v>
      </c>
      <c r="C12" s="1011">
        <v>2.7699999999999999E-2</v>
      </c>
      <c r="D12" s="1011">
        <f t="shared" si="0"/>
        <v>0.3115</v>
      </c>
      <c r="E12" s="1011">
        <f>AVERAGE(B$2:B11)</f>
        <v>0.10809000000000002</v>
      </c>
      <c r="F12" s="1012"/>
    </row>
    <row r="13" spans="1:7" ht="15" x14ac:dyDescent="0.5">
      <c r="A13" s="998">
        <v>1937</v>
      </c>
      <c r="B13" s="1011">
        <v>-0.3503</v>
      </c>
      <c r="C13" s="1011">
        <v>2.6599999999999999E-2</v>
      </c>
      <c r="D13" s="1011">
        <f t="shared" si="0"/>
        <v>-0.37690000000000001</v>
      </c>
      <c r="E13" s="1011">
        <f>AVERAGE(B$2:B12)</f>
        <v>0.12910000000000002</v>
      </c>
      <c r="F13" s="1012"/>
    </row>
    <row r="14" spans="1:7" ht="15" x14ac:dyDescent="0.5">
      <c r="A14" s="998">
        <v>1938</v>
      </c>
      <c r="B14" s="1011">
        <v>0.31119999999999998</v>
      </c>
      <c r="C14" s="1011">
        <v>2.64E-2</v>
      </c>
      <c r="D14" s="1011">
        <f t="shared" si="0"/>
        <v>0.2848</v>
      </c>
      <c r="E14" s="1011">
        <f>AVERAGE(B$2:B13)</f>
        <v>8.9150000000000007E-2</v>
      </c>
      <c r="F14" s="1012"/>
    </row>
    <row r="15" spans="1:7" ht="15" x14ac:dyDescent="0.5">
      <c r="A15" s="998">
        <v>1939</v>
      </c>
      <c r="B15" s="1011">
        <v>-4.1000000000000003E-3</v>
      </c>
      <c r="C15" s="1011">
        <v>2.4E-2</v>
      </c>
      <c r="D15" s="1011">
        <f t="shared" si="0"/>
        <v>-2.81E-2</v>
      </c>
      <c r="E15" s="1011">
        <f>AVERAGE(B$2:B14)</f>
        <v>0.10623076923076923</v>
      </c>
      <c r="F15" s="1012"/>
    </row>
    <row r="16" spans="1:7" ht="15" x14ac:dyDescent="0.5">
      <c r="A16" s="998">
        <v>1940</v>
      </c>
      <c r="B16" s="1011">
        <v>-9.7799999999999998E-2</v>
      </c>
      <c r="C16" s="1011">
        <v>2.23E-2</v>
      </c>
      <c r="D16" s="1011">
        <f t="shared" si="0"/>
        <v>-0.1201</v>
      </c>
      <c r="E16" s="1011">
        <f>AVERAGE(B$2:B15)</f>
        <v>9.8350000000000007E-2</v>
      </c>
      <c r="F16" s="1012"/>
    </row>
    <row r="17" spans="1:6" ht="15" x14ac:dyDescent="0.5">
      <c r="A17" s="998">
        <v>1941</v>
      </c>
      <c r="B17" s="1011">
        <v>-0.1159</v>
      </c>
      <c r="C17" s="1011">
        <v>1.9400000000000001E-2</v>
      </c>
      <c r="D17" s="1011">
        <f t="shared" si="0"/>
        <v>-0.1353</v>
      </c>
      <c r="E17" s="1011">
        <f>AVERAGE(B$2:B16)</f>
        <v>8.527333333333334E-2</v>
      </c>
      <c r="F17" s="1012"/>
    </row>
    <row r="18" spans="1:6" ht="15" x14ac:dyDescent="0.5">
      <c r="A18" s="998">
        <v>1942</v>
      </c>
      <c r="B18" s="1011">
        <v>0.2034</v>
      </c>
      <c r="C18" s="1011">
        <v>2.46E-2</v>
      </c>
      <c r="D18" s="1011">
        <f t="shared" si="0"/>
        <v>0.17879999999999999</v>
      </c>
      <c r="E18" s="1011">
        <f>AVERAGE(B$2:B17)</f>
        <v>7.2700000000000015E-2</v>
      </c>
      <c r="F18" s="1012"/>
    </row>
    <row r="19" spans="1:6" ht="15" x14ac:dyDescent="0.5">
      <c r="A19" s="998">
        <v>1943</v>
      </c>
      <c r="B19" s="1011">
        <v>0.25900000000000001</v>
      </c>
      <c r="C19" s="1011">
        <v>2.4400000000000002E-2</v>
      </c>
      <c r="D19" s="1011">
        <f t="shared" si="0"/>
        <v>0.2346</v>
      </c>
      <c r="E19" s="1011">
        <f>AVERAGE(B$2:B18)</f>
        <v>8.0388235294117663E-2</v>
      </c>
      <c r="F19" s="1012"/>
    </row>
    <row r="20" spans="1:6" ht="15" x14ac:dyDescent="0.5">
      <c r="A20" s="998">
        <v>1944</v>
      </c>
      <c r="B20" s="1011">
        <v>0.19750000000000001</v>
      </c>
      <c r="C20" s="1011">
        <v>2.46E-2</v>
      </c>
      <c r="D20" s="1011">
        <f t="shared" si="0"/>
        <v>0.1729</v>
      </c>
      <c r="E20" s="1011">
        <f>AVERAGE(B$2:B19)</f>
        <v>9.0311111111111134E-2</v>
      </c>
      <c r="F20" s="1012"/>
    </row>
    <row r="21" spans="1:6" ht="15" x14ac:dyDescent="0.5">
      <c r="A21" s="998">
        <v>1945</v>
      </c>
      <c r="B21" s="1011">
        <v>0.3644</v>
      </c>
      <c r="C21" s="1011">
        <v>2.3400000000000001E-2</v>
      </c>
      <c r="D21" s="1011">
        <f t="shared" si="0"/>
        <v>0.34100000000000003</v>
      </c>
      <c r="E21" s="1011">
        <f>AVERAGE(B$2:B20)</f>
        <v>9.5952631578947387E-2</v>
      </c>
      <c r="F21" s="1012"/>
    </row>
    <row r="22" spans="1:6" ht="15" x14ac:dyDescent="0.5">
      <c r="A22" s="998">
        <v>1946</v>
      </c>
      <c r="B22" s="1011">
        <v>-8.0699999999999994E-2</v>
      </c>
      <c r="C22" s="1011">
        <v>2.0400000000000001E-2</v>
      </c>
      <c r="D22" s="1011">
        <f t="shared" si="0"/>
        <v>-0.1011</v>
      </c>
      <c r="E22" s="1011">
        <f>AVERAGE(B$2:B21)</f>
        <v>0.10937500000000003</v>
      </c>
      <c r="F22" s="1012"/>
    </row>
    <row r="23" spans="1:6" ht="15" x14ac:dyDescent="0.5">
      <c r="A23" s="998">
        <v>1947</v>
      </c>
      <c r="B23" s="1011">
        <v>5.7099999999999998E-2</v>
      </c>
      <c r="C23" s="1011">
        <v>2.1299999999999999E-2</v>
      </c>
      <c r="D23" s="1011">
        <f t="shared" si="0"/>
        <v>3.5799999999999998E-2</v>
      </c>
      <c r="E23" s="1011">
        <f>AVERAGE(B$2:B22)</f>
        <v>0.10032380952380955</v>
      </c>
      <c r="F23" s="1012"/>
    </row>
    <row r="24" spans="1:6" ht="15" x14ac:dyDescent="0.5">
      <c r="A24" s="998">
        <v>1948</v>
      </c>
      <c r="B24" s="1011">
        <v>5.5E-2</v>
      </c>
      <c r="C24" s="1011">
        <v>2.4E-2</v>
      </c>
      <c r="D24" s="1011">
        <f t="shared" si="0"/>
        <v>3.1E-2</v>
      </c>
      <c r="E24" s="1011">
        <f>AVERAGE(B$2:B23)</f>
        <v>9.8359090909090952E-2</v>
      </c>
      <c r="F24" s="1012"/>
    </row>
    <row r="25" spans="1:6" ht="15" x14ac:dyDescent="0.5">
      <c r="A25" s="998">
        <v>1949</v>
      </c>
      <c r="B25" s="1011">
        <v>0.18790000000000001</v>
      </c>
      <c r="C25" s="1011">
        <v>2.2499999999999999E-2</v>
      </c>
      <c r="D25" s="1011">
        <f t="shared" si="0"/>
        <v>0.16540000000000002</v>
      </c>
      <c r="E25" s="1011">
        <f>AVERAGE(B$2:B24)</f>
        <v>9.6473913043478299E-2</v>
      </c>
      <c r="F25" s="1012"/>
    </row>
    <row r="26" spans="1:6" ht="15" x14ac:dyDescent="0.5">
      <c r="A26" s="998">
        <v>1950</v>
      </c>
      <c r="B26" s="1011">
        <v>0.31709999999999999</v>
      </c>
      <c r="C26" s="1011">
        <v>2.12E-2</v>
      </c>
      <c r="D26" s="1011">
        <f t="shared" si="0"/>
        <v>0.2959</v>
      </c>
      <c r="E26" s="1011">
        <f>AVERAGE(B$2:B25)</f>
        <v>0.10028333333333338</v>
      </c>
      <c r="F26" s="1012"/>
    </row>
    <row r="27" spans="1:6" ht="15" x14ac:dyDescent="0.5">
      <c r="A27" s="998">
        <v>1951</v>
      </c>
      <c r="B27" s="1011">
        <v>0.2402</v>
      </c>
      <c r="C27" s="1011">
        <v>2.3800000000000002E-2</v>
      </c>
      <c r="D27" s="1011">
        <f t="shared" si="0"/>
        <v>0.21639999999999998</v>
      </c>
      <c r="E27" s="1011">
        <f>AVERAGE(B$2:B26)</f>
        <v>0.10895600000000004</v>
      </c>
      <c r="F27" s="1012"/>
    </row>
    <row r="28" spans="1:6" ht="15" x14ac:dyDescent="0.5">
      <c r="A28" s="998">
        <v>1952</v>
      </c>
      <c r="B28" s="1011">
        <v>0.1837</v>
      </c>
      <c r="C28" s="1011">
        <v>2.6599999999999999E-2</v>
      </c>
      <c r="D28" s="1011">
        <f t="shared" si="0"/>
        <v>0.15710000000000002</v>
      </c>
      <c r="E28" s="1011">
        <f>AVERAGE(B$2:B27)</f>
        <v>0.11400384615384619</v>
      </c>
      <c r="F28" s="1012"/>
    </row>
    <row r="29" spans="1:6" ht="15" x14ac:dyDescent="0.5">
      <c r="A29" s="998">
        <v>1953</v>
      </c>
      <c r="B29" s="1011">
        <v>-9.9000000000000008E-3</v>
      </c>
      <c r="C29" s="1011">
        <v>2.8400000000000002E-2</v>
      </c>
      <c r="D29" s="1011">
        <f t="shared" si="0"/>
        <v>-3.8300000000000001E-2</v>
      </c>
      <c r="E29" s="1011">
        <f>AVERAGE(B$2:B28)</f>
        <v>0.11658518518518522</v>
      </c>
      <c r="F29" s="1012"/>
    </row>
    <row r="30" spans="1:6" ht="15" x14ac:dyDescent="0.5">
      <c r="A30" s="998">
        <v>1954</v>
      </c>
      <c r="B30" s="1011">
        <v>0.5262</v>
      </c>
      <c r="C30" s="1011">
        <v>2.7900000000000001E-2</v>
      </c>
      <c r="D30" s="1011">
        <f t="shared" si="0"/>
        <v>0.49830000000000002</v>
      </c>
      <c r="E30" s="1011">
        <f>AVERAGE(B$2:B29)</f>
        <v>0.11206785714285718</v>
      </c>
      <c r="F30" s="1012"/>
    </row>
    <row r="31" spans="1:6" ht="15" x14ac:dyDescent="0.5">
      <c r="A31" s="998">
        <v>1955</v>
      </c>
      <c r="B31" s="1011">
        <v>0.31559999999999999</v>
      </c>
      <c r="C31" s="1011">
        <v>2.75E-2</v>
      </c>
      <c r="D31" s="1011">
        <f t="shared" si="0"/>
        <v>0.28809999999999997</v>
      </c>
      <c r="E31" s="1011">
        <f>AVERAGE(B$2:B30)</f>
        <v>0.12634827586206901</v>
      </c>
      <c r="F31" s="1012"/>
    </row>
    <row r="32" spans="1:6" ht="15" x14ac:dyDescent="0.5">
      <c r="A32" s="998">
        <v>1956</v>
      </c>
      <c r="B32" s="1011">
        <v>6.5600000000000006E-2</v>
      </c>
      <c r="C32" s="1011">
        <v>2.9899999999999999E-2</v>
      </c>
      <c r="D32" s="1011">
        <f t="shared" si="0"/>
        <v>3.570000000000001E-2</v>
      </c>
      <c r="E32" s="1011">
        <f>AVERAGE(B$2:B31)</f>
        <v>0.1326566666666667</v>
      </c>
      <c r="F32" s="1012"/>
    </row>
    <row r="33" spans="1:6" ht="15" x14ac:dyDescent="0.5">
      <c r="A33" s="998">
        <v>1957</v>
      </c>
      <c r="B33" s="1011">
        <v>-0.10780000000000001</v>
      </c>
      <c r="C33" s="1011">
        <v>3.44E-2</v>
      </c>
      <c r="D33" s="1011">
        <f t="shared" si="0"/>
        <v>-0.14219999999999999</v>
      </c>
      <c r="E33" s="1011">
        <f>AVERAGE(B$2:B32)</f>
        <v>0.13049354838709681</v>
      </c>
      <c r="F33" s="1012"/>
    </row>
    <row r="34" spans="1:6" ht="15" x14ac:dyDescent="0.5">
      <c r="A34" s="998">
        <v>1958</v>
      </c>
      <c r="B34" s="1011">
        <v>0.43359999999999999</v>
      </c>
      <c r="C34" s="1011">
        <v>3.27E-2</v>
      </c>
      <c r="D34" s="1011">
        <f t="shared" si="0"/>
        <v>0.40089999999999998</v>
      </c>
      <c r="E34" s="1011">
        <f>AVERAGE(B$2:B33)</f>
        <v>0.12304687500000003</v>
      </c>
      <c r="F34" s="1012"/>
    </row>
    <row r="35" spans="1:6" ht="15" x14ac:dyDescent="0.5">
      <c r="A35" s="998">
        <v>1959</v>
      </c>
      <c r="B35" s="1011">
        <v>0.1196</v>
      </c>
      <c r="C35" s="1011">
        <v>4.0099999999999997E-2</v>
      </c>
      <c r="D35" s="1011">
        <f t="shared" si="0"/>
        <v>7.9500000000000001E-2</v>
      </c>
      <c r="E35" s="1011">
        <f>AVERAGE(B$2:B34)</f>
        <v>0.1324575757575758</v>
      </c>
      <c r="F35" s="1012"/>
    </row>
    <row r="36" spans="1:6" ht="15" x14ac:dyDescent="0.5">
      <c r="A36" s="998">
        <v>1960</v>
      </c>
      <c r="B36" s="1011">
        <v>4.7000000000000002E-3</v>
      </c>
      <c r="C36" s="1011">
        <v>4.2599999999999999E-2</v>
      </c>
      <c r="D36" s="1011">
        <f t="shared" si="0"/>
        <v>-3.7899999999999996E-2</v>
      </c>
      <c r="E36" s="1011">
        <f>AVERAGE(B$2:B35)</f>
        <v>0.13207941176470592</v>
      </c>
      <c r="F36" s="1012"/>
    </row>
    <row r="37" spans="1:6" ht="15" x14ac:dyDescent="0.5">
      <c r="A37" s="998">
        <v>1961</v>
      </c>
      <c r="B37" s="1011">
        <v>0.26889999999999997</v>
      </c>
      <c r="C37" s="1011">
        <v>3.8300000000000001E-2</v>
      </c>
      <c r="D37" s="1011">
        <f t="shared" si="0"/>
        <v>0.23059999999999997</v>
      </c>
      <c r="E37" s="1011">
        <f>AVERAGE(B$2:B36)</f>
        <v>0.12844000000000003</v>
      </c>
      <c r="F37" s="1012"/>
    </row>
    <row r="38" spans="1:6" ht="15" x14ac:dyDescent="0.5">
      <c r="A38" s="998">
        <v>1962</v>
      </c>
      <c r="B38" s="1011">
        <v>-8.7300000000000003E-2</v>
      </c>
      <c r="C38" s="1011">
        <v>0.04</v>
      </c>
      <c r="D38" s="1011">
        <f t="shared" si="0"/>
        <v>-0.1273</v>
      </c>
      <c r="E38" s="1011">
        <f>AVERAGE(B$2:B37)</f>
        <v>0.13234166666666669</v>
      </c>
      <c r="F38" s="1012"/>
    </row>
    <row r="39" spans="1:6" ht="15" x14ac:dyDescent="0.5">
      <c r="A39" s="998">
        <v>1963</v>
      </c>
      <c r="B39" s="1011">
        <v>0.22800000000000001</v>
      </c>
      <c r="C39" s="1011">
        <v>3.8899999999999997E-2</v>
      </c>
      <c r="D39" s="1011">
        <f t="shared" si="0"/>
        <v>0.18910000000000002</v>
      </c>
      <c r="E39" s="1011">
        <f>AVERAGE(B$2:B38)</f>
        <v>0.12640540540540543</v>
      </c>
      <c r="F39" s="1012"/>
    </row>
    <row r="40" spans="1:6" ht="15" x14ac:dyDescent="0.5">
      <c r="A40" s="998">
        <v>1964</v>
      </c>
      <c r="B40" s="1011">
        <v>0.1648</v>
      </c>
      <c r="C40" s="1011">
        <v>4.1500000000000002E-2</v>
      </c>
      <c r="D40" s="1011">
        <f t="shared" si="0"/>
        <v>0.12329999999999999</v>
      </c>
      <c r="E40" s="1011">
        <f>AVERAGE(B$2:B39)</f>
        <v>0.12907894736842107</v>
      </c>
      <c r="F40" s="1012"/>
    </row>
    <row r="41" spans="1:6" ht="15" x14ac:dyDescent="0.5">
      <c r="A41" s="998">
        <v>1965</v>
      </c>
      <c r="B41" s="1011">
        <v>0.1245</v>
      </c>
      <c r="C41" s="1011">
        <v>4.19E-2</v>
      </c>
      <c r="D41" s="1011">
        <f t="shared" si="0"/>
        <v>8.2600000000000007E-2</v>
      </c>
      <c r="E41" s="1011">
        <f>AVERAGE(B$2:B40)</f>
        <v>0.12999487179487182</v>
      </c>
      <c r="F41" s="1012"/>
    </row>
    <row r="42" spans="1:6" ht="15" x14ac:dyDescent="0.5">
      <c r="A42" s="998">
        <v>1966</v>
      </c>
      <c r="B42" s="1011">
        <v>-0.10059999999999999</v>
      </c>
      <c r="C42" s="1011">
        <v>4.4900000000000002E-2</v>
      </c>
      <c r="D42" s="1011">
        <f t="shared" si="0"/>
        <v>-0.14549999999999999</v>
      </c>
      <c r="E42" s="1011">
        <f>AVERAGE(B$2:B41)</f>
        <v>0.12985750000000001</v>
      </c>
      <c r="F42" s="1012"/>
    </row>
    <row r="43" spans="1:6" ht="15" x14ac:dyDescent="0.5">
      <c r="A43" s="998">
        <v>1967</v>
      </c>
      <c r="B43" s="1011">
        <v>0.23980000000000001</v>
      </c>
      <c r="C43" s="1011">
        <v>4.5900000000000003E-2</v>
      </c>
      <c r="D43" s="1011">
        <f t="shared" si="0"/>
        <v>0.19390000000000002</v>
      </c>
      <c r="E43" s="1011">
        <f>AVERAGE(B$2:B42)</f>
        <v>0.12423658536585368</v>
      </c>
      <c r="F43" s="1012"/>
    </row>
    <row r="44" spans="1:6" ht="15" x14ac:dyDescent="0.5">
      <c r="A44" s="998">
        <v>1968</v>
      </c>
      <c r="B44" s="1011">
        <v>0.1106</v>
      </c>
      <c r="C44" s="1011">
        <v>5.5E-2</v>
      </c>
      <c r="D44" s="1011">
        <f t="shared" si="0"/>
        <v>5.5600000000000004E-2</v>
      </c>
      <c r="E44" s="1011">
        <f>AVERAGE(B$2:B43)</f>
        <v>0.12698809523809526</v>
      </c>
      <c r="F44" s="1012"/>
    </row>
    <row r="45" spans="1:6" ht="15" x14ac:dyDescent="0.5">
      <c r="A45" s="998">
        <v>1969</v>
      </c>
      <c r="B45" s="1011">
        <v>-8.5000000000000006E-2</v>
      </c>
      <c r="C45" s="1011">
        <v>5.9499999999999997E-2</v>
      </c>
      <c r="D45" s="1011">
        <f t="shared" si="0"/>
        <v>-0.14450000000000002</v>
      </c>
      <c r="E45" s="1011">
        <f>AVERAGE(B$2:B44)</f>
        <v>0.12660697674418606</v>
      </c>
      <c r="F45" s="1012"/>
    </row>
    <row r="46" spans="1:6" ht="15" x14ac:dyDescent="0.5">
      <c r="A46" s="998">
        <v>1970</v>
      </c>
      <c r="B46" s="1011">
        <v>3.8600000000000002E-2</v>
      </c>
      <c r="C46" s="1011">
        <v>6.7400000000000002E-2</v>
      </c>
      <c r="D46" s="1011">
        <f t="shared" si="0"/>
        <v>-2.8799999999999999E-2</v>
      </c>
      <c r="E46" s="1011">
        <f>AVERAGE(B$2:B45)</f>
        <v>0.12179772727272729</v>
      </c>
      <c r="F46" s="1012"/>
    </row>
    <row r="47" spans="1:6" ht="15" x14ac:dyDescent="0.5">
      <c r="A47" s="998">
        <v>1971</v>
      </c>
      <c r="B47" s="1011">
        <v>0.14299999999999999</v>
      </c>
      <c r="C47" s="1011">
        <v>6.3200000000000006E-2</v>
      </c>
      <c r="D47" s="1011">
        <f t="shared" si="0"/>
        <v>7.9799999999999982E-2</v>
      </c>
      <c r="E47" s="1011">
        <f>AVERAGE(B$2:B46)</f>
        <v>0.1199488888888889</v>
      </c>
      <c r="F47" s="1012"/>
    </row>
    <row r="48" spans="1:6" ht="15" x14ac:dyDescent="0.5">
      <c r="A48" s="998">
        <v>1972</v>
      </c>
      <c r="B48" s="1011">
        <v>0.18990000000000001</v>
      </c>
      <c r="C48" s="1011">
        <v>5.8700000000000002E-2</v>
      </c>
      <c r="D48" s="1011">
        <f t="shared" si="0"/>
        <v>0.13120000000000001</v>
      </c>
      <c r="E48" s="1011">
        <f>AVERAGE(B$2:B47)</f>
        <v>0.12045</v>
      </c>
      <c r="F48" s="1012"/>
    </row>
    <row r="49" spans="1:6" ht="15" x14ac:dyDescent="0.5">
      <c r="A49" s="998">
        <v>1973</v>
      </c>
      <c r="B49" s="1011">
        <v>-0.1469</v>
      </c>
      <c r="C49" s="1011">
        <v>6.5100000000000005E-2</v>
      </c>
      <c r="D49" s="1011">
        <f t="shared" si="0"/>
        <v>-0.21200000000000002</v>
      </c>
      <c r="E49" s="1011">
        <f>AVERAGE(B$2:B48)</f>
        <v>0.12192765957446808</v>
      </c>
      <c r="F49" s="1012"/>
    </row>
    <row r="50" spans="1:6" ht="15" x14ac:dyDescent="0.5">
      <c r="A50" s="998">
        <v>1974</v>
      </c>
      <c r="B50" s="1011">
        <v>-0.26469999999999999</v>
      </c>
      <c r="C50" s="1011">
        <v>7.2700000000000001E-2</v>
      </c>
      <c r="D50" s="1011">
        <f t="shared" si="0"/>
        <v>-0.33739999999999998</v>
      </c>
      <c r="E50" s="1011">
        <f>AVERAGE(B$2:B49)</f>
        <v>0.11632708333333334</v>
      </c>
      <c r="F50" s="1012"/>
    </row>
    <row r="51" spans="1:6" ht="15" x14ac:dyDescent="0.5">
      <c r="A51" s="998">
        <v>1975</v>
      </c>
      <c r="B51" s="1011">
        <v>0.37230000000000002</v>
      </c>
      <c r="C51" s="1011">
        <v>7.9899999999999999E-2</v>
      </c>
      <c r="D51" s="1011">
        <f t="shared" si="0"/>
        <v>0.29239999999999999</v>
      </c>
      <c r="E51" s="1011">
        <f>AVERAGE(B$2:B50)</f>
        <v>0.10855102040816327</v>
      </c>
      <c r="F51" s="1012"/>
    </row>
    <row r="52" spans="1:6" ht="15" x14ac:dyDescent="0.5">
      <c r="A52" s="998">
        <v>1976</v>
      </c>
      <c r="B52" s="1011">
        <v>0.23930000000000001</v>
      </c>
      <c r="C52" s="1011">
        <v>7.8899999999999998E-2</v>
      </c>
      <c r="D52" s="1011">
        <f t="shared" si="0"/>
        <v>0.16040000000000001</v>
      </c>
      <c r="E52" s="1011">
        <f>AVERAGE(B$2:B51)</f>
        <v>0.113826</v>
      </c>
      <c r="F52" s="1012"/>
    </row>
    <row r="53" spans="1:6" ht="15" x14ac:dyDescent="0.5">
      <c r="A53" s="998">
        <v>1977</v>
      </c>
      <c r="B53" s="1011">
        <v>-7.1599999999999997E-2</v>
      </c>
      <c r="C53" s="1011">
        <v>7.1400000000000005E-2</v>
      </c>
      <c r="D53" s="1011">
        <f t="shared" si="0"/>
        <v>-0.14300000000000002</v>
      </c>
      <c r="E53" s="1011">
        <f>AVERAGE(B$2:B52)</f>
        <v>0.11628627450980393</v>
      </c>
      <c r="F53" s="1012"/>
    </row>
    <row r="54" spans="1:6" ht="15" x14ac:dyDescent="0.5">
      <c r="A54" s="998">
        <v>1978</v>
      </c>
      <c r="B54" s="1011">
        <v>6.5699999999999995E-2</v>
      </c>
      <c r="C54" s="1011">
        <v>7.9000000000000001E-2</v>
      </c>
      <c r="D54" s="1011">
        <f t="shared" si="0"/>
        <v>-1.3300000000000006E-2</v>
      </c>
      <c r="E54" s="1011">
        <f>AVERAGE(B$2:B53)</f>
        <v>0.11267307692307692</v>
      </c>
      <c r="F54" s="1012"/>
    </row>
    <row r="55" spans="1:6" ht="15" x14ac:dyDescent="0.5">
      <c r="A55" s="998">
        <v>1979</v>
      </c>
      <c r="B55" s="1011">
        <v>0.18609999999999999</v>
      </c>
      <c r="C55" s="1011">
        <v>8.8599999999999998E-2</v>
      </c>
      <c r="D55" s="1011">
        <f t="shared" si="0"/>
        <v>9.7499999999999989E-2</v>
      </c>
      <c r="E55" s="1011">
        <f>AVERAGE(B$2:B54)</f>
        <v>0.11178679245283019</v>
      </c>
      <c r="F55" s="1012"/>
    </row>
    <row r="56" spans="1:6" ht="15" x14ac:dyDescent="0.5">
      <c r="A56" s="998">
        <v>1980</v>
      </c>
      <c r="B56" s="1011">
        <v>0.32500000000000001</v>
      </c>
      <c r="C56" s="1011">
        <v>9.9699999999999997E-2</v>
      </c>
      <c r="D56" s="1011">
        <f t="shared" si="0"/>
        <v>0.2253</v>
      </c>
      <c r="E56" s="1011">
        <f>AVERAGE(B$2:B55)</f>
        <v>0.11316296296296295</v>
      </c>
      <c r="F56" s="1012"/>
    </row>
    <row r="57" spans="1:6" ht="15" x14ac:dyDescent="0.5">
      <c r="A57" s="998">
        <v>1981</v>
      </c>
      <c r="B57" s="1011">
        <v>-4.9200000000000001E-2</v>
      </c>
      <c r="C57" s="1011">
        <v>0.11550000000000001</v>
      </c>
      <c r="D57" s="1011">
        <f t="shared" si="0"/>
        <v>-0.16470000000000001</v>
      </c>
      <c r="E57" s="1011">
        <f>AVERAGE(B$2:B56)</f>
        <v>0.11701454545454544</v>
      </c>
      <c r="F57" s="1012"/>
    </row>
    <row r="58" spans="1:6" ht="15" x14ac:dyDescent="0.5">
      <c r="A58" s="998">
        <v>1982</v>
      </c>
      <c r="B58" s="1011">
        <v>0.2155</v>
      </c>
      <c r="C58" s="1011">
        <v>0.13500000000000001</v>
      </c>
      <c r="D58" s="1011">
        <f t="shared" si="0"/>
        <v>8.0499999999999988E-2</v>
      </c>
      <c r="E58" s="1011">
        <f>AVERAGE(B$2:B57)</f>
        <v>0.11404642857142856</v>
      </c>
      <c r="F58" s="1012"/>
    </row>
    <row r="59" spans="1:6" ht="15" x14ac:dyDescent="0.5">
      <c r="A59" s="998">
        <v>1983</v>
      </c>
      <c r="B59" s="1011">
        <v>0.22559999999999999</v>
      </c>
      <c r="C59" s="1011">
        <v>0.1038</v>
      </c>
      <c r="D59" s="1011">
        <f t="shared" si="0"/>
        <v>0.12179999999999999</v>
      </c>
      <c r="E59" s="1011">
        <f>AVERAGE(B$2:B58)</f>
        <v>0.11582631578947367</v>
      </c>
      <c r="F59" s="1012"/>
    </row>
    <row r="60" spans="1:6" ht="15" x14ac:dyDescent="0.5">
      <c r="A60" s="998">
        <v>1984</v>
      </c>
      <c r="B60" s="1011">
        <v>6.2700000000000006E-2</v>
      </c>
      <c r="C60" s="1011">
        <v>0.1174</v>
      </c>
      <c r="D60" s="1011">
        <f t="shared" si="0"/>
        <v>-5.4699999999999999E-2</v>
      </c>
      <c r="E60" s="1011">
        <f>AVERAGE(B$2:B59)</f>
        <v>0.11771896551724137</v>
      </c>
      <c r="F60" s="1012"/>
    </row>
    <row r="61" spans="1:6" ht="15" x14ac:dyDescent="0.5">
      <c r="A61" s="998">
        <v>1985</v>
      </c>
      <c r="B61" s="1011">
        <v>0.31730000000000003</v>
      </c>
      <c r="C61" s="1011">
        <v>0.1125</v>
      </c>
      <c r="D61" s="1011">
        <f t="shared" si="0"/>
        <v>0.20480000000000004</v>
      </c>
      <c r="E61" s="1011">
        <f>AVERAGE(B$2:B60)</f>
        <v>0.11678644067796609</v>
      </c>
      <c r="F61" s="1012"/>
    </row>
    <row r="62" spans="1:6" ht="15" x14ac:dyDescent="0.5">
      <c r="A62" s="998">
        <v>1986</v>
      </c>
      <c r="B62" s="1011">
        <v>0.1867</v>
      </c>
      <c r="C62" s="1011">
        <v>8.9800000000000005E-2</v>
      </c>
      <c r="D62" s="1011">
        <f t="shared" si="0"/>
        <v>9.69E-2</v>
      </c>
      <c r="E62" s="1011">
        <f>AVERAGE(B$2:B61)</f>
        <v>0.12012833333333334</v>
      </c>
      <c r="F62" s="1012"/>
    </row>
    <row r="63" spans="1:6" ht="15" x14ac:dyDescent="0.5">
      <c r="A63" s="998">
        <v>1987</v>
      </c>
      <c r="B63" s="1011">
        <v>5.2499999999999998E-2</v>
      </c>
      <c r="C63" s="1011">
        <v>7.9200000000000007E-2</v>
      </c>
      <c r="D63" s="1011">
        <f t="shared" si="0"/>
        <v>-2.6700000000000008E-2</v>
      </c>
      <c r="E63" s="1011">
        <f>AVERAGE(B$2:B62)</f>
        <v>0.12121967213114754</v>
      </c>
      <c r="F63" s="1012"/>
    </row>
    <row r="64" spans="1:6" ht="15" x14ac:dyDescent="0.5">
      <c r="A64" s="998">
        <v>1988</v>
      </c>
      <c r="B64" s="1011">
        <v>0.1661</v>
      </c>
      <c r="C64" s="1011">
        <v>8.9700000000000002E-2</v>
      </c>
      <c r="D64" s="1011">
        <f t="shared" si="0"/>
        <v>7.6399999999999996E-2</v>
      </c>
      <c r="E64" s="1011">
        <f>AVERAGE(B$2:B63)</f>
        <v>0.12011129032258065</v>
      </c>
      <c r="F64" s="1012"/>
    </row>
    <row r="65" spans="1:6" ht="15" x14ac:dyDescent="0.5">
      <c r="A65" s="998">
        <v>1989</v>
      </c>
      <c r="B65" s="1011">
        <v>0.31690000000000002</v>
      </c>
      <c r="C65" s="1011">
        <v>8.8099999999999998E-2</v>
      </c>
      <c r="D65" s="1011">
        <f t="shared" si="0"/>
        <v>0.2288</v>
      </c>
      <c r="E65" s="1011">
        <f>AVERAGE(B$2:B64)</f>
        <v>0.12084126984126985</v>
      </c>
      <c r="F65" s="1012"/>
    </row>
    <row r="66" spans="1:6" ht="15" x14ac:dyDescent="0.5">
      <c r="A66" s="998">
        <v>1990</v>
      </c>
      <c r="B66" s="1011">
        <v>-3.1E-2</v>
      </c>
      <c r="C66" s="1011">
        <v>8.1900000000000001E-2</v>
      </c>
      <c r="D66" s="1011">
        <f t="shared" si="0"/>
        <v>-0.1129</v>
      </c>
      <c r="E66" s="1011">
        <f>AVERAGE(B$2:B65)</f>
        <v>0.12390468750000001</v>
      </c>
      <c r="F66" s="1012"/>
    </row>
    <row r="67" spans="1:6" ht="15" x14ac:dyDescent="0.5">
      <c r="A67" s="998">
        <v>1991</v>
      </c>
      <c r="B67" s="1011">
        <v>0.30470000000000003</v>
      </c>
      <c r="C67" s="1011">
        <v>8.2199999999999995E-2</v>
      </c>
      <c r="D67" s="1011">
        <f t="shared" ref="D67:D100" si="1">B67-C67</f>
        <v>0.22250000000000003</v>
      </c>
      <c r="E67" s="1011">
        <f>AVERAGE(B$2:B66)</f>
        <v>0.12152153846153847</v>
      </c>
      <c r="F67" s="1012"/>
    </row>
    <row r="68" spans="1:6" ht="15" x14ac:dyDescent="0.5">
      <c r="A68" s="998">
        <v>1992</v>
      </c>
      <c r="B68" s="1011">
        <v>7.6200000000000004E-2</v>
      </c>
      <c r="C68" s="1011">
        <v>7.2599999999999998E-2</v>
      </c>
      <c r="D68" s="1011">
        <f t="shared" si="1"/>
        <v>3.600000000000006E-3</v>
      </c>
      <c r="E68" s="1011">
        <f>AVERAGE(B$2:B67)</f>
        <v>0.12429696969696973</v>
      </c>
      <c r="F68" s="1012"/>
    </row>
    <row r="69" spans="1:6" ht="15" x14ac:dyDescent="0.5">
      <c r="A69" s="998">
        <v>1993</v>
      </c>
      <c r="B69" s="1011">
        <v>0.1008</v>
      </c>
      <c r="C69" s="1011">
        <v>7.17E-2</v>
      </c>
      <c r="D69" s="1011">
        <f t="shared" si="1"/>
        <v>2.9100000000000001E-2</v>
      </c>
      <c r="E69" s="1011">
        <f>AVERAGE(B$2:B68)</f>
        <v>0.12357910447761196</v>
      </c>
      <c r="F69" s="1012"/>
    </row>
    <row r="70" spans="1:6" ht="15" x14ac:dyDescent="0.5">
      <c r="A70" s="998">
        <v>1994</v>
      </c>
      <c r="B70" s="1011">
        <v>1.32E-2</v>
      </c>
      <c r="C70" s="1011">
        <v>6.59E-2</v>
      </c>
      <c r="D70" s="1011">
        <f t="shared" si="1"/>
        <v>-5.2699999999999997E-2</v>
      </c>
      <c r="E70" s="1011">
        <f>AVERAGE(B$2:B69)</f>
        <v>0.12324411764705884</v>
      </c>
      <c r="F70" s="1012"/>
    </row>
    <row r="71" spans="1:6" ht="15" x14ac:dyDescent="0.5">
      <c r="A71" s="998">
        <v>1995</v>
      </c>
      <c r="B71" s="1011">
        <v>0.37580000000000002</v>
      </c>
      <c r="C71" s="1011">
        <v>7.5999999999999998E-2</v>
      </c>
      <c r="D71" s="1011">
        <f t="shared" si="1"/>
        <v>0.29980000000000001</v>
      </c>
      <c r="E71" s="1011">
        <f>AVERAGE(B$2:B70)</f>
        <v>0.12164927536231884</v>
      </c>
      <c r="F71" s="1012"/>
    </row>
    <row r="72" spans="1:6" ht="15" x14ac:dyDescent="0.5">
      <c r="A72" s="998">
        <v>1996</v>
      </c>
      <c r="B72" s="1011">
        <v>0.2296</v>
      </c>
      <c r="C72" s="1011">
        <v>6.1800000000000001E-2</v>
      </c>
      <c r="D72" s="1011">
        <f t="shared" si="1"/>
        <v>0.1678</v>
      </c>
      <c r="E72" s="1011">
        <f>AVERAGE(B$2:B71)</f>
        <v>0.12528</v>
      </c>
      <c r="F72" s="1012"/>
    </row>
    <row r="73" spans="1:6" ht="15" x14ac:dyDescent="0.5">
      <c r="A73" s="998">
        <v>1997</v>
      </c>
      <c r="B73" s="1011">
        <v>0.33360000000000001</v>
      </c>
      <c r="C73" s="1011">
        <v>6.6400000000000001E-2</v>
      </c>
      <c r="D73" s="1011">
        <f t="shared" si="1"/>
        <v>0.26719999999999999</v>
      </c>
      <c r="E73" s="1011">
        <f>AVERAGE(B$2:B72)</f>
        <v>0.12674929577464789</v>
      </c>
      <c r="F73" s="1012"/>
    </row>
    <row r="74" spans="1:6" ht="15" x14ac:dyDescent="0.5">
      <c r="A74" s="998">
        <v>1998</v>
      </c>
      <c r="B74" s="1011">
        <v>0.2858</v>
      </c>
      <c r="C74" s="1011">
        <v>5.8299999999999998E-2</v>
      </c>
      <c r="D74" s="1011">
        <f t="shared" si="1"/>
        <v>0.22750000000000001</v>
      </c>
      <c r="E74" s="1011">
        <f>AVERAGE(B$2:B73)</f>
        <v>0.12962222222222222</v>
      </c>
      <c r="F74" s="1012"/>
    </row>
    <row r="75" spans="1:6" ht="15" x14ac:dyDescent="0.5">
      <c r="A75" s="998">
        <v>1999</v>
      </c>
      <c r="B75" s="1011">
        <v>0.2104</v>
      </c>
      <c r="C75" s="1011">
        <v>5.57E-2</v>
      </c>
      <c r="D75" s="1011">
        <f t="shared" si="1"/>
        <v>0.1547</v>
      </c>
      <c r="E75" s="1011">
        <f>AVERAGE(B$2:B74)</f>
        <v>0.13176164383561645</v>
      </c>
      <c r="F75" s="1012"/>
    </row>
    <row r="76" spans="1:6" ht="15" x14ac:dyDescent="0.5">
      <c r="A76" s="998">
        <v>2000</v>
      </c>
      <c r="B76" s="1011">
        <v>-9.0999999999999998E-2</v>
      </c>
      <c r="C76" s="1011">
        <v>6.5000000000000002E-2</v>
      </c>
      <c r="D76" s="1011">
        <f t="shared" si="1"/>
        <v>-0.156</v>
      </c>
      <c r="E76" s="1011">
        <f>AVERAGE(B$2:B75)</f>
        <v>0.13282432432432434</v>
      </c>
      <c r="F76" s="1012"/>
    </row>
    <row r="77" spans="1:6" ht="15" x14ac:dyDescent="0.5">
      <c r="A77" s="998">
        <v>2001</v>
      </c>
      <c r="B77" s="1011">
        <v>-0.11890000000000001</v>
      </c>
      <c r="C77" s="1011">
        <v>5.5300000000000002E-2</v>
      </c>
      <c r="D77" s="1011">
        <f t="shared" si="1"/>
        <v>-0.17420000000000002</v>
      </c>
      <c r="E77" s="1011">
        <f>AVERAGE(B$2:B76)</f>
        <v>0.12984000000000001</v>
      </c>
      <c r="F77" s="1012"/>
    </row>
    <row r="78" spans="1:6" ht="15" x14ac:dyDescent="0.5">
      <c r="A78" s="998">
        <v>2002</v>
      </c>
      <c r="B78" s="1011">
        <v>-0.221</v>
      </c>
      <c r="C78" s="1011">
        <v>5.5899999999999998E-2</v>
      </c>
      <c r="D78" s="1011">
        <f t="shared" si="1"/>
        <v>-0.27689999999999998</v>
      </c>
      <c r="E78" s="1011">
        <f>AVERAGE(B$2:B77)</f>
        <v>0.12656710526315793</v>
      </c>
      <c r="F78" s="1012"/>
    </row>
    <row r="79" spans="1:6" ht="15" x14ac:dyDescent="0.5">
      <c r="A79" s="998">
        <v>2003</v>
      </c>
      <c r="B79" s="1011">
        <v>0.2868</v>
      </c>
      <c r="C79" s="1011">
        <v>4.8000000000000001E-2</v>
      </c>
      <c r="D79" s="1011">
        <f t="shared" si="1"/>
        <v>0.23880000000000001</v>
      </c>
      <c r="E79" s="1011">
        <f>AVERAGE(B$2:B78)</f>
        <v>0.12205324675324677</v>
      </c>
      <c r="F79" s="1012"/>
    </row>
    <row r="80" spans="1:6" ht="15" x14ac:dyDescent="0.5">
      <c r="A80" s="998">
        <v>2004</v>
      </c>
      <c r="B80" s="1011">
        <v>0.10879999999999999</v>
      </c>
      <c r="C80" s="1011">
        <v>5.0200000000000002E-2</v>
      </c>
      <c r="D80" s="1011">
        <f t="shared" si="1"/>
        <v>5.8599999999999992E-2</v>
      </c>
      <c r="E80" s="1011">
        <f>AVERAGE(B$2:B79)</f>
        <v>0.12416538461538462</v>
      </c>
      <c r="F80" s="1012"/>
    </row>
    <row r="81" spans="1:10" ht="15" x14ac:dyDescent="0.5">
      <c r="A81" s="998">
        <v>2005</v>
      </c>
      <c r="B81" s="1011">
        <v>4.9099999999999998E-2</v>
      </c>
      <c r="C81" s="1011">
        <v>4.6899999999999997E-2</v>
      </c>
      <c r="D81" s="1011">
        <f t="shared" si="1"/>
        <v>2.2000000000000006E-3</v>
      </c>
      <c r="E81" s="1011">
        <f>AVERAGE(B$2:B80)</f>
        <v>0.12397088607594939</v>
      </c>
      <c r="F81" s="1012"/>
    </row>
    <row r="82" spans="1:10" ht="15" x14ac:dyDescent="0.5">
      <c r="A82" s="998">
        <v>2006</v>
      </c>
      <c r="B82" s="1011">
        <v>0.15790000000000001</v>
      </c>
      <c r="C82" s="1011">
        <v>4.6800000000000001E-2</v>
      </c>
      <c r="D82" s="1011">
        <f t="shared" si="1"/>
        <v>0.1111</v>
      </c>
      <c r="E82" s="1011">
        <f>AVERAGE(B$2:B81)</f>
        <v>0.12303500000000001</v>
      </c>
      <c r="F82" s="1012"/>
    </row>
    <row r="83" spans="1:10" ht="15" x14ac:dyDescent="0.5">
      <c r="A83" s="998">
        <v>2007</v>
      </c>
      <c r="B83" s="1011">
        <v>5.4899999999999997E-2</v>
      </c>
      <c r="C83" s="1011">
        <v>4.8599999999999997E-2</v>
      </c>
      <c r="D83" s="1011">
        <f t="shared" si="1"/>
        <v>6.3E-3</v>
      </c>
      <c r="E83" s="1011">
        <f>AVERAGE(B$2:B82)</f>
        <v>0.12346543209876544</v>
      </c>
      <c r="F83" s="1012"/>
    </row>
    <row r="84" spans="1:10" ht="15" x14ac:dyDescent="0.5">
      <c r="A84" s="998">
        <v>2008</v>
      </c>
      <c r="B84" s="1011">
        <v>-0.37</v>
      </c>
      <c r="C84" s="1011">
        <v>4.4499999999999998E-2</v>
      </c>
      <c r="D84" s="1011">
        <f t="shared" si="1"/>
        <v>-0.41449999999999998</v>
      </c>
      <c r="E84" s="1011">
        <f>AVERAGE(B$2:B83)</f>
        <v>0.12262926829268293</v>
      </c>
      <c r="F84" s="1013"/>
      <c r="H84" s="1014"/>
      <c r="I84" s="1014"/>
      <c r="J84" s="1014"/>
    </row>
    <row r="85" spans="1:10" ht="15" x14ac:dyDescent="0.5">
      <c r="A85" s="998">
        <v>2009</v>
      </c>
      <c r="B85" s="1011">
        <v>0.2646</v>
      </c>
      <c r="C85" s="1011">
        <v>3.4700000000000002E-2</v>
      </c>
      <c r="D85" s="1011">
        <f t="shared" si="1"/>
        <v>0.22989999999999999</v>
      </c>
      <c r="E85" s="1011">
        <f>AVERAGE(B$2:B84)</f>
        <v>0.11669397590361447</v>
      </c>
      <c r="F85" s="1013">
        <f>VLOOKUP($A85,'WP Kroll'!$A$2:$E$16,4,FALSE)</f>
        <v>0.06</v>
      </c>
      <c r="G85" s="1015">
        <f>VLOOKUP($A85,'WP Ibbotson Chen'!$A$2:$E$17,5,FALSE)</f>
        <v>0.11654004500000001</v>
      </c>
      <c r="H85" s="1016"/>
      <c r="I85" s="1016"/>
      <c r="J85" s="1016"/>
    </row>
    <row r="86" spans="1:10" ht="15" x14ac:dyDescent="0.5">
      <c r="A86" s="998">
        <v>2010</v>
      </c>
      <c r="B86" s="1011">
        <v>0.15060000000000001</v>
      </c>
      <c r="C86" s="1011">
        <v>4.2500000000000003E-2</v>
      </c>
      <c r="D86" s="1011">
        <f t="shared" si="1"/>
        <v>0.1081</v>
      </c>
      <c r="E86" s="1011">
        <f>AVERAGE(B$2:B85)</f>
        <v>0.11845476190476191</v>
      </c>
      <c r="F86" s="1013">
        <f>VLOOKUP($A86,'WP Kroll'!$A$2:$E$16,4,FALSE)</f>
        <v>5.5E-2</v>
      </c>
      <c r="G86" s="1015">
        <f>VLOOKUP($A86,'WP Ibbotson Chen'!$A$2:$E$17,5,FALSE)</f>
        <v>0.11115624499999999</v>
      </c>
      <c r="H86" s="1016"/>
      <c r="I86" s="1016"/>
      <c r="J86" s="1016"/>
    </row>
    <row r="87" spans="1:10" ht="15" x14ac:dyDescent="0.5">
      <c r="A87" s="998">
        <v>2011</v>
      </c>
      <c r="B87" s="1011">
        <v>2.1100000000000001E-2</v>
      </c>
      <c r="C87" s="1011">
        <v>3.8199999999999998E-2</v>
      </c>
      <c r="D87" s="1011">
        <f t="shared" si="1"/>
        <v>-1.7099999999999997E-2</v>
      </c>
      <c r="E87" s="1011">
        <f>AVERAGE(B$2:B86)</f>
        <v>0.1188329411764706</v>
      </c>
      <c r="F87" s="1013">
        <f>VLOOKUP($A87,'WP Kroll'!$A$2:$E$16,4,FALSE)</f>
        <v>5.5E-2</v>
      </c>
      <c r="G87" s="1015">
        <f>VLOOKUP($A87,'WP Ibbotson Chen'!$A$2:$E$17,5,FALSE)</f>
        <v>0.105433005</v>
      </c>
      <c r="H87" s="1016"/>
      <c r="I87" s="1016"/>
      <c r="J87" s="1016"/>
    </row>
    <row r="88" spans="1:10" ht="15" x14ac:dyDescent="0.5">
      <c r="A88" s="998">
        <v>2012</v>
      </c>
      <c r="B88" s="1011">
        <v>0.16</v>
      </c>
      <c r="C88" s="1011">
        <v>2.46E-2</v>
      </c>
      <c r="D88" s="1011">
        <f t="shared" si="1"/>
        <v>0.13539999999999999</v>
      </c>
      <c r="E88" s="1011">
        <f>AVERAGE(B$2:B87)</f>
        <v>0.11769651162790699</v>
      </c>
      <c r="F88" s="1013">
        <f>VLOOKUP($A88,'WP Kroll'!$A$2:$E$16,4,FALSE)</f>
        <v>0.06</v>
      </c>
      <c r="G88" s="1015">
        <f>VLOOKUP($A88,'WP Ibbotson Chen'!$A$2:$E$17,5,FALSE)</f>
        <v>0.113433005</v>
      </c>
      <c r="H88" s="1016"/>
      <c r="I88" s="1016"/>
      <c r="J88" s="1016"/>
    </row>
    <row r="89" spans="1:10" ht="15" x14ac:dyDescent="0.5">
      <c r="A89" s="998">
        <v>2013</v>
      </c>
      <c r="B89" s="1011">
        <v>0.32390000000000002</v>
      </c>
      <c r="C89" s="1011">
        <v>2.8799999999999999E-2</v>
      </c>
      <c r="D89" s="1011">
        <f t="shared" si="1"/>
        <v>0.29510000000000003</v>
      </c>
      <c r="E89" s="1011">
        <f>AVERAGE(B$2:B88)</f>
        <v>0.11818275862068968</v>
      </c>
      <c r="F89" s="1013">
        <f>VLOOKUP($A89,'WP Kroll'!$A$2:$E$16,4,FALSE)</f>
        <v>5.5E-2</v>
      </c>
      <c r="G89" s="1015">
        <f>VLOOKUP($A89,'WP Ibbotson Chen'!$A$2:$E$17,5,FALSE)</f>
        <v>0.11490449999999999</v>
      </c>
      <c r="H89" s="1016"/>
      <c r="I89" s="1016"/>
      <c r="J89" s="1016"/>
    </row>
    <row r="90" spans="1:10" ht="15" x14ac:dyDescent="0.5">
      <c r="A90" s="996">
        <v>2014</v>
      </c>
      <c r="B90" s="1011">
        <v>0.13689999999999999</v>
      </c>
      <c r="C90" s="1011">
        <v>3.4099999999999998E-2</v>
      </c>
      <c r="D90" s="1011">
        <f t="shared" si="1"/>
        <v>0.1028</v>
      </c>
      <c r="E90" s="1011">
        <f>AVERAGE(B$2:B89)</f>
        <v>0.12052045454545457</v>
      </c>
      <c r="F90" s="1013">
        <f>VLOOKUP($A90,'WP Kroll'!$A$2:$E$16,4,FALSE)</f>
        <v>0.05</v>
      </c>
      <c r="G90" s="1015">
        <f>VLOOKUP($A90,'WP Ibbotson Chen'!$A$2:$E$17,5,FALSE)</f>
        <v>0.11426161999999999</v>
      </c>
      <c r="H90" s="1016"/>
      <c r="I90" s="1016"/>
      <c r="J90" s="1016"/>
    </row>
    <row r="91" spans="1:10" ht="15" x14ac:dyDescent="0.5">
      <c r="A91" s="996">
        <v>2015</v>
      </c>
      <c r="B91" s="1011">
        <v>1.38E-2</v>
      </c>
      <c r="C91" s="1011">
        <v>2.47E-2</v>
      </c>
      <c r="D91" s="1011">
        <f t="shared" si="1"/>
        <v>-1.09E-2</v>
      </c>
      <c r="E91" s="1011">
        <f>AVERAGE(B$2:B90)</f>
        <v>0.12070449438202251</v>
      </c>
      <c r="F91" s="1013">
        <f>VLOOKUP($A91,'WP Kroll'!$A$2:$E$16,4,FALSE)</f>
        <v>0.05</v>
      </c>
      <c r="G91" s="1015">
        <f>VLOOKUP($A91,'WP Ibbotson Chen'!$A$2:$E$17,5,FALSE)</f>
        <v>0.11408180500000001</v>
      </c>
      <c r="H91" s="1016"/>
      <c r="I91" s="1016"/>
      <c r="J91" s="1016"/>
    </row>
    <row r="92" spans="1:10" ht="15" x14ac:dyDescent="0.5">
      <c r="A92" s="996">
        <v>2016</v>
      </c>
      <c r="B92" s="1011">
        <v>0.1196</v>
      </c>
      <c r="C92" s="1011">
        <v>2.3E-2</v>
      </c>
      <c r="D92" s="1011">
        <f t="shared" si="1"/>
        <v>9.6599999999999991E-2</v>
      </c>
      <c r="E92" s="1011">
        <f>AVERAGE(B$2:B91)</f>
        <v>0.1195166666666667</v>
      </c>
      <c r="F92" s="1013">
        <f>VLOOKUP($A92,'WP Kroll'!$A$2:$E$16,4,FALSE)</f>
        <v>0.05</v>
      </c>
      <c r="G92" s="1015">
        <f>VLOOKUP($A92,'WP Ibbotson Chen'!$A$2:$E$17,5,FALSE)</f>
        <v>0.114640245</v>
      </c>
      <c r="H92" s="1016"/>
      <c r="I92" s="1016"/>
      <c r="J92" s="1016"/>
    </row>
    <row r="93" spans="1:10" ht="15" x14ac:dyDescent="0.5">
      <c r="A93" s="996">
        <v>2017</v>
      </c>
      <c r="B93" s="1011">
        <v>0.21829999999999999</v>
      </c>
      <c r="C93" s="1011">
        <v>2.6700000000000002E-2</v>
      </c>
      <c r="D93" s="1011">
        <f t="shared" si="1"/>
        <v>0.19159999999999999</v>
      </c>
      <c r="E93" s="1011">
        <f>AVERAGE(B$2:B92)</f>
        <v>0.11951758241758245</v>
      </c>
      <c r="F93" s="1013">
        <f>VLOOKUP($A93,'WP Kroll'!$A$2:$E$16,4,FALSE)</f>
        <v>5.5E-2</v>
      </c>
      <c r="G93" s="1015">
        <f>VLOOKUP($A93,'WP Ibbotson Chen'!$A$2:$E$17,5,FALSE)</f>
        <v>0.11278000499999999</v>
      </c>
      <c r="H93" s="1016"/>
      <c r="I93" s="1016"/>
      <c r="J93" s="1016"/>
    </row>
    <row r="94" spans="1:10" ht="15" x14ac:dyDescent="0.5">
      <c r="A94" s="996">
        <v>2018</v>
      </c>
      <c r="B94" s="1011">
        <v>-4.3799999999999999E-2</v>
      </c>
      <c r="C94" s="1011">
        <v>2.8199999999999999E-2</v>
      </c>
      <c r="D94" s="1011">
        <f t="shared" si="1"/>
        <v>-7.1999999999999995E-2</v>
      </c>
      <c r="E94" s="1011">
        <f>AVERAGE(B$2:B93)</f>
        <v>0.12059130434782611</v>
      </c>
      <c r="F94" s="1013">
        <f>VLOOKUP($A94,'WP Kroll'!$A$2:$E$16,4,FALSE)</f>
        <v>0.05</v>
      </c>
      <c r="G94" s="1015">
        <f>VLOOKUP($A94,'WP Ibbotson Chen'!$A$2:$E$17,5,FALSE)</f>
        <v>0.11186072</v>
      </c>
      <c r="H94" s="1016"/>
      <c r="I94" s="1016"/>
      <c r="J94" s="1016"/>
    </row>
    <row r="95" spans="1:10" ht="15" x14ac:dyDescent="0.5">
      <c r="A95" s="996">
        <v>2019</v>
      </c>
      <c r="B95" s="1011">
        <v>0.31490000000000001</v>
      </c>
      <c r="C95" s="1011">
        <v>2.5499999999999998E-2</v>
      </c>
      <c r="D95" s="1011">
        <f t="shared" si="1"/>
        <v>0.28939999999999999</v>
      </c>
      <c r="E95" s="1011">
        <f>AVERAGE(B$2:B94)</f>
        <v>0.11882365591397853</v>
      </c>
      <c r="F95" s="1013">
        <f>VLOOKUP($A95,'WP Kroll'!$A$2:$E$16,4,FALSE)</f>
        <v>5.5E-2</v>
      </c>
      <c r="G95" s="1015">
        <f>VLOOKUP($A95,'WP Ibbotson Chen'!$A$2:$E$17,5,FALSE)</f>
        <v>0.11230200000000001</v>
      </c>
      <c r="H95" s="1016"/>
      <c r="I95" s="1016"/>
      <c r="J95" s="1016"/>
    </row>
    <row r="96" spans="1:10" ht="15" x14ac:dyDescent="0.5">
      <c r="A96" s="996">
        <v>2020</v>
      </c>
      <c r="B96" s="1011">
        <v>0.184</v>
      </c>
      <c r="C96" s="1011">
        <v>1.5299999999999999E-2</v>
      </c>
      <c r="D96" s="1011">
        <f t="shared" si="1"/>
        <v>0.16869999999999999</v>
      </c>
      <c r="E96" s="1011">
        <f>AVERAGE(B$2:B95)</f>
        <v>0.12090957446808513</v>
      </c>
      <c r="F96" s="1013">
        <f>VLOOKUP($A96,'WP Kroll'!$A$2:$E$16,4,FALSE)</f>
        <v>0.05</v>
      </c>
      <c r="G96" s="1015">
        <f>VLOOKUP($A96,'WP Ibbotson Chen'!$A$2:$E$17,5,FALSE)</f>
        <v>0.11312288000000001</v>
      </c>
      <c r="H96" s="1016"/>
      <c r="I96" s="1016"/>
      <c r="J96" s="1016"/>
    </row>
    <row r="97" spans="1:10" ht="15" x14ac:dyDescent="0.5">
      <c r="A97" s="996">
        <v>2021</v>
      </c>
      <c r="B97" s="1011">
        <v>0.28710000000000002</v>
      </c>
      <c r="C97" s="1011">
        <v>1.7299999999999999E-2</v>
      </c>
      <c r="D97" s="1011">
        <f t="shared" si="1"/>
        <v>0.26980000000000004</v>
      </c>
      <c r="E97" s="1011">
        <f>AVERAGE(B$2:B96)</f>
        <v>0.12157368421052633</v>
      </c>
      <c r="F97" s="1013">
        <f>VLOOKUP($A97,'WP Kroll'!$A$2:$E$16,4,FALSE)</f>
        <v>5.5E-2</v>
      </c>
      <c r="G97" s="1015">
        <f>VLOOKUP($A97,'WP Ibbotson Chen'!$A$2:$E$17,5,FALSE)</f>
        <v>0.11322288</v>
      </c>
      <c r="H97" s="1016"/>
      <c r="I97" s="1016"/>
      <c r="J97" s="1016"/>
    </row>
    <row r="98" spans="1:10" ht="15" x14ac:dyDescent="0.5">
      <c r="A98" s="996">
        <v>2022</v>
      </c>
      <c r="B98" s="1011">
        <v>-0.18110000000000001</v>
      </c>
      <c r="C98" s="1011">
        <v>2.6100000000000002E-2</v>
      </c>
      <c r="D98" s="1011">
        <f t="shared" si="1"/>
        <v>-0.20720000000000002</v>
      </c>
      <c r="E98" s="1011">
        <f>AVERAGE(B$2:B97)</f>
        <v>0.12329791666666669</v>
      </c>
      <c r="F98" s="1013">
        <f>VLOOKUP($A98,'WP Kroll'!$A$2:$E$16,4,FALSE)</f>
        <v>5.5E-2</v>
      </c>
      <c r="G98" s="1015">
        <f>VLOOKUP($A98,'WP Ibbotson Chen'!$A$2:$E$17,5,FALSE)</f>
        <v>0.11114544500000001</v>
      </c>
      <c r="H98" s="1016"/>
      <c r="I98" s="1016"/>
      <c r="J98" s="1016"/>
    </row>
    <row r="99" spans="1:10" ht="15" x14ac:dyDescent="0.5">
      <c r="A99" s="996">
        <v>2023</v>
      </c>
      <c r="B99" s="1011">
        <v>0.2661</v>
      </c>
      <c r="C99" s="1011">
        <v>4.1700000000000001E-2</v>
      </c>
      <c r="D99" s="1011">
        <f t="shared" si="1"/>
        <v>0.22439999999999999</v>
      </c>
      <c r="E99" s="1011">
        <f>AVERAGE(B$2:B98)</f>
        <v>0.12015979381443301</v>
      </c>
      <c r="F99" s="1013">
        <f>VLOOKUP($A99,'WP Kroll'!$A$2:$E$16,4,FALSE)</f>
        <v>5.5E-2</v>
      </c>
      <c r="G99" s="1015">
        <f>VLOOKUP($A99,'WP Ibbotson Chen'!$A$2:$E$17,5,FALSE)</f>
        <v>0.11308647999999999</v>
      </c>
      <c r="H99" s="996"/>
      <c r="I99" s="996"/>
      <c r="J99" s="996"/>
    </row>
    <row r="100" spans="1:10" ht="15" x14ac:dyDescent="0.5">
      <c r="A100" s="996">
        <v>2024</v>
      </c>
      <c r="B100" s="1011">
        <v>0.25019679835938424</v>
      </c>
      <c r="C100" s="1011">
        <v>4.4058333333333338E-2</v>
      </c>
      <c r="D100" s="1011">
        <f t="shared" si="1"/>
        <v>0.2061384650260509</v>
      </c>
      <c r="E100" s="1011">
        <f>AVERAGE(B$2:B99)</f>
        <v>0.12164897959183675</v>
      </c>
      <c r="F100" s="1013"/>
      <c r="G100" s="1015">
        <f>VLOOKUP($A100,'WP Ibbotson Chen'!$A$2:$E$17,5,FALSE)</f>
        <v>0.11406242</v>
      </c>
      <c r="H100" s="1016"/>
      <c r="I100" s="1016"/>
      <c r="J100" s="1016"/>
    </row>
    <row r="101" spans="1:10" ht="15" x14ac:dyDescent="0.5">
      <c r="A101" s="996"/>
      <c r="B101" s="1017"/>
      <c r="C101" s="1017"/>
      <c r="D101" s="1017"/>
      <c r="E101" s="996"/>
      <c r="F101" s="996"/>
      <c r="H101" s="1016"/>
      <c r="I101" s="1016"/>
      <c r="J101" s="1016"/>
    </row>
    <row r="102" spans="1:10" ht="15" x14ac:dyDescent="0.5">
      <c r="B102" s="1018"/>
      <c r="C102" s="1018"/>
      <c r="D102" s="1018"/>
      <c r="E102" s="1019"/>
      <c r="F102" s="1019"/>
      <c r="H102" s="996"/>
      <c r="I102" s="996"/>
      <c r="J102" s="996"/>
    </row>
    <row r="103" spans="1:10" ht="15" x14ac:dyDescent="0.5">
      <c r="H103" s="996"/>
      <c r="I103" s="1016"/>
      <c r="J103" s="1016"/>
    </row>
  </sheetData>
  <pageMargins left="0.7" right="0.7" top="0.75" bottom="0.75" header="0.3" footer="0.3"/>
  <pageSetup scale="76" orientation="portrait" r:id="rId1"/>
  <rowBreaks count="1" manualBreakCount="1">
    <brk id="4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J50"/>
  <sheetViews>
    <sheetView view="pageBreakPreview" zoomScale="80" zoomScaleNormal="100" zoomScaleSheetLayoutView="80" workbookViewId="0"/>
  </sheetViews>
  <sheetFormatPr defaultColWidth="9" defaultRowHeight="15" x14ac:dyDescent="0.5"/>
  <cols>
    <col min="1" max="1" width="9.26171875" style="110" customWidth="1"/>
    <col min="2" max="2" width="3" style="110" customWidth="1"/>
    <col min="3" max="5" width="11.5234375" style="110" customWidth="1"/>
    <col min="6" max="6" width="8.26171875" style="110" customWidth="1"/>
    <col min="7" max="7" width="13.26171875" style="110" customWidth="1"/>
    <col min="8" max="8" width="4" style="110" customWidth="1"/>
    <col min="9" max="9" width="13.26171875" style="108" customWidth="1"/>
    <col min="10" max="10" width="4" style="108" customWidth="1"/>
    <col min="11" max="16384" width="9" style="108"/>
  </cols>
  <sheetData>
    <row r="1" spans="1:10" x14ac:dyDescent="0.5">
      <c r="A1" s="283" t="str">
        <f>Input!G28</f>
        <v>Atmos Energy Corporation</v>
      </c>
      <c r="B1" s="283"/>
      <c r="C1" s="283"/>
      <c r="D1" s="283"/>
      <c r="E1" s="283"/>
      <c r="F1" s="283"/>
      <c r="G1" s="283"/>
      <c r="H1" s="283"/>
      <c r="I1" s="606"/>
      <c r="J1" s="606"/>
    </row>
    <row r="2" spans="1:10" x14ac:dyDescent="0.5">
      <c r="A2" s="420" t="s">
        <v>1223</v>
      </c>
      <c r="B2" s="420"/>
      <c r="C2" s="420"/>
      <c r="D2" s="420"/>
      <c r="E2" s="420"/>
      <c r="F2" s="420"/>
      <c r="G2" s="420"/>
      <c r="H2" s="420"/>
      <c r="I2" s="606"/>
      <c r="J2" s="606"/>
    </row>
    <row r="3" spans="1:10" x14ac:dyDescent="0.5">
      <c r="A3" s="420" t="s">
        <v>1224</v>
      </c>
      <c r="B3" s="420"/>
      <c r="C3" s="420"/>
      <c r="D3" s="420"/>
      <c r="E3" s="420"/>
      <c r="F3" s="420"/>
      <c r="G3" s="420"/>
      <c r="H3" s="420"/>
      <c r="I3" s="606"/>
      <c r="J3" s="606"/>
    </row>
    <row r="4" spans="1:10" x14ac:dyDescent="0.5">
      <c r="A4" s="283" t="s">
        <v>1225</v>
      </c>
      <c r="B4" s="283"/>
      <c r="C4" s="283"/>
      <c r="D4" s="283"/>
      <c r="E4" s="283"/>
      <c r="F4" s="283"/>
      <c r="G4" s="283"/>
      <c r="H4" s="283"/>
      <c r="I4" s="606"/>
      <c r="J4" s="606"/>
    </row>
    <row r="6" spans="1:10" ht="63" customHeight="1" x14ac:dyDescent="0.5">
      <c r="A6" s="421" t="s">
        <v>1144</v>
      </c>
      <c r="B6" s="421"/>
      <c r="G6" s="1393" t="str">
        <f>CONCATENATE(Input!$I$32)</f>
        <v>Proxy Group of Seven Natural Gas Companies</v>
      </c>
      <c r="H6" s="1393"/>
      <c r="I6" s="425" t="str">
        <f>G6&amp;" (excl. PRPM)"</f>
        <v>Proxy Group of Seven Natural Gas Companies (excl. PRPM)</v>
      </c>
      <c r="J6" s="425"/>
    </row>
    <row r="7" spans="1:10" x14ac:dyDescent="0.5">
      <c r="A7" s="109"/>
      <c r="B7" s="109"/>
      <c r="G7" s="614"/>
      <c r="H7" s="614"/>
    </row>
    <row r="8" spans="1:10" x14ac:dyDescent="0.5">
      <c r="G8" s="614"/>
      <c r="H8" s="614"/>
    </row>
    <row r="9" spans="1:10" x14ac:dyDescent="0.5">
      <c r="A9" s="109" t="s">
        <v>1145</v>
      </c>
      <c r="B9" s="109"/>
      <c r="C9" s="110" t="s">
        <v>1226</v>
      </c>
      <c r="G9" s="29"/>
    </row>
    <row r="10" spans="1:10" x14ac:dyDescent="0.5">
      <c r="A10" s="109"/>
      <c r="B10" s="109"/>
      <c r="C10" s="110" t="s">
        <v>1227</v>
      </c>
      <c r="G10" s="29">
        <f>'MRP WP1'!$C$35</f>
        <v>5.35</v>
      </c>
      <c r="H10" s="111" t="s">
        <v>1090</v>
      </c>
      <c r="I10" s="29">
        <f>G10</f>
        <v>5.35</v>
      </c>
      <c r="J10" s="111" t="s">
        <v>1090</v>
      </c>
    </row>
    <row r="11" spans="1:10" x14ac:dyDescent="0.5">
      <c r="A11" s="109"/>
      <c r="B11" s="109"/>
      <c r="G11" s="29"/>
      <c r="I11" s="29"/>
      <c r="J11" s="110"/>
    </row>
    <row r="12" spans="1:10" x14ac:dyDescent="0.5">
      <c r="A12" s="109" t="s">
        <v>1148</v>
      </c>
      <c r="B12" s="109"/>
      <c r="C12" s="110" t="s">
        <v>1228</v>
      </c>
      <c r="G12" s="29"/>
      <c r="I12" s="29"/>
      <c r="J12" s="110"/>
    </row>
    <row r="13" spans="1:10" x14ac:dyDescent="0.5">
      <c r="A13" s="109"/>
      <c r="B13" s="109"/>
      <c r="C13" s="110" t="s">
        <v>1229</v>
      </c>
      <c r="G13" s="29"/>
      <c r="I13" s="29"/>
      <c r="J13" s="110"/>
    </row>
    <row r="14" spans="1:10" x14ac:dyDescent="0.5">
      <c r="A14" s="109"/>
      <c r="B14" s="109"/>
      <c r="C14" s="110" t="s">
        <v>1230</v>
      </c>
      <c r="G14" s="29"/>
      <c r="I14" s="29"/>
      <c r="J14" s="110"/>
    </row>
    <row r="15" spans="1:10" x14ac:dyDescent="0.5">
      <c r="A15" s="109"/>
      <c r="B15" s="109"/>
      <c r="C15" s="110" t="s">
        <v>1231</v>
      </c>
      <c r="G15" s="87">
        <f>'1.12 Moody''s Bond Yields'!L20</f>
        <v>0.40000000000000036</v>
      </c>
      <c r="H15" s="111"/>
      <c r="I15" s="87">
        <f>G15</f>
        <v>0.40000000000000036</v>
      </c>
      <c r="J15" s="111"/>
    </row>
    <row r="16" spans="1:10" x14ac:dyDescent="0.5">
      <c r="A16" s="109"/>
      <c r="B16" s="109"/>
      <c r="G16" s="29"/>
      <c r="I16" s="29"/>
      <c r="J16" s="110"/>
    </row>
    <row r="17" spans="1:10" x14ac:dyDescent="0.5">
      <c r="A17" s="109" t="s">
        <v>1150</v>
      </c>
      <c r="B17" s="109"/>
      <c r="C17" s="110" t="s">
        <v>1232</v>
      </c>
      <c r="G17" s="28"/>
      <c r="I17" s="28"/>
      <c r="J17" s="110"/>
    </row>
    <row r="18" spans="1:10" x14ac:dyDescent="0.5">
      <c r="A18" s="109"/>
      <c r="B18" s="109"/>
      <c r="C18" s="110" t="s">
        <v>1233</v>
      </c>
      <c r="G18" s="28">
        <f>SUM(G10:G15)</f>
        <v>5.75</v>
      </c>
      <c r="H18" s="633" t="s">
        <v>1090</v>
      </c>
      <c r="I18" s="28">
        <f>SUM(I10:I15)</f>
        <v>5.75</v>
      </c>
      <c r="J18" s="633" t="s">
        <v>1090</v>
      </c>
    </row>
    <row r="19" spans="1:10" x14ac:dyDescent="0.5">
      <c r="A19" s="109"/>
      <c r="B19" s="109"/>
      <c r="G19" s="29"/>
      <c r="H19" s="633"/>
      <c r="I19" s="29"/>
      <c r="J19" s="633"/>
    </row>
    <row r="20" spans="1:10" x14ac:dyDescent="0.5">
      <c r="A20" s="432" t="s">
        <v>1152</v>
      </c>
      <c r="B20" s="109"/>
      <c r="C20" s="110" t="s">
        <v>1234</v>
      </c>
      <c r="G20" s="29"/>
      <c r="H20" s="633"/>
      <c r="I20" s="29"/>
      <c r="J20" s="633"/>
    </row>
    <row r="21" spans="1:10" x14ac:dyDescent="0.5">
      <c r="B21" s="109"/>
      <c r="C21" s="110" t="s">
        <v>3876</v>
      </c>
      <c r="G21" s="87">
        <f>ROUND((E50)*'1.12 Moody''s Bond Yields'!L23,2)</f>
        <v>7.0000000000000007E-2</v>
      </c>
      <c r="H21" s="634"/>
      <c r="I21" s="87">
        <f>ROUND((E50)*'1.12 Moody''s Bond Yields'!L23,2)</f>
        <v>7.0000000000000007E-2</v>
      </c>
      <c r="J21" s="634"/>
    </row>
    <row r="22" spans="1:10" x14ac:dyDescent="0.5">
      <c r="A22" s="109"/>
      <c r="B22" s="109"/>
      <c r="I22" s="110"/>
      <c r="J22" s="110"/>
    </row>
    <row r="23" spans="1:10" x14ac:dyDescent="0.5">
      <c r="A23" s="432" t="s">
        <v>1154</v>
      </c>
      <c r="B23" s="109"/>
      <c r="C23" s="110" t="s">
        <v>2606</v>
      </c>
      <c r="G23" s="29">
        <f>SUM(G18:G21)</f>
        <v>5.82</v>
      </c>
      <c r="H23" s="633" t="s">
        <v>1090</v>
      </c>
      <c r="I23" s="29">
        <f>SUM(I18:I21)</f>
        <v>5.82</v>
      </c>
      <c r="J23" s="633" t="s">
        <v>1090</v>
      </c>
    </row>
    <row r="24" spans="1:10" x14ac:dyDescent="0.5">
      <c r="A24" s="432"/>
      <c r="B24" s="109"/>
      <c r="G24" s="29"/>
      <c r="H24" s="633"/>
      <c r="I24" s="29"/>
      <c r="J24" s="633"/>
    </row>
    <row r="25" spans="1:10" x14ac:dyDescent="0.5">
      <c r="A25" s="432" t="s">
        <v>1156</v>
      </c>
      <c r="B25" s="109"/>
      <c r="C25" s="110" t="s">
        <v>2785</v>
      </c>
      <c r="G25" s="87">
        <f>'1.15 ERP Determination'!E24</f>
        <v>5.21</v>
      </c>
      <c r="H25" s="633"/>
      <c r="I25" s="87">
        <f>'1.15 ERP Determination'!G24</f>
        <v>5.18</v>
      </c>
      <c r="J25" s="633"/>
    </row>
    <row r="26" spans="1:10" x14ac:dyDescent="0.5">
      <c r="A26" s="109"/>
      <c r="B26" s="109"/>
      <c r="G26" s="29"/>
      <c r="H26" s="633" t="s">
        <v>1235</v>
      </c>
      <c r="I26" s="29"/>
      <c r="J26" s="633" t="s">
        <v>1235</v>
      </c>
    </row>
    <row r="27" spans="1:10" x14ac:dyDescent="0.5">
      <c r="A27" s="432" t="s">
        <v>1157</v>
      </c>
      <c r="B27" s="109"/>
      <c r="C27" s="110" t="s">
        <v>1236</v>
      </c>
      <c r="G27" s="29"/>
      <c r="H27" s="633"/>
      <c r="I27" s="29"/>
      <c r="J27" s="633"/>
    </row>
    <row r="28" spans="1:10" ht="15.3" thickBot="1" x14ac:dyDescent="0.55000000000000004">
      <c r="A28" s="109"/>
      <c r="B28" s="109"/>
      <c r="C28" s="110" t="s">
        <v>1237</v>
      </c>
      <c r="G28" s="88">
        <f>SUM(G23:G25)</f>
        <v>11.030000000000001</v>
      </c>
      <c r="H28" s="633" t="s">
        <v>1090</v>
      </c>
      <c r="I28" s="88">
        <f>SUM(I23:I25)</f>
        <v>11</v>
      </c>
      <c r="J28" s="633" t="s">
        <v>1090</v>
      </c>
    </row>
    <row r="29" spans="1:10" ht="15.3" thickTop="1" x14ac:dyDescent="0.5">
      <c r="A29" s="109"/>
      <c r="B29" s="109"/>
      <c r="J29" s="110"/>
    </row>
    <row r="30" spans="1:10" x14ac:dyDescent="0.5">
      <c r="A30" s="109"/>
      <c r="B30" s="109"/>
    </row>
    <row r="31" spans="1:10" ht="34.5" customHeight="1" x14ac:dyDescent="0.5">
      <c r="A31" s="610" t="s">
        <v>1159</v>
      </c>
      <c r="B31" s="136" t="s">
        <v>1146</v>
      </c>
      <c r="C31" s="1386" t="s">
        <v>7125</v>
      </c>
      <c r="D31" s="1386"/>
      <c r="E31" s="1386"/>
      <c r="F31" s="1386"/>
      <c r="G31" s="1386"/>
      <c r="H31" s="1386"/>
      <c r="I31" s="1386"/>
      <c r="J31" s="1386"/>
    </row>
    <row r="32" spans="1:10" ht="34.5" customHeight="1" x14ac:dyDescent="0.5">
      <c r="A32" s="611"/>
      <c r="B32" s="635" t="s">
        <v>1147</v>
      </c>
      <c r="C32" s="1386" t="str">
        <f>CONCATENATE("The average yield spread of A2 rated public utility bonds over Aaa rated corporate bonds of ",TEXT('1.12 Moody''s Bond Yields'!L20,"#0.00"),"% from page 12 of this Exhibit.")</f>
        <v>The average yield spread of A2 rated public utility bonds over Aaa rated corporate bonds of 0.40% from page 12 of this Exhibit.</v>
      </c>
      <c r="D32" s="1386"/>
      <c r="E32" s="1386"/>
      <c r="F32" s="1386"/>
      <c r="G32" s="1386"/>
      <c r="H32" s="1386"/>
      <c r="I32" s="1386"/>
      <c r="J32" s="1386"/>
    </row>
    <row r="33" spans="2:10" ht="63.75" customHeight="1" x14ac:dyDescent="0.5">
      <c r="B33" s="635" t="s">
        <v>1149</v>
      </c>
      <c r="C33" s="1394" t="str" cm="1">
        <f t="array" ref="C33">_xlfn.IFS(E49 = "A2", "No adjustment to the spread between A2 and Baa2 Public Utility Bonds is necessary due to the proxy group's A2 rating.", E49 = "Baa2", "The full spread between A2 and Baa2 Public Utility Bonds is used due to the proxy group's Baa2 rating.", TRUE, CONCATENATE("Adjustment to reflect the ", TEXT(E49, "# ?/?"), " Moody's LT issuer rating of the Utility Proxy Group as shown on page 13 of this ", TEXT(Input!I49, "Word"), ". The ", TEXT(G21, "#0.00"), "% upward adjustment is derived by taking ", TEXT(E50, "# ?/?"), " of the spread between A2 and Baa2 Public Utility Bonds (", TEXT(E50, "# ?/?"), " * ", TEXT('1.12 Moody''s Bond Yields'!L23, "#0.00"), "% = ", TEXT('1.11 Risk Premium Summary'!G21, "#0.00"), "%) as derived from page 12 of this Exhibit.") )</f>
        <v>Adjustment to reflect the A3 Moody's LT issuer rating of the Utility Proxy Group as shown on page 13 of this Exhibit. The 0.07% upward adjustment is derived by taking  1/3 of the spread between A2 and Baa2 Public Utility Bonds ( 1/3 * 0.20% = 0.07%) as derived from page 12 of this Exhibit.</v>
      </c>
      <c r="D33" s="1394"/>
      <c r="E33" s="1394"/>
      <c r="F33" s="1394"/>
      <c r="G33" s="1394"/>
      <c r="H33" s="1394"/>
      <c r="I33" s="1394"/>
      <c r="J33" s="1394"/>
    </row>
    <row r="34" spans="2:10" x14ac:dyDescent="0.5">
      <c r="B34" s="635" t="s">
        <v>1153</v>
      </c>
      <c r="C34" s="137" t="s">
        <v>7107</v>
      </c>
    </row>
    <row r="40" spans="2:10" ht="30" x14ac:dyDescent="0.5">
      <c r="D40" s="636" t="s">
        <v>2813</v>
      </c>
      <c r="E40" s="636" t="s">
        <v>2814</v>
      </c>
    </row>
    <row r="41" spans="2:10" x14ac:dyDescent="0.5">
      <c r="D41" s="110" t="s">
        <v>83</v>
      </c>
      <c r="E41" s="637">
        <v>0</v>
      </c>
    </row>
    <row r="42" spans="2:10" x14ac:dyDescent="0.5">
      <c r="D42" s="110" t="s">
        <v>1207</v>
      </c>
      <c r="E42" s="638">
        <f>(1/6)</f>
        <v>0.16666666666666666</v>
      </c>
    </row>
    <row r="43" spans="2:10" x14ac:dyDescent="0.5">
      <c r="D43" s="110" t="s">
        <v>85</v>
      </c>
      <c r="E43" s="638">
        <v>0.33333333333333331</v>
      </c>
    </row>
    <row r="44" spans="2:10" x14ac:dyDescent="0.5">
      <c r="D44" s="110" t="s">
        <v>2651</v>
      </c>
      <c r="E44" s="638">
        <v>0.5</v>
      </c>
    </row>
    <row r="45" spans="2:10" x14ac:dyDescent="0.5">
      <c r="D45" s="110" t="s">
        <v>88</v>
      </c>
      <c r="E45" s="638">
        <v>0.66666666666666663</v>
      </c>
    </row>
    <row r="46" spans="2:10" x14ac:dyDescent="0.5">
      <c r="D46" s="110" t="s">
        <v>2652</v>
      </c>
      <c r="E46" s="638">
        <v>0.83333333333333337</v>
      </c>
    </row>
    <row r="47" spans="2:10" x14ac:dyDescent="0.5">
      <c r="D47" s="110" t="s">
        <v>102</v>
      </c>
      <c r="E47" s="637">
        <v>1</v>
      </c>
    </row>
    <row r="49" spans="4:5" ht="73.5" customHeight="1" x14ac:dyDescent="0.5">
      <c r="D49" s="138" t="s">
        <v>2816</v>
      </c>
      <c r="E49" s="136" t="str">
        <f>'1.13 Bond Ratings'!E20</f>
        <v>A3</v>
      </c>
    </row>
    <row r="50" spans="4:5" ht="30" x14ac:dyDescent="0.5">
      <c r="D50" s="614" t="s">
        <v>2814</v>
      </c>
      <c r="E50" s="639">
        <f>VLOOKUP(E49, '1.11 Risk Premium Summary'!D41:E47, 2, FALSE)</f>
        <v>0.33333333333333331</v>
      </c>
    </row>
  </sheetData>
  <mergeCells count="4">
    <mergeCell ref="G6:H6"/>
    <mergeCell ref="C31:J31"/>
    <mergeCell ref="C32:J32"/>
    <mergeCell ref="C33:J33"/>
  </mergeCells>
  <printOptions horizontalCentered="1"/>
  <pageMargins left="0.7" right="0.7" top="0.75" bottom="0.75" header="0.3" footer="0.3"/>
  <pageSetup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AE33-55A4-4779-B0A6-40505276A002}">
  <sheetPr codeName="Sheet49"/>
  <dimension ref="A1:E17"/>
  <sheetViews>
    <sheetView zoomScale="85" zoomScaleNormal="85" workbookViewId="0"/>
  </sheetViews>
  <sheetFormatPr defaultColWidth="8.5234375" defaultRowHeight="14.4" x14ac:dyDescent="0.55000000000000004"/>
  <cols>
    <col min="1" max="1" width="8.5234375" style="1021"/>
    <col min="2" max="2" width="10.26171875" style="1021" customWidth="1"/>
    <col min="3" max="3" width="16.5234375" style="1021" bestFit="1" customWidth="1"/>
    <col min="4" max="4" width="24.26171875" style="1021" bestFit="1" customWidth="1"/>
    <col min="5" max="5" width="14.26171875" style="1021" bestFit="1" customWidth="1"/>
    <col min="6" max="16384" width="8.5234375" style="1021"/>
  </cols>
  <sheetData>
    <row r="1" spans="1:5" x14ac:dyDescent="0.55000000000000004">
      <c r="A1" s="1021" t="s">
        <v>6638</v>
      </c>
      <c r="B1" s="1021" t="s">
        <v>6639</v>
      </c>
      <c r="C1" s="1021" t="s">
        <v>6640</v>
      </c>
      <c r="D1" s="1021" t="s">
        <v>6641</v>
      </c>
      <c r="E1" s="1022" t="s">
        <v>1100</v>
      </c>
    </row>
    <row r="2" spans="1:5" x14ac:dyDescent="0.55000000000000004">
      <c r="A2" s="1021">
        <f>B2+1</f>
        <v>2009</v>
      </c>
      <c r="B2" s="1021">
        <v>2008</v>
      </c>
      <c r="C2" s="1023">
        <v>9.6600000000000005E-2</v>
      </c>
      <c r="D2" s="1023">
        <v>0.19969999999999999</v>
      </c>
      <c r="E2" s="1023">
        <f>C2+((D2^2)/2)</f>
        <v>0.11654004500000001</v>
      </c>
    </row>
    <row r="3" spans="1:5" x14ac:dyDescent="0.55000000000000004">
      <c r="A3" s="1021">
        <f>B3+1</f>
        <v>2010</v>
      </c>
      <c r="B3" s="1021">
        <v>2009</v>
      </c>
      <c r="C3" s="1023">
        <v>0.09</v>
      </c>
      <c r="D3" s="1023">
        <v>0.20569999999999999</v>
      </c>
      <c r="E3" s="1023">
        <f>C3+((D3^2)/2)</f>
        <v>0.11115624499999999</v>
      </c>
    </row>
    <row r="4" spans="1:5" x14ac:dyDescent="0.55000000000000004">
      <c r="A4" s="1021">
        <f t="shared" ref="A4:A17" si="0">B4+1</f>
        <v>2011</v>
      </c>
      <c r="B4" s="1021">
        <v>2010</v>
      </c>
      <c r="C4" s="1023">
        <v>8.4400000000000003E-2</v>
      </c>
      <c r="D4" s="1023">
        <v>0.2051</v>
      </c>
      <c r="E4" s="1023">
        <f t="shared" ref="E4:E17" si="1">C4+((D4^2)/2)</f>
        <v>0.105433005</v>
      </c>
    </row>
    <row r="5" spans="1:5" x14ac:dyDescent="0.55000000000000004">
      <c r="A5" s="1021">
        <f t="shared" si="0"/>
        <v>2012</v>
      </c>
      <c r="B5" s="1021">
        <v>2011</v>
      </c>
      <c r="C5" s="1023">
        <v>9.2399999999999996E-2</v>
      </c>
      <c r="D5" s="1023">
        <v>0.2051</v>
      </c>
      <c r="E5" s="1023">
        <f t="shared" si="1"/>
        <v>0.113433005</v>
      </c>
    </row>
    <row r="6" spans="1:5" x14ac:dyDescent="0.55000000000000004">
      <c r="A6" s="1021">
        <f t="shared" si="0"/>
        <v>2013</v>
      </c>
      <c r="B6" s="1021">
        <v>2012</v>
      </c>
      <c r="C6" s="1023">
        <v>9.4299999999999995E-2</v>
      </c>
      <c r="D6" s="1023">
        <v>0.20300000000000001</v>
      </c>
      <c r="E6" s="1023">
        <f t="shared" si="1"/>
        <v>0.11490449999999999</v>
      </c>
    </row>
    <row r="7" spans="1:5" x14ac:dyDescent="0.55000000000000004">
      <c r="A7" s="1021">
        <f t="shared" si="0"/>
        <v>2014</v>
      </c>
      <c r="B7" s="1021">
        <v>2013</v>
      </c>
      <c r="C7" s="1023">
        <v>9.3899999999999997E-2</v>
      </c>
      <c r="D7" s="1023">
        <v>0.20180000000000001</v>
      </c>
      <c r="E7" s="1023">
        <f t="shared" si="1"/>
        <v>0.11426161999999999</v>
      </c>
    </row>
    <row r="8" spans="1:5" x14ac:dyDescent="0.55000000000000004">
      <c r="A8" s="1021">
        <f t="shared" si="0"/>
        <v>2015</v>
      </c>
      <c r="B8" s="1024">
        <v>2014</v>
      </c>
      <c r="C8" s="1023">
        <v>9.3700000000000006E-2</v>
      </c>
      <c r="D8" s="1023">
        <v>0.2019</v>
      </c>
      <c r="E8" s="1023">
        <f t="shared" si="1"/>
        <v>0.11408180500000001</v>
      </c>
    </row>
    <row r="9" spans="1:5" x14ac:dyDescent="0.55000000000000004">
      <c r="A9" s="1021">
        <f t="shared" si="0"/>
        <v>2016</v>
      </c>
      <c r="B9" s="1024">
        <f t="shared" ref="B9:B15" si="2">B8+1</f>
        <v>2015</v>
      </c>
      <c r="C9" s="1023">
        <v>9.4500000000000001E-2</v>
      </c>
      <c r="D9" s="1023">
        <v>0.20069999999999999</v>
      </c>
      <c r="E9" s="1023">
        <f t="shared" si="1"/>
        <v>0.114640245</v>
      </c>
    </row>
    <row r="10" spans="1:5" x14ac:dyDescent="0.55000000000000004">
      <c r="A10" s="1021">
        <f t="shared" si="0"/>
        <v>2017</v>
      </c>
      <c r="B10" s="1024">
        <f t="shared" si="2"/>
        <v>2016</v>
      </c>
      <c r="C10" s="1023">
        <v>9.2799999999999994E-2</v>
      </c>
      <c r="D10" s="1023">
        <v>0.19989999999999999</v>
      </c>
      <c r="E10" s="1023">
        <f t="shared" si="1"/>
        <v>0.11278000499999999</v>
      </c>
    </row>
    <row r="11" spans="1:5" x14ac:dyDescent="0.55000000000000004">
      <c r="A11" s="1021">
        <f t="shared" si="0"/>
        <v>2018</v>
      </c>
      <c r="B11" s="1024">
        <f>B10+1</f>
        <v>2017</v>
      </c>
      <c r="C11" s="1023">
        <v>9.2100000000000001E-2</v>
      </c>
      <c r="D11" s="1023">
        <v>0.1988</v>
      </c>
      <c r="E11" s="1023">
        <f t="shared" si="1"/>
        <v>0.11186072</v>
      </c>
    </row>
    <row r="12" spans="1:5" x14ac:dyDescent="0.55000000000000004">
      <c r="A12" s="1021">
        <f t="shared" si="0"/>
        <v>2019</v>
      </c>
      <c r="B12" s="1024">
        <f t="shared" si="2"/>
        <v>2018</v>
      </c>
      <c r="C12" s="1023">
        <v>9.2700000000000005E-2</v>
      </c>
      <c r="D12" s="1023">
        <v>0.19800000000000001</v>
      </c>
      <c r="E12" s="1023">
        <f t="shared" si="1"/>
        <v>0.11230200000000001</v>
      </c>
    </row>
    <row r="13" spans="1:5" x14ac:dyDescent="0.55000000000000004">
      <c r="A13" s="1021">
        <f t="shared" si="0"/>
        <v>2020</v>
      </c>
      <c r="B13" s="1024">
        <f t="shared" si="2"/>
        <v>2019</v>
      </c>
      <c r="C13" s="1023">
        <v>9.3600000000000003E-2</v>
      </c>
      <c r="D13" s="1023">
        <v>0.1976</v>
      </c>
      <c r="E13" s="1023">
        <f t="shared" si="1"/>
        <v>0.11312288000000001</v>
      </c>
    </row>
    <row r="14" spans="1:5" x14ac:dyDescent="0.55000000000000004">
      <c r="A14" s="1021">
        <f t="shared" si="0"/>
        <v>2021</v>
      </c>
      <c r="B14" s="1024">
        <f t="shared" si="2"/>
        <v>2020</v>
      </c>
      <c r="C14" s="1023">
        <v>9.3700000000000006E-2</v>
      </c>
      <c r="D14" s="1023">
        <v>0.1976</v>
      </c>
      <c r="E14" s="1023">
        <f t="shared" si="1"/>
        <v>0.11322288</v>
      </c>
    </row>
    <row r="15" spans="1:5" x14ac:dyDescent="0.55000000000000004">
      <c r="A15" s="1021">
        <f t="shared" si="0"/>
        <v>2022</v>
      </c>
      <c r="B15" s="1024">
        <f t="shared" si="2"/>
        <v>2021</v>
      </c>
      <c r="C15" s="1023">
        <v>9.1800000000000007E-2</v>
      </c>
      <c r="D15" s="1023">
        <v>0.19670000000000001</v>
      </c>
      <c r="E15" s="1023">
        <f t="shared" si="1"/>
        <v>0.11114544500000001</v>
      </c>
    </row>
    <row r="16" spans="1:5" x14ac:dyDescent="0.55000000000000004">
      <c r="A16" s="1021">
        <f t="shared" si="0"/>
        <v>2023</v>
      </c>
      <c r="B16" s="1024">
        <v>2022</v>
      </c>
      <c r="C16" s="1023">
        <v>9.3799999999999994E-2</v>
      </c>
      <c r="D16" s="1023">
        <v>0.19639999999999999</v>
      </c>
      <c r="E16" s="1023">
        <f t="shared" si="1"/>
        <v>0.11308647999999999</v>
      </c>
    </row>
    <row r="17" spans="1:5" x14ac:dyDescent="0.55000000000000004">
      <c r="A17" s="1021">
        <f t="shared" si="0"/>
        <v>2024</v>
      </c>
      <c r="B17" s="1021">
        <v>2023</v>
      </c>
      <c r="C17" s="1023">
        <v>9.4500000000000001E-2</v>
      </c>
      <c r="D17" s="1023">
        <v>0.1978</v>
      </c>
      <c r="E17" s="1023">
        <f t="shared" si="1"/>
        <v>0.11406242</v>
      </c>
    </row>
  </sheetData>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CA144-1080-4B82-A528-0B4D85B5447B}">
  <sheetPr codeName="Sheet50"/>
  <dimension ref="A1:G65"/>
  <sheetViews>
    <sheetView view="pageBreakPreview" zoomScale="60" zoomScaleNormal="100" workbookViewId="0">
      <selection activeCell="A21" sqref="A21"/>
    </sheetView>
  </sheetViews>
  <sheetFormatPr defaultColWidth="8.734375" defaultRowHeight="14.4" x14ac:dyDescent="0.55000000000000004"/>
  <cols>
    <col min="1" max="2" width="15.7890625" style="1025" customWidth="1"/>
    <col min="3" max="3" width="20" style="1025" customWidth="1"/>
    <col min="4" max="4" width="13.26171875" style="1025" customWidth="1"/>
    <col min="5" max="5" width="16.47265625" style="1025" customWidth="1"/>
    <col min="6" max="16384" width="8.734375" style="1025"/>
  </cols>
  <sheetData>
    <row r="1" spans="1:7" x14ac:dyDescent="0.55000000000000004">
      <c r="A1" s="1025" t="s">
        <v>6642</v>
      </c>
      <c r="B1" s="1025" t="s">
        <v>6643</v>
      </c>
      <c r="C1" s="1025" t="s">
        <v>1100</v>
      </c>
      <c r="D1" s="1025" t="s">
        <v>6644</v>
      </c>
      <c r="E1" s="1025" t="s">
        <v>6645</v>
      </c>
    </row>
    <row r="2" spans="1:7" x14ac:dyDescent="0.55000000000000004">
      <c r="A2" s="1025">
        <v>1961</v>
      </c>
      <c r="B2" s="1025">
        <f t="shared" ref="B2:B65" si="0">A2+1</f>
        <v>1962</v>
      </c>
      <c r="C2" s="1026">
        <f t="shared" ref="C2:C65" si="1">D2+E2</f>
        <v>5.2699999999999997E-2</v>
      </c>
      <c r="D2" s="1026">
        <v>2.35E-2</v>
      </c>
      <c r="E2" s="1026">
        <v>2.92E-2</v>
      </c>
      <c r="G2" s="1027"/>
    </row>
    <row r="3" spans="1:7" x14ac:dyDescent="0.55000000000000004">
      <c r="A3" s="1025">
        <v>1962</v>
      </c>
      <c r="B3" s="1025">
        <f t="shared" si="0"/>
        <v>1963</v>
      </c>
      <c r="C3" s="1026">
        <f t="shared" si="1"/>
        <v>7.4099999999999999E-2</v>
      </c>
      <c r="D3" s="1026">
        <v>3.85E-2</v>
      </c>
      <c r="E3" s="1026">
        <v>3.56E-2</v>
      </c>
      <c r="G3" s="1027"/>
    </row>
    <row r="4" spans="1:7" x14ac:dyDescent="0.55000000000000004">
      <c r="A4" s="1025">
        <v>1963</v>
      </c>
      <c r="B4" s="1025">
        <f t="shared" si="0"/>
        <v>1964</v>
      </c>
      <c r="C4" s="1026">
        <f t="shared" si="1"/>
        <v>7.5199999999999989E-2</v>
      </c>
      <c r="D4" s="1026">
        <v>4.1399999999999999E-2</v>
      </c>
      <c r="E4" s="1026">
        <v>3.3799999999999997E-2</v>
      </c>
      <c r="G4" s="1027"/>
    </row>
    <row r="5" spans="1:7" x14ac:dyDescent="0.55000000000000004">
      <c r="A5" s="1025">
        <v>1964</v>
      </c>
      <c r="B5" s="1025">
        <f t="shared" si="0"/>
        <v>1965</v>
      </c>
      <c r="C5" s="1026">
        <f t="shared" si="1"/>
        <v>7.5199999999999989E-2</v>
      </c>
      <c r="D5" s="1026">
        <v>4.2099999999999999E-2</v>
      </c>
      <c r="E5" s="1026">
        <v>3.3099999999999997E-2</v>
      </c>
      <c r="G5" s="1027"/>
    </row>
    <row r="6" spans="1:7" x14ac:dyDescent="0.55000000000000004">
      <c r="A6" s="1025">
        <v>1965</v>
      </c>
      <c r="B6" s="1025">
        <f t="shared" si="0"/>
        <v>1966</v>
      </c>
      <c r="C6" s="1026">
        <f t="shared" si="1"/>
        <v>7.9699999999999993E-2</v>
      </c>
      <c r="D6" s="1026">
        <v>4.65E-2</v>
      </c>
      <c r="E6" s="1026">
        <v>3.32E-2</v>
      </c>
      <c r="G6" s="1027"/>
    </row>
    <row r="7" spans="1:7" x14ac:dyDescent="0.55000000000000004">
      <c r="A7" s="1025">
        <v>1966</v>
      </c>
      <c r="B7" s="1025">
        <f t="shared" si="0"/>
        <v>1967</v>
      </c>
      <c r="C7" s="1026">
        <f t="shared" si="1"/>
        <v>8.3199999999999996E-2</v>
      </c>
      <c r="D7" s="1026">
        <v>4.6399999999999997E-2</v>
      </c>
      <c r="E7" s="1026">
        <v>3.6799999999999999E-2</v>
      </c>
      <c r="G7" s="1027"/>
    </row>
    <row r="8" spans="1:7" x14ac:dyDescent="0.55000000000000004">
      <c r="A8" s="1025">
        <v>1967</v>
      </c>
      <c r="B8" s="1025">
        <f t="shared" si="0"/>
        <v>1968</v>
      </c>
      <c r="C8" s="1026">
        <f t="shared" si="1"/>
        <v>8.8999999999999996E-2</v>
      </c>
      <c r="D8" s="1026">
        <v>5.7000000000000002E-2</v>
      </c>
      <c r="E8" s="1026">
        <v>3.2000000000000001E-2</v>
      </c>
      <c r="G8" s="1027"/>
    </row>
    <row r="9" spans="1:7" x14ac:dyDescent="0.55000000000000004">
      <c r="A9" s="1025">
        <v>1968</v>
      </c>
      <c r="B9" s="1025">
        <f t="shared" si="0"/>
        <v>1969</v>
      </c>
      <c r="C9" s="1026">
        <f t="shared" si="1"/>
        <v>9.1600000000000001E-2</v>
      </c>
      <c r="D9" s="1026">
        <v>6.1600000000000002E-2</v>
      </c>
      <c r="E9" s="1026">
        <v>0.03</v>
      </c>
      <c r="G9" s="1027"/>
    </row>
    <row r="10" spans="1:7" x14ac:dyDescent="0.55000000000000004">
      <c r="A10" s="1025">
        <v>1969</v>
      </c>
      <c r="B10" s="1025">
        <f t="shared" si="0"/>
        <v>1970</v>
      </c>
      <c r="C10" s="1026">
        <f t="shared" si="1"/>
        <v>0.1162</v>
      </c>
      <c r="D10" s="1026">
        <v>7.8799999999999995E-2</v>
      </c>
      <c r="E10" s="1026">
        <v>3.7400000000000003E-2</v>
      </c>
      <c r="G10" s="1027"/>
    </row>
    <row r="11" spans="1:7" x14ac:dyDescent="0.55000000000000004">
      <c r="A11" s="1025">
        <v>1970</v>
      </c>
      <c r="B11" s="1025">
        <f t="shared" si="0"/>
        <v>1971</v>
      </c>
      <c r="C11" s="1026">
        <f t="shared" si="1"/>
        <v>9.9099999999999994E-2</v>
      </c>
      <c r="D11" s="1026">
        <v>6.5000000000000002E-2</v>
      </c>
      <c r="E11" s="1026">
        <v>3.4099999999999998E-2</v>
      </c>
    </row>
    <row r="12" spans="1:7" x14ac:dyDescent="0.55000000000000004">
      <c r="A12" s="1025">
        <v>1971</v>
      </c>
      <c r="B12" s="1025">
        <f t="shared" si="0"/>
        <v>1972</v>
      </c>
      <c r="C12" s="1026">
        <f t="shared" si="1"/>
        <v>8.9800000000000005E-2</v>
      </c>
      <c r="D12" s="1026">
        <v>5.8900000000000001E-2</v>
      </c>
      <c r="E12" s="1026">
        <v>3.09E-2</v>
      </c>
    </row>
    <row r="13" spans="1:7" x14ac:dyDescent="0.55000000000000004">
      <c r="A13" s="1025">
        <v>1972</v>
      </c>
      <c r="B13" s="1025">
        <f t="shared" si="0"/>
        <v>1973</v>
      </c>
      <c r="C13" s="1026">
        <f t="shared" si="1"/>
        <v>9.1300000000000006E-2</v>
      </c>
      <c r="D13" s="1026">
        <v>6.4100000000000004E-2</v>
      </c>
      <c r="E13" s="1026">
        <v>2.7199999999999998E-2</v>
      </c>
    </row>
    <row r="14" spans="1:7" x14ac:dyDescent="0.55000000000000004">
      <c r="A14" s="1025">
        <v>1973</v>
      </c>
      <c r="B14" s="1025">
        <f t="shared" si="0"/>
        <v>1974</v>
      </c>
      <c r="C14" s="1026">
        <f t="shared" si="1"/>
        <v>0.112</v>
      </c>
      <c r="D14" s="1026">
        <v>6.9000000000000006E-2</v>
      </c>
      <c r="E14" s="1026">
        <v>4.2999999999999997E-2</v>
      </c>
    </row>
    <row r="15" spans="1:7" x14ac:dyDescent="0.55000000000000004">
      <c r="A15" s="1025">
        <v>1974</v>
      </c>
      <c r="B15" s="1025">
        <f t="shared" si="0"/>
        <v>1975</v>
      </c>
      <c r="C15" s="1026">
        <f t="shared" si="1"/>
        <v>0.12989999999999999</v>
      </c>
      <c r="D15" s="1026">
        <v>7.3999999999999996E-2</v>
      </c>
      <c r="E15" s="1026">
        <v>5.5899999999999998E-2</v>
      </c>
    </row>
    <row r="16" spans="1:7" x14ac:dyDescent="0.55000000000000004">
      <c r="A16" s="1025">
        <v>1975</v>
      </c>
      <c r="B16" s="1025">
        <f t="shared" si="0"/>
        <v>1976</v>
      </c>
      <c r="C16" s="1026">
        <f t="shared" si="1"/>
        <v>0.11890000000000001</v>
      </c>
      <c r="D16" s="1026">
        <v>7.7600000000000002E-2</v>
      </c>
      <c r="E16" s="1026">
        <v>4.1300000000000003E-2</v>
      </c>
    </row>
    <row r="17" spans="1:5" x14ac:dyDescent="0.55000000000000004">
      <c r="A17" s="1025">
        <v>1976</v>
      </c>
      <c r="B17" s="1025">
        <f t="shared" si="0"/>
        <v>1977</v>
      </c>
      <c r="C17" s="1026">
        <f t="shared" si="1"/>
        <v>0.11359999999999999</v>
      </c>
      <c r="D17" s="1026">
        <v>6.8099999999999994E-2</v>
      </c>
      <c r="E17" s="1026">
        <v>4.5499999999999999E-2</v>
      </c>
    </row>
    <row r="18" spans="1:5" x14ac:dyDescent="0.55000000000000004">
      <c r="A18" s="1025">
        <v>1977</v>
      </c>
      <c r="B18" s="1025">
        <f t="shared" si="0"/>
        <v>1978</v>
      </c>
      <c r="C18" s="1026">
        <f t="shared" si="1"/>
        <v>0.13700000000000001</v>
      </c>
      <c r="D18" s="1026">
        <v>7.7799999999999994E-2</v>
      </c>
      <c r="E18" s="1026">
        <v>5.9200000000000003E-2</v>
      </c>
    </row>
    <row r="19" spans="1:5" x14ac:dyDescent="0.55000000000000004">
      <c r="A19" s="1025">
        <v>1978</v>
      </c>
      <c r="B19" s="1025">
        <f t="shared" si="0"/>
        <v>1979</v>
      </c>
      <c r="C19" s="1026">
        <f t="shared" si="1"/>
        <v>0.1487</v>
      </c>
      <c r="D19" s="1026">
        <v>9.1499999999999998E-2</v>
      </c>
      <c r="E19" s="1026">
        <v>5.7200000000000001E-2</v>
      </c>
    </row>
    <row r="20" spans="1:5" x14ac:dyDescent="0.55000000000000004">
      <c r="A20" s="1025">
        <v>1979</v>
      </c>
      <c r="B20" s="1025">
        <f t="shared" si="0"/>
        <v>1980</v>
      </c>
      <c r="C20" s="1026">
        <f t="shared" si="1"/>
        <v>0.1678</v>
      </c>
      <c r="D20" s="1026">
        <v>0.1033</v>
      </c>
      <c r="E20" s="1026">
        <v>6.4500000000000002E-2</v>
      </c>
    </row>
    <row r="21" spans="1:5" x14ac:dyDescent="0.55000000000000004">
      <c r="A21" s="1025">
        <v>1980</v>
      </c>
      <c r="B21" s="1025">
        <f t="shared" si="0"/>
        <v>1981</v>
      </c>
      <c r="C21" s="1026">
        <f t="shared" si="1"/>
        <v>0.17459999999999998</v>
      </c>
      <c r="D21" s="1026">
        <v>0.12429999999999999</v>
      </c>
      <c r="E21" s="1026">
        <v>5.0299999999999997E-2</v>
      </c>
    </row>
    <row r="22" spans="1:5" x14ac:dyDescent="0.55000000000000004">
      <c r="A22" s="1025">
        <v>1981</v>
      </c>
      <c r="B22" s="1025">
        <f t="shared" si="0"/>
        <v>1982</v>
      </c>
      <c r="C22" s="1026">
        <f t="shared" si="1"/>
        <v>0.1971</v>
      </c>
      <c r="D22" s="1026">
        <v>0.13980000000000001</v>
      </c>
      <c r="E22" s="1026">
        <v>5.7299999999999997E-2</v>
      </c>
    </row>
    <row r="23" spans="1:5" x14ac:dyDescent="0.55000000000000004">
      <c r="A23" s="1025">
        <v>1982</v>
      </c>
      <c r="B23" s="1025">
        <f t="shared" si="0"/>
        <v>1983</v>
      </c>
      <c r="C23" s="1026">
        <f t="shared" si="1"/>
        <v>0.1537</v>
      </c>
      <c r="D23" s="1026">
        <v>0.1047</v>
      </c>
      <c r="E23" s="1026">
        <v>4.9000000000000002E-2</v>
      </c>
    </row>
    <row r="24" spans="1:5" x14ac:dyDescent="0.55000000000000004">
      <c r="A24" s="1025">
        <v>1983</v>
      </c>
      <c r="B24" s="1025">
        <f t="shared" si="0"/>
        <v>1984</v>
      </c>
      <c r="C24" s="1026">
        <f t="shared" si="1"/>
        <v>0.16109999999999999</v>
      </c>
      <c r="D24" s="1026">
        <v>0.11799999999999999</v>
      </c>
      <c r="E24" s="1026">
        <v>4.3099999999999999E-2</v>
      </c>
    </row>
    <row r="25" spans="1:5" x14ac:dyDescent="0.55000000000000004">
      <c r="A25" s="1025">
        <v>1984</v>
      </c>
      <c r="B25" s="1025">
        <f t="shared" si="0"/>
        <v>1985</v>
      </c>
      <c r="C25" s="1026">
        <f t="shared" si="1"/>
        <v>0.16619999999999999</v>
      </c>
      <c r="D25" s="1026">
        <v>0.11509999999999999</v>
      </c>
      <c r="E25" s="1026">
        <v>5.11E-2</v>
      </c>
    </row>
    <row r="26" spans="1:5" x14ac:dyDescent="0.55000000000000004">
      <c r="A26" s="1025">
        <v>1985</v>
      </c>
      <c r="B26" s="1025">
        <f t="shared" si="0"/>
        <v>1986</v>
      </c>
      <c r="C26" s="1026">
        <f t="shared" si="1"/>
        <v>0.1283</v>
      </c>
      <c r="D26" s="1026">
        <v>8.9899999999999994E-2</v>
      </c>
      <c r="E26" s="1026">
        <v>3.8399999999999997E-2</v>
      </c>
    </row>
    <row r="27" spans="1:5" x14ac:dyDescent="0.55000000000000004">
      <c r="A27" s="1025">
        <v>1986</v>
      </c>
      <c r="B27" s="1025">
        <f t="shared" si="0"/>
        <v>1987</v>
      </c>
      <c r="C27" s="1026">
        <f t="shared" si="1"/>
        <v>0.108</v>
      </c>
      <c r="D27" s="1026">
        <v>7.22E-2</v>
      </c>
      <c r="E27" s="1026">
        <v>3.5799999999999998E-2</v>
      </c>
    </row>
    <row r="28" spans="1:5" x14ac:dyDescent="0.55000000000000004">
      <c r="A28" s="1025">
        <v>1987</v>
      </c>
      <c r="B28" s="1025">
        <f t="shared" si="0"/>
        <v>1988</v>
      </c>
      <c r="C28" s="1026">
        <f t="shared" si="1"/>
        <v>0.1285</v>
      </c>
      <c r="D28" s="1026">
        <v>8.8599999999999998E-2</v>
      </c>
      <c r="E28" s="1026">
        <v>3.9899999999999998E-2</v>
      </c>
    </row>
    <row r="29" spans="1:5" x14ac:dyDescent="0.55000000000000004">
      <c r="A29" s="1025">
        <v>1988</v>
      </c>
      <c r="B29" s="1025">
        <f t="shared" si="0"/>
        <v>1989</v>
      </c>
      <c r="C29" s="1026">
        <f t="shared" si="1"/>
        <v>0.12909999999999999</v>
      </c>
      <c r="D29" s="1026">
        <v>9.1399999999999995E-2</v>
      </c>
      <c r="E29" s="1026">
        <v>3.7699999999999997E-2</v>
      </c>
    </row>
    <row r="30" spans="1:5" x14ac:dyDescent="0.55000000000000004">
      <c r="A30" s="1025">
        <v>1989</v>
      </c>
      <c r="B30" s="1025">
        <f t="shared" si="0"/>
        <v>1990</v>
      </c>
      <c r="C30" s="1026">
        <f t="shared" si="1"/>
        <v>0.1144</v>
      </c>
      <c r="D30" s="1026">
        <v>7.9299999999999995E-2</v>
      </c>
      <c r="E30" s="1026">
        <v>3.5099999999999999E-2</v>
      </c>
    </row>
    <row r="31" spans="1:5" x14ac:dyDescent="0.55000000000000004">
      <c r="A31" s="1025">
        <v>1990</v>
      </c>
      <c r="B31" s="1025">
        <f t="shared" si="0"/>
        <v>1991</v>
      </c>
      <c r="C31" s="1026">
        <f t="shared" si="1"/>
        <v>0.11959999999999998</v>
      </c>
      <c r="D31" s="1026">
        <v>8.0699999999999994E-2</v>
      </c>
      <c r="E31" s="1026">
        <v>3.8899999999999997E-2</v>
      </c>
    </row>
    <row r="32" spans="1:5" x14ac:dyDescent="0.55000000000000004">
      <c r="A32" s="1025">
        <v>1991</v>
      </c>
      <c r="B32" s="1025">
        <f t="shared" si="0"/>
        <v>1992</v>
      </c>
      <c r="C32" s="1026">
        <f t="shared" si="1"/>
        <v>0.1018</v>
      </c>
      <c r="D32" s="1026">
        <v>6.7000000000000004E-2</v>
      </c>
      <c r="E32" s="1026">
        <v>3.4799999999999998E-2</v>
      </c>
    </row>
    <row r="33" spans="1:6" x14ac:dyDescent="0.55000000000000004">
      <c r="A33" s="1025">
        <v>1992</v>
      </c>
      <c r="B33" s="1025">
        <f t="shared" si="0"/>
        <v>1993</v>
      </c>
      <c r="C33" s="1026">
        <f t="shared" si="1"/>
        <v>0.1023</v>
      </c>
      <c r="D33" s="1026">
        <v>6.6799999999999998E-2</v>
      </c>
      <c r="E33" s="1026">
        <v>3.5499999999999997E-2</v>
      </c>
    </row>
    <row r="34" spans="1:6" x14ac:dyDescent="0.55000000000000004">
      <c r="A34" s="1025">
        <v>1993</v>
      </c>
      <c r="B34" s="1025">
        <f t="shared" si="0"/>
        <v>1994</v>
      </c>
      <c r="C34" s="1026">
        <f t="shared" si="1"/>
        <v>8.9599999999999999E-2</v>
      </c>
      <c r="D34" s="1026">
        <v>5.79E-2</v>
      </c>
      <c r="E34" s="1026">
        <v>3.1699999999999999E-2</v>
      </c>
    </row>
    <row r="35" spans="1:6" x14ac:dyDescent="0.55000000000000004">
      <c r="A35" s="1025">
        <v>1994</v>
      </c>
      <c r="B35" s="1025">
        <f t="shared" si="0"/>
        <v>1995</v>
      </c>
      <c r="C35" s="1026">
        <f t="shared" si="1"/>
        <v>0.1137</v>
      </c>
      <c r="D35" s="1026">
        <v>7.8200000000000006E-2</v>
      </c>
      <c r="E35" s="1026">
        <v>3.5499999999999997E-2</v>
      </c>
    </row>
    <row r="36" spans="1:6" x14ac:dyDescent="0.55000000000000004">
      <c r="A36" s="1025">
        <v>1995</v>
      </c>
      <c r="B36" s="1025">
        <f t="shared" si="0"/>
        <v>1996</v>
      </c>
      <c r="C36" s="1026">
        <f t="shared" si="1"/>
        <v>8.8599999999999998E-2</v>
      </c>
      <c r="D36" s="1026">
        <v>5.57E-2</v>
      </c>
      <c r="E36" s="1026">
        <v>3.2899999999999999E-2</v>
      </c>
    </row>
    <row r="37" spans="1:6" x14ac:dyDescent="0.55000000000000004">
      <c r="A37" s="1025">
        <v>1996</v>
      </c>
      <c r="B37" s="1025">
        <f t="shared" si="0"/>
        <v>1997</v>
      </c>
      <c r="C37" s="1026">
        <f t="shared" si="1"/>
        <v>9.6100000000000005E-2</v>
      </c>
      <c r="D37" s="1026">
        <v>6.4100000000000004E-2</v>
      </c>
      <c r="E37" s="1026">
        <v>3.2000000000000001E-2</v>
      </c>
    </row>
    <row r="38" spans="1:6" x14ac:dyDescent="0.55000000000000004">
      <c r="A38" s="1025">
        <v>1997</v>
      </c>
      <c r="B38" s="1025">
        <f t="shared" si="0"/>
        <v>1998</v>
      </c>
      <c r="C38" s="1026">
        <f t="shared" si="1"/>
        <v>8.4699999999999998E-2</v>
      </c>
      <c r="D38" s="1026">
        <v>5.74E-2</v>
      </c>
      <c r="E38" s="1026">
        <v>2.7300000000000001E-2</v>
      </c>
    </row>
    <row r="39" spans="1:6" x14ac:dyDescent="0.55000000000000004">
      <c r="A39" s="1025">
        <v>1998</v>
      </c>
      <c r="B39" s="1025">
        <f t="shared" si="0"/>
        <v>1999</v>
      </c>
      <c r="C39" s="1026">
        <f t="shared" si="1"/>
        <v>6.9099999999999995E-2</v>
      </c>
      <c r="D39" s="1026">
        <v>4.65E-2</v>
      </c>
      <c r="E39" s="1026">
        <v>2.2599999999999999E-2</v>
      </c>
    </row>
    <row r="40" spans="1:6" x14ac:dyDescent="0.55000000000000004">
      <c r="A40" s="1025">
        <v>1999</v>
      </c>
      <c r="B40" s="1025">
        <f t="shared" si="0"/>
        <v>2000</v>
      </c>
      <c r="C40" s="1026">
        <f t="shared" si="1"/>
        <v>8.4900000000000003E-2</v>
      </c>
      <c r="D40" s="1026">
        <v>6.4399999999999999E-2</v>
      </c>
      <c r="E40" s="1026">
        <v>2.0500000000000001E-2</v>
      </c>
    </row>
    <row r="41" spans="1:6" x14ac:dyDescent="0.55000000000000004">
      <c r="A41" s="1025">
        <v>2000</v>
      </c>
      <c r="B41" s="1025">
        <f t="shared" si="0"/>
        <v>2001</v>
      </c>
      <c r="C41" s="1026">
        <f t="shared" si="1"/>
        <v>7.9799999999999996E-2</v>
      </c>
      <c r="D41" s="1026">
        <v>5.11E-2</v>
      </c>
      <c r="E41" s="1026">
        <v>2.87E-2</v>
      </c>
    </row>
    <row r="42" spans="1:6" x14ac:dyDescent="0.55000000000000004">
      <c r="A42" s="1025">
        <v>2001</v>
      </c>
      <c r="B42" s="1025">
        <f t="shared" si="0"/>
        <v>2002</v>
      </c>
      <c r="C42" s="1026">
        <f t="shared" si="1"/>
        <v>8.6699999999999999E-2</v>
      </c>
      <c r="D42" s="1026">
        <v>5.0500000000000003E-2</v>
      </c>
      <c r="E42" s="1026">
        <v>3.6200000000000003E-2</v>
      </c>
    </row>
    <row r="43" spans="1:6" x14ac:dyDescent="0.55000000000000004">
      <c r="A43" s="1025">
        <v>2002</v>
      </c>
      <c r="B43" s="1025">
        <f t="shared" si="0"/>
        <v>2003</v>
      </c>
      <c r="C43" s="1026">
        <f t="shared" si="1"/>
        <v>7.9100000000000004E-2</v>
      </c>
      <c r="D43" s="1026">
        <v>3.8100000000000002E-2</v>
      </c>
      <c r="E43" s="1026">
        <v>4.1000000000000002E-2</v>
      </c>
    </row>
    <row r="44" spans="1:6" x14ac:dyDescent="0.55000000000000004">
      <c r="A44" s="1025">
        <v>2003</v>
      </c>
      <c r="B44" s="1025">
        <f t="shared" si="0"/>
        <v>2004</v>
      </c>
      <c r="C44" s="1026">
        <f t="shared" si="1"/>
        <v>7.9399999999999998E-2</v>
      </c>
      <c r="D44" s="1026">
        <v>4.2500000000000003E-2</v>
      </c>
      <c r="E44" s="1026">
        <v>3.6900000000000002E-2</v>
      </c>
      <c r="F44" s="1027"/>
    </row>
    <row r="45" spans="1:6" x14ac:dyDescent="0.55000000000000004">
      <c r="A45" s="1025">
        <v>2004</v>
      </c>
      <c r="B45" s="1025">
        <f t="shared" si="0"/>
        <v>2005</v>
      </c>
      <c r="C45" s="1026">
        <f t="shared" si="1"/>
        <v>7.8699999999999992E-2</v>
      </c>
      <c r="D45" s="1026">
        <v>4.2200000000000001E-2</v>
      </c>
      <c r="E45" s="1026">
        <v>3.6499999999999998E-2</v>
      </c>
    </row>
    <row r="46" spans="1:6" x14ac:dyDescent="0.55000000000000004">
      <c r="A46" s="1025">
        <v>2005</v>
      </c>
      <c r="B46" s="1025">
        <f t="shared" si="0"/>
        <v>2006</v>
      </c>
      <c r="C46" s="1026">
        <f t="shared" si="1"/>
        <v>8.4699999999999998E-2</v>
      </c>
      <c r="D46" s="1026">
        <v>4.3900000000000002E-2</v>
      </c>
      <c r="E46" s="1026">
        <v>4.0800000000000003E-2</v>
      </c>
    </row>
    <row r="47" spans="1:6" x14ac:dyDescent="0.55000000000000004">
      <c r="A47" s="1025">
        <v>2006</v>
      </c>
      <c r="B47" s="1025">
        <f t="shared" si="0"/>
        <v>2007</v>
      </c>
      <c r="C47" s="1026">
        <f t="shared" si="1"/>
        <v>8.8599999999999998E-2</v>
      </c>
      <c r="D47" s="1026">
        <v>4.7E-2</v>
      </c>
      <c r="E47" s="1026">
        <v>4.1599999999999998E-2</v>
      </c>
    </row>
    <row r="48" spans="1:6" x14ac:dyDescent="0.55000000000000004">
      <c r="A48" s="1025">
        <v>2007</v>
      </c>
      <c r="B48" s="1025">
        <f t="shared" si="0"/>
        <v>2008</v>
      </c>
      <c r="C48" s="1026">
        <f t="shared" si="1"/>
        <v>8.3900000000000002E-2</v>
      </c>
      <c r="D48" s="1026">
        <v>4.02E-2</v>
      </c>
      <c r="E48" s="1026">
        <v>4.3700000000000003E-2</v>
      </c>
    </row>
    <row r="49" spans="1:5" x14ac:dyDescent="0.55000000000000004">
      <c r="A49" s="1025">
        <v>2008</v>
      </c>
      <c r="B49" s="1025">
        <f t="shared" si="0"/>
        <v>2009</v>
      </c>
      <c r="C49" s="1026">
        <f t="shared" si="1"/>
        <v>8.6400000000000005E-2</v>
      </c>
      <c r="D49" s="1026">
        <v>2.2100000000000002E-2</v>
      </c>
      <c r="E49" s="1026">
        <v>6.4299999999999996E-2</v>
      </c>
    </row>
    <row r="50" spans="1:5" x14ac:dyDescent="0.55000000000000004">
      <c r="A50" s="1025">
        <v>2009</v>
      </c>
      <c r="B50" s="1025">
        <f t="shared" si="0"/>
        <v>2010</v>
      </c>
      <c r="C50" s="1026">
        <f t="shared" si="1"/>
        <v>8.199999999999999E-2</v>
      </c>
      <c r="D50" s="1026">
        <v>3.8399999999999997E-2</v>
      </c>
      <c r="E50" s="1026">
        <v>4.36E-2</v>
      </c>
    </row>
    <row r="51" spans="1:5" x14ac:dyDescent="0.55000000000000004">
      <c r="A51" s="1025">
        <v>2010</v>
      </c>
      <c r="B51" s="1025">
        <f t="shared" si="0"/>
        <v>2011</v>
      </c>
      <c r="C51" s="1026">
        <f t="shared" si="1"/>
        <v>8.4900000000000003E-2</v>
      </c>
      <c r="D51" s="1026">
        <v>3.2899999999999999E-2</v>
      </c>
      <c r="E51" s="1026">
        <v>5.1999999999999998E-2</v>
      </c>
    </row>
    <row r="52" spans="1:5" x14ac:dyDescent="0.55000000000000004">
      <c r="A52" s="1025">
        <v>2011</v>
      </c>
      <c r="B52" s="1025">
        <f t="shared" si="0"/>
        <v>2012</v>
      </c>
      <c r="C52" s="1026">
        <f t="shared" si="1"/>
        <v>7.8899999999999998E-2</v>
      </c>
      <c r="D52" s="1026">
        <v>1.8800000000000001E-2</v>
      </c>
      <c r="E52" s="1026">
        <v>6.0100000000000001E-2</v>
      </c>
    </row>
    <row r="53" spans="1:5" x14ac:dyDescent="0.55000000000000004">
      <c r="A53" s="1025">
        <v>2012</v>
      </c>
      <c r="B53" s="1025">
        <f t="shared" si="0"/>
        <v>2013</v>
      </c>
      <c r="C53" s="1026">
        <f t="shared" si="1"/>
        <v>7.5399999999999995E-2</v>
      </c>
      <c r="D53" s="1026">
        <v>1.7600000000000001E-2</v>
      </c>
      <c r="E53" s="1026">
        <v>5.7799999999999997E-2</v>
      </c>
    </row>
    <row r="54" spans="1:5" x14ac:dyDescent="0.55000000000000004">
      <c r="A54" s="1025">
        <v>2013</v>
      </c>
      <c r="B54" s="1025">
        <f t="shared" si="0"/>
        <v>2014</v>
      </c>
      <c r="C54" s="1026">
        <f t="shared" si="1"/>
        <v>0.08</v>
      </c>
      <c r="D54" s="1026">
        <v>3.04E-2</v>
      </c>
      <c r="E54" s="1026">
        <v>4.9599999999999998E-2</v>
      </c>
    </row>
    <row r="55" spans="1:5" x14ac:dyDescent="0.55000000000000004">
      <c r="A55" s="1025">
        <v>2014</v>
      </c>
      <c r="B55" s="1025">
        <f t="shared" si="0"/>
        <v>2015</v>
      </c>
      <c r="C55" s="1026">
        <f t="shared" si="1"/>
        <v>7.9500000000000001E-2</v>
      </c>
      <c r="D55" s="1026">
        <v>2.1700000000000001E-2</v>
      </c>
      <c r="E55" s="1026">
        <v>5.7799999999999997E-2</v>
      </c>
    </row>
    <row r="56" spans="1:5" x14ac:dyDescent="0.55000000000000004">
      <c r="A56" s="1025">
        <v>2015</v>
      </c>
      <c r="B56" s="1025">
        <f t="shared" si="0"/>
        <v>2016</v>
      </c>
      <c r="C56" s="1026">
        <f t="shared" si="1"/>
        <v>8.3900000000000002E-2</v>
      </c>
      <c r="D56" s="1026">
        <v>2.2700000000000001E-2</v>
      </c>
      <c r="E56" s="1026">
        <v>6.1199999999999997E-2</v>
      </c>
    </row>
    <row r="57" spans="1:5" x14ac:dyDescent="0.55000000000000004">
      <c r="A57" s="1025">
        <v>2016</v>
      </c>
      <c r="B57" s="1025">
        <f t="shared" si="0"/>
        <v>2017</v>
      </c>
      <c r="C57" s="1026">
        <f t="shared" si="1"/>
        <v>8.14E-2</v>
      </c>
      <c r="D57" s="1026">
        <v>2.4500000000000001E-2</v>
      </c>
      <c r="E57" s="1026">
        <v>5.6899999999999999E-2</v>
      </c>
    </row>
    <row r="58" spans="1:5" x14ac:dyDescent="0.55000000000000004">
      <c r="A58" s="1025">
        <v>2017</v>
      </c>
      <c r="B58" s="1025">
        <f t="shared" si="0"/>
        <v>2018</v>
      </c>
      <c r="C58" s="1026">
        <f t="shared" si="1"/>
        <v>7.4899999999999994E-2</v>
      </c>
      <c r="D58" s="1026">
        <v>2.41E-2</v>
      </c>
      <c r="E58" s="1026">
        <v>5.0799999999999998E-2</v>
      </c>
    </row>
    <row r="59" spans="1:5" x14ac:dyDescent="0.55000000000000004">
      <c r="A59" s="1025">
        <v>2018</v>
      </c>
      <c r="B59" s="1025">
        <f t="shared" si="0"/>
        <v>2019</v>
      </c>
      <c r="C59" s="1026">
        <f t="shared" si="1"/>
        <v>8.6400000000000005E-2</v>
      </c>
      <c r="D59" s="1026">
        <v>2.6800000000000001E-2</v>
      </c>
      <c r="E59" s="1026">
        <v>5.96E-2</v>
      </c>
    </row>
    <row r="60" spans="1:5" x14ac:dyDescent="0.55000000000000004">
      <c r="A60" s="1025">
        <v>2019</v>
      </c>
      <c r="B60" s="1025">
        <f t="shared" si="0"/>
        <v>2020</v>
      </c>
      <c r="C60" s="1026">
        <f t="shared" si="1"/>
        <v>7.1199999999999999E-2</v>
      </c>
      <c r="D60" s="1026">
        <v>1.9199999999999998E-2</v>
      </c>
      <c r="E60" s="1026">
        <v>5.1999999999999998E-2</v>
      </c>
    </row>
    <row r="61" spans="1:5" x14ac:dyDescent="0.55000000000000004">
      <c r="A61" s="1025">
        <v>2020</v>
      </c>
      <c r="B61" s="1025">
        <f t="shared" si="0"/>
        <v>2021</v>
      </c>
      <c r="C61" s="1026">
        <f t="shared" si="1"/>
        <v>5.6499999999999995E-2</v>
      </c>
      <c r="D61" s="1026">
        <v>9.2999999999999992E-3</v>
      </c>
      <c r="E61" s="1026">
        <v>4.7199999999999999E-2</v>
      </c>
    </row>
    <row r="62" spans="1:5" x14ac:dyDescent="0.55000000000000004">
      <c r="A62" s="1025">
        <v>2021</v>
      </c>
      <c r="B62" s="1025">
        <f t="shared" si="0"/>
        <v>2022</v>
      </c>
      <c r="C62" s="1026">
        <f t="shared" si="1"/>
        <v>5.7500000000000002E-2</v>
      </c>
      <c r="D62" s="1026">
        <v>1.5100000000000001E-2</v>
      </c>
      <c r="E62" s="1026">
        <v>4.24E-2</v>
      </c>
    </row>
    <row r="63" spans="1:5" x14ac:dyDescent="0.55000000000000004">
      <c r="A63" s="1025">
        <v>2022</v>
      </c>
      <c r="B63" s="1025">
        <f t="shared" si="0"/>
        <v>2023</v>
      </c>
      <c r="C63" s="1026">
        <f t="shared" si="1"/>
        <v>9.820000000000001E-2</v>
      </c>
      <c r="D63" s="1026">
        <v>3.8800000000000001E-2</v>
      </c>
      <c r="E63" s="1026">
        <v>5.9400000000000001E-2</v>
      </c>
    </row>
    <row r="64" spans="1:5" x14ac:dyDescent="0.55000000000000004">
      <c r="A64" s="1025">
        <v>2023</v>
      </c>
      <c r="B64" s="1025">
        <f t="shared" si="0"/>
        <v>2024</v>
      </c>
      <c r="C64" s="1026">
        <f t="shared" si="1"/>
        <v>8.48E-2</v>
      </c>
      <c r="D64" s="1026">
        <v>3.8800000000000001E-2</v>
      </c>
      <c r="E64" s="1026">
        <v>4.5999999999999999E-2</v>
      </c>
    </row>
    <row r="65" spans="1:5" x14ac:dyDescent="0.55000000000000004">
      <c r="A65" s="1025">
        <v>2024</v>
      </c>
      <c r="B65" s="1025">
        <f t="shared" si="0"/>
        <v>2025</v>
      </c>
      <c r="C65" s="1026">
        <f t="shared" si="1"/>
        <v>8.9099999999999999E-2</v>
      </c>
      <c r="D65" s="1026">
        <v>4.58E-2</v>
      </c>
      <c r="E65" s="1026">
        <v>4.3299999999999998E-2</v>
      </c>
    </row>
  </sheetData>
  <pageMargins left="0.7" right="0.7" top="0.75" bottom="0.75" header="0.3" footer="0.3"/>
  <pageSetup scale="7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EB6C8-E7E4-465F-8EB1-7DC34C715CC0}">
  <sheetPr codeName="Sheet51"/>
  <dimension ref="A1:H322"/>
  <sheetViews>
    <sheetView zoomScaleNormal="100" workbookViewId="0"/>
  </sheetViews>
  <sheetFormatPr defaultColWidth="8.734375" defaultRowHeight="12.3" x14ac:dyDescent="0.4"/>
  <cols>
    <col min="1" max="1" width="12" style="1134" customWidth="1"/>
    <col min="2" max="2" width="12.7890625" style="1134" bestFit="1" customWidth="1"/>
    <col min="3" max="3" width="12.26171875" style="1134" bestFit="1" customWidth="1"/>
    <col min="4" max="5" width="8.734375" style="1134"/>
    <col min="6" max="6" width="13.7890625" style="1134" bestFit="1" customWidth="1"/>
    <col min="7" max="7" width="12.15625" style="1134" bestFit="1" customWidth="1"/>
    <col min="8" max="8" width="11" style="1134" bestFit="1" customWidth="1"/>
    <col min="9" max="16384" width="8.734375" style="1134"/>
  </cols>
  <sheetData>
    <row r="1" spans="1:8" x14ac:dyDescent="0.4">
      <c r="A1" s="1134" t="s">
        <v>6786</v>
      </c>
    </row>
    <row r="3" spans="1:8" ht="14.4" x14ac:dyDescent="0.55000000000000004">
      <c r="A3" s="1135"/>
      <c r="B3" s="1136" t="s">
        <v>6677</v>
      </c>
      <c r="C3" s="1135"/>
      <c r="D3" s="1135"/>
      <c r="E3" s="1135"/>
      <c r="F3" s="1135"/>
      <c r="G3" s="1135"/>
      <c r="H3" s="1137">
        <v>45715</v>
      </c>
    </row>
    <row r="5" spans="1:8" ht="14.4" x14ac:dyDescent="0.55000000000000004">
      <c r="A5" s="1464" t="s">
        <v>6678</v>
      </c>
      <c r="B5" s="1464"/>
      <c r="C5" s="1464"/>
      <c r="D5" s="1135"/>
      <c r="E5" s="1464" t="s">
        <v>6787</v>
      </c>
      <c r="F5" s="1464"/>
      <c r="G5" s="1464"/>
      <c r="H5" s="1135"/>
    </row>
    <row r="6" spans="1:8" ht="14.4" x14ac:dyDescent="0.55000000000000004">
      <c r="A6" s="1135"/>
      <c r="B6" s="1135"/>
      <c r="C6" s="1135"/>
      <c r="D6" s="1135"/>
      <c r="E6" s="1135" t="s">
        <v>6788</v>
      </c>
      <c r="F6" s="1135"/>
      <c r="G6" s="1135"/>
      <c r="H6" s="1135"/>
    </row>
    <row r="7" spans="1:8" ht="12.9" x14ac:dyDescent="0.5">
      <c r="A7" s="1138"/>
      <c r="B7" s="1138"/>
      <c r="C7" s="1138"/>
      <c r="E7" s="1138"/>
      <c r="F7" s="1138"/>
      <c r="G7" s="1138"/>
    </row>
    <row r="8" spans="1:8" ht="100" customHeight="1" x14ac:dyDescent="0.55000000000000004">
      <c r="A8" s="1135"/>
      <c r="B8" s="1139" t="s">
        <v>6679</v>
      </c>
      <c r="C8" s="1139" t="s">
        <v>6680</v>
      </c>
      <c r="D8" s="1135"/>
      <c r="E8" s="1135"/>
      <c r="F8" s="1139" t="s">
        <v>6679</v>
      </c>
      <c r="G8" s="1139" t="s">
        <v>6680</v>
      </c>
      <c r="H8" s="1135"/>
    </row>
    <row r="9" spans="1:8" ht="14.4" x14ac:dyDescent="0.55000000000000004">
      <c r="A9" s="1135"/>
      <c r="B9" s="1135"/>
      <c r="C9" s="1135"/>
      <c r="E9" s="1135"/>
      <c r="F9" s="1135"/>
      <c r="G9" s="1135"/>
    </row>
    <row r="10" spans="1:8" ht="14.4" x14ac:dyDescent="0.55000000000000004">
      <c r="A10" s="1135"/>
      <c r="B10" s="1135"/>
      <c r="C10" s="1135"/>
      <c r="E10" s="1135"/>
      <c r="F10" s="1135"/>
      <c r="G10" s="1135"/>
    </row>
    <row r="11" spans="1:8" ht="14.4" x14ac:dyDescent="0.55000000000000004">
      <c r="A11" s="1135" t="s">
        <v>6683</v>
      </c>
      <c r="B11" s="1140">
        <v>104.6</v>
      </c>
      <c r="C11" s="1140">
        <v>1191.0999999999999</v>
      </c>
      <c r="D11" s="1141"/>
      <c r="E11" s="1135" t="s">
        <v>6789</v>
      </c>
      <c r="F11" s="1140">
        <v>243.2</v>
      </c>
      <c r="G11" s="1140">
        <v>2182.6999999999998</v>
      </c>
      <c r="H11" s="1135"/>
    </row>
    <row r="12" spans="1:8" ht="14.4" x14ac:dyDescent="0.55000000000000004">
      <c r="A12" s="1135" t="s">
        <v>6684</v>
      </c>
      <c r="B12" s="1140">
        <v>92.2</v>
      </c>
      <c r="C12" s="1140">
        <v>1089.8</v>
      </c>
      <c r="D12" s="1141">
        <f t="shared" ref="D12:D75" si="0">(C12-C11)/C11</f>
        <v>-8.5047435143984523E-2</v>
      </c>
      <c r="E12" s="1135" t="s">
        <v>6790</v>
      </c>
      <c r="F12" s="1140">
        <v>246</v>
      </c>
      <c r="G12" s="1140">
        <v>2176.9</v>
      </c>
      <c r="H12" s="1135"/>
    </row>
    <row r="13" spans="1:8" ht="14.4" x14ac:dyDescent="0.55000000000000004">
      <c r="A13" s="1135" t="s">
        <v>6685</v>
      </c>
      <c r="B13" s="1140">
        <v>77.400000000000006</v>
      </c>
      <c r="C13" s="1140">
        <v>1020</v>
      </c>
      <c r="D13" s="1141">
        <f t="shared" si="0"/>
        <v>-6.4048449256744314E-2</v>
      </c>
      <c r="E13" s="1135" t="s">
        <v>6791</v>
      </c>
      <c r="F13" s="1140">
        <v>249.6</v>
      </c>
      <c r="G13" s="1140">
        <v>2172.4</v>
      </c>
      <c r="H13" s="1135"/>
    </row>
    <row r="14" spans="1:8" ht="14.4" x14ac:dyDescent="0.55000000000000004">
      <c r="A14" s="1135" t="s">
        <v>6686</v>
      </c>
      <c r="B14" s="1140">
        <v>59.5</v>
      </c>
      <c r="C14" s="1140">
        <v>888.4</v>
      </c>
      <c r="D14" s="1141">
        <f t="shared" si="0"/>
        <v>-0.12901960784313729</v>
      </c>
      <c r="E14" s="1135" t="s">
        <v>6792</v>
      </c>
      <c r="F14" s="1140">
        <v>259.7</v>
      </c>
      <c r="G14" s="1140">
        <v>2206.5</v>
      </c>
      <c r="H14" s="1135"/>
    </row>
    <row r="15" spans="1:8" ht="14.4" x14ac:dyDescent="0.55000000000000004">
      <c r="A15" s="1135" t="s">
        <v>6688</v>
      </c>
      <c r="B15" s="1140">
        <v>57.2</v>
      </c>
      <c r="C15" s="1140">
        <v>877.4</v>
      </c>
      <c r="D15" s="1141">
        <f t="shared" si="0"/>
        <v>-1.2381809995497524E-2</v>
      </c>
      <c r="E15" s="1135" t="s">
        <v>6793</v>
      </c>
      <c r="F15" s="1140">
        <v>265.7</v>
      </c>
      <c r="G15" s="1140">
        <v>2239.6999999999998</v>
      </c>
      <c r="H15" s="1135"/>
    </row>
    <row r="16" spans="1:8" ht="14.4" x14ac:dyDescent="0.55000000000000004">
      <c r="A16" s="1135" t="s">
        <v>6690</v>
      </c>
      <c r="B16" s="1140">
        <v>66.8</v>
      </c>
      <c r="C16" s="1140">
        <v>972.3</v>
      </c>
      <c r="D16" s="1141">
        <f t="shared" si="0"/>
        <v>0.10816047412810574</v>
      </c>
      <c r="E16" s="1135" t="s">
        <v>6794</v>
      </c>
      <c r="F16" s="1140">
        <v>272.60000000000002</v>
      </c>
      <c r="G16" s="1140">
        <v>2276.6999999999998</v>
      </c>
      <c r="H16" s="1135"/>
    </row>
    <row r="17" spans="1:8" ht="14.4" x14ac:dyDescent="0.55000000000000004">
      <c r="A17" s="1135" t="s">
        <v>6691</v>
      </c>
      <c r="B17" s="1140">
        <v>74.2</v>
      </c>
      <c r="C17" s="1140">
        <v>1058.8</v>
      </c>
      <c r="D17" s="1141">
        <f t="shared" si="0"/>
        <v>8.8964311426514453E-2</v>
      </c>
      <c r="E17" s="1135" t="s">
        <v>6795</v>
      </c>
      <c r="F17" s="1140">
        <v>279.2</v>
      </c>
      <c r="G17" s="1140">
        <v>2289.8000000000002</v>
      </c>
      <c r="H17" s="1135"/>
    </row>
    <row r="18" spans="1:8" ht="14.4" x14ac:dyDescent="0.55000000000000004">
      <c r="A18" s="1135" t="s">
        <v>6692</v>
      </c>
      <c r="B18" s="1140">
        <v>84.8</v>
      </c>
      <c r="C18" s="1140">
        <v>1195.3</v>
      </c>
      <c r="D18" s="1141">
        <f t="shared" si="0"/>
        <v>0.12891953154514546</v>
      </c>
      <c r="E18" s="1135" t="s">
        <v>6796</v>
      </c>
      <c r="F18" s="1140">
        <v>280.39999999999998</v>
      </c>
      <c r="G18" s="1140">
        <v>2292.4</v>
      </c>
      <c r="H18" s="1135"/>
    </row>
    <row r="19" spans="1:8" ht="14.4" x14ac:dyDescent="0.55000000000000004">
      <c r="A19" s="1135" t="s">
        <v>6693</v>
      </c>
      <c r="B19" s="1140">
        <v>93</v>
      </c>
      <c r="C19" s="1140">
        <v>1256.5</v>
      </c>
      <c r="D19" s="1141">
        <f t="shared" si="0"/>
        <v>5.1200535430435914E-2</v>
      </c>
      <c r="E19" s="1135" t="s">
        <v>6797</v>
      </c>
      <c r="F19" s="1140">
        <v>275</v>
      </c>
      <c r="G19" s="1140">
        <v>2260.8000000000002</v>
      </c>
    </row>
    <row r="20" spans="1:8" ht="14.4" x14ac:dyDescent="0.55000000000000004">
      <c r="A20" s="1135" t="s">
        <v>6694</v>
      </c>
      <c r="B20" s="1140">
        <v>87.4</v>
      </c>
      <c r="C20" s="1140">
        <v>1214.9000000000001</v>
      </c>
      <c r="D20" s="1141">
        <f t="shared" si="0"/>
        <v>-3.3107839235972866E-2</v>
      </c>
      <c r="E20" s="1135" t="s">
        <v>6798</v>
      </c>
      <c r="F20" s="1140">
        <v>271.39999999999998</v>
      </c>
      <c r="G20" s="1140">
        <v>2253.1</v>
      </c>
    </row>
    <row r="21" spans="1:8" ht="14.4" x14ac:dyDescent="0.55000000000000004">
      <c r="A21" s="1135" t="s">
        <v>6695</v>
      </c>
      <c r="B21" s="1140">
        <v>93.4</v>
      </c>
      <c r="C21" s="1140">
        <v>1312.4</v>
      </c>
      <c r="D21" s="1141">
        <f t="shared" si="0"/>
        <v>8.0253518808132349E-2</v>
      </c>
      <c r="E21" s="1135" t="s">
        <v>6799</v>
      </c>
      <c r="F21" s="1140">
        <v>272.89999999999998</v>
      </c>
      <c r="G21" s="1140">
        <v>2276.4</v>
      </c>
    </row>
    <row r="22" spans="1:8" ht="14.4" x14ac:dyDescent="0.55000000000000004">
      <c r="A22" s="1135" t="s">
        <v>6696</v>
      </c>
      <c r="B22" s="1140">
        <v>102.9</v>
      </c>
      <c r="C22" s="1140">
        <v>1428.1</v>
      </c>
      <c r="D22" s="1141">
        <f t="shared" si="0"/>
        <v>8.8159097836025463E-2</v>
      </c>
      <c r="E22" s="1135" t="s">
        <v>6800</v>
      </c>
      <c r="F22" s="1140">
        <v>270.60000000000002</v>
      </c>
      <c r="G22" s="1140">
        <v>2257.4</v>
      </c>
    </row>
    <row r="23" spans="1:8" ht="14.4" x14ac:dyDescent="0.55000000000000004">
      <c r="A23" s="1135" t="s">
        <v>6697</v>
      </c>
      <c r="B23" s="1140">
        <v>129.30000000000001</v>
      </c>
      <c r="C23" s="1140">
        <v>1681</v>
      </c>
      <c r="D23" s="1141">
        <f t="shared" si="0"/>
        <v>0.17708843918493111</v>
      </c>
      <c r="E23" s="1135" t="s">
        <v>6801</v>
      </c>
      <c r="F23" s="1140">
        <v>280.8</v>
      </c>
      <c r="G23" s="1140">
        <v>2346.1</v>
      </c>
    </row>
    <row r="24" spans="1:8" ht="14.4" x14ac:dyDescent="0.55000000000000004">
      <c r="A24" s="1135" t="s">
        <v>6698</v>
      </c>
      <c r="B24" s="1140">
        <v>166</v>
      </c>
      <c r="C24" s="1140">
        <v>1998.5</v>
      </c>
      <c r="D24" s="1141">
        <f t="shared" si="0"/>
        <v>0.18887566924449734</v>
      </c>
      <c r="E24" s="1135" t="s">
        <v>6802</v>
      </c>
      <c r="F24" s="1140">
        <v>290.39999999999998</v>
      </c>
      <c r="G24" s="1140">
        <v>2417.6999999999998</v>
      </c>
    </row>
    <row r="25" spans="1:8" ht="14.4" x14ac:dyDescent="0.55000000000000004">
      <c r="A25" s="1135" t="s">
        <v>6699</v>
      </c>
      <c r="B25" s="1140">
        <v>203.1</v>
      </c>
      <c r="C25" s="1140">
        <v>2338.8000000000002</v>
      </c>
      <c r="D25" s="1141">
        <f t="shared" si="0"/>
        <v>0.170277708281211</v>
      </c>
      <c r="E25" s="1135" t="s">
        <v>6803</v>
      </c>
      <c r="F25" s="1140">
        <v>308.2</v>
      </c>
      <c r="G25" s="1140">
        <v>2511.1</v>
      </c>
    </row>
    <row r="26" spans="1:8" ht="14.4" x14ac:dyDescent="0.55000000000000004">
      <c r="A26" s="1135" t="s">
        <v>6700</v>
      </c>
      <c r="B26" s="1140">
        <v>224.4</v>
      </c>
      <c r="C26" s="1140">
        <v>2524.8000000000002</v>
      </c>
      <c r="D26" s="1141">
        <f t="shared" si="0"/>
        <v>7.9527963057978449E-2</v>
      </c>
      <c r="E26" s="1135" t="s">
        <v>6804</v>
      </c>
      <c r="F26" s="1140">
        <v>319.89999999999998</v>
      </c>
      <c r="G26" s="1140">
        <v>2559.1999999999998</v>
      </c>
    </row>
    <row r="27" spans="1:8" ht="14.4" x14ac:dyDescent="0.55000000000000004">
      <c r="A27" s="1135" t="s">
        <v>6701</v>
      </c>
      <c r="B27" s="1140">
        <v>228</v>
      </c>
      <c r="C27" s="1140">
        <v>2500.1</v>
      </c>
      <c r="D27" s="1141">
        <f t="shared" si="0"/>
        <v>-9.7829531051965585E-3</v>
      </c>
      <c r="E27" s="1135" t="s">
        <v>6805</v>
      </c>
      <c r="F27" s="1140">
        <v>336</v>
      </c>
      <c r="G27" s="1140">
        <v>2594</v>
      </c>
    </row>
    <row r="28" spans="1:8" ht="14.4" x14ac:dyDescent="0.55000000000000004">
      <c r="A28" s="1135" t="s">
        <v>6702</v>
      </c>
      <c r="B28" s="1140">
        <v>227.5</v>
      </c>
      <c r="C28" s="1140">
        <v>2209.9</v>
      </c>
      <c r="D28" s="1141">
        <f t="shared" si="0"/>
        <v>-0.1160753569857205</v>
      </c>
      <c r="E28" s="1135" t="s">
        <v>6806</v>
      </c>
      <c r="F28" s="1140">
        <v>344.1</v>
      </c>
      <c r="G28" s="1140">
        <v>2638.9</v>
      </c>
    </row>
    <row r="29" spans="1:8" ht="14.4" x14ac:dyDescent="0.55000000000000004">
      <c r="A29" s="1135" t="s">
        <v>6703</v>
      </c>
      <c r="B29" s="1140">
        <v>249.6</v>
      </c>
      <c r="C29" s="1140">
        <v>2184.6</v>
      </c>
      <c r="D29" s="1141">
        <f t="shared" si="0"/>
        <v>-1.1448481831757175E-2</v>
      </c>
      <c r="E29" s="1135" t="s">
        <v>6807</v>
      </c>
      <c r="F29" s="1140">
        <v>351.4</v>
      </c>
      <c r="G29" s="1140">
        <v>2693.3</v>
      </c>
    </row>
    <row r="30" spans="1:8" ht="14.4" x14ac:dyDescent="0.55000000000000004">
      <c r="A30" s="1135" t="s">
        <v>6704</v>
      </c>
      <c r="B30" s="1140">
        <v>274.5</v>
      </c>
      <c r="C30" s="1140">
        <v>2274.6</v>
      </c>
      <c r="D30" s="1141">
        <f t="shared" si="0"/>
        <v>4.1197473221642411E-2</v>
      </c>
      <c r="E30" s="1135" t="s">
        <v>6808</v>
      </c>
      <c r="F30" s="1140">
        <v>356.2</v>
      </c>
      <c r="G30" s="1140">
        <v>2699.2</v>
      </c>
    </row>
    <row r="31" spans="1:8" ht="14.4" x14ac:dyDescent="0.55000000000000004">
      <c r="A31" s="1135" t="s">
        <v>6705</v>
      </c>
      <c r="B31" s="1140">
        <v>272.5</v>
      </c>
      <c r="C31" s="1140">
        <v>2261.9</v>
      </c>
      <c r="D31" s="1141">
        <f t="shared" si="0"/>
        <v>-5.5833992789940294E-3</v>
      </c>
      <c r="E31" s="1135" t="s">
        <v>6809</v>
      </c>
      <c r="F31" s="1140">
        <v>359.8</v>
      </c>
      <c r="G31" s="1140">
        <v>2728</v>
      </c>
    </row>
    <row r="32" spans="1:8" ht="14.4" x14ac:dyDescent="0.55000000000000004">
      <c r="A32" s="1135" t="s">
        <v>6706</v>
      </c>
      <c r="B32" s="1140">
        <v>299.8</v>
      </c>
      <c r="C32" s="1140">
        <v>2458.5</v>
      </c>
      <c r="D32" s="1141">
        <f t="shared" si="0"/>
        <v>8.6918077722268852E-2</v>
      </c>
      <c r="E32" s="1135" t="s">
        <v>6810</v>
      </c>
      <c r="F32" s="1140">
        <v>361</v>
      </c>
      <c r="G32" s="1140">
        <v>2733.8</v>
      </c>
    </row>
    <row r="33" spans="1:7" ht="14.4" x14ac:dyDescent="0.55000000000000004">
      <c r="A33" s="1135" t="s">
        <v>6707</v>
      </c>
      <c r="B33" s="1140">
        <v>346.9</v>
      </c>
      <c r="C33" s="1140">
        <v>2656.3</v>
      </c>
      <c r="D33" s="1141">
        <f t="shared" si="0"/>
        <v>8.0455562334757036E-2</v>
      </c>
      <c r="E33" s="1135" t="s">
        <v>6811</v>
      </c>
      <c r="F33" s="1140">
        <v>367.7</v>
      </c>
      <c r="G33" s="1140">
        <v>2753.5</v>
      </c>
    </row>
    <row r="34" spans="1:7" ht="14.4" x14ac:dyDescent="0.55000000000000004">
      <c r="A34" s="1135" t="s">
        <v>6708</v>
      </c>
      <c r="B34" s="1140">
        <v>367.3</v>
      </c>
      <c r="C34" s="1140">
        <v>2764.8</v>
      </c>
      <c r="D34" s="1141">
        <f t="shared" si="0"/>
        <v>4.0846289952189134E-2</v>
      </c>
      <c r="E34" s="1135" t="s">
        <v>6812</v>
      </c>
      <c r="F34" s="1140">
        <v>380.8</v>
      </c>
      <c r="G34" s="1140">
        <v>2843.9</v>
      </c>
    </row>
    <row r="35" spans="1:7" ht="14.4" x14ac:dyDescent="0.55000000000000004">
      <c r="A35" s="1135" t="s">
        <v>6709</v>
      </c>
      <c r="B35" s="1140">
        <v>389.2</v>
      </c>
      <c r="C35" s="1140">
        <v>2894.4</v>
      </c>
      <c r="D35" s="1141">
        <f t="shared" si="0"/>
        <v>4.6874999999999965E-2</v>
      </c>
      <c r="E35" s="1135" t="s">
        <v>6813</v>
      </c>
      <c r="F35" s="1140">
        <v>388</v>
      </c>
      <c r="G35" s="1140">
        <v>2896.8</v>
      </c>
    </row>
    <row r="36" spans="1:7" ht="14.4" x14ac:dyDescent="0.55000000000000004">
      <c r="A36" s="1135" t="s">
        <v>6710</v>
      </c>
      <c r="B36" s="1140">
        <v>390.5</v>
      </c>
      <c r="C36" s="1140">
        <v>2877.7</v>
      </c>
      <c r="D36" s="1141">
        <f t="shared" si="0"/>
        <v>-5.7697622996131402E-3</v>
      </c>
      <c r="E36" s="1135" t="s">
        <v>6814</v>
      </c>
      <c r="F36" s="1140">
        <v>391.7</v>
      </c>
      <c r="G36" s="1140">
        <v>2919.2</v>
      </c>
    </row>
    <row r="37" spans="1:7" ht="14.4" x14ac:dyDescent="0.55000000000000004">
      <c r="A37" s="1135" t="s">
        <v>6711</v>
      </c>
      <c r="B37" s="1140">
        <v>425.5</v>
      </c>
      <c r="C37" s="1140">
        <v>3083</v>
      </c>
      <c r="D37" s="1141">
        <f t="shared" si="0"/>
        <v>7.1341696493727694E-2</v>
      </c>
      <c r="E37" s="1135" t="s">
        <v>6815</v>
      </c>
      <c r="F37" s="1140">
        <v>391.2</v>
      </c>
      <c r="G37" s="1140">
        <v>2902.8</v>
      </c>
    </row>
    <row r="38" spans="1:7" ht="14.4" x14ac:dyDescent="0.55000000000000004">
      <c r="A38" s="1135" t="s">
        <v>6712</v>
      </c>
      <c r="B38" s="1140">
        <v>449.4</v>
      </c>
      <c r="C38" s="1140">
        <v>3148.8</v>
      </c>
      <c r="D38" s="1141">
        <f t="shared" si="0"/>
        <v>2.1342847875446054E-2</v>
      </c>
      <c r="E38" s="1135" t="s">
        <v>6816</v>
      </c>
      <c r="F38" s="1140">
        <v>386</v>
      </c>
      <c r="G38" s="1140">
        <v>2858.8</v>
      </c>
    </row>
    <row r="39" spans="1:7" ht="14.4" x14ac:dyDescent="0.55000000000000004">
      <c r="A39" s="1135" t="s">
        <v>6713</v>
      </c>
      <c r="B39" s="1140">
        <v>474</v>
      </c>
      <c r="C39" s="1140">
        <v>3215.1</v>
      </c>
      <c r="D39" s="1141">
        <f t="shared" si="0"/>
        <v>2.105564024390235E-2</v>
      </c>
      <c r="E39" s="1135" t="s">
        <v>6817</v>
      </c>
      <c r="F39" s="1140">
        <v>385.3</v>
      </c>
      <c r="G39" s="1140">
        <v>2845.2</v>
      </c>
    </row>
    <row r="40" spans="1:7" ht="14.4" x14ac:dyDescent="0.55000000000000004">
      <c r="A40" s="1135" t="s">
        <v>6714</v>
      </c>
      <c r="B40" s="1140">
        <v>481.2</v>
      </c>
      <c r="C40" s="1140">
        <v>3191.2</v>
      </c>
      <c r="D40" s="1141">
        <f t="shared" si="0"/>
        <v>-7.4336723585580831E-3</v>
      </c>
      <c r="E40" s="1135" t="s">
        <v>6818</v>
      </c>
      <c r="F40" s="1140">
        <v>386.1</v>
      </c>
      <c r="G40" s="1140">
        <v>2848.3</v>
      </c>
    </row>
    <row r="41" spans="1:7" ht="14.4" x14ac:dyDescent="0.55000000000000004">
      <c r="A41" s="1135" t="s">
        <v>6715</v>
      </c>
      <c r="B41" s="1140">
        <v>521.70000000000005</v>
      </c>
      <c r="C41" s="1140">
        <v>3412.4</v>
      </c>
      <c r="D41" s="1141">
        <f t="shared" si="0"/>
        <v>6.9315617949360836E-2</v>
      </c>
      <c r="E41" s="1135" t="s">
        <v>6819</v>
      </c>
      <c r="F41" s="1140">
        <v>391</v>
      </c>
      <c r="G41" s="1140">
        <v>2880.5</v>
      </c>
    </row>
    <row r="42" spans="1:7" ht="14.4" x14ac:dyDescent="0.55000000000000004">
      <c r="A42" s="1135" t="s">
        <v>6716</v>
      </c>
      <c r="B42" s="1140">
        <v>542.4</v>
      </c>
      <c r="C42" s="1140">
        <v>3500.3</v>
      </c>
      <c r="D42" s="1141">
        <f t="shared" si="0"/>
        <v>2.5758996600633011E-2</v>
      </c>
      <c r="E42" s="1135" t="s">
        <v>6820</v>
      </c>
      <c r="F42" s="1140">
        <v>399.7</v>
      </c>
      <c r="G42" s="1140">
        <v>2936.9</v>
      </c>
    </row>
    <row r="43" spans="1:7" ht="14.4" x14ac:dyDescent="0.55000000000000004">
      <c r="A43" s="1135" t="s">
        <v>6717</v>
      </c>
      <c r="B43" s="1140">
        <v>562.20000000000005</v>
      </c>
      <c r="C43" s="1140">
        <v>3590.1</v>
      </c>
      <c r="D43" s="1141">
        <f t="shared" si="0"/>
        <v>2.5654943861954611E-2</v>
      </c>
      <c r="E43" s="1135" t="s">
        <v>6821</v>
      </c>
      <c r="F43" s="1140">
        <v>413.1</v>
      </c>
      <c r="G43" s="1140">
        <v>3020.7</v>
      </c>
    </row>
    <row r="44" spans="1:7" ht="14.4" x14ac:dyDescent="0.55000000000000004">
      <c r="A44" s="1135" t="s">
        <v>6718</v>
      </c>
      <c r="B44" s="1140">
        <v>603.9</v>
      </c>
      <c r="C44" s="1140">
        <v>3810.1</v>
      </c>
      <c r="D44" s="1141">
        <f t="shared" si="0"/>
        <v>6.1279630093869254E-2</v>
      </c>
      <c r="E44" s="1135" t="s">
        <v>6822</v>
      </c>
      <c r="F44" s="1140">
        <v>421.5</v>
      </c>
      <c r="G44" s="1140">
        <v>3069.9</v>
      </c>
    </row>
    <row r="45" spans="1:7" ht="14.4" x14ac:dyDescent="0.55000000000000004">
      <c r="A45" s="1135" t="s">
        <v>6719</v>
      </c>
      <c r="B45" s="1140">
        <v>637.5</v>
      </c>
      <c r="C45" s="1140">
        <v>3976.1</v>
      </c>
      <c r="D45" s="1141">
        <f t="shared" si="0"/>
        <v>4.356841027794546E-2</v>
      </c>
      <c r="E45" s="1135" t="s">
        <v>6823</v>
      </c>
      <c r="F45" s="1140">
        <v>430.2</v>
      </c>
      <c r="G45" s="1140">
        <v>3111.4</v>
      </c>
    </row>
    <row r="46" spans="1:7" ht="14.4" x14ac:dyDescent="0.55000000000000004">
      <c r="A46" s="1135" t="s">
        <v>6720</v>
      </c>
      <c r="B46" s="1140">
        <v>684.5</v>
      </c>
      <c r="C46" s="1140">
        <v>4205.3</v>
      </c>
      <c r="D46" s="1141">
        <f t="shared" si="0"/>
        <v>5.7644425442016117E-2</v>
      </c>
      <c r="E46" s="1135" t="s">
        <v>6824</v>
      </c>
      <c r="F46" s="1140">
        <v>437.1</v>
      </c>
      <c r="G46" s="1140">
        <v>3130.1</v>
      </c>
    </row>
    <row r="47" spans="1:7" ht="14.4" x14ac:dyDescent="0.55000000000000004">
      <c r="A47" s="1135" t="s">
        <v>6721</v>
      </c>
      <c r="B47" s="1140">
        <v>742.3</v>
      </c>
      <c r="C47" s="1140">
        <v>4478.6000000000004</v>
      </c>
      <c r="D47" s="1141">
        <f t="shared" si="0"/>
        <v>6.4989418115235578E-2</v>
      </c>
      <c r="E47" s="1135" t="s">
        <v>6825</v>
      </c>
      <c r="F47" s="1140">
        <v>439.7</v>
      </c>
      <c r="G47" s="1140">
        <v>3117.9</v>
      </c>
    </row>
    <row r="48" spans="1:7" ht="14.4" x14ac:dyDescent="0.55000000000000004">
      <c r="A48" s="1135" t="s">
        <v>6722</v>
      </c>
      <c r="B48" s="1140">
        <v>813.4</v>
      </c>
      <c r="C48" s="1140">
        <v>4773.8999999999996</v>
      </c>
      <c r="D48" s="1141">
        <f t="shared" si="0"/>
        <v>6.5935783503773326E-2</v>
      </c>
      <c r="E48" s="1135" t="s">
        <v>6826</v>
      </c>
      <c r="F48" s="1140">
        <v>446</v>
      </c>
      <c r="G48" s="1140">
        <v>3143.7</v>
      </c>
    </row>
    <row r="49" spans="1:7" ht="14.4" x14ac:dyDescent="0.55000000000000004">
      <c r="A49" s="1135" t="s">
        <v>6723</v>
      </c>
      <c r="B49" s="1140">
        <v>860</v>
      </c>
      <c r="C49" s="1140">
        <v>4904.8999999999996</v>
      </c>
      <c r="D49" s="1141">
        <f t="shared" si="0"/>
        <v>2.7440876432267121E-2</v>
      </c>
      <c r="E49" s="1135" t="s">
        <v>6827</v>
      </c>
      <c r="F49" s="1140">
        <v>451.2</v>
      </c>
      <c r="G49" s="1140">
        <v>3140.9</v>
      </c>
    </row>
    <row r="50" spans="1:7" ht="14.4" x14ac:dyDescent="0.55000000000000004">
      <c r="A50" s="1135" t="s">
        <v>6724</v>
      </c>
      <c r="B50" s="1140">
        <v>940.7</v>
      </c>
      <c r="C50" s="1140">
        <v>5145.8999999999996</v>
      </c>
      <c r="D50" s="1141">
        <f t="shared" si="0"/>
        <v>4.91345389304573E-2</v>
      </c>
      <c r="E50" s="1135" t="s">
        <v>6828</v>
      </c>
      <c r="F50" s="1140">
        <v>460.5</v>
      </c>
      <c r="G50" s="1140">
        <v>3192.6</v>
      </c>
    </row>
    <row r="51" spans="1:7" ht="14.4" x14ac:dyDescent="0.55000000000000004">
      <c r="A51" s="1135" t="s">
        <v>6725</v>
      </c>
      <c r="B51" s="1140">
        <v>1017.6</v>
      </c>
      <c r="C51" s="1140">
        <v>5306.6</v>
      </c>
      <c r="D51" s="1141">
        <f t="shared" si="0"/>
        <v>3.122874521463704E-2</v>
      </c>
      <c r="E51" s="1135" t="s">
        <v>6829</v>
      </c>
      <c r="F51" s="1140">
        <v>469.8</v>
      </c>
      <c r="G51" s="1140">
        <v>3213</v>
      </c>
    </row>
    <row r="52" spans="1:7" ht="14.4" x14ac:dyDescent="0.55000000000000004">
      <c r="A52" s="1135" t="s">
        <v>6726</v>
      </c>
      <c r="B52" s="1140">
        <v>1073.3</v>
      </c>
      <c r="C52" s="1140">
        <v>5316.4</v>
      </c>
      <c r="D52" s="1141">
        <f t="shared" si="0"/>
        <v>1.8467568688047473E-3</v>
      </c>
      <c r="E52" s="1135" t="s">
        <v>6830</v>
      </c>
      <c r="F52" s="1140">
        <v>472</v>
      </c>
      <c r="G52" s="1140">
        <v>3206</v>
      </c>
    </row>
    <row r="53" spans="1:7" ht="14.4" x14ac:dyDescent="0.55000000000000004">
      <c r="A53" s="1135" t="s">
        <v>6727</v>
      </c>
      <c r="B53" s="1140">
        <v>1164.9000000000001</v>
      </c>
      <c r="C53" s="1140">
        <v>5491.4</v>
      </c>
      <c r="D53" s="1141">
        <f t="shared" si="0"/>
        <v>3.2917011511549174E-2</v>
      </c>
      <c r="E53" s="1135" t="s">
        <v>6831</v>
      </c>
      <c r="F53" s="1140">
        <v>479.5</v>
      </c>
      <c r="G53" s="1140">
        <v>3237.4</v>
      </c>
    </row>
    <row r="54" spans="1:7" ht="14.4" x14ac:dyDescent="0.55000000000000004">
      <c r="A54" s="1135" t="s">
        <v>6728</v>
      </c>
      <c r="B54" s="1140">
        <v>1279.0999999999999</v>
      </c>
      <c r="C54" s="1140">
        <v>5780</v>
      </c>
      <c r="D54" s="1141">
        <f t="shared" si="0"/>
        <v>5.2554904031758817E-2</v>
      </c>
      <c r="E54" s="1135" t="s">
        <v>6832</v>
      </c>
      <c r="F54" s="1140">
        <v>474.9</v>
      </c>
      <c r="G54" s="1140">
        <v>3203.9</v>
      </c>
    </row>
    <row r="55" spans="1:7" ht="14.4" x14ac:dyDescent="0.55000000000000004">
      <c r="A55" s="1135" t="s">
        <v>6729</v>
      </c>
      <c r="B55" s="1140">
        <v>1425.4</v>
      </c>
      <c r="C55" s="1140">
        <v>6106.4</v>
      </c>
      <c r="D55" s="1141">
        <f t="shared" si="0"/>
        <v>5.6470588235294057E-2</v>
      </c>
      <c r="E55" s="1135" t="s">
        <v>6833</v>
      </c>
      <c r="F55" s="1140">
        <v>467.5</v>
      </c>
      <c r="G55" s="1140">
        <v>3120.7</v>
      </c>
    </row>
    <row r="56" spans="1:7" ht="14.4" x14ac:dyDescent="0.55000000000000004">
      <c r="A56" s="1135" t="s">
        <v>6730</v>
      </c>
      <c r="B56" s="1140">
        <v>1545.2</v>
      </c>
      <c r="C56" s="1140">
        <v>6073.4</v>
      </c>
      <c r="D56" s="1141">
        <f t="shared" si="0"/>
        <v>-5.4041661207913016E-3</v>
      </c>
      <c r="E56" s="1135" t="s">
        <v>6834</v>
      </c>
      <c r="F56" s="1140">
        <v>472</v>
      </c>
      <c r="G56" s="1140">
        <v>3141.2</v>
      </c>
    </row>
    <row r="57" spans="1:7" ht="14.4" x14ac:dyDescent="0.55000000000000004">
      <c r="A57" s="1135" t="s">
        <v>6731</v>
      </c>
      <c r="B57" s="1140">
        <v>1684.9</v>
      </c>
      <c r="C57" s="1140">
        <v>6060.9</v>
      </c>
      <c r="D57" s="1141">
        <f t="shared" si="0"/>
        <v>-2.0581552343003919E-3</v>
      </c>
      <c r="E57" s="1135" t="s">
        <v>6835</v>
      </c>
      <c r="F57" s="1140">
        <v>485.8</v>
      </c>
      <c r="G57" s="1140">
        <v>3213.9</v>
      </c>
    </row>
    <row r="58" spans="1:7" ht="14.4" x14ac:dyDescent="0.55000000000000004">
      <c r="A58" s="1135" t="s">
        <v>6732</v>
      </c>
      <c r="B58" s="1140">
        <v>1873.4</v>
      </c>
      <c r="C58" s="1140">
        <v>6387.4</v>
      </c>
      <c r="D58" s="1141">
        <f t="shared" si="0"/>
        <v>5.3869887310465443E-2</v>
      </c>
      <c r="E58" s="1135" t="s">
        <v>6836</v>
      </c>
      <c r="F58" s="1140">
        <v>499.6</v>
      </c>
      <c r="G58" s="1140">
        <v>3289</v>
      </c>
    </row>
    <row r="59" spans="1:7" ht="14.4" x14ac:dyDescent="0.55000000000000004">
      <c r="A59" s="1135" t="s">
        <v>6733</v>
      </c>
      <c r="B59" s="1140">
        <v>2081.8000000000002</v>
      </c>
      <c r="C59" s="1140">
        <v>6682.8</v>
      </c>
      <c r="D59" s="1141">
        <f t="shared" si="0"/>
        <v>4.6247299370636027E-2</v>
      </c>
      <c r="E59" s="1135" t="s">
        <v>6837</v>
      </c>
      <c r="F59" s="1140">
        <v>510.3</v>
      </c>
      <c r="G59" s="1140">
        <v>3352.1</v>
      </c>
    </row>
    <row r="60" spans="1:7" ht="14.4" x14ac:dyDescent="0.55000000000000004">
      <c r="A60" s="1135" t="s">
        <v>6734</v>
      </c>
      <c r="B60" s="1140">
        <v>2351.6</v>
      </c>
      <c r="C60" s="1140">
        <v>7052.7</v>
      </c>
      <c r="D60" s="1141">
        <f t="shared" si="0"/>
        <v>5.5351050457891848E-2</v>
      </c>
      <c r="E60" s="1135" t="s">
        <v>6838</v>
      </c>
      <c r="F60" s="1140">
        <v>522.70000000000005</v>
      </c>
      <c r="G60" s="1140">
        <v>3427.7</v>
      </c>
    </row>
    <row r="61" spans="1:7" ht="14.4" x14ac:dyDescent="0.55000000000000004">
      <c r="A61" s="1135" t="s">
        <v>6735</v>
      </c>
      <c r="B61" s="1140">
        <v>2627.3</v>
      </c>
      <c r="C61" s="1140">
        <v>7276</v>
      </c>
      <c r="D61" s="1141">
        <f t="shared" si="0"/>
        <v>3.1661633133409924E-2</v>
      </c>
      <c r="E61" s="1135" t="s">
        <v>6839</v>
      </c>
      <c r="F61" s="1140">
        <v>525</v>
      </c>
      <c r="G61" s="1140">
        <v>3430.1</v>
      </c>
    </row>
    <row r="62" spans="1:7" ht="14.4" x14ac:dyDescent="0.55000000000000004">
      <c r="A62" s="1135" t="s">
        <v>6736</v>
      </c>
      <c r="B62" s="1140">
        <v>2857.3</v>
      </c>
      <c r="C62" s="1140">
        <v>7257.3</v>
      </c>
      <c r="D62" s="1141">
        <f t="shared" si="0"/>
        <v>-2.5700934579439001E-3</v>
      </c>
      <c r="E62" s="1135" t="s">
        <v>6840</v>
      </c>
      <c r="F62" s="1140">
        <v>528.6</v>
      </c>
      <c r="G62" s="1140">
        <v>3439.8</v>
      </c>
    </row>
    <row r="63" spans="1:7" ht="14.4" x14ac:dyDescent="0.55000000000000004">
      <c r="A63" s="1135" t="s">
        <v>6737</v>
      </c>
      <c r="B63" s="1140">
        <v>3207</v>
      </c>
      <c r="C63" s="1140">
        <v>7441.5</v>
      </c>
      <c r="D63" s="1141">
        <f t="shared" si="0"/>
        <v>2.5381340167830987E-2</v>
      </c>
      <c r="E63" s="1135" t="s">
        <v>6841</v>
      </c>
      <c r="F63" s="1140">
        <v>542.6</v>
      </c>
      <c r="G63" s="1140">
        <v>3517.2</v>
      </c>
    </row>
    <row r="64" spans="1:7" ht="14.4" x14ac:dyDescent="0.55000000000000004">
      <c r="A64" s="1135" t="s">
        <v>6738</v>
      </c>
      <c r="B64" s="1140">
        <v>3343.8</v>
      </c>
      <c r="C64" s="1140">
        <v>7307.3</v>
      </c>
      <c r="D64" s="1141">
        <f t="shared" si="0"/>
        <v>-1.8033998521803374E-2</v>
      </c>
      <c r="E64" s="1135" t="s">
        <v>6842</v>
      </c>
      <c r="F64" s="1140">
        <v>541.1</v>
      </c>
      <c r="G64" s="1140">
        <v>3498.2</v>
      </c>
    </row>
    <row r="65" spans="1:7" ht="14.4" x14ac:dyDescent="0.55000000000000004">
      <c r="A65" s="1135" t="s">
        <v>6739</v>
      </c>
      <c r="B65" s="1140">
        <v>3634</v>
      </c>
      <c r="C65" s="1140">
        <v>7642.3</v>
      </c>
      <c r="D65" s="1141">
        <f t="shared" si="0"/>
        <v>4.5844566392511596E-2</v>
      </c>
      <c r="E65" s="1135" t="s">
        <v>6843</v>
      </c>
      <c r="F65" s="1140">
        <v>545.6</v>
      </c>
      <c r="G65" s="1140">
        <v>3515.4</v>
      </c>
    </row>
    <row r="66" spans="1:7" ht="14.4" x14ac:dyDescent="0.55000000000000004">
      <c r="A66" s="1135" t="s">
        <v>6740</v>
      </c>
      <c r="B66" s="1140">
        <v>4037.6</v>
      </c>
      <c r="C66" s="1140">
        <v>8195.2999999999993</v>
      </c>
      <c r="D66" s="1141">
        <f t="shared" si="0"/>
        <v>7.2360415058293853E-2</v>
      </c>
      <c r="E66" s="1135" t="s">
        <v>6844</v>
      </c>
      <c r="F66" s="1140">
        <v>540.20000000000005</v>
      </c>
      <c r="G66" s="1140">
        <v>3470.3</v>
      </c>
    </row>
    <row r="67" spans="1:7" ht="14.4" x14ac:dyDescent="0.55000000000000004">
      <c r="A67" s="1135" t="s">
        <v>6741</v>
      </c>
      <c r="B67" s="1140">
        <v>4339</v>
      </c>
      <c r="C67" s="1140">
        <v>8537</v>
      </c>
      <c r="D67" s="1141">
        <f t="shared" si="0"/>
        <v>4.1694629848815876E-2</v>
      </c>
      <c r="E67" s="1135" t="s">
        <v>6845</v>
      </c>
      <c r="F67" s="1140">
        <v>545</v>
      </c>
      <c r="G67" s="1140">
        <v>3493.7</v>
      </c>
    </row>
    <row r="68" spans="1:7" ht="14.4" x14ac:dyDescent="0.55000000000000004">
      <c r="A68" s="1135" t="s">
        <v>6742</v>
      </c>
      <c r="B68" s="1140">
        <v>4579.6000000000004</v>
      </c>
      <c r="C68" s="1140">
        <v>8832.6</v>
      </c>
      <c r="D68" s="1141">
        <f t="shared" si="0"/>
        <v>3.4625746749443638E-2</v>
      </c>
      <c r="E68" s="1135" t="s">
        <v>6846</v>
      </c>
      <c r="F68" s="1140">
        <v>555.5</v>
      </c>
      <c r="G68" s="1140">
        <v>3553</v>
      </c>
    </row>
    <row r="69" spans="1:7" ht="14.4" x14ac:dyDescent="0.55000000000000004">
      <c r="A69" s="1135" t="s">
        <v>6743</v>
      </c>
      <c r="B69" s="1140">
        <v>4855.2</v>
      </c>
      <c r="C69" s="1140">
        <v>9137.7000000000007</v>
      </c>
      <c r="D69" s="1141">
        <f t="shared" si="0"/>
        <v>3.454249031995113E-2</v>
      </c>
      <c r="E69" s="1135" t="s">
        <v>6847</v>
      </c>
      <c r="F69" s="1140">
        <v>567.70000000000005</v>
      </c>
      <c r="G69" s="1140">
        <v>3621.3</v>
      </c>
    </row>
    <row r="70" spans="1:7" ht="14.4" x14ac:dyDescent="0.55000000000000004">
      <c r="A70" s="1135" t="s">
        <v>6744</v>
      </c>
      <c r="B70" s="1140">
        <v>5236.3999999999996</v>
      </c>
      <c r="C70" s="1140">
        <v>9519.4</v>
      </c>
      <c r="D70" s="1141">
        <f t="shared" si="0"/>
        <v>4.1771999518478271E-2</v>
      </c>
      <c r="E70" s="1135" t="s">
        <v>6848</v>
      </c>
      <c r="F70" s="1140">
        <v>580.6</v>
      </c>
      <c r="G70" s="1140">
        <v>3692.3</v>
      </c>
    </row>
    <row r="71" spans="1:7" ht="14.4" x14ac:dyDescent="0.55000000000000004">
      <c r="A71" s="1135" t="s">
        <v>6745</v>
      </c>
      <c r="B71" s="1140">
        <v>5641.6</v>
      </c>
      <c r="C71" s="1140">
        <v>9869</v>
      </c>
      <c r="D71" s="1141">
        <f t="shared" si="0"/>
        <v>3.6725003676702353E-2</v>
      </c>
      <c r="E71" s="1135" t="s">
        <v>6849</v>
      </c>
      <c r="F71" s="1140">
        <v>594</v>
      </c>
      <c r="G71" s="1140">
        <v>3758.1</v>
      </c>
    </row>
    <row r="72" spans="1:7" ht="14.4" x14ac:dyDescent="0.55000000000000004">
      <c r="A72" s="1135" t="s">
        <v>6746</v>
      </c>
      <c r="B72" s="1140">
        <v>5963.1</v>
      </c>
      <c r="C72" s="1140">
        <v>10055.1</v>
      </c>
      <c r="D72" s="1141">
        <f t="shared" si="0"/>
        <v>1.8857027054412844E-2</v>
      </c>
      <c r="E72" s="1135" t="s">
        <v>6850</v>
      </c>
      <c r="F72" s="1140">
        <v>600.4</v>
      </c>
      <c r="G72" s="1140">
        <v>3792.1</v>
      </c>
    </row>
    <row r="73" spans="1:7" ht="14.4" x14ac:dyDescent="0.55000000000000004">
      <c r="A73" s="1135" t="s">
        <v>6747</v>
      </c>
      <c r="B73" s="1140">
        <v>6158.1</v>
      </c>
      <c r="C73" s="1140">
        <v>10044.200000000001</v>
      </c>
      <c r="D73" s="1141">
        <f t="shared" si="0"/>
        <v>-1.0840270111684256E-3</v>
      </c>
      <c r="E73" s="1135" t="s">
        <v>6851</v>
      </c>
      <c r="F73" s="1140">
        <v>609</v>
      </c>
      <c r="G73" s="1140">
        <v>3838.8</v>
      </c>
    </row>
    <row r="74" spans="1:7" ht="14.4" x14ac:dyDescent="0.55000000000000004">
      <c r="A74" s="1135" t="s">
        <v>6748</v>
      </c>
      <c r="B74" s="1140">
        <v>6520.3</v>
      </c>
      <c r="C74" s="1140">
        <v>10398</v>
      </c>
      <c r="D74" s="1141">
        <f t="shared" si="0"/>
        <v>3.5224308556181604E-2</v>
      </c>
      <c r="E74" s="1135" t="s">
        <v>6852</v>
      </c>
      <c r="F74" s="1140">
        <v>612.29999999999995</v>
      </c>
      <c r="G74" s="1140">
        <v>3851.4</v>
      </c>
    </row>
    <row r="75" spans="1:7" ht="14.4" x14ac:dyDescent="0.55000000000000004">
      <c r="A75" s="1135" t="s">
        <v>6749</v>
      </c>
      <c r="B75" s="1140">
        <v>6858.6</v>
      </c>
      <c r="C75" s="1140">
        <v>10684.2</v>
      </c>
      <c r="D75" s="1141">
        <f t="shared" si="0"/>
        <v>2.7524523946912939E-2</v>
      </c>
      <c r="E75" s="1135" t="s">
        <v>6853</v>
      </c>
      <c r="F75" s="1140">
        <v>621.70000000000005</v>
      </c>
      <c r="G75" s="1140">
        <v>3893.5</v>
      </c>
    </row>
    <row r="76" spans="1:7" ht="14.4" x14ac:dyDescent="0.55000000000000004">
      <c r="A76" s="1135" t="s">
        <v>6750</v>
      </c>
      <c r="B76" s="1140">
        <v>7287.2</v>
      </c>
      <c r="C76" s="1140">
        <v>11114.6</v>
      </c>
      <c r="D76" s="1141">
        <f t="shared" ref="D76:D106" si="1">(C76-C75)/C75</f>
        <v>4.0283783530821175E-2</v>
      </c>
      <c r="E76" s="1135" t="s">
        <v>6854</v>
      </c>
      <c r="F76" s="1140">
        <v>629.79999999999995</v>
      </c>
      <c r="G76" s="1140">
        <v>3937.2</v>
      </c>
    </row>
    <row r="77" spans="1:7" ht="14.4" x14ac:dyDescent="0.55000000000000004">
      <c r="A77" s="1135" t="s">
        <v>6751</v>
      </c>
      <c r="B77" s="1140">
        <v>7639.7</v>
      </c>
      <c r="C77" s="1140">
        <v>11413</v>
      </c>
      <c r="D77" s="1141">
        <f t="shared" si="1"/>
        <v>2.6847569863062963E-2</v>
      </c>
      <c r="E77" s="1135" t="s">
        <v>6855</v>
      </c>
      <c r="F77" s="1140">
        <v>644.4</v>
      </c>
      <c r="G77" s="1140">
        <v>4023.8</v>
      </c>
    </row>
    <row r="78" spans="1:7" ht="14.4" x14ac:dyDescent="0.55000000000000004">
      <c r="A78" s="1135" t="s">
        <v>6752</v>
      </c>
      <c r="B78" s="1140">
        <v>8073.1</v>
      </c>
      <c r="C78" s="1140">
        <v>11843.6</v>
      </c>
      <c r="D78" s="1141">
        <f t="shared" si="1"/>
        <v>3.7728905633926259E-2</v>
      </c>
      <c r="E78" s="1135" t="s">
        <v>6856</v>
      </c>
      <c r="F78" s="1140">
        <v>653.9</v>
      </c>
      <c r="G78" s="1140">
        <v>4050.1</v>
      </c>
    </row>
    <row r="79" spans="1:7" ht="14.4" x14ac:dyDescent="0.55000000000000004">
      <c r="A79" s="1135" t="s">
        <v>6753</v>
      </c>
      <c r="B79" s="1140">
        <v>8577.6</v>
      </c>
      <c r="C79" s="1140">
        <v>12370.3</v>
      </c>
      <c r="D79" s="1141">
        <f t="shared" si="1"/>
        <v>4.4471275625654269E-2</v>
      </c>
      <c r="E79" s="1135" t="s">
        <v>6857</v>
      </c>
      <c r="F79" s="1140">
        <v>669.8</v>
      </c>
      <c r="G79" s="1140">
        <v>4135.6000000000004</v>
      </c>
    </row>
    <row r="80" spans="1:7" ht="14.4" x14ac:dyDescent="0.55000000000000004">
      <c r="A80" s="1135" t="s">
        <v>6754</v>
      </c>
      <c r="B80" s="1140">
        <v>9062.7999999999993</v>
      </c>
      <c r="C80" s="1140">
        <v>12924.9</v>
      </c>
      <c r="D80" s="1141">
        <f t="shared" si="1"/>
        <v>4.4833189170836632E-2</v>
      </c>
      <c r="E80" s="1135" t="s">
        <v>6858</v>
      </c>
      <c r="F80" s="1140">
        <v>678.7</v>
      </c>
      <c r="G80" s="1140">
        <v>4180.6000000000004</v>
      </c>
    </row>
    <row r="81" spans="1:7" ht="14.4" x14ac:dyDescent="0.55000000000000004">
      <c r="A81" s="1135" t="s">
        <v>6755</v>
      </c>
      <c r="B81" s="1140">
        <v>9631.2000000000007</v>
      </c>
      <c r="C81" s="1140">
        <v>13543.8</v>
      </c>
      <c r="D81" s="1141">
        <f t="shared" si="1"/>
        <v>4.7884316319662022E-2</v>
      </c>
      <c r="E81" s="1135" t="s">
        <v>6859</v>
      </c>
      <c r="F81" s="1140">
        <v>692</v>
      </c>
      <c r="G81" s="1140">
        <v>4245.8999999999996</v>
      </c>
    </row>
    <row r="82" spans="1:7" ht="14.4" x14ac:dyDescent="0.55000000000000004">
      <c r="A82" s="1135" t="s">
        <v>6756</v>
      </c>
      <c r="B82" s="1140">
        <v>10251</v>
      </c>
      <c r="C82" s="1140">
        <v>14096</v>
      </c>
      <c r="D82" s="1141">
        <f t="shared" si="1"/>
        <v>4.0771423086578419E-2</v>
      </c>
      <c r="E82" s="1135" t="s">
        <v>6860</v>
      </c>
      <c r="F82" s="1140">
        <v>697.3</v>
      </c>
      <c r="G82" s="1140">
        <v>4259</v>
      </c>
    </row>
    <row r="83" spans="1:7" ht="14.4" x14ac:dyDescent="0.55000000000000004">
      <c r="A83" s="1135" t="s">
        <v>6757</v>
      </c>
      <c r="B83" s="1140">
        <v>10581.9</v>
      </c>
      <c r="C83" s="1140">
        <v>14230.7</v>
      </c>
      <c r="D83" s="1141">
        <f t="shared" si="1"/>
        <v>9.5559023836549895E-3</v>
      </c>
      <c r="E83" s="1135" t="s">
        <v>6861</v>
      </c>
      <c r="F83" s="1140">
        <v>717.8</v>
      </c>
      <c r="G83" s="1140">
        <v>4362.1000000000004</v>
      </c>
    </row>
    <row r="84" spans="1:7" ht="14.4" x14ac:dyDescent="0.55000000000000004">
      <c r="A84" s="1135" t="s">
        <v>6758</v>
      </c>
      <c r="B84" s="1140">
        <v>10929.1</v>
      </c>
      <c r="C84" s="1140">
        <v>14472.7</v>
      </c>
      <c r="D84" s="1141">
        <f t="shared" si="1"/>
        <v>1.700548813480714E-2</v>
      </c>
      <c r="E84" s="1135" t="s">
        <v>6862</v>
      </c>
      <c r="F84" s="1140">
        <v>730.2</v>
      </c>
      <c r="G84" s="1140">
        <v>4417.2</v>
      </c>
    </row>
    <row r="85" spans="1:7" ht="14.4" x14ac:dyDescent="0.55000000000000004">
      <c r="A85" s="1135" t="s">
        <v>6759</v>
      </c>
      <c r="B85" s="1140">
        <v>11456.5</v>
      </c>
      <c r="C85" s="1140">
        <v>14877.3</v>
      </c>
      <c r="D85" s="1141">
        <f t="shared" si="1"/>
        <v>2.7956082831814281E-2</v>
      </c>
      <c r="E85" s="1135" t="s">
        <v>6863</v>
      </c>
      <c r="F85" s="1140">
        <v>749.3</v>
      </c>
      <c r="G85" s="1140">
        <v>4515.3999999999996</v>
      </c>
    </row>
    <row r="86" spans="1:7" ht="14.4" x14ac:dyDescent="0.55000000000000004">
      <c r="A86" s="1135" t="s">
        <v>6760</v>
      </c>
      <c r="B86" s="1140">
        <v>12217.2</v>
      </c>
      <c r="C86" s="1140">
        <v>15449.8</v>
      </c>
      <c r="D86" s="1141">
        <f t="shared" si="1"/>
        <v>3.8481444885832779E-2</v>
      </c>
      <c r="E86" s="1135" t="s">
        <v>6864</v>
      </c>
      <c r="F86" s="1140">
        <v>771.9</v>
      </c>
      <c r="G86" s="1140">
        <v>4619.5</v>
      </c>
    </row>
    <row r="87" spans="1:7" ht="14.4" x14ac:dyDescent="0.55000000000000004">
      <c r="A87" s="1135" t="s">
        <v>6761</v>
      </c>
      <c r="B87" s="1140">
        <v>13039.2</v>
      </c>
      <c r="C87" s="1140">
        <v>15988</v>
      </c>
      <c r="D87" s="1141">
        <f t="shared" si="1"/>
        <v>3.4835402400031114E-2</v>
      </c>
      <c r="E87" s="1135" t="s">
        <v>6865</v>
      </c>
      <c r="F87" s="1140">
        <v>795.7</v>
      </c>
      <c r="G87" s="1140">
        <v>4731.8999999999996</v>
      </c>
    </row>
    <row r="88" spans="1:7" ht="14.4" x14ac:dyDescent="0.55000000000000004">
      <c r="A88" s="1135" t="s">
        <v>6762</v>
      </c>
      <c r="B88" s="1140">
        <v>13815.6</v>
      </c>
      <c r="C88" s="1140">
        <v>16433.099999999999</v>
      </c>
      <c r="D88" s="1141">
        <f t="shared" si="1"/>
        <v>2.7839629722291627E-2</v>
      </c>
      <c r="E88" s="1135" t="s">
        <v>6866</v>
      </c>
      <c r="F88" s="1140">
        <v>805</v>
      </c>
      <c r="G88" s="1140">
        <v>4748</v>
      </c>
    </row>
    <row r="89" spans="1:7" ht="14.4" x14ac:dyDescent="0.55000000000000004">
      <c r="A89" s="1135" t="s">
        <v>6763</v>
      </c>
      <c r="B89" s="1140">
        <v>14474.2</v>
      </c>
      <c r="C89" s="1140">
        <v>16762.400000000001</v>
      </c>
      <c r="D89" s="1141">
        <f t="shared" si="1"/>
        <v>2.003882408066664E-2</v>
      </c>
      <c r="E89" s="1135" t="s">
        <v>6867</v>
      </c>
      <c r="F89" s="1140">
        <v>819.6</v>
      </c>
      <c r="G89" s="1140">
        <v>4788.3</v>
      </c>
    </row>
    <row r="90" spans="1:7" ht="14.4" x14ac:dyDescent="0.55000000000000004">
      <c r="A90" s="1135" t="s">
        <v>6764</v>
      </c>
      <c r="B90" s="1140">
        <v>14769.9</v>
      </c>
      <c r="C90" s="1140">
        <v>16781.5</v>
      </c>
      <c r="D90" s="1141">
        <f t="shared" si="1"/>
        <v>1.1394549706485076E-3</v>
      </c>
      <c r="E90" s="1135" t="s">
        <v>6868</v>
      </c>
      <c r="F90" s="1140">
        <v>833.3</v>
      </c>
      <c r="G90" s="1140">
        <v>4827.5</v>
      </c>
    </row>
    <row r="91" spans="1:7" ht="14.4" x14ac:dyDescent="0.55000000000000004">
      <c r="A91" s="1135" t="s">
        <v>6765</v>
      </c>
      <c r="B91" s="1140">
        <v>14478.1</v>
      </c>
      <c r="C91" s="1140">
        <v>16349.1</v>
      </c>
      <c r="D91" s="1141">
        <f t="shared" si="1"/>
        <v>-2.5766469028394343E-2</v>
      </c>
      <c r="E91" s="1135" t="s">
        <v>6869</v>
      </c>
      <c r="F91" s="1140">
        <v>844.2</v>
      </c>
      <c r="G91" s="1140">
        <v>4870.3</v>
      </c>
    </row>
    <row r="92" spans="1:7" ht="14.4" x14ac:dyDescent="0.55000000000000004">
      <c r="A92" s="1135" t="s">
        <v>6766</v>
      </c>
      <c r="B92" s="1140">
        <v>15049</v>
      </c>
      <c r="C92" s="1140">
        <v>16789.8</v>
      </c>
      <c r="D92" s="1141">
        <f t="shared" si="1"/>
        <v>2.6955612235535834E-2</v>
      </c>
      <c r="E92" s="1135" t="s">
        <v>6870</v>
      </c>
      <c r="F92" s="1140">
        <v>849</v>
      </c>
      <c r="G92" s="1140">
        <v>4873.3</v>
      </c>
    </row>
    <row r="93" spans="1:7" ht="14.4" x14ac:dyDescent="0.55000000000000004">
      <c r="A93" s="1135" t="s">
        <v>6767</v>
      </c>
      <c r="B93" s="1140">
        <v>15599.7</v>
      </c>
      <c r="C93" s="1140">
        <v>17052.400000000001</v>
      </c>
      <c r="D93" s="1141">
        <f t="shared" si="1"/>
        <v>1.5640448367461326E-2</v>
      </c>
      <c r="E93" s="1135" t="s">
        <v>6871</v>
      </c>
      <c r="F93" s="1140">
        <v>865.2</v>
      </c>
      <c r="G93" s="1140">
        <v>4919.3999999999996</v>
      </c>
    </row>
    <row r="94" spans="1:7" ht="14.4" x14ac:dyDescent="0.55000000000000004">
      <c r="A94" s="1135" t="s">
        <v>6768</v>
      </c>
      <c r="B94" s="1140">
        <v>16254</v>
      </c>
      <c r="C94" s="1140">
        <v>17442.8</v>
      </c>
      <c r="D94" s="1141">
        <f t="shared" si="1"/>
        <v>2.2894138068541542E-2</v>
      </c>
      <c r="E94" s="1135" t="s">
        <v>6872</v>
      </c>
      <c r="F94" s="1140">
        <v>881.4</v>
      </c>
      <c r="G94" s="1140">
        <v>4956.5</v>
      </c>
    </row>
    <row r="95" spans="1:7" ht="14.4" x14ac:dyDescent="0.55000000000000004">
      <c r="A95" s="1135" t="s">
        <v>6769</v>
      </c>
      <c r="B95" s="1140">
        <v>16880.7</v>
      </c>
      <c r="C95" s="1140">
        <v>17812.2</v>
      </c>
      <c r="D95" s="1141">
        <f t="shared" si="1"/>
        <v>2.1177792556241054E-2</v>
      </c>
      <c r="E95" s="1135" t="s">
        <v>6873</v>
      </c>
      <c r="F95" s="1140">
        <v>909.4</v>
      </c>
      <c r="G95" s="1140">
        <v>5057.6000000000004</v>
      </c>
    </row>
    <row r="96" spans="1:7" ht="14.4" x14ac:dyDescent="0.55000000000000004">
      <c r="A96" s="1135" t="s">
        <v>6770</v>
      </c>
      <c r="B96" s="1140">
        <v>17608.099999999999</v>
      </c>
      <c r="C96" s="1140">
        <v>18261.7</v>
      </c>
      <c r="D96" s="1141">
        <f t="shared" si="1"/>
        <v>2.5235512738460156E-2</v>
      </c>
      <c r="E96" s="1135" t="s">
        <v>6874</v>
      </c>
      <c r="F96" s="1140">
        <v>934.3</v>
      </c>
      <c r="G96" s="1140">
        <v>5142</v>
      </c>
    </row>
    <row r="97" spans="1:7" ht="14.4" x14ac:dyDescent="0.55000000000000004">
      <c r="A97" s="1135" t="s">
        <v>6771</v>
      </c>
      <c r="B97" s="1140">
        <v>18295</v>
      </c>
      <c r="C97" s="1140">
        <v>18799.599999999999</v>
      </c>
      <c r="D97" s="1141">
        <f t="shared" si="1"/>
        <v>2.9455089066187583E-2</v>
      </c>
      <c r="E97" s="1135" t="s">
        <v>6875</v>
      </c>
      <c r="F97" s="1140">
        <v>950.8</v>
      </c>
      <c r="G97" s="1140">
        <v>5181.8999999999996</v>
      </c>
    </row>
    <row r="98" spans="1:7" ht="14.4" x14ac:dyDescent="0.55000000000000004">
      <c r="A98" s="1135" t="s">
        <v>6772</v>
      </c>
      <c r="B98" s="1140">
        <v>18804.900000000001</v>
      </c>
      <c r="C98" s="1140">
        <v>19141.7</v>
      </c>
      <c r="D98" s="1141">
        <f t="shared" si="1"/>
        <v>1.8197195685014694E-2</v>
      </c>
      <c r="E98" s="1135" t="s">
        <v>6876</v>
      </c>
      <c r="F98" s="1140">
        <v>968</v>
      </c>
      <c r="G98" s="1140">
        <v>5202.2</v>
      </c>
    </row>
    <row r="99" spans="1:7" ht="14.4" x14ac:dyDescent="0.55000000000000004">
      <c r="A99" s="1135" t="s">
        <v>6773</v>
      </c>
      <c r="B99" s="1140">
        <v>19612.099999999999</v>
      </c>
      <c r="C99" s="1140">
        <v>19612.099999999999</v>
      </c>
      <c r="D99" s="1141">
        <f t="shared" si="1"/>
        <v>2.4574619809107748E-2</v>
      </c>
      <c r="E99" s="1135" t="s">
        <v>6877</v>
      </c>
      <c r="F99" s="1140">
        <v>993.3</v>
      </c>
      <c r="G99" s="1140">
        <v>5283.6</v>
      </c>
    </row>
    <row r="100" spans="1:7" ht="14.4" x14ac:dyDescent="0.55000000000000004">
      <c r="A100" s="1135" t="s">
        <v>6774</v>
      </c>
      <c r="B100" s="1140">
        <v>20656.5</v>
      </c>
      <c r="C100" s="1140">
        <v>20193.900000000001</v>
      </c>
      <c r="D100" s="1141">
        <f t="shared" si="1"/>
        <v>2.9665359650420043E-2</v>
      </c>
      <c r="E100" s="1135" t="s">
        <v>6878</v>
      </c>
      <c r="F100" s="1140">
        <v>1009</v>
      </c>
      <c r="G100" s="1140">
        <v>5299.6</v>
      </c>
    </row>
    <row r="101" spans="1:7" ht="14.4" x14ac:dyDescent="0.55000000000000004">
      <c r="A101" s="1135" t="s">
        <v>6775</v>
      </c>
      <c r="B101" s="1140">
        <v>21540</v>
      </c>
      <c r="C101" s="1140">
        <v>20715.7</v>
      </c>
      <c r="D101" s="1141">
        <f t="shared" si="1"/>
        <v>2.5839486181470604E-2</v>
      </c>
      <c r="E101" s="1135" t="s">
        <v>6879</v>
      </c>
      <c r="F101" s="1140">
        <v>1030</v>
      </c>
      <c r="G101" s="1140">
        <v>5334.6</v>
      </c>
    </row>
    <row r="102" spans="1:7" ht="14.4" x14ac:dyDescent="0.55000000000000004">
      <c r="A102" s="1135" t="s">
        <v>6776</v>
      </c>
      <c r="B102" s="1140">
        <v>21354.1</v>
      </c>
      <c r="C102" s="1140">
        <v>20267.599999999999</v>
      </c>
      <c r="D102" s="1141">
        <f t="shared" si="1"/>
        <v>-2.1630936922237828E-2</v>
      </c>
      <c r="E102" s="1135" t="s">
        <v>6880</v>
      </c>
      <c r="F102" s="1140">
        <v>1038.0999999999999</v>
      </c>
      <c r="G102" s="1140">
        <v>5308.6</v>
      </c>
    </row>
    <row r="103" spans="1:7" ht="14.4" x14ac:dyDescent="0.55000000000000004">
      <c r="A103" s="1135" t="s">
        <v>6777</v>
      </c>
      <c r="B103" s="1140">
        <v>23681.200000000001</v>
      </c>
      <c r="C103" s="1140">
        <v>21494.799999999999</v>
      </c>
      <c r="D103" s="1141">
        <f t="shared" si="1"/>
        <v>6.0549843099330994E-2</v>
      </c>
      <c r="E103" s="1135" t="s">
        <v>6881</v>
      </c>
      <c r="F103" s="1140">
        <v>1051.2</v>
      </c>
      <c r="G103" s="1140">
        <v>5300.7</v>
      </c>
    </row>
    <row r="104" spans="1:7" ht="14.4" x14ac:dyDescent="0.55000000000000004">
      <c r="A104" s="1135" t="s">
        <v>6778</v>
      </c>
      <c r="B104" s="1140">
        <v>26006.9</v>
      </c>
      <c r="C104" s="1140">
        <v>22034.799999999999</v>
      </c>
      <c r="D104" s="1141">
        <f t="shared" si="1"/>
        <v>2.5122355174274708E-2</v>
      </c>
      <c r="E104" s="1135" t="s">
        <v>6882</v>
      </c>
      <c r="F104" s="1140">
        <v>1067.4000000000001</v>
      </c>
      <c r="G104" s="1140">
        <v>5308.2</v>
      </c>
    </row>
    <row r="105" spans="1:7" ht="14.4" x14ac:dyDescent="0.55000000000000004">
      <c r="A105" s="1135" t="s">
        <v>6883</v>
      </c>
      <c r="B105" s="1140">
        <v>27720.7</v>
      </c>
      <c r="C105" s="1140">
        <v>22671.1</v>
      </c>
      <c r="D105" s="1141">
        <f t="shared" si="1"/>
        <v>2.8877049031531907E-2</v>
      </c>
      <c r="E105" s="1135" t="s">
        <v>6884</v>
      </c>
      <c r="F105" s="1140">
        <v>1086.0999999999999</v>
      </c>
      <c r="G105" s="1140">
        <v>5357.1</v>
      </c>
    </row>
    <row r="106" spans="1:7" ht="14.4" x14ac:dyDescent="0.55000000000000004">
      <c r="A106" s="1135" t="s">
        <v>7101</v>
      </c>
      <c r="B106" s="1140">
        <v>29183.835999999999</v>
      </c>
      <c r="C106" s="1140">
        <v>23303.5</v>
      </c>
      <c r="D106" s="1141">
        <f t="shared" si="1"/>
        <v>2.7894544155334391E-2</v>
      </c>
      <c r="E106" s="1135" t="s">
        <v>6885</v>
      </c>
      <c r="F106" s="1140">
        <v>1088.5999999999999</v>
      </c>
      <c r="G106" s="1140">
        <v>5299.7</v>
      </c>
    </row>
    <row r="107" spans="1:7" ht="14.4" x14ac:dyDescent="0.55000000000000004">
      <c r="E107" s="1135" t="s">
        <v>6886</v>
      </c>
      <c r="F107" s="1140">
        <v>1135.2</v>
      </c>
      <c r="G107" s="1140">
        <v>5443.6</v>
      </c>
    </row>
    <row r="108" spans="1:7" ht="14.4" x14ac:dyDescent="0.55000000000000004">
      <c r="B108" s="1142">
        <f>(B106/B11)^(1/($A106-$A11))-1</f>
        <v>6.1068130188832281E-2</v>
      </c>
      <c r="C108" s="1142">
        <f>(C105/C11)^(1/($A105-$A11))-1</f>
        <v>3.1839053840478471E-2</v>
      </c>
      <c r="D108" s="1142">
        <f>AVERAGE(D12:D105)</f>
        <v>3.2941414745643161E-2</v>
      </c>
      <c r="E108" s="1135" t="s">
        <v>6887</v>
      </c>
      <c r="F108" s="1140">
        <v>1156.3</v>
      </c>
      <c r="G108" s="1140">
        <v>5473.1</v>
      </c>
    </row>
    <row r="109" spans="1:7" ht="14.4" x14ac:dyDescent="0.55000000000000004">
      <c r="E109" s="1135" t="s">
        <v>6888</v>
      </c>
      <c r="F109" s="1140">
        <v>1177.7</v>
      </c>
      <c r="G109" s="1140">
        <v>5518.1</v>
      </c>
    </row>
    <row r="110" spans="1:7" ht="14.4" x14ac:dyDescent="0.55000000000000004">
      <c r="E110" s="1135" t="s">
        <v>6889</v>
      </c>
      <c r="F110" s="1140">
        <v>1190.3</v>
      </c>
      <c r="G110" s="1140">
        <v>5531</v>
      </c>
    </row>
    <row r="111" spans="1:7" ht="14.4" x14ac:dyDescent="0.55000000000000004">
      <c r="E111" s="1135" t="s">
        <v>6890</v>
      </c>
      <c r="F111" s="1140">
        <v>1230.5999999999999</v>
      </c>
      <c r="G111" s="1140">
        <v>5632.6</v>
      </c>
    </row>
    <row r="112" spans="1:7" ht="14.4" x14ac:dyDescent="0.55000000000000004">
      <c r="E112" s="1135" t="s">
        <v>6891</v>
      </c>
      <c r="F112" s="1140">
        <v>1266.4000000000001</v>
      </c>
      <c r="G112" s="1140">
        <v>5760.5</v>
      </c>
    </row>
    <row r="113" spans="5:7" ht="14.4" x14ac:dyDescent="0.55000000000000004">
      <c r="E113" s="1135" t="s">
        <v>6892</v>
      </c>
      <c r="F113" s="1140">
        <v>1290.5999999999999</v>
      </c>
      <c r="G113" s="1140">
        <v>5814.9</v>
      </c>
    </row>
    <row r="114" spans="5:7" ht="14.4" x14ac:dyDescent="0.55000000000000004">
      <c r="E114" s="1135" t="s">
        <v>6893</v>
      </c>
      <c r="F114" s="1140">
        <v>1328.9</v>
      </c>
      <c r="G114" s="1140">
        <v>5912.2</v>
      </c>
    </row>
    <row r="115" spans="5:7" ht="14.4" x14ac:dyDescent="0.55000000000000004">
      <c r="E115" s="1135" t="s">
        <v>6894</v>
      </c>
      <c r="F115" s="1140">
        <v>1377.5</v>
      </c>
      <c r="G115" s="1140">
        <v>6058.5</v>
      </c>
    </row>
    <row r="116" spans="5:7" ht="14.4" x14ac:dyDescent="0.55000000000000004">
      <c r="E116" s="1135" t="s">
        <v>6895</v>
      </c>
      <c r="F116" s="1140">
        <v>1413.9</v>
      </c>
      <c r="G116" s="1140">
        <v>6124.5</v>
      </c>
    </row>
    <row r="117" spans="5:7" ht="14.4" x14ac:dyDescent="0.55000000000000004">
      <c r="E117" s="1135" t="s">
        <v>6896</v>
      </c>
      <c r="F117" s="1140">
        <v>1433.8</v>
      </c>
      <c r="G117" s="1140">
        <v>6092.3</v>
      </c>
    </row>
    <row r="118" spans="5:7" ht="14.4" x14ac:dyDescent="0.55000000000000004">
      <c r="E118" s="1135" t="s">
        <v>6897</v>
      </c>
      <c r="F118" s="1140">
        <v>1476.3</v>
      </c>
      <c r="G118" s="1140">
        <v>6150.1</v>
      </c>
    </row>
    <row r="119" spans="5:7" ht="14.4" x14ac:dyDescent="0.55000000000000004">
      <c r="E119" s="1135" t="s">
        <v>6898</v>
      </c>
      <c r="F119" s="1140">
        <v>1491.2</v>
      </c>
      <c r="G119" s="1140">
        <v>6097.3</v>
      </c>
    </row>
    <row r="120" spans="5:7" ht="14.4" x14ac:dyDescent="0.55000000000000004">
      <c r="E120" s="1135" t="s">
        <v>6899</v>
      </c>
      <c r="F120" s="1140">
        <v>1530.1</v>
      </c>
      <c r="G120" s="1140">
        <v>6111.8</v>
      </c>
    </row>
    <row r="121" spans="5:7" ht="14.4" x14ac:dyDescent="0.55000000000000004">
      <c r="E121" s="1135" t="s">
        <v>6900</v>
      </c>
      <c r="F121" s="1140">
        <v>1560</v>
      </c>
      <c r="G121" s="1140">
        <v>6054</v>
      </c>
    </row>
    <row r="122" spans="5:7" ht="14.4" x14ac:dyDescent="0.55000000000000004">
      <c r="E122" s="1135" t="s">
        <v>6901</v>
      </c>
      <c r="F122" s="1140">
        <v>1599.7</v>
      </c>
      <c r="G122" s="1140">
        <v>6030.5</v>
      </c>
    </row>
    <row r="123" spans="5:7" ht="14.4" x14ac:dyDescent="0.55000000000000004">
      <c r="E123" s="1135" t="s">
        <v>6902</v>
      </c>
      <c r="F123" s="1140">
        <v>1616.1</v>
      </c>
      <c r="G123" s="1140">
        <v>5957</v>
      </c>
    </row>
    <row r="124" spans="5:7" ht="14.4" x14ac:dyDescent="0.55000000000000004">
      <c r="E124" s="1135" t="s">
        <v>6903</v>
      </c>
      <c r="F124" s="1140">
        <v>1651.9</v>
      </c>
      <c r="G124" s="1140">
        <v>5999.6</v>
      </c>
    </row>
    <row r="125" spans="5:7" ht="14.4" x14ac:dyDescent="0.55000000000000004">
      <c r="E125" s="1135" t="s">
        <v>6904</v>
      </c>
      <c r="F125" s="1140">
        <v>1709.8</v>
      </c>
      <c r="G125" s="1140">
        <v>6102.3</v>
      </c>
    </row>
    <row r="126" spans="5:7" ht="14.4" x14ac:dyDescent="0.55000000000000004">
      <c r="E126" s="1135" t="s">
        <v>6905</v>
      </c>
      <c r="F126" s="1140">
        <v>1761.8</v>
      </c>
      <c r="G126" s="1140">
        <v>6184.5</v>
      </c>
    </row>
    <row r="127" spans="5:7" ht="14.4" x14ac:dyDescent="0.55000000000000004">
      <c r="E127" s="1135" t="s">
        <v>6906</v>
      </c>
      <c r="F127" s="1140">
        <v>1820.5</v>
      </c>
      <c r="G127" s="1140">
        <v>6323.6</v>
      </c>
    </row>
    <row r="128" spans="5:7" ht="14.4" x14ac:dyDescent="0.55000000000000004">
      <c r="E128" s="1135" t="s">
        <v>6907</v>
      </c>
      <c r="F128" s="1140">
        <v>1852.3</v>
      </c>
      <c r="G128" s="1140">
        <v>6370</v>
      </c>
    </row>
    <row r="129" spans="5:7" ht="14.4" x14ac:dyDescent="0.55000000000000004">
      <c r="E129" s="1135" t="s">
        <v>6908</v>
      </c>
      <c r="F129" s="1140">
        <v>1886.6</v>
      </c>
      <c r="G129" s="1140">
        <v>6404.9</v>
      </c>
    </row>
    <row r="130" spans="5:7" ht="14.4" x14ac:dyDescent="0.55000000000000004">
      <c r="E130" s="1135" t="s">
        <v>6909</v>
      </c>
      <c r="F130" s="1140">
        <v>1934.3</v>
      </c>
      <c r="G130" s="1140">
        <v>6451.2</v>
      </c>
    </row>
    <row r="131" spans="5:7" ht="14.4" x14ac:dyDescent="0.55000000000000004">
      <c r="E131" s="1135" t="s">
        <v>6910</v>
      </c>
      <c r="F131" s="1140">
        <v>1988.6</v>
      </c>
      <c r="G131" s="1140">
        <v>6527.7</v>
      </c>
    </row>
    <row r="132" spans="5:7" ht="14.4" x14ac:dyDescent="0.55000000000000004">
      <c r="E132" s="1135" t="s">
        <v>6911</v>
      </c>
      <c r="F132" s="1140">
        <v>2055.9</v>
      </c>
      <c r="G132" s="1140">
        <v>6654.5</v>
      </c>
    </row>
    <row r="133" spans="5:7" ht="14.4" x14ac:dyDescent="0.55000000000000004">
      <c r="E133" s="1135" t="s">
        <v>6912</v>
      </c>
      <c r="F133" s="1140">
        <v>2118.5</v>
      </c>
      <c r="G133" s="1140">
        <v>6774.5</v>
      </c>
    </row>
    <row r="134" spans="5:7" ht="14.4" x14ac:dyDescent="0.55000000000000004">
      <c r="E134" s="1135" t="s">
        <v>6913</v>
      </c>
      <c r="F134" s="1140">
        <v>2164.3000000000002</v>
      </c>
      <c r="G134" s="1140">
        <v>6774.6</v>
      </c>
    </row>
    <row r="135" spans="5:7" ht="14.4" x14ac:dyDescent="0.55000000000000004">
      <c r="E135" s="1135" t="s">
        <v>6914</v>
      </c>
      <c r="F135" s="1140">
        <v>2202.8000000000002</v>
      </c>
      <c r="G135" s="1140">
        <v>6796.3</v>
      </c>
    </row>
    <row r="136" spans="5:7" ht="14.4" x14ac:dyDescent="0.55000000000000004">
      <c r="E136" s="1135" t="s">
        <v>6915</v>
      </c>
      <c r="F136" s="1140">
        <v>2331.6</v>
      </c>
      <c r="G136" s="1140">
        <v>7058.9</v>
      </c>
    </row>
    <row r="137" spans="5:7" ht="14.4" x14ac:dyDescent="0.55000000000000004">
      <c r="E137" s="1135" t="s">
        <v>6916</v>
      </c>
      <c r="F137" s="1140">
        <v>2395.1</v>
      </c>
      <c r="G137" s="1140">
        <v>7129.9</v>
      </c>
    </row>
    <row r="138" spans="5:7" ht="14.4" x14ac:dyDescent="0.55000000000000004">
      <c r="E138" s="1135" t="s">
        <v>6917</v>
      </c>
      <c r="F138" s="1140">
        <v>2476.9</v>
      </c>
      <c r="G138" s="1140">
        <v>7225.8</v>
      </c>
    </row>
    <row r="139" spans="5:7" ht="14.4" x14ac:dyDescent="0.55000000000000004">
      <c r="E139" s="1135" t="s">
        <v>6918</v>
      </c>
      <c r="F139" s="1140">
        <v>2526.6</v>
      </c>
      <c r="G139" s="1140">
        <v>7238.7</v>
      </c>
    </row>
    <row r="140" spans="5:7" ht="14.4" x14ac:dyDescent="0.55000000000000004">
      <c r="E140" s="1135" t="s">
        <v>6919</v>
      </c>
      <c r="F140" s="1140">
        <v>2591.1999999999998</v>
      </c>
      <c r="G140" s="1140">
        <v>7246.5</v>
      </c>
    </row>
    <row r="141" spans="5:7" ht="14.4" x14ac:dyDescent="0.55000000000000004">
      <c r="E141" s="1135" t="s">
        <v>6920</v>
      </c>
      <c r="F141" s="1140">
        <v>2667.6</v>
      </c>
      <c r="G141" s="1140">
        <v>7300.3</v>
      </c>
    </row>
    <row r="142" spans="5:7" ht="14.4" x14ac:dyDescent="0.55000000000000004">
      <c r="E142" s="1135" t="s">
        <v>6921</v>
      </c>
      <c r="F142" s="1140">
        <v>2723.9</v>
      </c>
      <c r="G142" s="1140">
        <v>7318.5</v>
      </c>
    </row>
    <row r="143" spans="5:7" ht="14.4" x14ac:dyDescent="0.55000000000000004">
      <c r="E143" s="1135" t="s">
        <v>6922</v>
      </c>
      <c r="F143" s="1140">
        <v>2789.8</v>
      </c>
      <c r="G143" s="1140">
        <v>7341.6</v>
      </c>
    </row>
    <row r="144" spans="5:7" ht="14.4" x14ac:dyDescent="0.55000000000000004">
      <c r="E144" s="1135" t="s">
        <v>6923</v>
      </c>
      <c r="F144" s="1140">
        <v>2797.4</v>
      </c>
      <c r="G144" s="1140">
        <v>7190.3</v>
      </c>
    </row>
    <row r="145" spans="5:7" ht="14.4" x14ac:dyDescent="0.55000000000000004">
      <c r="E145" s="1135" t="s">
        <v>6924</v>
      </c>
      <c r="F145" s="1140">
        <v>2856.5</v>
      </c>
      <c r="G145" s="1140">
        <v>7181.7</v>
      </c>
    </row>
    <row r="146" spans="5:7" ht="14.4" x14ac:dyDescent="0.55000000000000004">
      <c r="E146" s="1135" t="s">
        <v>6925</v>
      </c>
      <c r="F146" s="1140">
        <v>2985.6</v>
      </c>
      <c r="G146" s="1140">
        <v>7315.7</v>
      </c>
    </row>
    <row r="147" spans="5:7" ht="14.4" x14ac:dyDescent="0.55000000000000004">
      <c r="E147" s="1135" t="s">
        <v>6926</v>
      </c>
      <c r="F147" s="1140">
        <v>3124.2</v>
      </c>
      <c r="G147" s="1140">
        <v>7459</v>
      </c>
    </row>
    <row r="148" spans="5:7" ht="14.4" x14ac:dyDescent="0.55000000000000004">
      <c r="E148" s="1135" t="s">
        <v>6927</v>
      </c>
      <c r="F148" s="1140">
        <v>3162.5</v>
      </c>
      <c r="G148" s="1140">
        <v>7403.7</v>
      </c>
    </row>
    <row r="149" spans="5:7" ht="14.4" x14ac:dyDescent="0.55000000000000004">
      <c r="E149" s="1135" t="s">
        <v>6928</v>
      </c>
      <c r="F149" s="1140">
        <v>3260.6</v>
      </c>
      <c r="G149" s="1140">
        <v>7492.4</v>
      </c>
    </row>
    <row r="150" spans="5:7" ht="14.4" x14ac:dyDescent="0.55000000000000004">
      <c r="E150" s="1135" t="s">
        <v>6929</v>
      </c>
      <c r="F150" s="1140">
        <v>3280.8</v>
      </c>
      <c r="G150" s="1140">
        <v>7410.8</v>
      </c>
    </row>
    <row r="151" spans="5:7" ht="14.4" x14ac:dyDescent="0.55000000000000004">
      <c r="E151" s="1135" t="s">
        <v>6930</v>
      </c>
      <c r="F151" s="1140">
        <v>3274.3</v>
      </c>
      <c r="G151" s="1140">
        <v>7295.6</v>
      </c>
    </row>
    <row r="152" spans="5:7" ht="14.4" x14ac:dyDescent="0.55000000000000004">
      <c r="E152" s="1135" t="s">
        <v>6931</v>
      </c>
      <c r="F152" s="1140">
        <v>3332</v>
      </c>
      <c r="G152" s="1140">
        <v>7328.9</v>
      </c>
    </row>
    <row r="153" spans="5:7" ht="14.4" x14ac:dyDescent="0.55000000000000004">
      <c r="E153" s="1135" t="s">
        <v>6932</v>
      </c>
      <c r="F153" s="1140">
        <v>3366.3</v>
      </c>
      <c r="G153" s="1140">
        <v>7300.9</v>
      </c>
    </row>
    <row r="154" spans="5:7" ht="14.4" x14ac:dyDescent="0.55000000000000004">
      <c r="E154" s="1135" t="s">
        <v>6933</v>
      </c>
      <c r="F154" s="1140">
        <v>3402.6</v>
      </c>
      <c r="G154" s="1140">
        <v>7303.8</v>
      </c>
    </row>
    <row r="155" spans="5:7" ht="14.4" x14ac:dyDescent="0.55000000000000004">
      <c r="E155" s="1135" t="s">
        <v>6934</v>
      </c>
      <c r="F155" s="1140">
        <v>3473.4</v>
      </c>
      <c r="G155" s="1140">
        <v>7400.1</v>
      </c>
    </row>
    <row r="156" spans="5:7" ht="14.4" x14ac:dyDescent="0.55000000000000004">
      <c r="E156" s="1135" t="s">
        <v>6935</v>
      </c>
      <c r="F156" s="1140">
        <v>3578.8</v>
      </c>
      <c r="G156" s="1140">
        <v>7568.5</v>
      </c>
    </row>
    <row r="157" spans="5:7" ht="14.4" x14ac:dyDescent="0.55000000000000004">
      <c r="E157" s="1135" t="s">
        <v>6936</v>
      </c>
      <c r="F157" s="1140">
        <v>3689.2</v>
      </c>
      <c r="G157" s="1140">
        <v>7719.7</v>
      </c>
    </row>
    <row r="158" spans="5:7" ht="14.4" x14ac:dyDescent="0.55000000000000004">
      <c r="E158" s="1135" t="s">
        <v>6937</v>
      </c>
      <c r="F158" s="1140">
        <v>3794.7</v>
      </c>
      <c r="G158" s="1140">
        <v>7880.8</v>
      </c>
    </row>
    <row r="159" spans="5:7" ht="14.4" x14ac:dyDescent="0.55000000000000004">
      <c r="E159" s="1135" t="s">
        <v>6938</v>
      </c>
      <c r="F159" s="1140">
        <v>3908.1</v>
      </c>
      <c r="G159" s="1140">
        <v>8034.8</v>
      </c>
    </row>
    <row r="160" spans="5:7" ht="14.4" x14ac:dyDescent="0.55000000000000004">
      <c r="E160" s="1135" t="s">
        <v>6939</v>
      </c>
      <c r="F160" s="1140">
        <v>4009.6</v>
      </c>
      <c r="G160" s="1140">
        <v>8173.7</v>
      </c>
    </row>
    <row r="161" spans="5:7" ht="14.4" x14ac:dyDescent="0.55000000000000004">
      <c r="E161" s="1135" t="s">
        <v>6940</v>
      </c>
      <c r="F161" s="1140">
        <v>4084.3</v>
      </c>
      <c r="G161" s="1140">
        <v>8252.5</v>
      </c>
    </row>
    <row r="162" spans="5:7" ht="14.4" x14ac:dyDescent="0.55000000000000004">
      <c r="E162" s="1135" t="s">
        <v>6941</v>
      </c>
      <c r="F162" s="1140">
        <v>4148.6000000000004</v>
      </c>
      <c r="G162" s="1140">
        <v>8320.2000000000007</v>
      </c>
    </row>
    <row r="163" spans="5:7" ht="14.4" x14ac:dyDescent="0.55000000000000004">
      <c r="E163" s="1135" t="s">
        <v>6942</v>
      </c>
      <c r="F163" s="1140">
        <v>4230.2</v>
      </c>
      <c r="G163" s="1140">
        <v>8400.7999999999993</v>
      </c>
    </row>
    <row r="164" spans="5:7" ht="14.4" x14ac:dyDescent="0.55000000000000004">
      <c r="E164" s="1135" t="s">
        <v>6943</v>
      </c>
      <c r="F164" s="1140">
        <v>4294.8999999999996</v>
      </c>
      <c r="G164" s="1140">
        <v>8474.7999999999993</v>
      </c>
    </row>
    <row r="165" spans="5:7" ht="14.4" x14ac:dyDescent="0.55000000000000004">
      <c r="E165" s="1135" t="s">
        <v>6944</v>
      </c>
      <c r="F165" s="1140">
        <v>4386.8</v>
      </c>
      <c r="G165" s="1140">
        <v>8604.2000000000007</v>
      </c>
    </row>
    <row r="166" spans="5:7" ht="14.4" x14ac:dyDescent="0.55000000000000004">
      <c r="E166" s="1135" t="s">
        <v>6945</v>
      </c>
      <c r="F166" s="1140">
        <v>4444.1000000000004</v>
      </c>
      <c r="G166" s="1140">
        <v>8668.2000000000007</v>
      </c>
    </row>
    <row r="167" spans="5:7" ht="14.4" x14ac:dyDescent="0.55000000000000004">
      <c r="E167" s="1135" t="s">
        <v>6946</v>
      </c>
      <c r="F167" s="1140">
        <v>4507.8999999999996</v>
      </c>
      <c r="G167" s="1140">
        <v>8749.1</v>
      </c>
    </row>
    <row r="168" spans="5:7" ht="14.4" x14ac:dyDescent="0.55000000000000004">
      <c r="E168" s="1135" t="s">
        <v>6947</v>
      </c>
      <c r="F168" s="1140">
        <v>4545.3</v>
      </c>
      <c r="G168" s="1140">
        <v>8788.5</v>
      </c>
    </row>
    <row r="169" spans="5:7" ht="14.4" x14ac:dyDescent="0.55000000000000004">
      <c r="E169" s="1135" t="s">
        <v>6948</v>
      </c>
      <c r="F169" s="1140">
        <v>4607.7</v>
      </c>
      <c r="G169" s="1140">
        <v>8872.6</v>
      </c>
    </row>
    <row r="170" spans="5:7" ht="14.4" x14ac:dyDescent="0.55000000000000004">
      <c r="E170" s="1135" t="s">
        <v>6949</v>
      </c>
      <c r="F170" s="1140">
        <v>4657.6000000000004</v>
      </c>
      <c r="G170" s="1140">
        <v>8920.2000000000007</v>
      </c>
    </row>
    <row r="171" spans="5:7" ht="14.4" x14ac:dyDescent="0.55000000000000004">
      <c r="E171" s="1135" t="s">
        <v>6950</v>
      </c>
      <c r="F171" s="1140">
        <v>4722.2</v>
      </c>
      <c r="G171" s="1140">
        <v>8986.4</v>
      </c>
    </row>
    <row r="172" spans="5:7" ht="14.4" x14ac:dyDescent="0.55000000000000004">
      <c r="E172" s="1135" t="s">
        <v>6951</v>
      </c>
      <c r="F172" s="1140">
        <v>4806.2</v>
      </c>
      <c r="G172" s="1140">
        <v>9083.2999999999993</v>
      </c>
    </row>
    <row r="173" spans="5:7" ht="14.4" x14ac:dyDescent="0.55000000000000004">
      <c r="E173" s="1135" t="s">
        <v>6952</v>
      </c>
      <c r="F173" s="1140">
        <v>4884.6000000000004</v>
      </c>
      <c r="G173" s="1140">
        <v>9162</v>
      </c>
    </row>
    <row r="174" spans="5:7" ht="14.4" x14ac:dyDescent="0.55000000000000004">
      <c r="E174" s="1135" t="s">
        <v>6953</v>
      </c>
      <c r="F174" s="1140">
        <v>5008</v>
      </c>
      <c r="G174" s="1140">
        <v>9319.2999999999993</v>
      </c>
    </row>
    <row r="175" spans="5:7" ht="14.4" x14ac:dyDescent="0.55000000000000004">
      <c r="E175" s="1135" t="s">
        <v>6954</v>
      </c>
      <c r="F175" s="1140">
        <v>5073.3999999999996</v>
      </c>
      <c r="G175" s="1140">
        <v>9367.5</v>
      </c>
    </row>
    <row r="176" spans="5:7" ht="14.4" x14ac:dyDescent="0.55000000000000004">
      <c r="E176" s="1135" t="s">
        <v>6955</v>
      </c>
      <c r="F176" s="1140">
        <v>5190</v>
      </c>
      <c r="G176" s="1140">
        <v>9490.6</v>
      </c>
    </row>
    <row r="177" spans="5:7" ht="14.4" x14ac:dyDescent="0.55000000000000004">
      <c r="E177" s="1135" t="s">
        <v>6956</v>
      </c>
      <c r="F177" s="1140">
        <v>5282.8</v>
      </c>
      <c r="G177" s="1140">
        <v>9546.2000000000007</v>
      </c>
    </row>
    <row r="178" spans="5:7" ht="14.4" x14ac:dyDescent="0.55000000000000004">
      <c r="E178" s="1135" t="s">
        <v>6957</v>
      </c>
      <c r="F178" s="1140">
        <v>5399.5</v>
      </c>
      <c r="G178" s="1140">
        <v>9673.4</v>
      </c>
    </row>
    <row r="179" spans="5:7" ht="14.4" x14ac:dyDescent="0.55000000000000004">
      <c r="E179" s="1135" t="s">
        <v>6958</v>
      </c>
      <c r="F179" s="1140">
        <v>5511.3</v>
      </c>
      <c r="G179" s="1140">
        <v>9771.7000000000007</v>
      </c>
    </row>
    <row r="180" spans="5:7" ht="14.4" x14ac:dyDescent="0.55000000000000004">
      <c r="E180" s="1135" t="s">
        <v>6959</v>
      </c>
      <c r="F180" s="1140">
        <v>5612.5</v>
      </c>
      <c r="G180" s="1140">
        <v>9846.2999999999993</v>
      </c>
    </row>
    <row r="181" spans="5:7" ht="14.4" x14ac:dyDescent="0.55000000000000004">
      <c r="E181" s="1135" t="s">
        <v>6960</v>
      </c>
      <c r="F181" s="1140">
        <v>5695.4</v>
      </c>
      <c r="G181" s="1140">
        <v>9919.2000000000007</v>
      </c>
    </row>
    <row r="182" spans="5:7" ht="14.4" x14ac:dyDescent="0.55000000000000004">
      <c r="E182" s="1135" t="s">
        <v>6961</v>
      </c>
      <c r="F182" s="1140">
        <v>5747.2</v>
      </c>
      <c r="G182" s="1140">
        <v>9938.7999999999993</v>
      </c>
    </row>
    <row r="183" spans="5:7" ht="14.4" x14ac:dyDescent="0.55000000000000004">
      <c r="E183" s="1135" t="s">
        <v>6962</v>
      </c>
      <c r="F183" s="1140">
        <v>5872.7</v>
      </c>
      <c r="G183" s="1140">
        <v>10047.4</v>
      </c>
    </row>
    <row r="184" spans="5:7" ht="14.4" x14ac:dyDescent="0.55000000000000004">
      <c r="E184" s="1135" t="s">
        <v>6963</v>
      </c>
      <c r="F184" s="1140">
        <v>5960</v>
      </c>
      <c r="G184" s="1140">
        <v>10083.9</v>
      </c>
    </row>
    <row r="185" spans="5:7" ht="14.4" x14ac:dyDescent="0.55000000000000004">
      <c r="E185" s="1135" t="s">
        <v>6964</v>
      </c>
      <c r="F185" s="1140">
        <v>6015.1</v>
      </c>
      <c r="G185" s="1140">
        <v>10090.6</v>
      </c>
    </row>
    <row r="186" spans="5:7" ht="14.4" x14ac:dyDescent="0.55000000000000004">
      <c r="E186" s="1135" t="s">
        <v>6965</v>
      </c>
      <c r="F186" s="1140">
        <v>6004.7</v>
      </c>
      <c r="G186" s="1140">
        <v>9998.7000000000007</v>
      </c>
    </row>
    <row r="187" spans="5:7" ht="14.4" x14ac:dyDescent="0.55000000000000004">
      <c r="E187" s="1135" t="s">
        <v>6966</v>
      </c>
      <c r="F187" s="1140">
        <v>6035.2</v>
      </c>
      <c r="G187" s="1140">
        <v>9951.9</v>
      </c>
    </row>
    <row r="188" spans="5:7" ht="14.4" x14ac:dyDescent="0.55000000000000004">
      <c r="E188" s="1135" t="s">
        <v>6967</v>
      </c>
      <c r="F188" s="1140">
        <v>6126.9</v>
      </c>
      <c r="G188" s="1140">
        <v>10029.5</v>
      </c>
    </row>
    <row r="189" spans="5:7" ht="14.4" x14ac:dyDescent="0.55000000000000004">
      <c r="E189" s="1135" t="s">
        <v>6968</v>
      </c>
      <c r="F189" s="1140">
        <v>6205.9</v>
      </c>
      <c r="G189" s="1140">
        <v>10080.200000000001</v>
      </c>
    </row>
    <row r="190" spans="5:7" ht="14.4" x14ac:dyDescent="0.55000000000000004">
      <c r="E190" s="1135" t="s">
        <v>6969</v>
      </c>
      <c r="F190" s="1140">
        <v>6264.5</v>
      </c>
      <c r="G190" s="1140">
        <v>10115.299999999999</v>
      </c>
    </row>
    <row r="191" spans="5:7" ht="14.4" x14ac:dyDescent="0.55000000000000004">
      <c r="E191" s="1135" t="s">
        <v>6970</v>
      </c>
      <c r="F191" s="1140">
        <v>6363.1</v>
      </c>
      <c r="G191" s="1140">
        <v>10236.4</v>
      </c>
    </row>
    <row r="192" spans="5:7" ht="14.4" x14ac:dyDescent="0.55000000000000004">
      <c r="E192" s="1135" t="s">
        <v>6971</v>
      </c>
      <c r="F192" s="1140">
        <v>6470.8</v>
      </c>
      <c r="G192" s="1140">
        <v>10347.4</v>
      </c>
    </row>
    <row r="193" spans="5:7" ht="14.4" x14ac:dyDescent="0.55000000000000004">
      <c r="E193" s="1135" t="s">
        <v>6972</v>
      </c>
      <c r="F193" s="1140">
        <v>6566.6</v>
      </c>
      <c r="G193" s="1140">
        <v>10449.700000000001</v>
      </c>
    </row>
    <row r="194" spans="5:7" ht="14.4" x14ac:dyDescent="0.55000000000000004">
      <c r="E194" s="1135" t="s">
        <v>6973</v>
      </c>
      <c r="F194" s="1140">
        <v>6680.8</v>
      </c>
      <c r="G194" s="1140">
        <v>10558.6</v>
      </c>
    </row>
    <row r="195" spans="5:7" ht="14.4" x14ac:dyDescent="0.55000000000000004">
      <c r="E195" s="1135" t="s">
        <v>6974</v>
      </c>
      <c r="F195" s="1140">
        <v>6729.5</v>
      </c>
      <c r="G195" s="1140">
        <v>10576.3</v>
      </c>
    </row>
    <row r="196" spans="5:7" ht="14.4" x14ac:dyDescent="0.55000000000000004">
      <c r="E196" s="1135" t="s">
        <v>6975</v>
      </c>
      <c r="F196" s="1140">
        <v>6808.9</v>
      </c>
      <c r="G196" s="1140">
        <v>10637.8</v>
      </c>
    </row>
    <row r="197" spans="5:7" ht="14.4" x14ac:dyDescent="0.55000000000000004">
      <c r="E197" s="1135" t="s">
        <v>6976</v>
      </c>
      <c r="F197" s="1140">
        <v>6882.1</v>
      </c>
      <c r="G197" s="1140">
        <v>10688.6</v>
      </c>
    </row>
    <row r="198" spans="5:7" ht="14.4" x14ac:dyDescent="0.55000000000000004">
      <c r="E198" s="1135" t="s">
        <v>6977</v>
      </c>
      <c r="F198" s="1140">
        <v>7013.7</v>
      </c>
      <c r="G198" s="1140">
        <v>10834</v>
      </c>
    </row>
    <row r="199" spans="5:7" ht="14.4" x14ac:dyDescent="0.55000000000000004">
      <c r="E199" s="1135" t="s">
        <v>6978</v>
      </c>
      <c r="F199" s="1140">
        <v>7115.7</v>
      </c>
      <c r="G199" s="1140">
        <v>10939.1</v>
      </c>
    </row>
    <row r="200" spans="5:7" ht="14.4" x14ac:dyDescent="0.55000000000000004">
      <c r="E200" s="1135" t="s">
        <v>6979</v>
      </c>
      <c r="F200" s="1140">
        <v>7246.9</v>
      </c>
      <c r="G200" s="1140">
        <v>11087.4</v>
      </c>
    </row>
    <row r="201" spans="5:7" ht="14.4" x14ac:dyDescent="0.55000000000000004">
      <c r="E201" s="1135" t="s">
        <v>6980</v>
      </c>
      <c r="F201" s="1140">
        <v>7331.1</v>
      </c>
      <c r="G201" s="1140">
        <v>11152.2</v>
      </c>
    </row>
    <row r="202" spans="5:7" ht="14.4" x14ac:dyDescent="0.55000000000000004">
      <c r="E202" s="1135" t="s">
        <v>6981</v>
      </c>
      <c r="F202" s="1140">
        <v>7455.3</v>
      </c>
      <c r="G202" s="1140">
        <v>11279.9</v>
      </c>
    </row>
    <row r="203" spans="5:7" ht="14.4" x14ac:dyDescent="0.55000000000000004">
      <c r="E203" s="1135" t="s">
        <v>6982</v>
      </c>
      <c r="F203" s="1140">
        <v>7522.3</v>
      </c>
      <c r="G203" s="1140">
        <v>11320</v>
      </c>
    </row>
    <row r="204" spans="5:7" ht="14.4" x14ac:dyDescent="0.55000000000000004">
      <c r="E204" s="1135" t="s">
        <v>6983</v>
      </c>
      <c r="F204" s="1140">
        <v>7581</v>
      </c>
      <c r="G204" s="1140">
        <v>11353.7</v>
      </c>
    </row>
    <row r="205" spans="5:7" ht="14.4" x14ac:dyDescent="0.55000000000000004">
      <c r="E205" s="1135" t="s">
        <v>6984</v>
      </c>
      <c r="F205" s="1140">
        <v>7683.1</v>
      </c>
      <c r="G205" s="1140">
        <v>11450.3</v>
      </c>
    </row>
    <row r="206" spans="5:7" ht="14.4" x14ac:dyDescent="0.55000000000000004">
      <c r="E206" s="1135" t="s">
        <v>6985</v>
      </c>
      <c r="F206" s="1140">
        <v>7772.6</v>
      </c>
      <c r="G206" s="1140">
        <v>11528.1</v>
      </c>
    </row>
    <row r="207" spans="5:7" ht="14.4" x14ac:dyDescent="0.55000000000000004">
      <c r="E207" s="1135" t="s">
        <v>6986</v>
      </c>
      <c r="F207" s="1140">
        <v>7868.5</v>
      </c>
      <c r="G207" s="1140">
        <v>11614.4</v>
      </c>
    </row>
    <row r="208" spans="5:7" ht="14.4" x14ac:dyDescent="0.55000000000000004">
      <c r="E208" s="1135" t="s">
        <v>6987</v>
      </c>
      <c r="F208" s="1140">
        <v>8032.8</v>
      </c>
      <c r="G208" s="1140">
        <v>11808.1</v>
      </c>
    </row>
    <row r="209" spans="5:7" ht="14.4" x14ac:dyDescent="0.55000000000000004">
      <c r="E209" s="1135" t="s">
        <v>6988</v>
      </c>
      <c r="F209" s="1140">
        <v>8131.4</v>
      </c>
      <c r="G209" s="1140">
        <v>11914.1</v>
      </c>
    </row>
    <row r="210" spans="5:7" ht="14.4" x14ac:dyDescent="0.55000000000000004">
      <c r="E210" s="1135" t="s">
        <v>6989</v>
      </c>
      <c r="F210" s="1140">
        <v>8259.7999999999993</v>
      </c>
      <c r="G210" s="1140">
        <v>12037.8</v>
      </c>
    </row>
    <row r="211" spans="5:7" ht="14.4" x14ac:dyDescent="0.55000000000000004">
      <c r="E211" s="1135" t="s">
        <v>6990</v>
      </c>
      <c r="F211" s="1140">
        <v>8362.7000000000007</v>
      </c>
      <c r="G211" s="1140">
        <v>12115.5</v>
      </c>
    </row>
    <row r="212" spans="5:7" ht="14.4" x14ac:dyDescent="0.55000000000000004">
      <c r="E212" s="1135" t="s">
        <v>6991</v>
      </c>
      <c r="F212" s="1140">
        <v>8518.7999999999993</v>
      </c>
      <c r="G212" s="1140">
        <v>12317.2</v>
      </c>
    </row>
    <row r="213" spans="5:7" ht="14.4" x14ac:dyDescent="0.55000000000000004">
      <c r="E213" s="1135" t="s">
        <v>6992</v>
      </c>
      <c r="F213" s="1140">
        <v>8662.7999999999993</v>
      </c>
      <c r="G213" s="1140">
        <v>12471</v>
      </c>
    </row>
    <row r="214" spans="5:7" ht="14.4" x14ac:dyDescent="0.55000000000000004">
      <c r="E214" s="1135" t="s">
        <v>6993</v>
      </c>
      <c r="F214" s="1140">
        <v>8765.9</v>
      </c>
      <c r="G214" s="1140">
        <v>12577.5</v>
      </c>
    </row>
    <row r="215" spans="5:7" ht="14.4" x14ac:dyDescent="0.55000000000000004">
      <c r="E215" s="1135" t="s">
        <v>6994</v>
      </c>
      <c r="F215" s="1140">
        <v>8866.5</v>
      </c>
      <c r="G215" s="1140">
        <v>12703.7</v>
      </c>
    </row>
    <row r="216" spans="5:7" ht="14.4" x14ac:dyDescent="0.55000000000000004">
      <c r="E216" s="1135" t="s">
        <v>6995</v>
      </c>
      <c r="F216" s="1140">
        <v>8969.7000000000007</v>
      </c>
      <c r="G216" s="1140">
        <v>12821.3</v>
      </c>
    </row>
    <row r="217" spans="5:7" ht="14.4" x14ac:dyDescent="0.55000000000000004">
      <c r="E217" s="1135" t="s">
        <v>6996</v>
      </c>
      <c r="F217" s="1140">
        <v>9121.1</v>
      </c>
      <c r="G217" s="1140">
        <v>12982.8</v>
      </c>
    </row>
    <row r="218" spans="5:7" ht="14.4" x14ac:dyDescent="0.55000000000000004">
      <c r="E218" s="1135" t="s">
        <v>6997</v>
      </c>
      <c r="F218" s="1140">
        <v>9294</v>
      </c>
      <c r="G218" s="1140">
        <v>13191.7</v>
      </c>
    </row>
    <row r="219" spans="5:7" ht="14.4" x14ac:dyDescent="0.55000000000000004">
      <c r="E219" s="1135" t="s">
        <v>6998</v>
      </c>
      <c r="F219" s="1140">
        <v>9411.7000000000007</v>
      </c>
      <c r="G219" s="1140">
        <v>13315.6</v>
      </c>
    </row>
    <row r="220" spans="5:7" ht="14.4" x14ac:dyDescent="0.55000000000000004">
      <c r="E220" s="1135" t="s">
        <v>6999</v>
      </c>
      <c r="F220" s="1140">
        <v>9526.2000000000007</v>
      </c>
      <c r="G220" s="1140">
        <v>13426.7</v>
      </c>
    </row>
    <row r="221" spans="5:7" ht="14.4" x14ac:dyDescent="0.55000000000000004">
      <c r="E221" s="1135" t="s">
        <v>7000</v>
      </c>
      <c r="F221" s="1140">
        <v>9686.6</v>
      </c>
      <c r="G221" s="1140">
        <v>13604.8</v>
      </c>
    </row>
    <row r="222" spans="5:7" ht="14.4" x14ac:dyDescent="0.55000000000000004">
      <c r="E222" s="1135" t="s">
        <v>7001</v>
      </c>
      <c r="F222" s="1140">
        <v>9900.2000000000007</v>
      </c>
      <c r="G222" s="1140">
        <v>13828</v>
      </c>
    </row>
    <row r="223" spans="5:7" ht="14.4" x14ac:dyDescent="0.55000000000000004">
      <c r="E223" s="1135" t="s">
        <v>7002</v>
      </c>
      <c r="F223" s="1140">
        <v>10002.200000000001</v>
      </c>
      <c r="G223" s="1140">
        <v>13878.1</v>
      </c>
    </row>
    <row r="224" spans="5:7" ht="14.4" x14ac:dyDescent="0.55000000000000004">
      <c r="E224" s="1135" t="s">
        <v>7003</v>
      </c>
      <c r="F224" s="1140">
        <v>10247.700000000001</v>
      </c>
      <c r="G224" s="1140">
        <v>14130.9</v>
      </c>
    </row>
    <row r="225" spans="5:7" ht="14.4" x14ac:dyDescent="0.55000000000000004">
      <c r="E225" s="1135" t="s">
        <v>7004</v>
      </c>
      <c r="F225" s="1140">
        <v>10318.200000000001</v>
      </c>
      <c r="G225" s="1140">
        <v>14145.3</v>
      </c>
    </row>
    <row r="226" spans="5:7" ht="14.4" x14ac:dyDescent="0.55000000000000004">
      <c r="E226" s="1135" t="s">
        <v>7005</v>
      </c>
      <c r="F226" s="1140">
        <v>10435.700000000001</v>
      </c>
      <c r="G226" s="1140">
        <v>14229.8</v>
      </c>
    </row>
    <row r="227" spans="5:7" ht="14.4" x14ac:dyDescent="0.55000000000000004">
      <c r="E227" s="1135" t="s">
        <v>7006</v>
      </c>
      <c r="F227" s="1140">
        <v>10470.200000000001</v>
      </c>
      <c r="G227" s="1140">
        <v>14183.1</v>
      </c>
    </row>
    <row r="228" spans="5:7" ht="14.4" x14ac:dyDescent="0.55000000000000004">
      <c r="E228" s="1135" t="s">
        <v>7007</v>
      </c>
      <c r="F228" s="1140">
        <v>10599</v>
      </c>
      <c r="G228" s="1140">
        <v>14271.7</v>
      </c>
    </row>
    <row r="229" spans="5:7" ht="14.4" x14ac:dyDescent="0.55000000000000004">
      <c r="E229" s="1135" t="s">
        <v>7008</v>
      </c>
      <c r="F229" s="1140">
        <v>10598</v>
      </c>
      <c r="G229" s="1140">
        <v>14214.5</v>
      </c>
    </row>
    <row r="230" spans="5:7" ht="14.4" x14ac:dyDescent="0.55000000000000004">
      <c r="E230" s="1135" t="s">
        <v>7009</v>
      </c>
      <c r="F230" s="1140">
        <v>10660.5</v>
      </c>
      <c r="G230" s="1140">
        <v>14253.6</v>
      </c>
    </row>
    <row r="231" spans="5:7" ht="14.4" x14ac:dyDescent="0.55000000000000004">
      <c r="E231" s="1135" t="s">
        <v>7010</v>
      </c>
      <c r="F231" s="1140">
        <v>10783.5</v>
      </c>
      <c r="G231" s="1140">
        <v>14372.8</v>
      </c>
    </row>
    <row r="232" spans="5:7" ht="14.4" x14ac:dyDescent="0.55000000000000004">
      <c r="E232" s="1135" t="s">
        <v>7011</v>
      </c>
      <c r="F232" s="1140">
        <v>10887.5</v>
      </c>
      <c r="G232" s="1140">
        <v>14460.8</v>
      </c>
    </row>
    <row r="233" spans="5:7" ht="14.4" x14ac:dyDescent="0.55000000000000004">
      <c r="E233" s="1135" t="s">
        <v>7012</v>
      </c>
      <c r="F233" s="1140">
        <v>10984</v>
      </c>
      <c r="G233" s="1140">
        <v>14519.6</v>
      </c>
    </row>
    <row r="234" spans="5:7" ht="14.4" x14ac:dyDescent="0.55000000000000004">
      <c r="E234" s="1135" t="s">
        <v>7013</v>
      </c>
      <c r="F234" s="1140">
        <v>11061.4</v>
      </c>
      <c r="G234" s="1140">
        <v>14537.6</v>
      </c>
    </row>
    <row r="235" spans="5:7" ht="14.4" x14ac:dyDescent="0.55000000000000004">
      <c r="E235" s="1135" t="s">
        <v>7014</v>
      </c>
      <c r="F235" s="1140">
        <v>11174.1</v>
      </c>
      <c r="G235" s="1140">
        <v>14614.1</v>
      </c>
    </row>
    <row r="236" spans="5:7" ht="14.4" x14ac:dyDescent="0.55000000000000004">
      <c r="E236" s="1135" t="s">
        <v>7015</v>
      </c>
      <c r="F236" s="1140">
        <v>11312.8</v>
      </c>
      <c r="G236" s="1140">
        <v>14743.6</v>
      </c>
    </row>
    <row r="237" spans="5:7" ht="14.4" x14ac:dyDescent="0.55000000000000004">
      <c r="E237" s="1135" t="s">
        <v>7016</v>
      </c>
      <c r="F237" s="1140">
        <v>11566.7</v>
      </c>
      <c r="G237" s="1140">
        <v>14988.8</v>
      </c>
    </row>
    <row r="238" spans="5:7" ht="14.4" x14ac:dyDescent="0.55000000000000004">
      <c r="E238" s="1135" t="s">
        <v>7017</v>
      </c>
      <c r="F238" s="1140">
        <v>11772.2</v>
      </c>
      <c r="G238" s="1140">
        <v>15162.8</v>
      </c>
    </row>
    <row r="239" spans="5:7" ht="14.4" x14ac:dyDescent="0.55000000000000004">
      <c r="E239" s="1135" t="s">
        <v>7018</v>
      </c>
      <c r="F239" s="1140">
        <v>11923.4</v>
      </c>
      <c r="G239" s="1140">
        <v>15248.7</v>
      </c>
    </row>
    <row r="240" spans="5:7" ht="14.4" x14ac:dyDescent="0.55000000000000004">
      <c r="E240" s="1135" t="s">
        <v>7019</v>
      </c>
      <c r="F240" s="1140">
        <v>12112.8</v>
      </c>
      <c r="G240" s="1140">
        <v>15366.9</v>
      </c>
    </row>
    <row r="241" spans="5:7" ht="14.4" x14ac:dyDescent="0.55000000000000004">
      <c r="E241" s="1135" t="s">
        <v>7020</v>
      </c>
      <c r="F241" s="1140">
        <v>12305.3</v>
      </c>
      <c r="G241" s="1140">
        <v>15512.6</v>
      </c>
    </row>
    <row r="242" spans="5:7" ht="14.4" x14ac:dyDescent="0.55000000000000004">
      <c r="E242" s="1135" t="s">
        <v>7021</v>
      </c>
      <c r="F242" s="1140">
        <v>12527.2</v>
      </c>
      <c r="G242" s="1140">
        <v>15670.9</v>
      </c>
    </row>
    <row r="243" spans="5:7" ht="14.4" x14ac:dyDescent="0.55000000000000004">
      <c r="E243" s="1135" t="s">
        <v>7022</v>
      </c>
      <c r="F243" s="1140">
        <v>12767.3</v>
      </c>
      <c r="G243" s="1140">
        <v>15844.7</v>
      </c>
    </row>
    <row r="244" spans="5:7" ht="14.4" x14ac:dyDescent="0.55000000000000004">
      <c r="E244" s="1135" t="s">
        <v>7023</v>
      </c>
      <c r="F244" s="1140">
        <v>12922.7</v>
      </c>
      <c r="G244" s="1140">
        <v>15922.8</v>
      </c>
    </row>
    <row r="245" spans="5:7" ht="14.4" x14ac:dyDescent="0.55000000000000004">
      <c r="E245" s="1135" t="s">
        <v>7024</v>
      </c>
      <c r="F245" s="1140">
        <v>13142.6</v>
      </c>
      <c r="G245" s="1140">
        <v>16047.6</v>
      </c>
    </row>
    <row r="246" spans="5:7" ht="14.4" x14ac:dyDescent="0.55000000000000004">
      <c r="E246" s="1135" t="s">
        <v>7025</v>
      </c>
      <c r="F246" s="1140">
        <v>13324.2</v>
      </c>
      <c r="G246" s="1140">
        <v>16136.7</v>
      </c>
    </row>
    <row r="247" spans="5:7" ht="14.4" x14ac:dyDescent="0.55000000000000004">
      <c r="E247" s="1135" t="s">
        <v>7026</v>
      </c>
      <c r="F247" s="1140">
        <v>13599.2</v>
      </c>
      <c r="G247" s="1140">
        <v>16353.8</v>
      </c>
    </row>
    <row r="248" spans="5:7" ht="14.4" x14ac:dyDescent="0.55000000000000004">
      <c r="E248" s="1135" t="s">
        <v>7027</v>
      </c>
      <c r="F248" s="1140">
        <v>13753.4</v>
      </c>
      <c r="G248" s="1140">
        <v>16396.2</v>
      </c>
    </row>
    <row r="249" spans="5:7" ht="14.4" x14ac:dyDescent="0.55000000000000004">
      <c r="E249" s="1135" t="s">
        <v>7028</v>
      </c>
      <c r="F249" s="1140">
        <v>13870.2</v>
      </c>
      <c r="G249" s="1140">
        <v>16420.7</v>
      </c>
    </row>
    <row r="250" spans="5:7" ht="14.4" x14ac:dyDescent="0.55000000000000004">
      <c r="E250" s="1135" t="s">
        <v>7029</v>
      </c>
      <c r="F250" s="1140">
        <v>14039.6</v>
      </c>
      <c r="G250" s="1140">
        <v>16561.900000000001</v>
      </c>
    </row>
    <row r="251" spans="5:7" ht="14.4" x14ac:dyDescent="0.55000000000000004">
      <c r="E251" s="1135" t="s">
        <v>7030</v>
      </c>
      <c r="F251" s="1140">
        <v>14215.7</v>
      </c>
      <c r="G251" s="1140">
        <v>16611.7</v>
      </c>
    </row>
    <row r="252" spans="5:7" ht="14.4" x14ac:dyDescent="0.55000000000000004">
      <c r="E252" s="1135" t="s">
        <v>7031</v>
      </c>
      <c r="F252" s="1140">
        <v>14402.1</v>
      </c>
      <c r="G252" s="1140">
        <v>16713.3</v>
      </c>
    </row>
    <row r="253" spans="5:7" ht="14.4" x14ac:dyDescent="0.55000000000000004">
      <c r="E253" s="1135" t="s">
        <v>7032</v>
      </c>
      <c r="F253" s="1140">
        <v>14564.1</v>
      </c>
      <c r="G253" s="1140">
        <v>16809.599999999999</v>
      </c>
    </row>
    <row r="254" spans="5:7" ht="14.4" x14ac:dyDescent="0.55000000000000004">
      <c r="E254" s="1135" t="s">
        <v>7033</v>
      </c>
      <c r="F254" s="1140">
        <v>14715.1</v>
      </c>
      <c r="G254" s="1140">
        <v>16915.2</v>
      </c>
    </row>
    <row r="255" spans="5:7" ht="14.4" x14ac:dyDescent="0.55000000000000004">
      <c r="E255" s="1135" t="s">
        <v>7034</v>
      </c>
      <c r="F255" s="1140">
        <v>14706.5</v>
      </c>
      <c r="G255" s="1140">
        <v>16843</v>
      </c>
    </row>
    <row r="256" spans="5:7" ht="14.4" x14ac:dyDescent="0.55000000000000004">
      <c r="E256" s="1135" t="s">
        <v>7035</v>
      </c>
      <c r="F256" s="1140">
        <v>14865.7</v>
      </c>
      <c r="G256" s="1140">
        <v>16943.3</v>
      </c>
    </row>
    <row r="257" spans="5:7" ht="14.4" x14ac:dyDescent="0.55000000000000004">
      <c r="E257" s="1135" t="s">
        <v>7036</v>
      </c>
      <c r="F257" s="1140">
        <v>14899</v>
      </c>
      <c r="G257" s="1140">
        <v>16854.3</v>
      </c>
    </row>
    <row r="258" spans="5:7" ht="14.4" x14ac:dyDescent="0.55000000000000004">
      <c r="E258" s="1135" t="s">
        <v>7037</v>
      </c>
      <c r="F258" s="1140">
        <v>14608.2</v>
      </c>
      <c r="G258" s="1140">
        <v>16485.400000000001</v>
      </c>
    </row>
    <row r="259" spans="5:7" ht="14.4" x14ac:dyDescent="0.55000000000000004">
      <c r="E259" s="1135" t="s">
        <v>7038</v>
      </c>
      <c r="F259" s="1140">
        <v>14430.9</v>
      </c>
      <c r="G259" s="1140">
        <v>16298.3</v>
      </c>
    </row>
    <row r="260" spans="5:7" ht="14.4" x14ac:dyDescent="0.55000000000000004">
      <c r="E260" s="1135" t="s">
        <v>7039</v>
      </c>
      <c r="F260" s="1140">
        <v>14381.2</v>
      </c>
      <c r="G260" s="1140">
        <v>16269.1</v>
      </c>
    </row>
    <row r="261" spans="5:7" ht="14.4" x14ac:dyDescent="0.55000000000000004">
      <c r="E261" s="1135" t="s">
        <v>7040</v>
      </c>
      <c r="F261" s="1140">
        <v>14448.9</v>
      </c>
      <c r="G261" s="1140">
        <v>16326.3</v>
      </c>
    </row>
    <row r="262" spans="5:7" ht="14.4" x14ac:dyDescent="0.55000000000000004">
      <c r="E262" s="1135" t="s">
        <v>7041</v>
      </c>
      <c r="F262" s="1140">
        <v>14651.2</v>
      </c>
      <c r="G262" s="1140">
        <v>16502.8</v>
      </c>
    </row>
    <row r="263" spans="5:7" ht="14.4" x14ac:dyDescent="0.55000000000000004">
      <c r="E263" s="1135" t="s">
        <v>7042</v>
      </c>
      <c r="F263" s="1140">
        <v>14764.6</v>
      </c>
      <c r="G263" s="1140">
        <v>16582.7</v>
      </c>
    </row>
    <row r="264" spans="5:7" ht="14.4" x14ac:dyDescent="0.55000000000000004">
      <c r="E264" s="1135" t="s">
        <v>7043</v>
      </c>
      <c r="F264" s="1140">
        <v>14980.2</v>
      </c>
      <c r="G264" s="1140">
        <v>16743.2</v>
      </c>
    </row>
    <row r="265" spans="5:7" ht="14.4" x14ac:dyDescent="0.55000000000000004">
      <c r="E265" s="1135" t="s">
        <v>7044</v>
      </c>
      <c r="F265" s="1140">
        <v>15141.6</v>
      </c>
      <c r="G265" s="1140">
        <v>16872.3</v>
      </c>
    </row>
    <row r="266" spans="5:7" ht="14.4" x14ac:dyDescent="0.55000000000000004">
      <c r="E266" s="1135" t="s">
        <v>7045</v>
      </c>
      <c r="F266" s="1140">
        <v>15309.5</v>
      </c>
      <c r="G266" s="1140">
        <v>16960.900000000001</v>
      </c>
    </row>
    <row r="267" spans="5:7" ht="14.4" x14ac:dyDescent="0.55000000000000004">
      <c r="E267" s="1135" t="s">
        <v>7046</v>
      </c>
      <c r="F267" s="1140">
        <v>15351.4</v>
      </c>
      <c r="G267" s="1140">
        <v>16920.599999999999</v>
      </c>
    </row>
    <row r="268" spans="5:7" ht="14.4" x14ac:dyDescent="0.55000000000000004">
      <c r="E268" s="1135" t="s">
        <v>7047</v>
      </c>
      <c r="F268" s="1140">
        <v>15557.5</v>
      </c>
      <c r="G268" s="1140">
        <v>17035.099999999999</v>
      </c>
    </row>
    <row r="269" spans="5:7" ht="14.4" x14ac:dyDescent="0.55000000000000004">
      <c r="E269" s="1135" t="s">
        <v>7048</v>
      </c>
      <c r="F269" s="1140">
        <v>15647.7</v>
      </c>
      <c r="G269" s="1140">
        <v>17031.3</v>
      </c>
    </row>
    <row r="270" spans="5:7" ht="14.4" x14ac:dyDescent="0.55000000000000004">
      <c r="E270" s="1135" t="s">
        <v>7049</v>
      </c>
      <c r="F270" s="1140">
        <v>15842.3</v>
      </c>
      <c r="G270" s="1140">
        <v>17222.599999999999</v>
      </c>
    </row>
    <row r="271" spans="5:7" ht="14.4" x14ac:dyDescent="0.55000000000000004">
      <c r="E271" s="1135" t="s">
        <v>7050</v>
      </c>
      <c r="F271" s="1140">
        <v>16068.8</v>
      </c>
      <c r="G271" s="1140">
        <v>17367</v>
      </c>
    </row>
    <row r="272" spans="5:7" ht="14.4" x14ac:dyDescent="0.55000000000000004">
      <c r="E272" s="1135" t="s">
        <v>7051</v>
      </c>
      <c r="F272" s="1140">
        <v>16207.1</v>
      </c>
      <c r="G272" s="1140">
        <v>17444.5</v>
      </c>
    </row>
    <row r="273" spans="5:7" ht="14.4" x14ac:dyDescent="0.55000000000000004">
      <c r="E273" s="1135" t="s">
        <v>7052</v>
      </c>
      <c r="F273" s="1140">
        <v>16319.5</v>
      </c>
      <c r="G273" s="1140">
        <v>17469.7</v>
      </c>
    </row>
    <row r="274" spans="5:7" ht="14.4" x14ac:dyDescent="0.55000000000000004">
      <c r="E274" s="1135" t="s">
        <v>7053</v>
      </c>
      <c r="F274" s="1140">
        <v>16420.400000000001</v>
      </c>
      <c r="G274" s="1140">
        <v>17489.900000000001</v>
      </c>
    </row>
    <row r="275" spans="5:7" ht="14.4" x14ac:dyDescent="0.55000000000000004">
      <c r="E275" s="1135" t="s">
        <v>7054</v>
      </c>
      <c r="F275" s="1140">
        <v>16648.2</v>
      </c>
      <c r="G275" s="1140">
        <v>17662.400000000001</v>
      </c>
    </row>
    <row r="276" spans="5:7" ht="14.4" x14ac:dyDescent="0.55000000000000004">
      <c r="E276" s="1135" t="s">
        <v>7055</v>
      </c>
      <c r="F276" s="1140">
        <v>16728.7</v>
      </c>
      <c r="G276" s="1140">
        <v>17709.7</v>
      </c>
    </row>
    <row r="277" spans="5:7" ht="14.4" x14ac:dyDescent="0.55000000000000004">
      <c r="E277" s="1135" t="s">
        <v>7056</v>
      </c>
      <c r="F277" s="1140">
        <v>16953.8</v>
      </c>
      <c r="G277" s="1140">
        <v>17860.5</v>
      </c>
    </row>
    <row r="278" spans="5:7" ht="14.4" x14ac:dyDescent="0.55000000000000004">
      <c r="E278" s="1135" t="s">
        <v>7057</v>
      </c>
      <c r="F278" s="1140">
        <v>17192</v>
      </c>
      <c r="G278" s="1140">
        <v>18016.099999999999</v>
      </c>
    </row>
    <row r="279" spans="5:7" ht="14.4" x14ac:dyDescent="0.55000000000000004">
      <c r="E279" s="1135" t="s">
        <v>7058</v>
      </c>
      <c r="F279" s="1140">
        <v>17197.7</v>
      </c>
      <c r="G279" s="1140">
        <v>17954</v>
      </c>
    </row>
    <row r="280" spans="5:7" ht="14.4" x14ac:dyDescent="0.55000000000000004">
      <c r="E280" s="1135" t="s">
        <v>7059</v>
      </c>
      <c r="F280" s="1140">
        <v>17518.5</v>
      </c>
      <c r="G280" s="1140">
        <v>18185.900000000001</v>
      </c>
    </row>
    <row r="281" spans="5:7" ht="14.4" x14ac:dyDescent="0.55000000000000004">
      <c r="E281" s="1135" t="s">
        <v>7060</v>
      </c>
      <c r="F281" s="1140">
        <v>17804.2</v>
      </c>
      <c r="G281" s="1140">
        <v>18406.900000000001</v>
      </c>
    </row>
    <row r="282" spans="5:7" ht="14.4" x14ac:dyDescent="0.55000000000000004">
      <c r="E282" s="1135" t="s">
        <v>7061</v>
      </c>
      <c r="F282" s="1140">
        <v>17912.099999999999</v>
      </c>
      <c r="G282" s="1140">
        <v>18500</v>
      </c>
    </row>
    <row r="283" spans="5:7" ht="14.4" x14ac:dyDescent="0.55000000000000004">
      <c r="E283" s="1135" t="s">
        <v>7062</v>
      </c>
      <c r="F283" s="1140">
        <v>18063.5</v>
      </c>
      <c r="G283" s="1140">
        <v>18666.599999999999</v>
      </c>
    </row>
    <row r="284" spans="5:7" ht="14.4" x14ac:dyDescent="0.55000000000000004">
      <c r="E284" s="1135" t="s">
        <v>7063</v>
      </c>
      <c r="F284" s="1140">
        <v>18279.8</v>
      </c>
      <c r="G284" s="1140">
        <v>18782.2</v>
      </c>
    </row>
    <row r="285" spans="5:7" ht="14.4" x14ac:dyDescent="0.55000000000000004">
      <c r="E285" s="1135" t="s">
        <v>7064</v>
      </c>
      <c r="F285" s="1140">
        <v>18401.599999999999</v>
      </c>
      <c r="G285" s="1140">
        <v>18857.400000000001</v>
      </c>
    </row>
    <row r="286" spans="5:7" ht="14.4" x14ac:dyDescent="0.55000000000000004">
      <c r="E286" s="1135" t="s">
        <v>7065</v>
      </c>
      <c r="F286" s="1140">
        <v>18435.099999999999</v>
      </c>
      <c r="G286" s="1140">
        <v>18892.2</v>
      </c>
    </row>
    <row r="287" spans="5:7" ht="14.4" x14ac:dyDescent="0.55000000000000004">
      <c r="E287" s="1135" t="s">
        <v>7066</v>
      </c>
      <c r="F287" s="1140">
        <v>18525.900000000001</v>
      </c>
      <c r="G287" s="1140">
        <v>19001.7</v>
      </c>
    </row>
    <row r="288" spans="5:7" ht="14.4" x14ac:dyDescent="0.55000000000000004">
      <c r="E288" s="1135" t="s">
        <v>7067</v>
      </c>
      <c r="F288" s="1140">
        <v>18711.7</v>
      </c>
      <c r="G288" s="1140">
        <v>19062.7</v>
      </c>
    </row>
    <row r="289" spans="5:7" ht="14.4" x14ac:dyDescent="0.55000000000000004">
      <c r="E289" s="1135" t="s">
        <v>7068</v>
      </c>
      <c r="F289" s="1140">
        <v>18892.599999999999</v>
      </c>
      <c r="G289" s="1140">
        <v>19197.900000000001</v>
      </c>
    </row>
    <row r="290" spans="5:7" ht="14.4" x14ac:dyDescent="0.55000000000000004">
      <c r="E290" s="1135" t="s">
        <v>7069</v>
      </c>
      <c r="F290" s="1140">
        <v>19089.400000000001</v>
      </c>
      <c r="G290" s="1140">
        <v>19304.400000000001</v>
      </c>
    </row>
    <row r="291" spans="5:7" ht="14.4" x14ac:dyDescent="0.55000000000000004">
      <c r="E291" s="1135" t="s">
        <v>7070</v>
      </c>
      <c r="F291" s="1140">
        <v>19280.099999999999</v>
      </c>
      <c r="G291" s="1140">
        <v>19398.3</v>
      </c>
    </row>
    <row r="292" spans="5:7" ht="14.4" x14ac:dyDescent="0.55000000000000004">
      <c r="E292" s="1135" t="s">
        <v>7071</v>
      </c>
      <c r="F292" s="1140">
        <v>19438.599999999999</v>
      </c>
      <c r="G292" s="1140">
        <v>19506.900000000001</v>
      </c>
    </row>
    <row r="293" spans="5:7" ht="14.4" x14ac:dyDescent="0.55000000000000004">
      <c r="E293" s="1135" t="s">
        <v>7072</v>
      </c>
      <c r="F293" s="1140">
        <v>19692.599999999999</v>
      </c>
      <c r="G293" s="1140">
        <v>19660.8</v>
      </c>
    </row>
    <row r="294" spans="5:7" ht="14.4" x14ac:dyDescent="0.55000000000000004">
      <c r="E294" s="1135" t="s">
        <v>7073</v>
      </c>
      <c r="F294" s="1140">
        <v>20037.099999999999</v>
      </c>
      <c r="G294" s="1140">
        <v>19882.400000000001</v>
      </c>
    </row>
    <row r="295" spans="5:7" ht="14.4" x14ac:dyDescent="0.55000000000000004">
      <c r="E295" s="1135" t="s">
        <v>7074</v>
      </c>
      <c r="F295" s="1140">
        <v>20328.599999999999</v>
      </c>
      <c r="G295" s="1140">
        <v>20044.099999999999</v>
      </c>
    </row>
    <row r="296" spans="5:7" ht="14.4" x14ac:dyDescent="0.55000000000000004">
      <c r="E296" s="1135" t="s">
        <v>7075</v>
      </c>
      <c r="F296" s="1140">
        <v>20580.900000000001</v>
      </c>
      <c r="G296" s="1140">
        <v>20150.5</v>
      </c>
    </row>
    <row r="297" spans="5:7" ht="14.4" x14ac:dyDescent="0.55000000000000004">
      <c r="E297" s="1135" t="s">
        <v>7076</v>
      </c>
      <c r="F297" s="1140">
        <v>20798.7</v>
      </c>
      <c r="G297" s="1140">
        <v>20276.2</v>
      </c>
    </row>
    <row r="298" spans="5:7" ht="14.4" x14ac:dyDescent="0.55000000000000004">
      <c r="E298" s="1135" t="s">
        <v>7077</v>
      </c>
      <c r="F298" s="1140">
        <v>20917.900000000001</v>
      </c>
      <c r="G298" s="1140">
        <v>20304.900000000001</v>
      </c>
    </row>
    <row r="299" spans="5:7" ht="14.4" x14ac:dyDescent="0.55000000000000004">
      <c r="E299" s="1135" t="s">
        <v>7078</v>
      </c>
      <c r="F299" s="1140">
        <v>21111.599999999999</v>
      </c>
      <c r="G299" s="1140">
        <v>20431.599999999999</v>
      </c>
    </row>
    <row r="300" spans="5:7" ht="14.4" x14ac:dyDescent="0.55000000000000004">
      <c r="E300" s="1135" t="s">
        <v>7079</v>
      </c>
      <c r="F300" s="1140">
        <v>21397.9</v>
      </c>
      <c r="G300" s="1140">
        <v>20602.3</v>
      </c>
    </row>
    <row r="301" spans="5:7" ht="14.4" x14ac:dyDescent="0.55000000000000004">
      <c r="E301" s="1135" t="s">
        <v>7080</v>
      </c>
      <c r="F301" s="1140">
        <v>21717.200000000001</v>
      </c>
      <c r="G301" s="1140">
        <v>20843.3</v>
      </c>
    </row>
    <row r="302" spans="5:7" ht="14.4" x14ac:dyDescent="0.55000000000000004">
      <c r="E302" s="1135" t="s">
        <v>7081</v>
      </c>
      <c r="F302" s="1140">
        <v>21933.200000000001</v>
      </c>
      <c r="G302" s="1140">
        <v>20985.4</v>
      </c>
    </row>
    <row r="303" spans="5:7" ht="14.4" x14ac:dyDescent="0.55000000000000004">
      <c r="E303" s="1135" t="s">
        <v>7082</v>
      </c>
      <c r="F303" s="1140">
        <v>21727.7</v>
      </c>
      <c r="G303" s="1140">
        <v>20693.2</v>
      </c>
    </row>
    <row r="304" spans="5:7" ht="14.4" x14ac:dyDescent="0.55000000000000004">
      <c r="E304" s="1135" t="s">
        <v>7083</v>
      </c>
      <c r="F304" s="1140">
        <v>19935.400000000001</v>
      </c>
      <c r="G304" s="1140">
        <v>19056.599999999999</v>
      </c>
    </row>
    <row r="305" spans="5:7" ht="14.4" x14ac:dyDescent="0.55000000000000004">
      <c r="E305" s="1135" t="s">
        <v>7084</v>
      </c>
      <c r="F305" s="1140">
        <v>21684.6</v>
      </c>
      <c r="G305" s="1140">
        <v>20548.8</v>
      </c>
    </row>
    <row r="306" spans="5:7" ht="14.4" x14ac:dyDescent="0.55000000000000004">
      <c r="E306" s="1135" t="s">
        <v>7085</v>
      </c>
      <c r="F306" s="1140">
        <v>22068.799999999999</v>
      </c>
      <c r="G306" s="1140">
        <v>20771.7</v>
      </c>
    </row>
    <row r="307" spans="5:7" ht="14.4" x14ac:dyDescent="0.55000000000000004">
      <c r="E307" s="1135" t="s">
        <v>7086</v>
      </c>
      <c r="F307" s="1140">
        <v>22656.799999999999</v>
      </c>
      <c r="G307" s="1140">
        <v>21058.400000000001</v>
      </c>
    </row>
    <row r="308" spans="5:7" ht="14.4" x14ac:dyDescent="0.55000000000000004">
      <c r="E308" s="1135" t="s">
        <v>7087</v>
      </c>
      <c r="F308" s="1140">
        <v>23368.9</v>
      </c>
      <c r="G308" s="1140">
        <v>21389</v>
      </c>
    </row>
    <row r="309" spans="5:7" ht="14.4" x14ac:dyDescent="0.55000000000000004">
      <c r="E309" s="1135" t="s">
        <v>7088</v>
      </c>
      <c r="F309" s="1140">
        <v>23922</v>
      </c>
      <c r="G309" s="1140">
        <v>21571.4</v>
      </c>
    </row>
    <row r="310" spans="5:7" ht="14.4" x14ac:dyDescent="0.55000000000000004">
      <c r="E310" s="1135" t="s">
        <v>7089</v>
      </c>
      <c r="F310" s="1140">
        <v>24777</v>
      </c>
      <c r="G310" s="1140">
        <v>21960.400000000001</v>
      </c>
    </row>
    <row r="311" spans="5:7" ht="14.4" x14ac:dyDescent="0.55000000000000004">
      <c r="E311" s="1135" t="s">
        <v>7090</v>
      </c>
      <c r="F311" s="1140">
        <v>25215.5</v>
      </c>
      <c r="G311" s="1140">
        <v>21903.9</v>
      </c>
    </row>
    <row r="312" spans="5:7" ht="14.4" x14ac:dyDescent="0.55000000000000004">
      <c r="E312" s="1135" t="s">
        <v>7091</v>
      </c>
      <c r="F312" s="1140">
        <v>25805.8</v>
      </c>
      <c r="G312" s="1140">
        <v>21919.200000000001</v>
      </c>
    </row>
    <row r="313" spans="5:7" ht="14.4" x14ac:dyDescent="0.55000000000000004">
      <c r="E313" s="1135" t="s">
        <v>7092</v>
      </c>
      <c r="F313" s="1140">
        <v>26272</v>
      </c>
      <c r="G313" s="1140">
        <v>22066.799999999999</v>
      </c>
    </row>
    <row r="314" spans="5:7" x14ac:dyDescent="0.4">
      <c r="E314" s="1134" t="s">
        <v>7093</v>
      </c>
      <c r="F314" s="1134">
        <v>26734.3</v>
      </c>
      <c r="G314" s="1134">
        <v>22249.5</v>
      </c>
    </row>
    <row r="315" spans="5:7" x14ac:dyDescent="0.4">
      <c r="E315" s="1134" t="s">
        <v>7094</v>
      </c>
      <c r="F315" s="1134">
        <v>27164.400000000001</v>
      </c>
      <c r="G315" s="1134">
        <v>22403.4</v>
      </c>
    </row>
    <row r="316" spans="5:7" x14ac:dyDescent="0.4">
      <c r="E316" s="1134" t="s">
        <v>7095</v>
      </c>
      <c r="F316" s="1134">
        <v>27453.8</v>
      </c>
      <c r="G316" s="1134">
        <v>22539.4</v>
      </c>
    </row>
    <row r="317" spans="5:7" x14ac:dyDescent="0.4">
      <c r="E317" s="1134" t="s">
        <v>7096</v>
      </c>
      <c r="F317" s="1134">
        <v>27967.7</v>
      </c>
      <c r="G317" s="1134">
        <v>22780.9</v>
      </c>
    </row>
    <row r="318" spans="5:7" x14ac:dyDescent="0.4">
      <c r="E318" s="1134" t="s">
        <v>7097</v>
      </c>
      <c r="F318" s="1134">
        <v>28297</v>
      </c>
      <c r="G318" s="1134">
        <v>22960.6</v>
      </c>
    </row>
    <row r="319" spans="5:7" x14ac:dyDescent="0.4">
      <c r="E319" s="1134" t="s">
        <v>7098</v>
      </c>
      <c r="F319" s="1134">
        <v>28624.1</v>
      </c>
      <c r="G319" s="1134">
        <v>23053.5</v>
      </c>
    </row>
    <row r="320" spans="5:7" x14ac:dyDescent="0.4">
      <c r="E320" s="1134" t="s">
        <v>7099</v>
      </c>
      <c r="F320" s="1134">
        <v>29016.7</v>
      </c>
      <c r="G320" s="1134">
        <v>23223.9</v>
      </c>
    </row>
    <row r="321" spans="5:7" x14ac:dyDescent="0.4">
      <c r="E321" s="1134" t="s">
        <v>7100</v>
      </c>
      <c r="F321" s="1134">
        <v>29374.9</v>
      </c>
      <c r="G321" s="1134">
        <v>23400.3</v>
      </c>
    </row>
    <row r="322" spans="5:7" x14ac:dyDescent="0.4">
      <c r="E322" s="1134" t="s">
        <v>7102</v>
      </c>
      <c r="F322" s="1134">
        <v>29719.599999999999</v>
      </c>
      <c r="G322" s="1134">
        <v>23536.3</v>
      </c>
    </row>
  </sheetData>
  <mergeCells count="2">
    <mergeCell ref="A5:C5"/>
    <mergeCell ref="E5:G5"/>
  </mergeCells>
  <phoneticPr fontId="39" type="noConversion"/>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I67"/>
  <sheetViews>
    <sheetView zoomScale="77" zoomScaleNormal="85" workbookViewId="0"/>
  </sheetViews>
  <sheetFormatPr defaultColWidth="8.7890625" defaultRowHeight="13.8" x14ac:dyDescent="0.45"/>
  <cols>
    <col min="1" max="1" width="10" style="1" bestFit="1" customWidth="1"/>
    <col min="2" max="2" width="14.734375" style="1" customWidth="1"/>
    <col min="3" max="3" width="15.15625" style="1" customWidth="1"/>
    <col min="4" max="4" width="8.7890625" style="1"/>
    <col min="5" max="5" width="44" style="1" bestFit="1" customWidth="1"/>
    <col min="6" max="6" width="8.7890625" style="1"/>
    <col min="7" max="7" width="49.734375" style="1" customWidth="1"/>
    <col min="8" max="8" width="8.7890625" style="1"/>
    <col min="9" max="9" width="47.47265625" style="1" bestFit="1" customWidth="1"/>
    <col min="10" max="16384" width="8.7890625" style="1"/>
  </cols>
  <sheetData>
    <row r="1" spans="1:9" ht="41.7" thickBot="1" x14ac:dyDescent="0.5">
      <c r="A1" s="251" t="s">
        <v>0</v>
      </c>
      <c r="B1" s="252" t="s">
        <v>1</v>
      </c>
      <c r="C1" s="251" t="s">
        <v>4526</v>
      </c>
      <c r="D1" s="116"/>
      <c r="E1" s="142" t="s">
        <v>2</v>
      </c>
      <c r="F1" s="116"/>
      <c r="G1" s="142"/>
      <c r="H1" s="116"/>
      <c r="I1" s="116"/>
    </row>
    <row r="2" spans="1:9" ht="14.1" thickBot="1" x14ac:dyDescent="0.5">
      <c r="A2" s="253" t="s">
        <v>29</v>
      </c>
      <c r="B2" s="254" t="s">
        <v>3</v>
      </c>
      <c r="C2" s="255" t="s">
        <v>134</v>
      </c>
      <c r="D2" s="116"/>
      <c r="E2" s="574">
        <v>45688</v>
      </c>
      <c r="F2" s="116"/>
      <c r="G2" s="306"/>
      <c r="H2" s="116"/>
      <c r="I2" s="116"/>
    </row>
    <row r="3" spans="1:9" x14ac:dyDescent="0.45">
      <c r="A3" s="576" t="s">
        <v>2861</v>
      </c>
      <c r="B3" s="577" t="s">
        <v>3</v>
      </c>
      <c r="C3" s="256" t="s">
        <v>131</v>
      </c>
      <c r="D3" s="116"/>
      <c r="E3" s="116"/>
      <c r="F3" s="116"/>
      <c r="G3" s="116"/>
      <c r="H3" s="116"/>
      <c r="I3" s="116"/>
    </row>
    <row r="4" spans="1:9" ht="14.1" thickBot="1" x14ac:dyDescent="0.5">
      <c r="A4" s="576" t="s">
        <v>50</v>
      </c>
      <c r="B4" s="577" t="s">
        <v>3</v>
      </c>
      <c r="C4" s="256" t="s">
        <v>165</v>
      </c>
      <c r="D4" s="116"/>
      <c r="E4" s="142" t="s">
        <v>5</v>
      </c>
      <c r="F4" s="116"/>
      <c r="G4" s="116"/>
      <c r="H4" s="116"/>
      <c r="I4" s="116"/>
    </row>
    <row r="5" spans="1:9" ht="14.1" thickBot="1" x14ac:dyDescent="0.5">
      <c r="A5" s="576" t="s">
        <v>2862</v>
      </c>
      <c r="B5" s="577" t="s">
        <v>3</v>
      </c>
      <c r="C5" s="256" t="s">
        <v>804</v>
      </c>
      <c r="D5" s="116"/>
      <c r="E5" s="307"/>
      <c r="F5" s="116"/>
      <c r="G5" s="116"/>
      <c r="H5" s="116"/>
      <c r="I5" s="116"/>
    </row>
    <row r="6" spans="1:9" x14ac:dyDescent="0.45">
      <c r="A6" s="576" t="s">
        <v>2863</v>
      </c>
      <c r="B6" s="577" t="s">
        <v>3</v>
      </c>
      <c r="C6" s="256" t="s">
        <v>425</v>
      </c>
      <c r="D6" s="116"/>
      <c r="E6" s="116"/>
      <c r="F6" s="116"/>
      <c r="G6" s="116"/>
      <c r="H6" s="116"/>
      <c r="I6" s="116"/>
    </row>
    <row r="7" spans="1:9" ht="14.1" thickBot="1" x14ac:dyDescent="0.5">
      <c r="A7" s="278" t="s">
        <v>3809</v>
      </c>
      <c r="B7" s="577" t="s">
        <v>3</v>
      </c>
      <c r="C7" s="256" t="s">
        <v>130</v>
      </c>
      <c r="D7" s="116"/>
      <c r="E7" s="142" t="s">
        <v>6</v>
      </c>
      <c r="F7" s="116"/>
      <c r="G7" s="116"/>
      <c r="H7" s="116"/>
      <c r="I7" s="116"/>
    </row>
    <row r="8" spans="1:9" ht="14.1" thickBot="1" x14ac:dyDescent="0.5">
      <c r="A8" s="257" t="s">
        <v>2864</v>
      </c>
      <c r="B8" s="258" t="s">
        <v>3</v>
      </c>
      <c r="C8" s="256" t="s">
        <v>144</v>
      </c>
      <c r="D8" s="116"/>
      <c r="E8" s="259"/>
      <c r="F8" s="116"/>
      <c r="G8" s="116"/>
      <c r="H8" s="116"/>
      <c r="I8" s="116"/>
    </row>
    <row r="9" spans="1:9" x14ac:dyDescent="0.45">
      <c r="C9" s="256" t="s">
        <v>175</v>
      </c>
      <c r="D9" s="116"/>
      <c r="E9" s="116"/>
      <c r="F9" s="116"/>
      <c r="G9" s="116"/>
      <c r="H9" s="116"/>
      <c r="I9" s="116"/>
    </row>
    <row r="10" spans="1:9" x14ac:dyDescent="0.45">
      <c r="A10" s="279">
        <f>COUNTA(A2:A8)</f>
        <v>7</v>
      </c>
      <c r="C10" s="256" t="s">
        <v>2876</v>
      </c>
      <c r="D10" s="116"/>
      <c r="E10" s="260" t="s">
        <v>7</v>
      </c>
      <c r="F10" s="143"/>
      <c r="G10" s="143"/>
      <c r="H10" s="143"/>
      <c r="I10" s="143"/>
    </row>
    <row r="11" spans="1:9" x14ac:dyDescent="0.45">
      <c r="A11" s="279"/>
      <c r="C11" s="256" t="s">
        <v>2623</v>
      </c>
      <c r="D11" s="116"/>
      <c r="E11" s="143"/>
      <c r="F11" s="143"/>
      <c r="G11" s="143"/>
      <c r="H11" s="143"/>
      <c r="I11" s="143"/>
    </row>
    <row r="12" spans="1:9" ht="14.1" thickBot="1" x14ac:dyDescent="0.5">
      <c r="A12" s="279" t="s">
        <v>3810</v>
      </c>
      <c r="C12" s="256" t="s">
        <v>3889</v>
      </c>
      <c r="D12" s="116"/>
      <c r="E12" s="261" t="s">
        <v>8</v>
      </c>
      <c r="F12" s="262"/>
      <c r="G12" s="263" t="s">
        <v>9</v>
      </c>
      <c r="H12" s="143"/>
      <c r="I12" s="143"/>
    </row>
    <row r="13" spans="1:9" x14ac:dyDescent="0.45">
      <c r="C13" s="256" t="s">
        <v>1362</v>
      </c>
      <c r="D13" s="116"/>
      <c r="E13" s="324" t="s">
        <v>10</v>
      </c>
      <c r="F13" s="336">
        <v>0.38929999999999998</v>
      </c>
      <c r="G13" s="264" t="s">
        <v>611</v>
      </c>
      <c r="H13" s="143"/>
      <c r="I13" s="143"/>
    </row>
    <row r="14" spans="1:9" x14ac:dyDescent="0.45">
      <c r="C14" s="256" t="s">
        <v>2877</v>
      </c>
      <c r="D14" s="116"/>
      <c r="E14" s="143" t="s">
        <v>12</v>
      </c>
      <c r="F14" s="570">
        <v>0.60880000000000001</v>
      </c>
      <c r="G14" s="264" t="s">
        <v>611</v>
      </c>
      <c r="H14" s="143"/>
      <c r="I14" s="143"/>
    </row>
    <row r="15" spans="1:9" x14ac:dyDescent="0.45">
      <c r="C15" s="256" t="s">
        <v>229</v>
      </c>
      <c r="D15" s="116"/>
      <c r="E15" s="143" t="s">
        <v>13</v>
      </c>
      <c r="F15" s="570">
        <v>1.9E-3</v>
      </c>
      <c r="G15" s="264" t="s">
        <v>611</v>
      </c>
      <c r="H15" s="143"/>
      <c r="I15" s="143"/>
    </row>
    <row r="16" spans="1:9" x14ac:dyDescent="0.45">
      <c r="C16" s="256" t="s">
        <v>2878</v>
      </c>
      <c r="D16" s="116"/>
      <c r="E16" s="143" t="s">
        <v>15</v>
      </c>
      <c r="F16" s="570">
        <v>4.1099999999999998E-2</v>
      </c>
      <c r="G16" s="264" t="s">
        <v>611</v>
      </c>
      <c r="H16" s="143"/>
      <c r="I16" s="143"/>
    </row>
    <row r="17" spans="1:9" ht="14.1" thickBot="1" x14ac:dyDescent="0.5">
      <c r="C17" s="256" t="s">
        <v>244</v>
      </c>
      <c r="D17" s="116"/>
      <c r="E17" s="143" t="s">
        <v>16</v>
      </c>
      <c r="F17" s="571">
        <v>0.1714</v>
      </c>
      <c r="G17" s="264" t="s">
        <v>611</v>
      </c>
      <c r="H17" s="143"/>
      <c r="I17" s="143"/>
    </row>
    <row r="18" spans="1:9" x14ac:dyDescent="0.45">
      <c r="C18" s="256" t="s">
        <v>255</v>
      </c>
      <c r="D18" s="116"/>
      <c r="E18" s="143"/>
      <c r="F18" s="265"/>
      <c r="G18" s="264"/>
      <c r="H18" s="143"/>
      <c r="I18" s="143"/>
    </row>
    <row r="19" spans="1:9" x14ac:dyDescent="0.45">
      <c r="C19" s="256" t="s">
        <v>2624</v>
      </c>
      <c r="D19" s="116"/>
      <c r="E19" s="143"/>
      <c r="F19" s="265"/>
      <c r="G19" s="264"/>
      <c r="H19" s="116"/>
      <c r="I19" s="116"/>
    </row>
    <row r="20" spans="1:9" ht="14.1" thickBot="1" x14ac:dyDescent="0.5">
      <c r="C20" s="256" t="s">
        <v>3890</v>
      </c>
      <c r="D20" s="116"/>
      <c r="E20" s="308" t="s">
        <v>4433</v>
      </c>
      <c r="F20" s="143"/>
      <c r="G20" s="309" t="s">
        <v>17</v>
      </c>
      <c r="H20" s="143"/>
      <c r="I20" s="143"/>
    </row>
    <row r="21" spans="1:9" ht="14.1" thickBot="1" x14ac:dyDescent="0.5">
      <c r="C21" s="256" t="s">
        <v>292</v>
      </c>
      <c r="D21" s="116"/>
      <c r="E21" s="143" t="s">
        <v>18</v>
      </c>
      <c r="F21" s="266">
        <v>12.293423177178431</v>
      </c>
      <c r="G21" s="143" t="s">
        <v>3808</v>
      </c>
      <c r="H21" s="143"/>
      <c r="I21" s="143"/>
    </row>
    <row r="22" spans="1:9" ht="14.1" thickBot="1" x14ac:dyDescent="0.5">
      <c r="C22" s="256" t="s">
        <v>3891</v>
      </c>
      <c r="D22" s="116"/>
      <c r="E22" s="143" t="s">
        <v>19</v>
      </c>
      <c r="F22" s="267">
        <v>4.9869194380403936</v>
      </c>
      <c r="G22" s="143" t="s">
        <v>3808</v>
      </c>
      <c r="H22" s="143"/>
      <c r="I22" s="143"/>
    </row>
    <row r="23" spans="1:9" x14ac:dyDescent="0.45">
      <c r="C23" s="256" t="s">
        <v>2625</v>
      </c>
      <c r="D23" s="116"/>
      <c r="E23" s="143"/>
      <c r="F23" s="310"/>
      <c r="G23" s="143"/>
      <c r="H23" s="116"/>
      <c r="I23" s="116"/>
    </row>
    <row r="24" spans="1:9" ht="14.1" thickBot="1" x14ac:dyDescent="0.5">
      <c r="C24" s="256" t="s">
        <v>367</v>
      </c>
      <c r="D24" s="116"/>
      <c r="E24" s="260" t="s">
        <v>20</v>
      </c>
      <c r="F24" s="143"/>
      <c r="G24" s="260"/>
      <c r="H24" s="116"/>
      <c r="I24" s="142" t="s">
        <v>21</v>
      </c>
    </row>
    <row r="25" spans="1:9" ht="14.1" thickBot="1" x14ac:dyDescent="0.5">
      <c r="C25" s="256" t="s">
        <v>363</v>
      </c>
      <c r="D25" s="116"/>
      <c r="E25" s="575">
        <v>45688</v>
      </c>
      <c r="F25" s="143"/>
      <c r="G25" s="311"/>
      <c r="H25" s="116"/>
      <c r="I25" s="312" t="s">
        <v>4437</v>
      </c>
    </row>
    <row r="26" spans="1:9" x14ac:dyDescent="0.45">
      <c r="C26" s="256" t="s">
        <v>331</v>
      </c>
      <c r="D26" s="116"/>
      <c r="E26" s="116"/>
      <c r="F26" s="116"/>
      <c r="G26" s="116"/>
      <c r="H26" s="116"/>
      <c r="I26" s="116"/>
    </row>
    <row r="27" spans="1:9" ht="14.1" thickBot="1" x14ac:dyDescent="0.5">
      <c r="C27" s="256" t="s">
        <v>391</v>
      </c>
      <c r="D27" s="116"/>
      <c r="E27" s="142" t="s">
        <v>22</v>
      </c>
      <c r="F27" s="116"/>
      <c r="G27" s="142" t="s">
        <v>23</v>
      </c>
      <c r="H27" s="116"/>
      <c r="I27" s="142" t="s">
        <v>24</v>
      </c>
    </row>
    <row r="28" spans="1:9" ht="14.1" thickBot="1" x14ac:dyDescent="0.5">
      <c r="C28" s="256" t="s">
        <v>3892</v>
      </c>
      <c r="D28" s="116"/>
      <c r="E28" s="255" t="s">
        <v>25</v>
      </c>
      <c r="F28" s="116"/>
      <c r="G28" s="268" t="s">
        <v>2675</v>
      </c>
      <c r="H28" s="116"/>
      <c r="I28" s="268" t="s">
        <v>4438</v>
      </c>
    </row>
    <row r="29" spans="1:9" x14ac:dyDescent="0.45">
      <c r="A29" s="116"/>
      <c r="B29" s="116"/>
      <c r="C29" s="256" t="s">
        <v>395</v>
      </c>
      <c r="D29" s="116"/>
      <c r="E29" s="256" t="s">
        <v>26</v>
      </c>
      <c r="F29" s="116"/>
      <c r="G29" s="116"/>
      <c r="H29" s="116"/>
      <c r="I29" s="116"/>
    </row>
    <row r="30" spans="1:9" ht="14.1" thickBot="1" x14ac:dyDescent="0.5">
      <c r="A30" s="116"/>
      <c r="B30" s="116"/>
      <c r="C30" s="256" t="s">
        <v>410</v>
      </c>
      <c r="D30" s="116"/>
      <c r="E30" s="313" t="s">
        <v>27</v>
      </c>
      <c r="F30" s="116"/>
      <c r="G30" s="142" t="s">
        <v>28</v>
      </c>
      <c r="H30" s="116"/>
      <c r="I30" s="116" t="s">
        <v>2792</v>
      </c>
    </row>
    <row r="31" spans="1:9" ht="14.1" thickBot="1" x14ac:dyDescent="0.5">
      <c r="A31" s="116"/>
      <c r="B31" s="116"/>
      <c r="C31" s="256" t="s">
        <v>435</v>
      </c>
      <c r="D31" s="116"/>
      <c r="E31" s="256" t="s">
        <v>29</v>
      </c>
      <c r="F31" s="116"/>
      <c r="G31" s="268" t="s">
        <v>4439</v>
      </c>
      <c r="H31" s="116"/>
      <c r="I31" s="116"/>
    </row>
    <row r="32" spans="1:9" x14ac:dyDescent="0.45">
      <c r="A32" s="116"/>
      <c r="B32" s="116"/>
      <c r="C32" s="256" t="s">
        <v>2626</v>
      </c>
      <c r="D32" s="116"/>
      <c r="E32" s="256" t="s">
        <v>4</v>
      </c>
      <c r="F32" s="116"/>
      <c r="G32" s="116"/>
      <c r="H32" s="116"/>
      <c r="I32" s="116" t="str">
        <f>"Proxy Group of " &amp;TEXT(A12, "Word") &amp; " " &amp; TEXT(G34, "Word") &amp;" Companies"</f>
        <v>Proxy Group of Seven Natural Gas Companies</v>
      </c>
    </row>
    <row r="33" spans="1:9" ht="14.1" thickBot="1" x14ac:dyDescent="0.5">
      <c r="A33" s="116"/>
      <c r="B33" s="116"/>
      <c r="C33" s="256" t="s">
        <v>462</v>
      </c>
      <c r="D33" s="116"/>
      <c r="E33" s="256" t="s">
        <v>30</v>
      </c>
      <c r="F33" s="116"/>
      <c r="G33" s="142" t="s">
        <v>31</v>
      </c>
      <c r="H33" s="116"/>
      <c r="I33" s="116"/>
    </row>
    <row r="34" spans="1:9" ht="14.1" thickBot="1" x14ac:dyDescent="0.5">
      <c r="A34" s="116"/>
      <c r="B34" s="116"/>
      <c r="C34" s="256" t="s">
        <v>463</v>
      </c>
      <c r="D34" s="116"/>
      <c r="E34" s="256" t="s">
        <v>32</v>
      </c>
      <c r="F34" s="116"/>
      <c r="G34" s="268" t="s">
        <v>2893</v>
      </c>
      <c r="H34" s="116"/>
      <c r="I34" s="116" t="str">
        <f>"Proxy Group of " &amp;TEXT(C54, "Word") &amp; " Non-Price Regulated Companies"</f>
        <v>Proxy Group of Forty-Nine Non-Price Regulated Companies</v>
      </c>
    </row>
    <row r="35" spans="1:9" x14ac:dyDescent="0.45">
      <c r="A35" s="116"/>
      <c r="B35" s="116"/>
      <c r="C35" s="256" t="s">
        <v>1363</v>
      </c>
      <c r="D35" s="116"/>
      <c r="E35" s="256" t="s">
        <v>33</v>
      </c>
      <c r="F35" s="116"/>
      <c r="G35" s="116"/>
      <c r="I35" s="116"/>
    </row>
    <row r="36" spans="1:9" ht="14.1" thickBot="1" x14ac:dyDescent="0.5">
      <c r="A36" s="116"/>
      <c r="B36" s="116"/>
      <c r="C36" s="256" t="s">
        <v>481</v>
      </c>
      <c r="D36" s="116"/>
      <c r="E36" s="256" t="s">
        <v>35</v>
      </c>
      <c r="F36" s="116"/>
      <c r="G36" s="142" t="s">
        <v>36</v>
      </c>
      <c r="H36" s="116"/>
      <c r="I36" s="116"/>
    </row>
    <row r="37" spans="1:9" ht="14.1" thickBot="1" x14ac:dyDescent="0.5">
      <c r="A37" s="116"/>
      <c r="B37" s="116"/>
      <c r="C37" s="256" t="s">
        <v>475</v>
      </c>
      <c r="D37" s="116"/>
      <c r="E37" s="256" t="s">
        <v>37</v>
      </c>
      <c r="F37" s="116"/>
      <c r="G37" s="268" t="s">
        <v>14</v>
      </c>
      <c r="H37" s="116"/>
      <c r="I37" s="116"/>
    </row>
    <row r="38" spans="1:9" x14ac:dyDescent="0.45">
      <c r="A38" s="116"/>
      <c r="B38" s="116"/>
      <c r="C38" s="256" t="s">
        <v>483</v>
      </c>
      <c r="D38" s="116"/>
      <c r="E38" s="256" t="s">
        <v>38</v>
      </c>
      <c r="F38" s="116"/>
      <c r="G38" s="116"/>
      <c r="H38" s="116"/>
      <c r="I38" s="116"/>
    </row>
    <row r="39" spans="1:9" ht="14.1" thickBot="1" x14ac:dyDescent="0.5">
      <c r="A39" s="116"/>
      <c r="B39" s="116"/>
      <c r="C39" s="256" t="s">
        <v>2879</v>
      </c>
      <c r="D39" s="116"/>
      <c r="E39" s="256" t="s">
        <v>39</v>
      </c>
      <c r="F39" s="116"/>
      <c r="G39" s="142" t="s">
        <v>40</v>
      </c>
      <c r="H39" s="116"/>
      <c r="I39" s="116"/>
    </row>
    <row r="40" spans="1:9" ht="14.1" thickBot="1" x14ac:dyDescent="0.5">
      <c r="A40" s="116"/>
      <c r="B40" s="116"/>
      <c r="C40" s="256" t="s">
        <v>2880</v>
      </c>
      <c r="D40" s="116"/>
      <c r="E40" s="256" t="s">
        <v>41</v>
      </c>
      <c r="F40" s="116"/>
      <c r="G40" s="268" t="s">
        <v>14</v>
      </c>
      <c r="H40" s="116"/>
      <c r="I40" s="269" t="s">
        <v>34</v>
      </c>
    </row>
    <row r="41" spans="1:9" x14ac:dyDescent="0.45">
      <c r="A41" s="116"/>
      <c r="B41" s="116"/>
      <c r="C41" s="256" t="s">
        <v>2881</v>
      </c>
      <c r="D41" s="116"/>
      <c r="E41" s="256" t="s">
        <v>42</v>
      </c>
      <c r="F41" s="116"/>
      <c r="G41" s="116"/>
      <c r="H41" s="116"/>
      <c r="I41" s="116"/>
    </row>
    <row r="42" spans="1:9" ht="14.1" thickBot="1" x14ac:dyDescent="0.5">
      <c r="A42" s="116"/>
      <c r="B42" s="116"/>
      <c r="C42" s="256" t="s">
        <v>515</v>
      </c>
      <c r="D42" s="116"/>
      <c r="E42" s="256" t="s">
        <v>43</v>
      </c>
      <c r="F42" s="116"/>
      <c r="G42" s="142" t="s">
        <v>3880</v>
      </c>
      <c r="H42" s="116"/>
      <c r="I42" s="116"/>
    </row>
    <row r="43" spans="1:9" ht="14.1" thickBot="1" x14ac:dyDescent="0.5">
      <c r="A43" s="116"/>
      <c r="B43" s="116"/>
      <c r="C43" s="256" t="s">
        <v>163</v>
      </c>
      <c r="D43" s="116"/>
      <c r="E43" s="256" t="s">
        <v>44</v>
      </c>
      <c r="F43" s="116"/>
      <c r="G43" s="335">
        <v>628233490.77623904</v>
      </c>
      <c r="H43" s="116"/>
      <c r="I43" s="264" t="s">
        <v>11</v>
      </c>
    </row>
    <row r="44" spans="1:9" x14ac:dyDescent="0.45">
      <c r="A44" s="116"/>
      <c r="B44" s="116"/>
      <c r="C44" s="256" t="s">
        <v>545</v>
      </c>
      <c r="D44" s="116"/>
      <c r="E44" s="256" t="s">
        <v>45</v>
      </c>
      <c r="F44" s="116"/>
      <c r="G44" s="116"/>
      <c r="H44" s="116"/>
      <c r="I44" s="116"/>
    </row>
    <row r="45" spans="1:9" ht="14.1" thickBot="1" x14ac:dyDescent="0.5">
      <c r="A45" s="116"/>
      <c r="B45" s="116"/>
      <c r="C45" s="256" t="s">
        <v>1364</v>
      </c>
      <c r="D45" s="116"/>
      <c r="E45" s="256" t="s">
        <v>46</v>
      </c>
      <c r="F45" s="116"/>
      <c r="G45" s="142" t="s">
        <v>47</v>
      </c>
      <c r="H45" s="116"/>
      <c r="I45" s="116"/>
    </row>
    <row r="46" spans="1:9" ht="14.1" thickBot="1" x14ac:dyDescent="0.5">
      <c r="A46" s="116"/>
      <c r="B46" s="116"/>
      <c r="C46" s="256" t="s">
        <v>565</v>
      </c>
      <c r="D46" s="116"/>
      <c r="E46" s="270" t="s">
        <v>48</v>
      </c>
      <c r="F46" s="116"/>
      <c r="G46" s="268" t="s">
        <v>14</v>
      </c>
      <c r="H46" s="116"/>
      <c r="I46" s="116"/>
    </row>
    <row r="47" spans="1:9" x14ac:dyDescent="0.45">
      <c r="A47" s="116"/>
      <c r="B47" s="116"/>
      <c r="C47" s="256" t="s">
        <v>2882</v>
      </c>
      <c r="D47" s="116"/>
      <c r="E47" s="270" t="s">
        <v>49</v>
      </c>
      <c r="F47" s="116"/>
      <c r="G47" s="116"/>
      <c r="H47" s="116"/>
      <c r="I47" s="116"/>
    </row>
    <row r="48" spans="1:9" ht="14.1" thickBot="1" x14ac:dyDescent="0.5">
      <c r="A48" s="116"/>
      <c r="B48" s="116"/>
      <c r="C48" s="256" t="s">
        <v>576</v>
      </c>
      <c r="D48" s="116"/>
      <c r="E48" s="256" t="s">
        <v>50</v>
      </c>
      <c r="F48" s="116"/>
      <c r="G48" s="142" t="s">
        <v>51</v>
      </c>
      <c r="H48" s="116"/>
      <c r="I48" s="142" t="s">
        <v>2852</v>
      </c>
    </row>
    <row r="49" spans="1:9" ht="14.1" thickBot="1" x14ac:dyDescent="0.5">
      <c r="A49" s="116"/>
      <c r="B49" s="116"/>
      <c r="C49" s="256" t="s">
        <v>582</v>
      </c>
      <c r="D49" s="116"/>
      <c r="E49" s="256" t="s">
        <v>52</v>
      </c>
      <c r="F49" s="116"/>
      <c r="G49" s="271" t="s">
        <v>53</v>
      </c>
      <c r="H49" s="116"/>
      <c r="I49" s="259" t="s">
        <v>7106</v>
      </c>
    </row>
    <row r="50" spans="1:9" x14ac:dyDescent="0.45">
      <c r="A50" s="116"/>
      <c r="B50" s="116"/>
      <c r="C50" s="256" t="s">
        <v>2883</v>
      </c>
      <c r="D50" s="116"/>
      <c r="E50" s="256" t="s">
        <v>54</v>
      </c>
      <c r="F50" s="116"/>
      <c r="G50" s="116"/>
      <c r="H50" s="116"/>
      <c r="I50" s="116"/>
    </row>
    <row r="51" spans="1:9" ht="14.1" thickBot="1" x14ac:dyDescent="0.5">
      <c r="A51" s="116"/>
      <c r="B51" s="116"/>
      <c r="D51" s="116"/>
      <c r="E51" s="256" t="s">
        <v>55</v>
      </c>
      <c r="F51" s="116"/>
      <c r="G51" s="142" t="s">
        <v>56</v>
      </c>
      <c r="H51" s="116"/>
      <c r="I51" s="142" t="s">
        <v>3806</v>
      </c>
    </row>
    <row r="52" spans="1:9" ht="14.1" thickBot="1" x14ac:dyDescent="0.5">
      <c r="A52" s="116"/>
      <c r="B52" s="116"/>
      <c r="C52" s="279">
        <f>COUNTA(C2:C50)</f>
        <v>49</v>
      </c>
      <c r="D52" s="116"/>
      <c r="E52" s="256" t="s">
        <v>57</v>
      </c>
      <c r="F52" s="116"/>
      <c r="G52" s="259"/>
      <c r="H52" s="116"/>
      <c r="I52" s="259" t="s">
        <v>4491</v>
      </c>
    </row>
    <row r="53" spans="1:9" x14ac:dyDescent="0.45">
      <c r="A53" s="116"/>
      <c r="B53" s="116"/>
      <c r="C53" s="279"/>
      <c r="D53" s="116"/>
      <c r="E53" s="256" t="s">
        <v>58</v>
      </c>
      <c r="F53" s="116"/>
      <c r="H53" s="116"/>
      <c r="I53" s="116"/>
    </row>
    <row r="54" spans="1:9" x14ac:dyDescent="0.45">
      <c r="A54" s="116"/>
      <c r="B54" s="116"/>
      <c r="C54" s="279" t="s">
        <v>3893</v>
      </c>
      <c r="D54" s="116"/>
      <c r="E54" s="270" t="s">
        <v>59</v>
      </c>
      <c r="F54" s="116"/>
      <c r="H54" s="116"/>
    </row>
    <row r="55" spans="1:9" x14ac:dyDescent="0.45">
      <c r="A55" s="116"/>
      <c r="B55" s="116"/>
      <c r="D55" s="116"/>
      <c r="E55" s="256" t="s">
        <v>60</v>
      </c>
      <c r="F55" s="116"/>
      <c r="H55" s="116"/>
    </row>
    <row r="56" spans="1:9" x14ac:dyDescent="0.45">
      <c r="A56" s="116"/>
      <c r="B56" s="116"/>
      <c r="D56" s="116"/>
      <c r="E56" s="256" t="s">
        <v>2674</v>
      </c>
      <c r="F56" s="116"/>
      <c r="G56" s="116"/>
      <c r="H56" s="116"/>
    </row>
    <row r="57" spans="1:9" x14ac:dyDescent="0.45">
      <c r="A57" s="116"/>
      <c r="B57" s="116"/>
      <c r="D57" s="116"/>
      <c r="E57" s="256" t="s">
        <v>61</v>
      </c>
      <c r="F57" s="116"/>
      <c r="G57" s="116"/>
      <c r="H57" s="116"/>
    </row>
    <row r="58" spans="1:9" ht="14.1" thickBot="1" x14ac:dyDescent="0.5">
      <c r="A58" s="116"/>
      <c r="B58" s="116"/>
      <c r="C58" s="116"/>
      <c r="D58" s="116"/>
      <c r="E58" s="272" t="s">
        <v>62</v>
      </c>
      <c r="F58" s="116"/>
      <c r="G58" s="116"/>
      <c r="H58" s="116"/>
    </row>
    <row r="59" spans="1:9" x14ac:dyDescent="0.45">
      <c r="A59" s="116"/>
      <c r="B59" s="116"/>
      <c r="C59" s="116"/>
      <c r="D59" s="116"/>
      <c r="E59" s="116"/>
      <c r="F59" s="116"/>
      <c r="G59" s="116"/>
      <c r="H59" s="116"/>
      <c r="I59" s="116"/>
    </row>
    <row r="60" spans="1:9" x14ac:dyDescent="0.45">
      <c r="A60" s="116"/>
      <c r="B60" s="116"/>
      <c r="C60" s="116"/>
      <c r="D60" s="116"/>
      <c r="E60" s="116">
        <f>COUNTA(E28:E58)</f>
        <v>31</v>
      </c>
      <c r="F60" s="116"/>
      <c r="G60" s="116"/>
      <c r="H60" s="116"/>
      <c r="I60" s="116"/>
    </row>
    <row r="61" spans="1:9" x14ac:dyDescent="0.45">
      <c r="A61" s="116"/>
      <c r="B61" s="116"/>
      <c r="E61" s="116"/>
      <c r="G61" s="116"/>
    </row>
    <row r="62" spans="1:9" x14ac:dyDescent="0.45">
      <c r="A62" s="116"/>
      <c r="B62" s="116"/>
      <c r="G62" s="116"/>
    </row>
    <row r="63" spans="1:9" x14ac:dyDescent="0.45">
      <c r="A63" s="116"/>
      <c r="B63" s="116"/>
      <c r="G63" s="116"/>
    </row>
    <row r="64" spans="1:9" x14ac:dyDescent="0.45">
      <c r="A64" s="116"/>
      <c r="B64" s="116"/>
      <c r="C64" s="116"/>
    </row>
    <row r="65" spans="1:3" x14ac:dyDescent="0.45">
      <c r="A65" s="116"/>
      <c r="B65" s="116"/>
      <c r="C65" s="116"/>
    </row>
    <row r="66" spans="1:3" x14ac:dyDescent="0.45">
      <c r="A66" s="116"/>
      <c r="B66" s="116"/>
    </row>
    <row r="67" spans="1:3" x14ac:dyDescent="0.45">
      <c r="A67" s="116"/>
      <c r="B67" s="116"/>
    </row>
  </sheetData>
  <pageMargins left="0.7" right="0.7" top="0.75" bottom="0.75" header="0.3" footer="0.3"/>
  <pageSetup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H64"/>
  <sheetViews>
    <sheetView zoomScale="80" zoomScaleNormal="80" workbookViewId="0">
      <pane xSplit="1" ySplit="2" topLeftCell="B3" activePane="bottomRight" state="frozen"/>
      <selection activeCell="F10" sqref="F10"/>
      <selection pane="topRight" activeCell="F10" sqref="F10"/>
      <selection pane="bottomLeft" activeCell="F10" sqref="F10"/>
      <selection pane="bottomRight"/>
    </sheetView>
  </sheetViews>
  <sheetFormatPr defaultColWidth="8.7890625" defaultRowHeight="13.8" x14ac:dyDescent="0.45"/>
  <cols>
    <col min="1" max="1" width="8" style="1" bestFit="1" customWidth="1"/>
    <col min="2" max="2" width="34.26171875" style="1" bestFit="1" customWidth="1"/>
    <col min="3" max="3" width="8.7890625" style="1"/>
    <col min="4" max="4" width="12.734375" style="1" bestFit="1" customWidth="1"/>
    <col min="5" max="5" width="14.7890625" style="1" customWidth="1"/>
    <col min="6" max="7" width="12.734375" style="1" bestFit="1" customWidth="1"/>
    <col min="8" max="8" width="8.7890625" style="1"/>
    <col min="9" max="9" width="10" style="1" customWidth="1"/>
    <col min="10" max="10" width="12.5234375" style="1" customWidth="1"/>
    <col min="11" max="14" width="8.7890625" style="1"/>
    <col min="15" max="15" width="12.7890625" style="1" customWidth="1"/>
    <col min="16" max="16" width="12.5234375" style="1" customWidth="1"/>
    <col min="17" max="17" width="8.7890625" style="1" customWidth="1"/>
    <col min="18" max="18" width="8.5234375" style="1" customWidth="1"/>
    <col min="19" max="19" width="8.7890625" style="1"/>
    <col min="20" max="20" width="41.26171875" style="1" customWidth="1"/>
    <col min="21" max="22" width="8.7890625" style="1"/>
    <col min="23" max="23" width="24.7890625" style="1" bestFit="1" customWidth="1"/>
    <col min="24" max="25" width="8.7890625" style="1"/>
    <col min="26" max="26" width="12.5234375" style="1" customWidth="1"/>
    <col min="27" max="27" width="13.47265625" style="1" bestFit="1" customWidth="1"/>
    <col min="28" max="28" width="13.26171875" style="1" customWidth="1"/>
    <col min="29" max="29" width="15.26171875" style="1" customWidth="1"/>
    <col min="30" max="30" width="10.26171875" style="1" bestFit="1" customWidth="1"/>
    <col min="31" max="31" width="10.5234375" style="1" customWidth="1"/>
    <col min="32" max="16384" width="8.7890625" style="1"/>
  </cols>
  <sheetData>
    <row r="1" spans="1:34" s="116" customFormat="1" ht="29.65" customHeight="1" x14ac:dyDescent="0.45">
      <c r="A1" s="337"/>
      <c r="B1" s="338"/>
      <c r="C1" s="1465" t="s">
        <v>71</v>
      </c>
      <c r="D1" s="1466"/>
      <c r="E1" s="1467"/>
      <c r="F1" s="1465" t="s">
        <v>72</v>
      </c>
      <c r="G1" s="1466"/>
      <c r="H1" s="1468" t="s">
        <v>73</v>
      </c>
      <c r="I1" s="1465" t="s">
        <v>1354</v>
      </c>
      <c r="J1" s="1466"/>
      <c r="K1" s="1466"/>
      <c r="L1" s="1466"/>
      <c r="M1" s="1466"/>
      <c r="N1" s="1467"/>
      <c r="O1" s="1466" t="s">
        <v>74</v>
      </c>
      <c r="P1" s="1467"/>
      <c r="U1" s="339"/>
      <c r="V1" s="339"/>
      <c r="W1" s="339"/>
      <c r="X1" s="339"/>
      <c r="Y1" s="1465" t="s">
        <v>2822</v>
      </c>
      <c r="Z1" s="1466"/>
      <c r="AA1" s="1466"/>
      <c r="AB1" s="1466"/>
      <c r="AC1" s="1466"/>
      <c r="AD1" s="1466"/>
      <c r="AE1" s="1467"/>
    </row>
    <row r="2" spans="1:34" s="116" customFormat="1" ht="41.4" x14ac:dyDescent="0.45">
      <c r="A2" s="762" t="s">
        <v>75</v>
      </c>
      <c r="B2" s="142" t="s">
        <v>23</v>
      </c>
      <c r="C2" s="340" t="s">
        <v>76</v>
      </c>
      <c r="D2" s="341" t="s">
        <v>77</v>
      </c>
      <c r="E2" s="341" t="s">
        <v>78</v>
      </c>
      <c r="F2" s="340" t="s">
        <v>77</v>
      </c>
      <c r="G2" s="341" t="s">
        <v>79</v>
      </c>
      <c r="H2" s="1469"/>
      <c r="I2" s="342" t="s">
        <v>2603</v>
      </c>
      <c r="J2" s="343" t="s">
        <v>1359</v>
      </c>
      <c r="K2" s="343" t="s">
        <v>1355</v>
      </c>
      <c r="L2" s="343" t="s">
        <v>1356</v>
      </c>
      <c r="M2" s="343" t="s">
        <v>1357</v>
      </c>
      <c r="N2" s="344" t="s">
        <v>1358</v>
      </c>
      <c r="O2" s="341" t="s">
        <v>80</v>
      </c>
      <c r="P2" s="345" t="s">
        <v>81</v>
      </c>
      <c r="R2" s="142" t="s">
        <v>2865</v>
      </c>
      <c r="Y2" s="342" t="s">
        <v>75</v>
      </c>
      <c r="Z2" s="343" t="s">
        <v>2818</v>
      </c>
      <c r="AA2" s="343" t="s">
        <v>2819</v>
      </c>
      <c r="AB2" s="343" t="s">
        <v>2820</v>
      </c>
      <c r="AC2" s="343" t="s">
        <v>2821</v>
      </c>
      <c r="AD2" s="343" t="s">
        <v>2813</v>
      </c>
      <c r="AE2" s="344" t="s">
        <v>2820</v>
      </c>
    </row>
    <row r="3" spans="1:34" s="116" customFormat="1" x14ac:dyDescent="0.45">
      <c r="A3" s="116" t="s">
        <v>29</v>
      </c>
      <c r="B3" s="338" t="s">
        <v>2675</v>
      </c>
      <c r="C3" s="557">
        <v>7.0999999999999994E-2</v>
      </c>
      <c r="D3" s="558">
        <v>7.0000000000000007E-2</v>
      </c>
      <c r="E3" s="559">
        <v>7.7142000000000002E-2</v>
      </c>
      <c r="F3" s="691">
        <v>0.9</v>
      </c>
      <c r="G3" s="560">
        <v>0.60510551929473877</v>
      </c>
      <c r="H3" s="707">
        <v>3.48</v>
      </c>
      <c r="I3" s="694">
        <v>0.85</v>
      </c>
      <c r="J3" s="695">
        <v>0.75</v>
      </c>
      <c r="K3" s="696">
        <v>0.58530000000000004</v>
      </c>
      <c r="L3" s="696">
        <v>2.8988999999999998</v>
      </c>
      <c r="M3" s="696">
        <v>3.5682999999999998</v>
      </c>
      <c r="N3" s="697">
        <v>6.4699999999999994E-2</v>
      </c>
      <c r="O3" s="280" t="s">
        <v>87</v>
      </c>
      <c r="P3" s="763" t="s">
        <v>100</v>
      </c>
      <c r="R3" s="346" t="s">
        <v>80</v>
      </c>
      <c r="S3" s="347" t="s">
        <v>81</v>
      </c>
      <c r="T3" s="348"/>
      <c r="U3" s="348"/>
      <c r="V3" s="349" t="s">
        <v>80</v>
      </c>
      <c r="W3" s="347" t="s">
        <v>81</v>
      </c>
      <c r="Y3" s="350" t="str">
        <f t="shared" ref="Y3:Y9" si="0">A3</f>
        <v>ATO</v>
      </c>
      <c r="Z3" s="351">
        <f>V5</f>
        <v>7</v>
      </c>
      <c r="AA3" s="352" t="str">
        <f>IFERROR(VLOOKUP((IF(MOD(V5,1)&lt;=0.4, ROUNDDOWN(V5,0), IF(MOD(V5,1)=0.5, V5, ROUNDUP(V5,0)))), $AB$32:$AC$64, 2,FALSE), "NR")</f>
        <v>A-</v>
      </c>
      <c r="AB3" s="353" t="b">
        <f t="shared" ref="AB3:AB9" si="1">AA3=O3</f>
        <v>1</v>
      </c>
      <c r="AC3" s="354">
        <f>W5</f>
        <v>5</v>
      </c>
      <c r="AD3" s="355" t="str">
        <f>IFERROR(VLOOKUP((IF(MOD(W5,1)&lt;=0.4, ROUNDDOWN(W5,0), IF(MOD(W5,1)=0.5, W5, ROUNDUP(W5,0)))), $Z$32:$AA$64, 2,FALSE), "NR")</f>
        <v>A1</v>
      </c>
      <c r="AE3" s="356" t="b">
        <f t="shared" ref="AE3:AE9" si="2">AD3=P3</f>
        <v>1</v>
      </c>
      <c r="AH3" s="143"/>
    </row>
    <row r="4" spans="1:34" s="116" customFormat="1" x14ac:dyDescent="0.45">
      <c r="A4" s="116" t="s">
        <v>2861</v>
      </c>
      <c r="B4" s="116" t="s">
        <v>2866</v>
      </c>
      <c r="C4" s="561" t="s">
        <v>14</v>
      </c>
      <c r="D4" s="90">
        <v>0.05</v>
      </c>
      <c r="E4" s="562">
        <v>5.9000000000000004E-2</v>
      </c>
      <c r="F4" s="692">
        <v>1</v>
      </c>
      <c r="G4" s="563">
        <v>0.62544214725494385</v>
      </c>
      <c r="H4" s="708">
        <v>1.8</v>
      </c>
      <c r="I4" s="698">
        <v>0.95</v>
      </c>
      <c r="J4" s="699">
        <v>0.91</v>
      </c>
      <c r="K4" s="1">
        <v>0.64239999999999997</v>
      </c>
      <c r="L4" s="1">
        <v>3.0464000000000002</v>
      </c>
      <c r="M4" s="1">
        <v>3.9672000000000001</v>
      </c>
      <c r="N4" s="700">
        <v>6.8000000000000005E-2</v>
      </c>
      <c r="O4" s="280" t="s">
        <v>86</v>
      </c>
      <c r="P4" s="763" t="s">
        <v>100</v>
      </c>
      <c r="R4" s="357" t="s">
        <v>87</v>
      </c>
      <c r="S4" s="568" t="s">
        <v>100</v>
      </c>
      <c r="T4" s="339" t="s">
        <v>2870</v>
      </c>
      <c r="U4" s="339"/>
      <c r="V4" s="79">
        <f>IFERROR(VLOOKUP($R4,'1.14 MOODY_S&amp;P numbericl_assign'!$F$6:$H$26,3,FALSE),"NR")</f>
        <v>7</v>
      </c>
      <c r="W4" s="80">
        <f>IFERROR(VLOOKUP($S4,'1.14 MOODY_S&amp;P numbericl_assign'!$B$6:$D$26,3,FALSE),"NR")</f>
        <v>5</v>
      </c>
      <c r="Y4" s="350" t="str">
        <f t="shared" si="0"/>
        <v>NJR</v>
      </c>
      <c r="Z4" s="351" t="str">
        <f>V8</f>
        <v>NR</v>
      </c>
      <c r="AA4" s="355" t="str">
        <f>IFERROR(VLOOKUP((IF(MOD(V8,1)&lt;=0.4, ROUNDDOWN(V8,0), IF(MOD(V8,1)=0.5, V8, ROUNDUP(V8,0)))), $AB$32:$AC$64, 2,FALSE), "NR")</f>
        <v>NR</v>
      </c>
      <c r="AB4" s="353" t="b">
        <f t="shared" si="1"/>
        <v>1</v>
      </c>
      <c r="AC4" s="354">
        <f>W8</f>
        <v>5</v>
      </c>
      <c r="AD4" s="355" t="str">
        <f>IFERROR(VLOOKUP((IF(MOD(W8,1)&lt;=0.4, ROUNDDOWN(W8,0), IF(MOD(W8,1)=0.5, W8, ROUNDUP(W8,0)))), $Z$32:$AA$64, 2,FALSE), "NR")</f>
        <v>A1</v>
      </c>
      <c r="AE4" s="356" t="b">
        <f t="shared" si="2"/>
        <v>1</v>
      </c>
      <c r="AH4" s="143"/>
    </row>
    <row r="5" spans="1:34" s="116" customFormat="1" ht="14.1" thickBot="1" x14ac:dyDescent="0.5">
      <c r="A5" s="116" t="s">
        <v>50</v>
      </c>
      <c r="B5" s="116" t="s">
        <v>2630</v>
      </c>
      <c r="C5" s="561">
        <v>8.1000000000000003E-2</v>
      </c>
      <c r="D5" s="90">
        <v>9.5000000000000001E-2</v>
      </c>
      <c r="E5" s="562">
        <v>7.8001899999999999E-2</v>
      </c>
      <c r="F5" s="692">
        <v>0.95</v>
      </c>
      <c r="G5" s="563">
        <v>0.58242982625961304</v>
      </c>
      <c r="H5" s="708">
        <v>1.1200000000000001</v>
      </c>
      <c r="I5" s="698">
        <v>0.9</v>
      </c>
      <c r="J5" s="699">
        <v>0.83</v>
      </c>
      <c r="K5" s="1">
        <v>0.65849999999999997</v>
      </c>
      <c r="L5" s="1">
        <v>2.6469999999999998</v>
      </c>
      <c r="M5" s="701">
        <v>3.5105</v>
      </c>
      <c r="N5" s="700">
        <v>5.91E-2</v>
      </c>
      <c r="O5" s="280" t="s">
        <v>101</v>
      </c>
      <c r="P5" s="763" t="s">
        <v>88</v>
      </c>
      <c r="R5" s="357"/>
      <c r="S5" s="568"/>
      <c r="T5" s="339"/>
      <c r="U5" s="339" t="str">
        <f>A3</f>
        <v>ATO</v>
      </c>
      <c r="V5" s="358">
        <f>IFERROR(AVERAGE(V4:V4), "NR")</f>
        <v>7</v>
      </c>
      <c r="W5" s="359">
        <f>AVERAGE(W4:W4)</f>
        <v>5</v>
      </c>
      <c r="Y5" s="350" t="str">
        <f t="shared" si="0"/>
        <v>NI</v>
      </c>
      <c r="Z5" s="351">
        <f>V11</f>
        <v>8</v>
      </c>
      <c r="AA5" s="355" t="str">
        <f>IFERROR(VLOOKUP((IF(MOD(V11,1)&lt;=0.4, ROUNDDOWN(V11,0), IF(MOD(V11,1)=0.5, V11, ROUNDUP(V11,0)))), $AB$32:$AC$64, 2,FALSE), "NR")</f>
        <v>BBB+</v>
      </c>
      <c r="AB5" s="353" t="b">
        <f t="shared" si="1"/>
        <v>1</v>
      </c>
      <c r="AC5" s="354">
        <f>W11</f>
        <v>8</v>
      </c>
      <c r="AD5" s="355" t="str">
        <f>IFERROR(VLOOKUP((IF(MOD(W11,1)&lt;=0.4, ROUNDDOWN(W11,0), IF(MOD(W11,1)=0.5, W11, ROUNDUP(W11,0)))), $Z$32:$AA$64, 2,FALSE), "NR")</f>
        <v>Baa1</v>
      </c>
      <c r="AE5" s="356" t="b">
        <f t="shared" si="2"/>
        <v>1</v>
      </c>
      <c r="AH5" s="143"/>
    </row>
    <row r="6" spans="1:34" s="116" customFormat="1" ht="14.1" thickTop="1" x14ac:dyDescent="0.45">
      <c r="A6" s="116" t="s">
        <v>2862</v>
      </c>
      <c r="B6" s="116" t="s">
        <v>2867</v>
      </c>
      <c r="C6" s="561" t="s">
        <v>14</v>
      </c>
      <c r="D6" s="90">
        <v>6.5000000000000002E-2</v>
      </c>
      <c r="E6" s="562">
        <v>5.5E-2</v>
      </c>
      <c r="F6" s="692">
        <v>0.85</v>
      </c>
      <c r="G6" s="563">
        <v>0.730510413646698</v>
      </c>
      <c r="H6" s="708">
        <v>1.96</v>
      </c>
      <c r="I6" s="698">
        <v>0.85</v>
      </c>
      <c r="J6" s="699">
        <v>0.71</v>
      </c>
      <c r="K6" s="1">
        <v>0.50460000000000005</v>
      </c>
      <c r="L6" s="1">
        <v>3.3761000000000001</v>
      </c>
      <c r="M6" s="701">
        <v>3.9028999999999998</v>
      </c>
      <c r="N6" s="700">
        <v>7.5399999999999995E-2</v>
      </c>
      <c r="O6" s="280" t="s">
        <v>82</v>
      </c>
      <c r="P6" s="763" t="s">
        <v>88</v>
      </c>
      <c r="R6" s="357"/>
      <c r="S6" s="568"/>
      <c r="T6" s="339"/>
      <c r="U6" s="339"/>
      <c r="V6" s="339"/>
      <c r="W6" s="360"/>
      <c r="Y6" s="350" t="str">
        <f t="shared" si="0"/>
        <v>NWN</v>
      </c>
      <c r="Z6" s="351">
        <f>V14</f>
        <v>5</v>
      </c>
      <c r="AA6" s="355" t="str">
        <f>IFERROR(VLOOKUP((IF(MOD(V14,1)&lt;=0.4, ROUNDDOWN(V14,0), IF(MOD(V14,1)=0.5, V14, ROUNDUP(V14,0)))), $AB$32:$AC$64, 2,FALSE), "NR")</f>
        <v>A+</v>
      </c>
      <c r="AB6" s="353" t="b">
        <f t="shared" si="1"/>
        <v>1</v>
      </c>
      <c r="AC6" s="354">
        <f>W14</f>
        <v>8</v>
      </c>
      <c r="AD6" s="355" t="str">
        <f>IFERROR(VLOOKUP((IF(MOD(W14,1)&lt;=0.4, ROUNDDOWN(W14,0), IF(MOD(W14,1)=0.5,#REF!, ROUNDUP(W14, 0)))), $Z$32:$AA$64, 2,FALSE), "NR")</f>
        <v>Baa1</v>
      </c>
      <c r="AE6" s="356" t="b">
        <f t="shared" si="2"/>
        <v>1</v>
      </c>
      <c r="AH6" s="143"/>
    </row>
    <row r="7" spans="1:34" s="116" customFormat="1" x14ac:dyDescent="0.45">
      <c r="A7" s="116" t="s">
        <v>2863</v>
      </c>
      <c r="B7" s="116" t="s">
        <v>2868</v>
      </c>
      <c r="C7" s="561">
        <v>4.7E-2</v>
      </c>
      <c r="D7" s="90">
        <v>3.5000000000000003E-2</v>
      </c>
      <c r="E7" s="562">
        <v>2.6314899999999999E-2</v>
      </c>
      <c r="F7" s="692">
        <v>0.85</v>
      </c>
      <c r="G7" s="563">
        <v>0.65227264165878296</v>
      </c>
      <c r="H7" s="708">
        <v>2.68</v>
      </c>
      <c r="I7" s="698">
        <v>0.85</v>
      </c>
      <c r="J7" s="699">
        <v>0.71</v>
      </c>
      <c r="K7" s="1">
        <v>0.52059999999999995</v>
      </c>
      <c r="L7" s="1">
        <v>3.254</v>
      </c>
      <c r="M7" s="1">
        <v>3.8037999999999998</v>
      </c>
      <c r="N7" s="700">
        <v>7.2599999999999998E-2</v>
      </c>
      <c r="O7" s="280" t="s">
        <v>87</v>
      </c>
      <c r="P7" s="763" t="s">
        <v>85</v>
      </c>
      <c r="R7" s="357" t="s">
        <v>86</v>
      </c>
      <c r="S7" s="568" t="s">
        <v>100</v>
      </c>
      <c r="T7" s="339" t="s">
        <v>2871</v>
      </c>
      <c r="U7" s="339"/>
      <c r="V7" s="79" t="str">
        <f>IFERROR(VLOOKUP($R7,'1.14 MOODY_S&amp;P numbericl_assign'!$F$6:$H$26,3,FALSE),"NR")</f>
        <v>NR</v>
      </c>
      <c r="W7" s="80">
        <f>IFERROR(VLOOKUP($S7,'1.14 MOODY_S&amp;P numbericl_assign'!$B$6:$D$26,3,FALSE),"NR")</f>
        <v>5</v>
      </c>
      <c r="Y7" s="350" t="str">
        <f t="shared" si="0"/>
        <v>OGS</v>
      </c>
      <c r="Z7" s="351">
        <f>V16</f>
        <v>7</v>
      </c>
      <c r="AA7" s="355" t="str">
        <f>IFERROR(VLOOKUP((IF(MOD(V16,1)&lt;=0.4, ROUNDDOWN(V16,0), IF(MOD(V16,1)=0.5, V16, ROUNDUP(V16,0)))), $AB$32:$AC$64, 2,FALSE), "NR")</f>
        <v>A-</v>
      </c>
      <c r="AB7" s="353" t="b">
        <f t="shared" si="1"/>
        <v>1</v>
      </c>
      <c r="AC7" s="354">
        <f>W16</f>
        <v>7</v>
      </c>
      <c r="AD7" s="355" t="str">
        <f>IFERROR(VLOOKUP((IF(MOD(W16,1)&lt;=0.4, ROUNDDOWN(W16,0), IF(MOD(W16,1)=0.5,#REF!, ROUNDUP(W16, 0)))), $Z$32:$AA$64, 2,FALSE), "NR")</f>
        <v>A3</v>
      </c>
      <c r="AE7" s="356" t="b">
        <f t="shared" si="2"/>
        <v>1</v>
      </c>
      <c r="AH7" s="143"/>
    </row>
    <row r="8" spans="1:34" s="116" customFormat="1" ht="14.1" thickBot="1" x14ac:dyDescent="0.5">
      <c r="A8" s="116" t="s">
        <v>3809</v>
      </c>
      <c r="B8" s="116" t="s">
        <v>3811</v>
      </c>
      <c r="C8" s="561">
        <v>6.5000000000000002E-2</v>
      </c>
      <c r="D8" s="90">
        <v>0.1</v>
      </c>
      <c r="E8" s="562">
        <v>0.1050835</v>
      </c>
      <c r="F8" s="692">
        <v>0.95</v>
      </c>
      <c r="G8" s="563">
        <v>0.83346885442733765</v>
      </c>
      <c r="H8" s="708">
        <v>2.48</v>
      </c>
      <c r="I8" s="698">
        <v>0.9</v>
      </c>
      <c r="J8" s="699">
        <v>0.8</v>
      </c>
      <c r="K8" s="1">
        <v>0.54210000000000003</v>
      </c>
      <c r="L8" s="1">
        <v>3.4851999999999999</v>
      </c>
      <c r="M8" s="701">
        <v>4.1394000000000002</v>
      </c>
      <c r="N8" s="700">
        <v>7.7799999999999994E-2</v>
      </c>
      <c r="O8" s="280" t="s">
        <v>103</v>
      </c>
      <c r="P8" s="763" t="s">
        <v>88</v>
      </c>
      <c r="R8" s="357"/>
      <c r="S8" s="568"/>
      <c r="T8" s="361"/>
      <c r="U8" s="339" t="str">
        <f>A4</f>
        <v>NJR</v>
      </c>
      <c r="V8" s="119" t="str">
        <f>IFERROR(AVERAGE(V7), "NR")</f>
        <v>NR</v>
      </c>
      <c r="W8" s="117">
        <f>IFERROR(AVERAGE(W7), "NR")</f>
        <v>5</v>
      </c>
      <c r="Y8" s="350" t="str">
        <f t="shared" si="0"/>
        <v>SWX</v>
      </c>
      <c r="Z8" s="351">
        <f>V19</f>
        <v>9</v>
      </c>
      <c r="AA8" s="355" t="str">
        <f>IFERROR(VLOOKUP((IF(MOD(V19,1)&lt;=0.4, ROUNDDOWN(V19,0), IF(MOD(V19,1)=0.5, V16, ROUNDUP(V19,0)))), $AB$32:$AC$64, 2,FALSE), "NR")</f>
        <v>BBB</v>
      </c>
      <c r="AB8" s="353" t="b">
        <f t="shared" si="1"/>
        <v>1</v>
      </c>
      <c r="AC8" s="354">
        <f>W19</f>
        <v>8</v>
      </c>
      <c r="AD8" s="355" t="str">
        <f>IFERROR(VLOOKUP((IF(MOD(W19,1)&lt;=0.4, ROUNDDOWN(W19,0), IF(MOD(W19,1)=0.5, W19, ROUNDUP(W19, 0)))), $Z$32:$AA$64, 2,FALSE), "NR")</f>
        <v>Baa1</v>
      </c>
      <c r="AE8" s="356" t="b">
        <f t="shared" si="2"/>
        <v>1</v>
      </c>
      <c r="AH8" s="143"/>
    </row>
    <row r="9" spans="1:34" s="116" customFormat="1" ht="14.1" thickTop="1" x14ac:dyDescent="0.45">
      <c r="A9" s="761" t="s">
        <v>2864</v>
      </c>
      <c r="B9" s="761" t="s">
        <v>2869</v>
      </c>
      <c r="C9" s="564">
        <v>5.8000000000000003E-2</v>
      </c>
      <c r="D9" s="565">
        <v>4.4999999999999998E-2</v>
      </c>
      <c r="E9" s="566">
        <v>6.8154699999999999E-2</v>
      </c>
      <c r="F9" s="693">
        <v>0.9</v>
      </c>
      <c r="G9" s="567">
        <v>0.66697824001312256</v>
      </c>
      <c r="H9" s="709">
        <v>3.14</v>
      </c>
      <c r="I9" s="702">
        <v>0.85</v>
      </c>
      <c r="J9" s="703">
        <v>0.74</v>
      </c>
      <c r="K9" s="704">
        <v>0.55759999999999998</v>
      </c>
      <c r="L9" s="704">
        <v>3.0952999999999999</v>
      </c>
      <c r="M9" s="705">
        <v>3.7214999999999998</v>
      </c>
      <c r="N9" s="706">
        <v>6.9099999999999995E-2</v>
      </c>
      <c r="O9" s="764" t="s">
        <v>101</v>
      </c>
      <c r="P9" s="765" t="s">
        <v>2650</v>
      </c>
      <c r="R9" s="357"/>
      <c r="S9" s="568"/>
      <c r="T9" s="339"/>
      <c r="U9" s="339"/>
      <c r="V9" s="339"/>
      <c r="W9" s="360"/>
      <c r="Y9" s="362" t="str">
        <f t="shared" si="0"/>
        <v>SR</v>
      </c>
      <c r="Z9" s="363">
        <f>V23</f>
        <v>8</v>
      </c>
      <c r="AA9" s="364" t="str">
        <f>IFERROR(VLOOKUP((IF(MOD(V23,1)&lt;=0.4, ROUNDDOWN(V23,0), IF(MOD(V23,1)=0.5, V23, ROUNDUP(V23,0)))), $AB$32:$AC$64, 2,FALSE), "NR")</f>
        <v>BBB+</v>
      </c>
      <c r="AB9" s="365" t="b">
        <f t="shared" si="1"/>
        <v>1</v>
      </c>
      <c r="AC9" s="366">
        <f>W23</f>
        <v>5.5</v>
      </c>
      <c r="AD9" s="364" t="str">
        <f>IFERROR(VLOOKUP((IF(MOD(W23,1)&lt;=0.4, ROUNDDOWN(W23,0), IF(MOD(W23,1)=0.5, W23, ROUNDUP(W23,0)))), $Z$32:$AA$64, 2,FALSE), "NR")</f>
        <v>A1/A2</v>
      </c>
      <c r="AE9" s="367" t="b">
        <f t="shared" si="2"/>
        <v>1</v>
      </c>
    </row>
    <row r="10" spans="1:34" s="116" customFormat="1" ht="13.5" customHeight="1" x14ac:dyDescent="0.45">
      <c r="C10" s="90"/>
      <c r="D10" s="90"/>
      <c r="E10" s="106"/>
      <c r="F10" s="107"/>
      <c r="G10" s="280"/>
      <c r="H10" s="280"/>
      <c r="I10" s="1"/>
      <c r="J10" s="1"/>
      <c r="K10" s="1"/>
      <c r="L10" s="1"/>
      <c r="M10" s="1"/>
      <c r="N10" s="1"/>
      <c r="R10" s="357" t="s">
        <v>101</v>
      </c>
      <c r="S10" s="568" t="s">
        <v>88</v>
      </c>
      <c r="T10" s="339" t="s">
        <v>2872</v>
      </c>
      <c r="U10" s="339"/>
      <c r="V10" s="79">
        <f>IFERROR(VLOOKUP($R10,'1.14 MOODY_S&amp;P numbericl_assign'!$F$6:$H$26,3,FALSE),"NR")</f>
        <v>8</v>
      </c>
      <c r="W10" s="80">
        <f>IFERROR(VLOOKUP($S10,'1.14 MOODY_S&amp;P numbericl_assign'!$B$6:$D$26,3,FALSE),"NR")</f>
        <v>8</v>
      </c>
    </row>
    <row r="11" spans="1:34" s="116" customFormat="1" ht="14.1" thickBot="1" x14ac:dyDescent="0.5">
      <c r="C11" s="90"/>
      <c r="D11" s="90"/>
      <c r="E11" s="106"/>
      <c r="F11" s="107"/>
      <c r="G11" s="280"/>
      <c r="H11" s="368"/>
      <c r="I11" s="1"/>
      <c r="J11" s="1"/>
      <c r="K11" s="1"/>
      <c r="L11" s="1"/>
      <c r="M11" s="1"/>
      <c r="N11" s="1"/>
      <c r="R11" s="357"/>
      <c r="S11" s="568"/>
      <c r="T11" s="339"/>
      <c r="U11" s="339" t="str">
        <f>A5</f>
        <v>NI</v>
      </c>
      <c r="V11" s="119">
        <f>IFERROR(AVERAGE(V10), "NR")</f>
        <v>8</v>
      </c>
      <c r="W11" s="117">
        <f>IFERROR(AVERAGE(W10), "NR")</f>
        <v>8</v>
      </c>
    </row>
    <row r="12" spans="1:34" s="116" customFormat="1" ht="14.1" thickTop="1" x14ac:dyDescent="0.45">
      <c r="C12" s="90"/>
      <c r="D12" s="90"/>
      <c r="E12" s="106"/>
      <c r="G12" s="280"/>
      <c r="H12" s="368"/>
      <c r="I12" s="1"/>
      <c r="J12" s="1"/>
      <c r="K12" s="1"/>
      <c r="L12" s="1"/>
      <c r="M12" s="1"/>
      <c r="N12" s="1"/>
      <c r="R12" s="357"/>
      <c r="S12" s="568"/>
      <c r="T12" s="339"/>
      <c r="U12" s="339"/>
      <c r="V12" s="79"/>
      <c r="W12" s="80"/>
    </row>
    <row r="13" spans="1:34" s="116" customFormat="1" x14ac:dyDescent="0.45">
      <c r="C13" s="90"/>
      <c r="D13" s="90"/>
      <c r="E13" s="106"/>
      <c r="G13" s="280"/>
      <c r="H13" s="368"/>
      <c r="I13" s="1"/>
      <c r="J13" s="1"/>
      <c r="K13" s="1"/>
      <c r="L13" s="1"/>
      <c r="M13" s="1"/>
      <c r="N13" s="1"/>
      <c r="R13" s="357" t="s">
        <v>82</v>
      </c>
      <c r="S13" s="568" t="s">
        <v>88</v>
      </c>
      <c r="T13" s="339" t="s">
        <v>2873</v>
      </c>
      <c r="U13" s="339"/>
      <c r="V13" s="79">
        <f>IFERROR(VLOOKUP($R13,'1.14 MOODY_S&amp;P numbericl_assign'!$F$6:$H$26,3,FALSE),"NR")</f>
        <v>5</v>
      </c>
      <c r="W13" s="80">
        <f>IFERROR(VLOOKUP($S13,'1.14 MOODY_S&amp;P numbericl_assign'!$B$6:$D$26,3,FALSE),"NR")</f>
        <v>8</v>
      </c>
      <c r="X13" s="2"/>
      <c r="Z13" s="2"/>
      <c r="AA13" s="2"/>
      <c r="AB13" s="2"/>
      <c r="AC13" s="2"/>
    </row>
    <row r="14" spans="1:34" s="116" customFormat="1" ht="14.1" thickBot="1" x14ac:dyDescent="0.5">
      <c r="C14" s="90"/>
      <c r="D14" s="90"/>
      <c r="E14" s="106"/>
      <c r="G14" s="280"/>
      <c r="H14" s="368"/>
      <c r="I14" s="1"/>
      <c r="J14" s="1"/>
      <c r="K14" s="1"/>
      <c r="L14" s="1"/>
      <c r="M14" s="1"/>
      <c r="N14" s="1"/>
      <c r="R14" s="357"/>
      <c r="S14" s="568"/>
      <c r="T14" s="339"/>
      <c r="U14" s="339" t="str">
        <f>A6</f>
        <v>NWN</v>
      </c>
      <c r="V14" s="119">
        <f>AVERAGE(V13:V13)</f>
        <v>5</v>
      </c>
      <c r="W14" s="117">
        <f>AVERAGE(W13:W13)</f>
        <v>8</v>
      </c>
      <c r="X14" s="339"/>
      <c r="Z14" s="2"/>
      <c r="AA14" s="2"/>
      <c r="AB14" s="2"/>
      <c r="AC14" s="2"/>
    </row>
    <row r="15" spans="1:34" s="116" customFormat="1" ht="14.1" thickTop="1" x14ac:dyDescent="0.45">
      <c r="C15" s="90"/>
      <c r="D15" s="90"/>
      <c r="E15" s="106"/>
      <c r="G15" s="280"/>
      <c r="H15" s="368"/>
      <c r="I15" s="1"/>
      <c r="J15" s="1"/>
      <c r="K15" s="1"/>
      <c r="L15" s="1"/>
      <c r="M15" s="1"/>
      <c r="N15" s="1"/>
      <c r="R15" s="357"/>
      <c r="S15" s="568"/>
      <c r="T15" s="339"/>
      <c r="U15" s="339"/>
      <c r="V15" s="339"/>
      <c r="W15" s="80"/>
      <c r="X15" s="339"/>
      <c r="AB15" s="2"/>
      <c r="AC15" s="2"/>
    </row>
    <row r="16" spans="1:34" s="116" customFormat="1" ht="14.1" thickBot="1" x14ac:dyDescent="0.5">
      <c r="A16" s="1"/>
      <c r="B16" s="369"/>
      <c r="C16" s="1"/>
      <c r="D16" s="118"/>
      <c r="E16" s="106"/>
      <c r="G16" s="280"/>
      <c r="H16" s="368"/>
      <c r="I16" s="1"/>
      <c r="J16" s="1"/>
      <c r="K16" s="1"/>
      <c r="L16" s="1"/>
      <c r="M16" s="280"/>
      <c r="N16" s="1"/>
      <c r="O16" s="1"/>
      <c r="P16" s="1"/>
      <c r="R16" s="357" t="s">
        <v>87</v>
      </c>
      <c r="S16" s="568" t="s">
        <v>85</v>
      </c>
      <c r="T16" s="339" t="s">
        <v>2870</v>
      </c>
      <c r="U16" s="339" t="str">
        <f>A7</f>
        <v>OGS</v>
      </c>
      <c r="V16" s="175">
        <f>IFERROR(VLOOKUP($R16,'1.14 MOODY_S&amp;P numbericl_assign'!$F$6:$H$26,3,FALSE),"NR")</f>
        <v>7</v>
      </c>
      <c r="W16" s="176">
        <f>IFERROR(VLOOKUP($S16,'1.14 MOODY_S&amp;P numbericl_assign'!$B$6:$D$26,3,FALSE),"NR")</f>
        <v>7</v>
      </c>
      <c r="X16" s="1"/>
      <c r="Y16" s="1"/>
      <c r="Z16" s="1"/>
      <c r="AA16" s="1"/>
      <c r="AB16" s="1"/>
      <c r="AC16" s="1"/>
      <c r="AD16" s="1"/>
      <c r="AE16" s="1"/>
      <c r="AF16" s="1"/>
      <c r="AG16" s="1"/>
    </row>
    <row r="17" spans="1:33" s="116" customFormat="1" ht="14.1" thickTop="1" x14ac:dyDescent="0.45">
      <c r="A17" s="1"/>
      <c r="B17" s="369"/>
      <c r="C17" s="1"/>
      <c r="D17" s="118"/>
      <c r="E17" s="106"/>
      <c r="G17" s="280"/>
      <c r="H17" s="368"/>
      <c r="I17" s="1"/>
      <c r="J17" s="1"/>
      <c r="K17" s="1"/>
      <c r="L17" s="1"/>
      <c r="M17" s="280"/>
      <c r="N17" s="1"/>
      <c r="O17" s="1"/>
      <c r="P17" s="1"/>
      <c r="R17" s="357"/>
      <c r="S17" s="568"/>
      <c r="T17" s="339"/>
      <c r="U17" s="339"/>
      <c r="V17" s="79"/>
      <c r="W17" s="80"/>
      <c r="X17" s="1"/>
      <c r="Y17" s="1"/>
      <c r="Z17" s="1"/>
      <c r="AA17" s="1"/>
      <c r="AB17" s="1"/>
      <c r="AC17" s="1"/>
      <c r="AD17" s="1"/>
      <c r="AE17" s="1"/>
      <c r="AF17" s="1"/>
      <c r="AG17" s="1"/>
    </row>
    <row r="18" spans="1:33" s="116" customFormat="1" x14ac:dyDescent="0.45">
      <c r="A18" s="1"/>
      <c r="B18" s="369"/>
      <c r="C18" s="1"/>
      <c r="D18" s="370"/>
      <c r="E18" s="106"/>
      <c r="G18" s="280"/>
      <c r="H18" s="280"/>
      <c r="I18" s="1"/>
      <c r="J18" s="1"/>
      <c r="K18" s="1"/>
      <c r="L18" s="1"/>
      <c r="M18" s="280"/>
      <c r="N18" s="1"/>
      <c r="O18" s="1"/>
      <c r="P18" s="1"/>
      <c r="R18" s="357" t="s">
        <v>103</v>
      </c>
      <c r="S18" s="568" t="s">
        <v>88</v>
      </c>
      <c r="T18" s="339" t="s">
        <v>3812</v>
      </c>
      <c r="U18" s="339"/>
      <c r="V18" s="79">
        <f>IFERROR(VLOOKUP($R18,'1.14 MOODY_S&amp;P numbericl_assign'!$F$6:$H$26,3,FALSE),"NR")</f>
        <v>9</v>
      </c>
      <c r="W18" s="80">
        <f>IFERROR(VLOOKUP($S18,'1.14 MOODY_S&amp;P numbericl_assign'!$B$6:$D$26,3,FALSE),"NR")</f>
        <v>8</v>
      </c>
      <c r="X18" s="1"/>
      <c r="Y18" s="1"/>
      <c r="Z18" s="1"/>
      <c r="AA18" s="1"/>
      <c r="AB18" s="1"/>
      <c r="AC18" s="1"/>
      <c r="AD18" s="1"/>
      <c r="AE18" s="1"/>
      <c r="AF18" s="1"/>
      <c r="AG18" s="1"/>
    </row>
    <row r="19" spans="1:33" s="116" customFormat="1" ht="14.1" thickBot="1" x14ac:dyDescent="0.5">
      <c r="A19" s="1"/>
      <c r="B19" s="369"/>
      <c r="C19" s="1"/>
      <c r="D19" s="370"/>
      <c r="E19" s="106"/>
      <c r="F19" s="107"/>
      <c r="G19" s="280"/>
      <c r="H19" s="1"/>
      <c r="I19" s="1"/>
      <c r="J19" s="1"/>
      <c r="K19" s="1"/>
      <c r="L19" s="280"/>
      <c r="M19" s="280"/>
      <c r="N19" s="1"/>
      <c r="O19" s="1"/>
      <c r="P19" s="1"/>
      <c r="R19" s="357"/>
      <c r="S19" s="568"/>
      <c r="T19" s="339"/>
      <c r="U19" s="339" t="s">
        <v>3809</v>
      </c>
      <c r="V19" s="119">
        <f>AVERAGE(V18:V18)</f>
        <v>9</v>
      </c>
      <c r="W19" s="117">
        <f>AVERAGE(W18:W18)</f>
        <v>8</v>
      </c>
      <c r="X19" s="1"/>
      <c r="Y19" s="1"/>
      <c r="Z19" s="1"/>
      <c r="AA19" s="1"/>
      <c r="AB19" s="1"/>
      <c r="AC19" s="1"/>
      <c r="AD19" s="1"/>
      <c r="AE19" s="1"/>
      <c r="AF19" s="1"/>
      <c r="AG19" s="1"/>
    </row>
    <row r="20" spans="1:33" s="116" customFormat="1" ht="14.1" thickTop="1" x14ac:dyDescent="0.45">
      <c r="A20" s="1"/>
      <c r="B20" s="369"/>
      <c r="C20" s="1"/>
      <c r="D20" s="370"/>
      <c r="E20" s="106"/>
      <c r="F20" s="107"/>
      <c r="H20" s="1"/>
      <c r="I20" s="1"/>
      <c r="J20" s="1"/>
      <c r="K20" s="1"/>
      <c r="L20" s="1"/>
      <c r="M20" s="1"/>
      <c r="N20" s="1"/>
      <c r="O20" s="1"/>
      <c r="P20" s="1"/>
      <c r="R20" s="357"/>
      <c r="S20" s="568"/>
      <c r="T20" s="339"/>
      <c r="U20" s="339"/>
      <c r="V20" s="339"/>
      <c r="W20" s="360"/>
      <c r="X20" s="1"/>
      <c r="Y20" s="1"/>
      <c r="Z20" s="1"/>
      <c r="AA20" s="1"/>
      <c r="AB20" s="1"/>
      <c r="AC20" s="1"/>
      <c r="AD20" s="1"/>
      <c r="AE20" s="1"/>
      <c r="AF20" s="1"/>
      <c r="AG20" s="1"/>
    </row>
    <row r="21" spans="1:33" s="116" customFormat="1" x14ac:dyDescent="0.45">
      <c r="A21" s="1"/>
      <c r="B21" s="369"/>
      <c r="C21" s="1"/>
      <c r="D21" s="118"/>
      <c r="E21" s="106"/>
      <c r="F21" s="107"/>
      <c r="H21" s="1"/>
      <c r="I21" s="1"/>
      <c r="J21" s="1"/>
      <c r="K21" s="1"/>
      <c r="L21" s="1"/>
      <c r="M21" s="1"/>
      <c r="N21" s="1"/>
      <c r="O21" s="1"/>
      <c r="P21" s="1"/>
      <c r="R21" s="357" t="s">
        <v>101</v>
      </c>
      <c r="S21" s="568" t="s">
        <v>83</v>
      </c>
      <c r="T21" s="339" t="s">
        <v>2874</v>
      </c>
      <c r="U21" s="339"/>
      <c r="V21" s="79">
        <f>IFERROR(VLOOKUP($R21,'1.14 MOODY_S&amp;P numbericl_assign'!$F$6:$H$26,3,FALSE),"NR")</f>
        <v>8</v>
      </c>
      <c r="W21" s="80">
        <f>IFERROR(VLOOKUP($S21,'1.14 MOODY_S&amp;P numbericl_assign'!$B$6:$D$26,3,FALSE),"NR")</f>
        <v>6</v>
      </c>
      <c r="X21" s="1"/>
      <c r="Y21" s="1"/>
      <c r="Z21" s="1"/>
      <c r="AA21" s="1"/>
      <c r="AB21" s="1"/>
      <c r="AC21" s="1"/>
      <c r="AD21" s="1"/>
      <c r="AE21" s="1"/>
      <c r="AF21" s="1"/>
      <c r="AG21" s="1"/>
    </row>
    <row r="22" spans="1:33" s="116" customFormat="1" x14ac:dyDescent="0.45">
      <c r="A22" s="1"/>
      <c r="B22" s="369"/>
      <c r="C22" s="1"/>
      <c r="D22" s="118"/>
      <c r="E22" s="106"/>
      <c r="F22" s="107"/>
      <c r="H22" s="1"/>
      <c r="I22" s="1"/>
      <c r="J22" s="1"/>
      <c r="K22" s="1"/>
      <c r="L22" s="1"/>
      <c r="M22" s="1"/>
      <c r="N22" s="1"/>
      <c r="O22" s="1"/>
      <c r="P22" s="1"/>
      <c r="R22" s="357" t="s">
        <v>101</v>
      </c>
      <c r="S22" s="568" t="s">
        <v>100</v>
      </c>
      <c r="T22" s="339" t="s">
        <v>2875</v>
      </c>
      <c r="U22" s="339"/>
      <c r="V22" s="79">
        <f>IFERROR(VLOOKUP($R22,'1.14 MOODY_S&amp;P numbericl_assign'!$F$6:$H$26,3,FALSE),"NR")</f>
        <v>8</v>
      </c>
      <c r="W22" s="80">
        <f>IFERROR(VLOOKUP($S22,'1.14 MOODY_S&amp;P numbericl_assign'!$B$6:$D$26,3,FALSE),"NR")</f>
        <v>5</v>
      </c>
      <c r="X22" s="1"/>
      <c r="Y22" s="1"/>
      <c r="Z22" s="1"/>
      <c r="AA22" s="1"/>
      <c r="AB22" s="1"/>
      <c r="AC22" s="1"/>
      <c r="AD22" s="1"/>
      <c r="AE22" s="1"/>
      <c r="AF22" s="1"/>
      <c r="AG22" s="1"/>
    </row>
    <row r="23" spans="1:33" s="116" customFormat="1" ht="14.1" thickBot="1" x14ac:dyDescent="0.5">
      <c r="A23" s="1"/>
      <c r="B23" s="369"/>
      <c r="F23" s="280"/>
      <c r="H23" s="1"/>
      <c r="I23" s="1"/>
      <c r="J23" s="1"/>
      <c r="K23" s="1"/>
      <c r="L23" s="1"/>
      <c r="M23" s="1"/>
      <c r="N23" s="1"/>
      <c r="O23" s="1"/>
      <c r="P23" s="1"/>
      <c r="R23" s="357"/>
      <c r="S23" s="568"/>
      <c r="T23" s="339"/>
      <c r="U23" s="339" t="str">
        <f>A9</f>
        <v>SR</v>
      </c>
      <c r="V23" s="119">
        <f>AVERAGE(V21:V22)</f>
        <v>8</v>
      </c>
      <c r="W23" s="117">
        <f>AVERAGE(W21:W22)</f>
        <v>5.5</v>
      </c>
      <c r="X23" s="1"/>
      <c r="Y23" s="1"/>
      <c r="Z23" s="1"/>
      <c r="AA23" s="1"/>
      <c r="AB23" s="1"/>
      <c r="AC23" s="1"/>
      <c r="AD23" s="1"/>
      <c r="AE23" s="1"/>
      <c r="AF23" s="1"/>
      <c r="AG23" s="1"/>
    </row>
    <row r="24" spans="1:33" s="116" customFormat="1" ht="14.1" thickTop="1" x14ac:dyDescent="0.45">
      <c r="A24" s="1"/>
      <c r="B24" s="369"/>
      <c r="F24" s="1"/>
      <c r="H24" s="1"/>
      <c r="I24" s="1"/>
      <c r="J24" s="1"/>
      <c r="K24" s="1"/>
      <c r="L24" s="1"/>
      <c r="M24" s="1"/>
      <c r="N24" s="1"/>
      <c r="O24" s="1"/>
      <c r="P24" s="1"/>
      <c r="R24" s="371"/>
      <c r="S24" s="372"/>
      <c r="T24" s="372"/>
      <c r="U24" s="372"/>
      <c r="V24" s="372"/>
      <c r="W24" s="373"/>
      <c r="X24" s="1"/>
      <c r="Y24" s="1"/>
      <c r="Z24" s="1"/>
      <c r="AA24" s="1"/>
      <c r="AB24" s="1"/>
      <c r="AC24" s="1"/>
      <c r="AD24" s="1"/>
      <c r="AE24" s="1"/>
      <c r="AF24" s="1"/>
      <c r="AG24" s="1"/>
    </row>
    <row r="25" spans="1:33" s="116" customFormat="1" x14ac:dyDescent="0.45">
      <c r="A25" s="1"/>
      <c r="B25" s="369"/>
      <c r="C25" s="1"/>
      <c r="D25" s="1"/>
      <c r="E25" s="1"/>
      <c r="F25" s="1"/>
      <c r="G25" s="1"/>
      <c r="H25" s="1"/>
      <c r="I25" s="1"/>
      <c r="J25" s="1"/>
      <c r="K25" s="1"/>
      <c r="L25" s="1"/>
      <c r="M25" s="1"/>
      <c r="N25" s="1"/>
      <c r="O25" s="1"/>
      <c r="P25" s="1"/>
      <c r="X25" s="1"/>
      <c r="Y25" s="1"/>
      <c r="Z25" s="1"/>
      <c r="AA25" s="1"/>
      <c r="AB25" s="1"/>
      <c r="AC25" s="1"/>
      <c r="AD25" s="1"/>
      <c r="AE25" s="1"/>
      <c r="AF25" s="1"/>
      <c r="AG25" s="1"/>
    </row>
    <row r="26" spans="1:33" s="116" customFormat="1" x14ac:dyDescent="0.45">
      <c r="A26" s="1"/>
      <c r="B26" s="369"/>
      <c r="C26" s="1"/>
      <c r="D26" s="1"/>
      <c r="E26" s="1"/>
      <c r="F26" s="1"/>
      <c r="G26" s="1"/>
      <c r="H26" s="1"/>
      <c r="I26" s="1"/>
      <c r="J26" s="1"/>
      <c r="K26" s="1"/>
      <c r="L26" s="1"/>
      <c r="M26" s="1"/>
      <c r="N26" s="1"/>
      <c r="O26" s="1"/>
      <c r="P26" s="1"/>
      <c r="X26" s="1"/>
      <c r="Y26" s="1"/>
      <c r="Z26" s="1"/>
      <c r="AA26" s="1"/>
      <c r="AB26" s="1"/>
      <c r="AC26" s="1"/>
      <c r="AD26" s="1"/>
      <c r="AE26" s="1"/>
      <c r="AF26" s="1"/>
      <c r="AG26" s="1"/>
    </row>
    <row r="32" spans="1:33" ht="52.2" x14ac:dyDescent="0.55000000000000004">
      <c r="Z32" s="374" t="s">
        <v>90</v>
      </c>
      <c r="AA32" s="374" t="s">
        <v>89</v>
      </c>
      <c r="AB32" s="374" t="s">
        <v>90</v>
      </c>
      <c r="AC32" s="374" t="s">
        <v>91</v>
      </c>
    </row>
    <row r="33" spans="26:29" ht="17.399999999999999" x14ac:dyDescent="0.55000000000000004">
      <c r="Z33" s="375"/>
      <c r="AA33" s="375"/>
      <c r="AB33" s="375"/>
      <c r="AC33" s="376"/>
    </row>
    <row r="34" spans="26:29" ht="17.399999999999999" x14ac:dyDescent="0.55000000000000004">
      <c r="Z34" s="376">
        <v>1</v>
      </c>
      <c r="AA34" s="377" t="s">
        <v>92</v>
      </c>
      <c r="AB34" s="376">
        <v>1</v>
      </c>
      <c r="AC34" s="377" t="s">
        <v>93</v>
      </c>
    </row>
    <row r="35" spans="26:29" ht="17.399999999999999" x14ac:dyDescent="0.55000000000000004">
      <c r="Z35" s="376">
        <v>1.5</v>
      </c>
      <c r="AA35" s="377" t="s">
        <v>2646</v>
      </c>
      <c r="AB35" s="376">
        <v>1.5</v>
      </c>
      <c r="AC35" s="377" t="s">
        <v>2631</v>
      </c>
    </row>
    <row r="36" spans="26:29" ht="17.399999999999999" x14ac:dyDescent="0.55000000000000004">
      <c r="Z36" s="376">
        <v>2</v>
      </c>
      <c r="AA36" s="377" t="s">
        <v>94</v>
      </c>
      <c r="AB36" s="376">
        <v>2</v>
      </c>
      <c r="AC36" s="377" t="s">
        <v>95</v>
      </c>
    </row>
    <row r="37" spans="26:29" ht="17.399999999999999" x14ac:dyDescent="0.55000000000000004">
      <c r="Z37" s="376">
        <v>2.5</v>
      </c>
      <c r="AA37" s="377" t="s">
        <v>2647</v>
      </c>
      <c r="AB37" s="376">
        <v>2.5</v>
      </c>
      <c r="AC37" s="377" t="s">
        <v>2632</v>
      </c>
    </row>
    <row r="38" spans="26:29" ht="17.399999999999999" x14ac:dyDescent="0.55000000000000004">
      <c r="Z38" s="376">
        <v>3</v>
      </c>
      <c r="AA38" s="377" t="s">
        <v>96</v>
      </c>
      <c r="AB38" s="376">
        <v>3</v>
      </c>
      <c r="AC38" s="377" t="s">
        <v>97</v>
      </c>
    </row>
    <row r="39" spans="26:29" ht="17.399999999999999" x14ac:dyDescent="0.55000000000000004">
      <c r="Z39" s="376">
        <v>3.5</v>
      </c>
      <c r="AA39" s="377" t="s">
        <v>2648</v>
      </c>
      <c r="AB39" s="376">
        <v>3.5</v>
      </c>
      <c r="AC39" s="377" t="s">
        <v>2633</v>
      </c>
    </row>
    <row r="40" spans="26:29" ht="17.399999999999999" x14ac:dyDescent="0.55000000000000004">
      <c r="Z40" s="376">
        <v>4</v>
      </c>
      <c r="AA40" s="377" t="s">
        <v>98</v>
      </c>
      <c r="AB40" s="376">
        <v>4</v>
      </c>
      <c r="AC40" s="377" t="s">
        <v>99</v>
      </c>
    </row>
    <row r="41" spans="26:29" ht="17.399999999999999" x14ac:dyDescent="0.55000000000000004">
      <c r="Z41" s="376">
        <v>4.5</v>
      </c>
      <c r="AA41" s="377" t="s">
        <v>2649</v>
      </c>
      <c r="AB41" s="376">
        <v>4.5</v>
      </c>
      <c r="AC41" s="377" t="s">
        <v>2634</v>
      </c>
    </row>
    <row r="42" spans="26:29" ht="17.399999999999999" x14ac:dyDescent="0.55000000000000004">
      <c r="Z42" s="376">
        <v>5</v>
      </c>
      <c r="AA42" s="377" t="s">
        <v>100</v>
      </c>
      <c r="AB42" s="376">
        <v>5</v>
      </c>
      <c r="AC42" s="377" t="s">
        <v>82</v>
      </c>
    </row>
    <row r="43" spans="26:29" ht="17.399999999999999" x14ac:dyDescent="0.55000000000000004">
      <c r="Z43" s="376">
        <v>5.5</v>
      </c>
      <c r="AA43" s="377" t="s">
        <v>2650</v>
      </c>
      <c r="AB43" s="376">
        <v>5.5</v>
      </c>
      <c r="AC43" s="377" t="s">
        <v>2635</v>
      </c>
    </row>
    <row r="44" spans="26:29" ht="17.399999999999999" x14ac:dyDescent="0.55000000000000004">
      <c r="Z44" s="376">
        <v>6</v>
      </c>
      <c r="AA44" s="377" t="s">
        <v>83</v>
      </c>
      <c r="AB44" s="376">
        <v>6</v>
      </c>
      <c r="AC44" s="377" t="s">
        <v>84</v>
      </c>
    </row>
    <row r="45" spans="26:29" ht="17.399999999999999" x14ac:dyDescent="0.55000000000000004">
      <c r="Z45" s="376">
        <v>6.5</v>
      </c>
      <c r="AA45" s="377" t="s">
        <v>1207</v>
      </c>
      <c r="AB45" s="376">
        <v>6.5</v>
      </c>
      <c r="AC45" s="377" t="s">
        <v>2636</v>
      </c>
    </row>
    <row r="46" spans="26:29" ht="17.399999999999999" x14ac:dyDescent="0.55000000000000004">
      <c r="Z46" s="376">
        <v>7</v>
      </c>
      <c r="AA46" s="377" t="s">
        <v>85</v>
      </c>
      <c r="AB46" s="376">
        <v>7</v>
      </c>
      <c r="AC46" s="377" t="s">
        <v>87</v>
      </c>
    </row>
    <row r="47" spans="26:29" ht="17.399999999999999" x14ac:dyDescent="0.55000000000000004">
      <c r="Z47" s="376">
        <v>7.5</v>
      </c>
      <c r="AA47" s="377" t="s">
        <v>2651</v>
      </c>
      <c r="AB47" s="376">
        <v>7.5</v>
      </c>
      <c r="AC47" s="377" t="s">
        <v>2637</v>
      </c>
    </row>
    <row r="48" spans="26:29" ht="17.399999999999999" x14ac:dyDescent="0.55000000000000004">
      <c r="Z48" s="376">
        <v>8</v>
      </c>
      <c r="AA48" s="377" t="s">
        <v>88</v>
      </c>
      <c r="AB48" s="376">
        <v>8</v>
      </c>
      <c r="AC48" s="377" t="s">
        <v>101</v>
      </c>
    </row>
    <row r="49" spans="26:29" ht="17.399999999999999" x14ac:dyDescent="0.55000000000000004">
      <c r="Z49" s="376">
        <v>8.5</v>
      </c>
      <c r="AA49" s="377" t="s">
        <v>2652</v>
      </c>
      <c r="AB49" s="376">
        <v>8.5</v>
      </c>
      <c r="AC49" s="377" t="s">
        <v>2638</v>
      </c>
    </row>
    <row r="50" spans="26:29" ht="17.399999999999999" x14ac:dyDescent="0.55000000000000004">
      <c r="Z50" s="376">
        <v>9</v>
      </c>
      <c r="AA50" s="377" t="s">
        <v>102</v>
      </c>
      <c r="AB50" s="376">
        <v>9</v>
      </c>
      <c r="AC50" s="377" t="s">
        <v>103</v>
      </c>
    </row>
    <row r="51" spans="26:29" ht="17.399999999999999" x14ac:dyDescent="0.55000000000000004">
      <c r="Z51" s="376">
        <v>9.5</v>
      </c>
      <c r="AA51" s="377" t="s">
        <v>2653</v>
      </c>
      <c r="AB51" s="376">
        <v>9.5</v>
      </c>
      <c r="AC51" s="377" t="s">
        <v>2639</v>
      </c>
    </row>
    <row r="52" spans="26:29" ht="17.399999999999999" x14ac:dyDescent="0.55000000000000004">
      <c r="Z52" s="376">
        <v>10</v>
      </c>
      <c r="AA52" s="377" t="s">
        <v>104</v>
      </c>
      <c r="AB52" s="376">
        <v>10</v>
      </c>
      <c r="AC52" s="377" t="s">
        <v>105</v>
      </c>
    </row>
    <row r="53" spans="26:29" ht="17.399999999999999" x14ac:dyDescent="0.55000000000000004">
      <c r="Z53" s="376">
        <v>10.5</v>
      </c>
      <c r="AA53" s="377" t="s">
        <v>2654</v>
      </c>
      <c r="AB53" s="376">
        <v>10.5</v>
      </c>
      <c r="AC53" s="377" t="s">
        <v>2640</v>
      </c>
    </row>
    <row r="54" spans="26:29" ht="17.399999999999999" x14ac:dyDescent="0.55000000000000004">
      <c r="Z54" s="376">
        <v>11</v>
      </c>
      <c r="AA54" s="377" t="s">
        <v>106</v>
      </c>
      <c r="AB54" s="376">
        <v>11</v>
      </c>
      <c r="AC54" s="377" t="s">
        <v>107</v>
      </c>
    </row>
    <row r="55" spans="26:29" ht="17.399999999999999" x14ac:dyDescent="0.55000000000000004">
      <c r="Z55" s="376">
        <v>11.5</v>
      </c>
      <c r="AA55" s="377" t="s">
        <v>2655</v>
      </c>
      <c r="AB55" s="376">
        <v>11.5</v>
      </c>
      <c r="AC55" s="377" t="s">
        <v>2641</v>
      </c>
    </row>
    <row r="56" spans="26:29" ht="17.399999999999999" x14ac:dyDescent="0.55000000000000004">
      <c r="Z56" s="376">
        <v>12</v>
      </c>
      <c r="AA56" s="377" t="s">
        <v>108</v>
      </c>
      <c r="AB56" s="376">
        <v>12</v>
      </c>
      <c r="AC56" s="377" t="s">
        <v>109</v>
      </c>
    </row>
    <row r="57" spans="26:29" ht="17.399999999999999" x14ac:dyDescent="0.55000000000000004">
      <c r="Z57" s="376">
        <v>12.5</v>
      </c>
      <c r="AA57" s="377" t="s">
        <v>2656</v>
      </c>
      <c r="AB57" s="376">
        <v>12.5</v>
      </c>
      <c r="AC57" s="377" t="s">
        <v>2642</v>
      </c>
    </row>
    <row r="58" spans="26:29" ht="17.399999999999999" x14ac:dyDescent="0.55000000000000004">
      <c r="Z58" s="376">
        <v>13</v>
      </c>
      <c r="AA58" s="377" t="s">
        <v>110</v>
      </c>
      <c r="AB58" s="376">
        <v>13</v>
      </c>
      <c r="AC58" s="377" t="s">
        <v>111</v>
      </c>
    </row>
    <row r="59" spans="26:29" ht="17.399999999999999" x14ac:dyDescent="0.55000000000000004">
      <c r="Z59" s="376">
        <v>13.5</v>
      </c>
      <c r="AA59" s="377" t="s">
        <v>2657</v>
      </c>
      <c r="AB59" s="376">
        <v>13.5</v>
      </c>
      <c r="AC59" s="377" t="s">
        <v>2643</v>
      </c>
    </row>
    <row r="60" spans="26:29" ht="17.399999999999999" x14ac:dyDescent="0.55000000000000004">
      <c r="Z60" s="376">
        <v>14</v>
      </c>
      <c r="AA60" s="377" t="s">
        <v>112</v>
      </c>
      <c r="AB60" s="376">
        <v>14</v>
      </c>
      <c r="AC60" s="377" t="s">
        <v>113</v>
      </c>
    </row>
    <row r="61" spans="26:29" ht="17.399999999999999" x14ac:dyDescent="0.55000000000000004">
      <c r="Z61" s="376">
        <v>14.5</v>
      </c>
      <c r="AA61" s="377" t="s">
        <v>2658</v>
      </c>
      <c r="AB61" s="376">
        <v>14.5</v>
      </c>
      <c r="AC61" s="377" t="s">
        <v>2644</v>
      </c>
    </row>
    <row r="62" spans="26:29" ht="17.399999999999999" x14ac:dyDescent="0.55000000000000004">
      <c r="Z62" s="376">
        <v>15</v>
      </c>
      <c r="AA62" s="377" t="s">
        <v>114</v>
      </c>
      <c r="AB62" s="376">
        <v>15</v>
      </c>
      <c r="AC62" s="377" t="s">
        <v>115</v>
      </c>
    </row>
    <row r="63" spans="26:29" ht="17.399999999999999" x14ac:dyDescent="0.55000000000000004">
      <c r="Z63" s="376">
        <v>15.5</v>
      </c>
      <c r="AA63" s="377" t="s">
        <v>2659</v>
      </c>
      <c r="AB63" s="376">
        <v>15.5</v>
      </c>
      <c r="AC63" s="377" t="s">
        <v>2645</v>
      </c>
    </row>
    <row r="64" spans="26:29" ht="17.399999999999999" x14ac:dyDescent="0.55000000000000004">
      <c r="Z64" s="376">
        <v>16</v>
      </c>
      <c r="AA64" s="377" t="s">
        <v>116</v>
      </c>
      <c r="AB64" s="376">
        <v>16</v>
      </c>
      <c r="AC64" s="377" t="s">
        <v>117</v>
      </c>
    </row>
  </sheetData>
  <mergeCells count="6">
    <mergeCell ref="Y1:AE1"/>
    <mergeCell ref="F1:G1"/>
    <mergeCell ref="H1:H2"/>
    <mergeCell ref="O1:P1"/>
    <mergeCell ref="C1:E1"/>
    <mergeCell ref="I1:N1"/>
  </mergeCells>
  <conditionalFormatting sqref="C18:D20 H20:P20 C21 H21:H24 I21:P26 C22:D22 F24 C25:H26">
    <cfRule type="containsText" dxfId="5" priority="1" operator="containsText" text="False">
      <formula>NOT(ISERROR(SEARCH("False",C18)))</formula>
    </cfRule>
  </conditionalFormatting>
  <pageMargins left="0.7" right="0.7" top="0.75" bottom="0.75" header="0.3" footer="0.3"/>
  <pageSetup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H524"/>
  <sheetViews>
    <sheetView topLeftCell="A4" zoomScale="85" zoomScaleNormal="85" workbookViewId="0">
      <selection activeCell="A4" sqref="A4"/>
    </sheetView>
  </sheetViews>
  <sheetFormatPr defaultColWidth="9" defaultRowHeight="13.8" x14ac:dyDescent="0.45"/>
  <cols>
    <col min="1" max="1" width="22.5234375" style="285" bestFit="1" customWidth="1"/>
    <col min="2" max="3" width="13.26171875" style="285" bestFit="1" customWidth="1"/>
    <col min="4" max="4" width="15.26171875" style="285" bestFit="1" customWidth="1"/>
    <col min="5" max="5" width="13.26171875" style="285" bestFit="1" customWidth="1"/>
    <col min="6" max="6" width="14.5234375" style="285" bestFit="1" customWidth="1"/>
    <col min="7" max="7" width="14.5234375" style="285" customWidth="1"/>
    <col min="8" max="8" width="14.26171875" style="285" bestFit="1" customWidth="1"/>
    <col min="9" max="16384" width="9" style="1"/>
  </cols>
  <sheetData>
    <row r="1" spans="1:8" ht="14.1" thickBot="1" x14ac:dyDescent="0.5"/>
    <row r="2" spans="1:8" ht="14.1" thickBot="1" x14ac:dyDescent="0.5">
      <c r="A2" s="378" t="s">
        <v>120</v>
      </c>
      <c r="B2" s="379">
        <f>Input!E2</f>
        <v>45688</v>
      </c>
    </row>
    <row r="4" spans="1:8" x14ac:dyDescent="0.45">
      <c r="A4" s="116" t="s">
        <v>118</v>
      </c>
      <c r="B4" s="1" t="str">
        <f>Input!A2</f>
        <v>ATO</v>
      </c>
      <c r="C4" s="1" t="str">
        <f>Input!A3</f>
        <v>NJR</v>
      </c>
      <c r="D4" s="1" t="str">
        <f>Input!A4</f>
        <v>NI</v>
      </c>
      <c r="E4" s="1" t="str">
        <f>Input!A5</f>
        <v>NWN</v>
      </c>
      <c r="F4" s="1" t="str">
        <f>Input!A6</f>
        <v>OGS</v>
      </c>
      <c r="G4" s="1" t="str">
        <f>Input!A7</f>
        <v>SWX</v>
      </c>
      <c r="H4" s="1" t="str">
        <f>Input!A8</f>
        <v>SR</v>
      </c>
    </row>
    <row r="5" spans="1:8" x14ac:dyDescent="0.45">
      <c r="A5" s="286" t="s">
        <v>119</v>
      </c>
      <c r="B5" s="285" t="str">
        <f>B4&amp;" US Equity"</f>
        <v>ATO US Equity</v>
      </c>
      <c r="C5" s="285" t="str">
        <f t="shared" ref="C5:H5" si="0">C4&amp;" US Equity"</f>
        <v>NJR US Equity</v>
      </c>
      <c r="D5" s="285" t="str">
        <f t="shared" si="0"/>
        <v>NI US Equity</v>
      </c>
      <c r="E5" s="285" t="str">
        <f t="shared" si="0"/>
        <v>NWN US Equity</v>
      </c>
      <c r="F5" s="285" t="str">
        <f t="shared" si="0"/>
        <v>OGS US Equity</v>
      </c>
      <c r="G5" s="285" t="str">
        <f t="shared" si="0"/>
        <v>SWX US Equity</v>
      </c>
      <c r="H5" s="285" t="str">
        <f t="shared" si="0"/>
        <v>SR US Equity</v>
      </c>
    </row>
    <row r="6" spans="1:8" x14ac:dyDescent="0.45">
      <c r="A6" s="286">
        <v>45688</v>
      </c>
      <c r="B6" s="287">
        <v>142.51</v>
      </c>
      <c r="C6" s="287">
        <v>47.95</v>
      </c>
      <c r="D6" s="287">
        <v>37.299999999999997</v>
      </c>
      <c r="E6" s="287">
        <v>39.92</v>
      </c>
      <c r="F6" s="287">
        <v>70.64</v>
      </c>
      <c r="G6" s="287">
        <v>74.680000000000007</v>
      </c>
      <c r="H6" s="287">
        <v>70.959999999999994</v>
      </c>
    </row>
    <row r="7" spans="1:8" x14ac:dyDescent="0.45">
      <c r="A7" s="286">
        <v>45687</v>
      </c>
      <c r="B7" s="287">
        <v>142.71</v>
      </c>
      <c r="C7" s="287">
        <v>47.89</v>
      </c>
      <c r="D7" s="287">
        <v>37.72</v>
      </c>
      <c r="E7" s="287">
        <v>40.49</v>
      </c>
      <c r="F7" s="287">
        <v>70.5</v>
      </c>
      <c r="G7" s="287">
        <v>74.97</v>
      </c>
      <c r="H7" s="287">
        <v>71.64</v>
      </c>
    </row>
    <row r="8" spans="1:8" x14ac:dyDescent="0.45">
      <c r="A8" s="286">
        <v>45686</v>
      </c>
      <c r="B8" s="287">
        <v>141.03</v>
      </c>
      <c r="C8" s="287">
        <v>47.03</v>
      </c>
      <c r="D8" s="287">
        <v>36.64</v>
      </c>
      <c r="E8" s="287">
        <v>39.74</v>
      </c>
      <c r="F8" s="287">
        <v>69.069999999999993</v>
      </c>
      <c r="G8" s="287">
        <v>73</v>
      </c>
      <c r="H8" s="287">
        <v>69.45</v>
      </c>
    </row>
    <row r="9" spans="1:8" x14ac:dyDescent="0.45">
      <c r="A9" s="286">
        <v>45685</v>
      </c>
      <c r="B9" s="287">
        <v>141.46</v>
      </c>
      <c r="C9" s="287">
        <v>47.41</v>
      </c>
      <c r="D9" s="287">
        <v>36.42</v>
      </c>
      <c r="E9" s="287">
        <v>40.36</v>
      </c>
      <c r="F9" s="287">
        <v>69.900000000000006</v>
      </c>
      <c r="G9" s="287">
        <v>73.87</v>
      </c>
      <c r="H9" s="287">
        <v>70.59</v>
      </c>
    </row>
    <row r="10" spans="1:8" x14ac:dyDescent="0.45">
      <c r="A10" s="286">
        <v>45684</v>
      </c>
      <c r="B10" s="287">
        <v>142.84</v>
      </c>
      <c r="C10" s="287">
        <v>47.87</v>
      </c>
      <c r="D10" s="287">
        <v>36.380000000000003</v>
      </c>
      <c r="E10" s="287">
        <v>40.76</v>
      </c>
      <c r="F10" s="287">
        <v>70.64</v>
      </c>
      <c r="G10" s="287">
        <v>74.56</v>
      </c>
      <c r="H10" s="287">
        <v>71.09</v>
      </c>
    </row>
    <row r="11" spans="1:8" x14ac:dyDescent="0.45">
      <c r="A11" s="286">
        <v>45681</v>
      </c>
      <c r="B11" s="287">
        <v>139.51</v>
      </c>
      <c r="C11" s="287">
        <v>46.87</v>
      </c>
      <c r="D11" s="287">
        <v>37.76</v>
      </c>
      <c r="E11" s="287">
        <v>39.880000000000003</v>
      </c>
      <c r="F11" s="287">
        <v>68.849999999999994</v>
      </c>
      <c r="G11" s="287">
        <v>73.67</v>
      </c>
      <c r="H11" s="287">
        <v>69.650000000000006</v>
      </c>
    </row>
    <row r="12" spans="1:8" x14ac:dyDescent="0.45">
      <c r="A12" s="286">
        <v>45680</v>
      </c>
      <c r="B12" s="287">
        <v>139.56</v>
      </c>
      <c r="C12" s="287">
        <v>46.69</v>
      </c>
      <c r="D12" s="287">
        <v>37.6</v>
      </c>
      <c r="E12" s="287">
        <v>39.75</v>
      </c>
      <c r="F12" s="287">
        <v>69.34</v>
      </c>
      <c r="G12" s="287">
        <v>71.099999999999994</v>
      </c>
      <c r="H12" s="287">
        <v>69.39</v>
      </c>
    </row>
    <row r="13" spans="1:8" x14ac:dyDescent="0.45">
      <c r="A13" s="286">
        <v>45679</v>
      </c>
      <c r="B13" s="287">
        <v>141.69</v>
      </c>
      <c r="C13" s="287">
        <v>46.62</v>
      </c>
      <c r="D13" s="287">
        <v>37.78</v>
      </c>
      <c r="E13" s="287">
        <v>39.86</v>
      </c>
      <c r="F13" s="287">
        <v>70.17</v>
      </c>
      <c r="G13" s="287">
        <v>72.19</v>
      </c>
      <c r="H13" s="287">
        <v>69.5</v>
      </c>
    </row>
    <row r="14" spans="1:8" x14ac:dyDescent="0.45">
      <c r="A14" s="286">
        <v>45678</v>
      </c>
      <c r="B14" s="287">
        <v>145.46</v>
      </c>
      <c r="C14" s="287">
        <v>47.79</v>
      </c>
      <c r="D14" s="287">
        <v>38.56</v>
      </c>
      <c r="E14" s="287">
        <v>41.22</v>
      </c>
      <c r="F14" s="287">
        <v>72.16</v>
      </c>
      <c r="G14" s="287">
        <v>73.66</v>
      </c>
      <c r="H14" s="287">
        <v>72.319999999999993</v>
      </c>
    </row>
    <row r="15" spans="1:8" x14ac:dyDescent="0.45">
      <c r="A15" s="286">
        <v>45674</v>
      </c>
      <c r="B15" s="287">
        <v>145.37</v>
      </c>
      <c r="C15" s="287">
        <v>47.33</v>
      </c>
      <c r="D15" s="287">
        <v>38.11</v>
      </c>
      <c r="E15" s="287">
        <v>40.409999999999997</v>
      </c>
      <c r="F15" s="287">
        <v>72.75</v>
      </c>
      <c r="G15" s="287">
        <v>72.27</v>
      </c>
      <c r="H15" s="287">
        <v>69.599999999999994</v>
      </c>
    </row>
    <row r="16" spans="1:8" x14ac:dyDescent="0.45">
      <c r="A16" s="286">
        <v>45673</v>
      </c>
      <c r="B16" s="287">
        <v>144.94</v>
      </c>
      <c r="C16" s="287">
        <v>47.41</v>
      </c>
      <c r="D16" s="287">
        <v>38.03</v>
      </c>
      <c r="E16" s="287">
        <v>40.15</v>
      </c>
      <c r="F16" s="287">
        <v>72.59</v>
      </c>
      <c r="G16" s="287">
        <v>71.489999999999995</v>
      </c>
      <c r="H16" s="287">
        <v>68.709999999999994</v>
      </c>
    </row>
    <row r="17" spans="1:8" x14ac:dyDescent="0.45">
      <c r="A17" s="286">
        <v>45672</v>
      </c>
      <c r="B17" s="287">
        <v>141.08000000000001</v>
      </c>
      <c r="C17" s="287">
        <v>46.47</v>
      </c>
      <c r="D17" s="287">
        <v>36.909999999999997</v>
      </c>
      <c r="E17" s="287">
        <v>39.36</v>
      </c>
      <c r="F17" s="287">
        <v>70.89</v>
      </c>
      <c r="G17" s="287">
        <v>69.83</v>
      </c>
      <c r="H17" s="287">
        <v>67.59</v>
      </c>
    </row>
    <row r="18" spans="1:8" x14ac:dyDescent="0.45">
      <c r="A18" s="286">
        <v>45671</v>
      </c>
      <c r="B18" s="287">
        <v>140.72</v>
      </c>
      <c r="C18" s="287">
        <v>46</v>
      </c>
      <c r="D18" s="287">
        <v>36.729999999999997</v>
      </c>
      <c r="E18" s="287">
        <v>39.44</v>
      </c>
      <c r="F18" s="287">
        <v>69.900000000000006</v>
      </c>
      <c r="G18" s="287">
        <v>69.84</v>
      </c>
      <c r="H18" s="287">
        <v>67.44</v>
      </c>
    </row>
    <row r="19" spans="1:8" x14ac:dyDescent="0.45">
      <c r="A19" s="286">
        <v>45670</v>
      </c>
      <c r="B19" s="287">
        <v>138.26</v>
      </c>
      <c r="C19" s="287">
        <v>45.65</v>
      </c>
      <c r="D19" s="287">
        <v>36.340000000000003</v>
      </c>
      <c r="E19" s="287">
        <v>38.72</v>
      </c>
      <c r="F19" s="287">
        <v>69.260000000000005</v>
      </c>
      <c r="G19" s="287">
        <v>69.36</v>
      </c>
      <c r="H19" s="287">
        <v>66.290000000000006</v>
      </c>
    </row>
    <row r="20" spans="1:8" x14ac:dyDescent="0.45">
      <c r="A20" s="286">
        <v>45667</v>
      </c>
      <c r="B20" s="287">
        <v>137.04</v>
      </c>
      <c r="C20" s="287">
        <v>45.25</v>
      </c>
      <c r="D20" s="287">
        <v>36.03</v>
      </c>
      <c r="E20" s="287">
        <v>38.31</v>
      </c>
      <c r="F20" s="287">
        <v>67.930000000000007</v>
      </c>
      <c r="G20" s="287">
        <v>68.42</v>
      </c>
      <c r="H20" s="287">
        <v>65.62</v>
      </c>
    </row>
    <row r="21" spans="1:8" x14ac:dyDescent="0.45">
      <c r="A21" s="286">
        <v>45665</v>
      </c>
      <c r="B21" s="287">
        <v>139.52000000000001</v>
      </c>
      <c r="C21" s="287">
        <v>46.42</v>
      </c>
      <c r="D21" s="287">
        <v>36.450000000000003</v>
      </c>
      <c r="E21" s="287">
        <v>39.17</v>
      </c>
      <c r="F21" s="287">
        <v>68.349999999999994</v>
      </c>
      <c r="G21" s="287">
        <v>70.34</v>
      </c>
      <c r="H21" s="287">
        <v>67.39</v>
      </c>
    </row>
    <row r="22" spans="1:8" x14ac:dyDescent="0.45">
      <c r="A22" s="286">
        <v>45664</v>
      </c>
      <c r="B22" s="287">
        <v>136.63</v>
      </c>
      <c r="C22" s="287">
        <v>45.66</v>
      </c>
      <c r="D22" s="287">
        <v>35.770000000000003</v>
      </c>
      <c r="E22" s="287">
        <v>38.58</v>
      </c>
      <c r="F22" s="287">
        <v>68.05</v>
      </c>
      <c r="G22" s="287">
        <v>70.760000000000005</v>
      </c>
      <c r="H22" s="287">
        <v>66.5</v>
      </c>
    </row>
    <row r="23" spans="1:8" x14ac:dyDescent="0.45">
      <c r="A23" s="286">
        <v>45663</v>
      </c>
      <c r="B23" s="287">
        <v>136.51</v>
      </c>
      <c r="C23" s="287">
        <v>45.68</v>
      </c>
      <c r="D23" s="287">
        <v>35.57</v>
      </c>
      <c r="E23" s="287">
        <v>38.69</v>
      </c>
      <c r="F23" s="287">
        <v>67.77</v>
      </c>
      <c r="G23" s="287">
        <v>70.2</v>
      </c>
      <c r="H23" s="287">
        <v>66.239999999999995</v>
      </c>
    </row>
    <row r="24" spans="1:8" x14ac:dyDescent="0.45">
      <c r="A24" s="286">
        <v>45660</v>
      </c>
      <c r="B24" s="287">
        <v>138.79</v>
      </c>
      <c r="C24" s="287">
        <v>46.74</v>
      </c>
      <c r="D24" s="287">
        <v>36.39</v>
      </c>
      <c r="E24" s="287">
        <v>39.69</v>
      </c>
      <c r="F24" s="287">
        <v>69.02</v>
      </c>
      <c r="G24" s="287">
        <v>71.34</v>
      </c>
      <c r="H24" s="287">
        <v>68.56</v>
      </c>
    </row>
    <row r="25" spans="1:8" x14ac:dyDescent="0.45">
      <c r="A25" s="286">
        <v>45659</v>
      </c>
      <c r="B25" s="287">
        <v>138.29</v>
      </c>
      <c r="C25" s="287">
        <v>46.43</v>
      </c>
      <c r="D25" s="287">
        <v>36.36</v>
      </c>
      <c r="E25" s="287">
        <v>39.520000000000003</v>
      </c>
      <c r="F25" s="287">
        <v>68.37</v>
      </c>
      <c r="G25" s="287">
        <v>70.31</v>
      </c>
      <c r="H25" s="287">
        <v>68.400000000000006</v>
      </c>
    </row>
    <row r="26" spans="1:8" x14ac:dyDescent="0.45">
      <c r="A26" s="286">
        <v>45657</v>
      </c>
      <c r="B26" s="287">
        <v>139.27000000000001</v>
      </c>
      <c r="C26" s="287">
        <v>46.65</v>
      </c>
      <c r="D26" s="287">
        <v>36.76</v>
      </c>
      <c r="E26" s="287">
        <v>39.56</v>
      </c>
      <c r="F26" s="287">
        <v>69.25</v>
      </c>
      <c r="G26" s="287">
        <v>70.709999999999994</v>
      </c>
      <c r="H26" s="287">
        <v>67.83</v>
      </c>
    </row>
    <row r="27" spans="1:8" x14ac:dyDescent="0.45">
      <c r="A27" s="286">
        <v>45656</v>
      </c>
      <c r="B27" s="287">
        <v>138.93</v>
      </c>
      <c r="C27" s="287">
        <v>46.53</v>
      </c>
      <c r="D27" s="287">
        <v>36.700000000000003</v>
      </c>
      <c r="E27" s="287">
        <v>39.369999999999997</v>
      </c>
      <c r="F27" s="287">
        <v>69.36</v>
      </c>
      <c r="G27" s="287">
        <v>70.23</v>
      </c>
      <c r="H27" s="287">
        <v>67.459999999999994</v>
      </c>
    </row>
    <row r="28" spans="1:8" x14ac:dyDescent="0.45">
      <c r="A28" s="286">
        <v>45653</v>
      </c>
      <c r="B28" s="287">
        <v>139.36000000000001</v>
      </c>
      <c r="C28" s="287">
        <v>46.52</v>
      </c>
      <c r="D28" s="287">
        <v>36.76</v>
      </c>
      <c r="E28" s="287">
        <v>39.479999999999997</v>
      </c>
      <c r="F28" s="287">
        <v>69.56</v>
      </c>
      <c r="G28" s="287">
        <v>70.349999999999994</v>
      </c>
      <c r="H28" s="287">
        <v>67.12</v>
      </c>
    </row>
    <row r="29" spans="1:8" x14ac:dyDescent="0.45">
      <c r="A29" s="286">
        <v>45652</v>
      </c>
      <c r="B29" s="287">
        <v>140</v>
      </c>
      <c r="C29" s="287">
        <v>46.71</v>
      </c>
      <c r="D29" s="287">
        <v>36.85</v>
      </c>
      <c r="E29" s="287">
        <v>39.76</v>
      </c>
      <c r="F29" s="287">
        <v>69.94</v>
      </c>
      <c r="G29" s="287">
        <v>70.41</v>
      </c>
      <c r="H29" s="287">
        <v>67.53</v>
      </c>
    </row>
    <row r="30" spans="1:8" x14ac:dyDescent="0.45">
      <c r="A30" s="286">
        <v>45650</v>
      </c>
      <c r="B30" s="287">
        <v>140.06</v>
      </c>
      <c r="C30" s="287">
        <v>46.83</v>
      </c>
      <c r="D30" s="287">
        <v>36.86</v>
      </c>
      <c r="E30" s="287">
        <v>39.68</v>
      </c>
      <c r="F30" s="287">
        <v>69.98</v>
      </c>
      <c r="G30" s="287">
        <v>70.52</v>
      </c>
      <c r="H30" s="287">
        <v>67.11</v>
      </c>
    </row>
    <row r="31" spans="1:8" x14ac:dyDescent="0.45">
      <c r="A31" s="286">
        <v>45649</v>
      </c>
      <c r="B31" s="287">
        <v>139.19999999999999</v>
      </c>
      <c r="C31" s="287">
        <v>46.4</v>
      </c>
      <c r="D31" s="287">
        <v>36.44</v>
      </c>
      <c r="E31" s="287">
        <v>39.5</v>
      </c>
      <c r="F31" s="287">
        <v>69.290000000000006</v>
      </c>
      <c r="G31" s="287">
        <v>69.55</v>
      </c>
      <c r="H31" s="287">
        <v>66.650000000000006</v>
      </c>
    </row>
    <row r="32" spans="1:8" x14ac:dyDescent="0.45">
      <c r="A32" s="286">
        <v>45646</v>
      </c>
      <c r="B32" s="287">
        <v>139.69</v>
      </c>
      <c r="C32" s="287">
        <v>46.51</v>
      </c>
      <c r="D32" s="287">
        <v>36.17</v>
      </c>
      <c r="E32" s="287">
        <v>39.57</v>
      </c>
      <c r="F32" s="287">
        <v>68.72</v>
      </c>
      <c r="G32" s="287">
        <v>69.650000000000006</v>
      </c>
      <c r="H32" s="287">
        <v>66.69</v>
      </c>
    </row>
    <row r="33" spans="1:8" x14ac:dyDescent="0.45">
      <c r="A33" s="286">
        <v>45645</v>
      </c>
      <c r="B33" s="287">
        <v>137.97</v>
      </c>
      <c r="C33" s="287">
        <v>46.03</v>
      </c>
      <c r="D33" s="287">
        <v>35.869999999999997</v>
      </c>
      <c r="E33" s="287">
        <v>39.61</v>
      </c>
      <c r="F33" s="287">
        <v>68.06</v>
      </c>
      <c r="G33" s="287">
        <v>69.569999999999993</v>
      </c>
      <c r="H33" s="287">
        <v>65.55</v>
      </c>
    </row>
    <row r="34" spans="1:8" x14ac:dyDescent="0.45">
      <c r="A34" s="286">
        <v>45644</v>
      </c>
      <c r="B34" s="287">
        <v>136.41</v>
      </c>
      <c r="C34" s="287">
        <v>45.4</v>
      </c>
      <c r="D34" s="287">
        <v>35.43</v>
      </c>
      <c r="E34" s="287">
        <v>39.21</v>
      </c>
      <c r="F34" s="287">
        <v>66.959999999999994</v>
      </c>
      <c r="G34" s="287">
        <v>67.87</v>
      </c>
      <c r="H34" s="287">
        <v>64.459999999999994</v>
      </c>
    </row>
    <row r="35" spans="1:8" x14ac:dyDescent="0.45">
      <c r="A35" s="286">
        <v>45643</v>
      </c>
      <c r="B35" s="287">
        <v>141.38</v>
      </c>
      <c r="C35" s="287">
        <v>47.52</v>
      </c>
      <c r="D35" s="287">
        <v>36.21</v>
      </c>
      <c r="E35" s="287">
        <v>41.03</v>
      </c>
      <c r="F35" s="287">
        <v>70.5</v>
      </c>
      <c r="G35" s="287">
        <v>70.83</v>
      </c>
      <c r="H35" s="287">
        <v>68.3</v>
      </c>
    </row>
    <row r="36" spans="1:8" x14ac:dyDescent="0.45">
      <c r="A36" s="286">
        <v>45642</v>
      </c>
      <c r="B36" s="287">
        <v>140.44999999999999</v>
      </c>
      <c r="C36" s="287">
        <v>47.67</v>
      </c>
      <c r="D36" s="287">
        <v>36.340000000000003</v>
      </c>
      <c r="E36" s="287">
        <v>41.29</v>
      </c>
      <c r="F36" s="287">
        <v>70.5</v>
      </c>
      <c r="G36" s="287">
        <v>72.2</v>
      </c>
      <c r="H36" s="287">
        <v>67.89</v>
      </c>
    </row>
    <row r="37" spans="1:8" x14ac:dyDescent="0.45">
      <c r="A37" s="286">
        <v>45639</v>
      </c>
      <c r="B37" s="287">
        <v>140.58000000000001</v>
      </c>
      <c r="C37" s="287">
        <v>47.55</v>
      </c>
      <c r="D37" s="287">
        <v>36.549999999999997</v>
      </c>
      <c r="E37" s="287">
        <v>41.81</v>
      </c>
      <c r="F37" s="287">
        <v>70.38</v>
      </c>
      <c r="G37" s="287">
        <v>72.849999999999994</v>
      </c>
      <c r="H37" s="287">
        <v>67.7</v>
      </c>
    </row>
    <row r="38" spans="1:8" x14ac:dyDescent="0.45">
      <c r="A38" s="286">
        <v>45638</v>
      </c>
      <c r="B38" s="287">
        <v>140.22</v>
      </c>
      <c r="C38" s="287">
        <v>47.83</v>
      </c>
      <c r="D38" s="287">
        <v>36.53</v>
      </c>
      <c r="E38" s="287">
        <v>41.57</v>
      </c>
      <c r="F38" s="287">
        <v>70.209999999999994</v>
      </c>
      <c r="G38" s="287">
        <v>74.180000000000007</v>
      </c>
      <c r="H38" s="287">
        <v>68.11</v>
      </c>
    </row>
    <row r="39" spans="1:8" x14ac:dyDescent="0.45">
      <c r="A39" s="286">
        <v>45637</v>
      </c>
      <c r="B39" s="287">
        <v>140.03</v>
      </c>
      <c r="C39" s="287">
        <v>47.87</v>
      </c>
      <c r="D39" s="287">
        <v>36.76</v>
      </c>
      <c r="E39" s="287">
        <v>41.84</v>
      </c>
      <c r="F39" s="287">
        <v>71.150000000000006</v>
      </c>
      <c r="G39" s="287">
        <v>75.14</v>
      </c>
      <c r="H39" s="287">
        <v>68.709999999999994</v>
      </c>
    </row>
    <row r="40" spans="1:8" x14ac:dyDescent="0.45">
      <c r="A40" s="286">
        <v>45636</v>
      </c>
      <c r="B40" s="287">
        <v>141.11000000000001</v>
      </c>
      <c r="C40" s="287">
        <v>48.73</v>
      </c>
      <c r="D40" s="287">
        <v>36.61</v>
      </c>
      <c r="E40" s="287">
        <v>41.97</v>
      </c>
      <c r="F40" s="287">
        <v>71.69</v>
      </c>
      <c r="G40" s="287">
        <v>74.78</v>
      </c>
      <c r="H40" s="287">
        <v>70.13</v>
      </c>
    </row>
    <row r="41" spans="1:8" x14ac:dyDescent="0.45">
      <c r="A41" s="286">
        <v>45635</v>
      </c>
      <c r="B41" s="287">
        <v>141.05000000000001</v>
      </c>
      <c r="C41" s="287">
        <v>48.53</v>
      </c>
      <c r="D41" s="287">
        <v>36.61</v>
      </c>
      <c r="E41" s="287">
        <v>41.76</v>
      </c>
      <c r="F41" s="287">
        <v>72.349999999999994</v>
      </c>
      <c r="G41" s="287">
        <v>75.13</v>
      </c>
      <c r="H41" s="287">
        <v>69.87</v>
      </c>
    </row>
    <row r="42" spans="1:8" x14ac:dyDescent="0.45">
      <c r="A42" s="286">
        <v>45632</v>
      </c>
      <c r="B42" s="287">
        <v>141.96</v>
      </c>
      <c r="C42" s="287">
        <v>49.18</v>
      </c>
      <c r="D42" s="287">
        <v>37.06</v>
      </c>
      <c r="E42" s="287">
        <v>41.9</v>
      </c>
      <c r="F42" s="287">
        <v>72.62</v>
      </c>
      <c r="G42" s="287">
        <v>75.63</v>
      </c>
      <c r="H42" s="287">
        <v>70.42</v>
      </c>
    </row>
    <row r="43" spans="1:8" x14ac:dyDescent="0.45">
      <c r="A43" s="286">
        <v>45631</v>
      </c>
      <c r="B43" s="287">
        <v>143.04</v>
      </c>
      <c r="C43" s="287">
        <v>49.8</v>
      </c>
      <c r="D43" s="287">
        <v>37.28</v>
      </c>
      <c r="E43" s="287">
        <v>42.3</v>
      </c>
      <c r="F43" s="287">
        <v>74.040000000000006</v>
      </c>
      <c r="G43" s="287">
        <v>76.48</v>
      </c>
      <c r="H43" s="287">
        <v>70.760000000000005</v>
      </c>
    </row>
    <row r="44" spans="1:8" x14ac:dyDescent="0.45">
      <c r="A44" s="286">
        <v>45630</v>
      </c>
      <c r="B44" s="287">
        <v>144</v>
      </c>
      <c r="C44" s="287">
        <v>50.1</v>
      </c>
      <c r="D44" s="287">
        <v>37.25</v>
      </c>
      <c r="E44" s="287">
        <v>42.93</v>
      </c>
      <c r="F44" s="287">
        <v>74.92</v>
      </c>
      <c r="G44" s="287">
        <v>77.040000000000006</v>
      </c>
      <c r="H44" s="287">
        <v>71.8</v>
      </c>
    </row>
    <row r="45" spans="1:8" x14ac:dyDescent="0.45">
      <c r="A45" s="286">
        <v>45629</v>
      </c>
      <c r="B45" s="287">
        <v>146.03</v>
      </c>
      <c r="C45" s="287">
        <v>50.17</v>
      </c>
      <c r="D45" s="287">
        <v>37.06</v>
      </c>
      <c r="E45" s="287">
        <v>42.94</v>
      </c>
      <c r="F45" s="287">
        <v>75.930000000000007</v>
      </c>
      <c r="G45" s="287">
        <v>78</v>
      </c>
      <c r="H45" s="287">
        <v>71.72</v>
      </c>
    </row>
    <row r="46" spans="1:8" x14ac:dyDescent="0.45">
      <c r="A46" s="286">
        <v>45628</v>
      </c>
      <c r="B46" s="287">
        <v>148.56</v>
      </c>
      <c r="C46" s="287">
        <v>51</v>
      </c>
      <c r="D46" s="287">
        <v>37.35</v>
      </c>
      <c r="E46" s="287">
        <v>43.26</v>
      </c>
      <c r="F46" s="287">
        <v>76.78</v>
      </c>
      <c r="G46" s="287">
        <v>78.16</v>
      </c>
      <c r="H46" s="287">
        <v>72.430000000000007</v>
      </c>
    </row>
    <row r="47" spans="1:8" x14ac:dyDescent="0.45">
      <c r="A47" s="286">
        <v>45625</v>
      </c>
      <c r="B47" s="287">
        <v>151.32</v>
      </c>
      <c r="C47" s="287">
        <v>51.58</v>
      </c>
      <c r="D47" s="287">
        <v>38.090000000000003</v>
      </c>
      <c r="E47" s="287">
        <v>43.82</v>
      </c>
      <c r="F47" s="287">
        <v>77.97</v>
      </c>
      <c r="G47" s="287">
        <v>78.16</v>
      </c>
      <c r="H47" s="287">
        <v>73.19</v>
      </c>
    </row>
    <row r="48" spans="1:8" x14ac:dyDescent="0.45">
      <c r="A48" s="286">
        <v>45623</v>
      </c>
      <c r="B48" s="287">
        <v>151.43</v>
      </c>
      <c r="C48" s="287">
        <v>51.61</v>
      </c>
      <c r="D48" s="287">
        <v>38.25</v>
      </c>
      <c r="E48" s="287">
        <v>43.34</v>
      </c>
      <c r="F48" s="287">
        <v>77.59</v>
      </c>
      <c r="G48" s="287">
        <v>78.3</v>
      </c>
      <c r="H48" s="287">
        <v>73.11</v>
      </c>
    </row>
    <row r="49" spans="1:8" x14ac:dyDescent="0.45">
      <c r="A49" s="286">
        <v>45622</v>
      </c>
      <c r="B49" s="287">
        <v>150.33000000000001</v>
      </c>
      <c r="C49" s="287">
        <v>50.71</v>
      </c>
      <c r="D49" s="287">
        <v>38.25</v>
      </c>
      <c r="E49" s="287">
        <v>43.29</v>
      </c>
      <c r="F49" s="287">
        <v>76.989999999999995</v>
      </c>
      <c r="G49" s="287">
        <v>78.069999999999993</v>
      </c>
      <c r="H49" s="287">
        <v>72.599999999999994</v>
      </c>
    </row>
    <row r="50" spans="1:8" x14ac:dyDescent="0.45">
      <c r="A50" s="286">
        <v>45621</v>
      </c>
      <c r="B50" s="287">
        <v>150.18</v>
      </c>
      <c r="C50" s="287">
        <v>51.5</v>
      </c>
      <c r="D50" s="287">
        <v>37.950000000000003</v>
      </c>
      <c r="E50" s="287">
        <v>43.85</v>
      </c>
      <c r="F50" s="287">
        <v>78.69</v>
      </c>
      <c r="G50" s="287">
        <v>79.16</v>
      </c>
      <c r="H50" s="287">
        <v>73.38</v>
      </c>
    </row>
    <row r="51" spans="1:8" x14ac:dyDescent="0.45">
      <c r="A51" s="286">
        <v>45618</v>
      </c>
      <c r="B51" s="287">
        <v>150.05000000000001</v>
      </c>
      <c r="C51" s="287">
        <v>51.04</v>
      </c>
      <c r="D51" s="287">
        <v>37.71</v>
      </c>
      <c r="E51" s="287">
        <v>43.78</v>
      </c>
      <c r="F51" s="287">
        <v>77.87</v>
      </c>
      <c r="G51" s="287">
        <v>77.510000000000005</v>
      </c>
      <c r="H51" s="287">
        <v>72.55</v>
      </c>
    </row>
    <row r="52" spans="1:8" x14ac:dyDescent="0.45">
      <c r="A52" s="286">
        <v>45617</v>
      </c>
      <c r="B52" s="287">
        <v>150.26</v>
      </c>
      <c r="C52" s="287">
        <v>49.85</v>
      </c>
      <c r="D52" s="287">
        <v>37.85</v>
      </c>
      <c r="E52" s="287">
        <v>43.21</v>
      </c>
      <c r="F52" s="287">
        <v>76.88</v>
      </c>
      <c r="G52" s="287">
        <v>77.47</v>
      </c>
      <c r="H52" s="287">
        <v>70.66</v>
      </c>
    </row>
    <row r="53" spans="1:8" x14ac:dyDescent="0.45">
      <c r="A53" s="286">
        <v>45616</v>
      </c>
      <c r="B53" s="287">
        <v>147.22</v>
      </c>
      <c r="C53" s="287">
        <v>48.79</v>
      </c>
      <c r="D53" s="287">
        <v>37.299999999999997</v>
      </c>
      <c r="E53" s="287">
        <v>42.12</v>
      </c>
      <c r="F53" s="287">
        <v>76.040000000000006</v>
      </c>
      <c r="G53" s="287">
        <v>76.260000000000005</v>
      </c>
      <c r="H53" s="287">
        <v>68.39</v>
      </c>
    </row>
    <row r="54" spans="1:8" x14ac:dyDescent="0.45">
      <c r="A54" s="286">
        <v>45615</v>
      </c>
      <c r="B54" s="287">
        <v>146.78</v>
      </c>
      <c r="C54" s="287">
        <v>48.74</v>
      </c>
      <c r="D54" s="287">
        <v>37.11</v>
      </c>
      <c r="E54" s="287">
        <v>41.84</v>
      </c>
      <c r="F54" s="287">
        <v>76.47</v>
      </c>
      <c r="G54" s="287">
        <v>79.11</v>
      </c>
      <c r="H54" s="287">
        <v>67.930000000000007</v>
      </c>
    </row>
    <row r="55" spans="1:8" x14ac:dyDescent="0.45">
      <c r="A55" s="286">
        <v>45614</v>
      </c>
      <c r="B55" s="287">
        <v>146.97</v>
      </c>
      <c r="C55" s="287">
        <v>48.45</v>
      </c>
      <c r="D55" s="287">
        <v>36.81</v>
      </c>
      <c r="E55" s="287">
        <v>41.61</v>
      </c>
      <c r="F55" s="287">
        <v>76.58</v>
      </c>
      <c r="G55" s="287">
        <v>77.430000000000007</v>
      </c>
      <c r="H55" s="287">
        <v>68.19</v>
      </c>
    </row>
    <row r="56" spans="1:8" x14ac:dyDescent="0.45">
      <c r="A56" s="286">
        <v>45611</v>
      </c>
      <c r="B56" s="287">
        <v>144.88999999999999</v>
      </c>
      <c r="C56" s="287">
        <v>48.01</v>
      </c>
      <c r="D56" s="287">
        <v>36.57</v>
      </c>
      <c r="E56" s="287">
        <v>41.15</v>
      </c>
      <c r="F56" s="287">
        <v>75.400000000000006</v>
      </c>
      <c r="G56" s="287">
        <v>76.489999999999995</v>
      </c>
      <c r="H56" s="287">
        <v>67.010000000000005</v>
      </c>
    </row>
    <row r="57" spans="1:8" x14ac:dyDescent="0.45">
      <c r="A57" s="286">
        <v>45610</v>
      </c>
      <c r="B57" s="287">
        <v>144.34</v>
      </c>
      <c r="C57" s="287">
        <v>47.27</v>
      </c>
      <c r="D57" s="287">
        <v>36.020000000000003</v>
      </c>
      <c r="E57" s="287">
        <v>40.630000000000003</v>
      </c>
      <c r="F57" s="287">
        <v>74.19</v>
      </c>
      <c r="G57" s="287">
        <v>76.28</v>
      </c>
      <c r="H57" s="287">
        <v>65.92</v>
      </c>
    </row>
    <row r="58" spans="1:8" x14ac:dyDescent="0.45">
      <c r="A58" s="286">
        <v>45609</v>
      </c>
      <c r="B58" s="287">
        <v>146.51</v>
      </c>
      <c r="C58" s="287">
        <v>47.73</v>
      </c>
      <c r="D58" s="287">
        <v>36.25</v>
      </c>
      <c r="E58" s="287">
        <v>41.29</v>
      </c>
      <c r="F58" s="287">
        <v>75.09</v>
      </c>
      <c r="G58" s="287">
        <v>76.64</v>
      </c>
      <c r="H58" s="287">
        <v>65.69</v>
      </c>
    </row>
    <row r="59" spans="1:8" x14ac:dyDescent="0.45">
      <c r="A59" s="286">
        <v>45608</v>
      </c>
      <c r="B59" s="287">
        <v>146.82</v>
      </c>
      <c r="C59" s="287">
        <v>47.75</v>
      </c>
      <c r="D59" s="287">
        <v>35.950000000000003</v>
      </c>
      <c r="E59" s="287">
        <v>41.63</v>
      </c>
      <c r="F59" s="287">
        <v>75.3</v>
      </c>
      <c r="G59" s="287">
        <v>77.62</v>
      </c>
      <c r="H59" s="287">
        <v>66.150000000000006</v>
      </c>
    </row>
    <row r="60" spans="1:8" x14ac:dyDescent="0.45">
      <c r="A60" s="286">
        <v>45607</v>
      </c>
      <c r="B60" s="287">
        <v>146.11000000000001</v>
      </c>
      <c r="C60" s="287">
        <v>47.56</v>
      </c>
      <c r="D60" s="287">
        <v>36.22</v>
      </c>
      <c r="E60" s="287">
        <v>41.44</v>
      </c>
      <c r="F60" s="287">
        <v>75.02</v>
      </c>
      <c r="G60" s="287">
        <v>77.099999999999994</v>
      </c>
      <c r="H60" s="287">
        <v>66.08</v>
      </c>
    </row>
    <row r="61" spans="1:8" x14ac:dyDescent="0.45">
      <c r="A61" s="286">
        <v>45604</v>
      </c>
      <c r="B61" s="287">
        <v>144.19</v>
      </c>
      <c r="C61" s="287">
        <v>46.82</v>
      </c>
      <c r="D61" s="287">
        <v>35.97</v>
      </c>
      <c r="E61" s="287">
        <v>40.880000000000003</v>
      </c>
      <c r="F61" s="287">
        <v>73.34</v>
      </c>
      <c r="G61" s="287">
        <v>75.010000000000005</v>
      </c>
      <c r="H61" s="287">
        <v>64.42</v>
      </c>
    </row>
    <row r="62" spans="1:8" x14ac:dyDescent="0.45">
      <c r="A62" s="286">
        <v>45603</v>
      </c>
      <c r="B62" s="287">
        <v>141.44</v>
      </c>
      <c r="C62" s="287">
        <v>46.38</v>
      </c>
      <c r="D62" s="287">
        <v>35</v>
      </c>
      <c r="E62" s="287">
        <v>40.36</v>
      </c>
      <c r="F62" s="287">
        <v>72.81</v>
      </c>
      <c r="G62" s="287">
        <v>73.38</v>
      </c>
      <c r="H62" s="287">
        <v>63.94</v>
      </c>
    </row>
    <row r="63" spans="1:8" x14ac:dyDescent="0.45">
      <c r="A63" s="286">
        <v>45602</v>
      </c>
      <c r="B63" s="287">
        <v>138.88</v>
      </c>
      <c r="C63" s="287">
        <v>46.94</v>
      </c>
      <c r="D63" s="287">
        <v>35.159999999999997</v>
      </c>
      <c r="E63" s="287">
        <v>40.909999999999997</v>
      </c>
      <c r="F63" s="287">
        <v>74.34</v>
      </c>
      <c r="G63" s="287">
        <v>73.650000000000006</v>
      </c>
      <c r="H63" s="287">
        <v>65.09</v>
      </c>
    </row>
    <row r="64" spans="1:8" x14ac:dyDescent="0.45">
      <c r="A64" s="286">
        <v>45601</v>
      </c>
      <c r="B64" s="287">
        <v>137.97999999999999</v>
      </c>
      <c r="C64" s="287">
        <v>45.69</v>
      </c>
      <c r="D64" s="287">
        <v>35.229999999999997</v>
      </c>
      <c r="E64" s="287">
        <v>39.1</v>
      </c>
      <c r="F64" s="287">
        <v>70.53</v>
      </c>
      <c r="G64" s="287">
        <v>73.63</v>
      </c>
      <c r="H64" s="287">
        <v>62.8</v>
      </c>
    </row>
    <row r="65" spans="1:8" x14ac:dyDescent="0.45">
      <c r="A65" s="286">
        <v>45600</v>
      </c>
      <c r="B65" s="287">
        <v>137.66999999999999</v>
      </c>
      <c r="C65" s="287">
        <v>45.17</v>
      </c>
      <c r="D65" s="287">
        <v>34.74</v>
      </c>
      <c r="E65" s="287">
        <v>38.42</v>
      </c>
      <c r="F65" s="287">
        <v>69.97</v>
      </c>
      <c r="G65" s="287">
        <v>71.84</v>
      </c>
      <c r="H65" s="287">
        <v>62.24</v>
      </c>
    </row>
    <row r="66" spans="1:8" x14ac:dyDescent="0.45">
      <c r="A66" s="286"/>
      <c r="E66" s="1"/>
      <c r="F66" s="1"/>
      <c r="G66" s="1"/>
      <c r="H66" s="1"/>
    </row>
    <row r="67" spans="1:8" x14ac:dyDescent="0.45">
      <c r="A67" s="91" t="s">
        <v>121</v>
      </c>
      <c r="B67" s="287">
        <f>IFERROR(ROUND(AVERAGE(B6:B65),2),0)</f>
        <v>142.44</v>
      </c>
      <c r="C67" s="287">
        <f t="shared" ref="C67:H67" si="1">IFERROR(ROUND(AVERAGE(C6:C65),2),0)</f>
        <v>47.67</v>
      </c>
      <c r="D67" s="287">
        <f t="shared" si="1"/>
        <v>36.75</v>
      </c>
      <c r="E67" s="287">
        <f t="shared" si="1"/>
        <v>40.78</v>
      </c>
      <c r="F67" s="287">
        <f t="shared" si="1"/>
        <v>71.989999999999995</v>
      </c>
      <c r="G67" s="287">
        <f t="shared" si="1"/>
        <v>73.64</v>
      </c>
      <c r="H67" s="287">
        <f t="shared" si="1"/>
        <v>68.41</v>
      </c>
    </row>
    <row r="68" spans="1:8" x14ac:dyDescent="0.45">
      <c r="A68" s="286"/>
      <c r="B68" s="286"/>
      <c r="C68" s="286"/>
      <c r="D68" s="286"/>
      <c r="E68" s="1"/>
      <c r="F68" s="1"/>
      <c r="G68" s="1"/>
      <c r="H68" s="1"/>
    </row>
    <row r="69" spans="1:8" x14ac:dyDescent="0.45">
      <c r="A69" s="286" t="s">
        <v>122</v>
      </c>
      <c r="B69" s="380">
        <f>VLOOKUP(B4,'Proxy Data Lookup'!$A:$P,8,FALSE)</f>
        <v>3.48</v>
      </c>
      <c r="C69" s="380">
        <f>VLOOKUP(C4,'Proxy Data Lookup'!$A:$P,8,FALSE)</f>
        <v>1.8</v>
      </c>
      <c r="D69" s="380">
        <f>VLOOKUP(D4,'Proxy Data Lookup'!$A:$P,8,FALSE)</f>
        <v>1.1200000000000001</v>
      </c>
      <c r="E69" s="380">
        <f>VLOOKUP(E4,'Proxy Data Lookup'!$A:$P,8,FALSE)</f>
        <v>1.96</v>
      </c>
      <c r="F69" s="380">
        <f>VLOOKUP(F4,'Proxy Data Lookup'!$A:$P,8,FALSE)</f>
        <v>2.68</v>
      </c>
      <c r="G69" s="380">
        <f>VLOOKUP(G4,'Proxy Data Lookup'!$A:$P,8,FALSE)</f>
        <v>2.48</v>
      </c>
      <c r="H69" s="380">
        <f>VLOOKUP(H4,'Proxy Data Lookup'!$A:$P,8,FALSE)</f>
        <v>3.14</v>
      </c>
    </row>
    <row r="70" spans="1:8" x14ac:dyDescent="0.45">
      <c r="A70" s="286"/>
      <c r="B70" s="286"/>
      <c r="C70" s="286"/>
      <c r="D70" s="286"/>
      <c r="E70" s="1"/>
      <c r="F70" s="1"/>
      <c r="G70" s="1"/>
      <c r="H70" s="1"/>
    </row>
    <row r="71" spans="1:8" x14ac:dyDescent="0.45">
      <c r="A71" s="286" t="s">
        <v>123</v>
      </c>
      <c r="B71" s="3">
        <f>IFERROR(ROUND(B69/B67,4),0)</f>
        <v>2.4400000000000002E-2</v>
      </c>
      <c r="C71" s="3">
        <f t="shared" ref="C71:H71" si="2">IFERROR(ROUND(C69/C67,4),0)</f>
        <v>3.78E-2</v>
      </c>
      <c r="D71" s="3">
        <f t="shared" si="2"/>
        <v>3.0499999999999999E-2</v>
      </c>
      <c r="E71" s="3">
        <f t="shared" si="2"/>
        <v>4.8099999999999997E-2</v>
      </c>
      <c r="F71" s="3">
        <f t="shared" si="2"/>
        <v>3.7199999999999997E-2</v>
      </c>
      <c r="G71" s="3">
        <f t="shared" si="2"/>
        <v>3.3700000000000001E-2</v>
      </c>
      <c r="H71" s="3">
        <f t="shared" si="2"/>
        <v>4.5900000000000003E-2</v>
      </c>
    </row>
    <row r="72" spans="1:8" x14ac:dyDescent="0.45">
      <c r="A72" s="286"/>
      <c r="C72" s="286"/>
    </row>
    <row r="73" spans="1:8" x14ac:dyDescent="0.45">
      <c r="A73" s="286"/>
    </row>
    <row r="74" spans="1:8" x14ac:dyDescent="0.45">
      <c r="A74" s="286"/>
    </row>
    <row r="75" spans="1:8" x14ac:dyDescent="0.45">
      <c r="A75" s="286"/>
      <c r="B75" s="287"/>
      <c r="C75" s="287"/>
      <c r="D75" s="287"/>
      <c r="E75" s="287"/>
      <c r="F75" s="287"/>
      <c r="G75" s="287"/>
      <c r="H75" s="287"/>
    </row>
    <row r="76" spans="1:8" x14ac:dyDescent="0.45">
      <c r="A76" s="286"/>
      <c r="B76" s="287"/>
      <c r="C76" s="287"/>
      <c r="D76" s="287"/>
      <c r="E76" s="287"/>
      <c r="F76" s="287"/>
      <c r="G76" s="287"/>
      <c r="H76" s="287"/>
    </row>
    <row r="77" spans="1:8" x14ac:dyDescent="0.45">
      <c r="A77" s="286"/>
    </row>
    <row r="78" spans="1:8" x14ac:dyDescent="0.45">
      <c r="A78" s="286"/>
    </row>
    <row r="79" spans="1:8" x14ac:dyDescent="0.45">
      <c r="A79" s="286"/>
    </row>
    <row r="80" spans="1:8" x14ac:dyDescent="0.45">
      <c r="A80" s="286"/>
      <c r="B80" s="287"/>
      <c r="C80" s="287"/>
      <c r="D80" s="287"/>
      <c r="E80" s="287"/>
      <c r="F80" s="287"/>
      <c r="G80" s="287"/>
      <c r="H80" s="287"/>
    </row>
    <row r="81" spans="1:8" x14ac:dyDescent="0.45">
      <c r="A81" s="286"/>
      <c r="B81" s="287"/>
      <c r="C81" s="287"/>
      <c r="D81" s="287"/>
      <c r="E81" s="287"/>
      <c r="F81" s="287"/>
      <c r="G81" s="287"/>
      <c r="H81" s="287"/>
    </row>
    <row r="82" spans="1:8" x14ac:dyDescent="0.45">
      <c r="A82" s="286"/>
      <c r="B82" s="287"/>
      <c r="C82" s="287"/>
      <c r="D82" s="287"/>
      <c r="E82" s="287"/>
      <c r="F82" s="287"/>
      <c r="G82" s="287"/>
      <c r="H82" s="287"/>
    </row>
    <row r="83" spans="1:8" x14ac:dyDescent="0.45">
      <c r="A83" s="286"/>
      <c r="B83" s="287"/>
      <c r="C83" s="287"/>
      <c r="D83" s="287"/>
      <c r="E83" s="287"/>
      <c r="F83" s="287"/>
      <c r="G83" s="287"/>
      <c r="H83" s="287"/>
    </row>
    <row r="84" spans="1:8" x14ac:dyDescent="0.45">
      <c r="A84" s="286"/>
      <c r="B84" s="287"/>
      <c r="C84" s="287"/>
      <c r="D84" s="287"/>
      <c r="E84" s="287"/>
      <c r="F84" s="287"/>
      <c r="G84" s="287"/>
      <c r="H84" s="287"/>
    </row>
    <row r="85" spans="1:8" x14ac:dyDescent="0.45">
      <c r="A85" s="286"/>
      <c r="C85" s="286"/>
    </row>
    <row r="86" spans="1:8" x14ac:dyDescent="0.45">
      <c r="A86" s="286"/>
      <c r="C86" s="286"/>
    </row>
    <row r="87" spans="1:8" x14ac:dyDescent="0.45">
      <c r="A87" s="286"/>
      <c r="C87" s="286"/>
    </row>
    <row r="88" spans="1:8" x14ac:dyDescent="0.45">
      <c r="A88" s="286"/>
      <c r="C88" s="286"/>
    </row>
    <row r="89" spans="1:8" x14ac:dyDescent="0.45">
      <c r="A89" s="286"/>
      <c r="C89" s="286"/>
    </row>
    <row r="90" spans="1:8" x14ac:dyDescent="0.45">
      <c r="A90" s="286"/>
      <c r="C90" s="286"/>
    </row>
    <row r="91" spans="1:8" x14ac:dyDescent="0.45">
      <c r="A91" s="286"/>
      <c r="C91" s="286"/>
    </row>
    <row r="92" spans="1:8" x14ac:dyDescent="0.45">
      <c r="A92" s="286"/>
      <c r="C92" s="286"/>
    </row>
    <row r="93" spans="1:8" x14ac:dyDescent="0.45">
      <c r="A93" s="286"/>
      <c r="C93" s="286"/>
    </row>
    <row r="94" spans="1:8" x14ac:dyDescent="0.45">
      <c r="A94" s="286"/>
      <c r="C94" s="286"/>
    </row>
    <row r="95" spans="1:8" x14ac:dyDescent="0.45">
      <c r="A95" s="286"/>
      <c r="C95" s="286"/>
    </row>
    <row r="96" spans="1:8" x14ac:dyDescent="0.45">
      <c r="A96" s="286"/>
      <c r="C96" s="286"/>
    </row>
    <row r="97" spans="1:3" x14ac:dyDescent="0.45">
      <c r="A97" s="286"/>
      <c r="C97" s="286"/>
    </row>
    <row r="98" spans="1:3" x14ac:dyDescent="0.45">
      <c r="A98" s="286"/>
      <c r="C98" s="286"/>
    </row>
    <row r="99" spans="1:3" x14ac:dyDescent="0.45">
      <c r="A99" s="286"/>
      <c r="C99" s="286"/>
    </row>
    <row r="100" spans="1:3" x14ac:dyDescent="0.45">
      <c r="A100" s="286"/>
      <c r="C100" s="286"/>
    </row>
    <row r="101" spans="1:3" x14ac:dyDescent="0.45">
      <c r="A101" s="286"/>
      <c r="C101" s="286"/>
    </row>
    <row r="102" spans="1:3" x14ac:dyDescent="0.45">
      <c r="A102" s="286"/>
      <c r="C102" s="286"/>
    </row>
    <row r="103" spans="1:3" x14ac:dyDescent="0.45">
      <c r="A103" s="286"/>
      <c r="C103" s="286"/>
    </row>
    <row r="104" spans="1:3" x14ac:dyDescent="0.45">
      <c r="A104" s="286"/>
      <c r="C104" s="286"/>
    </row>
    <row r="105" spans="1:3" x14ac:dyDescent="0.45">
      <c r="A105" s="286"/>
      <c r="C105" s="286"/>
    </row>
    <row r="106" spans="1:3" x14ac:dyDescent="0.45">
      <c r="A106" s="286"/>
      <c r="C106" s="286"/>
    </row>
    <row r="107" spans="1:3" x14ac:dyDescent="0.45">
      <c r="A107" s="286"/>
      <c r="C107" s="286"/>
    </row>
    <row r="108" spans="1:3" x14ac:dyDescent="0.45">
      <c r="A108" s="286"/>
      <c r="C108" s="286"/>
    </row>
    <row r="109" spans="1:3" x14ac:dyDescent="0.45">
      <c r="A109" s="286"/>
      <c r="C109" s="286"/>
    </row>
    <row r="110" spans="1:3" x14ac:dyDescent="0.45">
      <c r="A110" s="286"/>
      <c r="C110" s="286"/>
    </row>
    <row r="111" spans="1:3" x14ac:dyDescent="0.45">
      <c r="A111" s="286"/>
      <c r="C111" s="286"/>
    </row>
    <row r="112" spans="1:3" x14ac:dyDescent="0.45">
      <c r="A112" s="286"/>
      <c r="C112" s="286"/>
    </row>
    <row r="113" spans="1:3" x14ac:dyDescent="0.45">
      <c r="A113" s="286"/>
      <c r="C113" s="286"/>
    </row>
    <row r="114" spans="1:3" x14ac:dyDescent="0.45">
      <c r="A114" s="286"/>
      <c r="C114" s="286"/>
    </row>
    <row r="115" spans="1:3" x14ac:dyDescent="0.45">
      <c r="A115" s="286"/>
      <c r="C115" s="286"/>
    </row>
    <row r="116" spans="1:3" x14ac:dyDescent="0.45">
      <c r="A116" s="286"/>
      <c r="C116" s="286"/>
    </row>
    <row r="117" spans="1:3" x14ac:dyDescent="0.45">
      <c r="A117" s="286"/>
      <c r="C117" s="286"/>
    </row>
    <row r="118" spans="1:3" x14ac:dyDescent="0.45">
      <c r="A118" s="286"/>
      <c r="C118" s="286"/>
    </row>
    <row r="119" spans="1:3" x14ac:dyDescent="0.45">
      <c r="A119" s="286"/>
      <c r="C119" s="286"/>
    </row>
    <row r="120" spans="1:3" x14ac:dyDescent="0.45">
      <c r="A120" s="286"/>
      <c r="C120" s="286"/>
    </row>
    <row r="121" spans="1:3" x14ac:dyDescent="0.45">
      <c r="A121" s="286"/>
      <c r="C121" s="286"/>
    </row>
    <row r="122" spans="1:3" x14ac:dyDescent="0.45">
      <c r="A122" s="286"/>
      <c r="C122" s="286"/>
    </row>
    <row r="123" spans="1:3" x14ac:dyDescent="0.45">
      <c r="A123" s="286"/>
      <c r="C123" s="286"/>
    </row>
    <row r="124" spans="1:3" x14ac:dyDescent="0.45">
      <c r="A124" s="286"/>
      <c r="C124" s="286"/>
    </row>
    <row r="125" spans="1:3" x14ac:dyDescent="0.45">
      <c r="A125" s="286"/>
      <c r="C125" s="286"/>
    </row>
    <row r="126" spans="1:3" x14ac:dyDescent="0.45">
      <c r="A126" s="286"/>
      <c r="C126" s="286"/>
    </row>
    <row r="127" spans="1:3" x14ac:dyDescent="0.45">
      <c r="A127" s="286"/>
      <c r="C127" s="286"/>
    </row>
    <row r="128" spans="1:3" x14ac:dyDescent="0.45">
      <c r="A128" s="286"/>
      <c r="C128" s="286"/>
    </row>
    <row r="129" spans="1:3" x14ac:dyDescent="0.45">
      <c r="A129" s="286"/>
      <c r="C129" s="286"/>
    </row>
    <row r="130" spans="1:3" x14ac:dyDescent="0.45">
      <c r="A130" s="286"/>
      <c r="C130" s="286"/>
    </row>
    <row r="131" spans="1:3" x14ac:dyDescent="0.45">
      <c r="A131" s="286"/>
      <c r="C131" s="286"/>
    </row>
    <row r="132" spans="1:3" x14ac:dyDescent="0.45">
      <c r="A132" s="286"/>
      <c r="C132" s="286"/>
    </row>
    <row r="133" spans="1:3" x14ac:dyDescent="0.45">
      <c r="A133" s="286"/>
      <c r="C133" s="286"/>
    </row>
    <row r="134" spans="1:3" x14ac:dyDescent="0.45">
      <c r="A134" s="286"/>
      <c r="C134" s="286"/>
    </row>
    <row r="135" spans="1:3" x14ac:dyDescent="0.45">
      <c r="A135" s="286"/>
      <c r="C135" s="286"/>
    </row>
    <row r="136" spans="1:3" x14ac:dyDescent="0.45">
      <c r="A136" s="286"/>
      <c r="C136" s="286"/>
    </row>
    <row r="137" spans="1:3" x14ac:dyDescent="0.45">
      <c r="A137" s="286"/>
      <c r="C137" s="286"/>
    </row>
    <row r="138" spans="1:3" x14ac:dyDescent="0.45">
      <c r="A138" s="286"/>
      <c r="C138" s="286"/>
    </row>
    <row r="139" spans="1:3" x14ac:dyDescent="0.45">
      <c r="A139" s="286"/>
      <c r="C139" s="286"/>
    </row>
    <row r="140" spans="1:3" x14ac:dyDescent="0.45">
      <c r="A140" s="286"/>
      <c r="C140" s="286"/>
    </row>
    <row r="141" spans="1:3" x14ac:dyDescent="0.45">
      <c r="A141" s="286"/>
      <c r="C141" s="286"/>
    </row>
    <row r="142" spans="1:3" x14ac:dyDescent="0.45">
      <c r="A142" s="286"/>
      <c r="C142" s="286"/>
    </row>
    <row r="143" spans="1:3" x14ac:dyDescent="0.45">
      <c r="A143" s="286"/>
      <c r="C143" s="286"/>
    </row>
    <row r="144" spans="1:3" x14ac:dyDescent="0.45">
      <c r="A144" s="286"/>
      <c r="C144" s="286"/>
    </row>
    <row r="145" spans="1:3" x14ac:dyDescent="0.45">
      <c r="A145" s="286"/>
      <c r="C145" s="286"/>
    </row>
    <row r="146" spans="1:3" x14ac:dyDescent="0.45">
      <c r="A146" s="286"/>
      <c r="C146" s="286"/>
    </row>
    <row r="147" spans="1:3" x14ac:dyDescent="0.45">
      <c r="A147" s="286"/>
      <c r="C147" s="286"/>
    </row>
    <row r="148" spans="1:3" x14ac:dyDescent="0.45">
      <c r="A148" s="286"/>
      <c r="C148" s="286"/>
    </row>
    <row r="149" spans="1:3" x14ac:dyDescent="0.45">
      <c r="A149" s="286"/>
      <c r="C149" s="286"/>
    </row>
    <row r="150" spans="1:3" x14ac:dyDescent="0.45">
      <c r="A150" s="286"/>
      <c r="C150" s="286"/>
    </row>
    <row r="151" spans="1:3" x14ac:dyDescent="0.45">
      <c r="A151" s="286"/>
      <c r="C151" s="286"/>
    </row>
    <row r="152" spans="1:3" x14ac:dyDescent="0.45">
      <c r="A152" s="286"/>
      <c r="C152" s="286"/>
    </row>
    <row r="153" spans="1:3" x14ac:dyDescent="0.45">
      <c r="A153" s="286"/>
      <c r="C153" s="286"/>
    </row>
    <row r="154" spans="1:3" x14ac:dyDescent="0.45">
      <c r="A154" s="286"/>
      <c r="C154" s="286"/>
    </row>
    <row r="155" spans="1:3" x14ac:dyDescent="0.45">
      <c r="A155" s="286"/>
      <c r="C155" s="286"/>
    </row>
    <row r="156" spans="1:3" x14ac:dyDescent="0.45">
      <c r="A156" s="286"/>
      <c r="C156" s="286"/>
    </row>
    <row r="157" spans="1:3" x14ac:dyDescent="0.45">
      <c r="A157" s="286"/>
      <c r="C157" s="286"/>
    </row>
    <row r="158" spans="1:3" x14ac:dyDescent="0.45">
      <c r="A158" s="286"/>
      <c r="C158" s="286"/>
    </row>
    <row r="159" spans="1:3" x14ac:dyDescent="0.45">
      <c r="A159" s="286"/>
      <c r="C159" s="286"/>
    </row>
    <row r="160" spans="1:3" x14ac:dyDescent="0.45">
      <c r="A160" s="286"/>
      <c r="C160" s="286"/>
    </row>
    <row r="161" spans="1:3" x14ac:dyDescent="0.45">
      <c r="A161" s="286"/>
      <c r="C161" s="286"/>
    </row>
    <row r="162" spans="1:3" x14ac:dyDescent="0.45">
      <c r="A162" s="286"/>
      <c r="C162" s="286"/>
    </row>
    <row r="163" spans="1:3" x14ac:dyDescent="0.45">
      <c r="A163" s="286"/>
      <c r="C163" s="286"/>
    </row>
    <row r="164" spans="1:3" x14ac:dyDescent="0.45">
      <c r="A164" s="286"/>
      <c r="C164" s="286"/>
    </row>
    <row r="165" spans="1:3" x14ac:dyDescent="0.45">
      <c r="A165" s="286"/>
      <c r="C165" s="286"/>
    </row>
    <row r="166" spans="1:3" x14ac:dyDescent="0.45">
      <c r="A166" s="286"/>
      <c r="C166" s="286"/>
    </row>
    <row r="167" spans="1:3" x14ac:dyDescent="0.45">
      <c r="A167" s="286"/>
      <c r="C167" s="286"/>
    </row>
    <row r="168" spans="1:3" x14ac:dyDescent="0.45">
      <c r="A168" s="286"/>
      <c r="C168" s="286"/>
    </row>
    <row r="169" spans="1:3" x14ac:dyDescent="0.45">
      <c r="A169" s="286"/>
      <c r="C169" s="286"/>
    </row>
    <row r="170" spans="1:3" x14ac:dyDescent="0.45">
      <c r="A170" s="286"/>
      <c r="C170" s="286"/>
    </row>
    <row r="171" spans="1:3" x14ac:dyDescent="0.45">
      <c r="A171" s="286"/>
      <c r="C171" s="286"/>
    </row>
    <row r="172" spans="1:3" x14ac:dyDescent="0.45">
      <c r="A172" s="286"/>
      <c r="C172" s="286"/>
    </row>
    <row r="173" spans="1:3" x14ac:dyDescent="0.45">
      <c r="A173" s="286"/>
      <c r="C173" s="286"/>
    </row>
    <row r="174" spans="1:3" x14ac:dyDescent="0.45">
      <c r="A174" s="286"/>
      <c r="C174" s="286"/>
    </row>
    <row r="175" spans="1:3" x14ac:dyDescent="0.45">
      <c r="A175" s="286"/>
      <c r="C175" s="286"/>
    </row>
    <row r="176" spans="1:3" x14ac:dyDescent="0.45">
      <c r="A176" s="286"/>
      <c r="C176" s="286"/>
    </row>
    <row r="177" spans="1:3" x14ac:dyDescent="0.45">
      <c r="A177" s="286"/>
      <c r="C177" s="286"/>
    </row>
    <row r="178" spans="1:3" x14ac:dyDescent="0.45">
      <c r="A178" s="286"/>
      <c r="C178" s="286"/>
    </row>
    <row r="179" spans="1:3" x14ac:dyDescent="0.45">
      <c r="A179" s="286"/>
      <c r="C179" s="286"/>
    </row>
    <row r="180" spans="1:3" x14ac:dyDescent="0.45">
      <c r="A180" s="286"/>
      <c r="C180" s="286"/>
    </row>
    <row r="181" spans="1:3" x14ac:dyDescent="0.45">
      <c r="A181" s="286"/>
      <c r="C181" s="286"/>
    </row>
    <row r="182" spans="1:3" x14ac:dyDescent="0.45">
      <c r="A182" s="286"/>
      <c r="C182" s="286"/>
    </row>
    <row r="183" spans="1:3" x14ac:dyDescent="0.45">
      <c r="A183" s="286"/>
      <c r="C183" s="286"/>
    </row>
    <row r="184" spans="1:3" x14ac:dyDescent="0.45">
      <c r="A184" s="286"/>
      <c r="C184" s="286"/>
    </row>
    <row r="185" spans="1:3" x14ac:dyDescent="0.45">
      <c r="A185" s="286"/>
      <c r="C185" s="286"/>
    </row>
    <row r="186" spans="1:3" x14ac:dyDescent="0.45">
      <c r="A186" s="286"/>
      <c r="C186" s="286"/>
    </row>
    <row r="187" spans="1:3" x14ac:dyDescent="0.45">
      <c r="A187" s="286"/>
      <c r="C187" s="286"/>
    </row>
    <row r="188" spans="1:3" x14ac:dyDescent="0.45">
      <c r="A188" s="286"/>
      <c r="C188" s="286"/>
    </row>
    <row r="189" spans="1:3" x14ac:dyDescent="0.45">
      <c r="A189" s="286"/>
      <c r="C189" s="286"/>
    </row>
    <row r="190" spans="1:3" x14ac:dyDescent="0.45">
      <c r="A190" s="286"/>
      <c r="C190" s="286"/>
    </row>
    <row r="191" spans="1:3" x14ac:dyDescent="0.45">
      <c r="A191" s="286"/>
      <c r="C191" s="286"/>
    </row>
    <row r="192" spans="1:3" x14ac:dyDescent="0.45">
      <c r="A192" s="286"/>
      <c r="C192" s="286"/>
    </row>
    <row r="193" spans="1:3" x14ac:dyDescent="0.45">
      <c r="A193" s="286"/>
      <c r="C193" s="286"/>
    </row>
    <row r="194" spans="1:3" x14ac:dyDescent="0.45">
      <c r="A194" s="286"/>
      <c r="C194" s="286"/>
    </row>
    <row r="195" spans="1:3" x14ac:dyDescent="0.45">
      <c r="A195" s="286"/>
      <c r="C195" s="286"/>
    </row>
    <row r="196" spans="1:3" x14ac:dyDescent="0.45">
      <c r="A196" s="286"/>
      <c r="C196" s="286"/>
    </row>
    <row r="197" spans="1:3" x14ac:dyDescent="0.45">
      <c r="A197" s="286"/>
      <c r="C197" s="286"/>
    </row>
    <row r="198" spans="1:3" x14ac:dyDescent="0.45">
      <c r="A198" s="286"/>
      <c r="C198" s="286"/>
    </row>
    <row r="199" spans="1:3" x14ac:dyDescent="0.45">
      <c r="A199" s="286"/>
      <c r="C199" s="286"/>
    </row>
    <row r="200" spans="1:3" x14ac:dyDescent="0.45">
      <c r="A200" s="286"/>
      <c r="C200" s="286"/>
    </row>
    <row r="201" spans="1:3" x14ac:dyDescent="0.45">
      <c r="A201" s="286"/>
      <c r="C201" s="286"/>
    </row>
    <row r="202" spans="1:3" x14ac:dyDescent="0.45">
      <c r="A202" s="286"/>
      <c r="C202" s="286"/>
    </row>
    <row r="203" spans="1:3" x14ac:dyDescent="0.45">
      <c r="A203" s="286"/>
      <c r="C203" s="286"/>
    </row>
    <row r="204" spans="1:3" x14ac:dyDescent="0.45">
      <c r="A204" s="286"/>
      <c r="C204" s="286"/>
    </row>
    <row r="205" spans="1:3" x14ac:dyDescent="0.45">
      <c r="A205" s="286"/>
      <c r="C205" s="286"/>
    </row>
    <row r="206" spans="1:3" x14ac:dyDescent="0.45">
      <c r="A206" s="286"/>
      <c r="C206" s="286"/>
    </row>
    <row r="207" spans="1:3" x14ac:dyDescent="0.45">
      <c r="A207" s="286"/>
      <c r="C207" s="286"/>
    </row>
    <row r="208" spans="1:3" x14ac:dyDescent="0.45">
      <c r="A208" s="286"/>
      <c r="C208" s="286"/>
    </row>
    <row r="209" spans="1:3" x14ac:dyDescent="0.45">
      <c r="A209" s="286"/>
      <c r="C209" s="286"/>
    </row>
    <row r="210" spans="1:3" x14ac:dyDescent="0.45">
      <c r="A210" s="286"/>
      <c r="C210" s="286"/>
    </row>
    <row r="211" spans="1:3" x14ac:dyDescent="0.45">
      <c r="A211" s="286"/>
      <c r="C211" s="286"/>
    </row>
    <row r="212" spans="1:3" x14ac:dyDescent="0.45">
      <c r="A212" s="286"/>
      <c r="C212" s="286"/>
    </row>
    <row r="213" spans="1:3" x14ac:dyDescent="0.45">
      <c r="A213" s="286"/>
      <c r="C213" s="286"/>
    </row>
    <row r="214" spans="1:3" x14ac:dyDescent="0.45">
      <c r="A214" s="286"/>
      <c r="C214" s="286"/>
    </row>
    <row r="215" spans="1:3" x14ac:dyDescent="0.45">
      <c r="A215" s="286"/>
      <c r="C215" s="286"/>
    </row>
    <row r="216" spans="1:3" x14ac:dyDescent="0.45">
      <c r="A216" s="286"/>
      <c r="C216" s="286"/>
    </row>
    <row r="217" spans="1:3" x14ac:dyDescent="0.45">
      <c r="A217" s="286"/>
      <c r="C217" s="286"/>
    </row>
    <row r="218" spans="1:3" x14ac:dyDescent="0.45">
      <c r="A218" s="286"/>
      <c r="C218" s="286"/>
    </row>
    <row r="219" spans="1:3" x14ac:dyDescent="0.45">
      <c r="A219" s="286"/>
      <c r="C219" s="286"/>
    </row>
    <row r="220" spans="1:3" x14ac:dyDescent="0.45">
      <c r="A220" s="286"/>
      <c r="C220" s="286"/>
    </row>
    <row r="221" spans="1:3" x14ac:dyDescent="0.45">
      <c r="A221" s="286"/>
      <c r="C221" s="286"/>
    </row>
    <row r="222" spans="1:3" x14ac:dyDescent="0.45">
      <c r="A222" s="286"/>
      <c r="C222" s="286"/>
    </row>
    <row r="223" spans="1:3" x14ac:dyDescent="0.45">
      <c r="A223" s="286"/>
      <c r="C223" s="286"/>
    </row>
    <row r="224" spans="1:3" x14ac:dyDescent="0.45">
      <c r="A224" s="286"/>
      <c r="C224" s="286"/>
    </row>
    <row r="225" spans="1:3" x14ac:dyDescent="0.45">
      <c r="A225" s="286"/>
      <c r="C225" s="286"/>
    </row>
    <row r="226" spans="1:3" x14ac:dyDescent="0.45">
      <c r="A226" s="286"/>
      <c r="C226" s="286"/>
    </row>
    <row r="227" spans="1:3" x14ac:dyDescent="0.45">
      <c r="A227" s="286"/>
      <c r="C227" s="286"/>
    </row>
    <row r="228" spans="1:3" x14ac:dyDescent="0.45">
      <c r="A228" s="286"/>
      <c r="C228" s="286"/>
    </row>
    <row r="229" spans="1:3" x14ac:dyDescent="0.45">
      <c r="A229" s="286"/>
      <c r="C229" s="286"/>
    </row>
    <row r="230" spans="1:3" x14ac:dyDescent="0.45">
      <c r="A230" s="286"/>
      <c r="C230" s="286"/>
    </row>
    <row r="231" spans="1:3" x14ac:dyDescent="0.45">
      <c r="A231" s="286"/>
      <c r="C231" s="286"/>
    </row>
    <row r="232" spans="1:3" x14ac:dyDescent="0.45">
      <c r="A232" s="286"/>
      <c r="C232" s="286"/>
    </row>
    <row r="233" spans="1:3" x14ac:dyDescent="0.45">
      <c r="A233" s="286"/>
      <c r="C233" s="286"/>
    </row>
    <row r="234" spans="1:3" x14ac:dyDescent="0.45">
      <c r="A234" s="286"/>
      <c r="C234" s="286"/>
    </row>
    <row r="235" spans="1:3" x14ac:dyDescent="0.45">
      <c r="A235" s="286"/>
      <c r="C235" s="286"/>
    </row>
    <row r="236" spans="1:3" x14ac:dyDescent="0.45">
      <c r="A236" s="286"/>
      <c r="C236" s="286"/>
    </row>
    <row r="237" spans="1:3" x14ac:dyDescent="0.45">
      <c r="A237" s="286"/>
      <c r="C237" s="286"/>
    </row>
    <row r="238" spans="1:3" x14ac:dyDescent="0.45">
      <c r="A238" s="286"/>
      <c r="C238" s="286"/>
    </row>
    <row r="239" spans="1:3" x14ac:dyDescent="0.45">
      <c r="A239" s="286"/>
      <c r="C239" s="286"/>
    </row>
    <row r="240" spans="1:3" x14ac:dyDescent="0.45">
      <c r="A240" s="286"/>
      <c r="C240" s="286"/>
    </row>
    <row r="241" spans="1:3" x14ac:dyDescent="0.45">
      <c r="A241" s="286"/>
      <c r="C241" s="286"/>
    </row>
    <row r="242" spans="1:3" x14ac:dyDescent="0.45">
      <c r="A242" s="286"/>
      <c r="C242" s="286"/>
    </row>
    <row r="243" spans="1:3" x14ac:dyDescent="0.45">
      <c r="A243" s="286"/>
      <c r="C243" s="286"/>
    </row>
    <row r="244" spans="1:3" x14ac:dyDescent="0.45">
      <c r="A244" s="286"/>
      <c r="C244" s="286"/>
    </row>
    <row r="245" spans="1:3" x14ac:dyDescent="0.45">
      <c r="A245" s="286"/>
      <c r="C245" s="286"/>
    </row>
    <row r="246" spans="1:3" x14ac:dyDescent="0.45">
      <c r="A246" s="286"/>
      <c r="C246" s="286"/>
    </row>
    <row r="247" spans="1:3" x14ac:dyDescent="0.45">
      <c r="A247" s="286"/>
      <c r="C247" s="286"/>
    </row>
    <row r="248" spans="1:3" x14ac:dyDescent="0.45">
      <c r="A248" s="286"/>
      <c r="C248" s="286"/>
    </row>
    <row r="249" spans="1:3" x14ac:dyDescent="0.45">
      <c r="A249" s="286"/>
      <c r="C249" s="286"/>
    </row>
    <row r="250" spans="1:3" x14ac:dyDescent="0.45">
      <c r="A250" s="286"/>
      <c r="C250" s="286"/>
    </row>
    <row r="251" spans="1:3" x14ac:dyDescent="0.45">
      <c r="A251" s="286"/>
      <c r="C251" s="286"/>
    </row>
    <row r="252" spans="1:3" x14ac:dyDescent="0.45">
      <c r="A252" s="286"/>
      <c r="C252" s="286"/>
    </row>
    <row r="253" spans="1:3" x14ac:dyDescent="0.45">
      <c r="A253" s="286"/>
      <c r="C253" s="286"/>
    </row>
    <row r="254" spans="1:3" x14ac:dyDescent="0.45">
      <c r="A254" s="286"/>
      <c r="C254" s="286"/>
    </row>
    <row r="255" spans="1:3" x14ac:dyDescent="0.45">
      <c r="A255" s="286"/>
      <c r="C255" s="286"/>
    </row>
    <row r="256" spans="1:3" x14ac:dyDescent="0.45">
      <c r="A256" s="286"/>
      <c r="C256" s="286"/>
    </row>
    <row r="257" spans="1:3" x14ac:dyDescent="0.45">
      <c r="A257" s="286"/>
      <c r="C257" s="286"/>
    </row>
    <row r="258" spans="1:3" x14ac:dyDescent="0.45">
      <c r="A258" s="286"/>
      <c r="C258" s="286"/>
    </row>
    <row r="259" spans="1:3" x14ac:dyDescent="0.45">
      <c r="A259" s="286"/>
      <c r="C259" s="286"/>
    </row>
    <row r="260" spans="1:3" x14ac:dyDescent="0.45">
      <c r="A260" s="286"/>
      <c r="C260" s="286"/>
    </row>
    <row r="261" spans="1:3" x14ac:dyDescent="0.45">
      <c r="A261" s="286"/>
      <c r="C261" s="286"/>
    </row>
    <row r="262" spans="1:3" x14ac:dyDescent="0.45">
      <c r="A262" s="286"/>
      <c r="C262" s="286"/>
    </row>
    <row r="263" spans="1:3" x14ac:dyDescent="0.45">
      <c r="A263" s="286"/>
      <c r="C263" s="286"/>
    </row>
    <row r="264" spans="1:3" x14ac:dyDescent="0.45">
      <c r="A264" s="286"/>
      <c r="C264" s="286"/>
    </row>
    <row r="265" spans="1:3" x14ac:dyDescent="0.45">
      <c r="A265" s="286"/>
      <c r="C265" s="286"/>
    </row>
    <row r="266" spans="1:3" x14ac:dyDescent="0.45">
      <c r="A266" s="286"/>
      <c r="C266" s="286"/>
    </row>
    <row r="267" spans="1:3" x14ac:dyDescent="0.45">
      <c r="A267" s="286"/>
      <c r="C267" s="286"/>
    </row>
    <row r="268" spans="1:3" x14ac:dyDescent="0.45">
      <c r="A268" s="286"/>
      <c r="C268" s="286"/>
    </row>
    <row r="269" spans="1:3" x14ac:dyDescent="0.45">
      <c r="A269" s="286"/>
      <c r="C269" s="286"/>
    </row>
    <row r="270" spans="1:3" x14ac:dyDescent="0.45">
      <c r="A270" s="286"/>
      <c r="C270" s="286"/>
    </row>
    <row r="271" spans="1:3" x14ac:dyDescent="0.45">
      <c r="A271" s="286"/>
      <c r="C271" s="286"/>
    </row>
    <row r="272" spans="1:3" x14ac:dyDescent="0.45">
      <c r="A272" s="286"/>
      <c r="C272" s="286"/>
    </row>
    <row r="273" spans="1:3" x14ac:dyDescent="0.45">
      <c r="A273" s="286"/>
      <c r="C273" s="286"/>
    </row>
    <row r="274" spans="1:3" x14ac:dyDescent="0.45">
      <c r="A274" s="286"/>
      <c r="C274" s="286"/>
    </row>
    <row r="275" spans="1:3" x14ac:dyDescent="0.45">
      <c r="A275" s="286"/>
      <c r="C275" s="286"/>
    </row>
    <row r="276" spans="1:3" x14ac:dyDescent="0.45">
      <c r="A276" s="286"/>
      <c r="C276" s="286"/>
    </row>
    <row r="277" spans="1:3" x14ac:dyDescent="0.45">
      <c r="A277" s="286"/>
      <c r="C277" s="286"/>
    </row>
    <row r="278" spans="1:3" x14ac:dyDescent="0.45">
      <c r="A278" s="286"/>
      <c r="C278" s="286"/>
    </row>
    <row r="279" spans="1:3" x14ac:dyDescent="0.45">
      <c r="A279" s="286"/>
      <c r="C279" s="286"/>
    </row>
    <row r="280" spans="1:3" x14ac:dyDescent="0.45">
      <c r="A280" s="286"/>
      <c r="C280" s="286"/>
    </row>
    <row r="281" spans="1:3" x14ac:dyDescent="0.45">
      <c r="A281" s="286"/>
      <c r="C281" s="286"/>
    </row>
    <row r="282" spans="1:3" x14ac:dyDescent="0.45">
      <c r="A282" s="286"/>
      <c r="C282" s="286"/>
    </row>
    <row r="283" spans="1:3" x14ac:dyDescent="0.45">
      <c r="A283" s="286"/>
      <c r="C283" s="286"/>
    </row>
    <row r="284" spans="1:3" x14ac:dyDescent="0.45">
      <c r="A284" s="286"/>
      <c r="C284" s="286"/>
    </row>
    <row r="285" spans="1:3" x14ac:dyDescent="0.45">
      <c r="A285" s="286"/>
      <c r="C285" s="286"/>
    </row>
    <row r="286" spans="1:3" x14ac:dyDescent="0.45">
      <c r="A286" s="286"/>
      <c r="C286" s="286"/>
    </row>
    <row r="287" spans="1:3" x14ac:dyDescent="0.45">
      <c r="A287" s="286"/>
      <c r="C287" s="286"/>
    </row>
    <row r="288" spans="1:3" x14ac:dyDescent="0.45">
      <c r="A288" s="286"/>
      <c r="C288" s="286"/>
    </row>
    <row r="289" spans="1:3" x14ac:dyDescent="0.45">
      <c r="A289" s="286"/>
      <c r="C289" s="286"/>
    </row>
    <row r="290" spans="1:3" x14ac:dyDescent="0.45">
      <c r="A290" s="286"/>
      <c r="C290" s="286"/>
    </row>
    <row r="291" spans="1:3" x14ac:dyDescent="0.45">
      <c r="A291" s="286"/>
      <c r="C291" s="286"/>
    </row>
    <row r="292" spans="1:3" x14ac:dyDescent="0.45">
      <c r="A292" s="286"/>
      <c r="C292" s="286"/>
    </row>
    <row r="293" spans="1:3" x14ac:dyDescent="0.45">
      <c r="A293" s="286"/>
      <c r="C293" s="286"/>
    </row>
    <row r="294" spans="1:3" x14ac:dyDescent="0.45">
      <c r="A294" s="286"/>
      <c r="C294" s="286"/>
    </row>
    <row r="295" spans="1:3" x14ac:dyDescent="0.45">
      <c r="A295" s="286"/>
      <c r="C295" s="286"/>
    </row>
    <row r="296" spans="1:3" x14ac:dyDescent="0.45">
      <c r="A296" s="286"/>
      <c r="C296" s="286"/>
    </row>
    <row r="297" spans="1:3" x14ac:dyDescent="0.45">
      <c r="A297" s="286"/>
      <c r="C297" s="286"/>
    </row>
    <row r="298" spans="1:3" x14ac:dyDescent="0.45">
      <c r="A298" s="286"/>
      <c r="C298" s="286"/>
    </row>
    <row r="299" spans="1:3" x14ac:dyDescent="0.45">
      <c r="A299" s="286"/>
      <c r="C299" s="286"/>
    </row>
    <row r="300" spans="1:3" x14ac:dyDescent="0.45">
      <c r="A300" s="286"/>
      <c r="C300" s="286"/>
    </row>
    <row r="301" spans="1:3" x14ac:dyDescent="0.45">
      <c r="A301" s="286"/>
      <c r="C301" s="286"/>
    </row>
    <row r="302" spans="1:3" x14ac:dyDescent="0.45">
      <c r="A302" s="286"/>
      <c r="C302" s="286"/>
    </row>
    <row r="303" spans="1:3" x14ac:dyDescent="0.45">
      <c r="A303" s="286"/>
      <c r="C303" s="286"/>
    </row>
    <row r="304" spans="1:3" x14ac:dyDescent="0.45">
      <c r="A304" s="286"/>
      <c r="C304" s="286"/>
    </row>
    <row r="305" spans="1:3" x14ac:dyDescent="0.45">
      <c r="A305" s="286"/>
      <c r="C305" s="286"/>
    </row>
    <row r="306" spans="1:3" x14ac:dyDescent="0.45">
      <c r="A306" s="286"/>
      <c r="C306" s="286"/>
    </row>
    <row r="307" spans="1:3" x14ac:dyDescent="0.45">
      <c r="A307" s="286"/>
      <c r="C307" s="286"/>
    </row>
    <row r="308" spans="1:3" x14ac:dyDescent="0.45">
      <c r="A308" s="286"/>
      <c r="C308" s="286"/>
    </row>
    <row r="309" spans="1:3" x14ac:dyDescent="0.45">
      <c r="A309" s="286"/>
      <c r="C309" s="286"/>
    </row>
    <row r="310" spans="1:3" x14ac:dyDescent="0.45">
      <c r="A310" s="286"/>
      <c r="C310" s="286"/>
    </row>
    <row r="311" spans="1:3" x14ac:dyDescent="0.45">
      <c r="A311" s="286"/>
      <c r="C311" s="286"/>
    </row>
    <row r="312" spans="1:3" x14ac:dyDescent="0.45">
      <c r="A312" s="286"/>
      <c r="C312" s="286"/>
    </row>
    <row r="313" spans="1:3" x14ac:dyDescent="0.45">
      <c r="A313" s="286"/>
      <c r="C313" s="286"/>
    </row>
    <row r="314" spans="1:3" x14ac:dyDescent="0.45">
      <c r="A314" s="286"/>
      <c r="C314" s="286"/>
    </row>
    <row r="315" spans="1:3" x14ac:dyDescent="0.45">
      <c r="A315" s="286"/>
      <c r="C315" s="286"/>
    </row>
    <row r="316" spans="1:3" x14ac:dyDescent="0.45">
      <c r="A316" s="286"/>
      <c r="C316" s="286"/>
    </row>
    <row r="317" spans="1:3" x14ac:dyDescent="0.45">
      <c r="A317" s="286"/>
      <c r="C317" s="286"/>
    </row>
    <row r="318" spans="1:3" x14ac:dyDescent="0.45">
      <c r="A318" s="286"/>
      <c r="C318" s="286"/>
    </row>
    <row r="319" spans="1:3" x14ac:dyDescent="0.45">
      <c r="A319" s="286"/>
      <c r="C319" s="286"/>
    </row>
    <row r="320" spans="1:3" x14ac:dyDescent="0.45">
      <c r="A320" s="286"/>
      <c r="C320" s="286"/>
    </row>
    <row r="321" spans="1:3" x14ac:dyDescent="0.45">
      <c r="A321" s="286"/>
      <c r="C321" s="286"/>
    </row>
    <row r="322" spans="1:3" x14ac:dyDescent="0.45">
      <c r="A322" s="286"/>
      <c r="C322" s="286"/>
    </row>
    <row r="323" spans="1:3" x14ac:dyDescent="0.45">
      <c r="A323" s="286"/>
      <c r="C323" s="286"/>
    </row>
    <row r="324" spans="1:3" x14ac:dyDescent="0.45">
      <c r="A324" s="286"/>
      <c r="C324" s="286"/>
    </row>
    <row r="325" spans="1:3" x14ac:dyDescent="0.45">
      <c r="A325" s="286"/>
      <c r="C325" s="286"/>
    </row>
    <row r="326" spans="1:3" x14ac:dyDescent="0.45">
      <c r="A326" s="286"/>
      <c r="C326" s="286"/>
    </row>
    <row r="327" spans="1:3" x14ac:dyDescent="0.45">
      <c r="A327" s="286"/>
      <c r="C327" s="286"/>
    </row>
    <row r="328" spans="1:3" x14ac:dyDescent="0.45">
      <c r="A328" s="286"/>
      <c r="C328" s="286"/>
    </row>
    <row r="329" spans="1:3" x14ac:dyDescent="0.45">
      <c r="A329" s="286"/>
      <c r="C329" s="286"/>
    </row>
    <row r="330" spans="1:3" x14ac:dyDescent="0.45">
      <c r="A330" s="286"/>
      <c r="C330" s="286"/>
    </row>
    <row r="331" spans="1:3" x14ac:dyDescent="0.45">
      <c r="A331" s="286"/>
      <c r="C331" s="286"/>
    </row>
    <row r="332" spans="1:3" x14ac:dyDescent="0.45">
      <c r="A332" s="286"/>
      <c r="C332" s="286"/>
    </row>
    <row r="333" spans="1:3" x14ac:dyDescent="0.45">
      <c r="A333" s="286"/>
      <c r="C333" s="286"/>
    </row>
    <row r="334" spans="1:3" x14ac:dyDescent="0.45">
      <c r="A334" s="286"/>
      <c r="C334" s="286"/>
    </row>
    <row r="335" spans="1:3" x14ac:dyDescent="0.45">
      <c r="A335" s="286"/>
      <c r="C335" s="286"/>
    </row>
    <row r="336" spans="1:3" x14ac:dyDescent="0.45">
      <c r="A336" s="286"/>
      <c r="C336" s="286"/>
    </row>
    <row r="337" spans="1:3" x14ac:dyDescent="0.45">
      <c r="A337" s="286"/>
      <c r="C337" s="286"/>
    </row>
    <row r="338" spans="1:3" x14ac:dyDescent="0.45">
      <c r="A338" s="286"/>
      <c r="C338" s="286"/>
    </row>
    <row r="339" spans="1:3" x14ac:dyDescent="0.45">
      <c r="A339" s="286"/>
      <c r="C339" s="286"/>
    </row>
    <row r="340" spans="1:3" x14ac:dyDescent="0.45">
      <c r="A340" s="286"/>
      <c r="C340" s="286"/>
    </row>
    <row r="341" spans="1:3" x14ac:dyDescent="0.45">
      <c r="A341" s="286"/>
      <c r="C341" s="286"/>
    </row>
    <row r="342" spans="1:3" x14ac:dyDescent="0.45">
      <c r="A342" s="286"/>
      <c r="C342" s="286"/>
    </row>
    <row r="343" spans="1:3" x14ac:dyDescent="0.45">
      <c r="A343" s="286"/>
      <c r="C343" s="286"/>
    </row>
    <row r="344" spans="1:3" x14ac:dyDescent="0.45">
      <c r="A344" s="286"/>
      <c r="C344" s="286"/>
    </row>
    <row r="345" spans="1:3" x14ac:dyDescent="0.45">
      <c r="A345" s="286"/>
      <c r="C345" s="286"/>
    </row>
    <row r="346" spans="1:3" x14ac:dyDescent="0.45">
      <c r="A346" s="286"/>
      <c r="C346" s="286"/>
    </row>
    <row r="347" spans="1:3" x14ac:dyDescent="0.45">
      <c r="A347" s="286"/>
      <c r="C347" s="286"/>
    </row>
    <row r="348" spans="1:3" x14ac:dyDescent="0.45">
      <c r="A348" s="286"/>
      <c r="C348" s="286"/>
    </row>
    <row r="349" spans="1:3" x14ac:dyDescent="0.45">
      <c r="A349" s="286"/>
      <c r="C349" s="286"/>
    </row>
    <row r="350" spans="1:3" x14ac:dyDescent="0.45">
      <c r="A350" s="286"/>
      <c r="C350" s="286"/>
    </row>
    <row r="351" spans="1:3" x14ac:dyDescent="0.45">
      <c r="A351" s="286"/>
      <c r="C351" s="286"/>
    </row>
    <row r="352" spans="1:3" x14ac:dyDescent="0.45">
      <c r="A352" s="286"/>
      <c r="C352" s="286"/>
    </row>
    <row r="353" spans="1:3" x14ac:dyDescent="0.45">
      <c r="A353" s="286"/>
      <c r="C353" s="286"/>
    </row>
    <row r="354" spans="1:3" x14ac:dyDescent="0.45">
      <c r="A354" s="286"/>
      <c r="C354" s="286"/>
    </row>
    <row r="355" spans="1:3" x14ac:dyDescent="0.45">
      <c r="A355" s="286"/>
      <c r="C355" s="286"/>
    </row>
    <row r="356" spans="1:3" x14ac:dyDescent="0.45">
      <c r="A356" s="286"/>
      <c r="C356" s="286"/>
    </row>
    <row r="357" spans="1:3" x14ac:dyDescent="0.45">
      <c r="A357" s="286"/>
      <c r="C357" s="286"/>
    </row>
    <row r="358" spans="1:3" x14ac:dyDescent="0.45">
      <c r="A358" s="286"/>
      <c r="C358" s="286"/>
    </row>
    <row r="359" spans="1:3" x14ac:dyDescent="0.45">
      <c r="A359" s="286"/>
      <c r="C359" s="286"/>
    </row>
    <row r="360" spans="1:3" x14ac:dyDescent="0.45">
      <c r="A360" s="286"/>
      <c r="C360" s="286"/>
    </row>
    <row r="361" spans="1:3" x14ac:dyDescent="0.45">
      <c r="A361" s="286"/>
      <c r="C361" s="286"/>
    </row>
    <row r="362" spans="1:3" x14ac:dyDescent="0.45">
      <c r="A362" s="286"/>
      <c r="C362" s="286"/>
    </row>
    <row r="363" spans="1:3" x14ac:dyDescent="0.45">
      <c r="A363" s="286"/>
      <c r="C363" s="286"/>
    </row>
    <row r="364" spans="1:3" x14ac:dyDescent="0.45">
      <c r="A364" s="286"/>
      <c r="C364" s="286"/>
    </row>
    <row r="365" spans="1:3" x14ac:dyDescent="0.45">
      <c r="A365" s="286"/>
      <c r="C365" s="286"/>
    </row>
    <row r="366" spans="1:3" x14ac:dyDescent="0.45">
      <c r="A366" s="286"/>
      <c r="C366" s="286"/>
    </row>
    <row r="367" spans="1:3" x14ac:dyDescent="0.45">
      <c r="A367" s="286"/>
      <c r="C367" s="286"/>
    </row>
    <row r="368" spans="1:3" x14ac:dyDescent="0.45">
      <c r="A368" s="286"/>
      <c r="C368" s="286"/>
    </row>
    <row r="369" spans="1:3" x14ac:dyDescent="0.45">
      <c r="A369" s="286"/>
      <c r="C369" s="286"/>
    </row>
    <row r="370" spans="1:3" x14ac:dyDescent="0.45">
      <c r="A370" s="286"/>
      <c r="C370" s="286"/>
    </row>
    <row r="371" spans="1:3" x14ac:dyDescent="0.45">
      <c r="A371" s="286"/>
      <c r="C371" s="286"/>
    </row>
    <row r="372" spans="1:3" x14ac:dyDescent="0.45">
      <c r="A372" s="286"/>
      <c r="C372" s="286"/>
    </row>
    <row r="373" spans="1:3" x14ac:dyDescent="0.45">
      <c r="A373" s="286"/>
      <c r="C373" s="286"/>
    </row>
    <row r="374" spans="1:3" x14ac:dyDescent="0.45">
      <c r="A374" s="286"/>
      <c r="C374" s="286"/>
    </row>
    <row r="375" spans="1:3" x14ac:dyDescent="0.45">
      <c r="A375" s="286"/>
      <c r="C375" s="286"/>
    </row>
    <row r="376" spans="1:3" x14ac:dyDescent="0.45">
      <c r="A376" s="286"/>
      <c r="C376" s="286"/>
    </row>
    <row r="377" spans="1:3" x14ac:dyDescent="0.45">
      <c r="A377" s="286"/>
      <c r="C377" s="286"/>
    </row>
    <row r="378" spans="1:3" x14ac:dyDescent="0.45">
      <c r="A378" s="286"/>
      <c r="C378" s="286"/>
    </row>
    <row r="379" spans="1:3" x14ac:dyDescent="0.45">
      <c r="A379" s="286"/>
      <c r="C379" s="286"/>
    </row>
    <row r="380" spans="1:3" x14ac:dyDescent="0.45">
      <c r="A380" s="286"/>
      <c r="C380" s="286"/>
    </row>
    <row r="381" spans="1:3" x14ac:dyDescent="0.45">
      <c r="A381" s="286"/>
      <c r="C381" s="286"/>
    </row>
    <row r="382" spans="1:3" x14ac:dyDescent="0.45">
      <c r="A382" s="286"/>
      <c r="C382" s="286"/>
    </row>
    <row r="383" spans="1:3" x14ac:dyDescent="0.45">
      <c r="A383" s="286"/>
      <c r="C383" s="286"/>
    </row>
    <row r="384" spans="1:3" x14ac:dyDescent="0.45">
      <c r="A384" s="286"/>
      <c r="C384" s="286"/>
    </row>
    <row r="385" spans="1:3" x14ac:dyDescent="0.45">
      <c r="A385" s="286"/>
      <c r="C385" s="286"/>
    </row>
    <row r="386" spans="1:3" x14ac:dyDescent="0.45">
      <c r="A386" s="286"/>
      <c r="C386" s="286"/>
    </row>
    <row r="387" spans="1:3" x14ac:dyDescent="0.45">
      <c r="A387" s="286"/>
      <c r="C387" s="286"/>
    </row>
    <row r="388" spans="1:3" x14ac:dyDescent="0.45">
      <c r="A388" s="286"/>
      <c r="C388" s="286"/>
    </row>
    <row r="389" spans="1:3" x14ac:dyDescent="0.45">
      <c r="A389" s="286"/>
      <c r="C389" s="286"/>
    </row>
    <row r="390" spans="1:3" x14ac:dyDescent="0.45">
      <c r="A390" s="286"/>
      <c r="C390" s="286"/>
    </row>
    <row r="391" spans="1:3" x14ac:dyDescent="0.45">
      <c r="A391" s="286"/>
      <c r="C391" s="286"/>
    </row>
    <row r="392" spans="1:3" x14ac:dyDescent="0.45">
      <c r="A392" s="286"/>
      <c r="C392" s="286"/>
    </row>
    <row r="393" spans="1:3" x14ac:dyDescent="0.45">
      <c r="A393" s="286"/>
      <c r="C393" s="286"/>
    </row>
    <row r="394" spans="1:3" x14ac:dyDescent="0.45">
      <c r="A394" s="286"/>
      <c r="C394" s="286"/>
    </row>
    <row r="395" spans="1:3" x14ac:dyDescent="0.45">
      <c r="A395" s="286"/>
      <c r="C395" s="286"/>
    </row>
    <row r="396" spans="1:3" x14ac:dyDescent="0.45">
      <c r="A396" s="286"/>
      <c r="C396" s="286"/>
    </row>
    <row r="397" spans="1:3" x14ac:dyDescent="0.45">
      <c r="A397" s="286"/>
      <c r="C397" s="286"/>
    </row>
    <row r="398" spans="1:3" x14ac:dyDescent="0.45">
      <c r="A398" s="286"/>
      <c r="C398" s="286"/>
    </row>
    <row r="399" spans="1:3" x14ac:dyDescent="0.45">
      <c r="A399" s="286"/>
      <c r="C399" s="286"/>
    </row>
    <row r="400" spans="1:3" x14ac:dyDescent="0.45">
      <c r="A400" s="286"/>
      <c r="C400" s="286"/>
    </row>
    <row r="401" spans="1:3" x14ac:dyDescent="0.45">
      <c r="A401" s="286"/>
      <c r="C401" s="286"/>
    </row>
    <row r="402" spans="1:3" x14ac:dyDescent="0.45">
      <c r="A402" s="286"/>
      <c r="C402" s="286"/>
    </row>
    <row r="403" spans="1:3" x14ac:dyDescent="0.45">
      <c r="A403" s="286"/>
      <c r="C403" s="286"/>
    </row>
    <row r="404" spans="1:3" x14ac:dyDescent="0.45">
      <c r="A404" s="286"/>
      <c r="C404" s="286"/>
    </row>
    <row r="405" spans="1:3" x14ac:dyDescent="0.45">
      <c r="A405" s="286"/>
      <c r="C405" s="286"/>
    </row>
    <row r="406" spans="1:3" x14ac:dyDescent="0.45">
      <c r="A406" s="286"/>
      <c r="C406" s="286"/>
    </row>
    <row r="407" spans="1:3" x14ac:dyDescent="0.45">
      <c r="A407" s="286"/>
      <c r="C407" s="286"/>
    </row>
    <row r="408" spans="1:3" x14ac:dyDescent="0.45">
      <c r="A408" s="286"/>
      <c r="C408" s="286"/>
    </row>
    <row r="409" spans="1:3" x14ac:dyDescent="0.45">
      <c r="A409" s="286"/>
      <c r="C409" s="286"/>
    </row>
    <row r="410" spans="1:3" x14ac:dyDescent="0.45">
      <c r="A410" s="286"/>
      <c r="C410" s="286"/>
    </row>
    <row r="411" spans="1:3" x14ac:dyDescent="0.45">
      <c r="A411" s="286"/>
      <c r="C411" s="286"/>
    </row>
    <row r="412" spans="1:3" x14ac:dyDescent="0.45">
      <c r="A412" s="286"/>
      <c r="C412" s="286"/>
    </row>
    <row r="413" spans="1:3" x14ac:dyDescent="0.45">
      <c r="A413" s="286"/>
      <c r="C413" s="286"/>
    </row>
    <row r="414" spans="1:3" x14ac:dyDescent="0.45">
      <c r="A414" s="286"/>
      <c r="C414" s="286"/>
    </row>
    <row r="415" spans="1:3" x14ac:dyDescent="0.45">
      <c r="A415" s="286"/>
      <c r="C415" s="286"/>
    </row>
    <row r="416" spans="1:3" x14ac:dyDescent="0.45">
      <c r="A416" s="286"/>
      <c r="C416" s="286"/>
    </row>
    <row r="417" spans="1:3" x14ac:dyDescent="0.45">
      <c r="A417" s="286"/>
      <c r="C417" s="286"/>
    </row>
    <row r="418" spans="1:3" x14ac:dyDescent="0.45">
      <c r="A418" s="286"/>
      <c r="C418" s="286"/>
    </row>
    <row r="419" spans="1:3" x14ac:dyDescent="0.45">
      <c r="A419" s="286"/>
      <c r="C419" s="286"/>
    </row>
    <row r="420" spans="1:3" x14ac:dyDescent="0.45">
      <c r="A420" s="286"/>
      <c r="C420" s="286"/>
    </row>
    <row r="421" spans="1:3" x14ac:dyDescent="0.45">
      <c r="A421" s="286"/>
      <c r="C421" s="286"/>
    </row>
    <row r="422" spans="1:3" x14ac:dyDescent="0.45">
      <c r="A422" s="286"/>
      <c r="C422" s="286"/>
    </row>
    <row r="423" spans="1:3" x14ac:dyDescent="0.45">
      <c r="A423" s="286"/>
      <c r="C423" s="286"/>
    </row>
    <row r="424" spans="1:3" x14ac:dyDescent="0.45">
      <c r="A424" s="286"/>
      <c r="C424" s="286"/>
    </row>
    <row r="425" spans="1:3" x14ac:dyDescent="0.45">
      <c r="A425" s="286"/>
      <c r="C425" s="286"/>
    </row>
    <row r="426" spans="1:3" x14ac:dyDescent="0.45">
      <c r="A426" s="286"/>
      <c r="C426" s="286"/>
    </row>
    <row r="427" spans="1:3" x14ac:dyDescent="0.45">
      <c r="A427" s="286"/>
      <c r="C427" s="286"/>
    </row>
    <row r="428" spans="1:3" x14ac:dyDescent="0.45">
      <c r="A428" s="286"/>
      <c r="C428" s="286"/>
    </row>
    <row r="429" spans="1:3" x14ac:dyDescent="0.45">
      <c r="A429" s="286"/>
      <c r="C429" s="286"/>
    </row>
    <row r="430" spans="1:3" x14ac:dyDescent="0.45">
      <c r="A430" s="286"/>
      <c r="C430" s="286"/>
    </row>
    <row r="431" spans="1:3" x14ac:dyDescent="0.45">
      <c r="A431" s="286"/>
      <c r="C431" s="286"/>
    </row>
    <row r="432" spans="1:3" x14ac:dyDescent="0.45">
      <c r="A432" s="286"/>
      <c r="C432" s="286"/>
    </row>
    <row r="433" spans="1:3" x14ac:dyDescent="0.45">
      <c r="A433" s="286"/>
      <c r="C433" s="286"/>
    </row>
    <row r="434" spans="1:3" x14ac:dyDescent="0.45">
      <c r="A434" s="286"/>
      <c r="C434" s="286"/>
    </row>
    <row r="435" spans="1:3" x14ac:dyDescent="0.45">
      <c r="A435" s="286"/>
      <c r="C435" s="286"/>
    </row>
    <row r="436" spans="1:3" x14ac:dyDescent="0.45">
      <c r="A436" s="286"/>
      <c r="C436" s="286"/>
    </row>
    <row r="437" spans="1:3" x14ac:dyDescent="0.45">
      <c r="A437" s="286"/>
      <c r="C437" s="286"/>
    </row>
    <row r="438" spans="1:3" x14ac:dyDescent="0.45">
      <c r="A438" s="286"/>
      <c r="C438" s="286"/>
    </row>
    <row r="439" spans="1:3" x14ac:dyDescent="0.45">
      <c r="A439" s="286"/>
      <c r="C439" s="286"/>
    </row>
    <row r="440" spans="1:3" x14ac:dyDescent="0.45">
      <c r="A440" s="286"/>
      <c r="C440" s="286"/>
    </row>
    <row r="441" spans="1:3" x14ac:dyDescent="0.45">
      <c r="A441" s="286"/>
      <c r="C441" s="286"/>
    </row>
    <row r="442" spans="1:3" x14ac:dyDescent="0.45">
      <c r="A442" s="286"/>
      <c r="C442" s="286"/>
    </row>
    <row r="443" spans="1:3" x14ac:dyDescent="0.45">
      <c r="A443" s="286"/>
      <c r="C443" s="286"/>
    </row>
    <row r="444" spans="1:3" x14ac:dyDescent="0.45">
      <c r="A444" s="286"/>
      <c r="C444" s="286"/>
    </row>
    <row r="445" spans="1:3" x14ac:dyDescent="0.45">
      <c r="A445" s="286"/>
      <c r="C445" s="286"/>
    </row>
    <row r="446" spans="1:3" x14ac:dyDescent="0.45">
      <c r="A446" s="286"/>
      <c r="C446" s="286"/>
    </row>
    <row r="447" spans="1:3" x14ac:dyDescent="0.45">
      <c r="A447" s="286"/>
      <c r="C447" s="286"/>
    </row>
    <row r="448" spans="1:3" x14ac:dyDescent="0.45">
      <c r="A448" s="286"/>
      <c r="C448" s="286"/>
    </row>
    <row r="449" spans="1:3" x14ac:dyDescent="0.45">
      <c r="A449" s="286"/>
      <c r="C449" s="286"/>
    </row>
    <row r="450" spans="1:3" x14ac:dyDescent="0.45">
      <c r="A450" s="286"/>
      <c r="C450" s="286"/>
    </row>
    <row r="451" spans="1:3" x14ac:dyDescent="0.45">
      <c r="A451" s="286"/>
      <c r="C451" s="286"/>
    </row>
    <row r="452" spans="1:3" x14ac:dyDescent="0.45">
      <c r="A452" s="286"/>
      <c r="C452" s="286"/>
    </row>
    <row r="453" spans="1:3" x14ac:dyDescent="0.45">
      <c r="A453" s="286"/>
      <c r="C453" s="286"/>
    </row>
    <row r="454" spans="1:3" x14ac:dyDescent="0.45">
      <c r="A454" s="286"/>
      <c r="C454" s="286"/>
    </row>
    <row r="455" spans="1:3" x14ac:dyDescent="0.45">
      <c r="A455" s="286"/>
      <c r="C455" s="286"/>
    </row>
    <row r="456" spans="1:3" x14ac:dyDescent="0.45">
      <c r="A456" s="286"/>
      <c r="C456" s="286"/>
    </row>
    <row r="457" spans="1:3" x14ac:dyDescent="0.45">
      <c r="A457" s="286"/>
      <c r="C457" s="286"/>
    </row>
    <row r="458" spans="1:3" x14ac:dyDescent="0.45">
      <c r="A458" s="286"/>
      <c r="C458" s="286"/>
    </row>
    <row r="459" spans="1:3" x14ac:dyDescent="0.45">
      <c r="A459" s="286"/>
      <c r="C459" s="286"/>
    </row>
    <row r="460" spans="1:3" x14ac:dyDescent="0.45">
      <c r="A460" s="286"/>
      <c r="C460" s="286"/>
    </row>
    <row r="461" spans="1:3" x14ac:dyDescent="0.45">
      <c r="A461" s="286"/>
      <c r="C461" s="286"/>
    </row>
    <row r="462" spans="1:3" x14ac:dyDescent="0.45">
      <c r="A462" s="286"/>
      <c r="C462" s="286"/>
    </row>
    <row r="463" spans="1:3" x14ac:dyDescent="0.45">
      <c r="A463" s="286"/>
      <c r="C463" s="286"/>
    </row>
    <row r="464" spans="1:3" x14ac:dyDescent="0.45">
      <c r="A464" s="286"/>
      <c r="C464" s="286"/>
    </row>
    <row r="465" spans="1:3" x14ac:dyDescent="0.45">
      <c r="A465" s="286"/>
      <c r="C465" s="286"/>
    </row>
    <row r="466" spans="1:3" x14ac:dyDescent="0.45">
      <c r="A466" s="286"/>
      <c r="C466" s="286"/>
    </row>
    <row r="467" spans="1:3" x14ac:dyDescent="0.45">
      <c r="A467" s="286"/>
      <c r="C467" s="286"/>
    </row>
    <row r="468" spans="1:3" x14ac:dyDescent="0.45">
      <c r="A468" s="286"/>
      <c r="C468" s="286"/>
    </row>
    <row r="469" spans="1:3" x14ac:dyDescent="0.45">
      <c r="A469" s="286"/>
      <c r="C469" s="286"/>
    </row>
    <row r="470" spans="1:3" x14ac:dyDescent="0.45">
      <c r="A470" s="286"/>
      <c r="C470" s="286"/>
    </row>
    <row r="471" spans="1:3" x14ac:dyDescent="0.45">
      <c r="A471" s="286"/>
      <c r="C471" s="286"/>
    </row>
    <row r="472" spans="1:3" x14ac:dyDescent="0.45">
      <c r="A472" s="286"/>
      <c r="C472" s="286"/>
    </row>
    <row r="473" spans="1:3" x14ac:dyDescent="0.45">
      <c r="A473" s="286"/>
      <c r="C473" s="286"/>
    </row>
    <row r="474" spans="1:3" x14ac:dyDescent="0.45">
      <c r="A474" s="286"/>
      <c r="C474" s="286"/>
    </row>
    <row r="475" spans="1:3" x14ac:dyDescent="0.45">
      <c r="A475" s="286"/>
      <c r="C475" s="286"/>
    </row>
    <row r="476" spans="1:3" x14ac:dyDescent="0.45">
      <c r="A476" s="286"/>
      <c r="C476" s="286"/>
    </row>
    <row r="477" spans="1:3" x14ac:dyDescent="0.45">
      <c r="A477" s="286"/>
      <c r="C477" s="286"/>
    </row>
    <row r="478" spans="1:3" x14ac:dyDescent="0.45">
      <c r="A478" s="286"/>
      <c r="C478" s="286"/>
    </row>
    <row r="479" spans="1:3" x14ac:dyDescent="0.45">
      <c r="A479" s="286"/>
      <c r="C479" s="286"/>
    </row>
    <row r="480" spans="1:3" x14ac:dyDescent="0.45">
      <c r="A480" s="286"/>
      <c r="C480" s="286"/>
    </row>
    <row r="481" spans="1:3" x14ac:dyDescent="0.45">
      <c r="A481" s="286"/>
      <c r="C481" s="286"/>
    </row>
    <row r="482" spans="1:3" x14ac:dyDescent="0.45">
      <c r="A482" s="286"/>
      <c r="C482" s="286"/>
    </row>
    <row r="483" spans="1:3" x14ac:dyDescent="0.45">
      <c r="A483" s="286"/>
      <c r="C483" s="286"/>
    </row>
    <row r="484" spans="1:3" x14ac:dyDescent="0.45">
      <c r="A484" s="286"/>
      <c r="C484" s="286"/>
    </row>
    <row r="485" spans="1:3" x14ac:dyDescent="0.45">
      <c r="A485" s="286"/>
      <c r="C485" s="286"/>
    </row>
    <row r="486" spans="1:3" x14ac:dyDescent="0.45">
      <c r="A486" s="286"/>
      <c r="C486" s="286"/>
    </row>
    <row r="487" spans="1:3" x14ac:dyDescent="0.45">
      <c r="A487" s="286"/>
      <c r="C487" s="286"/>
    </row>
    <row r="488" spans="1:3" x14ac:dyDescent="0.45">
      <c r="A488" s="286"/>
      <c r="C488" s="286"/>
    </row>
    <row r="489" spans="1:3" x14ac:dyDescent="0.45">
      <c r="A489" s="286"/>
      <c r="C489" s="286"/>
    </row>
    <row r="490" spans="1:3" x14ac:dyDescent="0.45">
      <c r="A490" s="286"/>
      <c r="C490" s="286"/>
    </row>
    <row r="491" spans="1:3" x14ac:dyDescent="0.45">
      <c r="A491" s="286"/>
      <c r="C491" s="286"/>
    </row>
    <row r="492" spans="1:3" x14ac:dyDescent="0.45">
      <c r="A492" s="286"/>
      <c r="C492" s="286"/>
    </row>
    <row r="493" spans="1:3" x14ac:dyDescent="0.45">
      <c r="A493" s="286"/>
      <c r="C493" s="286"/>
    </row>
    <row r="494" spans="1:3" x14ac:dyDescent="0.45">
      <c r="A494" s="286"/>
      <c r="C494" s="286"/>
    </row>
    <row r="495" spans="1:3" x14ac:dyDescent="0.45">
      <c r="A495" s="286"/>
      <c r="C495" s="286"/>
    </row>
    <row r="496" spans="1:3" x14ac:dyDescent="0.45">
      <c r="A496" s="286"/>
      <c r="C496" s="286"/>
    </row>
    <row r="497" spans="1:3" x14ac:dyDescent="0.45">
      <c r="A497" s="286"/>
      <c r="C497" s="286"/>
    </row>
    <row r="498" spans="1:3" x14ac:dyDescent="0.45">
      <c r="A498" s="286"/>
      <c r="C498" s="286"/>
    </row>
    <row r="499" spans="1:3" x14ac:dyDescent="0.45">
      <c r="A499" s="286"/>
      <c r="C499" s="286"/>
    </row>
    <row r="500" spans="1:3" x14ac:dyDescent="0.45">
      <c r="A500" s="286"/>
      <c r="C500" s="286"/>
    </row>
    <row r="501" spans="1:3" x14ac:dyDescent="0.45">
      <c r="A501" s="286"/>
      <c r="C501" s="286"/>
    </row>
    <row r="502" spans="1:3" x14ac:dyDescent="0.45">
      <c r="A502" s="286"/>
      <c r="C502" s="286"/>
    </row>
    <row r="503" spans="1:3" x14ac:dyDescent="0.45">
      <c r="A503" s="286"/>
      <c r="C503" s="286"/>
    </row>
    <row r="504" spans="1:3" x14ac:dyDescent="0.45">
      <c r="A504" s="286"/>
      <c r="C504" s="286"/>
    </row>
    <row r="505" spans="1:3" x14ac:dyDescent="0.45">
      <c r="A505" s="286"/>
      <c r="C505" s="286"/>
    </row>
    <row r="506" spans="1:3" x14ac:dyDescent="0.45">
      <c r="A506" s="286"/>
      <c r="C506" s="286"/>
    </row>
    <row r="507" spans="1:3" x14ac:dyDescent="0.45">
      <c r="A507" s="286"/>
      <c r="C507" s="286"/>
    </row>
    <row r="508" spans="1:3" x14ac:dyDescent="0.45">
      <c r="A508" s="286"/>
      <c r="C508" s="286"/>
    </row>
    <row r="509" spans="1:3" x14ac:dyDescent="0.45">
      <c r="A509" s="286"/>
      <c r="C509" s="286"/>
    </row>
    <row r="510" spans="1:3" x14ac:dyDescent="0.45">
      <c r="A510" s="286"/>
      <c r="C510" s="286"/>
    </row>
    <row r="511" spans="1:3" x14ac:dyDescent="0.45">
      <c r="A511" s="286"/>
      <c r="C511" s="286"/>
    </row>
    <row r="512" spans="1:3" x14ac:dyDescent="0.45">
      <c r="A512" s="286"/>
      <c r="C512" s="286"/>
    </row>
    <row r="513" spans="1:3" x14ac:dyDescent="0.45">
      <c r="A513" s="286"/>
      <c r="C513" s="286"/>
    </row>
    <row r="514" spans="1:3" x14ac:dyDescent="0.45">
      <c r="A514" s="286"/>
      <c r="C514" s="286"/>
    </row>
    <row r="515" spans="1:3" x14ac:dyDescent="0.45">
      <c r="A515" s="286"/>
      <c r="C515" s="286"/>
    </row>
    <row r="516" spans="1:3" x14ac:dyDescent="0.45">
      <c r="A516" s="286"/>
      <c r="C516" s="286"/>
    </row>
    <row r="517" spans="1:3" x14ac:dyDescent="0.45">
      <c r="A517" s="286"/>
      <c r="C517" s="286"/>
    </row>
    <row r="518" spans="1:3" x14ac:dyDescent="0.45">
      <c r="A518" s="286"/>
      <c r="C518" s="286"/>
    </row>
    <row r="519" spans="1:3" x14ac:dyDescent="0.45">
      <c r="A519" s="286"/>
      <c r="C519" s="286"/>
    </row>
    <row r="520" spans="1:3" x14ac:dyDescent="0.45">
      <c r="A520" s="286"/>
      <c r="C520" s="286"/>
    </row>
    <row r="521" spans="1:3" x14ac:dyDescent="0.45">
      <c r="A521" s="286"/>
      <c r="C521" s="286"/>
    </row>
    <row r="522" spans="1:3" x14ac:dyDescent="0.45">
      <c r="A522" s="286"/>
      <c r="C522" s="286"/>
    </row>
    <row r="523" spans="1:3" x14ac:dyDescent="0.45">
      <c r="A523" s="286"/>
      <c r="C523" s="286"/>
    </row>
    <row r="524" spans="1:3" x14ac:dyDescent="0.45">
      <c r="A524" s="286"/>
      <c r="C524" s="286"/>
    </row>
  </sheetData>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2758-BAFE-4798-B7F8-90A8443337D7}">
  <sheetPr codeName="Sheet4"/>
  <dimension ref="A1:P79"/>
  <sheetViews>
    <sheetView zoomScale="85" zoomScaleNormal="85" workbookViewId="0">
      <pane xSplit="1" topLeftCell="B1" activePane="topRight" state="frozen"/>
      <selection pane="topRight"/>
    </sheetView>
  </sheetViews>
  <sheetFormatPr defaultColWidth="8.7890625" defaultRowHeight="13.8" x14ac:dyDescent="0.45"/>
  <cols>
    <col min="1" max="1" width="7.7890625" style="280" customWidth="1"/>
    <col min="2" max="2" width="40.5234375" style="280" customWidth="1"/>
    <col min="3" max="14" width="14" style="280" customWidth="1"/>
    <col min="15" max="16" width="12" style="280" customWidth="1"/>
    <col min="17" max="16384" width="8.7890625" style="280"/>
  </cols>
  <sheetData>
    <row r="1" spans="1:16" ht="30" customHeight="1" x14ac:dyDescent="0.45">
      <c r="C1" s="1465" t="s">
        <v>71</v>
      </c>
      <c r="D1" s="1466"/>
      <c r="E1" s="1467"/>
      <c r="F1" s="1474" t="s">
        <v>72</v>
      </c>
      <c r="G1" s="1475"/>
      <c r="H1" s="1468" t="s">
        <v>73</v>
      </c>
      <c r="I1" s="1471" t="s">
        <v>1354</v>
      </c>
      <c r="J1" s="1472"/>
      <c r="K1" s="1472"/>
      <c r="L1" s="1472"/>
      <c r="M1" s="1472"/>
      <c r="N1" s="1473"/>
      <c r="O1" s="1465" t="s">
        <v>74</v>
      </c>
      <c r="P1" s="1467"/>
    </row>
    <row r="2" spans="1:16" x14ac:dyDescent="0.45">
      <c r="A2" s="341" t="s">
        <v>75</v>
      </c>
      <c r="B2" s="341" t="s">
        <v>23</v>
      </c>
      <c r="C2" s="340" t="s">
        <v>76</v>
      </c>
      <c r="D2" s="341" t="s">
        <v>77</v>
      </c>
      <c r="E2" s="341" t="s">
        <v>78</v>
      </c>
      <c r="F2" s="340" t="s">
        <v>77</v>
      </c>
      <c r="G2" s="341" t="s">
        <v>79</v>
      </c>
      <c r="H2" s="1470"/>
      <c r="I2" s="569" t="s">
        <v>2604</v>
      </c>
      <c r="J2" s="341" t="s">
        <v>1360</v>
      </c>
      <c r="K2" s="341" t="s">
        <v>1355</v>
      </c>
      <c r="L2" s="341" t="s">
        <v>1356</v>
      </c>
      <c r="M2" s="341" t="s">
        <v>1357</v>
      </c>
      <c r="N2" s="345" t="s">
        <v>1358</v>
      </c>
      <c r="O2" s="340" t="s">
        <v>81</v>
      </c>
      <c r="P2" s="345" t="s">
        <v>80</v>
      </c>
    </row>
    <row r="3" spans="1:16" x14ac:dyDescent="0.45">
      <c r="A3" s="288" t="s">
        <v>134</v>
      </c>
      <c r="B3" s="288" t="s">
        <v>3813</v>
      </c>
      <c r="C3" s="710">
        <v>0.104</v>
      </c>
      <c r="D3" s="711">
        <v>0.04</v>
      </c>
      <c r="E3" s="289">
        <v>9.5650799999999994E-2</v>
      </c>
      <c r="F3" s="712">
        <v>0.9</v>
      </c>
      <c r="G3" s="719">
        <v>0.69354146718978882</v>
      </c>
      <c r="H3" s="722">
        <v>2.36</v>
      </c>
      <c r="I3" s="553">
        <v>0.9</v>
      </c>
      <c r="J3" s="553">
        <v>0.79</v>
      </c>
      <c r="K3" s="554">
        <v>0.59870000000000001</v>
      </c>
      <c r="L3" s="554">
        <v>2.9573</v>
      </c>
      <c r="M3" s="554">
        <v>3.6850999999999998</v>
      </c>
      <c r="N3" s="555">
        <v>6.6000000000000003E-2</v>
      </c>
      <c r="O3" s="715" t="s">
        <v>98</v>
      </c>
      <c r="P3" s="716" t="s">
        <v>99</v>
      </c>
    </row>
    <row r="4" spans="1:16" x14ac:dyDescent="0.45">
      <c r="A4" s="280" t="s">
        <v>131</v>
      </c>
      <c r="B4" s="280" t="s">
        <v>3894</v>
      </c>
      <c r="C4" s="713">
        <v>8.1000000000000003E-2</v>
      </c>
      <c r="D4" s="714">
        <v>0.04</v>
      </c>
      <c r="E4" s="290">
        <v>9.51182E-2</v>
      </c>
      <c r="F4" s="549">
        <v>0.8</v>
      </c>
      <c r="G4" s="720">
        <v>0.52325218915939331</v>
      </c>
      <c r="H4" s="723">
        <v>6.56</v>
      </c>
      <c r="I4" s="549">
        <v>0.85</v>
      </c>
      <c r="J4" s="550">
        <v>0.7</v>
      </c>
      <c r="K4" s="551">
        <v>0.5302</v>
      </c>
      <c r="L4" s="551">
        <v>3.1364999999999998</v>
      </c>
      <c r="M4" s="551">
        <v>3.6920999999999999</v>
      </c>
      <c r="N4" s="552">
        <v>7.0000000000000007E-2</v>
      </c>
      <c r="O4" s="717" t="s">
        <v>85</v>
      </c>
      <c r="P4" s="718" t="s">
        <v>87</v>
      </c>
    </row>
    <row r="5" spans="1:16" x14ac:dyDescent="0.45">
      <c r="A5" s="280" t="s">
        <v>165</v>
      </c>
      <c r="B5" s="280" t="s">
        <v>3814</v>
      </c>
      <c r="C5" s="713">
        <v>7.3999999999999996E-2</v>
      </c>
      <c r="D5" s="714">
        <v>0.105</v>
      </c>
      <c r="E5" s="290">
        <v>0.11128030000000001</v>
      </c>
      <c r="F5" s="549">
        <v>0.9</v>
      </c>
      <c r="G5" s="720">
        <v>0.8722151517868042</v>
      </c>
      <c r="H5" s="723">
        <v>7.16</v>
      </c>
      <c r="I5" s="549">
        <v>0.9</v>
      </c>
      <c r="J5" s="550">
        <v>0.83</v>
      </c>
      <c r="K5" s="551">
        <v>0.60960000000000003</v>
      </c>
      <c r="L5" s="551">
        <v>3.0324</v>
      </c>
      <c r="M5" s="551">
        <v>3.8180000000000001</v>
      </c>
      <c r="N5" s="552">
        <v>6.7699999999999996E-2</v>
      </c>
      <c r="O5" s="717" t="s">
        <v>83</v>
      </c>
      <c r="P5" s="718" t="s">
        <v>84</v>
      </c>
    </row>
    <row r="6" spans="1:16" x14ac:dyDescent="0.45">
      <c r="A6" s="280" t="s">
        <v>804</v>
      </c>
      <c r="B6" s="280" t="s">
        <v>3815</v>
      </c>
      <c r="C6" s="713">
        <v>0.17399999999999999</v>
      </c>
      <c r="D6" s="714">
        <v>0.13500000000000001</v>
      </c>
      <c r="E6" s="290">
        <v>0.16899989999999998</v>
      </c>
      <c r="F6" s="549">
        <v>0.9</v>
      </c>
      <c r="G6" s="720">
        <v>1.0347425937652588</v>
      </c>
      <c r="H6" s="723">
        <v>0.8</v>
      </c>
      <c r="I6" s="549">
        <v>0.9</v>
      </c>
      <c r="J6" s="550">
        <v>0.81</v>
      </c>
      <c r="K6" s="551">
        <v>0.57630000000000003</v>
      </c>
      <c r="L6" s="551">
        <v>3.1907000000000001</v>
      </c>
      <c r="M6" s="551">
        <v>3.8967000000000001</v>
      </c>
      <c r="N6" s="552">
        <v>7.1199999999999999E-2</v>
      </c>
      <c r="O6" s="717" t="s">
        <v>96</v>
      </c>
      <c r="P6" s="718" t="s">
        <v>95</v>
      </c>
    </row>
    <row r="7" spans="1:16" x14ac:dyDescent="0.45">
      <c r="A7" s="280" t="s">
        <v>425</v>
      </c>
      <c r="B7" s="280" t="s">
        <v>3895</v>
      </c>
      <c r="C7" s="713">
        <v>3.5999999999999997E-2</v>
      </c>
      <c r="D7" s="714">
        <v>0.06</v>
      </c>
      <c r="E7" s="290">
        <v>4.3072400000000004E-2</v>
      </c>
      <c r="F7" s="549">
        <v>0.85</v>
      </c>
      <c r="G7" s="720">
        <v>0.47395306825637817</v>
      </c>
      <c r="H7" s="723">
        <v>4.08</v>
      </c>
      <c r="I7" s="549">
        <v>0.85</v>
      </c>
      <c r="J7" s="550">
        <v>0.76</v>
      </c>
      <c r="K7" s="551">
        <v>0.58979999999999999</v>
      </c>
      <c r="L7" s="551">
        <v>2.8948</v>
      </c>
      <c r="M7" s="551">
        <v>3.5777999999999999</v>
      </c>
      <c r="N7" s="552">
        <v>6.4600000000000005E-2</v>
      </c>
      <c r="O7" s="717" t="s">
        <v>85</v>
      </c>
      <c r="P7" s="718" t="s">
        <v>103</v>
      </c>
    </row>
    <row r="8" spans="1:16" x14ac:dyDescent="0.45">
      <c r="A8" s="280" t="s">
        <v>130</v>
      </c>
      <c r="B8" s="280" t="s">
        <v>3816</v>
      </c>
      <c r="C8" s="713">
        <v>0.13700000000000001</v>
      </c>
      <c r="D8" s="714">
        <v>0.09</v>
      </c>
      <c r="E8" s="290">
        <v>9.5742800000000003E-2</v>
      </c>
      <c r="F8" s="549">
        <v>0.95</v>
      </c>
      <c r="G8" s="720">
        <v>0.95028632879257202</v>
      </c>
      <c r="H8" s="723">
        <v>1</v>
      </c>
      <c r="I8" s="549">
        <v>0.95</v>
      </c>
      <c r="J8" s="550">
        <v>0.91</v>
      </c>
      <c r="K8" s="551">
        <v>0.62060000000000004</v>
      </c>
      <c r="L8" s="551">
        <v>3.2126999999999999</v>
      </c>
      <c r="M8" s="551">
        <v>4.0894000000000004</v>
      </c>
      <c r="N8" s="552">
        <v>7.17E-2</v>
      </c>
      <c r="O8" s="717" t="s">
        <v>92</v>
      </c>
      <c r="P8" s="718" t="s">
        <v>95</v>
      </c>
    </row>
    <row r="9" spans="1:16" x14ac:dyDescent="0.45">
      <c r="A9" s="280" t="s">
        <v>144</v>
      </c>
      <c r="B9" s="280" t="s">
        <v>3817</v>
      </c>
      <c r="C9" s="713" t="s">
        <v>14</v>
      </c>
      <c r="D9" s="714">
        <v>9.5000000000000001E-2</v>
      </c>
      <c r="E9" s="290" t="s">
        <v>14</v>
      </c>
      <c r="F9" s="549">
        <v>0.9</v>
      </c>
      <c r="G9" s="720">
        <v>0.80906951427459717</v>
      </c>
      <c r="H9" s="723">
        <v>3.2</v>
      </c>
      <c r="I9" s="549">
        <v>0.9</v>
      </c>
      <c r="J9" s="550">
        <v>0.79</v>
      </c>
      <c r="K9" s="551">
        <v>0.5877</v>
      </c>
      <c r="L9" s="551">
        <v>3.0394000000000001</v>
      </c>
      <c r="M9" s="551">
        <v>3.7494000000000001</v>
      </c>
      <c r="N9" s="552">
        <v>6.7900000000000002E-2</v>
      </c>
      <c r="O9" s="717" t="s">
        <v>102</v>
      </c>
      <c r="P9" s="718" t="s">
        <v>103</v>
      </c>
    </row>
    <row r="10" spans="1:16" x14ac:dyDescent="0.45">
      <c r="A10" s="280" t="s">
        <v>175</v>
      </c>
      <c r="B10" s="280" t="s">
        <v>3818</v>
      </c>
      <c r="C10" s="713">
        <v>0.11799999999999999</v>
      </c>
      <c r="D10" s="714">
        <v>0.115</v>
      </c>
      <c r="E10" s="290">
        <v>0.12731480000000001</v>
      </c>
      <c r="F10" s="549">
        <v>0.9</v>
      </c>
      <c r="G10" s="720">
        <v>0.66840672492980957</v>
      </c>
      <c r="H10" s="723" t="s">
        <v>14</v>
      </c>
      <c r="I10" s="549">
        <v>0.95</v>
      </c>
      <c r="J10" s="550">
        <v>0.88</v>
      </c>
      <c r="K10" s="551">
        <v>0.60399999999999998</v>
      </c>
      <c r="L10" s="551">
        <v>3.2399</v>
      </c>
      <c r="M10" s="551">
        <v>4.0572999999999997</v>
      </c>
      <c r="N10" s="552">
        <v>7.2300000000000003E-2</v>
      </c>
      <c r="O10" s="717" t="s">
        <v>88</v>
      </c>
      <c r="P10" s="718" t="s">
        <v>103</v>
      </c>
    </row>
    <row r="11" spans="1:16" x14ac:dyDescent="0.45">
      <c r="A11" s="280" t="s">
        <v>2876</v>
      </c>
      <c r="B11" s="280" t="s">
        <v>3819</v>
      </c>
      <c r="C11" s="713">
        <v>0.13300000000000001</v>
      </c>
      <c r="D11" s="714">
        <v>0.1</v>
      </c>
      <c r="E11" s="290">
        <v>0.13151640000000001</v>
      </c>
      <c r="F11" s="549">
        <v>0.85</v>
      </c>
      <c r="G11" s="720">
        <v>0.95955890417098999</v>
      </c>
      <c r="H11" s="723">
        <v>2.2000000000000002</v>
      </c>
      <c r="I11" s="549">
        <v>0.85</v>
      </c>
      <c r="J11" s="550">
        <v>0.74</v>
      </c>
      <c r="K11" s="551">
        <v>0.53339999999999999</v>
      </c>
      <c r="L11" s="551">
        <v>3.2930000000000001</v>
      </c>
      <c r="M11" s="551">
        <v>3.8854000000000002</v>
      </c>
      <c r="N11" s="552">
        <v>7.3499999999999996E-2</v>
      </c>
      <c r="O11" s="717" t="s">
        <v>14</v>
      </c>
      <c r="P11" s="718" t="s">
        <v>14</v>
      </c>
    </row>
    <row r="12" spans="1:16" x14ac:dyDescent="0.45">
      <c r="A12" s="280" t="s">
        <v>2623</v>
      </c>
      <c r="B12" s="280" t="s">
        <v>3820</v>
      </c>
      <c r="C12" s="713" t="s">
        <v>14</v>
      </c>
      <c r="D12" s="714">
        <v>0.155</v>
      </c>
      <c r="E12" s="290">
        <v>0.11</v>
      </c>
      <c r="F12" s="549">
        <v>0.95</v>
      </c>
      <c r="G12" s="720">
        <v>0.6922643780708313</v>
      </c>
      <c r="H12" s="723">
        <v>0.96</v>
      </c>
      <c r="I12" s="549">
        <v>0.95</v>
      </c>
      <c r="J12" s="550">
        <v>0.9</v>
      </c>
      <c r="K12" s="551">
        <v>0.65790000000000004</v>
      </c>
      <c r="L12" s="551">
        <v>2.8860000000000001</v>
      </c>
      <c r="M12" s="551">
        <v>3.8249</v>
      </c>
      <c r="N12" s="552">
        <v>6.4399999999999999E-2</v>
      </c>
      <c r="O12" s="717" t="s">
        <v>14</v>
      </c>
      <c r="P12" s="718" t="s">
        <v>14</v>
      </c>
    </row>
    <row r="13" spans="1:16" x14ac:dyDescent="0.45">
      <c r="A13" s="280" t="s">
        <v>3889</v>
      </c>
      <c r="B13" s="280" t="s">
        <v>3896</v>
      </c>
      <c r="C13" s="713">
        <v>9.6000000000000002E-2</v>
      </c>
      <c r="D13" s="714">
        <v>0.09</v>
      </c>
      <c r="E13" s="290">
        <v>0.1054514</v>
      </c>
      <c r="F13" s="549">
        <v>0.85</v>
      </c>
      <c r="G13" s="720">
        <v>0.82718586921691895</v>
      </c>
      <c r="H13" s="723">
        <v>0.96</v>
      </c>
      <c r="I13" s="549">
        <v>0.8</v>
      </c>
      <c r="J13" s="550">
        <v>0.68</v>
      </c>
      <c r="K13" s="551">
        <v>0.50329999999999997</v>
      </c>
      <c r="L13" s="551">
        <v>3.2662</v>
      </c>
      <c r="M13" s="551">
        <v>3.7726000000000002</v>
      </c>
      <c r="N13" s="552">
        <v>7.2900000000000006E-2</v>
      </c>
      <c r="O13" s="717" t="s">
        <v>108</v>
      </c>
      <c r="P13" s="718" t="s">
        <v>109</v>
      </c>
    </row>
    <row r="14" spans="1:16" x14ac:dyDescent="0.45">
      <c r="A14" s="280" t="s">
        <v>1362</v>
      </c>
      <c r="B14" s="280" t="s">
        <v>3821</v>
      </c>
      <c r="C14" s="713">
        <v>0.14099999999999999</v>
      </c>
      <c r="D14" s="714">
        <v>4.4999999999999998E-2</v>
      </c>
      <c r="E14" s="290">
        <v>0.14077320000000001</v>
      </c>
      <c r="F14" s="549">
        <v>0.9</v>
      </c>
      <c r="G14" s="720">
        <v>0.81180983781814575</v>
      </c>
      <c r="H14" s="723" t="s">
        <v>14</v>
      </c>
      <c r="I14" s="549">
        <v>0.9</v>
      </c>
      <c r="J14" s="550">
        <v>0.8</v>
      </c>
      <c r="K14" s="551">
        <v>0.59279999999999999</v>
      </c>
      <c r="L14" s="551">
        <v>3.0358999999999998</v>
      </c>
      <c r="M14" s="551">
        <v>3.7622</v>
      </c>
      <c r="N14" s="552">
        <v>6.7799999999999999E-2</v>
      </c>
      <c r="O14" s="717" t="s">
        <v>14</v>
      </c>
      <c r="P14" s="718" t="s">
        <v>107</v>
      </c>
    </row>
    <row r="15" spans="1:16" x14ac:dyDescent="0.45">
      <c r="A15" s="280" t="s">
        <v>2877</v>
      </c>
      <c r="B15" s="280" t="s">
        <v>3822</v>
      </c>
      <c r="C15" s="713">
        <v>0.126</v>
      </c>
      <c r="D15" s="714">
        <v>0.12</v>
      </c>
      <c r="E15" s="290">
        <v>0.1252933</v>
      </c>
      <c r="F15" s="549">
        <v>0.9</v>
      </c>
      <c r="G15" s="720">
        <v>0.65250164270401001</v>
      </c>
      <c r="H15" s="723">
        <v>2</v>
      </c>
      <c r="I15" s="549">
        <v>0.9</v>
      </c>
      <c r="J15" s="550">
        <v>0.79</v>
      </c>
      <c r="K15" s="551">
        <v>0.56999999999999995</v>
      </c>
      <c r="L15" s="551">
        <v>3.1661000000000001</v>
      </c>
      <c r="M15" s="551">
        <v>3.8458999999999999</v>
      </c>
      <c r="N15" s="552">
        <v>7.0699999999999999E-2</v>
      </c>
      <c r="O15" s="717" t="s">
        <v>14</v>
      </c>
      <c r="P15" s="718" t="s">
        <v>14</v>
      </c>
    </row>
    <row r="16" spans="1:16" x14ac:dyDescent="0.45">
      <c r="A16" s="280" t="s">
        <v>229</v>
      </c>
      <c r="B16" s="280" t="s">
        <v>3897</v>
      </c>
      <c r="C16" s="713">
        <v>0.104</v>
      </c>
      <c r="D16" s="714">
        <v>6.5000000000000002E-2</v>
      </c>
      <c r="E16" s="290">
        <v>9.10054E-2</v>
      </c>
      <c r="F16" s="549">
        <v>0.8</v>
      </c>
      <c r="G16" s="720">
        <v>0.55954545736312866</v>
      </c>
      <c r="H16" s="723">
        <v>2.2000000000000002</v>
      </c>
      <c r="I16" s="549">
        <v>0.8</v>
      </c>
      <c r="J16" s="550">
        <v>0.66</v>
      </c>
      <c r="K16" s="551">
        <v>0.52900000000000003</v>
      </c>
      <c r="L16" s="551">
        <v>2.9645999999999999</v>
      </c>
      <c r="M16" s="551">
        <v>3.4866000000000001</v>
      </c>
      <c r="N16" s="552">
        <v>6.6199999999999995E-2</v>
      </c>
      <c r="O16" s="717" t="s">
        <v>102</v>
      </c>
      <c r="P16" s="718" t="s">
        <v>101</v>
      </c>
    </row>
    <row r="17" spans="1:16" x14ac:dyDescent="0.45">
      <c r="A17" s="280" t="s">
        <v>2878</v>
      </c>
      <c r="B17" s="280" t="s">
        <v>3823</v>
      </c>
      <c r="C17" s="713" t="s">
        <v>14</v>
      </c>
      <c r="D17" s="714">
        <v>0.13500000000000001</v>
      </c>
      <c r="E17" s="290">
        <v>0.125</v>
      </c>
      <c r="F17" s="549">
        <v>0.9</v>
      </c>
      <c r="G17" s="720">
        <v>1.1909652948379517</v>
      </c>
      <c r="H17" s="723">
        <v>0.96</v>
      </c>
      <c r="I17" s="549">
        <v>0.9</v>
      </c>
      <c r="J17" s="550">
        <v>0.77</v>
      </c>
      <c r="K17" s="551">
        <v>0.55100000000000005</v>
      </c>
      <c r="L17" s="551">
        <v>3.2778999999999998</v>
      </c>
      <c r="M17" s="551">
        <v>3.9201999999999999</v>
      </c>
      <c r="N17" s="552">
        <v>7.3200000000000001E-2</v>
      </c>
      <c r="O17" s="717" t="s">
        <v>14</v>
      </c>
      <c r="P17" s="718" t="s">
        <v>14</v>
      </c>
    </row>
    <row r="18" spans="1:16" x14ac:dyDescent="0.45">
      <c r="A18" s="280" t="s">
        <v>244</v>
      </c>
      <c r="B18" s="280" t="s">
        <v>3824</v>
      </c>
      <c r="C18" s="713">
        <v>0.154</v>
      </c>
      <c r="D18" s="714">
        <v>1.4999999999999999E-2</v>
      </c>
      <c r="E18" s="290">
        <v>0.1276291</v>
      </c>
      <c r="F18" s="549">
        <v>0.9</v>
      </c>
      <c r="G18" s="720">
        <v>0.68309164047241211</v>
      </c>
      <c r="H18" s="723">
        <v>2.66</v>
      </c>
      <c r="I18" s="549">
        <v>0.9</v>
      </c>
      <c r="J18" s="550">
        <v>0.79</v>
      </c>
      <c r="K18" s="551">
        <v>0.54900000000000004</v>
      </c>
      <c r="L18" s="551">
        <v>3.3645999999999998</v>
      </c>
      <c r="M18" s="551">
        <v>4.0175999999999998</v>
      </c>
      <c r="N18" s="552">
        <v>7.51E-2</v>
      </c>
      <c r="O18" s="717" t="s">
        <v>104</v>
      </c>
      <c r="P18" s="718" t="s">
        <v>103</v>
      </c>
    </row>
    <row r="19" spans="1:16" x14ac:dyDescent="0.45">
      <c r="A19" s="280" t="s">
        <v>255</v>
      </c>
      <c r="B19" s="280" t="s">
        <v>3825</v>
      </c>
      <c r="C19" s="713">
        <v>8.8999999999999996E-2</v>
      </c>
      <c r="D19" s="714">
        <v>0.02</v>
      </c>
      <c r="E19" s="290">
        <v>9.4255999999999993E-2</v>
      </c>
      <c r="F19" s="549">
        <v>0.9</v>
      </c>
      <c r="G19" s="720">
        <v>0.8980674147605896</v>
      </c>
      <c r="H19" s="723">
        <v>1.08</v>
      </c>
      <c r="I19" s="549">
        <v>0.9</v>
      </c>
      <c r="J19" s="550">
        <v>0.81</v>
      </c>
      <c r="K19" s="551">
        <v>0.59889999999999999</v>
      </c>
      <c r="L19" s="551">
        <v>3.0286</v>
      </c>
      <c r="M19" s="551">
        <v>3.7745000000000002</v>
      </c>
      <c r="N19" s="552">
        <v>6.7599999999999993E-2</v>
      </c>
      <c r="O19" s="717" t="s">
        <v>85</v>
      </c>
      <c r="P19" s="718" t="s">
        <v>87</v>
      </c>
    </row>
    <row r="20" spans="1:16" x14ac:dyDescent="0.45">
      <c r="A20" s="280" t="s">
        <v>2624</v>
      </c>
      <c r="B20" s="280" t="s">
        <v>3826</v>
      </c>
      <c r="C20" s="713" t="s">
        <v>14</v>
      </c>
      <c r="D20" s="714">
        <v>9.5000000000000001E-2</v>
      </c>
      <c r="E20" s="290" t="s">
        <v>14</v>
      </c>
      <c r="F20" s="549">
        <v>0.95</v>
      </c>
      <c r="G20" s="720">
        <v>0.90907853841781616</v>
      </c>
      <c r="H20" s="723">
        <v>1.32</v>
      </c>
      <c r="I20" s="549">
        <v>0.95</v>
      </c>
      <c r="J20" s="550">
        <v>0.87</v>
      </c>
      <c r="K20" s="551">
        <v>0.63460000000000005</v>
      </c>
      <c r="L20" s="551">
        <v>2.9508000000000001</v>
      </c>
      <c r="M20" s="551">
        <v>3.8107000000000002</v>
      </c>
      <c r="N20" s="552">
        <v>6.59E-2</v>
      </c>
      <c r="O20" s="717" t="s">
        <v>14</v>
      </c>
      <c r="P20" s="718" t="s">
        <v>14</v>
      </c>
    </row>
    <row r="21" spans="1:16" x14ac:dyDescent="0.45">
      <c r="A21" s="280" t="s">
        <v>3890</v>
      </c>
      <c r="B21" s="280" t="s">
        <v>3898</v>
      </c>
      <c r="C21" s="713" t="s">
        <v>14</v>
      </c>
      <c r="D21" s="714">
        <v>7.0000000000000007E-2</v>
      </c>
      <c r="E21" s="290" t="s">
        <v>14</v>
      </c>
      <c r="F21" s="549">
        <v>0.95</v>
      </c>
      <c r="G21" s="720">
        <v>1.1504942178726196</v>
      </c>
      <c r="H21" s="723">
        <v>1.1200000000000001</v>
      </c>
      <c r="I21" s="549">
        <v>0.95</v>
      </c>
      <c r="J21" s="550">
        <v>0.88</v>
      </c>
      <c r="K21" s="551">
        <v>0.59150000000000003</v>
      </c>
      <c r="L21" s="551">
        <v>3.3456000000000001</v>
      </c>
      <c r="M21" s="551">
        <v>4.1412000000000004</v>
      </c>
      <c r="N21" s="552">
        <v>7.4700000000000003E-2</v>
      </c>
      <c r="O21" s="717" t="s">
        <v>14</v>
      </c>
      <c r="P21" s="718" t="s">
        <v>14</v>
      </c>
    </row>
    <row r="22" spans="1:16" x14ac:dyDescent="0.45">
      <c r="A22" s="280" t="s">
        <v>292</v>
      </c>
      <c r="B22" s="280" t="s">
        <v>3827</v>
      </c>
      <c r="C22" s="713">
        <v>9.8000000000000004E-2</v>
      </c>
      <c r="D22" s="714">
        <v>0.09</v>
      </c>
      <c r="E22" s="290">
        <v>9.2604699999999998E-2</v>
      </c>
      <c r="F22" s="549">
        <v>0.85</v>
      </c>
      <c r="G22" s="720">
        <v>0.95662695169448853</v>
      </c>
      <c r="H22" s="723">
        <v>1.72</v>
      </c>
      <c r="I22" s="549">
        <v>0.9</v>
      </c>
      <c r="J22" s="550">
        <v>0.8</v>
      </c>
      <c r="K22" s="551">
        <v>0.60560000000000003</v>
      </c>
      <c r="L22" s="551">
        <v>2.9253</v>
      </c>
      <c r="M22" s="551">
        <v>3.6688000000000001</v>
      </c>
      <c r="N22" s="552">
        <v>6.5299999999999997E-2</v>
      </c>
      <c r="O22" s="717" t="s">
        <v>14</v>
      </c>
      <c r="P22" s="718" t="s">
        <v>14</v>
      </c>
    </row>
    <row r="23" spans="1:16" x14ac:dyDescent="0.45">
      <c r="A23" s="280" t="s">
        <v>3891</v>
      </c>
      <c r="B23" s="280" t="s">
        <v>3899</v>
      </c>
      <c r="C23" s="713">
        <v>0.12</v>
      </c>
      <c r="D23" s="714">
        <v>7.4999999999999997E-2</v>
      </c>
      <c r="E23" s="290">
        <v>0.12</v>
      </c>
      <c r="F23" s="549">
        <v>0.9</v>
      </c>
      <c r="G23" s="720">
        <v>1.037055492401123</v>
      </c>
      <c r="H23" s="723">
        <v>1.06</v>
      </c>
      <c r="I23" s="549">
        <v>0.9</v>
      </c>
      <c r="J23" s="550">
        <v>0.82</v>
      </c>
      <c r="K23" s="551">
        <v>0.61570000000000003</v>
      </c>
      <c r="L23" s="551">
        <v>2.9333</v>
      </c>
      <c r="M23" s="551">
        <v>3.7155</v>
      </c>
      <c r="N23" s="552">
        <v>6.5500000000000003E-2</v>
      </c>
      <c r="O23" s="717" t="s">
        <v>14</v>
      </c>
      <c r="P23" s="718" t="s">
        <v>14</v>
      </c>
    </row>
    <row r="24" spans="1:16" ht="14.5" customHeight="1" x14ac:dyDescent="0.45">
      <c r="A24" s="280" t="s">
        <v>2625</v>
      </c>
      <c r="B24" s="280" t="s">
        <v>3828</v>
      </c>
      <c r="C24" s="713" t="s">
        <v>14</v>
      </c>
      <c r="D24" s="714">
        <v>0.105</v>
      </c>
      <c r="E24" s="290" t="s">
        <v>14</v>
      </c>
      <c r="F24" s="549">
        <v>0.95</v>
      </c>
      <c r="G24" s="720">
        <v>1.0428807735443115</v>
      </c>
      <c r="H24" s="723">
        <v>2.44</v>
      </c>
      <c r="I24" s="549">
        <v>0.95</v>
      </c>
      <c r="J24" s="550">
        <v>0.9</v>
      </c>
      <c r="K24" s="551">
        <v>0.64380000000000004</v>
      </c>
      <c r="L24" s="551">
        <v>2.9874999999999998</v>
      </c>
      <c r="M24" s="551">
        <v>3.8965999999999998</v>
      </c>
      <c r="N24" s="552">
        <v>6.6699999999999995E-2</v>
      </c>
      <c r="O24" s="717" t="s">
        <v>102</v>
      </c>
      <c r="P24" s="718" t="s">
        <v>103</v>
      </c>
    </row>
    <row r="25" spans="1:16" x14ac:dyDescent="0.45">
      <c r="A25" s="280" t="s">
        <v>367</v>
      </c>
      <c r="B25" s="280" t="s">
        <v>3829</v>
      </c>
      <c r="C25" s="713">
        <v>8.6999999999999994E-2</v>
      </c>
      <c r="D25" s="714">
        <v>6.5000000000000002E-2</v>
      </c>
      <c r="E25" s="290">
        <v>8.6524599999999993E-2</v>
      </c>
      <c r="F25" s="549">
        <v>0.85</v>
      </c>
      <c r="G25" s="720">
        <v>0.74081504344940186</v>
      </c>
      <c r="H25" s="723">
        <v>2.2000000000000002</v>
      </c>
      <c r="I25" s="549">
        <v>0.85</v>
      </c>
      <c r="J25" s="550">
        <v>0.74</v>
      </c>
      <c r="K25" s="551">
        <v>0.54590000000000005</v>
      </c>
      <c r="L25" s="551">
        <v>3.1928000000000001</v>
      </c>
      <c r="M25" s="551">
        <v>3.8033000000000001</v>
      </c>
      <c r="N25" s="552">
        <v>7.1300000000000002E-2</v>
      </c>
      <c r="O25" s="717" t="s">
        <v>14</v>
      </c>
      <c r="P25" s="718" t="s">
        <v>14</v>
      </c>
    </row>
    <row r="26" spans="1:16" x14ac:dyDescent="0.45">
      <c r="A26" s="280" t="s">
        <v>363</v>
      </c>
      <c r="B26" s="280" t="s">
        <v>3830</v>
      </c>
      <c r="C26" s="713">
        <v>0.16400000000000001</v>
      </c>
      <c r="D26" s="714">
        <v>0.06</v>
      </c>
      <c r="E26" s="290">
        <v>0.12478020000000001</v>
      </c>
      <c r="F26" s="549">
        <v>0.95</v>
      </c>
      <c r="G26" s="720">
        <v>1.0723741054534912</v>
      </c>
      <c r="H26" s="723">
        <v>1.76</v>
      </c>
      <c r="I26" s="549">
        <v>0.95</v>
      </c>
      <c r="J26" s="550">
        <v>0.91</v>
      </c>
      <c r="K26" s="551">
        <v>0.61509999999999998</v>
      </c>
      <c r="L26" s="551">
        <v>3.2646999999999999</v>
      </c>
      <c r="M26" s="551">
        <v>4.1326000000000001</v>
      </c>
      <c r="N26" s="552">
        <v>7.2900000000000006E-2</v>
      </c>
      <c r="O26" s="717" t="s">
        <v>88</v>
      </c>
      <c r="P26" s="718" t="s">
        <v>101</v>
      </c>
    </row>
    <row r="27" spans="1:16" x14ac:dyDescent="0.45">
      <c r="A27" s="280" t="s">
        <v>331</v>
      </c>
      <c r="B27" s="280" t="s">
        <v>3831</v>
      </c>
      <c r="C27" s="713">
        <v>7.3999999999999996E-2</v>
      </c>
      <c r="D27" s="714">
        <v>0.1</v>
      </c>
      <c r="E27" s="290">
        <v>7.3633600000000007E-2</v>
      </c>
      <c r="F27" s="549">
        <v>0.95</v>
      </c>
      <c r="G27" s="720">
        <v>1.0332001447677612</v>
      </c>
      <c r="H27" s="723">
        <v>5.4</v>
      </c>
      <c r="I27" s="549">
        <v>0.95</v>
      </c>
      <c r="J27" s="550">
        <v>0.89</v>
      </c>
      <c r="K27" s="551">
        <v>0.59289999999999998</v>
      </c>
      <c r="L27" s="551">
        <v>3.3736000000000002</v>
      </c>
      <c r="M27" s="551">
        <v>4.1811999999999996</v>
      </c>
      <c r="N27" s="552">
        <v>7.5300000000000006E-2</v>
      </c>
      <c r="O27" s="717" t="s">
        <v>104</v>
      </c>
      <c r="P27" s="718" t="s">
        <v>105</v>
      </c>
    </row>
    <row r="28" spans="1:16" x14ac:dyDescent="0.45">
      <c r="A28" s="280" t="s">
        <v>391</v>
      </c>
      <c r="B28" s="280" t="s">
        <v>3832</v>
      </c>
      <c r="C28" s="713">
        <v>8.7999999999999995E-2</v>
      </c>
      <c r="D28" s="714">
        <v>0.11</v>
      </c>
      <c r="E28" s="290">
        <v>8.8910400000000001E-2</v>
      </c>
      <c r="F28" s="549">
        <v>0.95</v>
      </c>
      <c r="G28" s="720">
        <v>0.85451763868331909</v>
      </c>
      <c r="H28" s="723">
        <v>4.6399999999999997</v>
      </c>
      <c r="I28" s="549">
        <v>0.9</v>
      </c>
      <c r="J28" s="550">
        <v>0.83</v>
      </c>
      <c r="K28" s="551">
        <v>0.6069</v>
      </c>
      <c r="L28" s="551">
        <v>3.1556000000000002</v>
      </c>
      <c r="M28" s="551">
        <v>3.9618000000000002</v>
      </c>
      <c r="N28" s="552">
        <v>7.1099999999999997E-2</v>
      </c>
      <c r="O28" s="717" t="s">
        <v>102</v>
      </c>
      <c r="P28" s="718" t="s">
        <v>103</v>
      </c>
    </row>
    <row r="29" spans="1:16" x14ac:dyDescent="0.45">
      <c r="A29" s="280" t="s">
        <v>3892</v>
      </c>
      <c r="B29" s="280" t="s">
        <v>3900</v>
      </c>
      <c r="C29" s="713" t="s">
        <v>14</v>
      </c>
      <c r="D29" s="714">
        <v>0.05</v>
      </c>
      <c r="E29" s="290">
        <v>0.11</v>
      </c>
      <c r="F29" s="549">
        <v>0.8</v>
      </c>
      <c r="G29" s="720">
        <v>0.96206098794937134</v>
      </c>
      <c r="H29" s="723">
        <v>1.44</v>
      </c>
      <c r="I29" s="549">
        <v>0.8</v>
      </c>
      <c r="J29" s="550">
        <v>0.65</v>
      </c>
      <c r="K29" s="551">
        <v>0.53300000000000003</v>
      </c>
      <c r="L29" s="551">
        <v>2.8664999999999998</v>
      </c>
      <c r="M29" s="551">
        <v>3.3812000000000002</v>
      </c>
      <c r="N29" s="552">
        <v>6.4000000000000001E-2</v>
      </c>
      <c r="O29" s="717" t="s">
        <v>14</v>
      </c>
      <c r="P29" s="718" t="s">
        <v>14</v>
      </c>
    </row>
    <row r="30" spans="1:16" x14ac:dyDescent="0.45">
      <c r="A30" s="280" t="s">
        <v>395</v>
      </c>
      <c r="B30" s="280" t="s">
        <v>3833</v>
      </c>
      <c r="C30" s="713">
        <v>4.3999999999999997E-2</v>
      </c>
      <c r="D30" s="714">
        <v>9.5000000000000001E-2</v>
      </c>
      <c r="E30" s="290">
        <v>4.4024400000000005E-2</v>
      </c>
      <c r="F30" s="549">
        <v>0.85</v>
      </c>
      <c r="G30" s="720">
        <v>0.45136621594429016</v>
      </c>
      <c r="H30" s="723">
        <v>13.2</v>
      </c>
      <c r="I30" s="549">
        <v>0.85</v>
      </c>
      <c r="J30" s="550">
        <v>0.75</v>
      </c>
      <c r="K30" s="551">
        <v>0.58760000000000001</v>
      </c>
      <c r="L30" s="551">
        <v>2.8740999999999999</v>
      </c>
      <c r="M30" s="551">
        <v>3.5449999999999999</v>
      </c>
      <c r="N30" s="552">
        <v>6.4199999999999993E-2</v>
      </c>
      <c r="O30" s="717" t="s">
        <v>83</v>
      </c>
      <c r="P30" s="718" t="s">
        <v>87</v>
      </c>
    </row>
    <row r="31" spans="1:16" x14ac:dyDescent="0.45">
      <c r="A31" s="280" t="s">
        <v>410</v>
      </c>
      <c r="B31" s="280" t="s">
        <v>3834</v>
      </c>
      <c r="C31" s="713">
        <v>0.14099999999999999</v>
      </c>
      <c r="D31" s="714">
        <v>0.1</v>
      </c>
      <c r="E31" s="290">
        <v>0.13767279999999998</v>
      </c>
      <c r="F31" s="549">
        <v>0.85</v>
      </c>
      <c r="G31" s="720">
        <v>0.6526990532875061</v>
      </c>
      <c r="H31" s="723">
        <v>2.84</v>
      </c>
      <c r="I31" s="549">
        <v>0.85</v>
      </c>
      <c r="J31" s="550">
        <v>0.7</v>
      </c>
      <c r="K31" s="551">
        <v>0.53029999999999999</v>
      </c>
      <c r="L31" s="551">
        <v>3.1484999999999999</v>
      </c>
      <c r="M31" s="551">
        <v>3.7065999999999999</v>
      </c>
      <c r="N31" s="552">
        <v>7.0300000000000001E-2</v>
      </c>
      <c r="O31" s="717" t="s">
        <v>85</v>
      </c>
      <c r="P31" s="718" t="s">
        <v>101</v>
      </c>
    </row>
    <row r="32" spans="1:16" x14ac:dyDescent="0.45">
      <c r="A32" s="280" t="s">
        <v>435</v>
      </c>
      <c r="B32" s="280" t="s">
        <v>3835</v>
      </c>
      <c r="C32" s="713">
        <v>0.14399999999999999</v>
      </c>
      <c r="D32" s="714">
        <v>0.14499999999999999</v>
      </c>
      <c r="E32" s="290">
        <v>0.13187670000000001</v>
      </c>
      <c r="F32" s="549">
        <v>0.9</v>
      </c>
      <c r="G32" s="720">
        <v>1.024526834487915</v>
      </c>
      <c r="H32" s="723">
        <v>3.32</v>
      </c>
      <c r="I32" s="549">
        <v>0.9</v>
      </c>
      <c r="J32" s="550">
        <v>0.78</v>
      </c>
      <c r="K32" s="551">
        <v>0.60860000000000003</v>
      </c>
      <c r="L32" s="551">
        <v>2.8519999999999999</v>
      </c>
      <c r="M32" s="551">
        <v>3.5874000000000001</v>
      </c>
      <c r="N32" s="552">
        <v>6.3700000000000007E-2</v>
      </c>
      <c r="O32" s="717" t="s">
        <v>92</v>
      </c>
      <c r="P32" s="718" t="s">
        <v>93</v>
      </c>
    </row>
    <row r="33" spans="1:16" x14ac:dyDescent="0.45">
      <c r="A33" s="280" t="s">
        <v>2626</v>
      </c>
      <c r="B33" s="280" t="s">
        <v>3836</v>
      </c>
      <c r="C33" s="713" t="s">
        <v>14</v>
      </c>
      <c r="D33" s="714">
        <v>5.0000000000000001E-3</v>
      </c>
      <c r="E33" s="290" t="s">
        <v>14</v>
      </c>
      <c r="F33" s="549">
        <v>0.9</v>
      </c>
      <c r="G33" s="720">
        <v>0.89007562398910522</v>
      </c>
      <c r="H33" s="723">
        <v>3.4</v>
      </c>
      <c r="I33" s="549">
        <v>0.9</v>
      </c>
      <c r="J33" s="550">
        <v>0.84</v>
      </c>
      <c r="K33" s="551">
        <v>0.62229999999999996</v>
      </c>
      <c r="L33" s="551">
        <v>2.9544999999999999</v>
      </c>
      <c r="M33" s="551">
        <v>3.7669000000000001</v>
      </c>
      <c r="N33" s="552">
        <v>6.6000000000000003E-2</v>
      </c>
      <c r="O33" s="717" t="s">
        <v>14</v>
      </c>
      <c r="P33" s="718" t="s">
        <v>14</v>
      </c>
    </row>
    <row r="34" spans="1:16" x14ac:dyDescent="0.45">
      <c r="A34" s="280" t="s">
        <v>462</v>
      </c>
      <c r="B34" s="280" t="s">
        <v>3837</v>
      </c>
      <c r="C34" s="713">
        <v>0.10199999999999999</v>
      </c>
      <c r="D34" s="714">
        <v>0.1</v>
      </c>
      <c r="E34" s="290">
        <v>0.11156919999999999</v>
      </c>
      <c r="F34" s="549">
        <v>0.85</v>
      </c>
      <c r="G34" s="720">
        <v>1.3098315000534058</v>
      </c>
      <c r="H34" s="723">
        <v>1.6</v>
      </c>
      <c r="I34" s="549">
        <v>0.85</v>
      </c>
      <c r="J34" s="550">
        <v>0.7</v>
      </c>
      <c r="K34" s="551">
        <v>0.53559999999999997</v>
      </c>
      <c r="L34" s="551">
        <v>3.0994999999999999</v>
      </c>
      <c r="M34" s="551">
        <v>3.6633</v>
      </c>
      <c r="N34" s="552">
        <v>6.9199999999999998E-2</v>
      </c>
      <c r="O34" s="717" t="s">
        <v>102</v>
      </c>
      <c r="P34" s="718" t="s">
        <v>103</v>
      </c>
    </row>
    <row r="35" spans="1:16" x14ac:dyDescent="0.45">
      <c r="A35" s="280" t="s">
        <v>463</v>
      </c>
      <c r="B35" s="280" t="s">
        <v>3838</v>
      </c>
      <c r="C35" s="713">
        <v>0.121</v>
      </c>
      <c r="D35" s="714">
        <v>0.105</v>
      </c>
      <c r="E35" s="290">
        <v>0.11921749999999999</v>
      </c>
      <c r="F35" s="549">
        <v>0.9</v>
      </c>
      <c r="G35" s="720">
        <v>0.60680055618286133</v>
      </c>
      <c r="H35" s="723" t="s">
        <v>14</v>
      </c>
      <c r="I35" s="549">
        <v>0.9</v>
      </c>
      <c r="J35" s="550">
        <v>0.84</v>
      </c>
      <c r="K35" s="551">
        <v>0.61429999999999996</v>
      </c>
      <c r="L35" s="551">
        <v>3.0259</v>
      </c>
      <c r="M35" s="551">
        <v>3.8271000000000002</v>
      </c>
      <c r="N35" s="552">
        <v>6.7599999999999993E-2</v>
      </c>
      <c r="O35" s="717" t="s">
        <v>88</v>
      </c>
      <c r="P35" s="718" t="s">
        <v>103</v>
      </c>
    </row>
    <row r="36" spans="1:16" x14ac:dyDescent="0.45">
      <c r="A36" s="280" t="s">
        <v>1363</v>
      </c>
      <c r="B36" s="280" t="s">
        <v>3839</v>
      </c>
      <c r="C36" s="713">
        <v>0.129</v>
      </c>
      <c r="D36" s="714">
        <v>0.105</v>
      </c>
      <c r="E36" s="290">
        <v>0.14049910000000002</v>
      </c>
      <c r="F36" s="549">
        <v>0.9</v>
      </c>
      <c r="G36" s="720">
        <v>1.2321913242340088</v>
      </c>
      <c r="H36" s="723" t="s">
        <v>14</v>
      </c>
      <c r="I36" s="549">
        <v>0.9</v>
      </c>
      <c r="J36" s="550">
        <v>0.81</v>
      </c>
      <c r="K36" s="551">
        <v>0.57709999999999995</v>
      </c>
      <c r="L36" s="551">
        <v>3.2160000000000002</v>
      </c>
      <c r="M36" s="551">
        <v>3.9302999999999999</v>
      </c>
      <c r="N36" s="552">
        <v>7.1800000000000003E-2</v>
      </c>
      <c r="O36" s="717" t="s">
        <v>14</v>
      </c>
      <c r="P36" s="718" t="s">
        <v>14</v>
      </c>
    </row>
    <row r="37" spans="1:16" x14ac:dyDescent="0.45">
      <c r="A37" s="280" t="s">
        <v>481</v>
      </c>
      <c r="B37" s="280" t="s">
        <v>3840</v>
      </c>
      <c r="C37" s="713">
        <v>0.09</v>
      </c>
      <c r="D37" s="714">
        <v>0.09</v>
      </c>
      <c r="E37" s="290">
        <v>0.11312670000000001</v>
      </c>
      <c r="F37" s="549">
        <v>0.95</v>
      </c>
      <c r="G37" s="720">
        <v>0.7697637677192688</v>
      </c>
      <c r="H37" s="723">
        <v>5</v>
      </c>
      <c r="I37" s="549">
        <v>0.95</v>
      </c>
      <c r="J37" s="550">
        <v>0.85</v>
      </c>
      <c r="K37" s="551">
        <v>0.63790000000000002</v>
      </c>
      <c r="L37" s="551">
        <v>2.8607</v>
      </c>
      <c r="M37" s="551">
        <v>3.7075999999999998</v>
      </c>
      <c r="N37" s="552">
        <v>6.3899999999999998E-2</v>
      </c>
      <c r="O37" s="717" t="s">
        <v>102</v>
      </c>
      <c r="P37" s="718" t="s">
        <v>103</v>
      </c>
    </row>
    <row r="38" spans="1:16" x14ac:dyDescent="0.45">
      <c r="A38" s="280" t="s">
        <v>475</v>
      </c>
      <c r="B38" s="280" t="s">
        <v>3901</v>
      </c>
      <c r="C38" s="713">
        <v>0.14199999999999999</v>
      </c>
      <c r="D38" s="714">
        <v>2.5000000000000001E-2</v>
      </c>
      <c r="E38" s="290">
        <v>5.9271799999999999E-2</v>
      </c>
      <c r="F38" s="549">
        <v>0.8</v>
      </c>
      <c r="G38" s="720">
        <v>0.50461471080780029</v>
      </c>
      <c r="H38" s="723">
        <v>1.72</v>
      </c>
      <c r="I38" s="549">
        <v>0.8</v>
      </c>
      <c r="J38" s="550">
        <v>0.67</v>
      </c>
      <c r="K38" s="551">
        <v>0.5091</v>
      </c>
      <c r="L38" s="551">
        <v>3.1709000000000001</v>
      </c>
      <c r="M38" s="551">
        <v>3.6768999999999998</v>
      </c>
      <c r="N38" s="552">
        <v>7.0800000000000002E-2</v>
      </c>
      <c r="O38" s="717" t="s">
        <v>83</v>
      </c>
      <c r="P38" s="718" t="s">
        <v>84</v>
      </c>
    </row>
    <row r="39" spans="1:16" x14ac:dyDescent="0.45">
      <c r="A39" s="280" t="s">
        <v>483</v>
      </c>
      <c r="B39" s="280" t="s">
        <v>3902</v>
      </c>
      <c r="C39" s="713">
        <v>0.08</v>
      </c>
      <c r="D39" s="714">
        <v>0.05</v>
      </c>
      <c r="E39" s="290">
        <v>9.5411800000000005E-2</v>
      </c>
      <c r="F39" s="549">
        <v>0.9</v>
      </c>
      <c r="G39" s="720">
        <v>0.49016240239143372</v>
      </c>
      <c r="H39" s="723">
        <v>5.4</v>
      </c>
      <c r="I39" s="549">
        <v>0.95</v>
      </c>
      <c r="J39" s="550">
        <v>0.87</v>
      </c>
      <c r="K39" s="551">
        <v>0.64529999999999998</v>
      </c>
      <c r="L39" s="551">
        <v>2.875</v>
      </c>
      <c r="M39" s="551">
        <v>3.7563</v>
      </c>
      <c r="N39" s="552">
        <v>6.4199999999999993E-2</v>
      </c>
      <c r="O39" s="717" t="s">
        <v>83</v>
      </c>
      <c r="P39" s="718" t="s">
        <v>87</v>
      </c>
    </row>
    <row r="40" spans="1:16" x14ac:dyDescent="0.45">
      <c r="A40" s="280" t="s">
        <v>2879</v>
      </c>
      <c r="B40" s="280" t="s">
        <v>3841</v>
      </c>
      <c r="C40" s="713">
        <v>0.08</v>
      </c>
      <c r="D40" s="714">
        <v>5.5E-2</v>
      </c>
      <c r="E40" s="290">
        <v>0.08</v>
      </c>
      <c r="F40" s="549">
        <v>0.9</v>
      </c>
      <c r="G40" s="720">
        <v>0.67751145362854004</v>
      </c>
      <c r="H40" s="723" t="s">
        <v>14</v>
      </c>
      <c r="I40" s="549">
        <v>0.85</v>
      </c>
      <c r="J40" s="550">
        <v>0.75</v>
      </c>
      <c r="K40" s="551">
        <v>0.53</v>
      </c>
      <c r="L40" s="551">
        <v>3.347</v>
      </c>
      <c r="M40" s="551">
        <v>3.9392</v>
      </c>
      <c r="N40" s="552">
        <v>7.4700000000000003E-2</v>
      </c>
      <c r="O40" s="717" t="s">
        <v>14</v>
      </c>
      <c r="P40" s="718" t="s">
        <v>109</v>
      </c>
    </row>
    <row r="41" spans="1:16" x14ac:dyDescent="0.45">
      <c r="A41" s="280" t="s">
        <v>2880</v>
      </c>
      <c r="B41" s="280" t="s">
        <v>3842</v>
      </c>
      <c r="C41" s="713" t="s">
        <v>14</v>
      </c>
      <c r="D41" s="714">
        <v>0.17499999999999999</v>
      </c>
      <c r="E41" s="290">
        <v>0.16399999999999998</v>
      </c>
      <c r="F41" s="549">
        <v>0.9</v>
      </c>
      <c r="G41" s="720">
        <v>0.64090383052825928</v>
      </c>
      <c r="H41" s="723">
        <v>1.52</v>
      </c>
      <c r="I41" s="549">
        <v>0.85</v>
      </c>
      <c r="J41" s="550">
        <v>0.74</v>
      </c>
      <c r="K41" s="551">
        <v>0.56879999999999997</v>
      </c>
      <c r="L41" s="551">
        <v>2.9941</v>
      </c>
      <c r="M41" s="551">
        <v>3.6331000000000002</v>
      </c>
      <c r="N41" s="552">
        <v>6.6799999999999998E-2</v>
      </c>
      <c r="O41" s="717" t="s">
        <v>102</v>
      </c>
      <c r="P41" s="718" t="s">
        <v>103</v>
      </c>
    </row>
    <row r="42" spans="1:16" x14ac:dyDescent="0.45">
      <c r="A42" s="280" t="s">
        <v>2881</v>
      </c>
      <c r="B42" s="280" t="s">
        <v>3843</v>
      </c>
      <c r="C42" s="713">
        <v>9.7000000000000003E-2</v>
      </c>
      <c r="D42" s="714">
        <v>4.4999999999999998E-2</v>
      </c>
      <c r="E42" s="290">
        <v>9.7467999999999999E-2</v>
      </c>
      <c r="F42" s="549">
        <v>0.95</v>
      </c>
      <c r="G42" s="720">
        <v>0.9204447865486145</v>
      </c>
      <c r="H42" s="723">
        <v>1.2</v>
      </c>
      <c r="I42" s="549">
        <v>0.9</v>
      </c>
      <c r="J42" s="550">
        <v>0.84</v>
      </c>
      <c r="K42" s="551">
        <v>0.59440000000000004</v>
      </c>
      <c r="L42" s="551">
        <v>3.1842000000000001</v>
      </c>
      <c r="M42" s="551">
        <v>3.9519000000000002</v>
      </c>
      <c r="N42" s="552">
        <v>7.1099999999999997E-2</v>
      </c>
      <c r="O42" s="717" t="s">
        <v>110</v>
      </c>
      <c r="P42" s="718" t="s">
        <v>107</v>
      </c>
    </row>
    <row r="43" spans="1:16" x14ac:dyDescent="0.45">
      <c r="A43" s="280" t="s">
        <v>515</v>
      </c>
      <c r="B43" s="280" t="s">
        <v>3844</v>
      </c>
      <c r="C43" s="713">
        <v>0.10299999999999999</v>
      </c>
      <c r="D43" s="714">
        <v>0.12</v>
      </c>
      <c r="E43" s="290">
        <v>8.9975199999999991E-2</v>
      </c>
      <c r="F43" s="549">
        <v>0.95</v>
      </c>
      <c r="G43" s="720">
        <v>1.1740704774856567</v>
      </c>
      <c r="H43" s="723">
        <v>2.86</v>
      </c>
      <c r="I43" s="549">
        <v>0.95</v>
      </c>
      <c r="J43" s="550">
        <v>0.9</v>
      </c>
      <c r="K43" s="551">
        <v>0.64990000000000003</v>
      </c>
      <c r="L43" s="551">
        <v>2.9253999999999998</v>
      </c>
      <c r="M43" s="551">
        <v>3.8416999999999999</v>
      </c>
      <c r="N43" s="552">
        <v>6.5299999999999997E-2</v>
      </c>
      <c r="O43" s="717" t="s">
        <v>102</v>
      </c>
      <c r="P43" s="718" t="s">
        <v>103</v>
      </c>
    </row>
    <row r="44" spans="1:16" x14ac:dyDescent="0.45">
      <c r="A44" s="280" t="s">
        <v>163</v>
      </c>
      <c r="B44" s="280" t="s">
        <v>3845</v>
      </c>
      <c r="C44" s="713">
        <v>0.12</v>
      </c>
      <c r="D44" s="714">
        <v>0.09</v>
      </c>
      <c r="E44" s="290">
        <v>0.12</v>
      </c>
      <c r="F44" s="549">
        <v>0.9</v>
      </c>
      <c r="G44" s="720">
        <v>0.97672075033187866</v>
      </c>
      <c r="H44" s="723">
        <v>1.36</v>
      </c>
      <c r="I44" s="549">
        <v>0.9</v>
      </c>
      <c r="J44" s="550">
        <v>0.79</v>
      </c>
      <c r="K44" s="551">
        <v>0.58309999999999995</v>
      </c>
      <c r="L44" s="551">
        <v>3.0828000000000002</v>
      </c>
      <c r="M44" s="551">
        <v>3.7873000000000001</v>
      </c>
      <c r="N44" s="552">
        <v>6.88E-2</v>
      </c>
      <c r="O44" s="717" t="s">
        <v>14</v>
      </c>
      <c r="P44" s="718" t="s">
        <v>14</v>
      </c>
    </row>
    <row r="45" spans="1:16" x14ac:dyDescent="0.45">
      <c r="A45" s="280" t="s">
        <v>545</v>
      </c>
      <c r="B45" s="280" t="s">
        <v>3846</v>
      </c>
      <c r="C45" s="713">
        <v>6.3E-2</v>
      </c>
      <c r="D45" s="714">
        <v>0.06</v>
      </c>
      <c r="E45" s="290">
        <v>0.1017159</v>
      </c>
      <c r="F45" s="549">
        <v>0.85</v>
      </c>
      <c r="G45" s="720">
        <v>0.87741184234619141</v>
      </c>
      <c r="H45" s="723">
        <v>1.56</v>
      </c>
      <c r="I45" s="549">
        <v>0.85</v>
      </c>
      <c r="J45" s="550">
        <v>0.77</v>
      </c>
      <c r="K45" s="551">
        <v>0.59940000000000004</v>
      </c>
      <c r="L45" s="551">
        <v>2.8565</v>
      </c>
      <c r="M45" s="551">
        <v>3.5615999999999999</v>
      </c>
      <c r="N45" s="552">
        <v>6.3799999999999996E-2</v>
      </c>
      <c r="O45" s="717" t="s">
        <v>85</v>
      </c>
      <c r="P45" s="718" t="s">
        <v>87</v>
      </c>
    </row>
    <row r="46" spans="1:16" x14ac:dyDescent="0.45">
      <c r="A46" s="280" t="s">
        <v>1364</v>
      </c>
      <c r="B46" s="280" t="s">
        <v>3847</v>
      </c>
      <c r="C46" s="713" t="s">
        <v>14</v>
      </c>
      <c r="D46" s="714">
        <v>7.0000000000000007E-2</v>
      </c>
      <c r="E46" s="290" t="s">
        <v>14</v>
      </c>
      <c r="F46" s="549">
        <v>0.9</v>
      </c>
      <c r="G46" s="720">
        <v>0.63713699579238892</v>
      </c>
      <c r="H46" s="723">
        <v>1.4</v>
      </c>
      <c r="I46" s="549">
        <v>0.9</v>
      </c>
      <c r="J46" s="550">
        <v>0.81</v>
      </c>
      <c r="K46" s="551">
        <v>0.59860000000000002</v>
      </c>
      <c r="L46" s="551">
        <v>3.0114999999999998</v>
      </c>
      <c r="M46" s="551">
        <v>3.7522000000000002</v>
      </c>
      <c r="N46" s="552">
        <v>6.7199999999999996E-2</v>
      </c>
      <c r="O46" s="717" t="s">
        <v>14</v>
      </c>
      <c r="P46" s="718" t="s">
        <v>14</v>
      </c>
    </row>
    <row r="47" spans="1:16" x14ac:dyDescent="0.45">
      <c r="A47" s="280" t="s">
        <v>565</v>
      </c>
      <c r="B47" s="280" t="s">
        <v>3848</v>
      </c>
      <c r="C47" s="713">
        <v>0.124</v>
      </c>
      <c r="D47" s="714">
        <v>0.12</v>
      </c>
      <c r="E47" s="290">
        <v>0.15034330000000001</v>
      </c>
      <c r="F47" s="549">
        <v>0.95</v>
      </c>
      <c r="G47" s="720">
        <v>0.31335976719856262</v>
      </c>
      <c r="H47" s="723">
        <v>8.4</v>
      </c>
      <c r="I47" s="549">
        <v>0.95</v>
      </c>
      <c r="J47" s="550">
        <v>0.9</v>
      </c>
      <c r="K47" s="551">
        <v>0.626</v>
      </c>
      <c r="L47" s="551">
        <v>3.1444999999999999</v>
      </c>
      <c r="M47" s="551">
        <v>4.0246000000000004</v>
      </c>
      <c r="N47" s="552">
        <v>7.0199999999999999E-2</v>
      </c>
      <c r="O47" s="717" t="s">
        <v>83</v>
      </c>
      <c r="P47" s="718" t="s">
        <v>82</v>
      </c>
    </row>
    <row r="48" spans="1:16" x14ac:dyDescent="0.45">
      <c r="A48" s="280" t="s">
        <v>2882</v>
      </c>
      <c r="B48" s="280" t="s">
        <v>3849</v>
      </c>
      <c r="C48" s="713" t="s">
        <v>14</v>
      </c>
      <c r="D48" s="714">
        <v>0.13500000000000001</v>
      </c>
      <c r="E48" s="290" t="s">
        <v>14</v>
      </c>
      <c r="F48" s="549">
        <v>0.85</v>
      </c>
      <c r="G48" s="720">
        <v>0.72680270671844482</v>
      </c>
      <c r="H48" s="723">
        <v>3.24</v>
      </c>
      <c r="I48" s="549">
        <v>0.8</v>
      </c>
      <c r="J48" s="550">
        <v>0.68</v>
      </c>
      <c r="K48" s="551">
        <v>0.50960000000000005</v>
      </c>
      <c r="L48" s="551">
        <v>3.2233000000000001</v>
      </c>
      <c r="M48" s="551">
        <v>3.7391000000000001</v>
      </c>
      <c r="N48" s="552">
        <v>7.1999999999999995E-2</v>
      </c>
      <c r="O48" s="717" t="s">
        <v>3853</v>
      </c>
      <c r="P48" s="718" t="s">
        <v>105</v>
      </c>
    </row>
    <row r="49" spans="1:16" x14ac:dyDescent="0.45">
      <c r="A49" s="280" t="s">
        <v>576</v>
      </c>
      <c r="B49" s="280" t="s">
        <v>3850</v>
      </c>
      <c r="C49" s="713" t="s">
        <v>14</v>
      </c>
      <c r="D49" s="714">
        <v>0.12</v>
      </c>
      <c r="E49" s="290" t="s">
        <v>14</v>
      </c>
      <c r="F49" s="549">
        <v>0.9</v>
      </c>
      <c r="G49" s="720">
        <v>0.70599967241287231</v>
      </c>
      <c r="H49" s="723" t="s">
        <v>14</v>
      </c>
      <c r="I49" s="549">
        <v>0.9</v>
      </c>
      <c r="J49" s="550">
        <v>0.8</v>
      </c>
      <c r="K49" s="551">
        <v>0.61339999999999995</v>
      </c>
      <c r="L49" s="551">
        <v>2.8856999999999999</v>
      </c>
      <c r="M49" s="551">
        <v>3.6469999999999998</v>
      </c>
      <c r="N49" s="552">
        <v>6.4399999999999999E-2</v>
      </c>
      <c r="O49" s="717" t="s">
        <v>104</v>
      </c>
      <c r="P49" s="718" t="s">
        <v>103</v>
      </c>
    </row>
    <row r="50" spans="1:16" x14ac:dyDescent="0.45">
      <c r="A50" s="280" t="s">
        <v>582</v>
      </c>
      <c r="B50" s="280" t="s">
        <v>3851</v>
      </c>
      <c r="C50" s="713">
        <v>4.3999999999999997E-2</v>
      </c>
      <c r="D50" s="714">
        <v>6.5000000000000002E-2</v>
      </c>
      <c r="E50" s="290">
        <v>6.8138699999999996E-2</v>
      </c>
      <c r="F50" s="549">
        <v>0.95</v>
      </c>
      <c r="G50" s="720">
        <v>1.0058082342147827</v>
      </c>
      <c r="H50" s="723" t="s">
        <v>14</v>
      </c>
      <c r="I50" s="549">
        <v>0.95</v>
      </c>
      <c r="J50" s="550">
        <v>0.86</v>
      </c>
      <c r="K50" s="551">
        <v>0.59630000000000005</v>
      </c>
      <c r="L50" s="551">
        <v>3.2280000000000002</v>
      </c>
      <c r="M50" s="551">
        <v>4.0133000000000001</v>
      </c>
      <c r="N50" s="552">
        <v>7.2099999999999997E-2</v>
      </c>
      <c r="O50" s="717" t="s">
        <v>14</v>
      </c>
      <c r="P50" s="718" t="s">
        <v>14</v>
      </c>
    </row>
    <row r="51" spans="1:16" x14ac:dyDescent="0.45">
      <c r="A51" s="280" t="s">
        <v>2883</v>
      </c>
      <c r="B51" s="280" t="s">
        <v>3852</v>
      </c>
      <c r="C51" s="713" t="s">
        <v>14</v>
      </c>
      <c r="D51" s="714">
        <v>7.0000000000000007E-2</v>
      </c>
      <c r="E51" s="290" t="s">
        <v>14</v>
      </c>
      <c r="F51" s="549">
        <v>0.9</v>
      </c>
      <c r="G51" s="720">
        <v>1.3801993131637573</v>
      </c>
      <c r="H51" s="723">
        <v>10.8</v>
      </c>
      <c r="I51" s="549">
        <v>0.85</v>
      </c>
      <c r="J51" s="550">
        <v>0.76</v>
      </c>
      <c r="K51" s="551">
        <v>0.56430000000000002</v>
      </c>
      <c r="L51" s="551">
        <v>3.1217999999999999</v>
      </c>
      <c r="M51" s="551">
        <v>3.7742</v>
      </c>
      <c r="N51" s="552">
        <v>6.9699999999999998E-2</v>
      </c>
      <c r="O51" s="717" t="s">
        <v>14</v>
      </c>
      <c r="P51" s="718" t="s">
        <v>14</v>
      </c>
    </row>
    <row r="52" spans="1:16" x14ac:dyDescent="0.45">
      <c r="A52" s="288"/>
      <c r="B52" s="288"/>
      <c r="C52" s="288"/>
      <c r="D52" s="288"/>
      <c r="E52" s="556"/>
      <c r="F52" s="144"/>
      <c r="G52" s="288"/>
      <c r="H52" s="288"/>
      <c r="I52" s="288"/>
      <c r="J52" s="288"/>
      <c r="K52" s="288"/>
      <c r="L52" s="288"/>
      <c r="M52" s="288"/>
      <c r="N52" s="288"/>
      <c r="O52" s="288"/>
      <c r="P52" s="288"/>
    </row>
    <row r="53" spans="1:16" x14ac:dyDescent="0.45">
      <c r="E53" s="381"/>
    </row>
    <row r="54" spans="1:16" x14ac:dyDescent="0.45">
      <c r="E54" s="381"/>
    </row>
    <row r="55" spans="1:16" x14ac:dyDescent="0.45">
      <c r="E55" s="381"/>
    </row>
    <row r="56" spans="1:16" x14ac:dyDescent="0.45">
      <c r="E56" s="381"/>
    </row>
    <row r="79" spans="8:8" x14ac:dyDescent="0.45">
      <c r="H79" s="721"/>
    </row>
  </sheetData>
  <mergeCells count="5">
    <mergeCell ref="H1:H2"/>
    <mergeCell ref="I1:N1"/>
    <mergeCell ref="O1:P1"/>
    <mergeCell ref="C1:E1"/>
    <mergeCell ref="F1:G1"/>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C7ECF-BE9A-4CFF-A671-38E4D2BA05E9}">
  <sheetPr codeName="Sheet86"/>
  <dimension ref="A1:BC111"/>
  <sheetViews>
    <sheetView zoomScale="85" zoomScaleNormal="85" workbookViewId="0">
      <pane ySplit="2" topLeftCell="A3" activePane="bottomLeft" state="frozen"/>
      <selection activeCell="F10" sqref="F10"/>
      <selection pane="bottomLeft"/>
    </sheetView>
  </sheetViews>
  <sheetFormatPr defaultColWidth="9" defaultRowHeight="13.8" x14ac:dyDescent="0.45"/>
  <cols>
    <col min="1" max="1" width="9" style="285"/>
    <col min="2" max="2" width="23" style="285" bestFit="1" customWidth="1"/>
    <col min="3" max="51" width="16.734375" style="285" customWidth="1"/>
    <col min="52" max="16384" width="9" style="285"/>
  </cols>
  <sheetData>
    <row r="1" spans="1:55" x14ac:dyDescent="0.45">
      <c r="C1" s="280" t="s">
        <v>134</v>
      </c>
      <c r="D1" s="280" t="s">
        <v>131</v>
      </c>
      <c r="E1" s="280" t="s">
        <v>165</v>
      </c>
      <c r="F1" s="280" t="s">
        <v>804</v>
      </c>
      <c r="G1" s="280" t="s">
        <v>425</v>
      </c>
      <c r="H1" s="280" t="s">
        <v>130</v>
      </c>
      <c r="I1" s="280" t="s">
        <v>144</v>
      </c>
      <c r="J1" s="280" t="s">
        <v>175</v>
      </c>
      <c r="K1" s="280" t="s">
        <v>2876</v>
      </c>
      <c r="L1" s="280" t="s">
        <v>2623</v>
      </c>
      <c r="M1" s="280" t="s">
        <v>3889</v>
      </c>
      <c r="N1" s="280" t="s">
        <v>1362</v>
      </c>
      <c r="O1" s="280" t="s">
        <v>2877</v>
      </c>
      <c r="P1" s="280" t="s">
        <v>229</v>
      </c>
      <c r="Q1" s="280" t="s">
        <v>2878</v>
      </c>
      <c r="R1" s="280" t="s">
        <v>244</v>
      </c>
      <c r="S1" s="280" t="s">
        <v>255</v>
      </c>
      <c r="T1" s="280" t="s">
        <v>2624</v>
      </c>
      <c r="U1" s="280" t="s">
        <v>3890</v>
      </c>
      <c r="V1" s="280" t="s">
        <v>292</v>
      </c>
      <c r="W1" s="280" t="s">
        <v>3891</v>
      </c>
      <c r="X1" s="280" t="s">
        <v>2625</v>
      </c>
      <c r="Y1" s="280" t="s">
        <v>367</v>
      </c>
      <c r="Z1" s="280" t="s">
        <v>363</v>
      </c>
      <c r="AA1" s="280" t="s">
        <v>331</v>
      </c>
      <c r="AB1" s="280" t="s">
        <v>391</v>
      </c>
      <c r="AC1" s="280" t="s">
        <v>3892</v>
      </c>
      <c r="AD1" s="280" t="s">
        <v>395</v>
      </c>
      <c r="AE1" s="280" t="s">
        <v>410</v>
      </c>
      <c r="AF1" s="280" t="s">
        <v>435</v>
      </c>
      <c r="AG1" s="280" t="s">
        <v>2626</v>
      </c>
      <c r="AH1" s="280" t="s">
        <v>462</v>
      </c>
      <c r="AI1" s="280" t="s">
        <v>463</v>
      </c>
      <c r="AJ1" s="280" t="s">
        <v>1363</v>
      </c>
      <c r="AK1" s="280" t="s">
        <v>481</v>
      </c>
      <c r="AL1" s="280" t="s">
        <v>475</v>
      </c>
      <c r="AM1" s="280" t="s">
        <v>483</v>
      </c>
      <c r="AN1" s="280" t="s">
        <v>2879</v>
      </c>
      <c r="AO1" s="280" t="s">
        <v>2880</v>
      </c>
      <c r="AP1" s="280" t="s">
        <v>2881</v>
      </c>
      <c r="AQ1" s="280" t="s">
        <v>515</v>
      </c>
      <c r="AR1" s="280" t="s">
        <v>163</v>
      </c>
      <c r="AS1" s="280" t="s">
        <v>545</v>
      </c>
      <c r="AT1" s="280" t="s">
        <v>1364</v>
      </c>
      <c r="AU1" s="280" t="s">
        <v>565</v>
      </c>
      <c r="AV1" s="280" t="s">
        <v>2882</v>
      </c>
      <c r="AW1" s="280" t="s">
        <v>576</v>
      </c>
      <c r="AX1" s="280" t="s">
        <v>582</v>
      </c>
      <c r="AY1" s="280" t="s">
        <v>2883</v>
      </c>
      <c r="AZ1" s="280"/>
      <c r="BA1" s="280"/>
      <c r="BB1" s="280"/>
      <c r="BC1" s="280"/>
    </row>
    <row r="2" spans="1:55" x14ac:dyDescent="0.45">
      <c r="B2" s="285" t="s">
        <v>119</v>
      </c>
      <c r="C2" s="291" t="s">
        <v>4440</v>
      </c>
      <c r="D2" s="291" t="s">
        <v>4441</v>
      </c>
      <c r="E2" s="291" t="s">
        <v>4442</v>
      </c>
      <c r="F2" s="291" t="s">
        <v>4443</v>
      </c>
      <c r="G2" s="291" t="s">
        <v>4444</v>
      </c>
      <c r="H2" s="291" t="s">
        <v>4445</v>
      </c>
      <c r="I2" s="291" t="s">
        <v>4446</v>
      </c>
      <c r="J2" s="291" t="s">
        <v>4447</v>
      </c>
      <c r="K2" s="291" t="s">
        <v>4448</v>
      </c>
      <c r="L2" s="291" t="s">
        <v>4449</v>
      </c>
      <c r="M2" s="291" t="s">
        <v>4450</v>
      </c>
      <c r="N2" s="291" t="s">
        <v>4451</v>
      </c>
      <c r="O2" s="291" t="s">
        <v>4452</v>
      </c>
      <c r="P2" s="291" t="s">
        <v>4453</v>
      </c>
      <c r="Q2" s="291" t="s">
        <v>4454</v>
      </c>
      <c r="R2" s="291" t="s">
        <v>4455</v>
      </c>
      <c r="S2" s="291" t="s">
        <v>4456</v>
      </c>
      <c r="T2" s="291" t="s">
        <v>4457</v>
      </c>
      <c r="U2" s="291" t="s">
        <v>4458</v>
      </c>
      <c r="V2" s="291" t="s">
        <v>4459</v>
      </c>
      <c r="W2" s="291" t="s">
        <v>4460</v>
      </c>
      <c r="X2" s="291" t="s">
        <v>4461</v>
      </c>
      <c r="Y2" s="291" t="s">
        <v>4462</v>
      </c>
      <c r="Z2" s="291" t="s">
        <v>4463</v>
      </c>
      <c r="AA2" s="291" t="s">
        <v>4464</v>
      </c>
      <c r="AB2" s="291" t="s">
        <v>4465</v>
      </c>
      <c r="AC2" s="291" t="s">
        <v>4466</v>
      </c>
      <c r="AD2" s="291" t="s">
        <v>4467</v>
      </c>
      <c r="AE2" s="291" t="s">
        <v>4468</v>
      </c>
      <c r="AF2" s="291" t="s">
        <v>4469</v>
      </c>
      <c r="AG2" s="291" t="s">
        <v>4470</v>
      </c>
      <c r="AH2" s="291" t="s">
        <v>4471</v>
      </c>
      <c r="AI2" s="291" t="s">
        <v>4472</v>
      </c>
      <c r="AJ2" s="291" t="s">
        <v>4473</v>
      </c>
      <c r="AK2" s="291" t="s">
        <v>4474</v>
      </c>
      <c r="AL2" s="291" t="s">
        <v>4475</v>
      </c>
      <c r="AM2" s="291" t="s">
        <v>4476</v>
      </c>
      <c r="AN2" s="291" t="s">
        <v>4477</v>
      </c>
      <c r="AO2" s="291" t="s">
        <v>4478</v>
      </c>
      <c r="AP2" s="291" t="s">
        <v>4479</v>
      </c>
      <c r="AQ2" s="291" t="s">
        <v>4480</v>
      </c>
      <c r="AR2" s="291" t="s">
        <v>4481</v>
      </c>
      <c r="AS2" s="291" t="s">
        <v>4482</v>
      </c>
      <c r="AT2" s="291" t="s">
        <v>4483</v>
      </c>
      <c r="AU2" s="291" t="s">
        <v>4484</v>
      </c>
      <c r="AV2" s="291" t="s">
        <v>4485</v>
      </c>
      <c r="AW2" s="291" t="s">
        <v>4486</v>
      </c>
      <c r="AX2" s="291" t="s">
        <v>4487</v>
      </c>
      <c r="AY2" s="291" t="s">
        <v>4488</v>
      </c>
      <c r="AZ2" s="291"/>
      <c r="BA2" s="291"/>
      <c r="BB2" s="291"/>
      <c r="BC2" s="291"/>
    </row>
    <row r="3" spans="1:55" x14ac:dyDescent="0.45">
      <c r="A3" s="285">
        <v>2</v>
      </c>
      <c r="B3" s="286">
        <v>45688</v>
      </c>
      <c r="C3" s="292">
        <v>127.93</v>
      </c>
      <c r="D3" s="292">
        <v>183.9</v>
      </c>
      <c r="E3" s="292">
        <v>335.26</v>
      </c>
      <c r="F3" s="292">
        <v>205.6</v>
      </c>
      <c r="G3" s="292">
        <v>52.23</v>
      </c>
      <c r="H3" s="292">
        <v>236</v>
      </c>
      <c r="I3" s="292">
        <v>215.19</v>
      </c>
      <c r="J3" s="292">
        <v>3350.21</v>
      </c>
      <c r="K3" s="292">
        <v>129</v>
      </c>
      <c r="L3" s="292">
        <v>74.489999999999995</v>
      </c>
      <c r="M3" s="292">
        <v>112.93</v>
      </c>
      <c r="N3" s="292">
        <v>386.26</v>
      </c>
      <c r="O3" s="292">
        <v>421.77</v>
      </c>
      <c r="P3" s="292">
        <v>254.21</v>
      </c>
      <c r="Q3" s="292">
        <v>329.81</v>
      </c>
      <c r="R3" s="292">
        <v>56.48</v>
      </c>
      <c r="S3" s="292">
        <v>222.74</v>
      </c>
      <c r="T3" s="292">
        <v>83.73</v>
      </c>
      <c r="U3" s="292">
        <v>91.67</v>
      </c>
      <c r="V3" s="292">
        <v>73.239999999999995</v>
      </c>
      <c r="W3" s="292">
        <v>99.99</v>
      </c>
      <c r="X3" s="292">
        <v>165.47</v>
      </c>
      <c r="Y3" s="292">
        <v>174.09</v>
      </c>
      <c r="Z3" s="292">
        <v>171.22</v>
      </c>
      <c r="AA3" s="292">
        <v>197.26</v>
      </c>
      <c r="AB3" s="292">
        <v>212.01</v>
      </c>
      <c r="AC3" s="292">
        <v>164.66</v>
      </c>
      <c r="AD3" s="292">
        <v>462.95</v>
      </c>
      <c r="AE3" s="292">
        <v>594.75</v>
      </c>
      <c r="AF3" s="292">
        <v>415.06</v>
      </c>
      <c r="AG3" s="292">
        <v>80.41</v>
      </c>
      <c r="AH3" s="292">
        <v>170.06</v>
      </c>
      <c r="AI3" s="292">
        <v>1294.42</v>
      </c>
      <c r="AJ3" s="292">
        <v>196.44</v>
      </c>
      <c r="AK3" s="292">
        <v>212.66</v>
      </c>
      <c r="AL3" s="292">
        <v>26.52</v>
      </c>
      <c r="AM3" s="292">
        <v>130.19999999999999</v>
      </c>
      <c r="AN3" s="292">
        <v>76.77</v>
      </c>
      <c r="AO3" s="292">
        <v>84.13</v>
      </c>
      <c r="AP3" s="292">
        <v>78.12</v>
      </c>
      <c r="AQ3" s="292">
        <v>358.16</v>
      </c>
      <c r="AR3" s="292">
        <v>67.3</v>
      </c>
      <c r="AS3" s="292">
        <v>597.75</v>
      </c>
      <c r="AT3" s="292">
        <v>214.32</v>
      </c>
      <c r="AU3" s="292">
        <v>542.49</v>
      </c>
      <c r="AV3" s="292">
        <v>53.12</v>
      </c>
      <c r="AW3" s="292">
        <v>215</v>
      </c>
      <c r="AX3" s="292">
        <v>415.48</v>
      </c>
      <c r="AY3" s="292">
        <v>478.59</v>
      </c>
    </row>
    <row r="4" spans="1:55" x14ac:dyDescent="0.45">
      <c r="A4" s="285">
        <v>3</v>
      </c>
      <c r="B4" s="286">
        <v>45687</v>
      </c>
      <c r="C4" s="292">
        <v>128.81</v>
      </c>
      <c r="D4" s="292">
        <v>175.65</v>
      </c>
      <c r="E4" s="292">
        <v>335.1</v>
      </c>
      <c r="F4" s="292">
        <v>202.63</v>
      </c>
      <c r="G4" s="292">
        <v>51.54</v>
      </c>
      <c r="H4" s="292">
        <v>237.59</v>
      </c>
      <c r="I4" s="292">
        <v>218.67</v>
      </c>
      <c r="J4" s="292">
        <v>3351.01</v>
      </c>
      <c r="K4" s="292">
        <v>128.93</v>
      </c>
      <c r="L4" s="292">
        <v>75</v>
      </c>
      <c r="M4" s="292">
        <v>115.24</v>
      </c>
      <c r="N4" s="292">
        <v>386.68</v>
      </c>
      <c r="O4" s="292">
        <v>423.06</v>
      </c>
      <c r="P4" s="292">
        <v>258.45999999999998</v>
      </c>
      <c r="Q4" s="292">
        <v>328.1</v>
      </c>
      <c r="R4" s="292">
        <v>56.82</v>
      </c>
      <c r="S4" s="292">
        <v>223.08</v>
      </c>
      <c r="T4" s="292">
        <v>87.32</v>
      </c>
      <c r="U4" s="292">
        <v>92.24</v>
      </c>
      <c r="V4" s="292">
        <v>74.98</v>
      </c>
      <c r="W4" s="292">
        <v>99.35</v>
      </c>
      <c r="X4" s="292">
        <v>166.74</v>
      </c>
      <c r="Y4" s="292">
        <v>174.34</v>
      </c>
      <c r="Z4" s="292">
        <v>173.36</v>
      </c>
      <c r="AA4" s="292">
        <v>195.5</v>
      </c>
      <c r="AB4" s="292">
        <v>212.06</v>
      </c>
      <c r="AC4" s="292">
        <v>166.94</v>
      </c>
      <c r="AD4" s="292">
        <v>459.65</v>
      </c>
      <c r="AE4" s="292">
        <v>604.6</v>
      </c>
      <c r="AF4" s="292">
        <v>414.99</v>
      </c>
      <c r="AG4" s="292">
        <v>81.89</v>
      </c>
      <c r="AH4" s="292">
        <v>170.38</v>
      </c>
      <c r="AI4" s="292">
        <v>1310.1600000000001</v>
      </c>
      <c r="AJ4" s="292">
        <v>196.2</v>
      </c>
      <c r="AK4" s="292">
        <v>214.24</v>
      </c>
      <c r="AL4" s="292">
        <v>26.91</v>
      </c>
      <c r="AM4" s="292">
        <v>130.32</v>
      </c>
      <c r="AN4" s="292">
        <v>78.42</v>
      </c>
      <c r="AO4" s="292">
        <v>82.14</v>
      </c>
      <c r="AP4" s="292">
        <v>78.760000000000005</v>
      </c>
      <c r="AQ4" s="292">
        <v>365.55</v>
      </c>
      <c r="AR4" s="292">
        <v>67.31</v>
      </c>
      <c r="AS4" s="292">
        <v>606.74</v>
      </c>
      <c r="AT4" s="292">
        <v>215.75</v>
      </c>
      <c r="AU4" s="292">
        <v>545.57000000000005</v>
      </c>
      <c r="AV4" s="292">
        <v>53.52</v>
      </c>
      <c r="AW4" s="292">
        <v>214.01</v>
      </c>
      <c r="AX4" s="292">
        <v>417.28</v>
      </c>
      <c r="AY4" s="292">
        <v>484.31</v>
      </c>
    </row>
    <row r="5" spans="1:55" x14ac:dyDescent="0.45">
      <c r="A5" s="285">
        <v>4</v>
      </c>
      <c r="B5" s="286">
        <v>45686</v>
      </c>
      <c r="C5" s="292">
        <v>127.86</v>
      </c>
      <c r="D5" s="292">
        <v>175.26</v>
      </c>
      <c r="E5" s="292">
        <v>327.31</v>
      </c>
      <c r="F5" s="292">
        <v>197.18</v>
      </c>
      <c r="G5" s="292">
        <v>52.66</v>
      </c>
      <c r="H5" s="292">
        <v>239.36</v>
      </c>
      <c r="I5" s="292">
        <v>216.91</v>
      </c>
      <c r="J5" s="292">
        <v>3314.05</v>
      </c>
      <c r="K5" s="292">
        <v>127.06</v>
      </c>
      <c r="L5" s="292">
        <v>75.319999999999993</v>
      </c>
      <c r="M5" s="292">
        <v>112.14</v>
      </c>
      <c r="N5" s="292">
        <v>385.71</v>
      </c>
      <c r="O5" s="292">
        <v>419.59</v>
      </c>
      <c r="P5" s="292">
        <v>255.94</v>
      </c>
      <c r="Q5" s="292">
        <v>345.37</v>
      </c>
      <c r="R5" s="292">
        <v>56.9</v>
      </c>
      <c r="S5" s="292">
        <v>223.73</v>
      </c>
      <c r="T5" s="292">
        <v>80.63</v>
      </c>
      <c r="U5" s="292">
        <v>91.26</v>
      </c>
      <c r="V5" s="292">
        <v>74.08</v>
      </c>
      <c r="W5" s="292">
        <v>98.55</v>
      </c>
      <c r="X5" s="292">
        <v>164.26</v>
      </c>
      <c r="Y5" s="292">
        <v>172.91</v>
      </c>
      <c r="Z5" s="292">
        <v>171.93</v>
      </c>
      <c r="AA5" s="292">
        <v>192.89</v>
      </c>
      <c r="AB5" s="292">
        <v>211.95</v>
      </c>
      <c r="AC5" s="292">
        <v>172.92</v>
      </c>
      <c r="AD5" s="292">
        <v>454.36</v>
      </c>
      <c r="AE5" s="292">
        <v>603.17999999999995</v>
      </c>
      <c r="AF5" s="292">
        <v>442.33</v>
      </c>
      <c r="AG5" s="292">
        <v>81.38</v>
      </c>
      <c r="AH5" s="292">
        <v>162.02000000000001</v>
      </c>
      <c r="AI5" s="292">
        <v>1288.08</v>
      </c>
      <c r="AJ5" s="292">
        <v>196.94</v>
      </c>
      <c r="AK5" s="292">
        <v>215.12</v>
      </c>
      <c r="AL5" s="292">
        <v>26.62</v>
      </c>
      <c r="AM5" s="292">
        <v>129.59</v>
      </c>
      <c r="AN5" s="292">
        <v>78.790000000000006</v>
      </c>
      <c r="AO5" s="292">
        <v>94.02</v>
      </c>
      <c r="AP5" s="292">
        <v>81.010000000000005</v>
      </c>
      <c r="AQ5" s="292">
        <v>360.41</v>
      </c>
      <c r="AR5" s="292">
        <v>69.22</v>
      </c>
      <c r="AS5" s="292">
        <v>568.23</v>
      </c>
      <c r="AT5" s="292">
        <v>216.95</v>
      </c>
      <c r="AU5" s="292">
        <v>538.1</v>
      </c>
      <c r="AV5" s="292">
        <v>53.53</v>
      </c>
      <c r="AW5" s="292">
        <v>213.78</v>
      </c>
      <c r="AX5" s="292">
        <v>404.17</v>
      </c>
      <c r="AY5" s="292">
        <v>481.82</v>
      </c>
    </row>
    <row r="6" spans="1:55" x14ac:dyDescent="0.45">
      <c r="A6" s="285">
        <v>5</v>
      </c>
      <c r="B6" s="286">
        <v>45685</v>
      </c>
      <c r="C6" s="292">
        <v>127.39</v>
      </c>
      <c r="D6" s="292">
        <v>174.81</v>
      </c>
      <c r="E6" s="292">
        <v>327</v>
      </c>
      <c r="F6" s="292">
        <v>197.07</v>
      </c>
      <c r="G6" s="292">
        <v>52.6</v>
      </c>
      <c r="H6" s="292">
        <v>238.26</v>
      </c>
      <c r="I6" s="292">
        <v>215.71</v>
      </c>
      <c r="J6" s="292">
        <v>3318.58</v>
      </c>
      <c r="K6" s="292">
        <v>128.91</v>
      </c>
      <c r="L6" s="292">
        <v>75.89</v>
      </c>
      <c r="M6" s="292">
        <v>112.06</v>
      </c>
      <c r="N6" s="292">
        <v>392.1</v>
      </c>
      <c r="O6" s="292">
        <v>415.7</v>
      </c>
      <c r="P6" s="292">
        <v>255.1</v>
      </c>
      <c r="Q6" s="292">
        <v>357.51</v>
      </c>
      <c r="R6" s="292">
        <v>57.33</v>
      </c>
      <c r="S6" s="292">
        <v>247.84</v>
      </c>
      <c r="T6" s="292">
        <v>80.61</v>
      </c>
      <c r="U6" s="292">
        <v>92.46</v>
      </c>
      <c r="V6" s="292">
        <v>74.790000000000006</v>
      </c>
      <c r="W6" s="292">
        <v>99.2</v>
      </c>
      <c r="X6" s="292">
        <v>165.75</v>
      </c>
      <c r="Y6" s="292">
        <v>175.15</v>
      </c>
      <c r="Z6" s="292">
        <v>172.66</v>
      </c>
      <c r="AA6" s="292">
        <v>195.77</v>
      </c>
      <c r="AB6" s="292">
        <v>213.3</v>
      </c>
      <c r="AC6" s="292">
        <v>175.98</v>
      </c>
      <c r="AD6" s="292">
        <v>457.45</v>
      </c>
      <c r="AE6" s="292">
        <v>602.95000000000005</v>
      </c>
      <c r="AF6" s="292">
        <v>447.2</v>
      </c>
      <c r="AG6" s="292">
        <v>82.42</v>
      </c>
      <c r="AH6" s="292">
        <v>164</v>
      </c>
      <c r="AI6" s="292">
        <v>1278.3399999999999</v>
      </c>
      <c r="AJ6" s="292">
        <v>196.45</v>
      </c>
      <c r="AK6" s="292">
        <v>238.41</v>
      </c>
      <c r="AL6" s="292">
        <v>26.75</v>
      </c>
      <c r="AM6" s="292">
        <v>128.96</v>
      </c>
      <c r="AN6" s="292">
        <v>79.349999999999994</v>
      </c>
      <c r="AO6" s="292">
        <v>95.17</v>
      </c>
      <c r="AP6" s="292">
        <v>80.83</v>
      </c>
      <c r="AQ6" s="292">
        <v>364.17</v>
      </c>
      <c r="AR6" s="292">
        <v>69.87</v>
      </c>
      <c r="AS6" s="292">
        <v>584.29</v>
      </c>
      <c r="AT6" s="292">
        <v>224.1</v>
      </c>
      <c r="AU6" s="292">
        <v>542.48</v>
      </c>
      <c r="AV6" s="292">
        <v>54</v>
      </c>
      <c r="AW6" s="292">
        <v>213.17</v>
      </c>
      <c r="AX6" s="292">
        <v>413.48</v>
      </c>
      <c r="AY6" s="292">
        <v>487.36</v>
      </c>
    </row>
    <row r="7" spans="1:55" x14ac:dyDescent="0.45">
      <c r="A7" s="285">
        <v>6</v>
      </c>
      <c r="B7" s="286">
        <v>45684</v>
      </c>
      <c r="C7" s="292">
        <v>129.43</v>
      </c>
      <c r="D7" s="292">
        <v>176.9</v>
      </c>
      <c r="E7" s="292">
        <v>326.62</v>
      </c>
      <c r="F7" s="292">
        <v>193.77</v>
      </c>
      <c r="G7" s="292">
        <v>53.45</v>
      </c>
      <c r="H7" s="292">
        <v>229.86</v>
      </c>
      <c r="I7" s="292">
        <v>215.6</v>
      </c>
      <c r="J7" s="292">
        <v>3372.82</v>
      </c>
      <c r="K7" s="292">
        <v>135.38</v>
      </c>
      <c r="L7" s="292">
        <v>75.489999999999995</v>
      </c>
      <c r="M7" s="292">
        <v>111.46</v>
      </c>
      <c r="N7" s="292">
        <v>420.81</v>
      </c>
      <c r="O7" s="292">
        <v>419.99</v>
      </c>
      <c r="P7" s="292">
        <v>254.89</v>
      </c>
      <c r="Q7" s="292">
        <v>351.51</v>
      </c>
      <c r="R7" s="292">
        <v>56.2</v>
      </c>
      <c r="S7" s="292">
        <v>250.59</v>
      </c>
      <c r="T7" s="292">
        <v>81.08</v>
      </c>
      <c r="U7" s="292">
        <v>93.67</v>
      </c>
      <c r="V7" s="292">
        <v>76.27</v>
      </c>
      <c r="W7" s="292">
        <v>99.73</v>
      </c>
      <c r="X7" s="292">
        <v>165.55</v>
      </c>
      <c r="Y7" s="292">
        <v>177.6</v>
      </c>
      <c r="Z7" s="292">
        <v>174.08</v>
      </c>
      <c r="AA7" s="292">
        <v>202.99</v>
      </c>
      <c r="AB7" s="292">
        <v>222.29</v>
      </c>
      <c r="AC7" s="292">
        <v>176.61</v>
      </c>
      <c r="AD7" s="292">
        <v>503.69</v>
      </c>
      <c r="AE7" s="292">
        <v>604.42999999999995</v>
      </c>
      <c r="AF7" s="292">
        <v>434.56</v>
      </c>
      <c r="AG7" s="292">
        <v>83.08</v>
      </c>
      <c r="AH7" s="292">
        <v>158.28</v>
      </c>
      <c r="AI7" s="292">
        <v>1282.53</v>
      </c>
      <c r="AJ7" s="292">
        <v>193.6</v>
      </c>
      <c r="AK7" s="292">
        <v>239.72</v>
      </c>
      <c r="AL7" s="292">
        <v>26.86</v>
      </c>
      <c r="AM7" s="292">
        <v>130.43</v>
      </c>
      <c r="AN7" s="292">
        <v>79.19</v>
      </c>
      <c r="AO7" s="292">
        <v>95.48</v>
      </c>
      <c r="AP7" s="292">
        <v>80.36</v>
      </c>
      <c r="AQ7" s="292">
        <v>364.17</v>
      </c>
      <c r="AR7" s="292">
        <v>71.430000000000007</v>
      </c>
      <c r="AS7" s="292">
        <v>583.64</v>
      </c>
      <c r="AT7" s="292">
        <v>227.24</v>
      </c>
      <c r="AU7" s="292">
        <v>543.52</v>
      </c>
      <c r="AV7" s="292">
        <v>53.95</v>
      </c>
      <c r="AW7" s="292">
        <v>212.69</v>
      </c>
      <c r="AX7" s="292">
        <v>414.44</v>
      </c>
      <c r="AY7" s="292">
        <v>489.55</v>
      </c>
    </row>
    <row r="8" spans="1:55" x14ac:dyDescent="0.45">
      <c r="A8" s="285">
        <v>7</v>
      </c>
      <c r="B8" s="286">
        <v>45681</v>
      </c>
      <c r="C8" s="292">
        <v>125.03</v>
      </c>
      <c r="D8" s="292">
        <v>170.3</v>
      </c>
      <c r="E8" s="292">
        <v>329.26</v>
      </c>
      <c r="F8" s="292">
        <v>201.9</v>
      </c>
      <c r="G8" s="292">
        <v>52.05</v>
      </c>
      <c r="H8" s="292">
        <v>222.78</v>
      </c>
      <c r="I8" s="292">
        <v>210.9</v>
      </c>
      <c r="J8" s="292">
        <v>3332.53</v>
      </c>
      <c r="K8" s="292">
        <v>133.44</v>
      </c>
      <c r="L8" s="292">
        <v>74.5</v>
      </c>
      <c r="M8" s="292">
        <v>127.65</v>
      </c>
      <c r="N8" s="292">
        <v>406.42</v>
      </c>
      <c r="O8" s="292">
        <v>411.25</v>
      </c>
      <c r="P8" s="292">
        <v>248.48</v>
      </c>
      <c r="Q8" s="292">
        <v>367</v>
      </c>
      <c r="R8" s="292">
        <v>54.55</v>
      </c>
      <c r="S8" s="292">
        <v>245.8</v>
      </c>
      <c r="T8" s="292">
        <v>79.709999999999994</v>
      </c>
      <c r="U8" s="292">
        <v>92.09</v>
      </c>
      <c r="V8" s="292">
        <v>75.53</v>
      </c>
      <c r="W8" s="292">
        <v>98.57</v>
      </c>
      <c r="X8" s="292">
        <v>167.38</v>
      </c>
      <c r="Y8" s="292">
        <v>173.88</v>
      </c>
      <c r="Z8" s="292">
        <v>169.96</v>
      </c>
      <c r="AA8" s="292">
        <v>202.72</v>
      </c>
      <c r="AB8" s="292">
        <v>218.65</v>
      </c>
      <c r="AC8" s="292">
        <v>173.04</v>
      </c>
      <c r="AD8" s="292">
        <v>496.96</v>
      </c>
      <c r="AE8" s="292">
        <v>591.58000000000004</v>
      </c>
      <c r="AF8" s="292">
        <v>444.06</v>
      </c>
      <c r="AG8" s="292">
        <v>82.89</v>
      </c>
      <c r="AH8" s="292">
        <v>183.6</v>
      </c>
      <c r="AI8" s="292">
        <v>1254</v>
      </c>
      <c r="AJ8" s="292">
        <v>199.87</v>
      </c>
      <c r="AK8" s="292">
        <v>240.27</v>
      </c>
      <c r="AL8" s="292">
        <v>26.09</v>
      </c>
      <c r="AM8" s="292">
        <v>127.28</v>
      </c>
      <c r="AN8" s="292">
        <v>76.680000000000007</v>
      </c>
      <c r="AO8" s="292">
        <v>93.26</v>
      </c>
      <c r="AP8" s="292">
        <v>77.819999999999993</v>
      </c>
      <c r="AQ8" s="292">
        <v>360.15</v>
      </c>
      <c r="AR8" s="292">
        <v>70.569999999999993</v>
      </c>
      <c r="AS8" s="292">
        <v>574.82000000000005</v>
      </c>
      <c r="AT8" s="292">
        <v>220.28</v>
      </c>
      <c r="AU8" s="292">
        <v>532.51</v>
      </c>
      <c r="AV8" s="292">
        <v>50.71</v>
      </c>
      <c r="AW8" s="292">
        <v>210.73</v>
      </c>
      <c r="AX8" s="292">
        <v>411.3</v>
      </c>
      <c r="AY8" s="292">
        <v>495.12</v>
      </c>
    </row>
    <row r="9" spans="1:55" x14ac:dyDescent="0.45">
      <c r="A9" s="285">
        <v>8</v>
      </c>
      <c r="B9" s="286">
        <v>45680</v>
      </c>
      <c r="C9" s="292">
        <v>123.22</v>
      </c>
      <c r="D9" s="292">
        <v>170.67</v>
      </c>
      <c r="E9" s="292">
        <v>324</v>
      </c>
      <c r="F9" s="292">
        <v>199.58</v>
      </c>
      <c r="G9" s="292">
        <v>51.21</v>
      </c>
      <c r="H9" s="292">
        <v>223.66</v>
      </c>
      <c r="I9" s="292">
        <v>207.4</v>
      </c>
      <c r="J9" s="292">
        <v>3373.57</v>
      </c>
      <c r="K9" s="292">
        <v>136.19</v>
      </c>
      <c r="L9" s="292">
        <v>75.680000000000007</v>
      </c>
      <c r="M9" s="292">
        <v>128.46</v>
      </c>
      <c r="N9" s="292">
        <v>421.64</v>
      </c>
      <c r="O9" s="292">
        <v>407.79</v>
      </c>
      <c r="P9" s="292">
        <v>247.94</v>
      </c>
      <c r="Q9" s="292">
        <v>380.99</v>
      </c>
      <c r="R9" s="292">
        <v>53.82</v>
      </c>
      <c r="S9" s="292">
        <v>245.66</v>
      </c>
      <c r="T9" s="292">
        <v>80.44</v>
      </c>
      <c r="U9" s="292">
        <v>92.52</v>
      </c>
      <c r="V9" s="292">
        <v>75.459999999999994</v>
      </c>
      <c r="W9" s="292">
        <v>99.03</v>
      </c>
      <c r="X9" s="292">
        <v>161.43</v>
      </c>
      <c r="Y9" s="292">
        <v>174.12</v>
      </c>
      <c r="Z9" s="292">
        <v>170.28</v>
      </c>
      <c r="AA9" s="292">
        <v>204.14</v>
      </c>
      <c r="AB9" s="292">
        <v>219.79</v>
      </c>
      <c r="AC9" s="292">
        <v>176.17</v>
      </c>
      <c r="AD9" s="292">
        <v>497.28</v>
      </c>
      <c r="AE9" s="292">
        <v>597.16999999999996</v>
      </c>
      <c r="AF9" s="292">
        <v>446.71</v>
      </c>
      <c r="AG9" s="292">
        <v>82.47</v>
      </c>
      <c r="AH9" s="292">
        <v>186.47</v>
      </c>
      <c r="AI9" s="292">
        <v>1261.6199999999999</v>
      </c>
      <c r="AJ9" s="292">
        <v>193.05</v>
      </c>
      <c r="AK9" s="292">
        <v>239.24</v>
      </c>
      <c r="AL9" s="292">
        <v>26.44</v>
      </c>
      <c r="AM9" s="292">
        <v>125.43</v>
      </c>
      <c r="AN9" s="292">
        <v>76.73</v>
      </c>
      <c r="AO9" s="292">
        <v>92.35</v>
      </c>
      <c r="AP9" s="292">
        <v>77.489999999999995</v>
      </c>
      <c r="AQ9" s="292">
        <v>361.11</v>
      </c>
      <c r="AR9" s="292">
        <v>71.27</v>
      </c>
      <c r="AS9" s="292">
        <v>574.85</v>
      </c>
      <c r="AT9" s="292">
        <v>222.21</v>
      </c>
      <c r="AU9" s="292">
        <v>529.77</v>
      </c>
      <c r="AV9" s="292">
        <v>50.74</v>
      </c>
      <c r="AW9" s="292">
        <v>206.65</v>
      </c>
      <c r="AX9" s="292">
        <v>412.8</v>
      </c>
      <c r="AY9" s="292">
        <v>498.16</v>
      </c>
    </row>
    <row r="10" spans="1:55" x14ac:dyDescent="0.45">
      <c r="A10" s="285">
        <v>9</v>
      </c>
      <c r="B10" s="286">
        <v>45679</v>
      </c>
      <c r="C10" s="292">
        <v>117.78</v>
      </c>
      <c r="D10" s="292">
        <v>169.2</v>
      </c>
      <c r="E10" s="292">
        <v>316.99</v>
      </c>
      <c r="F10" s="292">
        <v>200.03</v>
      </c>
      <c r="G10" s="292">
        <v>50.81</v>
      </c>
      <c r="H10" s="292">
        <v>223.83</v>
      </c>
      <c r="I10" s="292">
        <v>207.22</v>
      </c>
      <c r="J10" s="292">
        <v>3326.01</v>
      </c>
      <c r="K10" s="292">
        <v>143.06</v>
      </c>
      <c r="L10" s="292">
        <v>74.3</v>
      </c>
      <c r="M10" s="292">
        <v>128.33000000000001</v>
      </c>
      <c r="N10" s="292">
        <v>465.11</v>
      </c>
      <c r="O10" s="292">
        <v>401.21</v>
      </c>
      <c r="P10" s="292">
        <v>246.96</v>
      </c>
      <c r="Q10" s="292">
        <v>388.95</v>
      </c>
      <c r="R10" s="292">
        <v>52.99</v>
      </c>
      <c r="S10" s="292">
        <v>244.18</v>
      </c>
      <c r="T10" s="292">
        <v>80.959999999999994</v>
      </c>
      <c r="U10" s="292">
        <v>92.94</v>
      </c>
      <c r="V10" s="292">
        <v>75.599999999999994</v>
      </c>
      <c r="W10" s="292">
        <v>99.85</v>
      </c>
      <c r="X10" s="292">
        <v>154.49</v>
      </c>
      <c r="Y10" s="292">
        <v>173.54</v>
      </c>
      <c r="Z10" s="292">
        <v>174.905</v>
      </c>
      <c r="AA10" s="292">
        <v>205.17</v>
      </c>
      <c r="AB10" s="292">
        <v>220.06</v>
      </c>
      <c r="AC10" s="292">
        <v>177.33</v>
      </c>
      <c r="AD10" s="292">
        <v>499.34</v>
      </c>
      <c r="AE10" s="292">
        <v>584.38</v>
      </c>
      <c r="AF10" s="292">
        <v>446.2</v>
      </c>
      <c r="AG10" s="292">
        <v>82.87</v>
      </c>
      <c r="AH10" s="292">
        <v>184.22</v>
      </c>
      <c r="AI10" s="292">
        <v>1241.33</v>
      </c>
      <c r="AJ10" s="292">
        <v>169.01</v>
      </c>
      <c r="AK10" s="292">
        <v>239.8</v>
      </c>
      <c r="AL10" s="292">
        <v>26.01</v>
      </c>
      <c r="AM10" s="292">
        <v>122.89</v>
      </c>
      <c r="AN10" s="292">
        <v>77.39</v>
      </c>
      <c r="AO10" s="292">
        <v>94.25</v>
      </c>
      <c r="AP10" s="292">
        <v>77.03</v>
      </c>
      <c r="AQ10" s="292">
        <v>357.74</v>
      </c>
      <c r="AR10" s="292">
        <v>70.97</v>
      </c>
      <c r="AS10" s="292">
        <v>574.59</v>
      </c>
      <c r="AT10" s="292">
        <v>229.22</v>
      </c>
      <c r="AU10" s="292">
        <v>519.72</v>
      </c>
      <c r="AV10" s="292">
        <v>50.29</v>
      </c>
      <c r="AW10" s="292">
        <v>207.13</v>
      </c>
      <c r="AX10" s="292">
        <v>408.35</v>
      </c>
      <c r="AY10" s="292">
        <v>505.64</v>
      </c>
    </row>
    <row r="11" spans="1:55" x14ac:dyDescent="0.45">
      <c r="A11" s="285">
        <v>10</v>
      </c>
      <c r="B11" s="286">
        <v>45678</v>
      </c>
      <c r="C11" s="292">
        <v>116.79</v>
      </c>
      <c r="D11" s="292">
        <v>172.61</v>
      </c>
      <c r="E11" s="292">
        <v>319.76</v>
      </c>
      <c r="F11" s="292">
        <v>199.63</v>
      </c>
      <c r="G11" s="292">
        <v>51.47</v>
      </c>
      <c r="H11" s="292">
        <v>222.64</v>
      </c>
      <c r="I11" s="292">
        <v>209.62</v>
      </c>
      <c r="J11" s="292">
        <v>3297.72</v>
      </c>
      <c r="K11" s="292">
        <v>142.44999999999999</v>
      </c>
      <c r="L11" s="292">
        <v>75.11</v>
      </c>
      <c r="M11" s="292">
        <v>126.68</v>
      </c>
      <c r="N11" s="292">
        <v>465.18</v>
      </c>
      <c r="O11" s="292">
        <v>402.41</v>
      </c>
      <c r="P11" s="292">
        <v>245.07</v>
      </c>
      <c r="Q11" s="292">
        <v>396.86</v>
      </c>
      <c r="R11" s="292">
        <v>53.15</v>
      </c>
      <c r="S11" s="292">
        <v>244.11</v>
      </c>
      <c r="T11" s="292">
        <v>81.48</v>
      </c>
      <c r="U11" s="292">
        <v>93.95</v>
      </c>
      <c r="V11" s="292">
        <v>76.09</v>
      </c>
      <c r="W11" s="292">
        <v>100.87</v>
      </c>
      <c r="X11" s="292">
        <v>155.09</v>
      </c>
      <c r="Y11" s="292">
        <v>174.75</v>
      </c>
      <c r="Z11" s="292">
        <v>174.43</v>
      </c>
      <c r="AA11" s="292">
        <v>208.61</v>
      </c>
      <c r="AB11" s="292">
        <v>222.86</v>
      </c>
      <c r="AC11" s="292">
        <v>177.49</v>
      </c>
      <c r="AD11" s="292">
        <v>506.29</v>
      </c>
      <c r="AE11" s="292">
        <v>586.08000000000004</v>
      </c>
      <c r="AF11" s="292">
        <v>428.5</v>
      </c>
      <c r="AG11" s="292">
        <v>82.76</v>
      </c>
      <c r="AH11" s="292">
        <v>172.57</v>
      </c>
      <c r="AI11" s="292">
        <v>1241.08</v>
      </c>
      <c r="AJ11" s="292">
        <v>172.73</v>
      </c>
      <c r="AK11" s="292">
        <v>242.13</v>
      </c>
      <c r="AL11" s="292">
        <v>26.64</v>
      </c>
      <c r="AM11" s="292">
        <v>123.81</v>
      </c>
      <c r="AN11" s="292">
        <v>79.3</v>
      </c>
      <c r="AO11" s="292">
        <v>94.75</v>
      </c>
      <c r="AP11" s="292">
        <v>77.78</v>
      </c>
      <c r="AQ11" s="292">
        <v>361.52</v>
      </c>
      <c r="AR11" s="292">
        <v>72.69</v>
      </c>
      <c r="AS11" s="292">
        <v>573.05999999999995</v>
      </c>
      <c r="AT11" s="292">
        <v>226.75</v>
      </c>
      <c r="AU11" s="292">
        <v>524.99</v>
      </c>
      <c r="AV11" s="292">
        <v>51.7</v>
      </c>
      <c r="AW11" s="292">
        <v>210.42</v>
      </c>
      <c r="AX11" s="292">
        <v>413.81</v>
      </c>
      <c r="AY11" s="292">
        <v>504.98</v>
      </c>
    </row>
    <row r="12" spans="1:55" x14ac:dyDescent="0.45">
      <c r="A12" s="285">
        <v>11</v>
      </c>
      <c r="B12" s="286">
        <v>45674</v>
      </c>
      <c r="C12" s="292">
        <v>113.48</v>
      </c>
      <c r="D12" s="292">
        <v>171.56</v>
      </c>
      <c r="E12" s="292">
        <v>317.8</v>
      </c>
      <c r="F12" s="292">
        <v>197.55</v>
      </c>
      <c r="G12" s="292">
        <v>51.86</v>
      </c>
      <c r="H12" s="292">
        <v>229.98</v>
      </c>
      <c r="I12" s="292">
        <v>211.59</v>
      </c>
      <c r="J12" s="292">
        <v>3228.4</v>
      </c>
      <c r="K12" s="292">
        <v>136.06</v>
      </c>
      <c r="L12" s="292">
        <v>73.510000000000005</v>
      </c>
      <c r="M12" s="292">
        <v>122.43</v>
      </c>
      <c r="N12" s="292">
        <v>452.39</v>
      </c>
      <c r="O12" s="292">
        <v>391.51</v>
      </c>
      <c r="P12" s="292">
        <v>242.05</v>
      </c>
      <c r="Q12" s="292">
        <v>390.21</v>
      </c>
      <c r="R12" s="292">
        <v>52.62</v>
      </c>
      <c r="S12" s="292">
        <v>238.36</v>
      </c>
      <c r="T12" s="292">
        <v>81.27</v>
      </c>
      <c r="U12" s="292">
        <v>92.34</v>
      </c>
      <c r="V12" s="292">
        <v>76.08</v>
      </c>
      <c r="W12" s="292">
        <v>98.885000000000005</v>
      </c>
      <c r="X12" s="292">
        <v>154.69</v>
      </c>
      <c r="Y12" s="292">
        <v>173.16</v>
      </c>
      <c r="Z12" s="292">
        <v>172.45</v>
      </c>
      <c r="AA12" s="292">
        <v>202.55</v>
      </c>
      <c r="AB12" s="292">
        <v>218.16</v>
      </c>
      <c r="AC12" s="292">
        <v>174.23</v>
      </c>
      <c r="AD12" s="292">
        <v>490.32</v>
      </c>
      <c r="AE12" s="292">
        <v>592.57000000000005</v>
      </c>
      <c r="AF12" s="292">
        <v>429.03</v>
      </c>
      <c r="AG12" s="292">
        <v>81.78</v>
      </c>
      <c r="AH12" s="292">
        <v>161.03</v>
      </c>
      <c r="AI12" s="292">
        <v>1216.79</v>
      </c>
      <c r="AJ12" s="292">
        <v>166.56</v>
      </c>
      <c r="AK12" s="292">
        <v>237.87</v>
      </c>
      <c r="AL12" s="292">
        <v>26.3</v>
      </c>
      <c r="AM12" s="292">
        <v>121.59</v>
      </c>
      <c r="AN12" s="292">
        <v>78.58</v>
      </c>
      <c r="AO12" s="292">
        <v>93.28</v>
      </c>
      <c r="AP12" s="292">
        <v>76.930000000000007</v>
      </c>
      <c r="AQ12" s="292">
        <v>353.98</v>
      </c>
      <c r="AR12" s="292">
        <v>71.81</v>
      </c>
      <c r="AS12" s="292">
        <v>559.65</v>
      </c>
      <c r="AT12" s="292">
        <v>222.46</v>
      </c>
      <c r="AU12" s="292">
        <v>509.76</v>
      </c>
      <c r="AV12" s="292">
        <v>51.03</v>
      </c>
      <c r="AW12" s="292">
        <v>209.72</v>
      </c>
      <c r="AX12" s="292">
        <v>404</v>
      </c>
      <c r="AY12" s="292">
        <v>496.28</v>
      </c>
    </row>
    <row r="13" spans="1:55" x14ac:dyDescent="0.45">
      <c r="A13" s="285">
        <v>12</v>
      </c>
      <c r="B13" s="286">
        <v>45673</v>
      </c>
      <c r="C13" s="292">
        <v>113.91</v>
      </c>
      <c r="D13" s="292">
        <v>173.7</v>
      </c>
      <c r="E13" s="292">
        <v>312.06</v>
      </c>
      <c r="F13" s="292">
        <v>194.41</v>
      </c>
      <c r="G13" s="292">
        <v>51.16</v>
      </c>
      <c r="H13" s="292">
        <v>228.26</v>
      </c>
      <c r="I13" s="292">
        <v>211.68</v>
      </c>
      <c r="J13" s="292">
        <v>3193.96</v>
      </c>
      <c r="K13" s="292">
        <v>136.30000000000001</v>
      </c>
      <c r="L13" s="292">
        <v>73.569999999999993</v>
      </c>
      <c r="M13" s="292">
        <v>121.13</v>
      </c>
      <c r="N13" s="292">
        <v>454.28</v>
      </c>
      <c r="O13" s="292">
        <v>390.98</v>
      </c>
      <c r="P13" s="292">
        <v>240.89</v>
      </c>
      <c r="Q13" s="292">
        <v>385.34</v>
      </c>
      <c r="R13" s="292">
        <v>51.96</v>
      </c>
      <c r="S13" s="292">
        <v>241.9</v>
      </c>
      <c r="T13" s="292">
        <v>80.989999999999995</v>
      </c>
      <c r="U13" s="292">
        <v>92.75</v>
      </c>
      <c r="V13" s="292">
        <v>74.77</v>
      </c>
      <c r="W13" s="292">
        <v>98.14</v>
      </c>
      <c r="X13" s="292">
        <v>154.11000000000001</v>
      </c>
      <c r="Y13" s="292">
        <v>172.5</v>
      </c>
      <c r="Z13" s="292">
        <v>186.2</v>
      </c>
      <c r="AA13" s="292">
        <v>201.02</v>
      </c>
      <c r="AB13" s="292">
        <v>218.48</v>
      </c>
      <c r="AC13" s="292">
        <v>177.82</v>
      </c>
      <c r="AD13" s="292">
        <v>486.86</v>
      </c>
      <c r="AE13" s="292">
        <v>595.19000000000005</v>
      </c>
      <c r="AF13" s="292">
        <v>424.58</v>
      </c>
      <c r="AG13" s="292">
        <v>81.319999999999993</v>
      </c>
      <c r="AH13" s="292">
        <v>159.54</v>
      </c>
      <c r="AI13" s="292">
        <v>1204.72</v>
      </c>
      <c r="AJ13" s="292">
        <v>168</v>
      </c>
      <c r="AK13" s="292">
        <v>235.32</v>
      </c>
      <c r="AL13" s="292">
        <v>26.49</v>
      </c>
      <c r="AM13" s="292">
        <v>119.8</v>
      </c>
      <c r="AN13" s="292">
        <v>78.28</v>
      </c>
      <c r="AO13" s="292">
        <v>94.24</v>
      </c>
      <c r="AP13" s="292">
        <v>76.69</v>
      </c>
      <c r="AQ13" s="292">
        <v>354.17</v>
      </c>
      <c r="AR13" s="292">
        <v>71.400000000000006</v>
      </c>
      <c r="AS13" s="292">
        <v>561.71</v>
      </c>
      <c r="AT13" s="292">
        <v>228.9</v>
      </c>
      <c r="AU13" s="292">
        <v>510.59</v>
      </c>
      <c r="AV13" s="292">
        <v>50.6</v>
      </c>
      <c r="AW13" s="292">
        <v>210.685</v>
      </c>
      <c r="AX13" s="292">
        <v>405.43</v>
      </c>
      <c r="AY13" s="292">
        <v>491.1</v>
      </c>
    </row>
    <row r="14" spans="1:55" x14ac:dyDescent="0.45">
      <c r="A14" s="285">
        <v>13</v>
      </c>
      <c r="B14" s="286">
        <v>45672</v>
      </c>
      <c r="C14" s="292">
        <v>111.1</v>
      </c>
      <c r="D14" s="292">
        <v>171.35</v>
      </c>
      <c r="E14" s="292">
        <v>306.89999999999998</v>
      </c>
      <c r="F14" s="292">
        <v>196.98</v>
      </c>
      <c r="G14" s="292">
        <v>51.04</v>
      </c>
      <c r="H14" s="292">
        <v>237.87</v>
      </c>
      <c r="I14" s="292">
        <v>209.02</v>
      </c>
      <c r="J14" s="292">
        <v>3206.05</v>
      </c>
      <c r="K14" s="292">
        <v>136.07</v>
      </c>
      <c r="L14" s="292">
        <v>72.55</v>
      </c>
      <c r="M14" s="292">
        <v>118.51</v>
      </c>
      <c r="N14" s="292">
        <v>446.78</v>
      </c>
      <c r="O14" s="292">
        <v>391.3</v>
      </c>
      <c r="P14" s="292">
        <v>237.67</v>
      </c>
      <c r="Q14" s="292">
        <v>380.41</v>
      </c>
      <c r="R14" s="292">
        <v>52.14</v>
      </c>
      <c r="S14" s="292">
        <v>237.97</v>
      </c>
      <c r="T14" s="292">
        <v>81.34</v>
      </c>
      <c r="U14" s="292">
        <v>91.46</v>
      </c>
      <c r="V14" s="292">
        <v>74.27</v>
      </c>
      <c r="W14" s="292">
        <v>97.76</v>
      </c>
      <c r="X14" s="292">
        <v>153.94999999999999</v>
      </c>
      <c r="Y14" s="292">
        <v>171.97</v>
      </c>
      <c r="Z14" s="292">
        <v>186.55</v>
      </c>
      <c r="AA14" s="292">
        <v>198.7</v>
      </c>
      <c r="AB14" s="292">
        <v>214.14</v>
      </c>
      <c r="AC14" s="292">
        <v>177.25</v>
      </c>
      <c r="AD14" s="292">
        <v>483.97</v>
      </c>
      <c r="AE14" s="292">
        <v>583.45000000000005</v>
      </c>
      <c r="AF14" s="292">
        <v>426.31</v>
      </c>
      <c r="AG14" s="292">
        <v>80.05</v>
      </c>
      <c r="AH14" s="292">
        <v>158.31</v>
      </c>
      <c r="AI14" s="292">
        <v>1204.04</v>
      </c>
      <c r="AJ14" s="292">
        <v>163.21</v>
      </c>
      <c r="AK14" s="292">
        <v>235.2</v>
      </c>
      <c r="AL14" s="292">
        <v>26.22</v>
      </c>
      <c r="AM14" s="292">
        <v>118.51</v>
      </c>
      <c r="AN14" s="292">
        <v>77.2</v>
      </c>
      <c r="AO14" s="292">
        <v>93.47</v>
      </c>
      <c r="AP14" s="292">
        <v>76.59</v>
      </c>
      <c r="AQ14" s="292">
        <v>346.93</v>
      </c>
      <c r="AR14" s="292">
        <v>70.95</v>
      </c>
      <c r="AS14" s="292">
        <v>551.47</v>
      </c>
      <c r="AT14" s="292">
        <v>230.5</v>
      </c>
      <c r="AU14" s="292">
        <v>543.41999999999996</v>
      </c>
      <c r="AV14" s="292">
        <v>50.35</v>
      </c>
      <c r="AW14" s="292">
        <v>210.1</v>
      </c>
      <c r="AX14" s="292">
        <v>397.7</v>
      </c>
      <c r="AY14" s="292">
        <v>479.01</v>
      </c>
    </row>
    <row r="15" spans="1:55" x14ac:dyDescent="0.45">
      <c r="A15" s="285">
        <v>14</v>
      </c>
      <c r="B15" s="286">
        <v>45671</v>
      </c>
      <c r="C15" s="292">
        <v>113.02</v>
      </c>
      <c r="D15" s="292">
        <v>175.55</v>
      </c>
      <c r="E15" s="292">
        <v>307.95999999999998</v>
      </c>
      <c r="F15" s="292">
        <v>191.05</v>
      </c>
      <c r="G15" s="292">
        <v>51.36</v>
      </c>
      <c r="H15" s="292">
        <v>233.28</v>
      </c>
      <c r="I15" s="292">
        <v>204.74</v>
      </c>
      <c r="J15" s="292">
        <v>3227.8</v>
      </c>
      <c r="K15" s="292">
        <v>136.13999999999999</v>
      </c>
      <c r="L15" s="292">
        <v>72.63</v>
      </c>
      <c r="M15" s="292">
        <v>117.11</v>
      </c>
      <c r="N15" s="292">
        <v>441.22</v>
      </c>
      <c r="O15" s="292">
        <v>395</v>
      </c>
      <c r="P15" s="292">
        <v>240.05</v>
      </c>
      <c r="Q15" s="292">
        <v>371.31</v>
      </c>
      <c r="R15" s="292">
        <v>51.57</v>
      </c>
      <c r="S15" s="292">
        <v>237.62</v>
      </c>
      <c r="T15" s="292">
        <v>79.2</v>
      </c>
      <c r="U15" s="292">
        <v>90.67</v>
      </c>
      <c r="V15" s="292">
        <v>73.739999999999995</v>
      </c>
      <c r="W15" s="292">
        <v>97.38</v>
      </c>
      <c r="X15" s="292">
        <v>153.69999999999999</v>
      </c>
      <c r="Y15" s="292">
        <v>172.37</v>
      </c>
      <c r="Z15" s="292">
        <v>181.62</v>
      </c>
      <c r="AA15" s="292">
        <v>197.43</v>
      </c>
      <c r="AB15" s="292">
        <v>214.89</v>
      </c>
      <c r="AC15" s="292">
        <v>171.47</v>
      </c>
      <c r="AD15" s="292">
        <v>484.46</v>
      </c>
      <c r="AE15" s="292">
        <v>593.73</v>
      </c>
      <c r="AF15" s="292">
        <v>415.67</v>
      </c>
      <c r="AG15" s="292">
        <v>82.04</v>
      </c>
      <c r="AH15" s="292">
        <v>156.31</v>
      </c>
      <c r="AI15" s="292">
        <v>1204.33</v>
      </c>
      <c r="AJ15" s="292">
        <v>158.19</v>
      </c>
      <c r="AK15" s="292">
        <v>232.65</v>
      </c>
      <c r="AL15" s="292">
        <v>26.41</v>
      </c>
      <c r="AM15" s="292">
        <v>118.47</v>
      </c>
      <c r="AN15" s="292">
        <v>75.78</v>
      </c>
      <c r="AO15" s="292">
        <v>92.89</v>
      </c>
      <c r="AP15" s="292">
        <v>76.86</v>
      </c>
      <c r="AQ15" s="292">
        <v>341.64</v>
      </c>
      <c r="AR15" s="292">
        <v>71.25</v>
      </c>
      <c r="AS15" s="292">
        <v>556.99</v>
      </c>
      <c r="AT15" s="292">
        <v>225</v>
      </c>
      <c r="AU15" s="292">
        <v>543.74</v>
      </c>
      <c r="AV15" s="292">
        <v>50.37</v>
      </c>
      <c r="AW15" s="292">
        <v>209</v>
      </c>
      <c r="AX15" s="292">
        <v>404.93</v>
      </c>
      <c r="AY15" s="292">
        <v>482.3</v>
      </c>
    </row>
    <row r="16" spans="1:55" x14ac:dyDescent="0.45">
      <c r="A16" s="285">
        <v>15</v>
      </c>
      <c r="B16" s="286">
        <v>45670</v>
      </c>
      <c r="C16" s="292">
        <v>113.19</v>
      </c>
      <c r="D16" s="292">
        <v>176.74</v>
      </c>
      <c r="E16" s="292">
        <v>301.74</v>
      </c>
      <c r="F16" s="292">
        <v>192.29</v>
      </c>
      <c r="G16" s="292">
        <v>50.85</v>
      </c>
      <c r="H16" s="292">
        <v>234.4</v>
      </c>
      <c r="I16" s="292">
        <v>199.87</v>
      </c>
      <c r="J16" s="292">
        <v>3239.62</v>
      </c>
      <c r="K16" s="292">
        <v>135.12</v>
      </c>
      <c r="L16" s="292">
        <v>71.69</v>
      </c>
      <c r="M16" s="292">
        <v>114.54</v>
      </c>
      <c r="N16" s="292">
        <v>446.06</v>
      </c>
      <c r="O16" s="292">
        <v>392.54</v>
      </c>
      <c r="P16" s="292">
        <v>236.09</v>
      </c>
      <c r="Q16" s="292">
        <v>365.84</v>
      </c>
      <c r="R16" s="292">
        <v>51.52</v>
      </c>
      <c r="S16" s="292">
        <v>239.88</v>
      </c>
      <c r="T16" s="292">
        <v>78.650000000000006</v>
      </c>
      <c r="U16" s="292">
        <v>90.45</v>
      </c>
      <c r="V16" s="292">
        <v>72.89</v>
      </c>
      <c r="W16" s="292">
        <v>95.76</v>
      </c>
      <c r="X16" s="292">
        <v>150.55000000000001</v>
      </c>
      <c r="Y16" s="292">
        <v>173.25</v>
      </c>
      <c r="Z16" s="292">
        <v>179.23</v>
      </c>
      <c r="AA16" s="292">
        <v>195.14</v>
      </c>
      <c r="AB16" s="292">
        <v>213.92</v>
      </c>
      <c r="AC16" s="292">
        <v>168.2</v>
      </c>
      <c r="AD16" s="292">
        <v>483.16</v>
      </c>
      <c r="AE16" s="292">
        <v>585.08000000000004</v>
      </c>
      <c r="AF16" s="292">
        <v>417.19</v>
      </c>
      <c r="AG16" s="292">
        <v>82.56</v>
      </c>
      <c r="AH16" s="292">
        <v>153.91999999999999</v>
      </c>
      <c r="AI16" s="292">
        <v>1210.1400000000001</v>
      </c>
      <c r="AJ16" s="292">
        <v>154.56</v>
      </c>
      <c r="AK16" s="292">
        <v>230.32</v>
      </c>
      <c r="AL16" s="292">
        <v>26.8</v>
      </c>
      <c r="AM16" s="292">
        <v>117.55</v>
      </c>
      <c r="AN16" s="292">
        <v>74.63</v>
      </c>
      <c r="AO16" s="292">
        <v>91.22</v>
      </c>
      <c r="AP16" s="292">
        <v>77.22</v>
      </c>
      <c r="AQ16" s="292">
        <v>336.12</v>
      </c>
      <c r="AR16" s="292">
        <v>68.63</v>
      </c>
      <c r="AS16" s="292">
        <v>555.52</v>
      </c>
      <c r="AT16" s="292">
        <v>226.53</v>
      </c>
      <c r="AU16" s="292">
        <v>541.14</v>
      </c>
      <c r="AV16" s="292">
        <v>49.67</v>
      </c>
      <c r="AW16" s="292">
        <v>209.56</v>
      </c>
      <c r="AX16" s="292">
        <v>399.87</v>
      </c>
      <c r="AY16" s="292">
        <v>476.57</v>
      </c>
    </row>
    <row r="17" spans="1:51" x14ac:dyDescent="0.45">
      <c r="A17" s="285">
        <v>16</v>
      </c>
      <c r="B17" s="286">
        <v>45667</v>
      </c>
      <c r="C17" s="292">
        <v>112.31</v>
      </c>
      <c r="D17" s="292">
        <v>175.17</v>
      </c>
      <c r="E17" s="292">
        <v>293.08</v>
      </c>
      <c r="F17" s="292">
        <v>193.17</v>
      </c>
      <c r="G17" s="292">
        <v>50.87</v>
      </c>
      <c r="H17" s="292">
        <v>236.85</v>
      </c>
      <c r="I17" s="292">
        <v>198.92</v>
      </c>
      <c r="J17" s="292">
        <v>3251.32</v>
      </c>
      <c r="K17" s="292">
        <v>132.47</v>
      </c>
      <c r="L17" s="292">
        <v>70.83</v>
      </c>
      <c r="M17" s="292">
        <v>114.69</v>
      </c>
      <c r="N17" s="292">
        <v>431.24</v>
      </c>
      <c r="O17" s="292">
        <v>386.06</v>
      </c>
      <c r="P17" s="292">
        <v>236.19</v>
      </c>
      <c r="Q17" s="292">
        <v>362.1</v>
      </c>
      <c r="R17" s="292">
        <v>48.01</v>
      </c>
      <c r="S17" s="292">
        <v>235.07</v>
      </c>
      <c r="T17" s="292">
        <v>76.37</v>
      </c>
      <c r="U17" s="292">
        <v>89.14</v>
      </c>
      <c r="V17" s="292">
        <v>71.63</v>
      </c>
      <c r="W17" s="292">
        <v>93.38</v>
      </c>
      <c r="X17" s="292">
        <v>149.97</v>
      </c>
      <c r="Y17" s="292">
        <v>172</v>
      </c>
      <c r="Z17" s="292">
        <v>174.29</v>
      </c>
      <c r="AA17" s="292">
        <v>190.02</v>
      </c>
      <c r="AB17" s="292">
        <v>208.28</v>
      </c>
      <c r="AC17" s="292">
        <v>165.68</v>
      </c>
      <c r="AD17" s="292">
        <v>468.05</v>
      </c>
      <c r="AE17" s="292">
        <v>581.74</v>
      </c>
      <c r="AF17" s="292">
        <v>418.95</v>
      </c>
      <c r="AG17" s="292">
        <v>79.900000000000006</v>
      </c>
      <c r="AH17" s="292">
        <v>154.5</v>
      </c>
      <c r="AI17" s="292">
        <v>1197.5999999999999</v>
      </c>
      <c r="AJ17" s="292">
        <v>153.35</v>
      </c>
      <c r="AK17" s="292">
        <v>228.05</v>
      </c>
      <c r="AL17" s="292">
        <v>26.72</v>
      </c>
      <c r="AM17" s="292">
        <v>117.15</v>
      </c>
      <c r="AN17" s="292">
        <v>74</v>
      </c>
      <c r="AO17" s="292">
        <v>89.7</v>
      </c>
      <c r="AP17" s="292">
        <v>76.52</v>
      </c>
      <c r="AQ17" s="292">
        <v>330.16</v>
      </c>
      <c r="AR17" s="292">
        <v>67.58</v>
      </c>
      <c r="AS17" s="292">
        <v>542.30999999999995</v>
      </c>
      <c r="AT17" s="292">
        <v>220.7</v>
      </c>
      <c r="AU17" s="292">
        <v>520.69000000000005</v>
      </c>
      <c r="AV17" s="292">
        <v>50.31</v>
      </c>
      <c r="AW17" s="292">
        <v>207.08</v>
      </c>
      <c r="AX17" s="292">
        <v>380.35</v>
      </c>
      <c r="AY17" s="292">
        <v>463.86</v>
      </c>
    </row>
    <row r="18" spans="1:51" x14ac:dyDescent="0.45">
      <c r="A18" s="285">
        <v>17</v>
      </c>
      <c r="B18" s="286">
        <v>45665</v>
      </c>
      <c r="C18" s="292">
        <v>114.25</v>
      </c>
      <c r="D18" s="292">
        <v>178.5</v>
      </c>
      <c r="E18" s="292">
        <v>285.25</v>
      </c>
      <c r="F18" s="292">
        <v>195.39</v>
      </c>
      <c r="G18" s="292">
        <v>51.49</v>
      </c>
      <c r="H18" s="292">
        <v>242.7</v>
      </c>
      <c r="I18" s="292">
        <v>205.42</v>
      </c>
      <c r="J18" s="292">
        <v>3303.35</v>
      </c>
      <c r="K18" s="292">
        <v>130.08000000000001</v>
      </c>
      <c r="L18" s="292">
        <v>73.63</v>
      </c>
      <c r="M18" s="292">
        <v>114.53</v>
      </c>
      <c r="N18" s="292">
        <v>415.91</v>
      </c>
      <c r="O18" s="292">
        <v>390.84</v>
      </c>
      <c r="P18" s="292">
        <v>237.83</v>
      </c>
      <c r="Q18" s="292">
        <v>360.84</v>
      </c>
      <c r="R18" s="292">
        <v>46.01</v>
      </c>
      <c r="S18" s="292">
        <v>238.09</v>
      </c>
      <c r="T18" s="292">
        <v>77.11</v>
      </c>
      <c r="U18" s="292">
        <v>89.25</v>
      </c>
      <c r="V18" s="292">
        <v>72.94</v>
      </c>
      <c r="W18" s="292">
        <v>95</v>
      </c>
      <c r="X18" s="292">
        <v>151.52000000000001</v>
      </c>
      <c r="Y18" s="292">
        <v>173.45</v>
      </c>
      <c r="Z18" s="292">
        <v>177.83</v>
      </c>
      <c r="AA18" s="292">
        <v>189.66</v>
      </c>
      <c r="AB18" s="292">
        <v>207.15</v>
      </c>
      <c r="AC18" s="292">
        <v>167.89</v>
      </c>
      <c r="AD18" s="292">
        <v>468.85</v>
      </c>
      <c r="AE18" s="292">
        <v>590.26</v>
      </c>
      <c r="AF18" s="292">
        <v>424.56</v>
      </c>
      <c r="AG18" s="292">
        <v>82.64</v>
      </c>
      <c r="AH18" s="292">
        <v>163.13999999999999</v>
      </c>
      <c r="AI18" s="292">
        <v>1205.74</v>
      </c>
      <c r="AJ18" s="292">
        <v>157.66</v>
      </c>
      <c r="AK18" s="292">
        <v>228.54</v>
      </c>
      <c r="AL18" s="292">
        <v>26.86</v>
      </c>
      <c r="AM18" s="292">
        <v>121.86</v>
      </c>
      <c r="AN18" s="292">
        <v>74.38</v>
      </c>
      <c r="AO18" s="292">
        <v>91.02</v>
      </c>
      <c r="AP18" s="292">
        <v>78.55</v>
      </c>
      <c r="AQ18" s="292">
        <v>337.54</v>
      </c>
      <c r="AR18" s="292">
        <v>68.680000000000007</v>
      </c>
      <c r="AS18" s="292">
        <v>544.92999999999995</v>
      </c>
      <c r="AT18" s="292">
        <v>214.48</v>
      </c>
      <c r="AU18" s="292">
        <v>524.52</v>
      </c>
      <c r="AV18" s="292">
        <v>51.93</v>
      </c>
      <c r="AW18" s="292">
        <v>211.67</v>
      </c>
      <c r="AX18" s="292">
        <v>374.2</v>
      </c>
      <c r="AY18" s="292">
        <v>466.57</v>
      </c>
    </row>
    <row r="19" spans="1:51" x14ac:dyDescent="0.45">
      <c r="A19" s="285">
        <v>18</v>
      </c>
      <c r="B19" s="286">
        <v>45664</v>
      </c>
      <c r="C19" s="292">
        <v>113.4</v>
      </c>
      <c r="D19" s="292">
        <v>179.53</v>
      </c>
      <c r="E19" s="292">
        <v>286.33</v>
      </c>
      <c r="F19" s="292">
        <v>196.71</v>
      </c>
      <c r="G19" s="292">
        <v>51.46</v>
      </c>
      <c r="H19" s="292">
        <v>242.21</v>
      </c>
      <c r="I19" s="292">
        <v>207</v>
      </c>
      <c r="J19" s="292">
        <v>3259.91</v>
      </c>
      <c r="K19" s="292">
        <v>129.24</v>
      </c>
      <c r="L19" s="292">
        <v>73.14</v>
      </c>
      <c r="M19" s="292">
        <v>115.13</v>
      </c>
      <c r="N19" s="292">
        <v>413.95</v>
      </c>
      <c r="O19" s="292">
        <v>389.31</v>
      </c>
      <c r="P19" s="292">
        <v>234.24</v>
      </c>
      <c r="Q19" s="292">
        <v>357.27</v>
      </c>
      <c r="R19" s="292">
        <v>45.78</v>
      </c>
      <c r="S19" s="292">
        <v>239.1</v>
      </c>
      <c r="T19" s="292">
        <v>77.72</v>
      </c>
      <c r="U19" s="292">
        <v>87.08</v>
      </c>
      <c r="V19" s="292">
        <v>72.31</v>
      </c>
      <c r="W19" s="292">
        <v>94.9</v>
      </c>
      <c r="X19" s="292">
        <v>150.72999999999999</v>
      </c>
      <c r="Y19" s="292">
        <v>171.34</v>
      </c>
      <c r="Z19" s="292">
        <v>176.48</v>
      </c>
      <c r="AA19" s="292">
        <v>189.05</v>
      </c>
      <c r="AB19" s="292">
        <v>203</v>
      </c>
      <c r="AC19" s="292">
        <v>168.67</v>
      </c>
      <c r="AD19" s="292">
        <v>463.96</v>
      </c>
      <c r="AE19" s="292">
        <v>585.24</v>
      </c>
      <c r="AF19" s="292">
        <v>422.37</v>
      </c>
      <c r="AG19" s="292">
        <v>79.86</v>
      </c>
      <c r="AH19" s="292">
        <v>162.03</v>
      </c>
      <c r="AI19" s="292">
        <v>1199.72</v>
      </c>
      <c r="AJ19" s="292">
        <v>163.4</v>
      </c>
      <c r="AK19" s="292">
        <v>225.98</v>
      </c>
      <c r="AL19" s="292">
        <v>27.13</v>
      </c>
      <c r="AM19" s="292">
        <v>121.4</v>
      </c>
      <c r="AN19" s="292">
        <v>73.819999999999993</v>
      </c>
      <c r="AO19" s="292">
        <v>90.96</v>
      </c>
      <c r="AP19" s="292">
        <v>78.11</v>
      </c>
      <c r="AQ19" s="292">
        <v>334.4</v>
      </c>
      <c r="AR19" s="292">
        <v>68.3</v>
      </c>
      <c r="AS19" s="292">
        <v>545.65</v>
      </c>
      <c r="AT19" s="292">
        <v>204.69</v>
      </c>
      <c r="AU19" s="292">
        <v>514.25</v>
      </c>
      <c r="AV19" s="292">
        <v>52.36</v>
      </c>
      <c r="AW19" s="292">
        <v>209.22</v>
      </c>
      <c r="AX19" s="292">
        <v>377.03</v>
      </c>
      <c r="AY19" s="292">
        <v>465.36</v>
      </c>
    </row>
    <row r="20" spans="1:51" x14ac:dyDescent="0.45">
      <c r="A20" s="285">
        <v>19</v>
      </c>
      <c r="B20" s="286">
        <v>45663</v>
      </c>
      <c r="C20" s="292">
        <v>113.04</v>
      </c>
      <c r="D20" s="292">
        <v>180.1</v>
      </c>
      <c r="E20" s="292">
        <v>283.24</v>
      </c>
      <c r="F20" s="292">
        <v>197.96</v>
      </c>
      <c r="G20" s="292">
        <v>52.09</v>
      </c>
      <c r="H20" s="292">
        <v>245</v>
      </c>
      <c r="I20" s="292">
        <v>207.66</v>
      </c>
      <c r="J20" s="292">
        <v>3293.46</v>
      </c>
      <c r="K20" s="292">
        <v>130.74</v>
      </c>
      <c r="L20" s="292">
        <v>72.77</v>
      </c>
      <c r="M20" s="292">
        <v>114.78</v>
      </c>
      <c r="N20" s="292">
        <v>415.11</v>
      </c>
      <c r="O20" s="292">
        <v>396.76</v>
      </c>
      <c r="P20" s="292">
        <v>228.88</v>
      </c>
      <c r="Q20" s="292">
        <v>356.42</v>
      </c>
      <c r="R20" s="292">
        <v>45.82</v>
      </c>
      <c r="S20" s="292">
        <v>238.2</v>
      </c>
      <c r="T20" s="292">
        <v>78.12</v>
      </c>
      <c r="U20" s="292">
        <v>87.41</v>
      </c>
      <c r="V20" s="292">
        <v>71.97</v>
      </c>
      <c r="W20" s="292">
        <v>96.42</v>
      </c>
      <c r="X20" s="292">
        <v>152.83000000000001</v>
      </c>
      <c r="Y20" s="292">
        <v>169.63</v>
      </c>
      <c r="Z20" s="292">
        <v>176.4</v>
      </c>
      <c r="AA20" s="292">
        <v>186.7</v>
      </c>
      <c r="AB20" s="292">
        <v>204.29</v>
      </c>
      <c r="AC20" s="292">
        <v>169.86</v>
      </c>
      <c r="AD20" s="292">
        <v>466</v>
      </c>
      <c r="AE20" s="292">
        <v>580.42999999999995</v>
      </c>
      <c r="AF20" s="292">
        <v>427.85</v>
      </c>
      <c r="AG20" s="292">
        <v>79.040000000000006</v>
      </c>
      <c r="AH20" s="292">
        <v>165.69</v>
      </c>
      <c r="AI20" s="292">
        <v>1210.47</v>
      </c>
      <c r="AJ20" s="292">
        <v>164.02</v>
      </c>
      <c r="AK20" s="292">
        <v>227.08</v>
      </c>
      <c r="AL20" s="292">
        <v>26.89</v>
      </c>
      <c r="AM20" s="292">
        <v>121</v>
      </c>
      <c r="AN20" s="292">
        <v>74.52</v>
      </c>
      <c r="AO20" s="292">
        <v>90.81</v>
      </c>
      <c r="AP20" s="292">
        <v>77.36</v>
      </c>
      <c r="AQ20" s="292">
        <v>337.82</v>
      </c>
      <c r="AR20" s="292">
        <v>68.900000000000006</v>
      </c>
      <c r="AS20" s="292">
        <v>537.19000000000005</v>
      </c>
      <c r="AT20" s="292">
        <v>169.33</v>
      </c>
      <c r="AU20" s="292">
        <v>513.66999999999996</v>
      </c>
      <c r="AV20" s="292">
        <v>52.71</v>
      </c>
      <c r="AW20" s="292">
        <v>210.68</v>
      </c>
      <c r="AX20" s="292">
        <v>377.1</v>
      </c>
      <c r="AY20" s="292">
        <v>471.37</v>
      </c>
    </row>
    <row r="21" spans="1:51" x14ac:dyDescent="0.45">
      <c r="A21" s="285">
        <v>20</v>
      </c>
      <c r="B21" s="286">
        <v>45660</v>
      </c>
      <c r="C21" s="292">
        <v>113.83</v>
      </c>
      <c r="D21" s="292">
        <v>181.22</v>
      </c>
      <c r="E21" s="292">
        <v>283.91000000000003</v>
      </c>
      <c r="F21" s="292">
        <v>193.13</v>
      </c>
      <c r="G21" s="292">
        <v>53.14</v>
      </c>
      <c r="H21" s="292">
        <v>243.36</v>
      </c>
      <c r="I21" s="292">
        <v>211.85</v>
      </c>
      <c r="J21" s="292">
        <v>3268.78</v>
      </c>
      <c r="K21" s="292">
        <v>131.93</v>
      </c>
      <c r="L21" s="292">
        <v>73.599999999999994</v>
      </c>
      <c r="M21" s="292">
        <v>113.5</v>
      </c>
      <c r="N21" s="292">
        <v>420.14</v>
      </c>
      <c r="O21" s="292">
        <v>397.93</v>
      </c>
      <c r="P21" s="292">
        <v>229.2</v>
      </c>
      <c r="Q21" s="292">
        <v>358.11</v>
      </c>
      <c r="R21" s="292">
        <v>45.77</v>
      </c>
      <c r="S21" s="292">
        <v>234.84</v>
      </c>
      <c r="T21" s="292">
        <v>78.19</v>
      </c>
      <c r="U21" s="292">
        <v>88.91</v>
      </c>
      <c r="V21" s="292">
        <v>71.69</v>
      </c>
      <c r="W21" s="292">
        <v>96.4</v>
      </c>
      <c r="X21" s="292">
        <v>154.11000000000001</v>
      </c>
      <c r="Y21" s="292">
        <v>173.7</v>
      </c>
      <c r="Z21" s="292">
        <v>175.82</v>
      </c>
      <c r="AA21" s="292">
        <v>188.08</v>
      </c>
      <c r="AB21" s="292">
        <v>209.75</v>
      </c>
      <c r="AC21" s="292">
        <v>172.93</v>
      </c>
      <c r="AD21" s="292">
        <v>481.82</v>
      </c>
      <c r="AE21" s="292">
        <v>577.44000000000005</v>
      </c>
      <c r="AF21" s="292">
        <v>423.35</v>
      </c>
      <c r="AG21" s="292">
        <v>78.47</v>
      </c>
      <c r="AH21" s="292">
        <v>166.32</v>
      </c>
      <c r="AI21" s="292">
        <v>1204.22</v>
      </c>
      <c r="AJ21" s="292">
        <v>166.78</v>
      </c>
      <c r="AK21" s="292">
        <v>225.88</v>
      </c>
      <c r="AL21" s="292">
        <v>26.59</v>
      </c>
      <c r="AM21" s="292">
        <v>122.02</v>
      </c>
      <c r="AN21" s="292">
        <v>76.88</v>
      </c>
      <c r="AO21" s="292">
        <v>92.36</v>
      </c>
      <c r="AP21" s="292">
        <v>77.72</v>
      </c>
      <c r="AQ21" s="292">
        <v>336.54</v>
      </c>
      <c r="AR21" s="292">
        <v>68.599999999999994</v>
      </c>
      <c r="AS21" s="292">
        <v>532.02</v>
      </c>
      <c r="AT21" s="292">
        <v>171.28</v>
      </c>
      <c r="AU21" s="292">
        <v>513</v>
      </c>
      <c r="AV21" s="292">
        <v>54.67</v>
      </c>
      <c r="AW21" s="292">
        <v>205.62</v>
      </c>
      <c r="AX21" s="292">
        <v>371.76</v>
      </c>
      <c r="AY21" s="292">
        <v>475.74</v>
      </c>
    </row>
    <row r="22" spans="1:51" x14ac:dyDescent="0.45">
      <c r="A22" s="285">
        <v>21</v>
      </c>
      <c r="B22" s="286">
        <v>45659</v>
      </c>
      <c r="C22" s="292">
        <v>113.44</v>
      </c>
      <c r="D22" s="292">
        <v>179.44</v>
      </c>
      <c r="E22" s="292">
        <v>283.29000000000002</v>
      </c>
      <c r="F22" s="292">
        <v>190.63</v>
      </c>
      <c r="G22" s="292">
        <v>52.51</v>
      </c>
      <c r="H22" s="292">
        <v>243.85</v>
      </c>
      <c r="I22" s="292">
        <v>211.41</v>
      </c>
      <c r="J22" s="292">
        <v>3250</v>
      </c>
      <c r="K22" s="292">
        <v>128.12</v>
      </c>
      <c r="L22" s="292">
        <v>73.510000000000005</v>
      </c>
      <c r="M22" s="292">
        <v>111.48</v>
      </c>
      <c r="N22" s="292">
        <v>410.96</v>
      </c>
      <c r="O22" s="292">
        <v>394.65</v>
      </c>
      <c r="P22" s="292">
        <v>224.74</v>
      </c>
      <c r="Q22" s="292">
        <v>351.52</v>
      </c>
      <c r="R22" s="292">
        <v>44.22</v>
      </c>
      <c r="S22" s="292">
        <v>229.81</v>
      </c>
      <c r="T22" s="292">
        <v>77.790000000000006</v>
      </c>
      <c r="U22" s="292">
        <v>87.92</v>
      </c>
      <c r="V22" s="292">
        <v>71.11</v>
      </c>
      <c r="W22" s="292">
        <v>95.88</v>
      </c>
      <c r="X22" s="292">
        <v>152.01</v>
      </c>
      <c r="Y22" s="292">
        <v>172.97</v>
      </c>
      <c r="Z22" s="292">
        <v>171.2</v>
      </c>
      <c r="AA22" s="292">
        <v>187.61</v>
      </c>
      <c r="AB22" s="292">
        <v>207.36</v>
      </c>
      <c r="AC22" s="292">
        <v>170.31</v>
      </c>
      <c r="AD22" s="292">
        <v>482.25</v>
      </c>
      <c r="AE22" s="292">
        <v>566.21</v>
      </c>
      <c r="AF22" s="292">
        <v>418.58</v>
      </c>
      <c r="AG22" s="292">
        <v>75.25</v>
      </c>
      <c r="AH22" s="292">
        <v>166.03</v>
      </c>
      <c r="AI22" s="292">
        <v>1187.71</v>
      </c>
      <c r="AJ22" s="292">
        <v>165.42</v>
      </c>
      <c r="AK22" s="292">
        <v>225.24</v>
      </c>
      <c r="AL22" s="292">
        <v>26.61</v>
      </c>
      <c r="AM22" s="292">
        <v>121.1</v>
      </c>
      <c r="AN22" s="292">
        <v>77.72</v>
      </c>
      <c r="AO22" s="292">
        <v>92.15</v>
      </c>
      <c r="AP22" s="292">
        <v>77.44</v>
      </c>
      <c r="AQ22" s="292">
        <v>333.16</v>
      </c>
      <c r="AR22" s="292">
        <v>67.33</v>
      </c>
      <c r="AS22" s="292">
        <v>522.57000000000005</v>
      </c>
      <c r="AT22" s="292">
        <v>170.32</v>
      </c>
      <c r="AU22" s="292">
        <v>504.51</v>
      </c>
      <c r="AV22" s="292">
        <v>54.7</v>
      </c>
      <c r="AW22" s="292">
        <v>205.1</v>
      </c>
      <c r="AX22" s="292">
        <v>368.26</v>
      </c>
      <c r="AY22" s="292">
        <v>468.8</v>
      </c>
    </row>
    <row r="23" spans="1:51" x14ac:dyDescent="0.45">
      <c r="A23" s="285">
        <v>22</v>
      </c>
      <c r="B23" s="286">
        <v>45657</v>
      </c>
      <c r="C23" s="292">
        <v>113.11</v>
      </c>
      <c r="D23" s="292">
        <v>177.7</v>
      </c>
      <c r="E23" s="292">
        <v>290.04000000000002</v>
      </c>
      <c r="F23" s="292">
        <v>190.44</v>
      </c>
      <c r="G23" s="292">
        <v>52.29</v>
      </c>
      <c r="H23" s="292">
        <v>250.42</v>
      </c>
      <c r="I23" s="292">
        <v>213.22</v>
      </c>
      <c r="J23" s="292">
        <v>3202</v>
      </c>
      <c r="K23" s="292">
        <v>128.69999999999999</v>
      </c>
      <c r="L23" s="292">
        <v>73.849999999999994</v>
      </c>
      <c r="M23" s="292">
        <v>111.39</v>
      </c>
      <c r="N23" s="292">
        <v>404.06</v>
      </c>
      <c r="O23" s="292">
        <v>396.23</v>
      </c>
      <c r="P23" s="292">
        <v>224.68</v>
      </c>
      <c r="Q23" s="292">
        <v>352.8</v>
      </c>
      <c r="R23" s="292">
        <v>44.89</v>
      </c>
      <c r="S23" s="292">
        <v>229.55</v>
      </c>
      <c r="T23" s="292">
        <v>78.099999999999994</v>
      </c>
      <c r="U23" s="292">
        <v>89.1</v>
      </c>
      <c r="V23" s="292">
        <v>71.91</v>
      </c>
      <c r="W23" s="292">
        <v>97.45</v>
      </c>
      <c r="X23" s="292">
        <v>154.96</v>
      </c>
      <c r="Y23" s="292">
        <v>175.3</v>
      </c>
      <c r="Z23" s="292">
        <v>170.66</v>
      </c>
      <c r="AA23" s="292">
        <v>188.97</v>
      </c>
      <c r="AB23" s="292">
        <v>210.28</v>
      </c>
      <c r="AC23" s="292">
        <v>171.86</v>
      </c>
      <c r="AD23" s="292">
        <v>485.94</v>
      </c>
      <c r="AE23" s="292">
        <v>569.91</v>
      </c>
      <c r="AF23" s="292">
        <v>421.5</v>
      </c>
      <c r="AG23" s="292">
        <v>74.69</v>
      </c>
      <c r="AH23" s="292">
        <v>166.64</v>
      </c>
      <c r="AI23" s="292">
        <v>1185.8</v>
      </c>
      <c r="AJ23" s="292">
        <v>167.43</v>
      </c>
      <c r="AK23" s="292">
        <v>225.13</v>
      </c>
      <c r="AL23" s="292">
        <v>26.53</v>
      </c>
      <c r="AM23" s="292">
        <v>120.35</v>
      </c>
      <c r="AN23" s="292">
        <v>78.09</v>
      </c>
      <c r="AO23" s="292">
        <v>93.52</v>
      </c>
      <c r="AP23" s="292">
        <v>79.819999999999993</v>
      </c>
      <c r="AQ23" s="292">
        <v>339.93</v>
      </c>
      <c r="AR23" s="292">
        <v>68.209999999999994</v>
      </c>
      <c r="AS23" s="292">
        <v>520.23</v>
      </c>
      <c r="AT23" s="292">
        <v>171.09</v>
      </c>
      <c r="AU23" s="292">
        <v>505.86</v>
      </c>
      <c r="AV23" s="292">
        <v>54.84</v>
      </c>
      <c r="AW23" s="292">
        <v>206.96</v>
      </c>
      <c r="AX23" s="292">
        <v>370.98</v>
      </c>
      <c r="AY23" s="292">
        <v>473.89</v>
      </c>
    </row>
    <row r="24" spans="1:51" x14ac:dyDescent="0.45">
      <c r="A24" s="285">
        <v>23</v>
      </c>
      <c r="B24" s="286">
        <v>45656</v>
      </c>
      <c r="C24" s="292">
        <v>112.8</v>
      </c>
      <c r="D24" s="292">
        <v>176.2</v>
      </c>
      <c r="E24" s="292">
        <v>288.69</v>
      </c>
      <c r="F24" s="292">
        <v>192.69</v>
      </c>
      <c r="G24" s="292">
        <v>52.08</v>
      </c>
      <c r="H24" s="292">
        <v>252.2</v>
      </c>
      <c r="I24" s="292">
        <v>212.27</v>
      </c>
      <c r="J24" s="292">
        <v>3185.71</v>
      </c>
      <c r="K24" s="292">
        <v>128.36000000000001</v>
      </c>
      <c r="L24" s="292">
        <v>73.209999999999994</v>
      </c>
      <c r="M24" s="292">
        <v>112.16</v>
      </c>
      <c r="N24" s="292">
        <v>402.23</v>
      </c>
      <c r="O24" s="292">
        <v>398.7</v>
      </c>
      <c r="P24" s="292">
        <v>224.71</v>
      </c>
      <c r="Q24" s="292">
        <v>353.97500000000002</v>
      </c>
      <c r="R24" s="292">
        <v>43.94</v>
      </c>
      <c r="S24" s="292">
        <v>229.65</v>
      </c>
      <c r="T24" s="292">
        <v>78.06</v>
      </c>
      <c r="U24" s="292">
        <v>88.94</v>
      </c>
      <c r="V24" s="292">
        <v>71.92</v>
      </c>
      <c r="W24" s="292">
        <v>97.28</v>
      </c>
      <c r="X24" s="292">
        <v>155.21</v>
      </c>
      <c r="Y24" s="292">
        <v>175.08</v>
      </c>
      <c r="Z24" s="292">
        <v>170.33</v>
      </c>
      <c r="AA24" s="292">
        <v>188.41</v>
      </c>
      <c r="AB24" s="292">
        <v>208.94</v>
      </c>
      <c r="AC24" s="292">
        <v>172.46</v>
      </c>
      <c r="AD24" s="292">
        <v>483.37</v>
      </c>
      <c r="AE24" s="292">
        <v>570.75</v>
      </c>
      <c r="AF24" s="292">
        <v>424.83</v>
      </c>
      <c r="AG24" s="292">
        <v>73.09</v>
      </c>
      <c r="AH24" s="292">
        <v>166.91</v>
      </c>
      <c r="AI24" s="292">
        <v>1179.92</v>
      </c>
      <c r="AJ24" s="292">
        <v>167.25</v>
      </c>
      <c r="AK24" s="292">
        <v>224.96</v>
      </c>
      <c r="AL24" s="292">
        <v>26.42</v>
      </c>
      <c r="AM24" s="292">
        <v>120.01</v>
      </c>
      <c r="AN24" s="292">
        <v>77.38</v>
      </c>
      <c r="AO24" s="292">
        <v>93.44</v>
      </c>
      <c r="AP24" s="292">
        <v>79.819999999999993</v>
      </c>
      <c r="AQ24" s="292">
        <v>338.75</v>
      </c>
      <c r="AR24" s="292">
        <v>68.02</v>
      </c>
      <c r="AS24" s="292">
        <v>518.84</v>
      </c>
      <c r="AT24" s="292">
        <v>171</v>
      </c>
      <c r="AU24" s="292">
        <v>507.8</v>
      </c>
      <c r="AV24" s="292">
        <v>54.36</v>
      </c>
      <c r="AW24" s="292">
        <v>205.1</v>
      </c>
      <c r="AX24" s="292">
        <v>370.94</v>
      </c>
      <c r="AY24" s="292">
        <v>474.79</v>
      </c>
    </row>
    <row r="25" spans="1:51" x14ac:dyDescent="0.45">
      <c r="A25" s="285">
        <v>24</v>
      </c>
      <c r="B25" s="286">
        <v>45653</v>
      </c>
      <c r="C25" s="292">
        <v>114.99</v>
      </c>
      <c r="D25" s="292">
        <v>178.01</v>
      </c>
      <c r="E25" s="292">
        <v>292.81</v>
      </c>
      <c r="F25" s="292">
        <v>194.04</v>
      </c>
      <c r="G25" s="292">
        <v>52.38</v>
      </c>
      <c r="H25" s="292">
        <v>255.59</v>
      </c>
      <c r="I25" s="292">
        <v>215.05</v>
      </c>
      <c r="J25" s="292">
        <v>3241.62</v>
      </c>
      <c r="K25" s="292">
        <v>129.65</v>
      </c>
      <c r="L25" s="292">
        <v>73.900000000000006</v>
      </c>
      <c r="M25" s="292">
        <v>112.52</v>
      </c>
      <c r="N25" s="292">
        <v>406.17</v>
      </c>
      <c r="O25" s="292">
        <v>403.98</v>
      </c>
      <c r="P25" s="292">
        <v>226.93</v>
      </c>
      <c r="Q25" s="292">
        <v>357.43</v>
      </c>
      <c r="R25" s="292">
        <v>44.49</v>
      </c>
      <c r="S25" s="292">
        <v>231.1</v>
      </c>
      <c r="T25" s="292">
        <v>78.48</v>
      </c>
      <c r="U25" s="292">
        <v>89.43</v>
      </c>
      <c r="V25" s="292">
        <v>73.015000000000001</v>
      </c>
      <c r="W25" s="292">
        <v>97.95</v>
      </c>
      <c r="X25" s="292">
        <v>155.43</v>
      </c>
      <c r="Y25" s="292">
        <v>176.88</v>
      </c>
      <c r="Z25" s="292">
        <v>172.01</v>
      </c>
      <c r="AA25" s="292">
        <v>190.42</v>
      </c>
      <c r="AB25" s="292">
        <v>212.37</v>
      </c>
      <c r="AC25" s="292">
        <v>174.32</v>
      </c>
      <c r="AD25" s="292">
        <v>488.97</v>
      </c>
      <c r="AE25" s="292">
        <v>576.64</v>
      </c>
      <c r="AF25" s="292">
        <v>430.53</v>
      </c>
      <c r="AG25" s="292">
        <v>74.8</v>
      </c>
      <c r="AH25" s="292">
        <v>168.96</v>
      </c>
      <c r="AI25" s="292">
        <v>1197.3499999999999</v>
      </c>
      <c r="AJ25" s="292">
        <v>171.35</v>
      </c>
      <c r="AK25" s="292">
        <v>227.09</v>
      </c>
      <c r="AL25" s="292">
        <v>26.62</v>
      </c>
      <c r="AM25" s="292">
        <v>121.45</v>
      </c>
      <c r="AN25" s="292">
        <v>78.45</v>
      </c>
      <c r="AO25" s="292">
        <v>93.82</v>
      </c>
      <c r="AP25" s="292">
        <v>80.760000000000005</v>
      </c>
      <c r="AQ25" s="292">
        <v>343.29</v>
      </c>
      <c r="AR25" s="292">
        <v>68.430000000000007</v>
      </c>
      <c r="AS25" s="292">
        <v>526.07000000000005</v>
      </c>
      <c r="AT25" s="292">
        <v>172.79</v>
      </c>
      <c r="AU25" s="292">
        <v>509.99</v>
      </c>
      <c r="AV25" s="292">
        <v>54.34</v>
      </c>
      <c r="AW25" s="292">
        <v>203.95</v>
      </c>
      <c r="AX25" s="292">
        <v>374.6</v>
      </c>
      <c r="AY25" s="292">
        <v>479.95</v>
      </c>
    </row>
    <row r="26" spans="1:51" x14ac:dyDescent="0.45">
      <c r="A26" s="285">
        <v>25</v>
      </c>
      <c r="B26" s="286">
        <v>45652</v>
      </c>
      <c r="C26" s="292">
        <v>115.27</v>
      </c>
      <c r="D26" s="292">
        <v>179.2</v>
      </c>
      <c r="E26" s="292">
        <v>295.08</v>
      </c>
      <c r="F26" s="292">
        <v>197.1</v>
      </c>
      <c r="G26" s="292">
        <v>52.6</v>
      </c>
      <c r="H26" s="292">
        <v>259.02</v>
      </c>
      <c r="I26" s="292">
        <v>217.19</v>
      </c>
      <c r="J26" s="292">
        <v>3241.25</v>
      </c>
      <c r="K26" s="292">
        <v>130.4</v>
      </c>
      <c r="L26" s="292">
        <v>75.64</v>
      </c>
      <c r="M26" s="292">
        <v>113</v>
      </c>
      <c r="N26" s="292">
        <v>408.03</v>
      </c>
      <c r="O26" s="292">
        <v>405.48</v>
      </c>
      <c r="P26" s="292">
        <v>226.59</v>
      </c>
      <c r="Q26" s="292">
        <v>363.67</v>
      </c>
      <c r="R26" s="292">
        <v>44.92</v>
      </c>
      <c r="S26" s="292">
        <v>231.28</v>
      </c>
      <c r="T26" s="292">
        <v>78.59</v>
      </c>
      <c r="U26" s="292">
        <v>90.66</v>
      </c>
      <c r="V26" s="292">
        <v>74.42</v>
      </c>
      <c r="W26" s="292">
        <v>99.05</v>
      </c>
      <c r="X26" s="292">
        <v>157.91</v>
      </c>
      <c r="Y26" s="292">
        <v>177.51</v>
      </c>
      <c r="Z26" s="292">
        <v>172.01</v>
      </c>
      <c r="AA26" s="292">
        <v>191.83</v>
      </c>
      <c r="AB26" s="292">
        <v>213.59</v>
      </c>
      <c r="AC26" s="292">
        <v>174.91</v>
      </c>
      <c r="AD26" s="292">
        <v>489.98</v>
      </c>
      <c r="AE26" s="292">
        <v>578.42999999999995</v>
      </c>
      <c r="AF26" s="292">
        <v>438.11</v>
      </c>
      <c r="AG26" s="292">
        <v>76.260000000000005</v>
      </c>
      <c r="AH26" s="292">
        <v>171.68</v>
      </c>
      <c r="AI26" s="292">
        <v>1206.78</v>
      </c>
      <c r="AJ26" s="292">
        <v>177.17</v>
      </c>
      <c r="AK26" s="292">
        <v>229.45</v>
      </c>
      <c r="AL26" s="292">
        <v>26.56</v>
      </c>
      <c r="AM26" s="292">
        <v>121.71</v>
      </c>
      <c r="AN26" s="292">
        <v>79.23</v>
      </c>
      <c r="AO26" s="292">
        <v>95.14</v>
      </c>
      <c r="AP26" s="292">
        <v>81.010000000000005</v>
      </c>
      <c r="AQ26" s="292">
        <v>345.51</v>
      </c>
      <c r="AR26" s="292">
        <v>68.89</v>
      </c>
      <c r="AS26" s="292">
        <v>527.17999999999995</v>
      </c>
      <c r="AT26" s="292">
        <v>176.61</v>
      </c>
      <c r="AU26" s="292">
        <v>511.15</v>
      </c>
      <c r="AV26" s="292">
        <v>54.83</v>
      </c>
      <c r="AW26" s="292">
        <v>202.73</v>
      </c>
      <c r="AX26" s="292">
        <v>376.78</v>
      </c>
      <c r="AY26" s="292">
        <v>487.58</v>
      </c>
    </row>
    <row r="27" spans="1:51" x14ac:dyDescent="0.45">
      <c r="A27" s="285">
        <v>26</v>
      </c>
      <c r="B27" s="286">
        <v>45650</v>
      </c>
      <c r="C27" s="292">
        <v>114.76</v>
      </c>
      <c r="D27" s="292">
        <v>180</v>
      </c>
      <c r="E27" s="292">
        <v>296.02</v>
      </c>
      <c r="F27" s="292">
        <v>197.57</v>
      </c>
      <c r="G27" s="292">
        <v>53.47</v>
      </c>
      <c r="H27" s="292">
        <v>258.2</v>
      </c>
      <c r="I27" s="292">
        <v>215.43</v>
      </c>
      <c r="J27" s="292">
        <v>3283.48</v>
      </c>
      <c r="K27" s="292">
        <v>129.69999999999999</v>
      </c>
      <c r="L27" s="292">
        <v>75.37</v>
      </c>
      <c r="M27" s="292">
        <v>112.87</v>
      </c>
      <c r="N27" s="292">
        <v>404.88</v>
      </c>
      <c r="O27" s="292">
        <v>403.67</v>
      </c>
      <c r="P27" s="292">
        <v>227.54</v>
      </c>
      <c r="Q27" s="292">
        <v>360.3</v>
      </c>
      <c r="R27" s="292">
        <v>44.25</v>
      </c>
      <c r="S27" s="292">
        <v>230.75</v>
      </c>
      <c r="T27" s="292">
        <v>78.28</v>
      </c>
      <c r="U27" s="292">
        <v>90.45</v>
      </c>
      <c r="V27" s="292">
        <v>75.11</v>
      </c>
      <c r="W27" s="292">
        <v>98.9</v>
      </c>
      <c r="X27" s="292">
        <v>157.72</v>
      </c>
      <c r="Y27" s="292">
        <v>177.05</v>
      </c>
      <c r="Z27" s="292">
        <v>171.57</v>
      </c>
      <c r="AA27" s="292">
        <v>192.46</v>
      </c>
      <c r="AB27" s="292">
        <v>213.32</v>
      </c>
      <c r="AC27" s="292">
        <v>176.26</v>
      </c>
      <c r="AD27" s="292">
        <v>488.13</v>
      </c>
      <c r="AE27" s="292">
        <v>579.13</v>
      </c>
      <c r="AF27" s="292">
        <v>439.33</v>
      </c>
      <c r="AG27" s="292">
        <v>76.709999999999994</v>
      </c>
      <c r="AH27" s="292">
        <v>171.41</v>
      </c>
      <c r="AI27" s="292">
        <v>1221.6500000000001</v>
      </c>
      <c r="AJ27" s="292">
        <v>176.13</v>
      </c>
      <c r="AK27" s="292">
        <v>228.82</v>
      </c>
      <c r="AL27" s="292">
        <v>26.74</v>
      </c>
      <c r="AM27" s="292">
        <v>122.91</v>
      </c>
      <c r="AN27" s="292">
        <v>78.75</v>
      </c>
      <c r="AO27" s="292">
        <v>95.03</v>
      </c>
      <c r="AP27" s="292">
        <v>80.819999999999993</v>
      </c>
      <c r="AQ27" s="292">
        <v>346.52</v>
      </c>
      <c r="AR27" s="292">
        <v>68.89</v>
      </c>
      <c r="AS27" s="292">
        <v>528.98</v>
      </c>
      <c r="AT27" s="292">
        <v>177.3</v>
      </c>
      <c r="AU27" s="292">
        <v>506.1</v>
      </c>
      <c r="AV27" s="292">
        <v>54.8</v>
      </c>
      <c r="AW27" s="292">
        <v>201.48</v>
      </c>
      <c r="AX27" s="292">
        <v>373.15</v>
      </c>
      <c r="AY27" s="292">
        <v>491.35</v>
      </c>
    </row>
    <row r="28" spans="1:51" x14ac:dyDescent="0.45">
      <c r="A28" s="285">
        <v>27</v>
      </c>
      <c r="B28" s="286">
        <v>45649</v>
      </c>
      <c r="C28" s="292">
        <v>114.31</v>
      </c>
      <c r="D28" s="292">
        <v>178.39</v>
      </c>
      <c r="E28" s="292">
        <v>293.55</v>
      </c>
      <c r="F28" s="292">
        <v>195.99</v>
      </c>
      <c r="G28" s="292">
        <v>53.58</v>
      </c>
      <c r="H28" s="292">
        <v>255.27</v>
      </c>
      <c r="I28" s="292">
        <v>211.4</v>
      </c>
      <c r="J28" s="292">
        <v>3242.23</v>
      </c>
      <c r="K28" s="292">
        <v>131.11000000000001</v>
      </c>
      <c r="L28" s="292">
        <v>74.83</v>
      </c>
      <c r="M28" s="292">
        <v>111.88</v>
      </c>
      <c r="N28" s="292">
        <v>405.02</v>
      </c>
      <c r="O28" s="292">
        <v>399.56</v>
      </c>
      <c r="P28" s="292">
        <v>227.64</v>
      </c>
      <c r="Q28" s="292">
        <v>357.36</v>
      </c>
      <c r="R28" s="292">
        <v>44.14</v>
      </c>
      <c r="S28" s="292">
        <v>229.16</v>
      </c>
      <c r="T28" s="292">
        <v>77.62</v>
      </c>
      <c r="U28" s="292">
        <v>89.42</v>
      </c>
      <c r="V28" s="292">
        <v>74.48</v>
      </c>
      <c r="W28" s="292">
        <v>97.85</v>
      </c>
      <c r="X28" s="292">
        <v>155.16999999999999</v>
      </c>
      <c r="Y28" s="292">
        <v>175.64</v>
      </c>
      <c r="Z28" s="292">
        <v>170.54</v>
      </c>
      <c r="AA28" s="292">
        <v>190.41</v>
      </c>
      <c r="AB28" s="292">
        <v>213.03</v>
      </c>
      <c r="AC28" s="292">
        <v>174.51</v>
      </c>
      <c r="AD28" s="292">
        <v>486.49</v>
      </c>
      <c r="AE28" s="292">
        <v>576.76</v>
      </c>
      <c r="AF28" s="292">
        <v>435.25</v>
      </c>
      <c r="AG28" s="292">
        <v>75.88</v>
      </c>
      <c r="AH28" s="292">
        <v>169.14</v>
      </c>
      <c r="AI28" s="292">
        <v>1207.26</v>
      </c>
      <c r="AJ28" s="292">
        <v>174.63</v>
      </c>
      <c r="AK28" s="292">
        <v>227.08</v>
      </c>
      <c r="AL28" s="292">
        <v>26.71</v>
      </c>
      <c r="AM28" s="292">
        <v>123.78</v>
      </c>
      <c r="AN28" s="292">
        <v>78.56</v>
      </c>
      <c r="AO28" s="292">
        <v>93.17</v>
      </c>
      <c r="AP28" s="292">
        <v>80.55</v>
      </c>
      <c r="AQ28" s="292">
        <v>344.84</v>
      </c>
      <c r="AR28" s="292">
        <v>68.56</v>
      </c>
      <c r="AS28" s="292">
        <v>525.29</v>
      </c>
      <c r="AT28" s="292">
        <v>176.33</v>
      </c>
      <c r="AU28" s="292">
        <v>506.34</v>
      </c>
      <c r="AV28" s="292">
        <v>54.43</v>
      </c>
      <c r="AW28" s="292">
        <v>199.96</v>
      </c>
      <c r="AX28" s="292">
        <v>369.76</v>
      </c>
      <c r="AY28" s="292">
        <v>487.94</v>
      </c>
    </row>
    <row r="29" spans="1:51" x14ac:dyDescent="0.45">
      <c r="A29" s="285">
        <v>28</v>
      </c>
      <c r="B29" s="286">
        <v>45646</v>
      </c>
      <c r="C29" s="292">
        <v>114.23</v>
      </c>
      <c r="D29" s="292">
        <v>175.58</v>
      </c>
      <c r="E29" s="292">
        <v>294.99</v>
      </c>
      <c r="F29" s="292">
        <v>192.96</v>
      </c>
      <c r="G29" s="292">
        <v>53.84</v>
      </c>
      <c r="H29" s="292">
        <v>254.49</v>
      </c>
      <c r="I29" s="292">
        <v>212.27</v>
      </c>
      <c r="J29" s="292">
        <v>3253.47</v>
      </c>
      <c r="K29" s="292">
        <v>131.19</v>
      </c>
      <c r="L29" s="292">
        <v>74.13</v>
      </c>
      <c r="M29" s="292">
        <v>113.28</v>
      </c>
      <c r="N29" s="292">
        <v>402.72</v>
      </c>
      <c r="O29" s="292">
        <v>403.16</v>
      </c>
      <c r="P29" s="292">
        <v>227.69</v>
      </c>
      <c r="Q29" s="292">
        <v>358.41</v>
      </c>
      <c r="R29" s="292">
        <v>44.36</v>
      </c>
      <c r="S29" s="292">
        <v>228.55</v>
      </c>
      <c r="T29" s="292">
        <v>77.290000000000006</v>
      </c>
      <c r="U29" s="292">
        <v>90.67</v>
      </c>
      <c r="V29" s="292">
        <v>74.819999999999993</v>
      </c>
      <c r="W29" s="292">
        <v>98.37</v>
      </c>
      <c r="X29" s="292">
        <v>154.52000000000001</v>
      </c>
      <c r="Y29" s="292">
        <v>176.74</v>
      </c>
      <c r="Z29" s="292">
        <v>170.23</v>
      </c>
      <c r="AA29" s="292">
        <v>190.45</v>
      </c>
      <c r="AB29" s="292">
        <v>213.55</v>
      </c>
      <c r="AC29" s="292">
        <v>172.64</v>
      </c>
      <c r="AD29" s="292">
        <v>489.02</v>
      </c>
      <c r="AE29" s="292">
        <v>579.74</v>
      </c>
      <c r="AF29" s="292">
        <v>436.6</v>
      </c>
      <c r="AG29" s="292">
        <v>76.77</v>
      </c>
      <c r="AH29" s="292">
        <v>169.66</v>
      </c>
      <c r="AI29" s="292">
        <v>1219.1099999999999</v>
      </c>
      <c r="AJ29" s="292">
        <v>175.07</v>
      </c>
      <c r="AK29" s="292">
        <v>227.98</v>
      </c>
      <c r="AL29" s="292">
        <v>26.36</v>
      </c>
      <c r="AM29" s="292">
        <v>124.22</v>
      </c>
      <c r="AN29" s="292">
        <v>78.72</v>
      </c>
      <c r="AO29" s="292">
        <v>93.34</v>
      </c>
      <c r="AP29" s="292">
        <v>81.61</v>
      </c>
      <c r="AQ29" s="292">
        <v>345.47</v>
      </c>
      <c r="AR29" s="292">
        <v>68.72</v>
      </c>
      <c r="AS29" s="292">
        <v>524.04999999999995</v>
      </c>
      <c r="AT29" s="292">
        <v>179.13</v>
      </c>
      <c r="AU29" s="292">
        <v>500.13</v>
      </c>
      <c r="AV29" s="292">
        <v>54.63</v>
      </c>
      <c r="AW29" s="292">
        <v>198.84</v>
      </c>
      <c r="AX29" s="292">
        <v>368.16</v>
      </c>
      <c r="AY29" s="292">
        <v>484.33</v>
      </c>
    </row>
    <row r="30" spans="1:51" x14ac:dyDescent="0.45">
      <c r="A30" s="285">
        <v>29</v>
      </c>
      <c r="B30" s="286">
        <v>45645</v>
      </c>
      <c r="C30" s="292">
        <v>112.42</v>
      </c>
      <c r="D30" s="292">
        <v>171.52</v>
      </c>
      <c r="E30" s="292">
        <v>293.17</v>
      </c>
      <c r="F30" s="292">
        <v>189.7</v>
      </c>
      <c r="G30" s="292">
        <v>52.99</v>
      </c>
      <c r="H30" s="292">
        <v>249.79</v>
      </c>
      <c r="I30" s="292">
        <v>208.44</v>
      </c>
      <c r="J30" s="292">
        <v>3215.29</v>
      </c>
      <c r="K30" s="292">
        <v>128.66</v>
      </c>
      <c r="L30" s="292">
        <v>75.56</v>
      </c>
      <c r="M30" s="292">
        <v>112.96</v>
      </c>
      <c r="N30" s="292">
        <v>399.93</v>
      </c>
      <c r="O30" s="292">
        <v>409.15</v>
      </c>
      <c r="P30" s="292">
        <v>226.27</v>
      </c>
      <c r="Q30" s="292">
        <v>358.9</v>
      </c>
      <c r="R30" s="292">
        <v>43.78</v>
      </c>
      <c r="S30" s="292">
        <v>226.16</v>
      </c>
      <c r="T30" s="292">
        <v>77.47</v>
      </c>
      <c r="U30" s="292">
        <v>90.92</v>
      </c>
      <c r="V30" s="292">
        <v>74.03</v>
      </c>
      <c r="W30" s="292">
        <v>98.72</v>
      </c>
      <c r="X30" s="292">
        <v>156.80000000000001</v>
      </c>
      <c r="Y30" s="292">
        <v>175.99</v>
      </c>
      <c r="Z30" s="292">
        <v>168.1</v>
      </c>
      <c r="AA30" s="292">
        <v>187.61</v>
      </c>
      <c r="AB30" s="292">
        <v>210.64</v>
      </c>
      <c r="AC30" s="292">
        <v>174.01</v>
      </c>
      <c r="AD30" s="292">
        <v>479.66</v>
      </c>
      <c r="AE30" s="292">
        <v>579.22</v>
      </c>
      <c r="AF30" s="292">
        <v>437.03</v>
      </c>
      <c r="AG30" s="292">
        <v>77.02</v>
      </c>
      <c r="AH30" s="292">
        <v>168.79</v>
      </c>
      <c r="AI30" s="292">
        <v>1214.3900000000001</v>
      </c>
      <c r="AJ30" s="292">
        <v>175.17</v>
      </c>
      <c r="AK30" s="292">
        <v>227.46</v>
      </c>
      <c r="AL30" s="292">
        <v>25.77</v>
      </c>
      <c r="AM30" s="292">
        <v>122.17</v>
      </c>
      <c r="AN30" s="292">
        <v>78.66</v>
      </c>
      <c r="AO30" s="292">
        <v>93.6</v>
      </c>
      <c r="AP30" s="292">
        <v>82.52</v>
      </c>
      <c r="AQ30" s="292">
        <v>342.38</v>
      </c>
      <c r="AR30" s="292">
        <v>68.44</v>
      </c>
      <c r="AS30" s="292">
        <v>516.69000000000005</v>
      </c>
      <c r="AT30" s="292">
        <v>177.27</v>
      </c>
      <c r="AU30" s="292">
        <v>489.25</v>
      </c>
      <c r="AV30" s="292">
        <v>54.45</v>
      </c>
      <c r="AW30" s="292">
        <v>193.44</v>
      </c>
      <c r="AX30" s="292">
        <v>360.63</v>
      </c>
      <c r="AY30" s="292">
        <v>485.59</v>
      </c>
    </row>
    <row r="31" spans="1:51" x14ac:dyDescent="0.45">
      <c r="A31" s="285">
        <v>30</v>
      </c>
      <c r="B31" s="286">
        <v>45644</v>
      </c>
      <c r="C31" s="292">
        <v>111.93</v>
      </c>
      <c r="D31" s="292">
        <v>173.02</v>
      </c>
      <c r="E31" s="292">
        <v>295.31</v>
      </c>
      <c r="F31" s="292">
        <v>190.15</v>
      </c>
      <c r="G31" s="292">
        <v>53.25</v>
      </c>
      <c r="H31" s="292">
        <v>248.05</v>
      </c>
      <c r="I31" s="292">
        <v>207.64</v>
      </c>
      <c r="J31" s="292">
        <v>3238.52</v>
      </c>
      <c r="K31" s="292">
        <v>133.37</v>
      </c>
      <c r="L31" s="292">
        <v>73.77</v>
      </c>
      <c r="M31" s="292">
        <v>113.72</v>
      </c>
      <c r="N31" s="292">
        <v>403.33</v>
      </c>
      <c r="O31" s="292">
        <v>406.16</v>
      </c>
      <c r="P31" s="292">
        <v>226.99</v>
      </c>
      <c r="Q31" s="292">
        <v>360.81</v>
      </c>
      <c r="R31" s="292">
        <v>45.28</v>
      </c>
      <c r="S31" s="292">
        <v>228.3</v>
      </c>
      <c r="T31" s="292">
        <v>77.17</v>
      </c>
      <c r="U31" s="292">
        <v>90.72</v>
      </c>
      <c r="V31" s="292">
        <v>74.650000000000006</v>
      </c>
      <c r="W31" s="292">
        <v>99.31</v>
      </c>
      <c r="X31" s="292">
        <v>155.21</v>
      </c>
      <c r="Y31" s="292">
        <v>176.5</v>
      </c>
      <c r="Z31" s="292">
        <v>170.29</v>
      </c>
      <c r="AA31" s="292">
        <v>194.44</v>
      </c>
      <c r="AB31" s="292">
        <v>213.42</v>
      </c>
      <c r="AC31" s="292">
        <v>174.79</v>
      </c>
      <c r="AD31" s="292">
        <v>482.94</v>
      </c>
      <c r="AE31" s="292">
        <v>570.98</v>
      </c>
      <c r="AF31" s="292">
        <v>437.39</v>
      </c>
      <c r="AG31" s="292">
        <v>78.31</v>
      </c>
      <c r="AH31" s="292">
        <v>165.41</v>
      </c>
      <c r="AI31" s="292">
        <v>1225.1400000000001</v>
      </c>
      <c r="AJ31" s="292">
        <v>175.81</v>
      </c>
      <c r="AK31" s="292">
        <v>229.22</v>
      </c>
      <c r="AL31" s="292">
        <v>25.89</v>
      </c>
      <c r="AM31" s="292">
        <v>124.55</v>
      </c>
      <c r="AN31" s="292">
        <v>78.790000000000006</v>
      </c>
      <c r="AO31" s="292">
        <v>92.6</v>
      </c>
      <c r="AP31" s="292">
        <v>82.24</v>
      </c>
      <c r="AQ31" s="292">
        <v>348.66</v>
      </c>
      <c r="AR31" s="292">
        <v>68.91</v>
      </c>
      <c r="AS31" s="292">
        <v>516.17999999999995</v>
      </c>
      <c r="AT31" s="292">
        <v>179.28</v>
      </c>
      <c r="AU31" s="292">
        <v>499.72</v>
      </c>
      <c r="AV31" s="292">
        <v>54.99</v>
      </c>
      <c r="AW31" s="292">
        <v>191.44</v>
      </c>
      <c r="AX31" s="292">
        <v>360.43</v>
      </c>
      <c r="AY31" s="292">
        <v>487.89</v>
      </c>
    </row>
    <row r="32" spans="1:51" x14ac:dyDescent="0.45">
      <c r="A32" s="285">
        <v>31</v>
      </c>
      <c r="B32" s="286">
        <v>45643</v>
      </c>
      <c r="C32" s="292">
        <v>113.29</v>
      </c>
      <c r="D32" s="292">
        <v>175.38</v>
      </c>
      <c r="E32" s="292">
        <v>304.70999999999998</v>
      </c>
      <c r="F32" s="292">
        <v>197.12</v>
      </c>
      <c r="G32" s="292">
        <v>54.13</v>
      </c>
      <c r="H32" s="292">
        <v>253.48</v>
      </c>
      <c r="I32" s="292">
        <v>213.12</v>
      </c>
      <c r="J32" s="292">
        <v>3319.11</v>
      </c>
      <c r="K32" s="292">
        <v>135.80000000000001</v>
      </c>
      <c r="L32" s="292">
        <v>75.930000000000007</v>
      </c>
      <c r="M32" s="292">
        <v>118.07</v>
      </c>
      <c r="N32" s="292">
        <v>415.14</v>
      </c>
      <c r="O32" s="292">
        <v>421.39</v>
      </c>
      <c r="P32" s="292">
        <v>227.64</v>
      </c>
      <c r="Q32" s="292">
        <v>379.74</v>
      </c>
      <c r="R32" s="292">
        <v>44.04</v>
      </c>
      <c r="S32" s="292">
        <v>233.53</v>
      </c>
      <c r="T32" s="292">
        <v>78.47</v>
      </c>
      <c r="U32" s="292">
        <v>93.78</v>
      </c>
      <c r="V32" s="292">
        <v>77.64</v>
      </c>
      <c r="W32" s="292">
        <v>103.99</v>
      </c>
      <c r="X32" s="292">
        <v>161.11000000000001</v>
      </c>
      <c r="Y32" s="292">
        <v>177.67</v>
      </c>
      <c r="Z32" s="292">
        <v>177.31</v>
      </c>
      <c r="AA32" s="292">
        <v>193.49</v>
      </c>
      <c r="AB32" s="292">
        <v>218.45</v>
      </c>
      <c r="AC32" s="292">
        <v>179.41</v>
      </c>
      <c r="AD32" s="292">
        <v>490.61</v>
      </c>
      <c r="AE32" s="292">
        <v>562.78</v>
      </c>
      <c r="AF32" s="292">
        <v>454.46</v>
      </c>
      <c r="AG32" s="292">
        <v>81.34</v>
      </c>
      <c r="AH32" s="292">
        <v>169.71</v>
      </c>
      <c r="AI32" s="292">
        <v>1246.08</v>
      </c>
      <c r="AJ32" s="292">
        <v>183.68</v>
      </c>
      <c r="AK32" s="292">
        <v>232.55</v>
      </c>
      <c r="AL32" s="292">
        <v>26.43</v>
      </c>
      <c r="AM32" s="292">
        <v>126.04</v>
      </c>
      <c r="AN32" s="292">
        <v>80.39</v>
      </c>
      <c r="AO32" s="292">
        <v>95.3</v>
      </c>
      <c r="AP32" s="292">
        <v>85.12</v>
      </c>
      <c r="AQ32" s="292">
        <v>362.79</v>
      </c>
      <c r="AR32" s="292">
        <v>70.81</v>
      </c>
      <c r="AS32" s="292">
        <v>528.84</v>
      </c>
      <c r="AT32" s="292">
        <v>186.29</v>
      </c>
      <c r="AU32" s="292">
        <v>485.52</v>
      </c>
      <c r="AV32" s="292">
        <v>56.35</v>
      </c>
      <c r="AW32" s="292">
        <v>195.21</v>
      </c>
      <c r="AX32" s="292">
        <v>373.72</v>
      </c>
      <c r="AY32" s="292">
        <v>508.47</v>
      </c>
    </row>
    <row r="33" spans="1:51" x14ac:dyDescent="0.45">
      <c r="A33" s="285">
        <v>32</v>
      </c>
      <c r="B33" s="286">
        <v>45642</v>
      </c>
      <c r="C33" s="292">
        <v>112.62</v>
      </c>
      <c r="D33" s="292">
        <v>171.63</v>
      </c>
      <c r="E33" s="292">
        <v>306.72000000000003</v>
      </c>
      <c r="F33" s="292">
        <v>198.16</v>
      </c>
      <c r="G33" s="292">
        <v>54.7</v>
      </c>
      <c r="H33" s="292">
        <v>251.04</v>
      </c>
      <c r="I33" s="292">
        <v>217.33</v>
      </c>
      <c r="J33" s="292">
        <v>3350.13</v>
      </c>
      <c r="K33" s="292">
        <v>135.56</v>
      </c>
      <c r="L33" s="292">
        <v>76.69</v>
      </c>
      <c r="M33" s="292">
        <v>121.86</v>
      </c>
      <c r="N33" s="292">
        <v>416.95</v>
      </c>
      <c r="O33" s="292">
        <v>424.51</v>
      </c>
      <c r="P33" s="292">
        <v>229.82</v>
      </c>
      <c r="Q33" s="292">
        <v>389.17</v>
      </c>
      <c r="R33" s="292">
        <v>46.6</v>
      </c>
      <c r="S33" s="292">
        <v>234.18</v>
      </c>
      <c r="T33" s="292">
        <v>77.91</v>
      </c>
      <c r="U33" s="292">
        <v>93.06</v>
      </c>
      <c r="V33" s="292">
        <v>78.14</v>
      </c>
      <c r="W33" s="292">
        <v>105.09</v>
      </c>
      <c r="X33" s="292">
        <v>162.69</v>
      </c>
      <c r="Y33" s="292">
        <v>178.08</v>
      </c>
      <c r="Z33" s="292">
        <v>178.09</v>
      </c>
      <c r="AA33" s="292">
        <v>198.27</v>
      </c>
      <c r="AB33" s="292">
        <v>222.04</v>
      </c>
      <c r="AC33" s="292">
        <v>183.61</v>
      </c>
      <c r="AD33" s="292">
        <v>491.65</v>
      </c>
      <c r="AE33" s="292">
        <v>570.07000000000005</v>
      </c>
      <c r="AF33" s="292">
        <v>451.59</v>
      </c>
      <c r="AG33" s="292">
        <v>82.49</v>
      </c>
      <c r="AH33" s="292">
        <v>171.23</v>
      </c>
      <c r="AI33" s="292">
        <v>1268.8599999999999</v>
      </c>
      <c r="AJ33" s="292">
        <v>184.84</v>
      </c>
      <c r="AK33" s="292">
        <v>237.09</v>
      </c>
      <c r="AL33" s="292">
        <v>25.25</v>
      </c>
      <c r="AM33" s="292">
        <v>125.94</v>
      </c>
      <c r="AN33" s="292">
        <v>81.99</v>
      </c>
      <c r="AO33" s="292">
        <v>97.51</v>
      </c>
      <c r="AP33" s="292">
        <v>85.56</v>
      </c>
      <c r="AQ33" s="292">
        <v>365.03</v>
      </c>
      <c r="AR33" s="292">
        <v>71.89</v>
      </c>
      <c r="AS33" s="292">
        <v>530.26</v>
      </c>
      <c r="AT33" s="292">
        <v>190.39</v>
      </c>
      <c r="AU33" s="292">
        <v>498.5</v>
      </c>
      <c r="AV33" s="292">
        <v>57.27</v>
      </c>
      <c r="AW33" s="292">
        <v>195.2</v>
      </c>
      <c r="AX33" s="292">
        <v>374.01</v>
      </c>
      <c r="AY33" s="292">
        <v>509.75</v>
      </c>
    </row>
    <row r="34" spans="1:51" x14ac:dyDescent="0.45">
      <c r="A34" s="285">
        <v>33</v>
      </c>
      <c r="B34" s="286">
        <v>45639</v>
      </c>
      <c r="C34" s="292">
        <v>113.38</v>
      </c>
      <c r="D34" s="292">
        <v>173.37</v>
      </c>
      <c r="E34" s="292">
        <v>312.3</v>
      </c>
      <c r="F34" s="292">
        <v>191.38</v>
      </c>
      <c r="G34" s="292">
        <v>54.92</v>
      </c>
      <c r="H34" s="292">
        <v>248.13</v>
      </c>
      <c r="I34" s="292">
        <v>217.83</v>
      </c>
      <c r="J34" s="292">
        <v>3370.27</v>
      </c>
      <c r="K34" s="292">
        <v>134.46</v>
      </c>
      <c r="L34" s="292">
        <v>75.599999999999994</v>
      </c>
      <c r="M34" s="292">
        <v>120.91</v>
      </c>
      <c r="N34" s="292">
        <v>409.91</v>
      </c>
      <c r="O34" s="292">
        <v>425.27</v>
      </c>
      <c r="P34" s="292">
        <v>232.24</v>
      </c>
      <c r="Q34" s="292">
        <v>388.68</v>
      </c>
      <c r="R34" s="292">
        <v>49.37</v>
      </c>
      <c r="S34" s="292">
        <v>234.89</v>
      </c>
      <c r="T34" s="292">
        <v>79.180000000000007</v>
      </c>
      <c r="U34" s="292">
        <v>93.16</v>
      </c>
      <c r="V34" s="292">
        <v>78.47</v>
      </c>
      <c r="W34" s="292">
        <v>105.11</v>
      </c>
      <c r="X34" s="292">
        <v>161.32</v>
      </c>
      <c r="Y34" s="292">
        <v>179.8</v>
      </c>
      <c r="Z34" s="292">
        <v>179.79</v>
      </c>
      <c r="AA34" s="292">
        <v>192.14</v>
      </c>
      <c r="AB34" s="292">
        <v>223.16</v>
      </c>
      <c r="AC34" s="292">
        <v>185.27</v>
      </c>
      <c r="AD34" s="292">
        <v>494.65</v>
      </c>
      <c r="AE34" s="292">
        <v>576.24</v>
      </c>
      <c r="AF34" s="292">
        <v>447.27</v>
      </c>
      <c r="AG34" s="292">
        <v>83.31</v>
      </c>
      <c r="AH34" s="292">
        <v>173.39</v>
      </c>
      <c r="AI34" s="292">
        <v>1270.5999999999999</v>
      </c>
      <c r="AJ34" s="292">
        <v>181.79</v>
      </c>
      <c r="AK34" s="292">
        <v>238.1</v>
      </c>
      <c r="AL34" s="292">
        <v>25.58</v>
      </c>
      <c r="AM34" s="292">
        <v>126.62</v>
      </c>
      <c r="AN34" s="292">
        <v>82.3</v>
      </c>
      <c r="AO34" s="292">
        <v>96.73</v>
      </c>
      <c r="AP34" s="292">
        <v>85.86</v>
      </c>
      <c r="AQ34" s="292">
        <v>364.5</v>
      </c>
      <c r="AR34" s="292">
        <v>72.489999999999995</v>
      </c>
      <c r="AS34" s="292">
        <v>526.89</v>
      </c>
      <c r="AT34" s="292">
        <v>190.05</v>
      </c>
      <c r="AU34" s="292">
        <v>520.48</v>
      </c>
      <c r="AV34" s="292">
        <v>56.48</v>
      </c>
      <c r="AW34" s="292">
        <v>197.4</v>
      </c>
      <c r="AX34" s="292">
        <v>378.26</v>
      </c>
      <c r="AY34" s="292">
        <v>509.72</v>
      </c>
    </row>
    <row r="35" spans="1:51" x14ac:dyDescent="0.45">
      <c r="A35" s="285">
        <v>34</v>
      </c>
      <c r="B35" s="286">
        <v>45638</v>
      </c>
      <c r="C35" s="292">
        <v>113.86</v>
      </c>
      <c r="D35" s="292">
        <v>173.19</v>
      </c>
      <c r="E35" s="292">
        <v>310.89</v>
      </c>
      <c r="F35" s="292">
        <v>193.63</v>
      </c>
      <c r="G35" s="292">
        <v>54.99</v>
      </c>
      <c r="H35" s="292">
        <v>247.96</v>
      </c>
      <c r="I35" s="292">
        <v>217.62</v>
      </c>
      <c r="J35" s="292">
        <v>3340.48</v>
      </c>
      <c r="K35" s="292">
        <v>135.6</v>
      </c>
      <c r="L35" s="292">
        <v>76.12</v>
      </c>
      <c r="M35" s="292">
        <v>122.65</v>
      </c>
      <c r="N35" s="292">
        <v>414</v>
      </c>
      <c r="O35" s="292">
        <v>425.7</v>
      </c>
      <c r="P35" s="292">
        <v>232.12</v>
      </c>
      <c r="Q35" s="292">
        <v>392.8</v>
      </c>
      <c r="R35" s="292">
        <v>49.58</v>
      </c>
      <c r="S35" s="292">
        <v>234.5</v>
      </c>
      <c r="T35" s="292">
        <v>80.25</v>
      </c>
      <c r="U35" s="292">
        <v>94.74</v>
      </c>
      <c r="V35" s="292">
        <v>79.040000000000006</v>
      </c>
      <c r="W35" s="292">
        <v>105.93</v>
      </c>
      <c r="X35" s="292">
        <v>162.32</v>
      </c>
      <c r="Y35" s="292">
        <v>180.55</v>
      </c>
      <c r="Z35" s="292">
        <v>181.15</v>
      </c>
      <c r="AA35" s="292">
        <v>190.85</v>
      </c>
      <c r="AB35" s="292">
        <v>224.35</v>
      </c>
      <c r="AC35" s="292">
        <v>187.19</v>
      </c>
      <c r="AD35" s="292">
        <v>496.58</v>
      </c>
      <c r="AE35" s="292">
        <v>579.29</v>
      </c>
      <c r="AF35" s="292">
        <v>449.56</v>
      </c>
      <c r="AG35" s="292">
        <v>83.12</v>
      </c>
      <c r="AH35" s="292">
        <v>175.32</v>
      </c>
      <c r="AI35" s="292">
        <v>1269.72</v>
      </c>
      <c r="AJ35" s="292">
        <v>187.75</v>
      </c>
      <c r="AK35" s="292">
        <v>239.09</v>
      </c>
      <c r="AL35" s="292">
        <v>25.37</v>
      </c>
      <c r="AM35" s="292">
        <v>127</v>
      </c>
      <c r="AN35" s="292">
        <v>83.58</v>
      </c>
      <c r="AO35" s="292">
        <v>96.51</v>
      </c>
      <c r="AP35" s="292">
        <v>86.23</v>
      </c>
      <c r="AQ35" s="292">
        <v>366.85</v>
      </c>
      <c r="AR35" s="292">
        <v>72.63</v>
      </c>
      <c r="AS35" s="292">
        <v>525</v>
      </c>
      <c r="AT35" s="292">
        <v>192.71</v>
      </c>
      <c r="AU35" s="292">
        <v>515.76</v>
      </c>
      <c r="AV35" s="292">
        <v>56.42</v>
      </c>
      <c r="AW35" s="292">
        <v>199.1</v>
      </c>
      <c r="AX35" s="292">
        <v>383.03</v>
      </c>
      <c r="AY35" s="292">
        <v>511.46</v>
      </c>
    </row>
    <row r="36" spans="1:51" x14ac:dyDescent="0.45">
      <c r="A36" s="285">
        <v>35</v>
      </c>
      <c r="B36" s="286">
        <v>45637</v>
      </c>
      <c r="C36" s="292">
        <v>114.14</v>
      </c>
      <c r="D36" s="292">
        <v>174.37</v>
      </c>
      <c r="E36" s="292">
        <v>312.36</v>
      </c>
      <c r="F36" s="292">
        <v>196.71</v>
      </c>
      <c r="G36" s="292">
        <v>54.69</v>
      </c>
      <c r="H36" s="292">
        <v>246.49</v>
      </c>
      <c r="I36" s="292">
        <v>216.93</v>
      </c>
      <c r="J36" s="292">
        <v>3342.72</v>
      </c>
      <c r="K36" s="292">
        <v>134.99</v>
      </c>
      <c r="L36" s="292">
        <v>75.81</v>
      </c>
      <c r="M36" s="292">
        <v>122.84</v>
      </c>
      <c r="N36" s="292">
        <v>430</v>
      </c>
      <c r="O36" s="292">
        <v>427.81</v>
      </c>
      <c r="P36" s="292">
        <v>231.89</v>
      </c>
      <c r="Q36" s="292">
        <v>400.34</v>
      </c>
      <c r="R36" s="292">
        <v>51.76</v>
      </c>
      <c r="S36" s="292">
        <v>235.4</v>
      </c>
      <c r="T36" s="292">
        <v>79.91</v>
      </c>
      <c r="U36" s="292">
        <v>95.43</v>
      </c>
      <c r="V36" s="292">
        <v>79.260000000000005</v>
      </c>
      <c r="W36" s="292">
        <v>107.36</v>
      </c>
      <c r="X36" s="292">
        <v>164.67</v>
      </c>
      <c r="Y36" s="292">
        <v>178.85</v>
      </c>
      <c r="Z36" s="292">
        <v>182.01</v>
      </c>
      <c r="AA36" s="292">
        <v>191.52</v>
      </c>
      <c r="AB36" s="292">
        <v>228.87</v>
      </c>
      <c r="AC36" s="292">
        <v>188.35</v>
      </c>
      <c r="AD36" s="292">
        <v>504.24</v>
      </c>
      <c r="AE36" s="292">
        <v>576.69000000000005</v>
      </c>
      <c r="AF36" s="292">
        <v>448.99</v>
      </c>
      <c r="AG36" s="292">
        <v>83.89</v>
      </c>
      <c r="AH36" s="292">
        <v>178.58</v>
      </c>
      <c r="AI36" s="292">
        <v>1269.01</v>
      </c>
      <c r="AJ36" s="292">
        <v>186.99</v>
      </c>
      <c r="AK36" s="292">
        <v>238.64</v>
      </c>
      <c r="AL36" s="292">
        <v>25.23</v>
      </c>
      <c r="AM36" s="292">
        <v>126.82</v>
      </c>
      <c r="AN36" s="292">
        <v>83.55</v>
      </c>
      <c r="AO36" s="292">
        <v>96.14</v>
      </c>
      <c r="AP36" s="292">
        <v>85.95</v>
      </c>
      <c r="AQ36" s="292">
        <v>371.94</v>
      </c>
      <c r="AR36" s="292">
        <v>72.88</v>
      </c>
      <c r="AS36" s="292">
        <v>534.36</v>
      </c>
      <c r="AT36" s="292">
        <v>196.13</v>
      </c>
      <c r="AU36" s="292">
        <v>533.53</v>
      </c>
      <c r="AV36" s="292">
        <v>56.29</v>
      </c>
      <c r="AW36" s="292">
        <v>200</v>
      </c>
      <c r="AX36" s="292">
        <v>385.27</v>
      </c>
      <c r="AY36" s="292">
        <v>514.1</v>
      </c>
    </row>
    <row r="37" spans="1:51" x14ac:dyDescent="0.45">
      <c r="A37" s="285">
        <v>36</v>
      </c>
      <c r="B37" s="286">
        <v>45636</v>
      </c>
      <c r="C37" s="292">
        <v>115.5</v>
      </c>
      <c r="D37" s="292">
        <v>175.67</v>
      </c>
      <c r="E37" s="292">
        <v>315.20999999999998</v>
      </c>
      <c r="F37" s="292">
        <v>186.53</v>
      </c>
      <c r="G37" s="292">
        <v>55.49</v>
      </c>
      <c r="H37" s="292">
        <v>247.77</v>
      </c>
      <c r="I37" s="292">
        <v>216.31</v>
      </c>
      <c r="J37" s="292">
        <v>3347.16</v>
      </c>
      <c r="K37" s="292">
        <v>141.78</v>
      </c>
      <c r="L37" s="292">
        <v>75.97</v>
      </c>
      <c r="M37" s="292">
        <v>122.1</v>
      </c>
      <c r="N37" s="292">
        <v>444.49</v>
      </c>
      <c r="O37" s="292">
        <v>416.86</v>
      </c>
      <c r="P37" s="292">
        <v>237.01</v>
      </c>
      <c r="Q37" s="292">
        <v>400.95</v>
      </c>
      <c r="R37" s="292">
        <v>55.15</v>
      </c>
      <c r="S37" s="292">
        <v>234.34</v>
      </c>
      <c r="T37" s="292">
        <v>79.39</v>
      </c>
      <c r="U37" s="292">
        <v>96.81</v>
      </c>
      <c r="V37" s="292">
        <v>79.77</v>
      </c>
      <c r="W37" s="292">
        <v>107.785</v>
      </c>
      <c r="X37" s="292">
        <v>165.55</v>
      </c>
      <c r="Y37" s="292">
        <v>177.27</v>
      </c>
      <c r="Z37" s="292">
        <v>182.28</v>
      </c>
      <c r="AA37" s="292">
        <v>190.98</v>
      </c>
      <c r="AB37" s="292">
        <v>230.68</v>
      </c>
      <c r="AC37" s="292">
        <v>188.09</v>
      </c>
      <c r="AD37" s="292">
        <v>512.94000000000005</v>
      </c>
      <c r="AE37" s="292">
        <v>583.96</v>
      </c>
      <c r="AF37" s="292">
        <v>443.33</v>
      </c>
      <c r="AG37" s="292">
        <v>84.3</v>
      </c>
      <c r="AH37" s="292">
        <v>177.74</v>
      </c>
      <c r="AI37" s="292">
        <v>1266.3499999999999</v>
      </c>
      <c r="AJ37" s="292">
        <v>184</v>
      </c>
      <c r="AK37" s="292">
        <v>238.23</v>
      </c>
      <c r="AL37" s="292">
        <v>25.57</v>
      </c>
      <c r="AM37" s="292">
        <v>128.97999999999999</v>
      </c>
      <c r="AN37" s="292">
        <v>84.23</v>
      </c>
      <c r="AO37" s="292">
        <v>96.23</v>
      </c>
      <c r="AP37" s="292">
        <v>85.73</v>
      </c>
      <c r="AQ37" s="292">
        <v>371.6</v>
      </c>
      <c r="AR37" s="292">
        <v>72.98</v>
      </c>
      <c r="AS37" s="292">
        <v>535.85</v>
      </c>
      <c r="AT37" s="292">
        <v>194.48</v>
      </c>
      <c r="AU37" s="292">
        <v>565.19000000000005</v>
      </c>
      <c r="AV37" s="292">
        <v>56.75</v>
      </c>
      <c r="AW37" s="292">
        <v>200.53</v>
      </c>
      <c r="AX37" s="292">
        <v>390.35</v>
      </c>
      <c r="AY37" s="292">
        <v>517.47</v>
      </c>
    </row>
    <row r="38" spans="1:51" x14ac:dyDescent="0.45">
      <c r="A38" s="285">
        <v>37</v>
      </c>
      <c r="B38" s="286">
        <v>45635</v>
      </c>
      <c r="C38" s="292">
        <v>114.9</v>
      </c>
      <c r="D38" s="292">
        <v>176.57</v>
      </c>
      <c r="E38" s="292">
        <v>316.62</v>
      </c>
      <c r="F38" s="292">
        <v>177.1</v>
      </c>
      <c r="G38" s="292">
        <v>55.86</v>
      </c>
      <c r="H38" s="292">
        <v>246.75</v>
      </c>
      <c r="I38" s="292">
        <v>218.63</v>
      </c>
      <c r="J38" s="292">
        <v>3324.01</v>
      </c>
      <c r="K38" s="292">
        <v>140.80000000000001</v>
      </c>
      <c r="L38" s="292">
        <v>75.55</v>
      </c>
      <c r="M38" s="292">
        <v>122.2</v>
      </c>
      <c r="N38" s="292">
        <v>437.19</v>
      </c>
      <c r="O38" s="292">
        <v>418.11</v>
      </c>
      <c r="P38" s="292">
        <v>240.51</v>
      </c>
      <c r="Q38" s="292">
        <v>398.41</v>
      </c>
      <c r="R38" s="292">
        <v>56.07</v>
      </c>
      <c r="S38" s="292">
        <v>235.91</v>
      </c>
      <c r="T38" s="292">
        <v>79.400000000000006</v>
      </c>
      <c r="U38" s="292">
        <v>96.22</v>
      </c>
      <c r="V38" s="292">
        <v>80.319999999999993</v>
      </c>
      <c r="W38" s="292">
        <v>107.43</v>
      </c>
      <c r="X38" s="292">
        <v>163.22999999999999</v>
      </c>
      <c r="Y38" s="292">
        <v>174.8</v>
      </c>
      <c r="Z38" s="292">
        <v>182.38</v>
      </c>
      <c r="AA38" s="292">
        <v>193.25</v>
      </c>
      <c r="AB38" s="292">
        <v>229.76</v>
      </c>
      <c r="AC38" s="292">
        <v>185.49</v>
      </c>
      <c r="AD38" s="292">
        <v>510.01</v>
      </c>
      <c r="AE38" s="292">
        <v>591.9</v>
      </c>
      <c r="AF38" s="292">
        <v>446.02</v>
      </c>
      <c r="AG38" s="292">
        <v>83.99</v>
      </c>
      <c r="AH38" s="292">
        <v>190.45</v>
      </c>
      <c r="AI38" s="292">
        <v>1254.9000000000001</v>
      </c>
      <c r="AJ38" s="292">
        <v>183</v>
      </c>
      <c r="AK38" s="292">
        <v>239.63</v>
      </c>
      <c r="AL38" s="292">
        <v>26.1</v>
      </c>
      <c r="AM38" s="292">
        <v>128.71</v>
      </c>
      <c r="AN38" s="292">
        <v>83.28</v>
      </c>
      <c r="AO38" s="292">
        <v>97.41</v>
      </c>
      <c r="AP38" s="292">
        <v>86.39</v>
      </c>
      <c r="AQ38" s="292">
        <v>376.45</v>
      </c>
      <c r="AR38" s="292">
        <v>73.89</v>
      </c>
      <c r="AS38" s="292">
        <v>537.23</v>
      </c>
      <c r="AT38" s="292">
        <v>194.7</v>
      </c>
      <c r="AU38" s="292">
        <v>560.62</v>
      </c>
      <c r="AV38" s="292">
        <v>56.54</v>
      </c>
      <c r="AW38" s="292">
        <v>200.46</v>
      </c>
      <c r="AX38" s="292">
        <v>392.01</v>
      </c>
      <c r="AY38" s="292">
        <v>522.37</v>
      </c>
    </row>
    <row r="39" spans="1:51" x14ac:dyDescent="0.45">
      <c r="A39" s="285">
        <v>38</v>
      </c>
      <c r="B39" s="286">
        <v>45632</v>
      </c>
      <c r="C39" s="292">
        <v>115.6</v>
      </c>
      <c r="D39" s="292">
        <v>176.19</v>
      </c>
      <c r="E39" s="292">
        <v>320.11</v>
      </c>
      <c r="F39" s="292">
        <v>176.49</v>
      </c>
      <c r="G39" s="292">
        <v>57.32</v>
      </c>
      <c r="H39" s="292">
        <v>242.84</v>
      </c>
      <c r="I39" s="292">
        <v>224.22</v>
      </c>
      <c r="J39" s="292">
        <v>3309.44</v>
      </c>
      <c r="K39" s="292">
        <v>145.74</v>
      </c>
      <c r="L39" s="292">
        <v>74.099999999999994</v>
      </c>
      <c r="M39" s="292">
        <v>126.01</v>
      </c>
      <c r="N39" s="292">
        <v>454.52</v>
      </c>
      <c r="O39" s="292">
        <v>422.27</v>
      </c>
      <c r="P39" s="292">
        <v>243.41</v>
      </c>
      <c r="Q39" s="292">
        <v>415.77</v>
      </c>
      <c r="R39" s="292">
        <v>55.29</v>
      </c>
      <c r="S39" s="292">
        <v>230.12</v>
      </c>
      <c r="T39" s="292">
        <v>79.150000000000006</v>
      </c>
      <c r="U39" s="292">
        <v>95.6</v>
      </c>
      <c r="V39" s="292">
        <v>81.05</v>
      </c>
      <c r="W39" s="292">
        <v>106.57</v>
      </c>
      <c r="X39" s="292">
        <v>160.83000000000001</v>
      </c>
      <c r="Y39" s="292">
        <v>173.01</v>
      </c>
      <c r="Z39" s="292">
        <v>180.99</v>
      </c>
      <c r="AA39" s="292">
        <v>187.95</v>
      </c>
      <c r="AB39" s="292">
        <v>234.64</v>
      </c>
      <c r="AC39" s="292">
        <v>181.29</v>
      </c>
      <c r="AD39" s="292">
        <v>513.03</v>
      </c>
      <c r="AE39" s="292">
        <v>603.53</v>
      </c>
      <c r="AF39" s="292">
        <v>443.57</v>
      </c>
      <c r="AG39" s="292">
        <v>83.13</v>
      </c>
      <c r="AH39" s="292">
        <v>191.69</v>
      </c>
      <c r="AI39" s="292">
        <v>1257.78</v>
      </c>
      <c r="AJ39" s="292">
        <v>181.34</v>
      </c>
      <c r="AK39" s="292">
        <v>242.86</v>
      </c>
      <c r="AL39" s="292">
        <v>25.73</v>
      </c>
      <c r="AM39" s="292">
        <v>130.56</v>
      </c>
      <c r="AN39" s="292">
        <v>84.33</v>
      </c>
      <c r="AO39" s="292">
        <v>98.73</v>
      </c>
      <c r="AP39" s="292">
        <v>86.55</v>
      </c>
      <c r="AQ39" s="292">
        <v>384.96</v>
      </c>
      <c r="AR39" s="292">
        <v>72.61</v>
      </c>
      <c r="AS39" s="292">
        <v>529.36</v>
      </c>
      <c r="AT39" s="292">
        <v>196.49</v>
      </c>
      <c r="AU39" s="292">
        <v>549.62</v>
      </c>
      <c r="AV39" s="292">
        <v>56.36</v>
      </c>
      <c r="AW39" s="292">
        <v>191.14</v>
      </c>
      <c r="AX39" s="292">
        <v>384.05</v>
      </c>
      <c r="AY39" s="292">
        <v>526.80999999999995</v>
      </c>
    </row>
    <row r="40" spans="1:51" x14ac:dyDescent="0.45">
      <c r="A40" s="285">
        <v>39</v>
      </c>
      <c r="B40" s="286">
        <v>45631</v>
      </c>
      <c r="C40" s="292">
        <v>115.59</v>
      </c>
      <c r="D40" s="292">
        <v>176.17</v>
      </c>
      <c r="E40" s="292">
        <v>321.97000000000003</v>
      </c>
      <c r="F40" s="292">
        <v>174.31</v>
      </c>
      <c r="G40" s="292">
        <v>56.91</v>
      </c>
      <c r="H40" s="292">
        <v>243.04</v>
      </c>
      <c r="I40" s="292">
        <v>225.37</v>
      </c>
      <c r="J40" s="292">
        <v>3190.07</v>
      </c>
      <c r="K40" s="292">
        <v>142.69999999999999</v>
      </c>
      <c r="L40" s="292">
        <v>75.17</v>
      </c>
      <c r="M40" s="292">
        <v>127.97</v>
      </c>
      <c r="N40" s="292">
        <v>456.15</v>
      </c>
      <c r="O40" s="292">
        <v>420.07</v>
      </c>
      <c r="P40" s="292">
        <v>244.31</v>
      </c>
      <c r="Q40" s="292">
        <v>409.94</v>
      </c>
      <c r="R40" s="292">
        <v>56.86</v>
      </c>
      <c r="S40" s="292">
        <v>227.87</v>
      </c>
      <c r="T40" s="292">
        <v>79.319999999999993</v>
      </c>
      <c r="U40" s="292">
        <v>96.12</v>
      </c>
      <c r="V40" s="292">
        <v>81.760000000000005</v>
      </c>
      <c r="W40" s="292">
        <v>106.97</v>
      </c>
      <c r="X40" s="292">
        <v>159.24</v>
      </c>
      <c r="Y40" s="292">
        <v>173.61</v>
      </c>
      <c r="Z40" s="292">
        <v>181.85</v>
      </c>
      <c r="AA40" s="292">
        <v>188.88</v>
      </c>
      <c r="AB40" s="292">
        <v>238.14</v>
      </c>
      <c r="AC40" s="292">
        <v>184.51</v>
      </c>
      <c r="AD40" s="292">
        <v>517.48</v>
      </c>
      <c r="AE40" s="292">
        <v>607.52</v>
      </c>
      <c r="AF40" s="292">
        <v>442.62</v>
      </c>
      <c r="AG40" s="292">
        <v>83.35</v>
      </c>
      <c r="AH40" s="292">
        <v>186.24</v>
      </c>
      <c r="AI40" s="292">
        <v>1234.81</v>
      </c>
      <c r="AJ40" s="292">
        <v>180.02</v>
      </c>
      <c r="AK40" s="292">
        <v>244.34</v>
      </c>
      <c r="AL40" s="292">
        <v>25.7</v>
      </c>
      <c r="AM40" s="292">
        <v>132.49</v>
      </c>
      <c r="AN40" s="292">
        <v>85.68</v>
      </c>
      <c r="AO40" s="292">
        <v>99.2</v>
      </c>
      <c r="AP40" s="292">
        <v>87.01</v>
      </c>
      <c r="AQ40" s="292">
        <v>385.24</v>
      </c>
      <c r="AR40" s="292">
        <v>72.319999999999993</v>
      </c>
      <c r="AS40" s="292">
        <v>520.86</v>
      </c>
      <c r="AT40" s="292">
        <v>196.38</v>
      </c>
      <c r="AU40" s="292">
        <v>578.97</v>
      </c>
      <c r="AV40" s="292">
        <v>56.86</v>
      </c>
      <c r="AW40" s="292">
        <v>188.96</v>
      </c>
      <c r="AX40" s="292">
        <v>381.33</v>
      </c>
      <c r="AY40" s="292">
        <v>523.70000000000005</v>
      </c>
    </row>
    <row r="41" spans="1:51" x14ac:dyDescent="0.45">
      <c r="A41" s="285">
        <v>40</v>
      </c>
      <c r="B41" s="286">
        <v>45630</v>
      </c>
      <c r="C41" s="292">
        <v>115.97</v>
      </c>
      <c r="D41" s="292">
        <v>176.46</v>
      </c>
      <c r="E41" s="292">
        <v>327.48</v>
      </c>
      <c r="F41" s="292">
        <v>176.09</v>
      </c>
      <c r="G41" s="292">
        <v>56.45</v>
      </c>
      <c r="H41" s="292">
        <v>243.01</v>
      </c>
      <c r="I41" s="292">
        <v>224.38</v>
      </c>
      <c r="J41" s="292">
        <v>3189.98</v>
      </c>
      <c r="K41" s="292">
        <v>144.47</v>
      </c>
      <c r="L41" s="292">
        <v>76.08</v>
      </c>
      <c r="M41" s="292">
        <v>130.5</v>
      </c>
      <c r="N41" s="292">
        <v>454</v>
      </c>
      <c r="O41" s="292">
        <v>415.77</v>
      </c>
      <c r="P41" s="292">
        <v>248.34</v>
      </c>
      <c r="Q41" s="292">
        <v>415.2</v>
      </c>
      <c r="R41" s="292">
        <v>58.05</v>
      </c>
      <c r="S41" s="292">
        <v>236.26</v>
      </c>
      <c r="T41" s="292">
        <v>80.47</v>
      </c>
      <c r="U41" s="292">
        <v>98.17</v>
      </c>
      <c r="V41" s="292">
        <v>82.16</v>
      </c>
      <c r="W41" s="292">
        <v>107.89</v>
      </c>
      <c r="X41" s="292">
        <v>161.55000000000001</v>
      </c>
      <c r="Y41" s="292">
        <v>172.36</v>
      </c>
      <c r="Z41" s="292">
        <v>185.13</v>
      </c>
      <c r="AA41" s="292">
        <v>192.9</v>
      </c>
      <c r="AB41" s="292">
        <v>240.48</v>
      </c>
      <c r="AC41" s="292">
        <v>187.30500000000001</v>
      </c>
      <c r="AD41" s="292">
        <v>517.5</v>
      </c>
      <c r="AE41" s="292">
        <v>611.99</v>
      </c>
      <c r="AF41" s="292">
        <v>437.42</v>
      </c>
      <c r="AG41" s="292">
        <v>83.67</v>
      </c>
      <c r="AH41" s="292">
        <v>188.19</v>
      </c>
      <c r="AI41" s="292">
        <v>1242.92</v>
      </c>
      <c r="AJ41" s="292">
        <v>180.56</v>
      </c>
      <c r="AK41" s="292">
        <v>243.99</v>
      </c>
      <c r="AL41" s="292">
        <v>25.23</v>
      </c>
      <c r="AM41" s="292">
        <v>130.47999999999999</v>
      </c>
      <c r="AN41" s="292">
        <v>85.82</v>
      </c>
      <c r="AO41" s="292">
        <v>99.89</v>
      </c>
      <c r="AP41" s="292">
        <v>87.7</v>
      </c>
      <c r="AQ41" s="292">
        <v>392.07</v>
      </c>
      <c r="AR41" s="292">
        <v>73.599999999999994</v>
      </c>
      <c r="AS41" s="292">
        <v>528.87</v>
      </c>
      <c r="AT41" s="292">
        <v>200.32</v>
      </c>
      <c r="AU41" s="292">
        <v>610.79</v>
      </c>
      <c r="AV41" s="292">
        <v>56.32</v>
      </c>
      <c r="AW41" s="292">
        <v>187</v>
      </c>
      <c r="AX41" s="292">
        <v>391.35</v>
      </c>
      <c r="AY41" s="292">
        <v>537.5</v>
      </c>
    </row>
    <row r="42" spans="1:51" x14ac:dyDescent="0.45">
      <c r="A42" s="285">
        <v>41</v>
      </c>
      <c r="B42" s="286">
        <v>45629</v>
      </c>
      <c r="C42" s="292">
        <v>116.29</v>
      </c>
      <c r="D42" s="292">
        <v>181.5</v>
      </c>
      <c r="E42" s="292">
        <v>330.64</v>
      </c>
      <c r="F42" s="292">
        <v>173.02</v>
      </c>
      <c r="G42" s="292">
        <v>56.9</v>
      </c>
      <c r="H42" s="292">
        <v>242.65</v>
      </c>
      <c r="I42" s="292">
        <v>227.34</v>
      </c>
      <c r="J42" s="292">
        <v>3189.5</v>
      </c>
      <c r="K42" s="292">
        <v>146.04</v>
      </c>
      <c r="L42" s="292">
        <v>74.64</v>
      </c>
      <c r="M42" s="292">
        <v>129.19999999999999</v>
      </c>
      <c r="N42" s="292">
        <v>453.9</v>
      </c>
      <c r="O42" s="292">
        <v>417.52</v>
      </c>
      <c r="P42" s="292">
        <v>250.05</v>
      </c>
      <c r="Q42" s="292">
        <v>419.39</v>
      </c>
      <c r="R42" s="292">
        <v>59.19</v>
      </c>
      <c r="S42" s="292">
        <v>240.87</v>
      </c>
      <c r="T42" s="292">
        <v>79.63</v>
      </c>
      <c r="U42" s="292">
        <v>98.07</v>
      </c>
      <c r="V42" s="292">
        <v>82.81</v>
      </c>
      <c r="W42" s="292">
        <v>107.6</v>
      </c>
      <c r="X42" s="292">
        <v>162.44</v>
      </c>
      <c r="Y42" s="292">
        <v>175.33</v>
      </c>
      <c r="Z42" s="292">
        <v>185.01</v>
      </c>
      <c r="AA42" s="292">
        <v>191.87</v>
      </c>
      <c r="AB42" s="292">
        <v>239.86</v>
      </c>
      <c r="AC42" s="292">
        <v>184.23</v>
      </c>
      <c r="AD42" s="292">
        <v>517</v>
      </c>
      <c r="AE42" s="292">
        <v>617.95000000000005</v>
      </c>
      <c r="AF42" s="292">
        <v>431.2</v>
      </c>
      <c r="AG42" s="292">
        <v>84.76</v>
      </c>
      <c r="AH42" s="292">
        <v>182.89</v>
      </c>
      <c r="AI42" s="292">
        <v>1247.99</v>
      </c>
      <c r="AJ42" s="292">
        <v>180.09</v>
      </c>
      <c r="AK42" s="292">
        <v>244.05</v>
      </c>
      <c r="AL42" s="292">
        <v>25.56</v>
      </c>
      <c r="AM42" s="292">
        <v>129.69</v>
      </c>
      <c r="AN42" s="292">
        <v>84.72</v>
      </c>
      <c r="AO42" s="292">
        <v>99.48</v>
      </c>
      <c r="AP42" s="292">
        <v>87.95</v>
      </c>
      <c r="AQ42" s="292">
        <v>395.32</v>
      </c>
      <c r="AR42" s="292">
        <v>74.02</v>
      </c>
      <c r="AS42" s="292">
        <v>534.41999999999996</v>
      </c>
      <c r="AT42" s="292">
        <v>199.59</v>
      </c>
      <c r="AU42" s="292">
        <v>605.23</v>
      </c>
      <c r="AV42" s="292">
        <v>55.94</v>
      </c>
      <c r="AW42" s="292">
        <v>187.99</v>
      </c>
      <c r="AX42" s="292">
        <v>387</v>
      </c>
      <c r="AY42" s="292">
        <v>542.99</v>
      </c>
    </row>
    <row r="43" spans="1:51" x14ac:dyDescent="0.45">
      <c r="A43" s="285">
        <v>42</v>
      </c>
      <c r="B43" s="286">
        <v>45628</v>
      </c>
      <c r="C43" s="292">
        <v>116.81</v>
      </c>
      <c r="D43" s="292">
        <v>181.77</v>
      </c>
      <c r="E43" s="292">
        <v>335.62</v>
      </c>
      <c r="F43" s="292">
        <v>172.98</v>
      </c>
      <c r="G43" s="292">
        <v>57.18</v>
      </c>
      <c r="H43" s="292">
        <v>239.59</v>
      </c>
      <c r="I43" s="292">
        <v>225.73</v>
      </c>
      <c r="J43" s="292">
        <v>3179.52</v>
      </c>
      <c r="K43" s="292">
        <v>148.72</v>
      </c>
      <c r="L43" s="292">
        <v>75.430000000000007</v>
      </c>
      <c r="M43" s="292">
        <v>129.13</v>
      </c>
      <c r="N43" s="292">
        <v>459.69</v>
      </c>
      <c r="O43" s="292">
        <v>421.08</v>
      </c>
      <c r="P43" s="292">
        <v>249.87</v>
      </c>
      <c r="Q43" s="292">
        <v>416.41</v>
      </c>
      <c r="R43" s="292">
        <v>59.08</v>
      </c>
      <c r="S43" s="292">
        <v>241.29</v>
      </c>
      <c r="T43" s="292">
        <v>80.47</v>
      </c>
      <c r="U43" s="292">
        <v>98.66</v>
      </c>
      <c r="V43" s="292">
        <v>82.67</v>
      </c>
      <c r="W43" s="292">
        <v>108.36</v>
      </c>
      <c r="X43" s="292">
        <v>164.4</v>
      </c>
      <c r="Y43" s="292">
        <v>175.66</v>
      </c>
      <c r="Z43" s="292">
        <v>189.24</v>
      </c>
      <c r="AA43" s="292">
        <v>194.84</v>
      </c>
      <c r="AB43" s="292">
        <v>242.82</v>
      </c>
      <c r="AC43" s="292">
        <v>187.2</v>
      </c>
      <c r="AD43" s="292">
        <v>520.34</v>
      </c>
      <c r="AE43" s="292">
        <v>621.29</v>
      </c>
      <c r="AF43" s="292">
        <v>430.98</v>
      </c>
      <c r="AG43" s="292">
        <v>85.01</v>
      </c>
      <c r="AH43" s="292">
        <v>181.41</v>
      </c>
      <c r="AI43" s="292">
        <v>1246.82</v>
      </c>
      <c r="AJ43" s="292">
        <v>179.71</v>
      </c>
      <c r="AK43" s="292">
        <v>244.8</v>
      </c>
      <c r="AL43" s="292">
        <v>25.82</v>
      </c>
      <c r="AM43" s="292">
        <v>131.02000000000001</v>
      </c>
      <c r="AN43" s="292">
        <v>84.99</v>
      </c>
      <c r="AO43" s="292">
        <v>100.58</v>
      </c>
      <c r="AP43" s="292">
        <v>88.14</v>
      </c>
      <c r="AQ43" s="292">
        <v>395.58</v>
      </c>
      <c r="AR43" s="292">
        <v>74.650000000000006</v>
      </c>
      <c r="AS43" s="292">
        <v>529.95000000000005</v>
      </c>
      <c r="AT43" s="292">
        <v>201.17</v>
      </c>
      <c r="AU43" s="292">
        <v>608.52</v>
      </c>
      <c r="AV43" s="292">
        <v>57.18</v>
      </c>
      <c r="AW43" s="292">
        <v>192.49</v>
      </c>
      <c r="AX43" s="292">
        <v>387.1</v>
      </c>
      <c r="AY43" s="292">
        <v>543.16999999999996</v>
      </c>
    </row>
    <row r="44" spans="1:51" x14ac:dyDescent="0.45">
      <c r="A44" s="285">
        <v>43</v>
      </c>
      <c r="B44" s="286">
        <v>45625</v>
      </c>
      <c r="C44" s="292">
        <v>118.77</v>
      </c>
      <c r="D44" s="292">
        <v>182.93</v>
      </c>
      <c r="E44" s="292">
        <v>334.33</v>
      </c>
      <c r="F44" s="292">
        <v>170.49</v>
      </c>
      <c r="G44" s="292">
        <v>57.74</v>
      </c>
      <c r="H44" s="292">
        <v>237.33</v>
      </c>
      <c r="I44" s="292">
        <v>227.1</v>
      </c>
      <c r="J44" s="292">
        <v>3169.54</v>
      </c>
      <c r="K44" s="292">
        <v>148.18</v>
      </c>
      <c r="L44" s="292">
        <v>74.89</v>
      </c>
      <c r="M44" s="292">
        <v>130.85</v>
      </c>
      <c r="N44" s="292">
        <v>459.88</v>
      </c>
      <c r="O44" s="292">
        <v>420.89</v>
      </c>
      <c r="P44" s="292">
        <v>251.55</v>
      </c>
      <c r="Q44" s="292">
        <v>422.39</v>
      </c>
      <c r="R44" s="292">
        <v>59.85</v>
      </c>
      <c r="S44" s="292">
        <v>239.69</v>
      </c>
      <c r="T44" s="292">
        <v>78.319999999999993</v>
      </c>
      <c r="U44" s="292">
        <v>98.71</v>
      </c>
      <c r="V44" s="292">
        <v>83.56</v>
      </c>
      <c r="W44" s="292">
        <v>108.3</v>
      </c>
      <c r="X44" s="292">
        <v>164.16</v>
      </c>
      <c r="Y44" s="292">
        <v>176.18</v>
      </c>
      <c r="Z44" s="292">
        <v>189.11</v>
      </c>
      <c r="AA44" s="292">
        <v>197.92</v>
      </c>
      <c r="AB44" s="292">
        <v>246.25</v>
      </c>
      <c r="AC44" s="292">
        <v>185.92</v>
      </c>
      <c r="AD44" s="292">
        <v>529.41</v>
      </c>
      <c r="AE44" s="292">
        <v>628.5</v>
      </c>
      <c r="AF44" s="292">
        <v>423.46</v>
      </c>
      <c r="AG44" s="292">
        <v>85.88</v>
      </c>
      <c r="AH44" s="292">
        <v>184.84</v>
      </c>
      <c r="AI44" s="292">
        <v>1243.22</v>
      </c>
      <c r="AJ44" s="292">
        <v>177.4</v>
      </c>
      <c r="AK44" s="292">
        <v>248.85</v>
      </c>
      <c r="AL44" s="292">
        <v>26.21</v>
      </c>
      <c r="AM44" s="292">
        <v>133.06</v>
      </c>
      <c r="AN44" s="292">
        <v>84.77</v>
      </c>
      <c r="AO44" s="292">
        <v>102.09</v>
      </c>
      <c r="AP44" s="292">
        <v>88.59</v>
      </c>
      <c r="AQ44" s="292">
        <v>397.4</v>
      </c>
      <c r="AR44" s="292">
        <v>74.489999999999995</v>
      </c>
      <c r="AS44" s="292">
        <v>529.63</v>
      </c>
      <c r="AT44" s="292">
        <v>200.87</v>
      </c>
      <c r="AU44" s="292">
        <v>610.20000000000005</v>
      </c>
      <c r="AV44" s="292">
        <v>57.12</v>
      </c>
      <c r="AW44" s="292">
        <v>187.18</v>
      </c>
      <c r="AX44" s="292">
        <v>384.72</v>
      </c>
      <c r="AY44" s="292">
        <v>551.6</v>
      </c>
    </row>
    <row r="45" spans="1:51" x14ac:dyDescent="0.45">
      <c r="A45" s="285">
        <v>44</v>
      </c>
      <c r="B45" s="286">
        <v>45623</v>
      </c>
      <c r="C45" s="292">
        <v>118.95</v>
      </c>
      <c r="D45" s="292">
        <v>183.08</v>
      </c>
      <c r="E45" s="292">
        <v>333.22</v>
      </c>
      <c r="F45" s="292">
        <v>170.82</v>
      </c>
      <c r="G45" s="292">
        <v>57.65</v>
      </c>
      <c r="H45" s="292">
        <v>234.93</v>
      </c>
      <c r="I45" s="292">
        <v>227.05</v>
      </c>
      <c r="J45" s="292">
        <v>3190.1</v>
      </c>
      <c r="K45" s="292">
        <v>147.35</v>
      </c>
      <c r="L45" s="292">
        <v>75.02</v>
      </c>
      <c r="M45" s="292">
        <v>130.44999999999999</v>
      </c>
      <c r="N45" s="292">
        <v>460.29</v>
      </c>
      <c r="O45" s="292">
        <v>420.98</v>
      </c>
      <c r="P45" s="292">
        <v>249.69</v>
      </c>
      <c r="Q45" s="292">
        <v>417.23</v>
      </c>
      <c r="R45" s="292">
        <v>59.96</v>
      </c>
      <c r="S45" s="292">
        <v>238.83</v>
      </c>
      <c r="T45" s="292">
        <v>78.2</v>
      </c>
      <c r="U45" s="292">
        <v>98.61</v>
      </c>
      <c r="V45" s="292">
        <v>83.71</v>
      </c>
      <c r="W45" s="292">
        <v>107.17</v>
      </c>
      <c r="X45" s="292">
        <v>163.69999999999999</v>
      </c>
      <c r="Y45" s="292">
        <v>173.96</v>
      </c>
      <c r="Z45" s="292">
        <v>190.31</v>
      </c>
      <c r="AA45" s="292">
        <v>199.37</v>
      </c>
      <c r="AB45" s="292">
        <v>245.33</v>
      </c>
      <c r="AC45" s="292">
        <v>186.3</v>
      </c>
      <c r="AD45" s="292">
        <v>525.75</v>
      </c>
      <c r="AE45" s="292">
        <v>626.38</v>
      </c>
      <c r="AF45" s="292">
        <v>422.99</v>
      </c>
      <c r="AG45" s="292">
        <v>85.24</v>
      </c>
      <c r="AH45" s="292">
        <v>182.7</v>
      </c>
      <c r="AI45" s="292">
        <v>1244.01</v>
      </c>
      <c r="AJ45" s="292">
        <v>174.51</v>
      </c>
      <c r="AK45" s="292">
        <v>247.03</v>
      </c>
      <c r="AL45" s="292">
        <v>25.83</v>
      </c>
      <c r="AM45" s="292">
        <v>131.82</v>
      </c>
      <c r="AN45" s="292">
        <v>84.17</v>
      </c>
      <c r="AO45" s="292">
        <v>101.995</v>
      </c>
      <c r="AP45" s="292">
        <v>88.6</v>
      </c>
      <c r="AQ45" s="292">
        <v>393.96</v>
      </c>
      <c r="AR45" s="292">
        <v>74.099999999999994</v>
      </c>
      <c r="AS45" s="292">
        <v>521.66</v>
      </c>
      <c r="AT45" s="292">
        <v>202.84</v>
      </c>
      <c r="AU45" s="292">
        <v>608.38</v>
      </c>
      <c r="AV45" s="292">
        <v>56.64</v>
      </c>
      <c r="AW45" s="292">
        <v>191.63</v>
      </c>
      <c r="AX45" s="292">
        <v>386.57</v>
      </c>
      <c r="AY45" s="292">
        <v>554.66999999999996</v>
      </c>
    </row>
    <row r="46" spans="1:51" x14ac:dyDescent="0.45">
      <c r="A46" s="285">
        <v>45</v>
      </c>
      <c r="B46" s="286">
        <v>45622</v>
      </c>
      <c r="C46" s="292">
        <v>117.96</v>
      </c>
      <c r="D46" s="292">
        <v>181.14</v>
      </c>
      <c r="E46" s="292">
        <v>334.78</v>
      </c>
      <c r="F46" s="292">
        <v>170.62</v>
      </c>
      <c r="G46" s="292">
        <v>57.59</v>
      </c>
      <c r="H46" s="292">
        <v>235.06</v>
      </c>
      <c r="I46" s="292">
        <v>228.68</v>
      </c>
      <c r="J46" s="292">
        <v>3144.21</v>
      </c>
      <c r="K46" s="292">
        <v>148.63</v>
      </c>
      <c r="L46" s="292">
        <v>74.98</v>
      </c>
      <c r="M46" s="292">
        <v>132.36000000000001</v>
      </c>
      <c r="N46" s="292">
        <v>472.47</v>
      </c>
      <c r="O46" s="292">
        <v>426.49</v>
      </c>
      <c r="P46" s="292">
        <v>248.45</v>
      </c>
      <c r="Q46" s="292">
        <v>423.58</v>
      </c>
      <c r="R46" s="292">
        <v>59.01</v>
      </c>
      <c r="S46" s="292">
        <v>236.58</v>
      </c>
      <c r="T46" s="292">
        <v>80.33</v>
      </c>
      <c r="U46" s="292">
        <v>98.99</v>
      </c>
      <c r="V46" s="292">
        <v>84.1</v>
      </c>
      <c r="W46" s="292">
        <v>108.04</v>
      </c>
      <c r="X46" s="292">
        <v>163.61000000000001</v>
      </c>
      <c r="Y46" s="292">
        <v>173.1</v>
      </c>
      <c r="Z46" s="292">
        <v>190.86</v>
      </c>
      <c r="AA46" s="292">
        <v>197.98</v>
      </c>
      <c r="AB46" s="292">
        <v>245.58</v>
      </c>
      <c r="AC46" s="292">
        <v>187.74</v>
      </c>
      <c r="AD46" s="292">
        <v>521.45000000000005</v>
      </c>
      <c r="AE46" s="292">
        <v>625</v>
      </c>
      <c r="AF46" s="292">
        <v>427.99</v>
      </c>
      <c r="AG46" s="292">
        <v>85.64</v>
      </c>
      <c r="AH46" s="292">
        <v>190.37</v>
      </c>
      <c r="AI46" s="292">
        <v>1244.22</v>
      </c>
      <c r="AJ46" s="292">
        <v>170.5</v>
      </c>
      <c r="AK46" s="292">
        <v>248.03</v>
      </c>
      <c r="AL46" s="292">
        <v>25.77</v>
      </c>
      <c r="AM46" s="292">
        <v>132.28</v>
      </c>
      <c r="AN46" s="292">
        <v>83.18</v>
      </c>
      <c r="AO46" s="292">
        <v>99.8</v>
      </c>
      <c r="AP46" s="292">
        <v>88.29</v>
      </c>
      <c r="AQ46" s="292">
        <v>396.14</v>
      </c>
      <c r="AR46" s="292">
        <v>73.900000000000006</v>
      </c>
      <c r="AS46" s="292">
        <v>512.98</v>
      </c>
      <c r="AT46" s="292">
        <v>206.22</v>
      </c>
      <c r="AU46" s="292">
        <v>606.79</v>
      </c>
      <c r="AV46" s="292">
        <v>56.59</v>
      </c>
      <c r="AW46" s="292">
        <v>185.16</v>
      </c>
      <c r="AX46" s="292">
        <v>388.15</v>
      </c>
      <c r="AY46" s="292">
        <v>550.5</v>
      </c>
    </row>
    <row r="47" spans="1:51" x14ac:dyDescent="0.45">
      <c r="A47" s="285">
        <v>46</v>
      </c>
      <c r="B47" s="286">
        <v>45621</v>
      </c>
      <c r="C47" s="292">
        <v>118.13</v>
      </c>
      <c r="D47" s="292">
        <v>177.06</v>
      </c>
      <c r="E47" s="292">
        <v>333.97</v>
      </c>
      <c r="F47" s="292">
        <v>169.43</v>
      </c>
      <c r="G47" s="292">
        <v>56.75</v>
      </c>
      <c r="H47" s="292">
        <v>232.87</v>
      </c>
      <c r="I47" s="292">
        <v>227.44</v>
      </c>
      <c r="J47" s="292">
        <v>3109.56</v>
      </c>
      <c r="K47" s="292">
        <v>147.46</v>
      </c>
      <c r="L47" s="292">
        <v>75.5</v>
      </c>
      <c r="M47" s="292">
        <v>130.38999999999999</v>
      </c>
      <c r="N47" s="292">
        <v>464.35</v>
      </c>
      <c r="O47" s="292">
        <v>426.69</v>
      </c>
      <c r="P47" s="292">
        <v>244.23</v>
      </c>
      <c r="Q47" s="292">
        <v>432.01</v>
      </c>
      <c r="R47" s="292">
        <v>60.08</v>
      </c>
      <c r="S47" s="292">
        <v>237.68</v>
      </c>
      <c r="T47" s="292">
        <v>80.3</v>
      </c>
      <c r="U47" s="292">
        <v>100.3</v>
      </c>
      <c r="V47" s="292">
        <v>83.75</v>
      </c>
      <c r="W47" s="292">
        <v>110.4</v>
      </c>
      <c r="X47" s="292">
        <v>165.82</v>
      </c>
      <c r="Y47" s="292">
        <v>172.39</v>
      </c>
      <c r="Z47" s="292">
        <v>188.35</v>
      </c>
      <c r="AA47" s="292">
        <v>198.88</v>
      </c>
      <c r="AB47" s="292">
        <v>240.6</v>
      </c>
      <c r="AC47" s="292">
        <v>185.16</v>
      </c>
      <c r="AD47" s="292">
        <v>521.89</v>
      </c>
      <c r="AE47" s="292">
        <v>616.73</v>
      </c>
      <c r="AF47" s="292">
        <v>418.79</v>
      </c>
      <c r="AG47" s="292">
        <v>87.02</v>
      </c>
      <c r="AH47" s="292">
        <v>187.99</v>
      </c>
      <c r="AI47" s="292">
        <v>1238.76</v>
      </c>
      <c r="AJ47" s="292">
        <v>168.99</v>
      </c>
      <c r="AK47" s="292">
        <v>247.28</v>
      </c>
      <c r="AL47" s="292">
        <v>26.17</v>
      </c>
      <c r="AM47" s="292">
        <v>130.71</v>
      </c>
      <c r="AN47" s="292">
        <v>84.65</v>
      </c>
      <c r="AO47" s="292">
        <v>98.65</v>
      </c>
      <c r="AP47" s="292">
        <v>88.58</v>
      </c>
      <c r="AQ47" s="292">
        <v>399.71</v>
      </c>
      <c r="AR47" s="292">
        <v>75.430000000000007</v>
      </c>
      <c r="AS47" s="292">
        <v>514.20000000000005</v>
      </c>
      <c r="AT47" s="292">
        <v>204.58</v>
      </c>
      <c r="AU47" s="292">
        <v>605.83000000000004</v>
      </c>
      <c r="AV47" s="292">
        <v>57.99</v>
      </c>
      <c r="AW47" s="292">
        <v>181.91</v>
      </c>
      <c r="AX47" s="292">
        <v>378.16</v>
      </c>
      <c r="AY47" s="292">
        <v>568.78</v>
      </c>
    </row>
    <row r="48" spans="1:51" x14ac:dyDescent="0.45">
      <c r="A48" s="285">
        <v>47</v>
      </c>
      <c r="B48" s="286">
        <v>45618</v>
      </c>
      <c r="C48" s="292">
        <v>117.76</v>
      </c>
      <c r="D48" s="292">
        <v>176.95</v>
      </c>
      <c r="E48" s="292">
        <v>331.83</v>
      </c>
      <c r="F48" s="292">
        <v>166.57</v>
      </c>
      <c r="G48" s="292">
        <v>56.73</v>
      </c>
      <c r="H48" s="292">
        <v>229.87</v>
      </c>
      <c r="I48" s="292">
        <v>226.15</v>
      </c>
      <c r="J48" s="292">
        <v>3099.38</v>
      </c>
      <c r="K48" s="292">
        <v>149.22</v>
      </c>
      <c r="L48" s="292">
        <v>72.78</v>
      </c>
      <c r="M48" s="292">
        <v>132.88999999999999</v>
      </c>
      <c r="N48" s="292">
        <v>468.78</v>
      </c>
      <c r="O48" s="292">
        <v>427.88</v>
      </c>
      <c r="P48" s="292">
        <v>245.02</v>
      </c>
      <c r="Q48" s="292">
        <v>426.66</v>
      </c>
      <c r="R48" s="292">
        <v>58.01</v>
      </c>
      <c r="S48" s="292">
        <v>235.84</v>
      </c>
      <c r="T48" s="292">
        <v>80.55</v>
      </c>
      <c r="U48" s="292">
        <v>98.04</v>
      </c>
      <c r="V48" s="292">
        <v>83.08</v>
      </c>
      <c r="W48" s="292">
        <v>109.06</v>
      </c>
      <c r="X48" s="292">
        <v>161.59</v>
      </c>
      <c r="Y48" s="292">
        <v>172.5</v>
      </c>
      <c r="Z48" s="292">
        <v>182.4</v>
      </c>
      <c r="AA48" s="292">
        <v>198.95</v>
      </c>
      <c r="AB48" s="292">
        <v>248.16</v>
      </c>
      <c r="AC48" s="292">
        <v>180.83</v>
      </c>
      <c r="AD48" s="292">
        <v>542.22</v>
      </c>
      <c r="AE48" s="292">
        <v>623.19000000000005</v>
      </c>
      <c r="AF48" s="292">
        <v>417</v>
      </c>
      <c r="AG48" s="292">
        <v>85.41</v>
      </c>
      <c r="AH48" s="292">
        <v>192.29</v>
      </c>
      <c r="AI48" s="292">
        <v>1227.3699999999999</v>
      </c>
      <c r="AJ48" s="292">
        <v>164.91</v>
      </c>
      <c r="AK48" s="292">
        <v>246.39</v>
      </c>
      <c r="AL48" s="292">
        <v>25.65</v>
      </c>
      <c r="AM48" s="292">
        <v>129.99</v>
      </c>
      <c r="AN48" s="292">
        <v>84.85</v>
      </c>
      <c r="AO48" s="292">
        <v>97.82</v>
      </c>
      <c r="AP48" s="292">
        <v>87.24</v>
      </c>
      <c r="AQ48" s="292">
        <v>388.3</v>
      </c>
      <c r="AR48" s="292">
        <v>73.44</v>
      </c>
      <c r="AS48" s="292">
        <v>513.26</v>
      </c>
      <c r="AT48" s="292">
        <v>200.23</v>
      </c>
      <c r="AU48" s="292">
        <v>590.87</v>
      </c>
      <c r="AV48" s="292">
        <v>57.09</v>
      </c>
      <c r="AW48" s="292">
        <v>180.77</v>
      </c>
      <c r="AX48" s="292">
        <v>373.47</v>
      </c>
      <c r="AY48" s="292">
        <v>554.79</v>
      </c>
    </row>
    <row r="49" spans="1:51" x14ac:dyDescent="0.45">
      <c r="A49" s="285">
        <v>48</v>
      </c>
      <c r="B49" s="286">
        <v>45617</v>
      </c>
      <c r="C49" s="292">
        <v>117.26</v>
      </c>
      <c r="D49" s="292">
        <v>171.73</v>
      </c>
      <c r="E49" s="292">
        <v>328.88</v>
      </c>
      <c r="F49" s="292">
        <v>169.24</v>
      </c>
      <c r="G49" s="292">
        <v>56.03</v>
      </c>
      <c r="H49" s="292">
        <v>228.52</v>
      </c>
      <c r="I49" s="292">
        <v>225.22</v>
      </c>
      <c r="J49" s="292">
        <v>3068.69</v>
      </c>
      <c r="K49" s="292">
        <v>149.88</v>
      </c>
      <c r="L49" s="292">
        <v>71.150000000000006</v>
      </c>
      <c r="M49" s="292">
        <v>133.28</v>
      </c>
      <c r="N49" s="292">
        <v>475.48</v>
      </c>
      <c r="O49" s="292">
        <v>416.4</v>
      </c>
      <c r="P49" s="292">
        <v>245.69</v>
      </c>
      <c r="Q49" s="292">
        <v>415.66</v>
      </c>
      <c r="R49" s="292">
        <v>57.1</v>
      </c>
      <c r="S49" s="292">
        <v>235.05</v>
      </c>
      <c r="T49" s="292">
        <v>80.25</v>
      </c>
      <c r="U49" s="292">
        <v>95.87</v>
      </c>
      <c r="V49" s="292">
        <v>82.36</v>
      </c>
      <c r="W49" s="292">
        <v>106.64</v>
      </c>
      <c r="X49" s="292">
        <v>158.9</v>
      </c>
      <c r="Y49" s="292">
        <v>172.5</v>
      </c>
      <c r="Z49" s="292">
        <v>181.57</v>
      </c>
      <c r="AA49" s="292">
        <v>195.3</v>
      </c>
      <c r="AB49" s="292">
        <v>246.6</v>
      </c>
      <c r="AC49" s="292">
        <v>179.45</v>
      </c>
      <c r="AD49" s="292">
        <v>542.01</v>
      </c>
      <c r="AE49" s="292">
        <v>628.27</v>
      </c>
      <c r="AF49" s="292">
        <v>412.87</v>
      </c>
      <c r="AG49" s="292">
        <v>84.13</v>
      </c>
      <c r="AH49" s="292">
        <v>192.43</v>
      </c>
      <c r="AI49" s="292">
        <v>1204.74</v>
      </c>
      <c r="AJ49" s="292">
        <v>165.33</v>
      </c>
      <c r="AK49" s="292">
        <v>245.3</v>
      </c>
      <c r="AL49" s="292">
        <v>25.13</v>
      </c>
      <c r="AM49" s="292">
        <v>131.21</v>
      </c>
      <c r="AN49" s="292">
        <v>84.14</v>
      </c>
      <c r="AO49" s="292">
        <v>96.38</v>
      </c>
      <c r="AP49" s="292">
        <v>86.13</v>
      </c>
      <c r="AQ49" s="292">
        <v>383.32</v>
      </c>
      <c r="AR49" s="292">
        <v>72.97</v>
      </c>
      <c r="AS49" s="292">
        <v>516.1</v>
      </c>
      <c r="AT49" s="292">
        <v>196.07</v>
      </c>
      <c r="AU49" s="292">
        <v>597.49</v>
      </c>
      <c r="AV49" s="292">
        <v>55.68</v>
      </c>
      <c r="AW49" s="292">
        <v>184.9</v>
      </c>
      <c r="AX49" s="292">
        <v>368.5</v>
      </c>
      <c r="AY49" s="292">
        <v>546.24</v>
      </c>
    </row>
    <row r="50" spans="1:51" x14ac:dyDescent="0.45">
      <c r="A50" s="285">
        <v>49</v>
      </c>
      <c r="B50" s="286">
        <v>45616</v>
      </c>
      <c r="C50" s="292">
        <v>115.93</v>
      </c>
      <c r="D50" s="292">
        <v>167.76</v>
      </c>
      <c r="E50" s="292">
        <v>327.85</v>
      </c>
      <c r="F50" s="292">
        <v>177.33</v>
      </c>
      <c r="G50" s="292">
        <v>55.98</v>
      </c>
      <c r="H50" s="292">
        <v>229</v>
      </c>
      <c r="I50" s="292">
        <v>220.85</v>
      </c>
      <c r="J50" s="292">
        <v>3049.58</v>
      </c>
      <c r="K50" s="292">
        <v>144.19</v>
      </c>
      <c r="L50" s="292">
        <v>70.75</v>
      </c>
      <c r="M50" s="292">
        <v>129.76</v>
      </c>
      <c r="N50" s="292">
        <v>454.9</v>
      </c>
      <c r="O50" s="292">
        <v>413.95</v>
      </c>
      <c r="P50" s="292">
        <v>243.2</v>
      </c>
      <c r="Q50" s="292">
        <v>412.03</v>
      </c>
      <c r="R50" s="292">
        <v>56.83</v>
      </c>
      <c r="S50" s="292">
        <v>233.1</v>
      </c>
      <c r="T50" s="292">
        <v>81.98</v>
      </c>
      <c r="U50" s="292">
        <v>95.05</v>
      </c>
      <c r="V50" s="292">
        <v>81.819999999999993</v>
      </c>
      <c r="W50" s="292">
        <v>104.83</v>
      </c>
      <c r="X50" s="292">
        <v>154.28</v>
      </c>
      <c r="Y50" s="292">
        <v>171.12</v>
      </c>
      <c r="Z50" s="292">
        <v>181.58</v>
      </c>
      <c r="AA50" s="292">
        <v>190.25</v>
      </c>
      <c r="AB50" s="292">
        <v>244.36</v>
      </c>
      <c r="AC50" s="292">
        <v>179.38</v>
      </c>
      <c r="AD50" s="292">
        <v>534.73</v>
      </c>
      <c r="AE50" s="292">
        <v>621.14</v>
      </c>
      <c r="AF50" s="292">
        <v>415.49</v>
      </c>
      <c r="AG50" s="292">
        <v>81.34</v>
      </c>
      <c r="AH50" s="292">
        <v>190.75</v>
      </c>
      <c r="AI50" s="292">
        <v>1188.8699999999999</v>
      </c>
      <c r="AJ50" s="292">
        <v>159.19</v>
      </c>
      <c r="AK50" s="292">
        <v>244.1</v>
      </c>
      <c r="AL50" s="292">
        <v>24.94</v>
      </c>
      <c r="AM50" s="292">
        <v>130.38999999999999</v>
      </c>
      <c r="AN50" s="292">
        <v>82.67</v>
      </c>
      <c r="AO50" s="292">
        <v>95.98</v>
      </c>
      <c r="AP50" s="292">
        <v>85.42</v>
      </c>
      <c r="AQ50" s="292">
        <v>371.66</v>
      </c>
      <c r="AR50" s="292">
        <v>71.75</v>
      </c>
      <c r="AS50" s="292">
        <v>512.84</v>
      </c>
      <c r="AT50" s="292">
        <v>191.63</v>
      </c>
      <c r="AU50" s="292">
        <v>600.5</v>
      </c>
      <c r="AV50" s="292">
        <v>54.89</v>
      </c>
      <c r="AW50" s="292">
        <v>181.41</v>
      </c>
      <c r="AX50" s="292">
        <v>357.77</v>
      </c>
      <c r="AY50" s="292">
        <v>533.4</v>
      </c>
    </row>
    <row r="51" spans="1:51" x14ac:dyDescent="0.45">
      <c r="A51" s="285">
        <v>50</v>
      </c>
      <c r="B51" s="286">
        <v>45615</v>
      </c>
      <c r="C51" s="292">
        <v>117.13</v>
      </c>
      <c r="D51" s="292">
        <v>166.57</v>
      </c>
      <c r="E51" s="292">
        <v>328</v>
      </c>
      <c r="F51" s="292">
        <v>179.58</v>
      </c>
      <c r="G51" s="292">
        <v>55.86</v>
      </c>
      <c r="H51" s="292">
        <v>228.28</v>
      </c>
      <c r="I51" s="292">
        <v>219.17</v>
      </c>
      <c r="J51" s="292">
        <v>3106.91</v>
      </c>
      <c r="K51" s="292">
        <v>137.91999999999999</v>
      </c>
      <c r="L51" s="292">
        <v>69.64</v>
      </c>
      <c r="M51" s="292">
        <v>130.33000000000001</v>
      </c>
      <c r="N51" s="292">
        <v>444.62</v>
      </c>
      <c r="O51" s="292">
        <v>411.67</v>
      </c>
      <c r="P51" s="292">
        <v>240.98</v>
      </c>
      <c r="Q51" s="292">
        <v>416.48</v>
      </c>
      <c r="R51" s="292">
        <v>55.77</v>
      </c>
      <c r="S51" s="292">
        <v>230.84</v>
      </c>
      <c r="T51" s="292">
        <v>70.91</v>
      </c>
      <c r="U51" s="292">
        <v>94.87</v>
      </c>
      <c r="V51" s="292">
        <v>81.59</v>
      </c>
      <c r="W51" s="292">
        <v>105.34</v>
      </c>
      <c r="X51" s="292">
        <v>152.43</v>
      </c>
      <c r="Y51" s="292">
        <v>171.63</v>
      </c>
      <c r="Z51" s="292">
        <v>180.18</v>
      </c>
      <c r="AA51" s="292">
        <v>191.61</v>
      </c>
      <c r="AB51" s="292">
        <v>243.58</v>
      </c>
      <c r="AC51" s="292">
        <v>180.41</v>
      </c>
      <c r="AD51" s="292">
        <v>533.26</v>
      </c>
      <c r="AE51" s="292">
        <v>615.65</v>
      </c>
      <c r="AF51" s="292">
        <v>417.79</v>
      </c>
      <c r="AG51" s="292">
        <v>80.63</v>
      </c>
      <c r="AH51" s="292">
        <v>188.9</v>
      </c>
      <c r="AI51" s="292">
        <v>1200.5899999999999</v>
      </c>
      <c r="AJ51" s="292">
        <v>153.79</v>
      </c>
      <c r="AK51" s="292">
        <v>238.31</v>
      </c>
      <c r="AL51" s="292">
        <v>25.1</v>
      </c>
      <c r="AM51" s="292">
        <v>129.54</v>
      </c>
      <c r="AN51" s="292">
        <v>82.46</v>
      </c>
      <c r="AO51" s="292">
        <v>97.09</v>
      </c>
      <c r="AP51" s="292">
        <v>85.94</v>
      </c>
      <c r="AQ51" s="292">
        <v>373.5</v>
      </c>
      <c r="AR51" s="292">
        <v>71.41</v>
      </c>
      <c r="AS51" s="292">
        <v>509.12</v>
      </c>
      <c r="AT51" s="292">
        <v>192.83</v>
      </c>
      <c r="AU51" s="292">
        <v>577</v>
      </c>
      <c r="AV51" s="292">
        <v>54.91</v>
      </c>
      <c r="AW51" s="292">
        <v>178.25</v>
      </c>
      <c r="AX51" s="292">
        <v>344.71</v>
      </c>
      <c r="AY51" s="292">
        <v>533.14</v>
      </c>
    </row>
    <row r="52" spans="1:51" x14ac:dyDescent="0.45">
      <c r="A52" s="285">
        <v>51</v>
      </c>
      <c r="B52" s="286">
        <v>45614</v>
      </c>
      <c r="C52" s="292">
        <v>117.36</v>
      </c>
      <c r="D52" s="292">
        <v>166.28</v>
      </c>
      <c r="E52" s="292">
        <v>327.89</v>
      </c>
      <c r="F52" s="292">
        <v>176.8</v>
      </c>
      <c r="G52" s="292">
        <v>56.34</v>
      </c>
      <c r="H52" s="292">
        <v>228.02</v>
      </c>
      <c r="I52" s="292">
        <v>221.6</v>
      </c>
      <c r="J52" s="292">
        <v>3166.93</v>
      </c>
      <c r="K52" s="292">
        <v>140.54</v>
      </c>
      <c r="L52" s="292">
        <v>70.14</v>
      </c>
      <c r="M52" s="292">
        <v>126.19</v>
      </c>
      <c r="N52" s="292">
        <v>448</v>
      </c>
      <c r="O52" s="292">
        <v>404.6</v>
      </c>
      <c r="P52" s="292">
        <v>242.87</v>
      </c>
      <c r="Q52" s="292">
        <v>409.76</v>
      </c>
      <c r="R52" s="292">
        <v>56.05</v>
      </c>
      <c r="S52" s="292">
        <v>230.06</v>
      </c>
      <c r="T52" s="292">
        <v>71.349999999999994</v>
      </c>
      <c r="U52" s="292">
        <v>96.01</v>
      </c>
      <c r="V52" s="292">
        <v>81.8</v>
      </c>
      <c r="W52" s="292">
        <v>106.12</v>
      </c>
      <c r="X52" s="292">
        <v>152.33000000000001</v>
      </c>
      <c r="Y52" s="292">
        <v>172.06</v>
      </c>
      <c r="Z52" s="292">
        <v>184</v>
      </c>
      <c r="AA52" s="292">
        <v>196.3</v>
      </c>
      <c r="AB52" s="292">
        <v>244.27</v>
      </c>
      <c r="AC52" s="292">
        <v>183.12</v>
      </c>
      <c r="AD52" s="292">
        <v>530.96</v>
      </c>
      <c r="AE52" s="292">
        <v>615.6</v>
      </c>
      <c r="AF52" s="292">
        <v>415.76</v>
      </c>
      <c r="AG52" s="292">
        <v>82.41</v>
      </c>
      <c r="AH52" s="292">
        <v>185.73</v>
      </c>
      <c r="AI52" s="292">
        <v>1216.67</v>
      </c>
      <c r="AJ52" s="292">
        <v>152.22</v>
      </c>
      <c r="AK52" s="292">
        <v>238.11</v>
      </c>
      <c r="AL52" s="292">
        <v>24.86</v>
      </c>
      <c r="AM52" s="292">
        <v>131.72</v>
      </c>
      <c r="AN52" s="292">
        <v>81.489999999999995</v>
      </c>
      <c r="AO52" s="292">
        <v>98.08</v>
      </c>
      <c r="AP52" s="292">
        <v>86.1</v>
      </c>
      <c r="AQ52" s="292">
        <v>375.35</v>
      </c>
      <c r="AR52" s="292">
        <v>72.150000000000006</v>
      </c>
      <c r="AS52" s="292">
        <v>501.29</v>
      </c>
      <c r="AT52" s="292">
        <v>195.44</v>
      </c>
      <c r="AU52" s="292">
        <v>589.65</v>
      </c>
      <c r="AV52" s="292">
        <v>55.34</v>
      </c>
      <c r="AW52" s="292">
        <v>179.2</v>
      </c>
      <c r="AX52" s="292">
        <v>355.47</v>
      </c>
      <c r="AY52" s="292">
        <v>527.16999999999996</v>
      </c>
    </row>
    <row r="53" spans="1:51" x14ac:dyDescent="0.45">
      <c r="A53" s="285">
        <v>52</v>
      </c>
      <c r="B53" s="286">
        <v>45611</v>
      </c>
      <c r="C53" s="292">
        <v>115.9</v>
      </c>
      <c r="D53" s="292">
        <v>164.99</v>
      </c>
      <c r="E53" s="292">
        <v>317.10000000000002</v>
      </c>
      <c r="F53" s="292">
        <v>173.89</v>
      </c>
      <c r="G53" s="292">
        <v>55.93</v>
      </c>
      <c r="H53" s="292">
        <v>225</v>
      </c>
      <c r="I53" s="292">
        <v>218.82</v>
      </c>
      <c r="J53" s="292">
        <v>3107.53</v>
      </c>
      <c r="K53" s="292">
        <v>149.38999999999999</v>
      </c>
      <c r="L53" s="292">
        <v>74.209999999999994</v>
      </c>
      <c r="M53" s="292">
        <v>126.25</v>
      </c>
      <c r="N53" s="292">
        <v>470.79</v>
      </c>
      <c r="O53" s="292">
        <v>401.4</v>
      </c>
      <c r="P53" s="292">
        <v>240.24</v>
      </c>
      <c r="Q53" s="292">
        <v>403.98</v>
      </c>
      <c r="R53" s="292">
        <v>53.19</v>
      </c>
      <c r="S53" s="292">
        <v>230.5</v>
      </c>
      <c r="T53" s="292">
        <v>71.73</v>
      </c>
      <c r="U53" s="292">
        <v>97.4</v>
      </c>
      <c r="V53" s="292">
        <v>81.849999999999994</v>
      </c>
      <c r="W53" s="292">
        <v>106.09</v>
      </c>
      <c r="X53" s="292">
        <v>151.53</v>
      </c>
      <c r="Y53" s="292">
        <v>173.21</v>
      </c>
      <c r="Z53" s="292">
        <v>182.35</v>
      </c>
      <c r="AA53" s="292">
        <v>193.56</v>
      </c>
      <c r="AB53" s="292">
        <v>247</v>
      </c>
      <c r="AC53" s="292">
        <v>182.82</v>
      </c>
      <c r="AD53" s="292">
        <v>534.83000000000004</v>
      </c>
      <c r="AE53" s="292">
        <v>606.29</v>
      </c>
      <c r="AF53" s="292">
        <v>415</v>
      </c>
      <c r="AG53" s="292">
        <v>83.07</v>
      </c>
      <c r="AH53" s="292">
        <v>183.74</v>
      </c>
      <c r="AI53" s="292">
        <v>1213.3699999999999</v>
      </c>
      <c r="AJ53" s="292">
        <v>150.69999999999999</v>
      </c>
      <c r="AK53" s="292">
        <v>235.81</v>
      </c>
      <c r="AL53" s="292">
        <v>24.8</v>
      </c>
      <c r="AM53" s="292">
        <v>128.59</v>
      </c>
      <c r="AN53" s="292">
        <v>82.36</v>
      </c>
      <c r="AO53" s="292">
        <v>98.94</v>
      </c>
      <c r="AP53" s="292">
        <v>84.06</v>
      </c>
      <c r="AQ53" s="292">
        <v>378.99</v>
      </c>
      <c r="AR53" s="292">
        <v>72.23</v>
      </c>
      <c r="AS53" s="292">
        <v>513.08000000000004</v>
      </c>
      <c r="AT53" s="292">
        <v>196.02</v>
      </c>
      <c r="AU53" s="292">
        <v>592.23</v>
      </c>
      <c r="AV53" s="292">
        <v>54.45</v>
      </c>
      <c r="AW53" s="292">
        <v>180.88</v>
      </c>
      <c r="AX53" s="292">
        <v>358.46</v>
      </c>
      <c r="AY53" s="292">
        <v>520.74</v>
      </c>
    </row>
    <row r="54" spans="1:51" x14ac:dyDescent="0.45">
      <c r="A54" s="285">
        <v>53</v>
      </c>
      <c r="B54" s="286">
        <v>45610</v>
      </c>
      <c r="C54" s="292">
        <v>115.03</v>
      </c>
      <c r="D54" s="292">
        <v>169.63</v>
      </c>
      <c r="E54" s="292">
        <v>315.88</v>
      </c>
      <c r="F54" s="292">
        <v>177.35</v>
      </c>
      <c r="G54" s="292">
        <v>55.39</v>
      </c>
      <c r="H54" s="292">
        <v>228.22</v>
      </c>
      <c r="I54" s="292">
        <v>215.48</v>
      </c>
      <c r="J54" s="292">
        <v>3136.06</v>
      </c>
      <c r="K54" s="292">
        <v>154.57</v>
      </c>
      <c r="L54" s="292">
        <v>74.67</v>
      </c>
      <c r="M54" s="292">
        <v>128.22999999999999</v>
      </c>
      <c r="N54" s="292">
        <v>491.32</v>
      </c>
      <c r="O54" s="292">
        <v>405.71</v>
      </c>
      <c r="P54" s="292">
        <v>243.41</v>
      </c>
      <c r="Q54" s="292">
        <v>407.79</v>
      </c>
      <c r="R54" s="292">
        <v>55.09</v>
      </c>
      <c r="S54" s="292">
        <v>239.38</v>
      </c>
      <c r="T54" s="292">
        <v>73.17</v>
      </c>
      <c r="U54" s="292">
        <v>98.61</v>
      </c>
      <c r="V54" s="292">
        <v>82.16</v>
      </c>
      <c r="W54" s="292">
        <v>106.7</v>
      </c>
      <c r="X54" s="292">
        <v>151.25</v>
      </c>
      <c r="Y54" s="292">
        <v>172.45</v>
      </c>
      <c r="Z54" s="292">
        <v>184.51</v>
      </c>
      <c r="AA54" s="292">
        <v>195.33</v>
      </c>
      <c r="AB54" s="292">
        <v>248.16</v>
      </c>
      <c r="AC54" s="292">
        <v>187.41</v>
      </c>
      <c r="AD54" s="292">
        <v>538.99</v>
      </c>
      <c r="AE54" s="292">
        <v>610.16</v>
      </c>
      <c r="AF54" s="292">
        <v>426.89</v>
      </c>
      <c r="AG54" s="292">
        <v>85.45</v>
      </c>
      <c r="AH54" s="292">
        <v>187.05</v>
      </c>
      <c r="AI54" s="292">
        <v>1224.4000000000001</v>
      </c>
      <c r="AJ54" s="292">
        <v>151.97</v>
      </c>
      <c r="AK54" s="292">
        <v>235.6</v>
      </c>
      <c r="AL54" s="292">
        <v>26.02</v>
      </c>
      <c r="AM54" s="292">
        <v>128.19999999999999</v>
      </c>
      <c r="AN54" s="292">
        <v>82.79</v>
      </c>
      <c r="AO54" s="292">
        <v>99.025000000000006</v>
      </c>
      <c r="AP54" s="292">
        <v>84.09</v>
      </c>
      <c r="AQ54" s="292">
        <v>388.46</v>
      </c>
      <c r="AR54" s="292">
        <v>73</v>
      </c>
      <c r="AS54" s="292">
        <v>533.02</v>
      </c>
      <c r="AT54" s="292">
        <v>196.97</v>
      </c>
      <c r="AU54" s="292">
        <v>593.15</v>
      </c>
      <c r="AV54" s="292">
        <v>53.31</v>
      </c>
      <c r="AW54" s="292">
        <v>184.36</v>
      </c>
      <c r="AX54" s="292">
        <v>376.72</v>
      </c>
      <c r="AY54" s="292">
        <v>525.79</v>
      </c>
    </row>
    <row r="55" spans="1:51" x14ac:dyDescent="0.45">
      <c r="A55" s="285">
        <v>54</v>
      </c>
      <c r="B55" s="286">
        <v>45609</v>
      </c>
      <c r="C55" s="292">
        <v>115.74</v>
      </c>
      <c r="D55" s="292">
        <v>170.35</v>
      </c>
      <c r="E55" s="292">
        <v>312.89</v>
      </c>
      <c r="F55" s="292">
        <v>180.49</v>
      </c>
      <c r="G55" s="292">
        <v>55.25</v>
      </c>
      <c r="H55" s="292">
        <v>225.12</v>
      </c>
      <c r="I55" s="292">
        <v>213.24</v>
      </c>
      <c r="J55" s="292">
        <v>3161.87</v>
      </c>
      <c r="K55" s="292">
        <v>172</v>
      </c>
      <c r="L55" s="292">
        <v>76.27</v>
      </c>
      <c r="M55" s="292">
        <v>132.11000000000001</v>
      </c>
      <c r="N55" s="292">
        <v>542.36</v>
      </c>
      <c r="O55" s="292">
        <v>409.11</v>
      </c>
      <c r="P55" s="292">
        <v>249.97</v>
      </c>
      <c r="Q55" s="292">
        <v>414.55</v>
      </c>
      <c r="R55" s="292">
        <v>54.27</v>
      </c>
      <c r="S55" s="292">
        <v>241.53</v>
      </c>
      <c r="T55" s="292">
        <v>73.53</v>
      </c>
      <c r="U55" s="292">
        <v>102.56</v>
      </c>
      <c r="V55" s="292">
        <v>83.62</v>
      </c>
      <c r="W55" s="292">
        <v>109.16</v>
      </c>
      <c r="X55" s="292">
        <v>153.33000000000001</v>
      </c>
      <c r="Y55" s="292">
        <v>174.95</v>
      </c>
      <c r="Z55" s="292">
        <v>189.2</v>
      </c>
      <c r="AA55" s="292">
        <v>204</v>
      </c>
      <c r="AB55" s="292">
        <v>261.64999999999998</v>
      </c>
      <c r="AC55" s="292">
        <v>189.8</v>
      </c>
      <c r="AD55" s="292">
        <v>557.73</v>
      </c>
      <c r="AE55" s="292">
        <v>624.6</v>
      </c>
      <c r="AF55" s="292">
        <v>425.2</v>
      </c>
      <c r="AG55" s="292">
        <v>87.48</v>
      </c>
      <c r="AH55" s="292">
        <v>189.63</v>
      </c>
      <c r="AI55" s="292">
        <v>1238.78</v>
      </c>
      <c r="AJ55" s="292">
        <v>152.85</v>
      </c>
      <c r="AK55" s="292">
        <v>238.34</v>
      </c>
      <c r="AL55" s="292">
        <v>26.72</v>
      </c>
      <c r="AM55" s="292">
        <v>125.24</v>
      </c>
      <c r="AN55" s="292">
        <v>82.32</v>
      </c>
      <c r="AO55" s="292">
        <v>99.85</v>
      </c>
      <c r="AP55" s="292">
        <v>85.12</v>
      </c>
      <c r="AQ55" s="292">
        <v>387.29</v>
      </c>
      <c r="AR55" s="292">
        <v>73.11</v>
      </c>
      <c r="AS55" s="292">
        <v>541.9</v>
      </c>
      <c r="AT55" s="292">
        <v>198.97</v>
      </c>
      <c r="AU55" s="292">
        <v>605.87</v>
      </c>
      <c r="AV55" s="292">
        <v>53.63</v>
      </c>
      <c r="AW55" s="292">
        <v>184.99</v>
      </c>
      <c r="AX55" s="292">
        <v>385.62</v>
      </c>
      <c r="AY55" s="292">
        <v>543.05999999999995</v>
      </c>
    </row>
    <row r="56" spans="1:51" x14ac:dyDescent="0.45">
      <c r="A56" s="285">
        <v>55</v>
      </c>
      <c r="B56" s="286">
        <v>45608</v>
      </c>
      <c r="C56" s="292">
        <v>116.44</v>
      </c>
      <c r="D56" s="292">
        <v>171.09</v>
      </c>
      <c r="E56" s="292">
        <v>311.12</v>
      </c>
      <c r="F56" s="292">
        <v>183.32</v>
      </c>
      <c r="G56" s="292">
        <v>54.44</v>
      </c>
      <c r="H56" s="292">
        <v>224.23</v>
      </c>
      <c r="I56" s="292">
        <v>212.29</v>
      </c>
      <c r="J56" s="292">
        <v>3175.72</v>
      </c>
      <c r="K56" s="292">
        <v>181.45</v>
      </c>
      <c r="L56" s="292">
        <v>76.400000000000006</v>
      </c>
      <c r="M56" s="292">
        <v>126.93</v>
      </c>
      <c r="N56" s="292">
        <v>567.20000000000005</v>
      </c>
      <c r="O56" s="292">
        <v>417.06</v>
      </c>
      <c r="P56" s="292">
        <v>248.79</v>
      </c>
      <c r="Q56" s="292">
        <v>418.07</v>
      </c>
      <c r="R56" s="292">
        <v>54.03</v>
      </c>
      <c r="S56" s="292">
        <v>239.6</v>
      </c>
      <c r="T56" s="292">
        <v>73.930000000000007</v>
      </c>
      <c r="U56" s="292">
        <v>102.98</v>
      </c>
      <c r="V56" s="292">
        <v>83.5</v>
      </c>
      <c r="W56" s="292">
        <v>108.81</v>
      </c>
      <c r="X56" s="292">
        <v>153.02000000000001</v>
      </c>
      <c r="Y56" s="292">
        <v>177.11</v>
      </c>
      <c r="Z56" s="292">
        <v>192.54</v>
      </c>
      <c r="AA56" s="292">
        <v>204.6</v>
      </c>
      <c r="AB56" s="292">
        <v>261.72000000000003</v>
      </c>
      <c r="AC56" s="292">
        <v>190.3</v>
      </c>
      <c r="AD56" s="292">
        <v>565.96</v>
      </c>
      <c r="AE56" s="292">
        <v>617.66</v>
      </c>
      <c r="AF56" s="292">
        <v>423.03</v>
      </c>
      <c r="AG56" s="292">
        <v>89.6</v>
      </c>
      <c r="AH56" s="292">
        <v>189.58</v>
      </c>
      <c r="AI56" s="292">
        <v>1236.8499999999999</v>
      </c>
      <c r="AJ56" s="292">
        <v>153.15</v>
      </c>
      <c r="AK56" s="292">
        <v>239.81</v>
      </c>
      <c r="AL56" s="292">
        <v>26.19</v>
      </c>
      <c r="AM56" s="292">
        <v>124.22</v>
      </c>
      <c r="AN56" s="292">
        <v>81.63</v>
      </c>
      <c r="AO56" s="292">
        <v>99.84</v>
      </c>
      <c r="AP56" s="292">
        <v>86.17</v>
      </c>
      <c r="AQ56" s="292">
        <v>383.67</v>
      </c>
      <c r="AR56" s="292">
        <v>73.14</v>
      </c>
      <c r="AS56" s="292">
        <v>540.75</v>
      </c>
      <c r="AT56" s="292">
        <v>200.23</v>
      </c>
      <c r="AU56" s="292">
        <v>614.66999999999996</v>
      </c>
      <c r="AV56" s="292">
        <v>52.89</v>
      </c>
      <c r="AW56" s="292">
        <v>184.04</v>
      </c>
      <c r="AX56" s="292">
        <v>385.79</v>
      </c>
      <c r="AY56" s="292">
        <v>533.36</v>
      </c>
    </row>
    <row r="57" spans="1:51" x14ac:dyDescent="0.45">
      <c r="A57" s="285">
        <v>56</v>
      </c>
      <c r="B57" s="286">
        <v>45607</v>
      </c>
      <c r="C57" s="292">
        <v>116.8</v>
      </c>
      <c r="D57" s="292">
        <v>174.43</v>
      </c>
      <c r="E57" s="292">
        <v>313.91000000000003</v>
      </c>
      <c r="F57" s="292">
        <v>181.97</v>
      </c>
      <c r="G57" s="292">
        <v>53.93</v>
      </c>
      <c r="H57" s="292">
        <v>224.23</v>
      </c>
      <c r="I57" s="292">
        <v>210.73</v>
      </c>
      <c r="J57" s="292">
        <v>3173.4</v>
      </c>
      <c r="K57" s="292">
        <v>183.4</v>
      </c>
      <c r="L57" s="292">
        <v>76.81</v>
      </c>
      <c r="M57" s="292">
        <v>126.51</v>
      </c>
      <c r="N57" s="292">
        <v>572.44000000000005</v>
      </c>
      <c r="O57" s="292">
        <v>410.97</v>
      </c>
      <c r="P57" s="292">
        <v>249.09</v>
      </c>
      <c r="Q57" s="292">
        <v>423</v>
      </c>
      <c r="R57" s="292">
        <v>55.81</v>
      </c>
      <c r="S57" s="292">
        <v>243.25</v>
      </c>
      <c r="T57" s="292">
        <v>75.47</v>
      </c>
      <c r="U57" s="292">
        <v>106.23</v>
      </c>
      <c r="V57" s="292">
        <v>84.35</v>
      </c>
      <c r="W57" s="292">
        <v>110.17</v>
      </c>
      <c r="X57" s="292">
        <v>154.26</v>
      </c>
      <c r="Y57" s="292">
        <v>177.06</v>
      </c>
      <c r="Z57" s="292">
        <v>197.19</v>
      </c>
      <c r="AA57" s="292">
        <v>206.63</v>
      </c>
      <c r="AB57" s="292">
        <v>264.22000000000003</v>
      </c>
      <c r="AC57" s="292">
        <v>192.81</v>
      </c>
      <c r="AD57" s="292">
        <v>570.58000000000004</v>
      </c>
      <c r="AE57" s="292">
        <v>615.59</v>
      </c>
      <c r="AF57" s="292">
        <v>418.01</v>
      </c>
      <c r="AG57" s="292">
        <v>90.18</v>
      </c>
      <c r="AH57" s="292">
        <v>189.13</v>
      </c>
      <c r="AI57" s="292">
        <v>1228.52</v>
      </c>
      <c r="AJ57" s="292">
        <v>153.76</v>
      </c>
      <c r="AK57" s="292">
        <v>241.49</v>
      </c>
      <c r="AL57" s="292">
        <v>26.24</v>
      </c>
      <c r="AM57" s="292">
        <v>124.95</v>
      </c>
      <c r="AN57" s="292">
        <v>81.75</v>
      </c>
      <c r="AO57" s="292">
        <v>101.24</v>
      </c>
      <c r="AP57" s="292">
        <v>86.51</v>
      </c>
      <c r="AQ57" s="292">
        <v>389.25</v>
      </c>
      <c r="AR57" s="292">
        <v>75.099999999999994</v>
      </c>
      <c r="AS57" s="292">
        <v>546.91999999999996</v>
      </c>
      <c r="AT57" s="292">
        <v>203.73</v>
      </c>
      <c r="AU57" s="292">
        <v>625.25</v>
      </c>
      <c r="AV57" s="292">
        <v>53.56</v>
      </c>
      <c r="AW57" s="292">
        <v>185.1</v>
      </c>
      <c r="AX57" s="292">
        <v>380.74</v>
      </c>
      <c r="AY57" s="292">
        <v>536.86</v>
      </c>
    </row>
    <row r="58" spans="1:51" x14ac:dyDescent="0.45">
      <c r="A58" s="285">
        <v>57</v>
      </c>
      <c r="B58" s="286">
        <v>45604</v>
      </c>
      <c r="C58" s="292">
        <v>116.59</v>
      </c>
      <c r="D58" s="292">
        <v>199.5</v>
      </c>
      <c r="E58" s="292">
        <v>312.99</v>
      </c>
      <c r="F58" s="292">
        <v>179.86</v>
      </c>
      <c r="G58" s="292">
        <v>54.05</v>
      </c>
      <c r="H58" s="292">
        <v>226.96</v>
      </c>
      <c r="I58" s="292">
        <v>209.39</v>
      </c>
      <c r="J58" s="292">
        <v>3110.12</v>
      </c>
      <c r="K58" s="292">
        <v>183.5</v>
      </c>
      <c r="L58" s="292">
        <v>76.709999999999994</v>
      </c>
      <c r="M58" s="292">
        <v>124.57</v>
      </c>
      <c r="N58" s="292">
        <v>568.29</v>
      </c>
      <c r="O58" s="292">
        <v>412.85</v>
      </c>
      <c r="P58" s="292">
        <v>248.41</v>
      </c>
      <c r="Q58" s="292">
        <v>420.05</v>
      </c>
      <c r="R58" s="292">
        <v>55.54</v>
      </c>
      <c r="S58" s="292">
        <v>245.39</v>
      </c>
      <c r="T58" s="292">
        <v>75.150000000000006</v>
      </c>
      <c r="U58" s="292">
        <v>104.97</v>
      </c>
      <c r="V58" s="292">
        <v>83.33</v>
      </c>
      <c r="W58" s="292">
        <v>107.8</v>
      </c>
      <c r="X58" s="292">
        <v>152.91999999999999</v>
      </c>
      <c r="Y58" s="292">
        <v>179.77</v>
      </c>
      <c r="Z58" s="292">
        <v>192.13</v>
      </c>
      <c r="AA58" s="292">
        <v>202.66</v>
      </c>
      <c r="AB58" s="292">
        <v>260.60000000000002</v>
      </c>
      <c r="AC58" s="292">
        <v>191.15</v>
      </c>
      <c r="AD58" s="292">
        <v>564.55999999999995</v>
      </c>
      <c r="AE58" s="292">
        <v>613</v>
      </c>
      <c r="AF58" s="292">
        <v>422.54</v>
      </c>
      <c r="AG58" s="292">
        <v>88.98</v>
      </c>
      <c r="AH58" s="292">
        <v>189.25</v>
      </c>
      <c r="AI58" s="292">
        <v>1217.7</v>
      </c>
      <c r="AJ58" s="292">
        <v>151.21</v>
      </c>
      <c r="AK58" s="292">
        <v>240.59</v>
      </c>
      <c r="AL58" s="292">
        <v>26.72</v>
      </c>
      <c r="AM58" s="292">
        <v>126.24</v>
      </c>
      <c r="AN58" s="292">
        <v>80.37</v>
      </c>
      <c r="AO58" s="292">
        <v>99.88</v>
      </c>
      <c r="AP58" s="292">
        <v>86.94</v>
      </c>
      <c r="AQ58" s="292">
        <v>386.67</v>
      </c>
      <c r="AR58" s="292">
        <v>74.86</v>
      </c>
      <c r="AS58" s="292">
        <v>551.74</v>
      </c>
      <c r="AT58" s="292">
        <v>200.73</v>
      </c>
      <c r="AU58" s="292">
        <v>615.80999999999995</v>
      </c>
      <c r="AV58" s="292">
        <v>53.08</v>
      </c>
      <c r="AW58" s="292">
        <v>183.56</v>
      </c>
      <c r="AX58" s="292">
        <v>384.51</v>
      </c>
      <c r="AY58" s="292">
        <v>528.5</v>
      </c>
    </row>
    <row r="59" spans="1:51" x14ac:dyDescent="0.45">
      <c r="A59" s="285">
        <v>58</v>
      </c>
      <c r="B59" s="286">
        <v>45603</v>
      </c>
      <c r="C59" s="292">
        <v>115.3</v>
      </c>
      <c r="D59" s="292">
        <v>200.51</v>
      </c>
      <c r="E59" s="292">
        <v>312.82</v>
      </c>
      <c r="F59" s="292">
        <v>182.28</v>
      </c>
      <c r="G59" s="292">
        <v>53.54</v>
      </c>
      <c r="H59" s="292">
        <v>227.48</v>
      </c>
      <c r="I59" s="292">
        <v>205.84</v>
      </c>
      <c r="J59" s="292">
        <v>3150.18</v>
      </c>
      <c r="K59" s="292">
        <v>175.8</v>
      </c>
      <c r="L59" s="292">
        <v>75.989999999999995</v>
      </c>
      <c r="M59" s="292">
        <v>121.05</v>
      </c>
      <c r="N59" s="292">
        <v>559.66999999999996</v>
      </c>
      <c r="O59" s="292">
        <v>413.37</v>
      </c>
      <c r="P59" s="292">
        <v>247.76</v>
      </c>
      <c r="Q59" s="292">
        <v>415.34</v>
      </c>
      <c r="R59" s="292">
        <v>57.07</v>
      </c>
      <c r="S59" s="292">
        <v>246.1</v>
      </c>
      <c r="T59" s="292">
        <v>75.86</v>
      </c>
      <c r="U59" s="292">
        <v>104.2</v>
      </c>
      <c r="V59" s="292">
        <v>83.1</v>
      </c>
      <c r="W59" s="292">
        <v>108.42</v>
      </c>
      <c r="X59" s="292">
        <v>153.16999999999999</v>
      </c>
      <c r="Y59" s="292">
        <v>179.97</v>
      </c>
      <c r="Z59" s="292">
        <v>188.51</v>
      </c>
      <c r="AA59" s="292">
        <v>197.82</v>
      </c>
      <c r="AB59" s="292">
        <v>254.81</v>
      </c>
      <c r="AC59" s="292">
        <v>188.56</v>
      </c>
      <c r="AD59" s="292">
        <v>551.84</v>
      </c>
      <c r="AE59" s="292">
        <v>607.51</v>
      </c>
      <c r="AF59" s="292">
        <v>425.43</v>
      </c>
      <c r="AG59" s="292">
        <v>88.58</v>
      </c>
      <c r="AH59" s="292">
        <v>186.37</v>
      </c>
      <c r="AI59" s="292">
        <v>1214.51</v>
      </c>
      <c r="AJ59" s="292">
        <v>149.03</v>
      </c>
      <c r="AK59" s="292">
        <v>239.48</v>
      </c>
      <c r="AL59" s="292">
        <v>27.46</v>
      </c>
      <c r="AM59" s="292">
        <v>123.78</v>
      </c>
      <c r="AN59" s="292">
        <v>80.09</v>
      </c>
      <c r="AO59" s="292">
        <v>97.9</v>
      </c>
      <c r="AP59" s="292">
        <v>85.96</v>
      </c>
      <c r="AQ59" s="292">
        <v>384</v>
      </c>
      <c r="AR59" s="292">
        <v>76.03</v>
      </c>
      <c r="AS59" s="292">
        <v>555.89</v>
      </c>
      <c r="AT59" s="292">
        <v>195.74</v>
      </c>
      <c r="AU59" s="292">
        <v>605.45000000000005</v>
      </c>
      <c r="AV59" s="292">
        <v>52.05</v>
      </c>
      <c r="AW59" s="292">
        <v>185.96</v>
      </c>
      <c r="AX59" s="292">
        <v>386.12</v>
      </c>
      <c r="AY59" s="292">
        <v>524.97</v>
      </c>
    </row>
    <row r="60" spans="1:51" x14ac:dyDescent="0.45">
      <c r="A60" s="285">
        <v>59</v>
      </c>
      <c r="B60" s="286">
        <v>45602</v>
      </c>
      <c r="C60" s="292">
        <v>116.8</v>
      </c>
      <c r="D60" s="292">
        <v>201.2</v>
      </c>
      <c r="E60" s="292">
        <v>306.73</v>
      </c>
      <c r="F60" s="292">
        <v>178.33</v>
      </c>
      <c r="G60" s="292">
        <v>54.29</v>
      </c>
      <c r="H60" s="292">
        <v>222.72</v>
      </c>
      <c r="I60" s="292">
        <v>206.37</v>
      </c>
      <c r="J60" s="292">
        <v>3196.38</v>
      </c>
      <c r="K60" s="292">
        <v>179.96</v>
      </c>
      <c r="L60" s="292">
        <v>76.02</v>
      </c>
      <c r="M60" s="292">
        <v>118.33</v>
      </c>
      <c r="N60" s="292">
        <v>564.25</v>
      </c>
      <c r="O60" s="292">
        <v>409.18</v>
      </c>
      <c r="P60" s="292">
        <v>245.38</v>
      </c>
      <c r="Q60" s="292">
        <v>403.54</v>
      </c>
      <c r="R60" s="292">
        <v>61.61</v>
      </c>
      <c r="S60" s="292">
        <v>247.76</v>
      </c>
      <c r="T60" s="292">
        <v>75.47</v>
      </c>
      <c r="U60" s="292">
        <v>104.77</v>
      </c>
      <c r="V60" s="292">
        <v>83.57</v>
      </c>
      <c r="W60" s="292">
        <v>110.03</v>
      </c>
      <c r="X60" s="292">
        <v>153.09</v>
      </c>
      <c r="Y60" s="292">
        <v>180.4</v>
      </c>
      <c r="Z60" s="292">
        <v>192.82</v>
      </c>
      <c r="AA60" s="292">
        <v>203.21</v>
      </c>
      <c r="AB60" s="292">
        <v>256.45</v>
      </c>
      <c r="AC60" s="292">
        <v>191.61</v>
      </c>
      <c r="AD60" s="292">
        <v>551.82000000000005</v>
      </c>
      <c r="AE60" s="292">
        <v>549.30999999999995</v>
      </c>
      <c r="AF60" s="292">
        <v>420.18</v>
      </c>
      <c r="AG60" s="292">
        <v>88.79</v>
      </c>
      <c r="AH60" s="292">
        <v>181.24</v>
      </c>
      <c r="AI60" s="292">
        <v>1234.1500000000001</v>
      </c>
      <c r="AJ60" s="292">
        <v>148.19</v>
      </c>
      <c r="AK60" s="292">
        <v>241.59</v>
      </c>
      <c r="AL60" s="292">
        <v>27.36</v>
      </c>
      <c r="AM60" s="292">
        <v>125.31</v>
      </c>
      <c r="AN60" s="292">
        <v>77.64</v>
      </c>
      <c r="AO60" s="292">
        <v>98.92</v>
      </c>
      <c r="AP60" s="292">
        <v>87</v>
      </c>
      <c r="AQ60" s="292">
        <v>380.73</v>
      </c>
      <c r="AR60" s="292">
        <v>76.209999999999994</v>
      </c>
      <c r="AS60" s="292">
        <v>559.67999999999995</v>
      </c>
      <c r="AT60" s="292">
        <v>198.55</v>
      </c>
      <c r="AU60" s="292">
        <v>596.69000000000005</v>
      </c>
      <c r="AV60" s="292">
        <v>53.65</v>
      </c>
      <c r="AW60" s="292">
        <v>186.58</v>
      </c>
      <c r="AX60" s="292">
        <v>386.69</v>
      </c>
      <c r="AY60" s="292">
        <v>516.83000000000004</v>
      </c>
    </row>
    <row r="61" spans="1:51" x14ac:dyDescent="0.45">
      <c r="A61" s="285">
        <v>60</v>
      </c>
      <c r="B61" s="286">
        <v>45601</v>
      </c>
      <c r="C61" s="292">
        <v>117.73</v>
      </c>
      <c r="D61" s="292">
        <v>201.68</v>
      </c>
      <c r="E61" s="292">
        <v>306.37</v>
      </c>
      <c r="F61" s="292">
        <v>171.41</v>
      </c>
      <c r="G61" s="292">
        <v>54.19</v>
      </c>
      <c r="H61" s="292">
        <v>223.45</v>
      </c>
      <c r="I61" s="292">
        <v>193.09</v>
      </c>
      <c r="J61" s="292">
        <v>3059.83</v>
      </c>
      <c r="K61" s="292">
        <v>185.28</v>
      </c>
      <c r="L61" s="292">
        <v>72.23</v>
      </c>
      <c r="M61" s="292">
        <v>116.95</v>
      </c>
      <c r="N61" s="292">
        <v>564.94000000000005</v>
      </c>
      <c r="O61" s="292">
        <v>396.9</v>
      </c>
      <c r="P61" s="292">
        <v>233.99</v>
      </c>
      <c r="Q61" s="292">
        <v>378.75</v>
      </c>
      <c r="R61" s="292">
        <v>55.34</v>
      </c>
      <c r="S61" s="292">
        <v>250.07</v>
      </c>
      <c r="T61" s="292">
        <v>74.53</v>
      </c>
      <c r="U61" s="292">
        <v>98.21</v>
      </c>
      <c r="V61" s="292">
        <v>78.09</v>
      </c>
      <c r="W61" s="292">
        <v>100.8</v>
      </c>
      <c r="X61" s="292">
        <v>142.63</v>
      </c>
      <c r="Y61" s="292">
        <v>185.52</v>
      </c>
      <c r="Z61" s="292">
        <v>185.56</v>
      </c>
      <c r="AA61" s="292">
        <v>193.24</v>
      </c>
      <c r="AB61" s="292">
        <v>250.95</v>
      </c>
      <c r="AC61" s="292">
        <v>180.76</v>
      </c>
      <c r="AD61" s="292">
        <v>546.75</v>
      </c>
      <c r="AE61" s="292">
        <v>525.28</v>
      </c>
      <c r="AF61" s="292">
        <v>411.46</v>
      </c>
      <c r="AG61" s="292">
        <v>82.06</v>
      </c>
      <c r="AH61" s="292">
        <v>171.78</v>
      </c>
      <c r="AI61" s="292">
        <v>1162.33</v>
      </c>
      <c r="AJ61" s="292">
        <v>136.44999999999999</v>
      </c>
      <c r="AK61" s="292">
        <v>232.61</v>
      </c>
      <c r="AL61" s="292">
        <v>27.99</v>
      </c>
      <c r="AM61" s="292">
        <v>132.19</v>
      </c>
      <c r="AN61" s="292">
        <v>74.77</v>
      </c>
      <c r="AO61" s="292">
        <v>92.26</v>
      </c>
      <c r="AP61" s="292">
        <v>83.72</v>
      </c>
      <c r="AQ61" s="292">
        <v>378.21</v>
      </c>
      <c r="AR61" s="292">
        <v>75.92</v>
      </c>
      <c r="AS61" s="292">
        <v>560.79</v>
      </c>
      <c r="AT61" s="292">
        <v>181.76</v>
      </c>
      <c r="AU61" s="292">
        <v>567.03</v>
      </c>
      <c r="AV61" s="292">
        <v>52.26</v>
      </c>
      <c r="AW61" s="292">
        <v>179.15</v>
      </c>
      <c r="AX61" s="292">
        <v>387.17</v>
      </c>
      <c r="AY61" s="292">
        <v>487.9</v>
      </c>
    </row>
    <row r="62" spans="1:51" x14ac:dyDescent="0.45">
      <c r="A62" s="285">
        <v>61</v>
      </c>
      <c r="B62" s="286">
        <v>45600</v>
      </c>
      <c r="C62" s="292">
        <v>117.65</v>
      </c>
      <c r="D62" s="292">
        <v>200.47</v>
      </c>
      <c r="E62" s="292">
        <v>306.08999999999997</v>
      </c>
      <c r="F62" s="292">
        <v>170.68</v>
      </c>
      <c r="G62" s="292">
        <v>53.88</v>
      </c>
      <c r="H62" s="292">
        <v>222.01</v>
      </c>
      <c r="I62" s="292">
        <v>191.19</v>
      </c>
      <c r="J62" s="292">
        <v>3046.35</v>
      </c>
      <c r="K62" s="292">
        <v>182.62</v>
      </c>
      <c r="L62" s="292">
        <v>71.510000000000005</v>
      </c>
      <c r="M62" s="292">
        <v>119.68</v>
      </c>
      <c r="N62" s="292">
        <v>553.27</v>
      </c>
      <c r="O62" s="292">
        <v>381.08</v>
      </c>
      <c r="P62" s="292">
        <v>233.89</v>
      </c>
      <c r="Q62" s="292">
        <v>364.15</v>
      </c>
      <c r="R62" s="292">
        <v>54.65</v>
      </c>
      <c r="S62" s="292">
        <v>247.18</v>
      </c>
      <c r="T62" s="292">
        <v>73.39</v>
      </c>
      <c r="U62" s="292">
        <v>96.62</v>
      </c>
      <c r="V62" s="292">
        <v>77.819999999999993</v>
      </c>
      <c r="W62" s="292">
        <v>98.93</v>
      </c>
      <c r="X62" s="292">
        <v>139.22</v>
      </c>
      <c r="Y62" s="292">
        <v>184.32</v>
      </c>
      <c r="Z62" s="292">
        <v>181.99</v>
      </c>
      <c r="AA62" s="292">
        <v>191.04</v>
      </c>
      <c r="AB62" s="292">
        <v>247.07</v>
      </c>
      <c r="AC62" s="292">
        <v>177.4</v>
      </c>
      <c r="AD62" s="292">
        <v>543.1</v>
      </c>
      <c r="AE62" s="292">
        <v>525.94000000000005</v>
      </c>
      <c r="AF62" s="292">
        <v>408.46</v>
      </c>
      <c r="AG62" s="292">
        <v>80.52</v>
      </c>
      <c r="AH62" s="292">
        <v>169.59</v>
      </c>
      <c r="AI62" s="292">
        <v>1157.56</v>
      </c>
      <c r="AJ62" s="292">
        <v>132.65</v>
      </c>
      <c r="AK62" s="292">
        <v>230.17</v>
      </c>
      <c r="AL62" s="292">
        <v>27.76</v>
      </c>
      <c r="AM62" s="292">
        <v>130.33000000000001</v>
      </c>
      <c r="AN62" s="292">
        <v>73.790000000000006</v>
      </c>
      <c r="AO62" s="292">
        <v>92.07</v>
      </c>
      <c r="AP62" s="292">
        <v>82.17</v>
      </c>
      <c r="AQ62" s="292">
        <v>374.4</v>
      </c>
      <c r="AR62" s="292">
        <v>75.14</v>
      </c>
      <c r="AS62" s="292">
        <v>555.47</v>
      </c>
      <c r="AT62" s="292">
        <v>179.53</v>
      </c>
      <c r="AU62" s="292">
        <v>557.77</v>
      </c>
      <c r="AV62" s="292">
        <v>51.35</v>
      </c>
      <c r="AW62" s="292">
        <v>177.86</v>
      </c>
      <c r="AX62" s="292">
        <v>387.34</v>
      </c>
      <c r="AY62" s="292">
        <v>478.01</v>
      </c>
    </row>
    <row r="63" spans="1:51" x14ac:dyDescent="0.45">
      <c r="B63" s="286"/>
    </row>
    <row r="64" spans="1:51" x14ac:dyDescent="0.45">
      <c r="B64" s="286"/>
    </row>
    <row r="66" spans="2:51" x14ac:dyDescent="0.45">
      <c r="B66" s="285" t="s">
        <v>121</v>
      </c>
      <c r="C66" s="53">
        <f>IFERROR(ROUND(AVERAGE(C3:C62),2),0)</f>
        <v>116.57</v>
      </c>
      <c r="D66" s="53">
        <f t="shared" ref="D66:AY66" si="0">IFERROR(ROUND(AVERAGE(D3:D62),2),0)</f>
        <v>177.36</v>
      </c>
      <c r="E66" s="53">
        <f t="shared" si="0"/>
        <v>312.56</v>
      </c>
      <c r="F66" s="53">
        <f t="shared" si="0"/>
        <v>187.02</v>
      </c>
      <c r="G66" s="53">
        <f t="shared" si="0"/>
        <v>53.96</v>
      </c>
      <c r="H66" s="53">
        <f t="shared" si="0"/>
        <v>237.68</v>
      </c>
      <c r="I66" s="53">
        <f t="shared" si="0"/>
        <v>214.23</v>
      </c>
      <c r="J66" s="53">
        <f t="shared" si="0"/>
        <v>3228.96</v>
      </c>
      <c r="K66" s="53">
        <f t="shared" si="0"/>
        <v>143.1</v>
      </c>
      <c r="L66" s="53">
        <f t="shared" si="0"/>
        <v>74.34</v>
      </c>
      <c r="M66" s="53">
        <f t="shared" si="0"/>
        <v>121.29</v>
      </c>
      <c r="N66" s="53">
        <f t="shared" si="0"/>
        <v>449.39</v>
      </c>
      <c r="O66" s="53">
        <f t="shared" si="0"/>
        <v>409.15</v>
      </c>
      <c r="P66" s="53">
        <f t="shared" si="0"/>
        <v>240.23</v>
      </c>
      <c r="Q66" s="53">
        <f t="shared" si="0"/>
        <v>386.02</v>
      </c>
      <c r="R66" s="53">
        <f t="shared" si="0"/>
        <v>52.57</v>
      </c>
      <c r="S66" s="53">
        <f t="shared" si="0"/>
        <v>236.51</v>
      </c>
      <c r="T66" s="53">
        <f t="shared" si="0"/>
        <v>78.36</v>
      </c>
      <c r="U66" s="53">
        <f t="shared" si="0"/>
        <v>94.56</v>
      </c>
      <c r="V66" s="53">
        <f t="shared" si="0"/>
        <v>77.900000000000006</v>
      </c>
      <c r="W66" s="53">
        <f t="shared" si="0"/>
        <v>102.55</v>
      </c>
      <c r="X66" s="53">
        <f t="shared" si="0"/>
        <v>157.30000000000001</v>
      </c>
      <c r="Y66" s="53">
        <f t="shared" si="0"/>
        <v>175.18</v>
      </c>
      <c r="Z66" s="53">
        <f t="shared" si="0"/>
        <v>179.78</v>
      </c>
      <c r="AA66" s="53">
        <f t="shared" si="0"/>
        <v>195.19</v>
      </c>
      <c r="AB66" s="53">
        <f t="shared" si="0"/>
        <v>228.54</v>
      </c>
      <c r="AC66" s="53">
        <f t="shared" si="0"/>
        <v>179.23</v>
      </c>
      <c r="AD66" s="53">
        <f t="shared" si="0"/>
        <v>506.1</v>
      </c>
      <c r="AE66" s="53">
        <f t="shared" si="0"/>
        <v>593.02</v>
      </c>
      <c r="AF66" s="53">
        <f t="shared" si="0"/>
        <v>429.4</v>
      </c>
      <c r="AG66" s="53">
        <f t="shared" si="0"/>
        <v>82.19</v>
      </c>
      <c r="AH66" s="53">
        <f t="shared" si="0"/>
        <v>175.62</v>
      </c>
      <c r="AI66" s="53">
        <f t="shared" si="0"/>
        <v>1229.45</v>
      </c>
      <c r="AJ66" s="53">
        <f t="shared" si="0"/>
        <v>170.27</v>
      </c>
      <c r="AK66" s="53">
        <f t="shared" si="0"/>
        <v>235.39</v>
      </c>
      <c r="AL66" s="53">
        <f t="shared" si="0"/>
        <v>26.23</v>
      </c>
      <c r="AM66" s="53">
        <f t="shared" si="0"/>
        <v>126.08</v>
      </c>
      <c r="AN66" s="53">
        <f t="shared" si="0"/>
        <v>80</v>
      </c>
      <c r="AO66" s="53">
        <f t="shared" si="0"/>
        <v>95.38</v>
      </c>
      <c r="AP66" s="53">
        <f t="shared" si="0"/>
        <v>82.72</v>
      </c>
      <c r="AQ66" s="53">
        <f t="shared" si="0"/>
        <v>365.57</v>
      </c>
      <c r="AR66" s="53">
        <f t="shared" si="0"/>
        <v>71.5</v>
      </c>
      <c r="AS66" s="53">
        <f t="shared" si="0"/>
        <v>540.05999999999995</v>
      </c>
      <c r="AT66" s="53">
        <f t="shared" si="0"/>
        <v>199.06</v>
      </c>
      <c r="AU66" s="53">
        <f t="shared" si="0"/>
        <v>551.47</v>
      </c>
      <c r="AV66" s="53">
        <f t="shared" si="0"/>
        <v>54.12</v>
      </c>
      <c r="AW66" s="53">
        <f t="shared" si="0"/>
        <v>197.07</v>
      </c>
      <c r="AX66" s="53">
        <f t="shared" si="0"/>
        <v>384.36</v>
      </c>
      <c r="AY66" s="53">
        <f t="shared" si="0"/>
        <v>506.66</v>
      </c>
    </row>
    <row r="67" spans="2:51" x14ac:dyDescent="0.45">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row>
    <row r="68" spans="2:51" x14ac:dyDescent="0.45">
      <c r="B68" s="285" t="s">
        <v>122</v>
      </c>
      <c r="C68" s="92">
        <f>VLOOKUP(C$1,'CEM Data Lookup'!$A$3:$P$51,8,FALSE)</f>
        <v>2.36</v>
      </c>
      <c r="D68" s="92">
        <f>VLOOKUP(D$1,'CEM Data Lookup'!$A$3:$P$51,8,FALSE)</f>
        <v>6.56</v>
      </c>
      <c r="E68" s="92">
        <f>VLOOKUP(E$1,'CEM Data Lookup'!$A$3:$P$51,8,FALSE)</f>
        <v>7.16</v>
      </c>
      <c r="F68" s="92">
        <f>VLOOKUP(F$1,'CEM Data Lookup'!$A$3:$P$51,8,FALSE)</f>
        <v>0.8</v>
      </c>
      <c r="G68" s="92">
        <f>VLOOKUP(G$1,'CEM Data Lookup'!$A$3:$P$51,8,FALSE)</f>
        <v>4.08</v>
      </c>
      <c r="H68" s="92">
        <f>VLOOKUP(H$1,'CEM Data Lookup'!$A$3:$P$51,8,FALSE)</f>
        <v>1</v>
      </c>
      <c r="I68" s="92">
        <f>VLOOKUP(I$1,'CEM Data Lookup'!$A$3:$P$51,8,FALSE)</f>
        <v>3.2</v>
      </c>
      <c r="J68" s="92" t="str">
        <f>VLOOKUP(J$1,'CEM Data Lookup'!$A$3:$P$51,8,FALSE)</f>
        <v>NA</v>
      </c>
      <c r="K68" s="92">
        <f>VLOOKUP(K$1,'CEM Data Lookup'!$A$3:$P$51,8,FALSE)</f>
        <v>2.2000000000000002</v>
      </c>
      <c r="L68" s="92">
        <f>VLOOKUP(L$1,'CEM Data Lookup'!$A$3:$P$51,8,FALSE)</f>
        <v>0.96</v>
      </c>
      <c r="M68" s="92">
        <f>VLOOKUP(M$1,'CEM Data Lookup'!$A$3:$P$51,8,FALSE)</f>
        <v>0.96</v>
      </c>
      <c r="N68" s="92" t="str">
        <f>VLOOKUP(N$1,'CEM Data Lookup'!$A$3:$P$51,8,FALSE)</f>
        <v>NA</v>
      </c>
      <c r="O68" s="92">
        <f>VLOOKUP(O$1,'CEM Data Lookup'!$A$3:$P$51,8,FALSE)</f>
        <v>2</v>
      </c>
      <c r="P68" s="92">
        <f>VLOOKUP(P$1,'CEM Data Lookup'!$A$3:$P$51,8,FALSE)</f>
        <v>2.2000000000000002</v>
      </c>
      <c r="Q68" s="92">
        <f>VLOOKUP(Q$1,'CEM Data Lookup'!$A$3:$P$51,8,FALSE)</f>
        <v>0.96</v>
      </c>
      <c r="R68" s="92">
        <f>VLOOKUP(R$1,'CEM Data Lookup'!$A$3:$P$51,8,FALSE)</f>
        <v>2.66</v>
      </c>
      <c r="S68" s="92">
        <f>VLOOKUP(S$1,'CEM Data Lookup'!$A$3:$P$51,8,FALSE)</f>
        <v>1.08</v>
      </c>
      <c r="T68" s="92">
        <f>VLOOKUP(T$1,'CEM Data Lookup'!$A$3:$P$51,8,FALSE)</f>
        <v>1.32</v>
      </c>
      <c r="U68" s="92">
        <f>VLOOKUP(U$1,'CEM Data Lookup'!$A$3:$P$51,8,FALSE)</f>
        <v>1.1200000000000001</v>
      </c>
      <c r="V68" s="92">
        <f>VLOOKUP(V$1,'CEM Data Lookup'!$A$3:$P$51,8,FALSE)</f>
        <v>1.72</v>
      </c>
      <c r="W68" s="92">
        <f>VLOOKUP(W$1,'CEM Data Lookup'!$A$3:$P$51,8,FALSE)</f>
        <v>1.06</v>
      </c>
      <c r="X68" s="92">
        <f>VLOOKUP(X$1,'CEM Data Lookup'!$A$3:$P$51,8,FALSE)</f>
        <v>2.44</v>
      </c>
      <c r="Y68" s="92">
        <f>VLOOKUP(Y$1,'CEM Data Lookup'!$A$3:$P$51,8,FALSE)</f>
        <v>2.2000000000000002</v>
      </c>
      <c r="Z68" s="92">
        <f>VLOOKUP(Z$1,'CEM Data Lookup'!$A$3:$P$51,8,FALSE)</f>
        <v>1.76</v>
      </c>
      <c r="AA68" s="92">
        <f>VLOOKUP(AA$1,'CEM Data Lookup'!$A$3:$P$51,8,FALSE)</f>
        <v>5.4</v>
      </c>
      <c r="AB68" s="92">
        <f>VLOOKUP(AB$1,'CEM Data Lookup'!$A$3:$P$51,8,FALSE)</f>
        <v>4.6399999999999997</v>
      </c>
      <c r="AC68" s="92">
        <f>VLOOKUP(AC$1,'CEM Data Lookup'!$A$3:$P$51,8,FALSE)</f>
        <v>1.44</v>
      </c>
      <c r="AD68" s="92">
        <f>VLOOKUP(AD$1,'CEM Data Lookup'!$A$3:$P$51,8,FALSE)</f>
        <v>13.2</v>
      </c>
      <c r="AE68" s="92">
        <f>VLOOKUP(AE$1,'CEM Data Lookup'!$A$3:$P$51,8,FALSE)</f>
        <v>2.84</v>
      </c>
      <c r="AF68" s="92">
        <f>VLOOKUP(AF$1,'CEM Data Lookup'!$A$3:$P$51,8,FALSE)</f>
        <v>3.32</v>
      </c>
      <c r="AG68" s="92">
        <f>VLOOKUP(AG$1,'CEM Data Lookup'!$A$3:$P$51,8,FALSE)</f>
        <v>3.4</v>
      </c>
      <c r="AH68" s="92">
        <f>VLOOKUP(AH$1,'CEM Data Lookup'!$A$3:$P$51,8,FALSE)</f>
        <v>1.6</v>
      </c>
      <c r="AI68" s="92" t="str">
        <f>VLOOKUP(AI$1,'CEM Data Lookup'!$A$3:$P$51,8,FALSE)</f>
        <v>NA</v>
      </c>
      <c r="AJ68" s="92" t="str">
        <f>VLOOKUP(AJ$1,'CEM Data Lookup'!$A$3:$P$51,8,FALSE)</f>
        <v>NA</v>
      </c>
      <c r="AK68" s="92">
        <f>VLOOKUP(AK$1,'CEM Data Lookup'!$A$3:$P$51,8,FALSE)</f>
        <v>5</v>
      </c>
      <c r="AL68" s="92">
        <f>VLOOKUP(AL$1,'CEM Data Lookup'!$A$3:$P$51,8,FALSE)</f>
        <v>1.72</v>
      </c>
      <c r="AM68" s="92">
        <f>VLOOKUP(AM$1,'CEM Data Lookup'!$A$3:$P$51,8,FALSE)</f>
        <v>5.4</v>
      </c>
      <c r="AN68" s="92" t="str">
        <f>VLOOKUP(AN$1,'CEM Data Lookup'!$A$3:$P$51,8,FALSE)</f>
        <v>NA</v>
      </c>
      <c r="AO68" s="92">
        <f>VLOOKUP(AO$1,'CEM Data Lookup'!$A$3:$P$51,8,FALSE)</f>
        <v>1.52</v>
      </c>
      <c r="AP68" s="92">
        <f>VLOOKUP(AP$1,'CEM Data Lookup'!$A$3:$P$51,8,FALSE)</f>
        <v>1.2</v>
      </c>
      <c r="AQ68" s="92">
        <f>VLOOKUP(AQ$1,'CEM Data Lookup'!$A$3:$P$51,8,FALSE)</f>
        <v>2.86</v>
      </c>
      <c r="AR68" s="92">
        <f>VLOOKUP(AR$1,'CEM Data Lookup'!$A$3:$P$51,8,FALSE)</f>
        <v>1.36</v>
      </c>
      <c r="AS68" s="92">
        <f>VLOOKUP(AS$1,'CEM Data Lookup'!$A$3:$P$51,8,FALSE)</f>
        <v>1.56</v>
      </c>
      <c r="AT68" s="92">
        <f>VLOOKUP(AT$1,'CEM Data Lookup'!$A$3:$P$51,8,FALSE)</f>
        <v>1.4</v>
      </c>
      <c r="AU68" s="92">
        <f>VLOOKUP(AU$1,'CEM Data Lookup'!$A$3:$P$51,8,FALSE)</f>
        <v>8.4</v>
      </c>
      <c r="AV68" s="92">
        <f>VLOOKUP(AV$1,'CEM Data Lookup'!$A$3:$P$51,8,FALSE)</f>
        <v>3.24</v>
      </c>
      <c r="AW68" s="92" t="str">
        <f>VLOOKUP(AW$1,'CEM Data Lookup'!$A$3:$P$51,8,FALSE)</f>
        <v>NA</v>
      </c>
      <c r="AX68" s="92" t="str">
        <f>VLOOKUP(AX$1,'CEM Data Lookup'!$A$3:$P$51,8,FALSE)</f>
        <v>NA</v>
      </c>
      <c r="AY68" s="92">
        <f>VLOOKUP(AY$1,'CEM Data Lookup'!$A$3:$P$51,8,FALSE)</f>
        <v>10.8</v>
      </c>
    </row>
    <row r="69" spans="2:51" x14ac:dyDescent="0.45">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row>
    <row r="70" spans="2:51" x14ac:dyDescent="0.45">
      <c r="B70" s="285" t="s">
        <v>123</v>
      </c>
      <c r="C70" s="53">
        <f>IFERROR(ROUND(100 * (C68/C66),2),0)</f>
        <v>2.02</v>
      </c>
      <c r="D70" s="53">
        <f t="shared" ref="D70:AY70" si="1">IFERROR(ROUND(100 * (D68/D66),2),0)</f>
        <v>3.7</v>
      </c>
      <c r="E70" s="53">
        <f t="shared" si="1"/>
        <v>2.29</v>
      </c>
      <c r="F70" s="53">
        <f t="shared" si="1"/>
        <v>0.43</v>
      </c>
      <c r="G70" s="53">
        <f t="shared" si="1"/>
        <v>7.56</v>
      </c>
      <c r="H70" s="53">
        <f t="shared" si="1"/>
        <v>0.42</v>
      </c>
      <c r="I70" s="53">
        <f t="shared" si="1"/>
        <v>1.49</v>
      </c>
      <c r="J70" s="53">
        <f t="shared" si="1"/>
        <v>0</v>
      </c>
      <c r="K70" s="53">
        <f t="shared" si="1"/>
        <v>1.54</v>
      </c>
      <c r="L70" s="53">
        <f t="shared" si="1"/>
        <v>1.29</v>
      </c>
      <c r="M70" s="53">
        <f t="shared" si="1"/>
        <v>0.79</v>
      </c>
      <c r="N70" s="53">
        <f t="shared" si="1"/>
        <v>0</v>
      </c>
      <c r="O70" s="53">
        <f t="shared" si="1"/>
        <v>0.49</v>
      </c>
      <c r="P70" s="53">
        <f t="shared" si="1"/>
        <v>0.92</v>
      </c>
      <c r="Q70" s="53">
        <f t="shared" si="1"/>
        <v>0.25</v>
      </c>
      <c r="R70" s="53">
        <f t="shared" si="1"/>
        <v>5.0599999999999996</v>
      </c>
      <c r="S70" s="53">
        <f t="shared" si="1"/>
        <v>0.46</v>
      </c>
      <c r="T70" s="53">
        <f t="shared" si="1"/>
        <v>1.68</v>
      </c>
      <c r="U70" s="53">
        <f t="shared" si="1"/>
        <v>1.18</v>
      </c>
      <c r="V70" s="53">
        <f t="shared" si="1"/>
        <v>2.21</v>
      </c>
      <c r="W70" s="53">
        <f t="shared" si="1"/>
        <v>1.03</v>
      </c>
      <c r="X70" s="53">
        <f t="shared" si="1"/>
        <v>1.55</v>
      </c>
      <c r="Y70" s="53">
        <f t="shared" si="1"/>
        <v>1.26</v>
      </c>
      <c r="Z70" s="53">
        <f t="shared" si="1"/>
        <v>0.98</v>
      </c>
      <c r="AA70" s="53">
        <f t="shared" si="1"/>
        <v>2.77</v>
      </c>
      <c r="AB70" s="53">
        <f t="shared" si="1"/>
        <v>2.0299999999999998</v>
      </c>
      <c r="AC70" s="53">
        <f t="shared" si="1"/>
        <v>0.8</v>
      </c>
      <c r="AD70" s="53">
        <f t="shared" si="1"/>
        <v>2.61</v>
      </c>
      <c r="AE70" s="53">
        <f t="shared" si="1"/>
        <v>0.48</v>
      </c>
      <c r="AF70" s="53">
        <f t="shared" si="1"/>
        <v>0.77</v>
      </c>
      <c r="AG70" s="53">
        <f t="shared" si="1"/>
        <v>4.1399999999999997</v>
      </c>
      <c r="AH70" s="53">
        <f t="shared" si="1"/>
        <v>0.91</v>
      </c>
      <c r="AI70" s="53">
        <f t="shared" si="1"/>
        <v>0</v>
      </c>
      <c r="AJ70" s="53">
        <f t="shared" si="1"/>
        <v>0</v>
      </c>
      <c r="AK70" s="53">
        <f t="shared" si="1"/>
        <v>2.12</v>
      </c>
      <c r="AL70" s="53">
        <f t="shared" si="1"/>
        <v>6.56</v>
      </c>
      <c r="AM70" s="53">
        <f t="shared" si="1"/>
        <v>4.28</v>
      </c>
      <c r="AN70" s="53">
        <f t="shared" si="1"/>
        <v>0</v>
      </c>
      <c r="AO70" s="53">
        <f t="shared" si="1"/>
        <v>1.59</v>
      </c>
      <c r="AP70" s="53">
        <f t="shared" si="1"/>
        <v>1.45</v>
      </c>
      <c r="AQ70" s="53">
        <f t="shared" si="1"/>
        <v>0.78</v>
      </c>
      <c r="AR70" s="53">
        <f t="shared" si="1"/>
        <v>1.9</v>
      </c>
      <c r="AS70" s="53">
        <f t="shared" si="1"/>
        <v>0.28999999999999998</v>
      </c>
      <c r="AT70" s="53">
        <f t="shared" si="1"/>
        <v>0.7</v>
      </c>
      <c r="AU70" s="53">
        <f t="shared" si="1"/>
        <v>1.52</v>
      </c>
      <c r="AV70" s="53">
        <f t="shared" si="1"/>
        <v>5.99</v>
      </c>
      <c r="AW70" s="53">
        <f t="shared" si="1"/>
        <v>0</v>
      </c>
      <c r="AX70" s="53">
        <f t="shared" si="1"/>
        <v>0</v>
      </c>
      <c r="AY70" s="53">
        <f t="shared" si="1"/>
        <v>2.13</v>
      </c>
    </row>
    <row r="72" spans="2:51" x14ac:dyDescent="0.45">
      <c r="B72" s="280"/>
    </row>
    <row r="73" spans="2:51" x14ac:dyDescent="0.45">
      <c r="B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row>
    <row r="74" spans="2:51" x14ac:dyDescent="0.45">
      <c r="B74" s="280"/>
    </row>
    <row r="75" spans="2:51" x14ac:dyDescent="0.45">
      <c r="B75" s="280"/>
    </row>
    <row r="76" spans="2:51" x14ac:dyDescent="0.45">
      <c r="B76" s="280"/>
    </row>
    <row r="77" spans="2:51" x14ac:dyDescent="0.45">
      <c r="B77" s="280"/>
    </row>
    <row r="78" spans="2:51" x14ac:dyDescent="0.45">
      <c r="B78" s="280"/>
    </row>
    <row r="79" spans="2:51" x14ac:dyDescent="0.45">
      <c r="B79" s="280"/>
    </row>
    <row r="80" spans="2:51" x14ac:dyDescent="0.45">
      <c r="B80" s="280"/>
    </row>
    <row r="81" spans="2:2" x14ac:dyDescent="0.45">
      <c r="B81" s="280"/>
    </row>
    <row r="82" spans="2:2" x14ac:dyDescent="0.45">
      <c r="B82" s="280"/>
    </row>
    <row r="83" spans="2:2" x14ac:dyDescent="0.45">
      <c r="B83" s="280"/>
    </row>
    <row r="84" spans="2:2" x14ac:dyDescent="0.45">
      <c r="B84" s="280"/>
    </row>
    <row r="85" spans="2:2" x14ac:dyDescent="0.45">
      <c r="B85" s="280"/>
    </row>
    <row r="86" spans="2:2" x14ac:dyDescent="0.45">
      <c r="B86" s="280"/>
    </row>
    <row r="87" spans="2:2" x14ac:dyDescent="0.45">
      <c r="B87" s="280"/>
    </row>
    <row r="88" spans="2:2" x14ac:dyDescent="0.45">
      <c r="B88" s="280"/>
    </row>
    <row r="89" spans="2:2" x14ac:dyDescent="0.45">
      <c r="B89" s="280"/>
    </row>
    <row r="90" spans="2:2" x14ac:dyDescent="0.45">
      <c r="B90" s="280"/>
    </row>
    <row r="91" spans="2:2" x14ac:dyDescent="0.45">
      <c r="B91" s="280"/>
    </row>
    <row r="92" spans="2:2" x14ac:dyDescent="0.45">
      <c r="B92" s="280"/>
    </row>
    <row r="93" spans="2:2" x14ac:dyDescent="0.45">
      <c r="B93" s="280"/>
    </row>
    <row r="94" spans="2:2" x14ac:dyDescent="0.45">
      <c r="B94" s="280"/>
    </row>
    <row r="95" spans="2:2" x14ac:dyDescent="0.45">
      <c r="B95" s="280"/>
    </row>
    <row r="96" spans="2:2" x14ac:dyDescent="0.45">
      <c r="B96" s="280"/>
    </row>
    <row r="97" spans="2:2" x14ac:dyDescent="0.45">
      <c r="B97" s="280"/>
    </row>
    <row r="98" spans="2:2" x14ac:dyDescent="0.45">
      <c r="B98" s="280"/>
    </row>
    <row r="99" spans="2:2" x14ac:dyDescent="0.45">
      <c r="B99" s="286"/>
    </row>
    <row r="100" spans="2:2" x14ac:dyDescent="0.45">
      <c r="B100" s="286"/>
    </row>
    <row r="101" spans="2:2" x14ac:dyDescent="0.45">
      <c r="B101" s="286"/>
    </row>
    <row r="102" spans="2:2" x14ac:dyDescent="0.45">
      <c r="B102" s="286"/>
    </row>
    <row r="103" spans="2:2" x14ac:dyDescent="0.45">
      <c r="B103" s="286"/>
    </row>
    <row r="104" spans="2:2" x14ac:dyDescent="0.45">
      <c r="B104" s="286"/>
    </row>
    <row r="105" spans="2:2" x14ac:dyDescent="0.45">
      <c r="B105" s="286"/>
    </row>
    <row r="106" spans="2:2" x14ac:dyDescent="0.45">
      <c r="B106" s="286"/>
    </row>
    <row r="107" spans="2:2" x14ac:dyDescent="0.45">
      <c r="B107" s="286"/>
    </row>
    <row r="108" spans="2:2" x14ac:dyDescent="0.45">
      <c r="B108" s="286"/>
    </row>
    <row r="109" spans="2:2" x14ac:dyDescent="0.45">
      <c r="B109" s="286"/>
    </row>
    <row r="110" spans="2:2" x14ac:dyDescent="0.45">
      <c r="B110" s="286"/>
    </row>
    <row r="111" spans="2:2" x14ac:dyDescent="0.45">
      <c r="B111" s="286"/>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P78"/>
  <sheetViews>
    <sheetView zoomScale="85" zoomScaleNormal="85" workbookViewId="0"/>
  </sheetViews>
  <sheetFormatPr defaultColWidth="9" defaultRowHeight="13.8" x14ac:dyDescent="0.45"/>
  <cols>
    <col min="1" max="1" width="3.5234375" style="1" customWidth="1"/>
    <col min="2" max="2" width="21.15625" style="1" customWidth="1"/>
    <col min="3" max="6" width="16.15625" style="1" customWidth="1"/>
    <col min="7" max="7" width="9.7890625" style="1" bestFit="1" customWidth="1"/>
    <col min="8" max="9" width="9" style="1"/>
    <col min="10" max="10" width="9" style="1" customWidth="1"/>
    <col min="11" max="11" width="10.7890625" style="1" customWidth="1"/>
    <col min="12" max="16384" width="9" style="1"/>
  </cols>
  <sheetData>
    <row r="1" spans="1:16" s="518" customFormat="1" x14ac:dyDescent="0.45">
      <c r="A1" s="517"/>
      <c r="B1" s="285"/>
      <c r="C1" s="285"/>
      <c r="D1" s="285"/>
      <c r="E1" s="285"/>
      <c r="F1" s="285"/>
      <c r="G1" s="285"/>
      <c r="H1" s="285"/>
      <c r="I1" s="285"/>
      <c r="J1" s="285"/>
      <c r="K1" s="285"/>
      <c r="L1" s="285"/>
      <c r="M1" s="285"/>
      <c r="N1" s="285"/>
      <c r="O1" s="285"/>
      <c r="P1" s="285"/>
    </row>
    <row r="2" spans="1:16" s="518" customFormat="1" x14ac:dyDescent="0.45">
      <c r="A2" s="1"/>
    </row>
    <row r="3" spans="1:16" s="519" customFormat="1" ht="14.25" customHeight="1" x14ac:dyDescent="0.45">
      <c r="B3" s="1476" t="s">
        <v>1079</v>
      </c>
      <c r="C3" s="1476" t="s">
        <v>1077</v>
      </c>
      <c r="D3" s="1476" t="s">
        <v>1078</v>
      </c>
      <c r="E3" s="1476" t="s">
        <v>1080</v>
      </c>
      <c r="F3" s="1476" t="s">
        <v>1081</v>
      </c>
      <c r="G3" s="520"/>
      <c r="H3" s="521"/>
      <c r="I3" s="521"/>
      <c r="J3" s="521"/>
      <c r="K3" s="521"/>
      <c r="L3" s="521"/>
      <c r="M3" s="521"/>
    </row>
    <row r="4" spans="1:16" s="519" customFormat="1" ht="14.25" customHeight="1" x14ac:dyDescent="0.45">
      <c r="B4" s="1476"/>
      <c r="C4" s="1476"/>
      <c r="D4" s="1476"/>
      <c r="E4" s="1476"/>
      <c r="F4" s="1476"/>
    </row>
    <row r="5" spans="1:16" s="519" customFormat="1" x14ac:dyDescent="0.45">
      <c r="B5" s="1477"/>
      <c r="C5" s="1477"/>
      <c r="D5" s="1477"/>
      <c r="E5" s="1477"/>
      <c r="F5" s="1477"/>
    </row>
    <row r="6" spans="1:16" s="519" customFormat="1" ht="14.1" thickBot="1" x14ac:dyDescent="0.5">
      <c r="B6" s="522"/>
      <c r="C6" s="522"/>
      <c r="D6" s="522"/>
      <c r="E6" s="522"/>
      <c r="F6" s="522"/>
    </row>
    <row r="7" spans="1:16" s="519" customFormat="1" x14ac:dyDescent="0.45">
      <c r="B7" s="745">
        <v>45688</v>
      </c>
      <c r="C7" s="733">
        <v>0.4</v>
      </c>
      <c r="D7" s="734">
        <f>ROUND(((1+C7)^0.25)-1,4)</f>
        <v>8.7800000000000003E-2</v>
      </c>
      <c r="E7" s="735">
        <v>0.02</v>
      </c>
      <c r="F7" s="736">
        <f>D7+E7</f>
        <v>0.10780000000000001</v>
      </c>
    </row>
    <row r="8" spans="1:16" s="519" customFormat="1" x14ac:dyDescent="0.45">
      <c r="B8" s="746">
        <v>45681</v>
      </c>
      <c r="C8" s="724">
        <v>0.45</v>
      </c>
      <c r="D8" s="725">
        <f t="shared" ref="D8:D19" si="0">ROUND(((1+C8)^0.25)-1,4)</f>
        <v>9.7299999999999998E-2</v>
      </c>
      <c r="E8" s="726">
        <v>2.1000000000000001E-2</v>
      </c>
      <c r="F8" s="727">
        <f t="shared" ref="F8:F19" si="1">D8+E8</f>
        <v>0.1183</v>
      </c>
    </row>
    <row r="9" spans="1:16" s="519" customFormat="1" x14ac:dyDescent="0.45">
      <c r="B9" s="746">
        <v>45674</v>
      </c>
      <c r="C9" s="724">
        <v>0.45</v>
      </c>
      <c r="D9" s="725">
        <f t="shared" si="0"/>
        <v>9.7299999999999998E-2</v>
      </c>
      <c r="E9" s="726">
        <v>2.1000000000000001E-2</v>
      </c>
      <c r="F9" s="727">
        <f t="shared" si="1"/>
        <v>0.1183</v>
      </c>
      <c r="G9" s="521"/>
      <c r="H9" s="521"/>
      <c r="J9" s="521"/>
      <c r="K9" s="521"/>
      <c r="M9" s="522"/>
    </row>
    <row r="10" spans="1:16" s="519" customFormat="1" x14ac:dyDescent="0.45">
      <c r="B10" s="746">
        <v>45667</v>
      </c>
      <c r="C10" s="724">
        <v>0.45</v>
      </c>
      <c r="D10" s="725">
        <f t="shared" si="0"/>
        <v>9.7299999999999998E-2</v>
      </c>
      <c r="E10" s="726">
        <v>2.1000000000000001E-2</v>
      </c>
      <c r="F10" s="727">
        <f t="shared" si="1"/>
        <v>0.1183</v>
      </c>
      <c r="G10" s="521"/>
      <c r="H10" s="521"/>
      <c r="J10" s="521"/>
      <c r="K10" s="521"/>
      <c r="M10" s="522"/>
    </row>
    <row r="11" spans="1:16" s="519" customFormat="1" x14ac:dyDescent="0.45">
      <c r="B11" s="746">
        <v>45660</v>
      </c>
      <c r="C11" s="724">
        <v>0.45</v>
      </c>
      <c r="D11" s="725">
        <f t="shared" si="0"/>
        <v>9.7299999999999998E-2</v>
      </c>
      <c r="E11" s="726">
        <v>2.1000000000000001E-2</v>
      </c>
      <c r="F11" s="727">
        <f t="shared" si="1"/>
        <v>0.1183</v>
      </c>
      <c r="G11" s="521"/>
      <c r="H11" s="521"/>
      <c r="J11" s="521"/>
      <c r="K11" s="521"/>
      <c r="M11" s="522"/>
    </row>
    <row r="12" spans="1:16" s="519" customFormat="1" x14ac:dyDescent="0.45">
      <c r="B12" s="746">
        <v>45653</v>
      </c>
      <c r="C12" s="728">
        <v>0.4</v>
      </c>
      <c r="D12" s="725">
        <f t="shared" si="0"/>
        <v>8.7800000000000003E-2</v>
      </c>
      <c r="E12" s="726">
        <v>0.02</v>
      </c>
      <c r="F12" s="727">
        <f t="shared" si="1"/>
        <v>0.10780000000000001</v>
      </c>
      <c r="G12" s="521"/>
      <c r="H12" s="521"/>
      <c r="J12" s="521"/>
      <c r="K12" s="521"/>
      <c r="M12" s="522"/>
    </row>
    <row r="13" spans="1:16" s="519" customFormat="1" x14ac:dyDescent="0.45">
      <c r="B13" s="746">
        <v>45646</v>
      </c>
      <c r="C13" s="728">
        <v>0.35</v>
      </c>
      <c r="D13" s="725">
        <f t="shared" si="0"/>
        <v>7.7899999999999997E-2</v>
      </c>
      <c r="E13" s="726">
        <v>0.02</v>
      </c>
      <c r="F13" s="727">
        <f t="shared" si="1"/>
        <v>9.7900000000000001E-2</v>
      </c>
      <c r="G13" s="521"/>
      <c r="H13" s="521"/>
      <c r="J13" s="521"/>
      <c r="K13" s="521"/>
      <c r="M13" s="522"/>
    </row>
    <row r="14" spans="1:16" s="519" customFormat="1" x14ac:dyDescent="0.45">
      <c r="B14" s="746">
        <v>45639</v>
      </c>
      <c r="C14" s="724">
        <v>0.35</v>
      </c>
      <c r="D14" s="725">
        <f t="shared" si="0"/>
        <v>7.7899999999999997E-2</v>
      </c>
      <c r="E14" s="726">
        <v>1.9E-2</v>
      </c>
      <c r="F14" s="727">
        <f t="shared" si="1"/>
        <v>9.69E-2</v>
      </c>
      <c r="G14" s="521"/>
      <c r="H14" s="521"/>
      <c r="J14" s="521"/>
      <c r="K14" s="521"/>
      <c r="M14" s="522"/>
    </row>
    <row r="15" spans="1:16" s="519" customFormat="1" x14ac:dyDescent="0.45">
      <c r="B15" s="746">
        <v>45632</v>
      </c>
      <c r="C15" s="724">
        <v>0.35</v>
      </c>
      <c r="D15" s="725">
        <f t="shared" si="0"/>
        <v>7.7899999999999997E-2</v>
      </c>
      <c r="E15" s="726">
        <v>1.9E-2</v>
      </c>
      <c r="F15" s="727">
        <f t="shared" si="1"/>
        <v>9.69E-2</v>
      </c>
      <c r="G15" s="521"/>
      <c r="H15" s="521"/>
      <c r="J15" s="521"/>
      <c r="K15" s="521"/>
      <c r="M15" s="522"/>
    </row>
    <row r="16" spans="1:16" s="519" customFormat="1" x14ac:dyDescent="0.45">
      <c r="B16" s="746">
        <v>45625</v>
      </c>
      <c r="C16" s="728">
        <v>0.4</v>
      </c>
      <c r="D16" s="725">
        <f t="shared" si="0"/>
        <v>8.7800000000000003E-2</v>
      </c>
      <c r="E16" s="726">
        <v>0.02</v>
      </c>
      <c r="F16" s="727">
        <f t="shared" si="1"/>
        <v>0.10780000000000001</v>
      </c>
      <c r="G16" s="521"/>
      <c r="H16" s="521"/>
      <c r="J16" s="521"/>
      <c r="K16" s="521"/>
      <c r="M16" s="522"/>
    </row>
    <row r="17" spans="1:16" s="519" customFormat="1" x14ac:dyDescent="0.45">
      <c r="B17" s="746">
        <v>45618</v>
      </c>
      <c r="C17" s="728">
        <v>0.35</v>
      </c>
      <c r="D17" s="725">
        <f t="shared" si="0"/>
        <v>7.7899999999999997E-2</v>
      </c>
      <c r="E17" s="726">
        <v>1.9E-2</v>
      </c>
      <c r="F17" s="727">
        <f t="shared" si="1"/>
        <v>9.69E-2</v>
      </c>
      <c r="G17" s="521"/>
      <c r="H17" s="521"/>
      <c r="J17" s="521"/>
      <c r="K17" s="521"/>
      <c r="M17" s="522"/>
    </row>
    <row r="18" spans="1:16" s="519" customFormat="1" x14ac:dyDescent="0.45">
      <c r="B18" s="746">
        <v>45611</v>
      </c>
      <c r="C18" s="728">
        <v>0.4</v>
      </c>
      <c r="D18" s="725">
        <f t="shared" si="0"/>
        <v>8.7800000000000003E-2</v>
      </c>
      <c r="E18" s="726">
        <v>2.1000000000000001E-2</v>
      </c>
      <c r="F18" s="727">
        <f t="shared" si="1"/>
        <v>0.10880000000000001</v>
      </c>
      <c r="G18" s="521"/>
      <c r="H18" s="521"/>
      <c r="J18" s="521"/>
      <c r="K18" s="521"/>
      <c r="M18" s="522"/>
    </row>
    <row r="19" spans="1:16" s="519" customFormat="1" ht="14.1" thickBot="1" x14ac:dyDescent="0.5">
      <c r="A19" s="523"/>
      <c r="B19" s="747">
        <v>45604</v>
      </c>
      <c r="C19" s="729">
        <v>0.4</v>
      </c>
      <c r="D19" s="730">
        <f t="shared" si="0"/>
        <v>8.7800000000000003E-2</v>
      </c>
      <c r="E19" s="731">
        <v>0.02</v>
      </c>
      <c r="F19" s="732">
        <f t="shared" si="1"/>
        <v>0.10780000000000001</v>
      </c>
      <c r="G19" s="521"/>
      <c r="H19" s="521"/>
      <c r="J19" s="521"/>
      <c r="K19" s="521"/>
      <c r="M19" s="522"/>
    </row>
    <row r="20" spans="1:16" s="518" customFormat="1" x14ac:dyDescent="0.45">
      <c r="A20" s="286"/>
      <c r="B20" s="748"/>
      <c r="C20" s="273"/>
      <c r="D20" s="749"/>
      <c r="E20" s="749"/>
      <c r="F20" s="524"/>
      <c r="G20" s="522"/>
      <c r="H20" s="522"/>
      <c r="J20" s="524"/>
      <c r="K20" s="522"/>
      <c r="M20" s="525"/>
    </row>
    <row r="21" spans="1:16" s="518" customFormat="1" x14ac:dyDescent="0.45">
      <c r="A21" s="286"/>
      <c r="B21" s="750"/>
      <c r="C21" s="273"/>
      <c r="D21" s="522"/>
      <c r="E21" s="749"/>
      <c r="F21" s="749"/>
      <c r="G21" s="522"/>
      <c r="H21" s="522"/>
      <c r="J21" s="522"/>
      <c r="K21" s="522"/>
      <c r="M21" s="525"/>
    </row>
    <row r="22" spans="1:16" s="518" customFormat="1" x14ac:dyDescent="0.45">
      <c r="A22" s="286"/>
      <c r="B22" s="750" t="s">
        <v>1082</v>
      </c>
      <c r="C22" s="273">
        <f>ROUND(AVERAGE(C7:C19),2)</f>
        <v>0.4</v>
      </c>
      <c r="D22" s="274">
        <f>ROUND(((1+C22)^0.25)-1,4)</f>
        <v>8.7800000000000003E-2</v>
      </c>
      <c r="E22" s="751">
        <f>ROUND(AVERAGE(E7:E19),4)</f>
        <v>2.0199999999999999E-2</v>
      </c>
      <c r="F22" s="751">
        <f>E22+D22</f>
        <v>0.108</v>
      </c>
      <c r="G22" s="524"/>
      <c r="H22" s="524"/>
      <c r="J22" s="524"/>
      <c r="K22" s="524"/>
      <c r="M22" s="525"/>
      <c r="P22" s="526"/>
    </row>
    <row r="23" spans="1:16" s="518" customFormat="1" x14ac:dyDescent="0.45">
      <c r="A23" s="286"/>
      <c r="B23" s="750"/>
      <c r="C23" s="273"/>
      <c r="D23" s="274"/>
      <c r="E23" s="524"/>
      <c r="F23" s="524"/>
      <c r="G23" s="524"/>
      <c r="H23" s="524"/>
      <c r="J23" s="524"/>
      <c r="K23" s="524"/>
      <c r="M23" s="525"/>
      <c r="P23" s="526"/>
    </row>
    <row r="24" spans="1:16" s="518" customFormat="1" x14ac:dyDescent="0.45">
      <c r="A24" s="286"/>
      <c r="B24" s="750"/>
      <c r="C24" s="273"/>
      <c r="D24" s="274"/>
      <c r="E24" s="524"/>
      <c r="F24" s="524"/>
      <c r="G24" s="524"/>
      <c r="H24" s="524"/>
      <c r="J24" s="524"/>
      <c r="K24" s="524"/>
      <c r="M24" s="525"/>
      <c r="P24" s="526"/>
    </row>
    <row r="25" spans="1:16" s="518" customFormat="1" ht="14.1" thickBot="1" x14ac:dyDescent="0.5">
      <c r="A25" s="286"/>
      <c r="C25" s="519" t="s">
        <v>1085</v>
      </c>
      <c r="D25" s="519" t="s">
        <v>1086</v>
      </c>
      <c r="G25" s="524"/>
      <c r="H25" s="524"/>
      <c r="J25" s="524"/>
      <c r="K25" s="524"/>
      <c r="M25" s="525"/>
      <c r="P25" s="526"/>
    </row>
    <row r="26" spans="1:16" s="518" customFormat="1" x14ac:dyDescent="0.45">
      <c r="A26" s="286"/>
      <c r="B26" s="752" t="s">
        <v>1087</v>
      </c>
      <c r="C26" s="753">
        <v>5.5</v>
      </c>
      <c r="D26" s="754">
        <v>6.2</v>
      </c>
      <c r="E26" s="287"/>
      <c r="G26" s="524"/>
      <c r="H26" s="524"/>
      <c r="J26" s="524"/>
      <c r="K26" s="524"/>
      <c r="M26" s="525"/>
      <c r="P26" s="526"/>
    </row>
    <row r="27" spans="1:16" s="518" customFormat="1" x14ac:dyDescent="0.45">
      <c r="A27" s="286"/>
      <c r="B27" s="755" t="s">
        <v>1088</v>
      </c>
      <c r="C27" s="756">
        <v>5.4</v>
      </c>
      <c r="D27" s="757">
        <v>6.2</v>
      </c>
      <c r="E27" s="287"/>
      <c r="G27" s="524"/>
      <c r="H27" s="524"/>
      <c r="J27" s="524"/>
      <c r="K27" s="524"/>
      <c r="M27" s="525"/>
      <c r="P27" s="526"/>
    </row>
    <row r="28" spans="1:16" s="518" customFormat="1" x14ac:dyDescent="0.45">
      <c r="A28" s="286"/>
      <c r="B28" s="755" t="s">
        <v>1089</v>
      </c>
      <c r="C28" s="756">
        <v>5.4</v>
      </c>
      <c r="D28" s="757">
        <v>6.2</v>
      </c>
      <c r="E28" s="527"/>
      <c r="G28" s="524"/>
      <c r="H28" s="524"/>
      <c r="J28" s="524"/>
      <c r="K28" s="524"/>
      <c r="M28" s="525"/>
      <c r="P28" s="526"/>
    </row>
    <row r="29" spans="1:16" s="518" customFormat="1" x14ac:dyDescent="0.45">
      <c r="A29" s="286"/>
      <c r="B29" s="755" t="s">
        <v>2660</v>
      </c>
      <c r="C29" s="756">
        <v>5.4</v>
      </c>
      <c r="D29" s="757">
        <v>6.2</v>
      </c>
      <c r="E29" s="287"/>
      <c r="G29" s="524"/>
      <c r="H29" s="524"/>
      <c r="J29" s="524"/>
      <c r="K29" s="524"/>
      <c r="M29" s="525"/>
      <c r="P29" s="526"/>
    </row>
    <row r="30" spans="1:16" s="518" customFormat="1" x14ac:dyDescent="0.45">
      <c r="A30" s="286"/>
      <c r="B30" s="755" t="s">
        <v>2802</v>
      </c>
      <c r="C30" s="756">
        <v>5.4</v>
      </c>
      <c r="D30" s="757">
        <v>6.2</v>
      </c>
      <c r="E30" s="287"/>
      <c r="G30" s="524"/>
      <c r="H30" s="524"/>
      <c r="J30" s="524"/>
      <c r="K30" s="524"/>
      <c r="M30" s="525"/>
      <c r="P30" s="526"/>
    </row>
    <row r="31" spans="1:16" s="518" customFormat="1" x14ac:dyDescent="0.45">
      <c r="A31" s="286"/>
      <c r="B31" s="755" t="s">
        <v>3903</v>
      </c>
      <c r="C31" s="756">
        <v>5.4</v>
      </c>
      <c r="D31" s="757">
        <v>6.2</v>
      </c>
      <c r="E31" s="287"/>
      <c r="G31" s="524"/>
      <c r="H31" s="524"/>
      <c r="J31" s="524"/>
      <c r="K31" s="524"/>
      <c r="M31" s="525"/>
      <c r="P31" s="526"/>
    </row>
    <row r="32" spans="1:16" s="518" customFormat="1" x14ac:dyDescent="0.45">
      <c r="A32" s="286"/>
      <c r="B32" s="755" t="s">
        <v>2661</v>
      </c>
      <c r="C32" s="756">
        <v>5.2</v>
      </c>
      <c r="D32" s="757">
        <v>6</v>
      </c>
      <c r="E32" s="287"/>
      <c r="G32" s="524"/>
      <c r="H32" s="524"/>
      <c r="J32" s="524"/>
      <c r="K32" s="524"/>
      <c r="M32" s="525"/>
      <c r="P32" s="526"/>
    </row>
    <row r="33" spans="1:16" s="518" customFormat="1" ht="14.1" thickBot="1" x14ac:dyDescent="0.5">
      <c r="A33" s="286"/>
      <c r="B33" s="758" t="s">
        <v>2662</v>
      </c>
      <c r="C33" s="759">
        <v>5.0999999999999996</v>
      </c>
      <c r="D33" s="759">
        <v>5.9</v>
      </c>
      <c r="E33" s="287"/>
      <c r="G33" s="524"/>
      <c r="H33" s="524"/>
      <c r="J33" s="524"/>
      <c r="K33" s="524"/>
      <c r="M33" s="525"/>
      <c r="P33" s="526"/>
    </row>
    <row r="34" spans="1:16" s="518" customFormat="1" x14ac:dyDescent="0.45">
      <c r="A34" s="286"/>
      <c r="E34" s="285"/>
      <c r="G34" s="524"/>
      <c r="H34" s="524"/>
      <c r="J34" s="524"/>
      <c r="K34" s="524"/>
      <c r="M34" s="525"/>
      <c r="P34" s="526"/>
    </row>
    <row r="35" spans="1:16" s="518" customFormat="1" x14ac:dyDescent="0.45">
      <c r="C35" s="760">
        <f>ROUND(AVERAGE(C26:C33),2)</f>
        <v>5.35</v>
      </c>
      <c r="D35" s="760">
        <f>ROUND(AVERAGE(D26:D33),2)</f>
        <v>6.14</v>
      </c>
      <c r="E35" s="285"/>
      <c r="L35" s="526"/>
      <c r="M35" s="528"/>
    </row>
    <row r="36" spans="1:16" s="518" customFormat="1" x14ac:dyDescent="0.45">
      <c r="C36" s="527"/>
      <c r="D36" s="527"/>
      <c r="E36" s="285"/>
      <c r="L36" s="526"/>
      <c r="M36" s="528"/>
    </row>
    <row r="37" spans="1:16" s="518" customFormat="1" x14ac:dyDescent="0.45">
      <c r="C37" s="527"/>
      <c r="D37" s="527"/>
      <c r="E37" s="285"/>
      <c r="L37" s="526"/>
      <c r="M37" s="528"/>
    </row>
    <row r="38" spans="1:16" s="518" customFormat="1" x14ac:dyDescent="0.45">
      <c r="B38" s="1478" t="s">
        <v>1083</v>
      </c>
      <c r="C38" s="1478"/>
      <c r="J38" s="285"/>
      <c r="K38" s="285"/>
      <c r="L38" s="285"/>
    </row>
    <row r="39" spans="1:16" s="518" customFormat="1" ht="15.75" customHeight="1" x14ac:dyDescent="0.45">
      <c r="A39" s="1479" t="s">
        <v>1084</v>
      </c>
      <c r="B39" s="1479"/>
      <c r="C39" s="1479"/>
      <c r="D39" s="1479"/>
      <c r="E39" s="529"/>
      <c r="F39" s="529"/>
      <c r="G39" s="529"/>
      <c r="H39" s="529"/>
      <c r="I39" s="529"/>
      <c r="J39" s="285"/>
      <c r="K39" s="285"/>
      <c r="L39" s="285"/>
    </row>
    <row r="40" spans="1:16" s="518" customFormat="1" ht="14.1" thickBot="1" x14ac:dyDescent="0.5">
      <c r="B40" s="530"/>
    </row>
    <row r="41" spans="1:16" s="518" customFormat="1" x14ac:dyDescent="0.45">
      <c r="B41" s="531" t="s">
        <v>1087</v>
      </c>
      <c r="C41" s="740">
        <v>4.7</v>
      </c>
      <c r="D41" s="532"/>
      <c r="G41" s="285"/>
      <c r="H41" s="285"/>
      <c r="I41" s="285"/>
    </row>
    <row r="42" spans="1:16" s="518" customFormat="1" x14ac:dyDescent="0.45">
      <c r="B42" s="531" t="s">
        <v>1088</v>
      </c>
      <c r="C42" s="741">
        <v>4.7</v>
      </c>
      <c r="D42" s="532"/>
      <c r="G42" s="285"/>
      <c r="H42" s="285"/>
      <c r="I42" s="285"/>
    </row>
    <row r="43" spans="1:16" s="518" customFormat="1" x14ac:dyDescent="0.45">
      <c r="B43" s="531" t="s">
        <v>1089</v>
      </c>
      <c r="C43" s="741">
        <v>4.7</v>
      </c>
      <c r="D43" s="532"/>
      <c r="G43" s="285"/>
      <c r="H43" s="285"/>
      <c r="I43" s="285"/>
    </row>
    <row r="44" spans="1:16" s="518" customFormat="1" x14ac:dyDescent="0.45">
      <c r="B44" s="531" t="s">
        <v>2660</v>
      </c>
      <c r="C44" s="741">
        <v>4.7</v>
      </c>
      <c r="D44" s="532"/>
      <c r="H44" s="285"/>
      <c r="I44" s="285"/>
    </row>
    <row r="45" spans="1:16" s="518" customFormat="1" x14ac:dyDescent="0.45">
      <c r="B45" s="531" t="s">
        <v>2802</v>
      </c>
      <c r="C45" s="741">
        <v>4.5999999999999996</v>
      </c>
      <c r="D45" s="532"/>
      <c r="G45" s="519"/>
      <c r="H45" s="285"/>
      <c r="I45" s="285"/>
    </row>
    <row r="46" spans="1:16" s="518" customFormat="1" x14ac:dyDescent="0.45">
      <c r="B46" s="531" t="s">
        <v>3903</v>
      </c>
      <c r="C46" s="741">
        <v>4.5999999999999996</v>
      </c>
      <c r="D46" s="532"/>
      <c r="G46" s="519"/>
      <c r="H46" s="285"/>
      <c r="I46" s="285"/>
    </row>
    <row r="47" spans="1:16" s="518" customFormat="1" x14ac:dyDescent="0.45">
      <c r="B47" s="531" t="s">
        <v>2661</v>
      </c>
      <c r="C47" s="741">
        <v>4.3</v>
      </c>
      <c r="D47" s="532"/>
      <c r="G47" s="519"/>
      <c r="H47" s="285"/>
      <c r="I47" s="285"/>
    </row>
    <row r="48" spans="1:16" s="518" customFormat="1" ht="14.1" thickBot="1" x14ac:dyDescent="0.5">
      <c r="B48" s="533" t="s">
        <v>2662</v>
      </c>
      <c r="C48" s="742">
        <v>4.2</v>
      </c>
      <c r="D48" s="532"/>
      <c r="G48" s="519"/>
      <c r="H48" s="285"/>
    </row>
    <row r="49" spans="2:12" s="518" customFormat="1" x14ac:dyDescent="0.45">
      <c r="B49" s="285"/>
      <c r="C49" s="743"/>
      <c r="D49" s="532"/>
      <c r="G49" s="285"/>
      <c r="H49" s="285"/>
    </row>
    <row r="50" spans="2:12" s="518" customFormat="1" ht="14.1" thickBot="1" x14ac:dyDescent="0.5">
      <c r="B50" s="534" t="s">
        <v>1082</v>
      </c>
      <c r="C50" s="744">
        <f>ROUND(AVERAGE(C41:C48),2)</f>
        <v>4.5599999999999996</v>
      </c>
      <c r="D50" s="532" t="s">
        <v>1090</v>
      </c>
      <c r="G50" s="275"/>
      <c r="H50" s="532"/>
    </row>
    <row r="51" spans="2:12" s="518" customFormat="1" ht="14.1" thickTop="1" x14ac:dyDescent="0.45">
      <c r="B51" s="534"/>
      <c r="C51" s="276"/>
      <c r="D51" s="285"/>
      <c r="E51" s="277"/>
      <c r="F51" s="532"/>
      <c r="G51" s="519"/>
      <c r="H51" s="285"/>
    </row>
    <row r="52" spans="2:12" s="518" customFormat="1" x14ac:dyDescent="0.45">
      <c r="B52" s="534"/>
      <c r="C52" s="276"/>
      <c r="D52" s="285"/>
      <c r="E52" s="277"/>
      <c r="F52" s="532"/>
      <c r="G52" s="519"/>
      <c r="H52" s="285"/>
      <c r="J52" s="285"/>
      <c r="K52" s="285"/>
    </row>
    <row r="53" spans="2:12" s="518" customFormat="1" ht="14.1" thickBot="1" x14ac:dyDescent="0.5">
      <c r="B53" s="535" t="s">
        <v>2817</v>
      </c>
      <c r="F53" s="532"/>
      <c r="G53" s="536"/>
      <c r="H53" s="285"/>
      <c r="I53" s="536"/>
      <c r="J53" s="537"/>
    </row>
    <row r="54" spans="2:12" s="518" customFormat="1" x14ac:dyDescent="0.45">
      <c r="B54" s="538" t="s">
        <v>63</v>
      </c>
      <c r="C54" s="539">
        <v>45688</v>
      </c>
      <c r="D54" s="540">
        <v>45657</v>
      </c>
      <c r="E54" s="541">
        <v>45625</v>
      </c>
      <c r="F54" s="285"/>
      <c r="J54" s="537"/>
    </row>
    <row r="55" spans="2:12" s="518" customFormat="1" x14ac:dyDescent="0.45">
      <c r="B55" s="542" t="s">
        <v>4521</v>
      </c>
      <c r="C55" s="766">
        <v>5.75</v>
      </c>
      <c r="D55" s="767">
        <v>5.45</v>
      </c>
      <c r="E55" s="768">
        <v>5.43</v>
      </c>
      <c r="F55" s="285"/>
      <c r="J55" s="537"/>
    </row>
    <row r="56" spans="2:12" s="518" customFormat="1" x14ac:dyDescent="0.45">
      <c r="B56" s="542" t="s">
        <v>64</v>
      </c>
      <c r="C56" s="769">
        <v>5.88</v>
      </c>
      <c r="D56" s="721">
        <v>5.58</v>
      </c>
      <c r="E56" s="770">
        <v>5.56</v>
      </c>
      <c r="F56" s="285"/>
      <c r="G56" s="275"/>
      <c r="I56" s="275"/>
      <c r="K56" s="275"/>
    </row>
    <row r="57" spans="2:12" s="518" customFormat="1" x14ac:dyDescent="0.45">
      <c r="B57" s="542" t="s">
        <v>65</v>
      </c>
      <c r="C57" s="769">
        <v>6.07</v>
      </c>
      <c r="D57" s="721">
        <v>5.77</v>
      </c>
      <c r="E57" s="770">
        <v>5.76</v>
      </c>
      <c r="F57" s="285"/>
      <c r="G57" s="532"/>
      <c r="H57" s="532"/>
      <c r="J57" s="537"/>
      <c r="K57" s="275"/>
      <c r="L57" s="526"/>
    </row>
    <row r="58" spans="2:12" s="518" customFormat="1" x14ac:dyDescent="0.45">
      <c r="B58" s="542" t="s">
        <v>66</v>
      </c>
      <c r="C58" s="769">
        <v>5.48</v>
      </c>
      <c r="D58" s="721">
        <v>5.2</v>
      </c>
      <c r="E58" s="770">
        <v>5.14</v>
      </c>
      <c r="F58" s="285"/>
      <c r="H58" s="532"/>
      <c r="K58" s="275"/>
    </row>
    <row r="59" spans="2:12" s="518" customFormat="1" x14ac:dyDescent="0.45">
      <c r="B59" s="542" t="s">
        <v>67</v>
      </c>
      <c r="C59" s="769">
        <v>5.67</v>
      </c>
      <c r="D59" s="721">
        <v>5.37</v>
      </c>
      <c r="E59" s="770">
        <v>5.33</v>
      </c>
      <c r="F59" s="285"/>
      <c r="H59" s="532"/>
      <c r="K59" s="537"/>
    </row>
    <row r="60" spans="2:12" s="518" customFormat="1" x14ac:dyDescent="0.45">
      <c r="B60" s="542" t="s">
        <v>68</v>
      </c>
      <c r="C60" s="769">
        <v>5.81</v>
      </c>
      <c r="D60" s="721">
        <v>5.53</v>
      </c>
      <c r="E60" s="770">
        <v>5.5</v>
      </c>
      <c r="F60" s="285"/>
      <c r="G60" s="527"/>
      <c r="H60" s="532"/>
      <c r="I60" s="527"/>
      <c r="K60" s="537"/>
    </row>
    <row r="61" spans="2:12" s="518" customFormat="1" ht="14.1" thickBot="1" x14ac:dyDescent="0.5">
      <c r="B61" s="543" t="s">
        <v>69</v>
      </c>
      <c r="C61" s="771">
        <v>6.09</v>
      </c>
      <c r="D61" s="772">
        <v>5.8</v>
      </c>
      <c r="E61" s="773">
        <v>5.78</v>
      </c>
      <c r="F61" s="285"/>
      <c r="H61" s="532"/>
      <c r="K61" s="537"/>
    </row>
    <row r="62" spans="2:12" s="518" customFormat="1" x14ac:dyDescent="0.45">
      <c r="C62" s="285"/>
      <c r="D62" s="285"/>
      <c r="E62" s="285"/>
      <c r="F62" s="285"/>
      <c r="H62" s="532"/>
      <c r="K62" s="537"/>
    </row>
    <row r="63" spans="2:12" s="518" customFormat="1" x14ac:dyDescent="0.45">
      <c r="B63" s="532"/>
      <c r="C63" s="285"/>
      <c r="D63" s="285"/>
      <c r="E63" s="285"/>
      <c r="F63" s="285"/>
      <c r="G63" s="537"/>
      <c r="H63" s="532"/>
      <c r="I63" s="537"/>
      <c r="J63" s="532"/>
      <c r="K63" s="537"/>
    </row>
    <row r="64" spans="2:12" s="518" customFormat="1" ht="14.1" thickBot="1" x14ac:dyDescent="0.5">
      <c r="B64" s="142" t="s">
        <v>70</v>
      </c>
      <c r="C64" s="116"/>
      <c r="D64" s="285"/>
      <c r="E64" s="285"/>
      <c r="F64" s="285"/>
      <c r="H64" s="532"/>
      <c r="K64" s="537"/>
    </row>
    <row r="65" spans="2:12" s="518" customFormat="1" ht="75" customHeight="1" x14ac:dyDescent="0.45">
      <c r="B65" s="544" t="s">
        <v>4429</v>
      </c>
      <c r="C65" s="737">
        <v>0.12048098067524049</v>
      </c>
      <c r="D65" s="285"/>
      <c r="E65" s="516"/>
      <c r="F65" s="285"/>
      <c r="G65" s="537"/>
      <c r="H65" s="532"/>
      <c r="I65" s="537"/>
      <c r="K65" s="537"/>
    </row>
    <row r="66" spans="2:12" s="518" customFormat="1" ht="63.75" customHeight="1" x14ac:dyDescent="0.45">
      <c r="B66" s="545" t="s">
        <v>4430</v>
      </c>
      <c r="C66" s="738">
        <v>5.9454615261702815E-2</v>
      </c>
      <c r="D66" s="285"/>
      <c r="E66" s="546"/>
      <c r="F66" s="285"/>
      <c r="K66" s="537"/>
      <c r="L66" s="532"/>
    </row>
    <row r="67" spans="2:12" s="518" customFormat="1" ht="75" customHeight="1" x14ac:dyDescent="0.45">
      <c r="B67" s="545" t="s">
        <v>4431</v>
      </c>
      <c r="C67" s="738">
        <v>0.10586741053036053</v>
      </c>
      <c r="D67" s="285"/>
      <c r="E67" s="516"/>
      <c r="F67" s="285"/>
      <c r="G67" s="537"/>
      <c r="H67" s="532"/>
      <c r="I67" s="537"/>
      <c r="J67" s="532"/>
      <c r="K67" s="537"/>
      <c r="L67" s="532"/>
    </row>
    <row r="68" spans="2:12" s="518" customFormat="1" ht="62.25" customHeight="1" thickBot="1" x14ac:dyDescent="0.5">
      <c r="B68" s="547" t="s">
        <v>4432</v>
      </c>
      <c r="C68" s="739">
        <v>6.4228540532060618E-2</v>
      </c>
      <c r="D68" s="285"/>
      <c r="E68" s="546"/>
      <c r="F68" s="285"/>
      <c r="H68" s="532"/>
      <c r="K68" s="537"/>
    </row>
    <row r="69" spans="2:12" s="518" customFormat="1" x14ac:dyDescent="0.45">
      <c r="B69" s="116"/>
      <c r="C69" s="116"/>
      <c r="D69" s="285"/>
      <c r="E69" s="285"/>
      <c r="F69" s="285"/>
      <c r="G69" s="537"/>
      <c r="H69" s="532"/>
      <c r="I69" s="527"/>
      <c r="J69" s="532"/>
      <c r="K69" s="537"/>
      <c r="L69" s="532"/>
    </row>
    <row r="70" spans="2:12" s="518" customFormat="1" x14ac:dyDescent="0.45">
      <c r="B70" s="548" t="s">
        <v>1351</v>
      </c>
      <c r="C70" s="548"/>
      <c r="D70" s="285"/>
      <c r="E70" s="285"/>
      <c r="F70" s="285"/>
      <c r="H70" s="532"/>
      <c r="K70" s="537"/>
      <c r="L70" s="532"/>
    </row>
    <row r="71" spans="2:12" s="518" customFormat="1" x14ac:dyDescent="0.45">
      <c r="C71" s="285"/>
      <c r="D71" s="285"/>
      <c r="E71" s="285"/>
      <c r="F71" s="285"/>
      <c r="H71" s="532"/>
      <c r="K71" s="537"/>
      <c r="L71" s="532"/>
    </row>
    <row r="72" spans="2:12" s="518" customFormat="1" ht="14.25" customHeight="1" x14ac:dyDescent="0.45">
      <c r="C72" s="285"/>
      <c r="D72" s="285"/>
      <c r="E72" s="285"/>
      <c r="F72" s="285"/>
      <c r="G72" s="275"/>
      <c r="H72" s="532"/>
      <c r="I72" s="275"/>
      <c r="J72" s="532"/>
      <c r="L72" s="532"/>
    </row>
    <row r="73" spans="2:12" s="518" customFormat="1" ht="14.25" customHeight="1" x14ac:dyDescent="0.45">
      <c r="B73" s="285"/>
      <c r="C73" s="285"/>
      <c r="D73" s="285"/>
      <c r="E73" s="285"/>
      <c r="F73" s="285"/>
      <c r="G73" s="285"/>
      <c r="K73" s="537"/>
      <c r="L73" s="532"/>
    </row>
    <row r="74" spans="2:12" s="518" customFormat="1" ht="14.25" customHeight="1" x14ac:dyDescent="0.45">
      <c r="C74" s="285"/>
      <c r="D74" s="285"/>
      <c r="E74" s="285"/>
      <c r="F74" s="285"/>
      <c r="G74" s="285"/>
      <c r="K74" s="275"/>
      <c r="L74" s="532"/>
    </row>
    <row r="75" spans="2:12" s="518" customFormat="1" x14ac:dyDescent="0.45">
      <c r="B75" s="534"/>
      <c r="C75" s="285"/>
      <c r="D75" s="285"/>
      <c r="E75" s="285"/>
      <c r="F75" s="285"/>
    </row>
    <row r="76" spans="2:12" s="518" customFormat="1" x14ac:dyDescent="0.45">
      <c r="B76" s="534"/>
    </row>
    <row r="77" spans="2:12" s="518" customFormat="1" x14ac:dyDescent="0.45">
      <c r="B77" s="534"/>
    </row>
    <row r="78" spans="2:12" s="518" customFormat="1" x14ac:dyDescent="0.45">
      <c r="B78" s="534"/>
    </row>
  </sheetData>
  <mergeCells count="7">
    <mergeCell ref="E3:E5"/>
    <mergeCell ref="F3:F5"/>
    <mergeCell ref="B38:C38"/>
    <mergeCell ref="A39:D39"/>
    <mergeCell ref="C3:C5"/>
    <mergeCell ref="B3:B5"/>
    <mergeCell ref="D3:D5"/>
  </mergeCells>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D510"/>
  <sheetViews>
    <sheetView zoomScale="88" zoomScaleNormal="88" workbookViewId="0"/>
  </sheetViews>
  <sheetFormatPr defaultRowHeight="14.4" x14ac:dyDescent="0.55000000000000004"/>
  <cols>
    <col min="1" max="1" width="38.26171875" bestFit="1" customWidth="1"/>
    <col min="2" max="2" width="11" style="52" bestFit="1" customWidth="1"/>
    <col min="3" max="4" width="17.5234375" customWidth="1"/>
    <col min="5" max="5" width="16.26171875" customWidth="1"/>
    <col min="6" max="6" width="12.15625" customWidth="1"/>
    <col min="7" max="7" width="15.734375" customWidth="1"/>
    <col min="8" max="8" width="12.26171875" style="52" customWidth="1"/>
    <col min="9" max="9" width="12.7890625" customWidth="1"/>
    <col min="14" max="14" width="16.47265625" bestFit="1" customWidth="1"/>
    <col min="15" max="15" width="36" bestFit="1" customWidth="1"/>
    <col min="17" max="17" width="14.15625" bestFit="1" customWidth="1"/>
    <col min="18" max="18" width="18.5234375" bestFit="1" customWidth="1"/>
    <col min="19" max="19" width="31.734375" bestFit="1" customWidth="1"/>
    <col min="20" max="20" width="12.7890625" bestFit="1" customWidth="1"/>
    <col min="21" max="21" width="8.5234375" customWidth="1"/>
    <col min="23" max="23" width="27.734375" customWidth="1"/>
    <col min="25" max="25" width="13.7890625" bestFit="1" customWidth="1"/>
    <col min="29" max="29" width="8.7890625" customWidth="1"/>
    <col min="30" max="30" width="13.15625" bestFit="1" customWidth="1"/>
  </cols>
  <sheetData>
    <row r="1" spans="1:30" x14ac:dyDescent="0.55000000000000004">
      <c r="A1" s="392" t="s">
        <v>609</v>
      </c>
      <c r="B1" s="393">
        <f>Input!E2</f>
        <v>45688</v>
      </c>
      <c r="H1" s="394"/>
      <c r="I1" s="395"/>
    </row>
    <row r="2" spans="1:30" x14ac:dyDescent="0.55000000000000004">
      <c r="A2" s="392"/>
      <c r="B2" s="393"/>
    </row>
    <row r="3" spans="1:30" x14ac:dyDescent="0.55000000000000004">
      <c r="E3" s="1480" t="s">
        <v>612</v>
      </c>
      <c r="F3" s="1480"/>
      <c r="G3" s="1480"/>
      <c r="N3" t="s">
        <v>3910</v>
      </c>
    </row>
    <row r="4" spans="1:30" ht="57.6" x14ac:dyDescent="0.55000000000000004">
      <c r="A4" s="396" t="s">
        <v>611</v>
      </c>
      <c r="B4" s="396" t="s">
        <v>75</v>
      </c>
      <c r="C4" s="396" t="s">
        <v>2853</v>
      </c>
      <c r="D4" s="396" t="s">
        <v>2854</v>
      </c>
      <c r="E4" s="396" t="s">
        <v>2855</v>
      </c>
      <c r="F4" s="396" t="s">
        <v>2856</v>
      </c>
      <c r="G4" s="396" t="s">
        <v>2857</v>
      </c>
      <c r="H4" s="396" t="s">
        <v>1075</v>
      </c>
      <c r="I4" s="396" t="s">
        <v>127</v>
      </c>
      <c r="J4" s="397" t="s">
        <v>1076</v>
      </c>
      <c r="K4" s="397" t="s">
        <v>613</v>
      </c>
      <c r="N4" s="398"/>
      <c r="O4" s="398" t="s">
        <v>3911</v>
      </c>
      <c r="P4" s="398" t="s">
        <v>610</v>
      </c>
      <c r="Q4" s="398" t="s">
        <v>3912</v>
      </c>
      <c r="R4" s="398" t="s">
        <v>3913</v>
      </c>
      <c r="S4" s="398" t="s">
        <v>3914</v>
      </c>
      <c r="T4" s="398" t="s">
        <v>3915</v>
      </c>
      <c r="U4" s="398" t="s">
        <v>119</v>
      </c>
      <c r="W4" s="397" t="s">
        <v>611</v>
      </c>
      <c r="X4" s="397" t="s">
        <v>75</v>
      </c>
      <c r="Y4" s="397" t="s">
        <v>3916</v>
      </c>
      <c r="Z4" s="397" t="s">
        <v>3917</v>
      </c>
      <c r="AA4" s="397" t="s">
        <v>612</v>
      </c>
      <c r="AB4" s="397" t="s">
        <v>127</v>
      </c>
      <c r="AC4" s="397" t="s">
        <v>1076</v>
      </c>
      <c r="AD4" s="397" t="s">
        <v>613</v>
      </c>
    </row>
    <row r="5" spans="1:30" x14ac:dyDescent="0.55000000000000004">
      <c r="A5" t="str">
        <f>O5</f>
        <v>Agilent Technologies Inc</v>
      </c>
      <c r="B5" t="str">
        <f>P5</f>
        <v>A</v>
      </c>
      <c r="C5" s="382">
        <f>VLOOKUP($B5,$X$5:$AA$504, 3, FALSE)</f>
        <v>6.5337909186906021E-3</v>
      </c>
      <c r="D5" s="383">
        <f>VLOOKUP($B5,$X$5:$AA$504, 2, FALSE)</f>
        <v>43227.078828320002</v>
      </c>
      <c r="E5" s="384">
        <f>VLOOKUP($B5,$X$5:$AA$504, 4, FALSE)</f>
        <v>8.0930000000000002E-2</v>
      </c>
      <c r="F5" s="385">
        <v>0.08</v>
      </c>
      <c r="G5" s="382">
        <v>7.3153800000000005E-2</v>
      </c>
      <c r="H5" s="399">
        <f>IFERROR(AVERAGE(E5:G5),"N/A")</f>
        <v>7.8027933333333341E-2</v>
      </c>
      <c r="I5" s="399">
        <f>IFERROR(C5*(1+0.5*H5)+H5,"N/A")</f>
        <v>8.4816633353132706E-2</v>
      </c>
      <c r="J5" s="382">
        <f>IF(I5="N/A","N/A",D5/$D$505)</f>
        <v>8.0847977785738416E-4</v>
      </c>
      <c r="K5" s="382">
        <f>IF(AND(ISNUMBER(D5),ISNUMBER(I5)),I5*J5,"N/A")</f>
        <v>6.8572532891951926E-5</v>
      </c>
      <c r="M5" s="400"/>
      <c r="N5" s="398" t="s">
        <v>3918</v>
      </c>
      <c r="O5" s="398" t="s">
        <v>614</v>
      </c>
      <c r="P5" s="398" t="s">
        <v>84</v>
      </c>
      <c r="Q5" s="398">
        <v>43227078828.32</v>
      </c>
      <c r="R5" s="398">
        <v>0.65337909186906018</v>
      </c>
      <c r="S5" s="398">
        <v>8.093</v>
      </c>
      <c r="T5" s="398">
        <v>285.28960000000001</v>
      </c>
      <c r="U5" s="398">
        <v>151.52000000000001</v>
      </c>
      <c r="W5" s="401" t="s">
        <v>614</v>
      </c>
      <c r="X5" s="402" t="s">
        <v>84</v>
      </c>
      <c r="Y5" s="386">
        <f>Q5/1000000</f>
        <v>43227.078828320002</v>
      </c>
      <c r="Z5" s="387">
        <f>IFERROR(R5/100,"0.00%")</f>
        <v>6.5337909186906021E-3</v>
      </c>
      <c r="AA5" s="387">
        <f>IFERROR(S5/100,"N/A")</f>
        <v>8.0930000000000002E-2</v>
      </c>
      <c r="AB5" s="403">
        <f>IFERROR(Z5*(1+0.5*AA5)+AA5,"N/A")</f>
        <v>8.7728180768215425E-2</v>
      </c>
      <c r="AC5" s="388">
        <f>IF(Y5= "N/A","N/A", Y5/$Y$506)</f>
        <v>8.5355780304681656E-4</v>
      </c>
      <c r="AD5" s="389">
        <f>IF(AND(ISNUMBER(Y5),ISNUMBER(AB5)),AB5*AC5,"N/A")</f>
        <v>7.4881073241811938E-5</v>
      </c>
    </row>
    <row r="6" spans="1:30" x14ac:dyDescent="0.55000000000000004">
      <c r="A6" t="str">
        <f t="shared" ref="A6:B69" si="0">O6</f>
        <v>Apple Inc</v>
      </c>
      <c r="B6" t="str">
        <f t="shared" si="0"/>
        <v>AAPL</v>
      </c>
      <c r="C6" s="382">
        <f t="shared" ref="C6:C69" si="1">VLOOKUP($B6,$X$5:$AA$504, 3, FALSE)</f>
        <v>4.3644067796610167E-3</v>
      </c>
      <c r="D6" s="383">
        <f t="shared" ref="D6:D69" si="2">VLOOKUP($B6,$X$5:$AA$504, 2, FALSE)</f>
        <v>3545209.2280000001</v>
      </c>
      <c r="E6" s="384">
        <f t="shared" ref="E6:E69" si="3">VLOOKUP($B6,$X$5:$AA$504, 4, FALSE)</f>
        <v>0.1447</v>
      </c>
      <c r="F6" s="385">
        <v>0.09</v>
      </c>
      <c r="G6" s="382">
        <v>9.5742800000000003E-2</v>
      </c>
      <c r="H6" s="399">
        <f t="shared" ref="H6:H69" si="4">IFERROR(AVERAGE(E6:G6),"N/A")</f>
        <v>0.1101476</v>
      </c>
      <c r="I6" s="399">
        <f t="shared" ref="I6:I69" si="5">IFERROR(C6*(1+0.5*H6)+H6,"N/A")</f>
        <v>0.11475237124576271</v>
      </c>
      <c r="J6" s="382">
        <f t="shared" ref="J6:J69" si="6">IF(I6="N/A","N/A",D6/$D$505)</f>
        <v>6.6306353489553688E-2</v>
      </c>
      <c r="K6" s="382">
        <f t="shared" ref="K6:K69" si="7">IF(AND(ISNUMBER(D6),ISNUMBER(I6)),I6*J6,"N/A")</f>
        <v>7.6088112915860383E-3</v>
      </c>
      <c r="M6" s="400"/>
      <c r="N6" s="398" t="s">
        <v>3919</v>
      </c>
      <c r="O6" s="398" t="s">
        <v>615</v>
      </c>
      <c r="P6" s="398" t="s">
        <v>130</v>
      </c>
      <c r="Q6" s="398">
        <v>3545209228000</v>
      </c>
      <c r="R6" s="398">
        <v>0.4364406779661017</v>
      </c>
      <c r="S6" s="398">
        <v>14.47</v>
      </c>
      <c r="T6" s="398">
        <v>15022.07</v>
      </c>
      <c r="U6" s="398">
        <v>236</v>
      </c>
      <c r="W6" s="401" t="s">
        <v>615</v>
      </c>
      <c r="X6" s="402" t="s">
        <v>130</v>
      </c>
      <c r="Y6" s="386">
        <f t="shared" ref="Y6:Y69" si="8">Q6/1000000</f>
        <v>3545209.2280000001</v>
      </c>
      <c r="Z6" s="387">
        <f t="shared" ref="Z6:Z69" si="9">IFERROR(R6/100,"0.00%")</f>
        <v>4.3644067796610167E-3</v>
      </c>
      <c r="AA6" s="387">
        <f t="shared" ref="AA6:AA69" si="10">IFERROR(S6/100,"N/A")</f>
        <v>0.1447</v>
      </c>
      <c r="AB6" s="403">
        <f t="shared" ref="AB6:AB69" si="11">IFERROR(Z6*(1+0.5*AA6)+AA6,"N/A")</f>
        <v>0.14938017161016948</v>
      </c>
      <c r="AC6" s="388">
        <f t="shared" ref="AC6:AC69" si="12">IF(Y6= "N/A","N/A", Y6/$Y$506)</f>
        <v>7.0003365529536662E-2</v>
      </c>
      <c r="AD6" s="389">
        <f t="shared" ref="AD6:AD69" si="13">IF(AND(ISNUMBER(Y6),ISNUMBER(AB6)),AB6*AC6,"N/A")</f>
        <v>1.0457114756091609E-2</v>
      </c>
    </row>
    <row r="7" spans="1:30" x14ac:dyDescent="0.55000000000000004">
      <c r="A7" t="str">
        <f t="shared" si="0"/>
        <v>AbbVie Inc</v>
      </c>
      <c r="B7" t="str">
        <f t="shared" si="0"/>
        <v>ABBV</v>
      </c>
      <c r="C7" s="382">
        <f t="shared" si="1"/>
        <v>3.5541054921152802E-2</v>
      </c>
      <c r="D7" s="383">
        <f t="shared" si="2"/>
        <v>324977.1053997</v>
      </c>
      <c r="E7" s="384">
        <f t="shared" si="3"/>
        <v>0.11473000000000001</v>
      </c>
      <c r="F7" s="385">
        <v>0.04</v>
      </c>
      <c r="G7" s="382">
        <v>9.51182E-2</v>
      </c>
      <c r="H7" s="399">
        <f t="shared" si="4"/>
        <v>8.3282733333333345E-2</v>
      </c>
      <c r="I7" s="399">
        <f t="shared" si="5"/>
        <v>0.120303766354178</v>
      </c>
      <c r="J7" s="382">
        <f t="shared" si="6"/>
        <v>6.0780747879302472E-3</v>
      </c>
      <c r="K7" s="382">
        <f t="shared" si="7"/>
        <v>7.3121528917038047E-4</v>
      </c>
      <c r="M7" s="400"/>
      <c r="N7" s="398" t="s">
        <v>3920</v>
      </c>
      <c r="O7" s="398" t="s">
        <v>616</v>
      </c>
      <c r="P7" s="398" t="s">
        <v>131</v>
      </c>
      <c r="Q7" s="398">
        <v>324977105399.70001</v>
      </c>
      <c r="R7" s="398">
        <v>3.5541054921152799</v>
      </c>
      <c r="S7" s="398">
        <v>11.473000000000001</v>
      </c>
      <c r="T7" s="398">
        <v>1767.1399999999999</v>
      </c>
      <c r="U7" s="398">
        <v>183.9</v>
      </c>
      <c r="W7" s="401" t="s">
        <v>616</v>
      </c>
      <c r="X7" s="402" t="s">
        <v>131</v>
      </c>
      <c r="Y7" s="386">
        <f t="shared" si="8"/>
        <v>324977.1053997</v>
      </c>
      <c r="Z7" s="387">
        <f t="shared" si="9"/>
        <v>3.5541054921152802E-2</v>
      </c>
      <c r="AA7" s="387">
        <f t="shared" si="10"/>
        <v>0.11473000000000001</v>
      </c>
      <c r="AB7" s="403">
        <f t="shared" si="11"/>
        <v>0.15230986753670475</v>
      </c>
      <c r="AC7" s="388">
        <f t="shared" si="12"/>
        <v>6.4169671336605141E-3</v>
      </c>
      <c r="AD7" s="389">
        <f t="shared" si="13"/>
        <v>9.7736741411522088E-4</v>
      </c>
    </row>
    <row r="8" spans="1:30" x14ac:dyDescent="0.55000000000000004">
      <c r="A8" t="str">
        <f t="shared" si="0"/>
        <v>Airbnb Inc</v>
      </c>
      <c r="B8" t="str">
        <f t="shared" si="0"/>
        <v>ABNB</v>
      </c>
      <c r="C8" s="382">
        <f t="shared" si="1"/>
        <v>0</v>
      </c>
      <c r="D8" s="383">
        <f t="shared" si="2"/>
        <v>84161.749904049968</v>
      </c>
      <c r="E8" s="384">
        <f t="shared" si="3"/>
        <v>0.19269999999999998</v>
      </c>
      <c r="F8" s="385">
        <v>0.23</v>
      </c>
      <c r="G8" s="382">
        <v>0.1438333</v>
      </c>
      <c r="H8" s="399">
        <f t="shared" si="4"/>
        <v>0.18884443333333331</v>
      </c>
      <c r="I8" s="399">
        <f t="shared" si="5"/>
        <v>0.18884443333333331</v>
      </c>
      <c r="J8" s="382">
        <f t="shared" si="6"/>
        <v>1.5740844561057169E-3</v>
      </c>
      <c r="K8" s="382">
        <f t="shared" si="7"/>
        <v>2.9725708713209228E-4</v>
      </c>
      <c r="M8" s="400"/>
      <c r="N8" s="398" t="s">
        <v>3921</v>
      </c>
      <c r="O8" s="398" t="s">
        <v>617</v>
      </c>
      <c r="P8" s="398" t="s">
        <v>132</v>
      </c>
      <c r="Q8" s="398">
        <v>84161749904.049973</v>
      </c>
      <c r="R8" s="398">
        <v>0</v>
      </c>
      <c r="S8" s="398">
        <v>19.27</v>
      </c>
      <c r="T8" s="398">
        <v>440.00209999999998</v>
      </c>
      <c r="U8" s="398">
        <v>131.16999999999999</v>
      </c>
      <c r="W8" s="401" t="s">
        <v>617</v>
      </c>
      <c r="X8" s="402" t="s">
        <v>132</v>
      </c>
      <c r="Y8" s="386">
        <f t="shared" si="8"/>
        <v>84161.749904049968</v>
      </c>
      <c r="Z8" s="387">
        <f t="shared" si="9"/>
        <v>0</v>
      </c>
      <c r="AA8" s="387">
        <f t="shared" si="10"/>
        <v>0.19269999999999998</v>
      </c>
      <c r="AB8" s="403">
        <f t="shared" si="11"/>
        <v>0.19269999999999998</v>
      </c>
      <c r="AC8" s="388">
        <f t="shared" si="12"/>
        <v>1.6618499398023843E-3</v>
      </c>
      <c r="AD8" s="389">
        <f t="shared" si="13"/>
        <v>3.2023848339991941E-4</v>
      </c>
    </row>
    <row r="9" spans="1:30" x14ac:dyDescent="0.55000000000000004">
      <c r="A9" t="str">
        <f t="shared" si="0"/>
        <v>Abbott Laboratories</v>
      </c>
      <c r="B9" t="str">
        <f t="shared" si="0"/>
        <v>ABT</v>
      </c>
      <c r="C9" s="382">
        <f t="shared" si="1"/>
        <v>1.8252169155006645E-2</v>
      </c>
      <c r="D9" s="383">
        <f t="shared" si="2"/>
        <v>221888.85539908998</v>
      </c>
      <c r="E9" s="384">
        <f t="shared" si="3"/>
        <v>0.1026</v>
      </c>
      <c r="F9" s="385">
        <v>0.04</v>
      </c>
      <c r="G9" s="382">
        <v>9.5650799999999994E-2</v>
      </c>
      <c r="H9" s="399">
        <f t="shared" si="4"/>
        <v>7.9416933333333328E-2</v>
      </c>
      <c r="I9" s="399">
        <f t="shared" si="5"/>
        <v>9.8393868138825918E-2</v>
      </c>
      <c r="J9" s="382">
        <f t="shared" si="6"/>
        <v>4.1500063706492538E-3</v>
      </c>
      <c r="K9" s="382">
        <f t="shared" si="7"/>
        <v>4.0833517960895018E-4</v>
      </c>
      <c r="M9" s="400"/>
      <c r="N9" s="398" t="s">
        <v>3922</v>
      </c>
      <c r="O9" s="398" t="s">
        <v>133</v>
      </c>
      <c r="P9" s="398" t="s">
        <v>134</v>
      </c>
      <c r="Q9" s="398">
        <v>221888855399.09</v>
      </c>
      <c r="R9" s="398">
        <v>1.8252169155006643</v>
      </c>
      <c r="S9" s="398">
        <v>10.26</v>
      </c>
      <c r="T9" s="398">
        <v>1734.4549999999999</v>
      </c>
      <c r="U9" s="398">
        <v>127.93</v>
      </c>
      <c r="W9" s="401" t="s">
        <v>133</v>
      </c>
      <c r="X9" s="402" t="s">
        <v>134</v>
      </c>
      <c r="Y9" s="386">
        <f t="shared" si="8"/>
        <v>221888.85539908998</v>
      </c>
      <c r="Z9" s="387">
        <f t="shared" si="9"/>
        <v>1.8252169155006645E-2</v>
      </c>
      <c r="AA9" s="387">
        <f t="shared" si="10"/>
        <v>0.1026</v>
      </c>
      <c r="AB9" s="403">
        <f t="shared" si="11"/>
        <v>0.12178850543265848</v>
      </c>
      <c r="AC9" s="388">
        <f t="shared" si="12"/>
        <v>4.3813963161197667E-3</v>
      </c>
      <c r="AD9" s="389">
        <f t="shared" si="13"/>
        <v>5.3360370904838208E-4</v>
      </c>
    </row>
    <row r="10" spans="1:30" x14ac:dyDescent="0.55000000000000004">
      <c r="A10" t="str">
        <f t="shared" si="0"/>
        <v>Arch Capital Group Ltd</v>
      </c>
      <c r="B10" t="str">
        <f t="shared" si="0"/>
        <v>ACGL</v>
      </c>
      <c r="C10" s="382">
        <f t="shared" si="1"/>
        <v>4.2978403352315467E-2</v>
      </c>
      <c r="D10" s="383">
        <f t="shared" si="2"/>
        <v>35016.831678529998</v>
      </c>
      <c r="E10" s="384">
        <f t="shared" si="3"/>
        <v>3.9100000000000003E-2</v>
      </c>
      <c r="F10" s="385">
        <v>0.17499999999999999</v>
      </c>
      <c r="G10" s="382">
        <v>9.1739599999999991E-2</v>
      </c>
      <c r="H10" s="399">
        <f t="shared" si="4"/>
        <v>0.10194653333333333</v>
      </c>
      <c r="I10" s="399">
        <f t="shared" si="5"/>
        <v>0.14711568630063393</v>
      </c>
      <c r="J10" s="382">
        <f t="shared" si="6"/>
        <v>6.5492281838346034E-4</v>
      </c>
      <c r="K10" s="382">
        <f t="shared" si="7"/>
        <v>9.6349419900428198E-5</v>
      </c>
      <c r="M10" s="400"/>
      <c r="N10" s="398" t="s">
        <v>3923</v>
      </c>
      <c r="O10" s="398" t="s">
        <v>618</v>
      </c>
      <c r="P10" s="398" t="s">
        <v>135</v>
      </c>
      <c r="Q10" s="398">
        <v>35016831678.529999</v>
      </c>
      <c r="R10" s="398">
        <v>4.2978403352315464</v>
      </c>
      <c r="S10" s="398">
        <v>3.91</v>
      </c>
      <c r="T10" s="398">
        <v>376.24189999999999</v>
      </c>
      <c r="U10" s="398">
        <v>93.07</v>
      </c>
      <c r="W10" s="401" t="s">
        <v>618</v>
      </c>
      <c r="X10" s="402" t="s">
        <v>135</v>
      </c>
      <c r="Y10" s="386">
        <f t="shared" si="8"/>
        <v>35016.831678529998</v>
      </c>
      <c r="Z10" s="387">
        <f t="shared" si="9"/>
        <v>4.2978403352315467E-2</v>
      </c>
      <c r="AA10" s="387">
        <f t="shared" si="10"/>
        <v>3.9100000000000003E-2</v>
      </c>
      <c r="AB10" s="403">
        <f t="shared" si="11"/>
        <v>8.2918631137853235E-2</v>
      </c>
      <c r="AC10" s="388">
        <f t="shared" si="12"/>
        <v>6.9143904069697809E-4</v>
      </c>
      <c r="AD10" s="389">
        <f t="shared" si="13"/>
        <v>5.7333178769863816E-5</v>
      </c>
    </row>
    <row r="11" spans="1:30" x14ac:dyDescent="0.55000000000000004">
      <c r="A11" t="str">
        <f t="shared" si="0"/>
        <v>Accenture PLC</v>
      </c>
      <c r="B11" t="str">
        <f t="shared" si="0"/>
        <v>ACN</v>
      </c>
      <c r="C11" s="382">
        <f t="shared" si="1"/>
        <v>1.536043642031433E-2</v>
      </c>
      <c r="D11" s="383">
        <f t="shared" si="2"/>
        <v>241047.96674814995</v>
      </c>
      <c r="E11" s="384">
        <f t="shared" si="3"/>
        <v>7.9399999999999998E-2</v>
      </c>
      <c r="F11" s="385">
        <v>7.4999999999999997E-2</v>
      </c>
      <c r="G11" s="382">
        <v>8.9936600000000005E-2</v>
      </c>
      <c r="H11" s="399">
        <f t="shared" si="4"/>
        <v>8.1445533333333334E-2</v>
      </c>
      <c r="I11" s="399">
        <f t="shared" si="5"/>
        <v>9.7431489221890294E-2</v>
      </c>
      <c r="J11" s="382">
        <f t="shared" si="6"/>
        <v>4.5083408801115232E-3</v>
      </c>
      <c r="K11" s="382">
        <f t="shared" si="7"/>
        <v>4.3925436586919327E-4</v>
      </c>
      <c r="M11" s="400"/>
      <c r="N11" s="398" t="s">
        <v>3924</v>
      </c>
      <c r="O11" s="398" t="s">
        <v>619</v>
      </c>
      <c r="P11" s="398" t="s">
        <v>136</v>
      </c>
      <c r="Q11" s="398">
        <v>241047966748.14996</v>
      </c>
      <c r="R11" s="398">
        <v>1.536043642031433</v>
      </c>
      <c r="S11" s="398">
        <v>7.94</v>
      </c>
      <c r="T11" s="398">
        <v>625.47989999999993</v>
      </c>
      <c r="U11" s="398">
        <v>384.95</v>
      </c>
      <c r="W11" s="401" t="s">
        <v>619</v>
      </c>
      <c r="X11" s="402" t="s">
        <v>136</v>
      </c>
      <c r="Y11" s="386">
        <f t="shared" si="8"/>
        <v>241047.96674814995</v>
      </c>
      <c r="Z11" s="387">
        <f t="shared" si="9"/>
        <v>1.536043642031433E-2</v>
      </c>
      <c r="AA11" s="387">
        <f t="shared" si="10"/>
        <v>7.9399999999999998E-2</v>
      </c>
      <c r="AB11" s="403">
        <f t="shared" si="11"/>
        <v>9.5370245746200816E-2</v>
      </c>
      <c r="AC11" s="388">
        <f t="shared" si="12"/>
        <v>4.7597103136115216E-3</v>
      </c>
      <c r="AD11" s="389">
        <f t="shared" si="13"/>
        <v>4.5393474228985737E-4</v>
      </c>
    </row>
    <row r="12" spans="1:30" x14ac:dyDescent="0.55000000000000004">
      <c r="A12" t="str">
        <f t="shared" si="0"/>
        <v>Adobe Inc</v>
      </c>
      <c r="B12" t="str">
        <f t="shared" si="0"/>
        <v>ADBE</v>
      </c>
      <c r="C12" s="382">
        <f t="shared" si="1"/>
        <v>0</v>
      </c>
      <c r="D12" s="383">
        <f t="shared" si="2"/>
        <v>190421.98499999999</v>
      </c>
      <c r="E12" s="384">
        <f t="shared" si="3"/>
        <v>0.1361</v>
      </c>
      <c r="F12" s="385">
        <v>0.15</v>
      </c>
      <c r="G12" s="382">
        <v>0.150005</v>
      </c>
      <c r="H12" s="399">
        <f t="shared" si="4"/>
        <v>0.14536833333333335</v>
      </c>
      <c r="I12" s="399">
        <f t="shared" si="5"/>
        <v>0.14536833333333335</v>
      </c>
      <c r="J12" s="382">
        <f t="shared" si="6"/>
        <v>3.5614787837826563E-3</v>
      </c>
      <c r="K12" s="382">
        <f t="shared" si="7"/>
        <v>5.1772623500051182E-4</v>
      </c>
      <c r="M12" s="400"/>
      <c r="N12" s="398" t="s">
        <v>3925</v>
      </c>
      <c r="O12" s="398" t="s">
        <v>620</v>
      </c>
      <c r="P12" s="398" t="s">
        <v>137</v>
      </c>
      <c r="Q12" s="398">
        <v>190421985000</v>
      </c>
      <c r="R12" s="398">
        <v>0</v>
      </c>
      <c r="S12" s="398">
        <v>13.61</v>
      </c>
      <c r="T12" s="398">
        <v>435.29999999999995</v>
      </c>
      <c r="U12" s="398">
        <v>437.45</v>
      </c>
      <c r="W12" s="401" t="s">
        <v>620</v>
      </c>
      <c r="X12" s="402" t="s">
        <v>137</v>
      </c>
      <c r="Y12" s="386">
        <f t="shared" si="8"/>
        <v>190421.98499999999</v>
      </c>
      <c r="Z12" s="387">
        <f t="shared" si="9"/>
        <v>0</v>
      </c>
      <c r="AA12" s="387">
        <f t="shared" si="10"/>
        <v>0.1361</v>
      </c>
      <c r="AB12" s="403">
        <f t="shared" si="11"/>
        <v>0.1361</v>
      </c>
      <c r="AC12" s="388">
        <f t="shared" si="12"/>
        <v>3.7600544745098321E-3</v>
      </c>
      <c r="AD12" s="389">
        <f t="shared" si="13"/>
        <v>5.1174341398078818E-4</v>
      </c>
    </row>
    <row r="13" spans="1:30" x14ac:dyDescent="0.55000000000000004">
      <c r="A13" t="str">
        <f t="shared" si="0"/>
        <v>Analog Devices Inc</v>
      </c>
      <c r="B13" t="str">
        <f t="shared" si="0"/>
        <v>ADI</v>
      </c>
      <c r="C13" s="382">
        <f t="shared" si="1"/>
        <v>1.8457690311010432E-2</v>
      </c>
      <c r="D13" s="383">
        <f t="shared" si="2"/>
        <v>105120.21753932998</v>
      </c>
      <c r="E13" s="384">
        <f t="shared" si="3"/>
        <v>0.14044999999999999</v>
      </c>
      <c r="F13" s="385">
        <v>0.09</v>
      </c>
      <c r="G13" s="382">
        <v>0.16727740000000002</v>
      </c>
      <c r="H13" s="399">
        <f t="shared" si="4"/>
        <v>0.13257579999999999</v>
      </c>
      <c r="I13" s="399">
        <f t="shared" si="5"/>
        <v>0.15225701184057766</v>
      </c>
      <c r="J13" s="382">
        <f t="shared" si="6"/>
        <v>1.9660724811420343E-3</v>
      </c>
      <c r="K13" s="382">
        <f t="shared" si="7"/>
        <v>2.9934832104067664E-4</v>
      </c>
      <c r="M13" s="400"/>
      <c r="N13" s="398" t="s">
        <v>3926</v>
      </c>
      <c r="O13" s="398" t="s">
        <v>621</v>
      </c>
      <c r="P13" s="398" t="s">
        <v>138</v>
      </c>
      <c r="Q13" s="398">
        <v>105120217539.32999</v>
      </c>
      <c r="R13" s="398">
        <v>1.8457690311010433</v>
      </c>
      <c r="S13" s="398">
        <v>14.045</v>
      </c>
      <c r="T13" s="398">
        <v>496.10749999999996</v>
      </c>
      <c r="U13" s="398">
        <v>211.89</v>
      </c>
      <c r="W13" s="401" t="s">
        <v>621</v>
      </c>
      <c r="X13" s="402" t="s">
        <v>138</v>
      </c>
      <c r="Y13" s="386">
        <f t="shared" si="8"/>
        <v>105120.21753932998</v>
      </c>
      <c r="Z13" s="387">
        <f t="shared" si="9"/>
        <v>1.8457690311010432E-2</v>
      </c>
      <c r="AA13" s="387">
        <f t="shared" si="10"/>
        <v>0.14044999999999999</v>
      </c>
      <c r="AB13" s="403">
        <f t="shared" si="11"/>
        <v>0.16020388161310112</v>
      </c>
      <c r="AC13" s="388">
        <f t="shared" si="12"/>
        <v>2.07569385604401E-3</v>
      </c>
      <c r="AD13" s="389">
        <f t="shared" si="13"/>
        <v>3.3253421277871592E-4</v>
      </c>
    </row>
    <row r="14" spans="1:30" x14ac:dyDescent="0.55000000000000004">
      <c r="A14" t="str">
        <f t="shared" si="0"/>
        <v>Archer-Daniels-Midland Co</v>
      </c>
      <c r="B14" t="str">
        <f t="shared" si="0"/>
        <v>ADM</v>
      </c>
      <c r="C14" s="382">
        <f t="shared" si="1"/>
        <v>3.9156744095256692E-2</v>
      </c>
      <c r="D14" s="383">
        <f t="shared" si="2"/>
        <v>24515.272229600007</v>
      </c>
      <c r="E14" s="384">
        <f t="shared" si="3"/>
        <v>-6.2600000000000003E-2</v>
      </c>
      <c r="F14" s="385">
        <v>0.03</v>
      </c>
      <c r="G14" s="382">
        <v>-6.2573000000000004E-2</v>
      </c>
      <c r="H14" s="399">
        <f t="shared" si="4"/>
        <v>-3.1724333333333334E-2</v>
      </c>
      <c r="I14" s="399">
        <f t="shared" si="5"/>
        <v>6.8112999609603805E-3</v>
      </c>
      <c r="J14" s="382">
        <f t="shared" si="6"/>
        <v>4.5851124766069717E-4</v>
      </c>
      <c r="K14" s="382">
        <f t="shared" si="7"/>
        <v>3.1230576432912019E-6</v>
      </c>
      <c r="M14" s="400"/>
      <c r="N14" s="398" t="s">
        <v>3927</v>
      </c>
      <c r="O14" s="398" t="s">
        <v>622</v>
      </c>
      <c r="P14" s="398" t="s">
        <v>139</v>
      </c>
      <c r="Q14" s="398">
        <v>24515272229.600006</v>
      </c>
      <c r="R14" s="398">
        <v>3.915674409525669</v>
      </c>
      <c r="S14" s="398">
        <v>-6.26</v>
      </c>
      <c r="T14" s="398">
        <v>478.5335</v>
      </c>
      <c r="U14" s="398">
        <v>51.23</v>
      </c>
      <c r="W14" s="401" t="s">
        <v>622</v>
      </c>
      <c r="X14" s="402" t="s">
        <v>139</v>
      </c>
      <c r="Y14" s="386">
        <f t="shared" si="8"/>
        <v>24515.272229600007</v>
      </c>
      <c r="Z14" s="387">
        <f t="shared" si="9"/>
        <v>3.9156744095256692E-2</v>
      </c>
      <c r="AA14" s="387">
        <f t="shared" si="10"/>
        <v>-6.2600000000000003E-2</v>
      </c>
      <c r="AB14" s="403">
        <f t="shared" si="11"/>
        <v>-2.4668861994924844E-2</v>
      </c>
      <c r="AC14" s="388">
        <f t="shared" si="12"/>
        <v>4.8407624277592806E-4</v>
      </c>
      <c r="AD14" s="389">
        <f t="shared" si="13"/>
        <v>-1.1941610028061104E-5</v>
      </c>
    </row>
    <row r="15" spans="1:30" x14ac:dyDescent="0.55000000000000004">
      <c r="A15" t="str">
        <f t="shared" si="0"/>
        <v>Automatic Data Processing Inc</v>
      </c>
      <c r="B15" t="str">
        <f t="shared" si="0"/>
        <v>ADP</v>
      </c>
      <c r="C15" s="382">
        <f t="shared" si="1"/>
        <v>1.9487805682980763E-2</v>
      </c>
      <c r="D15" s="383">
        <f t="shared" si="2"/>
        <v>123285.94928792998</v>
      </c>
      <c r="E15" s="384">
        <f t="shared" si="3"/>
        <v>9.0700000000000003E-2</v>
      </c>
      <c r="F15" s="385">
        <v>8.5000000000000006E-2</v>
      </c>
      <c r="G15" s="382">
        <v>8.9605400000000002E-2</v>
      </c>
      <c r="H15" s="399">
        <f t="shared" si="4"/>
        <v>8.8435133333333346E-2</v>
      </c>
      <c r="I15" s="399">
        <f t="shared" si="5"/>
        <v>0.10878464236328836</v>
      </c>
      <c r="J15" s="382">
        <f t="shared" si="6"/>
        <v>2.3058277263912942E-3</v>
      </c>
      <c r="K15" s="382">
        <f t="shared" si="7"/>
        <v>2.5083864456683125E-4</v>
      </c>
      <c r="M15" s="400"/>
      <c r="N15" s="398" t="s">
        <v>3928</v>
      </c>
      <c r="O15" s="398" t="s">
        <v>623</v>
      </c>
      <c r="P15" s="398" t="s">
        <v>140</v>
      </c>
      <c r="Q15" s="398">
        <v>123285949287.92998</v>
      </c>
      <c r="R15" s="398">
        <v>1.9487805682980761</v>
      </c>
      <c r="S15" s="398">
        <v>9.07</v>
      </c>
      <c r="T15" s="398">
        <v>406.87090000000001</v>
      </c>
      <c r="U15" s="398">
        <v>303.01</v>
      </c>
      <c r="W15" s="401" t="s">
        <v>623</v>
      </c>
      <c r="X15" s="402" t="s">
        <v>140</v>
      </c>
      <c r="Y15" s="386">
        <f t="shared" si="8"/>
        <v>123285.94928792998</v>
      </c>
      <c r="Z15" s="387">
        <f t="shared" si="9"/>
        <v>1.9487805682980763E-2</v>
      </c>
      <c r="AA15" s="387">
        <f t="shared" si="10"/>
        <v>9.0700000000000003E-2</v>
      </c>
      <c r="AB15" s="403">
        <f t="shared" si="11"/>
        <v>0.11107157767070394</v>
      </c>
      <c r="AC15" s="388">
        <f t="shared" si="12"/>
        <v>2.4343926740616291E-3</v>
      </c>
      <c r="AD15" s="389">
        <f t="shared" si="13"/>
        <v>2.7039183497802892E-4</v>
      </c>
    </row>
    <row r="16" spans="1:30" x14ac:dyDescent="0.55000000000000004">
      <c r="A16" t="str">
        <f t="shared" si="0"/>
        <v>Autodesk Inc</v>
      </c>
      <c r="B16" t="str">
        <f t="shared" si="0"/>
        <v>ADSK</v>
      </c>
      <c r="C16" s="382">
        <f t="shared" si="1"/>
        <v>0</v>
      </c>
      <c r="D16" s="383">
        <f t="shared" si="2"/>
        <v>66938.099999999991</v>
      </c>
      <c r="E16" s="384">
        <f t="shared" si="3"/>
        <v>0.12839999999999999</v>
      </c>
      <c r="F16" s="385">
        <v>0.14000000000000001</v>
      </c>
      <c r="G16" s="382">
        <v>0.19805800000000001</v>
      </c>
      <c r="H16" s="399">
        <f t="shared" si="4"/>
        <v>0.15548599999999999</v>
      </c>
      <c r="I16" s="399">
        <f t="shared" si="5"/>
        <v>0.15548599999999999</v>
      </c>
      <c r="J16" s="382">
        <f t="shared" si="6"/>
        <v>1.2519490487231388E-3</v>
      </c>
      <c r="K16" s="382">
        <f t="shared" si="7"/>
        <v>1.9466054978976594E-4</v>
      </c>
      <c r="M16" s="400"/>
      <c r="N16" s="398" t="s">
        <v>3930</v>
      </c>
      <c r="O16" s="398" t="s">
        <v>624</v>
      </c>
      <c r="P16" s="398" t="s">
        <v>141</v>
      </c>
      <c r="Q16" s="398">
        <v>66938099999.999992</v>
      </c>
      <c r="R16" s="398">
        <v>0</v>
      </c>
      <c r="S16" s="398">
        <v>12.84</v>
      </c>
      <c r="T16" s="398">
        <v>215</v>
      </c>
      <c r="U16" s="398">
        <v>311.33999999999997</v>
      </c>
      <c r="W16" s="401" t="s">
        <v>624</v>
      </c>
      <c r="X16" s="402" t="s">
        <v>141</v>
      </c>
      <c r="Y16" s="386">
        <f t="shared" si="8"/>
        <v>66938.099999999991</v>
      </c>
      <c r="Z16" s="387">
        <f t="shared" si="9"/>
        <v>0</v>
      </c>
      <c r="AA16" s="387">
        <f t="shared" si="10"/>
        <v>0.12839999999999999</v>
      </c>
      <c r="AB16" s="403">
        <f t="shared" si="11"/>
        <v>0.12839999999999999</v>
      </c>
      <c r="AC16" s="388">
        <f t="shared" si="12"/>
        <v>1.3217533806308478E-3</v>
      </c>
      <c r="AD16" s="389">
        <f t="shared" si="13"/>
        <v>1.6971313407300082E-4</v>
      </c>
    </row>
    <row r="17" spans="1:30" x14ac:dyDescent="0.55000000000000004">
      <c r="A17" t="str">
        <f t="shared" si="0"/>
        <v>Ameren Corp</v>
      </c>
      <c r="B17" t="str">
        <f t="shared" si="0"/>
        <v>AEE</v>
      </c>
      <c r="C17" s="382">
        <f t="shared" si="1"/>
        <v>2.8439490445859875E-2</v>
      </c>
      <c r="D17" s="383">
        <f t="shared" si="2"/>
        <v>25105.293621599998</v>
      </c>
      <c r="E17" s="384">
        <f t="shared" si="3"/>
        <v>6.5869999999999998E-2</v>
      </c>
      <c r="F17" s="385">
        <v>6.5000000000000002E-2</v>
      </c>
      <c r="G17" s="382">
        <v>6.559580000000001E-2</v>
      </c>
      <c r="H17" s="399">
        <f t="shared" si="4"/>
        <v>6.5488599999999994E-2</v>
      </c>
      <c r="I17" s="399">
        <f t="shared" si="5"/>
        <v>9.4859321652866244E-2</v>
      </c>
      <c r="J17" s="382">
        <f t="shared" si="6"/>
        <v>4.6954646856539411E-4</v>
      </c>
      <c r="K17" s="382">
        <f t="shared" si="7"/>
        <v>4.454085949261217E-5</v>
      </c>
      <c r="M17" s="400"/>
      <c r="N17" s="398" t="s">
        <v>3931</v>
      </c>
      <c r="O17" s="398" t="s">
        <v>625</v>
      </c>
      <c r="P17" s="398" t="s">
        <v>25</v>
      </c>
      <c r="Q17" s="398">
        <v>25105293621.599998</v>
      </c>
      <c r="R17" s="398">
        <v>2.8439490445859876</v>
      </c>
      <c r="S17" s="398">
        <v>6.5869999999999997</v>
      </c>
      <c r="T17" s="398">
        <v>266.51049999999998</v>
      </c>
      <c r="U17" s="398">
        <v>94.2</v>
      </c>
      <c r="W17" s="401" t="s">
        <v>625</v>
      </c>
      <c r="X17" s="402" t="s">
        <v>25</v>
      </c>
      <c r="Y17" s="386">
        <f t="shared" si="8"/>
        <v>25105.293621599998</v>
      </c>
      <c r="Z17" s="387">
        <f t="shared" si="9"/>
        <v>2.8439490445859875E-2</v>
      </c>
      <c r="AA17" s="387">
        <f t="shared" si="10"/>
        <v>6.5869999999999998E-2</v>
      </c>
      <c r="AB17" s="403">
        <f t="shared" si="11"/>
        <v>9.5246145063694262E-2</v>
      </c>
      <c r="AC17" s="388">
        <f t="shared" si="12"/>
        <v>4.9572674928149822E-4</v>
      </c>
      <c r="AD17" s="389">
        <f t="shared" si="13"/>
        <v>4.7216061874019177E-5</v>
      </c>
    </row>
    <row r="18" spans="1:30" x14ac:dyDescent="0.55000000000000004">
      <c r="A18" t="str">
        <f t="shared" si="0"/>
        <v>American Electric Power Co Inc</v>
      </c>
      <c r="B18" t="str">
        <f t="shared" si="0"/>
        <v>AEP</v>
      </c>
      <c r="C18" s="382">
        <f t="shared" si="1"/>
        <v>3.6305408702724688E-2</v>
      </c>
      <c r="D18" s="383">
        <f t="shared" si="2"/>
        <v>52383.126350600003</v>
      </c>
      <c r="E18" s="384">
        <f t="shared" si="3"/>
        <v>6.0129999999999996E-2</v>
      </c>
      <c r="F18" s="385">
        <v>0.06</v>
      </c>
      <c r="G18" s="382">
        <v>6.4429299999999995E-2</v>
      </c>
      <c r="H18" s="399">
        <f t="shared" si="4"/>
        <v>6.1519766666666663E-2</v>
      </c>
      <c r="I18" s="399">
        <f t="shared" si="5"/>
        <v>9.8941925505456149E-2</v>
      </c>
      <c r="J18" s="382">
        <f t="shared" si="6"/>
        <v>9.7972612314627507E-4</v>
      </c>
      <c r="K18" s="382">
        <f t="shared" si="7"/>
        <v>9.6935989092088106E-5</v>
      </c>
      <c r="M18" s="400"/>
      <c r="N18" s="398" t="s">
        <v>3932</v>
      </c>
      <c r="O18" s="398" t="s">
        <v>626</v>
      </c>
      <c r="P18" s="398" t="s">
        <v>26</v>
      </c>
      <c r="Q18" s="398">
        <v>52383126350.600006</v>
      </c>
      <c r="R18" s="398">
        <v>3.6305408702724686</v>
      </c>
      <c r="S18" s="398">
        <v>6.0129999999999999</v>
      </c>
      <c r="T18" s="398">
        <v>532.56529999999998</v>
      </c>
      <c r="U18" s="398">
        <v>98.36</v>
      </c>
      <c r="W18" s="401" t="s">
        <v>626</v>
      </c>
      <c r="X18" s="402" t="s">
        <v>26</v>
      </c>
      <c r="Y18" s="386">
        <f t="shared" si="8"/>
        <v>52383.126350600003</v>
      </c>
      <c r="Z18" s="387">
        <f t="shared" si="9"/>
        <v>3.6305408702724688E-2</v>
      </c>
      <c r="AA18" s="387">
        <f t="shared" si="10"/>
        <v>6.0129999999999996E-2</v>
      </c>
      <c r="AB18" s="403">
        <f t="shared" si="11"/>
        <v>9.7526930815372101E-2</v>
      </c>
      <c r="AC18" s="388">
        <f t="shared" si="12"/>
        <v>1.0343522499431325E-3</v>
      </c>
      <c r="AD18" s="389">
        <f t="shared" si="13"/>
        <v>1.0087720031892836E-4</v>
      </c>
    </row>
    <row r="19" spans="1:30" x14ac:dyDescent="0.55000000000000004">
      <c r="A19" t="str">
        <f t="shared" si="0"/>
        <v>AES Corp/The</v>
      </c>
      <c r="B19" t="str">
        <f t="shared" si="0"/>
        <v>AES</v>
      </c>
      <c r="C19" s="382">
        <f t="shared" si="1"/>
        <v>6.30909090909091E-2</v>
      </c>
      <c r="D19" s="383">
        <f t="shared" si="2"/>
        <v>7821.2974729999996</v>
      </c>
      <c r="E19" s="384">
        <f t="shared" si="3"/>
        <v>6.4000000000000001E-2</v>
      </c>
      <c r="F19" s="385" t="s">
        <v>184</v>
      </c>
      <c r="G19" s="382">
        <v>7.9499600000000004E-2</v>
      </c>
      <c r="H19" s="399">
        <f t="shared" si="4"/>
        <v>7.1749800000000002E-2</v>
      </c>
      <c r="I19" s="399">
        <f t="shared" si="5"/>
        <v>0.13710408914545458</v>
      </c>
      <c r="J19" s="382">
        <f t="shared" si="6"/>
        <v>1.4628240017423619E-4</v>
      </c>
      <c r="K19" s="382">
        <f t="shared" si="7"/>
        <v>2.0055915233899539E-5</v>
      </c>
      <c r="M19" s="400"/>
      <c r="N19" s="398" t="s">
        <v>3933</v>
      </c>
      <c r="O19" s="398" t="s">
        <v>627</v>
      </c>
      <c r="P19" s="398" t="s">
        <v>27</v>
      </c>
      <c r="Q19" s="398">
        <v>7821297473</v>
      </c>
      <c r="R19" s="398">
        <v>6.3090909090909095</v>
      </c>
      <c r="S19" s="398">
        <v>6.4</v>
      </c>
      <c r="T19" s="398">
        <v>711.02699999999993</v>
      </c>
      <c r="U19" s="398">
        <v>11</v>
      </c>
      <c r="W19" s="401" t="s">
        <v>627</v>
      </c>
      <c r="X19" s="402" t="s">
        <v>27</v>
      </c>
      <c r="Y19" s="386">
        <f t="shared" si="8"/>
        <v>7821.2974729999996</v>
      </c>
      <c r="Z19" s="387">
        <f t="shared" si="9"/>
        <v>6.30909090909091E-2</v>
      </c>
      <c r="AA19" s="387">
        <f t="shared" si="10"/>
        <v>6.4000000000000001E-2</v>
      </c>
      <c r="AB19" s="403">
        <f t="shared" si="11"/>
        <v>0.12910981818181821</v>
      </c>
      <c r="AC19" s="388">
        <f t="shared" si="12"/>
        <v>1.5443859888250873E-4</v>
      </c>
      <c r="AD19" s="389">
        <f t="shared" si="13"/>
        <v>1.9939539421975454E-5</v>
      </c>
    </row>
    <row r="20" spans="1:30" x14ac:dyDescent="0.55000000000000004">
      <c r="A20" t="str">
        <f t="shared" si="0"/>
        <v>Aflac Inc</v>
      </c>
      <c r="B20" t="str">
        <f t="shared" si="0"/>
        <v>AFL</v>
      </c>
      <c r="C20" s="382">
        <f t="shared" si="1"/>
        <v>1.8625442354255915E-2</v>
      </c>
      <c r="D20" s="383">
        <f t="shared" si="2"/>
        <v>59652.64141746</v>
      </c>
      <c r="E20" s="384">
        <f t="shared" si="3"/>
        <v>8.0700000000000008E-2</v>
      </c>
      <c r="F20" s="385">
        <v>0.08</v>
      </c>
      <c r="G20" s="382">
        <v>8.0718899999999996E-2</v>
      </c>
      <c r="H20" s="399">
        <f t="shared" si="4"/>
        <v>8.0472966666666659E-2</v>
      </c>
      <c r="I20" s="399">
        <f t="shared" si="5"/>
        <v>9.9847831321785555E-2</v>
      </c>
      <c r="J20" s="382">
        <f t="shared" si="6"/>
        <v>1.1156884894613316E-3</v>
      </c>
      <c r="K20" s="382">
        <f t="shared" si="7"/>
        <v>1.1139907610339276E-4</v>
      </c>
      <c r="M20" s="400"/>
      <c r="N20" s="398" t="s">
        <v>3934</v>
      </c>
      <c r="O20" s="398" t="s">
        <v>628</v>
      </c>
      <c r="P20" s="398" t="s">
        <v>142</v>
      </c>
      <c r="Q20" s="398">
        <v>59652641417.459999</v>
      </c>
      <c r="R20" s="398">
        <v>1.8625442354255914</v>
      </c>
      <c r="S20" s="398">
        <v>8.07</v>
      </c>
      <c r="T20" s="398">
        <v>555.52839999999992</v>
      </c>
      <c r="U20" s="398">
        <v>107.38</v>
      </c>
      <c r="W20" s="401" t="s">
        <v>628</v>
      </c>
      <c r="X20" s="402" t="s">
        <v>142</v>
      </c>
      <c r="Y20" s="386">
        <f t="shared" si="8"/>
        <v>59652.64141746</v>
      </c>
      <c r="Z20" s="387">
        <f t="shared" si="9"/>
        <v>1.8625442354255915E-2</v>
      </c>
      <c r="AA20" s="387">
        <f t="shared" si="10"/>
        <v>8.0700000000000008E-2</v>
      </c>
      <c r="AB20" s="403">
        <f t="shared" si="11"/>
        <v>0.10007697895325016</v>
      </c>
      <c r="AC20" s="388">
        <f t="shared" si="12"/>
        <v>1.177895405711956E-3</v>
      </c>
      <c r="AD20" s="389">
        <f t="shared" si="13"/>
        <v>1.1788021372656547E-4</v>
      </c>
    </row>
    <row r="21" spans="1:30" x14ac:dyDescent="0.55000000000000004">
      <c r="A21" t="str">
        <f t="shared" si="0"/>
        <v>American International Group Inc</v>
      </c>
      <c r="B21" t="str">
        <f t="shared" si="0"/>
        <v>AIG</v>
      </c>
      <c r="C21" s="382">
        <f t="shared" si="1"/>
        <v>2.1151235405919091E-2</v>
      </c>
      <c r="D21" s="383">
        <f t="shared" si="2"/>
        <v>45946.852162499992</v>
      </c>
      <c r="E21" s="384">
        <f t="shared" si="3"/>
        <v>0.10485</v>
      </c>
      <c r="F21" s="385">
        <v>8.5000000000000006E-2</v>
      </c>
      <c r="G21" s="382">
        <v>0.19</v>
      </c>
      <c r="H21" s="399">
        <f t="shared" si="4"/>
        <v>0.12661666666666668</v>
      </c>
      <c r="I21" s="399">
        <f t="shared" si="5"/>
        <v>0.14910695153407549</v>
      </c>
      <c r="J21" s="382">
        <f t="shared" si="6"/>
        <v>8.5934793274181022E-4</v>
      </c>
      <c r="K21" s="382">
        <f t="shared" si="7"/>
        <v>1.2813475055824106E-4</v>
      </c>
      <c r="M21" s="400"/>
      <c r="N21" s="398" t="s">
        <v>3935</v>
      </c>
      <c r="O21" s="398" t="s">
        <v>629</v>
      </c>
      <c r="P21" s="398" t="s">
        <v>143</v>
      </c>
      <c r="Q21" s="398">
        <v>45946852162.499992</v>
      </c>
      <c r="R21" s="398">
        <v>2.1151235405919091</v>
      </c>
      <c r="S21" s="398">
        <v>10.484999999999999</v>
      </c>
      <c r="T21" s="398">
        <v>623.76940000000002</v>
      </c>
      <c r="U21" s="398">
        <v>73.66</v>
      </c>
      <c r="W21" s="401" t="s">
        <v>629</v>
      </c>
      <c r="X21" s="402" t="s">
        <v>143</v>
      </c>
      <c r="Y21" s="386">
        <f t="shared" si="8"/>
        <v>45946.852162499992</v>
      </c>
      <c r="Z21" s="387">
        <f t="shared" si="9"/>
        <v>2.1151235405919091E-2</v>
      </c>
      <c r="AA21" s="387">
        <f t="shared" si="10"/>
        <v>0.10485</v>
      </c>
      <c r="AB21" s="403">
        <f t="shared" si="11"/>
        <v>0.1271100889220744</v>
      </c>
      <c r="AC21" s="388">
        <f t="shared" si="12"/>
        <v>9.0726218962190665E-4</v>
      </c>
      <c r="AD21" s="389">
        <f t="shared" si="13"/>
        <v>1.1532217759847648E-4</v>
      </c>
    </row>
    <row r="22" spans="1:30" x14ac:dyDescent="0.55000000000000004">
      <c r="A22" t="str">
        <f t="shared" si="0"/>
        <v>Assurant Inc</v>
      </c>
      <c r="B22" t="str">
        <f t="shared" si="0"/>
        <v>AIZ</v>
      </c>
      <c r="C22" s="382">
        <f t="shared" si="1"/>
        <v>1.3522933221803988E-2</v>
      </c>
      <c r="D22" s="383">
        <f t="shared" si="2"/>
        <v>11036.530441439998</v>
      </c>
      <c r="E22" s="384" t="str">
        <f t="shared" si="3"/>
        <v>N/A</v>
      </c>
      <c r="F22" s="385">
        <v>0.13</v>
      </c>
      <c r="G22" s="382" t="s">
        <v>14</v>
      </c>
      <c r="H22" s="399">
        <f t="shared" si="4"/>
        <v>0.13</v>
      </c>
      <c r="I22" s="399">
        <f t="shared" si="5"/>
        <v>0.14440192388122125</v>
      </c>
      <c r="J22" s="382">
        <f t="shared" si="6"/>
        <v>2.0641717926509374E-4</v>
      </c>
      <c r="K22" s="382">
        <f t="shared" si="7"/>
        <v>2.9807037808014468E-5</v>
      </c>
      <c r="M22" s="400"/>
      <c r="N22" s="398" t="s">
        <v>3936</v>
      </c>
      <c r="O22" s="398" t="s">
        <v>630</v>
      </c>
      <c r="P22" s="398" t="s">
        <v>144</v>
      </c>
      <c r="Q22" s="398">
        <v>11036530441.439999</v>
      </c>
      <c r="R22" s="398">
        <v>1.3522933221803988</v>
      </c>
      <c r="S22" s="398" t="s">
        <v>3929</v>
      </c>
      <c r="T22" s="398">
        <v>51.287379999999999</v>
      </c>
      <c r="U22" s="398">
        <v>215.19</v>
      </c>
      <c r="W22" s="401" t="s">
        <v>630</v>
      </c>
      <c r="X22" s="402" t="s">
        <v>144</v>
      </c>
      <c r="Y22" s="386">
        <f t="shared" si="8"/>
        <v>11036.530441439998</v>
      </c>
      <c r="Z22" s="387">
        <f t="shared" si="9"/>
        <v>1.3522933221803988E-2</v>
      </c>
      <c r="AA22" s="387" t="str">
        <f t="shared" si="10"/>
        <v>N/A</v>
      </c>
      <c r="AB22" s="403" t="str">
        <f t="shared" si="11"/>
        <v>N/A</v>
      </c>
      <c r="AC22" s="388">
        <f t="shared" si="12"/>
        <v>2.1792628445397436E-4</v>
      </c>
      <c r="AD22" s="389" t="str">
        <f t="shared" si="13"/>
        <v>N/A</v>
      </c>
    </row>
    <row r="23" spans="1:30" x14ac:dyDescent="0.55000000000000004">
      <c r="A23" t="str">
        <f t="shared" si="0"/>
        <v>Arthur J Gallagher &amp; Co</v>
      </c>
      <c r="B23" t="str">
        <f t="shared" si="0"/>
        <v>AJG</v>
      </c>
      <c r="C23" s="382">
        <f t="shared" si="1"/>
        <v>8.3990457888807896E-3</v>
      </c>
      <c r="D23" s="383">
        <f t="shared" si="2"/>
        <v>76769.794622219997</v>
      </c>
      <c r="E23" s="384">
        <f t="shared" si="3"/>
        <v>0.14000000000000001</v>
      </c>
      <c r="F23" s="385">
        <v>0.16</v>
      </c>
      <c r="G23" s="382" t="s">
        <v>14</v>
      </c>
      <c r="H23" s="399">
        <f t="shared" si="4"/>
        <v>0.15000000000000002</v>
      </c>
      <c r="I23" s="399">
        <f t="shared" si="5"/>
        <v>0.15902897422304688</v>
      </c>
      <c r="J23" s="382">
        <f t="shared" si="6"/>
        <v>1.4358320799060487E-3</v>
      </c>
      <c r="K23" s="382">
        <f t="shared" si="7"/>
        <v>2.2833890282400281E-4</v>
      </c>
      <c r="M23" s="400"/>
      <c r="N23" s="398" t="s">
        <v>3937</v>
      </c>
      <c r="O23" s="398" t="s">
        <v>631</v>
      </c>
      <c r="P23" s="398" t="s">
        <v>145</v>
      </c>
      <c r="Q23" s="398">
        <v>76769794622.220001</v>
      </c>
      <c r="R23" s="398">
        <v>0.83990457888807901</v>
      </c>
      <c r="S23" s="398">
        <v>14</v>
      </c>
      <c r="T23" s="398">
        <v>254.3562</v>
      </c>
      <c r="U23" s="398">
        <v>301.82</v>
      </c>
      <c r="W23" s="401" t="s">
        <v>631</v>
      </c>
      <c r="X23" s="402" t="s">
        <v>145</v>
      </c>
      <c r="Y23" s="386">
        <f t="shared" si="8"/>
        <v>76769.794622219997</v>
      </c>
      <c r="Z23" s="387">
        <f t="shared" si="9"/>
        <v>8.3990457888807896E-3</v>
      </c>
      <c r="AA23" s="387">
        <f t="shared" si="10"/>
        <v>0.14000000000000001</v>
      </c>
      <c r="AB23" s="403">
        <f t="shared" si="11"/>
        <v>0.14898697899410246</v>
      </c>
      <c r="AC23" s="388">
        <f t="shared" si="12"/>
        <v>1.5158890911492135E-3</v>
      </c>
      <c r="AD23" s="389">
        <f t="shared" si="13"/>
        <v>2.2584773618043695E-4</v>
      </c>
    </row>
    <row r="24" spans="1:30" x14ac:dyDescent="0.55000000000000004">
      <c r="A24" t="str">
        <f t="shared" si="0"/>
        <v>Akamai Technologies Inc</v>
      </c>
      <c r="B24" t="str">
        <f t="shared" si="0"/>
        <v>AKAM</v>
      </c>
      <c r="C24" s="382">
        <f t="shared" si="1"/>
        <v>0</v>
      </c>
      <c r="D24" s="383">
        <f t="shared" si="2"/>
        <v>15007.6759014</v>
      </c>
      <c r="E24" s="384">
        <f t="shared" si="3"/>
        <v>7.0900000000000005E-2</v>
      </c>
      <c r="F24" s="385">
        <v>0.06</v>
      </c>
      <c r="G24" s="382">
        <v>7.6444600000000001E-2</v>
      </c>
      <c r="H24" s="399">
        <f t="shared" si="4"/>
        <v>6.9114866666666677E-2</v>
      </c>
      <c r="I24" s="399">
        <f t="shared" si="5"/>
        <v>6.9114866666666677E-2</v>
      </c>
      <c r="J24" s="382">
        <f t="shared" si="6"/>
        <v>2.8068985478080357E-4</v>
      </c>
      <c r="K24" s="382">
        <f t="shared" si="7"/>
        <v>1.9399841887861273E-5</v>
      </c>
      <c r="M24" s="400"/>
      <c r="N24" s="398" t="s">
        <v>3938</v>
      </c>
      <c r="O24" s="398" t="s">
        <v>632</v>
      </c>
      <c r="P24" s="398" t="s">
        <v>146</v>
      </c>
      <c r="Q24" s="398">
        <v>15007675901.4</v>
      </c>
      <c r="R24" s="398">
        <v>0</v>
      </c>
      <c r="S24" s="398">
        <v>7.09</v>
      </c>
      <c r="T24" s="398">
        <v>150.227</v>
      </c>
      <c r="U24" s="398">
        <v>99.9</v>
      </c>
      <c r="W24" s="401" t="s">
        <v>632</v>
      </c>
      <c r="X24" s="402" t="s">
        <v>146</v>
      </c>
      <c r="Y24" s="386">
        <f t="shared" si="8"/>
        <v>15007.6759014</v>
      </c>
      <c r="Z24" s="387">
        <f t="shared" si="9"/>
        <v>0</v>
      </c>
      <c r="AA24" s="387">
        <f t="shared" si="10"/>
        <v>7.0900000000000005E-2</v>
      </c>
      <c r="AB24" s="403">
        <f t="shared" si="11"/>
        <v>7.0900000000000005E-2</v>
      </c>
      <c r="AC24" s="388">
        <f t="shared" si="12"/>
        <v>2.9634014646498117E-4</v>
      </c>
      <c r="AD24" s="389">
        <f t="shared" si="13"/>
        <v>2.1010516384367165E-5</v>
      </c>
    </row>
    <row r="25" spans="1:30" x14ac:dyDescent="0.55000000000000004">
      <c r="A25" t="str">
        <f t="shared" si="0"/>
        <v>Albemarle Corp</v>
      </c>
      <c r="B25" t="str">
        <f t="shared" si="0"/>
        <v>ALB</v>
      </c>
      <c r="C25" s="382">
        <f t="shared" si="1"/>
        <v>1.9147167121985987E-2</v>
      </c>
      <c r="D25" s="383">
        <f t="shared" si="2"/>
        <v>9895.721140409998</v>
      </c>
      <c r="E25" s="384">
        <f t="shared" si="3"/>
        <v>-0.44300000000000006</v>
      </c>
      <c r="F25" s="385">
        <v>-3.5000000000000003E-2</v>
      </c>
      <c r="G25" s="382">
        <v>-0.39553019999999994</v>
      </c>
      <c r="H25" s="399">
        <f t="shared" si="4"/>
        <v>-0.29117673333333333</v>
      </c>
      <c r="I25" s="399">
        <f t="shared" si="5"/>
        <v>-0.27481717099893099</v>
      </c>
      <c r="J25" s="382">
        <f t="shared" si="6"/>
        <v>1.8508052466630743E-4</v>
      </c>
      <c r="K25" s="382">
        <f t="shared" si="7"/>
        <v>-5.0863306195792473E-5</v>
      </c>
      <c r="M25" s="400"/>
      <c r="N25" s="398" t="s">
        <v>3939</v>
      </c>
      <c r="O25" s="398" t="s">
        <v>633</v>
      </c>
      <c r="P25" s="398" t="s">
        <v>147</v>
      </c>
      <c r="Q25" s="398">
        <v>9895721140.4099979</v>
      </c>
      <c r="R25" s="398">
        <v>1.9147167121985986</v>
      </c>
      <c r="S25" s="398">
        <v>-44.300000000000004</v>
      </c>
      <c r="T25" s="398">
        <v>117.54029999999999</v>
      </c>
      <c r="U25" s="398">
        <v>84.19</v>
      </c>
      <c r="W25" s="401" t="s">
        <v>633</v>
      </c>
      <c r="X25" s="402" t="s">
        <v>147</v>
      </c>
      <c r="Y25" s="386">
        <f t="shared" si="8"/>
        <v>9895.721140409998</v>
      </c>
      <c r="Z25" s="387">
        <f t="shared" si="9"/>
        <v>1.9147167121985987E-2</v>
      </c>
      <c r="AA25" s="387">
        <f t="shared" si="10"/>
        <v>-0.44300000000000006</v>
      </c>
      <c r="AB25" s="403">
        <f t="shared" si="11"/>
        <v>-0.42809393039553395</v>
      </c>
      <c r="AC25" s="388">
        <f t="shared" si="12"/>
        <v>1.9539997208043049E-4</v>
      </c>
      <c r="AD25" s="389">
        <f t="shared" si="13"/>
        <v>-8.3649542047089083E-5</v>
      </c>
    </row>
    <row r="26" spans="1:30" x14ac:dyDescent="0.55000000000000004">
      <c r="A26" t="str">
        <f t="shared" si="0"/>
        <v>Align Technology Inc</v>
      </c>
      <c r="B26" t="str">
        <f t="shared" si="0"/>
        <v>ALGN</v>
      </c>
      <c r="C26" s="382" t="str">
        <f t="shared" si="1"/>
        <v>0.00%</v>
      </c>
      <c r="D26" s="383">
        <f t="shared" si="2"/>
        <v>16357.231976600004</v>
      </c>
      <c r="E26" s="384">
        <f t="shared" si="3"/>
        <v>5.6349999999999997E-2</v>
      </c>
      <c r="F26" s="385">
        <v>0.14000000000000001</v>
      </c>
      <c r="G26" s="382">
        <v>4.3332599999999999E-2</v>
      </c>
      <c r="H26" s="399">
        <f t="shared" si="4"/>
        <v>7.9894200000000012E-2</v>
      </c>
      <c r="I26" s="399">
        <f t="shared" si="5"/>
        <v>7.9894200000000012E-2</v>
      </c>
      <c r="J26" s="382">
        <f t="shared" si="6"/>
        <v>3.0593071827327164E-4</v>
      </c>
      <c r="K26" s="382">
        <f t="shared" si="7"/>
        <v>2.4442089991868423E-5</v>
      </c>
      <c r="M26" s="400"/>
      <c r="N26" s="398" t="s">
        <v>3940</v>
      </c>
      <c r="O26" s="398" t="s">
        <v>634</v>
      </c>
      <c r="P26" s="398" t="s">
        <v>148</v>
      </c>
      <c r="Q26" s="398">
        <v>16357231976.600004</v>
      </c>
      <c r="R26" s="398" t="s">
        <v>3929</v>
      </c>
      <c r="S26" s="398">
        <v>5.6349999999999998</v>
      </c>
      <c r="T26" s="398">
        <v>74.653059999999996</v>
      </c>
      <c r="U26" s="398">
        <v>219.11</v>
      </c>
      <c r="W26" s="401" t="s">
        <v>634</v>
      </c>
      <c r="X26" s="402" t="s">
        <v>148</v>
      </c>
      <c r="Y26" s="386">
        <f t="shared" si="8"/>
        <v>16357.231976600004</v>
      </c>
      <c r="Z26" s="387" t="str">
        <f t="shared" si="9"/>
        <v>0.00%</v>
      </c>
      <c r="AA26" s="387">
        <f t="shared" si="10"/>
        <v>5.6349999999999997E-2</v>
      </c>
      <c r="AB26" s="403">
        <f t="shared" si="11"/>
        <v>5.6349999999999997E-2</v>
      </c>
      <c r="AC26" s="388">
        <f t="shared" si="12"/>
        <v>3.2298835286382585E-4</v>
      </c>
      <c r="AD26" s="389">
        <f t="shared" si="13"/>
        <v>1.8200393683876587E-5</v>
      </c>
    </row>
    <row r="27" spans="1:30" x14ac:dyDescent="0.55000000000000004">
      <c r="A27" t="str">
        <f t="shared" si="0"/>
        <v>Allstate Corp/The</v>
      </c>
      <c r="B27" t="str">
        <f t="shared" si="0"/>
        <v>ALL</v>
      </c>
      <c r="C27" s="382">
        <f t="shared" si="1"/>
        <v>1.9128581084594188E-2</v>
      </c>
      <c r="D27" s="383">
        <f t="shared" si="2"/>
        <v>50929.649269469999</v>
      </c>
      <c r="E27" s="384">
        <f t="shared" si="3"/>
        <v>1.79335</v>
      </c>
      <c r="F27" s="385">
        <v>0.32</v>
      </c>
      <c r="G27" s="382">
        <v>1.75</v>
      </c>
      <c r="H27" s="399">
        <f t="shared" si="4"/>
        <v>1.2877833333333333</v>
      </c>
      <c r="I27" s="399">
        <f t="shared" si="5"/>
        <v>1.3192286483734552</v>
      </c>
      <c r="J27" s="382">
        <f t="shared" si="6"/>
        <v>9.5254161613066515E-4</v>
      </c>
      <c r="K27" s="382">
        <f t="shared" si="7"/>
        <v>1.2566201887675239E-3</v>
      </c>
      <c r="M27" s="400"/>
      <c r="N27" s="398" t="s">
        <v>3941</v>
      </c>
      <c r="O27" s="398" t="s">
        <v>635</v>
      </c>
      <c r="P27" s="398" t="s">
        <v>149</v>
      </c>
      <c r="Q27" s="398">
        <v>50929649269.470001</v>
      </c>
      <c r="R27" s="398">
        <v>1.9128581084594187</v>
      </c>
      <c r="S27" s="398">
        <v>179.33500000000001</v>
      </c>
      <c r="T27" s="398">
        <v>264.80349999999999</v>
      </c>
      <c r="U27" s="398">
        <v>192.33</v>
      </c>
      <c r="W27" s="401" t="s">
        <v>635</v>
      </c>
      <c r="X27" s="402" t="s">
        <v>149</v>
      </c>
      <c r="Y27" s="386">
        <f t="shared" si="8"/>
        <v>50929.649269469999</v>
      </c>
      <c r="Z27" s="387">
        <f t="shared" si="9"/>
        <v>1.9128581084594188E-2</v>
      </c>
      <c r="AA27" s="387">
        <f t="shared" si="10"/>
        <v>1.79335</v>
      </c>
      <c r="AB27" s="403">
        <f t="shared" si="11"/>
        <v>1.8296307015286226</v>
      </c>
      <c r="AC27" s="388">
        <f t="shared" si="12"/>
        <v>1.005652029207064E-3</v>
      </c>
      <c r="AD27" s="389">
        <f t="shared" si="13"/>
        <v>1.8399718276918033E-3</v>
      </c>
    </row>
    <row r="28" spans="1:30" x14ac:dyDescent="0.55000000000000004">
      <c r="A28" t="str">
        <f t="shared" si="0"/>
        <v>Allegion plc</v>
      </c>
      <c r="B28" t="str">
        <f t="shared" si="0"/>
        <v>ALLE</v>
      </c>
      <c r="C28" s="382">
        <f t="shared" si="1"/>
        <v>1.4367512996308295E-2</v>
      </c>
      <c r="D28" s="383">
        <f t="shared" si="2"/>
        <v>11538.123467129999</v>
      </c>
      <c r="E28" s="384">
        <f t="shared" si="3"/>
        <v>8.1600000000000006E-2</v>
      </c>
      <c r="F28" s="385">
        <v>8.5000000000000006E-2</v>
      </c>
      <c r="G28" s="382">
        <v>8.1579300000000007E-2</v>
      </c>
      <c r="H28" s="399">
        <f t="shared" si="4"/>
        <v>8.2726433333333349E-2</v>
      </c>
      <c r="I28" s="399">
        <f t="shared" si="5"/>
        <v>9.768823288266909E-2</v>
      </c>
      <c r="J28" s="382">
        <f t="shared" si="6"/>
        <v>2.1579851681962183E-4</v>
      </c>
      <c r="K28" s="382">
        <f t="shared" si="7"/>
        <v>2.1080975766809801E-5</v>
      </c>
      <c r="M28" s="400"/>
      <c r="N28" s="398" t="s">
        <v>3942</v>
      </c>
      <c r="O28" s="398" t="s">
        <v>150</v>
      </c>
      <c r="P28" s="398" t="s">
        <v>151</v>
      </c>
      <c r="Q28" s="398">
        <v>11538123467.129999</v>
      </c>
      <c r="R28" s="398">
        <v>1.4367512996308296</v>
      </c>
      <c r="S28" s="398">
        <v>8.16</v>
      </c>
      <c r="T28" s="398">
        <v>86.929279999999991</v>
      </c>
      <c r="U28" s="398">
        <v>132.72999999999999</v>
      </c>
      <c r="W28" s="401" t="s">
        <v>150</v>
      </c>
      <c r="X28" s="402" t="s">
        <v>151</v>
      </c>
      <c r="Y28" s="386">
        <f t="shared" si="8"/>
        <v>11538.123467129999</v>
      </c>
      <c r="Z28" s="387">
        <f t="shared" si="9"/>
        <v>1.4367512996308295E-2</v>
      </c>
      <c r="AA28" s="387">
        <f t="shared" si="10"/>
        <v>8.1600000000000006E-2</v>
      </c>
      <c r="AB28" s="403">
        <f t="shared" si="11"/>
        <v>9.6553707526557675E-2</v>
      </c>
      <c r="AC28" s="388">
        <f t="shared" si="12"/>
        <v>2.2783069281642586E-4</v>
      </c>
      <c r="AD28" s="389">
        <f t="shared" si="13"/>
        <v>2.1997898079770188E-5</v>
      </c>
    </row>
    <row r="29" spans="1:30" x14ac:dyDescent="0.55000000000000004">
      <c r="A29" t="str">
        <f t="shared" si="0"/>
        <v>Applied Materials Inc</v>
      </c>
      <c r="B29" t="str">
        <f t="shared" si="0"/>
        <v>AMAT</v>
      </c>
      <c r="C29" s="382">
        <f t="shared" si="1"/>
        <v>9.0712503465483797E-3</v>
      </c>
      <c r="D29" s="383">
        <f t="shared" si="2"/>
        <v>146570.59198524998</v>
      </c>
      <c r="E29" s="384">
        <f t="shared" si="3"/>
        <v>0.10945000000000001</v>
      </c>
      <c r="F29" s="385">
        <v>0.1</v>
      </c>
      <c r="G29" s="382">
        <v>0.1132739</v>
      </c>
      <c r="H29" s="399">
        <f t="shared" si="4"/>
        <v>0.10757463333333334</v>
      </c>
      <c r="I29" s="399">
        <f t="shared" si="5"/>
        <v>0.11713380189483412</v>
      </c>
      <c r="J29" s="382">
        <f t="shared" si="6"/>
        <v>2.7413224039332016E-3</v>
      </c>
      <c r="K29" s="382">
        <f t="shared" si="7"/>
        <v>3.2110151539218207E-4</v>
      </c>
      <c r="M29" s="400"/>
      <c r="N29" s="398" t="s">
        <v>3943</v>
      </c>
      <c r="O29" s="398" t="s">
        <v>636</v>
      </c>
      <c r="P29" s="398" t="s">
        <v>152</v>
      </c>
      <c r="Q29" s="398">
        <v>146570591985.24997</v>
      </c>
      <c r="R29" s="398">
        <v>0.90712503465483796</v>
      </c>
      <c r="S29" s="398">
        <v>10.945</v>
      </c>
      <c r="T29" s="398">
        <v>812.70079999999996</v>
      </c>
      <c r="U29" s="398">
        <v>180.35</v>
      </c>
      <c r="W29" s="401" t="s">
        <v>636</v>
      </c>
      <c r="X29" s="402" t="s">
        <v>152</v>
      </c>
      <c r="Y29" s="386">
        <f t="shared" si="8"/>
        <v>146570.59198524998</v>
      </c>
      <c r="Z29" s="387">
        <f t="shared" si="9"/>
        <v>9.0712503465483797E-3</v>
      </c>
      <c r="AA29" s="387">
        <f t="shared" si="10"/>
        <v>0.10945000000000001</v>
      </c>
      <c r="AB29" s="403">
        <f t="shared" si="11"/>
        <v>0.11901767452176325</v>
      </c>
      <c r="AC29" s="388">
        <f t="shared" si="12"/>
        <v>2.8941690226876593E-3</v>
      </c>
      <c r="AD29" s="389">
        <f t="shared" si="13"/>
        <v>3.4445726675320947E-4</v>
      </c>
    </row>
    <row r="30" spans="1:30" x14ac:dyDescent="0.55000000000000004">
      <c r="A30" t="str">
        <f t="shared" si="0"/>
        <v>Amcor PLC</v>
      </c>
      <c r="B30" t="str">
        <f t="shared" si="0"/>
        <v>AMCR</v>
      </c>
      <c r="C30" s="382">
        <f t="shared" si="1"/>
        <v>5.2572016460905348E-2</v>
      </c>
      <c r="D30" s="383">
        <f t="shared" si="2"/>
        <v>14048.736020640001</v>
      </c>
      <c r="E30" s="384">
        <f t="shared" si="3"/>
        <v>7.1000000000000008E-2</v>
      </c>
      <c r="F30" s="385">
        <v>7.4999999999999997E-2</v>
      </c>
      <c r="G30" s="382">
        <v>7.1026300000000001E-2</v>
      </c>
      <c r="H30" s="399">
        <f t="shared" si="4"/>
        <v>7.2342100000000006E-2</v>
      </c>
      <c r="I30" s="399">
        <f t="shared" si="5"/>
        <v>0.1268157014969136</v>
      </c>
      <c r="J30" s="382">
        <f t="shared" si="6"/>
        <v>2.6275471961114441E-4</v>
      </c>
      <c r="K30" s="382">
        <f t="shared" si="7"/>
        <v>3.3321424089112116E-5</v>
      </c>
      <c r="M30" s="400"/>
      <c r="N30" s="398" t="s">
        <v>3944</v>
      </c>
      <c r="O30" s="398" t="s">
        <v>637</v>
      </c>
      <c r="P30" s="398" t="s">
        <v>153</v>
      </c>
      <c r="Q30" s="398">
        <v>14048736020.640001</v>
      </c>
      <c r="R30" s="398">
        <v>5.2572016460905351</v>
      </c>
      <c r="S30" s="398">
        <v>7.1000000000000005</v>
      </c>
      <c r="T30" s="398">
        <v>1445.3429999999998</v>
      </c>
      <c r="U30" s="398">
        <v>9.7200000000000006</v>
      </c>
      <c r="W30" s="401" t="s">
        <v>637</v>
      </c>
      <c r="X30" s="402" t="s">
        <v>153</v>
      </c>
      <c r="Y30" s="386">
        <f t="shared" si="8"/>
        <v>14048.736020640001</v>
      </c>
      <c r="Z30" s="387">
        <f t="shared" si="9"/>
        <v>5.2572016460905348E-2</v>
      </c>
      <c r="AA30" s="387">
        <f t="shared" si="10"/>
        <v>7.1000000000000008E-2</v>
      </c>
      <c r="AB30" s="403">
        <f t="shared" si="11"/>
        <v>0.1254383230452675</v>
      </c>
      <c r="AC30" s="388">
        <f t="shared" si="12"/>
        <v>2.7740501043309096E-4</v>
      </c>
      <c r="AD30" s="389">
        <f t="shared" si="13"/>
        <v>3.4797219313081868E-5</v>
      </c>
    </row>
    <row r="31" spans="1:30" x14ac:dyDescent="0.55000000000000004">
      <c r="A31" t="str">
        <f t="shared" si="0"/>
        <v>Advanced Micro Devices Inc</v>
      </c>
      <c r="B31" t="str">
        <f t="shared" si="0"/>
        <v>AMD</v>
      </c>
      <c r="C31" s="382">
        <f t="shared" si="1"/>
        <v>0</v>
      </c>
      <c r="D31" s="383">
        <f t="shared" si="2"/>
        <v>188164.51176869997</v>
      </c>
      <c r="E31" s="384">
        <f t="shared" si="3"/>
        <v>0.39815</v>
      </c>
      <c r="F31" s="385">
        <v>0.17</v>
      </c>
      <c r="G31" s="382">
        <v>0.4438724</v>
      </c>
      <c r="H31" s="399">
        <f t="shared" si="4"/>
        <v>0.3373408</v>
      </c>
      <c r="I31" s="399">
        <f t="shared" si="5"/>
        <v>0.3373408</v>
      </c>
      <c r="J31" s="382">
        <f t="shared" si="6"/>
        <v>3.5192570675337039E-3</v>
      </c>
      <c r="K31" s="382">
        <f t="shared" si="7"/>
        <v>1.1871889945674738E-3</v>
      </c>
      <c r="M31" s="400"/>
      <c r="N31" s="398" t="s">
        <v>3945</v>
      </c>
      <c r="O31" s="398" t="s">
        <v>638</v>
      </c>
      <c r="P31" s="398" t="s">
        <v>154</v>
      </c>
      <c r="Q31" s="398">
        <v>188164511768.69998</v>
      </c>
      <c r="R31" s="398">
        <v>0</v>
      </c>
      <c r="S31" s="398">
        <v>39.814999999999998</v>
      </c>
      <c r="T31" s="398">
        <v>1622.807</v>
      </c>
      <c r="U31" s="398">
        <v>115.95</v>
      </c>
      <c r="W31" s="401" t="s">
        <v>638</v>
      </c>
      <c r="X31" s="402" t="s">
        <v>154</v>
      </c>
      <c r="Y31" s="386">
        <f t="shared" si="8"/>
        <v>188164.51176869997</v>
      </c>
      <c r="Z31" s="387">
        <f t="shared" si="9"/>
        <v>0</v>
      </c>
      <c r="AA31" s="387">
        <f t="shared" si="10"/>
        <v>0.39815</v>
      </c>
      <c r="AB31" s="403">
        <f t="shared" si="11"/>
        <v>0.39815</v>
      </c>
      <c r="AC31" s="388">
        <f t="shared" si="12"/>
        <v>3.7154786219661469E-3</v>
      </c>
      <c r="AD31" s="389">
        <f t="shared" si="13"/>
        <v>1.4793178133358214E-3</v>
      </c>
    </row>
    <row r="32" spans="1:30" x14ac:dyDescent="0.55000000000000004">
      <c r="A32" t="str">
        <f t="shared" si="0"/>
        <v>AMETEK Inc</v>
      </c>
      <c r="B32" t="str">
        <f t="shared" si="0"/>
        <v>AME</v>
      </c>
      <c r="C32" s="382">
        <f t="shared" si="1"/>
        <v>5.9980494148244475E-3</v>
      </c>
      <c r="D32" s="383">
        <f t="shared" si="2"/>
        <v>42690.1454208</v>
      </c>
      <c r="E32" s="384">
        <f t="shared" si="3"/>
        <v>8.4199999999999997E-2</v>
      </c>
      <c r="F32" s="385">
        <v>0.08</v>
      </c>
      <c r="G32" s="382">
        <v>9.2075799999999999E-2</v>
      </c>
      <c r="H32" s="399">
        <f t="shared" si="4"/>
        <v>8.5425266666666666E-2</v>
      </c>
      <c r="I32" s="399">
        <f t="shared" si="5"/>
        <v>9.1679508566861731E-2</v>
      </c>
      <c r="J32" s="382">
        <f t="shared" si="6"/>
        <v>7.9843746609812693E-4</v>
      </c>
      <c r="K32" s="382">
        <f t="shared" si="7"/>
        <v>7.3200354513246603E-5</v>
      </c>
      <c r="M32" s="400"/>
      <c r="N32" s="398" t="s">
        <v>3946</v>
      </c>
      <c r="O32" s="398" t="s">
        <v>639</v>
      </c>
      <c r="P32" s="398" t="s">
        <v>155</v>
      </c>
      <c r="Q32" s="398">
        <v>42690145420.800003</v>
      </c>
      <c r="R32" s="398">
        <v>0.59980494148244479</v>
      </c>
      <c r="S32" s="398">
        <v>8.42</v>
      </c>
      <c r="T32" s="398">
        <v>231.30769999999998</v>
      </c>
      <c r="U32" s="398">
        <v>184.56</v>
      </c>
      <c r="W32" s="401" t="s">
        <v>639</v>
      </c>
      <c r="X32" s="402" t="s">
        <v>155</v>
      </c>
      <c r="Y32" s="386">
        <f t="shared" si="8"/>
        <v>42690.1454208</v>
      </c>
      <c r="Z32" s="387">
        <f t="shared" si="9"/>
        <v>5.9980494148244475E-3</v>
      </c>
      <c r="AA32" s="387">
        <f t="shared" si="10"/>
        <v>8.4199999999999997E-2</v>
      </c>
      <c r="AB32" s="403">
        <f t="shared" si="11"/>
        <v>9.045056729518855E-2</v>
      </c>
      <c r="AC32" s="388">
        <f t="shared" si="12"/>
        <v>8.4295556685303147E-4</v>
      </c>
      <c r="AD32" s="389">
        <f t="shared" si="13"/>
        <v>7.6245809226493932E-5</v>
      </c>
    </row>
    <row r="33" spans="1:30" x14ac:dyDescent="0.55000000000000004">
      <c r="A33" t="str">
        <f t="shared" si="0"/>
        <v>Amgen Inc</v>
      </c>
      <c r="B33" t="str">
        <f t="shared" si="0"/>
        <v>AMGN</v>
      </c>
      <c r="C33" s="382">
        <f t="shared" si="1"/>
        <v>3.1609557844579916E-2</v>
      </c>
      <c r="D33" s="383">
        <f t="shared" si="2"/>
        <v>153422.58979866002</v>
      </c>
      <c r="E33" s="384">
        <f t="shared" si="3"/>
        <v>5.3699999999999998E-2</v>
      </c>
      <c r="F33" s="385">
        <v>4.4999999999999998E-2</v>
      </c>
      <c r="G33" s="382">
        <v>5.0291100000000005E-2</v>
      </c>
      <c r="H33" s="399">
        <f t="shared" si="4"/>
        <v>4.9663699999999998E-2</v>
      </c>
      <c r="I33" s="399">
        <f t="shared" si="5"/>
        <v>8.2058181643542838E-2</v>
      </c>
      <c r="J33" s="382">
        <f t="shared" si="6"/>
        <v>2.8694759091021822E-3</v>
      </c>
      <c r="K33" s="382">
        <f t="shared" si="7"/>
        <v>2.3546397537087707E-4</v>
      </c>
      <c r="M33" s="400"/>
      <c r="N33" s="398" t="s">
        <v>3947</v>
      </c>
      <c r="O33" s="398" t="s">
        <v>640</v>
      </c>
      <c r="P33" s="398" t="s">
        <v>156</v>
      </c>
      <c r="Q33" s="398">
        <v>153422589798.66</v>
      </c>
      <c r="R33" s="398">
        <v>3.1609557844579919</v>
      </c>
      <c r="S33" s="398">
        <v>5.37</v>
      </c>
      <c r="T33" s="398">
        <v>537.53269999999998</v>
      </c>
      <c r="U33" s="398">
        <v>285.42</v>
      </c>
      <c r="W33" s="401" t="s">
        <v>640</v>
      </c>
      <c r="X33" s="402" t="s">
        <v>156</v>
      </c>
      <c r="Y33" s="386">
        <f t="shared" si="8"/>
        <v>153422.58979866002</v>
      </c>
      <c r="Z33" s="387">
        <f t="shared" si="9"/>
        <v>3.1609557844579916E-2</v>
      </c>
      <c r="AA33" s="387">
        <f t="shared" si="10"/>
        <v>5.3699999999999998E-2</v>
      </c>
      <c r="AB33" s="403">
        <f t="shared" si="11"/>
        <v>8.6158274472706881E-2</v>
      </c>
      <c r="AC33" s="388">
        <f t="shared" si="12"/>
        <v>3.029467922327026E-3</v>
      </c>
      <c r="AD33" s="389">
        <f t="shared" si="13"/>
        <v>2.6101372875811298E-4</v>
      </c>
    </row>
    <row r="34" spans="1:30" x14ac:dyDescent="0.55000000000000004">
      <c r="A34" t="str">
        <f t="shared" si="0"/>
        <v>Ameriprise Financial Inc</v>
      </c>
      <c r="B34" t="str">
        <f t="shared" si="0"/>
        <v>AMP</v>
      </c>
      <c r="C34" s="382">
        <f t="shared" si="1"/>
        <v>1.1566916961130743E-2</v>
      </c>
      <c r="D34" s="383">
        <f t="shared" si="2"/>
        <v>52713.834581760006</v>
      </c>
      <c r="E34" s="384">
        <f t="shared" si="3"/>
        <v>0.1193</v>
      </c>
      <c r="F34" s="385">
        <v>0.13500000000000001</v>
      </c>
      <c r="G34" s="382">
        <v>0.11933920000000001</v>
      </c>
      <c r="H34" s="399">
        <f t="shared" si="4"/>
        <v>0.12454640000000002</v>
      </c>
      <c r="I34" s="399">
        <f t="shared" si="5"/>
        <v>0.13683362589443465</v>
      </c>
      <c r="J34" s="382">
        <f t="shared" si="6"/>
        <v>9.8591138767284013E-4</v>
      </c>
      <c r="K34" s="382">
        <f t="shared" si="7"/>
        <v>1.3490582998588834E-4</v>
      </c>
      <c r="M34" s="400"/>
      <c r="N34" s="398" t="s">
        <v>3948</v>
      </c>
      <c r="O34" s="398" t="s">
        <v>641</v>
      </c>
      <c r="P34" s="398" t="s">
        <v>157</v>
      </c>
      <c r="Q34" s="398">
        <v>52713834581.760002</v>
      </c>
      <c r="R34" s="398">
        <v>1.1566916961130742</v>
      </c>
      <c r="S34" s="398">
        <v>11.93</v>
      </c>
      <c r="T34" s="398">
        <v>97.014569999999992</v>
      </c>
      <c r="U34" s="398">
        <v>543.36</v>
      </c>
      <c r="W34" s="401" t="s">
        <v>641</v>
      </c>
      <c r="X34" s="402" t="s">
        <v>157</v>
      </c>
      <c r="Y34" s="386">
        <f t="shared" si="8"/>
        <v>52713.834581760006</v>
      </c>
      <c r="Z34" s="387">
        <f t="shared" si="9"/>
        <v>1.1566916961130743E-2</v>
      </c>
      <c r="AA34" s="387">
        <f t="shared" si="10"/>
        <v>0.1193</v>
      </c>
      <c r="AB34" s="403">
        <f t="shared" si="11"/>
        <v>0.13155688355786219</v>
      </c>
      <c r="AC34" s="388">
        <f t="shared" si="12"/>
        <v>1.0408823833430675E-3</v>
      </c>
      <c r="AD34" s="389">
        <f t="shared" si="13"/>
        <v>1.3693524250289399E-4</v>
      </c>
    </row>
    <row r="35" spans="1:30" x14ac:dyDescent="0.55000000000000004">
      <c r="A35" t="str">
        <f t="shared" si="0"/>
        <v>American Tower Corp</v>
      </c>
      <c r="B35" t="str">
        <f t="shared" si="0"/>
        <v>AMT</v>
      </c>
      <c r="C35" s="382">
        <f t="shared" si="1"/>
        <v>3.5171668018383347E-2</v>
      </c>
      <c r="D35" s="383">
        <f t="shared" si="2"/>
        <v>86425.174345049993</v>
      </c>
      <c r="E35" s="384">
        <f t="shared" si="3"/>
        <v>0.13385</v>
      </c>
      <c r="F35" s="385">
        <v>0.11</v>
      </c>
      <c r="G35" s="382">
        <v>0.26602029999999999</v>
      </c>
      <c r="H35" s="399">
        <f t="shared" si="4"/>
        <v>0.16995676666666668</v>
      </c>
      <c r="I35" s="399">
        <f t="shared" si="5"/>
        <v>0.20811726617238893</v>
      </c>
      <c r="J35" s="382">
        <f t="shared" si="6"/>
        <v>1.6164174783421814E-3</v>
      </c>
      <c r="K35" s="382">
        <f t="shared" si="7"/>
        <v>3.3640438658584146E-4</v>
      </c>
      <c r="M35" s="400"/>
      <c r="N35" s="398" t="s">
        <v>3949</v>
      </c>
      <c r="O35" s="398" t="s">
        <v>642</v>
      </c>
      <c r="P35" s="398" t="s">
        <v>158</v>
      </c>
      <c r="Q35" s="398">
        <v>86425174345.049988</v>
      </c>
      <c r="R35" s="398">
        <v>3.5171668018383349</v>
      </c>
      <c r="S35" s="398">
        <v>13.385</v>
      </c>
      <c r="T35" s="398">
        <v>467.2894</v>
      </c>
      <c r="U35" s="398">
        <v>184.95</v>
      </c>
      <c r="W35" s="401" t="s">
        <v>642</v>
      </c>
      <c r="X35" s="402" t="s">
        <v>158</v>
      </c>
      <c r="Y35" s="386">
        <f t="shared" si="8"/>
        <v>86425.174345049993</v>
      </c>
      <c r="Z35" s="387">
        <f t="shared" si="9"/>
        <v>3.5171668018383347E-2</v>
      </c>
      <c r="AA35" s="387">
        <f t="shared" si="10"/>
        <v>0.13385</v>
      </c>
      <c r="AB35" s="403">
        <f t="shared" si="11"/>
        <v>0.17137553190051363</v>
      </c>
      <c r="AC35" s="388">
        <f t="shared" si="12"/>
        <v>1.7065433043689654E-3</v>
      </c>
      <c r="AD35" s="389">
        <f t="shared" si="13"/>
        <v>2.9245976649749158E-4</v>
      </c>
    </row>
    <row r="36" spans="1:30" x14ac:dyDescent="0.55000000000000004">
      <c r="A36" t="str">
        <f t="shared" si="0"/>
        <v>Amazon.com Inc</v>
      </c>
      <c r="B36" t="str">
        <f t="shared" si="0"/>
        <v>AMZN</v>
      </c>
      <c r="C36" s="382">
        <f t="shared" si="1"/>
        <v>0</v>
      </c>
      <c r="D36" s="383">
        <f t="shared" si="2"/>
        <v>2499207.81638144</v>
      </c>
      <c r="E36" s="384">
        <f t="shared" si="3"/>
        <v>0.35090000000000005</v>
      </c>
      <c r="F36" s="385">
        <v>0.28000000000000003</v>
      </c>
      <c r="G36" s="382">
        <v>0.2155</v>
      </c>
      <c r="H36" s="399">
        <f t="shared" si="4"/>
        <v>0.28213333333333335</v>
      </c>
      <c r="I36" s="399">
        <f t="shared" si="5"/>
        <v>0.28213333333333335</v>
      </c>
      <c r="J36" s="382">
        <f t="shared" si="6"/>
        <v>4.6742899010879864E-2</v>
      </c>
      <c r="K36" s="382">
        <f t="shared" si="7"/>
        <v>1.3187729907602906E-2</v>
      </c>
      <c r="M36" s="400"/>
      <c r="N36" s="398" t="s">
        <v>3950</v>
      </c>
      <c r="O36" s="398" t="s">
        <v>643</v>
      </c>
      <c r="P36" s="398" t="s">
        <v>159</v>
      </c>
      <c r="Q36" s="398">
        <v>2499207816381.4399</v>
      </c>
      <c r="R36" s="398">
        <v>0</v>
      </c>
      <c r="S36" s="398">
        <v>35.090000000000003</v>
      </c>
      <c r="T36" s="398">
        <v>10515.01</v>
      </c>
      <c r="U36" s="398">
        <v>237.68</v>
      </c>
      <c r="W36" s="401" t="s">
        <v>643</v>
      </c>
      <c r="X36" s="402" t="s">
        <v>159</v>
      </c>
      <c r="Y36" s="386">
        <f t="shared" si="8"/>
        <v>2499207.81638144</v>
      </c>
      <c r="Z36" s="387">
        <f t="shared" si="9"/>
        <v>0</v>
      </c>
      <c r="AA36" s="387">
        <f t="shared" si="10"/>
        <v>0.35090000000000005</v>
      </c>
      <c r="AB36" s="403">
        <f t="shared" si="11"/>
        <v>0.35090000000000005</v>
      </c>
      <c r="AC36" s="388">
        <f t="shared" si="12"/>
        <v>4.934912075785252E-2</v>
      </c>
      <c r="AD36" s="389">
        <f t="shared" si="13"/>
        <v>1.7316606473930452E-2</v>
      </c>
    </row>
    <row r="37" spans="1:30" x14ac:dyDescent="0.55000000000000004">
      <c r="A37" t="str">
        <f t="shared" si="0"/>
        <v>Arista Networks Inc</v>
      </c>
      <c r="B37" t="str">
        <f t="shared" si="0"/>
        <v>ANET</v>
      </c>
      <c r="C37" s="382">
        <f t="shared" si="1"/>
        <v>0</v>
      </c>
      <c r="D37" s="383">
        <f t="shared" si="2"/>
        <v>145162.09087236002</v>
      </c>
      <c r="E37" s="384">
        <f t="shared" si="3"/>
        <v>0.17855000000000001</v>
      </c>
      <c r="F37" s="385">
        <v>0.505</v>
      </c>
      <c r="G37" s="382">
        <v>0.1883833</v>
      </c>
      <c r="H37" s="399">
        <f t="shared" si="4"/>
        <v>0.29064443333333334</v>
      </c>
      <c r="I37" s="399">
        <f t="shared" si="5"/>
        <v>0.29064443333333334</v>
      </c>
      <c r="J37" s="382">
        <f t="shared" si="6"/>
        <v>2.7149790863247236E-3</v>
      </c>
      <c r="K37" s="382">
        <f t="shared" si="7"/>
        <v>7.8909355805670039E-4</v>
      </c>
      <c r="M37" s="400"/>
      <c r="N37" s="398" t="s">
        <v>3951</v>
      </c>
      <c r="O37" s="398" t="s">
        <v>644</v>
      </c>
      <c r="P37" s="398" t="s">
        <v>160</v>
      </c>
      <c r="Q37" s="398">
        <v>145162090872.36002</v>
      </c>
      <c r="R37" s="398">
        <v>0</v>
      </c>
      <c r="S37" s="398">
        <v>17.855</v>
      </c>
      <c r="T37" s="398">
        <v>1259.76</v>
      </c>
      <c r="U37" s="398">
        <v>115.23</v>
      </c>
      <c r="W37" s="401" t="s">
        <v>644</v>
      </c>
      <c r="X37" s="402" t="s">
        <v>160</v>
      </c>
      <c r="Y37" s="386">
        <f t="shared" si="8"/>
        <v>145162.09087236002</v>
      </c>
      <c r="Z37" s="387">
        <f t="shared" si="9"/>
        <v>0</v>
      </c>
      <c r="AA37" s="387">
        <f t="shared" si="10"/>
        <v>0.17855000000000001</v>
      </c>
      <c r="AB37" s="403">
        <f t="shared" si="11"/>
        <v>0.17855000000000001</v>
      </c>
      <c r="AC37" s="388">
        <f t="shared" si="12"/>
        <v>2.8663568931592649E-3</v>
      </c>
      <c r="AD37" s="389">
        <f t="shared" si="13"/>
        <v>5.1178802327358683E-4</v>
      </c>
    </row>
    <row r="38" spans="1:30" x14ac:dyDescent="0.55000000000000004">
      <c r="A38" t="str">
        <f t="shared" si="0"/>
        <v>ANSYS Inc</v>
      </c>
      <c r="B38" t="str">
        <f t="shared" si="0"/>
        <v>ANSS</v>
      </c>
      <c r="C38" s="382">
        <f t="shared" si="1"/>
        <v>0</v>
      </c>
      <c r="D38" s="383">
        <f t="shared" si="2"/>
        <v>30651.208877000001</v>
      </c>
      <c r="E38" s="384">
        <f t="shared" si="3"/>
        <v>0.1153</v>
      </c>
      <c r="F38" s="385">
        <v>9.5000000000000001E-2</v>
      </c>
      <c r="G38" s="382">
        <v>0.1153496</v>
      </c>
      <c r="H38" s="399">
        <f t="shared" si="4"/>
        <v>0.10854986666666666</v>
      </c>
      <c r="I38" s="399">
        <f t="shared" si="5"/>
        <v>0.10854986666666666</v>
      </c>
      <c r="J38" s="382">
        <f t="shared" si="6"/>
        <v>5.7327219917766394E-4</v>
      </c>
      <c r="K38" s="382">
        <f t="shared" si="7"/>
        <v>6.222862078444219E-5</v>
      </c>
      <c r="M38" s="400"/>
      <c r="N38" s="398" t="s">
        <v>3952</v>
      </c>
      <c r="O38" s="398" t="s">
        <v>645</v>
      </c>
      <c r="P38" s="398" t="s">
        <v>161</v>
      </c>
      <c r="Q38" s="398">
        <v>30651208877</v>
      </c>
      <c r="R38" s="398">
        <v>0</v>
      </c>
      <c r="S38" s="398">
        <v>11.53</v>
      </c>
      <c r="T38" s="398">
        <v>87.449950000000001</v>
      </c>
      <c r="U38" s="398">
        <v>350.5</v>
      </c>
      <c r="W38" s="401" t="s">
        <v>645</v>
      </c>
      <c r="X38" s="402" t="s">
        <v>161</v>
      </c>
      <c r="Y38" s="386">
        <f t="shared" si="8"/>
        <v>30651.208877000001</v>
      </c>
      <c r="Z38" s="387">
        <f t="shared" si="9"/>
        <v>0</v>
      </c>
      <c r="AA38" s="387">
        <f t="shared" si="10"/>
        <v>0.1153</v>
      </c>
      <c r="AB38" s="403">
        <f t="shared" si="11"/>
        <v>0.1153</v>
      </c>
      <c r="AC38" s="388">
        <f t="shared" si="12"/>
        <v>6.0523586647360779E-4</v>
      </c>
      <c r="AD38" s="389">
        <f t="shared" si="13"/>
        <v>6.9783695404406984E-5</v>
      </c>
    </row>
    <row r="39" spans="1:30" x14ac:dyDescent="0.55000000000000004">
      <c r="A39" t="str">
        <f t="shared" si="0"/>
        <v>Aon PLC</v>
      </c>
      <c r="B39" t="str">
        <f t="shared" si="0"/>
        <v>AON</v>
      </c>
      <c r="C39" s="382">
        <f t="shared" si="1"/>
        <v>7.5265627528180775E-3</v>
      </c>
      <c r="D39" s="383">
        <f t="shared" si="2"/>
        <v>80195.861207959984</v>
      </c>
      <c r="E39" s="384">
        <f t="shared" si="3"/>
        <v>0.1133</v>
      </c>
      <c r="F39" s="385">
        <v>0.105</v>
      </c>
      <c r="G39" s="382">
        <v>0.1133036</v>
      </c>
      <c r="H39" s="399">
        <f t="shared" si="4"/>
        <v>0.11053453333333334</v>
      </c>
      <c r="I39" s="399">
        <f t="shared" si="5"/>
        <v>0.11847706863689481</v>
      </c>
      <c r="J39" s="382">
        <f t="shared" si="6"/>
        <v>1.499910098297358E-3</v>
      </c>
      <c r="K39" s="382">
        <f t="shared" si="7"/>
        <v>1.7770495166514772E-4</v>
      </c>
      <c r="M39" s="400"/>
      <c r="N39" s="398" t="s">
        <v>3953</v>
      </c>
      <c r="O39" s="398" t="s">
        <v>646</v>
      </c>
      <c r="P39" s="398" t="s">
        <v>162</v>
      </c>
      <c r="Q39" s="398">
        <v>80195861207.959991</v>
      </c>
      <c r="R39" s="398">
        <v>0.75265627528180779</v>
      </c>
      <c r="S39" s="398">
        <v>11.33</v>
      </c>
      <c r="T39" s="398">
        <v>216.2663</v>
      </c>
      <c r="U39" s="398">
        <v>370.82</v>
      </c>
      <c r="W39" s="401" t="s">
        <v>646</v>
      </c>
      <c r="X39" s="402" t="s">
        <v>162</v>
      </c>
      <c r="Y39" s="386">
        <f t="shared" si="8"/>
        <v>80195.861207959984</v>
      </c>
      <c r="Z39" s="387">
        <f t="shared" si="9"/>
        <v>7.5265627528180775E-3</v>
      </c>
      <c r="AA39" s="387">
        <f t="shared" si="10"/>
        <v>0.1133</v>
      </c>
      <c r="AB39" s="403">
        <f t="shared" si="11"/>
        <v>0.12125294253276522</v>
      </c>
      <c r="AC39" s="388">
        <f t="shared" si="12"/>
        <v>1.5835398773527091E-3</v>
      </c>
      <c r="AD39" s="389">
        <f t="shared" si="13"/>
        <v>1.9200886974699011E-4</v>
      </c>
    </row>
    <row r="40" spans="1:30" x14ac:dyDescent="0.55000000000000004">
      <c r="A40" t="str">
        <f t="shared" si="0"/>
        <v>A O Smith Corp</v>
      </c>
      <c r="B40" t="str">
        <f t="shared" si="0"/>
        <v>AOS</v>
      </c>
      <c r="C40" s="382">
        <f t="shared" si="1"/>
        <v>2.0178306092124818E-2</v>
      </c>
      <c r="D40" s="383">
        <f t="shared" si="2"/>
        <v>9758.1946599000003</v>
      </c>
      <c r="E40" s="384" t="str">
        <f t="shared" si="3"/>
        <v>N/A</v>
      </c>
      <c r="F40" s="385">
        <v>7.4999999999999997E-2</v>
      </c>
      <c r="G40" s="382">
        <v>0.12</v>
      </c>
      <c r="H40" s="399">
        <f t="shared" si="4"/>
        <v>9.7500000000000003E-2</v>
      </c>
      <c r="I40" s="399">
        <f t="shared" si="5"/>
        <v>0.11866199851411591</v>
      </c>
      <c r="J40" s="382">
        <f t="shared" si="6"/>
        <v>1.8250835505813609E-4</v>
      </c>
      <c r="K40" s="382">
        <f t="shared" si="7"/>
        <v>2.1656806156722283E-5</v>
      </c>
      <c r="M40" s="400"/>
      <c r="N40" s="398" t="s">
        <v>3954</v>
      </c>
      <c r="O40" s="398" t="s">
        <v>647</v>
      </c>
      <c r="P40" s="398" t="s">
        <v>163</v>
      </c>
      <c r="Q40" s="398">
        <v>9758194659.8999996</v>
      </c>
      <c r="R40" s="398">
        <v>2.0178306092124818</v>
      </c>
      <c r="S40" s="398" t="s">
        <v>3929</v>
      </c>
      <c r="T40" s="398">
        <v>119.11</v>
      </c>
      <c r="U40" s="398">
        <v>67.3</v>
      </c>
      <c r="W40" s="401" t="s">
        <v>647</v>
      </c>
      <c r="X40" s="402" t="s">
        <v>163</v>
      </c>
      <c r="Y40" s="386">
        <f t="shared" si="8"/>
        <v>9758.1946599000003</v>
      </c>
      <c r="Z40" s="387">
        <f t="shared" si="9"/>
        <v>2.0178306092124818E-2</v>
      </c>
      <c r="AA40" s="387" t="str">
        <f t="shared" si="10"/>
        <v>N/A</v>
      </c>
      <c r="AB40" s="403" t="str">
        <f t="shared" si="11"/>
        <v>N/A</v>
      </c>
      <c r="AC40" s="388">
        <f t="shared" si="12"/>
        <v>1.9268438722605977E-4</v>
      </c>
      <c r="AD40" s="389" t="str">
        <f t="shared" si="13"/>
        <v>N/A</v>
      </c>
    </row>
    <row r="41" spans="1:30" ht="15" customHeight="1" x14ac:dyDescent="0.55000000000000004">
      <c r="A41" t="str">
        <f t="shared" si="0"/>
        <v>APA Corp</v>
      </c>
      <c r="B41" t="str">
        <f t="shared" si="0"/>
        <v>APA</v>
      </c>
      <c r="C41" s="382">
        <f t="shared" si="1"/>
        <v>4.5873233014135886E-2</v>
      </c>
      <c r="D41" s="383">
        <f t="shared" si="2"/>
        <v>8112.9476442899995</v>
      </c>
      <c r="E41" s="384">
        <f t="shared" si="3"/>
        <v>-0.13720000000000002</v>
      </c>
      <c r="F41" s="385">
        <v>0.06</v>
      </c>
      <c r="G41" s="382">
        <v>-0.1</v>
      </c>
      <c r="H41" s="399">
        <f t="shared" si="4"/>
        <v>-5.9066666666666677E-2</v>
      </c>
      <c r="I41" s="399">
        <f t="shared" si="5"/>
        <v>-1.4548223134214937E-2</v>
      </c>
      <c r="J41" s="382">
        <f t="shared" si="6"/>
        <v>1.5173715844353958E-4</v>
      </c>
      <c r="K41" s="382">
        <f t="shared" si="7"/>
        <v>-2.20750603878834E-6</v>
      </c>
      <c r="M41" s="400"/>
      <c r="N41" s="398" t="s">
        <v>3955</v>
      </c>
      <c r="O41" s="398" t="s">
        <v>648</v>
      </c>
      <c r="P41" s="398" t="s">
        <v>164</v>
      </c>
      <c r="Q41" s="398">
        <v>8112947644.29</v>
      </c>
      <c r="R41" s="398">
        <v>4.5873233014135888</v>
      </c>
      <c r="S41" s="398">
        <v>-13.72</v>
      </c>
      <c r="T41" s="398">
        <v>369.94749999999999</v>
      </c>
      <c r="U41" s="398">
        <v>21.93</v>
      </c>
      <c r="W41" s="401" t="s">
        <v>648</v>
      </c>
      <c r="X41" s="402" t="s">
        <v>164</v>
      </c>
      <c r="Y41" s="386">
        <f t="shared" si="8"/>
        <v>8112.9476442899995</v>
      </c>
      <c r="Z41" s="387">
        <f t="shared" si="9"/>
        <v>4.5873233014135886E-2</v>
      </c>
      <c r="AA41" s="387">
        <f t="shared" si="10"/>
        <v>-0.13720000000000002</v>
      </c>
      <c r="AB41" s="403">
        <f t="shared" si="11"/>
        <v>-9.4473670770633844E-2</v>
      </c>
      <c r="AC41" s="388">
        <f t="shared" si="12"/>
        <v>1.6019749553275908E-4</v>
      </c>
      <c r="AD41" s="389">
        <f t="shared" si="13"/>
        <v>-1.5134445451241968E-5</v>
      </c>
    </row>
    <row r="42" spans="1:30" x14ac:dyDescent="0.55000000000000004">
      <c r="A42" t="str">
        <f t="shared" si="0"/>
        <v>Air Products and Chemicals Inc</v>
      </c>
      <c r="B42" t="str">
        <f t="shared" si="0"/>
        <v>APD</v>
      </c>
      <c r="C42" s="382">
        <f t="shared" si="1"/>
        <v>2.188749030603114E-2</v>
      </c>
      <c r="D42" s="383">
        <f t="shared" si="2"/>
        <v>74554.753031339991</v>
      </c>
      <c r="E42" s="384">
        <f t="shared" si="3"/>
        <v>8.7100000000000011E-2</v>
      </c>
      <c r="F42" s="385">
        <v>8.5000000000000006E-2</v>
      </c>
      <c r="G42" s="382">
        <v>0.11128030000000001</v>
      </c>
      <c r="H42" s="399">
        <f t="shared" si="4"/>
        <v>9.4460100000000005E-2</v>
      </c>
      <c r="I42" s="399">
        <f t="shared" si="5"/>
        <v>0.11738133756755952</v>
      </c>
      <c r="J42" s="382">
        <f t="shared" si="6"/>
        <v>1.3944039662819032E-3</v>
      </c>
      <c r="K42" s="382">
        <f t="shared" si="7"/>
        <v>1.6367700267167997E-4</v>
      </c>
      <c r="M42" s="400"/>
      <c r="N42" s="398" t="s">
        <v>3956</v>
      </c>
      <c r="O42" s="398" t="s">
        <v>649</v>
      </c>
      <c r="P42" s="398" t="s">
        <v>165</v>
      </c>
      <c r="Q42" s="398">
        <v>74554753031.339996</v>
      </c>
      <c r="R42" s="398">
        <v>2.1887490306031139</v>
      </c>
      <c r="S42" s="398">
        <v>8.7100000000000009</v>
      </c>
      <c r="T42" s="398">
        <v>222.37889999999999</v>
      </c>
      <c r="U42" s="398">
        <v>335.26</v>
      </c>
      <c r="W42" s="401" t="s">
        <v>649</v>
      </c>
      <c r="X42" s="402" t="s">
        <v>165</v>
      </c>
      <c r="Y42" s="386">
        <f t="shared" si="8"/>
        <v>74554.753031339991</v>
      </c>
      <c r="Z42" s="387">
        <f t="shared" si="9"/>
        <v>2.188749030603114E-2</v>
      </c>
      <c r="AA42" s="387">
        <f t="shared" si="10"/>
        <v>8.7100000000000011E-2</v>
      </c>
      <c r="AB42" s="403">
        <f t="shared" si="11"/>
        <v>0.10994069050885881</v>
      </c>
      <c r="AC42" s="388">
        <f t="shared" si="12"/>
        <v>1.4721510897571276E-3</v>
      </c>
      <c r="AD42" s="389">
        <f t="shared" si="13"/>
        <v>1.618493073412676E-4</v>
      </c>
    </row>
    <row r="43" spans="1:30" x14ac:dyDescent="0.55000000000000004">
      <c r="A43" t="str">
        <f t="shared" si="0"/>
        <v>Amphenol Corp</v>
      </c>
      <c r="B43" t="str">
        <f t="shared" si="0"/>
        <v>APH</v>
      </c>
      <c r="C43" s="382">
        <f t="shared" si="1"/>
        <v>9.4800791183950288E-3</v>
      </c>
      <c r="D43" s="383">
        <f t="shared" si="2"/>
        <v>85333.281699019994</v>
      </c>
      <c r="E43" s="384">
        <f t="shared" si="3"/>
        <v>0.14940000000000001</v>
      </c>
      <c r="F43" s="385">
        <v>0.14000000000000001</v>
      </c>
      <c r="G43" s="382">
        <v>0.1497028</v>
      </c>
      <c r="H43" s="399">
        <f t="shared" si="4"/>
        <v>0.14636760000000001</v>
      </c>
      <c r="I43" s="399">
        <f t="shared" si="5"/>
        <v>0.15654146733257984</v>
      </c>
      <c r="J43" s="382">
        <f t="shared" si="6"/>
        <v>1.5959957161543535E-3</v>
      </c>
      <c r="K43" s="382">
        <f t="shared" si="7"/>
        <v>2.4983951126331409E-4</v>
      </c>
      <c r="M43" s="400"/>
      <c r="N43" s="398" t="s">
        <v>3957</v>
      </c>
      <c r="O43" s="398" t="s">
        <v>650</v>
      </c>
      <c r="P43" s="398" t="s">
        <v>166</v>
      </c>
      <c r="Q43" s="398">
        <v>85333281699.019989</v>
      </c>
      <c r="R43" s="398">
        <v>0.94800791183950284</v>
      </c>
      <c r="S43" s="398">
        <v>14.94</v>
      </c>
      <c r="T43" s="398">
        <v>1205.6130000000001</v>
      </c>
      <c r="U43" s="398">
        <v>70.78</v>
      </c>
      <c r="W43" s="401" t="s">
        <v>650</v>
      </c>
      <c r="X43" s="402" t="s">
        <v>166</v>
      </c>
      <c r="Y43" s="386">
        <f t="shared" si="8"/>
        <v>85333.281699019994</v>
      </c>
      <c r="Z43" s="387">
        <f t="shared" si="9"/>
        <v>9.4800791183950288E-3</v>
      </c>
      <c r="AA43" s="387">
        <f t="shared" si="10"/>
        <v>0.14940000000000001</v>
      </c>
      <c r="AB43" s="403">
        <f t="shared" si="11"/>
        <v>0.15958824102853914</v>
      </c>
      <c r="AC43" s="388">
        <f t="shared" si="12"/>
        <v>1.6849828956305025E-3</v>
      </c>
      <c r="AD43" s="389">
        <f t="shared" si="13"/>
        <v>2.6890345647684642E-4</v>
      </c>
    </row>
    <row r="44" spans="1:30" x14ac:dyDescent="0.55000000000000004">
      <c r="A44" t="str">
        <f t="shared" si="0"/>
        <v>Apollo Global Management Inc</v>
      </c>
      <c r="B44" t="str">
        <f t="shared" si="0"/>
        <v>APO</v>
      </c>
      <c r="C44" s="382">
        <f t="shared" si="1"/>
        <v>1.0808281670370805E-2</v>
      </c>
      <c r="D44" s="383">
        <f t="shared" si="2"/>
        <v>96743.29764687999</v>
      </c>
      <c r="E44" s="384">
        <f t="shared" si="3"/>
        <v>0.1487</v>
      </c>
      <c r="F44" s="385">
        <v>0.23499999999999999</v>
      </c>
      <c r="G44" s="382">
        <v>0.15689339999999999</v>
      </c>
      <c r="H44" s="399">
        <f t="shared" si="4"/>
        <v>0.18019779999999999</v>
      </c>
      <c r="I44" s="399">
        <f t="shared" si="5"/>
        <v>0.19197989595976137</v>
      </c>
      <c r="J44" s="382">
        <f t="shared" si="6"/>
        <v>1.8093982270089963E-3</v>
      </c>
      <c r="K44" s="382">
        <f t="shared" si="7"/>
        <v>3.473680833709638E-4</v>
      </c>
      <c r="M44" s="400"/>
      <c r="N44" s="398" t="s">
        <v>4414</v>
      </c>
      <c r="O44" s="398" t="s">
        <v>3907</v>
      </c>
      <c r="P44" s="398" t="s">
        <v>3904</v>
      </c>
      <c r="Q44" s="398">
        <v>96743297646.87999</v>
      </c>
      <c r="R44" s="398">
        <v>1.0808281670370805</v>
      </c>
      <c r="S44" s="398">
        <v>14.870000000000001</v>
      </c>
      <c r="T44" s="398">
        <v>565.81650000000002</v>
      </c>
      <c r="U44" s="398">
        <v>170.98</v>
      </c>
      <c r="W44" s="401" t="s">
        <v>3907</v>
      </c>
      <c r="X44" s="402" t="s">
        <v>3904</v>
      </c>
      <c r="Y44" s="386">
        <f t="shared" si="8"/>
        <v>96743.29764687999</v>
      </c>
      <c r="Z44" s="387">
        <f t="shared" si="9"/>
        <v>1.0808281670370805E-2</v>
      </c>
      <c r="AA44" s="387">
        <f t="shared" si="10"/>
        <v>0.1487</v>
      </c>
      <c r="AB44" s="403">
        <f t="shared" si="11"/>
        <v>0.16031187741256286</v>
      </c>
      <c r="AC44" s="388">
        <f t="shared" si="12"/>
        <v>1.9102839895088145E-3</v>
      </c>
      <c r="AD44" s="389">
        <f t="shared" si="13"/>
        <v>3.0624121274931861E-4</v>
      </c>
    </row>
    <row r="45" spans="1:30" x14ac:dyDescent="0.55000000000000004">
      <c r="A45" t="str">
        <f t="shared" si="0"/>
        <v>Aptiv PLC</v>
      </c>
      <c r="B45" t="str">
        <f t="shared" si="0"/>
        <v>APTV</v>
      </c>
      <c r="C45" s="382">
        <f t="shared" si="1"/>
        <v>7.3694328740788199E-4</v>
      </c>
      <c r="D45" s="383">
        <f t="shared" si="2"/>
        <v>14670.930828379998</v>
      </c>
      <c r="E45" s="384">
        <f t="shared" si="3"/>
        <v>0.13790000000000002</v>
      </c>
      <c r="F45" s="385">
        <v>0.215</v>
      </c>
      <c r="G45" s="382">
        <v>0.14904000000000001</v>
      </c>
      <c r="H45" s="399">
        <f t="shared" si="4"/>
        <v>0.16731333333333334</v>
      </c>
      <c r="I45" s="399">
        <f t="shared" si="5"/>
        <v>0.16811192683968815</v>
      </c>
      <c r="J45" s="382">
        <f t="shared" si="6"/>
        <v>2.7439168268106372E-4</v>
      </c>
      <c r="K45" s="382">
        <f t="shared" si="7"/>
        <v>4.6128514484297907E-5</v>
      </c>
      <c r="M45" s="400"/>
      <c r="N45" s="398" t="s">
        <v>3958</v>
      </c>
      <c r="O45" s="398" t="s">
        <v>167</v>
      </c>
      <c r="P45" s="398" t="s">
        <v>168</v>
      </c>
      <c r="Q45" s="398">
        <v>14670930828.379999</v>
      </c>
      <c r="R45" s="398">
        <v>7.3694328740788198E-2</v>
      </c>
      <c r="S45" s="398">
        <v>13.790000000000001</v>
      </c>
      <c r="T45" s="398">
        <v>235.03569999999999</v>
      </c>
      <c r="U45" s="398">
        <v>62.42</v>
      </c>
      <c r="W45" s="401" t="s">
        <v>167</v>
      </c>
      <c r="X45" s="402" t="s">
        <v>168</v>
      </c>
      <c r="Y45" s="386">
        <f t="shared" si="8"/>
        <v>14670.930828379998</v>
      </c>
      <c r="Z45" s="387">
        <f t="shared" si="9"/>
        <v>7.3694328740788199E-4</v>
      </c>
      <c r="AA45" s="387">
        <f t="shared" si="10"/>
        <v>0.13790000000000002</v>
      </c>
      <c r="AB45" s="403">
        <f t="shared" si="11"/>
        <v>0.13868775552707469</v>
      </c>
      <c r="AC45" s="388">
        <f t="shared" si="12"/>
        <v>2.8969081015763201E-4</v>
      </c>
      <c r="AD45" s="389">
        <f t="shared" si="13"/>
        <v>4.0176568257581869E-5</v>
      </c>
    </row>
    <row r="46" spans="1:30" x14ac:dyDescent="0.55000000000000004">
      <c r="A46" t="str">
        <f t="shared" si="0"/>
        <v>Alexandria Real Estate Equities Inc</v>
      </c>
      <c r="B46" t="str">
        <f t="shared" si="0"/>
        <v>ARE</v>
      </c>
      <c r="C46" s="382">
        <f t="shared" si="1"/>
        <v>5.4555726759116595E-2</v>
      </c>
      <c r="D46" s="383">
        <f t="shared" si="2"/>
        <v>16850.483030699997</v>
      </c>
      <c r="E46" s="384">
        <f t="shared" si="3"/>
        <v>2.8199999999999999E-2</v>
      </c>
      <c r="F46" s="385">
        <v>9.5000000000000001E-2</v>
      </c>
      <c r="G46" s="382">
        <v>3.9091800000000003E-2</v>
      </c>
      <c r="H46" s="399">
        <f t="shared" si="4"/>
        <v>5.4097266666666671E-2</v>
      </c>
      <c r="I46" s="399">
        <f t="shared" si="5"/>
        <v>0.11012865127512414</v>
      </c>
      <c r="J46" s="382">
        <f t="shared" si="6"/>
        <v>3.1515603521477693E-4</v>
      </c>
      <c r="K46" s="382">
        <f t="shared" si="7"/>
        <v>3.4707709099418911E-5</v>
      </c>
      <c r="M46" s="400"/>
      <c r="N46" s="398" t="s">
        <v>3959</v>
      </c>
      <c r="O46" s="398" t="s">
        <v>651</v>
      </c>
      <c r="P46" s="398" t="s">
        <v>169</v>
      </c>
      <c r="Q46" s="398">
        <v>16850483030.699997</v>
      </c>
      <c r="R46" s="398">
        <v>5.4555726759116592</v>
      </c>
      <c r="S46" s="398">
        <v>2.82</v>
      </c>
      <c r="T46" s="398">
        <v>173.09180000000001</v>
      </c>
      <c r="U46" s="398">
        <v>97.35</v>
      </c>
      <c r="W46" s="401" t="s">
        <v>651</v>
      </c>
      <c r="X46" s="402" t="s">
        <v>169</v>
      </c>
      <c r="Y46" s="386">
        <f t="shared" si="8"/>
        <v>16850.483030699997</v>
      </c>
      <c r="Z46" s="387">
        <f t="shared" si="9"/>
        <v>5.4555726759116595E-2</v>
      </c>
      <c r="AA46" s="387">
        <f t="shared" si="10"/>
        <v>2.8199999999999999E-2</v>
      </c>
      <c r="AB46" s="403">
        <f t="shared" si="11"/>
        <v>8.3524962506420136E-2</v>
      </c>
      <c r="AC46" s="388">
        <f t="shared" si="12"/>
        <v>3.3272804144561107E-4</v>
      </c>
      <c r="AD46" s="389">
        <f t="shared" si="13"/>
        <v>2.7791097186579268E-5</v>
      </c>
    </row>
    <row r="47" spans="1:30" x14ac:dyDescent="0.55000000000000004">
      <c r="A47" t="str">
        <f t="shared" si="0"/>
        <v>Atmos Energy Corp</v>
      </c>
      <c r="B47" t="str">
        <f t="shared" si="0"/>
        <v>ATO</v>
      </c>
      <c r="C47" s="382">
        <f t="shared" si="1"/>
        <v>2.4440390148059786E-2</v>
      </c>
      <c r="D47" s="383">
        <f t="shared" si="2"/>
        <v>22149.173116369999</v>
      </c>
      <c r="E47" s="384">
        <f t="shared" si="3"/>
        <v>7.0099999999999996E-2</v>
      </c>
      <c r="F47" s="385">
        <v>7.0000000000000007E-2</v>
      </c>
      <c r="G47" s="382">
        <v>7.7142000000000002E-2</v>
      </c>
      <c r="H47" s="399">
        <f t="shared" si="4"/>
        <v>7.2413999999999992E-2</v>
      </c>
      <c r="I47" s="399">
        <f t="shared" si="5"/>
        <v>9.7739303354150583E-2</v>
      </c>
      <c r="J47" s="382">
        <f t="shared" si="6"/>
        <v>4.1425789218761129E-4</v>
      </c>
      <c r="K47" s="382">
        <f t="shared" si="7"/>
        <v>4.0489277791375946E-5</v>
      </c>
      <c r="M47" s="400"/>
      <c r="N47" s="398" t="s">
        <v>3960</v>
      </c>
      <c r="O47" s="398" t="s">
        <v>652</v>
      </c>
      <c r="P47" s="398" t="s">
        <v>29</v>
      </c>
      <c r="Q47" s="398">
        <v>22149173116.369999</v>
      </c>
      <c r="R47" s="398">
        <v>2.4440390148059787</v>
      </c>
      <c r="S47" s="398">
        <v>7.01</v>
      </c>
      <c r="T47" s="398">
        <v>155.42189999999999</v>
      </c>
      <c r="U47" s="398">
        <v>142.51</v>
      </c>
      <c r="W47" s="401" t="s">
        <v>652</v>
      </c>
      <c r="X47" s="402" t="s">
        <v>29</v>
      </c>
      <c r="Y47" s="386">
        <f t="shared" si="8"/>
        <v>22149.173116369999</v>
      </c>
      <c r="Z47" s="387">
        <f t="shared" si="9"/>
        <v>2.4440390148059786E-2</v>
      </c>
      <c r="AA47" s="387">
        <f t="shared" si="10"/>
        <v>7.0099999999999996E-2</v>
      </c>
      <c r="AB47" s="403">
        <f t="shared" si="11"/>
        <v>9.5397025822749282E-2</v>
      </c>
      <c r="AC47" s="388">
        <f t="shared" si="12"/>
        <v>4.3735547385928097E-4</v>
      </c>
      <c r="AD47" s="389">
        <f t="shared" si="13"/>
        <v>4.1722411433474575E-5</v>
      </c>
    </row>
    <row r="48" spans="1:30" x14ac:dyDescent="0.55000000000000004">
      <c r="A48" t="str">
        <f t="shared" si="0"/>
        <v>AvalonBay Communities Inc</v>
      </c>
      <c r="B48" t="str">
        <f t="shared" si="0"/>
        <v>AVB</v>
      </c>
      <c r="C48" s="382">
        <f t="shared" si="1"/>
        <v>3.066678705250328E-2</v>
      </c>
      <c r="D48" s="383">
        <f t="shared" si="2"/>
        <v>31506.969481829998</v>
      </c>
      <c r="E48" s="384">
        <f t="shared" si="3"/>
        <v>5.4100000000000002E-2</v>
      </c>
      <c r="F48" s="385">
        <v>5.5E-2</v>
      </c>
      <c r="G48" s="382">
        <v>5.5618499999999994E-2</v>
      </c>
      <c r="H48" s="399">
        <f t="shared" si="4"/>
        <v>5.4906166666666666E-2</v>
      </c>
      <c r="I48" s="399">
        <f t="shared" si="5"/>
        <v>8.6414851579687896E-2</v>
      </c>
      <c r="J48" s="382">
        <f t="shared" si="6"/>
        <v>5.8927756346424589E-4</v>
      </c>
      <c r="K48" s="382">
        <f t="shared" si="7"/>
        <v>5.0922333186002922E-5</v>
      </c>
      <c r="M48" s="400"/>
      <c r="N48" s="398" t="s">
        <v>3961</v>
      </c>
      <c r="O48" s="398" t="s">
        <v>653</v>
      </c>
      <c r="P48" s="398" t="s">
        <v>170</v>
      </c>
      <c r="Q48" s="398">
        <v>31506969481.829998</v>
      </c>
      <c r="R48" s="398">
        <v>3.0666787052503279</v>
      </c>
      <c r="S48" s="398">
        <v>5.41</v>
      </c>
      <c r="T48" s="398">
        <v>142.2372</v>
      </c>
      <c r="U48" s="398">
        <v>221.51</v>
      </c>
      <c r="W48" s="401" t="s">
        <v>653</v>
      </c>
      <c r="X48" s="402" t="s">
        <v>170</v>
      </c>
      <c r="Y48" s="386">
        <f t="shared" si="8"/>
        <v>31506.969481829998</v>
      </c>
      <c r="Z48" s="387">
        <f t="shared" si="9"/>
        <v>3.066678705250328E-2</v>
      </c>
      <c r="AA48" s="387">
        <f t="shared" si="10"/>
        <v>5.4100000000000002E-2</v>
      </c>
      <c r="AB48" s="403">
        <f t="shared" si="11"/>
        <v>8.55963236422735E-2</v>
      </c>
      <c r="AC48" s="388">
        <f t="shared" si="12"/>
        <v>6.2213363429857956E-4</v>
      </c>
      <c r="AD48" s="389">
        <f t="shared" si="13"/>
        <v>5.3252351910165041E-5</v>
      </c>
    </row>
    <row r="49" spans="1:30" x14ac:dyDescent="0.55000000000000004">
      <c r="A49" t="str">
        <f t="shared" si="0"/>
        <v>Broadcom Inc</v>
      </c>
      <c r="B49" t="str">
        <f t="shared" si="0"/>
        <v>AVGO</v>
      </c>
      <c r="C49" s="382">
        <f t="shared" si="1"/>
        <v>1.0742531748542505E-2</v>
      </c>
      <c r="D49" s="383">
        <f t="shared" si="2"/>
        <v>1037171.29663812</v>
      </c>
      <c r="E49" s="384">
        <f t="shared" si="3"/>
        <v>0.21190000000000001</v>
      </c>
      <c r="F49" s="385">
        <v>0.17499999999999999</v>
      </c>
      <c r="G49" s="382">
        <v>0.20584820000000001</v>
      </c>
      <c r="H49" s="399">
        <f t="shared" si="4"/>
        <v>0.19758273333333334</v>
      </c>
      <c r="I49" s="399">
        <f t="shared" si="5"/>
        <v>0.20938653447477443</v>
      </c>
      <c r="J49" s="382">
        <f t="shared" si="6"/>
        <v>1.9398304077782889E-2</v>
      </c>
      <c r="K49" s="382">
        <f t="shared" si="7"/>
        <v>4.0617436655348447E-3</v>
      </c>
      <c r="M49" s="400"/>
      <c r="N49" s="398" t="s">
        <v>3962</v>
      </c>
      <c r="O49" s="398" t="s">
        <v>654</v>
      </c>
      <c r="P49" s="398" t="s">
        <v>171</v>
      </c>
      <c r="Q49" s="398">
        <v>1037171296638.12</v>
      </c>
      <c r="R49" s="398">
        <v>1.0742531748542505</v>
      </c>
      <c r="S49" s="398">
        <v>21.19</v>
      </c>
      <c r="T49" s="398">
        <v>4687.3559999999998</v>
      </c>
      <c r="U49" s="398">
        <v>221.27</v>
      </c>
      <c r="W49" s="401" t="s">
        <v>654</v>
      </c>
      <c r="X49" s="402" t="s">
        <v>171</v>
      </c>
      <c r="Y49" s="386">
        <f t="shared" si="8"/>
        <v>1037171.29663812</v>
      </c>
      <c r="Z49" s="387">
        <f t="shared" si="9"/>
        <v>1.0742531748542505E-2</v>
      </c>
      <c r="AA49" s="387">
        <f t="shared" si="10"/>
        <v>0.21190000000000001</v>
      </c>
      <c r="AB49" s="403">
        <f t="shared" si="11"/>
        <v>0.2237807029873006</v>
      </c>
      <c r="AC49" s="388">
        <f t="shared" si="12"/>
        <v>2.0479886157878921E-2</v>
      </c>
      <c r="AD49" s="389">
        <f t="shared" si="13"/>
        <v>4.5830033215100317E-3</v>
      </c>
    </row>
    <row r="50" spans="1:30" x14ac:dyDescent="0.55000000000000004">
      <c r="A50" t="str">
        <f t="shared" si="0"/>
        <v>Avery Dennison Corp</v>
      </c>
      <c r="B50" t="str">
        <f t="shared" si="0"/>
        <v>AVY</v>
      </c>
      <c r="C50" s="382">
        <f t="shared" si="1"/>
        <v>1.9485274322941906E-2</v>
      </c>
      <c r="D50" s="383">
        <f t="shared" si="2"/>
        <v>14922.739286489999</v>
      </c>
      <c r="E50" s="384">
        <f t="shared" si="3"/>
        <v>8.9600000000000013E-2</v>
      </c>
      <c r="F50" s="385">
        <v>0.02</v>
      </c>
      <c r="G50" s="382">
        <v>8.9639200000000002E-2</v>
      </c>
      <c r="H50" s="399">
        <f t="shared" si="4"/>
        <v>6.6413066666666673E-2</v>
      </c>
      <c r="I50" s="399">
        <f t="shared" si="5"/>
        <v>8.6545379400922495E-2</v>
      </c>
      <c r="J50" s="382">
        <f t="shared" si="6"/>
        <v>2.7910127795776349E-4</v>
      </c>
      <c r="K50" s="382">
        <f t="shared" si="7"/>
        <v>2.4154925992136969E-5</v>
      </c>
      <c r="M50" s="400"/>
      <c r="N50" s="398" t="s">
        <v>3963</v>
      </c>
      <c r="O50" s="398" t="s">
        <v>655</v>
      </c>
      <c r="P50" s="398" t="s">
        <v>172</v>
      </c>
      <c r="Q50" s="398">
        <v>14922739286.49</v>
      </c>
      <c r="R50" s="398">
        <v>1.9485274322941908</v>
      </c>
      <c r="S50" s="398">
        <v>8.9600000000000009</v>
      </c>
      <c r="T50" s="398">
        <v>80.346409999999992</v>
      </c>
      <c r="U50" s="398">
        <v>185.73</v>
      </c>
      <c r="W50" s="401" t="s">
        <v>655</v>
      </c>
      <c r="X50" s="402" t="s">
        <v>172</v>
      </c>
      <c r="Y50" s="386">
        <f t="shared" si="8"/>
        <v>14922.739286489999</v>
      </c>
      <c r="Z50" s="387">
        <f t="shared" si="9"/>
        <v>1.9485274322941906E-2</v>
      </c>
      <c r="AA50" s="387">
        <f t="shared" si="10"/>
        <v>8.9600000000000013E-2</v>
      </c>
      <c r="AB50" s="403">
        <f t="shared" si="11"/>
        <v>0.10995821461260971</v>
      </c>
      <c r="AC50" s="388">
        <f t="shared" si="12"/>
        <v>2.9466299611418496E-4</v>
      </c>
      <c r="AD50" s="389">
        <f t="shared" si="13"/>
        <v>3.2400616965118129E-5</v>
      </c>
    </row>
    <row r="51" spans="1:30" x14ac:dyDescent="0.55000000000000004">
      <c r="A51" t="str">
        <f t="shared" si="0"/>
        <v>American Water Works Co Inc</v>
      </c>
      <c r="B51" t="str">
        <f t="shared" si="0"/>
        <v>AWK</v>
      </c>
      <c r="C51" s="382">
        <f t="shared" si="1"/>
        <v>2.4197689345314508E-2</v>
      </c>
      <c r="D51" s="383">
        <f t="shared" si="2"/>
        <v>24291.574324960002</v>
      </c>
      <c r="E51" s="384">
        <f t="shared" si="3"/>
        <v>7.8299999999999995E-2</v>
      </c>
      <c r="F51" s="385">
        <v>0.04</v>
      </c>
      <c r="G51" s="382">
        <v>8.07287E-2</v>
      </c>
      <c r="H51" s="399">
        <f t="shared" si="4"/>
        <v>6.6342899999999996E-2</v>
      </c>
      <c r="I51" s="399">
        <f t="shared" si="5"/>
        <v>9.1343261787548133E-2</v>
      </c>
      <c r="J51" s="382">
        <f t="shared" si="6"/>
        <v>4.5432740648630753E-4</v>
      </c>
      <c r="K51" s="382">
        <f t="shared" si="7"/>
        <v>4.149974722793658E-5</v>
      </c>
      <c r="M51" s="400"/>
      <c r="N51" s="398" t="s">
        <v>3964</v>
      </c>
      <c r="O51" s="398" t="s">
        <v>656</v>
      </c>
      <c r="P51" s="398" t="s">
        <v>4</v>
      </c>
      <c r="Q51" s="398">
        <v>24291574324.960003</v>
      </c>
      <c r="R51" s="398">
        <v>2.4197689345314508</v>
      </c>
      <c r="S51" s="398">
        <v>7.83</v>
      </c>
      <c r="T51" s="398">
        <v>194.8939</v>
      </c>
      <c r="U51" s="398">
        <v>124.64</v>
      </c>
      <c r="W51" s="401" t="s">
        <v>656</v>
      </c>
      <c r="X51" s="402" t="s">
        <v>4</v>
      </c>
      <c r="Y51" s="386">
        <f t="shared" si="8"/>
        <v>24291.574324960002</v>
      </c>
      <c r="Z51" s="387">
        <f t="shared" si="9"/>
        <v>2.4197689345314508E-2</v>
      </c>
      <c r="AA51" s="387">
        <f t="shared" si="10"/>
        <v>7.8299999999999995E-2</v>
      </c>
      <c r="AB51" s="403">
        <f t="shared" si="11"/>
        <v>0.10344502888318356</v>
      </c>
      <c r="AC51" s="388">
        <f t="shared" si="12"/>
        <v>4.7965912514489337E-4</v>
      </c>
      <c r="AD51" s="389">
        <f t="shared" si="13"/>
        <v>4.9618352054696056E-5</v>
      </c>
    </row>
    <row r="52" spans="1:30" x14ac:dyDescent="0.55000000000000004">
      <c r="A52" t="str">
        <f t="shared" si="0"/>
        <v>Axon Enterprise Inc</v>
      </c>
      <c r="B52" t="str">
        <f t="shared" si="0"/>
        <v>AXON</v>
      </c>
      <c r="C52" s="382" t="str">
        <f t="shared" si="1"/>
        <v>0.00%</v>
      </c>
      <c r="D52" s="383">
        <f t="shared" si="2"/>
        <v>49731.839811680002</v>
      </c>
      <c r="E52" s="384">
        <f t="shared" si="3"/>
        <v>0.24640000000000001</v>
      </c>
      <c r="F52" s="385">
        <v>0.26500000000000001</v>
      </c>
      <c r="G52" s="382">
        <v>0.23460830000000002</v>
      </c>
      <c r="H52" s="399">
        <f t="shared" si="4"/>
        <v>0.24866943333333336</v>
      </c>
      <c r="I52" s="399">
        <f t="shared" si="5"/>
        <v>0.24866943333333336</v>
      </c>
      <c r="J52" s="382">
        <f t="shared" si="6"/>
        <v>9.3013888269138662E-4</v>
      </c>
      <c r="K52" s="382">
        <f t="shared" si="7"/>
        <v>2.3129710888016695E-4</v>
      </c>
      <c r="M52" s="400"/>
      <c r="N52" s="398" t="s">
        <v>3965</v>
      </c>
      <c r="O52" s="398" t="s">
        <v>657</v>
      </c>
      <c r="P52" s="398" t="s">
        <v>173</v>
      </c>
      <c r="Q52" s="398">
        <v>49731839811.68</v>
      </c>
      <c r="R52" s="398" t="s">
        <v>3929</v>
      </c>
      <c r="S52" s="398">
        <v>24.64</v>
      </c>
      <c r="T52" s="398">
        <v>76.254779999999997</v>
      </c>
      <c r="U52" s="398">
        <v>652.17999999999995</v>
      </c>
      <c r="W52" s="401" t="s">
        <v>657</v>
      </c>
      <c r="X52" s="402" t="s">
        <v>173</v>
      </c>
      <c r="Y52" s="386">
        <f t="shared" si="8"/>
        <v>49731.839811680002</v>
      </c>
      <c r="Z52" s="387" t="str">
        <f t="shared" si="9"/>
        <v>0.00%</v>
      </c>
      <c r="AA52" s="387">
        <f t="shared" si="10"/>
        <v>0.24640000000000001</v>
      </c>
      <c r="AB52" s="403">
        <f t="shared" si="11"/>
        <v>0.24640000000000001</v>
      </c>
      <c r="AC52" s="388">
        <f t="shared" si="12"/>
        <v>9.8200019713854791E-4</v>
      </c>
      <c r="AD52" s="389">
        <f t="shared" si="13"/>
        <v>2.4196484857493821E-4</v>
      </c>
    </row>
    <row r="53" spans="1:30" x14ac:dyDescent="0.55000000000000004">
      <c r="A53" t="str">
        <f t="shared" si="0"/>
        <v>American Express Co</v>
      </c>
      <c r="B53" t="str">
        <f t="shared" si="0"/>
        <v>AXP</v>
      </c>
      <c r="C53" s="382">
        <f t="shared" si="1"/>
        <v>1.0184280989132148E-2</v>
      </c>
      <c r="D53" s="383">
        <f t="shared" si="2"/>
        <v>223626.03033050001</v>
      </c>
      <c r="E53" s="384">
        <f t="shared" si="3"/>
        <v>0.15240000000000001</v>
      </c>
      <c r="F53" s="385">
        <v>0.09</v>
      </c>
      <c r="G53" s="382">
        <v>0.13663</v>
      </c>
      <c r="H53" s="399">
        <f t="shared" si="4"/>
        <v>0.12634333333333334</v>
      </c>
      <c r="I53" s="399">
        <f t="shared" si="5"/>
        <v>0.13717097232635062</v>
      </c>
      <c r="J53" s="382">
        <f t="shared" si="6"/>
        <v>4.1824969029894982E-3</v>
      </c>
      <c r="K53" s="382">
        <f t="shared" si="7"/>
        <v>5.7371716693501958E-4</v>
      </c>
      <c r="M53" s="400"/>
      <c r="N53" s="398" t="s">
        <v>3966</v>
      </c>
      <c r="O53" s="398" t="s">
        <v>658</v>
      </c>
      <c r="P53" s="398" t="s">
        <v>174</v>
      </c>
      <c r="Q53" s="398">
        <v>223626030330.5</v>
      </c>
      <c r="R53" s="398">
        <v>1.0184280989132148</v>
      </c>
      <c r="S53" s="398">
        <v>15.24</v>
      </c>
      <c r="T53" s="398">
        <v>704.44489999999996</v>
      </c>
      <c r="U53" s="398">
        <v>317.45</v>
      </c>
      <c r="W53" s="401" t="s">
        <v>658</v>
      </c>
      <c r="X53" s="402" t="s">
        <v>174</v>
      </c>
      <c r="Y53" s="386">
        <f t="shared" si="8"/>
        <v>223626.03033050001</v>
      </c>
      <c r="Z53" s="387">
        <f t="shared" si="9"/>
        <v>1.0184280989132148E-2</v>
      </c>
      <c r="AA53" s="387">
        <f t="shared" si="10"/>
        <v>0.15240000000000001</v>
      </c>
      <c r="AB53" s="403">
        <f t="shared" si="11"/>
        <v>0.16336032320050403</v>
      </c>
      <c r="AC53" s="388">
        <f t="shared" si="12"/>
        <v>4.4156984077288559E-3</v>
      </c>
      <c r="AD53" s="389">
        <f t="shared" si="13"/>
        <v>7.2134991904253688E-4</v>
      </c>
    </row>
    <row r="54" spans="1:30" x14ac:dyDescent="0.55000000000000004">
      <c r="A54" t="str">
        <f t="shared" si="0"/>
        <v>AutoZone Inc</v>
      </c>
      <c r="B54" t="str">
        <f t="shared" si="0"/>
        <v>AZO</v>
      </c>
      <c r="C54" s="382">
        <f t="shared" si="1"/>
        <v>0</v>
      </c>
      <c r="D54" s="383">
        <f t="shared" si="2"/>
        <v>56223.760253600005</v>
      </c>
      <c r="E54" s="384">
        <f t="shared" si="3"/>
        <v>9.6600000000000005E-2</v>
      </c>
      <c r="F54" s="385">
        <v>0.115</v>
      </c>
      <c r="G54" s="382">
        <v>0.12731480000000001</v>
      </c>
      <c r="H54" s="399">
        <f t="shared" si="4"/>
        <v>0.11297160000000001</v>
      </c>
      <c r="I54" s="399">
        <f t="shared" si="5"/>
        <v>0.11297160000000001</v>
      </c>
      <c r="J54" s="382">
        <f t="shared" si="6"/>
        <v>1.0515578297730643E-3</v>
      </c>
      <c r="K54" s="382">
        <f t="shared" si="7"/>
        <v>1.1879617052199073E-4</v>
      </c>
      <c r="M54" s="400"/>
      <c r="N54" s="398" t="s">
        <v>3967</v>
      </c>
      <c r="O54" s="398" t="s">
        <v>659</v>
      </c>
      <c r="P54" s="398" t="s">
        <v>175</v>
      </c>
      <c r="Q54" s="398">
        <v>56223760253.600006</v>
      </c>
      <c r="R54" s="398">
        <v>0</v>
      </c>
      <c r="S54" s="398">
        <v>9.66</v>
      </c>
      <c r="T54" s="398">
        <v>16.782159999999998</v>
      </c>
      <c r="U54" s="398">
        <v>3350.21</v>
      </c>
      <c r="W54" s="401" t="s">
        <v>659</v>
      </c>
      <c r="X54" s="402" t="s">
        <v>175</v>
      </c>
      <c r="Y54" s="386">
        <f t="shared" si="8"/>
        <v>56223.760253600005</v>
      </c>
      <c r="Z54" s="387">
        <f t="shared" si="9"/>
        <v>0</v>
      </c>
      <c r="AA54" s="387">
        <f t="shared" si="10"/>
        <v>9.6600000000000005E-2</v>
      </c>
      <c r="AB54" s="403">
        <f t="shared" si="11"/>
        <v>9.6600000000000005E-2</v>
      </c>
      <c r="AC54" s="388">
        <f t="shared" si="12"/>
        <v>1.1101890431155666E-3</v>
      </c>
      <c r="AD54" s="389">
        <f t="shared" si="13"/>
        <v>1.0724426156496374E-4</v>
      </c>
    </row>
    <row r="55" spans="1:30" x14ac:dyDescent="0.55000000000000004">
      <c r="A55" t="str">
        <f t="shared" si="0"/>
        <v>Boeing Co/The</v>
      </c>
      <c r="B55" t="str">
        <f t="shared" si="0"/>
        <v>BA</v>
      </c>
      <c r="C55" s="382">
        <f t="shared" si="1"/>
        <v>2.8325402220711531E-4</v>
      </c>
      <c r="D55" s="383">
        <f t="shared" si="2"/>
        <v>131890.5816726</v>
      </c>
      <c r="E55" s="384">
        <f t="shared" si="3"/>
        <v>0.3085</v>
      </c>
      <c r="F55" s="385" t="s">
        <v>184</v>
      </c>
      <c r="G55" s="382">
        <v>-2.4219999999999997</v>
      </c>
      <c r="H55" s="399">
        <f t="shared" si="4"/>
        <v>-1.0567499999999999</v>
      </c>
      <c r="I55" s="399">
        <f t="shared" si="5"/>
        <v>-1.0566164103217763</v>
      </c>
      <c r="J55" s="382">
        <f t="shared" si="6"/>
        <v>2.4667609068759503E-3</v>
      </c>
      <c r="K55" s="382">
        <f t="shared" si="7"/>
        <v>-2.6064200545453564E-3</v>
      </c>
      <c r="M55" s="400"/>
      <c r="N55" s="398" t="s">
        <v>3968</v>
      </c>
      <c r="O55" s="398" t="s">
        <v>660</v>
      </c>
      <c r="P55" s="398" t="s">
        <v>176</v>
      </c>
      <c r="Q55" s="398">
        <v>131890581672.60001</v>
      </c>
      <c r="R55" s="398">
        <v>2.8325402220711532E-2</v>
      </c>
      <c r="S55" s="398">
        <v>30.85</v>
      </c>
      <c r="T55" s="398">
        <v>747.17079999999999</v>
      </c>
      <c r="U55" s="398">
        <v>176.52</v>
      </c>
      <c r="W55" s="401" t="s">
        <v>660</v>
      </c>
      <c r="X55" s="402" t="s">
        <v>176</v>
      </c>
      <c r="Y55" s="386">
        <f t="shared" si="8"/>
        <v>131890.5816726</v>
      </c>
      <c r="Z55" s="387">
        <f t="shared" si="9"/>
        <v>2.8325402220711531E-4</v>
      </c>
      <c r="AA55" s="387">
        <f t="shared" si="10"/>
        <v>0.3085</v>
      </c>
      <c r="AB55" s="403">
        <f t="shared" si="11"/>
        <v>0.30882694595513255</v>
      </c>
      <c r="AC55" s="388">
        <f t="shared" si="12"/>
        <v>2.6042989298938573E-3</v>
      </c>
      <c r="AD55" s="389">
        <f t="shared" si="13"/>
        <v>8.0427768487333984E-4</v>
      </c>
    </row>
    <row r="56" spans="1:30" x14ac:dyDescent="0.55000000000000004">
      <c r="A56" t="str">
        <f t="shared" si="0"/>
        <v>Bank of America Corp</v>
      </c>
      <c r="B56" t="str">
        <f t="shared" si="0"/>
        <v>BAC</v>
      </c>
      <c r="C56" s="382">
        <f t="shared" si="1"/>
        <v>2.3412526997840178E-2</v>
      </c>
      <c r="D56" s="383">
        <f t="shared" si="2"/>
        <v>355254.3254337</v>
      </c>
      <c r="E56" s="384" t="str">
        <f t="shared" si="3"/>
        <v>N/A</v>
      </c>
      <c r="F56" s="385">
        <v>7.0000000000000007E-2</v>
      </c>
      <c r="G56" s="382">
        <v>0.12174500000000001</v>
      </c>
      <c r="H56" s="399">
        <f t="shared" si="4"/>
        <v>9.5872499999999999E-2</v>
      </c>
      <c r="I56" s="399">
        <f t="shared" si="5"/>
        <v>0.1204073357451404</v>
      </c>
      <c r="J56" s="382">
        <f t="shared" si="6"/>
        <v>6.6443522415709612E-3</v>
      </c>
      <c r="K56" s="382">
        <f t="shared" si="7"/>
        <v>8.0002875115981094E-4</v>
      </c>
      <c r="M56" s="400"/>
      <c r="N56" s="398" t="s">
        <v>3969</v>
      </c>
      <c r="O56" s="398" t="s">
        <v>661</v>
      </c>
      <c r="P56" s="398" t="s">
        <v>177</v>
      </c>
      <c r="Q56" s="398">
        <v>355254325433.70001</v>
      </c>
      <c r="R56" s="398">
        <v>2.3412526997840177</v>
      </c>
      <c r="S56" s="398" t="s">
        <v>3929</v>
      </c>
      <c r="T56" s="398">
        <v>7672.8799999999992</v>
      </c>
      <c r="U56" s="398">
        <v>46.3</v>
      </c>
      <c r="W56" s="401" t="s">
        <v>661</v>
      </c>
      <c r="X56" s="402" t="s">
        <v>177</v>
      </c>
      <c r="Y56" s="386">
        <f t="shared" si="8"/>
        <v>355254.3254337</v>
      </c>
      <c r="Z56" s="387">
        <f t="shared" si="9"/>
        <v>2.3412526997840178E-2</v>
      </c>
      <c r="AA56" s="387" t="str">
        <f t="shared" si="10"/>
        <v>N/A</v>
      </c>
      <c r="AB56" s="403" t="str">
        <f t="shared" si="11"/>
        <v>N/A</v>
      </c>
      <c r="AC56" s="388">
        <f t="shared" si="12"/>
        <v>7.0148182518733632E-3</v>
      </c>
      <c r="AD56" s="389" t="str">
        <f t="shared" si="13"/>
        <v>N/A</v>
      </c>
    </row>
    <row r="57" spans="1:30" x14ac:dyDescent="0.55000000000000004">
      <c r="A57" t="str">
        <f t="shared" si="0"/>
        <v>Ball Corp</v>
      </c>
      <c r="B57" t="str">
        <f t="shared" si="0"/>
        <v>BALL</v>
      </c>
      <c r="C57" s="382">
        <f t="shared" si="1"/>
        <v>1.4416517055655298E-2</v>
      </c>
      <c r="D57" s="383">
        <f t="shared" si="2"/>
        <v>16622.402726599998</v>
      </c>
      <c r="E57" s="384">
        <f t="shared" si="3"/>
        <v>0.12659999999999999</v>
      </c>
      <c r="F57" s="385">
        <v>9.5000000000000001E-2</v>
      </c>
      <c r="G57" s="382">
        <v>9.6999999999999989E-2</v>
      </c>
      <c r="H57" s="399">
        <f t="shared" si="4"/>
        <v>0.1062</v>
      </c>
      <c r="I57" s="399">
        <f t="shared" si="5"/>
        <v>0.1213820341113106</v>
      </c>
      <c r="J57" s="382">
        <f t="shared" si="6"/>
        <v>3.1089022964589342E-4</v>
      </c>
      <c r="K57" s="382">
        <f t="shared" si="7"/>
        <v>3.7736488459751019E-5</v>
      </c>
      <c r="M57" s="400"/>
      <c r="N57" s="398" t="s">
        <v>3970</v>
      </c>
      <c r="O57" s="398" t="s">
        <v>662</v>
      </c>
      <c r="P57" s="398" t="s">
        <v>178</v>
      </c>
      <c r="Q57" s="398">
        <v>16622402726.599998</v>
      </c>
      <c r="R57" s="398">
        <v>1.4416517055655298</v>
      </c>
      <c r="S57" s="398">
        <v>12.66</v>
      </c>
      <c r="T57" s="398">
        <v>298.42599999999999</v>
      </c>
      <c r="U57" s="398">
        <v>55.7</v>
      </c>
      <c r="W57" s="401" t="s">
        <v>662</v>
      </c>
      <c r="X57" s="402" t="s">
        <v>178</v>
      </c>
      <c r="Y57" s="386">
        <f t="shared" si="8"/>
        <v>16622.402726599998</v>
      </c>
      <c r="Z57" s="387">
        <f t="shared" si="9"/>
        <v>1.4416517055655298E-2</v>
      </c>
      <c r="AA57" s="387">
        <f t="shared" si="10"/>
        <v>0.12659999999999999</v>
      </c>
      <c r="AB57" s="403">
        <f t="shared" si="11"/>
        <v>0.14192908258527825</v>
      </c>
      <c r="AC57" s="388">
        <f t="shared" si="12"/>
        <v>3.2822438937004441E-4</v>
      </c>
      <c r="AD57" s="389">
        <f t="shared" si="13"/>
        <v>4.6584586465403557E-5</v>
      </c>
    </row>
    <row r="58" spans="1:30" x14ac:dyDescent="0.55000000000000004">
      <c r="A58" t="str">
        <f t="shared" si="0"/>
        <v>Baxter International Inc</v>
      </c>
      <c r="B58" t="str">
        <f t="shared" si="0"/>
        <v>BAX</v>
      </c>
      <c r="C58" s="382">
        <f t="shared" si="1"/>
        <v>3.6087223587223584E-2</v>
      </c>
      <c r="D58" s="383">
        <f t="shared" si="2"/>
        <v>16624.731637360001</v>
      </c>
      <c r="E58" s="384" t="str">
        <f t="shared" si="3"/>
        <v>N/A</v>
      </c>
      <c r="F58" s="385">
        <v>0.03</v>
      </c>
      <c r="G58" s="382">
        <v>-1.06418E-2</v>
      </c>
      <c r="H58" s="399">
        <f t="shared" si="4"/>
        <v>9.6790999999999995E-3</v>
      </c>
      <c r="I58" s="399">
        <f t="shared" si="5"/>
        <v>4.5940969510135127E-2</v>
      </c>
      <c r="J58" s="382">
        <f t="shared" si="6"/>
        <v>3.109337874643936E-4</v>
      </c>
      <c r="K58" s="382">
        <f t="shared" si="7"/>
        <v>1.4284599649572543E-5</v>
      </c>
      <c r="M58" s="400"/>
      <c r="N58" s="398" t="s">
        <v>3971</v>
      </c>
      <c r="O58" s="398" t="s">
        <v>663</v>
      </c>
      <c r="P58" s="398" t="s">
        <v>179</v>
      </c>
      <c r="Q58" s="398">
        <v>16624731637.360001</v>
      </c>
      <c r="R58" s="398">
        <v>3.6087223587223587</v>
      </c>
      <c r="S58" s="398" t="s">
        <v>3929</v>
      </c>
      <c r="T58" s="398">
        <v>510.58759999999995</v>
      </c>
      <c r="U58" s="398">
        <v>32.56</v>
      </c>
      <c r="W58" s="401" t="s">
        <v>663</v>
      </c>
      <c r="X58" s="402" t="s">
        <v>179</v>
      </c>
      <c r="Y58" s="386">
        <f t="shared" si="8"/>
        <v>16624.731637360001</v>
      </c>
      <c r="Z58" s="387">
        <f t="shared" si="9"/>
        <v>3.6087223587223584E-2</v>
      </c>
      <c r="AA58" s="387" t="str">
        <f t="shared" si="10"/>
        <v>N/A</v>
      </c>
      <c r="AB58" s="403" t="str">
        <f t="shared" si="11"/>
        <v>N/A</v>
      </c>
      <c r="AC58" s="388">
        <f t="shared" si="12"/>
        <v>3.2827037582126162E-4</v>
      </c>
      <c r="AD58" s="389" t="str">
        <f t="shared" si="13"/>
        <v>N/A</v>
      </c>
    </row>
    <row r="59" spans="1:30" x14ac:dyDescent="0.55000000000000004">
      <c r="A59" t="str">
        <f t="shared" si="0"/>
        <v>Best Buy Co Inc</v>
      </c>
      <c r="B59" t="str">
        <f t="shared" si="0"/>
        <v>BBY</v>
      </c>
      <c r="C59" s="382">
        <f t="shared" si="1"/>
        <v>4.380386675984161E-2</v>
      </c>
      <c r="D59" s="383">
        <f t="shared" si="2"/>
        <v>18356.490473580001</v>
      </c>
      <c r="E59" s="384">
        <f t="shared" si="3"/>
        <v>4.8899999999999999E-2</v>
      </c>
      <c r="F59" s="385">
        <v>0.01</v>
      </c>
      <c r="G59" s="382">
        <v>3.3771200000000001E-2</v>
      </c>
      <c r="H59" s="399">
        <f t="shared" si="4"/>
        <v>3.0890400000000002E-2</v>
      </c>
      <c r="I59" s="399">
        <f t="shared" si="5"/>
        <v>7.537082624272072E-2</v>
      </c>
      <c r="J59" s="382">
        <f t="shared" si="6"/>
        <v>3.4332302210988725E-4</v>
      </c>
      <c r="K59" s="382">
        <f t="shared" si="7"/>
        <v>2.5876539844570076E-5</v>
      </c>
      <c r="M59" s="400"/>
      <c r="N59" s="398" t="s">
        <v>3972</v>
      </c>
      <c r="O59" s="398" t="s">
        <v>664</v>
      </c>
      <c r="P59" s="398" t="s">
        <v>180</v>
      </c>
      <c r="Q59" s="398">
        <v>18356490473.580002</v>
      </c>
      <c r="R59" s="398">
        <v>4.3803866759841608</v>
      </c>
      <c r="S59" s="398">
        <v>4.8899999999999997</v>
      </c>
      <c r="T59" s="398">
        <v>213.79559999999998</v>
      </c>
      <c r="U59" s="398">
        <v>85.86</v>
      </c>
      <c r="W59" s="401" t="s">
        <v>664</v>
      </c>
      <c r="X59" s="402" t="s">
        <v>180</v>
      </c>
      <c r="Y59" s="386">
        <f t="shared" si="8"/>
        <v>18356.490473580001</v>
      </c>
      <c r="Z59" s="387">
        <f t="shared" si="9"/>
        <v>4.380386675984161E-2</v>
      </c>
      <c r="AA59" s="387">
        <f t="shared" si="10"/>
        <v>4.8899999999999999E-2</v>
      </c>
      <c r="AB59" s="403">
        <f t="shared" si="11"/>
        <v>9.3774871302119742E-2</v>
      </c>
      <c r="AC59" s="388">
        <f t="shared" si="12"/>
        <v>3.6246552172786975E-4</v>
      </c>
      <c r="AD59" s="389">
        <f t="shared" si="13"/>
        <v>3.3990157651486671E-5</v>
      </c>
    </row>
    <row r="60" spans="1:30" x14ac:dyDescent="0.55000000000000004">
      <c r="A60" t="str">
        <f t="shared" si="0"/>
        <v>Becton Dickinson &amp; Co</v>
      </c>
      <c r="B60" t="str">
        <f t="shared" si="0"/>
        <v>BDX</v>
      </c>
      <c r="C60" s="382">
        <f t="shared" si="1"/>
        <v>1.6094507269789983E-2</v>
      </c>
      <c r="D60" s="383">
        <f t="shared" si="2"/>
        <v>71805.924842399996</v>
      </c>
      <c r="E60" s="384">
        <f t="shared" si="3"/>
        <v>9.0700000000000003E-2</v>
      </c>
      <c r="F60" s="385">
        <v>6.5000000000000002E-2</v>
      </c>
      <c r="G60" s="382">
        <v>8.4783399999999995E-2</v>
      </c>
      <c r="H60" s="399">
        <f t="shared" si="4"/>
        <v>8.0161133333333343E-2</v>
      </c>
      <c r="I60" s="399">
        <f t="shared" si="5"/>
        <v>9.6900717574717299E-2</v>
      </c>
      <c r="J60" s="382">
        <f t="shared" si="6"/>
        <v>1.3429923959468208E-3</v>
      </c>
      <c r="K60" s="382">
        <f t="shared" si="7"/>
        <v>1.3013692686463578E-4</v>
      </c>
      <c r="M60" s="400"/>
      <c r="N60" s="398" t="s">
        <v>3973</v>
      </c>
      <c r="O60" s="398" t="s">
        <v>665</v>
      </c>
      <c r="P60" s="398" t="s">
        <v>181</v>
      </c>
      <c r="Q60" s="398">
        <v>71805924842.399994</v>
      </c>
      <c r="R60" s="398">
        <v>1.6094507269789984</v>
      </c>
      <c r="S60" s="398">
        <v>9.07</v>
      </c>
      <c r="T60" s="398">
        <v>290.00779999999997</v>
      </c>
      <c r="U60" s="398">
        <v>247.6</v>
      </c>
      <c r="W60" s="401" t="s">
        <v>665</v>
      </c>
      <c r="X60" s="402" t="s">
        <v>181</v>
      </c>
      <c r="Y60" s="386">
        <f t="shared" si="8"/>
        <v>71805.924842399996</v>
      </c>
      <c r="Z60" s="387">
        <f t="shared" si="9"/>
        <v>1.6094507269789983E-2</v>
      </c>
      <c r="AA60" s="387">
        <f t="shared" si="10"/>
        <v>9.0700000000000003E-2</v>
      </c>
      <c r="AB60" s="403">
        <f t="shared" si="11"/>
        <v>0.10752439317447496</v>
      </c>
      <c r="AC60" s="388">
        <f t="shared" si="12"/>
        <v>1.4178729887727136E-3</v>
      </c>
      <c r="AD60" s="389">
        <f t="shared" si="13"/>
        <v>1.5245593271626516E-4</v>
      </c>
    </row>
    <row r="61" spans="1:30" x14ac:dyDescent="0.55000000000000004">
      <c r="A61" t="str">
        <f t="shared" si="0"/>
        <v>Franklin Resources Inc</v>
      </c>
      <c r="B61" t="str">
        <f t="shared" si="0"/>
        <v>BEN</v>
      </c>
      <c r="C61" s="382">
        <f t="shared" si="1"/>
        <v>5.7464028776978419E-2</v>
      </c>
      <c r="D61" s="383">
        <f t="shared" si="2"/>
        <v>11684.851008479998</v>
      </c>
      <c r="E61" s="384">
        <f t="shared" si="3"/>
        <v>8.5000000000000006E-3</v>
      </c>
      <c r="F61" s="385">
        <v>5.0000000000000001E-3</v>
      </c>
      <c r="G61" s="382">
        <v>2.1318999999999998E-2</v>
      </c>
      <c r="H61" s="399">
        <f t="shared" si="4"/>
        <v>1.1606333333333335E-2</v>
      </c>
      <c r="I61" s="399">
        <f t="shared" si="5"/>
        <v>6.9403835446642692E-2</v>
      </c>
      <c r="J61" s="382">
        <f t="shared" si="6"/>
        <v>2.1854277466103975E-4</v>
      </c>
      <c r="K61" s="382">
        <f t="shared" si="7"/>
        <v>1.5167706770627518E-5</v>
      </c>
      <c r="M61" s="400"/>
      <c r="N61" s="398" t="s">
        <v>3974</v>
      </c>
      <c r="O61" s="398" t="s">
        <v>183</v>
      </c>
      <c r="P61" s="398" t="s">
        <v>182</v>
      </c>
      <c r="Q61" s="398">
        <v>11684851008.479998</v>
      </c>
      <c r="R61" s="398">
        <v>5.7464028776978422</v>
      </c>
      <c r="S61" s="398">
        <v>0.85</v>
      </c>
      <c r="T61" s="398">
        <v>525.39800000000002</v>
      </c>
      <c r="U61" s="398">
        <v>22.24</v>
      </c>
      <c r="W61" s="401" t="s">
        <v>183</v>
      </c>
      <c r="X61" s="402" t="s">
        <v>182</v>
      </c>
      <c r="Y61" s="386">
        <f t="shared" si="8"/>
        <v>11684.851008479998</v>
      </c>
      <c r="Z61" s="387">
        <f t="shared" si="9"/>
        <v>5.7464028776978419E-2</v>
      </c>
      <c r="AA61" s="387">
        <f t="shared" si="10"/>
        <v>8.5000000000000006E-3</v>
      </c>
      <c r="AB61" s="403">
        <f t="shared" si="11"/>
        <v>6.6208250899280591E-2</v>
      </c>
      <c r="AC61" s="388">
        <f t="shared" si="12"/>
        <v>2.3072796094639989E-4</v>
      </c>
      <c r="AD61" s="389">
        <f t="shared" si="13"/>
        <v>1.5276094727818658E-5</v>
      </c>
    </row>
    <row r="62" spans="1:30" x14ac:dyDescent="0.55000000000000004">
      <c r="A62" t="str">
        <f t="shared" si="0"/>
        <v>Brown-Forman Corp</v>
      </c>
      <c r="B62" t="str">
        <f t="shared" si="0"/>
        <v>BF/B</v>
      </c>
      <c r="C62" s="382">
        <f t="shared" si="1"/>
        <v>2.7022114510754317E-2</v>
      </c>
      <c r="D62" s="383">
        <f t="shared" si="2"/>
        <v>15654.977869589999</v>
      </c>
      <c r="E62" s="384">
        <f t="shared" si="3"/>
        <v>-2.7099999999999999E-2</v>
      </c>
      <c r="F62" s="385">
        <v>0.14000000000000001</v>
      </c>
      <c r="G62" s="382">
        <v>3.3170000000000005E-2</v>
      </c>
      <c r="H62" s="399">
        <f t="shared" si="4"/>
        <v>4.8690000000000011E-2</v>
      </c>
      <c r="I62" s="399">
        <f t="shared" si="5"/>
        <v>7.6369967888518644E-2</v>
      </c>
      <c r="J62" s="382">
        <f t="shared" si="6"/>
        <v>2.9279639923474065E-4</v>
      </c>
      <c r="K62" s="382">
        <f t="shared" si="7"/>
        <v>2.2360851607431027E-5</v>
      </c>
      <c r="M62" s="400"/>
      <c r="N62" s="398" t="s">
        <v>3975</v>
      </c>
      <c r="O62" s="398" t="s">
        <v>666</v>
      </c>
      <c r="P62" s="398" t="s">
        <v>667</v>
      </c>
      <c r="Q62" s="398">
        <v>15654977869.589998</v>
      </c>
      <c r="R62" s="398">
        <v>2.7022114510754318</v>
      </c>
      <c r="S62" s="398">
        <v>-2.71</v>
      </c>
      <c r="T62" s="398">
        <v>303.53800000000001</v>
      </c>
      <c r="U62" s="398">
        <v>33.01</v>
      </c>
      <c r="W62" s="401" t="s">
        <v>666</v>
      </c>
      <c r="X62" s="402" t="s">
        <v>667</v>
      </c>
      <c r="Y62" s="386">
        <f t="shared" si="8"/>
        <v>15654.977869589999</v>
      </c>
      <c r="Z62" s="387">
        <f t="shared" si="9"/>
        <v>2.7022114510754317E-2</v>
      </c>
      <c r="AA62" s="387">
        <f t="shared" si="10"/>
        <v>-2.7099999999999999E-2</v>
      </c>
      <c r="AB62" s="403">
        <f t="shared" si="11"/>
        <v>-4.4403514086640075E-4</v>
      </c>
      <c r="AC62" s="388">
        <f t="shared" si="12"/>
        <v>3.0912170980102046E-4</v>
      </c>
      <c r="AD62" s="389">
        <f t="shared" si="13"/>
        <v>-1.3726090195635879E-7</v>
      </c>
    </row>
    <row r="63" spans="1:30" x14ac:dyDescent="0.55000000000000004">
      <c r="A63" t="str">
        <f t="shared" si="0"/>
        <v>Bunge Global SA</v>
      </c>
      <c r="B63" t="str">
        <f t="shared" si="0"/>
        <v>BG</v>
      </c>
      <c r="C63" s="382">
        <f t="shared" si="1"/>
        <v>3.54131091553921E-2</v>
      </c>
      <c r="D63" s="383">
        <f t="shared" si="2"/>
        <v>10629.811427519999</v>
      </c>
      <c r="E63" s="384">
        <f t="shared" si="3"/>
        <v>-9.4700000000000006E-2</v>
      </c>
      <c r="F63" s="385">
        <v>-5.0000000000000001E-3</v>
      </c>
      <c r="G63" s="382">
        <v>-9.4698299999999999E-2</v>
      </c>
      <c r="H63" s="399">
        <f t="shared" si="4"/>
        <v>-6.4799433333333337E-2</v>
      </c>
      <c r="I63" s="399">
        <f t="shared" si="5"/>
        <v>-3.053369888086168E-2</v>
      </c>
      <c r="J63" s="382">
        <f t="shared" si="6"/>
        <v>1.9881027852284447E-4</v>
      </c>
      <c r="K63" s="382">
        <f t="shared" si="7"/>
        <v>-6.070413178836775E-6</v>
      </c>
      <c r="M63" s="400"/>
      <c r="N63" s="398" t="s">
        <v>3976</v>
      </c>
      <c r="O63" s="398" t="s">
        <v>603</v>
      </c>
      <c r="P63" s="398" t="s">
        <v>604</v>
      </c>
      <c r="Q63" s="398">
        <v>10629811427.519999</v>
      </c>
      <c r="R63" s="398">
        <v>3.54131091553921</v>
      </c>
      <c r="S63" s="398">
        <v>-9.4700000000000006</v>
      </c>
      <c r="T63" s="398">
        <v>139.62709999999998</v>
      </c>
      <c r="U63" s="398">
        <v>76.13</v>
      </c>
      <c r="W63" s="401" t="s">
        <v>603</v>
      </c>
      <c r="X63" s="402" t="s">
        <v>604</v>
      </c>
      <c r="Y63" s="386">
        <f t="shared" si="8"/>
        <v>10629.811427519999</v>
      </c>
      <c r="Z63" s="387">
        <f t="shared" si="9"/>
        <v>3.54131091553921E-2</v>
      </c>
      <c r="AA63" s="387">
        <f t="shared" si="10"/>
        <v>-9.4700000000000006E-2</v>
      </c>
      <c r="AB63" s="403">
        <f t="shared" si="11"/>
        <v>-6.0963701563115723E-2</v>
      </c>
      <c r="AC63" s="388">
        <f t="shared" si="12"/>
        <v>2.0989524933921007E-4</v>
      </c>
      <c r="AD63" s="389">
        <f t="shared" si="13"/>
        <v>-1.2795991340231366E-5</v>
      </c>
    </row>
    <row r="64" spans="1:30" x14ac:dyDescent="0.55000000000000004">
      <c r="A64" t="str">
        <f t="shared" si="0"/>
        <v>Biogen Inc</v>
      </c>
      <c r="B64" t="str">
        <f t="shared" si="0"/>
        <v>BIIB</v>
      </c>
      <c r="C64" s="382">
        <f t="shared" si="1"/>
        <v>0</v>
      </c>
      <c r="D64" s="383">
        <f t="shared" si="2"/>
        <v>20973.384606200005</v>
      </c>
      <c r="E64" s="384">
        <f t="shared" si="3"/>
        <v>3.2500000000000001E-2</v>
      </c>
      <c r="F64" s="385">
        <v>5.0000000000000001E-3</v>
      </c>
      <c r="G64" s="382">
        <v>5.12402E-2</v>
      </c>
      <c r="H64" s="399">
        <f t="shared" si="4"/>
        <v>2.9580066666666665E-2</v>
      </c>
      <c r="I64" s="399">
        <f t="shared" si="5"/>
        <v>2.9580066666666665E-2</v>
      </c>
      <c r="J64" s="382">
        <f t="shared" si="6"/>
        <v>3.9226701842801965E-4</v>
      </c>
      <c r="K64" s="382">
        <f t="shared" si="7"/>
        <v>1.1603284556235382E-5</v>
      </c>
      <c r="M64" s="400"/>
      <c r="N64" s="398" t="s">
        <v>3977</v>
      </c>
      <c r="O64" s="398" t="s">
        <v>668</v>
      </c>
      <c r="P64" s="398" t="s">
        <v>185</v>
      </c>
      <c r="Q64" s="398">
        <v>20973384606.200005</v>
      </c>
      <c r="R64" s="398">
        <v>0</v>
      </c>
      <c r="S64" s="398">
        <v>3.25</v>
      </c>
      <c r="T64" s="398">
        <v>145.7193</v>
      </c>
      <c r="U64" s="398">
        <v>143.93</v>
      </c>
      <c r="W64" s="401" t="s">
        <v>668</v>
      </c>
      <c r="X64" s="402" t="s">
        <v>185</v>
      </c>
      <c r="Y64" s="386">
        <f t="shared" si="8"/>
        <v>20973.384606200005</v>
      </c>
      <c r="Z64" s="387">
        <f t="shared" si="9"/>
        <v>0</v>
      </c>
      <c r="AA64" s="387">
        <f t="shared" si="10"/>
        <v>3.2500000000000001E-2</v>
      </c>
      <c r="AB64" s="403">
        <f t="shared" si="11"/>
        <v>3.2500000000000001E-2</v>
      </c>
      <c r="AC64" s="388">
        <f t="shared" si="12"/>
        <v>4.1413846533612156E-4</v>
      </c>
      <c r="AD64" s="389">
        <f t="shared" si="13"/>
        <v>1.3459500123423951E-5</v>
      </c>
    </row>
    <row r="65" spans="1:30" x14ac:dyDescent="0.55000000000000004">
      <c r="A65" t="str">
        <f t="shared" si="0"/>
        <v>Bank of New York Mellon Corp/The</v>
      </c>
      <c r="B65" t="str">
        <f t="shared" si="0"/>
        <v>BK</v>
      </c>
      <c r="C65" s="382">
        <f t="shared" si="1"/>
        <v>2.2716164319795177E-2</v>
      </c>
      <c r="D65" s="383">
        <f t="shared" si="2"/>
        <v>62477.840037600014</v>
      </c>
      <c r="E65" s="384">
        <f t="shared" si="3"/>
        <v>0.12560000000000002</v>
      </c>
      <c r="F65" s="385">
        <v>0.11</v>
      </c>
      <c r="G65" s="382">
        <v>0.11838169999999999</v>
      </c>
      <c r="H65" s="399">
        <f t="shared" si="4"/>
        <v>0.1179939</v>
      </c>
      <c r="I65" s="399">
        <f t="shared" si="5"/>
        <v>0.14205024873036193</v>
      </c>
      <c r="J65" s="382">
        <f t="shared" si="6"/>
        <v>1.1685284225478431E-3</v>
      </c>
      <c r="K65" s="382">
        <f t="shared" si="7"/>
        <v>1.6598975307141858E-4</v>
      </c>
      <c r="M65" s="400"/>
      <c r="N65" s="398" t="s">
        <v>3978</v>
      </c>
      <c r="O65" s="398" t="s">
        <v>669</v>
      </c>
      <c r="P65" s="398" t="s">
        <v>186</v>
      </c>
      <c r="Q65" s="398">
        <v>62477840037.600014</v>
      </c>
      <c r="R65" s="398">
        <v>2.2716164319795178</v>
      </c>
      <c r="S65" s="398">
        <v>12.56</v>
      </c>
      <c r="T65" s="398">
        <v>727.07830000000001</v>
      </c>
      <c r="U65" s="398">
        <v>85.93</v>
      </c>
      <c r="W65" s="401" t="s">
        <v>669</v>
      </c>
      <c r="X65" s="402" t="s">
        <v>186</v>
      </c>
      <c r="Y65" s="386">
        <f t="shared" si="8"/>
        <v>62477.840037600014</v>
      </c>
      <c r="Z65" s="387">
        <f t="shared" si="9"/>
        <v>2.2716164319795177E-2</v>
      </c>
      <c r="AA65" s="387">
        <f t="shared" si="10"/>
        <v>0.12560000000000002</v>
      </c>
      <c r="AB65" s="403">
        <f t="shared" si="11"/>
        <v>0.14974273943907834</v>
      </c>
      <c r="AC65" s="388">
        <f t="shared" si="12"/>
        <v>1.2336815099952218E-3</v>
      </c>
      <c r="AD65" s="389">
        <f t="shared" si="13"/>
        <v>1.847348489020232E-4</v>
      </c>
    </row>
    <row r="66" spans="1:30" ht="15.75" customHeight="1" x14ac:dyDescent="0.55000000000000004">
      <c r="A66" t="str">
        <f t="shared" si="0"/>
        <v>Booking Holdings Inc</v>
      </c>
      <c r="B66" t="str">
        <f t="shared" si="0"/>
        <v>BKNG</v>
      </c>
      <c r="C66" s="382">
        <f t="shared" si="1"/>
        <v>7.6191119479225604E-3</v>
      </c>
      <c r="D66" s="383">
        <f t="shared" si="2"/>
        <v>156797.66364028002</v>
      </c>
      <c r="E66" s="384">
        <f t="shared" si="3"/>
        <v>0.16545000000000001</v>
      </c>
      <c r="F66" s="385">
        <v>0.18</v>
      </c>
      <c r="G66" s="382">
        <v>0.17198340000000001</v>
      </c>
      <c r="H66" s="399">
        <f t="shared" si="4"/>
        <v>0.17247780000000001</v>
      </c>
      <c r="I66" s="399">
        <f t="shared" si="5"/>
        <v>0.18075397578128827</v>
      </c>
      <c r="J66" s="382">
        <f t="shared" si="6"/>
        <v>2.9326002058089381E-3</v>
      </c>
      <c r="K66" s="382">
        <f t="shared" si="7"/>
        <v>5.3007914657698984E-4</v>
      </c>
      <c r="M66" s="400"/>
      <c r="N66" s="398" t="s">
        <v>3979</v>
      </c>
      <c r="O66" s="398" t="s">
        <v>670</v>
      </c>
      <c r="P66" s="398" t="s">
        <v>187</v>
      </c>
      <c r="Q66" s="398">
        <v>156797663640.28003</v>
      </c>
      <c r="R66" s="398">
        <v>0.761911194792256</v>
      </c>
      <c r="S66" s="398">
        <v>16.545000000000002</v>
      </c>
      <c r="T66" s="398">
        <v>33.096710000000002</v>
      </c>
      <c r="U66" s="398">
        <v>4737.5600000000004</v>
      </c>
      <c r="W66" s="401" t="s">
        <v>670</v>
      </c>
      <c r="X66" s="402" t="s">
        <v>187</v>
      </c>
      <c r="Y66" s="386">
        <f t="shared" si="8"/>
        <v>156797.66364028002</v>
      </c>
      <c r="Z66" s="387">
        <f t="shared" si="9"/>
        <v>7.6191119479225604E-3</v>
      </c>
      <c r="AA66" s="387">
        <f t="shared" si="10"/>
        <v>0.16545000000000001</v>
      </c>
      <c r="AB66" s="403">
        <f t="shared" si="11"/>
        <v>0.17369940298381448</v>
      </c>
      <c r="AC66" s="388">
        <f t="shared" si="12"/>
        <v>3.0961118106363743E-3</v>
      </c>
      <c r="AD66" s="389">
        <f t="shared" si="13"/>
        <v>5.3779277307867512E-4</v>
      </c>
    </row>
    <row r="67" spans="1:30" x14ac:dyDescent="0.55000000000000004">
      <c r="A67" t="str">
        <f t="shared" si="0"/>
        <v>Baker Hughes Co</v>
      </c>
      <c r="B67" t="str">
        <f t="shared" si="0"/>
        <v>BKR</v>
      </c>
      <c r="C67" s="382">
        <f t="shared" si="1"/>
        <v>1.9034213945430926E-2</v>
      </c>
      <c r="D67" s="383">
        <f t="shared" si="2"/>
        <v>45696.301859619998</v>
      </c>
      <c r="E67" s="384">
        <f t="shared" si="3"/>
        <v>0.2036</v>
      </c>
      <c r="F67" s="385">
        <v>0.29499999999999998</v>
      </c>
      <c r="G67" s="382">
        <v>0.31831739999999997</v>
      </c>
      <c r="H67" s="399">
        <f t="shared" si="4"/>
        <v>0.27230579999999999</v>
      </c>
      <c r="I67" s="399">
        <f t="shared" si="5"/>
        <v>0.29393157737332176</v>
      </c>
      <c r="J67" s="382">
        <f t="shared" si="6"/>
        <v>8.5466186885072427E-4</v>
      </c>
      <c r="K67" s="382">
        <f t="shared" si="7"/>
        <v>2.5121211123212443E-4</v>
      </c>
      <c r="M67" s="400"/>
      <c r="N67" s="398" t="s">
        <v>3980</v>
      </c>
      <c r="O67" s="398" t="s">
        <v>671</v>
      </c>
      <c r="P67" s="398" t="s">
        <v>188</v>
      </c>
      <c r="Q67" s="398">
        <v>45696301859.619995</v>
      </c>
      <c r="R67" s="398">
        <v>1.9034213945430924</v>
      </c>
      <c r="S67" s="398">
        <v>20.36</v>
      </c>
      <c r="T67" s="398">
        <v>989.5258</v>
      </c>
      <c r="U67" s="398">
        <v>46.18</v>
      </c>
      <c r="W67" s="401" t="s">
        <v>671</v>
      </c>
      <c r="X67" s="402" t="s">
        <v>188</v>
      </c>
      <c r="Y67" s="386">
        <f t="shared" si="8"/>
        <v>45696.301859619998</v>
      </c>
      <c r="Z67" s="387">
        <f t="shared" si="9"/>
        <v>1.9034213945430926E-2</v>
      </c>
      <c r="AA67" s="387">
        <f t="shared" si="10"/>
        <v>0.2036</v>
      </c>
      <c r="AB67" s="403">
        <f t="shared" si="11"/>
        <v>0.22457189692507579</v>
      </c>
      <c r="AC67" s="388">
        <f t="shared" si="12"/>
        <v>9.0231484707932301E-4</v>
      </c>
      <c r="AD67" s="389">
        <f t="shared" si="13"/>
        <v>2.0263455683226325E-4</v>
      </c>
    </row>
    <row r="68" spans="1:30" x14ac:dyDescent="0.55000000000000004">
      <c r="A68" t="str">
        <f t="shared" si="0"/>
        <v>Builders FirstSource Inc</v>
      </c>
      <c r="B68" t="str">
        <f t="shared" si="0"/>
        <v>BLDR</v>
      </c>
      <c r="C68" s="382" t="str">
        <f t="shared" si="1"/>
        <v>0.00%</v>
      </c>
      <c r="D68" s="383">
        <f t="shared" si="2"/>
        <v>19251.415454400001</v>
      </c>
      <c r="E68" s="384">
        <f t="shared" si="3"/>
        <v>-1.4999999999999999E-2</v>
      </c>
      <c r="F68" s="385">
        <v>5.5E-2</v>
      </c>
      <c r="G68" s="382">
        <v>-1.49639E-2</v>
      </c>
      <c r="H68" s="399">
        <f t="shared" si="4"/>
        <v>8.3453666666666662E-3</v>
      </c>
      <c r="I68" s="399">
        <f t="shared" si="5"/>
        <v>8.3453666666666662E-3</v>
      </c>
      <c r="J68" s="382">
        <f t="shared" si="6"/>
        <v>3.60060881093279E-4</v>
      </c>
      <c r="K68" s="382">
        <f t="shared" si="7"/>
        <v>3.0048400750464807E-6</v>
      </c>
      <c r="M68" s="400"/>
      <c r="N68" s="398" t="s">
        <v>3981</v>
      </c>
      <c r="O68" s="398" t="s">
        <v>672</v>
      </c>
      <c r="P68" s="398" t="s">
        <v>189</v>
      </c>
      <c r="Q68" s="398">
        <v>19251415454.400002</v>
      </c>
      <c r="R68" s="398" t="s">
        <v>3929</v>
      </c>
      <c r="S68" s="398">
        <v>-1.5</v>
      </c>
      <c r="T68" s="398">
        <v>115.08499999999999</v>
      </c>
      <c r="U68" s="398">
        <v>167.28</v>
      </c>
      <c r="W68" s="401" t="s">
        <v>672</v>
      </c>
      <c r="X68" s="402" t="s">
        <v>189</v>
      </c>
      <c r="Y68" s="386">
        <f t="shared" si="8"/>
        <v>19251.415454400001</v>
      </c>
      <c r="Z68" s="387" t="str">
        <f t="shared" si="9"/>
        <v>0.00%</v>
      </c>
      <c r="AA68" s="387">
        <f t="shared" si="10"/>
        <v>-1.4999999999999999E-2</v>
      </c>
      <c r="AB68" s="403">
        <f t="shared" si="11"/>
        <v>-1.4999999999999999E-2</v>
      </c>
      <c r="AC68" s="388">
        <f t="shared" si="12"/>
        <v>3.801366256105589E-4</v>
      </c>
      <c r="AD68" s="389">
        <f t="shared" si="13"/>
        <v>-5.7020493841583835E-6</v>
      </c>
    </row>
    <row r="69" spans="1:30" x14ac:dyDescent="0.55000000000000004">
      <c r="A69" t="str">
        <f t="shared" si="0"/>
        <v>Blackrock Inc</v>
      </c>
      <c r="B69" t="str">
        <f t="shared" si="0"/>
        <v>BLK</v>
      </c>
      <c r="C69" s="382">
        <f t="shared" si="1"/>
        <v>2.0177591817759181E-2</v>
      </c>
      <c r="D69" s="383">
        <f t="shared" si="2"/>
        <v>166572.28921500003</v>
      </c>
      <c r="E69" s="384">
        <f t="shared" si="3"/>
        <v>0.12130000000000001</v>
      </c>
      <c r="F69" s="385">
        <v>9.5000000000000001E-2</v>
      </c>
      <c r="G69" s="382">
        <v>0.12743740000000001</v>
      </c>
      <c r="H69" s="399">
        <f t="shared" si="4"/>
        <v>0.11457913333333332</v>
      </c>
      <c r="I69" s="399">
        <f t="shared" si="5"/>
        <v>0.13591269064270881</v>
      </c>
      <c r="J69" s="382">
        <f t="shared" si="6"/>
        <v>3.1154158696819131E-3</v>
      </c>
      <c r="K69" s="382">
        <f t="shared" si="7"/>
        <v>4.2342455331946348E-4</v>
      </c>
      <c r="M69" s="400"/>
      <c r="N69" s="398" t="s">
        <v>3982</v>
      </c>
      <c r="O69" s="398" t="s">
        <v>2805</v>
      </c>
      <c r="P69" s="398" t="s">
        <v>190</v>
      </c>
      <c r="Q69" s="398">
        <v>166572289215.00003</v>
      </c>
      <c r="R69" s="398">
        <v>2.0177591817759182</v>
      </c>
      <c r="S69" s="398">
        <v>12.13</v>
      </c>
      <c r="T69" s="398">
        <v>154.87889999999999</v>
      </c>
      <c r="U69" s="398">
        <v>1075.5</v>
      </c>
      <c r="W69" s="401" t="s">
        <v>2805</v>
      </c>
      <c r="X69" s="402" t="s">
        <v>190</v>
      </c>
      <c r="Y69" s="386">
        <f t="shared" si="8"/>
        <v>166572.28921500003</v>
      </c>
      <c r="Z69" s="387">
        <f t="shared" si="9"/>
        <v>2.0177591817759181E-2</v>
      </c>
      <c r="AA69" s="387">
        <f t="shared" si="10"/>
        <v>0.12130000000000001</v>
      </c>
      <c r="AB69" s="403">
        <f t="shared" si="11"/>
        <v>0.14270136276150627</v>
      </c>
      <c r="AC69" s="388">
        <f t="shared" si="12"/>
        <v>3.2891206411497426E-3</v>
      </c>
      <c r="AD69" s="389">
        <f t="shared" si="13"/>
        <v>4.6936199777906755E-4</v>
      </c>
    </row>
    <row r="70" spans="1:30" x14ac:dyDescent="0.55000000000000004">
      <c r="A70" t="str">
        <f t="shared" ref="A70:B133" si="14">O70</f>
        <v>Bristol-Myers Squibb Co</v>
      </c>
      <c r="B70" t="str">
        <f t="shared" si="14"/>
        <v>BMY</v>
      </c>
      <c r="C70" s="382">
        <f t="shared" ref="C70:C133" si="15">VLOOKUP($B70,$X$5:$AA$504, 3, FALSE)</f>
        <v>4.0695504664970315E-2</v>
      </c>
      <c r="D70" s="383">
        <f t="shared" ref="D70:D133" si="16">VLOOKUP($B70,$X$5:$AA$504, 2, FALSE)</f>
        <v>119561.01493229999</v>
      </c>
      <c r="E70" s="384">
        <f t="shared" ref="E70:E133" si="17">VLOOKUP($B70,$X$5:$AA$504, 4, FALSE)</f>
        <v>-1.32E-2</v>
      </c>
      <c r="F70" s="385">
        <v>0.01</v>
      </c>
      <c r="G70" s="382">
        <v>-9.5388000000000001E-3</v>
      </c>
      <c r="H70" s="399">
        <f t="shared" ref="H70:H133" si="18">IFERROR(AVERAGE(E70:G70),"N/A")</f>
        <v>-4.2462666666666666E-3</v>
      </c>
      <c r="I70" s="399">
        <f t="shared" ref="I70:I133" si="19">IFERROR(C70*(1+0.5*H70)+H70,"N/A")</f>
        <v>3.6362836015832629E-2</v>
      </c>
      <c r="J70" s="382">
        <f t="shared" ref="J70:J133" si="20">IF(I70="N/A","N/A",D70/$D$505)</f>
        <v>2.2361599583625167E-3</v>
      </c>
      <c r="K70" s="382">
        <f t="shared" ref="K70:K133" si="21">IF(AND(ISNUMBER(D70),ISNUMBER(I70)),I70*J70,"N/A")</f>
        <v>8.131311787110731E-5</v>
      </c>
      <c r="M70" s="400"/>
      <c r="N70" s="398" t="s">
        <v>3983</v>
      </c>
      <c r="O70" s="398" t="s">
        <v>673</v>
      </c>
      <c r="P70" s="398" t="s">
        <v>191</v>
      </c>
      <c r="Q70" s="398">
        <v>119561014932.29999</v>
      </c>
      <c r="R70" s="398">
        <v>4.0695504664970317</v>
      </c>
      <c r="S70" s="398">
        <v>-1.32</v>
      </c>
      <c r="T70" s="398">
        <v>2028.1769999999999</v>
      </c>
      <c r="U70" s="398">
        <v>58.95</v>
      </c>
      <c r="W70" s="401" t="s">
        <v>673</v>
      </c>
      <c r="X70" s="402" t="s">
        <v>191</v>
      </c>
      <c r="Y70" s="386">
        <f t="shared" ref="Y70:Y133" si="22">Q70/1000000</f>
        <v>119561.01493229999</v>
      </c>
      <c r="Z70" s="387">
        <f t="shared" ref="Z70:Z133" si="23">IFERROR(R70/100,"0.00%")</f>
        <v>4.0695504664970315E-2</v>
      </c>
      <c r="AA70" s="387">
        <f t="shared" ref="AA70:AA133" si="24">IFERROR(S70/100,"N/A")</f>
        <v>-1.32E-2</v>
      </c>
      <c r="AB70" s="403">
        <f t="shared" ref="AB70:AB133" si="25">IFERROR(Z70*(1+0.5*AA70)+AA70,"N/A")</f>
        <v>2.722691433418151E-2</v>
      </c>
      <c r="AC70" s="388">
        <f t="shared" ref="AC70:AC133" si="26">IF(Y70= "N/A","N/A", Y70/$Y$506)</f>
        <v>2.3608404731897499E-3</v>
      </c>
      <c r="AD70" s="389">
        <f t="shared" ref="AD70:AD133" si="27">IF(AND(ISNUMBER(Y70),ISNUMBER(AB70)),AB70*AC70,"N/A")</f>
        <v>6.4278401320205865E-5</v>
      </c>
    </row>
    <row r="71" spans="1:30" x14ac:dyDescent="0.55000000000000004">
      <c r="A71" t="str">
        <f t="shared" si="14"/>
        <v>Broadridge Financial Solutions Inc</v>
      </c>
      <c r="B71" t="str">
        <f t="shared" si="14"/>
        <v>BR</v>
      </c>
      <c r="C71" s="382">
        <f t="shared" si="15"/>
        <v>1.4658718831332383E-2</v>
      </c>
      <c r="D71" s="383">
        <f t="shared" si="16"/>
        <v>27876.191617140001</v>
      </c>
      <c r="E71" s="384" t="str">
        <f t="shared" si="17"/>
        <v>N/A</v>
      </c>
      <c r="F71" s="385">
        <v>9.5000000000000001E-2</v>
      </c>
      <c r="G71" s="382" t="s">
        <v>14</v>
      </c>
      <c r="H71" s="399">
        <f t="shared" si="18"/>
        <v>9.5000000000000001E-2</v>
      </c>
      <c r="I71" s="399">
        <f t="shared" si="19"/>
        <v>0.11035500797582068</v>
      </c>
      <c r="J71" s="382">
        <f t="shared" si="20"/>
        <v>5.213708123938738E-4</v>
      </c>
      <c r="K71" s="382">
        <f t="shared" si="21"/>
        <v>5.7535880160086053E-5</v>
      </c>
      <c r="M71" s="400"/>
      <c r="N71" s="398" t="s">
        <v>3984</v>
      </c>
      <c r="O71" s="398" t="s">
        <v>674</v>
      </c>
      <c r="P71" s="398" t="s">
        <v>192</v>
      </c>
      <c r="Q71" s="398">
        <v>27876191617.139999</v>
      </c>
      <c r="R71" s="398">
        <v>1.4658718831332382</v>
      </c>
      <c r="S71" s="398" t="s">
        <v>3929</v>
      </c>
      <c r="T71" s="398">
        <v>117.0187</v>
      </c>
      <c r="U71" s="398">
        <v>238.22</v>
      </c>
      <c r="W71" s="401" t="s">
        <v>674</v>
      </c>
      <c r="X71" s="402" t="s">
        <v>192</v>
      </c>
      <c r="Y71" s="386">
        <f t="shared" si="22"/>
        <v>27876.191617140001</v>
      </c>
      <c r="Z71" s="387">
        <f t="shared" si="23"/>
        <v>1.4658718831332383E-2</v>
      </c>
      <c r="AA71" s="387" t="str">
        <f t="shared" si="24"/>
        <v>N/A</v>
      </c>
      <c r="AB71" s="403" t="str">
        <f t="shared" si="25"/>
        <v>N/A</v>
      </c>
      <c r="AC71" s="388">
        <f t="shared" si="26"/>
        <v>5.5044063857605902E-4</v>
      </c>
      <c r="AD71" s="389" t="str">
        <f t="shared" si="27"/>
        <v>N/A</v>
      </c>
    </row>
    <row r="72" spans="1:30" x14ac:dyDescent="0.55000000000000004">
      <c r="A72" t="str">
        <f t="shared" si="14"/>
        <v>Berkshire Hathaway Inc</v>
      </c>
      <c r="B72" t="str">
        <f t="shared" si="14"/>
        <v>BRK/B</v>
      </c>
      <c r="C72" s="382" t="str">
        <f t="shared" si="15"/>
        <v>0.00%</v>
      </c>
      <c r="D72" s="383">
        <f t="shared" si="16"/>
        <v>1010429.5205432201</v>
      </c>
      <c r="E72" s="384" t="str">
        <f t="shared" si="17"/>
        <v>N/A</v>
      </c>
      <c r="F72" s="385" t="s">
        <v>184</v>
      </c>
      <c r="G72" s="382" t="s">
        <v>14</v>
      </c>
      <c r="H72" s="399" t="str">
        <f t="shared" si="18"/>
        <v>N/A</v>
      </c>
      <c r="I72" s="399" t="str">
        <f t="shared" si="19"/>
        <v>N/A</v>
      </c>
      <c r="J72" s="382" t="str">
        <f t="shared" si="20"/>
        <v>N/A</v>
      </c>
      <c r="K72" s="382" t="str">
        <f t="shared" si="21"/>
        <v>N/A</v>
      </c>
      <c r="M72" s="400"/>
      <c r="N72" s="398" t="s">
        <v>3985</v>
      </c>
      <c r="O72" s="398" t="s">
        <v>675</v>
      </c>
      <c r="P72" s="398" t="s">
        <v>676</v>
      </c>
      <c r="Q72" s="398">
        <v>1010429520543.2201</v>
      </c>
      <c r="R72" s="398" t="s">
        <v>3929</v>
      </c>
      <c r="S72" s="398" t="s">
        <v>3929</v>
      </c>
      <c r="T72" s="398">
        <v>1328.4469999999999</v>
      </c>
      <c r="U72" s="398">
        <v>468.67</v>
      </c>
      <c r="W72" s="401" t="s">
        <v>675</v>
      </c>
      <c r="X72" s="402" t="s">
        <v>676</v>
      </c>
      <c r="Y72" s="386">
        <f t="shared" si="22"/>
        <v>1010429.5205432201</v>
      </c>
      <c r="Z72" s="387" t="str">
        <f t="shared" si="23"/>
        <v>0.00%</v>
      </c>
      <c r="AA72" s="387" t="str">
        <f t="shared" si="24"/>
        <v>N/A</v>
      </c>
      <c r="AB72" s="403" t="str">
        <f t="shared" si="25"/>
        <v>N/A</v>
      </c>
      <c r="AC72" s="388">
        <f t="shared" si="26"/>
        <v>1.9951845580726192E-2</v>
      </c>
      <c r="AD72" s="389" t="str">
        <f t="shared" si="27"/>
        <v>N/A</v>
      </c>
    </row>
    <row r="73" spans="1:30" x14ac:dyDescent="0.55000000000000004">
      <c r="A73" t="str">
        <f t="shared" si="14"/>
        <v>Brown &amp; Brown Inc</v>
      </c>
      <c r="B73" t="str">
        <f t="shared" si="14"/>
        <v>BRO</v>
      </c>
      <c r="C73" s="382">
        <f t="shared" si="15"/>
        <v>5.8283967131664439E-3</v>
      </c>
      <c r="D73" s="383">
        <f t="shared" si="16"/>
        <v>29928.405097399998</v>
      </c>
      <c r="E73" s="384">
        <f t="shared" si="17"/>
        <v>0.10075000000000001</v>
      </c>
      <c r="F73" s="385">
        <v>0.125</v>
      </c>
      <c r="G73" s="382">
        <v>0.100733</v>
      </c>
      <c r="H73" s="399">
        <f t="shared" si="18"/>
        <v>0.10882766666666667</v>
      </c>
      <c r="I73" s="399">
        <f t="shared" si="19"/>
        <v>0.11497320878718389</v>
      </c>
      <c r="J73" s="382">
        <f t="shared" si="20"/>
        <v>5.5975353784303212E-4</v>
      </c>
      <c r="K73" s="382">
        <f t="shared" si="21"/>
        <v>6.4356660375791775E-5</v>
      </c>
      <c r="M73" s="400"/>
      <c r="N73" s="398" t="s">
        <v>3986</v>
      </c>
      <c r="O73" s="398" t="s">
        <v>677</v>
      </c>
      <c r="P73" s="398" t="s">
        <v>193</v>
      </c>
      <c r="Q73" s="398">
        <v>29928405097.399998</v>
      </c>
      <c r="R73" s="398">
        <v>0.58283967131664438</v>
      </c>
      <c r="S73" s="398">
        <v>10.075000000000001</v>
      </c>
      <c r="T73" s="398">
        <v>285.95839999999998</v>
      </c>
      <c r="U73" s="398">
        <v>104.66</v>
      </c>
      <c r="W73" s="401" t="s">
        <v>677</v>
      </c>
      <c r="X73" s="402" t="s">
        <v>193</v>
      </c>
      <c r="Y73" s="386">
        <f t="shared" si="22"/>
        <v>29928.405097399998</v>
      </c>
      <c r="Z73" s="387">
        <f t="shared" si="23"/>
        <v>5.8283967131664439E-3</v>
      </c>
      <c r="AA73" s="387">
        <f t="shared" si="24"/>
        <v>0.10075000000000001</v>
      </c>
      <c r="AB73" s="403">
        <f t="shared" si="25"/>
        <v>0.10687200219759221</v>
      </c>
      <c r="AC73" s="388">
        <f t="shared" si="26"/>
        <v>5.909634515227941E-4</v>
      </c>
      <c r="AD73" s="389">
        <f t="shared" si="27"/>
        <v>6.3157447289840737E-5</v>
      </c>
    </row>
    <row r="74" spans="1:30" x14ac:dyDescent="0.55000000000000004">
      <c r="A74" t="str">
        <f t="shared" si="14"/>
        <v>Boston Scientific Corp</v>
      </c>
      <c r="B74" t="str">
        <f t="shared" si="14"/>
        <v>BSX</v>
      </c>
      <c r="C74" s="382">
        <f t="shared" si="15"/>
        <v>0</v>
      </c>
      <c r="D74" s="383">
        <f t="shared" si="16"/>
        <v>150860.98136460001</v>
      </c>
      <c r="E74" s="384">
        <f t="shared" si="17"/>
        <v>0.12640000000000001</v>
      </c>
      <c r="F74" s="385">
        <v>0.13500000000000001</v>
      </c>
      <c r="G74" s="382">
        <v>0.13676279999999999</v>
      </c>
      <c r="H74" s="399">
        <f t="shared" si="18"/>
        <v>0.13272093333333335</v>
      </c>
      <c r="I74" s="399">
        <f t="shared" si="19"/>
        <v>0.13272093333333335</v>
      </c>
      <c r="J74" s="382">
        <f t="shared" si="20"/>
        <v>2.8215659259651854E-3</v>
      </c>
      <c r="K74" s="382">
        <f t="shared" si="21"/>
        <v>3.7448086315563036E-4</v>
      </c>
      <c r="M74" s="400"/>
      <c r="N74" s="398" t="s">
        <v>3987</v>
      </c>
      <c r="O74" s="398" t="s">
        <v>678</v>
      </c>
      <c r="P74" s="398" t="s">
        <v>194</v>
      </c>
      <c r="Q74" s="398">
        <v>150860981364.60001</v>
      </c>
      <c r="R74" s="398">
        <v>0</v>
      </c>
      <c r="S74" s="398">
        <v>12.64</v>
      </c>
      <c r="T74" s="398">
        <v>1473.827</v>
      </c>
      <c r="U74" s="398">
        <v>102.36</v>
      </c>
      <c r="W74" s="401" t="s">
        <v>678</v>
      </c>
      <c r="X74" s="402" t="s">
        <v>194</v>
      </c>
      <c r="Y74" s="386">
        <f t="shared" si="22"/>
        <v>150860.98136460001</v>
      </c>
      <c r="Z74" s="387">
        <f t="shared" si="23"/>
        <v>0</v>
      </c>
      <c r="AA74" s="387">
        <f t="shared" si="24"/>
        <v>0.12640000000000001</v>
      </c>
      <c r="AB74" s="403">
        <f t="shared" si="25"/>
        <v>0.12640000000000001</v>
      </c>
      <c r="AC74" s="388">
        <f t="shared" si="26"/>
        <v>2.9788866448845638E-3</v>
      </c>
      <c r="AD74" s="389">
        <f t="shared" si="27"/>
        <v>3.7653127191340888E-4</v>
      </c>
    </row>
    <row r="75" spans="1:30" x14ac:dyDescent="0.55000000000000004">
      <c r="A75" t="str">
        <f t="shared" si="14"/>
        <v>BorgWarner Inc</v>
      </c>
      <c r="B75" t="str">
        <f t="shared" si="14"/>
        <v>BWA</v>
      </c>
      <c r="C75" s="382">
        <f t="shared" si="15"/>
        <v>1.6081504702194362E-2</v>
      </c>
      <c r="D75" s="383">
        <f t="shared" si="16"/>
        <v>6976.5261081999988</v>
      </c>
      <c r="E75" s="384">
        <f t="shared" si="17"/>
        <v>5.6100000000000004E-2</v>
      </c>
      <c r="F75" s="385">
        <v>7.4999999999999997E-2</v>
      </c>
      <c r="G75" s="382">
        <v>0.1056946</v>
      </c>
      <c r="H75" s="399">
        <f t="shared" si="18"/>
        <v>7.8931533333333331E-2</v>
      </c>
      <c r="I75" s="399">
        <f t="shared" si="19"/>
        <v>9.5647706947753403E-2</v>
      </c>
      <c r="J75" s="382">
        <f t="shared" si="20"/>
        <v>1.3048256859028164E-4</v>
      </c>
      <c r="K75" s="382">
        <f t="shared" si="21"/>
        <v>1.2480358482313391E-5</v>
      </c>
      <c r="M75" s="400"/>
      <c r="N75" s="398" t="s">
        <v>3988</v>
      </c>
      <c r="O75" s="398" t="s">
        <v>679</v>
      </c>
      <c r="P75" s="398" t="s">
        <v>195</v>
      </c>
      <c r="Q75" s="398">
        <v>6976526108.1999989</v>
      </c>
      <c r="R75" s="398">
        <v>1.608150470219436</v>
      </c>
      <c r="S75" s="398">
        <v>5.61</v>
      </c>
      <c r="T75" s="398">
        <v>218.69989999999999</v>
      </c>
      <c r="U75" s="398">
        <v>31.9</v>
      </c>
      <c r="W75" s="401" t="s">
        <v>679</v>
      </c>
      <c r="X75" s="402" t="s">
        <v>195</v>
      </c>
      <c r="Y75" s="386">
        <f t="shared" si="22"/>
        <v>6976.5261081999988</v>
      </c>
      <c r="Z75" s="387">
        <f t="shared" si="23"/>
        <v>1.6081504702194362E-2</v>
      </c>
      <c r="AA75" s="387">
        <f t="shared" si="24"/>
        <v>5.6100000000000004E-2</v>
      </c>
      <c r="AB75" s="403">
        <f t="shared" si="25"/>
        <v>7.2632590909090911E-2</v>
      </c>
      <c r="AC75" s="388">
        <f t="shared" si="26"/>
        <v>1.3775782355000696E-4</v>
      </c>
      <c r="AD75" s="389">
        <f t="shared" si="27"/>
        <v>1.0005707642434386E-5</v>
      </c>
    </row>
    <row r="76" spans="1:30" x14ac:dyDescent="0.55000000000000004">
      <c r="A76" t="str">
        <f t="shared" si="14"/>
        <v>Blackstone Inc</v>
      </c>
      <c r="B76" t="str">
        <f t="shared" si="14"/>
        <v>BX</v>
      </c>
      <c r="C76" s="382">
        <f t="shared" si="15"/>
        <v>2.7960024843317707E-2</v>
      </c>
      <c r="D76" s="383">
        <f t="shared" si="16"/>
        <v>216317.21085989999</v>
      </c>
      <c r="E76" s="384">
        <f t="shared" si="17"/>
        <v>0.22469999999999998</v>
      </c>
      <c r="F76" s="385">
        <v>0.16</v>
      </c>
      <c r="G76" s="382">
        <v>0.241235</v>
      </c>
      <c r="H76" s="399">
        <f t="shared" si="18"/>
        <v>0.208645</v>
      </c>
      <c r="I76" s="399">
        <f t="shared" si="19"/>
        <v>0.23952188453503473</v>
      </c>
      <c r="J76" s="382">
        <f t="shared" si="20"/>
        <v>4.0457994230265644E-3</v>
      </c>
      <c r="K76" s="382">
        <f t="shared" si="21"/>
        <v>9.6905750225407888E-4</v>
      </c>
      <c r="M76" s="400"/>
      <c r="N76" s="398" t="s">
        <v>3989</v>
      </c>
      <c r="O76" s="398" t="s">
        <v>680</v>
      </c>
      <c r="P76" s="398" t="s">
        <v>196</v>
      </c>
      <c r="Q76" s="398">
        <v>216317210859.89999</v>
      </c>
      <c r="R76" s="398">
        <v>2.7960024843317708</v>
      </c>
      <c r="S76" s="398">
        <v>22.47</v>
      </c>
      <c r="T76" s="398">
        <v>722.0027</v>
      </c>
      <c r="U76" s="398">
        <v>177.11</v>
      </c>
      <c r="W76" s="401" t="s">
        <v>680</v>
      </c>
      <c r="X76" s="402" t="s">
        <v>196</v>
      </c>
      <c r="Y76" s="386">
        <f t="shared" si="22"/>
        <v>216317.21085989999</v>
      </c>
      <c r="Z76" s="387">
        <f t="shared" si="23"/>
        <v>2.7960024843317707E-2</v>
      </c>
      <c r="AA76" s="387">
        <f t="shared" si="24"/>
        <v>0.22469999999999998</v>
      </c>
      <c r="AB76" s="403">
        <f t="shared" si="25"/>
        <v>0.25580133363446445</v>
      </c>
      <c r="AC76" s="388">
        <f t="shared" si="26"/>
        <v>4.2713791509276294E-3</v>
      </c>
      <c r="AD76" s="389">
        <f t="shared" si="27"/>
        <v>1.092624483265734E-3</v>
      </c>
    </row>
    <row r="77" spans="1:30" x14ac:dyDescent="0.55000000000000004">
      <c r="A77" t="str">
        <f t="shared" si="14"/>
        <v>BXP Inc</v>
      </c>
      <c r="B77" t="str">
        <f t="shared" si="14"/>
        <v>BXP</v>
      </c>
      <c r="C77" s="382">
        <f t="shared" si="15"/>
        <v>5.343177467869839E-2</v>
      </c>
      <c r="D77" s="383">
        <f t="shared" si="16"/>
        <v>11564.216378579998</v>
      </c>
      <c r="E77" s="384">
        <f t="shared" si="17"/>
        <v>6.5000000000000006E-3</v>
      </c>
      <c r="F77" s="385">
        <v>5.0000000000000001E-3</v>
      </c>
      <c r="G77" s="382">
        <v>1.0245200000000001E-2</v>
      </c>
      <c r="H77" s="399">
        <f t="shared" si="18"/>
        <v>7.2483999999999995E-3</v>
      </c>
      <c r="I77" s="399">
        <f t="shared" si="19"/>
        <v>6.0873822116488931E-2</v>
      </c>
      <c r="J77" s="382">
        <f t="shared" si="20"/>
        <v>2.1628653478948122E-4</v>
      </c>
      <c r="K77" s="382">
        <f t="shared" si="21"/>
        <v>1.3166188044966675E-5</v>
      </c>
      <c r="M77" s="400"/>
      <c r="N77" s="398" t="s">
        <v>3990</v>
      </c>
      <c r="O77" s="398" t="s">
        <v>2663</v>
      </c>
      <c r="P77" s="398" t="s">
        <v>197</v>
      </c>
      <c r="Q77" s="398">
        <v>11564216378.579998</v>
      </c>
      <c r="R77" s="398">
        <v>5.3431774678698387</v>
      </c>
      <c r="S77" s="398">
        <v>0.65</v>
      </c>
      <c r="T77" s="398">
        <v>158.11069999999998</v>
      </c>
      <c r="U77" s="398">
        <v>73.14</v>
      </c>
      <c r="W77" s="401" t="s">
        <v>2663</v>
      </c>
      <c r="X77" s="402" t="s">
        <v>197</v>
      </c>
      <c r="Y77" s="386">
        <f t="shared" si="22"/>
        <v>11564.216378579998</v>
      </c>
      <c r="Z77" s="387">
        <f t="shared" si="23"/>
        <v>5.343177467869839E-2</v>
      </c>
      <c r="AA77" s="387">
        <f t="shared" si="24"/>
        <v>6.5000000000000006E-3</v>
      </c>
      <c r="AB77" s="403">
        <f t="shared" si="25"/>
        <v>6.0105427946404159E-2</v>
      </c>
      <c r="AC77" s="388">
        <f t="shared" si="26"/>
        <v>2.2834592097377627E-4</v>
      </c>
      <c r="AD77" s="389">
        <f t="shared" si="27"/>
        <v>1.3724829299944608E-5</v>
      </c>
    </row>
    <row r="78" spans="1:30" x14ac:dyDescent="0.55000000000000004">
      <c r="A78" t="str">
        <f t="shared" si="14"/>
        <v>Citigroup Inc</v>
      </c>
      <c r="B78" t="str">
        <f t="shared" si="14"/>
        <v>C</v>
      </c>
      <c r="C78" s="382">
        <f t="shared" si="15"/>
        <v>2.834336239715092E-2</v>
      </c>
      <c r="D78" s="383">
        <f t="shared" si="16"/>
        <v>154005.69290828999</v>
      </c>
      <c r="E78" s="384" t="str">
        <f t="shared" si="17"/>
        <v>N/A</v>
      </c>
      <c r="F78" s="385">
        <v>0.03</v>
      </c>
      <c r="G78" s="382">
        <v>0.2380668</v>
      </c>
      <c r="H78" s="399">
        <f t="shared" si="18"/>
        <v>0.1340334</v>
      </c>
      <c r="I78" s="399">
        <f t="shared" si="19"/>
        <v>0.16427624101191207</v>
      </c>
      <c r="J78" s="382">
        <f t="shared" si="20"/>
        <v>2.8803817367759397E-3</v>
      </c>
      <c r="K78" s="382">
        <f t="shared" si="21"/>
        <v>4.7317828439691416E-4</v>
      </c>
      <c r="M78" s="400"/>
      <c r="N78" s="398" t="s">
        <v>3991</v>
      </c>
      <c r="O78" s="398" t="s">
        <v>681</v>
      </c>
      <c r="P78" s="398" t="s">
        <v>198</v>
      </c>
      <c r="Q78" s="398">
        <v>154005692908.28998</v>
      </c>
      <c r="R78" s="398">
        <v>2.8343362397150922</v>
      </c>
      <c r="S78" s="398" t="s">
        <v>3929</v>
      </c>
      <c r="T78" s="398">
        <v>1891.2649999999999</v>
      </c>
      <c r="U78" s="398">
        <v>81.430000000000007</v>
      </c>
      <c r="W78" s="401" t="s">
        <v>681</v>
      </c>
      <c r="X78" s="402" t="s">
        <v>198</v>
      </c>
      <c r="Y78" s="386">
        <f t="shared" si="22"/>
        <v>154005.69290828999</v>
      </c>
      <c r="Z78" s="387">
        <f t="shared" si="23"/>
        <v>2.834336239715092E-2</v>
      </c>
      <c r="AA78" s="387" t="str">
        <f t="shared" si="24"/>
        <v>N/A</v>
      </c>
      <c r="AB78" s="403" t="str">
        <f t="shared" si="25"/>
        <v>N/A</v>
      </c>
      <c r="AC78" s="388">
        <f t="shared" si="26"/>
        <v>3.0409818210843822E-3</v>
      </c>
      <c r="AD78" s="389" t="str">
        <f t="shared" si="27"/>
        <v>N/A</v>
      </c>
    </row>
    <row r="79" spans="1:30" x14ac:dyDescent="0.55000000000000004">
      <c r="A79" t="str">
        <f t="shared" si="14"/>
        <v>Conagra Brands Inc</v>
      </c>
      <c r="B79" t="str">
        <f t="shared" si="14"/>
        <v>CAG</v>
      </c>
      <c r="C79" s="382">
        <f t="shared" si="15"/>
        <v>5.430668211664736E-2</v>
      </c>
      <c r="D79" s="383">
        <f t="shared" si="16"/>
        <v>12357.82676118</v>
      </c>
      <c r="E79" s="384">
        <f t="shared" si="17"/>
        <v>-1.6500000000000001E-2</v>
      </c>
      <c r="F79" s="385">
        <v>0.02</v>
      </c>
      <c r="G79" s="382">
        <v>1.24E-2</v>
      </c>
      <c r="H79" s="399">
        <f t="shared" si="18"/>
        <v>5.2999999999999992E-3</v>
      </c>
      <c r="I79" s="399">
        <f t="shared" si="19"/>
        <v>5.975059482425648E-2</v>
      </c>
      <c r="J79" s="382">
        <f t="shared" si="20"/>
        <v>2.3112949811758402E-4</v>
      </c>
      <c r="K79" s="382">
        <f t="shared" si="21"/>
        <v>1.3810124993957513E-5</v>
      </c>
      <c r="M79" s="400"/>
      <c r="N79" s="398" t="s">
        <v>3992</v>
      </c>
      <c r="O79" s="398" t="s">
        <v>682</v>
      </c>
      <c r="P79" s="398" t="s">
        <v>199</v>
      </c>
      <c r="Q79" s="398">
        <v>12357826761.18</v>
      </c>
      <c r="R79" s="398">
        <v>5.4306682116647362</v>
      </c>
      <c r="S79" s="398">
        <v>-1.6500000000000001</v>
      </c>
      <c r="T79" s="398">
        <v>477.32049999999998</v>
      </c>
      <c r="U79" s="398">
        <v>25.89</v>
      </c>
      <c r="W79" s="401" t="s">
        <v>682</v>
      </c>
      <c r="X79" s="402" t="s">
        <v>199</v>
      </c>
      <c r="Y79" s="386">
        <f t="shared" si="22"/>
        <v>12357.82676118</v>
      </c>
      <c r="Z79" s="387">
        <f t="shared" si="23"/>
        <v>5.430668211664736E-2</v>
      </c>
      <c r="AA79" s="387">
        <f t="shared" si="24"/>
        <v>-1.6500000000000001E-2</v>
      </c>
      <c r="AB79" s="403">
        <f t="shared" si="25"/>
        <v>3.7358651989185018E-2</v>
      </c>
      <c r="AC79" s="388">
        <f t="shared" si="26"/>
        <v>2.4401647639894211E-4</v>
      </c>
      <c r="AD79" s="389">
        <f t="shared" si="27"/>
        <v>9.1161266214152576E-6</v>
      </c>
    </row>
    <row r="80" spans="1:30" x14ac:dyDescent="0.55000000000000004">
      <c r="A80" t="str">
        <f t="shared" si="14"/>
        <v>Cardinal Health Inc</v>
      </c>
      <c r="B80" t="str">
        <f t="shared" si="14"/>
        <v>CAH</v>
      </c>
      <c r="C80" s="382">
        <f t="shared" si="15"/>
        <v>1.6496846191169336E-2</v>
      </c>
      <c r="D80" s="383">
        <f t="shared" si="16"/>
        <v>29872.298014379998</v>
      </c>
      <c r="E80" s="384">
        <f t="shared" si="17"/>
        <v>9.0700000000000003E-2</v>
      </c>
      <c r="F80" s="385">
        <v>0.1</v>
      </c>
      <c r="G80" s="382">
        <v>0.11721209999999999</v>
      </c>
      <c r="H80" s="399">
        <f t="shared" si="18"/>
        <v>0.10263736666666667</v>
      </c>
      <c r="I80" s="399">
        <f t="shared" si="19"/>
        <v>0.11998080928351934</v>
      </c>
      <c r="J80" s="382">
        <f t="shared" si="20"/>
        <v>5.5870416223760685E-4</v>
      </c>
      <c r="K80" s="382">
        <f t="shared" si="21"/>
        <v>6.703377753533876E-5</v>
      </c>
      <c r="M80" s="400"/>
      <c r="N80" s="398" t="s">
        <v>3993</v>
      </c>
      <c r="O80" s="398" t="s">
        <v>683</v>
      </c>
      <c r="P80" s="398" t="s">
        <v>200</v>
      </c>
      <c r="Q80" s="398">
        <v>29872298014.379997</v>
      </c>
      <c r="R80" s="398">
        <v>1.6496846191169336</v>
      </c>
      <c r="S80" s="398">
        <v>9.07</v>
      </c>
      <c r="T80" s="398">
        <v>241.56799999999998</v>
      </c>
      <c r="U80" s="398">
        <v>123.66</v>
      </c>
      <c r="W80" s="401" t="s">
        <v>683</v>
      </c>
      <c r="X80" s="402" t="s">
        <v>200</v>
      </c>
      <c r="Y80" s="386">
        <f t="shared" si="22"/>
        <v>29872.298014379998</v>
      </c>
      <c r="Z80" s="387">
        <f t="shared" si="23"/>
        <v>1.6496846191169336E-2</v>
      </c>
      <c r="AA80" s="387">
        <f t="shared" si="24"/>
        <v>9.0700000000000003E-2</v>
      </c>
      <c r="AB80" s="403">
        <f t="shared" si="25"/>
        <v>0.10794497816593887</v>
      </c>
      <c r="AC80" s="388">
        <f t="shared" si="26"/>
        <v>5.8985556637727876E-4</v>
      </c>
      <c r="AD80" s="389">
        <f t="shared" si="27"/>
        <v>6.3671946233652868E-5</v>
      </c>
    </row>
    <row r="81" spans="1:30" x14ac:dyDescent="0.55000000000000004">
      <c r="A81" t="str">
        <f t="shared" si="14"/>
        <v>Carrier Global Corp</v>
      </c>
      <c r="B81" t="str">
        <f t="shared" si="14"/>
        <v>CARR</v>
      </c>
      <c r="C81" s="382">
        <f t="shared" si="15"/>
        <v>1.1333741205261547E-2</v>
      </c>
      <c r="D81" s="383">
        <f t="shared" si="16"/>
        <v>58660.724862179995</v>
      </c>
      <c r="E81" s="384">
        <f t="shared" si="17"/>
        <v>0.11849999999999999</v>
      </c>
      <c r="F81" s="385">
        <v>0.125</v>
      </c>
      <c r="G81" s="382">
        <v>9.7854399999999994E-2</v>
      </c>
      <c r="H81" s="399">
        <f t="shared" si="18"/>
        <v>0.11378480000000001</v>
      </c>
      <c r="I81" s="399">
        <f t="shared" si="19"/>
        <v>0.12576334494340777</v>
      </c>
      <c r="J81" s="382">
        <f t="shared" si="20"/>
        <v>1.0971365887083146E-3</v>
      </c>
      <c r="K81" s="382">
        <f t="shared" si="21"/>
        <v>1.3797956725575746E-4</v>
      </c>
      <c r="M81" s="400"/>
      <c r="N81" s="398" t="s">
        <v>3994</v>
      </c>
      <c r="O81" s="398" t="s">
        <v>684</v>
      </c>
      <c r="P81" s="398" t="s">
        <v>201</v>
      </c>
      <c r="Q81" s="398">
        <v>58660724862.179993</v>
      </c>
      <c r="R81" s="398">
        <v>1.1333741205261547</v>
      </c>
      <c r="S81" s="398">
        <v>11.85</v>
      </c>
      <c r="T81" s="398">
        <v>897.22739999999999</v>
      </c>
      <c r="U81" s="398">
        <v>65.38</v>
      </c>
      <c r="W81" s="401" t="s">
        <v>684</v>
      </c>
      <c r="X81" s="402" t="s">
        <v>201</v>
      </c>
      <c r="Y81" s="386">
        <f t="shared" si="22"/>
        <v>58660.724862179995</v>
      </c>
      <c r="Z81" s="387">
        <f t="shared" si="23"/>
        <v>1.1333741205261547E-2</v>
      </c>
      <c r="AA81" s="387">
        <f t="shared" si="24"/>
        <v>0.11849999999999999</v>
      </c>
      <c r="AB81" s="403">
        <f t="shared" si="25"/>
        <v>0.13050526537167328</v>
      </c>
      <c r="AC81" s="388">
        <f t="shared" si="26"/>
        <v>1.1583091153893289E-3</v>
      </c>
      <c r="AD81" s="389">
        <f t="shared" si="27"/>
        <v>1.5116543848631251E-4</v>
      </c>
    </row>
    <row r="82" spans="1:30" x14ac:dyDescent="0.55000000000000004">
      <c r="A82" t="str">
        <f t="shared" si="14"/>
        <v>Caterpillar Inc</v>
      </c>
      <c r="B82" t="str">
        <f t="shared" si="14"/>
        <v>CAT</v>
      </c>
      <c r="C82" s="382">
        <f t="shared" si="15"/>
        <v>1.5547598535429679E-2</v>
      </c>
      <c r="D82" s="383">
        <f t="shared" si="16"/>
        <v>179332.15614271999</v>
      </c>
      <c r="E82" s="384">
        <f t="shared" si="17"/>
        <v>7.2300000000000003E-2</v>
      </c>
      <c r="F82" s="385">
        <v>0.12</v>
      </c>
      <c r="G82" s="382">
        <v>7.2092000000000003E-2</v>
      </c>
      <c r="H82" s="399">
        <f t="shared" si="18"/>
        <v>8.8130666666666677E-2</v>
      </c>
      <c r="I82" s="399">
        <f t="shared" si="19"/>
        <v>0.10436337531409291</v>
      </c>
      <c r="J82" s="382">
        <f t="shared" si="20"/>
        <v>3.3540647596562753E-3</v>
      </c>
      <c r="K82" s="382">
        <f t="shared" si="21"/>
        <v>3.500415193397807E-4</v>
      </c>
      <c r="M82" s="400"/>
      <c r="N82" s="398" t="s">
        <v>3995</v>
      </c>
      <c r="O82" s="398" t="s">
        <v>685</v>
      </c>
      <c r="P82" s="398" t="s">
        <v>202</v>
      </c>
      <c r="Q82" s="398">
        <v>179332156142.72</v>
      </c>
      <c r="R82" s="398">
        <v>1.5547598535429679</v>
      </c>
      <c r="S82" s="398">
        <v>7.23</v>
      </c>
      <c r="T82" s="398">
        <v>482.80249999999995</v>
      </c>
      <c r="U82" s="398">
        <v>371.44</v>
      </c>
      <c r="W82" s="401" t="s">
        <v>685</v>
      </c>
      <c r="X82" s="402" t="s">
        <v>202</v>
      </c>
      <c r="Y82" s="386">
        <f t="shared" si="22"/>
        <v>179332.15614271999</v>
      </c>
      <c r="Z82" s="387">
        <f t="shared" si="23"/>
        <v>1.5547598535429679E-2</v>
      </c>
      <c r="AA82" s="387">
        <f t="shared" si="24"/>
        <v>7.2300000000000003E-2</v>
      </c>
      <c r="AB82" s="403">
        <f t="shared" si="25"/>
        <v>8.8409644222485456E-2</v>
      </c>
      <c r="AC82" s="388">
        <f t="shared" si="26"/>
        <v>3.541075764586375E-3</v>
      </c>
      <c r="AD82" s="389">
        <f t="shared" si="27"/>
        <v>3.1306524851194709E-4</v>
      </c>
    </row>
    <row r="83" spans="1:30" x14ac:dyDescent="0.55000000000000004">
      <c r="A83" t="str">
        <f t="shared" si="14"/>
        <v>Chubb Ltd</v>
      </c>
      <c r="B83" t="str">
        <f t="shared" si="14"/>
        <v>CB</v>
      </c>
      <c r="C83" s="382">
        <f t="shared" si="15"/>
        <v>1.3781815506841252E-2</v>
      </c>
      <c r="D83" s="383">
        <f t="shared" si="16"/>
        <v>109594.28342435999</v>
      </c>
      <c r="E83" s="384">
        <f t="shared" si="17"/>
        <v>2.8500000000000001E-2</v>
      </c>
      <c r="F83" s="385">
        <v>0.13</v>
      </c>
      <c r="G83" s="382">
        <v>2.8484799999999998E-2</v>
      </c>
      <c r="H83" s="399">
        <f t="shared" si="18"/>
        <v>6.2328266666666667E-2</v>
      </c>
      <c r="I83" s="399">
        <f t="shared" si="19"/>
        <v>7.6539580509538518E-2</v>
      </c>
      <c r="J83" s="382">
        <f t="shared" si="20"/>
        <v>2.0497513206771865E-3</v>
      </c>
      <c r="K83" s="382">
        <f t="shared" si="21"/>
        <v>1.5688710623350442E-4</v>
      </c>
      <c r="M83" s="400"/>
      <c r="N83" s="398" t="s">
        <v>3996</v>
      </c>
      <c r="O83" s="398" t="s">
        <v>686</v>
      </c>
      <c r="P83" s="398" t="s">
        <v>203</v>
      </c>
      <c r="Q83" s="398">
        <v>109594283424.36</v>
      </c>
      <c r="R83" s="398">
        <v>1.3781815506841253</v>
      </c>
      <c r="S83" s="398">
        <v>2.85</v>
      </c>
      <c r="T83" s="398">
        <v>403.09799999999996</v>
      </c>
      <c r="U83" s="398">
        <v>271.88</v>
      </c>
      <c r="W83" s="401" t="s">
        <v>686</v>
      </c>
      <c r="X83" s="402" t="s">
        <v>203</v>
      </c>
      <c r="Y83" s="386">
        <f t="shared" si="22"/>
        <v>109594.28342435999</v>
      </c>
      <c r="Z83" s="387">
        <f t="shared" si="23"/>
        <v>1.3781815506841252E-2</v>
      </c>
      <c r="AA83" s="387">
        <f t="shared" si="24"/>
        <v>2.8500000000000001E-2</v>
      </c>
      <c r="AB83" s="403">
        <f t="shared" si="25"/>
        <v>4.2478206377813743E-2</v>
      </c>
      <c r="AC83" s="388">
        <f t="shared" si="26"/>
        <v>2.1640383371198633E-3</v>
      </c>
      <c r="AD83" s="389">
        <f t="shared" si="27"/>
        <v>9.1924467093678429E-5</v>
      </c>
    </row>
    <row r="84" spans="1:30" x14ac:dyDescent="0.55000000000000004">
      <c r="A84" t="str">
        <f t="shared" si="14"/>
        <v>Cboe Global Markets Inc</v>
      </c>
      <c r="B84" t="str">
        <f t="shared" si="14"/>
        <v>CBOE</v>
      </c>
      <c r="C84" s="382">
        <f t="shared" si="15"/>
        <v>1.1545049674546077E-2</v>
      </c>
      <c r="D84" s="383">
        <f t="shared" si="16"/>
        <v>21390.452170290002</v>
      </c>
      <c r="E84" s="384">
        <f t="shared" si="17"/>
        <v>0.10769999999999999</v>
      </c>
      <c r="F84" s="385">
        <v>0.15</v>
      </c>
      <c r="G84" s="382">
        <v>9.2101600000000006E-2</v>
      </c>
      <c r="H84" s="399">
        <f t="shared" si="18"/>
        <v>0.11660053333333333</v>
      </c>
      <c r="I84" s="399">
        <f t="shared" si="19"/>
        <v>0.12881866248258536</v>
      </c>
      <c r="J84" s="382">
        <f t="shared" si="20"/>
        <v>4.0006746899527132E-4</v>
      </c>
      <c r="K84" s="382">
        <f t="shared" si="21"/>
        <v>5.1536156258764042E-5</v>
      </c>
      <c r="M84" s="400"/>
      <c r="N84" s="398" t="s">
        <v>3997</v>
      </c>
      <c r="O84" s="398" t="s">
        <v>687</v>
      </c>
      <c r="P84" s="398" t="s">
        <v>204</v>
      </c>
      <c r="Q84" s="398">
        <v>21390452170.290001</v>
      </c>
      <c r="R84" s="398">
        <v>1.1545049674546077</v>
      </c>
      <c r="S84" s="398">
        <v>10.77</v>
      </c>
      <c r="T84" s="398">
        <v>104.6858</v>
      </c>
      <c r="U84" s="398">
        <v>204.33</v>
      </c>
      <c r="W84" s="401" t="s">
        <v>687</v>
      </c>
      <c r="X84" s="402" t="s">
        <v>204</v>
      </c>
      <c r="Y84" s="386">
        <f t="shared" si="22"/>
        <v>21390.452170290002</v>
      </c>
      <c r="Z84" s="387">
        <f t="shared" si="23"/>
        <v>1.1545049674546077E-2</v>
      </c>
      <c r="AA84" s="387">
        <f t="shared" si="24"/>
        <v>0.10769999999999999</v>
      </c>
      <c r="AB84" s="403">
        <f t="shared" si="25"/>
        <v>0.11986675059952037</v>
      </c>
      <c r="AC84" s="388">
        <f t="shared" si="26"/>
        <v>4.2237384194208178E-4</v>
      </c>
      <c r="AD84" s="389">
        <f t="shared" si="27"/>
        <v>5.0628579971832757E-5</v>
      </c>
    </row>
    <row r="85" spans="1:30" x14ac:dyDescent="0.55000000000000004">
      <c r="A85" t="str">
        <f t="shared" si="14"/>
        <v>CBRE Group Inc</v>
      </c>
      <c r="B85" t="str">
        <f t="shared" si="14"/>
        <v>CBRE</v>
      </c>
      <c r="C85" s="382">
        <f t="shared" si="15"/>
        <v>0</v>
      </c>
      <c r="D85" s="383">
        <f t="shared" si="16"/>
        <v>44293.043004160005</v>
      </c>
      <c r="E85" s="384" t="str">
        <f t="shared" si="17"/>
        <v>N/A</v>
      </c>
      <c r="F85" s="385">
        <v>6.5000000000000002E-2</v>
      </c>
      <c r="G85" s="382" t="s">
        <v>14</v>
      </c>
      <c r="H85" s="399">
        <f t="shared" si="18"/>
        <v>6.5000000000000002E-2</v>
      </c>
      <c r="I85" s="399">
        <f t="shared" si="19"/>
        <v>6.5000000000000002E-2</v>
      </c>
      <c r="J85" s="382">
        <f t="shared" si="20"/>
        <v>8.2841659763439955E-4</v>
      </c>
      <c r="K85" s="382">
        <f t="shared" si="21"/>
        <v>5.3847078846235972E-5</v>
      </c>
      <c r="M85" s="400"/>
      <c r="N85" s="398" t="s">
        <v>3998</v>
      </c>
      <c r="O85" s="398" t="s">
        <v>688</v>
      </c>
      <c r="P85" s="398" t="s">
        <v>205</v>
      </c>
      <c r="Q85" s="398">
        <v>44293043004.160004</v>
      </c>
      <c r="R85" s="398">
        <v>0</v>
      </c>
      <c r="S85" s="398" t="s">
        <v>3929</v>
      </c>
      <c r="T85" s="398">
        <v>306.01799999999997</v>
      </c>
      <c r="U85" s="398">
        <v>144.74</v>
      </c>
      <c r="W85" s="401" t="s">
        <v>688</v>
      </c>
      <c r="X85" s="402" t="s">
        <v>205</v>
      </c>
      <c r="Y85" s="386">
        <f t="shared" si="22"/>
        <v>44293.043004160005</v>
      </c>
      <c r="Z85" s="387">
        <f t="shared" si="23"/>
        <v>0</v>
      </c>
      <c r="AA85" s="387" t="str">
        <f t="shared" si="24"/>
        <v>N/A</v>
      </c>
      <c r="AB85" s="403" t="str">
        <f t="shared" si="25"/>
        <v>N/A</v>
      </c>
      <c r="AC85" s="388">
        <f t="shared" si="26"/>
        <v>8.7460623066946941E-4</v>
      </c>
      <c r="AD85" s="389" t="str">
        <f t="shared" si="27"/>
        <v>N/A</v>
      </c>
    </row>
    <row r="86" spans="1:30" x14ac:dyDescent="0.55000000000000004">
      <c r="A86" t="str">
        <f t="shared" si="14"/>
        <v>Crown Castle Inc</v>
      </c>
      <c r="B86" t="str">
        <f t="shared" si="14"/>
        <v>CCI</v>
      </c>
      <c r="C86" s="382">
        <f t="shared" si="15"/>
        <v>7.0161290322580644E-2</v>
      </c>
      <c r="D86" s="383">
        <f t="shared" si="16"/>
        <v>38800.928010240001</v>
      </c>
      <c r="E86" s="384">
        <f t="shared" si="17"/>
        <v>2.1150000000000002E-2</v>
      </c>
      <c r="F86" s="385">
        <v>-5.0000000000000001E-3</v>
      </c>
      <c r="G86" s="382">
        <v>-1.5923999999999999E-3</v>
      </c>
      <c r="H86" s="399">
        <f t="shared" si="18"/>
        <v>4.8525333333333332E-3</v>
      </c>
      <c r="I86" s="399">
        <f t="shared" si="19"/>
        <v>7.5184053655913977E-2</v>
      </c>
      <c r="J86" s="382">
        <f t="shared" si="20"/>
        <v>7.2569709794563888E-4</v>
      </c>
      <c r="K86" s="382">
        <f t="shared" si="21"/>
        <v>5.4560849549885971E-5</v>
      </c>
      <c r="M86" s="400"/>
      <c r="N86" s="398" t="s">
        <v>3999</v>
      </c>
      <c r="O86" s="398" t="s">
        <v>689</v>
      </c>
      <c r="P86" s="398" t="s">
        <v>206</v>
      </c>
      <c r="Q86" s="398">
        <v>38800928010.239998</v>
      </c>
      <c r="R86" s="398">
        <v>7.0161290322580641</v>
      </c>
      <c r="S86" s="398">
        <v>2.1150000000000002</v>
      </c>
      <c r="T86" s="398">
        <v>434.59819999999996</v>
      </c>
      <c r="U86" s="398">
        <v>89.28</v>
      </c>
      <c r="W86" s="401" t="s">
        <v>689</v>
      </c>
      <c r="X86" s="402" t="s">
        <v>206</v>
      </c>
      <c r="Y86" s="386">
        <f t="shared" si="22"/>
        <v>38800.928010240001</v>
      </c>
      <c r="Z86" s="387">
        <f t="shared" si="23"/>
        <v>7.0161290322580644E-2</v>
      </c>
      <c r="AA86" s="387">
        <f t="shared" si="24"/>
        <v>2.1150000000000002E-2</v>
      </c>
      <c r="AB86" s="403">
        <f t="shared" si="25"/>
        <v>9.2053245967741934E-2</v>
      </c>
      <c r="AC86" s="388">
        <f t="shared" si="26"/>
        <v>7.6615944834330344E-4</v>
      </c>
      <c r="AD86" s="389">
        <f t="shared" si="27"/>
        <v>7.0527464148855578E-5</v>
      </c>
    </row>
    <row r="87" spans="1:30" x14ac:dyDescent="0.55000000000000004">
      <c r="A87" t="str">
        <f t="shared" si="14"/>
        <v>Carnival Corp</v>
      </c>
      <c r="B87" t="str">
        <f t="shared" si="14"/>
        <v>CCL</v>
      </c>
      <c r="C87" s="382">
        <f t="shared" si="15"/>
        <v>0</v>
      </c>
      <c r="D87" s="383">
        <f t="shared" si="16"/>
        <v>35893.003880483746</v>
      </c>
      <c r="E87" s="384">
        <f t="shared" si="17"/>
        <v>0.1812</v>
      </c>
      <c r="F87" s="385" t="s">
        <v>184</v>
      </c>
      <c r="G87" s="382">
        <v>11.0884</v>
      </c>
      <c r="H87" s="399">
        <f t="shared" si="18"/>
        <v>5.6348000000000003</v>
      </c>
      <c r="I87" s="399">
        <f t="shared" si="19"/>
        <v>5.6348000000000003</v>
      </c>
      <c r="J87" s="382">
        <f t="shared" si="20"/>
        <v>6.7130994252880742E-4</v>
      </c>
      <c r="K87" s="382">
        <f t="shared" si="21"/>
        <v>3.7826972641613241E-3</v>
      </c>
      <c r="M87" s="400"/>
      <c r="N87" s="398" t="s">
        <v>4000</v>
      </c>
      <c r="O87" s="398" t="s">
        <v>690</v>
      </c>
      <c r="P87" s="398" t="s">
        <v>207</v>
      </c>
      <c r="Q87" s="398">
        <v>35893003880.483749</v>
      </c>
      <c r="R87" s="398">
        <v>0</v>
      </c>
      <c r="S87" s="398">
        <v>18.12</v>
      </c>
      <c r="T87" s="398">
        <v>1164.203</v>
      </c>
      <c r="U87" s="398">
        <v>27.67</v>
      </c>
      <c r="W87" s="401" t="s">
        <v>690</v>
      </c>
      <c r="X87" s="402" t="s">
        <v>207</v>
      </c>
      <c r="Y87" s="386">
        <f t="shared" si="22"/>
        <v>35893.003880483746</v>
      </c>
      <c r="Z87" s="387">
        <f t="shared" si="23"/>
        <v>0</v>
      </c>
      <c r="AA87" s="387">
        <f t="shared" si="24"/>
        <v>0.1812</v>
      </c>
      <c r="AB87" s="403">
        <f t="shared" si="25"/>
        <v>0.1812</v>
      </c>
      <c r="AC87" s="388">
        <f t="shared" si="26"/>
        <v>7.0873985398488357E-4</v>
      </c>
      <c r="AD87" s="389">
        <f t="shared" si="27"/>
        <v>1.2842366154206089E-4</v>
      </c>
    </row>
    <row r="88" spans="1:30" x14ac:dyDescent="0.55000000000000004">
      <c r="A88" t="str">
        <f t="shared" si="14"/>
        <v>Cadence Design Systems Inc</v>
      </c>
      <c r="B88" t="str">
        <f t="shared" si="14"/>
        <v>CDNS</v>
      </c>
      <c r="C88" s="382">
        <f t="shared" si="15"/>
        <v>0</v>
      </c>
      <c r="D88" s="383">
        <f t="shared" si="16"/>
        <v>81626.154060000015</v>
      </c>
      <c r="E88" s="384">
        <f t="shared" si="17"/>
        <v>0.15759999999999999</v>
      </c>
      <c r="F88" s="385">
        <v>0.13500000000000001</v>
      </c>
      <c r="G88" s="382">
        <v>0.14184739999999998</v>
      </c>
      <c r="H88" s="399">
        <f t="shared" si="18"/>
        <v>0.14481579999999997</v>
      </c>
      <c r="I88" s="399">
        <f t="shared" si="19"/>
        <v>0.14481579999999997</v>
      </c>
      <c r="J88" s="382">
        <f t="shared" si="20"/>
        <v>1.5266609886797715E-3</v>
      </c>
      <c r="K88" s="382">
        <f t="shared" si="21"/>
        <v>2.2108463240445199E-4</v>
      </c>
      <c r="M88" s="400"/>
      <c r="N88" s="398" t="s">
        <v>4001</v>
      </c>
      <c r="O88" s="398" t="s">
        <v>691</v>
      </c>
      <c r="P88" s="398" t="s">
        <v>208</v>
      </c>
      <c r="Q88" s="398">
        <v>81626154060.000015</v>
      </c>
      <c r="R88" s="398">
        <v>0</v>
      </c>
      <c r="S88" s="398">
        <v>15.76</v>
      </c>
      <c r="T88" s="398">
        <v>274.26299999999998</v>
      </c>
      <c r="U88" s="398">
        <v>297.62</v>
      </c>
      <c r="W88" s="401" t="s">
        <v>691</v>
      </c>
      <c r="X88" s="402" t="s">
        <v>208</v>
      </c>
      <c r="Y88" s="386">
        <f t="shared" si="22"/>
        <v>81626.154060000015</v>
      </c>
      <c r="Z88" s="387">
        <f t="shared" si="23"/>
        <v>0</v>
      </c>
      <c r="AA88" s="387">
        <f t="shared" si="24"/>
        <v>0.15759999999999999</v>
      </c>
      <c r="AB88" s="403">
        <f t="shared" si="25"/>
        <v>0.15759999999999999</v>
      </c>
      <c r="AC88" s="388">
        <f t="shared" si="26"/>
        <v>1.6117823044977289E-3</v>
      </c>
      <c r="AD88" s="389">
        <f t="shared" si="27"/>
        <v>2.5401689118884204E-4</v>
      </c>
    </row>
    <row r="89" spans="1:30" x14ac:dyDescent="0.55000000000000004">
      <c r="A89" t="str">
        <f t="shared" si="14"/>
        <v>CDW Corp/DE</v>
      </c>
      <c r="B89" t="str">
        <f t="shared" si="14"/>
        <v>CDW</v>
      </c>
      <c r="C89" s="382">
        <f t="shared" si="15"/>
        <v>1.2548960530280207E-2</v>
      </c>
      <c r="D89" s="383">
        <f t="shared" si="16"/>
        <v>26538.205306679996</v>
      </c>
      <c r="E89" s="384">
        <f t="shared" si="17"/>
        <v>3.9599999999999996E-2</v>
      </c>
      <c r="F89" s="385">
        <v>7.0000000000000007E-2</v>
      </c>
      <c r="G89" s="382">
        <v>3.9573799999999999E-2</v>
      </c>
      <c r="H89" s="399">
        <f t="shared" si="18"/>
        <v>4.9724600000000001E-2</v>
      </c>
      <c r="I89" s="399">
        <f t="shared" si="19"/>
        <v>6.2585556551672195E-2</v>
      </c>
      <c r="J89" s="382">
        <f t="shared" si="20"/>
        <v>4.9634633920767664E-4</v>
      </c>
      <c r="K89" s="382">
        <f t="shared" si="21"/>
        <v>3.1064111881697516E-5</v>
      </c>
      <c r="M89" s="400"/>
      <c r="N89" s="398" t="s">
        <v>4002</v>
      </c>
      <c r="O89" s="398" t="s">
        <v>692</v>
      </c>
      <c r="P89" s="398" t="s">
        <v>209</v>
      </c>
      <c r="Q89" s="398">
        <v>26538205306.679996</v>
      </c>
      <c r="R89" s="398">
        <v>1.2548960530280207</v>
      </c>
      <c r="S89" s="398">
        <v>3.96</v>
      </c>
      <c r="T89" s="398">
        <v>133.26409999999998</v>
      </c>
      <c r="U89" s="398">
        <v>199.14</v>
      </c>
      <c r="W89" s="401" t="s">
        <v>692</v>
      </c>
      <c r="X89" s="402" t="s">
        <v>209</v>
      </c>
      <c r="Y89" s="386">
        <f t="shared" si="22"/>
        <v>26538.205306679996</v>
      </c>
      <c r="Z89" s="387">
        <f t="shared" si="23"/>
        <v>1.2548960530280207E-2</v>
      </c>
      <c r="AA89" s="387">
        <f t="shared" si="24"/>
        <v>3.9599999999999996E-2</v>
      </c>
      <c r="AB89" s="403">
        <f t="shared" si="25"/>
        <v>5.2397429948779752E-2</v>
      </c>
      <c r="AC89" s="388">
        <f t="shared" si="26"/>
        <v>5.2402088765560705E-4</v>
      </c>
      <c r="AD89" s="389">
        <f t="shared" si="27"/>
        <v>2.7457347752632054E-5</v>
      </c>
    </row>
    <row r="90" spans="1:30" x14ac:dyDescent="0.55000000000000004">
      <c r="A90" t="str">
        <f t="shared" si="14"/>
        <v>Celanese Corp</v>
      </c>
      <c r="B90" t="str">
        <f t="shared" si="14"/>
        <v>CE</v>
      </c>
      <c r="C90" s="382">
        <f t="shared" si="15"/>
        <v>3.9344031531531529E-2</v>
      </c>
      <c r="D90" s="383">
        <f t="shared" si="16"/>
        <v>7765.5401798399998</v>
      </c>
      <c r="E90" s="384">
        <f t="shared" si="17"/>
        <v>7.5600000000000001E-2</v>
      </c>
      <c r="F90" s="385">
        <v>0.02</v>
      </c>
      <c r="G90" s="382">
        <v>5.7047399999999998E-2</v>
      </c>
      <c r="H90" s="399">
        <f t="shared" si="18"/>
        <v>5.0882466666666661E-2</v>
      </c>
      <c r="I90" s="399">
        <f t="shared" si="19"/>
        <v>9.1227458884665907E-2</v>
      </c>
      <c r="J90" s="382">
        <f t="shared" si="20"/>
        <v>1.4523956671868489E-4</v>
      </c>
      <c r="K90" s="382">
        <f t="shared" si="21"/>
        <v>1.3249836601255516E-5</v>
      </c>
      <c r="M90" s="400"/>
      <c r="N90" s="398" t="s">
        <v>4003</v>
      </c>
      <c r="O90" s="398" t="s">
        <v>693</v>
      </c>
      <c r="P90" s="398" t="s">
        <v>210</v>
      </c>
      <c r="Q90" s="398">
        <v>7765540179.8400002</v>
      </c>
      <c r="R90" s="398">
        <v>3.9344031531531529</v>
      </c>
      <c r="S90" s="398">
        <v>7.5600000000000005</v>
      </c>
      <c r="T90" s="398">
        <v>109.31219999999999</v>
      </c>
      <c r="U90" s="398">
        <v>71.040000000000006</v>
      </c>
      <c r="W90" s="401" t="s">
        <v>693</v>
      </c>
      <c r="X90" s="402" t="s">
        <v>210</v>
      </c>
      <c r="Y90" s="386">
        <f t="shared" si="22"/>
        <v>7765.5401798399998</v>
      </c>
      <c r="Z90" s="387">
        <f t="shared" si="23"/>
        <v>3.9344031531531529E-2</v>
      </c>
      <c r="AA90" s="387">
        <f t="shared" si="24"/>
        <v>7.5600000000000001E-2</v>
      </c>
      <c r="AB90" s="403">
        <f t="shared" si="25"/>
        <v>0.11643123592342342</v>
      </c>
      <c r="AC90" s="388">
        <f t="shared" si="26"/>
        <v>1.5333762065442851E-4</v>
      </c>
      <c r="AD90" s="389">
        <f t="shared" si="27"/>
        <v>1.7853288686352171E-5</v>
      </c>
    </row>
    <row r="91" spans="1:30" x14ac:dyDescent="0.55000000000000004">
      <c r="A91" t="str">
        <f t="shared" si="14"/>
        <v>Constellation Energy Corp</v>
      </c>
      <c r="B91" t="str">
        <f t="shared" si="14"/>
        <v>CEG</v>
      </c>
      <c r="C91" s="382">
        <f t="shared" si="15"/>
        <v>4.5636375758383889E-3</v>
      </c>
      <c r="D91" s="383">
        <f t="shared" si="16"/>
        <v>94529.979281219988</v>
      </c>
      <c r="E91" s="384">
        <f t="shared" si="17"/>
        <v>0.15780000000000002</v>
      </c>
      <c r="F91" s="385" t="s">
        <v>184</v>
      </c>
      <c r="G91" s="382">
        <v>0.128</v>
      </c>
      <c r="H91" s="399">
        <f t="shared" si="18"/>
        <v>0.14290000000000003</v>
      </c>
      <c r="I91" s="399">
        <f t="shared" si="19"/>
        <v>0.14778970948063208</v>
      </c>
      <c r="J91" s="382">
        <f t="shared" si="20"/>
        <v>1.7680023430145374E-3</v>
      </c>
      <c r="K91" s="382">
        <f t="shared" si="21"/>
        <v>2.612925526351953E-4</v>
      </c>
      <c r="M91" s="400"/>
      <c r="N91" s="398" t="s">
        <v>4004</v>
      </c>
      <c r="O91" s="398" t="s">
        <v>694</v>
      </c>
      <c r="P91" s="398" t="s">
        <v>30</v>
      </c>
      <c r="Q91" s="398">
        <v>94529979281.219986</v>
      </c>
      <c r="R91" s="398">
        <v>0.4563637575838389</v>
      </c>
      <c r="S91" s="398">
        <v>15.780000000000001</v>
      </c>
      <c r="T91" s="398">
        <v>315.12090000000001</v>
      </c>
      <c r="U91" s="398">
        <v>299.98</v>
      </c>
      <c r="W91" s="401" t="s">
        <v>694</v>
      </c>
      <c r="X91" s="402" t="s">
        <v>30</v>
      </c>
      <c r="Y91" s="386">
        <f t="shared" si="22"/>
        <v>94529.979281219988</v>
      </c>
      <c r="Z91" s="387">
        <f t="shared" si="23"/>
        <v>4.5636375758383889E-3</v>
      </c>
      <c r="AA91" s="387">
        <f t="shared" si="24"/>
        <v>0.15780000000000002</v>
      </c>
      <c r="AB91" s="403">
        <f t="shared" si="25"/>
        <v>0.16272370858057206</v>
      </c>
      <c r="AC91" s="388">
        <f t="shared" si="26"/>
        <v>1.8665800147586579E-3</v>
      </c>
      <c r="AD91" s="389">
        <f t="shared" si="27"/>
        <v>3.0373682236390775E-4</v>
      </c>
    </row>
    <row r="92" spans="1:30" x14ac:dyDescent="0.55000000000000004">
      <c r="A92" t="str">
        <f t="shared" si="14"/>
        <v>CF Industries Holdings Inc</v>
      </c>
      <c r="B92" t="str">
        <f t="shared" si="14"/>
        <v>CF</v>
      </c>
      <c r="C92" s="382">
        <f t="shared" si="15"/>
        <v>2.1429346057911292E-2</v>
      </c>
      <c r="D92" s="383">
        <f t="shared" si="16"/>
        <v>16046.377653089998</v>
      </c>
      <c r="E92" s="384">
        <f t="shared" si="17"/>
        <v>-7.85E-2</v>
      </c>
      <c r="F92" s="385">
        <v>-5.0000000000000001E-3</v>
      </c>
      <c r="G92" s="382">
        <v>3.76716E-2</v>
      </c>
      <c r="H92" s="399">
        <f t="shared" si="18"/>
        <v>-1.5276133333333336E-2</v>
      </c>
      <c r="I92" s="399">
        <f t="shared" si="19"/>
        <v>5.9895339507645608E-3</v>
      </c>
      <c r="J92" s="382">
        <f t="shared" si="20"/>
        <v>3.0011678309121797E-4</v>
      </c>
      <c r="K92" s="382">
        <f t="shared" si="21"/>
        <v>1.7975596615190936E-6</v>
      </c>
      <c r="M92" s="400"/>
      <c r="N92" s="398" t="s">
        <v>4005</v>
      </c>
      <c r="O92" s="398" t="s">
        <v>695</v>
      </c>
      <c r="P92" s="398" t="s">
        <v>211</v>
      </c>
      <c r="Q92" s="398">
        <v>16046377653.089998</v>
      </c>
      <c r="R92" s="398">
        <v>2.1429346057911292</v>
      </c>
      <c r="S92" s="398">
        <v>-7.8500000000000005</v>
      </c>
      <c r="T92" s="398">
        <v>174.01989999999998</v>
      </c>
      <c r="U92" s="398">
        <v>92.21</v>
      </c>
      <c r="W92" s="401" t="s">
        <v>695</v>
      </c>
      <c r="X92" s="402" t="s">
        <v>211</v>
      </c>
      <c r="Y92" s="386">
        <f t="shared" si="22"/>
        <v>16046.377653089998</v>
      </c>
      <c r="Z92" s="387">
        <f t="shared" si="23"/>
        <v>2.1429346057911292E-2</v>
      </c>
      <c r="AA92" s="387">
        <f t="shared" si="24"/>
        <v>-7.85E-2</v>
      </c>
      <c r="AB92" s="403">
        <f t="shared" si="25"/>
        <v>-5.7911755774861726E-2</v>
      </c>
      <c r="AC92" s="388">
        <f t="shared" si="26"/>
        <v>3.1685025284331337E-4</v>
      </c>
      <c r="AD92" s="389">
        <f t="shared" si="27"/>
        <v>-1.8349354459865153E-5</v>
      </c>
    </row>
    <row r="93" spans="1:30" x14ac:dyDescent="0.55000000000000004">
      <c r="A93" t="str">
        <f t="shared" si="14"/>
        <v>Citizens Financial Group Inc</v>
      </c>
      <c r="B93" t="str">
        <f t="shared" si="14"/>
        <v>CFG</v>
      </c>
      <c r="C93" s="382">
        <f t="shared" si="15"/>
        <v>3.6346436829934832E-2</v>
      </c>
      <c r="D93" s="383">
        <f t="shared" si="16"/>
        <v>20964.124354809999</v>
      </c>
      <c r="E93" s="384">
        <f t="shared" si="17"/>
        <v>0.21230000000000002</v>
      </c>
      <c r="F93" s="385">
        <v>0.05</v>
      </c>
      <c r="G93" s="382">
        <v>0.14576219999999998</v>
      </c>
      <c r="H93" s="399">
        <f t="shared" si="18"/>
        <v>0.13602073333333334</v>
      </c>
      <c r="I93" s="399">
        <f t="shared" si="19"/>
        <v>0.17483910465909888</v>
      </c>
      <c r="J93" s="382">
        <f t="shared" si="20"/>
        <v>3.9209382314881911E-4</v>
      </c>
      <c r="K93" s="382">
        <f t="shared" si="21"/>
        <v>6.8553332981702587E-5</v>
      </c>
      <c r="M93" s="400"/>
      <c r="N93" s="398" t="s">
        <v>4006</v>
      </c>
      <c r="O93" s="398" t="s">
        <v>696</v>
      </c>
      <c r="P93" s="398" t="s">
        <v>212</v>
      </c>
      <c r="Q93" s="398">
        <v>20964124354.809998</v>
      </c>
      <c r="R93" s="398">
        <v>3.6346436829934832</v>
      </c>
      <c r="S93" s="398">
        <v>21.23</v>
      </c>
      <c r="T93" s="398">
        <v>440.70049999999998</v>
      </c>
      <c r="U93" s="398">
        <v>47.57</v>
      </c>
      <c r="W93" s="401" t="s">
        <v>696</v>
      </c>
      <c r="X93" s="402" t="s">
        <v>212</v>
      </c>
      <c r="Y93" s="386">
        <f t="shared" si="22"/>
        <v>20964.124354809999</v>
      </c>
      <c r="Z93" s="387">
        <f t="shared" si="23"/>
        <v>3.6346436829934832E-2</v>
      </c>
      <c r="AA93" s="387">
        <f t="shared" si="24"/>
        <v>0.21230000000000002</v>
      </c>
      <c r="AB93" s="403">
        <f t="shared" si="25"/>
        <v>0.25250461109943245</v>
      </c>
      <c r="AC93" s="388">
        <f t="shared" si="26"/>
        <v>4.139556132895258E-4</v>
      </c>
      <c r="AD93" s="389">
        <f t="shared" si="27"/>
        <v>1.0452570114609876E-4</v>
      </c>
    </row>
    <row r="94" spans="1:30" x14ac:dyDescent="0.55000000000000004">
      <c r="A94" t="str">
        <f t="shared" si="14"/>
        <v>Church &amp; Dwight Co Inc</v>
      </c>
      <c r="B94" t="str">
        <f t="shared" si="14"/>
        <v>CHD</v>
      </c>
      <c r="C94" s="382">
        <f t="shared" si="15"/>
        <v>1.1192191053828659E-2</v>
      </c>
      <c r="D94" s="383">
        <f t="shared" si="16"/>
        <v>25852.139893199997</v>
      </c>
      <c r="E94" s="384">
        <f t="shared" si="17"/>
        <v>7.3900000000000007E-2</v>
      </c>
      <c r="F94" s="385">
        <v>6.5000000000000002E-2</v>
      </c>
      <c r="G94" s="382">
        <v>7.529219999999999E-2</v>
      </c>
      <c r="H94" s="399">
        <f t="shared" si="18"/>
        <v>7.13974E-2</v>
      </c>
      <c r="I94" s="399">
        <f t="shared" si="19"/>
        <v>8.2989137724601966E-2</v>
      </c>
      <c r="J94" s="382">
        <f t="shared" si="20"/>
        <v>4.8351479869833842E-4</v>
      </c>
      <c r="K94" s="382">
        <f t="shared" si="21"/>
        <v>4.0126476221059604E-5</v>
      </c>
      <c r="M94" s="400"/>
      <c r="N94" s="398" t="s">
        <v>4007</v>
      </c>
      <c r="O94" s="398" t="s">
        <v>697</v>
      </c>
      <c r="P94" s="398" t="s">
        <v>213</v>
      </c>
      <c r="Q94" s="398">
        <v>25852139893.199997</v>
      </c>
      <c r="R94" s="398">
        <v>1.119219105382866</v>
      </c>
      <c r="S94" s="398">
        <v>7.3900000000000006</v>
      </c>
      <c r="T94" s="398">
        <v>244.9975</v>
      </c>
      <c r="U94" s="398">
        <v>105.52</v>
      </c>
      <c r="W94" s="401" t="s">
        <v>697</v>
      </c>
      <c r="X94" s="402" t="s">
        <v>213</v>
      </c>
      <c r="Y94" s="386">
        <f t="shared" si="22"/>
        <v>25852.139893199997</v>
      </c>
      <c r="Z94" s="387">
        <f t="shared" si="23"/>
        <v>1.1192191053828659E-2</v>
      </c>
      <c r="AA94" s="387">
        <f t="shared" si="24"/>
        <v>7.3900000000000007E-2</v>
      </c>
      <c r="AB94" s="403">
        <f t="shared" si="25"/>
        <v>8.5505742513267632E-2</v>
      </c>
      <c r="AC94" s="388">
        <f t="shared" si="26"/>
        <v>5.1047390500146711E-4</v>
      </c>
      <c r="AD94" s="389">
        <f t="shared" si="27"/>
        <v>4.3648450280797687E-5</v>
      </c>
    </row>
    <row r="95" spans="1:30" x14ac:dyDescent="0.55000000000000004">
      <c r="A95" t="str">
        <f t="shared" si="14"/>
        <v>CH Robinson Worldwide Inc</v>
      </c>
      <c r="B95" t="str">
        <f t="shared" si="14"/>
        <v>CHRW</v>
      </c>
      <c r="C95" s="382">
        <f t="shared" si="15"/>
        <v>2.5771434315006534E-2</v>
      </c>
      <c r="D95" s="383">
        <f t="shared" si="16"/>
        <v>11760.235248509998</v>
      </c>
      <c r="E95" s="384">
        <f t="shared" si="17"/>
        <v>0.14974999999999999</v>
      </c>
      <c r="F95" s="385">
        <v>5.5E-2</v>
      </c>
      <c r="G95" s="382">
        <v>0.11</v>
      </c>
      <c r="H95" s="399">
        <f t="shared" si="18"/>
        <v>0.10491666666666666</v>
      </c>
      <c r="I95" s="399">
        <f t="shared" si="19"/>
        <v>0.1320400274734479</v>
      </c>
      <c r="J95" s="382">
        <f t="shared" si="20"/>
        <v>2.1995269259408946E-4</v>
      </c>
      <c r="K95" s="382">
        <f t="shared" si="21"/>
        <v>2.9042559572982413E-5</v>
      </c>
      <c r="M95" s="400"/>
      <c r="N95" s="398" t="s">
        <v>4008</v>
      </c>
      <c r="O95" s="398" t="s">
        <v>698</v>
      </c>
      <c r="P95" s="398" t="s">
        <v>214</v>
      </c>
      <c r="Q95" s="398">
        <v>11760235248.509998</v>
      </c>
      <c r="R95" s="398">
        <v>2.5771434315006534</v>
      </c>
      <c r="S95" s="398">
        <v>14.975</v>
      </c>
      <c r="T95" s="398">
        <v>118.20519999999999</v>
      </c>
      <c r="U95" s="398">
        <v>99.49</v>
      </c>
      <c r="W95" s="401" t="s">
        <v>698</v>
      </c>
      <c r="X95" s="402" t="s">
        <v>214</v>
      </c>
      <c r="Y95" s="386">
        <f t="shared" si="22"/>
        <v>11760.235248509998</v>
      </c>
      <c r="Z95" s="387">
        <f t="shared" si="23"/>
        <v>2.5771434315006534E-2</v>
      </c>
      <c r="AA95" s="387">
        <f t="shared" si="24"/>
        <v>0.14974999999999999</v>
      </c>
      <c r="AB95" s="403">
        <f t="shared" si="25"/>
        <v>0.17745107045934264</v>
      </c>
      <c r="AC95" s="388">
        <f t="shared" si="26"/>
        <v>2.322164910078438E-4</v>
      </c>
      <c r="AD95" s="389">
        <f t="shared" si="27"/>
        <v>4.1207064907654196E-5</v>
      </c>
    </row>
    <row r="96" spans="1:30" x14ac:dyDescent="0.55000000000000004">
      <c r="A96" t="str">
        <f t="shared" si="14"/>
        <v>Charter Communications Inc</v>
      </c>
      <c r="B96" t="str">
        <f t="shared" si="14"/>
        <v>CHTR</v>
      </c>
      <c r="C96" s="382">
        <f t="shared" si="15"/>
        <v>9.6384844713305747E-4</v>
      </c>
      <c r="D96" s="383">
        <f t="shared" si="16"/>
        <v>54877.494094980008</v>
      </c>
      <c r="E96" s="384">
        <f t="shared" si="17"/>
        <v>0.10034999999999999</v>
      </c>
      <c r="F96" s="385">
        <v>6.5000000000000002E-2</v>
      </c>
      <c r="G96" s="382">
        <v>0.12989729999999999</v>
      </c>
      <c r="H96" s="399">
        <f t="shared" si="18"/>
        <v>9.8415766666666668E-2</v>
      </c>
      <c r="I96" s="399">
        <f t="shared" si="19"/>
        <v>9.9427044055737268E-2</v>
      </c>
      <c r="J96" s="382">
        <f t="shared" si="20"/>
        <v>1.0263784978737057E-3</v>
      </c>
      <c r="K96" s="382">
        <f t="shared" si="21"/>
        <v>1.0204978012595037E-4</v>
      </c>
      <c r="M96" s="400"/>
      <c r="N96" s="398" t="s">
        <v>4009</v>
      </c>
      <c r="O96" s="398" t="s">
        <v>699</v>
      </c>
      <c r="P96" s="398" t="s">
        <v>215</v>
      </c>
      <c r="Q96" s="398">
        <v>54877494094.980011</v>
      </c>
      <c r="R96" s="398">
        <v>9.6384844713305745E-2</v>
      </c>
      <c r="S96" s="398">
        <v>10.035</v>
      </c>
      <c r="T96" s="398">
        <v>141.94639999999998</v>
      </c>
      <c r="U96" s="398">
        <v>345.49</v>
      </c>
      <c r="W96" s="401" t="s">
        <v>699</v>
      </c>
      <c r="X96" s="402" t="s">
        <v>215</v>
      </c>
      <c r="Y96" s="386">
        <f t="shared" si="22"/>
        <v>54877.494094980008</v>
      </c>
      <c r="Z96" s="387">
        <f t="shared" si="23"/>
        <v>9.6384844713305747E-4</v>
      </c>
      <c r="AA96" s="387">
        <f t="shared" si="24"/>
        <v>0.10034999999999999</v>
      </c>
      <c r="AB96" s="403">
        <f t="shared" si="25"/>
        <v>0.10136220954296796</v>
      </c>
      <c r="AC96" s="388">
        <f t="shared" si="26"/>
        <v>1.0836057990978114E-3</v>
      </c>
      <c r="AD96" s="389">
        <f t="shared" si="27"/>
        <v>1.098366780701276E-4</v>
      </c>
    </row>
    <row r="97" spans="1:30" x14ac:dyDescent="0.55000000000000004">
      <c r="A97" t="str">
        <f t="shared" si="14"/>
        <v>Cigna Group/The</v>
      </c>
      <c r="B97" t="str">
        <f t="shared" si="14"/>
        <v>CI</v>
      </c>
      <c r="C97" s="382">
        <f t="shared" si="15"/>
        <v>2.0305224159613885E-2</v>
      </c>
      <c r="D97" s="383">
        <f t="shared" si="16"/>
        <v>81835.278211259996</v>
      </c>
      <c r="E97" s="384">
        <f t="shared" si="17"/>
        <v>8.0350000000000005E-2</v>
      </c>
      <c r="F97" s="385">
        <v>0.12</v>
      </c>
      <c r="G97" s="382">
        <v>0.12527530000000001</v>
      </c>
      <c r="H97" s="399">
        <f t="shared" si="18"/>
        <v>0.10854176666666666</v>
      </c>
      <c r="I97" s="399">
        <f t="shared" si="19"/>
        <v>0.12994897327770413</v>
      </c>
      <c r="J97" s="382">
        <f t="shared" si="20"/>
        <v>1.5305722556896652E-3</v>
      </c>
      <c r="K97" s="382">
        <f t="shared" si="21"/>
        <v>1.9889629315421163E-4</v>
      </c>
      <c r="M97" s="400"/>
      <c r="N97" s="398" t="s">
        <v>4010</v>
      </c>
      <c r="O97" s="398" t="s">
        <v>700</v>
      </c>
      <c r="P97" s="398" t="s">
        <v>216</v>
      </c>
      <c r="Q97" s="398">
        <v>81835278211.259995</v>
      </c>
      <c r="R97" s="398">
        <v>2.0305224159613884</v>
      </c>
      <c r="S97" s="398">
        <v>8.0350000000000001</v>
      </c>
      <c r="T97" s="398">
        <v>278.15260000000001</v>
      </c>
      <c r="U97" s="398">
        <v>294.20999999999998</v>
      </c>
      <c r="W97" s="401" t="s">
        <v>700</v>
      </c>
      <c r="X97" s="402" t="s">
        <v>216</v>
      </c>
      <c r="Y97" s="386">
        <f t="shared" si="22"/>
        <v>81835.278211259996</v>
      </c>
      <c r="Z97" s="387">
        <f t="shared" si="23"/>
        <v>2.0305224159613885E-2</v>
      </c>
      <c r="AA97" s="387">
        <f t="shared" si="24"/>
        <v>8.0350000000000005E-2</v>
      </c>
      <c r="AB97" s="403">
        <f t="shared" si="25"/>
        <v>0.10147098654022638</v>
      </c>
      <c r="AC97" s="388">
        <f t="shared" si="26"/>
        <v>1.6159116501752943E-3</v>
      </c>
      <c r="AD97" s="389">
        <f t="shared" si="27"/>
        <v>1.6396814930513229E-4</v>
      </c>
    </row>
    <row r="98" spans="1:30" x14ac:dyDescent="0.55000000000000004">
      <c r="A98" t="str">
        <f t="shared" si="14"/>
        <v>Cincinnati Financial Corp</v>
      </c>
      <c r="B98" t="str">
        <f t="shared" si="14"/>
        <v>CINF</v>
      </c>
      <c r="C98" s="382">
        <f t="shared" si="15"/>
        <v>2.3641006931776721E-2</v>
      </c>
      <c r="D98" s="383">
        <f t="shared" si="16"/>
        <v>21422.984729100001</v>
      </c>
      <c r="E98" s="384">
        <f t="shared" si="17"/>
        <v>8.0799999999999997E-2</v>
      </c>
      <c r="F98" s="385">
        <v>9.5000000000000001E-2</v>
      </c>
      <c r="G98" s="382">
        <v>8.0833999999999989E-2</v>
      </c>
      <c r="H98" s="399">
        <f t="shared" si="18"/>
        <v>8.5544666666666672E-2</v>
      </c>
      <c r="I98" s="399">
        <f t="shared" si="19"/>
        <v>0.110196854627265</v>
      </c>
      <c r="J98" s="382">
        <f t="shared" si="20"/>
        <v>4.0067592824425969E-4</v>
      </c>
      <c r="K98" s="382">
        <f t="shared" si="21"/>
        <v>4.4153227017377148E-5</v>
      </c>
      <c r="M98" s="400"/>
      <c r="N98" s="398" t="s">
        <v>4011</v>
      </c>
      <c r="O98" s="398" t="s">
        <v>701</v>
      </c>
      <c r="P98" s="398" t="s">
        <v>217</v>
      </c>
      <c r="Q98" s="398">
        <v>21422984729.100002</v>
      </c>
      <c r="R98" s="398">
        <v>2.3641006931776722</v>
      </c>
      <c r="S98" s="398">
        <v>8.08</v>
      </c>
      <c r="T98" s="398">
        <v>156.3151</v>
      </c>
      <c r="U98" s="398">
        <v>137.05000000000001</v>
      </c>
      <c r="W98" s="401" t="s">
        <v>701</v>
      </c>
      <c r="X98" s="402" t="s">
        <v>217</v>
      </c>
      <c r="Y98" s="386">
        <f t="shared" si="22"/>
        <v>21422.984729100001</v>
      </c>
      <c r="Z98" s="387">
        <f t="shared" si="23"/>
        <v>2.3641006931776721E-2</v>
      </c>
      <c r="AA98" s="387">
        <f t="shared" si="24"/>
        <v>8.0799999999999997E-2</v>
      </c>
      <c r="AB98" s="403">
        <f t="shared" si="25"/>
        <v>0.1053961036118205</v>
      </c>
      <c r="AC98" s="388">
        <f t="shared" si="26"/>
        <v>4.2301622676608618E-4</v>
      </c>
      <c r="AD98" s="389">
        <f t="shared" si="27"/>
        <v>4.4584262065719777E-5</v>
      </c>
    </row>
    <row r="99" spans="1:30" x14ac:dyDescent="0.55000000000000004">
      <c r="A99" t="str">
        <f t="shared" si="14"/>
        <v>Colgate-Palmolive Co</v>
      </c>
      <c r="B99" t="str">
        <f t="shared" si="14"/>
        <v>CL</v>
      </c>
      <c r="C99" s="382">
        <f t="shared" si="15"/>
        <v>2.4336793540945791E-2</v>
      </c>
      <c r="D99" s="383">
        <f t="shared" si="16"/>
        <v>70834.849971899996</v>
      </c>
      <c r="E99" s="384">
        <f t="shared" si="17"/>
        <v>7.4700000000000003E-2</v>
      </c>
      <c r="F99" s="385">
        <v>0.115</v>
      </c>
      <c r="G99" s="382">
        <v>6.5737199999999996E-2</v>
      </c>
      <c r="H99" s="399">
        <f t="shared" si="18"/>
        <v>8.5145733333333348E-2</v>
      </c>
      <c r="I99" s="399">
        <f t="shared" si="19"/>
        <v>0.11051861394079202</v>
      </c>
      <c r="J99" s="382">
        <f t="shared" si="20"/>
        <v>1.324830299019041E-3</v>
      </c>
      <c r="K99" s="382">
        <f t="shared" si="21"/>
        <v>1.4641840835434943E-4</v>
      </c>
      <c r="M99" s="400"/>
      <c r="N99" s="398" t="s">
        <v>4012</v>
      </c>
      <c r="O99" s="398" t="s">
        <v>702</v>
      </c>
      <c r="P99" s="398" t="s">
        <v>218</v>
      </c>
      <c r="Q99" s="398">
        <v>70834849971.899994</v>
      </c>
      <c r="R99" s="398">
        <v>2.4336793540945791</v>
      </c>
      <c r="S99" s="398">
        <v>7.47</v>
      </c>
      <c r="T99" s="398">
        <v>817.01099999999997</v>
      </c>
      <c r="U99" s="398">
        <v>86.7</v>
      </c>
      <c r="W99" s="401" t="s">
        <v>702</v>
      </c>
      <c r="X99" s="402" t="s">
        <v>218</v>
      </c>
      <c r="Y99" s="386">
        <f t="shared" si="22"/>
        <v>70834.849971899996</v>
      </c>
      <c r="Z99" s="387">
        <f t="shared" si="23"/>
        <v>2.4336793540945791E-2</v>
      </c>
      <c r="AA99" s="387">
        <f t="shared" si="24"/>
        <v>7.4700000000000003E-2</v>
      </c>
      <c r="AB99" s="403">
        <f t="shared" si="25"/>
        <v>9.9945772779700126E-2</v>
      </c>
      <c r="AC99" s="388">
        <f t="shared" si="26"/>
        <v>1.3986982363831321E-3</v>
      </c>
      <c r="AD99" s="389">
        <f t="shared" si="27"/>
        <v>1.3979397612091582E-4</v>
      </c>
    </row>
    <row r="100" spans="1:30" x14ac:dyDescent="0.55000000000000004">
      <c r="A100" t="str">
        <f t="shared" si="14"/>
        <v>Clorox Co/The</v>
      </c>
      <c r="B100" t="str">
        <f t="shared" si="14"/>
        <v>CLX</v>
      </c>
      <c r="C100" s="382">
        <f t="shared" si="15"/>
        <v>3.1012099823544238E-2</v>
      </c>
      <c r="D100" s="383">
        <f t="shared" si="16"/>
        <v>19641.619540240001</v>
      </c>
      <c r="E100" s="384">
        <f t="shared" si="17"/>
        <v>0.10554999999999999</v>
      </c>
      <c r="F100" s="385">
        <v>0.1</v>
      </c>
      <c r="G100" s="382">
        <v>9.58421E-2</v>
      </c>
      <c r="H100" s="399">
        <f t="shared" si="18"/>
        <v>0.10046403333333333</v>
      </c>
      <c r="I100" s="399">
        <f t="shared" si="19"/>
        <v>0.13303393347208217</v>
      </c>
      <c r="J100" s="382">
        <f t="shared" si="20"/>
        <v>3.6735890171345296E-4</v>
      </c>
      <c r="K100" s="382">
        <f t="shared" si="21"/>
        <v>4.8871199690924671E-5</v>
      </c>
      <c r="M100" s="400"/>
      <c r="N100" s="398" t="s">
        <v>4013</v>
      </c>
      <c r="O100" s="398" t="s">
        <v>703</v>
      </c>
      <c r="P100" s="398" t="s">
        <v>219</v>
      </c>
      <c r="Q100" s="398">
        <v>19641619540.240002</v>
      </c>
      <c r="R100" s="398">
        <v>3.1012099823544239</v>
      </c>
      <c r="S100" s="398">
        <v>10.555</v>
      </c>
      <c r="T100" s="398">
        <v>123.78129999999999</v>
      </c>
      <c r="U100" s="398">
        <v>158.68</v>
      </c>
      <c r="W100" s="401" t="s">
        <v>703</v>
      </c>
      <c r="X100" s="402" t="s">
        <v>219</v>
      </c>
      <c r="Y100" s="386">
        <f t="shared" si="22"/>
        <v>19641.619540240001</v>
      </c>
      <c r="Z100" s="387">
        <f t="shared" si="23"/>
        <v>3.1012099823544238E-2</v>
      </c>
      <c r="AA100" s="387">
        <f t="shared" si="24"/>
        <v>0.10554999999999999</v>
      </c>
      <c r="AB100" s="403">
        <f t="shared" si="25"/>
        <v>0.13819876339173176</v>
      </c>
      <c r="AC100" s="388">
        <f t="shared" si="26"/>
        <v>3.8784155852014234E-4</v>
      </c>
      <c r="AD100" s="389">
        <f t="shared" si="27"/>
        <v>5.3599223779405636E-5</v>
      </c>
    </row>
    <row r="101" spans="1:30" x14ac:dyDescent="0.55000000000000004">
      <c r="A101" t="str">
        <f t="shared" si="14"/>
        <v>Comcast Corp</v>
      </c>
      <c r="B101" t="str">
        <f t="shared" si="14"/>
        <v>CMCSA</v>
      </c>
      <c r="C101" s="382">
        <f t="shared" si="15"/>
        <v>3.9037433155080216E-2</v>
      </c>
      <c r="D101" s="383">
        <f t="shared" si="16"/>
        <v>127269.220750944</v>
      </c>
      <c r="E101" s="384">
        <f t="shared" si="17"/>
        <v>6.2800000000000009E-2</v>
      </c>
      <c r="F101" s="385">
        <v>7.4999999999999997E-2</v>
      </c>
      <c r="G101" s="382">
        <v>5.8505799999999997E-2</v>
      </c>
      <c r="H101" s="399">
        <f t="shared" si="18"/>
        <v>6.5435266666666672E-2</v>
      </c>
      <c r="I101" s="399">
        <f t="shared" si="19"/>
        <v>0.10574991224598931</v>
      </c>
      <c r="J101" s="382">
        <f t="shared" si="20"/>
        <v>2.3803271955863629E-3</v>
      </c>
      <c r="K101" s="382">
        <f t="shared" si="21"/>
        <v>2.5171939204999969E-4</v>
      </c>
      <c r="M101" s="400"/>
      <c r="N101" s="398" t="s">
        <v>4014</v>
      </c>
      <c r="O101" s="398" t="s">
        <v>704</v>
      </c>
      <c r="P101" s="398" t="s">
        <v>220</v>
      </c>
      <c r="Q101" s="398">
        <v>127269220750.944</v>
      </c>
      <c r="R101" s="398">
        <v>3.9037433155080219</v>
      </c>
      <c r="S101" s="398">
        <v>6.28</v>
      </c>
      <c r="T101" s="398">
        <v>3771.578</v>
      </c>
      <c r="U101" s="398">
        <v>33.659999999999997</v>
      </c>
      <c r="W101" s="401" t="s">
        <v>704</v>
      </c>
      <c r="X101" s="402" t="s">
        <v>220</v>
      </c>
      <c r="Y101" s="386">
        <f t="shared" si="22"/>
        <v>127269.220750944</v>
      </c>
      <c r="Z101" s="387">
        <f t="shared" si="23"/>
        <v>3.9037433155080216E-2</v>
      </c>
      <c r="AA101" s="387">
        <f t="shared" si="24"/>
        <v>6.2800000000000009E-2</v>
      </c>
      <c r="AB101" s="403">
        <f t="shared" si="25"/>
        <v>0.10306320855614975</v>
      </c>
      <c r="AC101" s="388">
        <f t="shared" si="26"/>
        <v>2.5130459749800769E-3</v>
      </c>
      <c r="AD101" s="389">
        <f t="shared" si="27"/>
        <v>2.5900258143056438E-4</v>
      </c>
    </row>
    <row r="102" spans="1:30" x14ac:dyDescent="0.55000000000000004">
      <c r="A102" t="str">
        <f t="shared" si="14"/>
        <v>CME Group Inc</v>
      </c>
      <c r="B102" t="str">
        <f t="shared" si="14"/>
        <v>CME</v>
      </c>
      <c r="C102" s="382">
        <f t="shared" si="15"/>
        <v>4.2313546423135472E-2</v>
      </c>
      <c r="D102" s="383">
        <f t="shared" si="16"/>
        <v>85232.867780519999</v>
      </c>
      <c r="E102" s="384">
        <f t="shared" si="17"/>
        <v>4.0500000000000001E-2</v>
      </c>
      <c r="F102" s="385">
        <v>0.06</v>
      </c>
      <c r="G102" s="382">
        <v>4.2632099999999999E-2</v>
      </c>
      <c r="H102" s="399">
        <f t="shared" si="18"/>
        <v>4.7710700000000002E-2</v>
      </c>
      <c r="I102" s="399">
        <f t="shared" si="19"/>
        <v>9.1033650882800618E-2</v>
      </c>
      <c r="J102" s="382">
        <f t="shared" si="20"/>
        <v>1.5941176659894304E-3</v>
      </c>
      <c r="K102" s="382">
        <f t="shared" si="21"/>
        <v>1.4511835107178678E-4</v>
      </c>
      <c r="M102" s="400"/>
      <c r="N102" s="398" t="s">
        <v>4015</v>
      </c>
      <c r="O102" s="398" t="s">
        <v>705</v>
      </c>
      <c r="P102" s="398" t="s">
        <v>221</v>
      </c>
      <c r="Q102" s="398">
        <v>85232867780.520004</v>
      </c>
      <c r="R102" s="398">
        <v>4.2313546423135469</v>
      </c>
      <c r="S102" s="398">
        <v>4.05</v>
      </c>
      <c r="T102" s="398">
        <v>360.35909999999996</v>
      </c>
      <c r="U102" s="398">
        <v>236.52</v>
      </c>
      <c r="W102" s="401" t="s">
        <v>705</v>
      </c>
      <c r="X102" s="402" t="s">
        <v>221</v>
      </c>
      <c r="Y102" s="386">
        <f t="shared" si="22"/>
        <v>85232.867780519999</v>
      </c>
      <c r="Z102" s="387">
        <f t="shared" si="23"/>
        <v>4.2313546423135472E-2</v>
      </c>
      <c r="AA102" s="387">
        <f t="shared" si="24"/>
        <v>4.0500000000000001E-2</v>
      </c>
      <c r="AB102" s="403">
        <f t="shared" si="25"/>
        <v>8.3670395738203979E-2</v>
      </c>
      <c r="AC102" s="388">
        <f t="shared" si="26"/>
        <v>1.6830001319093966E-3</v>
      </c>
      <c r="AD102" s="389">
        <f t="shared" si="27"/>
        <v>1.4081728706430872E-4</v>
      </c>
    </row>
    <row r="103" spans="1:30" x14ac:dyDescent="0.55000000000000004">
      <c r="A103" t="str">
        <f t="shared" si="14"/>
        <v>Chipotle Mexican Grill Inc</v>
      </c>
      <c r="B103" t="str">
        <f t="shared" si="14"/>
        <v>CMG</v>
      </c>
      <c r="C103" s="382">
        <f t="shared" si="15"/>
        <v>0</v>
      </c>
      <c r="D103" s="383">
        <f t="shared" si="16"/>
        <v>79507.301550000004</v>
      </c>
      <c r="E103" s="384">
        <f t="shared" si="17"/>
        <v>0.2089</v>
      </c>
      <c r="F103" s="385">
        <v>0.2</v>
      </c>
      <c r="G103" s="382">
        <v>0.2144624</v>
      </c>
      <c r="H103" s="399">
        <f t="shared" si="18"/>
        <v>0.20778746666666667</v>
      </c>
      <c r="I103" s="399">
        <f t="shared" si="19"/>
        <v>0.20778746666666667</v>
      </c>
      <c r="J103" s="382">
        <f t="shared" si="20"/>
        <v>1.487031907718717E-3</v>
      </c>
      <c r="K103" s="382">
        <f t="shared" si="21"/>
        <v>3.0898659295737268E-4</v>
      </c>
      <c r="M103" s="400"/>
      <c r="N103" s="398" t="s">
        <v>4016</v>
      </c>
      <c r="O103" s="398" t="s">
        <v>706</v>
      </c>
      <c r="P103" s="398" t="s">
        <v>222</v>
      </c>
      <c r="Q103" s="398">
        <v>79507301550</v>
      </c>
      <c r="R103" s="398">
        <v>0</v>
      </c>
      <c r="S103" s="398">
        <v>20.89</v>
      </c>
      <c r="T103" s="398">
        <v>1362.5929999999998</v>
      </c>
      <c r="U103" s="398">
        <v>58.35</v>
      </c>
      <c r="W103" s="401" t="s">
        <v>706</v>
      </c>
      <c r="X103" s="402" t="s">
        <v>222</v>
      </c>
      <c r="Y103" s="386">
        <f t="shared" si="22"/>
        <v>79507.301550000004</v>
      </c>
      <c r="Z103" s="387">
        <f t="shared" si="23"/>
        <v>0</v>
      </c>
      <c r="AA103" s="387">
        <f t="shared" si="24"/>
        <v>0.2089</v>
      </c>
      <c r="AB103" s="403">
        <f t="shared" si="25"/>
        <v>0.2089</v>
      </c>
      <c r="AC103" s="388">
        <f t="shared" si="26"/>
        <v>1.5699436435833815E-3</v>
      </c>
      <c r="AD103" s="389">
        <f t="shared" si="27"/>
        <v>3.2796122714456839E-4</v>
      </c>
    </row>
    <row r="104" spans="1:30" x14ac:dyDescent="0.55000000000000004">
      <c r="A104" t="str">
        <f t="shared" si="14"/>
        <v>Cummins Inc</v>
      </c>
      <c r="B104" t="str">
        <f t="shared" si="14"/>
        <v>CMI</v>
      </c>
      <c r="C104" s="382">
        <f t="shared" si="15"/>
        <v>1.9539649122807021E-2</v>
      </c>
      <c r="D104" s="383">
        <f t="shared" si="16"/>
        <v>48871.034775</v>
      </c>
      <c r="E104" s="384">
        <f t="shared" si="17"/>
        <v>0.111</v>
      </c>
      <c r="F104" s="385">
        <v>0.09</v>
      </c>
      <c r="G104" s="382">
        <v>9.2326499999999992E-2</v>
      </c>
      <c r="H104" s="399">
        <f t="shared" si="18"/>
        <v>9.7775500000000001E-2</v>
      </c>
      <c r="I104" s="399">
        <f t="shared" si="19"/>
        <v>0.11827039860421053</v>
      </c>
      <c r="J104" s="382">
        <f t="shared" si="20"/>
        <v>9.1403917196150911E-4</v>
      </c>
      <c r="K104" s="382">
        <f t="shared" si="21"/>
        <v>1.0810377720775022E-4</v>
      </c>
      <c r="M104" s="400"/>
      <c r="N104" s="398" t="s">
        <v>4017</v>
      </c>
      <c r="O104" s="398" t="s">
        <v>707</v>
      </c>
      <c r="P104" s="398" t="s">
        <v>223</v>
      </c>
      <c r="Q104" s="398">
        <v>48871034775</v>
      </c>
      <c r="R104" s="398">
        <v>1.9539649122807019</v>
      </c>
      <c r="S104" s="398">
        <v>11.1</v>
      </c>
      <c r="T104" s="398">
        <v>137.18189999999998</v>
      </c>
      <c r="U104" s="398">
        <v>356.25</v>
      </c>
      <c r="W104" s="401" t="s">
        <v>707</v>
      </c>
      <c r="X104" s="402" t="s">
        <v>223</v>
      </c>
      <c r="Y104" s="386">
        <f t="shared" si="22"/>
        <v>48871.034775</v>
      </c>
      <c r="Z104" s="387">
        <f t="shared" si="23"/>
        <v>1.9539649122807021E-2</v>
      </c>
      <c r="AA104" s="387">
        <f t="shared" si="24"/>
        <v>0.111</v>
      </c>
      <c r="AB104" s="403">
        <f t="shared" si="25"/>
        <v>0.13162409964912281</v>
      </c>
      <c r="AC104" s="388">
        <f t="shared" si="26"/>
        <v>9.6500282244019436E-4</v>
      </c>
      <c r="AD104" s="389">
        <f t="shared" si="27"/>
        <v>1.2701762766255289E-4</v>
      </c>
    </row>
    <row r="105" spans="1:30" x14ac:dyDescent="0.55000000000000004">
      <c r="A105" t="str">
        <f t="shared" si="14"/>
        <v>CMS Energy Corp</v>
      </c>
      <c r="B105" t="str">
        <f t="shared" si="14"/>
        <v>CMS</v>
      </c>
      <c r="C105" s="382">
        <f t="shared" si="15"/>
        <v>3.1409090909090907E-2</v>
      </c>
      <c r="D105" s="383">
        <f t="shared" si="16"/>
        <v>19719.801089999997</v>
      </c>
      <c r="E105" s="384">
        <f t="shared" si="17"/>
        <v>7.5330000000000008E-2</v>
      </c>
      <c r="F105" s="385">
        <v>0.06</v>
      </c>
      <c r="G105" s="382">
        <v>7.2933100000000001E-2</v>
      </c>
      <c r="H105" s="399">
        <f t="shared" si="18"/>
        <v>6.942103333333334E-2</v>
      </c>
      <c r="I105" s="399">
        <f t="shared" si="19"/>
        <v>0.1019203500159091</v>
      </c>
      <c r="J105" s="382">
        <f t="shared" si="20"/>
        <v>3.6882113797127516E-4</v>
      </c>
      <c r="K105" s="382">
        <f t="shared" si="21"/>
        <v>3.7590379475298269E-5</v>
      </c>
      <c r="M105" s="400"/>
      <c r="N105" s="398" t="s">
        <v>4018</v>
      </c>
      <c r="O105" s="398" t="s">
        <v>708</v>
      </c>
      <c r="P105" s="398" t="s">
        <v>32</v>
      </c>
      <c r="Q105" s="398">
        <v>19719801089.999996</v>
      </c>
      <c r="R105" s="398">
        <v>3.1409090909090907</v>
      </c>
      <c r="S105" s="398">
        <v>7.5330000000000004</v>
      </c>
      <c r="T105" s="398">
        <v>298.78489999999999</v>
      </c>
      <c r="U105" s="398">
        <v>66</v>
      </c>
      <c r="W105" s="401" t="s">
        <v>708</v>
      </c>
      <c r="X105" s="402" t="s">
        <v>32</v>
      </c>
      <c r="Y105" s="386">
        <f t="shared" si="22"/>
        <v>19719.801089999997</v>
      </c>
      <c r="Z105" s="387">
        <f t="shared" si="23"/>
        <v>3.1409090909090907E-2</v>
      </c>
      <c r="AA105" s="387">
        <f t="shared" si="24"/>
        <v>7.5330000000000008E-2</v>
      </c>
      <c r="AB105" s="403">
        <f t="shared" si="25"/>
        <v>0.10792211431818183</v>
      </c>
      <c r="AC105" s="388">
        <f t="shared" si="26"/>
        <v>3.8938532399448707E-4</v>
      </c>
      <c r="AD105" s="389">
        <f t="shared" si="27"/>
        <v>4.2023287449955305E-5</v>
      </c>
    </row>
    <row r="106" spans="1:30" x14ac:dyDescent="0.55000000000000004">
      <c r="A106" t="str">
        <f t="shared" si="14"/>
        <v>Centene Corp</v>
      </c>
      <c r="B106" t="str">
        <f t="shared" si="14"/>
        <v>CNC</v>
      </c>
      <c r="C106" s="382">
        <f t="shared" si="15"/>
        <v>0</v>
      </c>
      <c r="D106" s="383">
        <f t="shared" si="16"/>
        <v>32326.505950000002</v>
      </c>
      <c r="E106" s="384">
        <f t="shared" si="17"/>
        <v>6.3500000000000001E-2</v>
      </c>
      <c r="F106" s="385">
        <v>8.5000000000000006E-2</v>
      </c>
      <c r="G106" s="382">
        <v>0.1067728</v>
      </c>
      <c r="H106" s="399">
        <f t="shared" si="18"/>
        <v>8.5090933333333341E-2</v>
      </c>
      <c r="I106" s="399">
        <f t="shared" si="19"/>
        <v>8.5090933333333341E-2</v>
      </c>
      <c r="J106" s="382">
        <f t="shared" si="20"/>
        <v>6.0460542460340813E-4</v>
      </c>
      <c r="K106" s="382">
        <f t="shared" si="21"/>
        <v>5.1446439877900301E-5</v>
      </c>
      <c r="M106" s="400"/>
      <c r="N106" s="398" t="s">
        <v>4019</v>
      </c>
      <c r="O106" s="398" t="s">
        <v>709</v>
      </c>
      <c r="P106" s="398" t="s">
        <v>224</v>
      </c>
      <c r="Q106" s="398">
        <v>32326505950.000004</v>
      </c>
      <c r="R106" s="398">
        <v>0</v>
      </c>
      <c r="S106" s="398">
        <v>6.3500000000000005</v>
      </c>
      <c r="T106" s="398">
        <v>504.86499999999995</v>
      </c>
      <c r="U106" s="398">
        <v>64.03</v>
      </c>
      <c r="W106" s="401" t="s">
        <v>709</v>
      </c>
      <c r="X106" s="402" t="s">
        <v>224</v>
      </c>
      <c r="Y106" s="386">
        <f t="shared" si="22"/>
        <v>32326.505950000002</v>
      </c>
      <c r="Z106" s="387">
        <f t="shared" si="23"/>
        <v>0</v>
      </c>
      <c r="AA106" s="387">
        <f t="shared" si="24"/>
        <v>6.3500000000000001E-2</v>
      </c>
      <c r="AB106" s="403">
        <f t="shared" si="25"/>
        <v>6.3500000000000001E-2</v>
      </c>
      <c r="AC106" s="388">
        <f t="shared" si="26"/>
        <v>6.3831612375307516E-4</v>
      </c>
      <c r="AD106" s="389">
        <f t="shared" si="27"/>
        <v>4.0533073858320271E-5</v>
      </c>
    </row>
    <row r="107" spans="1:30" x14ac:dyDescent="0.55000000000000004">
      <c r="A107" t="str">
        <f t="shared" si="14"/>
        <v>CenterPoint Energy Inc</v>
      </c>
      <c r="B107" t="str">
        <f t="shared" si="14"/>
        <v>CNP</v>
      </c>
      <c r="C107" s="382">
        <f t="shared" si="15"/>
        <v>2.443966840650906E-2</v>
      </c>
      <c r="D107" s="383">
        <f t="shared" si="16"/>
        <v>21226.757379319999</v>
      </c>
      <c r="E107" s="384">
        <f t="shared" si="17"/>
        <v>7.8799999999999995E-2</v>
      </c>
      <c r="F107" s="385">
        <v>6.5000000000000002E-2</v>
      </c>
      <c r="G107" s="382">
        <v>7.7102100000000007E-2</v>
      </c>
      <c r="H107" s="399">
        <f t="shared" si="18"/>
        <v>7.3634033333333335E-2</v>
      </c>
      <c r="I107" s="399">
        <f t="shared" si="19"/>
        <v>9.8973497418892636E-2</v>
      </c>
      <c r="J107" s="382">
        <f t="shared" si="20"/>
        <v>3.9700587122306344E-4</v>
      </c>
      <c r="K107" s="382">
        <f t="shared" si="21"/>
        <v>3.9293059570781093E-5</v>
      </c>
      <c r="M107" s="400"/>
      <c r="N107" s="398" t="s">
        <v>4020</v>
      </c>
      <c r="O107" s="398" t="s">
        <v>710</v>
      </c>
      <c r="P107" s="398" t="s">
        <v>33</v>
      </c>
      <c r="Q107" s="398">
        <v>21226757379.32</v>
      </c>
      <c r="R107" s="398">
        <v>2.4439668406509059</v>
      </c>
      <c r="S107" s="398">
        <v>7.88</v>
      </c>
      <c r="T107" s="398">
        <v>651.72730000000001</v>
      </c>
      <c r="U107" s="398">
        <v>32.57</v>
      </c>
      <c r="W107" s="401" t="s">
        <v>710</v>
      </c>
      <c r="X107" s="402" t="s">
        <v>33</v>
      </c>
      <c r="Y107" s="386">
        <f t="shared" si="22"/>
        <v>21226.757379319999</v>
      </c>
      <c r="Z107" s="387">
        <f t="shared" si="23"/>
        <v>2.443966840650906E-2</v>
      </c>
      <c r="AA107" s="387">
        <f t="shared" si="24"/>
        <v>7.8799999999999995E-2</v>
      </c>
      <c r="AB107" s="403">
        <f t="shared" si="25"/>
        <v>0.10420259134172552</v>
      </c>
      <c r="AC107" s="388">
        <f t="shared" si="26"/>
        <v>4.1914154010865267E-4</v>
      </c>
      <c r="AD107" s="389">
        <f t="shared" si="27"/>
        <v>4.3675634618283391E-5</v>
      </c>
    </row>
    <row r="108" spans="1:30" x14ac:dyDescent="0.55000000000000004">
      <c r="A108" t="str">
        <f t="shared" si="14"/>
        <v>Capital One Financial Corp</v>
      </c>
      <c r="B108" t="str">
        <f t="shared" si="14"/>
        <v>COF</v>
      </c>
      <c r="C108" s="382">
        <f t="shared" si="15"/>
        <v>1.222325855382652E-2</v>
      </c>
      <c r="D108" s="383">
        <f t="shared" si="16"/>
        <v>77717.470546559998</v>
      </c>
      <c r="E108" s="384">
        <f t="shared" si="17"/>
        <v>0.14710000000000001</v>
      </c>
      <c r="F108" s="385">
        <v>2.5000000000000001E-2</v>
      </c>
      <c r="G108" s="382">
        <v>0.13275909999999999</v>
      </c>
      <c r="H108" s="399">
        <f t="shared" si="18"/>
        <v>0.10161969999999999</v>
      </c>
      <c r="I108" s="399">
        <f t="shared" si="19"/>
        <v>0.11446402048745766</v>
      </c>
      <c r="J108" s="382">
        <f t="shared" si="20"/>
        <v>1.4535565443287808E-3</v>
      </c>
      <c r="K108" s="382">
        <f t="shared" si="21"/>
        <v>1.6637992606972771E-4</v>
      </c>
      <c r="M108" s="400"/>
      <c r="N108" s="398" t="s">
        <v>4021</v>
      </c>
      <c r="O108" s="398" t="s">
        <v>711</v>
      </c>
      <c r="P108" s="398" t="s">
        <v>225</v>
      </c>
      <c r="Q108" s="398">
        <v>77717470546.559998</v>
      </c>
      <c r="R108" s="398">
        <v>1.2223258553826519</v>
      </c>
      <c r="S108" s="398">
        <v>14.71</v>
      </c>
      <c r="T108" s="398">
        <v>381.51029999999997</v>
      </c>
      <c r="U108" s="398">
        <v>203.71</v>
      </c>
      <c r="W108" s="401" t="s">
        <v>711</v>
      </c>
      <c r="X108" s="402" t="s">
        <v>225</v>
      </c>
      <c r="Y108" s="386">
        <f t="shared" si="22"/>
        <v>77717.470546559998</v>
      </c>
      <c r="Z108" s="387">
        <f t="shared" si="23"/>
        <v>1.222325855382652E-2</v>
      </c>
      <c r="AA108" s="387">
        <f t="shared" si="24"/>
        <v>0.14710000000000001</v>
      </c>
      <c r="AB108" s="403">
        <f t="shared" si="25"/>
        <v>0.16022227922046048</v>
      </c>
      <c r="AC108" s="388">
        <f t="shared" si="26"/>
        <v>1.5346018101648244E-3</v>
      </c>
      <c r="AD108" s="389">
        <f t="shared" si="27"/>
        <v>2.4587739972045257E-4</v>
      </c>
    </row>
    <row r="109" spans="1:30" x14ac:dyDescent="0.55000000000000004">
      <c r="A109" t="str">
        <f t="shared" si="14"/>
        <v>Cooper Cos Inc/The</v>
      </c>
      <c r="B109" t="str">
        <f t="shared" si="14"/>
        <v>COO</v>
      </c>
      <c r="C109" s="382">
        <f t="shared" si="15"/>
        <v>1.6364577938891766E-3</v>
      </c>
      <c r="D109" s="383">
        <f t="shared" si="16"/>
        <v>19269.702540300001</v>
      </c>
      <c r="E109" s="384">
        <f t="shared" si="17"/>
        <v>0.1042</v>
      </c>
      <c r="F109" s="385">
        <v>8.5000000000000006E-2</v>
      </c>
      <c r="G109" s="382">
        <v>0.12188019999999999</v>
      </c>
      <c r="H109" s="399">
        <f t="shared" si="18"/>
        <v>0.10369340000000001</v>
      </c>
      <c r="I109" s="399">
        <f t="shared" si="19"/>
        <v>0.10541470273019161</v>
      </c>
      <c r="J109" s="382">
        <f t="shared" si="20"/>
        <v>3.6040290603567239E-4</v>
      </c>
      <c r="K109" s="382">
        <f t="shared" si="21"/>
        <v>3.7991765202847588E-5</v>
      </c>
      <c r="M109" s="400"/>
      <c r="N109" s="398" t="s">
        <v>4022</v>
      </c>
      <c r="O109" s="398" t="s">
        <v>712</v>
      </c>
      <c r="P109" s="398" t="s">
        <v>226</v>
      </c>
      <c r="Q109" s="398">
        <v>19269702540.299999</v>
      </c>
      <c r="R109" s="398">
        <v>0.16364577938891767</v>
      </c>
      <c r="S109" s="398">
        <v>10.42</v>
      </c>
      <c r="T109" s="398">
        <v>199.58259999999999</v>
      </c>
      <c r="U109" s="398">
        <v>96.55</v>
      </c>
      <c r="W109" s="401" t="s">
        <v>712</v>
      </c>
      <c r="X109" s="402" t="s">
        <v>226</v>
      </c>
      <c r="Y109" s="386">
        <f t="shared" si="22"/>
        <v>19269.702540300001</v>
      </c>
      <c r="Z109" s="387">
        <f t="shared" si="23"/>
        <v>1.6364577938891766E-3</v>
      </c>
      <c r="AA109" s="387">
        <f t="shared" si="24"/>
        <v>0.1042</v>
      </c>
      <c r="AB109" s="403">
        <f t="shared" si="25"/>
        <v>0.10592171724495081</v>
      </c>
      <c r="AC109" s="388">
        <f t="shared" si="26"/>
        <v>3.8049772067615248E-4</v>
      </c>
      <c r="AD109" s="389">
        <f t="shared" si="27"/>
        <v>4.0302971981807698E-5</v>
      </c>
    </row>
    <row r="110" spans="1:30" x14ac:dyDescent="0.55000000000000004">
      <c r="A110" t="str">
        <f t="shared" si="14"/>
        <v>ConocoPhillips</v>
      </c>
      <c r="B110" t="str">
        <f t="shared" si="14"/>
        <v>COP</v>
      </c>
      <c r="C110" s="382">
        <f t="shared" si="15"/>
        <v>2.9474855813012246E-2</v>
      </c>
      <c r="D110" s="383">
        <f t="shared" si="16"/>
        <v>127842.74313363999</v>
      </c>
      <c r="E110" s="384">
        <f t="shared" si="17"/>
        <v>4.4999999999999998E-2</v>
      </c>
      <c r="F110" s="385">
        <v>0.04</v>
      </c>
      <c r="G110" s="382">
        <v>0.1</v>
      </c>
      <c r="H110" s="399">
        <f t="shared" si="18"/>
        <v>6.1666666666666668E-2</v>
      </c>
      <c r="I110" s="399">
        <f t="shared" si="19"/>
        <v>9.2050330533913455E-2</v>
      </c>
      <c r="J110" s="382">
        <f t="shared" si="20"/>
        <v>2.391053834099223E-3</v>
      </c>
      <c r="K110" s="382">
        <f t="shared" si="21"/>
        <v>2.2009729575321455E-4</v>
      </c>
      <c r="M110" s="400"/>
      <c r="N110" s="398" t="s">
        <v>4023</v>
      </c>
      <c r="O110" s="398" t="s">
        <v>227</v>
      </c>
      <c r="P110" s="398" t="s">
        <v>228</v>
      </c>
      <c r="Q110" s="398">
        <v>127842743133.63998</v>
      </c>
      <c r="R110" s="398">
        <v>2.9474855813012244</v>
      </c>
      <c r="S110" s="398">
        <v>4.5</v>
      </c>
      <c r="T110" s="398">
        <v>1293.5619999999999</v>
      </c>
      <c r="U110" s="398">
        <v>98.83</v>
      </c>
      <c r="W110" s="401" t="s">
        <v>227</v>
      </c>
      <c r="X110" s="402" t="s">
        <v>228</v>
      </c>
      <c r="Y110" s="386">
        <f t="shared" si="22"/>
        <v>127842.74313363999</v>
      </c>
      <c r="Z110" s="387">
        <f t="shared" si="23"/>
        <v>2.9474855813012246E-2</v>
      </c>
      <c r="AA110" s="387">
        <f t="shared" si="24"/>
        <v>4.4999999999999998E-2</v>
      </c>
      <c r="AB110" s="403">
        <f t="shared" si="25"/>
        <v>7.513804006880502E-2</v>
      </c>
      <c r="AC110" s="388">
        <f t="shared" si="26"/>
        <v>2.5243706936111088E-3</v>
      </c>
      <c r="AD110" s="389">
        <f t="shared" si="27"/>
        <v>1.8967626632506861E-4</v>
      </c>
    </row>
    <row r="111" spans="1:30" x14ac:dyDescent="0.55000000000000004">
      <c r="A111" t="str">
        <f t="shared" si="14"/>
        <v>Cencora Inc</v>
      </c>
      <c r="B111" t="str">
        <f t="shared" si="14"/>
        <v>COR</v>
      </c>
      <c r="C111" s="382">
        <f t="shared" si="15"/>
        <v>8.4851107352189124E-3</v>
      </c>
      <c r="D111" s="383">
        <f t="shared" si="16"/>
        <v>49280.122828970001</v>
      </c>
      <c r="E111" s="384">
        <f t="shared" si="17"/>
        <v>0.10890000000000001</v>
      </c>
      <c r="F111" s="385">
        <v>0.11</v>
      </c>
      <c r="G111" s="382">
        <v>9.10054E-2</v>
      </c>
      <c r="H111" s="399">
        <f t="shared" si="18"/>
        <v>0.1033018</v>
      </c>
      <c r="I111" s="399">
        <f t="shared" si="19"/>
        <v>0.11222517434129263</v>
      </c>
      <c r="J111" s="382">
        <f t="shared" si="20"/>
        <v>9.2169038106382521E-4</v>
      </c>
      <c r="K111" s="382">
        <f t="shared" si="21"/>
        <v>1.0343686370358022E-4</v>
      </c>
      <c r="M111" s="400"/>
      <c r="N111" s="398" t="s">
        <v>4024</v>
      </c>
      <c r="O111" s="398" t="s">
        <v>713</v>
      </c>
      <c r="P111" s="398" t="s">
        <v>229</v>
      </c>
      <c r="Q111" s="398">
        <v>49280122828.970001</v>
      </c>
      <c r="R111" s="398">
        <v>0.84851107352189126</v>
      </c>
      <c r="S111" s="398">
        <v>10.89</v>
      </c>
      <c r="T111" s="398">
        <v>193.85599999999999</v>
      </c>
      <c r="U111" s="398">
        <v>254.21</v>
      </c>
      <c r="W111" s="401" t="s">
        <v>713</v>
      </c>
      <c r="X111" s="402" t="s">
        <v>229</v>
      </c>
      <c r="Y111" s="386">
        <f t="shared" si="22"/>
        <v>49280.122828970001</v>
      </c>
      <c r="Z111" s="387">
        <f t="shared" si="23"/>
        <v>8.4851107352189124E-3</v>
      </c>
      <c r="AA111" s="387">
        <f t="shared" si="24"/>
        <v>0.10890000000000001</v>
      </c>
      <c r="AB111" s="403">
        <f t="shared" si="25"/>
        <v>0.1178471250147516</v>
      </c>
      <c r="AC111" s="388">
        <f t="shared" si="26"/>
        <v>9.7308063639533419E-4</v>
      </c>
      <c r="AD111" s="389">
        <f t="shared" si="27"/>
        <v>1.14674755406715E-4</v>
      </c>
    </row>
    <row r="112" spans="1:30" x14ac:dyDescent="0.55000000000000004">
      <c r="A112" t="str">
        <f t="shared" si="14"/>
        <v>Costco Wholesale Corp</v>
      </c>
      <c r="B112" t="str">
        <f t="shared" si="14"/>
        <v>COST</v>
      </c>
      <c r="C112" s="382">
        <f t="shared" si="15"/>
        <v>4.8169163571049516E-3</v>
      </c>
      <c r="D112" s="383">
        <f t="shared" si="16"/>
        <v>434967.62473560002</v>
      </c>
      <c r="E112" s="384">
        <f t="shared" si="17"/>
        <v>8.8599999999999998E-2</v>
      </c>
      <c r="F112" s="385">
        <v>0.115</v>
      </c>
      <c r="G112" s="382">
        <v>9.37278E-2</v>
      </c>
      <c r="H112" s="399">
        <f t="shared" si="18"/>
        <v>9.9109266666666682E-2</v>
      </c>
      <c r="I112" s="399">
        <f t="shared" si="19"/>
        <v>0.1041648835476453</v>
      </c>
      <c r="J112" s="382">
        <f t="shared" si="20"/>
        <v>8.1352369429831106E-3</v>
      </c>
      <c r="K112" s="382">
        <f t="shared" si="21"/>
        <v>8.4740600879833769E-4</v>
      </c>
      <c r="M112" s="400"/>
      <c r="N112" s="398" t="s">
        <v>4025</v>
      </c>
      <c r="O112" s="398" t="s">
        <v>714</v>
      </c>
      <c r="P112" s="398" t="s">
        <v>230</v>
      </c>
      <c r="Q112" s="398">
        <v>434967624735.60004</v>
      </c>
      <c r="R112" s="398">
        <v>0.48169163571049517</v>
      </c>
      <c r="S112" s="398">
        <v>8.86</v>
      </c>
      <c r="T112" s="398">
        <v>443.89889999999997</v>
      </c>
      <c r="U112" s="398">
        <v>979.88</v>
      </c>
      <c r="W112" s="401" t="s">
        <v>714</v>
      </c>
      <c r="X112" s="402" t="s">
        <v>230</v>
      </c>
      <c r="Y112" s="386">
        <f t="shared" si="22"/>
        <v>434967.62473560002</v>
      </c>
      <c r="Z112" s="387">
        <f t="shared" si="23"/>
        <v>4.8169163571049516E-3</v>
      </c>
      <c r="AA112" s="387">
        <f t="shared" si="24"/>
        <v>8.8599999999999998E-2</v>
      </c>
      <c r="AB112" s="403">
        <f t="shared" si="25"/>
        <v>9.3630305751724693E-2</v>
      </c>
      <c r="AC112" s="388">
        <f t="shared" si="26"/>
        <v>8.5888295075487557E-3</v>
      </c>
      <c r="AD112" s="389">
        <f t="shared" si="27"/>
        <v>8.0417473284122504E-4</v>
      </c>
    </row>
    <row r="113" spans="1:30" x14ac:dyDescent="0.55000000000000004">
      <c r="A113" t="str">
        <f t="shared" si="14"/>
        <v>Corpay Inc</v>
      </c>
      <c r="B113" t="str">
        <f t="shared" si="14"/>
        <v>CPAY</v>
      </c>
      <c r="C113" s="382" t="str">
        <f t="shared" si="15"/>
        <v>0.00%</v>
      </c>
      <c r="D113" s="383">
        <f t="shared" si="16"/>
        <v>26524.331541179999</v>
      </c>
      <c r="E113" s="384">
        <f t="shared" si="17"/>
        <v>0.14419999999999999</v>
      </c>
      <c r="F113" s="385">
        <v>0.155</v>
      </c>
      <c r="G113" s="382">
        <v>0.1445949</v>
      </c>
      <c r="H113" s="399">
        <f t="shared" si="18"/>
        <v>0.14793163333333334</v>
      </c>
      <c r="I113" s="399">
        <f t="shared" si="19"/>
        <v>0.14793163333333334</v>
      </c>
      <c r="J113" s="382">
        <f t="shared" si="20"/>
        <v>4.9608685697678085E-4</v>
      </c>
      <c r="K113" s="382">
        <f t="shared" si="21"/>
        <v>7.3386939027774922E-5</v>
      </c>
      <c r="M113" s="400"/>
      <c r="N113" s="398" t="s">
        <v>4026</v>
      </c>
      <c r="O113" s="398" t="s">
        <v>715</v>
      </c>
      <c r="P113" s="398" t="s">
        <v>605</v>
      </c>
      <c r="Q113" s="398">
        <v>26524331541.18</v>
      </c>
      <c r="R113" s="398" t="s">
        <v>3929</v>
      </c>
      <c r="S113" s="398">
        <v>14.42</v>
      </c>
      <c r="T113" s="398">
        <v>69.710979999999992</v>
      </c>
      <c r="U113" s="398">
        <v>380.49</v>
      </c>
      <c r="W113" s="401" t="s">
        <v>715</v>
      </c>
      <c r="X113" s="402" t="s">
        <v>605</v>
      </c>
      <c r="Y113" s="386">
        <f t="shared" si="22"/>
        <v>26524.331541179999</v>
      </c>
      <c r="Z113" s="387" t="str">
        <f t="shared" si="23"/>
        <v>0.00%</v>
      </c>
      <c r="AA113" s="387">
        <f t="shared" si="24"/>
        <v>0.14419999999999999</v>
      </c>
      <c r="AB113" s="403">
        <f t="shared" si="25"/>
        <v>0.14419999999999999</v>
      </c>
      <c r="AC113" s="388">
        <f t="shared" si="26"/>
        <v>5.2374693759649725E-4</v>
      </c>
      <c r="AD113" s="389">
        <f t="shared" si="27"/>
        <v>7.5524308401414897E-5</v>
      </c>
    </row>
    <row r="114" spans="1:30" x14ac:dyDescent="0.55000000000000004">
      <c r="A114" t="str">
        <f t="shared" si="14"/>
        <v>The Campbell's Company</v>
      </c>
      <c r="B114" t="str">
        <f t="shared" si="14"/>
        <v>CPB</v>
      </c>
      <c r="C114" s="382">
        <f t="shared" si="15"/>
        <v>3.9773020376579836E-2</v>
      </c>
      <c r="D114" s="383">
        <f t="shared" si="16"/>
        <v>11557.69538988</v>
      </c>
      <c r="E114" s="384">
        <f t="shared" si="17"/>
        <v>4.1599999999999998E-2</v>
      </c>
      <c r="F114" s="385">
        <v>7.0000000000000007E-2</v>
      </c>
      <c r="G114" s="382">
        <v>4.8000800000000003E-2</v>
      </c>
      <c r="H114" s="399">
        <f t="shared" si="18"/>
        <v>5.3200266666666669E-2</v>
      </c>
      <c r="I114" s="399">
        <f t="shared" si="19"/>
        <v>9.4031254688332927E-2</v>
      </c>
      <c r="J114" s="382">
        <f t="shared" si="20"/>
        <v>2.1616457217626546E-4</v>
      </c>
      <c r="K114" s="382">
        <f t="shared" si="21"/>
        <v>2.0326225940900942E-5</v>
      </c>
      <c r="M114" s="400"/>
      <c r="N114" s="398" t="s">
        <v>4027</v>
      </c>
      <c r="O114" s="398" t="s">
        <v>3854</v>
      </c>
      <c r="P114" s="398" t="s">
        <v>231</v>
      </c>
      <c r="Q114" s="398">
        <v>11557695389.880001</v>
      </c>
      <c r="R114" s="398">
        <v>3.9773020376579833</v>
      </c>
      <c r="S114" s="398">
        <v>4.16</v>
      </c>
      <c r="T114" s="398">
        <v>298.10919999999999</v>
      </c>
      <c r="U114" s="398">
        <v>38.770000000000003</v>
      </c>
      <c r="W114" s="401" t="s">
        <v>3854</v>
      </c>
      <c r="X114" s="402" t="s">
        <v>231</v>
      </c>
      <c r="Y114" s="386">
        <f t="shared" si="22"/>
        <v>11557.69538988</v>
      </c>
      <c r="Z114" s="387">
        <f t="shared" si="23"/>
        <v>3.9773020376579836E-2</v>
      </c>
      <c r="AA114" s="387">
        <f t="shared" si="24"/>
        <v>4.1599999999999998E-2</v>
      </c>
      <c r="AB114" s="403">
        <f t="shared" si="25"/>
        <v>8.2200299200412691E-2</v>
      </c>
      <c r="AC114" s="388">
        <f t="shared" si="26"/>
        <v>2.2821715814872929E-4</v>
      </c>
      <c r="AD114" s="389">
        <f t="shared" si="27"/>
        <v>1.8759518682493448E-5</v>
      </c>
    </row>
    <row r="115" spans="1:30" x14ac:dyDescent="0.55000000000000004">
      <c r="A115" t="str">
        <f t="shared" si="14"/>
        <v>Copart Inc</v>
      </c>
      <c r="B115" t="str">
        <f t="shared" si="14"/>
        <v>CPRT</v>
      </c>
      <c r="C115" s="382" t="str">
        <f t="shared" si="15"/>
        <v>0.00%</v>
      </c>
      <c r="D115" s="383">
        <f t="shared" si="16"/>
        <v>55817.200327859995</v>
      </c>
      <c r="E115" s="384" t="str">
        <f t="shared" si="17"/>
        <v>N/A</v>
      </c>
      <c r="F115" s="385">
        <v>0.08</v>
      </c>
      <c r="G115" s="382">
        <v>0.13500000000000001</v>
      </c>
      <c r="H115" s="399">
        <f t="shared" si="18"/>
        <v>0.10750000000000001</v>
      </c>
      <c r="I115" s="399">
        <f t="shared" si="19"/>
        <v>0.10750000000000001</v>
      </c>
      <c r="J115" s="382">
        <f t="shared" si="20"/>
        <v>1.0439539044707453E-3</v>
      </c>
      <c r="K115" s="382">
        <f t="shared" si="21"/>
        <v>1.1222504473060513E-4</v>
      </c>
      <c r="M115" s="400"/>
      <c r="N115" s="398" t="s">
        <v>4028</v>
      </c>
      <c r="O115" s="398" t="s">
        <v>716</v>
      </c>
      <c r="P115" s="398" t="s">
        <v>232</v>
      </c>
      <c r="Q115" s="398">
        <v>55817200327.859993</v>
      </c>
      <c r="R115" s="398" t="s">
        <v>3929</v>
      </c>
      <c r="S115" s="398" t="s">
        <v>3929</v>
      </c>
      <c r="T115" s="398">
        <v>963.52839999999992</v>
      </c>
      <c r="U115" s="398">
        <v>57.93</v>
      </c>
      <c r="W115" s="401" t="s">
        <v>716</v>
      </c>
      <c r="X115" s="402" t="s">
        <v>232</v>
      </c>
      <c r="Y115" s="386">
        <f t="shared" si="22"/>
        <v>55817.200327859995</v>
      </c>
      <c r="Z115" s="387" t="str">
        <f t="shared" si="23"/>
        <v>0.00%</v>
      </c>
      <c r="AA115" s="387" t="str">
        <f t="shared" si="24"/>
        <v>N/A</v>
      </c>
      <c r="AB115" s="403" t="str">
        <f t="shared" si="25"/>
        <v>N/A</v>
      </c>
      <c r="AC115" s="388">
        <f t="shared" si="26"/>
        <v>1.1021611493409317E-3</v>
      </c>
      <c r="AD115" s="389" t="str">
        <f t="shared" si="27"/>
        <v>N/A</v>
      </c>
    </row>
    <row r="116" spans="1:30" x14ac:dyDescent="0.55000000000000004">
      <c r="A116" t="str">
        <f t="shared" si="14"/>
        <v>Camden Property Trust</v>
      </c>
      <c r="B116" t="str">
        <f t="shared" si="14"/>
        <v>CPT</v>
      </c>
      <c r="C116" s="382">
        <f t="shared" si="15"/>
        <v>3.6170961217131307E-2</v>
      </c>
      <c r="D116" s="383">
        <f t="shared" si="16"/>
        <v>12130.733010909998</v>
      </c>
      <c r="E116" s="384">
        <f t="shared" si="17"/>
        <v>2.1099999999999997E-2</v>
      </c>
      <c r="F116" s="385">
        <v>-8.5000000000000006E-2</v>
      </c>
      <c r="G116" s="382">
        <v>-2.9069E-3</v>
      </c>
      <c r="H116" s="399">
        <f t="shared" si="18"/>
        <v>-2.2268966666666671E-2</v>
      </c>
      <c r="I116" s="399">
        <f t="shared" si="19"/>
        <v>1.3499249585641842E-2</v>
      </c>
      <c r="J116" s="382">
        <f t="shared" si="20"/>
        <v>2.2688214414994079E-4</v>
      </c>
      <c r="K116" s="382">
        <f t="shared" si="21"/>
        <v>3.0627386904056211E-6</v>
      </c>
      <c r="M116" s="400"/>
      <c r="N116" s="398" t="s">
        <v>4029</v>
      </c>
      <c r="O116" s="398" t="s">
        <v>233</v>
      </c>
      <c r="P116" s="398" t="s">
        <v>234</v>
      </c>
      <c r="Q116" s="398">
        <v>12130733010.909998</v>
      </c>
      <c r="R116" s="398">
        <v>3.6170961217131308</v>
      </c>
      <c r="S116" s="398">
        <v>2.11</v>
      </c>
      <c r="T116" s="398">
        <v>106.68129999999999</v>
      </c>
      <c r="U116" s="398">
        <v>113.71</v>
      </c>
      <c r="W116" s="401" t="s">
        <v>233</v>
      </c>
      <c r="X116" s="402" t="s">
        <v>234</v>
      </c>
      <c r="Y116" s="386">
        <f t="shared" si="22"/>
        <v>12130.733010909998</v>
      </c>
      <c r="Z116" s="387">
        <f t="shared" si="23"/>
        <v>3.6170961217131307E-2</v>
      </c>
      <c r="AA116" s="387">
        <f t="shared" si="24"/>
        <v>2.1099999999999997E-2</v>
      </c>
      <c r="AB116" s="403">
        <f t="shared" si="25"/>
        <v>5.7652564857972044E-2</v>
      </c>
      <c r="AC116" s="388">
        <f t="shared" si="26"/>
        <v>2.3953230472183276E-4</v>
      </c>
      <c r="AD116" s="389">
        <f t="shared" si="27"/>
        <v>1.3809651733554986E-5</v>
      </c>
    </row>
    <row r="117" spans="1:30" ht="14.25" customHeight="1" x14ac:dyDescent="0.55000000000000004">
      <c r="A117" t="str">
        <f t="shared" si="14"/>
        <v>Charles River Laboratories International Inc</v>
      </c>
      <c r="B117" t="str">
        <f t="shared" si="14"/>
        <v>CRL</v>
      </c>
      <c r="C117" s="382" t="str">
        <f t="shared" si="15"/>
        <v>0.00%</v>
      </c>
      <c r="D117" s="383">
        <f t="shared" si="16"/>
        <v>8425.1966872800003</v>
      </c>
      <c r="E117" s="384" t="str">
        <f t="shared" si="17"/>
        <v>N/A</v>
      </c>
      <c r="F117" s="385">
        <v>5.5E-2</v>
      </c>
      <c r="G117" s="382">
        <v>5.4511000000000004E-2</v>
      </c>
      <c r="H117" s="399">
        <f t="shared" si="18"/>
        <v>5.4755499999999999E-2</v>
      </c>
      <c r="I117" s="399">
        <f t="shared" si="19"/>
        <v>5.4755499999999999E-2</v>
      </c>
      <c r="J117" s="382">
        <f t="shared" si="20"/>
        <v>1.5757717918413487E-4</v>
      </c>
      <c r="K117" s="382">
        <f t="shared" si="21"/>
        <v>8.6282172348168958E-6</v>
      </c>
      <c r="M117" s="400"/>
      <c r="N117" s="398" t="s">
        <v>4030</v>
      </c>
      <c r="O117" s="398" t="s">
        <v>717</v>
      </c>
      <c r="P117" s="398" t="s">
        <v>235</v>
      </c>
      <c r="Q117" s="398">
        <v>8425196687.2800007</v>
      </c>
      <c r="R117" s="398" t="s">
        <v>3929</v>
      </c>
      <c r="S117" s="398" t="s">
        <v>3929</v>
      </c>
      <c r="T117" s="398">
        <v>51.136179999999996</v>
      </c>
      <c r="U117" s="398">
        <v>164.76</v>
      </c>
      <c r="W117" s="401" t="s">
        <v>717</v>
      </c>
      <c r="X117" s="402" t="s">
        <v>235</v>
      </c>
      <c r="Y117" s="386">
        <f t="shared" si="22"/>
        <v>8425.1966872800003</v>
      </c>
      <c r="Z117" s="387" t="str">
        <f t="shared" si="23"/>
        <v>0.00%</v>
      </c>
      <c r="AA117" s="387" t="str">
        <f t="shared" si="24"/>
        <v>N/A</v>
      </c>
      <c r="AB117" s="403" t="str">
        <f t="shared" si="25"/>
        <v>N/A</v>
      </c>
      <c r="AC117" s="388">
        <f t="shared" si="26"/>
        <v>1.663631355519825E-4</v>
      </c>
      <c r="AD117" s="389" t="str">
        <f t="shared" si="27"/>
        <v>N/A</v>
      </c>
    </row>
    <row r="118" spans="1:30" x14ac:dyDescent="0.55000000000000004">
      <c r="A118" t="str">
        <f t="shared" si="14"/>
        <v>Salesforce Inc</v>
      </c>
      <c r="B118" t="str">
        <f t="shared" si="14"/>
        <v>CRM</v>
      </c>
      <c r="C118" s="382">
        <f t="shared" si="15"/>
        <v>4.0766754462979223E-3</v>
      </c>
      <c r="D118" s="383">
        <f t="shared" si="16"/>
        <v>327006.89999999997</v>
      </c>
      <c r="E118" s="384">
        <f t="shared" si="17"/>
        <v>0.17420000000000002</v>
      </c>
      <c r="F118" s="385">
        <v>0.245</v>
      </c>
      <c r="G118" s="382">
        <v>0.15615500000000002</v>
      </c>
      <c r="H118" s="399">
        <f t="shared" si="18"/>
        <v>0.19178500000000001</v>
      </c>
      <c r="I118" s="399">
        <f t="shared" si="19"/>
        <v>0.19625259804653206</v>
      </c>
      <c r="J118" s="382">
        <f t="shared" si="20"/>
        <v>6.1160382111368952E-3</v>
      </c>
      <c r="K118" s="382">
        <f t="shared" si="21"/>
        <v>1.2002883886874801E-3</v>
      </c>
      <c r="M118" s="400"/>
      <c r="N118" s="398" t="s">
        <v>4031</v>
      </c>
      <c r="O118" s="398" t="s">
        <v>718</v>
      </c>
      <c r="P118" s="398" t="s">
        <v>236</v>
      </c>
      <c r="Q118" s="398">
        <v>327006899999.99994</v>
      </c>
      <c r="R118" s="398">
        <v>0.40766754462979227</v>
      </c>
      <c r="S118" s="398">
        <v>17.420000000000002</v>
      </c>
      <c r="T118" s="398">
        <v>957</v>
      </c>
      <c r="U118" s="398">
        <v>341.7</v>
      </c>
      <c r="W118" s="401" t="s">
        <v>718</v>
      </c>
      <c r="X118" s="402" t="s">
        <v>236</v>
      </c>
      <c r="Y118" s="386">
        <f t="shared" si="22"/>
        <v>327006.89999999997</v>
      </c>
      <c r="Z118" s="387">
        <f t="shared" si="23"/>
        <v>4.0766754462979223E-3</v>
      </c>
      <c r="AA118" s="387">
        <f t="shared" si="24"/>
        <v>0.17420000000000002</v>
      </c>
      <c r="AB118" s="403">
        <f t="shared" si="25"/>
        <v>0.1786317538776705</v>
      </c>
      <c r="AC118" s="388">
        <f t="shared" si="26"/>
        <v>6.4570472655276073E-3</v>
      </c>
      <c r="AD118" s="389">
        <f t="shared" si="27"/>
        <v>1.1534336779122128E-3</v>
      </c>
    </row>
    <row r="119" spans="1:30" x14ac:dyDescent="0.55000000000000004">
      <c r="A119" t="str">
        <f t="shared" si="14"/>
        <v>Crowdstrike Holdings Inc</v>
      </c>
      <c r="B119" t="str">
        <f t="shared" si="14"/>
        <v>CRWD</v>
      </c>
      <c r="C119" s="382" t="str">
        <f t="shared" si="15"/>
        <v>0.00%</v>
      </c>
      <c r="D119" s="383">
        <f t="shared" si="16"/>
        <v>98056.07635689</v>
      </c>
      <c r="E119" s="384">
        <f t="shared" si="17"/>
        <v>0.54969999999999997</v>
      </c>
      <c r="F119" s="385" t="s">
        <v>184</v>
      </c>
      <c r="G119" s="382">
        <v>0.35103859999999998</v>
      </c>
      <c r="H119" s="399">
        <f t="shared" si="18"/>
        <v>0.45036929999999997</v>
      </c>
      <c r="I119" s="399">
        <f t="shared" si="19"/>
        <v>0.45036929999999997</v>
      </c>
      <c r="J119" s="382">
        <f t="shared" si="20"/>
        <v>1.8339512402732064E-3</v>
      </c>
      <c r="K119" s="382">
        <f t="shared" si="21"/>
        <v>8.2595533631597568E-4</v>
      </c>
      <c r="M119" s="400"/>
      <c r="N119" s="398" t="s">
        <v>4032</v>
      </c>
      <c r="O119" s="398" t="s">
        <v>2664</v>
      </c>
      <c r="P119" s="398" t="s">
        <v>2665</v>
      </c>
      <c r="Q119" s="398">
        <v>98056076356.889999</v>
      </c>
      <c r="R119" s="398" t="s">
        <v>3929</v>
      </c>
      <c r="S119" s="398">
        <v>54.97</v>
      </c>
      <c r="T119" s="398">
        <v>233.85119999999998</v>
      </c>
      <c r="U119" s="398">
        <v>398.07</v>
      </c>
      <c r="W119" s="401" t="s">
        <v>2664</v>
      </c>
      <c r="X119" s="402" t="s">
        <v>2665</v>
      </c>
      <c r="Y119" s="386">
        <f t="shared" si="22"/>
        <v>98056.07635689</v>
      </c>
      <c r="Z119" s="387" t="str">
        <f t="shared" si="23"/>
        <v>0.00%</v>
      </c>
      <c r="AA119" s="387">
        <f t="shared" si="24"/>
        <v>0.54969999999999997</v>
      </c>
      <c r="AB119" s="403">
        <f t="shared" si="25"/>
        <v>0.54969999999999997</v>
      </c>
      <c r="AC119" s="388">
        <f t="shared" si="26"/>
        <v>1.9362059935390443E-3</v>
      </c>
      <c r="AD119" s="389">
        <f t="shared" si="27"/>
        <v>1.0643324346484126E-3</v>
      </c>
    </row>
    <row r="120" spans="1:30" x14ac:dyDescent="0.55000000000000004">
      <c r="A120" t="str">
        <f t="shared" si="14"/>
        <v>Cisco Systems Inc</v>
      </c>
      <c r="B120" t="str">
        <f t="shared" si="14"/>
        <v>CSCO</v>
      </c>
      <c r="C120" s="382">
        <f t="shared" si="15"/>
        <v>2.6716171617161714E-2</v>
      </c>
      <c r="D120" s="383">
        <f t="shared" si="16"/>
        <v>241355.15055600007</v>
      </c>
      <c r="E120" s="384">
        <f t="shared" si="17"/>
        <v>4.0399999999999998E-2</v>
      </c>
      <c r="F120" s="385">
        <v>4.4999999999999998E-2</v>
      </c>
      <c r="G120" s="382">
        <v>4.1751899999999995E-2</v>
      </c>
      <c r="H120" s="399">
        <f t="shared" si="18"/>
        <v>4.2383966666666661E-2</v>
      </c>
      <c r="I120" s="399">
        <f t="shared" si="19"/>
        <v>6.9666306947469739E-2</v>
      </c>
      <c r="J120" s="382">
        <f t="shared" si="20"/>
        <v>4.5140861653231012E-3</v>
      </c>
      <c r="K120" s="382">
        <f t="shared" si="21"/>
        <v>3.144797123807258E-4</v>
      </c>
      <c r="M120" s="400"/>
      <c r="N120" s="398" t="s">
        <v>4033</v>
      </c>
      <c r="O120" s="398" t="s">
        <v>719</v>
      </c>
      <c r="P120" s="398" t="s">
        <v>237</v>
      </c>
      <c r="Q120" s="398">
        <v>241355150556.00006</v>
      </c>
      <c r="R120" s="398">
        <v>2.6716171617161715</v>
      </c>
      <c r="S120" s="398">
        <v>4.04</v>
      </c>
      <c r="T120" s="398">
        <v>3982.7579999999998</v>
      </c>
      <c r="U120" s="398">
        <v>60.6</v>
      </c>
      <c r="W120" s="401" t="s">
        <v>719</v>
      </c>
      <c r="X120" s="402" t="s">
        <v>237</v>
      </c>
      <c r="Y120" s="386">
        <f t="shared" si="22"/>
        <v>241355.15055600007</v>
      </c>
      <c r="Z120" s="387">
        <f t="shared" si="23"/>
        <v>2.6716171617161714E-2</v>
      </c>
      <c r="AA120" s="387">
        <f t="shared" si="24"/>
        <v>4.0399999999999998E-2</v>
      </c>
      <c r="AB120" s="403">
        <f t="shared" si="25"/>
        <v>6.7655838283828373E-2</v>
      </c>
      <c r="AC120" s="388">
        <f t="shared" si="26"/>
        <v>4.7657759359775722E-3</v>
      </c>
      <c r="AD120" s="389">
        <f t="shared" si="27"/>
        <v>3.224325660214594E-4</v>
      </c>
    </row>
    <row r="121" spans="1:30" x14ac:dyDescent="0.55000000000000004">
      <c r="A121" t="str">
        <f t="shared" si="14"/>
        <v>CoStar Group Inc</v>
      </c>
      <c r="B121" t="str">
        <f t="shared" si="14"/>
        <v>CSGP</v>
      </c>
      <c r="C121" s="382">
        <f t="shared" si="15"/>
        <v>0</v>
      </c>
      <c r="D121" s="383">
        <f t="shared" si="16"/>
        <v>31402.8990022</v>
      </c>
      <c r="E121" s="384" t="str">
        <f t="shared" si="17"/>
        <v>N/A</v>
      </c>
      <c r="F121" s="385">
        <v>0.13</v>
      </c>
      <c r="G121" s="382">
        <v>0.157</v>
      </c>
      <c r="H121" s="399">
        <f t="shared" si="18"/>
        <v>0.14350000000000002</v>
      </c>
      <c r="I121" s="399">
        <f t="shared" si="19"/>
        <v>0.14350000000000002</v>
      </c>
      <c r="J121" s="382">
        <f t="shared" si="20"/>
        <v>5.87331124321621E-4</v>
      </c>
      <c r="K121" s="382">
        <f t="shared" si="21"/>
        <v>8.4282016340152623E-5</v>
      </c>
      <c r="M121" s="400"/>
      <c r="N121" s="398" t="s">
        <v>4034</v>
      </c>
      <c r="O121" s="398" t="s">
        <v>720</v>
      </c>
      <c r="P121" s="398" t="s">
        <v>238</v>
      </c>
      <c r="Q121" s="398">
        <v>31402899002.200001</v>
      </c>
      <c r="R121" s="398">
        <v>0</v>
      </c>
      <c r="S121" s="398" t="s">
        <v>3929</v>
      </c>
      <c r="T121" s="398">
        <v>409.95949999999999</v>
      </c>
      <c r="U121" s="398">
        <v>76.599999999999994</v>
      </c>
      <c r="W121" s="401" t="s">
        <v>720</v>
      </c>
      <c r="X121" s="402" t="s">
        <v>238</v>
      </c>
      <c r="Y121" s="386">
        <f t="shared" si="22"/>
        <v>31402.8990022</v>
      </c>
      <c r="Z121" s="387">
        <f t="shared" si="23"/>
        <v>0</v>
      </c>
      <c r="AA121" s="387" t="str">
        <f t="shared" si="24"/>
        <v>N/A</v>
      </c>
      <c r="AB121" s="403" t="str">
        <f t="shared" si="25"/>
        <v>N/A</v>
      </c>
      <c r="AC121" s="388">
        <f t="shared" si="26"/>
        <v>6.2007866846783711E-4</v>
      </c>
      <c r="AD121" s="389" t="str">
        <f t="shared" si="27"/>
        <v>N/A</v>
      </c>
    </row>
    <row r="122" spans="1:30" x14ac:dyDescent="0.55000000000000004">
      <c r="A122" t="str">
        <f t="shared" si="14"/>
        <v>CSX Corp</v>
      </c>
      <c r="B122" t="str">
        <f t="shared" si="14"/>
        <v>CSX</v>
      </c>
      <c r="C122" s="382">
        <f t="shared" si="15"/>
        <v>1.5546090660176455E-2</v>
      </c>
      <c r="D122" s="383">
        <f t="shared" si="16"/>
        <v>63387.137559109986</v>
      </c>
      <c r="E122" s="384">
        <f t="shared" si="17"/>
        <v>9.4600000000000004E-2</v>
      </c>
      <c r="F122" s="385">
        <v>7.4999999999999997E-2</v>
      </c>
      <c r="G122" s="382">
        <v>7.9648700000000003E-2</v>
      </c>
      <c r="H122" s="399">
        <f t="shared" si="18"/>
        <v>8.3082900000000001E-2</v>
      </c>
      <c r="I122" s="399">
        <f t="shared" si="19"/>
        <v>9.927479780803164E-2</v>
      </c>
      <c r="J122" s="382">
        <f t="shared" si="20"/>
        <v>1.1855350923974611E-3</v>
      </c>
      <c r="K122" s="382">
        <f t="shared" si="21"/>
        <v>1.1769375659208407E-4</v>
      </c>
      <c r="M122" s="400"/>
      <c r="N122" s="398" t="s">
        <v>4035</v>
      </c>
      <c r="O122" s="398" t="s">
        <v>721</v>
      </c>
      <c r="P122" s="398" t="s">
        <v>239</v>
      </c>
      <c r="Q122" s="398">
        <v>63387137559.109985</v>
      </c>
      <c r="R122" s="398">
        <v>1.5546090660176455</v>
      </c>
      <c r="S122" s="398">
        <v>9.4600000000000009</v>
      </c>
      <c r="T122" s="398">
        <v>1928.4189999999999</v>
      </c>
      <c r="U122" s="398">
        <v>32.869999999999997</v>
      </c>
      <c r="W122" s="401" t="s">
        <v>721</v>
      </c>
      <c r="X122" s="402" t="s">
        <v>239</v>
      </c>
      <c r="Y122" s="386">
        <f t="shared" si="22"/>
        <v>63387.137559109986</v>
      </c>
      <c r="Z122" s="387">
        <f t="shared" si="23"/>
        <v>1.5546090660176455E-2</v>
      </c>
      <c r="AA122" s="387">
        <f t="shared" si="24"/>
        <v>9.4600000000000004E-2</v>
      </c>
      <c r="AB122" s="403">
        <f t="shared" si="25"/>
        <v>0.11088142074840281</v>
      </c>
      <c r="AC122" s="388">
        <f t="shared" si="26"/>
        <v>1.2516364127046662E-3</v>
      </c>
      <c r="AD122" s="389">
        <f t="shared" si="27"/>
        <v>1.3878322370112762E-4</v>
      </c>
    </row>
    <row r="123" spans="1:30" x14ac:dyDescent="0.55000000000000004">
      <c r="A123" t="str">
        <f t="shared" si="14"/>
        <v>Cintas Corp</v>
      </c>
      <c r="B123" t="str">
        <f t="shared" si="14"/>
        <v>CTAS</v>
      </c>
      <c r="C123" s="382">
        <f t="shared" si="15"/>
        <v>7.6482026225258015E-3</v>
      </c>
      <c r="D123" s="383">
        <f t="shared" si="16"/>
        <v>80938.806441240013</v>
      </c>
      <c r="E123" s="384" t="str">
        <f t="shared" si="17"/>
        <v>N/A</v>
      </c>
      <c r="F123" s="385">
        <v>0.14499999999999999</v>
      </c>
      <c r="G123" s="382">
        <v>0.12</v>
      </c>
      <c r="H123" s="399">
        <f t="shared" si="18"/>
        <v>0.13250000000000001</v>
      </c>
      <c r="I123" s="399">
        <f t="shared" si="19"/>
        <v>0.14065489604626813</v>
      </c>
      <c r="J123" s="382">
        <f t="shared" si="20"/>
        <v>1.5138054669746632E-3</v>
      </c>
      <c r="K123" s="382">
        <f t="shared" si="21"/>
        <v>2.1292415059159363E-4</v>
      </c>
      <c r="M123" s="400"/>
      <c r="N123" s="398" t="s">
        <v>4036</v>
      </c>
      <c r="O123" s="398" t="s">
        <v>722</v>
      </c>
      <c r="P123" s="398" t="s">
        <v>240</v>
      </c>
      <c r="Q123" s="398">
        <v>80938806441.240005</v>
      </c>
      <c r="R123" s="398">
        <v>0.76482026225258015</v>
      </c>
      <c r="S123" s="398" t="s">
        <v>3929</v>
      </c>
      <c r="T123" s="398">
        <v>403.54390000000001</v>
      </c>
      <c r="U123" s="398">
        <v>200.57</v>
      </c>
      <c r="W123" s="401" t="s">
        <v>722</v>
      </c>
      <c r="X123" s="402" t="s">
        <v>240</v>
      </c>
      <c r="Y123" s="386">
        <f t="shared" si="22"/>
        <v>80938.806441240013</v>
      </c>
      <c r="Z123" s="387">
        <f t="shared" si="23"/>
        <v>7.6482026225258015E-3</v>
      </c>
      <c r="AA123" s="387" t="str">
        <f t="shared" si="24"/>
        <v>N/A</v>
      </c>
      <c r="AB123" s="403" t="str">
        <f t="shared" si="25"/>
        <v>N/A</v>
      </c>
      <c r="AC123" s="388">
        <f t="shared" si="26"/>
        <v>1.598210003539611E-3</v>
      </c>
      <c r="AD123" s="389" t="str">
        <f t="shared" si="27"/>
        <v>N/A</v>
      </c>
    </row>
    <row r="124" spans="1:30" x14ac:dyDescent="0.55000000000000004">
      <c r="A124" t="str">
        <f t="shared" si="14"/>
        <v>Coterra Energy Inc</v>
      </c>
      <c r="B124" t="str">
        <f t="shared" si="14"/>
        <v>CTRA</v>
      </c>
      <c r="C124" s="382">
        <f t="shared" si="15"/>
        <v>3.023088023088023E-2</v>
      </c>
      <c r="D124" s="383">
        <f t="shared" si="16"/>
        <v>20418.9129144</v>
      </c>
      <c r="E124" s="384">
        <f t="shared" si="17"/>
        <v>0.15540000000000001</v>
      </c>
      <c r="F124" s="385">
        <v>5.5E-2</v>
      </c>
      <c r="G124" s="382">
        <v>0.22267779999999998</v>
      </c>
      <c r="H124" s="399">
        <f t="shared" si="18"/>
        <v>0.14435926666666665</v>
      </c>
      <c r="I124" s="399">
        <f t="shared" si="19"/>
        <v>0.17677220074795574</v>
      </c>
      <c r="J124" s="382">
        <f t="shared" si="20"/>
        <v>3.8189668662755137E-4</v>
      </c>
      <c r="K124" s="382">
        <f t="shared" si="21"/>
        <v>6.7508717753504653E-5</v>
      </c>
      <c r="M124" s="400"/>
      <c r="N124" s="398" t="s">
        <v>4037</v>
      </c>
      <c r="O124" s="398" t="s">
        <v>723</v>
      </c>
      <c r="P124" s="398" t="s">
        <v>241</v>
      </c>
      <c r="Q124" s="398">
        <v>20418912914.400002</v>
      </c>
      <c r="R124" s="398">
        <v>3.023088023088023</v>
      </c>
      <c r="S124" s="398">
        <v>15.540000000000001</v>
      </c>
      <c r="T124" s="398">
        <v>736.61299999999994</v>
      </c>
      <c r="U124" s="398">
        <v>27.72</v>
      </c>
      <c r="W124" s="401" t="s">
        <v>723</v>
      </c>
      <c r="X124" s="402" t="s">
        <v>241</v>
      </c>
      <c r="Y124" s="386">
        <f t="shared" si="22"/>
        <v>20418.9129144</v>
      </c>
      <c r="Z124" s="387">
        <f t="shared" si="23"/>
        <v>3.023088023088023E-2</v>
      </c>
      <c r="AA124" s="387">
        <f t="shared" si="24"/>
        <v>0.15540000000000001</v>
      </c>
      <c r="AB124" s="403">
        <f t="shared" si="25"/>
        <v>0.18797981962481963</v>
      </c>
      <c r="AC124" s="388">
        <f t="shared" si="26"/>
        <v>4.0318991984258706E-4</v>
      </c>
      <c r="AD124" s="389">
        <f t="shared" si="27"/>
        <v>7.5791568406554998E-5</v>
      </c>
    </row>
    <row r="125" spans="1:30" x14ac:dyDescent="0.55000000000000004">
      <c r="A125" t="str">
        <f t="shared" si="14"/>
        <v>Cognizant Technology Solutions Corp</v>
      </c>
      <c r="B125" t="str">
        <f t="shared" si="14"/>
        <v>CTSH</v>
      </c>
      <c r="C125" s="382">
        <f t="shared" si="15"/>
        <v>1.4574506718314973E-2</v>
      </c>
      <c r="D125" s="383">
        <f t="shared" si="16"/>
        <v>40960.042118599995</v>
      </c>
      <c r="E125" s="384">
        <f t="shared" si="17"/>
        <v>6.2E-2</v>
      </c>
      <c r="F125" s="385">
        <v>0.09</v>
      </c>
      <c r="G125" s="382">
        <v>6.4069799999999996E-2</v>
      </c>
      <c r="H125" s="399">
        <f t="shared" si="18"/>
        <v>7.2023266666666655E-2</v>
      </c>
      <c r="I125" s="399">
        <f t="shared" si="19"/>
        <v>8.7122625176935795E-2</v>
      </c>
      <c r="J125" s="382">
        <f t="shared" si="20"/>
        <v>7.6607919504797671E-4</v>
      </c>
      <c r="K125" s="382">
        <f t="shared" si="21"/>
        <v>6.6742830566013568E-5</v>
      </c>
      <c r="M125" s="400"/>
      <c r="N125" s="398" t="s">
        <v>4038</v>
      </c>
      <c r="O125" s="398" t="s">
        <v>724</v>
      </c>
      <c r="P125" s="398" t="s">
        <v>242</v>
      </c>
      <c r="Q125" s="398">
        <v>40960042118.599998</v>
      </c>
      <c r="R125" s="398">
        <v>1.4574506718314972</v>
      </c>
      <c r="S125" s="398">
        <v>6.2</v>
      </c>
      <c r="T125" s="398">
        <v>495.82429999999999</v>
      </c>
      <c r="U125" s="398">
        <v>82.61</v>
      </c>
      <c r="W125" s="401" t="s">
        <v>724</v>
      </c>
      <c r="X125" s="402" t="s">
        <v>242</v>
      </c>
      <c r="Y125" s="386">
        <f t="shared" si="22"/>
        <v>40960.042118599995</v>
      </c>
      <c r="Z125" s="387">
        <f t="shared" si="23"/>
        <v>1.4574506718314973E-2</v>
      </c>
      <c r="AA125" s="387">
        <f t="shared" si="24"/>
        <v>6.2E-2</v>
      </c>
      <c r="AB125" s="403">
        <f t="shared" si="25"/>
        <v>7.7026316426582739E-2</v>
      </c>
      <c r="AC125" s="388">
        <f t="shared" si="26"/>
        <v>8.0879311096433064E-4</v>
      </c>
      <c r="AD125" s="389">
        <f t="shared" si="27"/>
        <v>6.2298354088778771E-5</v>
      </c>
    </row>
    <row r="126" spans="1:30" x14ac:dyDescent="0.55000000000000004">
      <c r="A126" t="str">
        <f t="shared" si="14"/>
        <v>Corteva Inc</v>
      </c>
      <c r="B126" t="str">
        <f t="shared" si="14"/>
        <v>CTVA</v>
      </c>
      <c r="C126" s="382">
        <f t="shared" si="15"/>
        <v>1.0050559215566112E-2</v>
      </c>
      <c r="D126" s="383">
        <f t="shared" si="16"/>
        <v>45182.961689999996</v>
      </c>
      <c r="E126" s="384">
        <f t="shared" si="17"/>
        <v>9.0999999999999998E-2</v>
      </c>
      <c r="F126" s="385">
        <v>7.0000000000000007E-2</v>
      </c>
      <c r="G126" s="382">
        <v>0.11118</v>
      </c>
      <c r="H126" s="399">
        <f t="shared" si="18"/>
        <v>9.0726666666666664E-2</v>
      </c>
      <c r="I126" s="399">
        <f t="shared" si="19"/>
        <v>0.10123315275011491</v>
      </c>
      <c r="J126" s="382">
        <f t="shared" si="20"/>
        <v>8.4506082345165952E-4</v>
      </c>
      <c r="K126" s="382">
        <f t="shared" si="21"/>
        <v>8.554817142361974E-5</v>
      </c>
      <c r="M126" s="400"/>
      <c r="N126" s="398" t="s">
        <v>4039</v>
      </c>
      <c r="O126" s="398" t="s">
        <v>725</v>
      </c>
      <c r="P126" s="398" t="s">
        <v>243</v>
      </c>
      <c r="Q126" s="398">
        <v>45182961690</v>
      </c>
      <c r="R126" s="398">
        <v>1.0050559215566113</v>
      </c>
      <c r="S126" s="398">
        <v>9.1</v>
      </c>
      <c r="T126" s="398">
        <v>692.24699999999996</v>
      </c>
      <c r="U126" s="398">
        <v>65.27</v>
      </c>
      <c r="W126" s="401" t="s">
        <v>725</v>
      </c>
      <c r="X126" s="402" t="s">
        <v>243</v>
      </c>
      <c r="Y126" s="386">
        <f t="shared" si="22"/>
        <v>45182.961689999996</v>
      </c>
      <c r="Z126" s="387">
        <f t="shared" si="23"/>
        <v>1.0050559215566112E-2</v>
      </c>
      <c r="AA126" s="387">
        <f t="shared" si="24"/>
        <v>9.0999999999999998E-2</v>
      </c>
      <c r="AB126" s="403">
        <f t="shared" si="25"/>
        <v>0.10150785965987437</v>
      </c>
      <c r="AC126" s="388">
        <f t="shared" si="26"/>
        <v>8.9217848072579867E-4</v>
      </c>
      <c r="AD126" s="389">
        <f t="shared" si="27"/>
        <v>9.0563128013074296E-5</v>
      </c>
    </row>
    <row r="127" spans="1:30" x14ac:dyDescent="0.55000000000000004">
      <c r="A127" t="str">
        <f t="shared" si="14"/>
        <v>CVS Health Corp</v>
      </c>
      <c r="B127" t="str">
        <f t="shared" si="14"/>
        <v>CVS</v>
      </c>
      <c r="C127" s="382">
        <f t="shared" si="15"/>
        <v>4.6423512747875352E-2</v>
      </c>
      <c r="D127" s="383">
        <f t="shared" si="16"/>
        <v>71074.8637896</v>
      </c>
      <c r="E127" s="384">
        <f t="shared" si="17"/>
        <v>-4.2350000000000006E-2</v>
      </c>
      <c r="F127" s="385">
        <v>1.4999999999999999E-2</v>
      </c>
      <c r="G127" s="382">
        <v>0.1276291</v>
      </c>
      <c r="H127" s="399">
        <f t="shared" si="18"/>
        <v>3.3426366666666658E-2</v>
      </c>
      <c r="I127" s="399">
        <f t="shared" si="19"/>
        <v>8.0625764094074598E-2</v>
      </c>
      <c r="J127" s="382">
        <f t="shared" si="20"/>
        <v>1.3293192981204485E-3</v>
      </c>
      <c r="K127" s="382">
        <f t="shared" si="21"/>
        <v>1.0717738413596011E-4</v>
      </c>
      <c r="M127" s="400"/>
      <c r="N127" s="398" t="s">
        <v>4040</v>
      </c>
      <c r="O127" s="398" t="s">
        <v>726</v>
      </c>
      <c r="P127" s="398" t="s">
        <v>244</v>
      </c>
      <c r="Q127" s="398">
        <v>71074863789.600006</v>
      </c>
      <c r="R127" s="398">
        <v>4.6423512747875355</v>
      </c>
      <c r="S127" s="398">
        <v>-4.2350000000000003</v>
      </c>
      <c r="T127" s="398">
        <v>1258.4079999999999</v>
      </c>
      <c r="U127" s="398">
        <v>56.48</v>
      </c>
      <c r="W127" s="401" t="s">
        <v>726</v>
      </c>
      <c r="X127" s="402" t="s">
        <v>244</v>
      </c>
      <c r="Y127" s="386">
        <f t="shared" si="22"/>
        <v>71074.8637896</v>
      </c>
      <c r="Z127" s="387">
        <f t="shared" si="23"/>
        <v>4.6423512747875352E-2</v>
      </c>
      <c r="AA127" s="387">
        <f t="shared" si="24"/>
        <v>-4.2350000000000006E-2</v>
      </c>
      <c r="AB127" s="403">
        <f t="shared" si="25"/>
        <v>3.0904948654390807E-3</v>
      </c>
      <c r="AC127" s="388">
        <f t="shared" si="26"/>
        <v>1.4034375264876183E-3</v>
      </c>
      <c r="AD127" s="389">
        <f t="shared" si="27"/>
        <v>4.337316469574508E-6</v>
      </c>
    </row>
    <row r="128" spans="1:30" x14ac:dyDescent="0.55000000000000004">
      <c r="A128" t="str">
        <f t="shared" si="14"/>
        <v>Chevron Corp</v>
      </c>
      <c r="B128" t="str">
        <f t="shared" si="14"/>
        <v>CVX</v>
      </c>
      <c r="C128" s="382">
        <f t="shared" si="15"/>
        <v>4.6008445606273873E-2</v>
      </c>
      <c r="D128" s="383">
        <f t="shared" si="16"/>
        <v>268108.05477674998</v>
      </c>
      <c r="E128" s="384">
        <f t="shared" si="17"/>
        <v>1.5E-3</v>
      </c>
      <c r="F128" s="385">
        <v>0.03</v>
      </c>
      <c r="G128" s="382">
        <v>5.8936000000000002E-2</v>
      </c>
      <c r="H128" s="399">
        <f t="shared" si="18"/>
        <v>3.0145333333333333E-2</v>
      </c>
      <c r="I128" s="399">
        <f t="shared" si="19"/>
        <v>7.6847248904082038E-2</v>
      </c>
      <c r="J128" s="382">
        <f t="shared" si="20"/>
        <v>5.01444803680958E-3</v>
      </c>
      <c r="K128" s="382">
        <f t="shared" si="21"/>
        <v>3.8534653640129134E-4</v>
      </c>
      <c r="M128" s="400"/>
      <c r="N128" s="398" t="s">
        <v>4041</v>
      </c>
      <c r="O128" s="398" t="s">
        <v>727</v>
      </c>
      <c r="P128" s="398" t="s">
        <v>245</v>
      </c>
      <c r="Q128" s="398">
        <v>268108054776.74997</v>
      </c>
      <c r="R128" s="398">
        <v>4.6008445606273876</v>
      </c>
      <c r="S128" s="398">
        <v>0.15</v>
      </c>
      <c r="T128" s="398">
        <v>1797.0909999999999</v>
      </c>
      <c r="U128" s="398">
        <v>149.19</v>
      </c>
      <c r="W128" s="401" t="s">
        <v>727</v>
      </c>
      <c r="X128" s="402" t="s">
        <v>245</v>
      </c>
      <c r="Y128" s="386">
        <f t="shared" si="22"/>
        <v>268108.05477674998</v>
      </c>
      <c r="Z128" s="387">
        <f t="shared" si="23"/>
        <v>4.6008445606273873E-2</v>
      </c>
      <c r="AA128" s="387">
        <f t="shared" si="24"/>
        <v>1.5E-3</v>
      </c>
      <c r="AB128" s="403">
        <f t="shared" si="25"/>
        <v>4.7542951940478584E-2</v>
      </c>
      <c r="AC128" s="388">
        <f t="shared" si="26"/>
        <v>5.2940362480490156E-3</v>
      </c>
      <c r="AD128" s="389">
        <f t="shared" si="27"/>
        <v>2.516941109121459E-4</v>
      </c>
    </row>
    <row r="129" spans="1:30" x14ac:dyDescent="0.55000000000000004">
      <c r="A129" t="str">
        <f t="shared" si="14"/>
        <v>Caesars Entertainment Inc</v>
      </c>
      <c r="B129" t="str">
        <f t="shared" si="14"/>
        <v>CZR</v>
      </c>
      <c r="C129" s="382" t="str">
        <f t="shared" si="15"/>
        <v>0.00%</v>
      </c>
      <c r="D129" s="383">
        <f t="shared" si="16"/>
        <v>7659.9173385000004</v>
      </c>
      <c r="E129" s="384">
        <f t="shared" si="17"/>
        <v>0.9708</v>
      </c>
      <c r="F129" s="385" t="s">
        <v>184</v>
      </c>
      <c r="G129" s="382" t="s">
        <v>14</v>
      </c>
      <c r="H129" s="399">
        <f t="shared" si="18"/>
        <v>0.9708</v>
      </c>
      <c r="I129" s="399">
        <f t="shared" si="19"/>
        <v>0.9708</v>
      </c>
      <c r="J129" s="382">
        <f t="shared" si="20"/>
        <v>1.4326409362131512E-4</v>
      </c>
      <c r="K129" s="382">
        <f t="shared" si="21"/>
        <v>1.3908078208757271E-4</v>
      </c>
      <c r="M129" s="400"/>
      <c r="N129" s="398" t="s">
        <v>4042</v>
      </c>
      <c r="O129" s="398" t="s">
        <v>728</v>
      </c>
      <c r="P129" s="398" t="s">
        <v>246</v>
      </c>
      <c r="Q129" s="398">
        <v>7659917338.5</v>
      </c>
      <c r="R129" s="398" t="s">
        <v>3929</v>
      </c>
      <c r="S129" s="398">
        <v>97.08</v>
      </c>
      <c r="T129" s="398">
        <v>212.4804</v>
      </c>
      <c r="U129" s="398">
        <v>36.049999999999997</v>
      </c>
      <c r="W129" s="401" t="s">
        <v>728</v>
      </c>
      <c r="X129" s="402" t="s">
        <v>246</v>
      </c>
      <c r="Y129" s="386">
        <f t="shared" si="22"/>
        <v>7659.9173385000004</v>
      </c>
      <c r="Z129" s="387" t="str">
        <f t="shared" si="23"/>
        <v>0.00%</v>
      </c>
      <c r="AA129" s="387">
        <f t="shared" si="24"/>
        <v>0.9708</v>
      </c>
      <c r="AB129" s="403">
        <f t="shared" si="25"/>
        <v>0.9708</v>
      </c>
      <c r="AC129" s="388">
        <f t="shared" si="26"/>
        <v>1.5125200203643699E-4</v>
      </c>
      <c r="AD129" s="389">
        <f t="shared" si="27"/>
        <v>1.4683544357697303E-4</v>
      </c>
    </row>
    <row r="130" spans="1:30" x14ac:dyDescent="0.55000000000000004">
      <c r="A130" t="str">
        <f t="shared" si="14"/>
        <v>Dominion Energy Inc</v>
      </c>
      <c r="B130" t="str">
        <f t="shared" si="14"/>
        <v>D</v>
      </c>
      <c r="C130" s="382">
        <f t="shared" si="15"/>
        <v>4.7364633926965286E-2</v>
      </c>
      <c r="D130" s="383">
        <f t="shared" si="16"/>
        <v>46696.135109340001</v>
      </c>
      <c r="E130" s="384">
        <f t="shared" si="17"/>
        <v>0.10922999999999999</v>
      </c>
      <c r="F130" s="385">
        <v>3.5000000000000003E-2</v>
      </c>
      <c r="G130" s="382">
        <v>0.14223660000000002</v>
      </c>
      <c r="H130" s="399">
        <f t="shared" si="18"/>
        <v>9.5488866666666672E-2</v>
      </c>
      <c r="I130" s="399">
        <f t="shared" si="19"/>
        <v>0.14511489820051571</v>
      </c>
      <c r="J130" s="382">
        <f t="shared" si="20"/>
        <v>8.7336183622160456E-4</v>
      </c>
      <c r="K130" s="382">
        <f t="shared" si="21"/>
        <v>1.2673781395551362E-4</v>
      </c>
      <c r="M130" s="400"/>
      <c r="N130" s="398" t="s">
        <v>4043</v>
      </c>
      <c r="O130" s="398" t="s">
        <v>729</v>
      </c>
      <c r="P130" s="398" t="s">
        <v>35</v>
      </c>
      <c r="Q130" s="398">
        <v>46696135109.340004</v>
      </c>
      <c r="R130" s="398">
        <v>4.7364633926965283</v>
      </c>
      <c r="S130" s="398">
        <v>10.923</v>
      </c>
      <c r="T130" s="398">
        <v>840.00959999999998</v>
      </c>
      <c r="U130" s="398">
        <v>55.59</v>
      </c>
      <c r="W130" s="401" t="s">
        <v>729</v>
      </c>
      <c r="X130" s="402" t="s">
        <v>35</v>
      </c>
      <c r="Y130" s="386">
        <f t="shared" si="22"/>
        <v>46696.135109340001</v>
      </c>
      <c r="Z130" s="387">
        <f t="shared" si="23"/>
        <v>4.7364633926965286E-2</v>
      </c>
      <c r="AA130" s="387">
        <f t="shared" si="24"/>
        <v>0.10922999999999999</v>
      </c>
      <c r="AB130" s="403">
        <f t="shared" si="25"/>
        <v>0.15918145340888651</v>
      </c>
      <c r="AC130" s="388">
        <f t="shared" si="26"/>
        <v>9.2205745970030484E-4</v>
      </c>
      <c r="AD130" s="389">
        <f t="shared" si="27"/>
        <v>1.4677444656160032E-4</v>
      </c>
    </row>
    <row r="131" spans="1:30" x14ac:dyDescent="0.55000000000000004">
      <c r="A131" t="str">
        <f t="shared" si="14"/>
        <v>Delta Air Lines Inc</v>
      </c>
      <c r="B131" t="str">
        <f t="shared" si="14"/>
        <v>DAL</v>
      </c>
      <c r="C131" s="382">
        <f t="shared" si="15"/>
        <v>8.9044150438531301E-3</v>
      </c>
      <c r="D131" s="383">
        <f t="shared" si="16"/>
        <v>43408.067736669997</v>
      </c>
      <c r="E131" s="384">
        <f t="shared" si="17"/>
        <v>0.13849999999999998</v>
      </c>
      <c r="F131" s="385">
        <v>0.31</v>
      </c>
      <c r="G131" s="382">
        <v>8.5269999999999999E-2</v>
      </c>
      <c r="H131" s="399">
        <f t="shared" si="18"/>
        <v>0.17792333333333332</v>
      </c>
      <c r="I131" s="399">
        <f t="shared" si="19"/>
        <v>0.18761989998017936</v>
      </c>
      <c r="J131" s="382">
        <f t="shared" si="20"/>
        <v>8.1186482899624549E-4</v>
      </c>
      <c r="K131" s="382">
        <f t="shared" si="21"/>
        <v>1.52321998013701E-4</v>
      </c>
      <c r="M131" s="400"/>
      <c r="N131" s="398" t="s">
        <v>4044</v>
      </c>
      <c r="O131" s="398" t="s">
        <v>730</v>
      </c>
      <c r="P131" s="398" t="s">
        <v>247</v>
      </c>
      <c r="Q131" s="398">
        <v>43408067736.669998</v>
      </c>
      <c r="R131" s="398">
        <v>0.890441504385313</v>
      </c>
      <c r="S131" s="398">
        <v>13.85</v>
      </c>
      <c r="T131" s="398">
        <v>645.28120000000001</v>
      </c>
      <c r="U131" s="398">
        <v>67.27</v>
      </c>
      <c r="W131" s="401" t="s">
        <v>730</v>
      </c>
      <c r="X131" s="402" t="s">
        <v>247</v>
      </c>
      <c r="Y131" s="386">
        <f t="shared" si="22"/>
        <v>43408.067736669997</v>
      </c>
      <c r="Z131" s="387">
        <f t="shared" si="23"/>
        <v>8.9044150438531301E-3</v>
      </c>
      <c r="AA131" s="387">
        <f t="shared" si="24"/>
        <v>0.13849999999999998</v>
      </c>
      <c r="AB131" s="403">
        <f t="shared" si="25"/>
        <v>0.14802104578563993</v>
      </c>
      <c r="AC131" s="388">
        <f t="shared" si="26"/>
        <v>8.5713159288352083E-4</v>
      </c>
      <c r="AD131" s="389">
        <f t="shared" si="27"/>
        <v>1.2687351475453013E-4</v>
      </c>
    </row>
    <row r="132" spans="1:30" x14ac:dyDescent="0.55000000000000004">
      <c r="A132" t="str">
        <f t="shared" si="14"/>
        <v>Dayforce Inc</v>
      </c>
      <c r="B132" t="str">
        <f t="shared" si="14"/>
        <v>DAY</v>
      </c>
      <c r="C132" s="382">
        <f t="shared" si="15"/>
        <v>0</v>
      </c>
      <c r="D132" s="383">
        <f t="shared" si="16"/>
        <v>11155.698</v>
      </c>
      <c r="E132" s="384" t="str">
        <f t="shared" si="17"/>
        <v>N/A</v>
      </c>
      <c r="F132" s="385" t="s">
        <v>184</v>
      </c>
      <c r="G132" s="382">
        <v>0.19396000000000002</v>
      </c>
      <c r="H132" s="399">
        <f t="shared" si="18"/>
        <v>0.19396000000000002</v>
      </c>
      <c r="I132" s="399">
        <f t="shared" si="19"/>
        <v>0.19396000000000002</v>
      </c>
      <c r="J132" s="382">
        <f t="shared" si="20"/>
        <v>2.0864598037504238E-4</v>
      </c>
      <c r="K132" s="382">
        <f t="shared" si="21"/>
        <v>4.0468974353543228E-5</v>
      </c>
      <c r="M132" s="400"/>
      <c r="N132" s="398" t="s">
        <v>4045</v>
      </c>
      <c r="O132" s="398" t="s">
        <v>731</v>
      </c>
      <c r="P132" s="398" t="s">
        <v>732</v>
      </c>
      <c r="Q132" s="398">
        <v>11155698000</v>
      </c>
      <c r="R132" s="398">
        <v>0</v>
      </c>
      <c r="S132" s="398" t="s">
        <v>3929</v>
      </c>
      <c r="T132" s="398">
        <v>157.69999999999999</v>
      </c>
      <c r="U132" s="398">
        <v>70.739999999999995</v>
      </c>
      <c r="W132" s="401" t="s">
        <v>731</v>
      </c>
      <c r="X132" s="402" t="s">
        <v>732</v>
      </c>
      <c r="Y132" s="386">
        <f t="shared" si="22"/>
        <v>11155.698</v>
      </c>
      <c r="Z132" s="387">
        <f t="shared" si="23"/>
        <v>0</v>
      </c>
      <c r="AA132" s="387" t="str">
        <f t="shared" si="24"/>
        <v>N/A</v>
      </c>
      <c r="AB132" s="403" t="str">
        <f t="shared" si="25"/>
        <v>N/A</v>
      </c>
      <c r="AC132" s="388">
        <f t="shared" si="26"/>
        <v>2.2027935577491426E-4</v>
      </c>
      <c r="AD132" s="389" t="str">
        <f t="shared" si="27"/>
        <v>N/A</v>
      </c>
    </row>
    <row r="133" spans="1:30" x14ac:dyDescent="0.55000000000000004">
      <c r="A133" t="str">
        <f t="shared" si="14"/>
        <v>DuPont de Nemours Inc</v>
      </c>
      <c r="B133" t="str">
        <f t="shared" si="14"/>
        <v>DD</v>
      </c>
      <c r="C133" s="382">
        <f t="shared" si="15"/>
        <v>1.9765625000000002E-2</v>
      </c>
      <c r="D133" s="383">
        <f t="shared" si="16"/>
        <v>32098.975564799995</v>
      </c>
      <c r="E133" s="384">
        <f t="shared" si="17"/>
        <v>3.4950000000000002E-2</v>
      </c>
      <c r="F133" s="385">
        <v>0.09</v>
      </c>
      <c r="G133" s="382">
        <v>0.11522059999999999</v>
      </c>
      <c r="H133" s="399">
        <f t="shared" si="18"/>
        <v>8.0056866666666671E-2</v>
      </c>
      <c r="I133" s="399">
        <f t="shared" si="19"/>
        <v>0.10061367866927085</v>
      </c>
      <c r="J133" s="382">
        <f t="shared" si="20"/>
        <v>6.0034990421506786E-4</v>
      </c>
      <c r="K133" s="382">
        <f t="shared" si="21"/>
        <v>6.040341235182237E-5</v>
      </c>
      <c r="M133" s="400"/>
      <c r="N133" s="398" t="s">
        <v>4046</v>
      </c>
      <c r="O133" s="398" t="s">
        <v>733</v>
      </c>
      <c r="P133" s="398" t="s">
        <v>248</v>
      </c>
      <c r="Q133" s="398">
        <v>32098975564.799995</v>
      </c>
      <c r="R133" s="398">
        <v>1.9765625000000002</v>
      </c>
      <c r="S133" s="398">
        <v>3.4950000000000001</v>
      </c>
      <c r="T133" s="398">
        <v>417.9554</v>
      </c>
      <c r="U133" s="398">
        <v>76.8</v>
      </c>
      <c r="W133" s="401" t="s">
        <v>733</v>
      </c>
      <c r="X133" s="402" t="s">
        <v>248</v>
      </c>
      <c r="Y133" s="386">
        <f t="shared" si="22"/>
        <v>32098.975564799995</v>
      </c>
      <c r="Z133" s="387">
        <f t="shared" si="23"/>
        <v>1.9765625000000002E-2</v>
      </c>
      <c r="AA133" s="387">
        <f t="shared" si="24"/>
        <v>3.4950000000000002E-2</v>
      </c>
      <c r="AB133" s="403">
        <f t="shared" si="25"/>
        <v>5.5061029296875001E-2</v>
      </c>
      <c r="AC133" s="388">
        <f t="shared" si="26"/>
        <v>6.3382333032400637E-4</v>
      </c>
      <c r="AD133" s="389">
        <f t="shared" si="27"/>
        <v>3.4898964960012994E-5</v>
      </c>
    </row>
    <row r="134" spans="1:30" x14ac:dyDescent="0.55000000000000004">
      <c r="A134" t="str">
        <f t="shared" ref="A134:B197" si="28">O134</f>
        <v>Deere &amp; Co</v>
      </c>
      <c r="B134" t="str">
        <f t="shared" si="28"/>
        <v>DE</v>
      </c>
      <c r="C134" s="382">
        <f t="shared" ref="C134:C197" si="29">VLOOKUP($B134,$X$5:$AA$504, 3, FALSE)</f>
        <v>1.3085445694141346E-2</v>
      </c>
      <c r="D134" s="383">
        <f t="shared" ref="D134:D197" si="30">VLOOKUP($B134,$X$5:$AA$504, 2, FALSE)</f>
        <v>129791.54442743999</v>
      </c>
      <c r="E134" s="384">
        <f t="shared" ref="E134:E197" si="31">VLOOKUP($B134,$X$5:$AA$504, 4, FALSE)</f>
        <v>1.1200000000000002E-2</v>
      </c>
      <c r="F134" s="385">
        <v>3.5000000000000003E-2</v>
      </c>
      <c r="G134" s="382">
        <v>8.0594600000000002E-2</v>
      </c>
      <c r="H134" s="399">
        <f t="shared" ref="H134:H197" si="32">IFERROR(AVERAGE(E134:G134),"N/A")</f>
        <v>4.2264866666666671E-2</v>
      </c>
      <c r="I134" s="399">
        <f t="shared" ref="I134:I197" si="33">IFERROR(C134*(1+0.5*H134)+H134,"N/A")</f>
        <v>5.5626839669576413E-2</v>
      </c>
      <c r="J134" s="382">
        <f t="shared" ref="J134:J197" si="34">IF(I134="N/A","N/A",D134/$D$505)</f>
        <v>2.4275024325196046E-3</v>
      </c>
      <c r="K134" s="382">
        <f t="shared" ref="K134:K197" si="35">IF(AND(ISNUMBER(D134),ISNUMBER(I134)),I134*J134,"N/A")</f>
        <v>1.3503428861127477E-4</v>
      </c>
      <c r="M134" s="400"/>
      <c r="N134" s="398" t="s">
        <v>4047</v>
      </c>
      <c r="O134" s="398" t="s">
        <v>734</v>
      </c>
      <c r="P134" s="398" t="s">
        <v>249</v>
      </c>
      <c r="Q134" s="398">
        <v>129791544427.43999</v>
      </c>
      <c r="R134" s="398">
        <v>1.3085445694141347</v>
      </c>
      <c r="S134" s="398">
        <v>1.1200000000000001</v>
      </c>
      <c r="T134" s="398">
        <v>272.35089999999997</v>
      </c>
      <c r="U134" s="398">
        <v>476.56</v>
      </c>
      <c r="W134" s="401" t="s">
        <v>734</v>
      </c>
      <c r="X134" s="402" t="s">
        <v>249</v>
      </c>
      <c r="Y134" s="386">
        <f t="shared" ref="Y134:Y197" si="36">Q134/1000000</f>
        <v>129791.54442743999</v>
      </c>
      <c r="Z134" s="387">
        <f t="shared" ref="Z134:Z197" si="37">IFERROR(R134/100,"0.00%")</f>
        <v>1.3085445694141346E-2</v>
      </c>
      <c r="AA134" s="387">
        <f t="shared" ref="AA134:AA197" si="38">IFERROR(S134/100,"N/A")</f>
        <v>1.1200000000000002E-2</v>
      </c>
      <c r="AB134" s="403">
        <f t="shared" ref="AB134:AB197" si="39">IFERROR(Z134*(1+0.5*AA134)+AA134,"N/A")</f>
        <v>2.435872419002854E-2</v>
      </c>
      <c r="AC134" s="388">
        <f t="shared" ref="AC134:AC197" si="40">IF(Y134= "N/A","N/A", Y134/$Y$506)</f>
        <v>2.5628515393216673E-3</v>
      </c>
      <c r="AD134" s="389">
        <f t="shared" ref="AD134:AD197" si="41">IF(AND(ISNUMBER(Y134),ISNUMBER(AB134)),AB134*AC134,"N/A")</f>
        <v>6.2427793786326577E-5</v>
      </c>
    </row>
    <row r="135" spans="1:30" x14ac:dyDescent="0.55000000000000004">
      <c r="A135" t="str">
        <f t="shared" si="28"/>
        <v>Deckers Outdoor Corp</v>
      </c>
      <c r="B135" t="str">
        <f t="shared" si="28"/>
        <v>DECK</v>
      </c>
      <c r="C135" s="382">
        <f t="shared" si="29"/>
        <v>0</v>
      </c>
      <c r="D135" s="383">
        <f t="shared" si="30"/>
        <v>26944.88379168</v>
      </c>
      <c r="E135" s="384">
        <f t="shared" si="31"/>
        <v>0.11575000000000001</v>
      </c>
      <c r="F135" s="385">
        <v>0.16</v>
      </c>
      <c r="G135" s="382">
        <v>0.1404929</v>
      </c>
      <c r="H135" s="399">
        <f t="shared" si="32"/>
        <v>0.13874763333333331</v>
      </c>
      <c r="I135" s="399">
        <f t="shared" si="33"/>
        <v>0.13874763333333331</v>
      </c>
      <c r="J135" s="382">
        <f t="shared" si="34"/>
        <v>5.0395248193404508E-4</v>
      </c>
      <c r="K135" s="382">
        <f t="shared" si="35"/>
        <v>6.9922214180808166E-5</v>
      </c>
      <c r="M135" s="400"/>
      <c r="N135" s="398" t="s">
        <v>4048</v>
      </c>
      <c r="O135" s="398" t="s">
        <v>735</v>
      </c>
      <c r="P135" s="398" t="s">
        <v>606</v>
      </c>
      <c r="Q135" s="398">
        <v>26944883791.68</v>
      </c>
      <c r="R135" s="398">
        <v>0</v>
      </c>
      <c r="S135" s="398">
        <v>11.575000000000001</v>
      </c>
      <c r="T135" s="398">
        <v>151.922</v>
      </c>
      <c r="U135" s="398">
        <v>177.36</v>
      </c>
      <c r="W135" s="401" t="s">
        <v>735</v>
      </c>
      <c r="X135" s="402" t="s">
        <v>606</v>
      </c>
      <c r="Y135" s="386">
        <f t="shared" si="36"/>
        <v>26944.88379168</v>
      </c>
      <c r="Z135" s="387">
        <f t="shared" si="37"/>
        <v>0</v>
      </c>
      <c r="AA135" s="387">
        <f t="shared" si="38"/>
        <v>0.11575000000000001</v>
      </c>
      <c r="AB135" s="403">
        <f t="shared" si="39"/>
        <v>0.11575000000000001</v>
      </c>
      <c r="AC135" s="388">
        <f t="shared" si="40"/>
        <v>5.3205112249015698E-4</v>
      </c>
      <c r="AD135" s="389">
        <f t="shared" si="41"/>
        <v>6.1584917428235674E-5</v>
      </c>
    </row>
    <row r="136" spans="1:30" x14ac:dyDescent="0.55000000000000004">
      <c r="A136" t="str">
        <f t="shared" si="28"/>
        <v>Dell Technologies Inc</v>
      </c>
      <c r="B136" t="str">
        <f t="shared" si="28"/>
        <v>DELL</v>
      </c>
      <c r="C136" s="382">
        <f t="shared" si="29"/>
        <v>1.6862934362934366E-2</v>
      </c>
      <c r="D136" s="383">
        <f t="shared" si="30"/>
        <v>72567.568043599997</v>
      </c>
      <c r="E136" s="384">
        <f t="shared" si="31"/>
        <v>0.13009999999999999</v>
      </c>
      <c r="F136" s="385">
        <v>0.09</v>
      </c>
      <c r="G136" s="382">
        <v>0.13631959999999999</v>
      </c>
      <c r="H136" s="399">
        <f t="shared" si="32"/>
        <v>0.11880653333333331</v>
      </c>
      <c r="I136" s="399">
        <f t="shared" si="33"/>
        <v>0.13667118108301157</v>
      </c>
      <c r="J136" s="382">
        <f t="shared" si="34"/>
        <v>1.3572374743283223E-3</v>
      </c>
      <c r="K136" s="382">
        <f t="shared" si="35"/>
        <v>1.8549524862657542E-4</v>
      </c>
      <c r="M136" s="400"/>
      <c r="N136" s="398" t="s">
        <v>4049</v>
      </c>
      <c r="O136" s="398" t="s">
        <v>2806</v>
      </c>
      <c r="P136" s="398" t="s">
        <v>2807</v>
      </c>
      <c r="Q136" s="398">
        <v>72567568043.599991</v>
      </c>
      <c r="R136" s="398">
        <v>1.6862934362934365</v>
      </c>
      <c r="S136" s="398">
        <v>13.01</v>
      </c>
      <c r="T136" s="398">
        <v>357.3372</v>
      </c>
      <c r="U136" s="398">
        <v>103.6</v>
      </c>
      <c r="W136" s="401" t="s">
        <v>2806</v>
      </c>
      <c r="X136" s="402" t="s">
        <v>2807</v>
      </c>
      <c r="Y136" s="386">
        <f t="shared" si="36"/>
        <v>72567.568043599997</v>
      </c>
      <c r="Z136" s="387">
        <f t="shared" si="37"/>
        <v>1.6862934362934366E-2</v>
      </c>
      <c r="AA136" s="387">
        <f t="shared" si="38"/>
        <v>0.13009999999999999</v>
      </c>
      <c r="AB136" s="403">
        <f t="shared" si="39"/>
        <v>0.14805986824324324</v>
      </c>
      <c r="AC136" s="388">
        <f t="shared" si="40"/>
        <v>1.4329123232626468E-3</v>
      </c>
      <c r="AD136" s="389">
        <f t="shared" si="41"/>
        <v>2.1215680978638705E-4</v>
      </c>
    </row>
    <row r="137" spans="1:30" x14ac:dyDescent="0.55000000000000004">
      <c r="A137" t="str">
        <f t="shared" si="28"/>
        <v>Discover Financial Services</v>
      </c>
      <c r="B137" t="str">
        <f t="shared" si="28"/>
        <v>DFS</v>
      </c>
      <c r="C137" s="382">
        <f t="shared" si="29"/>
        <v>1.4167785568650854E-2</v>
      </c>
      <c r="D137" s="383">
        <f t="shared" si="30"/>
        <v>50536.218072869997</v>
      </c>
      <c r="E137" s="384">
        <f t="shared" si="31"/>
        <v>3.4000000000000002E-3</v>
      </c>
      <c r="F137" s="385">
        <v>-0.01</v>
      </c>
      <c r="G137" s="382">
        <v>0.60719000000000001</v>
      </c>
      <c r="H137" s="399">
        <f t="shared" si="32"/>
        <v>0.20019666666666666</v>
      </c>
      <c r="I137" s="399">
        <f t="shared" si="33"/>
        <v>0.21578262395776351</v>
      </c>
      <c r="J137" s="382">
        <f t="shared" si="34"/>
        <v>9.4518323858004184E-4</v>
      </c>
      <c r="K137" s="382">
        <f t="shared" si="35"/>
        <v>2.0395411934169823E-4</v>
      </c>
      <c r="M137" s="400"/>
      <c r="N137" s="398" t="s">
        <v>4050</v>
      </c>
      <c r="O137" s="398" t="s">
        <v>250</v>
      </c>
      <c r="P137" s="398" t="s">
        <v>251</v>
      </c>
      <c r="Q137" s="398">
        <v>50536218072.869995</v>
      </c>
      <c r="R137" s="398">
        <v>1.4167785568650855</v>
      </c>
      <c r="S137" s="398">
        <v>0.34</v>
      </c>
      <c r="T137" s="398">
        <v>251.31139999999999</v>
      </c>
      <c r="U137" s="398">
        <v>201.09</v>
      </c>
      <c r="W137" s="401" t="s">
        <v>250</v>
      </c>
      <c r="X137" s="402" t="s">
        <v>251</v>
      </c>
      <c r="Y137" s="386">
        <f t="shared" si="36"/>
        <v>50536.218072869997</v>
      </c>
      <c r="Z137" s="387">
        <f t="shared" si="37"/>
        <v>1.4167785568650854E-2</v>
      </c>
      <c r="AA137" s="387">
        <f t="shared" si="38"/>
        <v>3.4000000000000002E-3</v>
      </c>
      <c r="AB137" s="403">
        <f t="shared" si="39"/>
        <v>1.759187080411756E-2</v>
      </c>
      <c r="AC137" s="388">
        <f t="shared" si="40"/>
        <v>9.9788337407416203E-4</v>
      </c>
      <c r="AD137" s="389">
        <f t="shared" si="41"/>
        <v>1.7554635394289573E-5</v>
      </c>
    </row>
    <row r="138" spans="1:30" x14ac:dyDescent="0.55000000000000004">
      <c r="A138" t="str">
        <f t="shared" si="28"/>
        <v>Dollar General Corp</v>
      </c>
      <c r="B138" t="str">
        <f t="shared" si="28"/>
        <v>DG</v>
      </c>
      <c r="C138" s="382">
        <f t="shared" si="29"/>
        <v>3.1958907965099911E-2</v>
      </c>
      <c r="D138" s="383">
        <f t="shared" si="30"/>
        <v>15627.918110200002</v>
      </c>
      <c r="E138" s="384">
        <f t="shared" si="31"/>
        <v>-0.1133</v>
      </c>
      <c r="F138" s="385">
        <v>-5.0000000000000001E-3</v>
      </c>
      <c r="G138" s="382">
        <v>-5.0233299999999995E-2</v>
      </c>
      <c r="H138" s="399">
        <f t="shared" si="32"/>
        <v>-5.6177766666666663E-2</v>
      </c>
      <c r="I138" s="399">
        <f t="shared" si="33"/>
        <v>-2.5116548738859181E-2</v>
      </c>
      <c r="J138" s="382">
        <f t="shared" si="34"/>
        <v>2.9229029822459867E-4</v>
      </c>
      <c r="K138" s="382">
        <f t="shared" si="35"/>
        <v>-7.3413235212538181E-6</v>
      </c>
      <c r="M138" s="400"/>
      <c r="N138" s="398" t="s">
        <v>4051</v>
      </c>
      <c r="O138" s="398" t="s">
        <v>736</v>
      </c>
      <c r="P138" s="398" t="s">
        <v>252</v>
      </c>
      <c r="Q138" s="398">
        <v>15627918110.200003</v>
      </c>
      <c r="R138" s="398">
        <v>3.1958907965099912</v>
      </c>
      <c r="S138" s="398">
        <v>-11.33</v>
      </c>
      <c r="T138" s="398">
        <v>219.92569999999998</v>
      </c>
      <c r="U138" s="398">
        <v>71.06</v>
      </c>
      <c r="W138" s="401" t="s">
        <v>736</v>
      </c>
      <c r="X138" s="402" t="s">
        <v>252</v>
      </c>
      <c r="Y138" s="386">
        <f t="shared" si="36"/>
        <v>15627.918110200002</v>
      </c>
      <c r="Z138" s="387">
        <f t="shared" si="37"/>
        <v>3.1958907965099911E-2</v>
      </c>
      <c r="AA138" s="387">
        <f t="shared" si="38"/>
        <v>-0.1133</v>
      </c>
      <c r="AB138" s="403">
        <f t="shared" si="39"/>
        <v>-8.3151564171122988E-2</v>
      </c>
      <c r="AC138" s="388">
        <f t="shared" si="40"/>
        <v>3.0858739035584973E-4</v>
      </c>
      <c r="AD138" s="389">
        <f t="shared" si="41"/>
        <v>-2.5659524191573817E-5</v>
      </c>
    </row>
    <row r="139" spans="1:30" x14ac:dyDescent="0.55000000000000004">
      <c r="A139" t="str">
        <f t="shared" si="28"/>
        <v>Quest Diagnostics Inc</v>
      </c>
      <c r="B139" t="str">
        <f t="shared" si="28"/>
        <v>DGX</v>
      </c>
      <c r="C139" s="382">
        <f t="shared" si="29"/>
        <v>1.8467198038013489E-2</v>
      </c>
      <c r="D139" s="383">
        <f t="shared" si="30"/>
        <v>18204.436021099998</v>
      </c>
      <c r="E139" s="384">
        <f t="shared" si="31"/>
        <v>1.5350000000000001E-2</v>
      </c>
      <c r="F139" s="385">
        <v>3.5000000000000003E-2</v>
      </c>
      <c r="G139" s="382">
        <v>8.2136899999999999E-2</v>
      </c>
      <c r="H139" s="399">
        <f t="shared" si="32"/>
        <v>4.4162300000000008E-2</v>
      </c>
      <c r="I139" s="399">
        <f t="shared" si="33"/>
        <v>6.3037275007970572E-2</v>
      </c>
      <c r="J139" s="382">
        <f t="shared" si="34"/>
        <v>3.4047913459087407E-4</v>
      </c>
      <c r="K139" s="382">
        <f t="shared" si="35"/>
        <v>2.1462876841680755E-5</v>
      </c>
      <c r="M139" s="400"/>
      <c r="N139" s="398" t="s">
        <v>4052</v>
      </c>
      <c r="O139" s="398" t="s">
        <v>737</v>
      </c>
      <c r="P139" s="398" t="s">
        <v>253</v>
      </c>
      <c r="Q139" s="398">
        <v>18204436021.099998</v>
      </c>
      <c r="R139" s="398">
        <v>1.8467198038013488</v>
      </c>
      <c r="S139" s="398">
        <v>1.5350000000000001</v>
      </c>
      <c r="T139" s="398">
        <v>111.6152</v>
      </c>
      <c r="U139" s="398">
        <v>163.1</v>
      </c>
      <c r="W139" s="401" t="s">
        <v>737</v>
      </c>
      <c r="X139" s="402" t="s">
        <v>253</v>
      </c>
      <c r="Y139" s="386">
        <f t="shared" si="36"/>
        <v>18204.436021099998</v>
      </c>
      <c r="Z139" s="387">
        <f t="shared" si="37"/>
        <v>1.8467198038013489E-2</v>
      </c>
      <c r="AA139" s="387">
        <f t="shared" si="38"/>
        <v>1.5350000000000001E-2</v>
      </c>
      <c r="AB139" s="403">
        <f t="shared" si="39"/>
        <v>3.3958933782955246E-2</v>
      </c>
      <c r="AC139" s="388">
        <f t="shared" si="40"/>
        <v>3.5946306891541447E-4</v>
      </c>
      <c r="AD139" s="389">
        <f t="shared" si="41"/>
        <v>1.2206982554716438E-5</v>
      </c>
    </row>
    <row r="140" spans="1:30" x14ac:dyDescent="0.55000000000000004">
      <c r="A140" t="str">
        <f t="shared" si="28"/>
        <v>DR Horton Inc</v>
      </c>
      <c r="B140" t="str">
        <f t="shared" si="28"/>
        <v>DHI</v>
      </c>
      <c r="C140" s="382">
        <f t="shared" si="29"/>
        <v>1.0902043692741366E-2</v>
      </c>
      <c r="D140" s="383">
        <f t="shared" si="30"/>
        <v>44715.880763399997</v>
      </c>
      <c r="E140" s="384">
        <f t="shared" si="31"/>
        <v>7.2599999999999998E-2</v>
      </c>
      <c r="F140" s="385">
        <v>0.04</v>
      </c>
      <c r="G140" s="382">
        <v>0.18131</v>
      </c>
      <c r="H140" s="399">
        <f t="shared" si="32"/>
        <v>9.7970000000000002E-2</v>
      </c>
      <c r="I140" s="399">
        <f t="shared" si="33"/>
        <v>0.1094060803030303</v>
      </c>
      <c r="J140" s="382">
        <f t="shared" si="34"/>
        <v>8.3632496865844615E-4</v>
      </c>
      <c r="K140" s="382">
        <f t="shared" si="35"/>
        <v>9.1499036680475253E-5</v>
      </c>
      <c r="M140" s="400"/>
      <c r="N140" s="398" t="s">
        <v>4053</v>
      </c>
      <c r="O140" s="398" t="s">
        <v>738</v>
      </c>
      <c r="P140" s="398" t="s">
        <v>254</v>
      </c>
      <c r="Q140" s="398">
        <v>44715880763.399994</v>
      </c>
      <c r="R140" s="398">
        <v>1.0902043692741366</v>
      </c>
      <c r="S140" s="398">
        <v>7.26</v>
      </c>
      <c r="T140" s="398">
        <v>315.1225</v>
      </c>
      <c r="U140" s="398">
        <v>141.9</v>
      </c>
      <c r="W140" s="401" t="s">
        <v>738</v>
      </c>
      <c r="X140" s="402" t="s">
        <v>254</v>
      </c>
      <c r="Y140" s="386">
        <f t="shared" si="36"/>
        <v>44715.880763399997</v>
      </c>
      <c r="Z140" s="387">
        <f t="shared" si="37"/>
        <v>1.0902043692741366E-2</v>
      </c>
      <c r="AA140" s="387">
        <f t="shared" si="38"/>
        <v>7.2599999999999998E-2</v>
      </c>
      <c r="AB140" s="403">
        <f t="shared" si="39"/>
        <v>8.3897787878787877E-2</v>
      </c>
      <c r="AC140" s="388">
        <f t="shared" si="40"/>
        <v>8.8295554500217126E-4</v>
      </c>
      <c r="AD140" s="389">
        <f t="shared" si="41"/>
        <v>7.4078017020991704E-5</v>
      </c>
    </row>
    <row r="141" spans="1:30" x14ac:dyDescent="0.55000000000000004">
      <c r="A141" t="str">
        <f t="shared" si="28"/>
        <v>Danaher Corp</v>
      </c>
      <c r="B141" t="str">
        <f t="shared" si="28"/>
        <v>DHR</v>
      </c>
      <c r="C141" s="382">
        <f t="shared" si="29"/>
        <v>5.3245936966867195E-3</v>
      </c>
      <c r="D141" s="383">
        <f t="shared" si="30"/>
        <v>160879.56490634001</v>
      </c>
      <c r="E141" s="384">
        <f t="shared" si="31"/>
        <v>2.8900000000000002E-2</v>
      </c>
      <c r="F141" s="385">
        <v>0.02</v>
      </c>
      <c r="G141" s="382">
        <v>9.4255999999999993E-2</v>
      </c>
      <c r="H141" s="399">
        <f t="shared" si="32"/>
        <v>4.7718666666666666E-2</v>
      </c>
      <c r="I141" s="399">
        <f t="shared" si="33"/>
        <v>5.31703016192272E-2</v>
      </c>
      <c r="J141" s="382">
        <f t="shared" si="34"/>
        <v>3.0089443567039528E-3</v>
      </c>
      <c r="K141" s="382">
        <f t="shared" si="35"/>
        <v>1.5998647900142073E-4</v>
      </c>
      <c r="M141" s="400"/>
      <c r="N141" s="398" t="s">
        <v>4054</v>
      </c>
      <c r="O141" s="398" t="s">
        <v>739</v>
      </c>
      <c r="P141" s="398" t="s">
        <v>255</v>
      </c>
      <c r="Q141" s="398">
        <v>160879564906.34</v>
      </c>
      <c r="R141" s="398">
        <v>0.53245936966867191</v>
      </c>
      <c r="S141" s="398">
        <v>2.89</v>
      </c>
      <c r="T141" s="398">
        <v>722.27509999999995</v>
      </c>
      <c r="U141" s="398">
        <v>222.74</v>
      </c>
      <c r="W141" s="401" t="s">
        <v>739</v>
      </c>
      <c r="X141" s="402" t="s">
        <v>255</v>
      </c>
      <c r="Y141" s="386">
        <f t="shared" si="36"/>
        <v>160879.56490634001</v>
      </c>
      <c r="Z141" s="387">
        <f t="shared" si="37"/>
        <v>5.3245936966867195E-3</v>
      </c>
      <c r="AA141" s="387">
        <f t="shared" si="38"/>
        <v>2.8900000000000002E-2</v>
      </c>
      <c r="AB141" s="403">
        <f t="shared" si="39"/>
        <v>3.4301534075603844E-2</v>
      </c>
      <c r="AC141" s="388">
        <f t="shared" si="40"/>
        <v>3.1767126463012069E-3</v>
      </c>
      <c r="AD141" s="389">
        <f t="shared" si="41"/>
        <v>1.0896611708550251E-4</v>
      </c>
    </row>
    <row r="142" spans="1:30" x14ac:dyDescent="0.55000000000000004">
      <c r="A142" t="str">
        <f t="shared" si="28"/>
        <v>Walt Disney Co/The</v>
      </c>
      <c r="B142" t="str">
        <f t="shared" si="28"/>
        <v>DIS</v>
      </c>
      <c r="C142" s="382">
        <f t="shared" si="29"/>
        <v>8.4291526623032024E-3</v>
      </c>
      <c r="D142" s="383">
        <f t="shared" si="30"/>
        <v>204464.46464881999</v>
      </c>
      <c r="E142" s="384">
        <f t="shared" si="31"/>
        <v>0.158</v>
      </c>
      <c r="F142" s="385">
        <v>0.29499999999999998</v>
      </c>
      <c r="G142" s="382">
        <v>0.1248597</v>
      </c>
      <c r="H142" s="399">
        <f t="shared" si="32"/>
        <v>0.19261989999999998</v>
      </c>
      <c r="I142" s="399">
        <f t="shared" si="33"/>
        <v>0.20186086393375197</v>
      </c>
      <c r="J142" s="382">
        <f t="shared" si="34"/>
        <v>3.8241164899328792E-3</v>
      </c>
      <c r="K142" s="382">
        <f t="shared" si="35"/>
        <v>7.7193945844115811E-4</v>
      </c>
      <c r="M142" s="400"/>
      <c r="N142" s="398" t="s">
        <v>4055</v>
      </c>
      <c r="O142" s="398" t="s">
        <v>740</v>
      </c>
      <c r="P142" s="398" t="s">
        <v>256</v>
      </c>
      <c r="Q142" s="398">
        <v>204464464648.82001</v>
      </c>
      <c r="R142" s="398">
        <v>0.84291526623032031</v>
      </c>
      <c r="S142" s="398">
        <v>15.8</v>
      </c>
      <c r="T142" s="398">
        <v>1808.4599999999998</v>
      </c>
      <c r="U142" s="398">
        <v>113.06</v>
      </c>
      <c r="W142" s="401" t="s">
        <v>740</v>
      </c>
      <c r="X142" s="402" t="s">
        <v>256</v>
      </c>
      <c r="Y142" s="386">
        <f t="shared" si="36"/>
        <v>204464.46464881999</v>
      </c>
      <c r="Z142" s="387">
        <f t="shared" si="37"/>
        <v>8.4291526623032024E-3</v>
      </c>
      <c r="AA142" s="387">
        <f t="shared" si="38"/>
        <v>0.158</v>
      </c>
      <c r="AB142" s="403">
        <f t="shared" si="39"/>
        <v>0.16709505572262515</v>
      </c>
      <c r="AC142" s="388">
        <f t="shared" si="40"/>
        <v>4.0373359472177179E-3</v>
      </c>
      <c r="AD142" s="389">
        <f t="shared" si="41"/>
        <v>6.7461887507130219E-4</v>
      </c>
    </row>
    <row r="143" spans="1:30" x14ac:dyDescent="0.55000000000000004">
      <c r="A143" t="str">
        <f t="shared" si="28"/>
        <v>Digital Realty Trust Inc</v>
      </c>
      <c r="B143" t="str">
        <f t="shared" si="28"/>
        <v>DLR</v>
      </c>
      <c r="C143" s="382">
        <f t="shared" si="29"/>
        <v>2.978152081044794E-2</v>
      </c>
      <c r="D143" s="383">
        <f t="shared" si="30"/>
        <v>55433.937299160003</v>
      </c>
      <c r="E143" s="384">
        <f t="shared" si="31"/>
        <v>4.0500000000000001E-2</v>
      </c>
      <c r="F143" s="385">
        <v>-0.05</v>
      </c>
      <c r="G143" s="382">
        <v>6.9324700000000003E-2</v>
      </c>
      <c r="H143" s="399">
        <f t="shared" si="32"/>
        <v>1.9941566666666667E-2</v>
      </c>
      <c r="I143" s="399">
        <f t="shared" si="33"/>
        <v>5.0020032568452742E-2</v>
      </c>
      <c r="J143" s="382">
        <f t="shared" si="34"/>
        <v>1.0367857030399951E-3</v>
      </c>
      <c r="K143" s="382">
        <f t="shared" si="35"/>
        <v>5.1860054632566728E-5</v>
      </c>
      <c r="M143" s="400"/>
      <c r="N143" s="398" t="s">
        <v>4056</v>
      </c>
      <c r="O143" s="398" t="s">
        <v>741</v>
      </c>
      <c r="P143" s="398" t="s">
        <v>257</v>
      </c>
      <c r="Q143" s="398">
        <v>55433937299.160004</v>
      </c>
      <c r="R143" s="398">
        <v>2.9781520810447941</v>
      </c>
      <c r="S143" s="398">
        <v>4.05</v>
      </c>
      <c r="T143" s="398">
        <v>331.71260000000001</v>
      </c>
      <c r="U143" s="398">
        <v>163.86</v>
      </c>
      <c r="W143" s="401" t="s">
        <v>741</v>
      </c>
      <c r="X143" s="402" t="s">
        <v>257</v>
      </c>
      <c r="Y143" s="386">
        <f t="shared" si="36"/>
        <v>55433.937299160003</v>
      </c>
      <c r="Z143" s="387">
        <f t="shared" si="37"/>
        <v>2.978152081044794E-2</v>
      </c>
      <c r="AA143" s="387">
        <f t="shared" si="38"/>
        <v>4.0500000000000001E-2</v>
      </c>
      <c r="AB143" s="403">
        <f t="shared" si="39"/>
        <v>7.0884596606859515E-2</v>
      </c>
      <c r="AC143" s="388">
        <f t="shared" si="40"/>
        <v>1.0945932738880128E-3</v>
      </c>
      <c r="AD143" s="389">
        <f t="shared" si="41"/>
        <v>7.7589802668133476E-5</v>
      </c>
    </row>
    <row r="144" spans="1:30" x14ac:dyDescent="0.55000000000000004">
      <c r="A144" t="str">
        <f t="shared" si="28"/>
        <v>Dollar Tree Inc</v>
      </c>
      <c r="B144" t="str">
        <f t="shared" si="28"/>
        <v>DLTR</v>
      </c>
      <c r="C144" s="382">
        <f t="shared" si="29"/>
        <v>0</v>
      </c>
      <c r="D144" s="383">
        <f t="shared" si="30"/>
        <v>15773.084097299998</v>
      </c>
      <c r="E144" s="384">
        <f t="shared" si="31"/>
        <v>7.9350000000000004E-2</v>
      </c>
      <c r="F144" s="385">
        <v>0.2</v>
      </c>
      <c r="G144" s="382">
        <v>9.8894999999999997E-2</v>
      </c>
      <c r="H144" s="399">
        <f t="shared" si="32"/>
        <v>0.12608166666666668</v>
      </c>
      <c r="I144" s="399">
        <f t="shared" si="33"/>
        <v>0.12608166666666668</v>
      </c>
      <c r="J144" s="382">
        <f t="shared" si="34"/>
        <v>2.9500535018240438E-4</v>
      </c>
      <c r="K144" s="382">
        <f t="shared" si="35"/>
        <v>3.7194766226581183E-5</v>
      </c>
      <c r="M144" s="400"/>
      <c r="N144" s="398" t="s">
        <v>4057</v>
      </c>
      <c r="O144" s="398" t="s">
        <v>742</v>
      </c>
      <c r="P144" s="398" t="s">
        <v>258</v>
      </c>
      <c r="Q144" s="398">
        <v>15773084097.299997</v>
      </c>
      <c r="R144" s="398">
        <v>0</v>
      </c>
      <c r="S144" s="398">
        <v>7.9350000000000005</v>
      </c>
      <c r="T144" s="398">
        <v>215.0386</v>
      </c>
      <c r="U144" s="398">
        <v>73.349999999999994</v>
      </c>
      <c r="W144" s="401" t="s">
        <v>742</v>
      </c>
      <c r="X144" s="402" t="s">
        <v>258</v>
      </c>
      <c r="Y144" s="386">
        <f t="shared" si="36"/>
        <v>15773.084097299998</v>
      </c>
      <c r="Z144" s="387">
        <f t="shared" si="37"/>
        <v>0</v>
      </c>
      <c r="AA144" s="387">
        <f t="shared" si="38"/>
        <v>7.9350000000000004E-2</v>
      </c>
      <c r="AB144" s="403">
        <f t="shared" si="39"/>
        <v>7.9350000000000004E-2</v>
      </c>
      <c r="AC144" s="388">
        <f t="shared" si="40"/>
        <v>3.1145382418355073E-4</v>
      </c>
      <c r="AD144" s="389">
        <f t="shared" si="41"/>
        <v>2.4713860948964751E-5</v>
      </c>
    </row>
    <row r="145" spans="1:30" x14ac:dyDescent="0.55000000000000004">
      <c r="A145" t="str">
        <f t="shared" si="28"/>
        <v>Healthpeak Properties Inc</v>
      </c>
      <c r="B145" t="str">
        <f t="shared" si="28"/>
        <v>DOC</v>
      </c>
      <c r="C145" s="382">
        <f t="shared" si="29"/>
        <v>5.8083252662149081E-2</v>
      </c>
      <c r="D145" s="383">
        <f t="shared" si="30"/>
        <v>14450.491946139999</v>
      </c>
      <c r="E145" s="384">
        <f t="shared" si="31"/>
        <v>4.99E-2</v>
      </c>
      <c r="F145" s="385">
        <v>7.0000000000000007E-2</v>
      </c>
      <c r="G145" s="382">
        <v>3.8225700000000001E-2</v>
      </c>
      <c r="H145" s="399">
        <f t="shared" si="32"/>
        <v>5.2708566666666672E-2</v>
      </c>
      <c r="I145" s="399">
        <f t="shared" si="33"/>
        <v>0.11232256182639561</v>
      </c>
      <c r="J145" s="382">
        <f t="shared" si="34"/>
        <v>2.7026879528327445E-4</v>
      </c>
      <c r="K145" s="382">
        <f t="shared" si="35"/>
        <v>3.0357283467951051E-5</v>
      </c>
      <c r="M145" s="400"/>
      <c r="N145" s="398" t="s">
        <v>4058</v>
      </c>
      <c r="O145" s="398" t="s">
        <v>743</v>
      </c>
      <c r="P145" s="398" t="s">
        <v>473</v>
      </c>
      <c r="Q145" s="398">
        <v>14450491946.139999</v>
      </c>
      <c r="R145" s="398">
        <v>5.8083252662149079</v>
      </c>
      <c r="S145" s="398">
        <v>4.99</v>
      </c>
      <c r="T145" s="398">
        <v>699.44299999999998</v>
      </c>
      <c r="U145" s="398">
        <v>20.66</v>
      </c>
      <c r="W145" s="401" t="s">
        <v>743</v>
      </c>
      <c r="X145" s="402" t="s">
        <v>473</v>
      </c>
      <c r="Y145" s="386">
        <f t="shared" si="36"/>
        <v>14450.491946139999</v>
      </c>
      <c r="Z145" s="387">
        <f t="shared" si="37"/>
        <v>5.8083252662149081E-2</v>
      </c>
      <c r="AA145" s="387">
        <f t="shared" si="38"/>
        <v>4.99E-2</v>
      </c>
      <c r="AB145" s="403">
        <f t="shared" si="39"/>
        <v>0.10943242981606971</v>
      </c>
      <c r="AC145" s="388">
        <f t="shared" si="40"/>
        <v>2.8533804487413571E-4</v>
      </c>
      <c r="AD145" s="389">
        <f t="shared" si="41"/>
        <v>3.1225235569543405E-5</v>
      </c>
    </row>
    <row r="146" spans="1:30" x14ac:dyDescent="0.55000000000000004">
      <c r="A146" t="str">
        <f t="shared" si="28"/>
        <v>Dover Corp</v>
      </c>
      <c r="B146" t="str">
        <f t="shared" si="28"/>
        <v>DOV</v>
      </c>
      <c r="C146" s="382">
        <f t="shared" si="29"/>
        <v>1.0644147682639436E-2</v>
      </c>
      <c r="D146" s="383">
        <f t="shared" si="30"/>
        <v>27943.259634880003</v>
      </c>
      <c r="E146" s="384">
        <f t="shared" si="31"/>
        <v>0.10220000000000001</v>
      </c>
      <c r="F146" s="385">
        <v>4.4999999999999998E-2</v>
      </c>
      <c r="G146" s="382">
        <v>8.864480000000001E-2</v>
      </c>
      <c r="H146" s="399">
        <f t="shared" si="32"/>
        <v>7.8614933333333345E-2</v>
      </c>
      <c r="I146" s="399">
        <f t="shared" si="33"/>
        <v>8.967747549620321E-2</v>
      </c>
      <c r="J146" s="382">
        <f t="shared" si="34"/>
        <v>5.2262519130527618E-4</v>
      </c>
      <c r="K146" s="382">
        <f t="shared" si="35"/>
        <v>4.6867707786977421E-5</v>
      </c>
      <c r="M146" s="400"/>
      <c r="N146" s="398" t="s">
        <v>4059</v>
      </c>
      <c r="O146" s="398" t="s">
        <v>744</v>
      </c>
      <c r="P146" s="398" t="s">
        <v>259</v>
      </c>
      <c r="Q146" s="398">
        <v>27943259634.880005</v>
      </c>
      <c r="R146" s="398">
        <v>1.0644147682639435</v>
      </c>
      <c r="S146" s="398">
        <v>10.220000000000001</v>
      </c>
      <c r="T146" s="398">
        <v>137.19200000000001</v>
      </c>
      <c r="U146" s="398">
        <v>203.68</v>
      </c>
      <c r="W146" s="401" t="s">
        <v>744</v>
      </c>
      <c r="X146" s="402" t="s">
        <v>259</v>
      </c>
      <c r="Y146" s="386">
        <f t="shared" si="36"/>
        <v>27943.259634880003</v>
      </c>
      <c r="Z146" s="387">
        <f t="shared" si="37"/>
        <v>1.0644147682639436E-2</v>
      </c>
      <c r="AA146" s="387">
        <f t="shared" si="38"/>
        <v>0.10220000000000001</v>
      </c>
      <c r="AB146" s="403">
        <f t="shared" si="39"/>
        <v>0.11338806362922232</v>
      </c>
      <c r="AC146" s="388">
        <f t="shared" si="40"/>
        <v>5.5176495730007509E-4</v>
      </c>
      <c r="AD146" s="389">
        <f t="shared" si="41"/>
        <v>6.2563560086716051E-5</v>
      </c>
    </row>
    <row r="147" spans="1:30" x14ac:dyDescent="0.55000000000000004">
      <c r="A147" t="str">
        <f t="shared" si="28"/>
        <v>Dow Inc</v>
      </c>
      <c r="B147" t="str">
        <f t="shared" si="28"/>
        <v>DOW</v>
      </c>
      <c r="C147" s="382">
        <f t="shared" si="29"/>
        <v>7.2394366197183105E-2</v>
      </c>
      <c r="D147" s="383">
        <f t="shared" si="30"/>
        <v>27338.580494500002</v>
      </c>
      <c r="E147" s="384">
        <f t="shared" si="31"/>
        <v>-2.7549999999999998E-2</v>
      </c>
      <c r="F147" s="385">
        <v>-5.0000000000000001E-3</v>
      </c>
      <c r="G147" s="382">
        <v>0.25783600000000001</v>
      </c>
      <c r="H147" s="399">
        <f t="shared" si="32"/>
        <v>7.5095333333333333E-2</v>
      </c>
      <c r="I147" s="399">
        <f t="shared" si="33"/>
        <v>0.15020793906103286</v>
      </c>
      <c r="J147" s="382">
        <f t="shared" si="34"/>
        <v>5.1131582527036532E-4</v>
      </c>
      <c r="K147" s="382">
        <f t="shared" si="35"/>
        <v>7.680369632315276E-5</v>
      </c>
      <c r="M147" s="400"/>
      <c r="N147" s="398" t="s">
        <v>4060</v>
      </c>
      <c r="O147" s="398" t="s">
        <v>745</v>
      </c>
      <c r="P147" s="398" t="s">
        <v>260</v>
      </c>
      <c r="Q147" s="398">
        <v>27338580494.5</v>
      </c>
      <c r="R147" s="398">
        <v>7.23943661971831</v>
      </c>
      <c r="S147" s="398">
        <v>-2.7549999999999999</v>
      </c>
      <c r="T147" s="398">
        <v>700.09169999999995</v>
      </c>
      <c r="U147" s="398">
        <v>39.049999999999997</v>
      </c>
      <c r="W147" s="401" t="s">
        <v>745</v>
      </c>
      <c r="X147" s="402" t="s">
        <v>260</v>
      </c>
      <c r="Y147" s="386">
        <f t="shared" si="36"/>
        <v>27338.580494500002</v>
      </c>
      <c r="Z147" s="387">
        <f t="shared" si="37"/>
        <v>7.2394366197183105E-2</v>
      </c>
      <c r="AA147" s="387">
        <f t="shared" si="38"/>
        <v>-2.7549999999999998E-2</v>
      </c>
      <c r="AB147" s="403">
        <f t="shared" si="39"/>
        <v>4.3847133802816914E-2</v>
      </c>
      <c r="AC147" s="388">
        <f t="shared" si="40"/>
        <v>5.3982502028372377E-4</v>
      </c>
      <c r="AD147" s="389">
        <f t="shared" si="41"/>
        <v>2.3669779894488792E-5</v>
      </c>
    </row>
    <row r="148" spans="1:30" x14ac:dyDescent="0.55000000000000004">
      <c r="A148" t="str">
        <f t="shared" si="28"/>
        <v>Domino's Pizza Inc</v>
      </c>
      <c r="B148" t="str">
        <f t="shared" si="28"/>
        <v>DPZ</v>
      </c>
      <c r="C148" s="382">
        <f t="shared" si="29"/>
        <v>1.3490826505165657E-2</v>
      </c>
      <c r="D148" s="383">
        <f t="shared" si="30"/>
        <v>15509.001959359997</v>
      </c>
      <c r="E148" s="384">
        <f t="shared" si="31"/>
        <v>0.10339999999999999</v>
      </c>
      <c r="F148" s="385">
        <v>0.125</v>
      </c>
      <c r="G148" s="382">
        <v>9.9374699999999996E-2</v>
      </c>
      <c r="H148" s="399">
        <f t="shared" si="32"/>
        <v>0.10925823333333333</v>
      </c>
      <c r="I148" s="399">
        <f t="shared" si="33"/>
        <v>0.12348605177357944</v>
      </c>
      <c r="J148" s="382">
        <f t="shared" si="34"/>
        <v>2.9006619921488727E-4</v>
      </c>
      <c r="K148" s="382">
        <f t="shared" si="35"/>
        <v>3.5819129694014978E-5</v>
      </c>
      <c r="M148" s="400"/>
      <c r="N148" s="398" t="s">
        <v>4415</v>
      </c>
      <c r="O148" s="398" t="s">
        <v>746</v>
      </c>
      <c r="P148" s="398" t="s">
        <v>261</v>
      </c>
      <c r="Q148" s="398">
        <v>15509001959.359997</v>
      </c>
      <c r="R148" s="398">
        <v>1.3490826505165656</v>
      </c>
      <c r="S148" s="398">
        <v>10.34</v>
      </c>
      <c r="T148" s="398">
        <v>34.531979999999997</v>
      </c>
      <c r="U148" s="398">
        <v>449.12</v>
      </c>
      <c r="W148" s="401" t="s">
        <v>746</v>
      </c>
      <c r="X148" s="402" t="s">
        <v>261</v>
      </c>
      <c r="Y148" s="386">
        <f t="shared" si="36"/>
        <v>15509.001959359997</v>
      </c>
      <c r="Z148" s="387">
        <f t="shared" si="37"/>
        <v>1.3490826505165657E-2</v>
      </c>
      <c r="AA148" s="387">
        <f t="shared" si="38"/>
        <v>0.10339999999999999</v>
      </c>
      <c r="AB148" s="403">
        <f t="shared" si="39"/>
        <v>0.11758830223548271</v>
      </c>
      <c r="AC148" s="388">
        <f t="shared" si="40"/>
        <v>3.0623928330792956E-4</v>
      </c>
      <c r="AD148" s="389">
        <f t="shared" si="41"/>
        <v>3.6010157401990438E-5</v>
      </c>
    </row>
    <row r="149" spans="1:30" x14ac:dyDescent="0.55000000000000004">
      <c r="A149" t="str">
        <f t="shared" si="28"/>
        <v>Darden Restaurants Inc</v>
      </c>
      <c r="B149" t="str">
        <f t="shared" si="28"/>
        <v>DRI</v>
      </c>
      <c r="C149" s="382">
        <f t="shared" si="29"/>
        <v>2.7801679983609912E-2</v>
      </c>
      <c r="D149" s="383">
        <f t="shared" si="30"/>
        <v>22871.738498639999</v>
      </c>
      <c r="E149" s="384">
        <f t="shared" si="31"/>
        <v>9.849999999999999E-2</v>
      </c>
      <c r="F149" s="385">
        <v>0.1</v>
      </c>
      <c r="G149" s="382">
        <v>9.3934799999999999E-2</v>
      </c>
      <c r="H149" s="399">
        <f t="shared" si="32"/>
        <v>9.747826666666666E-2</v>
      </c>
      <c r="I149" s="399">
        <f t="shared" si="33"/>
        <v>0.1266349764378884</v>
      </c>
      <c r="J149" s="382">
        <f t="shared" si="34"/>
        <v>4.2777209475645023E-4</v>
      </c>
      <c r="K149" s="382">
        <f t="shared" si="35"/>
        <v>5.4170909140269237E-5</v>
      </c>
      <c r="M149" s="400"/>
      <c r="N149" s="398" t="s">
        <v>4061</v>
      </c>
      <c r="O149" s="398" t="s">
        <v>747</v>
      </c>
      <c r="P149" s="398" t="s">
        <v>262</v>
      </c>
      <c r="Q149" s="398">
        <v>22871738498.639999</v>
      </c>
      <c r="R149" s="398">
        <v>2.7801679983609913</v>
      </c>
      <c r="S149" s="398">
        <v>9.85</v>
      </c>
      <c r="T149" s="398">
        <v>117.1468</v>
      </c>
      <c r="U149" s="398">
        <v>195.24</v>
      </c>
      <c r="W149" s="401" t="s">
        <v>747</v>
      </c>
      <c r="X149" s="402" t="s">
        <v>262</v>
      </c>
      <c r="Y149" s="386">
        <f t="shared" si="36"/>
        <v>22871.738498639999</v>
      </c>
      <c r="Z149" s="387">
        <f t="shared" si="37"/>
        <v>2.7801679983609912E-2</v>
      </c>
      <c r="AA149" s="387">
        <f t="shared" si="38"/>
        <v>9.849999999999999E-2</v>
      </c>
      <c r="AB149" s="403">
        <f t="shared" si="39"/>
        <v>0.12767091272280268</v>
      </c>
      <c r="AC149" s="388">
        <f t="shared" si="40"/>
        <v>4.5162318143900305E-4</v>
      </c>
      <c r="AD149" s="389">
        <f t="shared" si="41"/>
        <v>5.7659143781093434E-5</v>
      </c>
    </row>
    <row r="150" spans="1:30" x14ac:dyDescent="0.55000000000000004">
      <c r="A150" t="str">
        <f t="shared" si="28"/>
        <v>DTE Energy Co</v>
      </c>
      <c r="B150" t="str">
        <f t="shared" si="28"/>
        <v>DTE</v>
      </c>
      <c r="C150" s="382">
        <f t="shared" si="29"/>
        <v>3.4292625959292625E-2</v>
      </c>
      <c r="D150" s="383">
        <f t="shared" si="30"/>
        <v>24806.173315679996</v>
      </c>
      <c r="E150" s="384">
        <f t="shared" si="31"/>
        <v>0.10978</v>
      </c>
      <c r="F150" s="385">
        <v>8.5000000000000006E-2</v>
      </c>
      <c r="G150" s="382">
        <v>7.5356800000000002E-2</v>
      </c>
      <c r="H150" s="399">
        <f t="shared" si="32"/>
        <v>9.0045600000000003E-2</v>
      </c>
      <c r="I150" s="399">
        <f t="shared" si="33"/>
        <v>0.12588217599933266</v>
      </c>
      <c r="J150" s="382">
        <f t="shared" si="34"/>
        <v>4.6395199572480972E-4</v>
      </c>
      <c r="K150" s="382">
        <f t="shared" si="35"/>
        <v>5.8403286781072132E-5</v>
      </c>
      <c r="M150" s="400"/>
      <c r="N150" s="398" t="s">
        <v>4062</v>
      </c>
      <c r="O150" s="398" t="s">
        <v>748</v>
      </c>
      <c r="P150" s="398" t="s">
        <v>37</v>
      </c>
      <c r="Q150" s="398">
        <v>24806173315.679996</v>
      </c>
      <c r="R150" s="398">
        <v>3.4292625959292624</v>
      </c>
      <c r="S150" s="398">
        <v>10.978</v>
      </c>
      <c r="T150" s="398">
        <v>206.92499999999998</v>
      </c>
      <c r="U150" s="398">
        <v>119.88</v>
      </c>
      <c r="W150" s="401" t="s">
        <v>748</v>
      </c>
      <c r="X150" s="402" t="s">
        <v>37</v>
      </c>
      <c r="Y150" s="386">
        <f t="shared" si="36"/>
        <v>24806.173315679996</v>
      </c>
      <c r="Z150" s="387">
        <f t="shared" si="37"/>
        <v>3.4292625959292625E-2</v>
      </c>
      <c r="AA150" s="387">
        <f t="shared" si="38"/>
        <v>0.10978</v>
      </c>
      <c r="AB150" s="403">
        <f t="shared" si="39"/>
        <v>0.14595494819819821</v>
      </c>
      <c r="AC150" s="388">
        <f t="shared" si="40"/>
        <v>4.8982034806059279E-4</v>
      </c>
      <c r="AD150" s="389">
        <f t="shared" si="41"/>
        <v>7.1491703527607235E-5</v>
      </c>
    </row>
    <row r="151" spans="1:30" x14ac:dyDescent="0.55000000000000004">
      <c r="A151" t="str">
        <f t="shared" si="28"/>
        <v>Duke Energy Corp</v>
      </c>
      <c r="B151" t="str">
        <f t="shared" si="28"/>
        <v>DUK</v>
      </c>
      <c r="C151" s="382">
        <f t="shared" si="29"/>
        <v>3.7235467452451113E-2</v>
      </c>
      <c r="D151" s="383">
        <f t="shared" si="30"/>
        <v>86344.29</v>
      </c>
      <c r="E151" s="384">
        <f t="shared" si="31"/>
        <v>6.3E-2</v>
      </c>
      <c r="F151" s="385">
        <v>0.06</v>
      </c>
      <c r="G151" s="382">
        <v>6.5320199999999995E-2</v>
      </c>
      <c r="H151" s="399">
        <f t="shared" si="32"/>
        <v>6.2773399999999993E-2</v>
      </c>
      <c r="I151" s="399">
        <f t="shared" si="33"/>
        <v>0.10117756589874095</v>
      </c>
      <c r="J151" s="382">
        <f t="shared" si="34"/>
        <v>1.614904691471297E-3</v>
      </c>
      <c r="K151" s="382">
        <f t="shared" si="35"/>
        <v>1.6339212584152307E-4</v>
      </c>
      <c r="M151" s="400"/>
      <c r="N151" s="398" t="s">
        <v>4063</v>
      </c>
      <c r="O151" s="398" t="s">
        <v>749</v>
      </c>
      <c r="P151" s="398" t="s">
        <v>38</v>
      </c>
      <c r="Q151" s="398">
        <v>86344290000</v>
      </c>
      <c r="R151" s="398">
        <v>3.7235467452451112</v>
      </c>
      <c r="S151" s="398">
        <v>6.3</v>
      </c>
      <c r="T151" s="398">
        <v>771</v>
      </c>
      <c r="U151" s="398">
        <v>111.99</v>
      </c>
      <c r="W151" s="401" t="s">
        <v>749</v>
      </c>
      <c r="X151" s="402" t="s">
        <v>38</v>
      </c>
      <c r="Y151" s="386">
        <f t="shared" si="36"/>
        <v>86344.29</v>
      </c>
      <c r="Z151" s="387">
        <f t="shared" si="37"/>
        <v>3.7235467452451113E-2</v>
      </c>
      <c r="AA151" s="387">
        <f t="shared" si="38"/>
        <v>6.3E-2</v>
      </c>
      <c r="AB151" s="403">
        <f t="shared" si="39"/>
        <v>0.10140838467720333</v>
      </c>
      <c r="AC151" s="388">
        <f t="shared" si="40"/>
        <v>1.7049461697548974E-3</v>
      </c>
      <c r="AD151" s="389">
        <f t="shared" si="41"/>
        <v>1.7289583703642902E-4</v>
      </c>
    </row>
    <row r="152" spans="1:30" x14ac:dyDescent="0.55000000000000004">
      <c r="A152" t="str">
        <f t="shared" si="28"/>
        <v>DaVita Inc</v>
      </c>
      <c r="B152" t="str">
        <f t="shared" si="28"/>
        <v>DVA</v>
      </c>
      <c r="C152" s="382" t="str">
        <f t="shared" si="29"/>
        <v>0.00%</v>
      </c>
      <c r="D152" s="383">
        <f t="shared" si="30"/>
        <v>14448.4</v>
      </c>
      <c r="E152" s="384">
        <f t="shared" si="31"/>
        <v>0.17900000000000002</v>
      </c>
      <c r="F152" s="385">
        <v>9.5000000000000001E-2</v>
      </c>
      <c r="G152" s="382">
        <v>0.16664079999999998</v>
      </c>
      <c r="H152" s="399">
        <f t="shared" si="32"/>
        <v>0.14688026666666668</v>
      </c>
      <c r="I152" s="399">
        <f t="shared" si="33"/>
        <v>0.14688026666666668</v>
      </c>
      <c r="J152" s="382">
        <f t="shared" si="34"/>
        <v>2.7022966943446856E-4</v>
      </c>
      <c r="K152" s="382">
        <f t="shared" si="35"/>
        <v>3.9691405907779925E-5</v>
      </c>
      <c r="M152" s="400"/>
      <c r="N152" s="398" t="s">
        <v>4064</v>
      </c>
      <c r="O152" s="398" t="s">
        <v>750</v>
      </c>
      <c r="P152" s="398" t="s">
        <v>263</v>
      </c>
      <c r="Q152" s="398">
        <v>14448400000</v>
      </c>
      <c r="R152" s="398" t="s">
        <v>3929</v>
      </c>
      <c r="S152" s="398">
        <v>17.900000000000002</v>
      </c>
      <c r="T152" s="398">
        <v>82</v>
      </c>
      <c r="U152" s="398">
        <v>176.2</v>
      </c>
      <c r="W152" s="401" t="s">
        <v>750</v>
      </c>
      <c r="X152" s="402" t="s">
        <v>263</v>
      </c>
      <c r="Y152" s="386">
        <f t="shared" si="36"/>
        <v>14448.4</v>
      </c>
      <c r="Z152" s="387" t="str">
        <f t="shared" si="37"/>
        <v>0.00%</v>
      </c>
      <c r="AA152" s="387">
        <f t="shared" si="38"/>
        <v>0.17900000000000002</v>
      </c>
      <c r="AB152" s="403">
        <f t="shared" si="39"/>
        <v>0.17900000000000002</v>
      </c>
      <c r="AC152" s="388">
        <f t="shared" si="40"/>
        <v>2.852967375038542E-4</v>
      </c>
      <c r="AD152" s="389">
        <f t="shared" si="41"/>
        <v>5.1068116013189906E-5</v>
      </c>
    </row>
    <row r="153" spans="1:30" x14ac:dyDescent="0.55000000000000004">
      <c r="A153" t="str">
        <f t="shared" si="28"/>
        <v>Devon Energy Corp</v>
      </c>
      <c r="B153" t="str">
        <f t="shared" si="28"/>
        <v>DVN</v>
      </c>
      <c r="C153" s="382">
        <f t="shared" si="29"/>
        <v>3.8885630498533719E-2</v>
      </c>
      <c r="D153" s="383">
        <f t="shared" si="30"/>
        <v>22400.290000000005</v>
      </c>
      <c r="E153" s="384">
        <f t="shared" si="31"/>
        <v>-5.5099999999999996E-2</v>
      </c>
      <c r="F153" s="385">
        <v>3.5000000000000003E-2</v>
      </c>
      <c r="G153" s="382">
        <v>0.09</v>
      </c>
      <c r="H153" s="399">
        <f t="shared" si="32"/>
        <v>2.3300000000000001E-2</v>
      </c>
      <c r="I153" s="399">
        <f t="shared" si="33"/>
        <v>6.2638648093841634E-2</v>
      </c>
      <c r="J153" s="382">
        <f t="shared" si="34"/>
        <v>4.1895455288725624E-4</v>
      </c>
      <c r="K153" s="382">
        <f t="shared" si="35"/>
        <v>2.6242746805617608E-5</v>
      </c>
      <c r="M153" s="400"/>
      <c r="N153" s="398" t="s">
        <v>4065</v>
      </c>
      <c r="O153" s="398" t="s">
        <v>751</v>
      </c>
      <c r="P153" s="398" t="s">
        <v>264</v>
      </c>
      <c r="Q153" s="398">
        <v>22400290000.000004</v>
      </c>
      <c r="R153" s="398">
        <v>3.8885630498533721</v>
      </c>
      <c r="S153" s="398">
        <v>-5.51</v>
      </c>
      <c r="T153" s="398">
        <v>656.9</v>
      </c>
      <c r="U153" s="398">
        <v>34.1</v>
      </c>
      <c r="W153" s="401" t="s">
        <v>751</v>
      </c>
      <c r="X153" s="402" t="s">
        <v>264</v>
      </c>
      <c r="Y153" s="386">
        <f t="shared" si="36"/>
        <v>22400.290000000005</v>
      </c>
      <c r="Z153" s="387">
        <f t="shared" si="37"/>
        <v>3.8885630498533719E-2</v>
      </c>
      <c r="AA153" s="387">
        <f t="shared" si="38"/>
        <v>-5.5099999999999996E-2</v>
      </c>
      <c r="AB153" s="403">
        <f t="shared" si="39"/>
        <v>-1.7285668621700882E-2</v>
      </c>
      <c r="AC153" s="388">
        <f t="shared" si="40"/>
        <v>4.4231400405167433E-4</v>
      </c>
      <c r="AD153" s="389">
        <f t="shared" si="41"/>
        <v>-7.645693300774904E-6</v>
      </c>
    </row>
    <row r="154" spans="1:30" x14ac:dyDescent="0.55000000000000004">
      <c r="A154" t="str">
        <f t="shared" si="28"/>
        <v>Dexcom Inc</v>
      </c>
      <c r="B154" t="str">
        <f t="shared" si="28"/>
        <v>DXCM</v>
      </c>
      <c r="C154" s="382">
        <f t="shared" si="29"/>
        <v>0</v>
      </c>
      <c r="D154" s="383">
        <f t="shared" si="30"/>
        <v>33915.397713699997</v>
      </c>
      <c r="E154" s="384">
        <f t="shared" si="31"/>
        <v>0.20525000000000002</v>
      </c>
      <c r="F154" s="385">
        <v>0.22</v>
      </c>
      <c r="G154" s="382">
        <v>0.25837489999999996</v>
      </c>
      <c r="H154" s="399">
        <f t="shared" si="32"/>
        <v>0.22787496666666665</v>
      </c>
      <c r="I154" s="399">
        <f t="shared" si="33"/>
        <v>0.22787496666666665</v>
      </c>
      <c r="J154" s="382">
        <f t="shared" si="34"/>
        <v>6.3432260408845839E-4</v>
      </c>
      <c r="K154" s="382">
        <f t="shared" si="35"/>
        <v>1.4454624226257064E-4</v>
      </c>
      <c r="M154" s="400"/>
      <c r="N154" s="398" t="s">
        <v>4066</v>
      </c>
      <c r="O154" s="398" t="s">
        <v>752</v>
      </c>
      <c r="P154" s="398" t="s">
        <v>265</v>
      </c>
      <c r="Q154" s="398">
        <v>33915397713.699997</v>
      </c>
      <c r="R154" s="398">
        <v>0</v>
      </c>
      <c r="S154" s="398">
        <v>20.525000000000002</v>
      </c>
      <c r="T154" s="398">
        <v>390.59539999999998</v>
      </c>
      <c r="U154" s="398">
        <v>86.83</v>
      </c>
      <c r="W154" s="401" t="s">
        <v>752</v>
      </c>
      <c r="X154" s="402" t="s">
        <v>265</v>
      </c>
      <c r="Y154" s="386">
        <f t="shared" si="36"/>
        <v>33915.397713699997</v>
      </c>
      <c r="Z154" s="387">
        <f t="shared" si="37"/>
        <v>0</v>
      </c>
      <c r="AA154" s="387">
        <f t="shared" si="38"/>
        <v>0.20525000000000002</v>
      </c>
      <c r="AB154" s="403">
        <f t="shared" si="39"/>
        <v>0.20525000000000002</v>
      </c>
      <c r="AC154" s="388">
        <f t="shared" si="40"/>
        <v>6.6969022998147095E-4</v>
      </c>
      <c r="AD154" s="389">
        <f t="shared" si="41"/>
        <v>1.3745391970369693E-4</v>
      </c>
    </row>
    <row r="155" spans="1:30" x14ac:dyDescent="0.55000000000000004">
      <c r="A155" t="str">
        <f t="shared" si="28"/>
        <v>Electronic Arts Inc</v>
      </c>
      <c r="B155" t="str">
        <f t="shared" si="28"/>
        <v>EA</v>
      </c>
      <c r="C155" s="382">
        <f t="shared" si="29"/>
        <v>6.2484744935318529E-3</v>
      </c>
      <c r="D155" s="383">
        <f t="shared" si="30"/>
        <v>32235.952429109995</v>
      </c>
      <c r="E155" s="384">
        <f t="shared" si="31"/>
        <v>6.2E-2</v>
      </c>
      <c r="F155" s="385">
        <v>0.14000000000000001</v>
      </c>
      <c r="G155" s="382">
        <v>8.6812199999999992E-2</v>
      </c>
      <c r="H155" s="399">
        <f t="shared" si="32"/>
        <v>9.6270733333333344E-2</v>
      </c>
      <c r="I155" s="399">
        <f t="shared" si="33"/>
        <v>0.10281998043771867</v>
      </c>
      <c r="J155" s="382">
        <f t="shared" si="34"/>
        <v>6.0291179430412012E-4</v>
      </c>
      <c r="K155" s="382">
        <f t="shared" si="35"/>
        <v>6.1991378896019496E-5</v>
      </c>
      <c r="M155" s="400"/>
      <c r="N155" s="398" t="s">
        <v>4067</v>
      </c>
      <c r="O155" s="398" t="s">
        <v>753</v>
      </c>
      <c r="P155" s="398" t="s">
        <v>266</v>
      </c>
      <c r="Q155" s="398">
        <v>32235952429.109997</v>
      </c>
      <c r="R155" s="398">
        <v>0.62484744935318526</v>
      </c>
      <c r="S155" s="398">
        <v>6.2</v>
      </c>
      <c r="T155" s="398">
        <v>262.27279999999996</v>
      </c>
      <c r="U155" s="398">
        <v>122.91</v>
      </c>
      <c r="W155" s="401" t="s">
        <v>753</v>
      </c>
      <c r="X155" s="402" t="s">
        <v>266</v>
      </c>
      <c r="Y155" s="386">
        <f t="shared" si="36"/>
        <v>32235.952429109995</v>
      </c>
      <c r="Z155" s="387">
        <f t="shared" si="37"/>
        <v>6.2484744935318529E-3</v>
      </c>
      <c r="AA155" s="387">
        <f t="shared" si="38"/>
        <v>6.2E-2</v>
      </c>
      <c r="AB155" s="403">
        <f t="shared" si="39"/>
        <v>6.8442177202831342E-2</v>
      </c>
      <c r="AC155" s="388">
        <f t="shared" si="40"/>
        <v>6.3652806250896461E-4</v>
      </c>
      <c r="AD155" s="389">
        <f t="shared" si="41"/>
        <v>4.356536644881346E-5</v>
      </c>
    </row>
    <row r="156" spans="1:30" x14ac:dyDescent="0.55000000000000004">
      <c r="A156" t="str">
        <f t="shared" si="28"/>
        <v>eBay Inc</v>
      </c>
      <c r="B156" t="str">
        <f t="shared" si="28"/>
        <v>EBAY</v>
      </c>
      <c r="C156" s="382">
        <f t="shared" si="29"/>
        <v>1.5975103734439836E-2</v>
      </c>
      <c r="D156" s="383">
        <f t="shared" si="30"/>
        <v>32322.92</v>
      </c>
      <c r="E156" s="384">
        <f t="shared" si="31"/>
        <v>9.955E-2</v>
      </c>
      <c r="F156" s="385">
        <v>0.115</v>
      </c>
      <c r="G156" s="382">
        <v>8.6225200000000002E-2</v>
      </c>
      <c r="H156" s="399">
        <f t="shared" si="32"/>
        <v>0.10025840000000001</v>
      </c>
      <c r="I156" s="399">
        <f t="shared" si="33"/>
        <v>0.11703432290456434</v>
      </c>
      <c r="J156" s="382">
        <f t="shared" si="34"/>
        <v>6.0453835627175142E-4</v>
      </c>
      <c r="K156" s="382">
        <f t="shared" si="35"/>
        <v>7.0751737196102707E-5</v>
      </c>
      <c r="M156" s="400"/>
      <c r="N156" s="398" t="s">
        <v>4068</v>
      </c>
      <c r="O156" s="398" t="s">
        <v>754</v>
      </c>
      <c r="P156" s="398" t="s">
        <v>267</v>
      </c>
      <c r="Q156" s="398">
        <v>32322920000</v>
      </c>
      <c r="R156" s="398">
        <v>1.5975103734439835</v>
      </c>
      <c r="S156" s="398">
        <v>9.9550000000000001</v>
      </c>
      <c r="T156" s="398">
        <v>479</v>
      </c>
      <c r="U156" s="398">
        <v>67.48</v>
      </c>
      <c r="W156" s="401" t="s">
        <v>754</v>
      </c>
      <c r="X156" s="402" t="s">
        <v>267</v>
      </c>
      <c r="Y156" s="386">
        <f t="shared" si="36"/>
        <v>32322.92</v>
      </c>
      <c r="Z156" s="387">
        <f t="shared" si="37"/>
        <v>1.5975103734439836E-2</v>
      </c>
      <c r="AA156" s="387">
        <f t="shared" si="38"/>
        <v>9.955E-2</v>
      </c>
      <c r="AB156" s="403">
        <f t="shared" si="39"/>
        <v>0.11632026452282157</v>
      </c>
      <c r="AC156" s="388">
        <f t="shared" si="40"/>
        <v>6.3824531592412157E-4</v>
      </c>
      <c r="AD156" s="389">
        <f t="shared" si="41"/>
        <v>7.4240863978745637E-5</v>
      </c>
    </row>
    <row r="157" spans="1:30" x14ac:dyDescent="0.55000000000000004">
      <c r="A157" t="str">
        <f t="shared" si="28"/>
        <v>Ecolab Inc</v>
      </c>
      <c r="B157" t="str">
        <f t="shared" si="28"/>
        <v>ECL</v>
      </c>
      <c r="C157" s="382">
        <f t="shared" si="29"/>
        <v>9.2369798952795876E-3</v>
      </c>
      <c r="D157" s="383">
        <f t="shared" si="30"/>
        <v>70844.254995229989</v>
      </c>
      <c r="E157" s="384">
        <f t="shared" si="31"/>
        <v>0.1825</v>
      </c>
      <c r="F157" s="385">
        <v>0.12</v>
      </c>
      <c r="G157" s="382">
        <v>0.15946559999999999</v>
      </c>
      <c r="H157" s="399">
        <f t="shared" si="32"/>
        <v>0.15398853333333332</v>
      </c>
      <c r="I157" s="399">
        <f t="shared" si="33"/>
        <v>0.16393670772186469</v>
      </c>
      <c r="J157" s="382">
        <f t="shared" si="34"/>
        <v>1.3250062019803022E-3</v>
      </c>
      <c r="K157" s="382">
        <f t="shared" si="35"/>
        <v>2.1721715446370281E-4</v>
      </c>
      <c r="M157" s="400"/>
      <c r="N157" s="398" t="s">
        <v>4069</v>
      </c>
      <c r="O157" s="398" t="s">
        <v>755</v>
      </c>
      <c r="P157" s="398" t="s">
        <v>268</v>
      </c>
      <c r="Q157" s="398">
        <v>70844254995.229996</v>
      </c>
      <c r="R157" s="398">
        <v>0.92369798952795878</v>
      </c>
      <c r="S157" s="398">
        <v>18.25</v>
      </c>
      <c r="T157" s="398">
        <v>283.16179999999997</v>
      </c>
      <c r="U157" s="398">
        <v>250.19</v>
      </c>
      <c r="W157" s="401" t="s">
        <v>755</v>
      </c>
      <c r="X157" s="402" t="s">
        <v>268</v>
      </c>
      <c r="Y157" s="386">
        <f t="shared" si="36"/>
        <v>70844.254995229989</v>
      </c>
      <c r="Z157" s="387">
        <f t="shared" si="37"/>
        <v>9.2369798952795876E-3</v>
      </c>
      <c r="AA157" s="387">
        <f t="shared" si="38"/>
        <v>0.1825</v>
      </c>
      <c r="AB157" s="403">
        <f t="shared" si="39"/>
        <v>0.19257985431072386</v>
      </c>
      <c r="AC157" s="388">
        <f t="shared" si="40"/>
        <v>1.3988839470827387E-3</v>
      </c>
      <c r="AD157" s="389">
        <f t="shared" si="41"/>
        <v>2.6939686672680419E-4</v>
      </c>
    </row>
    <row r="158" spans="1:30" x14ac:dyDescent="0.55000000000000004">
      <c r="A158" t="str">
        <f t="shared" si="28"/>
        <v>Consolidated Edison Inc</v>
      </c>
      <c r="B158" t="str">
        <f t="shared" si="28"/>
        <v>ED</v>
      </c>
      <c r="C158" s="382">
        <f t="shared" si="29"/>
        <v>3.5491785790484315E-2</v>
      </c>
      <c r="D158" s="383">
        <f t="shared" si="30"/>
        <v>32472.678690599998</v>
      </c>
      <c r="E158" s="384">
        <f t="shared" si="31"/>
        <v>5.9930000000000004E-2</v>
      </c>
      <c r="F158" s="385">
        <v>0.06</v>
      </c>
      <c r="G158" s="382">
        <v>5.3201799999999994E-2</v>
      </c>
      <c r="H158" s="399">
        <f t="shared" si="32"/>
        <v>5.7710600000000001E-2</v>
      </c>
      <c r="I158" s="399">
        <f t="shared" si="33"/>
        <v>9.4226511917004485E-2</v>
      </c>
      <c r="J158" s="382">
        <f t="shared" si="34"/>
        <v>6.0733930595862165E-4</v>
      </c>
      <c r="K158" s="382">
        <f t="shared" si="35"/>
        <v>5.7227464350575297E-5</v>
      </c>
      <c r="M158" s="400"/>
      <c r="N158" s="398" t="s">
        <v>4070</v>
      </c>
      <c r="O158" s="398" t="s">
        <v>756</v>
      </c>
      <c r="P158" s="398" t="s">
        <v>39</v>
      </c>
      <c r="Q158" s="398">
        <v>32472678690.599998</v>
      </c>
      <c r="R158" s="398">
        <v>3.5491785790484318</v>
      </c>
      <c r="S158" s="398">
        <v>5.9930000000000003</v>
      </c>
      <c r="T158" s="398">
        <v>346.41219999999998</v>
      </c>
      <c r="U158" s="398">
        <v>93.74</v>
      </c>
      <c r="W158" s="401" t="s">
        <v>756</v>
      </c>
      <c r="X158" s="402" t="s">
        <v>39</v>
      </c>
      <c r="Y158" s="386">
        <f t="shared" si="36"/>
        <v>32472.678690599998</v>
      </c>
      <c r="Z158" s="387">
        <f t="shared" si="37"/>
        <v>3.5491785790484315E-2</v>
      </c>
      <c r="AA158" s="387">
        <f t="shared" si="38"/>
        <v>5.9930000000000004E-2</v>
      </c>
      <c r="AB158" s="403">
        <f t="shared" si="39"/>
        <v>9.6485297151696181E-2</v>
      </c>
      <c r="AC158" s="388">
        <f t="shared" si="40"/>
        <v>6.4120243684000352E-4</v>
      </c>
      <c r="AD158" s="389">
        <f t="shared" si="41"/>
        <v>6.1866607652899441E-5</v>
      </c>
    </row>
    <row r="159" spans="1:30" x14ac:dyDescent="0.55000000000000004">
      <c r="A159" t="str">
        <f t="shared" si="28"/>
        <v>Equifax Inc</v>
      </c>
      <c r="B159" t="str">
        <f t="shared" si="28"/>
        <v>EFX</v>
      </c>
      <c r="C159" s="382">
        <f t="shared" si="29"/>
        <v>6.0084431181308684E-3</v>
      </c>
      <c r="D159" s="383">
        <f t="shared" si="30"/>
        <v>34059.534681699995</v>
      </c>
      <c r="E159" s="384">
        <f t="shared" si="31"/>
        <v>0.1525</v>
      </c>
      <c r="F159" s="385">
        <v>7.0000000000000007E-2</v>
      </c>
      <c r="G159" s="382">
        <v>0.21892</v>
      </c>
      <c r="H159" s="399">
        <f t="shared" si="32"/>
        <v>0.14714000000000002</v>
      </c>
      <c r="I159" s="399">
        <f t="shared" si="33"/>
        <v>0.15359048427833177</v>
      </c>
      <c r="J159" s="382">
        <f t="shared" si="34"/>
        <v>6.3701841021342209E-4</v>
      </c>
      <c r="K159" s="382">
        <f t="shared" si="35"/>
        <v>9.7839966118892511E-5</v>
      </c>
      <c r="M159" s="400"/>
      <c r="N159" s="398" t="s">
        <v>4071</v>
      </c>
      <c r="O159" s="398" t="s">
        <v>757</v>
      </c>
      <c r="P159" s="398" t="s">
        <v>269</v>
      </c>
      <c r="Q159" s="398">
        <v>34059534681.699997</v>
      </c>
      <c r="R159" s="398">
        <v>0.60084431181308684</v>
      </c>
      <c r="S159" s="398">
        <v>15.25</v>
      </c>
      <c r="T159" s="398">
        <v>123.952</v>
      </c>
      <c r="U159" s="398">
        <v>274.77999999999997</v>
      </c>
      <c r="W159" s="401" t="s">
        <v>757</v>
      </c>
      <c r="X159" s="402" t="s">
        <v>269</v>
      </c>
      <c r="Y159" s="386">
        <f t="shared" si="36"/>
        <v>34059.534681699995</v>
      </c>
      <c r="Z159" s="387">
        <f t="shared" si="37"/>
        <v>6.0084431181308684E-3</v>
      </c>
      <c r="AA159" s="387">
        <f t="shared" si="38"/>
        <v>0.1525</v>
      </c>
      <c r="AB159" s="403">
        <f t="shared" si="39"/>
        <v>0.15896658690588833</v>
      </c>
      <c r="AC159" s="388">
        <f t="shared" si="40"/>
        <v>6.7253634489551661E-4</v>
      </c>
      <c r="AD159" s="389">
        <f t="shared" si="41"/>
        <v>1.0691080731820163E-4</v>
      </c>
    </row>
    <row r="160" spans="1:30" x14ac:dyDescent="0.55000000000000004">
      <c r="A160" t="str">
        <f t="shared" si="28"/>
        <v>Everest Group Ltd</v>
      </c>
      <c r="B160" t="str">
        <f t="shared" si="28"/>
        <v>EG</v>
      </c>
      <c r="C160" s="382">
        <f t="shared" si="29"/>
        <v>2.2212310437109722E-2</v>
      </c>
      <c r="D160" s="383">
        <f t="shared" si="30"/>
        <v>14935.488073349998</v>
      </c>
      <c r="E160" s="384">
        <f t="shared" si="31"/>
        <v>4.6500000000000005E-3</v>
      </c>
      <c r="F160" s="385">
        <v>0.14499999999999999</v>
      </c>
      <c r="G160" s="382">
        <v>4.6528999999999997E-3</v>
      </c>
      <c r="H160" s="399">
        <f t="shared" si="32"/>
        <v>5.1434299999999988E-2</v>
      </c>
      <c r="I160" s="399">
        <f t="shared" si="33"/>
        <v>7.421784775646742E-2</v>
      </c>
      <c r="J160" s="382">
        <f t="shared" si="34"/>
        <v>2.7933971961627708E-4</v>
      </c>
      <c r="K160" s="382">
        <f t="shared" si="35"/>
        <v>2.0731992782815147E-5</v>
      </c>
      <c r="M160" s="400"/>
      <c r="N160" s="398" t="s">
        <v>4072</v>
      </c>
      <c r="O160" s="398" t="s">
        <v>758</v>
      </c>
      <c r="P160" s="398" t="s">
        <v>270</v>
      </c>
      <c r="Q160" s="398">
        <v>14935488073.349998</v>
      </c>
      <c r="R160" s="398">
        <v>2.2212310437109721</v>
      </c>
      <c r="S160" s="398">
        <v>0.46500000000000002</v>
      </c>
      <c r="T160" s="398">
        <v>42.978589999999997</v>
      </c>
      <c r="U160" s="398">
        <v>347.51</v>
      </c>
      <c r="W160" s="401" t="s">
        <v>758</v>
      </c>
      <c r="X160" s="402" t="s">
        <v>270</v>
      </c>
      <c r="Y160" s="386">
        <f t="shared" si="36"/>
        <v>14935.488073349998</v>
      </c>
      <c r="Z160" s="387">
        <f t="shared" si="37"/>
        <v>2.2212310437109722E-2</v>
      </c>
      <c r="AA160" s="387">
        <f t="shared" si="38"/>
        <v>4.6500000000000005E-3</v>
      </c>
      <c r="AB160" s="403">
        <f t="shared" si="39"/>
        <v>2.6913954058876002E-2</v>
      </c>
      <c r="AC160" s="388">
        <f t="shared" si="40"/>
        <v>2.9491473245165409E-4</v>
      </c>
      <c r="AD160" s="389">
        <f t="shared" si="41"/>
        <v>7.9373215604895263E-6</v>
      </c>
    </row>
    <row r="161" spans="1:30" x14ac:dyDescent="0.55000000000000004">
      <c r="A161" t="str">
        <f t="shared" si="28"/>
        <v>Edison International</v>
      </c>
      <c r="B161" t="str">
        <f t="shared" si="28"/>
        <v>EIX</v>
      </c>
      <c r="C161" s="382">
        <f t="shared" si="29"/>
        <v>5.7907407407407414E-2</v>
      </c>
      <c r="D161" s="383">
        <f t="shared" si="30"/>
        <v>20906.114525999998</v>
      </c>
      <c r="E161" s="384">
        <f t="shared" si="31"/>
        <v>7.7700000000000005E-2</v>
      </c>
      <c r="F161" s="385">
        <v>6.5000000000000002E-2</v>
      </c>
      <c r="G161" s="382">
        <v>8.2505099999999998E-2</v>
      </c>
      <c r="H161" s="399">
        <f t="shared" si="32"/>
        <v>7.5068366666666664E-2</v>
      </c>
      <c r="I161" s="399">
        <f t="shared" si="33"/>
        <v>0.13514928132006174</v>
      </c>
      <c r="J161" s="382">
        <f t="shared" si="34"/>
        <v>3.9100886032502707E-4</v>
      </c>
      <c r="K161" s="382">
        <f t="shared" si="35"/>
        <v>5.2844566462703808E-5</v>
      </c>
      <c r="M161" s="400"/>
      <c r="N161" s="398" t="s">
        <v>4073</v>
      </c>
      <c r="O161" s="398" t="s">
        <v>271</v>
      </c>
      <c r="P161" s="398" t="s">
        <v>41</v>
      </c>
      <c r="Q161" s="398">
        <v>20906114525.999996</v>
      </c>
      <c r="R161" s="398">
        <v>5.7907407407407412</v>
      </c>
      <c r="S161" s="398">
        <v>7.7700000000000005</v>
      </c>
      <c r="T161" s="398">
        <v>387.15029999999996</v>
      </c>
      <c r="U161" s="398">
        <v>54</v>
      </c>
      <c r="W161" s="401" t="s">
        <v>271</v>
      </c>
      <c r="X161" s="402" t="s">
        <v>41</v>
      </c>
      <c r="Y161" s="386">
        <f t="shared" si="36"/>
        <v>20906.114525999998</v>
      </c>
      <c r="Z161" s="387">
        <f t="shared" si="37"/>
        <v>5.7907407407407414E-2</v>
      </c>
      <c r="AA161" s="387">
        <f t="shared" si="38"/>
        <v>7.7700000000000005E-2</v>
      </c>
      <c r="AB161" s="403">
        <f t="shared" si="39"/>
        <v>0.13785711018518521</v>
      </c>
      <c r="AC161" s="388">
        <f t="shared" si="40"/>
        <v>4.1281015670591447E-4</v>
      </c>
      <c r="AD161" s="389">
        <f t="shared" si="41"/>
        <v>5.6908815258570821E-5</v>
      </c>
    </row>
    <row r="162" spans="1:30" x14ac:dyDescent="0.55000000000000004">
      <c r="A162" t="str">
        <f t="shared" si="28"/>
        <v>Estee Lauder Cos Inc/The</v>
      </c>
      <c r="B162" t="str">
        <f t="shared" si="28"/>
        <v>EL</v>
      </c>
      <c r="C162" s="382">
        <f t="shared" si="29"/>
        <v>2.0544168764233487E-2</v>
      </c>
      <c r="D162" s="383">
        <f t="shared" si="30"/>
        <v>29949.53670918</v>
      </c>
      <c r="E162" s="384">
        <f t="shared" si="31"/>
        <v>9.820000000000001E-2</v>
      </c>
      <c r="F162" s="385">
        <v>-0.02</v>
      </c>
      <c r="G162" s="382">
        <v>0.10160399999999999</v>
      </c>
      <c r="H162" s="399">
        <f t="shared" si="32"/>
        <v>5.9934666666666664E-2</v>
      </c>
      <c r="I162" s="399">
        <f t="shared" si="33"/>
        <v>8.1094489384314183E-2</v>
      </c>
      <c r="J162" s="382">
        <f t="shared" si="34"/>
        <v>5.6014876419791762E-4</v>
      </c>
      <c r="K162" s="382">
        <f t="shared" si="35"/>
        <v>4.5424978011884739E-5</v>
      </c>
      <c r="M162" s="400"/>
      <c r="N162" s="398" t="s">
        <v>4074</v>
      </c>
      <c r="O162" s="398" t="s">
        <v>759</v>
      </c>
      <c r="P162" s="398" t="s">
        <v>272</v>
      </c>
      <c r="Q162" s="398">
        <v>29949536709.18</v>
      </c>
      <c r="R162" s="398">
        <v>2.0544168764233488</v>
      </c>
      <c r="S162" s="398">
        <v>9.82</v>
      </c>
      <c r="T162" s="398">
        <v>233.43599999999998</v>
      </c>
      <c r="U162" s="398">
        <v>83.43</v>
      </c>
      <c r="W162" s="401" t="s">
        <v>759</v>
      </c>
      <c r="X162" s="402" t="s">
        <v>272</v>
      </c>
      <c r="Y162" s="386">
        <f t="shared" si="36"/>
        <v>29949.53670918</v>
      </c>
      <c r="Z162" s="387">
        <f t="shared" si="37"/>
        <v>2.0544168764233487E-2</v>
      </c>
      <c r="AA162" s="387">
        <f t="shared" si="38"/>
        <v>9.820000000000001E-2</v>
      </c>
      <c r="AB162" s="403">
        <f t="shared" si="39"/>
        <v>0.11975288745055736</v>
      </c>
      <c r="AC162" s="388">
        <f t="shared" si="40"/>
        <v>5.9138071432691312E-4</v>
      </c>
      <c r="AD162" s="389">
        <f t="shared" si="41"/>
        <v>7.0819548123221047E-5</v>
      </c>
    </row>
    <row r="163" spans="1:30" x14ac:dyDescent="0.55000000000000004">
      <c r="A163" t="str">
        <f t="shared" si="28"/>
        <v>Elevance Health Inc</v>
      </c>
      <c r="B163" t="str">
        <f t="shared" si="28"/>
        <v>ELV</v>
      </c>
      <c r="C163" s="382">
        <f t="shared" si="29"/>
        <v>1.7384382107657317E-2</v>
      </c>
      <c r="D163" s="383">
        <f t="shared" si="30"/>
        <v>91771.857895499998</v>
      </c>
      <c r="E163" s="384">
        <f t="shared" si="31"/>
        <v>8.1799999999999998E-2</v>
      </c>
      <c r="F163" s="385">
        <v>0.11</v>
      </c>
      <c r="G163" s="382">
        <v>8.3805400000000002E-2</v>
      </c>
      <c r="H163" s="399">
        <f t="shared" si="32"/>
        <v>9.1868466666666662E-2</v>
      </c>
      <c r="I163" s="399">
        <f t="shared" si="33"/>
        <v>0.11005138703841294</v>
      </c>
      <c r="J163" s="382">
        <f t="shared" si="34"/>
        <v>1.7164169612197883E-3</v>
      </c>
      <c r="K163" s="382">
        <f t="shared" si="35"/>
        <v>1.8889406731849553E-4</v>
      </c>
      <c r="M163" s="400"/>
      <c r="N163" s="398" t="s">
        <v>4075</v>
      </c>
      <c r="O163" s="398" t="s">
        <v>760</v>
      </c>
      <c r="P163" s="398" t="s">
        <v>273</v>
      </c>
      <c r="Q163" s="398">
        <v>91771857895.5</v>
      </c>
      <c r="R163" s="398">
        <v>1.7384382107657319</v>
      </c>
      <c r="S163" s="398">
        <v>8.18</v>
      </c>
      <c r="T163" s="398">
        <v>231.9228</v>
      </c>
      <c r="U163" s="398">
        <v>395.7</v>
      </c>
      <c r="W163" s="401" t="s">
        <v>760</v>
      </c>
      <c r="X163" s="402" t="s">
        <v>273</v>
      </c>
      <c r="Y163" s="386">
        <f t="shared" si="36"/>
        <v>91771.857895499998</v>
      </c>
      <c r="Z163" s="387">
        <f t="shared" si="37"/>
        <v>1.7384382107657317E-2</v>
      </c>
      <c r="AA163" s="387">
        <f t="shared" si="38"/>
        <v>8.1799999999999998E-2</v>
      </c>
      <c r="AB163" s="403">
        <f t="shared" si="39"/>
        <v>9.98954033358605E-2</v>
      </c>
      <c r="AC163" s="388">
        <f t="shared" si="40"/>
        <v>1.8121184111910987E-3</v>
      </c>
      <c r="AD163" s="389">
        <f t="shared" si="41"/>
        <v>1.8102229957827351E-4</v>
      </c>
    </row>
    <row r="164" spans="1:30" x14ac:dyDescent="0.55000000000000004">
      <c r="A164" t="str">
        <f t="shared" si="28"/>
        <v>Eastman Chemical Co</v>
      </c>
      <c r="B164" t="str">
        <f t="shared" si="28"/>
        <v>EMN</v>
      </c>
      <c r="C164" s="382">
        <f t="shared" si="29"/>
        <v>3.3918715504264924E-2</v>
      </c>
      <c r="D164" s="383">
        <f t="shared" si="30"/>
        <v>11550.690191400001</v>
      </c>
      <c r="E164" s="384">
        <f t="shared" si="31"/>
        <v>5.5200000000000006E-2</v>
      </c>
      <c r="F164" s="385">
        <v>3.5000000000000003E-2</v>
      </c>
      <c r="G164" s="382">
        <v>5.5198600000000007E-2</v>
      </c>
      <c r="H164" s="399">
        <f t="shared" si="32"/>
        <v>4.8466200000000008E-2</v>
      </c>
      <c r="I164" s="399">
        <f t="shared" si="33"/>
        <v>8.3206871128951337E-2</v>
      </c>
      <c r="J164" s="382">
        <f t="shared" si="34"/>
        <v>2.1603355334583627E-4</v>
      </c>
      <c r="K164" s="382">
        <f t="shared" si="35"/>
        <v>1.7975476032776433E-5</v>
      </c>
      <c r="M164" s="400"/>
      <c r="N164" s="398" t="s">
        <v>4076</v>
      </c>
      <c r="O164" s="398" t="s">
        <v>761</v>
      </c>
      <c r="P164" s="398" t="s">
        <v>274</v>
      </c>
      <c r="Q164" s="398">
        <v>11550690191.400002</v>
      </c>
      <c r="R164" s="398">
        <v>3.3918715504264925</v>
      </c>
      <c r="S164" s="398">
        <v>5.5200000000000005</v>
      </c>
      <c r="T164" s="398">
        <v>115.9126</v>
      </c>
      <c r="U164" s="398">
        <v>99.65</v>
      </c>
      <c r="W164" s="401" t="s">
        <v>761</v>
      </c>
      <c r="X164" s="402" t="s">
        <v>274</v>
      </c>
      <c r="Y164" s="386">
        <f t="shared" si="36"/>
        <v>11550.690191400001</v>
      </c>
      <c r="Z164" s="387">
        <f t="shared" si="37"/>
        <v>3.3918715504264924E-2</v>
      </c>
      <c r="AA164" s="387">
        <f t="shared" si="38"/>
        <v>5.5200000000000006E-2</v>
      </c>
      <c r="AB164" s="403">
        <f t="shared" si="39"/>
        <v>9.0054872052182641E-2</v>
      </c>
      <c r="AC164" s="388">
        <f t="shared" si="40"/>
        <v>2.2807883416324224E-4</v>
      </c>
      <c r="AD164" s="389">
        <f t="shared" si="41"/>
        <v>2.0539610228381763E-5</v>
      </c>
    </row>
    <row r="165" spans="1:30" x14ac:dyDescent="0.55000000000000004">
      <c r="A165" t="str">
        <f t="shared" si="28"/>
        <v>Emerson Electric Co</v>
      </c>
      <c r="B165" t="str">
        <f t="shared" si="28"/>
        <v>EMR</v>
      </c>
      <c r="C165" s="382">
        <f t="shared" si="29"/>
        <v>1.6467872258560987E-2</v>
      </c>
      <c r="D165" s="383">
        <f t="shared" si="30"/>
        <v>74010.600751800011</v>
      </c>
      <c r="E165" s="384">
        <f t="shared" si="31"/>
        <v>0.12905</v>
      </c>
      <c r="F165" s="385">
        <v>0.125</v>
      </c>
      <c r="G165" s="382">
        <v>0.1086641</v>
      </c>
      <c r="H165" s="399">
        <f t="shared" si="32"/>
        <v>0.12090469999999999</v>
      </c>
      <c r="I165" s="399">
        <f t="shared" si="33"/>
        <v>0.13836809383609081</v>
      </c>
      <c r="J165" s="382">
        <f t="shared" si="34"/>
        <v>1.3842266393375977E-3</v>
      </c>
      <c r="K165" s="382">
        <f t="shared" si="35"/>
        <v>1.9153280152228133E-4</v>
      </c>
      <c r="M165" s="400"/>
      <c r="N165" s="398" t="s">
        <v>4077</v>
      </c>
      <c r="O165" s="398" t="s">
        <v>762</v>
      </c>
      <c r="P165" s="398" t="s">
        <v>275</v>
      </c>
      <c r="Q165" s="398">
        <v>74010600751.800018</v>
      </c>
      <c r="R165" s="398">
        <v>1.6467872258560987</v>
      </c>
      <c r="S165" s="398">
        <v>12.905000000000001</v>
      </c>
      <c r="T165" s="398">
        <v>569.53139999999996</v>
      </c>
      <c r="U165" s="398">
        <v>129.94999999999999</v>
      </c>
      <c r="W165" s="401" t="s">
        <v>762</v>
      </c>
      <c r="X165" s="402" t="s">
        <v>275</v>
      </c>
      <c r="Y165" s="386">
        <f t="shared" si="36"/>
        <v>74010.600751800011</v>
      </c>
      <c r="Z165" s="387">
        <f t="shared" si="37"/>
        <v>1.6467872258560987E-2</v>
      </c>
      <c r="AA165" s="387">
        <f t="shared" si="38"/>
        <v>0.12905</v>
      </c>
      <c r="AB165" s="403">
        <f t="shared" si="39"/>
        <v>0.14658046171604464</v>
      </c>
      <c r="AC165" s="388">
        <f t="shared" si="40"/>
        <v>1.4614063104003794E-3</v>
      </c>
      <c r="AD165" s="389">
        <f t="shared" si="41"/>
        <v>2.1421361173322884E-4</v>
      </c>
    </row>
    <row r="166" spans="1:30" x14ac:dyDescent="0.55000000000000004">
      <c r="A166" t="str">
        <f t="shared" si="28"/>
        <v>Enphase Energy Inc</v>
      </c>
      <c r="B166" t="str">
        <f t="shared" si="28"/>
        <v>ENPH</v>
      </c>
      <c r="C166" s="382">
        <f t="shared" si="29"/>
        <v>0</v>
      </c>
      <c r="D166" s="383">
        <f t="shared" si="30"/>
        <v>8414.4404804400001</v>
      </c>
      <c r="E166" s="384">
        <f t="shared" si="31"/>
        <v>3.993E-2</v>
      </c>
      <c r="F166" s="385">
        <v>0.14000000000000001</v>
      </c>
      <c r="G166" s="382">
        <v>0.24196090000000001</v>
      </c>
      <c r="H166" s="399">
        <f t="shared" si="32"/>
        <v>0.14063030000000001</v>
      </c>
      <c r="I166" s="399">
        <f t="shared" si="33"/>
        <v>0.14063030000000001</v>
      </c>
      <c r="J166" s="382">
        <f t="shared" si="34"/>
        <v>1.5737600492132778E-4</v>
      </c>
      <c r="K166" s="382">
        <f t="shared" si="35"/>
        <v>2.2131834784887804E-5</v>
      </c>
      <c r="M166" s="400"/>
      <c r="N166" s="398" t="s">
        <v>4078</v>
      </c>
      <c r="O166" s="398" t="s">
        <v>763</v>
      </c>
      <c r="P166" s="398" t="s">
        <v>276</v>
      </c>
      <c r="Q166" s="398">
        <v>8414440480.4400005</v>
      </c>
      <c r="R166" s="398">
        <v>0</v>
      </c>
      <c r="S166" s="398">
        <v>3.9929999999999999</v>
      </c>
      <c r="T166" s="398">
        <v>135.10659999999999</v>
      </c>
      <c r="U166" s="398">
        <v>62.28</v>
      </c>
      <c r="W166" s="401" t="s">
        <v>763</v>
      </c>
      <c r="X166" s="402" t="s">
        <v>276</v>
      </c>
      <c r="Y166" s="386">
        <f t="shared" si="36"/>
        <v>8414.4404804400001</v>
      </c>
      <c r="Z166" s="387">
        <f t="shared" si="37"/>
        <v>0</v>
      </c>
      <c r="AA166" s="387">
        <f t="shared" si="38"/>
        <v>3.993E-2</v>
      </c>
      <c r="AB166" s="403">
        <f t="shared" si="39"/>
        <v>3.993E-2</v>
      </c>
      <c r="AC166" s="388">
        <f t="shared" si="40"/>
        <v>1.6615074451080365E-4</v>
      </c>
      <c r="AD166" s="389">
        <f t="shared" si="41"/>
        <v>6.6343992283163894E-6</v>
      </c>
    </row>
    <row r="167" spans="1:30" x14ac:dyDescent="0.55000000000000004">
      <c r="A167" t="str">
        <f t="shared" si="28"/>
        <v>EOG Resources Inc</v>
      </c>
      <c r="B167" t="str">
        <f t="shared" si="28"/>
        <v>EOG</v>
      </c>
      <c r="C167" s="382">
        <f t="shared" si="29"/>
        <v>2.9318705779473726E-2</v>
      </c>
      <c r="D167" s="383">
        <f t="shared" si="30"/>
        <v>70750.637199690012</v>
      </c>
      <c r="E167" s="384">
        <f t="shared" si="31"/>
        <v>-3.3029999999999997E-2</v>
      </c>
      <c r="F167" s="385">
        <v>7.0000000000000007E-2</v>
      </c>
      <c r="G167" s="382">
        <v>1.6978E-2</v>
      </c>
      <c r="H167" s="399">
        <f t="shared" si="32"/>
        <v>1.7982666666666671E-2</v>
      </c>
      <c r="I167" s="399">
        <f t="shared" si="33"/>
        <v>4.7564986702705571E-2</v>
      </c>
      <c r="J167" s="382">
        <f t="shared" si="34"/>
        <v>1.3232552602883535E-3</v>
      </c>
      <c r="K167" s="382">
        <f t="shared" si="35"/>
        <v>6.2940618859900734E-5</v>
      </c>
      <c r="M167" s="400"/>
      <c r="N167" s="398" t="s">
        <v>4079</v>
      </c>
      <c r="O167" s="398" t="s">
        <v>764</v>
      </c>
      <c r="P167" s="398" t="s">
        <v>277</v>
      </c>
      <c r="Q167" s="398">
        <v>70750637199.690018</v>
      </c>
      <c r="R167" s="398">
        <v>2.9318705779473726</v>
      </c>
      <c r="S167" s="398">
        <v>-3.3029999999999999</v>
      </c>
      <c r="T167" s="398">
        <v>562.45039999999995</v>
      </c>
      <c r="U167" s="398">
        <v>125.79</v>
      </c>
      <c r="W167" s="401" t="s">
        <v>764</v>
      </c>
      <c r="X167" s="402" t="s">
        <v>277</v>
      </c>
      <c r="Y167" s="386">
        <f t="shared" si="36"/>
        <v>70750.637199690012</v>
      </c>
      <c r="Z167" s="387">
        <f t="shared" si="37"/>
        <v>2.9318705779473726E-2</v>
      </c>
      <c r="AA167" s="387">
        <f t="shared" si="38"/>
        <v>-3.3029999999999997E-2</v>
      </c>
      <c r="AB167" s="403">
        <f t="shared" si="39"/>
        <v>-4.1954926464742789E-3</v>
      </c>
      <c r="AC167" s="388">
        <f t="shared" si="40"/>
        <v>1.3970353789617108E-3</v>
      </c>
      <c r="AD167" s="389">
        <f t="shared" si="41"/>
        <v>-5.8612516592982651E-6</v>
      </c>
    </row>
    <row r="168" spans="1:30" x14ac:dyDescent="0.55000000000000004">
      <c r="A168" t="str">
        <f t="shared" si="28"/>
        <v>EPAM Systems Inc</v>
      </c>
      <c r="B168" t="str">
        <f t="shared" si="28"/>
        <v>EPAM</v>
      </c>
      <c r="C168" s="382" t="str">
        <f t="shared" si="29"/>
        <v>0.00%</v>
      </c>
      <c r="D168" s="383">
        <f t="shared" si="30"/>
        <v>14404.973600920001</v>
      </c>
      <c r="E168" s="384">
        <f t="shared" si="31"/>
        <v>6.4399999999999999E-2</v>
      </c>
      <c r="F168" s="385">
        <v>0.12</v>
      </c>
      <c r="G168" s="382">
        <v>0.15809799999999999</v>
      </c>
      <c r="H168" s="399">
        <f t="shared" si="32"/>
        <v>0.11416599999999999</v>
      </c>
      <c r="I168" s="399">
        <f t="shared" si="33"/>
        <v>0.11416599999999999</v>
      </c>
      <c r="J168" s="382">
        <f t="shared" si="34"/>
        <v>2.6941746175277944E-4</v>
      </c>
      <c r="K168" s="382">
        <f t="shared" si="35"/>
        <v>3.0758313938467818E-5</v>
      </c>
      <c r="M168" s="400"/>
      <c r="N168" s="398" t="s">
        <v>4080</v>
      </c>
      <c r="O168" s="398" t="s">
        <v>765</v>
      </c>
      <c r="P168" s="398" t="s">
        <v>278</v>
      </c>
      <c r="Q168" s="398">
        <v>14404973600.92</v>
      </c>
      <c r="R168" s="398" t="s">
        <v>3929</v>
      </c>
      <c r="S168" s="398">
        <v>6.44</v>
      </c>
      <c r="T168" s="398">
        <v>56.721429999999998</v>
      </c>
      <c r="U168" s="398">
        <v>253.96</v>
      </c>
      <c r="W168" s="401" t="s">
        <v>765</v>
      </c>
      <c r="X168" s="402" t="s">
        <v>278</v>
      </c>
      <c r="Y168" s="386">
        <f t="shared" si="36"/>
        <v>14404.973600920001</v>
      </c>
      <c r="Z168" s="387" t="str">
        <f t="shared" si="37"/>
        <v>0.00%</v>
      </c>
      <c r="AA168" s="387">
        <f t="shared" si="38"/>
        <v>6.4399999999999999E-2</v>
      </c>
      <c r="AB168" s="403">
        <f t="shared" si="39"/>
        <v>6.4399999999999999E-2</v>
      </c>
      <c r="AC168" s="388">
        <f t="shared" si="40"/>
        <v>2.8443924394200206E-4</v>
      </c>
      <c r="AD168" s="389">
        <f t="shared" si="41"/>
        <v>1.8317887309864931E-5</v>
      </c>
    </row>
    <row r="169" spans="1:30" x14ac:dyDescent="0.55000000000000004">
      <c r="A169" t="str">
        <f t="shared" si="28"/>
        <v>Equinix Inc</v>
      </c>
      <c r="B169" t="str">
        <f t="shared" si="28"/>
        <v>EQIX</v>
      </c>
      <c r="C169" s="382">
        <f t="shared" si="29"/>
        <v>1.8720311713328809E-2</v>
      </c>
      <c r="D169" s="383">
        <f t="shared" si="30"/>
        <v>88157.396934419987</v>
      </c>
      <c r="E169" s="384">
        <f t="shared" si="31"/>
        <v>0.1585</v>
      </c>
      <c r="F169" s="385">
        <v>0.13</v>
      </c>
      <c r="G169" s="382">
        <v>0.1162647</v>
      </c>
      <c r="H169" s="399">
        <f t="shared" si="32"/>
        <v>0.13492156666666666</v>
      </c>
      <c r="I169" s="399">
        <f t="shared" si="33"/>
        <v>0.15490476527242081</v>
      </c>
      <c r="J169" s="382">
        <f t="shared" si="34"/>
        <v>1.6488153866027759E-3</v>
      </c>
      <c r="K169" s="382">
        <f t="shared" si="35"/>
        <v>2.554093604392588E-4</v>
      </c>
      <c r="M169" s="400"/>
      <c r="N169" s="398" t="s">
        <v>4081</v>
      </c>
      <c r="O169" s="398" t="s">
        <v>766</v>
      </c>
      <c r="P169" s="398" t="s">
        <v>279</v>
      </c>
      <c r="Q169" s="398">
        <v>88157396934.419983</v>
      </c>
      <c r="R169" s="398">
        <v>1.8720311713328808</v>
      </c>
      <c r="S169" s="398">
        <v>15.85</v>
      </c>
      <c r="T169" s="398">
        <v>96.488189999999989</v>
      </c>
      <c r="U169" s="398">
        <v>913.66</v>
      </c>
      <c r="W169" s="401" t="s">
        <v>766</v>
      </c>
      <c r="X169" s="402" t="s">
        <v>279</v>
      </c>
      <c r="Y169" s="386">
        <f t="shared" si="36"/>
        <v>88157.396934419987</v>
      </c>
      <c r="Z169" s="387">
        <f t="shared" si="37"/>
        <v>1.8720311713328809E-2</v>
      </c>
      <c r="AA169" s="387">
        <f t="shared" si="38"/>
        <v>0.1585</v>
      </c>
      <c r="AB169" s="403">
        <f t="shared" si="39"/>
        <v>0.17870389641661011</v>
      </c>
      <c r="AC169" s="388">
        <f t="shared" si="40"/>
        <v>1.7407476075013356E-3</v>
      </c>
      <c r="AD169" s="389">
        <f t="shared" si="41"/>
        <v>3.1107838013838058E-4</v>
      </c>
    </row>
    <row r="170" spans="1:30" x14ac:dyDescent="0.55000000000000004">
      <c r="A170" t="str">
        <f t="shared" si="28"/>
        <v>Equity Residential</v>
      </c>
      <c r="B170" t="str">
        <f t="shared" si="28"/>
        <v>EQR</v>
      </c>
      <c r="C170" s="382">
        <f t="shared" si="29"/>
        <v>3.8199065552881217E-2</v>
      </c>
      <c r="D170" s="383">
        <f t="shared" si="30"/>
        <v>26799.103889879996</v>
      </c>
      <c r="E170" s="384">
        <f t="shared" si="31"/>
        <v>3.0800000000000001E-2</v>
      </c>
      <c r="F170" s="385">
        <v>-0.04</v>
      </c>
      <c r="G170" s="382">
        <v>1.0952099999999999E-2</v>
      </c>
      <c r="H170" s="399">
        <f t="shared" si="32"/>
        <v>5.8403333333333313E-4</v>
      </c>
      <c r="I170" s="399">
        <f t="shared" si="33"/>
        <v>3.8794253650007084E-2</v>
      </c>
      <c r="J170" s="382">
        <f t="shared" si="34"/>
        <v>5.0122594787673739E-4</v>
      </c>
      <c r="K170" s="382">
        <f t="shared" si="35"/>
        <v>1.944468655789538E-5</v>
      </c>
      <c r="M170" s="400"/>
      <c r="N170" s="398" t="s">
        <v>4082</v>
      </c>
      <c r="O170" s="398" t="s">
        <v>280</v>
      </c>
      <c r="P170" s="398" t="s">
        <v>281</v>
      </c>
      <c r="Q170" s="398">
        <v>26799103889.879997</v>
      </c>
      <c r="R170" s="398">
        <v>3.8199065552881217</v>
      </c>
      <c r="S170" s="398">
        <v>3.08</v>
      </c>
      <c r="T170" s="398">
        <v>379.42949999999996</v>
      </c>
      <c r="U170" s="398">
        <v>70.63</v>
      </c>
      <c r="W170" s="401" t="s">
        <v>280</v>
      </c>
      <c r="X170" s="402" t="s">
        <v>281</v>
      </c>
      <c r="Y170" s="386">
        <f t="shared" si="36"/>
        <v>26799.103889879996</v>
      </c>
      <c r="Z170" s="387">
        <f t="shared" si="37"/>
        <v>3.8199065552881217E-2</v>
      </c>
      <c r="AA170" s="387">
        <f t="shared" si="38"/>
        <v>3.0800000000000001E-2</v>
      </c>
      <c r="AB170" s="403">
        <f t="shared" si="39"/>
        <v>6.9587331162395599E-2</v>
      </c>
      <c r="AC170" s="388">
        <f t="shared" si="40"/>
        <v>5.2917256636095418E-4</v>
      </c>
      <c r="AD170" s="389">
        <f t="shared" si="41"/>
        <v>3.682370661741448E-5</v>
      </c>
    </row>
    <row r="171" spans="1:30" x14ac:dyDescent="0.55000000000000004">
      <c r="A171" t="str">
        <f t="shared" si="28"/>
        <v>EQT Corp</v>
      </c>
      <c r="B171" t="str">
        <f t="shared" si="28"/>
        <v>EQT</v>
      </c>
      <c r="C171" s="382">
        <f t="shared" si="29"/>
        <v>1.2500000000000001E-2</v>
      </c>
      <c r="D171" s="383">
        <f t="shared" si="30"/>
        <v>30502.486079999995</v>
      </c>
      <c r="E171" s="384">
        <f t="shared" si="31"/>
        <v>9.5799999999999996E-2</v>
      </c>
      <c r="F171" s="385">
        <v>0.56999999999999995</v>
      </c>
      <c r="G171" s="382" t="s">
        <v>14</v>
      </c>
      <c r="H171" s="399">
        <f t="shared" si="32"/>
        <v>0.33289999999999997</v>
      </c>
      <c r="I171" s="399">
        <f t="shared" si="33"/>
        <v>0.34748062499999999</v>
      </c>
      <c r="J171" s="382">
        <f t="shared" si="34"/>
        <v>5.7049062389800107E-4</v>
      </c>
      <c r="K171" s="382">
        <f t="shared" si="35"/>
        <v>1.9823443854871735E-4</v>
      </c>
      <c r="M171" s="400"/>
      <c r="N171" s="398" t="s">
        <v>4083</v>
      </c>
      <c r="O171" s="398" t="s">
        <v>767</v>
      </c>
      <c r="P171" s="398" t="s">
        <v>282</v>
      </c>
      <c r="Q171" s="398">
        <v>30502486079.999996</v>
      </c>
      <c r="R171" s="398">
        <v>1.25</v>
      </c>
      <c r="S171" s="398">
        <v>9.58</v>
      </c>
      <c r="T171" s="398">
        <v>596.68399999999997</v>
      </c>
      <c r="U171" s="398">
        <v>51.12</v>
      </c>
      <c r="W171" s="401" t="s">
        <v>767</v>
      </c>
      <c r="X171" s="402" t="s">
        <v>282</v>
      </c>
      <c r="Y171" s="386">
        <f t="shared" si="36"/>
        <v>30502.486079999995</v>
      </c>
      <c r="Z171" s="387">
        <f t="shared" si="37"/>
        <v>1.2500000000000001E-2</v>
      </c>
      <c r="AA171" s="387">
        <f t="shared" si="38"/>
        <v>9.5799999999999996E-2</v>
      </c>
      <c r="AB171" s="403">
        <f t="shared" si="39"/>
        <v>0.10889875</v>
      </c>
      <c r="AC171" s="388">
        <f t="shared" si="40"/>
        <v>6.0229920021460676E-4</v>
      </c>
      <c r="AD171" s="389">
        <f t="shared" si="41"/>
        <v>6.5589630029370415E-5</v>
      </c>
    </row>
    <row r="172" spans="1:30" x14ac:dyDescent="0.55000000000000004">
      <c r="A172" t="str">
        <f t="shared" si="28"/>
        <v>Erie Indemnity Co</v>
      </c>
      <c r="B172" t="str">
        <f t="shared" si="28"/>
        <v>ERIE</v>
      </c>
      <c r="C172" s="382">
        <f t="shared" si="29"/>
        <v>1.5138354634570046E-2</v>
      </c>
      <c r="D172" s="383">
        <f t="shared" si="30"/>
        <v>21070.202310600002</v>
      </c>
      <c r="E172" s="384" t="str">
        <f t="shared" si="31"/>
        <v>N/A</v>
      </c>
      <c r="F172" s="385">
        <v>0.2</v>
      </c>
      <c r="G172" s="382" t="s">
        <v>14</v>
      </c>
      <c r="H172" s="399">
        <f t="shared" si="32"/>
        <v>0.2</v>
      </c>
      <c r="I172" s="399">
        <f t="shared" si="33"/>
        <v>0.21665219009802705</v>
      </c>
      <c r="J172" s="382">
        <f t="shared" si="34"/>
        <v>3.9407780829093977E-4</v>
      </c>
      <c r="K172" s="382">
        <f t="shared" si="35"/>
        <v>8.5377820235262543E-5</v>
      </c>
      <c r="M172" s="400"/>
      <c r="N172" s="398" t="s">
        <v>4084</v>
      </c>
      <c r="O172" s="398" t="s">
        <v>2808</v>
      </c>
      <c r="P172" s="398" t="s">
        <v>2809</v>
      </c>
      <c r="Q172" s="398">
        <v>21070202310.600002</v>
      </c>
      <c r="R172" s="398">
        <v>1.5138354634570046</v>
      </c>
      <c r="S172" s="398" t="s">
        <v>3929</v>
      </c>
      <c r="T172" s="398">
        <v>46.189070000000001</v>
      </c>
      <c r="U172" s="398">
        <v>402.95</v>
      </c>
      <c r="W172" s="401" t="s">
        <v>2808</v>
      </c>
      <c r="X172" s="402" t="s">
        <v>2809</v>
      </c>
      <c r="Y172" s="386">
        <f t="shared" si="36"/>
        <v>21070.202310600002</v>
      </c>
      <c r="Z172" s="387">
        <f t="shared" si="37"/>
        <v>1.5138354634570046E-2</v>
      </c>
      <c r="AA172" s="387" t="str">
        <f t="shared" si="38"/>
        <v>N/A</v>
      </c>
      <c r="AB172" s="403" t="str">
        <f t="shared" si="39"/>
        <v>N/A</v>
      </c>
      <c r="AC172" s="388">
        <f t="shared" si="40"/>
        <v>4.1605021855432785E-4</v>
      </c>
      <c r="AD172" s="389" t="str">
        <f t="shared" si="41"/>
        <v>N/A</v>
      </c>
    </row>
    <row r="173" spans="1:30" x14ac:dyDescent="0.55000000000000004">
      <c r="A173" t="str">
        <f t="shared" si="28"/>
        <v>Eversource Energy</v>
      </c>
      <c r="B173" t="str">
        <f t="shared" si="28"/>
        <v>ES</v>
      </c>
      <c r="C173" s="382">
        <f t="shared" si="29"/>
        <v>4.9757281553398064E-2</v>
      </c>
      <c r="D173" s="383">
        <f t="shared" si="30"/>
        <v>21134.072378159999</v>
      </c>
      <c r="E173" s="384">
        <f t="shared" si="31"/>
        <v>5.0900000000000001E-2</v>
      </c>
      <c r="F173" s="385">
        <v>0.06</v>
      </c>
      <c r="G173" s="382">
        <v>5.4142999999999997E-2</v>
      </c>
      <c r="H173" s="399">
        <f t="shared" si="32"/>
        <v>5.5014333333333332E-2</v>
      </c>
      <c r="I173" s="399">
        <f t="shared" si="33"/>
        <v>0.10614029672330097</v>
      </c>
      <c r="J173" s="382">
        <f t="shared" si="34"/>
        <v>3.952723756647317E-4</v>
      </c>
      <c r="K173" s="382">
        <f t="shared" si="35"/>
        <v>4.1954327239578708E-5</v>
      </c>
      <c r="M173" s="400"/>
      <c r="N173" s="398" t="s">
        <v>4085</v>
      </c>
      <c r="O173" s="398" t="s">
        <v>283</v>
      </c>
      <c r="P173" s="398" t="s">
        <v>42</v>
      </c>
      <c r="Q173" s="398">
        <v>21134072378.16</v>
      </c>
      <c r="R173" s="398">
        <v>4.9757281553398061</v>
      </c>
      <c r="S173" s="398">
        <v>5.09</v>
      </c>
      <c r="T173" s="398">
        <v>366.40209999999996</v>
      </c>
      <c r="U173" s="398">
        <v>57.68</v>
      </c>
      <c r="W173" s="401" t="s">
        <v>283</v>
      </c>
      <c r="X173" s="402" t="s">
        <v>42</v>
      </c>
      <c r="Y173" s="386">
        <f t="shared" si="36"/>
        <v>21134.072378159999</v>
      </c>
      <c r="Z173" s="387">
        <f t="shared" si="37"/>
        <v>4.9757281553398064E-2</v>
      </c>
      <c r="AA173" s="387">
        <f t="shared" si="38"/>
        <v>5.0900000000000001E-2</v>
      </c>
      <c r="AB173" s="403">
        <f t="shared" si="39"/>
        <v>0.10192360436893205</v>
      </c>
      <c r="AC173" s="388">
        <f t="shared" si="40"/>
        <v>4.1731139085707545E-4</v>
      </c>
      <c r="AD173" s="389">
        <f t="shared" si="41"/>
        <v>4.2533881100365324E-5</v>
      </c>
    </row>
    <row r="174" spans="1:30" x14ac:dyDescent="0.55000000000000004">
      <c r="A174" t="str">
        <f t="shared" si="28"/>
        <v>Essex Property Trust Inc</v>
      </c>
      <c r="B174" t="str">
        <f t="shared" si="28"/>
        <v>ESS</v>
      </c>
      <c r="C174" s="382">
        <f t="shared" si="29"/>
        <v>3.4244649822539275E-2</v>
      </c>
      <c r="D174" s="383">
        <f t="shared" si="30"/>
        <v>18288.598206449999</v>
      </c>
      <c r="E174" s="384">
        <f t="shared" si="31"/>
        <v>2.9100000000000001E-2</v>
      </c>
      <c r="F174" s="385">
        <v>0.04</v>
      </c>
      <c r="G174" s="382">
        <v>3.6265200000000004E-2</v>
      </c>
      <c r="H174" s="399">
        <f t="shared" si="32"/>
        <v>3.5121733333333328E-2</v>
      </c>
      <c r="I174" s="399">
        <f t="shared" si="33"/>
        <v>6.9967748885452902E-2</v>
      </c>
      <c r="J174" s="382">
        <f t="shared" si="34"/>
        <v>3.420532271911629E-4</v>
      </c>
      <c r="K174" s="382">
        <f t="shared" si="35"/>
        <v>2.3932694305570055E-5</v>
      </c>
      <c r="M174" s="400"/>
      <c r="N174" s="398" t="s">
        <v>4086</v>
      </c>
      <c r="O174" s="398" t="s">
        <v>768</v>
      </c>
      <c r="P174" s="398" t="s">
        <v>284</v>
      </c>
      <c r="Q174" s="398">
        <v>18288598206.449997</v>
      </c>
      <c r="R174" s="398">
        <v>3.4244649822539275</v>
      </c>
      <c r="S174" s="398">
        <v>2.91</v>
      </c>
      <c r="T174" s="398">
        <v>64.267479999999992</v>
      </c>
      <c r="U174" s="398">
        <v>284.57</v>
      </c>
      <c r="W174" s="401" t="s">
        <v>768</v>
      </c>
      <c r="X174" s="402" t="s">
        <v>284</v>
      </c>
      <c r="Y174" s="386">
        <f t="shared" si="36"/>
        <v>18288.598206449999</v>
      </c>
      <c r="Z174" s="387">
        <f t="shared" si="37"/>
        <v>3.4244649822539275E-2</v>
      </c>
      <c r="AA174" s="387">
        <f t="shared" si="38"/>
        <v>2.9100000000000001E-2</v>
      </c>
      <c r="AB174" s="403">
        <f t="shared" si="39"/>
        <v>6.3842909477457216E-2</v>
      </c>
      <c r="AC174" s="388">
        <f t="shared" si="40"/>
        <v>3.6112492745349128E-4</v>
      </c>
      <c r="AD174" s="389">
        <f t="shared" si="41"/>
        <v>2.3055266053466549E-5</v>
      </c>
    </row>
    <row r="175" spans="1:30" x14ac:dyDescent="0.55000000000000004">
      <c r="A175" t="str">
        <f t="shared" si="28"/>
        <v>Eaton Corp PLC</v>
      </c>
      <c r="B175" t="str">
        <f t="shared" si="28"/>
        <v>ETN</v>
      </c>
      <c r="C175" s="382">
        <f t="shared" si="29"/>
        <v>1.2253400318588408E-2</v>
      </c>
      <c r="D175" s="383">
        <f t="shared" si="30"/>
        <v>129009.08800000002</v>
      </c>
      <c r="E175" s="384">
        <f t="shared" si="31"/>
        <v>0.15485000000000002</v>
      </c>
      <c r="F175" s="385">
        <v>0.11</v>
      </c>
      <c r="G175" s="382">
        <v>0.1129203</v>
      </c>
      <c r="H175" s="399">
        <f t="shared" si="32"/>
        <v>0.12592343333333333</v>
      </c>
      <c r="I175" s="399">
        <f t="shared" si="33"/>
        <v>0.13894832877098395</v>
      </c>
      <c r="J175" s="382">
        <f t="shared" si="34"/>
        <v>2.4128680825753904E-3</v>
      </c>
      <c r="K175" s="382">
        <f t="shared" si="35"/>
        <v>3.3526398761869899E-4</v>
      </c>
      <c r="M175" s="400"/>
      <c r="N175" s="398" t="s">
        <v>4087</v>
      </c>
      <c r="O175" s="398" t="s">
        <v>769</v>
      </c>
      <c r="P175" s="398" t="s">
        <v>285</v>
      </c>
      <c r="Q175" s="398">
        <v>129009088000.00002</v>
      </c>
      <c r="R175" s="398">
        <v>1.2253400318588408</v>
      </c>
      <c r="S175" s="398">
        <v>15.485000000000001</v>
      </c>
      <c r="T175" s="398">
        <v>395.2</v>
      </c>
      <c r="U175" s="398">
        <v>326.44</v>
      </c>
      <c r="W175" s="401" t="s">
        <v>769</v>
      </c>
      <c r="X175" s="402" t="s">
        <v>285</v>
      </c>
      <c r="Y175" s="386">
        <f t="shared" si="36"/>
        <v>129009.08800000002</v>
      </c>
      <c r="Z175" s="387">
        <f t="shared" si="37"/>
        <v>1.2253400318588408E-2</v>
      </c>
      <c r="AA175" s="387">
        <f t="shared" si="38"/>
        <v>0.15485000000000002</v>
      </c>
      <c r="AB175" s="403">
        <f t="shared" si="39"/>
        <v>0.16805211983825513</v>
      </c>
      <c r="AC175" s="388">
        <f t="shared" si="40"/>
        <v>2.5474012288383232E-3</v>
      </c>
      <c r="AD175" s="389">
        <f t="shared" si="41"/>
        <v>4.2809617658485626E-4</v>
      </c>
    </row>
    <row r="176" spans="1:30" x14ac:dyDescent="0.55000000000000004">
      <c r="A176" t="str">
        <f t="shared" si="28"/>
        <v>Entergy Corp</v>
      </c>
      <c r="B176" t="str">
        <f t="shared" si="28"/>
        <v>ETR</v>
      </c>
      <c r="C176" s="382">
        <f t="shared" si="29"/>
        <v>2.9637395165268875E-2</v>
      </c>
      <c r="D176" s="383">
        <f t="shared" si="30"/>
        <v>34768.403550239993</v>
      </c>
      <c r="E176" s="384">
        <f t="shared" si="31"/>
        <v>8.5470000000000004E-2</v>
      </c>
      <c r="F176" s="385">
        <v>0.13</v>
      </c>
      <c r="G176" s="382">
        <v>8.6999999999999994E-2</v>
      </c>
      <c r="H176" s="399">
        <f t="shared" si="32"/>
        <v>0.10082333333333333</v>
      </c>
      <c r="I176" s="399">
        <f t="shared" si="33"/>
        <v>0.13195479898454202</v>
      </c>
      <c r="J176" s="382">
        <f t="shared" si="34"/>
        <v>6.5027644570648353E-4</v>
      </c>
      <c r="K176" s="382">
        <f t="shared" si="35"/>
        <v>8.5807097677581478E-5</v>
      </c>
      <c r="M176" s="400"/>
      <c r="N176" s="398" t="s">
        <v>4088</v>
      </c>
      <c r="O176" s="398" t="s">
        <v>770</v>
      </c>
      <c r="P176" s="398" t="s">
        <v>43</v>
      </c>
      <c r="Q176" s="398">
        <v>34768403550.23999</v>
      </c>
      <c r="R176" s="398">
        <v>2.9637395165268874</v>
      </c>
      <c r="S176" s="398">
        <v>8.5470000000000006</v>
      </c>
      <c r="T176" s="398">
        <v>428.81599999999997</v>
      </c>
      <c r="U176" s="398">
        <v>81.08</v>
      </c>
      <c r="W176" s="401" t="s">
        <v>770</v>
      </c>
      <c r="X176" s="402" t="s">
        <v>43</v>
      </c>
      <c r="Y176" s="386">
        <f t="shared" si="36"/>
        <v>34768.403550239993</v>
      </c>
      <c r="Z176" s="387">
        <f t="shared" si="37"/>
        <v>2.9637395165268875E-2</v>
      </c>
      <c r="AA176" s="387">
        <f t="shared" si="38"/>
        <v>8.5470000000000004E-2</v>
      </c>
      <c r="AB176" s="403">
        <f t="shared" si="39"/>
        <v>0.11637394924765665</v>
      </c>
      <c r="AC176" s="388">
        <f t="shared" si="40"/>
        <v>6.8653360241278558E-4</v>
      </c>
      <c r="AD176" s="389">
        <f t="shared" si="41"/>
        <v>7.9894626603996396E-5</v>
      </c>
    </row>
    <row r="177" spans="1:30" x14ac:dyDescent="0.55000000000000004">
      <c r="A177" t="str">
        <f t="shared" si="28"/>
        <v>Evergy Inc</v>
      </c>
      <c r="B177" t="str">
        <f t="shared" si="28"/>
        <v>EVRG</v>
      </c>
      <c r="C177" s="382">
        <f t="shared" si="29"/>
        <v>4.029920523609163E-2</v>
      </c>
      <c r="D177" s="383">
        <f t="shared" si="30"/>
        <v>14742.797162309998</v>
      </c>
      <c r="E177" s="384">
        <f t="shared" si="31"/>
        <v>5.6850000000000005E-2</v>
      </c>
      <c r="F177" s="385">
        <v>5.5E-2</v>
      </c>
      <c r="G177" s="382">
        <v>5.7942999999999995E-2</v>
      </c>
      <c r="H177" s="399">
        <f t="shared" si="32"/>
        <v>5.6597666666666664E-2</v>
      </c>
      <c r="I177" s="399">
        <f t="shared" si="33"/>
        <v>9.8037292395200246E-2</v>
      </c>
      <c r="J177" s="382">
        <f t="shared" si="34"/>
        <v>2.7573580491337813E-4</v>
      </c>
      <c r="K177" s="382">
        <f t="shared" si="35"/>
        <v>2.7032391730118742E-5</v>
      </c>
      <c r="M177" s="400"/>
      <c r="N177" s="398" t="s">
        <v>4089</v>
      </c>
      <c r="O177" s="398" t="s">
        <v>771</v>
      </c>
      <c r="P177" s="398" t="s">
        <v>44</v>
      </c>
      <c r="Q177" s="398">
        <v>14742797162.309998</v>
      </c>
      <c r="R177" s="398">
        <v>4.0299205236091629</v>
      </c>
      <c r="S177" s="398">
        <v>5.6850000000000005</v>
      </c>
      <c r="T177" s="398">
        <v>229.74589999999998</v>
      </c>
      <c r="U177" s="398">
        <v>64.17</v>
      </c>
      <c r="W177" s="401" t="s">
        <v>771</v>
      </c>
      <c r="X177" s="402" t="s">
        <v>44</v>
      </c>
      <c r="Y177" s="386">
        <f t="shared" si="36"/>
        <v>14742.797162309998</v>
      </c>
      <c r="Z177" s="387">
        <f t="shared" si="37"/>
        <v>4.029920523609163E-2</v>
      </c>
      <c r="AA177" s="387">
        <f t="shared" si="38"/>
        <v>5.6850000000000005E-2</v>
      </c>
      <c r="AB177" s="403">
        <f t="shared" si="39"/>
        <v>9.8294710144927536E-2</v>
      </c>
      <c r="AC177" s="388">
        <f t="shared" si="40"/>
        <v>2.9110987597852508E-4</v>
      </c>
      <c r="AD177" s="389">
        <f t="shared" si="41"/>
        <v>2.8614560879634926E-5</v>
      </c>
    </row>
    <row r="178" spans="1:30" x14ac:dyDescent="0.55000000000000004">
      <c r="A178" t="str">
        <f t="shared" si="28"/>
        <v>Edwards Lifesciences Corp</v>
      </c>
      <c r="B178" t="str">
        <f t="shared" si="28"/>
        <v>EW</v>
      </c>
      <c r="C178" s="382">
        <f t="shared" si="29"/>
        <v>0</v>
      </c>
      <c r="D178" s="383">
        <f t="shared" si="30"/>
        <v>42731.010000000009</v>
      </c>
      <c r="E178" s="384">
        <f t="shared" si="31"/>
        <v>6.7949999999999997E-2</v>
      </c>
      <c r="F178" s="385">
        <v>6.5000000000000002E-2</v>
      </c>
      <c r="G178" s="382">
        <v>8.4518599999999999E-2</v>
      </c>
      <c r="H178" s="399">
        <f t="shared" si="32"/>
        <v>7.2489533333333342E-2</v>
      </c>
      <c r="I178" s="399">
        <f t="shared" si="33"/>
        <v>7.2489533333333342E-2</v>
      </c>
      <c r="J178" s="382">
        <f t="shared" si="34"/>
        <v>7.9920175984198765E-4</v>
      </c>
      <c r="K178" s="382">
        <f t="shared" si="35"/>
        <v>5.7933762610124432E-5</v>
      </c>
      <c r="M178" s="400"/>
      <c r="N178" s="398" t="s">
        <v>4090</v>
      </c>
      <c r="O178" s="398" t="s">
        <v>772</v>
      </c>
      <c r="P178" s="398" t="s">
        <v>286</v>
      </c>
      <c r="Q178" s="398">
        <v>42731010000.000008</v>
      </c>
      <c r="R178" s="398">
        <v>0</v>
      </c>
      <c r="S178" s="398">
        <v>6.7949999999999999</v>
      </c>
      <c r="T178" s="398">
        <v>589.79999999999995</v>
      </c>
      <c r="U178" s="398">
        <v>72.45</v>
      </c>
      <c r="W178" s="401" t="s">
        <v>772</v>
      </c>
      <c r="X178" s="402" t="s">
        <v>286</v>
      </c>
      <c r="Y178" s="386">
        <f t="shared" si="36"/>
        <v>42731.010000000009</v>
      </c>
      <c r="Z178" s="387">
        <f t="shared" si="37"/>
        <v>0</v>
      </c>
      <c r="AA178" s="387">
        <f t="shared" si="38"/>
        <v>6.7949999999999997E-2</v>
      </c>
      <c r="AB178" s="403">
        <f t="shared" si="39"/>
        <v>6.7949999999999997E-2</v>
      </c>
      <c r="AC178" s="388">
        <f t="shared" si="40"/>
        <v>8.4376247496224983E-4</v>
      </c>
      <c r="AD178" s="389">
        <f t="shared" si="41"/>
        <v>5.7333660173684872E-5</v>
      </c>
    </row>
    <row r="179" spans="1:30" x14ac:dyDescent="0.55000000000000004">
      <c r="A179" t="str">
        <f t="shared" si="28"/>
        <v>Exelon Corp</v>
      </c>
      <c r="B179" t="str">
        <f t="shared" si="28"/>
        <v>EXC</v>
      </c>
      <c r="C179" s="382">
        <f t="shared" si="29"/>
        <v>3.8124999999999999E-2</v>
      </c>
      <c r="D179" s="383">
        <f t="shared" si="30"/>
        <v>40193.3462</v>
      </c>
      <c r="E179" s="384">
        <f t="shared" si="31"/>
        <v>5.2350000000000001E-2</v>
      </c>
      <c r="F179" s="385">
        <v>3.5000000000000003E-2</v>
      </c>
      <c r="G179" s="382">
        <v>5.9151499999999996E-2</v>
      </c>
      <c r="H179" s="399">
        <f t="shared" si="32"/>
        <v>4.8833833333333333E-2</v>
      </c>
      <c r="I179" s="399">
        <f t="shared" si="33"/>
        <v>8.7889728281249996E-2</v>
      </c>
      <c r="J179" s="382">
        <f t="shared" si="34"/>
        <v>7.5173961525782469E-4</v>
      </c>
      <c r="K179" s="382">
        <f t="shared" si="35"/>
        <v>6.6070190523261619E-5</v>
      </c>
      <c r="M179" s="400"/>
      <c r="N179" s="398" t="s">
        <v>4091</v>
      </c>
      <c r="O179" s="398" t="s">
        <v>773</v>
      </c>
      <c r="P179" s="398" t="s">
        <v>45</v>
      </c>
      <c r="Q179" s="398">
        <v>40193346200</v>
      </c>
      <c r="R179" s="398">
        <v>3.8125</v>
      </c>
      <c r="S179" s="398">
        <v>5.2350000000000003</v>
      </c>
      <c r="T179" s="398">
        <v>1004.8339999999999</v>
      </c>
      <c r="U179" s="398">
        <v>40</v>
      </c>
      <c r="W179" s="401" t="s">
        <v>773</v>
      </c>
      <c r="X179" s="402" t="s">
        <v>45</v>
      </c>
      <c r="Y179" s="386">
        <f t="shared" si="36"/>
        <v>40193.3462</v>
      </c>
      <c r="Z179" s="387">
        <f t="shared" si="37"/>
        <v>3.8124999999999999E-2</v>
      </c>
      <c r="AA179" s="387">
        <f t="shared" si="38"/>
        <v>5.2350000000000001E-2</v>
      </c>
      <c r="AB179" s="403">
        <f t="shared" si="39"/>
        <v>9.1472921875000002E-2</v>
      </c>
      <c r="AC179" s="388">
        <f t="shared" si="40"/>
        <v>7.9365400599533062E-4</v>
      </c>
      <c r="AD179" s="389">
        <f t="shared" si="41"/>
        <v>7.2597850886191661E-5</v>
      </c>
    </row>
    <row r="180" spans="1:30" x14ac:dyDescent="0.55000000000000004">
      <c r="A180" t="str">
        <f t="shared" si="28"/>
        <v>Expeditors International of Washington Inc</v>
      </c>
      <c r="B180" t="str">
        <f t="shared" si="28"/>
        <v>EXPD</v>
      </c>
      <c r="C180" s="382">
        <f t="shared" si="29"/>
        <v>1.2731114632857896E-2</v>
      </c>
      <c r="D180" s="383">
        <f t="shared" si="30"/>
        <v>15898.459428179998</v>
      </c>
      <c r="E180" s="384">
        <f t="shared" si="31"/>
        <v>5.6000000000000008E-2</v>
      </c>
      <c r="F180" s="385">
        <v>-5.0000000000000001E-3</v>
      </c>
      <c r="G180" s="382">
        <v>5.6018299999999993E-2</v>
      </c>
      <c r="H180" s="399">
        <f t="shared" si="32"/>
        <v>3.5672766666666668E-2</v>
      </c>
      <c r="I180" s="399">
        <f t="shared" si="33"/>
        <v>4.8630958340376826E-2</v>
      </c>
      <c r="J180" s="382">
        <f t="shared" si="34"/>
        <v>2.973502557926408E-4</v>
      </c>
      <c r="K180" s="382">
        <f t="shared" si="35"/>
        <v>1.4460427901952307E-5</v>
      </c>
      <c r="M180" s="400"/>
      <c r="N180" s="398" t="s">
        <v>4092</v>
      </c>
      <c r="O180" s="398" t="s">
        <v>774</v>
      </c>
      <c r="P180" s="398" t="s">
        <v>287</v>
      </c>
      <c r="Q180" s="398">
        <v>15898459428.179998</v>
      </c>
      <c r="R180" s="398">
        <v>1.2731114632857896</v>
      </c>
      <c r="S180" s="398">
        <v>5.6000000000000005</v>
      </c>
      <c r="T180" s="398">
        <v>139.9759</v>
      </c>
      <c r="U180" s="398">
        <v>113.58</v>
      </c>
      <c r="W180" s="401" t="s">
        <v>774</v>
      </c>
      <c r="X180" s="402" t="s">
        <v>287</v>
      </c>
      <c r="Y180" s="386">
        <f t="shared" si="36"/>
        <v>15898.459428179998</v>
      </c>
      <c r="Z180" s="387">
        <f t="shared" si="37"/>
        <v>1.2731114632857896E-2</v>
      </c>
      <c r="AA180" s="387">
        <f t="shared" si="38"/>
        <v>5.6000000000000008E-2</v>
      </c>
      <c r="AB180" s="403">
        <f t="shared" si="39"/>
        <v>6.9087585842577931E-2</v>
      </c>
      <c r="AC180" s="388">
        <f t="shared" si="40"/>
        <v>3.1392947358857348E-4</v>
      </c>
      <c r="AD180" s="389">
        <f t="shared" si="41"/>
        <v>2.1688629455065873E-5</v>
      </c>
    </row>
    <row r="181" spans="1:30" x14ac:dyDescent="0.55000000000000004">
      <c r="A181" t="str">
        <f t="shared" si="28"/>
        <v>Expedia Group Inc</v>
      </c>
      <c r="B181" t="str">
        <f t="shared" si="28"/>
        <v>EXPE</v>
      </c>
      <c r="C181" s="382">
        <f t="shared" si="29"/>
        <v>0</v>
      </c>
      <c r="D181" s="383">
        <f t="shared" si="30"/>
        <v>21940.829046499995</v>
      </c>
      <c r="E181" s="384">
        <f t="shared" si="31"/>
        <v>0.22640000000000002</v>
      </c>
      <c r="F181" s="385">
        <v>0.39500000000000002</v>
      </c>
      <c r="G181" s="382">
        <v>0.15966669999999999</v>
      </c>
      <c r="H181" s="399">
        <f t="shared" si="32"/>
        <v>0.26035556666666665</v>
      </c>
      <c r="I181" s="399">
        <f t="shared" si="33"/>
        <v>0.26035556666666665</v>
      </c>
      <c r="J181" s="382">
        <f t="shared" si="34"/>
        <v>4.1036121510713158E-4</v>
      </c>
      <c r="K181" s="382">
        <f t="shared" si="35"/>
        <v>1.0683982669723913E-4</v>
      </c>
      <c r="M181" s="400"/>
      <c r="N181" s="398" t="s">
        <v>4093</v>
      </c>
      <c r="O181" s="398" t="s">
        <v>775</v>
      </c>
      <c r="P181" s="398" t="s">
        <v>288</v>
      </c>
      <c r="Q181" s="398">
        <v>21940829046.499996</v>
      </c>
      <c r="R181" s="398">
        <v>0</v>
      </c>
      <c r="S181" s="398">
        <v>22.64</v>
      </c>
      <c r="T181" s="398">
        <v>122.82299999999999</v>
      </c>
      <c r="U181" s="398">
        <v>170.95</v>
      </c>
      <c r="W181" s="401" t="s">
        <v>775</v>
      </c>
      <c r="X181" s="402" t="s">
        <v>288</v>
      </c>
      <c r="Y181" s="386">
        <f t="shared" si="36"/>
        <v>21940.829046499995</v>
      </c>
      <c r="Z181" s="387">
        <f t="shared" si="37"/>
        <v>0</v>
      </c>
      <c r="AA181" s="387">
        <f t="shared" si="38"/>
        <v>0.22640000000000002</v>
      </c>
      <c r="AB181" s="403">
        <f t="shared" si="39"/>
        <v>0.22640000000000002</v>
      </c>
      <c r="AC181" s="388">
        <f t="shared" si="40"/>
        <v>4.3324153159493431E-4</v>
      </c>
      <c r="AD181" s="389">
        <f t="shared" si="41"/>
        <v>9.8085882753093137E-5</v>
      </c>
    </row>
    <row r="182" spans="1:30" x14ac:dyDescent="0.55000000000000004">
      <c r="A182" t="str">
        <f t="shared" si="28"/>
        <v>Extra Space Storage Inc</v>
      </c>
      <c r="B182" t="str">
        <f t="shared" si="28"/>
        <v>EXR</v>
      </c>
      <c r="C182" s="382">
        <f t="shared" si="29"/>
        <v>4.2116883116883122E-2</v>
      </c>
      <c r="D182" s="383">
        <f t="shared" si="30"/>
        <v>32645.469625999998</v>
      </c>
      <c r="E182" s="384">
        <f t="shared" si="31"/>
        <v>1.6200000000000003E-2</v>
      </c>
      <c r="F182" s="385">
        <v>0.05</v>
      </c>
      <c r="G182" s="382">
        <v>1.25369E-2</v>
      </c>
      <c r="H182" s="399">
        <f t="shared" si="32"/>
        <v>2.6245633333333337E-2</v>
      </c>
      <c r="I182" s="399">
        <f t="shared" si="33"/>
        <v>6.891520858593074E-2</v>
      </c>
      <c r="J182" s="382">
        <f t="shared" si="34"/>
        <v>6.1057102970342491E-4</v>
      </c>
      <c r="K182" s="382">
        <f t="shared" si="35"/>
        <v>4.2077629868538041E-5</v>
      </c>
      <c r="M182" s="400"/>
      <c r="N182" s="398" t="s">
        <v>4094</v>
      </c>
      <c r="O182" s="398" t="s">
        <v>776</v>
      </c>
      <c r="P182" s="398" t="s">
        <v>289</v>
      </c>
      <c r="Q182" s="398">
        <v>32645469626</v>
      </c>
      <c r="R182" s="398">
        <v>4.2116883116883121</v>
      </c>
      <c r="S182" s="398">
        <v>1.62</v>
      </c>
      <c r="T182" s="398">
        <v>211.9836</v>
      </c>
      <c r="U182" s="398">
        <v>154</v>
      </c>
      <c r="W182" s="401" t="s">
        <v>776</v>
      </c>
      <c r="X182" s="402" t="s">
        <v>289</v>
      </c>
      <c r="Y182" s="386">
        <f t="shared" si="36"/>
        <v>32645.469625999998</v>
      </c>
      <c r="Z182" s="387">
        <f t="shared" si="37"/>
        <v>4.2116883116883122E-2</v>
      </c>
      <c r="AA182" s="387">
        <f t="shared" si="38"/>
        <v>1.6200000000000003E-2</v>
      </c>
      <c r="AB182" s="403">
        <f t="shared" si="39"/>
        <v>5.8658029870129871E-2</v>
      </c>
      <c r="AC182" s="388">
        <f t="shared" si="40"/>
        <v>6.4461435027954425E-4</v>
      </c>
      <c r="AD182" s="389">
        <f t="shared" si="41"/>
        <v>3.7811807813411867E-5</v>
      </c>
    </row>
    <row r="183" spans="1:30" x14ac:dyDescent="0.55000000000000004">
      <c r="A183" t="str">
        <f t="shared" si="28"/>
        <v>Ford Motor Co</v>
      </c>
      <c r="B183" t="str">
        <f t="shared" si="28"/>
        <v>F</v>
      </c>
      <c r="C183" s="382">
        <f t="shared" si="29"/>
        <v>6.8154761904761912E-2</v>
      </c>
      <c r="D183" s="383">
        <f t="shared" si="30"/>
        <v>40060.829017439995</v>
      </c>
      <c r="E183" s="384">
        <f t="shared" si="31"/>
        <v>3.0600000000000002E-2</v>
      </c>
      <c r="F183" s="385">
        <v>0.20499999999999999</v>
      </c>
      <c r="G183" s="382">
        <v>3.05654E-2</v>
      </c>
      <c r="H183" s="399">
        <f t="shared" si="32"/>
        <v>8.8721800000000003E-2</v>
      </c>
      <c r="I183" s="399">
        <f t="shared" si="33"/>
        <v>0.15989996848214288</v>
      </c>
      <c r="J183" s="382">
        <f t="shared" si="34"/>
        <v>7.4926113498059136E-4</v>
      </c>
      <c r="K183" s="382">
        <f t="shared" si="35"/>
        <v>1.1980683186829117E-4</v>
      </c>
      <c r="M183" s="400"/>
      <c r="N183" s="398" t="s">
        <v>4095</v>
      </c>
      <c r="O183" s="398" t="s">
        <v>777</v>
      </c>
      <c r="P183" s="398" t="s">
        <v>290</v>
      </c>
      <c r="Q183" s="398">
        <v>40060829017.439995</v>
      </c>
      <c r="R183" s="398">
        <v>6.8154761904761907</v>
      </c>
      <c r="S183" s="398">
        <v>3.06</v>
      </c>
      <c r="T183" s="398">
        <v>3903.4369999999999</v>
      </c>
      <c r="U183" s="398">
        <v>10.08</v>
      </c>
      <c r="W183" s="401" t="s">
        <v>777</v>
      </c>
      <c r="X183" s="402" t="s">
        <v>290</v>
      </c>
      <c r="Y183" s="386">
        <f t="shared" si="36"/>
        <v>40060.829017439995</v>
      </c>
      <c r="Z183" s="387">
        <f t="shared" si="37"/>
        <v>6.8154761904761912E-2</v>
      </c>
      <c r="AA183" s="387">
        <f t="shared" si="38"/>
        <v>3.0600000000000002E-2</v>
      </c>
      <c r="AB183" s="403">
        <f t="shared" si="39"/>
        <v>9.9797529761904771E-2</v>
      </c>
      <c r="AC183" s="388">
        <f t="shared" si="40"/>
        <v>7.9103733426368061E-4</v>
      </c>
      <c r="AD183" s="389">
        <f t="shared" si="41"/>
        <v>7.8943571908957481E-5</v>
      </c>
    </row>
    <row r="184" spans="1:30" x14ac:dyDescent="0.55000000000000004">
      <c r="A184" t="str">
        <f t="shared" si="28"/>
        <v>Diamondback Energy Inc</v>
      </c>
      <c r="B184" t="str">
        <f t="shared" si="28"/>
        <v>FANG</v>
      </c>
      <c r="C184" s="382">
        <f t="shared" si="29"/>
        <v>3.7764662935020683E-2</v>
      </c>
      <c r="D184" s="383">
        <f t="shared" si="30"/>
        <v>47991.343925840003</v>
      </c>
      <c r="E184" s="384">
        <f t="shared" si="31"/>
        <v>-7.4499999999999997E-2</v>
      </c>
      <c r="F184" s="385">
        <v>2.5000000000000001E-2</v>
      </c>
      <c r="G184" s="382">
        <v>0.08</v>
      </c>
      <c r="H184" s="399">
        <f t="shared" si="32"/>
        <v>1.0166666666666669E-2</v>
      </c>
      <c r="I184" s="399">
        <f t="shared" si="33"/>
        <v>4.8123299971607046E-2</v>
      </c>
      <c r="J184" s="382">
        <f t="shared" si="34"/>
        <v>8.9758623825445276E-4</v>
      </c>
      <c r="K184" s="382">
        <f t="shared" si="35"/>
        <v>4.3194811793905379E-5</v>
      </c>
      <c r="M184" s="400"/>
      <c r="N184" s="398" t="s">
        <v>4096</v>
      </c>
      <c r="O184" s="398" t="s">
        <v>778</v>
      </c>
      <c r="P184" s="398" t="s">
        <v>291</v>
      </c>
      <c r="Q184" s="398">
        <v>47991343925.840004</v>
      </c>
      <c r="R184" s="398">
        <v>3.7764662935020681</v>
      </c>
      <c r="S184" s="398">
        <v>-7.45</v>
      </c>
      <c r="T184" s="398">
        <v>291.98919999999998</v>
      </c>
      <c r="U184" s="398">
        <v>164.36</v>
      </c>
      <c r="W184" s="401" t="s">
        <v>778</v>
      </c>
      <c r="X184" s="402" t="s">
        <v>291</v>
      </c>
      <c r="Y184" s="386">
        <f t="shared" si="36"/>
        <v>47991.343925840003</v>
      </c>
      <c r="Z184" s="387">
        <f t="shared" si="37"/>
        <v>3.7764662935020683E-2</v>
      </c>
      <c r="AA184" s="387">
        <f t="shared" si="38"/>
        <v>-7.4499999999999997E-2</v>
      </c>
      <c r="AB184" s="403">
        <f t="shared" si="39"/>
        <v>-3.8142070759308831E-2</v>
      </c>
      <c r="AC184" s="388">
        <f t="shared" si="40"/>
        <v>9.4763253027792434E-4</v>
      </c>
      <c r="AD184" s="389">
        <f t="shared" si="41"/>
        <v>-3.6144667023683457E-5</v>
      </c>
    </row>
    <row r="185" spans="1:30" x14ac:dyDescent="0.55000000000000004">
      <c r="A185" t="str">
        <f t="shared" si="28"/>
        <v>Fastenal Co</v>
      </c>
      <c r="B185" t="str">
        <f t="shared" si="28"/>
        <v>FAST</v>
      </c>
      <c r="C185" s="382">
        <f t="shared" si="29"/>
        <v>2.3306936100491539E-2</v>
      </c>
      <c r="D185" s="383">
        <f t="shared" si="30"/>
        <v>41958.206893799994</v>
      </c>
      <c r="E185" s="384">
        <f t="shared" si="31"/>
        <v>0.1052</v>
      </c>
      <c r="F185" s="385">
        <v>0.09</v>
      </c>
      <c r="G185" s="382">
        <v>9.2604699999999998E-2</v>
      </c>
      <c r="H185" s="399">
        <f t="shared" si="32"/>
        <v>9.593489999999999E-2</v>
      </c>
      <c r="I185" s="399">
        <f t="shared" si="33"/>
        <v>0.12035981039254505</v>
      </c>
      <c r="J185" s="382">
        <f t="shared" si="34"/>
        <v>7.8474795679622745E-4</v>
      </c>
      <c r="K185" s="382">
        <f t="shared" si="35"/>
        <v>9.4452115285931066E-5</v>
      </c>
      <c r="M185" s="400"/>
      <c r="N185" s="398" t="s">
        <v>4097</v>
      </c>
      <c r="O185" s="398" t="s">
        <v>779</v>
      </c>
      <c r="P185" s="398" t="s">
        <v>292</v>
      </c>
      <c r="Q185" s="398">
        <v>41958206893.799995</v>
      </c>
      <c r="R185" s="398">
        <v>2.330693610049154</v>
      </c>
      <c r="S185" s="398">
        <v>10.52</v>
      </c>
      <c r="T185" s="398">
        <v>572.88649999999996</v>
      </c>
      <c r="U185" s="398">
        <v>73.239999999999995</v>
      </c>
      <c r="W185" s="401" t="s">
        <v>779</v>
      </c>
      <c r="X185" s="402" t="s">
        <v>292</v>
      </c>
      <c r="Y185" s="386">
        <f t="shared" si="36"/>
        <v>41958.206893799994</v>
      </c>
      <c r="Z185" s="387">
        <f t="shared" si="37"/>
        <v>2.3306936100491539E-2</v>
      </c>
      <c r="AA185" s="387">
        <f t="shared" si="38"/>
        <v>0.1052</v>
      </c>
      <c r="AB185" s="403">
        <f t="shared" si="39"/>
        <v>0.1297328809393774</v>
      </c>
      <c r="AC185" s="388">
        <f t="shared" si="40"/>
        <v>8.2850277804551794E-4</v>
      </c>
      <c r="AD185" s="389">
        <f t="shared" si="41"/>
        <v>1.074840522621226E-4</v>
      </c>
    </row>
    <row r="186" spans="1:30" x14ac:dyDescent="0.55000000000000004">
      <c r="A186" t="str">
        <f t="shared" si="28"/>
        <v>Freeport-McMoRan Inc</v>
      </c>
      <c r="B186" t="str">
        <f t="shared" si="28"/>
        <v>FCX</v>
      </c>
      <c r="C186" s="382">
        <f t="shared" si="29"/>
        <v>1.6066945606694562E-2</v>
      </c>
      <c r="D186" s="383">
        <f t="shared" si="30"/>
        <v>51513.858403500009</v>
      </c>
      <c r="E186" s="384">
        <f t="shared" si="31"/>
        <v>9.0500000000000011E-2</v>
      </c>
      <c r="F186" s="385">
        <v>0.11</v>
      </c>
      <c r="G186" s="382">
        <v>0.24071970000000001</v>
      </c>
      <c r="H186" s="399">
        <f t="shared" si="32"/>
        <v>0.14707323333333333</v>
      </c>
      <c r="I186" s="399">
        <f t="shared" si="33"/>
        <v>0.16432168776011158</v>
      </c>
      <c r="J186" s="382">
        <f t="shared" si="34"/>
        <v>9.6346812987402265E-4</v>
      </c>
      <c r="K186" s="382">
        <f t="shared" si="35"/>
        <v>1.5831870920397778E-4</v>
      </c>
      <c r="M186" s="400"/>
      <c r="N186" s="398" t="s">
        <v>4098</v>
      </c>
      <c r="O186" s="398" t="s">
        <v>780</v>
      </c>
      <c r="P186" s="398" t="s">
        <v>293</v>
      </c>
      <c r="Q186" s="398">
        <v>51513858403.500008</v>
      </c>
      <c r="R186" s="398">
        <v>1.6066945606694563</v>
      </c>
      <c r="S186" s="398">
        <v>9.0500000000000007</v>
      </c>
      <c r="T186" s="398">
        <v>1436.9279999999999</v>
      </c>
      <c r="U186" s="398">
        <v>35.85</v>
      </c>
      <c r="W186" s="401" t="s">
        <v>780</v>
      </c>
      <c r="X186" s="402" t="s">
        <v>293</v>
      </c>
      <c r="Y186" s="386">
        <f t="shared" si="36"/>
        <v>51513.858403500009</v>
      </c>
      <c r="Z186" s="387">
        <f t="shared" si="37"/>
        <v>1.6066945606694562E-2</v>
      </c>
      <c r="AA186" s="387">
        <f t="shared" si="38"/>
        <v>9.0500000000000011E-2</v>
      </c>
      <c r="AB186" s="403">
        <f t="shared" si="39"/>
        <v>0.10729397489539751</v>
      </c>
      <c r="AC186" s="388">
        <f t="shared" si="40"/>
        <v>1.0171877674174342E-3</v>
      </c>
      <c r="AD186" s="389">
        <f t="shared" si="41"/>
        <v>1.0913811878119163E-4</v>
      </c>
    </row>
    <row r="187" spans="1:30" x14ac:dyDescent="0.55000000000000004">
      <c r="A187" t="str">
        <f t="shared" si="28"/>
        <v>FactSet Research Systems Inc</v>
      </c>
      <c r="B187" t="str">
        <f t="shared" si="28"/>
        <v>FDS</v>
      </c>
      <c r="C187" s="382">
        <f t="shared" si="29"/>
        <v>8.901583018907696E-3</v>
      </c>
      <c r="D187" s="383">
        <f t="shared" si="30"/>
        <v>18041.83412286</v>
      </c>
      <c r="E187" s="384" t="str">
        <f t="shared" si="31"/>
        <v>N/A</v>
      </c>
      <c r="F187" s="385">
        <v>0.09</v>
      </c>
      <c r="G187" s="382">
        <v>9.8606700000000005E-2</v>
      </c>
      <c r="H187" s="399">
        <f t="shared" si="32"/>
        <v>9.4303350000000008E-2</v>
      </c>
      <c r="I187" s="399">
        <f t="shared" si="33"/>
        <v>0.10362465756840075</v>
      </c>
      <c r="J187" s="382">
        <f t="shared" si="34"/>
        <v>3.3743797728551071E-4</v>
      </c>
      <c r="K187" s="382">
        <f t="shared" si="35"/>
        <v>3.4966894846784837E-5</v>
      </c>
      <c r="M187" s="400"/>
      <c r="N187" s="398" t="s">
        <v>4099</v>
      </c>
      <c r="O187" s="398" t="s">
        <v>781</v>
      </c>
      <c r="P187" s="398" t="s">
        <v>294</v>
      </c>
      <c r="Q187" s="398">
        <v>18041834122.860001</v>
      </c>
      <c r="R187" s="398">
        <v>0.89015830189076961</v>
      </c>
      <c r="S187" s="398" t="s">
        <v>3929</v>
      </c>
      <c r="T187" s="398">
        <v>38.030049999999996</v>
      </c>
      <c r="U187" s="398">
        <v>474.41</v>
      </c>
      <c r="W187" s="401" t="s">
        <v>781</v>
      </c>
      <c r="X187" s="402" t="s">
        <v>294</v>
      </c>
      <c r="Y187" s="386">
        <f t="shared" si="36"/>
        <v>18041.83412286</v>
      </c>
      <c r="Z187" s="387">
        <f t="shared" si="37"/>
        <v>8.901583018907696E-3</v>
      </c>
      <c r="AA187" s="387" t="str">
        <f t="shared" si="38"/>
        <v>N/A</v>
      </c>
      <c r="AB187" s="403" t="str">
        <f t="shared" si="39"/>
        <v>N/A</v>
      </c>
      <c r="AC187" s="388">
        <f t="shared" si="40"/>
        <v>3.5625234723828721E-4</v>
      </c>
      <c r="AD187" s="389" t="str">
        <f t="shared" si="41"/>
        <v>N/A</v>
      </c>
    </row>
    <row r="188" spans="1:30" x14ac:dyDescent="0.55000000000000004">
      <c r="A188" t="str">
        <f t="shared" si="28"/>
        <v>FedEx Corp</v>
      </c>
      <c r="B188" t="str">
        <f t="shared" si="28"/>
        <v>FDX</v>
      </c>
      <c r="C188" s="382">
        <f t="shared" si="29"/>
        <v>1.9930531959074262E-2</v>
      </c>
      <c r="D188" s="383">
        <f t="shared" si="30"/>
        <v>63794.099216610004</v>
      </c>
      <c r="E188" s="384">
        <f t="shared" si="31"/>
        <v>0.14880000000000002</v>
      </c>
      <c r="F188" s="385">
        <v>8.5000000000000006E-2</v>
      </c>
      <c r="G188" s="382">
        <v>0.1329235</v>
      </c>
      <c r="H188" s="399">
        <f t="shared" si="32"/>
        <v>0.12224116666666666</v>
      </c>
      <c r="I188" s="399">
        <f t="shared" si="33"/>
        <v>0.14338986436522319</v>
      </c>
      <c r="J188" s="382">
        <f t="shared" si="34"/>
        <v>1.193146531323483E-3</v>
      </c>
      <c r="K188" s="382">
        <f t="shared" si="35"/>
        <v>1.7108511929431075E-4</v>
      </c>
      <c r="M188" s="400"/>
      <c r="N188" s="398" t="s">
        <v>4100</v>
      </c>
      <c r="O188" s="398" t="s">
        <v>782</v>
      </c>
      <c r="P188" s="398" t="s">
        <v>295</v>
      </c>
      <c r="Q188" s="398">
        <v>63794099216.610001</v>
      </c>
      <c r="R188" s="398">
        <v>1.9930531959074262</v>
      </c>
      <c r="S188" s="398">
        <v>14.88</v>
      </c>
      <c r="T188" s="398">
        <v>240.85059999999999</v>
      </c>
      <c r="U188" s="398">
        <v>264.87</v>
      </c>
      <c r="W188" s="401" t="s">
        <v>782</v>
      </c>
      <c r="X188" s="402" t="s">
        <v>295</v>
      </c>
      <c r="Y188" s="386">
        <f t="shared" si="36"/>
        <v>63794.099216610004</v>
      </c>
      <c r="Z188" s="387">
        <f t="shared" si="37"/>
        <v>1.9930531959074262E-2</v>
      </c>
      <c r="AA188" s="387">
        <f t="shared" si="38"/>
        <v>0.14880000000000002</v>
      </c>
      <c r="AB188" s="403">
        <f t="shared" si="39"/>
        <v>0.17021336353682939</v>
      </c>
      <c r="AC188" s="388">
        <f t="shared" si="40"/>
        <v>1.2596722390365725E-3</v>
      </c>
      <c r="AD188" s="389">
        <f t="shared" si="41"/>
        <v>2.1441304876038396E-4</v>
      </c>
    </row>
    <row r="189" spans="1:30" x14ac:dyDescent="0.55000000000000004">
      <c r="A189" t="str">
        <f t="shared" si="28"/>
        <v>FirstEnergy Corp</v>
      </c>
      <c r="B189" t="str">
        <f t="shared" si="28"/>
        <v>FE</v>
      </c>
      <c r="C189" s="382">
        <f t="shared" si="29"/>
        <v>4.2462311557788943E-2</v>
      </c>
      <c r="D189" s="383">
        <f t="shared" si="30"/>
        <v>22937.416759199998</v>
      </c>
      <c r="E189" s="384">
        <f t="shared" si="31"/>
        <v>5.808E-2</v>
      </c>
      <c r="F189" s="385">
        <v>5.5E-2</v>
      </c>
      <c r="G189" s="382">
        <v>6.6984100000000005E-2</v>
      </c>
      <c r="H189" s="399">
        <f t="shared" si="32"/>
        <v>6.0021366666666666E-2</v>
      </c>
      <c r="I189" s="399">
        <f t="shared" si="33"/>
        <v>0.10375800121021775</v>
      </c>
      <c r="J189" s="382">
        <f t="shared" si="34"/>
        <v>4.2900048091963503E-4</v>
      </c>
      <c r="K189" s="382">
        <f t="shared" si="35"/>
        <v>4.451223241844349E-5</v>
      </c>
      <c r="M189" s="400"/>
      <c r="N189" s="398" t="s">
        <v>4101</v>
      </c>
      <c r="O189" s="398" t="s">
        <v>783</v>
      </c>
      <c r="P189" s="398" t="s">
        <v>46</v>
      </c>
      <c r="Q189" s="398">
        <v>22937416759.199997</v>
      </c>
      <c r="R189" s="398">
        <v>4.2462311557788945</v>
      </c>
      <c r="S189" s="398">
        <v>5.8079999999999998</v>
      </c>
      <c r="T189" s="398">
        <v>576.31700000000001</v>
      </c>
      <c r="U189" s="398">
        <v>39.799999999999997</v>
      </c>
      <c r="W189" s="401" t="s">
        <v>783</v>
      </c>
      <c r="X189" s="402" t="s">
        <v>46</v>
      </c>
      <c r="Y189" s="386">
        <f t="shared" si="36"/>
        <v>22937.416759199998</v>
      </c>
      <c r="Z189" s="387">
        <f t="shared" si="37"/>
        <v>4.2462311557788943E-2</v>
      </c>
      <c r="AA189" s="387">
        <f t="shared" si="38"/>
        <v>5.808E-2</v>
      </c>
      <c r="AB189" s="403">
        <f t="shared" si="39"/>
        <v>0.10177541708542713</v>
      </c>
      <c r="AC189" s="388">
        <f t="shared" si="40"/>
        <v>4.5292005814941361E-4</v>
      </c>
      <c r="AD189" s="389">
        <f t="shared" si="41"/>
        <v>4.6096127824512477E-5</v>
      </c>
    </row>
    <row r="190" spans="1:30" x14ac:dyDescent="0.55000000000000004">
      <c r="A190" t="str">
        <f t="shared" si="28"/>
        <v>F5 Inc</v>
      </c>
      <c r="B190" t="str">
        <f t="shared" si="28"/>
        <v>FFIV</v>
      </c>
      <c r="C190" s="382" t="str">
        <f t="shared" si="29"/>
        <v>0.00%</v>
      </c>
      <c r="D190" s="383">
        <f t="shared" si="30"/>
        <v>17245.576652019998</v>
      </c>
      <c r="E190" s="384">
        <f t="shared" si="31"/>
        <v>7.0699999999999999E-2</v>
      </c>
      <c r="F190" s="385">
        <v>0.11</v>
      </c>
      <c r="G190" s="382">
        <v>7.0678400000000002E-2</v>
      </c>
      <c r="H190" s="399">
        <f t="shared" si="32"/>
        <v>8.3792800000000001E-2</v>
      </c>
      <c r="I190" s="399">
        <f t="shared" si="33"/>
        <v>8.3792800000000001E-2</v>
      </c>
      <c r="J190" s="382">
        <f t="shared" si="34"/>
        <v>3.2254550523809928E-4</v>
      </c>
      <c r="K190" s="382">
        <f t="shared" si="35"/>
        <v>2.7026991011315004E-5</v>
      </c>
      <c r="M190" s="400"/>
      <c r="N190" s="398" t="s">
        <v>4102</v>
      </c>
      <c r="O190" s="398" t="s">
        <v>784</v>
      </c>
      <c r="P190" s="398" t="s">
        <v>296</v>
      </c>
      <c r="Q190" s="398">
        <v>17245576652.019997</v>
      </c>
      <c r="R190" s="398" t="s">
        <v>3929</v>
      </c>
      <c r="S190" s="398">
        <v>7.07</v>
      </c>
      <c r="T190" s="398">
        <v>58.015129999999999</v>
      </c>
      <c r="U190" s="398">
        <v>297.26</v>
      </c>
      <c r="W190" s="401" t="s">
        <v>784</v>
      </c>
      <c r="X190" s="402" t="s">
        <v>296</v>
      </c>
      <c r="Y190" s="386">
        <f t="shared" si="36"/>
        <v>17245.576652019998</v>
      </c>
      <c r="Z190" s="387" t="str">
        <f t="shared" si="37"/>
        <v>0.00%</v>
      </c>
      <c r="AA190" s="387">
        <f t="shared" si="38"/>
        <v>7.0699999999999999E-2</v>
      </c>
      <c r="AB190" s="403">
        <f t="shared" si="39"/>
        <v>7.0699999999999999E-2</v>
      </c>
      <c r="AC190" s="388">
        <f t="shared" si="40"/>
        <v>3.4052952265952949E-4</v>
      </c>
      <c r="AD190" s="389">
        <f t="shared" si="41"/>
        <v>2.4075437252028736E-5</v>
      </c>
    </row>
    <row r="191" spans="1:30" x14ac:dyDescent="0.55000000000000004">
      <c r="A191" t="str">
        <f t="shared" si="28"/>
        <v>Fiserv Inc</v>
      </c>
      <c r="B191" t="str">
        <f t="shared" si="28"/>
        <v>FI</v>
      </c>
      <c r="C191" s="382">
        <f t="shared" si="29"/>
        <v>0</v>
      </c>
      <c r="D191" s="383">
        <f t="shared" si="30"/>
        <v>122909.20350939999</v>
      </c>
      <c r="E191" s="384">
        <f t="shared" si="31"/>
        <v>0.13256999999999999</v>
      </c>
      <c r="F191" s="385">
        <v>9.5000000000000001E-2</v>
      </c>
      <c r="G191" s="382">
        <v>0.14026269999999999</v>
      </c>
      <c r="H191" s="399">
        <f t="shared" si="32"/>
        <v>0.12261090000000001</v>
      </c>
      <c r="I191" s="399">
        <f t="shared" si="33"/>
        <v>0.12261090000000001</v>
      </c>
      <c r="J191" s="382">
        <f t="shared" si="34"/>
        <v>2.2987814176517111E-3</v>
      </c>
      <c r="K191" s="382">
        <f t="shared" si="35"/>
        <v>2.8185565852155219E-4</v>
      </c>
      <c r="M191" s="400"/>
      <c r="N191" s="398" t="s">
        <v>4103</v>
      </c>
      <c r="O191" s="398" t="s">
        <v>785</v>
      </c>
      <c r="P191" s="398" t="s">
        <v>297</v>
      </c>
      <c r="Q191" s="398">
        <v>122909203509.39999</v>
      </c>
      <c r="R191" s="398">
        <v>0</v>
      </c>
      <c r="S191" s="398">
        <v>13.257</v>
      </c>
      <c r="T191" s="398">
        <v>568.91869999999994</v>
      </c>
      <c r="U191" s="398">
        <v>216.04</v>
      </c>
      <c r="W191" s="401" t="s">
        <v>785</v>
      </c>
      <c r="X191" s="402" t="s">
        <v>297</v>
      </c>
      <c r="Y191" s="386">
        <f t="shared" si="36"/>
        <v>122909.20350939999</v>
      </c>
      <c r="Z191" s="387">
        <f t="shared" si="37"/>
        <v>0</v>
      </c>
      <c r="AA191" s="387">
        <f t="shared" si="38"/>
        <v>0.13256999999999999</v>
      </c>
      <c r="AB191" s="403">
        <f t="shared" si="39"/>
        <v>0.13256999999999999</v>
      </c>
      <c r="AC191" s="388">
        <f t="shared" si="40"/>
        <v>2.4269534876130978E-3</v>
      </c>
      <c r="AD191" s="389">
        <f t="shared" si="41"/>
        <v>3.2174122385286838E-4</v>
      </c>
    </row>
    <row r="192" spans="1:30" x14ac:dyDescent="0.55000000000000004">
      <c r="A192" t="str">
        <f t="shared" si="28"/>
        <v>Fair Isaac Corp</v>
      </c>
      <c r="B192" t="str">
        <f t="shared" si="28"/>
        <v>FICO</v>
      </c>
      <c r="C192" s="382">
        <f t="shared" si="29"/>
        <v>0</v>
      </c>
      <c r="D192" s="383">
        <f t="shared" si="30"/>
        <v>45795.127310399999</v>
      </c>
      <c r="E192" s="384">
        <f t="shared" si="31"/>
        <v>0.3</v>
      </c>
      <c r="F192" s="385">
        <v>0.17</v>
      </c>
      <c r="G192" s="382">
        <v>0.32</v>
      </c>
      <c r="H192" s="399">
        <f t="shared" si="32"/>
        <v>0.26333333333333336</v>
      </c>
      <c r="I192" s="399">
        <f t="shared" si="33"/>
        <v>0.26333333333333336</v>
      </c>
      <c r="J192" s="382">
        <f t="shared" si="34"/>
        <v>8.5651020976708814E-4</v>
      </c>
      <c r="K192" s="382">
        <f t="shared" si="35"/>
        <v>2.2554768857199992E-4</v>
      </c>
      <c r="M192" s="400"/>
      <c r="N192" s="398" t="s">
        <v>4104</v>
      </c>
      <c r="O192" s="398" t="s">
        <v>786</v>
      </c>
      <c r="P192" s="398" t="s">
        <v>298</v>
      </c>
      <c r="Q192" s="398">
        <v>45795127310.400002</v>
      </c>
      <c r="R192" s="398">
        <v>0</v>
      </c>
      <c r="S192" s="398">
        <v>30</v>
      </c>
      <c r="T192" s="398">
        <v>24.44284</v>
      </c>
      <c r="U192" s="398">
        <v>1873.56</v>
      </c>
      <c r="W192" s="401" t="s">
        <v>786</v>
      </c>
      <c r="X192" s="402" t="s">
        <v>298</v>
      </c>
      <c r="Y192" s="386">
        <f t="shared" si="36"/>
        <v>45795.127310399999</v>
      </c>
      <c r="Z192" s="387">
        <f t="shared" si="37"/>
        <v>0</v>
      </c>
      <c r="AA192" s="387">
        <f t="shared" si="38"/>
        <v>0.3</v>
      </c>
      <c r="AB192" s="403">
        <f t="shared" si="39"/>
        <v>0.3</v>
      </c>
      <c r="AC192" s="388">
        <f t="shared" si="40"/>
        <v>9.0426624506732736E-4</v>
      </c>
      <c r="AD192" s="389">
        <f t="shared" si="41"/>
        <v>2.7127987352019821E-4</v>
      </c>
    </row>
    <row r="193" spans="1:30" x14ac:dyDescent="0.55000000000000004">
      <c r="A193" t="str">
        <f t="shared" si="28"/>
        <v>Fidelity National Information Services Inc</v>
      </c>
      <c r="B193" t="str">
        <f t="shared" si="28"/>
        <v>FIS</v>
      </c>
      <c r="C193" s="382">
        <f t="shared" si="29"/>
        <v>1.7712041242175035E-2</v>
      </c>
      <c r="D193" s="383">
        <f t="shared" si="30"/>
        <v>43859.729220379995</v>
      </c>
      <c r="E193" s="384">
        <f t="shared" si="31"/>
        <v>0.156</v>
      </c>
      <c r="F193" s="385">
        <v>4.4999999999999998E-2</v>
      </c>
      <c r="G193" s="382">
        <v>0.1437417</v>
      </c>
      <c r="H193" s="399">
        <f t="shared" si="32"/>
        <v>0.11491390000000001</v>
      </c>
      <c r="I193" s="399">
        <f t="shared" si="33"/>
        <v>0.13364362111022463</v>
      </c>
      <c r="J193" s="382">
        <f t="shared" si="34"/>
        <v>8.2031229262123065E-4</v>
      </c>
      <c r="K193" s="382">
        <f t="shared" si="35"/>
        <v>1.0962950522713146E-4</v>
      </c>
      <c r="M193" s="400"/>
      <c r="N193" s="398" t="s">
        <v>4105</v>
      </c>
      <c r="O193" s="398" t="s">
        <v>787</v>
      </c>
      <c r="P193" s="398" t="s">
        <v>299</v>
      </c>
      <c r="Q193" s="398">
        <v>43859729220.379997</v>
      </c>
      <c r="R193" s="398">
        <v>1.7712041242175036</v>
      </c>
      <c r="S193" s="398">
        <v>15.6</v>
      </c>
      <c r="T193" s="398">
        <v>538.35439999999994</v>
      </c>
      <c r="U193" s="398">
        <v>81.47</v>
      </c>
      <c r="W193" s="401" t="s">
        <v>787</v>
      </c>
      <c r="X193" s="402" t="s">
        <v>299</v>
      </c>
      <c r="Y193" s="386">
        <f t="shared" si="36"/>
        <v>43859.729220379995</v>
      </c>
      <c r="Z193" s="387">
        <f t="shared" si="37"/>
        <v>1.7712041242175035E-2</v>
      </c>
      <c r="AA193" s="387">
        <f t="shared" si="38"/>
        <v>0.156</v>
      </c>
      <c r="AB193" s="403">
        <f t="shared" si="39"/>
        <v>0.1750935804590647</v>
      </c>
      <c r="AC193" s="388">
        <f t="shared" si="40"/>
        <v>8.6605005774873856E-4</v>
      </c>
      <c r="AD193" s="389">
        <f t="shared" si="41"/>
        <v>1.5163980546800638E-4</v>
      </c>
    </row>
    <row r="194" spans="1:30" x14ac:dyDescent="0.55000000000000004">
      <c r="A194" t="str">
        <f t="shared" si="28"/>
        <v>Fifth Third Bancorp</v>
      </c>
      <c r="B194" t="str">
        <f t="shared" si="28"/>
        <v>FITB</v>
      </c>
      <c r="C194" s="382">
        <f t="shared" si="29"/>
        <v>3.4055517941773868E-2</v>
      </c>
      <c r="D194" s="383">
        <f t="shared" si="30"/>
        <v>29711.774154720002</v>
      </c>
      <c r="E194" s="384" t="str">
        <f t="shared" si="31"/>
        <v>N/A</v>
      </c>
      <c r="F194" s="385">
        <v>4.4999999999999998E-2</v>
      </c>
      <c r="G194" s="382">
        <v>9.0582399999999993E-2</v>
      </c>
      <c r="H194" s="399">
        <f t="shared" si="32"/>
        <v>6.7791199999999996E-2</v>
      </c>
      <c r="I194" s="399">
        <f t="shared" si="33"/>
        <v>0.10300105015572106</v>
      </c>
      <c r="J194" s="382">
        <f t="shared" si="34"/>
        <v>5.5570187066675714E-4</v>
      </c>
      <c r="K194" s="382">
        <f t="shared" si="35"/>
        <v>5.7237876252174669E-5</v>
      </c>
      <c r="M194" s="400"/>
      <c r="N194" s="398" t="s">
        <v>4106</v>
      </c>
      <c r="O194" s="398" t="s">
        <v>300</v>
      </c>
      <c r="P194" s="398" t="s">
        <v>301</v>
      </c>
      <c r="Q194" s="398">
        <v>29711774154.720001</v>
      </c>
      <c r="R194" s="398">
        <v>3.4055517941773865</v>
      </c>
      <c r="S194" s="398" t="s">
        <v>3929</v>
      </c>
      <c r="T194" s="398">
        <v>670.54329999999993</v>
      </c>
      <c r="U194" s="398">
        <v>44.31</v>
      </c>
      <c r="W194" s="401" t="s">
        <v>300</v>
      </c>
      <c r="X194" s="402" t="s">
        <v>301</v>
      </c>
      <c r="Y194" s="386">
        <f t="shared" si="36"/>
        <v>29711.774154720002</v>
      </c>
      <c r="Z194" s="387">
        <f t="shared" si="37"/>
        <v>3.4055517941773868E-2</v>
      </c>
      <c r="AA194" s="387" t="str">
        <f t="shared" si="38"/>
        <v>N/A</v>
      </c>
      <c r="AB194" s="403" t="str">
        <f t="shared" si="39"/>
        <v>N/A</v>
      </c>
      <c r="AC194" s="388">
        <f t="shared" si="40"/>
        <v>5.8668587745307102E-4</v>
      </c>
      <c r="AD194" s="389" t="str">
        <f t="shared" si="41"/>
        <v>N/A</v>
      </c>
    </row>
    <row r="195" spans="1:30" x14ac:dyDescent="0.55000000000000004">
      <c r="A195" t="str">
        <f t="shared" si="28"/>
        <v>FMC Corp</v>
      </c>
      <c r="B195" t="str">
        <f t="shared" si="28"/>
        <v>FMC</v>
      </c>
      <c r="C195" s="382">
        <f t="shared" si="29"/>
        <v>4.195051989960559E-2</v>
      </c>
      <c r="D195" s="383">
        <f t="shared" si="30"/>
        <v>6963.3287639599994</v>
      </c>
      <c r="E195" s="384">
        <f t="shared" si="31"/>
        <v>-4.5149999999999996E-2</v>
      </c>
      <c r="F195" s="385">
        <v>3.5000000000000003E-2</v>
      </c>
      <c r="G195" s="382">
        <v>0.1398566</v>
      </c>
      <c r="H195" s="399">
        <f t="shared" si="32"/>
        <v>4.3235533333333333E-2</v>
      </c>
      <c r="I195" s="399">
        <f t="shared" si="33"/>
        <v>8.6092929783673944E-2</v>
      </c>
      <c r="J195" s="382">
        <f t="shared" si="34"/>
        <v>1.3023573752446205E-4</v>
      </c>
      <c r="K195" s="382">
        <f t="shared" si="35"/>
        <v>1.1212376206018502E-5</v>
      </c>
      <c r="M195" s="400"/>
      <c r="N195" s="398" t="s">
        <v>4107</v>
      </c>
      <c r="O195" s="398" t="s">
        <v>788</v>
      </c>
      <c r="P195" s="398" t="s">
        <v>302</v>
      </c>
      <c r="Q195" s="398">
        <v>6963328763.9599991</v>
      </c>
      <c r="R195" s="398">
        <v>4.1950519899605592</v>
      </c>
      <c r="S195" s="398">
        <v>-4.5149999999999997</v>
      </c>
      <c r="T195" s="398">
        <v>124.8356</v>
      </c>
      <c r="U195" s="398">
        <v>55.78</v>
      </c>
      <c r="W195" s="401" t="s">
        <v>788</v>
      </c>
      <c r="X195" s="402" t="s">
        <v>302</v>
      </c>
      <c r="Y195" s="386">
        <f t="shared" si="36"/>
        <v>6963.3287639599994</v>
      </c>
      <c r="Z195" s="387">
        <f t="shared" si="37"/>
        <v>4.195051989960559E-2</v>
      </c>
      <c r="AA195" s="387">
        <f t="shared" si="38"/>
        <v>-4.5149999999999996E-2</v>
      </c>
      <c r="AB195" s="403">
        <f t="shared" si="39"/>
        <v>-4.1465130871280037E-3</v>
      </c>
      <c r="AC195" s="388">
        <f t="shared" si="40"/>
        <v>1.3749723004101032E-4</v>
      </c>
      <c r="AD195" s="389">
        <f t="shared" si="41"/>
        <v>-5.7013406380889895E-7</v>
      </c>
    </row>
    <row r="196" spans="1:30" x14ac:dyDescent="0.55000000000000004">
      <c r="A196" t="str">
        <f t="shared" si="28"/>
        <v>Fox Corp</v>
      </c>
      <c r="B196" t="str">
        <f t="shared" si="28"/>
        <v>FOXA</v>
      </c>
      <c r="C196" s="382">
        <f t="shared" si="29"/>
        <v>1.0570535365377101E-2</v>
      </c>
      <c r="D196" s="383">
        <f t="shared" si="30"/>
        <v>22767.958647899999</v>
      </c>
      <c r="E196" s="384">
        <f t="shared" si="31"/>
        <v>9.5350000000000004E-2</v>
      </c>
      <c r="F196" s="385">
        <v>8.5000000000000006E-2</v>
      </c>
      <c r="G196" s="382">
        <v>8.641349999999999E-2</v>
      </c>
      <c r="H196" s="399">
        <f t="shared" si="32"/>
        <v>8.8921166666666662E-2</v>
      </c>
      <c r="I196" s="399">
        <f t="shared" si="33"/>
        <v>9.9961674200534062E-2</v>
      </c>
      <c r="J196" s="382">
        <f t="shared" si="34"/>
        <v>4.2583109127098274E-4</v>
      </c>
      <c r="K196" s="382">
        <f t="shared" si="35"/>
        <v>4.2566788810087858E-5</v>
      </c>
      <c r="M196" s="400"/>
      <c r="N196" s="398" t="s">
        <v>4108</v>
      </c>
      <c r="O196" s="398" t="s">
        <v>789</v>
      </c>
      <c r="P196" s="398" t="s">
        <v>303</v>
      </c>
      <c r="Q196" s="398">
        <v>22767958647.899998</v>
      </c>
      <c r="R196" s="398">
        <v>1.0570535365377101</v>
      </c>
      <c r="S196" s="398">
        <v>9.5350000000000001</v>
      </c>
      <c r="T196" s="398">
        <v>221.15519999999998</v>
      </c>
      <c r="U196" s="398">
        <v>51.18</v>
      </c>
      <c r="W196" s="401" t="s">
        <v>789</v>
      </c>
      <c r="X196" s="402" t="s">
        <v>303</v>
      </c>
      <c r="Y196" s="386">
        <f t="shared" si="36"/>
        <v>22767.958647899999</v>
      </c>
      <c r="Z196" s="387">
        <f t="shared" si="37"/>
        <v>1.0570535365377101E-2</v>
      </c>
      <c r="AA196" s="387">
        <f t="shared" si="38"/>
        <v>9.5350000000000004E-2</v>
      </c>
      <c r="AB196" s="403">
        <f t="shared" si="39"/>
        <v>0.10642448563892146</v>
      </c>
      <c r="AC196" s="388">
        <f t="shared" si="40"/>
        <v>4.4957395433878718E-4</v>
      </c>
      <c r="AD196" s="389">
        <f t="shared" si="41"/>
        <v>4.7845676847161387E-5</v>
      </c>
    </row>
    <row r="197" spans="1:30" x14ac:dyDescent="0.55000000000000004">
      <c r="A197" t="str">
        <f t="shared" si="28"/>
        <v>Federal Realty Investment Trust</v>
      </c>
      <c r="B197" t="str">
        <f t="shared" si="28"/>
        <v>FRT</v>
      </c>
      <c r="C197" s="382">
        <f t="shared" si="29"/>
        <v>4.0274325692718403E-2</v>
      </c>
      <c r="D197" s="383">
        <f t="shared" si="30"/>
        <v>9229.6534419</v>
      </c>
      <c r="E197" s="384">
        <f t="shared" si="31"/>
        <v>4.6500000000000007E-2</v>
      </c>
      <c r="F197" s="385" t="s">
        <v>184</v>
      </c>
      <c r="G197" s="382">
        <v>5.9847499999999998E-2</v>
      </c>
      <c r="H197" s="399">
        <f t="shared" si="32"/>
        <v>5.3173750000000006E-2</v>
      </c>
      <c r="I197" s="399">
        <f t="shared" si="33"/>
        <v>9.4518844155620008E-2</v>
      </c>
      <c r="J197" s="382">
        <f t="shared" si="34"/>
        <v>1.7262300314217091E-4</v>
      </c>
      <c r="K197" s="382">
        <f t="shared" si="35"/>
        <v>1.6316126731669956E-5</v>
      </c>
      <c r="M197" s="400"/>
      <c r="N197" s="398" t="s">
        <v>4109</v>
      </c>
      <c r="O197" s="398" t="s">
        <v>304</v>
      </c>
      <c r="P197" s="398" t="s">
        <v>305</v>
      </c>
      <c r="Q197" s="398">
        <v>9229653441.8999996</v>
      </c>
      <c r="R197" s="398">
        <v>4.0274325692718405</v>
      </c>
      <c r="S197" s="398">
        <v>4.6500000000000004</v>
      </c>
      <c r="T197" s="398">
        <v>84.964129999999997</v>
      </c>
      <c r="U197" s="398">
        <v>108.63</v>
      </c>
      <c r="W197" s="401" t="s">
        <v>304</v>
      </c>
      <c r="X197" s="402" t="s">
        <v>305</v>
      </c>
      <c r="Y197" s="386">
        <f t="shared" si="36"/>
        <v>9229.6534419</v>
      </c>
      <c r="Z197" s="387">
        <f t="shared" si="37"/>
        <v>4.0274325692718403E-2</v>
      </c>
      <c r="AA197" s="387">
        <f t="shared" si="38"/>
        <v>4.6500000000000007E-2</v>
      </c>
      <c r="AB197" s="403">
        <f t="shared" si="39"/>
        <v>8.7710703765074116E-2</v>
      </c>
      <c r="AC197" s="388">
        <f t="shared" si="40"/>
        <v>1.8224786241142886E-4</v>
      </c>
      <c r="AD197" s="389">
        <f t="shared" si="41"/>
        <v>1.5985088271786822E-5</v>
      </c>
    </row>
    <row r="198" spans="1:30" x14ac:dyDescent="0.55000000000000004">
      <c r="A198" t="str">
        <f t="shared" ref="A198:B261" si="42">O198</f>
        <v>First Solar Inc</v>
      </c>
      <c r="B198" t="str">
        <f t="shared" si="42"/>
        <v>FSLR</v>
      </c>
      <c r="C198" s="382" t="str">
        <f t="shared" ref="C198:C261" si="43">VLOOKUP($B198,$X$5:$AA$504, 3, FALSE)</f>
        <v>0.00%</v>
      </c>
      <c r="D198" s="383">
        <f t="shared" ref="D198:D261" si="44">VLOOKUP($B198,$X$5:$AA$504, 2, FALSE)</f>
        <v>17934.31126464</v>
      </c>
      <c r="E198" s="384">
        <f t="shared" ref="E198:E261" si="45">VLOOKUP($B198,$X$5:$AA$504, 4, FALSE)</f>
        <v>0.41375000000000001</v>
      </c>
      <c r="F198" s="385">
        <v>0.34499999999999997</v>
      </c>
      <c r="G198" s="382">
        <v>0.32250000000000001</v>
      </c>
      <c r="H198" s="399">
        <f t="shared" ref="H198:H261" si="46">IFERROR(AVERAGE(E198:G198),"N/A")</f>
        <v>0.36041666666666666</v>
      </c>
      <c r="I198" s="399">
        <f t="shared" ref="I198:I261" si="47">IFERROR(C198*(1+0.5*H198)+H198,"N/A")</f>
        <v>0.36041666666666666</v>
      </c>
      <c r="J198" s="382">
        <f t="shared" ref="J198:J261" si="48">IF(I198="N/A","N/A",D198/$D$505)</f>
        <v>3.3542696800881297E-4</v>
      </c>
      <c r="K198" s="382">
        <f t="shared" ref="K198:K261" si="49">IF(AND(ISNUMBER(D198),ISNUMBER(I198)),I198*J198,"N/A")</f>
        <v>1.20893469719843E-4</v>
      </c>
      <c r="M198" s="400"/>
      <c r="N198" s="398" t="s">
        <v>4110</v>
      </c>
      <c r="O198" s="398" t="s">
        <v>790</v>
      </c>
      <c r="P198" s="398" t="s">
        <v>306</v>
      </c>
      <c r="Q198" s="398">
        <v>17934311264.639999</v>
      </c>
      <c r="R198" s="398" t="s">
        <v>3929</v>
      </c>
      <c r="S198" s="398">
        <v>41.375</v>
      </c>
      <c r="T198" s="398">
        <v>107.0577</v>
      </c>
      <c r="U198" s="398">
        <v>167.52</v>
      </c>
      <c r="W198" s="401" t="s">
        <v>790</v>
      </c>
      <c r="X198" s="402" t="s">
        <v>306</v>
      </c>
      <c r="Y198" s="386">
        <f t="shared" ref="Y198:Y261" si="50">Q198/1000000</f>
        <v>17934.31126464</v>
      </c>
      <c r="Z198" s="387" t="str">
        <f t="shared" ref="Z198:Z261" si="51">IFERROR(R198/100,"0.00%")</f>
        <v>0.00%</v>
      </c>
      <c r="AA198" s="387">
        <f t="shared" ref="AA198:AA261" si="52">IFERROR(S198/100,"N/A")</f>
        <v>0.41375000000000001</v>
      </c>
      <c r="AB198" s="403">
        <f t="shared" ref="AB198:AB261" si="53">IFERROR(Z198*(1+0.5*AA198)+AA198,"N/A")</f>
        <v>0.41375000000000001</v>
      </c>
      <c r="AC198" s="388">
        <f t="shared" ref="AC198:AC261" si="54">IF(Y198= "N/A","N/A", Y198/$Y$506)</f>
        <v>3.5412921106699798E-4</v>
      </c>
      <c r="AD198" s="389">
        <f t="shared" ref="AD198:AD261" si="55">IF(AND(ISNUMBER(Y198),ISNUMBER(AB198)),AB198*AC198,"N/A")</f>
        <v>1.4652096107897042E-4</v>
      </c>
    </row>
    <row r="199" spans="1:30" x14ac:dyDescent="0.55000000000000004">
      <c r="A199" t="str">
        <f t="shared" si="42"/>
        <v>Fortinet Inc</v>
      </c>
      <c r="B199" t="str">
        <f t="shared" si="42"/>
        <v>FTNT</v>
      </c>
      <c r="C199" s="382">
        <f t="shared" si="43"/>
        <v>0</v>
      </c>
      <c r="D199" s="383">
        <f t="shared" si="44"/>
        <v>77319.748174240012</v>
      </c>
      <c r="E199" s="384">
        <f t="shared" si="45"/>
        <v>0.17585000000000001</v>
      </c>
      <c r="F199" s="385">
        <v>0.185</v>
      </c>
      <c r="G199" s="382">
        <v>0.18089479999999999</v>
      </c>
      <c r="H199" s="399">
        <f t="shared" si="46"/>
        <v>0.18058160000000001</v>
      </c>
      <c r="I199" s="399">
        <f t="shared" si="47"/>
        <v>0.18058160000000001</v>
      </c>
      <c r="J199" s="382">
        <f t="shared" si="48"/>
        <v>1.446117908549129E-3</v>
      </c>
      <c r="K199" s="382">
        <f t="shared" si="49"/>
        <v>2.6114228571445542E-4</v>
      </c>
      <c r="M199" s="400"/>
      <c r="N199" s="398" t="s">
        <v>4111</v>
      </c>
      <c r="O199" s="398" t="s">
        <v>791</v>
      </c>
      <c r="P199" s="398" t="s">
        <v>307</v>
      </c>
      <c r="Q199" s="398">
        <v>77319748174.240005</v>
      </c>
      <c r="R199" s="398">
        <v>0</v>
      </c>
      <c r="S199" s="398">
        <v>17.585000000000001</v>
      </c>
      <c r="T199" s="398">
        <v>766.45269999999994</v>
      </c>
      <c r="U199" s="398">
        <v>100.88</v>
      </c>
      <c r="W199" s="401" t="s">
        <v>791</v>
      </c>
      <c r="X199" s="402" t="s">
        <v>307</v>
      </c>
      <c r="Y199" s="386">
        <f t="shared" si="50"/>
        <v>77319.748174240012</v>
      </c>
      <c r="Z199" s="387">
        <f t="shared" si="51"/>
        <v>0</v>
      </c>
      <c r="AA199" s="387">
        <f t="shared" si="52"/>
        <v>0.17585000000000001</v>
      </c>
      <c r="AB199" s="403">
        <f t="shared" si="53"/>
        <v>0.17585000000000001</v>
      </c>
      <c r="AC199" s="388">
        <f t="shared" si="54"/>
        <v>1.5267484218827179E-3</v>
      </c>
      <c r="AD199" s="389">
        <f t="shared" si="55"/>
        <v>2.6847870998807593E-4</v>
      </c>
    </row>
    <row r="200" spans="1:30" x14ac:dyDescent="0.55000000000000004">
      <c r="A200" t="str">
        <f t="shared" si="42"/>
        <v>Fortive Corp</v>
      </c>
      <c r="B200" t="str">
        <f t="shared" si="42"/>
        <v>FTV</v>
      </c>
      <c r="C200" s="382">
        <f t="shared" si="43"/>
        <v>3.8239272101315632E-3</v>
      </c>
      <c r="D200" s="383">
        <f t="shared" si="44"/>
        <v>28217.384454420004</v>
      </c>
      <c r="E200" s="384">
        <f t="shared" si="45"/>
        <v>0.10535</v>
      </c>
      <c r="F200" s="385">
        <v>0.115</v>
      </c>
      <c r="G200" s="382">
        <v>0.10532899999999999</v>
      </c>
      <c r="H200" s="399">
        <f t="shared" si="46"/>
        <v>0.10855966666666667</v>
      </c>
      <c r="I200" s="399">
        <f t="shared" si="47"/>
        <v>0.11259115600844297</v>
      </c>
      <c r="J200" s="382">
        <f t="shared" si="48"/>
        <v>5.2775217141159091E-4</v>
      </c>
      <c r="K200" s="382">
        <f t="shared" si="49"/>
        <v>5.9420227065196964E-5</v>
      </c>
      <c r="M200" s="400"/>
      <c r="N200" s="398" t="s">
        <v>4112</v>
      </c>
      <c r="O200" s="398" t="s">
        <v>792</v>
      </c>
      <c r="P200" s="398" t="s">
        <v>308</v>
      </c>
      <c r="Q200" s="398">
        <v>28217384454.420002</v>
      </c>
      <c r="R200" s="398">
        <v>0.3823927210131563</v>
      </c>
      <c r="S200" s="398">
        <v>10.535</v>
      </c>
      <c r="T200" s="398">
        <v>346.94929999999999</v>
      </c>
      <c r="U200" s="398">
        <v>81.33</v>
      </c>
      <c r="W200" s="401" t="s">
        <v>792</v>
      </c>
      <c r="X200" s="402" t="s">
        <v>308</v>
      </c>
      <c r="Y200" s="386">
        <f t="shared" si="50"/>
        <v>28217.384454420004</v>
      </c>
      <c r="Z200" s="387">
        <f t="shared" si="51"/>
        <v>3.8239272101315632E-3</v>
      </c>
      <c r="AA200" s="387">
        <f t="shared" si="52"/>
        <v>0.10535</v>
      </c>
      <c r="AB200" s="403">
        <f t="shared" si="53"/>
        <v>0.10937535257592525</v>
      </c>
      <c r="AC200" s="388">
        <f t="shared" si="54"/>
        <v>5.571778000150882E-4</v>
      </c>
      <c r="AD200" s="389">
        <f t="shared" si="55"/>
        <v>6.0941518324128638E-5</v>
      </c>
    </row>
    <row r="201" spans="1:30" x14ac:dyDescent="0.55000000000000004">
      <c r="A201" t="str">
        <f t="shared" si="42"/>
        <v>General Dynamics Corp</v>
      </c>
      <c r="B201" t="str">
        <f t="shared" si="42"/>
        <v>GD</v>
      </c>
      <c r="C201" s="382">
        <f t="shared" si="43"/>
        <v>2.3005681375982565E-2</v>
      </c>
      <c r="D201" s="383">
        <f t="shared" si="44"/>
        <v>70661.435710620004</v>
      </c>
      <c r="E201" s="384">
        <f t="shared" si="45"/>
        <v>0.14580000000000001</v>
      </c>
      <c r="F201" s="385">
        <v>0.105</v>
      </c>
      <c r="G201" s="382">
        <v>0.1380586</v>
      </c>
      <c r="H201" s="399">
        <f t="shared" si="46"/>
        <v>0.12961953333333334</v>
      </c>
      <c r="I201" s="399">
        <f t="shared" si="47"/>
        <v>0.15411620755130101</v>
      </c>
      <c r="J201" s="382">
        <f t="shared" si="48"/>
        <v>1.3215869171566261E-3</v>
      </c>
      <c r="K201" s="382">
        <f t="shared" si="49"/>
        <v>2.0367796362159464E-4</v>
      </c>
      <c r="M201" s="400"/>
      <c r="N201" s="398" t="s">
        <v>4113</v>
      </c>
      <c r="O201" s="398" t="s">
        <v>793</v>
      </c>
      <c r="P201" s="398" t="s">
        <v>309</v>
      </c>
      <c r="Q201" s="398">
        <v>70661435710.62001</v>
      </c>
      <c r="R201" s="398">
        <v>2.3005681375982565</v>
      </c>
      <c r="S201" s="398">
        <v>14.58</v>
      </c>
      <c r="T201" s="398">
        <v>274.96859999999998</v>
      </c>
      <c r="U201" s="398">
        <v>256.98</v>
      </c>
      <c r="W201" s="401" t="s">
        <v>793</v>
      </c>
      <c r="X201" s="402" t="s">
        <v>309</v>
      </c>
      <c r="Y201" s="386">
        <f t="shared" si="50"/>
        <v>70661.435710620004</v>
      </c>
      <c r="Z201" s="387">
        <f t="shared" si="51"/>
        <v>2.3005681375982565E-2</v>
      </c>
      <c r="AA201" s="387">
        <f t="shared" si="52"/>
        <v>0.14580000000000001</v>
      </c>
      <c r="AB201" s="403">
        <f t="shared" si="53"/>
        <v>0.17048279554829171</v>
      </c>
      <c r="AC201" s="388">
        <f t="shared" si="54"/>
        <v>1.3952740148098215E-3</v>
      </c>
      <c r="AD201" s="389">
        <f t="shared" si="55"/>
        <v>2.3787021460066693E-4</v>
      </c>
    </row>
    <row r="202" spans="1:30" x14ac:dyDescent="0.55000000000000004">
      <c r="A202" t="str">
        <f t="shared" si="42"/>
        <v>GoDaddy Inc</v>
      </c>
      <c r="B202" t="str">
        <f t="shared" si="42"/>
        <v>GDDY</v>
      </c>
      <c r="C202" s="382" t="str">
        <f t="shared" si="43"/>
        <v>0.00%</v>
      </c>
      <c r="D202" s="383">
        <f t="shared" si="44"/>
        <v>29854.235463000001</v>
      </c>
      <c r="E202" s="384" t="str">
        <f t="shared" si="45"/>
        <v>N/A</v>
      </c>
      <c r="F202" s="385">
        <v>0.16</v>
      </c>
      <c r="G202" s="382" t="s">
        <v>14</v>
      </c>
      <c r="H202" s="399">
        <f t="shared" si="46"/>
        <v>0.16</v>
      </c>
      <c r="I202" s="399">
        <f t="shared" si="47"/>
        <v>0.16</v>
      </c>
      <c r="J202" s="382">
        <f t="shared" si="48"/>
        <v>5.5836633678367704E-4</v>
      </c>
      <c r="K202" s="382">
        <f t="shared" si="49"/>
        <v>8.9338613885388328E-5</v>
      </c>
      <c r="M202" s="400"/>
      <c r="N202" s="398" t="s">
        <v>4114</v>
      </c>
      <c r="O202" s="398" t="s">
        <v>2666</v>
      </c>
      <c r="P202" s="398" t="s">
        <v>2667</v>
      </c>
      <c r="Q202" s="398">
        <v>29854235463</v>
      </c>
      <c r="R202" s="398" t="s">
        <v>3929</v>
      </c>
      <c r="S202" s="398" t="s">
        <v>3929</v>
      </c>
      <c r="T202" s="398">
        <v>140.3914</v>
      </c>
      <c r="U202" s="398">
        <v>212.65</v>
      </c>
      <c r="W202" s="401" t="s">
        <v>2666</v>
      </c>
      <c r="X202" s="402" t="s">
        <v>2667</v>
      </c>
      <c r="Y202" s="386">
        <f t="shared" si="50"/>
        <v>29854.235463000001</v>
      </c>
      <c r="Z202" s="387" t="str">
        <f t="shared" si="51"/>
        <v>0.00%</v>
      </c>
      <c r="AA202" s="387" t="str">
        <f t="shared" si="52"/>
        <v>N/A</v>
      </c>
      <c r="AB202" s="403" t="str">
        <f t="shared" si="53"/>
        <v>N/A</v>
      </c>
      <c r="AC202" s="388">
        <f t="shared" si="54"/>
        <v>5.8949890494904391E-4</v>
      </c>
      <c r="AD202" s="389" t="str">
        <f t="shared" si="55"/>
        <v>N/A</v>
      </c>
    </row>
    <row r="203" spans="1:30" x14ac:dyDescent="0.55000000000000004">
      <c r="A203" t="str">
        <f t="shared" si="42"/>
        <v>General Electric Co</v>
      </c>
      <c r="B203" t="str">
        <f t="shared" si="42"/>
        <v>GE</v>
      </c>
      <c r="C203" s="382">
        <f t="shared" si="43"/>
        <v>6.9460136562361852E-3</v>
      </c>
      <c r="D203" s="383">
        <f t="shared" si="44"/>
        <v>220322.59039427998</v>
      </c>
      <c r="E203" s="384">
        <f t="shared" si="45"/>
        <v>0.1822</v>
      </c>
      <c r="F203" s="385">
        <v>0.22500000000000001</v>
      </c>
      <c r="G203" s="382">
        <v>0.18518000000000001</v>
      </c>
      <c r="H203" s="399">
        <f t="shared" si="46"/>
        <v>0.19746</v>
      </c>
      <c r="I203" s="399">
        <f t="shared" si="47"/>
        <v>0.20509179358451637</v>
      </c>
      <c r="J203" s="382">
        <f t="shared" si="48"/>
        <v>4.1207123813842431E-3</v>
      </c>
      <c r="K203" s="382">
        <f t="shared" si="49"/>
        <v>8.4512429314401811E-4</v>
      </c>
      <c r="M203" s="400"/>
      <c r="N203" s="398" t="s">
        <v>4115</v>
      </c>
      <c r="O203" s="398" t="s">
        <v>794</v>
      </c>
      <c r="P203" s="398" t="s">
        <v>310</v>
      </c>
      <c r="Q203" s="398">
        <v>220322590394.27997</v>
      </c>
      <c r="R203" s="398">
        <v>0.69460136562361852</v>
      </c>
      <c r="S203" s="398">
        <v>18.22</v>
      </c>
      <c r="T203" s="398">
        <v>1082.2939999999999</v>
      </c>
      <c r="U203" s="398">
        <v>203.57</v>
      </c>
      <c r="W203" s="401" t="s">
        <v>794</v>
      </c>
      <c r="X203" s="402" t="s">
        <v>310</v>
      </c>
      <c r="Y203" s="386">
        <f t="shared" si="50"/>
        <v>220322.59039427998</v>
      </c>
      <c r="Z203" s="387">
        <f t="shared" si="51"/>
        <v>6.9460136562361852E-3</v>
      </c>
      <c r="AA203" s="387">
        <f t="shared" si="52"/>
        <v>0.1822</v>
      </c>
      <c r="AB203" s="403">
        <f t="shared" si="53"/>
        <v>0.18977879550031931</v>
      </c>
      <c r="AC203" s="388">
        <f t="shared" si="54"/>
        <v>4.3504689957286676E-3</v>
      </c>
      <c r="AD203" s="389">
        <f t="shared" si="55"/>
        <v>8.256267658708704E-4</v>
      </c>
    </row>
    <row r="204" spans="1:30" x14ac:dyDescent="0.55000000000000004">
      <c r="A204" t="str">
        <f t="shared" si="42"/>
        <v>GE HealthCare Technologies Inc</v>
      </c>
      <c r="B204" t="str">
        <f t="shared" si="42"/>
        <v>GEHC</v>
      </c>
      <c r="C204" s="382">
        <f t="shared" si="43"/>
        <v>1.1211778029445074E-3</v>
      </c>
      <c r="D204" s="383">
        <f t="shared" si="44"/>
        <v>40341.884045699997</v>
      </c>
      <c r="E204" s="384">
        <f t="shared" si="45"/>
        <v>0.1024</v>
      </c>
      <c r="F204" s="385" t="s">
        <v>184</v>
      </c>
      <c r="G204" s="382">
        <v>8.62068E-2</v>
      </c>
      <c r="H204" s="399">
        <f t="shared" si="46"/>
        <v>9.4303400000000009E-2</v>
      </c>
      <c r="I204" s="399">
        <f t="shared" si="47"/>
        <v>9.5477443242355617E-2</v>
      </c>
      <c r="J204" s="382">
        <f t="shared" si="48"/>
        <v>7.5451773137739627E-4</v>
      </c>
      <c r="K204" s="382">
        <f t="shared" si="49"/>
        <v>7.2039423872936268E-5</v>
      </c>
      <c r="M204" s="400"/>
      <c r="N204" s="398" t="s">
        <v>4116</v>
      </c>
      <c r="O204" s="398" t="s">
        <v>795</v>
      </c>
      <c r="P204" s="398" t="s">
        <v>311</v>
      </c>
      <c r="Q204" s="398">
        <v>40341884045.699997</v>
      </c>
      <c r="R204" s="398">
        <v>0.11211778029445074</v>
      </c>
      <c r="S204" s="398">
        <v>10.24</v>
      </c>
      <c r="T204" s="398">
        <v>456.87299999999999</v>
      </c>
      <c r="U204" s="398">
        <v>88.3</v>
      </c>
      <c r="W204" s="401" t="s">
        <v>795</v>
      </c>
      <c r="X204" s="402" t="s">
        <v>311</v>
      </c>
      <c r="Y204" s="386">
        <f t="shared" si="50"/>
        <v>40341.884045699997</v>
      </c>
      <c r="Z204" s="387">
        <f t="shared" si="51"/>
        <v>1.1211778029445074E-3</v>
      </c>
      <c r="AA204" s="387">
        <f t="shared" si="52"/>
        <v>0.1024</v>
      </c>
      <c r="AB204" s="403">
        <f t="shared" si="53"/>
        <v>0.10357858210645528</v>
      </c>
      <c r="AC204" s="388">
        <f t="shared" si="54"/>
        <v>7.9658702022348464E-4</v>
      </c>
      <c r="AD204" s="389">
        <f t="shared" si="55"/>
        <v>8.2509354079154755E-5</v>
      </c>
    </row>
    <row r="205" spans="1:30" x14ac:dyDescent="0.55000000000000004">
      <c r="A205" t="str">
        <f t="shared" si="42"/>
        <v>Gen Digital Inc</v>
      </c>
      <c r="B205" t="str">
        <f t="shared" si="42"/>
        <v>GEN</v>
      </c>
      <c r="C205" s="382">
        <f t="shared" si="43"/>
        <v>1.876625789669268E-2</v>
      </c>
      <c r="D205" s="383">
        <f t="shared" si="44"/>
        <v>16584.66983979</v>
      </c>
      <c r="E205" s="384">
        <f t="shared" si="45"/>
        <v>7.1150000000000005E-2</v>
      </c>
      <c r="F205" s="385">
        <v>0.08</v>
      </c>
      <c r="G205" s="382">
        <v>6.6779099999999994E-2</v>
      </c>
      <c r="H205" s="399">
        <f t="shared" si="46"/>
        <v>7.2643033333333329E-2</v>
      </c>
      <c r="I205" s="399">
        <f t="shared" si="47"/>
        <v>9.2090910178991695E-2</v>
      </c>
      <c r="J205" s="382">
        <f t="shared" si="48"/>
        <v>3.1018450821449108E-4</v>
      </c>
      <c r="K205" s="382">
        <f t="shared" si="49"/>
        <v>2.856517368489541E-5</v>
      </c>
      <c r="M205" s="400"/>
      <c r="N205" s="398" t="s">
        <v>4117</v>
      </c>
      <c r="O205" s="398" t="s">
        <v>796</v>
      </c>
      <c r="P205" s="398" t="s">
        <v>312</v>
      </c>
      <c r="Q205" s="398">
        <v>16584669839.790001</v>
      </c>
      <c r="R205" s="398">
        <v>1.876625789669268</v>
      </c>
      <c r="S205" s="398">
        <v>7.1150000000000002</v>
      </c>
      <c r="T205" s="398">
        <v>616.30139999999994</v>
      </c>
      <c r="U205" s="398">
        <v>26.91</v>
      </c>
      <c r="W205" s="401" t="s">
        <v>796</v>
      </c>
      <c r="X205" s="402" t="s">
        <v>312</v>
      </c>
      <c r="Y205" s="386">
        <f t="shared" si="50"/>
        <v>16584.66983979</v>
      </c>
      <c r="Z205" s="387">
        <f t="shared" si="51"/>
        <v>1.876625789669268E-2</v>
      </c>
      <c r="AA205" s="387">
        <f t="shared" si="52"/>
        <v>7.1150000000000005E-2</v>
      </c>
      <c r="AB205" s="403">
        <f t="shared" si="53"/>
        <v>9.0583867521367517E-2</v>
      </c>
      <c r="AC205" s="388">
        <f t="shared" si="54"/>
        <v>3.2747931936205084E-4</v>
      </c>
      <c r="AD205" s="389">
        <f t="shared" si="55"/>
        <v>2.9664343281079617E-5</v>
      </c>
    </row>
    <row r="206" spans="1:30" x14ac:dyDescent="0.55000000000000004">
      <c r="A206" t="str">
        <f t="shared" si="42"/>
        <v>GE Vernova Inc</v>
      </c>
      <c r="B206" t="str">
        <f t="shared" si="42"/>
        <v>GEV</v>
      </c>
      <c r="C206" s="382">
        <f t="shared" si="43"/>
        <v>1.8719158978759926E-3</v>
      </c>
      <c r="D206" s="383">
        <f t="shared" si="44"/>
        <v>102785.47945360001</v>
      </c>
      <c r="E206" s="384">
        <f t="shared" si="45"/>
        <v>0.97070000000000012</v>
      </c>
      <c r="F206" s="385" t="s">
        <v>184</v>
      </c>
      <c r="G206" s="382">
        <v>0.28999999999999998</v>
      </c>
      <c r="H206" s="399">
        <f t="shared" si="46"/>
        <v>0.63035000000000008</v>
      </c>
      <c r="I206" s="399">
        <f t="shared" si="47"/>
        <v>0.63281189699098916</v>
      </c>
      <c r="J206" s="382">
        <f t="shared" si="48"/>
        <v>1.9224056736669591E-3</v>
      </c>
      <c r="K206" s="382">
        <f t="shared" si="49"/>
        <v>1.2165211811394289E-3</v>
      </c>
      <c r="M206" s="400"/>
      <c r="N206" s="398" t="s">
        <v>4118</v>
      </c>
      <c r="O206" s="398" t="s">
        <v>2552</v>
      </c>
      <c r="P206" s="398" t="s">
        <v>2553</v>
      </c>
      <c r="Q206" s="398">
        <v>102785479453.60001</v>
      </c>
      <c r="R206" s="398">
        <v>0.18719158978759926</v>
      </c>
      <c r="S206" s="398">
        <v>97.070000000000007</v>
      </c>
      <c r="T206" s="398">
        <v>275.65299999999996</v>
      </c>
      <c r="U206" s="398">
        <v>372.88</v>
      </c>
      <c r="W206" s="401" t="s">
        <v>2552</v>
      </c>
      <c r="X206" s="402" t="s">
        <v>2553</v>
      </c>
      <c r="Y206" s="386">
        <f t="shared" si="50"/>
        <v>102785.47945360001</v>
      </c>
      <c r="Z206" s="387">
        <f t="shared" si="51"/>
        <v>1.8719158978759926E-3</v>
      </c>
      <c r="AA206" s="387">
        <f t="shared" si="52"/>
        <v>0.97070000000000012</v>
      </c>
      <c r="AB206" s="403">
        <f t="shared" si="53"/>
        <v>0.97348045027891017</v>
      </c>
      <c r="AC206" s="388">
        <f t="shared" si="54"/>
        <v>2.0295923390051163E-3</v>
      </c>
      <c r="AD206" s="389">
        <f t="shared" si="55"/>
        <v>1.975768464057327E-3</v>
      </c>
    </row>
    <row r="207" spans="1:30" x14ac:dyDescent="0.55000000000000004">
      <c r="A207" t="str">
        <f t="shared" si="42"/>
        <v>Gilead Sciences Inc</v>
      </c>
      <c r="B207" t="str">
        <f t="shared" si="42"/>
        <v>GILD</v>
      </c>
      <c r="C207" s="382">
        <f t="shared" si="43"/>
        <v>3.1646090534979424E-2</v>
      </c>
      <c r="D207" s="383">
        <f t="shared" si="44"/>
        <v>121137.04130039999</v>
      </c>
      <c r="E207" s="384">
        <f t="shared" si="45"/>
        <v>0.17573</v>
      </c>
      <c r="F207" s="385">
        <v>2.5000000000000001E-2</v>
      </c>
      <c r="G207" s="382">
        <v>0.16939090000000001</v>
      </c>
      <c r="H207" s="399">
        <f t="shared" si="46"/>
        <v>0.12337363333333333</v>
      </c>
      <c r="I207" s="399">
        <f t="shared" si="47"/>
        <v>0.15697187045336075</v>
      </c>
      <c r="J207" s="382">
        <f t="shared" si="48"/>
        <v>2.2656365152457472E-3</v>
      </c>
      <c r="K207" s="382">
        <f t="shared" si="49"/>
        <v>3.5564120156555913E-4</v>
      </c>
      <c r="M207" s="400"/>
      <c r="N207" s="398" t="s">
        <v>4119</v>
      </c>
      <c r="O207" s="398" t="s">
        <v>797</v>
      </c>
      <c r="P207" s="398" t="s">
        <v>313</v>
      </c>
      <c r="Q207" s="398">
        <v>121137041300.39998</v>
      </c>
      <c r="R207" s="398">
        <v>3.1646090534979425</v>
      </c>
      <c r="S207" s="398">
        <v>17.573</v>
      </c>
      <c r="T207" s="398">
        <v>1246.2659999999998</v>
      </c>
      <c r="U207" s="398">
        <v>97.2</v>
      </c>
      <c r="W207" s="401" t="s">
        <v>797</v>
      </c>
      <c r="X207" s="402" t="s">
        <v>313</v>
      </c>
      <c r="Y207" s="386">
        <f t="shared" si="50"/>
        <v>121137.04130039999</v>
      </c>
      <c r="Z207" s="387">
        <f t="shared" si="51"/>
        <v>3.1646090534979424E-2</v>
      </c>
      <c r="AA207" s="387">
        <f t="shared" si="52"/>
        <v>0.17573</v>
      </c>
      <c r="AB207" s="403">
        <f t="shared" si="53"/>
        <v>0.21015667427983539</v>
      </c>
      <c r="AC207" s="388">
        <f t="shared" si="54"/>
        <v>2.3919605405355441E-3</v>
      </c>
      <c r="AD207" s="389">
        <f t="shared" si="55"/>
        <v>5.0268647220754739E-4</v>
      </c>
    </row>
    <row r="208" spans="1:30" x14ac:dyDescent="0.55000000000000004">
      <c r="A208" t="str">
        <f t="shared" si="42"/>
        <v>General Mills Inc</v>
      </c>
      <c r="B208" t="str">
        <f t="shared" si="42"/>
        <v>GIS</v>
      </c>
      <c r="C208" s="382">
        <f t="shared" si="43"/>
        <v>4.0056534752244764E-2</v>
      </c>
      <c r="D208" s="383">
        <f t="shared" si="44"/>
        <v>33151.047375000002</v>
      </c>
      <c r="E208" s="384">
        <f t="shared" si="45"/>
        <v>1.3100000000000001E-2</v>
      </c>
      <c r="F208" s="385">
        <v>4.4999999999999998E-2</v>
      </c>
      <c r="G208" s="382">
        <v>1.7816000000000002E-2</v>
      </c>
      <c r="H208" s="399">
        <f t="shared" si="46"/>
        <v>2.5305333333333332E-2</v>
      </c>
      <c r="I208" s="399">
        <f t="shared" si="47"/>
        <v>6.586869006762E-2</v>
      </c>
      <c r="J208" s="382">
        <f t="shared" si="48"/>
        <v>6.200268938811673E-4</v>
      </c>
      <c r="K208" s="382">
        <f t="shared" si="49"/>
        <v>4.0840359306647723E-5</v>
      </c>
      <c r="M208" s="400"/>
      <c r="N208" s="398" t="s">
        <v>4120</v>
      </c>
      <c r="O208" s="398" t="s">
        <v>798</v>
      </c>
      <c r="P208" s="398" t="s">
        <v>314</v>
      </c>
      <c r="Q208" s="398">
        <v>33151047375.000004</v>
      </c>
      <c r="R208" s="398">
        <v>4.0056534752244763</v>
      </c>
      <c r="S208" s="398">
        <v>1.31</v>
      </c>
      <c r="T208" s="398">
        <v>551.23129999999992</v>
      </c>
      <c r="U208" s="398">
        <v>60.14</v>
      </c>
      <c r="W208" s="401" t="s">
        <v>798</v>
      </c>
      <c r="X208" s="402" t="s">
        <v>314</v>
      </c>
      <c r="Y208" s="386">
        <f t="shared" si="50"/>
        <v>33151.047375000002</v>
      </c>
      <c r="Z208" s="387">
        <f t="shared" si="51"/>
        <v>4.0056534752244764E-2</v>
      </c>
      <c r="AA208" s="387">
        <f t="shared" si="52"/>
        <v>1.3100000000000001E-2</v>
      </c>
      <c r="AB208" s="403">
        <f t="shared" si="53"/>
        <v>5.3418905054871971E-2</v>
      </c>
      <c r="AC208" s="388">
        <f t="shared" si="54"/>
        <v>6.5459744061094728E-4</v>
      </c>
      <c r="AD208" s="389">
        <f t="shared" si="55"/>
        <v>3.496787852915839E-5</v>
      </c>
    </row>
    <row r="209" spans="1:30" x14ac:dyDescent="0.55000000000000004">
      <c r="A209" t="str">
        <f t="shared" si="42"/>
        <v>Globe Life Inc</v>
      </c>
      <c r="B209" t="str">
        <f t="shared" si="42"/>
        <v>GL</v>
      </c>
      <c r="C209" s="382">
        <f t="shared" si="43"/>
        <v>7.8466704889835377E-3</v>
      </c>
      <c r="D209" s="383">
        <f t="shared" si="44"/>
        <v>10248.852863760001</v>
      </c>
      <c r="E209" s="384">
        <f t="shared" si="45"/>
        <v>0.06</v>
      </c>
      <c r="F209" s="385">
        <v>0.11</v>
      </c>
      <c r="G209" s="382">
        <v>0.06</v>
      </c>
      <c r="H209" s="399">
        <f t="shared" si="46"/>
        <v>7.6666666666666661E-2</v>
      </c>
      <c r="I209" s="399">
        <f t="shared" si="47"/>
        <v>8.481412619106124E-2</v>
      </c>
      <c r="J209" s="382">
        <f t="shared" si="48"/>
        <v>1.9168517769831757E-4</v>
      </c>
      <c r="K209" s="382">
        <f t="shared" si="49"/>
        <v>1.6257610850261104E-5</v>
      </c>
      <c r="M209" s="400"/>
      <c r="N209" s="398" t="s">
        <v>4121</v>
      </c>
      <c r="O209" s="398" t="s">
        <v>799</v>
      </c>
      <c r="P209" s="398" t="s">
        <v>315</v>
      </c>
      <c r="Q209" s="398">
        <v>10248852863.76</v>
      </c>
      <c r="R209" s="398">
        <v>0.7846670488983537</v>
      </c>
      <c r="S209" s="398">
        <v>6</v>
      </c>
      <c r="T209" s="398">
        <v>83.945059999999998</v>
      </c>
      <c r="U209" s="398">
        <v>122.09</v>
      </c>
      <c r="W209" s="401" t="s">
        <v>799</v>
      </c>
      <c r="X209" s="402" t="s">
        <v>315</v>
      </c>
      <c r="Y209" s="386">
        <f t="shared" si="50"/>
        <v>10248.852863760001</v>
      </c>
      <c r="Z209" s="387">
        <f t="shared" si="51"/>
        <v>7.8466704889835377E-3</v>
      </c>
      <c r="AA209" s="387">
        <f t="shared" si="52"/>
        <v>0.06</v>
      </c>
      <c r="AB209" s="403">
        <f t="shared" si="53"/>
        <v>6.8082070603653039E-2</v>
      </c>
      <c r="AC209" s="388">
        <f t="shared" si="54"/>
        <v>2.0237287763266254E-4</v>
      </c>
      <c r="AD209" s="389">
        <f t="shared" si="55"/>
        <v>1.3777964543251368E-5</v>
      </c>
    </row>
    <row r="210" spans="1:30" x14ac:dyDescent="0.55000000000000004">
      <c r="A210" t="str">
        <f t="shared" si="42"/>
        <v>Corning Inc</v>
      </c>
      <c r="B210" t="str">
        <f t="shared" si="42"/>
        <v>GLW</v>
      </c>
      <c r="C210" s="382">
        <f t="shared" si="43"/>
        <v>2.2887864823348692E-2</v>
      </c>
      <c r="D210" s="383">
        <f t="shared" si="44"/>
        <v>44591.352116639995</v>
      </c>
      <c r="E210" s="384">
        <f t="shared" si="45"/>
        <v>0.1477</v>
      </c>
      <c r="F210" s="385">
        <v>0.13500000000000001</v>
      </c>
      <c r="G210" s="382">
        <v>0.15245319999999998</v>
      </c>
      <c r="H210" s="399">
        <f t="shared" si="46"/>
        <v>0.14505106666666667</v>
      </c>
      <c r="I210" s="399">
        <f t="shared" si="47"/>
        <v>0.16959888609318996</v>
      </c>
      <c r="J210" s="382">
        <f t="shared" si="48"/>
        <v>8.3399589865421888E-4</v>
      </c>
      <c r="K210" s="382">
        <f t="shared" si="49"/>
        <v>1.4144477541804445E-4</v>
      </c>
      <c r="M210" s="400"/>
      <c r="N210" s="398" t="s">
        <v>4122</v>
      </c>
      <c r="O210" s="398" t="s">
        <v>800</v>
      </c>
      <c r="P210" s="398" t="s">
        <v>316</v>
      </c>
      <c r="Q210" s="398">
        <v>44591352116.639992</v>
      </c>
      <c r="R210" s="398">
        <v>2.2887864823348694</v>
      </c>
      <c r="S210" s="398">
        <v>14.77</v>
      </c>
      <c r="T210" s="398">
        <v>856.2088</v>
      </c>
      <c r="U210" s="398">
        <v>52.08</v>
      </c>
      <c r="W210" s="401" t="s">
        <v>800</v>
      </c>
      <c r="X210" s="402" t="s">
        <v>316</v>
      </c>
      <c r="Y210" s="386">
        <f t="shared" si="50"/>
        <v>44591.352116639995</v>
      </c>
      <c r="Z210" s="387">
        <f t="shared" si="51"/>
        <v>2.2887864823348692E-2</v>
      </c>
      <c r="AA210" s="387">
        <f t="shared" si="52"/>
        <v>0.1477</v>
      </c>
      <c r="AB210" s="403">
        <f t="shared" si="53"/>
        <v>0.172278133640553</v>
      </c>
      <c r="AC210" s="388">
        <f t="shared" si="54"/>
        <v>8.8049661414156403E-4</v>
      </c>
      <c r="AD210" s="389">
        <f t="shared" si="55"/>
        <v>1.5169031336113479E-4</v>
      </c>
    </row>
    <row r="211" spans="1:30" x14ac:dyDescent="0.55000000000000004">
      <c r="A211" t="str">
        <f t="shared" si="42"/>
        <v>General Motors Co</v>
      </c>
      <c r="B211" t="str">
        <f t="shared" si="42"/>
        <v>GM</v>
      </c>
      <c r="C211" s="382">
        <f t="shared" si="43"/>
        <v>9.7452486858067115E-3</v>
      </c>
      <c r="D211" s="383">
        <f t="shared" si="44"/>
        <v>49212.793528859998</v>
      </c>
      <c r="E211" s="384">
        <f t="shared" si="45"/>
        <v>8.5299999999999987E-2</v>
      </c>
      <c r="F211" s="385">
        <v>8.5000000000000006E-2</v>
      </c>
      <c r="G211" s="382">
        <v>7.3833399999999993E-2</v>
      </c>
      <c r="H211" s="399">
        <f t="shared" si="46"/>
        <v>8.13778E-2</v>
      </c>
      <c r="I211" s="399">
        <f t="shared" si="47"/>
        <v>9.1519572135058624E-2</v>
      </c>
      <c r="J211" s="382">
        <f t="shared" si="48"/>
        <v>9.2043111536575621E-4</v>
      </c>
      <c r="K211" s="382">
        <f t="shared" si="49"/>
        <v>8.4237461858068798E-5</v>
      </c>
      <c r="M211" s="400"/>
      <c r="N211" s="398" t="s">
        <v>4123</v>
      </c>
      <c r="O211" s="398" t="s">
        <v>801</v>
      </c>
      <c r="P211" s="398" t="s">
        <v>317</v>
      </c>
      <c r="Q211" s="398">
        <v>49212793528.860001</v>
      </c>
      <c r="R211" s="398">
        <v>0.97452486858067111</v>
      </c>
      <c r="S211" s="398">
        <v>8.5299999999999994</v>
      </c>
      <c r="T211" s="398">
        <v>995.00189999999998</v>
      </c>
      <c r="U211" s="398">
        <v>49.46</v>
      </c>
      <c r="W211" s="401" t="s">
        <v>801</v>
      </c>
      <c r="X211" s="402" t="s">
        <v>317</v>
      </c>
      <c r="Y211" s="386">
        <f t="shared" si="50"/>
        <v>49212.793528859998</v>
      </c>
      <c r="Z211" s="387">
        <f t="shared" si="51"/>
        <v>9.7452486858067115E-3</v>
      </c>
      <c r="AA211" s="387">
        <f t="shared" si="52"/>
        <v>8.5299999999999987E-2</v>
      </c>
      <c r="AB211" s="403">
        <f t="shared" si="53"/>
        <v>9.5460883542256361E-2</v>
      </c>
      <c r="AC211" s="388">
        <f t="shared" si="54"/>
        <v>9.7175115841439507E-4</v>
      </c>
      <c r="AD211" s="389">
        <f t="shared" si="55"/>
        <v>9.2764224165449286E-5</v>
      </c>
    </row>
    <row r="212" spans="1:30" x14ac:dyDescent="0.55000000000000004">
      <c r="A212" t="str">
        <f t="shared" si="42"/>
        <v>Generac Holdings Inc</v>
      </c>
      <c r="B212" t="str">
        <f t="shared" si="42"/>
        <v>GNRC</v>
      </c>
      <c r="C212" s="382">
        <f t="shared" si="43"/>
        <v>0</v>
      </c>
      <c r="D212" s="383">
        <f t="shared" si="44"/>
        <v>8884.7256864700012</v>
      </c>
      <c r="E212" s="384" t="str">
        <f t="shared" si="45"/>
        <v>N/A</v>
      </c>
      <c r="F212" s="385">
        <v>0.125</v>
      </c>
      <c r="G212" s="382">
        <v>7.0000000000000007E-2</v>
      </c>
      <c r="H212" s="399">
        <f t="shared" si="46"/>
        <v>9.7500000000000003E-2</v>
      </c>
      <c r="I212" s="399">
        <f t="shared" si="47"/>
        <v>9.7500000000000003E-2</v>
      </c>
      <c r="J212" s="382">
        <f t="shared" si="48"/>
        <v>1.6617178962865926E-4</v>
      </c>
      <c r="K212" s="382">
        <f t="shared" si="49"/>
        <v>1.6201749488794279E-5</v>
      </c>
      <c r="M212" s="400"/>
      <c r="N212" s="398" t="s">
        <v>4124</v>
      </c>
      <c r="O212" s="398" t="s">
        <v>802</v>
      </c>
      <c r="P212" s="398" t="s">
        <v>318</v>
      </c>
      <c r="Q212" s="398">
        <v>8884725686.4700012</v>
      </c>
      <c r="R212" s="398">
        <v>0</v>
      </c>
      <c r="S212" s="398" t="s">
        <v>3929</v>
      </c>
      <c r="T212" s="398">
        <v>59.497259999999997</v>
      </c>
      <c r="U212" s="398">
        <v>149.33000000000001</v>
      </c>
      <c r="W212" s="401" t="s">
        <v>802</v>
      </c>
      <c r="X212" s="402" t="s">
        <v>318</v>
      </c>
      <c r="Y212" s="386">
        <f t="shared" si="50"/>
        <v>8884.7256864700012</v>
      </c>
      <c r="Z212" s="387">
        <f t="shared" si="51"/>
        <v>0</v>
      </c>
      <c r="AA212" s="387" t="str">
        <f t="shared" si="52"/>
        <v>N/A</v>
      </c>
      <c r="AB212" s="403" t="str">
        <f t="shared" si="53"/>
        <v>N/A</v>
      </c>
      <c r="AC212" s="388">
        <f t="shared" si="54"/>
        <v>1.754369516324702E-4</v>
      </c>
      <c r="AD212" s="389" t="str">
        <f t="shared" si="55"/>
        <v>N/A</v>
      </c>
    </row>
    <row r="213" spans="1:30" x14ac:dyDescent="0.55000000000000004">
      <c r="A213" t="str">
        <f t="shared" si="42"/>
        <v>Alphabet Inc</v>
      </c>
      <c r="B213" t="str">
        <f t="shared" si="42"/>
        <v>GOOG</v>
      </c>
      <c r="C213" s="382">
        <f t="shared" si="43"/>
        <v>2.3638132295719845E-3</v>
      </c>
      <c r="D213" s="383">
        <f t="shared" si="44"/>
        <v>2506835.1</v>
      </c>
      <c r="E213" s="384">
        <f t="shared" si="45"/>
        <v>0.15575</v>
      </c>
      <c r="F213" s="385">
        <v>0.13500000000000001</v>
      </c>
      <c r="G213" s="382">
        <v>0.16899989999999998</v>
      </c>
      <c r="H213" s="399">
        <f t="shared" si="46"/>
        <v>0.15324996666666665</v>
      </c>
      <c r="I213" s="399">
        <f t="shared" si="47"/>
        <v>0.15579490704555771</v>
      </c>
      <c r="J213" s="382">
        <f t="shared" si="48"/>
        <v>4.688555275322686E-2</v>
      </c>
      <c r="K213" s="382">
        <f t="shared" si="49"/>
        <v>7.3045303329685712E-3</v>
      </c>
      <c r="M213" s="400"/>
      <c r="N213" s="398" t="s">
        <v>4125</v>
      </c>
      <c r="O213" s="398" t="s">
        <v>803</v>
      </c>
      <c r="P213" s="398" t="s">
        <v>804</v>
      </c>
      <c r="Q213" s="398">
        <v>2506835100000</v>
      </c>
      <c r="R213" s="398">
        <v>0.23638132295719846</v>
      </c>
      <c r="S213" s="398">
        <v>15.575000000000001</v>
      </c>
      <c r="T213" s="398">
        <v>5534</v>
      </c>
      <c r="U213" s="398">
        <v>205.6</v>
      </c>
      <c r="W213" s="401" t="s">
        <v>803</v>
      </c>
      <c r="X213" s="402" t="s">
        <v>804</v>
      </c>
      <c r="Y213" s="386">
        <f t="shared" si="50"/>
        <v>2506835.1</v>
      </c>
      <c r="Z213" s="387">
        <f t="shared" si="51"/>
        <v>2.3638132295719845E-3</v>
      </c>
      <c r="AA213" s="387">
        <f t="shared" si="52"/>
        <v>0.15575</v>
      </c>
      <c r="AB213" s="403">
        <f t="shared" si="53"/>
        <v>0.1582978951848249</v>
      </c>
      <c r="AC213" s="388">
        <f t="shared" si="54"/>
        <v>4.9499728377546862E-2</v>
      </c>
      <c r="AD213" s="389">
        <f t="shared" si="55"/>
        <v>7.8357028143862164E-3</v>
      </c>
    </row>
    <row r="214" spans="1:30" x14ac:dyDescent="0.55000000000000004">
      <c r="A214" t="str">
        <f t="shared" si="42"/>
        <v>Genuine Parts Co</v>
      </c>
      <c r="B214" t="str">
        <f t="shared" si="42"/>
        <v>GPC</v>
      </c>
      <c r="C214" s="382">
        <f t="shared" si="43"/>
        <v>3.4331182795698925E-2</v>
      </c>
      <c r="D214" s="383">
        <f t="shared" si="44"/>
        <v>16162.991613749999</v>
      </c>
      <c r="E214" s="384" t="str">
        <f t="shared" si="45"/>
        <v>N/A</v>
      </c>
      <c r="F214" s="385">
        <v>3.5000000000000003E-2</v>
      </c>
      <c r="G214" s="382" t="s">
        <v>14</v>
      </c>
      <c r="H214" s="399">
        <f t="shared" si="46"/>
        <v>3.5000000000000003E-2</v>
      </c>
      <c r="I214" s="399">
        <f t="shared" si="47"/>
        <v>6.9931978494623653E-2</v>
      </c>
      <c r="J214" s="382">
        <f t="shared" si="48"/>
        <v>3.0229782403973796E-4</v>
      </c>
      <c r="K214" s="382">
        <f t="shared" si="49"/>
        <v>2.1140284929718478E-5</v>
      </c>
      <c r="M214" s="400"/>
      <c r="N214" s="398" t="s">
        <v>4126</v>
      </c>
      <c r="O214" s="398" t="s">
        <v>805</v>
      </c>
      <c r="P214" s="398" t="s">
        <v>319</v>
      </c>
      <c r="Q214" s="398">
        <v>16162991613.749998</v>
      </c>
      <c r="R214" s="398">
        <v>3.4331182795698925</v>
      </c>
      <c r="S214" s="398" t="s">
        <v>3929</v>
      </c>
      <c r="T214" s="398">
        <v>139.03649999999999</v>
      </c>
      <c r="U214" s="398">
        <v>116.25</v>
      </c>
      <c r="W214" s="401" t="s">
        <v>805</v>
      </c>
      <c r="X214" s="402" t="s">
        <v>319</v>
      </c>
      <c r="Y214" s="386">
        <f t="shared" si="50"/>
        <v>16162.991613749999</v>
      </c>
      <c r="Z214" s="387">
        <f t="shared" si="51"/>
        <v>3.4331182795698925E-2</v>
      </c>
      <c r="AA214" s="387" t="str">
        <f t="shared" si="52"/>
        <v>N/A</v>
      </c>
      <c r="AB214" s="403" t="str">
        <f t="shared" si="53"/>
        <v>N/A</v>
      </c>
      <c r="AC214" s="388">
        <f t="shared" si="54"/>
        <v>3.1915290106205739E-4</v>
      </c>
      <c r="AD214" s="389" t="str">
        <f t="shared" si="55"/>
        <v>N/A</v>
      </c>
    </row>
    <row r="215" spans="1:30" x14ac:dyDescent="0.55000000000000004">
      <c r="A215" t="str">
        <f t="shared" si="42"/>
        <v>Global Payments Inc</v>
      </c>
      <c r="B215" t="str">
        <f t="shared" si="42"/>
        <v>GPN</v>
      </c>
      <c r="C215" s="382">
        <f t="shared" si="43"/>
        <v>8.9233495790872856E-3</v>
      </c>
      <c r="D215" s="383">
        <f t="shared" si="44"/>
        <v>28719.742129749997</v>
      </c>
      <c r="E215" s="384">
        <f t="shared" si="45"/>
        <v>0.10150000000000001</v>
      </c>
      <c r="F215" s="385">
        <v>0.13500000000000001</v>
      </c>
      <c r="G215" s="382">
        <v>0.1058024</v>
      </c>
      <c r="H215" s="399">
        <f t="shared" si="46"/>
        <v>0.1141008</v>
      </c>
      <c r="I215" s="399">
        <f t="shared" si="47"/>
        <v>0.12353323024191405</v>
      </c>
      <c r="J215" s="382">
        <f t="shared" si="48"/>
        <v>5.371478102741842E-4</v>
      </c>
      <c r="K215" s="382">
        <f t="shared" si="49"/>
        <v>6.6355604120540767E-5</v>
      </c>
      <c r="M215" s="400"/>
      <c r="N215" s="398" t="s">
        <v>4127</v>
      </c>
      <c r="O215" s="398" t="s">
        <v>806</v>
      </c>
      <c r="P215" s="398" t="s">
        <v>320</v>
      </c>
      <c r="Q215" s="398">
        <v>28719742129.749996</v>
      </c>
      <c r="R215" s="398">
        <v>0.89233495790872863</v>
      </c>
      <c r="S215" s="398">
        <v>10.15</v>
      </c>
      <c r="T215" s="398">
        <v>254.4948</v>
      </c>
      <c r="U215" s="398">
        <v>112.85</v>
      </c>
      <c r="W215" s="401" t="s">
        <v>806</v>
      </c>
      <c r="X215" s="402" t="s">
        <v>320</v>
      </c>
      <c r="Y215" s="386">
        <f t="shared" si="50"/>
        <v>28719.742129749997</v>
      </c>
      <c r="Z215" s="387">
        <f t="shared" si="51"/>
        <v>8.9233495790872856E-3</v>
      </c>
      <c r="AA215" s="387">
        <f t="shared" si="52"/>
        <v>0.10150000000000001</v>
      </c>
      <c r="AB215" s="403">
        <f t="shared" si="53"/>
        <v>0.11087620957022597</v>
      </c>
      <c r="AC215" s="388">
        <f t="shared" si="54"/>
        <v>5.670973070768851E-4</v>
      </c>
      <c r="AD215" s="389">
        <f t="shared" si="55"/>
        <v>6.2877599866167496E-5</v>
      </c>
    </row>
    <row r="216" spans="1:30" x14ac:dyDescent="0.55000000000000004">
      <c r="A216" t="str">
        <f t="shared" si="42"/>
        <v>Garmin Ltd</v>
      </c>
      <c r="B216" t="str">
        <f t="shared" si="42"/>
        <v>GRMN</v>
      </c>
      <c r="C216" s="382">
        <f t="shared" si="43"/>
        <v>1.3801250868658792E-2</v>
      </c>
      <c r="D216" s="383">
        <f t="shared" si="44"/>
        <v>41448.589558649997</v>
      </c>
      <c r="E216" s="384">
        <f t="shared" si="45"/>
        <v>0.21600000000000003</v>
      </c>
      <c r="F216" s="385">
        <v>0.08</v>
      </c>
      <c r="G216" s="382">
        <v>0.15797829999999999</v>
      </c>
      <c r="H216" s="399">
        <f t="shared" si="46"/>
        <v>0.15132610000000002</v>
      </c>
      <c r="I216" s="399">
        <f t="shared" si="47"/>
        <v>0.16617159560319669</v>
      </c>
      <c r="J216" s="382">
        <f t="shared" si="48"/>
        <v>7.7521653989084981E-4</v>
      </c>
      <c r="K216" s="382">
        <f t="shared" si="49"/>
        <v>1.2881896937165169E-4</v>
      </c>
      <c r="M216" s="400"/>
      <c r="N216" s="398" t="s">
        <v>4128</v>
      </c>
      <c r="O216" s="398" t="s">
        <v>807</v>
      </c>
      <c r="P216" s="398" t="s">
        <v>321</v>
      </c>
      <c r="Q216" s="398">
        <v>41448589558.649994</v>
      </c>
      <c r="R216" s="398">
        <v>1.3801250868658792</v>
      </c>
      <c r="S216" s="398">
        <v>21.6</v>
      </c>
      <c r="T216" s="398">
        <v>192.02499999999998</v>
      </c>
      <c r="U216" s="398">
        <v>215.85</v>
      </c>
      <c r="W216" s="401" t="s">
        <v>807</v>
      </c>
      <c r="X216" s="402" t="s">
        <v>321</v>
      </c>
      <c r="Y216" s="386">
        <f t="shared" si="50"/>
        <v>41448.589558649997</v>
      </c>
      <c r="Z216" s="387">
        <f t="shared" si="51"/>
        <v>1.3801250868658792E-2</v>
      </c>
      <c r="AA216" s="387">
        <f t="shared" si="52"/>
        <v>0.21600000000000003</v>
      </c>
      <c r="AB216" s="403">
        <f t="shared" si="53"/>
        <v>0.23129178596247396</v>
      </c>
      <c r="AC216" s="388">
        <f t="shared" si="54"/>
        <v>8.1843992242872294E-4</v>
      </c>
      <c r="AD216" s="389">
        <f t="shared" si="55"/>
        <v>1.8929843136152797E-4</v>
      </c>
    </row>
    <row r="217" spans="1:30" x14ac:dyDescent="0.55000000000000004">
      <c r="A217" t="str">
        <f t="shared" si="42"/>
        <v>Goldman Sachs Group Inc/The</v>
      </c>
      <c r="B217" t="str">
        <f t="shared" si="42"/>
        <v>GS</v>
      </c>
      <c r="C217" s="382">
        <f t="shared" si="43"/>
        <v>1.9504996876951904E-2</v>
      </c>
      <c r="D217" s="383">
        <f t="shared" si="44"/>
        <v>206210.07759799995</v>
      </c>
      <c r="E217" s="384">
        <f t="shared" si="45"/>
        <v>9.2600000000000002E-2</v>
      </c>
      <c r="F217" s="385">
        <v>0.08</v>
      </c>
      <c r="G217" s="382">
        <v>0.1561245</v>
      </c>
      <c r="H217" s="399">
        <f t="shared" si="46"/>
        <v>0.10957483333333333</v>
      </c>
      <c r="I217" s="399">
        <f t="shared" si="47"/>
        <v>0.13014845860126484</v>
      </c>
      <c r="J217" s="382">
        <f t="shared" si="48"/>
        <v>3.85676483924612E-3</v>
      </c>
      <c r="K217" s="382">
        <f t="shared" si="49"/>
        <v>5.0195199901543748E-4</v>
      </c>
      <c r="M217" s="400"/>
      <c r="N217" s="398" t="s">
        <v>4129</v>
      </c>
      <c r="O217" s="398" t="s">
        <v>808</v>
      </c>
      <c r="P217" s="398" t="s">
        <v>322</v>
      </c>
      <c r="Q217" s="398">
        <v>206210077597.99994</v>
      </c>
      <c r="R217" s="398">
        <v>1.9504996876951903</v>
      </c>
      <c r="S217" s="398">
        <v>9.26</v>
      </c>
      <c r="T217" s="398">
        <v>310.45009999999996</v>
      </c>
      <c r="U217" s="398">
        <v>640.4</v>
      </c>
      <c r="W217" s="401" t="s">
        <v>808</v>
      </c>
      <c r="X217" s="402" t="s">
        <v>322</v>
      </c>
      <c r="Y217" s="386">
        <f t="shared" si="50"/>
        <v>206210.07759799995</v>
      </c>
      <c r="Z217" s="387">
        <f t="shared" si="51"/>
        <v>1.9504996876951904E-2</v>
      </c>
      <c r="AA217" s="387">
        <f t="shared" si="52"/>
        <v>9.2600000000000002E-2</v>
      </c>
      <c r="AB217" s="403">
        <f t="shared" si="53"/>
        <v>0.11300807823235479</v>
      </c>
      <c r="AC217" s="388">
        <f t="shared" si="54"/>
        <v>4.0718046551262415E-3</v>
      </c>
      <c r="AD217" s="389">
        <f t="shared" si="55"/>
        <v>4.6014681901337267E-4</v>
      </c>
    </row>
    <row r="218" spans="1:30" x14ac:dyDescent="0.55000000000000004">
      <c r="A218" t="str">
        <f t="shared" si="42"/>
        <v>WW Grainger Inc</v>
      </c>
      <c r="B218" t="str">
        <f t="shared" si="42"/>
        <v>GWW</v>
      </c>
      <c r="C218" s="382">
        <f t="shared" si="43"/>
        <v>8.001543282486567E-3</v>
      </c>
      <c r="D218" s="383">
        <f t="shared" si="44"/>
        <v>51752.204340550001</v>
      </c>
      <c r="E218" s="384">
        <f t="shared" si="45"/>
        <v>5.6100000000000004E-2</v>
      </c>
      <c r="F218" s="385">
        <v>7.4999999999999997E-2</v>
      </c>
      <c r="G218" s="382">
        <v>9.2048900000000003E-2</v>
      </c>
      <c r="H218" s="399">
        <f t="shared" si="46"/>
        <v>7.4382966666666661E-2</v>
      </c>
      <c r="I218" s="399">
        <f t="shared" si="47"/>
        <v>8.2682099212784771E-2</v>
      </c>
      <c r="J218" s="382">
        <f t="shared" si="48"/>
        <v>9.6792593446000223E-4</v>
      </c>
      <c r="K218" s="382">
        <f t="shared" si="49"/>
        <v>8.0030148143649316E-5</v>
      </c>
      <c r="M218" s="400"/>
      <c r="N218" s="398" t="s">
        <v>4130</v>
      </c>
      <c r="O218" s="398" t="s">
        <v>809</v>
      </c>
      <c r="P218" s="398" t="s">
        <v>323</v>
      </c>
      <c r="Q218" s="398">
        <v>51752204340.550003</v>
      </c>
      <c r="R218" s="398">
        <v>0.80015432824865662</v>
      </c>
      <c r="S218" s="398">
        <v>5.61</v>
      </c>
      <c r="T218" s="398">
        <v>48.70017</v>
      </c>
      <c r="U218" s="398">
        <v>1062.67</v>
      </c>
      <c r="W218" s="401" t="s">
        <v>809</v>
      </c>
      <c r="X218" s="402" t="s">
        <v>323</v>
      </c>
      <c r="Y218" s="386">
        <f t="shared" si="50"/>
        <v>51752.204340550001</v>
      </c>
      <c r="Z218" s="387">
        <f t="shared" si="51"/>
        <v>8.001543282486567E-3</v>
      </c>
      <c r="AA218" s="387">
        <f t="shared" si="52"/>
        <v>5.6100000000000004E-2</v>
      </c>
      <c r="AB218" s="403">
        <f t="shared" si="53"/>
        <v>6.4325986571560315E-2</v>
      </c>
      <c r="AC218" s="388">
        <f t="shared" si="54"/>
        <v>1.0218941237086264E-3</v>
      </c>
      <c r="AD218" s="389">
        <f t="shared" si="55"/>
        <v>6.5734347679237496E-5</v>
      </c>
    </row>
    <row r="219" spans="1:30" x14ac:dyDescent="0.55000000000000004">
      <c r="A219" t="str">
        <f t="shared" si="42"/>
        <v>Halliburton Co</v>
      </c>
      <c r="B219" t="str">
        <f t="shared" si="42"/>
        <v>HAL</v>
      </c>
      <c r="C219" s="382">
        <f t="shared" si="43"/>
        <v>2.6940814757878559E-2</v>
      </c>
      <c r="D219" s="383">
        <f t="shared" si="44"/>
        <v>22858.621649699999</v>
      </c>
      <c r="E219" s="384">
        <f t="shared" si="45"/>
        <v>-2.1600000000000001E-2</v>
      </c>
      <c r="F219" s="385">
        <v>0.16</v>
      </c>
      <c r="G219" s="382">
        <v>-2.1573200000000001E-2</v>
      </c>
      <c r="H219" s="399">
        <f t="shared" si="46"/>
        <v>3.8942266666666663E-2</v>
      </c>
      <c r="I219" s="399">
        <f t="shared" si="47"/>
        <v>6.6407649620804504E-2</v>
      </c>
      <c r="J219" s="382">
        <f t="shared" si="48"/>
        <v>4.275267692011584E-4</v>
      </c>
      <c r="K219" s="382">
        <f t="shared" si="49"/>
        <v>2.839104789262508E-5</v>
      </c>
      <c r="M219" s="400"/>
      <c r="N219" s="398" t="s">
        <v>4131</v>
      </c>
      <c r="O219" s="398" t="s">
        <v>810</v>
      </c>
      <c r="P219" s="398" t="s">
        <v>324</v>
      </c>
      <c r="Q219" s="398">
        <v>22858621649.699997</v>
      </c>
      <c r="R219" s="398">
        <v>2.694081475787856</v>
      </c>
      <c r="S219" s="398">
        <v>-2.16</v>
      </c>
      <c r="T219" s="398">
        <v>878.50199999999995</v>
      </c>
      <c r="U219" s="398">
        <v>26.02</v>
      </c>
      <c r="W219" s="401" t="s">
        <v>810</v>
      </c>
      <c r="X219" s="402" t="s">
        <v>324</v>
      </c>
      <c r="Y219" s="386">
        <f t="shared" si="50"/>
        <v>22858.621649699999</v>
      </c>
      <c r="Z219" s="387">
        <f t="shared" si="51"/>
        <v>2.6940814757878559E-2</v>
      </c>
      <c r="AA219" s="387">
        <f t="shared" si="52"/>
        <v>-2.1600000000000001E-2</v>
      </c>
      <c r="AB219" s="403">
        <f t="shared" si="53"/>
        <v>5.0498539584934686E-3</v>
      </c>
      <c r="AC219" s="388">
        <f t="shared" si="54"/>
        <v>4.513641773825738E-4</v>
      </c>
      <c r="AD219" s="389">
        <f t="shared" si="55"/>
        <v>2.2793231778775385E-6</v>
      </c>
    </row>
    <row r="220" spans="1:30" x14ac:dyDescent="0.55000000000000004">
      <c r="A220" t="str">
        <f t="shared" si="42"/>
        <v>Hasbro Inc</v>
      </c>
      <c r="B220" t="str">
        <f t="shared" si="42"/>
        <v>HAS</v>
      </c>
      <c r="C220" s="382">
        <f t="shared" si="43"/>
        <v>4.8910788381742745E-2</v>
      </c>
      <c r="D220" s="383">
        <f t="shared" si="44"/>
        <v>8068.7620171200006</v>
      </c>
      <c r="E220" s="384">
        <f t="shared" si="45"/>
        <v>0.26819999999999999</v>
      </c>
      <c r="F220" s="385">
        <v>8.5000000000000006E-2</v>
      </c>
      <c r="G220" s="382">
        <v>0.26823209999999997</v>
      </c>
      <c r="H220" s="399">
        <f t="shared" si="46"/>
        <v>0.20714403333333334</v>
      </c>
      <c r="I220" s="399">
        <f t="shared" si="47"/>
        <v>0.26112061070452974</v>
      </c>
      <c r="J220" s="382">
        <f t="shared" si="48"/>
        <v>1.5091075085350167E-4</v>
      </c>
      <c r="K220" s="382">
        <f t="shared" si="49"/>
        <v>3.9405907424745485E-5</v>
      </c>
      <c r="M220" s="400"/>
      <c r="N220" s="398" t="s">
        <v>4132</v>
      </c>
      <c r="O220" s="398" t="s">
        <v>811</v>
      </c>
      <c r="P220" s="398" t="s">
        <v>325</v>
      </c>
      <c r="Q220" s="398">
        <v>8068762017.1200008</v>
      </c>
      <c r="R220" s="398">
        <v>4.8910788381742742</v>
      </c>
      <c r="S220" s="398">
        <v>26.82</v>
      </c>
      <c r="T220" s="398">
        <v>139.50139999999999</v>
      </c>
      <c r="U220" s="398">
        <v>57.84</v>
      </c>
      <c r="W220" s="401" t="s">
        <v>811</v>
      </c>
      <c r="X220" s="402" t="s">
        <v>325</v>
      </c>
      <c r="Y220" s="386">
        <f t="shared" si="50"/>
        <v>8068.7620171200006</v>
      </c>
      <c r="Z220" s="387">
        <f t="shared" si="51"/>
        <v>4.8910788381742745E-2</v>
      </c>
      <c r="AA220" s="387">
        <f t="shared" si="52"/>
        <v>0.26819999999999999</v>
      </c>
      <c r="AB220" s="403">
        <f t="shared" si="53"/>
        <v>0.32366972510373443</v>
      </c>
      <c r="AC220" s="388">
        <f t="shared" si="54"/>
        <v>1.5932501032497396E-4</v>
      </c>
      <c r="AD220" s="389">
        <f t="shared" si="55"/>
        <v>5.1568682294033973E-5</v>
      </c>
    </row>
    <row r="221" spans="1:30" x14ac:dyDescent="0.55000000000000004">
      <c r="A221" t="str">
        <f t="shared" si="42"/>
        <v>Huntington Bancshares Inc/OH</v>
      </c>
      <c r="B221" t="str">
        <f t="shared" si="42"/>
        <v>HBAN</v>
      </c>
      <c r="C221" s="382">
        <f t="shared" si="43"/>
        <v>3.7151162790697675E-2</v>
      </c>
      <c r="D221" s="383">
        <f t="shared" si="44"/>
        <v>24988.355942399998</v>
      </c>
      <c r="E221" s="384">
        <f t="shared" si="45"/>
        <v>0.1208</v>
      </c>
      <c r="F221" s="385">
        <v>7.4999999999999997E-2</v>
      </c>
      <c r="G221" s="382">
        <v>8.6962799999999993E-2</v>
      </c>
      <c r="H221" s="399">
        <f t="shared" si="46"/>
        <v>9.4254266666666656E-2</v>
      </c>
      <c r="I221" s="399">
        <f t="shared" si="47"/>
        <v>0.13315625725968991</v>
      </c>
      <c r="J221" s="382">
        <f t="shared" si="48"/>
        <v>4.6735937308114322E-4</v>
      </c>
      <c r="K221" s="382">
        <f t="shared" si="49"/>
        <v>6.2231824914720104E-5</v>
      </c>
      <c r="M221" s="400"/>
      <c r="N221" s="398" t="s">
        <v>4133</v>
      </c>
      <c r="O221" s="398" t="s">
        <v>812</v>
      </c>
      <c r="P221" s="398" t="s">
        <v>326</v>
      </c>
      <c r="Q221" s="398">
        <v>24988355942.399998</v>
      </c>
      <c r="R221" s="398">
        <v>3.7151162790697674</v>
      </c>
      <c r="S221" s="398">
        <v>12.08</v>
      </c>
      <c r="T221" s="398">
        <v>1452.8109999999999</v>
      </c>
      <c r="U221" s="398">
        <v>17.2</v>
      </c>
      <c r="W221" s="401" t="s">
        <v>812</v>
      </c>
      <c r="X221" s="402" t="s">
        <v>326</v>
      </c>
      <c r="Y221" s="386">
        <f t="shared" si="50"/>
        <v>24988.355942399998</v>
      </c>
      <c r="Z221" s="387">
        <f t="shared" si="51"/>
        <v>3.7151162790697675E-2</v>
      </c>
      <c r="AA221" s="387">
        <f t="shared" si="52"/>
        <v>0.1208</v>
      </c>
      <c r="AB221" s="403">
        <f t="shared" si="53"/>
        <v>0.16019509302325582</v>
      </c>
      <c r="AC221" s="388">
        <f t="shared" si="54"/>
        <v>4.9341770894713376E-4</v>
      </c>
      <c r="AD221" s="389">
        <f t="shared" si="55"/>
        <v>7.9043095784107854E-5</v>
      </c>
    </row>
    <row r="222" spans="1:30" x14ac:dyDescent="0.55000000000000004">
      <c r="A222" t="str">
        <f t="shared" si="42"/>
        <v>HCA Healthcare Inc</v>
      </c>
      <c r="B222" t="str">
        <f t="shared" si="42"/>
        <v>HCA</v>
      </c>
      <c r="C222" s="382">
        <f t="shared" si="43"/>
        <v>8.5811281864750996E-3</v>
      </c>
      <c r="D222" s="383">
        <f t="shared" si="44"/>
        <v>83565.246260999993</v>
      </c>
      <c r="E222" s="384">
        <f t="shared" si="45"/>
        <v>9.6300000000000011E-2</v>
      </c>
      <c r="F222" s="385">
        <v>0.11</v>
      </c>
      <c r="G222" s="382">
        <v>0.122738</v>
      </c>
      <c r="H222" s="399">
        <f t="shared" si="46"/>
        <v>0.10967933333333334</v>
      </c>
      <c r="I222" s="399">
        <f t="shared" si="47"/>
        <v>0.11873104772917867</v>
      </c>
      <c r="J222" s="382">
        <f t="shared" si="48"/>
        <v>1.5629279971014084E-3</v>
      </c>
      <c r="K222" s="382">
        <f t="shared" si="49"/>
        <v>1.8556807862111694E-4</v>
      </c>
      <c r="M222" s="400"/>
      <c r="N222" s="398" t="s">
        <v>4134</v>
      </c>
      <c r="O222" s="398" t="s">
        <v>813</v>
      </c>
      <c r="P222" s="398" t="s">
        <v>327</v>
      </c>
      <c r="Q222" s="398">
        <v>83565246261</v>
      </c>
      <c r="R222" s="398">
        <v>0.85811281864750988</v>
      </c>
      <c r="S222" s="398">
        <v>9.6300000000000008</v>
      </c>
      <c r="T222" s="398">
        <v>253.2971</v>
      </c>
      <c r="U222" s="398">
        <v>329.91</v>
      </c>
      <c r="W222" s="401" t="s">
        <v>813</v>
      </c>
      <c r="X222" s="402" t="s">
        <v>327</v>
      </c>
      <c r="Y222" s="386">
        <f t="shared" si="50"/>
        <v>83565.246260999993</v>
      </c>
      <c r="Z222" s="387">
        <f t="shared" si="51"/>
        <v>8.5811281864750996E-3</v>
      </c>
      <c r="AA222" s="387">
        <f t="shared" si="52"/>
        <v>9.6300000000000011E-2</v>
      </c>
      <c r="AB222" s="403">
        <f t="shared" si="53"/>
        <v>0.10529430950865389</v>
      </c>
      <c r="AC222" s="388">
        <f t="shared" si="54"/>
        <v>1.6500714353817341E-3</v>
      </c>
      <c r="AD222" s="389">
        <f t="shared" si="55"/>
        <v>1.7374313242847307E-4</v>
      </c>
    </row>
    <row r="223" spans="1:30" x14ac:dyDescent="0.55000000000000004">
      <c r="A223" t="str">
        <f t="shared" si="42"/>
        <v>Home Depot Inc/The</v>
      </c>
      <c r="B223" t="str">
        <f t="shared" si="42"/>
        <v>HD</v>
      </c>
      <c r="C223" s="382">
        <f t="shared" si="43"/>
        <v>2.1680664109908251E-2</v>
      </c>
      <c r="D223" s="383">
        <f t="shared" si="44"/>
        <v>409245.5288917601</v>
      </c>
      <c r="E223" s="384">
        <f t="shared" si="45"/>
        <v>3.56E-2</v>
      </c>
      <c r="F223" s="385">
        <v>5.5E-2</v>
      </c>
      <c r="G223" s="382">
        <v>3.7815500000000002E-2</v>
      </c>
      <c r="H223" s="399">
        <f t="shared" si="46"/>
        <v>4.2805166666666672E-2</v>
      </c>
      <c r="I223" s="399">
        <f t="shared" si="47"/>
        <v>6.4949852996909252E-2</v>
      </c>
      <c r="J223" s="382">
        <f t="shared" si="48"/>
        <v>7.6541543693387911E-3</v>
      </c>
      <c r="K223" s="382">
        <f t="shared" si="49"/>
        <v>4.9713620110420514E-4</v>
      </c>
      <c r="M223" s="400"/>
      <c r="N223" s="398" t="s">
        <v>4135</v>
      </c>
      <c r="O223" s="398" t="s">
        <v>814</v>
      </c>
      <c r="P223" s="398" t="s">
        <v>328</v>
      </c>
      <c r="Q223" s="398">
        <v>409245528891.76007</v>
      </c>
      <c r="R223" s="398">
        <v>2.168066410990825</v>
      </c>
      <c r="S223" s="398">
        <v>3.56</v>
      </c>
      <c r="T223" s="398">
        <v>993.36259999999993</v>
      </c>
      <c r="U223" s="398">
        <v>411.98</v>
      </c>
      <c r="W223" s="401" t="s">
        <v>814</v>
      </c>
      <c r="X223" s="402" t="s">
        <v>328</v>
      </c>
      <c r="Y223" s="386">
        <f t="shared" si="50"/>
        <v>409245.5288917601</v>
      </c>
      <c r="Z223" s="387">
        <f t="shared" si="51"/>
        <v>2.1680664109908251E-2</v>
      </c>
      <c r="AA223" s="387">
        <f t="shared" si="52"/>
        <v>3.56E-2</v>
      </c>
      <c r="AB223" s="403">
        <f t="shared" si="53"/>
        <v>5.7666579931064624E-2</v>
      </c>
      <c r="AC223" s="388">
        <f t="shared" si="54"/>
        <v>8.0809234400250861E-3</v>
      </c>
      <c r="AD223" s="389">
        <f t="shared" si="55"/>
        <v>4.6599921747102034E-4</v>
      </c>
    </row>
    <row r="224" spans="1:30" x14ac:dyDescent="0.55000000000000004">
      <c r="A224" t="str">
        <f t="shared" si="42"/>
        <v>Hess Corp</v>
      </c>
      <c r="B224" t="str">
        <f t="shared" si="42"/>
        <v>HES</v>
      </c>
      <c r="C224" s="382">
        <f t="shared" si="43"/>
        <v>1.4450118679421706E-2</v>
      </c>
      <c r="D224" s="383">
        <f t="shared" si="44"/>
        <v>42837.679046230005</v>
      </c>
      <c r="E224" s="384" t="str">
        <f t="shared" si="45"/>
        <v>N/A</v>
      </c>
      <c r="F224" s="385">
        <v>0.08</v>
      </c>
      <c r="G224" s="382" t="s">
        <v>14</v>
      </c>
      <c r="H224" s="399">
        <f t="shared" si="46"/>
        <v>0.08</v>
      </c>
      <c r="I224" s="399">
        <f t="shared" si="47"/>
        <v>9.5028123426598582E-2</v>
      </c>
      <c r="J224" s="382">
        <f t="shared" si="48"/>
        <v>8.0119680019950963E-4</v>
      </c>
      <c r="K224" s="382">
        <f t="shared" si="49"/>
        <v>7.6136228418354846E-5</v>
      </c>
      <c r="M224" s="400"/>
      <c r="N224" s="398" t="s">
        <v>4136</v>
      </c>
      <c r="O224" s="398" t="s">
        <v>815</v>
      </c>
      <c r="P224" s="398" t="s">
        <v>329</v>
      </c>
      <c r="Q224" s="398">
        <v>42837679046.230003</v>
      </c>
      <c r="R224" s="398">
        <v>1.4450118679421706</v>
      </c>
      <c r="S224" s="398" t="s">
        <v>3929</v>
      </c>
      <c r="T224" s="398">
        <v>308.1182</v>
      </c>
      <c r="U224" s="398">
        <v>139.03</v>
      </c>
      <c r="W224" s="401" t="s">
        <v>815</v>
      </c>
      <c r="X224" s="402" t="s">
        <v>329</v>
      </c>
      <c r="Y224" s="386">
        <f t="shared" si="50"/>
        <v>42837.679046230005</v>
      </c>
      <c r="Z224" s="387">
        <f t="shared" si="51"/>
        <v>1.4450118679421706E-2</v>
      </c>
      <c r="AA224" s="387" t="str">
        <f t="shared" si="52"/>
        <v>N/A</v>
      </c>
      <c r="AB224" s="403" t="str">
        <f t="shared" si="53"/>
        <v>N/A</v>
      </c>
      <c r="AC224" s="388">
        <f t="shared" si="54"/>
        <v>8.4586875184287783E-4</v>
      </c>
      <c r="AD224" s="389" t="str">
        <f t="shared" si="55"/>
        <v>N/A</v>
      </c>
    </row>
    <row r="225" spans="1:30" x14ac:dyDescent="0.55000000000000004">
      <c r="A225" t="str">
        <f t="shared" si="42"/>
        <v>Hartford Financial Services Group Inc/The</v>
      </c>
      <c r="B225" t="str">
        <f t="shared" si="42"/>
        <v>HIG</v>
      </c>
      <c r="C225" s="382">
        <f t="shared" si="43"/>
        <v>1.8511878081577768E-2</v>
      </c>
      <c r="D225" s="383">
        <f t="shared" si="44"/>
        <v>32337.340492249998</v>
      </c>
      <c r="E225" s="384">
        <f t="shared" si="45"/>
        <v>9.0299999999999991E-2</v>
      </c>
      <c r="F225" s="385">
        <v>0.1</v>
      </c>
      <c r="G225" s="382">
        <v>9.0304999999999996E-2</v>
      </c>
      <c r="H225" s="399">
        <f t="shared" si="46"/>
        <v>9.3534999999999993E-2</v>
      </c>
      <c r="I225" s="399">
        <f t="shared" si="47"/>
        <v>0.11291263233975796</v>
      </c>
      <c r="J225" s="382">
        <f t="shared" si="48"/>
        <v>6.0480806398013431E-4</v>
      </c>
      <c r="K225" s="382">
        <f t="shared" si="49"/>
        <v>6.8290470564309712E-5</v>
      </c>
      <c r="M225" s="400"/>
      <c r="N225" s="398" t="s">
        <v>4137</v>
      </c>
      <c r="O225" s="398" t="s">
        <v>816</v>
      </c>
      <c r="P225" s="398" t="s">
        <v>330</v>
      </c>
      <c r="Q225" s="398">
        <v>32337340492.249996</v>
      </c>
      <c r="R225" s="398">
        <v>1.8511878081577768</v>
      </c>
      <c r="S225" s="398">
        <v>9.0299999999999994</v>
      </c>
      <c r="T225" s="398">
        <v>289.89099999999996</v>
      </c>
      <c r="U225" s="398">
        <v>111.55</v>
      </c>
      <c r="W225" s="401" t="s">
        <v>816</v>
      </c>
      <c r="X225" s="402" t="s">
        <v>330</v>
      </c>
      <c r="Y225" s="386">
        <f t="shared" si="50"/>
        <v>32337.340492249998</v>
      </c>
      <c r="Z225" s="387">
        <f t="shared" si="51"/>
        <v>1.8511878081577768E-2</v>
      </c>
      <c r="AA225" s="387">
        <f t="shared" si="52"/>
        <v>9.0299999999999991E-2</v>
      </c>
      <c r="AB225" s="403">
        <f t="shared" si="53"/>
        <v>0.109647689376961</v>
      </c>
      <c r="AC225" s="388">
        <f t="shared" si="54"/>
        <v>6.3853006159783805E-4</v>
      </c>
      <c r="AD225" s="389">
        <f t="shared" si="55"/>
        <v>7.0013345851931521E-5</v>
      </c>
    </row>
    <row r="226" spans="1:30" x14ac:dyDescent="0.55000000000000004">
      <c r="A226" t="str">
        <f t="shared" si="42"/>
        <v>Huntington Ingalls Industries Inc</v>
      </c>
      <c r="B226" t="str">
        <f t="shared" si="42"/>
        <v>HII</v>
      </c>
      <c r="C226" s="382">
        <f t="shared" si="43"/>
        <v>2.6614620298083747E-2</v>
      </c>
      <c r="D226" s="383">
        <f t="shared" si="44"/>
        <v>7718.6549892199992</v>
      </c>
      <c r="E226" s="384">
        <f t="shared" si="45"/>
        <v>7.3599999999999999E-2</v>
      </c>
      <c r="F226" s="385">
        <v>0.115</v>
      </c>
      <c r="G226" s="382">
        <v>7.3633600000000007E-2</v>
      </c>
      <c r="H226" s="399">
        <f t="shared" si="46"/>
        <v>8.7411200000000008E-2</v>
      </c>
      <c r="I226" s="399">
        <f t="shared" si="47"/>
        <v>0.11518902824698368</v>
      </c>
      <c r="J226" s="382">
        <f t="shared" si="48"/>
        <v>1.4436266896096674E-4</v>
      </c>
      <c r="K226" s="382">
        <f t="shared" si="49"/>
        <v>1.6628995552754751E-5</v>
      </c>
      <c r="M226" s="400"/>
      <c r="N226" s="398" t="s">
        <v>4138</v>
      </c>
      <c r="O226" s="398" t="s">
        <v>817</v>
      </c>
      <c r="P226" s="398" t="s">
        <v>331</v>
      </c>
      <c r="Q226" s="398">
        <v>7718654989.2199993</v>
      </c>
      <c r="R226" s="398">
        <v>2.6614620298083747</v>
      </c>
      <c r="S226" s="398">
        <v>7.36</v>
      </c>
      <c r="T226" s="398">
        <v>39.129349999999995</v>
      </c>
      <c r="U226" s="398">
        <v>197.26</v>
      </c>
      <c r="W226" s="401" t="s">
        <v>817</v>
      </c>
      <c r="X226" s="402" t="s">
        <v>331</v>
      </c>
      <c r="Y226" s="386">
        <f t="shared" si="50"/>
        <v>7718.6549892199992</v>
      </c>
      <c r="Z226" s="387">
        <f t="shared" si="51"/>
        <v>2.6614620298083747E-2</v>
      </c>
      <c r="AA226" s="387">
        <f t="shared" si="52"/>
        <v>7.3599999999999999E-2</v>
      </c>
      <c r="AB226" s="403">
        <f t="shared" si="53"/>
        <v>0.10119403832505322</v>
      </c>
      <c r="AC226" s="388">
        <f t="shared" si="54"/>
        <v>1.5241183012252655E-4</v>
      </c>
      <c r="AD226" s="389">
        <f t="shared" si="55"/>
        <v>1.5423168578610453E-5</v>
      </c>
    </row>
    <row r="227" spans="1:30" x14ac:dyDescent="0.55000000000000004">
      <c r="A227" t="str">
        <f t="shared" si="42"/>
        <v>Hilton Worldwide Holdings Inc</v>
      </c>
      <c r="B227" t="str">
        <f t="shared" si="42"/>
        <v>HLT</v>
      </c>
      <c r="C227" s="382">
        <f t="shared" si="43"/>
        <v>2.4094974030538525E-3</v>
      </c>
      <c r="D227" s="383">
        <f t="shared" si="44"/>
        <v>62424.694922419993</v>
      </c>
      <c r="E227" s="384">
        <f t="shared" si="45"/>
        <v>0.14370000000000002</v>
      </c>
      <c r="F227" s="385">
        <v>0.18</v>
      </c>
      <c r="G227" s="382">
        <v>0.1223212</v>
      </c>
      <c r="H227" s="399">
        <f t="shared" si="46"/>
        <v>0.14867373333333334</v>
      </c>
      <c r="I227" s="399">
        <f t="shared" si="47"/>
        <v>0.15126234522357168</v>
      </c>
      <c r="J227" s="382">
        <f t="shared" si="48"/>
        <v>1.167534444882001E-3</v>
      </c>
      <c r="K227" s="382">
        <f t="shared" si="49"/>
        <v>1.7660399826215236E-4</v>
      </c>
      <c r="M227" s="400"/>
      <c r="N227" s="398" t="s">
        <v>4139</v>
      </c>
      <c r="O227" s="398" t="s">
        <v>818</v>
      </c>
      <c r="P227" s="398" t="s">
        <v>332</v>
      </c>
      <c r="Q227" s="398">
        <v>62424694922.419991</v>
      </c>
      <c r="R227" s="398">
        <v>0.24094974030538527</v>
      </c>
      <c r="S227" s="398">
        <v>14.370000000000001</v>
      </c>
      <c r="T227" s="398">
        <v>243.77979999999999</v>
      </c>
      <c r="U227" s="398">
        <v>256.07</v>
      </c>
      <c r="W227" s="401" t="s">
        <v>818</v>
      </c>
      <c r="X227" s="402" t="s">
        <v>332</v>
      </c>
      <c r="Y227" s="386">
        <f t="shared" si="50"/>
        <v>62424.694922419993</v>
      </c>
      <c r="Z227" s="387">
        <f t="shared" si="51"/>
        <v>2.4094974030538525E-3</v>
      </c>
      <c r="AA227" s="387">
        <f t="shared" si="52"/>
        <v>0.14370000000000002</v>
      </c>
      <c r="AB227" s="403">
        <f t="shared" si="53"/>
        <v>0.14628261979146329</v>
      </c>
      <c r="AC227" s="388">
        <f t="shared" si="54"/>
        <v>1.2326321115860466E-3</v>
      </c>
      <c r="AD227" s="389">
        <f t="shared" si="55"/>
        <v>1.8031265452189021E-4</v>
      </c>
    </row>
    <row r="228" spans="1:30" x14ac:dyDescent="0.55000000000000004">
      <c r="A228" t="str">
        <f t="shared" si="42"/>
        <v>Hologic Inc</v>
      </c>
      <c r="B228" t="str">
        <f t="shared" si="42"/>
        <v>HOLX</v>
      </c>
      <c r="C228" s="382">
        <f t="shared" si="43"/>
        <v>0</v>
      </c>
      <c r="D228" s="383">
        <f t="shared" si="44"/>
        <v>16283.66493898</v>
      </c>
      <c r="E228" s="384">
        <f t="shared" si="45"/>
        <v>8.1170000000000006E-2</v>
      </c>
      <c r="F228" s="385">
        <v>-0.02</v>
      </c>
      <c r="G228" s="382">
        <v>9.1758500000000007E-2</v>
      </c>
      <c r="H228" s="399">
        <f t="shared" si="46"/>
        <v>5.0976166666666677E-2</v>
      </c>
      <c r="I228" s="399">
        <f t="shared" si="47"/>
        <v>5.0976166666666677E-2</v>
      </c>
      <c r="J228" s="382">
        <f t="shared" si="48"/>
        <v>3.0455478763338582E-4</v>
      </c>
      <c r="K228" s="382">
        <f t="shared" si="49"/>
        <v>1.5525035613530752E-5</v>
      </c>
      <c r="M228" s="400"/>
      <c r="N228" s="398" t="s">
        <v>4140</v>
      </c>
      <c r="O228" s="398" t="s">
        <v>819</v>
      </c>
      <c r="P228" s="398" t="s">
        <v>333</v>
      </c>
      <c r="Q228" s="398">
        <v>16283664938.98</v>
      </c>
      <c r="R228" s="398">
        <v>0</v>
      </c>
      <c r="S228" s="398">
        <v>8.1170000000000009</v>
      </c>
      <c r="T228" s="398">
        <v>225.72309999999999</v>
      </c>
      <c r="U228" s="398">
        <v>72.14</v>
      </c>
      <c r="W228" s="401" t="s">
        <v>819</v>
      </c>
      <c r="X228" s="402" t="s">
        <v>333</v>
      </c>
      <c r="Y228" s="386">
        <f t="shared" si="50"/>
        <v>16283.66493898</v>
      </c>
      <c r="Z228" s="387">
        <f t="shared" si="51"/>
        <v>0</v>
      </c>
      <c r="AA228" s="387">
        <f t="shared" si="52"/>
        <v>8.1170000000000006E-2</v>
      </c>
      <c r="AB228" s="403">
        <f t="shared" si="53"/>
        <v>8.1170000000000006E-2</v>
      </c>
      <c r="AC228" s="388">
        <f t="shared" si="54"/>
        <v>3.2153570510900104E-4</v>
      </c>
      <c r="AD228" s="389">
        <f t="shared" si="55"/>
        <v>2.6099053183697618E-5</v>
      </c>
    </row>
    <row r="229" spans="1:30" x14ac:dyDescent="0.55000000000000004">
      <c r="A229" t="str">
        <f t="shared" si="42"/>
        <v>Honeywell International Inc</v>
      </c>
      <c r="B229" t="str">
        <f t="shared" si="42"/>
        <v>HON</v>
      </c>
      <c r="C229" s="382">
        <f t="shared" si="43"/>
        <v>1.9814947255497942E-2</v>
      </c>
      <c r="D229" s="383">
        <f t="shared" si="44"/>
        <v>145473.3438536</v>
      </c>
      <c r="E229" s="384">
        <f t="shared" si="45"/>
        <v>7.4149999999999994E-2</v>
      </c>
      <c r="F229" s="385">
        <v>0.105</v>
      </c>
      <c r="G229" s="382">
        <v>7.6519500000000004E-2</v>
      </c>
      <c r="H229" s="399">
        <f t="shared" si="46"/>
        <v>8.5223166666666669E-2</v>
      </c>
      <c r="I229" s="399">
        <f t="shared" si="47"/>
        <v>0.10588246019838787</v>
      </c>
      <c r="J229" s="382">
        <f t="shared" si="48"/>
        <v>2.7208004776366318E-3</v>
      </c>
      <c r="K229" s="382">
        <f t="shared" si="49"/>
        <v>2.8808504828111537E-4</v>
      </c>
      <c r="M229" s="400"/>
      <c r="N229" s="398" t="s">
        <v>4141</v>
      </c>
      <c r="O229" s="398" t="s">
        <v>820</v>
      </c>
      <c r="P229" s="398" t="s">
        <v>334</v>
      </c>
      <c r="Q229" s="398">
        <v>145473343853.60001</v>
      </c>
      <c r="R229" s="398">
        <v>1.9814947255497941</v>
      </c>
      <c r="S229" s="398">
        <v>7.415</v>
      </c>
      <c r="T229" s="398">
        <v>650.24739999999997</v>
      </c>
      <c r="U229" s="398">
        <v>223.72</v>
      </c>
      <c r="W229" s="401" t="s">
        <v>820</v>
      </c>
      <c r="X229" s="402" t="s">
        <v>334</v>
      </c>
      <c r="Y229" s="386">
        <f t="shared" si="50"/>
        <v>145473.3438536</v>
      </c>
      <c r="Z229" s="387">
        <f t="shared" si="51"/>
        <v>1.9814947255497942E-2</v>
      </c>
      <c r="AA229" s="387">
        <f t="shared" si="52"/>
        <v>7.4149999999999994E-2</v>
      </c>
      <c r="AB229" s="403">
        <f t="shared" si="53"/>
        <v>9.4699586424995513E-2</v>
      </c>
      <c r="AC229" s="388">
        <f t="shared" si="54"/>
        <v>2.8725028650375432E-3</v>
      </c>
      <c r="AD229" s="389">
        <f t="shared" si="55"/>
        <v>2.7202483332367005E-4</v>
      </c>
    </row>
    <row r="230" spans="1:30" x14ac:dyDescent="0.55000000000000004">
      <c r="A230" t="str">
        <f t="shared" si="42"/>
        <v>Hewlett Packard Enterprise Co</v>
      </c>
      <c r="B230" t="str">
        <f t="shared" si="42"/>
        <v>HPE</v>
      </c>
      <c r="C230" s="382">
        <f t="shared" si="43"/>
        <v>2.5200566304860783E-2</v>
      </c>
      <c r="D230" s="383">
        <f t="shared" si="44"/>
        <v>27871.92623098</v>
      </c>
      <c r="E230" s="384">
        <f t="shared" si="45"/>
        <v>4.6500000000000007E-2</v>
      </c>
      <c r="F230" s="385">
        <v>5.5E-2</v>
      </c>
      <c r="G230" s="382">
        <v>5.14417E-2</v>
      </c>
      <c r="H230" s="399">
        <f t="shared" si="46"/>
        <v>5.0980566666666671E-2</v>
      </c>
      <c r="I230" s="399">
        <f t="shared" si="47"/>
        <v>7.6823502546798803E-2</v>
      </c>
      <c r="J230" s="382">
        <f t="shared" si="48"/>
        <v>5.2129103650920647E-4</v>
      </c>
      <c r="K230" s="382">
        <f t="shared" si="49"/>
        <v>4.0047403270888408E-5</v>
      </c>
      <c r="M230" s="400"/>
      <c r="N230" s="398" t="s">
        <v>4142</v>
      </c>
      <c r="O230" s="398" t="s">
        <v>821</v>
      </c>
      <c r="P230" s="398" t="s">
        <v>335</v>
      </c>
      <c r="Q230" s="398">
        <v>27871926230.98</v>
      </c>
      <c r="R230" s="398">
        <v>2.5200566304860783</v>
      </c>
      <c r="S230" s="398">
        <v>4.6500000000000004</v>
      </c>
      <c r="T230" s="398">
        <v>1315.3339999999998</v>
      </c>
      <c r="U230" s="398">
        <v>21.19</v>
      </c>
      <c r="W230" s="401" t="s">
        <v>821</v>
      </c>
      <c r="X230" s="402" t="s">
        <v>335</v>
      </c>
      <c r="Y230" s="386">
        <f t="shared" si="50"/>
        <v>27871.92623098</v>
      </c>
      <c r="Z230" s="387">
        <f t="shared" si="51"/>
        <v>2.5200566304860783E-2</v>
      </c>
      <c r="AA230" s="387">
        <f t="shared" si="52"/>
        <v>4.6500000000000007E-2</v>
      </c>
      <c r="AB230" s="403">
        <f t="shared" si="53"/>
        <v>7.2286479471448811E-2</v>
      </c>
      <c r="AC230" s="388">
        <f t="shared" si="54"/>
        <v>5.5035641466506249E-4</v>
      </c>
      <c r="AD230" s="389">
        <f t="shared" si="55"/>
        <v>3.978332767066621E-5</v>
      </c>
    </row>
    <row r="231" spans="1:30" x14ac:dyDescent="0.55000000000000004">
      <c r="A231" t="str">
        <f t="shared" si="42"/>
        <v>HP Inc</v>
      </c>
      <c r="B231" t="str">
        <f t="shared" si="42"/>
        <v>HPQ</v>
      </c>
      <c r="C231" s="382">
        <f t="shared" si="43"/>
        <v>3.556923076923077E-2</v>
      </c>
      <c r="D231" s="383">
        <f t="shared" si="44"/>
        <v>30478.42642</v>
      </c>
      <c r="E231" s="384">
        <f t="shared" si="45"/>
        <v>3.7949999999999998E-2</v>
      </c>
      <c r="F231" s="385">
        <v>0.06</v>
      </c>
      <c r="G231" s="382">
        <v>2.5948099999999998E-2</v>
      </c>
      <c r="H231" s="399">
        <f t="shared" si="46"/>
        <v>4.1299366666666663E-2</v>
      </c>
      <c r="I231" s="399">
        <f t="shared" si="47"/>
        <v>7.7603090787692314E-2</v>
      </c>
      <c r="J231" s="382">
        <f t="shared" si="48"/>
        <v>5.7004063400510597E-4</v>
      </c>
      <c r="K231" s="382">
        <f t="shared" si="49"/>
        <v>4.4236915073371923E-5</v>
      </c>
      <c r="M231" s="400"/>
      <c r="N231" s="398" t="s">
        <v>4143</v>
      </c>
      <c r="O231" s="398" t="s">
        <v>822</v>
      </c>
      <c r="P231" s="398" t="s">
        <v>336</v>
      </c>
      <c r="Q231" s="398">
        <v>30478426420</v>
      </c>
      <c r="R231" s="398">
        <v>3.5569230769230766</v>
      </c>
      <c r="S231" s="398">
        <v>3.7949999999999999</v>
      </c>
      <c r="T231" s="398">
        <v>937.79769999999996</v>
      </c>
      <c r="U231" s="398">
        <v>32.5</v>
      </c>
      <c r="W231" s="401" t="s">
        <v>822</v>
      </c>
      <c r="X231" s="402" t="s">
        <v>336</v>
      </c>
      <c r="Y231" s="386">
        <f t="shared" si="50"/>
        <v>30478.42642</v>
      </c>
      <c r="Z231" s="387">
        <f t="shared" si="51"/>
        <v>3.556923076923077E-2</v>
      </c>
      <c r="AA231" s="387">
        <f t="shared" si="52"/>
        <v>3.7949999999999998E-2</v>
      </c>
      <c r="AB231" s="403">
        <f t="shared" si="53"/>
        <v>7.4194156923076918E-2</v>
      </c>
      <c r="AC231" s="388">
        <f t="shared" si="54"/>
        <v>6.0182412044775023E-4</v>
      </c>
      <c r="AD231" s="389">
        <f t="shared" si="55"/>
        <v>4.4651833232593122E-5</v>
      </c>
    </row>
    <row r="232" spans="1:30" x14ac:dyDescent="0.55000000000000004">
      <c r="A232" t="str">
        <f t="shared" si="42"/>
        <v>Hormel Foods Corp</v>
      </c>
      <c r="B232" t="str">
        <f t="shared" si="42"/>
        <v>HRL</v>
      </c>
      <c r="C232" s="382">
        <f t="shared" si="43"/>
        <v>3.8992661774516345E-2</v>
      </c>
      <c r="D232" s="383">
        <f t="shared" si="44"/>
        <v>16459.407401560002</v>
      </c>
      <c r="E232" s="384">
        <f t="shared" si="45"/>
        <v>7.8100000000000003E-2</v>
      </c>
      <c r="F232" s="385">
        <v>0.06</v>
      </c>
      <c r="G232" s="382">
        <v>6.4062800000000003E-2</v>
      </c>
      <c r="H232" s="399">
        <f t="shared" si="46"/>
        <v>6.7387600000000006E-2</v>
      </c>
      <c r="I232" s="399">
        <f t="shared" si="47"/>
        <v>0.10769407272181455</v>
      </c>
      <c r="J232" s="382">
        <f t="shared" si="48"/>
        <v>3.0784171404520946E-4</v>
      </c>
      <c r="K232" s="382">
        <f t="shared" si="49"/>
        <v>3.3152727939192828E-5</v>
      </c>
      <c r="M232" s="400"/>
      <c r="N232" s="398" t="s">
        <v>4144</v>
      </c>
      <c r="O232" s="398" t="s">
        <v>823</v>
      </c>
      <c r="P232" s="398" t="s">
        <v>337</v>
      </c>
      <c r="Q232" s="398">
        <v>16459407401.560001</v>
      </c>
      <c r="R232" s="398">
        <v>3.8992661774516346</v>
      </c>
      <c r="S232" s="398">
        <v>7.8100000000000005</v>
      </c>
      <c r="T232" s="398">
        <v>549.01289999999995</v>
      </c>
      <c r="U232" s="398">
        <v>29.98</v>
      </c>
      <c r="W232" s="401" t="s">
        <v>823</v>
      </c>
      <c r="X232" s="402" t="s">
        <v>337</v>
      </c>
      <c r="Y232" s="386">
        <f t="shared" si="50"/>
        <v>16459.407401560002</v>
      </c>
      <c r="Z232" s="387">
        <f t="shared" si="51"/>
        <v>3.8992661774516345E-2</v>
      </c>
      <c r="AA232" s="387">
        <f t="shared" si="52"/>
        <v>7.8100000000000003E-2</v>
      </c>
      <c r="AB232" s="403">
        <f t="shared" si="53"/>
        <v>0.1186153252168112</v>
      </c>
      <c r="AC232" s="388">
        <f t="shared" si="54"/>
        <v>3.2500589912459917E-4</v>
      </c>
      <c r="AD232" s="389">
        <f t="shared" si="55"/>
        <v>3.8550680422046467E-5</v>
      </c>
    </row>
    <row r="233" spans="1:30" x14ac:dyDescent="0.55000000000000004">
      <c r="A233" t="str">
        <f t="shared" si="42"/>
        <v>Henry Schein Inc</v>
      </c>
      <c r="B233" t="str">
        <f t="shared" si="42"/>
        <v>HSIC</v>
      </c>
      <c r="C233" s="382" t="str">
        <f t="shared" si="43"/>
        <v>0.00%</v>
      </c>
      <c r="D233" s="383">
        <f t="shared" si="44"/>
        <v>9974.5035200000002</v>
      </c>
      <c r="E233" s="384">
        <f t="shared" si="45"/>
        <v>6.3200000000000006E-2</v>
      </c>
      <c r="F233" s="385">
        <v>8.5000000000000006E-2</v>
      </c>
      <c r="G233" s="382">
        <v>8.569750000000001E-2</v>
      </c>
      <c r="H233" s="399">
        <f t="shared" si="46"/>
        <v>7.7965833333333331E-2</v>
      </c>
      <c r="I233" s="399">
        <f t="shared" si="47"/>
        <v>7.7965833333333331E-2</v>
      </c>
      <c r="J233" s="382">
        <f t="shared" si="48"/>
        <v>1.8655399829618113E-4</v>
      </c>
      <c r="K233" s="382">
        <f t="shared" si="49"/>
        <v>1.4544837938827008E-5</v>
      </c>
      <c r="M233" s="400"/>
      <c r="N233" s="398" t="s">
        <v>4145</v>
      </c>
      <c r="O233" s="398" t="s">
        <v>824</v>
      </c>
      <c r="P233" s="398" t="s">
        <v>338</v>
      </c>
      <c r="Q233" s="398">
        <v>9974503520</v>
      </c>
      <c r="R233" s="398" t="s">
        <v>3929</v>
      </c>
      <c r="S233" s="398">
        <v>6.32</v>
      </c>
      <c r="T233" s="398">
        <v>124.68129999999999</v>
      </c>
      <c r="U233" s="398">
        <v>80</v>
      </c>
      <c r="W233" s="401" t="s">
        <v>824</v>
      </c>
      <c r="X233" s="402" t="s">
        <v>338</v>
      </c>
      <c r="Y233" s="386">
        <f t="shared" si="50"/>
        <v>9974.5035200000002</v>
      </c>
      <c r="Z233" s="387" t="str">
        <f t="shared" si="51"/>
        <v>0.00%</v>
      </c>
      <c r="AA233" s="387">
        <f t="shared" si="52"/>
        <v>6.3200000000000006E-2</v>
      </c>
      <c r="AB233" s="403">
        <f t="shared" si="53"/>
        <v>6.3200000000000006E-2</v>
      </c>
      <c r="AC233" s="388">
        <f t="shared" si="54"/>
        <v>1.9695560148367359E-4</v>
      </c>
      <c r="AD233" s="389">
        <f t="shared" si="55"/>
        <v>1.2447594013768173E-5</v>
      </c>
    </row>
    <row r="234" spans="1:30" x14ac:dyDescent="0.55000000000000004">
      <c r="A234" t="str">
        <f t="shared" si="42"/>
        <v>Host Hotels &amp; Resorts Inc</v>
      </c>
      <c r="B234" t="str">
        <f t="shared" si="42"/>
        <v>HST</v>
      </c>
      <c r="C234" s="382">
        <f t="shared" si="43"/>
        <v>5.3919808497905446E-2</v>
      </c>
      <c r="D234" s="383">
        <f t="shared" si="44"/>
        <v>11680.779168540001</v>
      </c>
      <c r="E234" s="384">
        <f t="shared" si="45"/>
        <v>-6.6E-3</v>
      </c>
      <c r="F234" s="385">
        <v>0.15</v>
      </c>
      <c r="G234" s="382">
        <v>1.07104E-2</v>
      </c>
      <c r="H234" s="399">
        <f t="shared" si="46"/>
        <v>5.1370133333333338E-2</v>
      </c>
      <c r="I234" s="399">
        <f t="shared" si="47"/>
        <v>0.10667487570716139</v>
      </c>
      <c r="J234" s="382">
        <f t="shared" si="48"/>
        <v>2.1846661868799253E-4</v>
      </c>
      <c r="K234" s="382">
        <f t="shared" si="49"/>
        <v>2.3304899394705422E-5</v>
      </c>
      <c r="M234" s="400"/>
      <c r="N234" s="398" t="s">
        <v>4146</v>
      </c>
      <c r="O234" s="398" t="s">
        <v>825</v>
      </c>
      <c r="P234" s="398" t="s">
        <v>339</v>
      </c>
      <c r="Q234" s="398">
        <v>11680779168.540001</v>
      </c>
      <c r="R234" s="398">
        <v>5.3919808497905448</v>
      </c>
      <c r="S234" s="398">
        <v>-0.66</v>
      </c>
      <c r="T234" s="398">
        <v>699.02929999999992</v>
      </c>
      <c r="U234" s="398">
        <v>16.71</v>
      </c>
      <c r="W234" s="401" t="s">
        <v>825</v>
      </c>
      <c r="X234" s="402" t="s">
        <v>339</v>
      </c>
      <c r="Y234" s="386">
        <f t="shared" si="50"/>
        <v>11680.779168540001</v>
      </c>
      <c r="Z234" s="387">
        <f t="shared" si="51"/>
        <v>5.3919808497905446E-2</v>
      </c>
      <c r="AA234" s="387">
        <f t="shared" si="52"/>
        <v>-6.6E-3</v>
      </c>
      <c r="AB234" s="403">
        <f t="shared" si="53"/>
        <v>4.7141873129862358E-2</v>
      </c>
      <c r="AC234" s="388">
        <f t="shared" si="54"/>
        <v>2.3064755878072623E-4</v>
      </c>
      <c r="AD234" s="389">
        <f t="shared" si="55"/>
        <v>1.0873157953753466E-5</v>
      </c>
    </row>
    <row r="235" spans="1:30" x14ac:dyDescent="0.55000000000000004">
      <c r="A235" t="str">
        <f t="shared" si="42"/>
        <v>Hershey Co/The</v>
      </c>
      <c r="B235" t="str">
        <f t="shared" si="42"/>
        <v>HSY</v>
      </c>
      <c r="C235" s="382">
        <f t="shared" si="43"/>
        <v>3.6140703517587941E-2</v>
      </c>
      <c r="D235" s="383">
        <f t="shared" si="44"/>
        <v>30201.446735999994</v>
      </c>
      <c r="E235" s="384">
        <f t="shared" si="45"/>
        <v>-6.9249999999999992E-2</v>
      </c>
      <c r="F235" s="385">
        <v>7.0000000000000007E-2</v>
      </c>
      <c r="G235" s="382">
        <v>-7.1745599999999993E-2</v>
      </c>
      <c r="H235" s="399">
        <f t="shared" si="46"/>
        <v>-2.3665199999999994E-2</v>
      </c>
      <c r="I235" s="399">
        <f t="shared" si="47"/>
        <v>1.2047865029145736E-2</v>
      </c>
      <c r="J235" s="382">
        <f t="shared" si="48"/>
        <v>5.6486025912294709E-4</v>
      </c>
      <c r="K235" s="382">
        <f t="shared" si="49"/>
        <v>6.8053601622415528E-6</v>
      </c>
      <c r="M235" s="400"/>
      <c r="N235" s="398" t="s">
        <v>4147</v>
      </c>
      <c r="O235" s="398" t="s">
        <v>826</v>
      </c>
      <c r="P235" s="398" t="s">
        <v>340</v>
      </c>
      <c r="Q235" s="398">
        <v>30201446735.999996</v>
      </c>
      <c r="R235" s="398">
        <v>3.614070351758794</v>
      </c>
      <c r="S235" s="398">
        <v>-6.9249999999999998</v>
      </c>
      <c r="T235" s="398">
        <v>147.74119999999999</v>
      </c>
      <c r="U235" s="398">
        <v>149.25</v>
      </c>
      <c r="W235" s="401" t="s">
        <v>826</v>
      </c>
      <c r="X235" s="402" t="s">
        <v>340</v>
      </c>
      <c r="Y235" s="386">
        <f t="shared" si="50"/>
        <v>30201.446735999994</v>
      </c>
      <c r="Z235" s="387">
        <f t="shared" si="51"/>
        <v>3.6140703517587941E-2</v>
      </c>
      <c r="AA235" s="387">
        <f t="shared" si="52"/>
        <v>-6.9249999999999992E-2</v>
      </c>
      <c r="AB235" s="403">
        <f t="shared" si="53"/>
        <v>-3.4360668341708533E-2</v>
      </c>
      <c r="AC235" s="388">
        <f t="shared" si="54"/>
        <v>5.9635490584959054E-4</v>
      </c>
      <c r="AD235" s="389">
        <f t="shared" si="55"/>
        <v>-2.04911531338486E-5</v>
      </c>
    </row>
    <row r="236" spans="1:30" x14ac:dyDescent="0.55000000000000004">
      <c r="A236" t="str">
        <f t="shared" si="42"/>
        <v>Hubbell Inc</v>
      </c>
      <c r="B236" t="str">
        <f t="shared" si="42"/>
        <v>HUBB</v>
      </c>
      <c r="C236" s="382">
        <f t="shared" si="43"/>
        <v>1.166402685515709E-2</v>
      </c>
      <c r="D236" s="383">
        <f t="shared" si="44"/>
        <v>22703.178932489995</v>
      </c>
      <c r="E236" s="384">
        <f t="shared" si="45"/>
        <v>0.18</v>
      </c>
      <c r="F236" s="385" t="s">
        <v>184</v>
      </c>
      <c r="G236" s="382">
        <v>0.16965669999999999</v>
      </c>
      <c r="H236" s="399">
        <f t="shared" si="46"/>
        <v>0.17482834999999999</v>
      </c>
      <c r="I236" s="399">
        <f t="shared" si="47"/>
        <v>0.18751197813987849</v>
      </c>
      <c r="J236" s="382">
        <f t="shared" si="48"/>
        <v>4.2461951067511715E-4</v>
      </c>
      <c r="K236" s="382">
        <f t="shared" si="49"/>
        <v>7.9621244403478469E-5</v>
      </c>
      <c r="M236" s="400"/>
      <c r="N236" s="398" t="s">
        <v>4148</v>
      </c>
      <c r="O236" s="398" t="s">
        <v>827</v>
      </c>
      <c r="P236" s="398" t="s">
        <v>341</v>
      </c>
      <c r="Q236" s="398">
        <v>22703178932.489994</v>
      </c>
      <c r="R236" s="398">
        <v>1.166402685515709</v>
      </c>
      <c r="S236" s="398">
        <v>18</v>
      </c>
      <c r="T236" s="398">
        <v>53.670549999999999</v>
      </c>
      <c r="U236" s="398">
        <v>423.01</v>
      </c>
      <c r="W236" s="401" t="s">
        <v>827</v>
      </c>
      <c r="X236" s="402" t="s">
        <v>341</v>
      </c>
      <c r="Y236" s="386">
        <f t="shared" si="50"/>
        <v>22703.178932489995</v>
      </c>
      <c r="Z236" s="387">
        <f t="shared" si="51"/>
        <v>1.166402685515709E-2</v>
      </c>
      <c r="AA236" s="387">
        <f t="shared" si="52"/>
        <v>0.18</v>
      </c>
      <c r="AB236" s="403">
        <f t="shared" si="53"/>
        <v>0.19271378927212121</v>
      </c>
      <c r="AC236" s="388">
        <f t="shared" si="54"/>
        <v>4.4829482021577688E-4</v>
      </c>
      <c r="AD236" s="389">
        <f t="shared" si="55"/>
        <v>8.6392593514846694E-5</v>
      </c>
    </row>
    <row r="237" spans="1:30" x14ac:dyDescent="0.55000000000000004">
      <c r="A237" t="str">
        <f t="shared" si="42"/>
        <v>Humana Inc</v>
      </c>
      <c r="B237" t="str">
        <f t="shared" si="42"/>
        <v>HUM</v>
      </c>
      <c r="C237" s="382">
        <f t="shared" si="43"/>
        <v>1.2150871329672953E-2</v>
      </c>
      <c r="D237" s="383">
        <f t="shared" si="44"/>
        <v>35308.218107890003</v>
      </c>
      <c r="E237" s="384">
        <f t="shared" si="45"/>
        <v>0.03</v>
      </c>
      <c r="F237" s="385">
        <v>5.0000000000000001E-3</v>
      </c>
      <c r="G237" s="382">
        <v>9.0019999999999998E-4</v>
      </c>
      <c r="H237" s="399">
        <f t="shared" si="46"/>
        <v>1.1966733333333332E-2</v>
      </c>
      <c r="I237" s="399">
        <f t="shared" si="47"/>
        <v>2.4190307781491206E-2</v>
      </c>
      <c r="J237" s="382">
        <f t="shared" si="48"/>
        <v>6.6037264386473475E-4</v>
      </c>
      <c r="K237" s="382">
        <f t="shared" si="49"/>
        <v>1.5974617505565016E-5</v>
      </c>
      <c r="M237" s="400"/>
      <c r="N237" s="398" t="s">
        <v>4149</v>
      </c>
      <c r="O237" s="398" t="s">
        <v>828</v>
      </c>
      <c r="P237" s="398" t="s">
        <v>342</v>
      </c>
      <c r="Q237" s="398">
        <v>35308218107.889999</v>
      </c>
      <c r="R237" s="398">
        <v>1.2150871329672952</v>
      </c>
      <c r="S237" s="398">
        <v>3</v>
      </c>
      <c r="T237" s="398">
        <v>120.4113</v>
      </c>
      <c r="U237" s="398">
        <v>293.23</v>
      </c>
      <c r="W237" s="401" t="s">
        <v>828</v>
      </c>
      <c r="X237" s="402" t="s">
        <v>342</v>
      </c>
      <c r="Y237" s="386">
        <f t="shared" si="50"/>
        <v>35308.218107890003</v>
      </c>
      <c r="Z237" s="387">
        <f t="shared" si="51"/>
        <v>1.2150871329672953E-2</v>
      </c>
      <c r="AA237" s="387">
        <f t="shared" si="52"/>
        <v>0.03</v>
      </c>
      <c r="AB237" s="403">
        <f t="shared" si="53"/>
        <v>4.2333134399618041E-2</v>
      </c>
      <c r="AC237" s="388">
        <f t="shared" si="54"/>
        <v>6.9719272952406671E-4</v>
      </c>
      <c r="AD237" s="389">
        <f t="shared" si="55"/>
        <v>2.9514353521378867E-5</v>
      </c>
    </row>
    <row r="238" spans="1:30" x14ac:dyDescent="0.55000000000000004">
      <c r="A238" t="str">
        <f t="shared" si="42"/>
        <v>Howmet Aerospace Inc</v>
      </c>
      <c r="B238" t="str">
        <f t="shared" si="42"/>
        <v>HWM</v>
      </c>
      <c r="C238" s="382">
        <f t="shared" si="43"/>
        <v>2.054036972665508E-3</v>
      </c>
      <c r="D238" s="383">
        <f t="shared" si="44"/>
        <v>51424.47295042</v>
      </c>
      <c r="E238" s="384">
        <f t="shared" si="45"/>
        <v>0.27355000000000002</v>
      </c>
      <c r="F238" s="385">
        <v>0.17</v>
      </c>
      <c r="G238" s="382">
        <v>0.29302</v>
      </c>
      <c r="H238" s="399">
        <f t="shared" si="46"/>
        <v>0.24552333333333332</v>
      </c>
      <c r="I238" s="399">
        <f t="shared" si="47"/>
        <v>0.24782952730815819</v>
      </c>
      <c r="J238" s="382">
        <f t="shared" si="48"/>
        <v>9.6179634604757396E-4</v>
      </c>
      <c r="K238" s="382">
        <f t="shared" si="49"/>
        <v>2.3836153380768399E-4</v>
      </c>
      <c r="M238" s="400"/>
      <c r="N238" s="398" t="s">
        <v>4150</v>
      </c>
      <c r="O238" s="398" t="s">
        <v>829</v>
      </c>
      <c r="P238" s="398" t="s">
        <v>343</v>
      </c>
      <c r="Q238" s="398">
        <v>51424472950.419998</v>
      </c>
      <c r="R238" s="398">
        <v>0.20540369726655081</v>
      </c>
      <c r="S238" s="398">
        <v>27.355</v>
      </c>
      <c r="T238" s="398">
        <v>406.26059999999995</v>
      </c>
      <c r="U238" s="398">
        <v>126.58</v>
      </c>
      <c r="W238" s="401" t="s">
        <v>829</v>
      </c>
      <c r="X238" s="402" t="s">
        <v>343</v>
      </c>
      <c r="Y238" s="386">
        <f t="shared" si="50"/>
        <v>51424.47295042</v>
      </c>
      <c r="Z238" s="387">
        <f t="shared" si="51"/>
        <v>2.054036972665508E-3</v>
      </c>
      <c r="AA238" s="387">
        <f t="shared" si="52"/>
        <v>0.27355000000000002</v>
      </c>
      <c r="AB238" s="403">
        <f t="shared" si="53"/>
        <v>0.27588497787960187</v>
      </c>
      <c r="AC238" s="388">
        <f t="shared" si="54"/>
        <v>1.0154227707296327E-3</v>
      </c>
      <c r="AD238" s="389">
        <f t="shared" si="55"/>
        <v>2.8013988864118873E-4</v>
      </c>
    </row>
    <row r="239" spans="1:30" x14ac:dyDescent="0.55000000000000004">
      <c r="A239" t="str">
        <f t="shared" si="42"/>
        <v>International Business Machines Corp</v>
      </c>
      <c r="B239" t="str">
        <f t="shared" si="42"/>
        <v>IBM</v>
      </c>
      <c r="C239" s="382">
        <f t="shared" si="43"/>
        <v>2.6370746969104422E-2</v>
      </c>
      <c r="D239" s="383">
        <f t="shared" si="44"/>
        <v>236431.76536640001</v>
      </c>
      <c r="E239" s="384">
        <f t="shared" si="45"/>
        <v>3.4599999999999999E-2</v>
      </c>
      <c r="F239" s="385">
        <v>0.05</v>
      </c>
      <c r="G239" s="382">
        <v>4.7287100000000006E-2</v>
      </c>
      <c r="H239" s="399">
        <f t="shared" si="46"/>
        <v>4.3962366666666669E-2</v>
      </c>
      <c r="I239" s="399">
        <f t="shared" si="47"/>
        <v>7.0912773859535927E-2</v>
      </c>
      <c r="J239" s="382">
        <f t="shared" si="48"/>
        <v>4.422003668141117E-3</v>
      </c>
      <c r="K239" s="382">
        <f t="shared" si="49"/>
        <v>3.1357654612492939E-4</v>
      </c>
      <c r="M239" s="400"/>
      <c r="N239" s="398" t="s">
        <v>4151</v>
      </c>
      <c r="O239" s="398" t="s">
        <v>830</v>
      </c>
      <c r="P239" s="398" t="s">
        <v>344</v>
      </c>
      <c r="Q239" s="398">
        <v>236431765366.40002</v>
      </c>
      <c r="R239" s="398">
        <v>2.6370746969104424</v>
      </c>
      <c r="S239" s="398">
        <v>3.46</v>
      </c>
      <c r="T239" s="398">
        <v>924.64519999999993</v>
      </c>
      <c r="U239" s="398">
        <v>255.7</v>
      </c>
      <c r="W239" s="401" t="s">
        <v>830</v>
      </c>
      <c r="X239" s="402" t="s">
        <v>344</v>
      </c>
      <c r="Y239" s="386">
        <f t="shared" si="50"/>
        <v>236431.76536640001</v>
      </c>
      <c r="Z239" s="387">
        <f t="shared" si="51"/>
        <v>2.6370746969104422E-2</v>
      </c>
      <c r="AA239" s="387">
        <f t="shared" si="52"/>
        <v>3.4599999999999999E-2</v>
      </c>
      <c r="AB239" s="403">
        <f t="shared" si="53"/>
        <v>6.1426960891669935E-2</v>
      </c>
      <c r="AC239" s="388">
        <f t="shared" si="54"/>
        <v>4.6685592384838924E-3</v>
      </c>
      <c r="AD239" s="389">
        <f t="shared" si="55"/>
        <v>2.8677540576279442E-4</v>
      </c>
    </row>
    <row r="240" spans="1:30" x14ac:dyDescent="0.55000000000000004">
      <c r="A240" t="str">
        <f t="shared" si="42"/>
        <v>Intercontinental Exchange Inc</v>
      </c>
      <c r="B240" t="str">
        <f t="shared" si="42"/>
        <v>ICE</v>
      </c>
      <c r="C240" s="382">
        <f t="shared" si="43"/>
        <v>1.1268222486391789E-2</v>
      </c>
      <c r="D240" s="383">
        <f t="shared" si="44"/>
        <v>91770.629515509994</v>
      </c>
      <c r="E240" s="384">
        <f t="shared" si="45"/>
        <v>0.1</v>
      </c>
      <c r="F240" s="385">
        <v>7.4999999999999997E-2</v>
      </c>
      <c r="G240" s="382">
        <v>7.8669599999999992E-2</v>
      </c>
      <c r="H240" s="399">
        <f t="shared" si="46"/>
        <v>8.4556533333333336E-2</v>
      </c>
      <c r="I240" s="399">
        <f t="shared" si="47"/>
        <v>9.6301156734864127E-2</v>
      </c>
      <c r="J240" s="382">
        <f t="shared" si="48"/>
        <v>1.7163939867230525E-3</v>
      </c>
      <c r="K240" s="382">
        <f t="shared" si="49"/>
        <v>1.6529072633419498E-4</v>
      </c>
      <c r="M240" s="400"/>
      <c r="N240" s="398" t="s">
        <v>4152</v>
      </c>
      <c r="O240" s="398" t="s">
        <v>831</v>
      </c>
      <c r="P240" s="398" t="s">
        <v>345</v>
      </c>
      <c r="Q240" s="398">
        <v>91770629515.509995</v>
      </c>
      <c r="R240" s="398">
        <v>1.126822248639179</v>
      </c>
      <c r="S240" s="398">
        <v>10</v>
      </c>
      <c r="T240" s="398">
        <v>574.17649999999992</v>
      </c>
      <c r="U240" s="398">
        <v>159.83000000000001</v>
      </c>
      <c r="W240" s="401" t="s">
        <v>831</v>
      </c>
      <c r="X240" s="402" t="s">
        <v>345</v>
      </c>
      <c r="Y240" s="386">
        <f t="shared" si="50"/>
        <v>91770.629515509994</v>
      </c>
      <c r="Z240" s="387">
        <f t="shared" si="51"/>
        <v>1.1268222486391789E-2</v>
      </c>
      <c r="AA240" s="387">
        <f t="shared" si="52"/>
        <v>0.1</v>
      </c>
      <c r="AB240" s="403">
        <f t="shared" si="53"/>
        <v>0.11183163361071138</v>
      </c>
      <c r="AC240" s="388">
        <f t="shared" si="54"/>
        <v>1.8120941557161975E-3</v>
      </c>
      <c r="AD240" s="389">
        <f t="shared" si="55"/>
        <v>2.0264944969016518E-4</v>
      </c>
    </row>
    <row r="241" spans="1:30" x14ac:dyDescent="0.55000000000000004">
      <c r="A241" t="str">
        <f t="shared" si="42"/>
        <v>IDEXX Laboratories Inc</v>
      </c>
      <c r="B241" t="str">
        <f t="shared" si="42"/>
        <v>IDXX</v>
      </c>
      <c r="C241" s="382">
        <f t="shared" si="43"/>
        <v>0</v>
      </c>
      <c r="D241" s="383">
        <f t="shared" si="44"/>
        <v>34559.422441200004</v>
      </c>
      <c r="E241" s="384">
        <f t="shared" si="45"/>
        <v>9.7100000000000006E-2</v>
      </c>
      <c r="F241" s="385">
        <v>0.105</v>
      </c>
      <c r="G241" s="382">
        <v>0.13740759999999999</v>
      </c>
      <c r="H241" s="399">
        <f t="shared" si="46"/>
        <v>0.11316920000000001</v>
      </c>
      <c r="I241" s="399">
        <f t="shared" si="47"/>
        <v>0.11316920000000001</v>
      </c>
      <c r="J241" s="382">
        <f t="shared" si="48"/>
        <v>6.4636785402754856E-4</v>
      </c>
      <c r="K241" s="382">
        <f t="shared" si="49"/>
        <v>7.3148932946014454E-5</v>
      </c>
      <c r="M241" s="400"/>
      <c r="N241" s="398" t="s">
        <v>4153</v>
      </c>
      <c r="O241" s="398" t="s">
        <v>832</v>
      </c>
      <c r="P241" s="398" t="s">
        <v>346</v>
      </c>
      <c r="Q241" s="398">
        <v>34559422441.200005</v>
      </c>
      <c r="R241" s="398">
        <v>0</v>
      </c>
      <c r="S241" s="398">
        <v>9.7100000000000009</v>
      </c>
      <c r="T241" s="398">
        <v>81.884659999999997</v>
      </c>
      <c r="U241" s="398">
        <v>422.05</v>
      </c>
      <c r="W241" s="401" t="s">
        <v>832</v>
      </c>
      <c r="X241" s="402" t="s">
        <v>346</v>
      </c>
      <c r="Y241" s="386">
        <f t="shared" si="50"/>
        <v>34559.422441200004</v>
      </c>
      <c r="Z241" s="387">
        <f t="shared" si="51"/>
        <v>0</v>
      </c>
      <c r="AA241" s="387">
        <f t="shared" si="52"/>
        <v>9.7100000000000006E-2</v>
      </c>
      <c r="AB241" s="403">
        <f t="shared" si="53"/>
        <v>9.7100000000000006E-2</v>
      </c>
      <c r="AC241" s="388">
        <f t="shared" si="54"/>
        <v>6.8240708123334384E-4</v>
      </c>
      <c r="AD241" s="389">
        <f t="shared" si="55"/>
        <v>6.6261727587757697E-5</v>
      </c>
    </row>
    <row r="242" spans="1:30" x14ac:dyDescent="0.55000000000000004">
      <c r="A242" t="str">
        <f t="shared" si="42"/>
        <v>IDEX Corp</v>
      </c>
      <c r="B242" t="str">
        <f t="shared" si="42"/>
        <v>IEX</v>
      </c>
      <c r="C242" s="382">
        <f t="shared" si="43"/>
        <v>1.1916544068476663E-2</v>
      </c>
      <c r="D242" s="383">
        <f t="shared" si="44"/>
        <v>16985.495217480002</v>
      </c>
      <c r="E242" s="384" t="str">
        <f t="shared" si="45"/>
        <v>N/A</v>
      </c>
      <c r="F242" s="385">
        <v>0.06</v>
      </c>
      <c r="G242" s="382">
        <v>0.12</v>
      </c>
      <c r="H242" s="399">
        <f t="shared" si="46"/>
        <v>0.09</v>
      </c>
      <c r="I242" s="399">
        <f t="shared" si="47"/>
        <v>0.10245278855155811</v>
      </c>
      <c r="J242" s="382">
        <f t="shared" si="48"/>
        <v>3.176811797707959E-4</v>
      </c>
      <c r="K242" s="382">
        <f t="shared" si="49"/>
        <v>3.2547322737866873E-5</v>
      </c>
      <c r="M242" s="400"/>
      <c r="N242" s="398" t="s">
        <v>4154</v>
      </c>
      <c r="O242" s="398" t="s">
        <v>833</v>
      </c>
      <c r="P242" s="398" t="s">
        <v>347</v>
      </c>
      <c r="Q242" s="398">
        <v>16985495217.480001</v>
      </c>
      <c r="R242" s="398">
        <v>1.1916544068476662</v>
      </c>
      <c r="S242" s="398" t="s">
        <v>3929</v>
      </c>
      <c r="T242" s="398">
        <v>75.723309999999998</v>
      </c>
      <c r="U242" s="398">
        <v>224.31</v>
      </c>
      <c r="W242" s="401" t="s">
        <v>833</v>
      </c>
      <c r="X242" s="402" t="s">
        <v>347</v>
      </c>
      <c r="Y242" s="386">
        <f t="shared" si="50"/>
        <v>16985.495217480002</v>
      </c>
      <c r="Z242" s="387">
        <f t="shared" si="51"/>
        <v>1.1916544068476663E-2</v>
      </c>
      <c r="AA242" s="387" t="str">
        <f t="shared" si="52"/>
        <v>N/A</v>
      </c>
      <c r="AB242" s="403" t="str">
        <f t="shared" si="53"/>
        <v>N/A</v>
      </c>
      <c r="AC242" s="388">
        <f t="shared" si="54"/>
        <v>3.3539397929420304E-4</v>
      </c>
      <c r="AD242" s="389" t="str">
        <f t="shared" si="55"/>
        <v>N/A</v>
      </c>
    </row>
    <row r="243" spans="1:30" x14ac:dyDescent="0.55000000000000004">
      <c r="A243" t="str">
        <f t="shared" si="42"/>
        <v>International Flavors &amp; Fragrances Inc</v>
      </c>
      <c r="B243" t="str">
        <f t="shared" si="42"/>
        <v>IFF</v>
      </c>
      <c r="C243" s="382">
        <f t="shared" si="43"/>
        <v>1.9187047881501895E-2</v>
      </c>
      <c r="D243" s="383">
        <f t="shared" si="44"/>
        <v>22267.374032609998</v>
      </c>
      <c r="E243" s="384">
        <f t="shared" si="45"/>
        <v>3.005E-2</v>
      </c>
      <c r="F243" s="385">
        <v>5.0000000000000001E-3</v>
      </c>
      <c r="G243" s="382">
        <v>6.9089200000000003E-2</v>
      </c>
      <c r="H243" s="399">
        <f t="shared" si="46"/>
        <v>3.4713066666666667E-2</v>
      </c>
      <c r="I243" s="399">
        <f t="shared" si="47"/>
        <v>5.4233135184292111E-2</v>
      </c>
      <c r="J243" s="382">
        <f t="shared" si="48"/>
        <v>4.1646861410300583E-4</v>
      </c>
      <c r="K243" s="382">
        <f t="shared" si="49"/>
        <v>2.2586398648663099E-5</v>
      </c>
      <c r="M243" s="400"/>
      <c r="N243" s="398" t="s">
        <v>4155</v>
      </c>
      <c r="O243" s="398" t="s">
        <v>834</v>
      </c>
      <c r="P243" s="398" t="s">
        <v>348</v>
      </c>
      <c r="Q243" s="398">
        <v>22267374032.609997</v>
      </c>
      <c r="R243" s="398">
        <v>1.9187047881501893</v>
      </c>
      <c r="S243" s="398">
        <v>3.0049999999999999</v>
      </c>
      <c r="T243" s="398">
        <v>255.6823</v>
      </c>
      <c r="U243" s="398">
        <v>87.09</v>
      </c>
      <c r="W243" s="401" t="s">
        <v>834</v>
      </c>
      <c r="X243" s="402" t="s">
        <v>348</v>
      </c>
      <c r="Y243" s="386">
        <f t="shared" si="50"/>
        <v>22267.374032609998</v>
      </c>
      <c r="Z243" s="387">
        <f t="shared" si="51"/>
        <v>1.9187047881501895E-2</v>
      </c>
      <c r="AA243" s="387">
        <f t="shared" si="52"/>
        <v>3.005E-2</v>
      </c>
      <c r="AB243" s="403">
        <f t="shared" si="53"/>
        <v>4.9525333275921457E-2</v>
      </c>
      <c r="AC243" s="388">
        <f t="shared" si="54"/>
        <v>4.3968945795255348E-4</v>
      </c>
      <c r="AD243" s="389">
        <f t="shared" si="55"/>
        <v>2.1775766943009464E-5</v>
      </c>
    </row>
    <row r="244" spans="1:30" x14ac:dyDescent="0.55000000000000004">
      <c r="A244" t="str">
        <f t="shared" si="42"/>
        <v>Incyte Corp</v>
      </c>
      <c r="B244" t="str">
        <f t="shared" si="42"/>
        <v>INCY</v>
      </c>
      <c r="C244" s="382">
        <f t="shared" si="43"/>
        <v>0</v>
      </c>
      <c r="D244" s="383">
        <f t="shared" si="44"/>
        <v>14286.94246584</v>
      </c>
      <c r="E244" s="384">
        <f t="shared" si="45"/>
        <v>0.39785000000000004</v>
      </c>
      <c r="F244" s="385">
        <v>0.185</v>
      </c>
      <c r="G244" s="382">
        <v>0.19070000000000001</v>
      </c>
      <c r="H244" s="399">
        <f t="shared" si="46"/>
        <v>0.25785000000000002</v>
      </c>
      <c r="I244" s="399">
        <f t="shared" si="47"/>
        <v>0.25785000000000002</v>
      </c>
      <c r="J244" s="382">
        <f t="shared" si="48"/>
        <v>2.6720991526904119E-4</v>
      </c>
      <c r="K244" s="382">
        <f t="shared" si="49"/>
        <v>6.8900076652122279E-5</v>
      </c>
      <c r="M244" s="400"/>
      <c r="N244" s="398" t="s">
        <v>4156</v>
      </c>
      <c r="O244" s="398" t="s">
        <v>835</v>
      </c>
      <c r="P244" s="398" t="s">
        <v>349</v>
      </c>
      <c r="Q244" s="398">
        <v>14286942465.84</v>
      </c>
      <c r="R244" s="398">
        <v>0</v>
      </c>
      <c r="S244" s="398">
        <v>39.785000000000004</v>
      </c>
      <c r="T244" s="398">
        <v>192.65019999999998</v>
      </c>
      <c r="U244" s="398">
        <v>74.16</v>
      </c>
      <c r="W244" s="401" t="s">
        <v>835</v>
      </c>
      <c r="X244" s="402" t="s">
        <v>349</v>
      </c>
      <c r="Y244" s="386">
        <f t="shared" si="50"/>
        <v>14286.94246584</v>
      </c>
      <c r="Z244" s="387">
        <f t="shared" si="51"/>
        <v>0</v>
      </c>
      <c r="AA244" s="387">
        <f t="shared" si="52"/>
        <v>0.39785000000000004</v>
      </c>
      <c r="AB244" s="403">
        <f t="shared" si="53"/>
        <v>0.39785000000000004</v>
      </c>
      <c r="AC244" s="388">
        <f t="shared" si="54"/>
        <v>2.821086123314292E-4</v>
      </c>
      <c r="AD244" s="389">
        <f t="shared" si="55"/>
        <v>1.1223691141605912E-4</v>
      </c>
    </row>
    <row r="245" spans="1:30" x14ac:dyDescent="0.55000000000000004">
      <c r="A245" t="str">
        <f t="shared" si="42"/>
        <v>Intel Corp</v>
      </c>
      <c r="B245" t="str">
        <f t="shared" si="42"/>
        <v>INTC</v>
      </c>
      <c r="C245" s="382">
        <f t="shared" si="43"/>
        <v>9.0581574884199684E-3</v>
      </c>
      <c r="D245" s="383">
        <f t="shared" si="44"/>
        <v>84131.9</v>
      </c>
      <c r="E245" s="384">
        <f t="shared" si="45"/>
        <v>0.1222</v>
      </c>
      <c r="F245" s="385">
        <v>-0.02</v>
      </c>
      <c r="G245" s="382">
        <v>0.1397892</v>
      </c>
      <c r="H245" s="399">
        <f t="shared" si="46"/>
        <v>8.0663066666666672E-2</v>
      </c>
      <c r="I245" s="399">
        <f t="shared" si="47"/>
        <v>9.0086553535769429E-2</v>
      </c>
      <c r="J245" s="382">
        <f t="shared" si="48"/>
        <v>1.5735261707797241E-3</v>
      </c>
      <c r="K245" s="382">
        <f t="shared" si="49"/>
        <v>1.4175354962388188E-4</v>
      </c>
      <c r="M245" s="400"/>
      <c r="N245" s="398" t="s">
        <v>4157</v>
      </c>
      <c r="O245" s="398" t="s">
        <v>836</v>
      </c>
      <c r="P245" s="398" t="s">
        <v>350</v>
      </c>
      <c r="Q245" s="398">
        <v>84131900000</v>
      </c>
      <c r="R245" s="398">
        <v>0.90581574884199678</v>
      </c>
      <c r="S245" s="398">
        <v>12.22</v>
      </c>
      <c r="T245" s="398">
        <v>4330</v>
      </c>
      <c r="U245" s="398">
        <v>19.43</v>
      </c>
      <c r="W245" s="401" t="s">
        <v>836</v>
      </c>
      <c r="X245" s="402" t="s">
        <v>350</v>
      </c>
      <c r="Y245" s="386">
        <f t="shared" si="50"/>
        <v>84131.9</v>
      </c>
      <c r="Z245" s="387">
        <f t="shared" si="51"/>
        <v>9.0581574884199684E-3</v>
      </c>
      <c r="AA245" s="387">
        <f t="shared" si="52"/>
        <v>0.1222</v>
      </c>
      <c r="AB245" s="403">
        <f t="shared" si="53"/>
        <v>0.13181161091096244</v>
      </c>
      <c r="AC245" s="388">
        <f t="shared" si="54"/>
        <v>1.6612605264251065E-3</v>
      </c>
      <c r="AD245" s="389">
        <f t="shared" si="55"/>
        <v>2.1897342613088678E-4</v>
      </c>
    </row>
    <row r="246" spans="1:30" x14ac:dyDescent="0.55000000000000004">
      <c r="A246" t="str">
        <f t="shared" si="42"/>
        <v>Intuit Inc</v>
      </c>
      <c r="B246" t="str">
        <f t="shared" si="42"/>
        <v>INTU</v>
      </c>
      <c r="C246" s="382">
        <f t="shared" si="43"/>
        <v>6.9308905920101079E-3</v>
      </c>
      <c r="D246" s="383">
        <f t="shared" si="44"/>
        <v>168372.74474384004</v>
      </c>
      <c r="E246" s="384">
        <f t="shared" si="45"/>
        <v>0.18410000000000001</v>
      </c>
      <c r="F246" s="385">
        <v>0.125</v>
      </c>
      <c r="G246" s="382">
        <v>0.1992071</v>
      </c>
      <c r="H246" s="399">
        <f t="shared" si="46"/>
        <v>0.16943569999999999</v>
      </c>
      <c r="I246" s="399">
        <f t="shared" si="47"/>
        <v>0.17695376074155042</v>
      </c>
      <c r="J246" s="382">
        <f t="shared" si="48"/>
        <v>3.1490899444853444E-3</v>
      </c>
      <c r="K246" s="382">
        <f t="shared" si="49"/>
        <v>5.5724330859008189E-4</v>
      </c>
      <c r="M246" s="400"/>
      <c r="N246" s="398" t="s">
        <v>4158</v>
      </c>
      <c r="O246" s="398" t="s">
        <v>837</v>
      </c>
      <c r="P246" s="398" t="s">
        <v>351</v>
      </c>
      <c r="Q246" s="398">
        <v>168372744743.84003</v>
      </c>
      <c r="R246" s="398">
        <v>0.69308905920101083</v>
      </c>
      <c r="S246" s="398">
        <v>18.41</v>
      </c>
      <c r="T246" s="398">
        <v>279.91679999999997</v>
      </c>
      <c r="U246" s="398">
        <v>601.51</v>
      </c>
      <c r="W246" s="401" t="s">
        <v>837</v>
      </c>
      <c r="X246" s="402" t="s">
        <v>351</v>
      </c>
      <c r="Y246" s="386">
        <f t="shared" si="50"/>
        <v>168372.74474384004</v>
      </c>
      <c r="Z246" s="387">
        <f t="shared" si="51"/>
        <v>6.9308905920101079E-3</v>
      </c>
      <c r="AA246" s="387">
        <f t="shared" si="52"/>
        <v>0.18410000000000001</v>
      </c>
      <c r="AB246" s="403">
        <f t="shared" si="53"/>
        <v>0.19166887907100466</v>
      </c>
      <c r="AC246" s="388">
        <f t="shared" si="54"/>
        <v>3.3246722654402408E-3</v>
      </c>
      <c r="AD246" s="389">
        <f t="shared" si="55"/>
        <v>6.3723620639538864E-4</v>
      </c>
    </row>
    <row r="247" spans="1:30" x14ac:dyDescent="0.55000000000000004">
      <c r="A247" t="str">
        <f t="shared" si="42"/>
        <v>Invitation Homes Inc</v>
      </c>
      <c r="B247" t="str">
        <f t="shared" si="42"/>
        <v>INVH</v>
      </c>
      <c r="C247" s="382">
        <f t="shared" si="43"/>
        <v>3.5987158908507226E-2</v>
      </c>
      <c r="D247" s="383">
        <f t="shared" si="44"/>
        <v>19082.660639699996</v>
      </c>
      <c r="E247" s="384">
        <f t="shared" si="45"/>
        <v>3.6299999999999999E-2</v>
      </c>
      <c r="F247" s="385">
        <v>7.4999999999999997E-2</v>
      </c>
      <c r="G247" s="382">
        <v>3.6822199999999999E-2</v>
      </c>
      <c r="H247" s="399">
        <f t="shared" si="46"/>
        <v>4.9374066666666661E-2</v>
      </c>
      <c r="I247" s="399">
        <f t="shared" si="47"/>
        <v>8.6249641766720175E-2</v>
      </c>
      <c r="J247" s="382">
        <f t="shared" si="48"/>
        <v>3.5690464526150125E-4</v>
      </c>
      <c r="K247" s="382">
        <f t="shared" si="49"/>
        <v>3.0782897798682827E-5</v>
      </c>
      <c r="M247" s="400"/>
      <c r="N247" s="398" t="s">
        <v>4159</v>
      </c>
      <c r="O247" s="398" t="s">
        <v>838</v>
      </c>
      <c r="P247" s="398" t="s">
        <v>352</v>
      </c>
      <c r="Q247" s="398">
        <v>19082660639.699997</v>
      </c>
      <c r="R247" s="398">
        <v>3.5987158908507224</v>
      </c>
      <c r="S247" s="398">
        <v>3.63</v>
      </c>
      <c r="T247" s="398">
        <v>612.60550000000001</v>
      </c>
      <c r="U247" s="398">
        <v>31.15</v>
      </c>
      <c r="W247" s="401" t="s">
        <v>838</v>
      </c>
      <c r="X247" s="402" t="s">
        <v>352</v>
      </c>
      <c r="Y247" s="386">
        <f t="shared" si="50"/>
        <v>19082.660639699996</v>
      </c>
      <c r="Z247" s="387">
        <f t="shared" si="51"/>
        <v>3.5987158908507226E-2</v>
      </c>
      <c r="AA247" s="387">
        <f t="shared" si="52"/>
        <v>3.6299999999999999E-2</v>
      </c>
      <c r="AB247" s="403">
        <f t="shared" si="53"/>
        <v>7.2940325842696635E-2</v>
      </c>
      <c r="AC247" s="388">
        <f t="shared" si="54"/>
        <v>3.7680440902796298E-4</v>
      </c>
      <c r="AD247" s="389">
        <f t="shared" si="55"/>
        <v>2.748423637346436E-5</v>
      </c>
    </row>
    <row r="248" spans="1:30" x14ac:dyDescent="0.55000000000000004">
      <c r="A248" t="str">
        <f t="shared" si="42"/>
        <v>International Paper Co</v>
      </c>
      <c r="B248" t="str">
        <f t="shared" si="42"/>
        <v>IP</v>
      </c>
      <c r="C248" s="382">
        <f t="shared" si="43"/>
        <v>3.3650907783570022E-2</v>
      </c>
      <c r="D248" s="383">
        <f t="shared" si="44"/>
        <v>19326.322950179998</v>
      </c>
      <c r="E248" s="384">
        <f t="shared" si="45"/>
        <v>-0.02</v>
      </c>
      <c r="F248" s="385">
        <v>0.08</v>
      </c>
      <c r="G248" s="382">
        <v>0.18</v>
      </c>
      <c r="H248" s="399">
        <f t="shared" si="46"/>
        <v>0.08</v>
      </c>
      <c r="I248" s="399">
        <f t="shared" si="47"/>
        <v>0.11499694409491282</v>
      </c>
      <c r="J248" s="382">
        <f t="shared" si="48"/>
        <v>3.6146188243756571E-4</v>
      </c>
      <c r="K248" s="382">
        <f t="shared" si="49"/>
        <v>4.1567011887114696E-5</v>
      </c>
      <c r="M248" s="400"/>
      <c r="N248" s="398" t="s">
        <v>4160</v>
      </c>
      <c r="O248" s="398" t="s">
        <v>839</v>
      </c>
      <c r="P248" s="398" t="s">
        <v>353</v>
      </c>
      <c r="Q248" s="398">
        <v>19326322950.179996</v>
      </c>
      <c r="R248" s="398">
        <v>3.3650907783570019</v>
      </c>
      <c r="S248" s="398">
        <v>-2</v>
      </c>
      <c r="T248" s="398">
        <v>347.4083</v>
      </c>
      <c r="U248" s="398">
        <v>55.63</v>
      </c>
      <c r="W248" s="401" t="s">
        <v>839</v>
      </c>
      <c r="X248" s="402" t="s">
        <v>353</v>
      </c>
      <c r="Y248" s="386">
        <f t="shared" si="50"/>
        <v>19326.322950179998</v>
      </c>
      <c r="Z248" s="387">
        <f t="shared" si="51"/>
        <v>3.3650907783570022E-2</v>
      </c>
      <c r="AA248" s="387">
        <f t="shared" si="52"/>
        <v>-0.02</v>
      </c>
      <c r="AB248" s="403">
        <f t="shared" si="53"/>
        <v>1.331439870573432E-2</v>
      </c>
      <c r="AC248" s="388">
        <f t="shared" si="54"/>
        <v>3.816157419252108E-4</v>
      </c>
      <c r="AD248" s="389">
        <f t="shared" si="55"/>
        <v>5.0809841403768685E-6</v>
      </c>
    </row>
    <row r="249" spans="1:30" x14ac:dyDescent="0.55000000000000004">
      <c r="A249" t="str">
        <f t="shared" si="42"/>
        <v>Interpublic Group of Cos Inc/The</v>
      </c>
      <c r="B249" t="str">
        <f t="shared" si="42"/>
        <v>IPG</v>
      </c>
      <c r="C249" s="382">
        <f t="shared" si="43"/>
        <v>4.5657481688175794E-2</v>
      </c>
      <c r="D249" s="383">
        <f t="shared" si="44"/>
        <v>10683.759099800003</v>
      </c>
      <c r="E249" s="384" t="str">
        <f t="shared" si="45"/>
        <v>N/A</v>
      </c>
      <c r="F249" s="385">
        <v>5.5E-2</v>
      </c>
      <c r="G249" s="382">
        <v>1.9E-2</v>
      </c>
      <c r="H249" s="399">
        <f t="shared" si="46"/>
        <v>3.6999999999999998E-2</v>
      </c>
      <c r="I249" s="399">
        <f t="shared" si="47"/>
        <v>8.3502145099407038E-2</v>
      </c>
      <c r="J249" s="382">
        <f t="shared" si="48"/>
        <v>1.998192664832404E-4</v>
      </c>
      <c r="K249" s="382">
        <f t="shared" si="49"/>
        <v>1.668533738354062E-5</v>
      </c>
      <c r="M249" s="400"/>
      <c r="N249" s="398" t="s">
        <v>4161</v>
      </c>
      <c r="O249" s="398" t="s">
        <v>840</v>
      </c>
      <c r="P249" s="398" t="s">
        <v>354</v>
      </c>
      <c r="Q249" s="398">
        <v>10683759099.800003</v>
      </c>
      <c r="R249" s="398">
        <v>4.5657481688175796</v>
      </c>
      <c r="S249" s="398" t="s">
        <v>3929</v>
      </c>
      <c r="T249" s="398">
        <v>372.64589999999998</v>
      </c>
      <c r="U249" s="398">
        <v>28.67</v>
      </c>
      <c r="W249" s="401" t="s">
        <v>840</v>
      </c>
      <c r="X249" s="402" t="s">
        <v>354</v>
      </c>
      <c r="Y249" s="386">
        <f t="shared" si="50"/>
        <v>10683.759099800003</v>
      </c>
      <c r="Z249" s="387">
        <f t="shared" si="51"/>
        <v>4.5657481688175794E-2</v>
      </c>
      <c r="AA249" s="387" t="str">
        <f t="shared" si="52"/>
        <v>N/A</v>
      </c>
      <c r="AB249" s="403" t="str">
        <f t="shared" si="53"/>
        <v>N/A</v>
      </c>
      <c r="AC249" s="388">
        <f t="shared" si="54"/>
        <v>2.109604949648442E-4</v>
      </c>
      <c r="AD249" s="389" t="str">
        <f t="shared" si="55"/>
        <v>N/A</v>
      </c>
    </row>
    <row r="250" spans="1:30" x14ac:dyDescent="0.55000000000000004">
      <c r="A250" t="str">
        <f t="shared" si="42"/>
        <v>IQVIA Holdings Inc</v>
      </c>
      <c r="B250" t="str">
        <f t="shared" si="42"/>
        <v>IQV</v>
      </c>
      <c r="C250" s="382" t="str">
        <f t="shared" si="43"/>
        <v>0.00%</v>
      </c>
      <c r="D250" s="383">
        <f t="shared" si="44"/>
        <v>36546.839999999997</v>
      </c>
      <c r="E250" s="384">
        <f t="shared" si="45"/>
        <v>8.2599999999999993E-2</v>
      </c>
      <c r="F250" s="385">
        <v>0.1</v>
      </c>
      <c r="G250" s="382">
        <v>8.9653099999999999E-2</v>
      </c>
      <c r="H250" s="399">
        <f t="shared" si="46"/>
        <v>9.0751033333333328E-2</v>
      </c>
      <c r="I250" s="399">
        <f t="shared" si="47"/>
        <v>9.0751033333333328E-2</v>
      </c>
      <c r="J250" s="382">
        <f t="shared" si="48"/>
        <v>6.8353869577769254E-4</v>
      </c>
      <c r="K250" s="382">
        <f t="shared" si="49"/>
        <v>6.2031842965144563E-5</v>
      </c>
      <c r="M250" s="400"/>
      <c r="N250" s="398" t="s">
        <v>4162</v>
      </c>
      <c r="O250" s="398" t="s">
        <v>841</v>
      </c>
      <c r="P250" s="398" t="s">
        <v>355</v>
      </c>
      <c r="Q250" s="398">
        <v>36546840000</v>
      </c>
      <c r="R250" s="398" t="s">
        <v>3929</v>
      </c>
      <c r="S250" s="398">
        <v>8.26</v>
      </c>
      <c r="T250" s="398">
        <v>181.5</v>
      </c>
      <c r="U250" s="398">
        <v>201.36</v>
      </c>
      <c r="W250" s="401" t="s">
        <v>841</v>
      </c>
      <c r="X250" s="402" t="s">
        <v>355</v>
      </c>
      <c r="Y250" s="386">
        <f t="shared" si="50"/>
        <v>36546.839999999997</v>
      </c>
      <c r="Z250" s="387" t="str">
        <f t="shared" si="51"/>
        <v>0.00%</v>
      </c>
      <c r="AA250" s="387">
        <f t="shared" si="52"/>
        <v>8.2599999999999993E-2</v>
      </c>
      <c r="AB250" s="403">
        <f t="shared" si="53"/>
        <v>8.2599999999999993E-2</v>
      </c>
      <c r="AC250" s="388">
        <f t="shared" si="54"/>
        <v>7.2165044005394077E-4</v>
      </c>
      <c r="AD250" s="389">
        <f t="shared" si="55"/>
        <v>5.9608326348455505E-5</v>
      </c>
    </row>
    <row r="251" spans="1:30" x14ac:dyDescent="0.55000000000000004">
      <c r="A251" t="str">
        <f t="shared" si="42"/>
        <v>Ingersoll Rand Inc</v>
      </c>
      <c r="B251" t="str">
        <f t="shared" si="42"/>
        <v>IR</v>
      </c>
      <c r="C251" s="382">
        <f t="shared" si="43"/>
        <v>8.6353944562899787E-4</v>
      </c>
      <c r="D251" s="383">
        <f t="shared" si="44"/>
        <v>37802.565371199998</v>
      </c>
      <c r="E251" s="384">
        <f t="shared" si="45"/>
        <v>0.17</v>
      </c>
      <c r="F251" s="385">
        <v>0.105</v>
      </c>
      <c r="G251" s="382">
        <v>0.1231</v>
      </c>
      <c r="H251" s="399">
        <f t="shared" si="46"/>
        <v>0.13270000000000001</v>
      </c>
      <c r="I251" s="399">
        <f t="shared" si="47"/>
        <v>0.13362083528784649</v>
      </c>
      <c r="J251" s="382">
        <f t="shared" si="48"/>
        <v>7.0702463553294929E-4</v>
      </c>
      <c r="K251" s="382">
        <f t="shared" si="49"/>
        <v>9.4473222368997919E-5</v>
      </c>
      <c r="M251" s="400"/>
      <c r="N251" s="398" t="s">
        <v>4163</v>
      </c>
      <c r="O251" s="398" t="s">
        <v>842</v>
      </c>
      <c r="P251" s="398" t="s">
        <v>356</v>
      </c>
      <c r="Q251" s="398">
        <v>37802565371.199997</v>
      </c>
      <c r="R251" s="398">
        <v>8.6353944562899784E-2</v>
      </c>
      <c r="S251" s="398">
        <v>17</v>
      </c>
      <c r="T251" s="398">
        <v>403.01239999999996</v>
      </c>
      <c r="U251" s="398">
        <v>93.8</v>
      </c>
      <c r="W251" s="401" t="s">
        <v>842</v>
      </c>
      <c r="X251" s="402" t="s">
        <v>356</v>
      </c>
      <c r="Y251" s="386">
        <f t="shared" si="50"/>
        <v>37802.565371199998</v>
      </c>
      <c r="Z251" s="387">
        <f t="shared" si="51"/>
        <v>8.6353944562899787E-4</v>
      </c>
      <c r="AA251" s="387">
        <f t="shared" si="52"/>
        <v>0.17</v>
      </c>
      <c r="AB251" s="403">
        <f t="shared" si="53"/>
        <v>0.17093694029850748</v>
      </c>
      <c r="AC251" s="388">
        <f t="shared" si="54"/>
        <v>7.4644587426147765E-4</v>
      </c>
      <c r="AD251" s="389">
        <f t="shared" si="55"/>
        <v>1.2759517384470143E-4</v>
      </c>
    </row>
    <row r="252" spans="1:30" x14ac:dyDescent="0.55000000000000004">
      <c r="A252" t="str">
        <f t="shared" si="42"/>
        <v>Iron Mountain Inc</v>
      </c>
      <c r="B252" t="str">
        <f t="shared" si="42"/>
        <v>IRM</v>
      </c>
      <c r="C252" s="382">
        <f t="shared" si="43"/>
        <v>2.634636211479768E-2</v>
      </c>
      <c r="D252" s="383">
        <f t="shared" si="44"/>
        <v>29806.769882469998</v>
      </c>
      <c r="E252" s="384">
        <f t="shared" si="45"/>
        <v>0.04</v>
      </c>
      <c r="F252" s="385">
        <v>0.08</v>
      </c>
      <c r="G252" s="382">
        <v>8.5000000000000006E-2</v>
      </c>
      <c r="H252" s="399">
        <f t="shared" si="46"/>
        <v>6.8333333333333343E-2</v>
      </c>
      <c r="I252" s="399">
        <f t="shared" si="47"/>
        <v>9.5579862820386607E-2</v>
      </c>
      <c r="J252" s="382">
        <f t="shared" si="48"/>
        <v>5.5747858394349147E-4</v>
      </c>
      <c r="K252" s="382">
        <f t="shared" si="49"/>
        <v>5.3283726578622291E-5</v>
      </c>
      <c r="M252" s="400"/>
      <c r="N252" s="398" t="s">
        <v>4164</v>
      </c>
      <c r="O252" s="398" t="s">
        <v>843</v>
      </c>
      <c r="P252" s="398" t="s">
        <v>357</v>
      </c>
      <c r="Q252" s="398">
        <v>29806769882.469997</v>
      </c>
      <c r="R252" s="398">
        <v>2.6346362114797679</v>
      </c>
      <c r="S252" s="398">
        <v>4</v>
      </c>
      <c r="T252" s="398">
        <v>293.46039999999999</v>
      </c>
      <c r="U252" s="398">
        <v>101.57</v>
      </c>
      <c r="W252" s="401" t="s">
        <v>843</v>
      </c>
      <c r="X252" s="402" t="s">
        <v>357</v>
      </c>
      <c r="Y252" s="386">
        <f t="shared" si="50"/>
        <v>29806.769882469998</v>
      </c>
      <c r="Z252" s="387">
        <f t="shared" si="51"/>
        <v>2.634636211479768E-2</v>
      </c>
      <c r="AA252" s="387">
        <f t="shared" si="52"/>
        <v>0.04</v>
      </c>
      <c r="AB252" s="403">
        <f t="shared" si="53"/>
        <v>6.6873289357093635E-2</v>
      </c>
      <c r="AC252" s="388">
        <f t="shared" si="54"/>
        <v>5.8856165409296743E-4</v>
      </c>
      <c r="AD252" s="389">
        <f t="shared" si="55"/>
        <v>3.9359053798648662E-5</v>
      </c>
    </row>
    <row r="253" spans="1:30" x14ac:dyDescent="0.55000000000000004">
      <c r="A253" t="str">
        <f t="shared" si="42"/>
        <v>Intuitive Surgical Inc</v>
      </c>
      <c r="B253" t="str">
        <f t="shared" si="42"/>
        <v>ISRG</v>
      </c>
      <c r="C253" s="382">
        <f t="shared" si="43"/>
        <v>0</v>
      </c>
      <c r="D253" s="383">
        <f t="shared" si="44"/>
        <v>203964.98457231998</v>
      </c>
      <c r="E253" s="384">
        <f t="shared" si="45"/>
        <v>0.16574999999999998</v>
      </c>
      <c r="F253" s="385">
        <v>0.14499999999999999</v>
      </c>
      <c r="G253" s="382">
        <v>0.142952</v>
      </c>
      <c r="H253" s="399">
        <f t="shared" si="46"/>
        <v>0.15123399999999998</v>
      </c>
      <c r="I253" s="399">
        <f t="shared" si="47"/>
        <v>0.15123399999999998</v>
      </c>
      <c r="J253" s="382">
        <f t="shared" si="48"/>
        <v>3.8147746710490097E-3</v>
      </c>
      <c r="K253" s="382">
        <f t="shared" si="49"/>
        <v>5.7692363260142591E-4</v>
      </c>
      <c r="M253" s="400"/>
      <c r="N253" s="398" t="s">
        <v>4165</v>
      </c>
      <c r="O253" s="398" t="s">
        <v>844</v>
      </c>
      <c r="P253" s="398" t="s">
        <v>358</v>
      </c>
      <c r="Q253" s="398">
        <v>203964984572.31998</v>
      </c>
      <c r="R253" s="398">
        <v>0</v>
      </c>
      <c r="S253" s="398">
        <v>16.574999999999999</v>
      </c>
      <c r="T253" s="398">
        <v>356.65699999999998</v>
      </c>
      <c r="U253" s="398">
        <v>571.88</v>
      </c>
      <c r="W253" s="401" t="s">
        <v>844</v>
      </c>
      <c r="X253" s="402" t="s">
        <v>358</v>
      </c>
      <c r="Y253" s="386">
        <f t="shared" si="50"/>
        <v>203964.98457231998</v>
      </c>
      <c r="Z253" s="387">
        <f t="shared" si="51"/>
        <v>0</v>
      </c>
      <c r="AA253" s="387">
        <f t="shared" si="52"/>
        <v>0.16574999999999998</v>
      </c>
      <c r="AB253" s="403">
        <f t="shared" si="53"/>
        <v>0.16574999999999998</v>
      </c>
      <c r="AC253" s="388">
        <f t="shared" si="54"/>
        <v>4.0274732609497828E-3</v>
      </c>
      <c r="AD253" s="389">
        <f t="shared" si="55"/>
        <v>6.6755369300242637E-4</v>
      </c>
    </row>
    <row r="254" spans="1:30" x14ac:dyDescent="0.55000000000000004">
      <c r="A254" t="str">
        <f t="shared" si="42"/>
        <v>Gartner Inc</v>
      </c>
      <c r="B254" t="str">
        <f t="shared" si="42"/>
        <v>IT</v>
      </c>
      <c r="C254" s="382">
        <f t="shared" si="43"/>
        <v>0</v>
      </c>
      <c r="D254" s="383">
        <f t="shared" si="44"/>
        <v>41870.801212400009</v>
      </c>
      <c r="E254" s="384">
        <f t="shared" si="45"/>
        <v>0.09</v>
      </c>
      <c r="F254" s="385">
        <v>0.08</v>
      </c>
      <c r="G254" s="382">
        <v>0.106015</v>
      </c>
      <c r="H254" s="399">
        <f t="shared" si="46"/>
        <v>9.2005000000000003E-2</v>
      </c>
      <c r="I254" s="399">
        <f t="shared" si="47"/>
        <v>9.2005000000000003E-2</v>
      </c>
      <c r="J254" s="382">
        <f t="shared" si="48"/>
        <v>7.8311320080999981E-4</v>
      </c>
      <c r="K254" s="382">
        <f t="shared" si="49"/>
        <v>7.2050330040524034E-5</v>
      </c>
      <c r="M254" s="400"/>
      <c r="N254" s="398" t="s">
        <v>4166</v>
      </c>
      <c r="O254" s="398" t="s">
        <v>845</v>
      </c>
      <c r="P254" s="398" t="s">
        <v>359</v>
      </c>
      <c r="Q254" s="398">
        <v>41870801212.400009</v>
      </c>
      <c r="R254" s="398">
        <v>0</v>
      </c>
      <c r="S254" s="398">
        <v>9</v>
      </c>
      <c r="T254" s="398">
        <v>77.13427999999999</v>
      </c>
      <c r="U254" s="398">
        <v>542.83000000000004</v>
      </c>
      <c r="W254" s="401" t="s">
        <v>845</v>
      </c>
      <c r="X254" s="402" t="s">
        <v>359</v>
      </c>
      <c r="Y254" s="386">
        <f t="shared" si="50"/>
        <v>41870.801212400009</v>
      </c>
      <c r="Z254" s="387">
        <f t="shared" si="51"/>
        <v>0</v>
      </c>
      <c r="AA254" s="387">
        <f t="shared" si="52"/>
        <v>0.09</v>
      </c>
      <c r="AB254" s="403">
        <f t="shared" si="53"/>
        <v>0.09</v>
      </c>
      <c r="AC254" s="388">
        <f t="shared" si="54"/>
        <v>8.2677687374173921E-4</v>
      </c>
      <c r="AD254" s="389">
        <f t="shared" si="55"/>
        <v>7.440991863675652E-5</v>
      </c>
    </row>
    <row r="255" spans="1:30" x14ac:dyDescent="0.55000000000000004">
      <c r="A255" t="str">
        <f t="shared" si="42"/>
        <v>Illinois Tool Works Inc</v>
      </c>
      <c r="B255" t="str">
        <f t="shared" si="42"/>
        <v>ITW</v>
      </c>
      <c r="C255" s="382">
        <f t="shared" si="43"/>
        <v>2.1994134897360702E-2</v>
      </c>
      <c r="D255" s="383">
        <f t="shared" si="44"/>
        <v>76529.948000000004</v>
      </c>
      <c r="E255" s="384">
        <f t="shared" si="45"/>
        <v>7.5600000000000001E-2</v>
      </c>
      <c r="F255" s="385">
        <v>0.09</v>
      </c>
      <c r="G255" s="382">
        <v>5.6516700000000003E-2</v>
      </c>
      <c r="H255" s="399">
        <f t="shared" si="46"/>
        <v>7.4038900000000005E-2</v>
      </c>
      <c r="I255" s="399">
        <f t="shared" si="47"/>
        <v>9.6847245674486812E-2</v>
      </c>
      <c r="J255" s="382">
        <f t="shared" si="48"/>
        <v>1.431346207876102E-3</v>
      </c>
      <c r="K255" s="382">
        <f t="shared" si="49"/>
        <v>1.3862193783942191E-4</v>
      </c>
      <c r="M255" s="400"/>
      <c r="N255" s="398" t="s">
        <v>4167</v>
      </c>
      <c r="O255" s="398" t="s">
        <v>846</v>
      </c>
      <c r="P255" s="398" t="s">
        <v>360</v>
      </c>
      <c r="Q255" s="398">
        <v>76529948000</v>
      </c>
      <c r="R255" s="398">
        <v>2.1994134897360702</v>
      </c>
      <c r="S255" s="398">
        <v>7.5600000000000005</v>
      </c>
      <c r="T255" s="398">
        <v>295.3</v>
      </c>
      <c r="U255" s="398">
        <v>259.16000000000003</v>
      </c>
      <c r="W255" s="401" t="s">
        <v>846</v>
      </c>
      <c r="X255" s="402" t="s">
        <v>360</v>
      </c>
      <c r="Y255" s="386">
        <f t="shared" si="50"/>
        <v>76529.948000000004</v>
      </c>
      <c r="Z255" s="387">
        <f t="shared" si="51"/>
        <v>2.1994134897360702E-2</v>
      </c>
      <c r="AA255" s="387">
        <f t="shared" si="52"/>
        <v>7.5600000000000001E-2</v>
      </c>
      <c r="AB255" s="403">
        <f t="shared" si="53"/>
        <v>9.8425513196480935E-2</v>
      </c>
      <c r="AC255" s="388">
        <f t="shared" si="54"/>
        <v>1.5111531024708349E-3</v>
      </c>
      <c r="AD255" s="389">
        <f t="shared" si="55"/>
        <v>1.4873601962914627E-4</v>
      </c>
    </row>
    <row r="256" spans="1:30" x14ac:dyDescent="0.55000000000000004">
      <c r="A256" t="str">
        <f t="shared" si="42"/>
        <v>Invesco Ltd</v>
      </c>
      <c r="B256" t="str">
        <f t="shared" si="42"/>
        <v>IVZ</v>
      </c>
      <c r="C256" s="382">
        <f t="shared" si="43"/>
        <v>4.4773790951638054E-2</v>
      </c>
      <c r="D256" s="383">
        <f t="shared" si="44"/>
        <v>8642.730276960001</v>
      </c>
      <c r="E256" s="384">
        <f t="shared" si="45"/>
        <v>0.11525000000000001</v>
      </c>
      <c r="F256" s="385">
        <v>0.105</v>
      </c>
      <c r="G256" s="382">
        <v>0.11628500000000001</v>
      </c>
      <c r="H256" s="399">
        <f t="shared" si="46"/>
        <v>0.11217833333333334</v>
      </c>
      <c r="I256" s="399">
        <f t="shared" si="47"/>
        <v>0.15946344890795633</v>
      </c>
      <c r="J256" s="382">
        <f t="shared" si="48"/>
        <v>1.6164572864498311E-4</v>
      </c>
      <c r="K256" s="382">
        <f t="shared" si="49"/>
        <v>2.5776585390968638E-5</v>
      </c>
      <c r="M256" s="400"/>
      <c r="N256" s="398" t="s">
        <v>4168</v>
      </c>
      <c r="O256" s="398" t="s">
        <v>847</v>
      </c>
      <c r="P256" s="398" t="s">
        <v>361</v>
      </c>
      <c r="Q256" s="398">
        <v>8642730276.960001</v>
      </c>
      <c r="R256" s="398">
        <v>4.4773790951638057</v>
      </c>
      <c r="S256" s="398">
        <v>11.525</v>
      </c>
      <c r="T256" s="398">
        <v>449.44</v>
      </c>
      <c r="U256" s="398">
        <v>19.23</v>
      </c>
      <c r="W256" s="401" t="s">
        <v>847</v>
      </c>
      <c r="X256" s="402" t="s">
        <v>361</v>
      </c>
      <c r="Y256" s="386">
        <f t="shared" si="50"/>
        <v>8642.730276960001</v>
      </c>
      <c r="Z256" s="387">
        <f t="shared" si="51"/>
        <v>4.4773790951638054E-2</v>
      </c>
      <c r="AA256" s="387">
        <f t="shared" si="52"/>
        <v>0.11525000000000001</v>
      </c>
      <c r="AB256" s="403">
        <f t="shared" si="53"/>
        <v>0.16260388065522621</v>
      </c>
      <c r="AC256" s="388">
        <f t="shared" si="54"/>
        <v>1.7065853320384752E-4</v>
      </c>
      <c r="AD256" s="389">
        <f t="shared" si="55"/>
        <v>2.7749739765874383E-5</v>
      </c>
    </row>
    <row r="257" spans="1:30" x14ac:dyDescent="0.55000000000000004">
      <c r="A257" t="str">
        <f t="shared" si="42"/>
        <v>Jacobs Solutions Inc</v>
      </c>
      <c r="B257" t="str">
        <f t="shared" si="42"/>
        <v>J</v>
      </c>
      <c r="C257" s="382">
        <f t="shared" si="43"/>
        <v>8.1852565474916147E-3</v>
      </c>
      <c r="D257" s="383">
        <f t="shared" si="44"/>
        <v>17378.516923650001</v>
      </c>
      <c r="E257" s="384" t="str">
        <f t="shared" si="45"/>
        <v>N/A</v>
      </c>
      <c r="F257" s="385">
        <v>7.0000000000000007E-2</v>
      </c>
      <c r="G257" s="382">
        <v>0.10874940000000001</v>
      </c>
      <c r="H257" s="399">
        <f t="shared" si="46"/>
        <v>8.9374700000000001E-2</v>
      </c>
      <c r="I257" s="399">
        <f t="shared" si="47"/>
        <v>9.7925733971669163E-2</v>
      </c>
      <c r="J257" s="382">
        <f t="shared" si="48"/>
        <v>3.2503189858664334E-4</v>
      </c>
      <c r="K257" s="382">
        <f t="shared" si="49"/>
        <v>3.1828987233302189E-5</v>
      </c>
      <c r="M257" s="400"/>
      <c r="N257" s="398" t="s">
        <v>4169</v>
      </c>
      <c r="O257" s="398" t="s">
        <v>848</v>
      </c>
      <c r="P257" s="398" t="s">
        <v>362</v>
      </c>
      <c r="Q257" s="398">
        <v>17378516923.650002</v>
      </c>
      <c r="R257" s="398">
        <v>0.8185256547491615</v>
      </c>
      <c r="S257" s="398" t="s">
        <v>3929</v>
      </c>
      <c r="T257" s="398">
        <v>124.0171</v>
      </c>
      <c r="U257" s="398">
        <v>140.13</v>
      </c>
      <c r="W257" s="401" t="s">
        <v>848</v>
      </c>
      <c r="X257" s="402" t="s">
        <v>362</v>
      </c>
      <c r="Y257" s="386">
        <f t="shared" si="50"/>
        <v>17378.516923650001</v>
      </c>
      <c r="Z257" s="387">
        <f t="shared" si="51"/>
        <v>8.1852565474916147E-3</v>
      </c>
      <c r="AA257" s="387" t="str">
        <f t="shared" si="52"/>
        <v>N/A</v>
      </c>
      <c r="AB257" s="403" t="str">
        <f t="shared" si="53"/>
        <v>N/A</v>
      </c>
      <c r="AC257" s="388">
        <f t="shared" si="54"/>
        <v>3.4315454866787061E-4</v>
      </c>
      <c r="AD257" s="389" t="str">
        <f t="shared" si="55"/>
        <v>N/A</v>
      </c>
    </row>
    <row r="258" spans="1:30" x14ac:dyDescent="0.55000000000000004">
      <c r="A258" t="str">
        <f t="shared" si="42"/>
        <v>JB Hunt Transport Services Inc</v>
      </c>
      <c r="B258" t="str">
        <f t="shared" si="42"/>
        <v>JBHT</v>
      </c>
      <c r="C258" s="382">
        <f t="shared" si="43"/>
        <v>1.0466067048242029E-2</v>
      </c>
      <c r="D258" s="383">
        <f t="shared" si="44"/>
        <v>17264.104723879998</v>
      </c>
      <c r="E258" s="384">
        <f t="shared" si="45"/>
        <v>0.1643</v>
      </c>
      <c r="F258" s="385">
        <v>0.06</v>
      </c>
      <c r="G258" s="382">
        <v>0.12478020000000001</v>
      </c>
      <c r="H258" s="399">
        <f t="shared" si="46"/>
        <v>0.11636006666666666</v>
      </c>
      <c r="I258" s="399">
        <f t="shared" si="47"/>
        <v>0.12743504984464432</v>
      </c>
      <c r="J258" s="382">
        <f t="shared" si="48"/>
        <v>3.2289203736165524E-4</v>
      </c>
      <c r="K258" s="382">
        <f t="shared" si="49"/>
        <v>4.1147762875621294E-5</v>
      </c>
      <c r="M258" s="400"/>
      <c r="N258" s="398" t="s">
        <v>4170</v>
      </c>
      <c r="O258" s="398" t="s">
        <v>849</v>
      </c>
      <c r="P258" s="398" t="s">
        <v>363</v>
      </c>
      <c r="Q258" s="398">
        <v>17264104723.879997</v>
      </c>
      <c r="R258" s="398">
        <v>1.0466067048242029</v>
      </c>
      <c r="S258" s="398">
        <v>16.43</v>
      </c>
      <c r="T258" s="398">
        <v>100.83</v>
      </c>
      <c r="U258" s="398">
        <v>171.22</v>
      </c>
      <c r="W258" s="401" t="s">
        <v>849</v>
      </c>
      <c r="X258" s="402" t="s">
        <v>363</v>
      </c>
      <c r="Y258" s="386">
        <f t="shared" si="50"/>
        <v>17264.104723879998</v>
      </c>
      <c r="Z258" s="387">
        <f t="shared" si="51"/>
        <v>1.0466067048242029E-2</v>
      </c>
      <c r="AA258" s="387">
        <f t="shared" si="52"/>
        <v>0.1643</v>
      </c>
      <c r="AB258" s="403">
        <f t="shared" si="53"/>
        <v>0.17562585445625511</v>
      </c>
      <c r="AC258" s="388">
        <f t="shared" si="54"/>
        <v>3.4089537621105734E-4</v>
      </c>
      <c r="AD258" s="389">
        <f t="shared" si="55"/>
        <v>5.987004172725349E-5</v>
      </c>
    </row>
    <row r="259" spans="1:30" x14ac:dyDescent="0.55000000000000004">
      <c r="A259" t="str">
        <f t="shared" si="42"/>
        <v>Jabil Inc</v>
      </c>
      <c r="B259" t="str">
        <f t="shared" si="42"/>
        <v>JBL</v>
      </c>
      <c r="C259" s="382">
        <f t="shared" si="43"/>
        <v>2.0011083061387846E-3</v>
      </c>
      <c r="D259" s="383">
        <f t="shared" si="44"/>
        <v>17731.684245249999</v>
      </c>
      <c r="E259" s="384">
        <f t="shared" si="45"/>
        <v>0.12520000000000001</v>
      </c>
      <c r="F259" s="385">
        <v>0.125</v>
      </c>
      <c r="G259" s="382">
        <v>0.1251844</v>
      </c>
      <c r="H259" s="399">
        <f t="shared" si="46"/>
        <v>0.12512813333333331</v>
      </c>
      <c r="I259" s="399">
        <f t="shared" si="47"/>
        <v>0.12725443911294457</v>
      </c>
      <c r="J259" s="382">
        <f t="shared" si="48"/>
        <v>3.3163721741578868E-4</v>
      </c>
      <c r="K259" s="382">
        <f t="shared" si="49"/>
        <v>4.2202308091223838E-5</v>
      </c>
      <c r="M259" s="400"/>
      <c r="N259" s="398" t="s">
        <v>4171</v>
      </c>
      <c r="O259" s="398" t="s">
        <v>850</v>
      </c>
      <c r="P259" s="398" t="s">
        <v>364</v>
      </c>
      <c r="Q259" s="398">
        <v>17731684245.25</v>
      </c>
      <c r="R259" s="398">
        <v>0.20011083061387847</v>
      </c>
      <c r="S259" s="398">
        <v>12.52</v>
      </c>
      <c r="T259" s="398">
        <v>109.1785</v>
      </c>
      <c r="U259" s="398">
        <v>162.41</v>
      </c>
      <c r="W259" s="401" t="s">
        <v>850</v>
      </c>
      <c r="X259" s="402" t="s">
        <v>364</v>
      </c>
      <c r="Y259" s="386">
        <f t="shared" si="50"/>
        <v>17731.684245249999</v>
      </c>
      <c r="Z259" s="387">
        <f t="shared" si="51"/>
        <v>2.0011083061387846E-3</v>
      </c>
      <c r="AA259" s="387">
        <f t="shared" si="52"/>
        <v>0.12520000000000001</v>
      </c>
      <c r="AB259" s="403">
        <f t="shared" si="53"/>
        <v>0.12732637768610308</v>
      </c>
      <c r="AC259" s="388">
        <f t="shared" si="54"/>
        <v>3.5012815713977434E-4</v>
      </c>
      <c r="AD259" s="389">
        <f t="shared" si="55"/>
        <v>4.458054997451816E-5</v>
      </c>
    </row>
    <row r="260" spans="1:30" x14ac:dyDescent="0.55000000000000004">
      <c r="A260" t="str">
        <f t="shared" si="42"/>
        <v>Johnson Controls International plc</v>
      </c>
      <c r="B260" t="str">
        <f t="shared" si="42"/>
        <v>JCI</v>
      </c>
      <c r="C260" s="382">
        <f t="shared" si="43"/>
        <v>1.9794871794871795E-2</v>
      </c>
      <c r="D260" s="383">
        <f t="shared" si="44"/>
        <v>51490.856663999999</v>
      </c>
      <c r="E260" s="384">
        <f t="shared" si="45"/>
        <v>9.2450000000000004E-2</v>
      </c>
      <c r="F260" s="385">
        <v>0.1</v>
      </c>
      <c r="G260" s="382">
        <v>0.11372120000000001</v>
      </c>
      <c r="H260" s="399">
        <f t="shared" si="46"/>
        <v>0.10205706666666668</v>
      </c>
      <c r="I260" s="399">
        <f t="shared" si="47"/>
        <v>0.12286204173675215</v>
      </c>
      <c r="J260" s="382">
        <f t="shared" si="48"/>
        <v>9.6303792635934245E-4</v>
      </c>
      <c r="K260" s="382">
        <f t="shared" si="49"/>
        <v>1.1832080590243678E-4</v>
      </c>
      <c r="M260" s="400"/>
      <c r="N260" s="398" t="s">
        <v>4172</v>
      </c>
      <c r="O260" s="398" t="s">
        <v>365</v>
      </c>
      <c r="P260" s="398" t="s">
        <v>366</v>
      </c>
      <c r="Q260" s="398">
        <v>51490856664</v>
      </c>
      <c r="R260" s="398">
        <v>1.9794871794871796</v>
      </c>
      <c r="S260" s="398">
        <v>9.245000000000001</v>
      </c>
      <c r="T260" s="398">
        <v>660.13919999999996</v>
      </c>
      <c r="U260" s="398">
        <v>78</v>
      </c>
      <c r="W260" s="401" t="s">
        <v>365</v>
      </c>
      <c r="X260" s="402" t="s">
        <v>366</v>
      </c>
      <c r="Y260" s="386">
        <f t="shared" si="50"/>
        <v>51490.856663999999</v>
      </c>
      <c r="Z260" s="387">
        <f t="shared" si="51"/>
        <v>1.9794871794871795E-2</v>
      </c>
      <c r="AA260" s="387">
        <f t="shared" si="52"/>
        <v>9.2450000000000004E-2</v>
      </c>
      <c r="AB260" s="403">
        <f t="shared" si="53"/>
        <v>0.11315988974358974</v>
      </c>
      <c r="AC260" s="388">
        <f t="shared" si="54"/>
        <v>1.0167335772485388E-3</v>
      </c>
      <c r="AD260" s="389">
        <f t="shared" si="55"/>
        <v>1.1505345950005024E-4</v>
      </c>
    </row>
    <row r="261" spans="1:30" x14ac:dyDescent="0.55000000000000004">
      <c r="A261" t="str">
        <f t="shared" si="42"/>
        <v>Jack Henry &amp; Associates Inc</v>
      </c>
      <c r="B261" t="str">
        <f t="shared" si="42"/>
        <v>JKHY</v>
      </c>
      <c r="C261" s="382">
        <f t="shared" si="43"/>
        <v>1.2872652076512149E-2</v>
      </c>
      <c r="D261" s="383">
        <f t="shared" si="44"/>
        <v>12701.488889250002</v>
      </c>
      <c r="E261" s="384">
        <f t="shared" si="45"/>
        <v>9.3000000000000013E-2</v>
      </c>
      <c r="F261" s="385">
        <v>6.5000000000000002E-2</v>
      </c>
      <c r="G261" s="382">
        <v>8.6524599999999993E-2</v>
      </c>
      <c r="H261" s="399">
        <f t="shared" si="46"/>
        <v>8.1508200000000017E-2</v>
      </c>
      <c r="I261" s="399">
        <f t="shared" si="47"/>
        <v>9.4905465426503549E-2</v>
      </c>
      <c r="J261" s="382">
        <f t="shared" si="48"/>
        <v>2.3755704049359123E-4</v>
      </c>
      <c r="K261" s="382">
        <f t="shared" si="49"/>
        <v>2.2545461493387025E-5</v>
      </c>
      <c r="M261" s="400"/>
      <c r="N261" s="398" t="s">
        <v>4173</v>
      </c>
      <c r="O261" s="398" t="s">
        <v>851</v>
      </c>
      <c r="P261" s="398" t="s">
        <v>367</v>
      </c>
      <c r="Q261" s="398">
        <v>12701488889.250002</v>
      </c>
      <c r="R261" s="398">
        <v>1.287265207651215</v>
      </c>
      <c r="S261" s="398">
        <v>9.3000000000000007</v>
      </c>
      <c r="T261" s="398">
        <v>72.959329999999994</v>
      </c>
      <c r="U261" s="398">
        <v>174.09</v>
      </c>
      <c r="W261" s="401" t="s">
        <v>851</v>
      </c>
      <c r="X261" s="402" t="s">
        <v>367</v>
      </c>
      <c r="Y261" s="386">
        <f t="shared" si="50"/>
        <v>12701.488889250002</v>
      </c>
      <c r="Z261" s="387">
        <f t="shared" si="51"/>
        <v>1.2872652076512149E-2</v>
      </c>
      <c r="AA261" s="387">
        <f t="shared" si="52"/>
        <v>9.3000000000000013E-2</v>
      </c>
      <c r="AB261" s="403">
        <f t="shared" si="53"/>
        <v>0.10647123039806998</v>
      </c>
      <c r="AC261" s="388">
        <f t="shared" si="54"/>
        <v>2.508023962199606E-4</v>
      </c>
      <c r="AD261" s="389">
        <f t="shared" si="55"/>
        <v>2.6703239712323459E-5</v>
      </c>
    </row>
    <row r="262" spans="1:30" x14ac:dyDescent="0.55000000000000004">
      <c r="A262" t="str">
        <f t="shared" ref="A262:B325" si="56">O262</f>
        <v>Johnson &amp; Johnson</v>
      </c>
      <c r="B262" t="str">
        <f t="shared" si="56"/>
        <v>JNJ</v>
      </c>
      <c r="C262" s="382">
        <f t="shared" ref="C262:C325" si="57">VLOOKUP($B262,$X$5:$AA$504, 3, FALSE)</f>
        <v>3.3769306605323693E-2</v>
      </c>
      <c r="D262" s="383">
        <f t="shared" ref="D262:D325" si="58">VLOOKUP($B262,$X$5:$AA$504, 2, FALSE)</f>
        <v>366319.83518980001</v>
      </c>
      <c r="E262" s="384" t="str">
        <f t="shared" ref="E262:E325" si="59">VLOOKUP($B262,$X$5:$AA$504, 4, FALSE)</f>
        <v>N/A</v>
      </c>
      <c r="F262" s="385">
        <v>0.03</v>
      </c>
      <c r="G262" s="382">
        <v>6.0669100000000004E-2</v>
      </c>
      <c r="H262" s="399">
        <f t="shared" ref="H262:H325" si="60">IFERROR(AVERAGE(E262:G262),"N/A")</f>
        <v>4.5334550000000001E-2</v>
      </c>
      <c r="I262" s="399">
        <f t="shared" ref="I262:I325" si="61">IFERROR(C262*(1+0.5*H262)+H262,"N/A")</f>
        <v>7.9869314764705879E-2</v>
      </c>
      <c r="J262" s="382">
        <f t="shared" ref="J262:J325" si="62">IF(I262="N/A","N/A",D262/$D$505)</f>
        <v>6.8513114234537154E-3</v>
      </c>
      <c r="K262" s="382">
        <f t="shared" ref="K262:K325" si="63">IF(AND(ISNUMBER(D262),ISNUMBER(I262)),I262*J262,"N/A")</f>
        <v>5.4720954863084984E-4</v>
      </c>
      <c r="M262" s="400"/>
      <c r="N262" s="398" t="s">
        <v>4174</v>
      </c>
      <c r="O262" s="398" t="s">
        <v>368</v>
      </c>
      <c r="P262" s="398" t="s">
        <v>369</v>
      </c>
      <c r="Q262" s="398">
        <v>366319835189.79999</v>
      </c>
      <c r="R262" s="398">
        <v>3.376930660532369</v>
      </c>
      <c r="S262" s="398" t="s">
        <v>3929</v>
      </c>
      <c r="T262" s="398">
        <v>2407.623</v>
      </c>
      <c r="U262" s="398">
        <v>152.15</v>
      </c>
      <c r="W262" s="401" t="s">
        <v>368</v>
      </c>
      <c r="X262" s="402" t="s">
        <v>369</v>
      </c>
      <c r="Y262" s="386">
        <f t="shared" ref="Y262:Y325" si="64">Q262/1000000</f>
        <v>366319.83518980001</v>
      </c>
      <c r="Z262" s="387">
        <f t="shared" ref="Z262:Z325" si="65">IFERROR(R262/100,"0.00%")</f>
        <v>3.3769306605323693E-2</v>
      </c>
      <c r="AA262" s="387" t="str">
        <f t="shared" ref="AA262:AA325" si="66">IFERROR(S262/100,"N/A")</f>
        <v>N/A</v>
      </c>
      <c r="AB262" s="403" t="str">
        <f t="shared" ref="AB262:AB325" si="67">IFERROR(Z262*(1+0.5*AA262)+AA262,"N/A")</f>
        <v>N/A</v>
      </c>
      <c r="AC262" s="388">
        <f t="shared" ref="AC262:AC325" si="68">IF(Y262= "N/A","N/A", Y262/$Y$506)</f>
        <v>7.2333167591290036E-3</v>
      </c>
      <c r="AD262" s="389" t="str">
        <f t="shared" ref="AD262:AD325" si="69">IF(AND(ISNUMBER(Y262),ISNUMBER(AB262)),AB262*AC262,"N/A")</f>
        <v>N/A</v>
      </c>
    </row>
    <row r="263" spans="1:30" x14ac:dyDescent="0.55000000000000004">
      <c r="A263" t="str">
        <f t="shared" si="56"/>
        <v>Juniper Networks Inc</v>
      </c>
      <c r="B263" t="str">
        <f t="shared" si="56"/>
        <v>JNPR</v>
      </c>
      <c r="C263" s="382">
        <f t="shared" si="57"/>
        <v>2.5243832472748137E-2</v>
      </c>
      <c r="D263" s="383">
        <f t="shared" si="58"/>
        <v>11541.764527019999</v>
      </c>
      <c r="E263" s="384">
        <f t="shared" si="59"/>
        <v>3.56E-2</v>
      </c>
      <c r="F263" s="385">
        <v>6.5000000000000002E-2</v>
      </c>
      <c r="G263" s="382">
        <v>0.1318638</v>
      </c>
      <c r="H263" s="399">
        <f t="shared" si="60"/>
        <v>7.7487933333333328E-2</v>
      </c>
      <c r="I263" s="399">
        <f t="shared" si="61"/>
        <v>0.10370981200994453</v>
      </c>
      <c r="J263" s="382">
        <f t="shared" si="62"/>
        <v>2.1586661587629703E-4</v>
      </c>
      <c r="K263" s="382">
        <f t="shared" si="63"/>
        <v>2.2387486151753671E-5</v>
      </c>
      <c r="M263" s="400"/>
      <c r="N263" s="398" t="s">
        <v>4175</v>
      </c>
      <c r="O263" s="398" t="s">
        <v>852</v>
      </c>
      <c r="P263" s="398" t="s">
        <v>370</v>
      </c>
      <c r="Q263" s="398">
        <v>11541764527.019999</v>
      </c>
      <c r="R263" s="398">
        <v>2.5243832472748138</v>
      </c>
      <c r="S263" s="398">
        <v>3.56</v>
      </c>
      <c r="T263" s="398">
        <v>331.08909999999997</v>
      </c>
      <c r="U263" s="398">
        <v>34.86</v>
      </c>
      <c r="W263" s="401" t="s">
        <v>852</v>
      </c>
      <c r="X263" s="402" t="s">
        <v>370</v>
      </c>
      <c r="Y263" s="386">
        <f t="shared" si="64"/>
        <v>11541.764527019999</v>
      </c>
      <c r="Z263" s="387">
        <f t="shared" si="65"/>
        <v>2.5243832472748137E-2</v>
      </c>
      <c r="AA263" s="387">
        <f t="shared" si="66"/>
        <v>3.56E-2</v>
      </c>
      <c r="AB263" s="403">
        <f t="shared" si="67"/>
        <v>6.1293172690763051E-2</v>
      </c>
      <c r="AC263" s="388">
        <f t="shared" si="68"/>
        <v>2.2790258884004599E-4</v>
      </c>
      <c r="AD263" s="389">
        <f t="shared" si="69"/>
        <v>1.3968872734444907E-5</v>
      </c>
    </row>
    <row r="264" spans="1:30" x14ac:dyDescent="0.55000000000000004">
      <c r="A264" t="str">
        <f t="shared" si="56"/>
        <v>JPMorgan Chase &amp; Co</v>
      </c>
      <c r="B264" t="str">
        <f t="shared" si="56"/>
        <v>JPM</v>
      </c>
      <c r="C264" s="382">
        <f t="shared" si="57"/>
        <v>1.9509913954358398E-2</v>
      </c>
      <c r="D264" s="383">
        <f t="shared" si="58"/>
        <v>752540.49480059999</v>
      </c>
      <c r="E264" s="384" t="str">
        <f t="shared" si="59"/>
        <v>N/A</v>
      </c>
      <c r="F264" s="385">
        <v>7.0000000000000007E-2</v>
      </c>
      <c r="G264" s="382">
        <v>2.6259999999999999E-2</v>
      </c>
      <c r="H264" s="399">
        <f t="shared" si="60"/>
        <v>4.8130000000000006E-2</v>
      </c>
      <c r="I264" s="399">
        <f t="shared" si="61"/>
        <v>6.8109420033670043E-2</v>
      </c>
      <c r="J264" s="382">
        <f t="shared" si="62"/>
        <v>1.4074829679827355E-2</v>
      </c>
      <c r="K264" s="382">
        <f t="shared" si="63"/>
        <v>9.5862848656572694E-4</v>
      </c>
      <c r="M264" s="400"/>
      <c r="N264" s="398" t="s">
        <v>4176</v>
      </c>
      <c r="O264" s="398" t="s">
        <v>853</v>
      </c>
      <c r="P264" s="398" t="s">
        <v>371</v>
      </c>
      <c r="Q264" s="398">
        <v>752540494800.59998</v>
      </c>
      <c r="R264" s="398">
        <v>1.9509913954358398</v>
      </c>
      <c r="S264" s="398" t="s">
        <v>3929</v>
      </c>
      <c r="T264" s="398">
        <v>2815.3399999999997</v>
      </c>
      <c r="U264" s="398">
        <v>267.3</v>
      </c>
      <c r="W264" s="401" t="s">
        <v>853</v>
      </c>
      <c r="X264" s="402" t="s">
        <v>371</v>
      </c>
      <c r="Y264" s="386">
        <f t="shared" si="64"/>
        <v>752540.49480059999</v>
      </c>
      <c r="Z264" s="387">
        <f t="shared" si="65"/>
        <v>1.9509913954358398E-2</v>
      </c>
      <c r="AA264" s="387" t="str">
        <f t="shared" si="66"/>
        <v>N/A</v>
      </c>
      <c r="AB264" s="403" t="str">
        <f t="shared" si="67"/>
        <v>N/A</v>
      </c>
      <c r="AC264" s="388">
        <f t="shared" si="68"/>
        <v>1.4859593311795585E-2</v>
      </c>
      <c r="AD264" s="389" t="str">
        <f t="shared" si="69"/>
        <v>N/A</v>
      </c>
    </row>
    <row r="265" spans="1:30" x14ac:dyDescent="0.55000000000000004">
      <c r="A265" t="str">
        <f t="shared" si="56"/>
        <v>Kellanova</v>
      </c>
      <c r="B265" t="str">
        <f t="shared" si="56"/>
        <v>K</v>
      </c>
      <c r="C265" s="382">
        <f t="shared" si="57"/>
        <v>2.7860026917900401E-2</v>
      </c>
      <c r="D265" s="383">
        <f t="shared" si="58"/>
        <v>28172.158876619997</v>
      </c>
      <c r="E265" s="384">
        <f t="shared" si="59"/>
        <v>9.4100000000000003E-2</v>
      </c>
      <c r="F265" s="385">
        <v>2.5000000000000001E-2</v>
      </c>
      <c r="G265" s="382">
        <v>7.4408000000000002E-2</v>
      </c>
      <c r="H265" s="399">
        <f t="shared" si="60"/>
        <v>6.4502666666666666E-2</v>
      </c>
      <c r="I265" s="399">
        <f t="shared" si="61"/>
        <v>9.3261216599371921E-2</v>
      </c>
      <c r="J265" s="382">
        <f t="shared" si="62"/>
        <v>5.2690631353536385E-4</v>
      </c>
      <c r="K265" s="382">
        <f t="shared" si="63"/>
        <v>4.9139923834198138E-5</v>
      </c>
      <c r="M265" s="400"/>
      <c r="N265" s="398" t="s">
        <v>4177</v>
      </c>
      <c r="O265" s="398" t="s">
        <v>372</v>
      </c>
      <c r="P265" s="398" t="s">
        <v>373</v>
      </c>
      <c r="Q265" s="398">
        <v>28172158876.619995</v>
      </c>
      <c r="R265" s="398">
        <v>2.7860026917900402</v>
      </c>
      <c r="S265" s="398">
        <v>9.41</v>
      </c>
      <c r="T265" s="398">
        <v>344.6979</v>
      </c>
      <c r="U265" s="398">
        <v>81.73</v>
      </c>
      <c r="W265" s="401" t="s">
        <v>372</v>
      </c>
      <c r="X265" s="402" t="s">
        <v>373</v>
      </c>
      <c r="Y265" s="386">
        <f t="shared" si="64"/>
        <v>28172.158876619997</v>
      </c>
      <c r="Z265" s="387">
        <f t="shared" si="65"/>
        <v>2.7860026917900401E-2</v>
      </c>
      <c r="AA265" s="387">
        <f t="shared" si="66"/>
        <v>9.4100000000000003E-2</v>
      </c>
      <c r="AB265" s="403">
        <f t="shared" si="67"/>
        <v>0.12327084118438762</v>
      </c>
      <c r="AC265" s="388">
        <f t="shared" si="68"/>
        <v>5.5628478004069175E-4</v>
      </c>
      <c r="AD265" s="389">
        <f t="shared" si="69"/>
        <v>6.8573692773688116E-5</v>
      </c>
    </row>
    <row r="266" spans="1:30" x14ac:dyDescent="0.55000000000000004">
      <c r="A266" t="str">
        <f t="shared" si="56"/>
        <v>Keurig Dr Pepper Inc</v>
      </c>
      <c r="B266" t="str">
        <f t="shared" si="56"/>
        <v>KDP</v>
      </c>
      <c r="C266" s="382">
        <f t="shared" si="57"/>
        <v>2.7507788161993771E-2</v>
      </c>
      <c r="D266" s="383">
        <f t="shared" si="58"/>
        <v>43542.162132900005</v>
      </c>
      <c r="E266" s="384">
        <f t="shared" si="59"/>
        <v>6.9750000000000006E-2</v>
      </c>
      <c r="F266" s="385">
        <v>9.5000000000000001E-2</v>
      </c>
      <c r="G266" s="382">
        <v>7.6093999999999995E-2</v>
      </c>
      <c r="H266" s="399">
        <f t="shared" si="60"/>
        <v>8.028133333333333E-2</v>
      </c>
      <c r="I266" s="399">
        <f t="shared" si="61"/>
        <v>0.10889330245067497</v>
      </c>
      <c r="J266" s="382">
        <f t="shared" si="62"/>
        <v>8.1437280803657174E-4</v>
      </c>
      <c r="K266" s="382">
        <f t="shared" si="63"/>
        <v>8.8679744493131866E-5</v>
      </c>
      <c r="M266" s="400"/>
      <c r="N266" s="398" t="s">
        <v>4178</v>
      </c>
      <c r="O266" s="398" t="s">
        <v>854</v>
      </c>
      <c r="P266" s="398" t="s">
        <v>374</v>
      </c>
      <c r="Q266" s="398">
        <v>43542162132.900002</v>
      </c>
      <c r="R266" s="398">
        <v>2.7507788161993769</v>
      </c>
      <c r="S266" s="398">
        <v>6.9750000000000005</v>
      </c>
      <c r="T266" s="398">
        <v>1356.454</v>
      </c>
      <c r="U266" s="398">
        <v>32.1</v>
      </c>
      <c r="W266" s="401" t="s">
        <v>854</v>
      </c>
      <c r="X266" s="402" t="s">
        <v>374</v>
      </c>
      <c r="Y266" s="386">
        <f t="shared" si="64"/>
        <v>43542.162132900005</v>
      </c>
      <c r="Z266" s="387">
        <f t="shared" si="65"/>
        <v>2.7507788161993771E-2</v>
      </c>
      <c r="AA266" s="387">
        <f t="shared" si="66"/>
        <v>6.9750000000000006E-2</v>
      </c>
      <c r="AB266" s="403">
        <f t="shared" si="67"/>
        <v>9.8217122274143309E-2</v>
      </c>
      <c r="AC266" s="388">
        <f t="shared" si="68"/>
        <v>8.5977940812686756E-4</v>
      </c>
      <c r="AD266" s="389">
        <f t="shared" si="69"/>
        <v>8.4445059256787108E-5</v>
      </c>
    </row>
    <row r="267" spans="1:30" x14ac:dyDescent="0.55000000000000004">
      <c r="A267" t="str">
        <f t="shared" si="56"/>
        <v>KeyCorp</v>
      </c>
      <c r="B267" t="str">
        <f t="shared" si="56"/>
        <v>KEY</v>
      </c>
      <c r="C267" s="382">
        <f t="shared" si="57"/>
        <v>4.6162402669632924E-2</v>
      </c>
      <c r="D267" s="383">
        <f t="shared" si="58"/>
        <v>19900.012280000003</v>
      </c>
      <c r="E267" s="384">
        <f t="shared" si="59"/>
        <v>0.19055</v>
      </c>
      <c r="F267" s="385">
        <v>-0.02</v>
      </c>
      <c r="G267" s="382">
        <v>0.18363499999999999</v>
      </c>
      <c r="H267" s="399">
        <f t="shared" si="60"/>
        <v>0.11806166666666666</v>
      </c>
      <c r="I267" s="399">
        <f t="shared" si="61"/>
        <v>0.16694907443455692</v>
      </c>
      <c r="J267" s="382">
        <f t="shared" si="62"/>
        <v>3.7219164337686292E-4</v>
      </c>
      <c r="K267" s="382">
        <f t="shared" si="63"/>
        <v>6.2137050374043957E-5</v>
      </c>
      <c r="M267" s="400"/>
      <c r="N267" s="398" t="s">
        <v>4179</v>
      </c>
      <c r="O267" s="398" t="s">
        <v>375</v>
      </c>
      <c r="P267" s="398" t="s">
        <v>376</v>
      </c>
      <c r="Q267" s="398">
        <v>19900012280.000004</v>
      </c>
      <c r="R267" s="398">
        <v>4.6162402669632927</v>
      </c>
      <c r="S267" s="398">
        <v>19.055</v>
      </c>
      <c r="T267" s="398">
        <v>1106.7860000000001</v>
      </c>
      <c r="U267" s="398">
        <v>17.98</v>
      </c>
      <c r="W267" s="401" t="s">
        <v>375</v>
      </c>
      <c r="X267" s="402" t="s">
        <v>376</v>
      </c>
      <c r="Y267" s="386">
        <f t="shared" si="64"/>
        <v>19900.012280000003</v>
      </c>
      <c r="Z267" s="387">
        <f t="shared" si="65"/>
        <v>4.6162402669632924E-2</v>
      </c>
      <c r="AA267" s="387">
        <f t="shared" si="66"/>
        <v>0.19055</v>
      </c>
      <c r="AB267" s="403">
        <f t="shared" si="67"/>
        <v>0.24111052558398219</v>
      </c>
      <c r="AC267" s="388">
        <f t="shared" si="68"/>
        <v>3.9294375707833642E-4</v>
      </c>
      <c r="AD267" s="389">
        <f t="shared" si="69"/>
        <v>9.4742875794102315E-5</v>
      </c>
    </row>
    <row r="268" spans="1:30" x14ac:dyDescent="0.55000000000000004">
      <c r="A268" t="str">
        <f t="shared" si="56"/>
        <v>Keysight Technologies Inc</v>
      </c>
      <c r="B268" t="str">
        <f t="shared" si="56"/>
        <v>KEYS</v>
      </c>
      <c r="C268" s="382" t="str">
        <f t="shared" si="57"/>
        <v>0.00%</v>
      </c>
      <c r="D268" s="383">
        <f t="shared" si="58"/>
        <v>30837.988597349999</v>
      </c>
      <c r="E268" s="384">
        <f t="shared" si="59"/>
        <v>0.13100000000000001</v>
      </c>
      <c r="F268" s="385">
        <v>0.06</v>
      </c>
      <c r="G268" s="382">
        <v>8.8066099999999994E-2</v>
      </c>
      <c r="H268" s="399">
        <f t="shared" si="60"/>
        <v>9.3022033333333323E-2</v>
      </c>
      <c r="I268" s="399">
        <f t="shared" si="61"/>
        <v>9.3022033333333323E-2</v>
      </c>
      <c r="J268" s="382">
        <f t="shared" si="62"/>
        <v>5.7676555637204135E-4</v>
      </c>
      <c r="K268" s="382">
        <f t="shared" si="63"/>
        <v>5.3651904810358567E-5</v>
      </c>
      <c r="M268" s="400"/>
      <c r="N268" s="398" t="s">
        <v>4180</v>
      </c>
      <c r="O268" s="398" t="s">
        <v>855</v>
      </c>
      <c r="P268" s="398" t="s">
        <v>377</v>
      </c>
      <c r="Q268" s="398">
        <v>30837988597.349998</v>
      </c>
      <c r="R268" s="398" t="s">
        <v>3929</v>
      </c>
      <c r="S268" s="398">
        <v>13.1</v>
      </c>
      <c r="T268" s="398">
        <v>172.90709999999999</v>
      </c>
      <c r="U268" s="398">
        <v>178.35</v>
      </c>
      <c r="W268" s="401" t="s">
        <v>855</v>
      </c>
      <c r="X268" s="402" t="s">
        <v>377</v>
      </c>
      <c r="Y268" s="386">
        <f t="shared" si="64"/>
        <v>30837.988597349999</v>
      </c>
      <c r="Z268" s="387" t="str">
        <f t="shared" si="65"/>
        <v>0.00%</v>
      </c>
      <c r="AA268" s="387">
        <f t="shared" si="66"/>
        <v>0.13100000000000001</v>
      </c>
      <c r="AB268" s="403">
        <f t="shared" si="67"/>
        <v>0.13100000000000001</v>
      </c>
      <c r="AC268" s="388">
        <f t="shared" si="68"/>
        <v>6.0892400113542059E-4</v>
      </c>
      <c r="AD268" s="389">
        <f t="shared" si="69"/>
        <v>7.9769044148740099E-5</v>
      </c>
    </row>
    <row r="269" spans="1:30" x14ac:dyDescent="0.55000000000000004">
      <c r="A269" t="str">
        <f t="shared" si="56"/>
        <v>Kraft Heinz Co/The</v>
      </c>
      <c r="B269" t="str">
        <f t="shared" si="56"/>
        <v>KHC</v>
      </c>
      <c r="C269" s="382">
        <f t="shared" si="57"/>
        <v>5.3585790884718501E-2</v>
      </c>
      <c r="D269" s="383">
        <f t="shared" si="58"/>
        <v>36081.778836960002</v>
      </c>
      <c r="E269" s="384">
        <f t="shared" si="59"/>
        <v>1.6500000000000001E-2</v>
      </c>
      <c r="F269" s="385">
        <v>4.4999999999999998E-2</v>
      </c>
      <c r="G269" s="382">
        <v>3.2341500000000002E-2</v>
      </c>
      <c r="H269" s="399">
        <f t="shared" si="60"/>
        <v>3.1280499999999996E-2</v>
      </c>
      <c r="I269" s="399">
        <f t="shared" si="61"/>
        <v>8.570438605060321E-2</v>
      </c>
      <c r="J269" s="382">
        <f t="shared" si="62"/>
        <v>6.7484061679627541E-4</v>
      </c>
      <c r="K269" s="382">
        <f t="shared" si="63"/>
        <v>5.7836800744535172E-5</v>
      </c>
      <c r="M269" s="400"/>
      <c r="N269" s="398" t="s">
        <v>4181</v>
      </c>
      <c r="O269" s="398" t="s">
        <v>856</v>
      </c>
      <c r="P269" s="398" t="s">
        <v>378</v>
      </c>
      <c r="Q269" s="398">
        <v>36081778836.959999</v>
      </c>
      <c r="R269" s="398">
        <v>5.35857908847185</v>
      </c>
      <c r="S269" s="398">
        <v>1.6500000000000001</v>
      </c>
      <c r="T269" s="398">
        <v>1209.175</v>
      </c>
      <c r="U269" s="398">
        <v>29.84</v>
      </c>
      <c r="W269" s="401" t="s">
        <v>856</v>
      </c>
      <c r="X269" s="402" t="s">
        <v>378</v>
      </c>
      <c r="Y269" s="386">
        <f t="shared" si="64"/>
        <v>36081.778836960002</v>
      </c>
      <c r="Z269" s="387">
        <f t="shared" si="65"/>
        <v>5.3585790884718501E-2</v>
      </c>
      <c r="AA269" s="387">
        <f t="shared" si="66"/>
        <v>1.6500000000000001E-2</v>
      </c>
      <c r="AB269" s="403">
        <f t="shared" si="67"/>
        <v>7.0527873659517432E-2</v>
      </c>
      <c r="AC269" s="388">
        <f t="shared" si="68"/>
        <v>7.1246738639020926E-4</v>
      </c>
      <c r="AD269" s="389">
        <f t="shared" si="69"/>
        <v>5.0248809813855267E-5</v>
      </c>
    </row>
    <row r="270" spans="1:30" x14ac:dyDescent="0.55000000000000004">
      <c r="A270" t="str">
        <f t="shared" si="56"/>
        <v>Kimco Realty Corp</v>
      </c>
      <c r="B270" t="str">
        <f t="shared" si="56"/>
        <v>KIM</v>
      </c>
      <c r="C270" s="382">
        <f t="shared" si="57"/>
        <v>4.3207126948775064E-2</v>
      </c>
      <c r="D270" s="383">
        <f t="shared" si="58"/>
        <v>15133.914302500001</v>
      </c>
      <c r="E270" s="384">
        <f t="shared" si="59"/>
        <v>4.5400000000000003E-2</v>
      </c>
      <c r="F270" s="385">
        <v>0.18</v>
      </c>
      <c r="G270" s="382">
        <v>-6.4129999999999994E-3</v>
      </c>
      <c r="H270" s="399">
        <f t="shared" si="60"/>
        <v>7.2995666666666667E-2</v>
      </c>
      <c r="I270" s="399">
        <f t="shared" si="61"/>
        <v>0.11777976013363028</v>
      </c>
      <c r="J270" s="382">
        <f t="shared" si="62"/>
        <v>2.8305090246768855E-4</v>
      </c>
      <c r="K270" s="382">
        <f t="shared" si="63"/>
        <v>3.3337667398251935E-5</v>
      </c>
      <c r="M270" s="400"/>
      <c r="N270" s="398" t="s">
        <v>4182</v>
      </c>
      <c r="O270" s="398" t="s">
        <v>857</v>
      </c>
      <c r="P270" s="398" t="s">
        <v>379</v>
      </c>
      <c r="Q270" s="398">
        <v>15133914302.500002</v>
      </c>
      <c r="R270" s="398">
        <v>4.3207126948775061</v>
      </c>
      <c r="S270" s="398">
        <v>4.54</v>
      </c>
      <c r="T270" s="398">
        <v>674.11649999999997</v>
      </c>
      <c r="U270" s="398">
        <v>22.45</v>
      </c>
      <c r="W270" s="401" t="s">
        <v>857</v>
      </c>
      <c r="X270" s="402" t="s">
        <v>379</v>
      </c>
      <c r="Y270" s="386">
        <f t="shared" si="64"/>
        <v>15133.914302500001</v>
      </c>
      <c r="Z270" s="387">
        <f t="shared" si="65"/>
        <v>4.3207126948775064E-2</v>
      </c>
      <c r="AA270" s="387">
        <f t="shared" si="66"/>
        <v>4.5400000000000003E-2</v>
      </c>
      <c r="AB270" s="403">
        <f t="shared" si="67"/>
        <v>8.9587928730512259E-2</v>
      </c>
      <c r="AC270" s="388">
        <f t="shared" si="68"/>
        <v>2.988328379727975E-4</v>
      </c>
      <c r="AD270" s="389">
        <f t="shared" si="69"/>
        <v>2.6771814990643699E-5</v>
      </c>
    </row>
    <row r="271" spans="1:30" x14ac:dyDescent="0.55000000000000004">
      <c r="A271" t="str">
        <f t="shared" si="56"/>
        <v>KKR &amp; Co Inc</v>
      </c>
      <c r="B271" t="str">
        <f t="shared" si="56"/>
        <v>KKR</v>
      </c>
      <c r="C271" s="382">
        <f t="shared" si="57"/>
        <v>4.1838750224456826E-3</v>
      </c>
      <c r="D271" s="383">
        <f t="shared" si="58"/>
        <v>148396.40382662998</v>
      </c>
      <c r="E271" s="384">
        <f t="shared" si="59"/>
        <v>0.28999999999999998</v>
      </c>
      <c r="F271" s="385">
        <v>0.05</v>
      </c>
      <c r="G271" s="382">
        <v>0.26187500000000002</v>
      </c>
      <c r="H271" s="399">
        <f t="shared" si="60"/>
        <v>0.20062499999999997</v>
      </c>
      <c r="I271" s="399">
        <f t="shared" si="61"/>
        <v>0.20522856998563474</v>
      </c>
      <c r="J271" s="382">
        <f t="shared" si="62"/>
        <v>2.7754707200336455E-3</v>
      </c>
      <c r="K271" s="382">
        <f t="shared" si="63"/>
        <v>5.6960588690950509E-4</v>
      </c>
      <c r="M271" s="400"/>
      <c r="N271" s="398" t="s">
        <v>4183</v>
      </c>
      <c r="O271" s="398" t="s">
        <v>2668</v>
      </c>
      <c r="P271" s="398" t="s">
        <v>2669</v>
      </c>
      <c r="Q271" s="398">
        <v>148396403826.62997</v>
      </c>
      <c r="R271" s="398">
        <v>0.41838750224456822</v>
      </c>
      <c r="S271" s="398">
        <v>29</v>
      </c>
      <c r="T271" s="398">
        <v>888.22889999999995</v>
      </c>
      <c r="U271" s="398">
        <v>167.07</v>
      </c>
      <c r="W271" s="401" t="s">
        <v>2668</v>
      </c>
      <c r="X271" s="402" t="s">
        <v>2669</v>
      </c>
      <c r="Y271" s="386">
        <f t="shared" si="64"/>
        <v>148396.40382662998</v>
      </c>
      <c r="Z271" s="387">
        <f t="shared" si="65"/>
        <v>4.1838750224456826E-3</v>
      </c>
      <c r="AA271" s="387">
        <f t="shared" si="66"/>
        <v>0.28999999999999998</v>
      </c>
      <c r="AB271" s="403">
        <f t="shared" si="67"/>
        <v>0.29479053690070028</v>
      </c>
      <c r="AC271" s="388">
        <f t="shared" si="68"/>
        <v>2.9302213303232191E-3</v>
      </c>
      <c r="AD271" s="389">
        <f t="shared" si="69"/>
        <v>8.6380151920386597E-4</v>
      </c>
    </row>
    <row r="272" spans="1:30" x14ac:dyDescent="0.55000000000000004">
      <c r="A272" t="str">
        <f t="shared" si="56"/>
        <v>KLA Corp</v>
      </c>
      <c r="B272" t="str">
        <f t="shared" si="56"/>
        <v>KLAC</v>
      </c>
      <c r="C272" s="382">
        <f t="shared" si="57"/>
        <v>8.6882314694408311E-3</v>
      </c>
      <c r="D272" s="383">
        <f t="shared" si="58"/>
        <v>98102.311367039991</v>
      </c>
      <c r="E272" s="384">
        <f t="shared" si="59"/>
        <v>0.13633000000000001</v>
      </c>
      <c r="F272" s="385">
        <v>0.14000000000000001</v>
      </c>
      <c r="G272" s="382">
        <v>0.14453279999999999</v>
      </c>
      <c r="H272" s="399">
        <f t="shared" si="60"/>
        <v>0.14028759999999998</v>
      </c>
      <c r="I272" s="399">
        <f t="shared" si="61"/>
        <v>0.14958525703998699</v>
      </c>
      <c r="J272" s="382">
        <f t="shared" si="62"/>
        <v>1.834815977649603E-3</v>
      </c>
      <c r="K272" s="382">
        <f t="shared" si="63"/>
        <v>2.7446141963779087E-4</v>
      </c>
      <c r="M272" s="400"/>
      <c r="N272" s="398" t="s">
        <v>4184</v>
      </c>
      <c r="O272" s="398" t="s">
        <v>858</v>
      </c>
      <c r="P272" s="398" t="s">
        <v>380</v>
      </c>
      <c r="Q272" s="398">
        <v>98102311367.039993</v>
      </c>
      <c r="R272" s="398">
        <v>0.86882314694408314</v>
      </c>
      <c r="S272" s="398">
        <v>13.633000000000001</v>
      </c>
      <c r="T272" s="398">
        <v>132.88669999999999</v>
      </c>
      <c r="U272" s="398">
        <v>738.24</v>
      </c>
      <c r="W272" s="401" t="s">
        <v>858</v>
      </c>
      <c r="X272" s="402" t="s">
        <v>380</v>
      </c>
      <c r="Y272" s="386">
        <f t="shared" si="64"/>
        <v>98102.311367039991</v>
      </c>
      <c r="Z272" s="387">
        <f t="shared" si="65"/>
        <v>8.6882314694408311E-3</v>
      </c>
      <c r="AA272" s="387">
        <f t="shared" si="66"/>
        <v>0.13633000000000001</v>
      </c>
      <c r="AB272" s="403">
        <f t="shared" si="67"/>
        <v>0.14561046476755526</v>
      </c>
      <c r="AC272" s="388">
        <f t="shared" si="68"/>
        <v>1.9371189456689861E-3</v>
      </c>
      <c r="AD272" s="389">
        <f t="shared" si="69"/>
        <v>2.820647899888977E-4</v>
      </c>
    </row>
    <row r="273" spans="1:30" x14ac:dyDescent="0.55000000000000004">
      <c r="A273" t="str">
        <f t="shared" si="56"/>
        <v>Kimberly-Clark Corp</v>
      </c>
      <c r="B273" t="str">
        <f t="shared" si="56"/>
        <v>KMB</v>
      </c>
      <c r="C273" s="382">
        <f t="shared" si="57"/>
        <v>3.8916673078402707E-2</v>
      </c>
      <c r="D273" s="383">
        <f t="shared" si="58"/>
        <v>43343.08509085</v>
      </c>
      <c r="E273" s="384">
        <f t="shared" si="59"/>
        <v>3.8699999999999998E-2</v>
      </c>
      <c r="F273" s="385">
        <v>7.4999999999999997E-2</v>
      </c>
      <c r="G273" s="382">
        <v>4.6174600000000003E-2</v>
      </c>
      <c r="H273" s="399">
        <f t="shared" si="60"/>
        <v>5.3291533333333335E-2</v>
      </c>
      <c r="I273" s="399">
        <f t="shared" si="61"/>
        <v>9.3245171002026117E-2</v>
      </c>
      <c r="J273" s="382">
        <f t="shared" si="62"/>
        <v>8.1064945297544631E-4</v>
      </c>
      <c r="K273" s="382">
        <f t="shared" si="63"/>
        <v>7.5589146865394423E-5</v>
      </c>
      <c r="M273" s="400"/>
      <c r="N273" s="398" t="s">
        <v>4185</v>
      </c>
      <c r="O273" s="398" t="s">
        <v>859</v>
      </c>
      <c r="P273" s="398" t="s">
        <v>381</v>
      </c>
      <c r="Q273" s="398">
        <v>43343085090.849998</v>
      </c>
      <c r="R273" s="398">
        <v>3.8916673078402706</v>
      </c>
      <c r="S273" s="398">
        <v>3.87</v>
      </c>
      <c r="T273" s="398">
        <v>333.4853</v>
      </c>
      <c r="U273" s="398">
        <v>129.97</v>
      </c>
      <c r="W273" s="401" t="s">
        <v>859</v>
      </c>
      <c r="X273" s="402" t="s">
        <v>381</v>
      </c>
      <c r="Y273" s="386">
        <f t="shared" si="64"/>
        <v>43343.08509085</v>
      </c>
      <c r="Z273" s="387">
        <f t="shared" si="65"/>
        <v>3.8916673078402707E-2</v>
      </c>
      <c r="AA273" s="387">
        <f t="shared" si="66"/>
        <v>3.8699999999999998E-2</v>
      </c>
      <c r="AB273" s="403">
        <f t="shared" si="67"/>
        <v>7.83697107024698E-2</v>
      </c>
      <c r="AC273" s="388">
        <f t="shared" si="68"/>
        <v>8.558484517158612E-4</v>
      </c>
      <c r="AD273" s="389">
        <f t="shared" si="69"/>
        <v>6.7072595566128733E-5</v>
      </c>
    </row>
    <row r="274" spans="1:30" x14ac:dyDescent="0.55000000000000004">
      <c r="A274" t="str">
        <f t="shared" si="56"/>
        <v>Kinder Morgan Inc</v>
      </c>
      <c r="B274" t="str">
        <f t="shared" si="56"/>
        <v>KMI</v>
      </c>
      <c r="C274" s="382">
        <f t="shared" si="57"/>
        <v>4.2612809315866092E-2</v>
      </c>
      <c r="D274" s="383">
        <f t="shared" si="58"/>
        <v>61050.671184599996</v>
      </c>
      <c r="E274" s="384">
        <f t="shared" si="59"/>
        <v>6.3900000000000012E-2</v>
      </c>
      <c r="F274" s="385">
        <v>0.1</v>
      </c>
      <c r="G274" s="382">
        <v>6.3876600000000006E-2</v>
      </c>
      <c r="H274" s="399">
        <f t="shared" si="60"/>
        <v>7.5925533333333337E-2</v>
      </c>
      <c r="I274" s="399">
        <f t="shared" si="61"/>
        <v>0.12015604278626882</v>
      </c>
      <c r="J274" s="382">
        <f t="shared" si="62"/>
        <v>1.1418359605885008E-3</v>
      </c>
      <c r="K274" s="382">
        <f t="shared" si="63"/>
        <v>1.3719849053537225E-4</v>
      </c>
      <c r="M274" s="400"/>
      <c r="N274" s="398" t="s">
        <v>4186</v>
      </c>
      <c r="O274" s="398" t="s">
        <v>860</v>
      </c>
      <c r="P274" s="398" t="s">
        <v>382</v>
      </c>
      <c r="Q274" s="398">
        <v>61050671184.599998</v>
      </c>
      <c r="R274" s="398">
        <v>4.2612809315866089</v>
      </c>
      <c r="S274" s="398">
        <v>6.3900000000000006</v>
      </c>
      <c r="T274" s="398">
        <v>2221.64</v>
      </c>
      <c r="U274" s="398">
        <v>27.48</v>
      </c>
      <c r="W274" s="401" t="s">
        <v>860</v>
      </c>
      <c r="X274" s="402" t="s">
        <v>382</v>
      </c>
      <c r="Y274" s="386">
        <f t="shared" si="64"/>
        <v>61050.671184599996</v>
      </c>
      <c r="Z274" s="387">
        <f t="shared" si="65"/>
        <v>4.2612809315866092E-2</v>
      </c>
      <c r="AA274" s="387">
        <f t="shared" si="66"/>
        <v>6.3900000000000012E-2</v>
      </c>
      <c r="AB274" s="403">
        <f t="shared" si="67"/>
        <v>0.10787428857350803</v>
      </c>
      <c r="AC274" s="388">
        <f t="shared" si="68"/>
        <v>1.2055007690392667E-3</v>
      </c>
      <c r="AD274" s="389">
        <f t="shared" si="69"/>
        <v>1.3004253783492772E-4</v>
      </c>
    </row>
    <row r="275" spans="1:30" x14ac:dyDescent="0.55000000000000004">
      <c r="A275" t="str">
        <f t="shared" si="56"/>
        <v>CarMax Inc</v>
      </c>
      <c r="B275" t="str">
        <f t="shared" si="56"/>
        <v>KMX</v>
      </c>
      <c r="C275" s="382">
        <f t="shared" si="57"/>
        <v>0</v>
      </c>
      <c r="D275" s="383">
        <f t="shared" si="58"/>
        <v>13171.429773360001</v>
      </c>
      <c r="E275" s="384">
        <f t="shared" si="59"/>
        <v>0.16699999999999998</v>
      </c>
      <c r="F275" s="385">
        <v>0.03</v>
      </c>
      <c r="G275" s="382">
        <v>0.15850980000000001</v>
      </c>
      <c r="H275" s="399">
        <f t="shared" si="60"/>
        <v>0.11850326666666666</v>
      </c>
      <c r="I275" s="399">
        <f t="shared" si="61"/>
        <v>0.11850326666666666</v>
      </c>
      <c r="J275" s="382">
        <f t="shared" si="62"/>
        <v>2.4634638531840136E-4</v>
      </c>
      <c r="K275" s="382">
        <f t="shared" si="63"/>
        <v>2.9192851391755932E-5</v>
      </c>
      <c r="M275" s="400"/>
      <c r="N275" s="398" t="s">
        <v>4187</v>
      </c>
      <c r="O275" s="398" t="s">
        <v>861</v>
      </c>
      <c r="P275" s="398" t="s">
        <v>383</v>
      </c>
      <c r="Q275" s="398">
        <v>13171429773.360001</v>
      </c>
      <c r="R275" s="398">
        <v>0</v>
      </c>
      <c r="S275" s="398">
        <v>16.7</v>
      </c>
      <c r="T275" s="398">
        <v>153.79999999999998</v>
      </c>
      <c r="U275" s="398">
        <v>85.64</v>
      </c>
      <c r="W275" s="401" t="s">
        <v>861</v>
      </c>
      <c r="X275" s="402" t="s">
        <v>383</v>
      </c>
      <c r="Y275" s="386">
        <f t="shared" si="64"/>
        <v>13171.429773360001</v>
      </c>
      <c r="Z275" s="387">
        <f t="shared" si="65"/>
        <v>0</v>
      </c>
      <c r="AA275" s="387">
        <f t="shared" si="66"/>
        <v>0.16699999999999998</v>
      </c>
      <c r="AB275" s="403">
        <f t="shared" si="67"/>
        <v>0.16699999999999998</v>
      </c>
      <c r="AC275" s="388">
        <f t="shared" si="68"/>
        <v>2.6008180439361715E-4</v>
      </c>
      <c r="AD275" s="389">
        <f t="shared" si="69"/>
        <v>4.3433661333734062E-5</v>
      </c>
    </row>
    <row r="276" spans="1:30" x14ac:dyDescent="0.55000000000000004">
      <c r="A276" t="str">
        <f t="shared" si="56"/>
        <v>Coca-Cola Co/The</v>
      </c>
      <c r="B276" t="str">
        <f t="shared" si="56"/>
        <v>KO</v>
      </c>
      <c r="C276" s="382">
        <f t="shared" si="57"/>
        <v>3.0576559546313803E-2</v>
      </c>
      <c r="D276" s="383">
        <f t="shared" si="58"/>
        <v>273458.96232023998</v>
      </c>
      <c r="E276" s="384">
        <f t="shared" si="59"/>
        <v>5.9800000000000006E-2</v>
      </c>
      <c r="F276" s="385">
        <v>7.0000000000000007E-2</v>
      </c>
      <c r="G276" s="382">
        <v>5.4355399999999998E-2</v>
      </c>
      <c r="H276" s="399">
        <f t="shared" si="60"/>
        <v>6.1385133333333342E-2</v>
      </c>
      <c r="I276" s="399">
        <f t="shared" si="61"/>
        <v>9.2900165971959686E-2</v>
      </c>
      <c r="J276" s="382">
        <f t="shared" si="62"/>
        <v>5.114526521392767E-3</v>
      </c>
      <c r="K276" s="382">
        <f t="shared" si="63"/>
        <v>4.7514036270537765E-4</v>
      </c>
      <c r="M276" s="400"/>
      <c r="N276" s="398" t="s">
        <v>4188</v>
      </c>
      <c r="O276" s="398" t="s">
        <v>862</v>
      </c>
      <c r="P276" s="398" t="s">
        <v>384</v>
      </c>
      <c r="Q276" s="398">
        <v>273458962320.23999</v>
      </c>
      <c r="R276" s="398">
        <v>3.0576559546313802</v>
      </c>
      <c r="S276" s="398">
        <v>5.98</v>
      </c>
      <c r="T276" s="398">
        <v>4307.7969999999996</v>
      </c>
      <c r="U276" s="398">
        <v>63.48</v>
      </c>
      <c r="W276" s="401" t="s">
        <v>862</v>
      </c>
      <c r="X276" s="402" t="s">
        <v>384</v>
      </c>
      <c r="Y276" s="386">
        <f t="shared" si="64"/>
        <v>273458.96232023998</v>
      </c>
      <c r="Z276" s="387">
        <f t="shared" si="65"/>
        <v>3.0576559546313803E-2</v>
      </c>
      <c r="AA276" s="387">
        <f t="shared" si="66"/>
        <v>5.9800000000000006E-2</v>
      </c>
      <c r="AB276" s="403">
        <f t="shared" si="67"/>
        <v>9.1290798676748594E-2</v>
      </c>
      <c r="AC276" s="388">
        <f t="shared" si="68"/>
        <v>5.3996947614375198E-3</v>
      </c>
      <c r="AD276" s="389">
        <f t="shared" si="69"/>
        <v>4.9294244738228661E-4</v>
      </c>
    </row>
    <row r="277" spans="1:30" x14ac:dyDescent="0.55000000000000004">
      <c r="A277" t="str">
        <f t="shared" si="56"/>
        <v>Kroger Co/The</v>
      </c>
      <c r="B277" t="str">
        <f t="shared" si="56"/>
        <v>KR</v>
      </c>
      <c r="C277" s="382">
        <f t="shared" si="57"/>
        <v>1.9889682024659312E-2</v>
      </c>
      <c r="D277" s="383">
        <f t="shared" si="58"/>
        <v>44603.081853199998</v>
      </c>
      <c r="E277" s="384">
        <f t="shared" si="59"/>
        <v>3.7900000000000003E-2</v>
      </c>
      <c r="F277" s="385">
        <v>0.05</v>
      </c>
      <c r="G277" s="382">
        <v>4.0144200000000005E-2</v>
      </c>
      <c r="H277" s="399">
        <f t="shared" si="60"/>
        <v>4.2681400000000001E-2</v>
      </c>
      <c r="I277" s="399">
        <f t="shared" si="61"/>
        <v>6.2995541761842966E-2</v>
      </c>
      <c r="J277" s="382">
        <f t="shared" si="62"/>
        <v>8.3421528092721543E-4</v>
      </c>
      <c r="K277" s="382">
        <f t="shared" si="63"/>
        <v>5.2551843568017962E-5</v>
      </c>
      <c r="M277" s="400"/>
      <c r="N277" s="398" t="s">
        <v>4189</v>
      </c>
      <c r="O277" s="398" t="s">
        <v>863</v>
      </c>
      <c r="P277" s="398" t="s">
        <v>385</v>
      </c>
      <c r="Q277" s="398">
        <v>44603081853.199997</v>
      </c>
      <c r="R277" s="398">
        <v>1.9889682024659312</v>
      </c>
      <c r="S277" s="398">
        <v>3.79</v>
      </c>
      <c r="T277" s="398">
        <v>723.60609999999997</v>
      </c>
      <c r="U277" s="398">
        <v>61.64</v>
      </c>
      <c r="W277" s="401" t="s">
        <v>863</v>
      </c>
      <c r="X277" s="402" t="s">
        <v>385</v>
      </c>
      <c r="Y277" s="386">
        <f t="shared" si="64"/>
        <v>44603.081853199998</v>
      </c>
      <c r="Z277" s="387">
        <f t="shared" si="65"/>
        <v>1.9889682024659312E-2</v>
      </c>
      <c r="AA277" s="387">
        <f t="shared" si="66"/>
        <v>3.7900000000000003E-2</v>
      </c>
      <c r="AB277" s="403">
        <f t="shared" si="67"/>
        <v>5.8166591499026608E-2</v>
      </c>
      <c r="AC277" s="388">
        <f t="shared" si="68"/>
        <v>8.807282284083582E-4</v>
      </c>
      <c r="AD277" s="389">
        <f t="shared" si="69"/>
        <v>5.1228959083490372E-5</v>
      </c>
    </row>
    <row r="278" spans="1:30" x14ac:dyDescent="0.55000000000000004">
      <c r="A278" t="str">
        <f t="shared" si="56"/>
        <v>Kenvue Inc</v>
      </c>
      <c r="B278" t="str">
        <f t="shared" si="56"/>
        <v>KVUE</v>
      </c>
      <c r="C278" s="382">
        <f t="shared" si="57"/>
        <v>3.7905119774542043E-2</v>
      </c>
      <c r="D278" s="383">
        <f t="shared" si="58"/>
        <v>40818.410855019996</v>
      </c>
      <c r="E278" s="384">
        <f t="shared" si="59"/>
        <v>0.10490000000000001</v>
      </c>
      <c r="F278" s="385" t="s">
        <v>184</v>
      </c>
      <c r="G278" s="382">
        <v>4.6935499999999998E-2</v>
      </c>
      <c r="H278" s="399">
        <f t="shared" si="60"/>
        <v>7.5917750000000006E-2</v>
      </c>
      <c r="I278" s="399">
        <f t="shared" si="61"/>
        <v>0.11526170547792391</v>
      </c>
      <c r="J278" s="382">
        <f t="shared" si="62"/>
        <v>7.6343025332856077E-4</v>
      </c>
      <c r="K278" s="382">
        <f t="shared" si="63"/>
        <v>8.7994273012093413E-5</v>
      </c>
      <c r="M278" s="400"/>
      <c r="N278" s="398" t="s">
        <v>4190</v>
      </c>
      <c r="O278" s="398" t="s">
        <v>864</v>
      </c>
      <c r="P278" s="398" t="s">
        <v>386</v>
      </c>
      <c r="Q278" s="398">
        <v>40818410855.019997</v>
      </c>
      <c r="R278" s="398">
        <v>3.7905119774542042</v>
      </c>
      <c r="S278" s="398">
        <v>10.49</v>
      </c>
      <c r="T278" s="398">
        <v>1917.2569999999998</v>
      </c>
      <c r="U278" s="398">
        <v>21.29</v>
      </c>
      <c r="W278" s="401" t="s">
        <v>864</v>
      </c>
      <c r="X278" s="402" t="s">
        <v>386</v>
      </c>
      <c r="Y278" s="386">
        <f t="shared" si="64"/>
        <v>40818.410855019996</v>
      </c>
      <c r="Z278" s="387">
        <f t="shared" si="65"/>
        <v>3.7905119774542043E-2</v>
      </c>
      <c r="AA278" s="387">
        <f t="shared" si="66"/>
        <v>0.10490000000000001</v>
      </c>
      <c r="AB278" s="403">
        <f t="shared" si="67"/>
        <v>0.14479324330671678</v>
      </c>
      <c r="AC278" s="388">
        <f t="shared" si="68"/>
        <v>8.059964734523624E-4</v>
      </c>
      <c r="AD278" s="389">
        <f t="shared" si="69"/>
        <v>1.167028434849436E-4</v>
      </c>
    </row>
    <row r="279" spans="1:30" x14ac:dyDescent="0.55000000000000004">
      <c r="A279" t="str">
        <f t="shared" si="56"/>
        <v>Loews Corp</v>
      </c>
      <c r="B279" t="str">
        <f t="shared" si="56"/>
        <v>L</v>
      </c>
      <c r="C279" s="382" t="str">
        <f t="shared" si="57"/>
        <v>0.00%</v>
      </c>
      <c r="D279" s="383">
        <f t="shared" si="58"/>
        <v>18609.022262099999</v>
      </c>
      <c r="E279" s="384" t="str">
        <f t="shared" si="59"/>
        <v>N/A</v>
      </c>
      <c r="F279" s="385">
        <v>0.15</v>
      </c>
      <c r="G279" s="382" t="s">
        <v>14</v>
      </c>
      <c r="H279" s="399">
        <f t="shared" si="60"/>
        <v>0.15</v>
      </c>
      <c r="I279" s="399">
        <f t="shared" si="61"/>
        <v>0.15</v>
      </c>
      <c r="J279" s="382">
        <f t="shared" si="62"/>
        <v>3.4804614589753534E-4</v>
      </c>
      <c r="K279" s="382">
        <f t="shared" si="63"/>
        <v>5.2206921884630301E-5</v>
      </c>
      <c r="M279" s="400"/>
      <c r="N279" s="398" t="s">
        <v>4191</v>
      </c>
      <c r="O279" s="398" t="s">
        <v>865</v>
      </c>
      <c r="P279" s="398" t="s">
        <v>387</v>
      </c>
      <c r="Q279" s="398">
        <v>18609022262.099998</v>
      </c>
      <c r="R279" s="398" t="s">
        <v>3929</v>
      </c>
      <c r="S279" s="398" t="s">
        <v>3929</v>
      </c>
      <c r="T279" s="398">
        <v>217.77669999999998</v>
      </c>
      <c r="U279" s="398">
        <v>85.45</v>
      </c>
      <c r="W279" s="401" t="s">
        <v>865</v>
      </c>
      <c r="X279" s="402" t="s">
        <v>387</v>
      </c>
      <c r="Y279" s="386">
        <f t="shared" si="64"/>
        <v>18609.022262099999</v>
      </c>
      <c r="Z279" s="387" t="str">
        <f t="shared" si="65"/>
        <v>0.00%</v>
      </c>
      <c r="AA279" s="387" t="str">
        <f t="shared" si="66"/>
        <v>N/A</v>
      </c>
      <c r="AB279" s="403" t="str">
        <f t="shared" si="67"/>
        <v>N/A</v>
      </c>
      <c r="AC279" s="388">
        <f t="shared" si="68"/>
        <v>3.6745199049816746E-4</v>
      </c>
      <c r="AD279" s="389" t="str">
        <f t="shared" si="69"/>
        <v>N/A</v>
      </c>
    </row>
    <row r="280" spans="1:30" x14ac:dyDescent="0.55000000000000004">
      <c r="A280" t="str">
        <f t="shared" si="56"/>
        <v>Leidos Holdings Inc</v>
      </c>
      <c r="B280" t="str">
        <f t="shared" si="56"/>
        <v>LDOS</v>
      </c>
      <c r="C280" s="382">
        <f t="shared" si="57"/>
        <v>1.0870942758572134E-2</v>
      </c>
      <c r="D280" s="383">
        <f t="shared" si="58"/>
        <v>18951.50447127</v>
      </c>
      <c r="E280" s="384">
        <f t="shared" si="59"/>
        <v>0.15410000000000001</v>
      </c>
      <c r="F280" s="385">
        <v>9.5000000000000001E-2</v>
      </c>
      <c r="G280" s="382">
        <v>0.15409420000000001</v>
      </c>
      <c r="H280" s="399">
        <f t="shared" si="60"/>
        <v>0.13439806666666668</v>
      </c>
      <c r="I280" s="399">
        <f t="shared" si="61"/>
        <v>0.14599952627003687</v>
      </c>
      <c r="J280" s="382">
        <f t="shared" si="62"/>
        <v>3.5445162014874625E-4</v>
      </c>
      <c r="K280" s="382">
        <f t="shared" si="63"/>
        <v>5.1749768627364008E-5</v>
      </c>
      <c r="M280" s="400"/>
      <c r="N280" s="398" t="s">
        <v>4192</v>
      </c>
      <c r="O280" s="398" t="s">
        <v>866</v>
      </c>
      <c r="P280" s="398" t="s">
        <v>388</v>
      </c>
      <c r="Q280" s="398">
        <v>18951504471.27</v>
      </c>
      <c r="R280" s="398">
        <v>1.0870942758572133</v>
      </c>
      <c r="S280" s="398">
        <v>15.41</v>
      </c>
      <c r="T280" s="398">
        <v>133.4331</v>
      </c>
      <c r="U280" s="398">
        <v>142.03</v>
      </c>
      <c r="W280" s="401" t="s">
        <v>866</v>
      </c>
      <c r="X280" s="402" t="s">
        <v>388</v>
      </c>
      <c r="Y280" s="386">
        <f t="shared" si="64"/>
        <v>18951.50447127</v>
      </c>
      <c r="Z280" s="387">
        <f t="shared" si="65"/>
        <v>1.0870942758572134E-2</v>
      </c>
      <c r="AA280" s="387">
        <f t="shared" si="66"/>
        <v>0.15410000000000001</v>
      </c>
      <c r="AB280" s="403">
        <f t="shared" si="67"/>
        <v>0.16580854889812013</v>
      </c>
      <c r="AC280" s="388">
        <f t="shared" si="68"/>
        <v>3.7421461175237645E-4</v>
      </c>
      <c r="AD280" s="389">
        <f t="shared" si="69"/>
        <v>6.2047981751134948E-5</v>
      </c>
    </row>
    <row r="281" spans="1:30" x14ac:dyDescent="0.55000000000000004">
      <c r="A281" t="str">
        <f t="shared" si="56"/>
        <v>Lennar Corp</v>
      </c>
      <c r="B281" t="str">
        <f t="shared" si="56"/>
        <v>LEN</v>
      </c>
      <c r="C281" s="382">
        <f t="shared" si="57"/>
        <v>1.5307832977750685E-2</v>
      </c>
      <c r="D281" s="383">
        <f t="shared" si="58"/>
        <v>34672.468774380002</v>
      </c>
      <c r="E281" s="384">
        <f t="shared" si="59"/>
        <v>9.849999999999999E-2</v>
      </c>
      <c r="F281" s="385">
        <v>6.5000000000000002E-2</v>
      </c>
      <c r="G281" s="382">
        <v>6.282009999999999E-2</v>
      </c>
      <c r="H281" s="399">
        <f t="shared" si="60"/>
        <v>7.5440033333333323E-2</v>
      </c>
      <c r="I281" s="399">
        <f t="shared" si="61"/>
        <v>9.1325278026135312E-2</v>
      </c>
      <c r="J281" s="382">
        <f t="shared" si="62"/>
        <v>6.4848216933208116E-4</v>
      </c>
      <c r="K281" s="382">
        <f t="shared" si="63"/>
        <v>5.9222814409243667E-5</v>
      </c>
      <c r="M281" s="400"/>
      <c r="N281" s="398" t="s">
        <v>4193</v>
      </c>
      <c r="O281" s="398" t="s">
        <v>867</v>
      </c>
      <c r="P281" s="398" t="s">
        <v>389</v>
      </c>
      <c r="Q281" s="398">
        <v>34672468774.380005</v>
      </c>
      <c r="R281" s="398">
        <v>1.5307832977750684</v>
      </c>
      <c r="S281" s="398">
        <v>9.85</v>
      </c>
      <c r="T281" s="398">
        <v>233.51149999999998</v>
      </c>
      <c r="U281" s="398">
        <v>131.24</v>
      </c>
      <c r="W281" s="401" t="s">
        <v>867</v>
      </c>
      <c r="X281" s="402" t="s">
        <v>389</v>
      </c>
      <c r="Y281" s="386">
        <f t="shared" si="64"/>
        <v>34672.468774380002</v>
      </c>
      <c r="Z281" s="387">
        <f t="shared" si="65"/>
        <v>1.5307832977750685E-2</v>
      </c>
      <c r="AA281" s="387">
        <f t="shared" si="66"/>
        <v>9.849999999999999E-2</v>
      </c>
      <c r="AB281" s="403">
        <f t="shared" si="67"/>
        <v>0.11456174375190489</v>
      </c>
      <c r="AC281" s="388">
        <f t="shared" si="68"/>
        <v>6.8463928341787827E-4</v>
      </c>
      <c r="AD281" s="389">
        <f t="shared" si="69"/>
        <v>7.8433470149406764E-5</v>
      </c>
    </row>
    <row r="282" spans="1:30" x14ac:dyDescent="0.55000000000000004">
      <c r="A282" t="str">
        <f t="shared" si="56"/>
        <v>Labcorp Holdings Inc</v>
      </c>
      <c r="B282" t="str">
        <f t="shared" si="56"/>
        <v>LH</v>
      </c>
      <c r="C282" s="382">
        <f t="shared" si="57"/>
        <v>1.1665332265812652E-2</v>
      </c>
      <c r="D282" s="383">
        <f t="shared" si="58"/>
        <v>20893.087397799998</v>
      </c>
      <c r="E282" s="384">
        <f t="shared" si="59"/>
        <v>9.3100000000000002E-2</v>
      </c>
      <c r="F282" s="385">
        <v>5.0000000000000001E-3</v>
      </c>
      <c r="G282" s="382">
        <v>8.4192800000000012E-2</v>
      </c>
      <c r="H282" s="399">
        <f t="shared" si="60"/>
        <v>6.0764266666666678E-2</v>
      </c>
      <c r="I282" s="399">
        <f t="shared" si="61"/>
        <v>7.278401661275688E-2</v>
      </c>
      <c r="J282" s="382">
        <f t="shared" si="62"/>
        <v>3.9076521282446189E-4</v>
      </c>
      <c r="K282" s="382">
        <f t="shared" si="63"/>
        <v>2.8441461741903113E-5</v>
      </c>
      <c r="M282" s="400"/>
      <c r="N282" s="398" t="s">
        <v>4194</v>
      </c>
      <c r="O282" s="398" t="s">
        <v>2670</v>
      </c>
      <c r="P282" s="398" t="s">
        <v>390</v>
      </c>
      <c r="Q282" s="398">
        <v>20893087397.799999</v>
      </c>
      <c r="R282" s="398">
        <v>1.1665332265812651</v>
      </c>
      <c r="S282" s="398">
        <v>9.31</v>
      </c>
      <c r="T282" s="398">
        <v>83.639259999999993</v>
      </c>
      <c r="U282" s="398">
        <v>249.8</v>
      </c>
      <c r="W282" s="401" t="s">
        <v>2670</v>
      </c>
      <c r="X282" s="402" t="s">
        <v>390</v>
      </c>
      <c r="Y282" s="386">
        <f t="shared" si="64"/>
        <v>20893.087397799998</v>
      </c>
      <c r="Z282" s="387">
        <f t="shared" si="65"/>
        <v>1.1665332265812652E-2</v>
      </c>
      <c r="AA282" s="387">
        <f t="shared" si="66"/>
        <v>9.3100000000000002E-2</v>
      </c>
      <c r="AB282" s="403">
        <f t="shared" si="67"/>
        <v>0.10530835348278623</v>
      </c>
      <c r="AC282" s="388">
        <f t="shared" si="68"/>
        <v>4.1255292426671671E-4</v>
      </c>
      <c r="AD282" s="389">
        <f t="shared" si="69"/>
        <v>4.3445269179036545E-5</v>
      </c>
    </row>
    <row r="283" spans="1:30" x14ac:dyDescent="0.55000000000000004">
      <c r="A283" t="str">
        <f t="shared" si="56"/>
        <v>L3Harris Technologies Inc</v>
      </c>
      <c r="B283" t="str">
        <f t="shared" si="56"/>
        <v>LHX</v>
      </c>
      <c r="C283" s="382">
        <f t="shared" si="57"/>
        <v>2.2961181076364325E-2</v>
      </c>
      <c r="D283" s="383">
        <f t="shared" si="58"/>
        <v>40211.589851639998</v>
      </c>
      <c r="E283" s="384">
        <f t="shared" si="59"/>
        <v>8.9950000000000016E-2</v>
      </c>
      <c r="F283" s="385">
        <v>0.11</v>
      </c>
      <c r="G283" s="382">
        <v>8.8910400000000001E-2</v>
      </c>
      <c r="H283" s="399">
        <f t="shared" si="60"/>
        <v>9.6286800000000006E-2</v>
      </c>
      <c r="I283" s="399">
        <f t="shared" si="61"/>
        <v>0.12035341040139617</v>
      </c>
      <c r="J283" s="382">
        <f t="shared" si="62"/>
        <v>7.5208082784551287E-4</v>
      </c>
      <c r="K283" s="382">
        <f t="shared" si="63"/>
        <v>9.0515492528712798E-5</v>
      </c>
      <c r="M283" s="400"/>
      <c r="N283" s="398" t="s">
        <v>4195</v>
      </c>
      <c r="O283" s="398" t="s">
        <v>868</v>
      </c>
      <c r="P283" s="398" t="s">
        <v>391</v>
      </c>
      <c r="Q283" s="398">
        <v>40211589851.639999</v>
      </c>
      <c r="R283" s="398">
        <v>2.2961181076364325</v>
      </c>
      <c r="S283" s="398">
        <v>8.995000000000001</v>
      </c>
      <c r="T283" s="398">
        <v>189.66839999999999</v>
      </c>
      <c r="U283" s="398">
        <v>212.01</v>
      </c>
      <c r="W283" s="401" t="s">
        <v>868</v>
      </c>
      <c r="X283" s="402" t="s">
        <v>391</v>
      </c>
      <c r="Y283" s="386">
        <f t="shared" si="64"/>
        <v>40211.589851639998</v>
      </c>
      <c r="Z283" s="387">
        <f t="shared" si="65"/>
        <v>2.2961181076364325E-2</v>
      </c>
      <c r="AA283" s="387">
        <f t="shared" si="66"/>
        <v>8.9950000000000016E-2</v>
      </c>
      <c r="AB283" s="403">
        <f t="shared" si="67"/>
        <v>0.11394386019527383</v>
      </c>
      <c r="AC283" s="388">
        <f t="shared" si="68"/>
        <v>7.9401424341214136E-4</v>
      </c>
      <c r="AD283" s="389">
        <f t="shared" si="69"/>
        <v>9.0473047944409157E-5</v>
      </c>
    </row>
    <row r="284" spans="1:30" x14ac:dyDescent="0.55000000000000004">
      <c r="A284" t="str">
        <f t="shared" si="56"/>
        <v>Lennox International Inc</v>
      </c>
      <c r="B284" t="str">
        <f t="shared" si="56"/>
        <v>LII</v>
      </c>
      <c r="C284" s="382">
        <f t="shared" si="57"/>
        <v>7.8018973025893792E-3</v>
      </c>
      <c r="D284" s="383">
        <f t="shared" si="58"/>
        <v>21103.9435376</v>
      </c>
      <c r="E284" s="384">
        <f t="shared" si="59"/>
        <v>0.19</v>
      </c>
      <c r="F284" s="385">
        <v>0.125</v>
      </c>
      <c r="G284" s="382">
        <v>0.14677750000000001</v>
      </c>
      <c r="H284" s="399">
        <f t="shared" si="60"/>
        <v>0.15392583333333335</v>
      </c>
      <c r="I284" s="399">
        <f t="shared" si="61"/>
        <v>0.16232818740786381</v>
      </c>
      <c r="J284" s="382">
        <f t="shared" si="62"/>
        <v>3.9470887336517105E-4</v>
      </c>
      <c r="K284" s="382">
        <f t="shared" si="63"/>
        <v>6.4072375967168265E-5</v>
      </c>
      <c r="M284" s="400"/>
      <c r="N284" s="398" t="s">
        <v>4416</v>
      </c>
      <c r="O284" s="398" t="s">
        <v>3908</v>
      </c>
      <c r="P284" s="398" t="s">
        <v>3905</v>
      </c>
      <c r="Q284" s="398">
        <v>21103943537.599998</v>
      </c>
      <c r="R284" s="398">
        <v>0.7801897302589379</v>
      </c>
      <c r="S284" s="398">
        <v>19</v>
      </c>
      <c r="T284" s="398">
        <v>35.623280000000001</v>
      </c>
      <c r="U284" s="398">
        <v>592.41999999999996</v>
      </c>
      <c r="W284" s="401" t="s">
        <v>3908</v>
      </c>
      <c r="X284" s="402" t="s">
        <v>3905</v>
      </c>
      <c r="Y284" s="386">
        <f t="shared" si="64"/>
        <v>21103.9435376</v>
      </c>
      <c r="Z284" s="387">
        <f t="shared" si="65"/>
        <v>7.8018973025893792E-3</v>
      </c>
      <c r="AA284" s="387">
        <f t="shared" si="66"/>
        <v>0.19</v>
      </c>
      <c r="AB284" s="403">
        <f t="shared" si="67"/>
        <v>0.19854307754633538</v>
      </c>
      <c r="AC284" s="388">
        <f t="shared" si="68"/>
        <v>4.167164696258982E-4</v>
      </c>
      <c r="AD284" s="389">
        <f t="shared" si="69"/>
        <v>8.2736170343769813E-5</v>
      </c>
    </row>
    <row r="285" spans="1:30" x14ac:dyDescent="0.55000000000000004">
      <c r="A285" t="str">
        <f t="shared" si="56"/>
        <v>Linde PLC</v>
      </c>
      <c r="B285" t="str">
        <f t="shared" si="56"/>
        <v>LIN</v>
      </c>
      <c r="C285" s="382">
        <f t="shared" si="57"/>
        <v>1.2447323590065451E-2</v>
      </c>
      <c r="D285" s="383">
        <f t="shared" si="58"/>
        <v>212423.56368635999</v>
      </c>
      <c r="E285" s="384">
        <f t="shared" si="59"/>
        <v>0.10800000000000001</v>
      </c>
      <c r="F285" s="385">
        <v>0.08</v>
      </c>
      <c r="G285" s="382">
        <v>9.25343E-2</v>
      </c>
      <c r="H285" s="399">
        <f t="shared" si="60"/>
        <v>9.3511433333333338E-2</v>
      </c>
      <c r="I285" s="399">
        <f t="shared" si="61"/>
        <v>0.1065407404584342</v>
      </c>
      <c r="J285" s="382">
        <f t="shared" si="62"/>
        <v>3.9729762046355893E-3</v>
      </c>
      <c r="K285" s="382">
        <f t="shared" si="63"/>
        <v>4.2328382666561529E-4</v>
      </c>
      <c r="M285" s="400"/>
      <c r="N285" s="398" t="s">
        <v>4196</v>
      </c>
      <c r="O285" s="398" t="s">
        <v>869</v>
      </c>
      <c r="P285" s="398" t="s">
        <v>392</v>
      </c>
      <c r="Q285" s="398">
        <v>212423563686.35999</v>
      </c>
      <c r="R285" s="398">
        <v>1.2447323590065451</v>
      </c>
      <c r="S285" s="398">
        <v>10.8</v>
      </c>
      <c r="T285" s="398">
        <v>476.15789999999998</v>
      </c>
      <c r="U285" s="398">
        <v>446.12</v>
      </c>
      <c r="W285" s="401" t="s">
        <v>869</v>
      </c>
      <c r="X285" s="402" t="s">
        <v>392</v>
      </c>
      <c r="Y285" s="386">
        <f t="shared" si="64"/>
        <v>212423.56368635999</v>
      </c>
      <c r="Z285" s="387">
        <f t="shared" si="65"/>
        <v>1.2447323590065451E-2</v>
      </c>
      <c r="AA285" s="387">
        <f t="shared" si="66"/>
        <v>0.10800000000000001</v>
      </c>
      <c r="AB285" s="403">
        <f t="shared" si="67"/>
        <v>0.121119479063929</v>
      </c>
      <c r="AC285" s="388">
        <f t="shared" si="68"/>
        <v>4.1944955627377907E-3</v>
      </c>
      <c r="AD285" s="389">
        <f t="shared" si="69"/>
        <v>5.0803511749476294E-4</v>
      </c>
    </row>
    <row r="286" spans="1:30" x14ac:dyDescent="0.55000000000000004">
      <c r="A286" t="str">
        <f t="shared" si="56"/>
        <v>LKQ Corp</v>
      </c>
      <c r="B286" t="str">
        <f t="shared" si="56"/>
        <v>LKQ</v>
      </c>
      <c r="C286" s="382">
        <f t="shared" si="57"/>
        <v>3.2094142818935543E-2</v>
      </c>
      <c r="D286" s="383">
        <f t="shared" si="58"/>
        <v>9719.9012592399995</v>
      </c>
      <c r="E286" s="384" t="str">
        <f t="shared" si="59"/>
        <v>N/A</v>
      </c>
      <c r="F286" s="385">
        <v>0.03</v>
      </c>
      <c r="G286" s="382" t="s">
        <v>14</v>
      </c>
      <c r="H286" s="399">
        <f t="shared" si="60"/>
        <v>0.03</v>
      </c>
      <c r="I286" s="399">
        <f t="shared" si="61"/>
        <v>6.2575554961219582E-2</v>
      </c>
      <c r="J286" s="382">
        <f t="shared" si="62"/>
        <v>1.8179215028792808E-4</v>
      </c>
      <c r="K286" s="382">
        <f t="shared" si="63"/>
        <v>1.1375744691860534E-5</v>
      </c>
      <c r="M286" s="400"/>
      <c r="N286" s="398" t="s">
        <v>4197</v>
      </c>
      <c r="O286" s="398" t="s">
        <v>870</v>
      </c>
      <c r="P286" s="398" t="s">
        <v>393</v>
      </c>
      <c r="Q286" s="398">
        <v>9719901259.2399998</v>
      </c>
      <c r="R286" s="398">
        <v>3.2094142818935545</v>
      </c>
      <c r="S286" s="398" t="s">
        <v>3929</v>
      </c>
      <c r="T286" s="398">
        <v>259.9599</v>
      </c>
      <c r="U286" s="398">
        <v>37.39</v>
      </c>
      <c r="W286" s="401" t="s">
        <v>870</v>
      </c>
      <c r="X286" s="402" t="s">
        <v>393</v>
      </c>
      <c r="Y286" s="386">
        <f t="shared" si="64"/>
        <v>9719.9012592399995</v>
      </c>
      <c r="Z286" s="387">
        <f t="shared" si="65"/>
        <v>3.2094142818935543E-2</v>
      </c>
      <c r="AA286" s="387" t="str">
        <f t="shared" si="66"/>
        <v>N/A</v>
      </c>
      <c r="AB286" s="403" t="str">
        <f t="shared" si="67"/>
        <v>N/A</v>
      </c>
      <c r="AC286" s="388">
        <f t="shared" si="68"/>
        <v>1.9192824936468923E-4</v>
      </c>
      <c r="AD286" s="389" t="str">
        <f t="shared" si="69"/>
        <v>N/A</v>
      </c>
    </row>
    <row r="287" spans="1:30" x14ac:dyDescent="0.55000000000000004">
      <c r="A287" t="str">
        <f t="shared" si="56"/>
        <v>Eli Lilly &amp; Co</v>
      </c>
      <c r="B287" t="str">
        <f t="shared" si="56"/>
        <v>LLY</v>
      </c>
      <c r="C287" s="382">
        <f t="shared" si="57"/>
        <v>6.4099718893327407E-3</v>
      </c>
      <c r="D287" s="383">
        <f t="shared" si="58"/>
        <v>769970.97308952</v>
      </c>
      <c r="E287" s="384">
        <f t="shared" si="59"/>
        <v>0.28499999999999998</v>
      </c>
      <c r="F287" s="385">
        <v>0.28499999999999998</v>
      </c>
      <c r="G287" s="382">
        <v>0.39325360000000004</v>
      </c>
      <c r="H287" s="399">
        <f t="shared" si="60"/>
        <v>0.32108453333333337</v>
      </c>
      <c r="I287" s="399">
        <f t="shared" si="61"/>
        <v>0.32852357663904919</v>
      </c>
      <c r="J287" s="382">
        <f t="shared" si="62"/>
        <v>1.4400833416303334E-2</v>
      </c>
      <c r="K287" s="382">
        <f t="shared" si="63"/>
        <v>4.7310133005071088E-3</v>
      </c>
      <c r="M287" s="400"/>
      <c r="N287" s="398" t="s">
        <v>4198</v>
      </c>
      <c r="O287" s="398" t="s">
        <v>871</v>
      </c>
      <c r="P287" s="398" t="s">
        <v>394</v>
      </c>
      <c r="Q287" s="398">
        <v>769970973089.52002</v>
      </c>
      <c r="R287" s="398">
        <v>0.64099718893327406</v>
      </c>
      <c r="S287" s="398">
        <v>28.5</v>
      </c>
      <c r="T287" s="398">
        <v>949.31569999999999</v>
      </c>
      <c r="U287" s="398">
        <v>811.08</v>
      </c>
      <c r="W287" s="401" t="s">
        <v>871</v>
      </c>
      <c r="X287" s="402" t="s">
        <v>394</v>
      </c>
      <c r="Y287" s="386">
        <f t="shared" si="64"/>
        <v>769970.97308952</v>
      </c>
      <c r="Z287" s="387">
        <f t="shared" si="65"/>
        <v>6.4099718893327407E-3</v>
      </c>
      <c r="AA287" s="387">
        <f t="shared" si="66"/>
        <v>0.28499999999999998</v>
      </c>
      <c r="AB287" s="403">
        <f t="shared" si="67"/>
        <v>0.29232339288356263</v>
      </c>
      <c r="AC287" s="388">
        <f t="shared" si="68"/>
        <v>1.520377388465906E-2</v>
      </c>
      <c r="AD287" s="389">
        <f t="shared" si="69"/>
        <v>4.4444187665980397E-3</v>
      </c>
    </row>
    <row r="288" spans="1:30" x14ac:dyDescent="0.55000000000000004">
      <c r="A288" t="str">
        <f t="shared" si="56"/>
        <v>Lockheed Martin Corp</v>
      </c>
      <c r="B288" t="str">
        <f t="shared" si="56"/>
        <v>LMT</v>
      </c>
      <c r="C288" s="382">
        <f t="shared" si="57"/>
        <v>2.9031212873960471E-2</v>
      </c>
      <c r="D288" s="383">
        <f t="shared" si="58"/>
        <v>108971.90333089999</v>
      </c>
      <c r="E288" s="384">
        <f t="shared" si="59"/>
        <v>2.6099999999999998E-2</v>
      </c>
      <c r="F288" s="385">
        <v>9.5000000000000001E-2</v>
      </c>
      <c r="G288" s="382">
        <v>4.4024400000000005E-2</v>
      </c>
      <c r="H288" s="399">
        <f t="shared" si="60"/>
        <v>5.504146666666667E-2</v>
      </c>
      <c r="I288" s="399">
        <f t="shared" si="61"/>
        <v>8.4871639808474647E-2</v>
      </c>
      <c r="J288" s="382">
        <f t="shared" si="62"/>
        <v>2.0381108921924897E-3</v>
      </c>
      <c r="K288" s="382">
        <f t="shared" si="63"/>
        <v>1.7297781353188988E-4</v>
      </c>
      <c r="M288" s="400"/>
      <c r="N288" s="398" t="s">
        <v>4199</v>
      </c>
      <c r="O288" s="398" t="s">
        <v>872</v>
      </c>
      <c r="P288" s="398" t="s">
        <v>395</v>
      </c>
      <c r="Q288" s="398">
        <v>108971903330.89999</v>
      </c>
      <c r="R288" s="398">
        <v>2.903121287396047</v>
      </c>
      <c r="S288" s="398">
        <v>2.61</v>
      </c>
      <c r="T288" s="398">
        <v>235.38589999999999</v>
      </c>
      <c r="U288" s="398">
        <v>462.95</v>
      </c>
      <c r="W288" s="401" t="s">
        <v>872</v>
      </c>
      <c r="X288" s="402" t="s">
        <v>395</v>
      </c>
      <c r="Y288" s="386">
        <f t="shared" si="64"/>
        <v>108971.90333089999</v>
      </c>
      <c r="Z288" s="387">
        <f t="shared" si="65"/>
        <v>2.9031212873960471E-2</v>
      </c>
      <c r="AA288" s="387">
        <f t="shared" si="66"/>
        <v>2.6099999999999998E-2</v>
      </c>
      <c r="AB288" s="403">
        <f t="shared" si="67"/>
        <v>5.5510070201965654E-2</v>
      </c>
      <c r="AC288" s="388">
        <f t="shared" si="68"/>
        <v>2.1517488787610498E-3</v>
      </c>
      <c r="AD288" s="389">
        <f t="shared" si="69"/>
        <v>1.1944373131702675E-4</v>
      </c>
    </row>
    <row r="289" spans="1:30" x14ac:dyDescent="0.55000000000000004">
      <c r="A289" t="str">
        <f t="shared" si="56"/>
        <v>Alliant Energy Corp</v>
      </c>
      <c r="B289" t="str">
        <f t="shared" si="56"/>
        <v>LNT</v>
      </c>
      <c r="C289" s="382">
        <f t="shared" si="57"/>
        <v>3.2608695652173912E-2</v>
      </c>
      <c r="D289" s="383">
        <f t="shared" si="58"/>
        <v>15108.56101376</v>
      </c>
      <c r="E289" s="384">
        <f t="shared" si="59"/>
        <v>6.7150000000000001E-2</v>
      </c>
      <c r="F289" s="385">
        <v>0.06</v>
      </c>
      <c r="G289" s="382">
        <v>6.9104600000000002E-2</v>
      </c>
      <c r="H289" s="399">
        <f t="shared" si="60"/>
        <v>6.5418199999999996E-2</v>
      </c>
      <c r="I289" s="399">
        <f t="shared" si="61"/>
        <v>9.9093496739130427E-2</v>
      </c>
      <c r="J289" s="382">
        <f t="shared" si="62"/>
        <v>2.8257671772506741E-4</v>
      </c>
      <c r="K289" s="382">
        <f t="shared" si="63"/>
        <v>2.8001515056443146E-5</v>
      </c>
      <c r="M289" s="400"/>
      <c r="N289" s="398" t="s">
        <v>4200</v>
      </c>
      <c r="O289" s="398" t="s">
        <v>873</v>
      </c>
      <c r="P289" s="398" t="s">
        <v>48</v>
      </c>
      <c r="Q289" s="398">
        <v>15108561013.76</v>
      </c>
      <c r="R289" s="398">
        <v>3.2608695652173911</v>
      </c>
      <c r="S289" s="398">
        <v>6.7149999999999999</v>
      </c>
      <c r="T289" s="398">
        <v>256.5992</v>
      </c>
      <c r="U289" s="398">
        <v>58.88</v>
      </c>
      <c r="W289" s="401" t="s">
        <v>873</v>
      </c>
      <c r="X289" s="402" t="s">
        <v>48</v>
      </c>
      <c r="Y289" s="386">
        <f t="shared" si="64"/>
        <v>15108.56101376</v>
      </c>
      <c r="Z289" s="387">
        <f t="shared" si="65"/>
        <v>3.2608695652173912E-2</v>
      </c>
      <c r="AA289" s="387">
        <f t="shared" si="66"/>
        <v>6.7150000000000001E-2</v>
      </c>
      <c r="AB289" s="403">
        <f t="shared" si="67"/>
        <v>0.10085353260869565</v>
      </c>
      <c r="AC289" s="388">
        <f t="shared" si="68"/>
        <v>2.9833221433540403E-4</v>
      </c>
      <c r="AD289" s="389">
        <f t="shared" si="69"/>
        <v>3.0087857706700048E-5</v>
      </c>
    </row>
    <row r="290" spans="1:30" x14ac:dyDescent="0.55000000000000004">
      <c r="A290" t="str">
        <f t="shared" si="56"/>
        <v>Lowe's Cos Inc</v>
      </c>
      <c r="B290" t="str">
        <f t="shared" si="56"/>
        <v>LOW</v>
      </c>
      <c r="C290" s="382">
        <f t="shared" si="57"/>
        <v>1.7466543608675587E-2</v>
      </c>
      <c r="D290" s="383">
        <f t="shared" si="58"/>
        <v>146831.58730020002</v>
      </c>
      <c r="E290" s="384">
        <f t="shared" si="59"/>
        <v>-4.4000000000000003E-3</v>
      </c>
      <c r="F290" s="385">
        <v>5.5E-2</v>
      </c>
      <c r="G290" s="382">
        <v>7.0589999999999993E-3</v>
      </c>
      <c r="H290" s="399">
        <f t="shared" si="60"/>
        <v>1.9219666666666666E-2</v>
      </c>
      <c r="I290" s="399">
        <f t="shared" si="61"/>
        <v>3.6854060848331024E-2</v>
      </c>
      <c r="J290" s="382">
        <f t="shared" si="62"/>
        <v>2.7462038217845133E-3</v>
      </c>
      <c r="K290" s="382">
        <f t="shared" si="63"/>
        <v>1.0120876274996566E-4</v>
      </c>
      <c r="M290" s="400"/>
      <c r="N290" s="398" t="s">
        <v>4201</v>
      </c>
      <c r="O290" s="398" t="s">
        <v>874</v>
      </c>
      <c r="P290" s="398" t="s">
        <v>396</v>
      </c>
      <c r="Q290" s="398">
        <v>146831587300.20001</v>
      </c>
      <c r="R290" s="398">
        <v>1.7466543608675587</v>
      </c>
      <c r="S290" s="398">
        <v>-0.44</v>
      </c>
      <c r="T290" s="398">
        <v>564.65</v>
      </c>
      <c r="U290" s="398">
        <v>260.04000000000002</v>
      </c>
      <c r="W290" s="401" t="s">
        <v>874</v>
      </c>
      <c r="X290" s="402" t="s">
        <v>396</v>
      </c>
      <c r="Y290" s="386">
        <f t="shared" si="64"/>
        <v>146831.58730020002</v>
      </c>
      <c r="Z290" s="387">
        <f t="shared" si="65"/>
        <v>1.7466543608675587E-2</v>
      </c>
      <c r="AA290" s="387">
        <f t="shared" si="66"/>
        <v>-4.4000000000000003E-3</v>
      </c>
      <c r="AB290" s="403">
        <f t="shared" si="67"/>
        <v>1.3028117212736501E-2</v>
      </c>
      <c r="AC290" s="388">
        <f t="shared" si="68"/>
        <v>2.899322611448978E-3</v>
      </c>
      <c r="AD290" s="389">
        <f t="shared" si="69"/>
        <v>3.7772714819494575E-5</v>
      </c>
    </row>
    <row r="291" spans="1:30" x14ac:dyDescent="0.55000000000000004">
      <c r="A291" t="str">
        <f t="shared" si="56"/>
        <v>Lam Research Corp</v>
      </c>
      <c r="B291" t="str">
        <f t="shared" si="56"/>
        <v>LRCX</v>
      </c>
      <c r="C291" s="382">
        <f t="shared" si="57"/>
        <v>1.1178285009253547E-2</v>
      </c>
      <c r="D291" s="383">
        <f t="shared" si="58"/>
        <v>104040.8051</v>
      </c>
      <c r="E291" s="384">
        <f t="shared" si="59"/>
        <v>0.1487</v>
      </c>
      <c r="F291" s="385">
        <v>0.105</v>
      </c>
      <c r="G291" s="382">
        <v>0.15318219999999999</v>
      </c>
      <c r="H291" s="399">
        <f t="shared" si="60"/>
        <v>0.13562739999999998</v>
      </c>
      <c r="I291" s="399">
        <f t="shared" si="61"/>
        <v>0.14756372587538555</v>
      </c>
      <c r="J291" s="382">
        <f t="shared" si="62"/>
        <v>1.9458841373348587E-3</v>
      </c>
      <c r="K291" s="382">
        <f t="shared" si="63"/>
        <v>2.8714191342694219E-4</v>
      </c>
      <c r="M291" s="400"/>
      <c r="N291" s="398" t="s">
        <v>4202</v>
      </c>
      <c r="O291" s="398" t="s">
        <v>875</v>
      </c>
      <c r="P291" s="398" t="s">
        <v>397</v>
      </c>
      <c r="Q291" s="398">
        <v>104040805100</v>
      </c>
      <c r="R291" s="398">
        <v>1.1178285009253548</v>
      </c>
      <c r="S291" s="398">
        <v>14.870000000000001</v>
      </c>
      <c r="T291" s="398">
        <v>1283.662</v>
      </c>
      <c r="U291" s="398">
        <v>81.05</v>
      </c>
      <c r="W291" s="401" t="s">
        <v>875</v>
      </c>
      <c r="X291" s="402" t="s">
        <v>397</v>
      </c>
      <c r="Y291" s="386">
        <f t="shared" si="64"/>
        <v>104040.8051</v>
      </c>
      <c r="Z291" s="387">
        <f t="shared" si="65"/>
        <v>1.1178285009253547E-2</v>
      </c>
      <c r="AA291" s="387">
        <f t="shared" si="66"/>
        <v>0.1487</v>
      </c>
      <c r="AB291" s="403">
        <f t="shared" si="67"/>
        <v>0.16070939049969155</v>
      </c>
      <c r="AC291" s="388">
        <f t="shared" si="68"/>
        <v>2.0543798802846232E-3</v>
      </c>
      <c r="AD291" s="389">
        <f t="shared" si="69"/>
        <v>3.3015813841537106E-4</v>
      </c>
    </row>
    <row r="292" spans="1:30" x14ac:dyDescent="0.55000000000000004">
      <c r="A292" t="str">
        <f t="shared" si="56"/>
        <v>Lululemon Athletica Inc</v>
      </c>
      <c r="B292" t="str">
        <f t="shared" si="56"/>
        <v>LULU</v>
      </c>
      <c r="C292" s="382">
        <f t="shared" si="57"/>
        <v>0</v>
      </c>
      <c r="D292" s="383">
        <f t="shared" si="58"/>
        <v>50442.736054999994</v>
      </c>
      <c r="E292" s="384">
        <f t="shared" si="59"/>
        <v>9.5500000000000002E-2</v>
      </c>
      <c r="F292" s="385">
        <v>0.13</v>
      </c>
      <c r="G292" s="382">
        <v>0.12347749999999999</v>
      </c>
      <c r="H292" s="399">
        <f t="shared" si="60"/>
        <v>0.11632583333333334</v>
      </c>
      <c r="I292" s="399">
        <f t="shared" si="61"/>
        <v>0.11632583333333334</v>
      </c>
      <c r="J292" s="382">
        <f t="shared" si="62"/>
        <v>9.4343483634954717E-4</v>
      </c>
      <c r="K292" s="382">
        <f t="shared" si="63"/>
        <v>1.0974584353405803E-4</v>
      </c>
      <c r="M292" s="400"/>
      <c r="N292" s="398" t="s">
        <v>4203</v>
      </c>
      <c r="O292" s="398" t="s">
        <v>876</v>
      </c>
      <c r="P292" s="398" t="s">
        <v>398</v>
      </c>
      <c r="Q292" s="398">
        <v>50442736054.999992</v>
      </c>
      <c r="R292" s="398">
        <v>0</v>
      </c>
      <c r="S292" s="398">
        <v>9.5500000000000007</v>
      </c>
      <c r="T292" s="398">
        <v>116.66759999999999</v>
      </c>
      <c r="U292" s="398">
        <v>414.2</v>
      </c>
      <c r="W292" s="401" t="s">
        <v>876</v>
      </c>
      <c r="X292" s="402" t="s">
        <v>398</v>
      </c>
      <c r="Y292" s="386">
        <f t="shared" si="64"/>
        <v>50442.736054999994</v>
      </c>
      <c r="Z292" s="387">
        <f t="shared" si="65"/>
        <v>0</v>
      </c>
      <c r="AA292" s="387">
        <f t="shared" si="66"/>
        <v>9.5500000000000002E-2</v>
      </c>
      <c r="AB292" s="403">
        <f t="shared" si="67"/>
        <v>9.5500000000000002E-2</v>
      </c>
      <c r="AC292" s="388">
        <f t="shared" si="68"/>
        <v>9.9603748700614154E-4</v>
      </c>
      <c r="AD292" s="389">
        <f t="shared" si="69"/>
        <v>9.5121580009086522E-5</v>
      </c>
    </row>
    <row r="293" spans="1:30" x14ac:dyDescent="0.55000000000000004">
      <c r="A293" t="str">
        <f t="shared" si="56"/>
        <v>Southwest Airlines Co</v>
      </c>
      <c r="B293" t="str">
        <f t="shared" si="56"/>
        <v>LUV</v>
      </c>
      <c r="C293" s="382">
        <f t="shared" si="57"/>
        <v>2.3998697492673395E-2</v>
      </c>
      <c r="D293" s="383">
        <f t="shared" si="58"/>
        <v>18417.929995490002</v>
      </c>
      <c r="E293" s="384">
        <f t="shared" si="59"/>
        <v>0.49980000000000002</v>
      </c>
      <c r="F293" s="385">
        <v>0.53</v>
      </c>
      <c r="G293" s="382">
        <v>4.5540000000000004E-2</v>
      </c>
      <c r="H293" s="399">
        <f t="shared" si="60"/>
        <v>0.35844666666666664</v>
      </c>
      <c r="I293" s="399">
        <f t="shared" si="61"/>
        <v>0.38674649071963524</v>
      </c>
      <c r="J293" s="382">
        <f t="shared" si="62"/>
        <v>3.444721307790791E-4</v>
      </c>
      <c r="K293" s="382">
        <f t="shared" si="63"/>
        <v>1.332233877295241E-4</v>
      </c>
      <c r="M293" s="400"/>
      <c r="N293" s="398" t="s">
        <v>4204</v>
      </c>
      <c r="O293" s="398" t="s">
        <v>877</v>
      </c>
      <c r="P293" s="398" t="s">
        <v>399</v>
      </c>
      <c r="Q293" s="398">
        <v>18417929995.490002</v>
      </c>
      <c r="R293" s="398">
        <v>2.3998697492673395</v>
      </c>
      <c r="S293" s="398">
        <v>49.980000000000004</v>
      </c>
      <c r="T293" s="398">
        <v>599.73719999999992</v>
      </c>
      <c r="U293" s="398">
        <v>30.71</v>
      </c>
      <c r="W293" s="401" t="s">
        <v>877</v>
      </c>
      <c r="X293" s="402" t="s">
        <v>399</v>
      </c>
      <c r="Y293" s="386">
        <f t="shared" si="64"/>
        <v>18417.929995490002</v>
      </c>
      <c r="Z293" s="387">
        <f t="shared" si="65"/>
        <v>2.3998697492673395E-2</v>
      </c>
      <c r="AA293" s="387">
        <f t="shared" si="66"/>
        <v>0.49980000000000002</v>
      </c>
      <c r="AB293" s="403">
        <f t="shared" si="67"/>
        <v>0.52979597199609252</v>
      </c>
      <c r="AC293" s="388">
        <f t="shared" si="68"/>
        <v>3.6367870070649162E-4</v>
      </c>
      <c r="AD293" s="389">
        <f t="shared" si="69"/>
        <v>1.9267551073507176E-4</v>
      </c>
    </row>
    <row r="294" spans="1:30" x14ac:dyDescent="0.55000000000000004">
      <c r="A294" t="str">
        <f t="shared" si="56"/>
        <v>Las Vegas Sands Corp</v>
      </c>
      <c r="B294" t="str">
        <f t="shared" si="56"/>
        <v>LVS</v>
      </c>
      <c r="C294" s="382">
        <f t="shared" si="57"/>
        <v>2.129609426140083E-2</v>
      </c>
      <c r="D294" s="383">
        <f t="shared" si="58"/>
        <v>33227.949737739997</v>
      </c>
      <c r="E294" s="384">
        <f t="shared" si="59"/>
        <v>7.6000000000000012E-2</v>
      </c>
      <c r="F294" s="385" t="s">
        <v>184</v>
      </c>
      <c r="G294" s="382">
        <v>0.162185</v>
      </c>
      <c r="H294" s="399">
        <f t="shared" si="60"/>
        <v>0.1190925</v>
      </c>
      <c r="I294" s="399">
        <f t="shared" si="61"/>
        <v>0.14165669681431378</v>
      </c>
      <c r="J294" s="382">
        <f t="shared" si="62"/>
        <v>6.2146520539399627E-4</v>
      </c>
      <c r="K294" s="382">
        <f t="shared" si="63"/>
        <v>8.8034708181142571E-5</v>
      </c>
      <c r="M294" s="400"/>
      <c r="N294" s="398" t="s">
        <v>4205</v>
      </c>
      <c r="O294" s="398" t="s">
        <v>878</v>
      </c>
      <c r="P294" s="398" t="s">
        <v>400</v>
      </c>
      <c r="Q294" s="398">
        <v>33227949737.739998</v>
      </c>
      <c r="R294" s="398">
        <v>2.1296094261400831</v>
      </c>
      <c r="S294" s="398">
        <v>7.6000000000000005</v>
      </c>
      <c r="T294" s="398">
        <v>725.02620000000002</v>
      </c>
      <c r="U294" s="398">
        <v>45.83</v>
      </c>
      <c r="W294" s="401" t="s">
        <v>878</v>
      </c>
      <c r="X294" s="402" t="s">
        <v>400</v>
      </c>
      <c r="Y294" s="386">
        <f t="shared" si="64"/>
        <v>33227.949737739997</v>
      </c>
      <c r="Z294" s="387">
        <f t="shared" si="65"/>
        <v>2.129609426140083E-2</v>
      </c>
      <c r="AA294" s="387">
        <f t="shared" si="66"/>
        <v>7.6000000000000012E-2</v>
      </c>
      <c r="AB294" s="403">
        <f t="shared" si="67"/>
        <v>9.810534584333408E-2</v>
      </c>
      <c r="AC294" s="388">
        <f t="shared" si="68"/>
        <v>6.5611594737959001E-4</v>
      </c>
      <c r="AD294" s="389">
        <f t="shared" si="69"/>
        <v>6.4368481931001458E-5</v>
      </c>
    </row>
    <row r="295" spans="1:30" x14ac:dyDescent="0.55000000000000004">
      <c r="A295" t="str">
        <f t="shared" si="56"/>
        <v>Lamb Weston Holdings Inc</v>
      </c>
      <c r="B295" t="str">
        <f t="shared" si="56"/>
        <v>LW</v>
      </c>
      <c r="C295" s="382">
        <f t="shared" si="57"/>
        <v>2.4124124124124124E-2</v>
      </c>
      <c r="D295" s="383">
        <f t="shared" si="58"/>
        <v>8549.8833781799985</v>
      </c>
      <c r="E295" s="384">
        <f t="shared" si="59"/>
        <v>-0.11259999999999999</v>
      </c>
      <c r="F295" s="385">
        <v>0.105</v>
      </c>
      <c r="G295" s="382">
        <v>-7.1972800000000003E-2</v>
      </c>
      <c r="H295" s="399">
        <f t="shared" si="60"/>
        <v>-2.6524266666666668E-2</v>
      </c>
      <c r="I295" s="399">
        <f t="shared" si="61"/>
        <v>-2.7200798932265624E-3</v>
      </c>
      <c r="J295" s="382">
        <f t="shared" si="62"/>
        <v>1.5990920510152256E-4</v>
      </c>
      <c r="K295" s="382">
        <f t="shared" si="63"/>
        <v>-4.3496581353849393E-7</v>
      </c>
      <c r="M295" s="400"/>
      <c r="N295" s="398" t="s">
        <v>4206</v>
      </c>
      <c r="O295" s="398" t="s">
        <v>879</v>
      </c>
      <c r="P295" s="398" t="s">
        <v>401</v>
      </c>
      <c r="Q295" s="398">
        <v>8549883378.1799984</v>
      </c>
      <c r="R295" s="398">
        <v>2.4124124124124124</v>
      </c>
      <c r="S295" s="398">
        <v>-11.26</v>
      </c>
      <c r="T295" s="398">
        <v>142.64069999999998</v>
      </c>
      <c r="U295" s="398">
        <v>59.94</v>
      </c>
      <c r="W295" s="401" t="s">
        <v>879</v>
      </c>
      <c r="X295" s="402" t="s">
        <v>401</v>
      </c>
      <c r="Y295" s="386">
        <f t="shared" si="64"/>
        <v>8549.8833781799985</v>
      </c>
      <c r="Z295" s="387">
        <f t="shared" si="65"/>
        <v>2.4124124124124124E-2</v>
      </c>
      <c r="AA295" s="387">
        <f t="shared" si="66"/>
        <v>-0.11259999999999999</v>
      </c>
      <c r="AB295" s="403">
        <f t="shared" si="67"/>
        <v>-8.9834064064064051E-2</v>
      </c>
      <c r="AC295" s="388">
        <f t="shared" si="68"/>
        <v>1.6882518713720447E-4</v>
      </c>
      <c r="AD295" s="389">
        <f t="shared" si="69"/>
        <v>-1.5166252676911228E-5</v>
      </c>
    </row>
    <row r="296" spans="1:30" x14ac:dyDescent="0.55000000000000004">
      <c r="A296" t="str">
        <f t="shared" si="56"/>
        <v>LyondellBasell Industries NV</v>
      </c>
      <c r="B296" t="str">
        <f t="shared" si="56"/>
        <v>LYB</v>
      </c>
      <c r="C296" s="382">
        <f t="shared" si="57"/>
        <v>6.8943196829590492E-2</v>
      </c>
      <c r="D296" s="383">
        <f t="shared" si="58"/>
        <v>24584.091198300001</v>
      </c>
      <c r="E296" s="384">
        <f t="shared" si="59"/>
        <v>-0.13500000000000001</v>
      </c>
      <c r="F296" s="385">
        <v>-2.5000000000000001E-2</v>
      </c>
      <c r="G296" s="382">
        <v>1.0625999999999999E-3</v>
      </c>
      <c r="H296" s="399">
        <f t="shared" si="60"/>
        <v>-5.2979133333333338E-2</v>
      </c>
      <c r="I296" s="399">
        <f t="shared" si="61"/>
        <v>1.4137788087626592E-2</v>
      </c>
      <c r="J296" s="382">
        <f t="shared" si="62"/>
        <v>4.5979837475868869E-4</v>
      </c>
      <c r="K296" s="382">
        <f t="shared" si="63"/>
        <v>6.5005319853734561E-6</v>
      </c>
      <c r="M296" s="400"/>
      <c r="N296" s="398" t="s">
        <v>4207</v>
      </c>
      <c r="O296" s="398" t="s">
        <v>880</v>
      </c>
      <c r="P296" s="398" t="s">
        <v>402</v>
      </c>
      <c r="Q296" s="398">
        <v>24584091198.299999</v>
      </c>
      <c r="R296" s="398">
        <v>6.8943196829590487</v>
      </c>
      <c r="S296" s="398">
        <v>-13.5</v>
      </c>
      <c r="T296" s="398">
        <v>324.7568</v>
      </c>
      <c r="U296" s="398">
        <v>75.7</v>
      </c>
      <c r="W296" s="401" t="s">
        <v>880</v>
      </c>
      <c r="X296" s="402" t="s">
        <v>402</v>
      </c>
      <c r="Y296" s="386">
        <f t="shared" si="64"/>
        <v>24584.091198300001</v>
      </c>
      <c r="Z296" s="387">
        <f t="shared" si="65"/>
        <v>6.8943196829590492E-2</v>
      </c>
      <c r="AA296" s="387">
        <f t="shared" si="66"/>
        <v>-0.13500000000000001</v>
      </c>
      <c r="AB296" s="403">
        <f t="shared" si="67"/>
        <v>-7.0710468956406869E-2</v>
      </c>
      <c r="AC296" s="388">
        <f t="shared" si="68"/>
        <v>4.8543513561170838E-4</v>
      </c>
      <c r="AD296" s="389">
        <f t="shared" si="69"/>
        <v>-3.4325346087020866E-5</v>
      </c>
    </row>
    <row r="297" spans="1:30" x14ac:dyDescent="0.55000000000000004">
      <c r="A297" t="str">
        <f t="shared" si="56"/>
        <v>Live Nation Entertainment Inc</v>
      </c>
      <c r="B297" t="str">
        <f t="shared" si="56"/>
        <v>LYV</v>
      </c>
      <c r="C297" s="382" t="str">
        <f t="shared" si="57"/>
        <v>0.00%</v>
      </c>
      <c r="D297" s="383">
        <f t="shared" si="58"/>
        <v>33616.931145800001</v>
      </c>
      <c r="E297" s="384">
        <f t="shared" si="59"/>
        <v>0.32270000000000004</v>
      </c>
      <c r="F297" s="385" t="s">
        <v>184</v>
      </c>
      <c r="G297" s="382">
        <v>0.27256849999999999</v>
      </c>
      <c r="H297" s="399">
        <f t="shared" si="60"/>
        <v>0.29763424999999999</v>
      </c>
      <c r="I297" s="399">
        <f t="shared" si="61"/>
        <v>0.29763424999999999</v>
      </c>
      <c r="J297" s="382">
        <f t="shared" si="62"/>
        <v>6.2874035816635923E-4</v>
      </c>
      <c r="K297" s="382">
        <f t="shared" si="63"/>
        <v>1.8713466494757569E-4</v>
      </c>
      <c r="M297" s="400"/>
      <c r="N297" s="398" t="s">
        <v>4208</v>
      </c>
      <c r="O297" s="398" t="s">
        <v>881</v>
      </c>
      <c r="P297" s="398" t="s">
        <v>403</v>
      </c>
      <c r="Q297" s="398">
        <v>33616931145.799999</v>
      </c>
      <c r="R297" s="398" t="s">
        <v>3929</v>
      </c>
      <c r="S297" s="398">
        <v>32.270000000000003</v>
      </c>
      <c r="T297" s="398">
        <v>232.3537</v>
      </c>
      <c r="U297" s="398">
        <v>144.68</v>
      </c>
      <c r="W297" s="401" t="s">
        <v>881</v>
      </c>
      <c r="X297" s="402" t="s">
        <v>403</v>
      </c>
      <c r="Y297" s="386">
        <f t="shared" si="64"/>
        <v>33616.931145800001</v>
      </c>
      <c r="Z297" s="387" t="str">
        <f t="shared" si="65"/>
        <v>0.00%</v>
      </c>
      <c r="AA297" s="387">
        <f t="shared" si="66"/>
        <v>0.32270000000000004</v>
      </c>
      <c r="AB297" s="403">
        <f t="shared" si="67"/>
        <v>0.32270000000000004</v>
      </c>
      <c r="AC297" s="388">
        <f t="shared" si="68"/>
        <v>6.6379673740957082E-4</v>
      </c>
      <c r="AD297" s="389">
        <f t="shared" si="69"/>
        <v>2.1420720716206854E-4</v>
      </c>
    </row>
    <row r="298" spans="1:30" x14ac:dyDescent="0.55000000000000004">
      <c r="A298" t="str">
        <f t="shared" si="56"/>
        <v>Mastercard Inc</v>
      </c>
      <c r="B298" t="str">
        <f t="shared" si="56"/>
        <v>MA</v>
      </c>
      <c r="C298" s="382">
        <f t="shared" si="57"/>
        <v>5.3670129449255536E-3</v>
      </c>
      <c r="D298" s="383">
        <f t="shared" si="58"/>
        <v>509849.13249355991</v>
      </c>
      <c r="E298" s="384">
        <f t="shared" si="59"/>
        <v>0.14423</v>
      </c>
      <c r="F298" s="385">
        <v>0.14499999999999999</v>
      </c>
      <c r="G298" s="382">
        <v>0.13841310000000001</v>
      </c>
      <c r="H298" s="399">
        <f t="shared" si="60"/>
        <v>0.1425477</v>
      </c>
      <c r="I298" s="399">
        <f t="shared" si="61"/>
        <v>0.14829724062051022</v>
      </c>
      <c r="J298" s="382">
        <f t="shared" si="62"/>
        <v>9.5357522310557056E-3</v>
      </c>
      <c r="K298" s="382">
        <f t="shared" si="63"/>
        <v>1.4141257431064351E-3</v>
      </c>
      <c r="M298" s="400"/>
      <c r="N298" s="398" t="s">
        <v>4209</v>
      </c>
      <c r="O298" s="398" t="s">
        <v>882</v>
      </c>
      <c r="P298" s="398" t="s">
        <v>404</v>
      </c>
      <c r="Q298" s="398">
        <v>509849132493.55994</v>
      </c>
      <c r="R298" s="398">
        <v>0.53670129449255533</v>
      </c>
      <c r="S298" s="398">
        <v>14.423</v>
      </c>
      <c r="T298" s="398">
        <v>910.76749999999993</v>
      </c>
      <c r="U298" s="398">
        <v>555.42999999999995</v>
      </c>
      <c r="W298" s="401" t="s">
        <v>882</v>
      </c>
      <c r="X298" s="402" t="s">
        <v>404</v>
      </c>
      <c r="Y298" s="386">
        <f t="shared" si="64"/>
        <v>509849.13249355991</v>
      </c>
      <c r="Z298" s="387">
        <f t="shared" si="65"/>
        <v>5.3670129449255536E-3</v>
      </c>
      <c r="AA298" s="387">
        <f t="shared" si="66"/>
        <v>0.14423</v>
      </c>
      <c r="AB298" s="403">
        <f t="shared" si="67"/>
        <v>0.14998405508344886</v>
      </c>
      <c r="AC298" s="388">
        <f t="shared" si="68"/>
        <v>1.0067432665179739E-2</v>
      </c>
      <c r="AD298" s="389">
        <f t="shared" si="69"/>
        <v>1.5099543754032304E-3</v>
      </c>
    </row>
    <row r="299" spans="1:30" x14ac:dyDescent="0.55000000000000004">
      <c r="A299" t="str">
        <f t="shared" si="56"/>
        <v>Mid-America Apartment Communities Inc</v>
      </c>
      <c r="B299" t="str">
        <f t="shared" si="56"/>
        <v>MAA</v>
      </c>
      <c r="C299" s="382">
        <f t="shared" si="57"/>
        <v>3.8628915978503077E-2</v>
      </c>
      <c r="D299" s="383">
        <f t="shared" si="58"/>
        <v>17833.59480078</v>
      </c>
      <c r="E299" s="384">
        <f t="shared" si="59"/>
        <v>2.8999999999999998E-3</v>
      </c>
      <c r="F299" s="385">
        <v>-0.15</v>
      </c>
      <c r="G299" s="382">
        <v>2.7165000000000002E-3</v>
      </c>
      <c r="H299" s="399">
        <f t="shared" si="60"/>
        <v>-4.8127833333333335E-2</v>
      </c>
      <c r="I299" s="399">
        <f t="shared" si="61"/>
        <v>-1.0428480369860625E-2</v>
      </c>
      <c r="J299" s="382">
        <f t="shared" si="62"/>
        <v>3.335432593119679E-4</v>
      </c>
      <c r="K299" s="382">
        <f t="shared" si="63"/>
        <v>-3.4783493322341894E-6</v>
      </c>
      <c r="M299" s="400"/>
      <c r="N299" s="398" t="s">
        <v>4210</v>
      </c>
      <c r="O299" s="398" t="s">
        <v>883</v>
      </c>
      <c r="P299" s="398" t="s">
        <v>405</v>
      </c>
      <c r="Q299" s="398">
        <v>17833594800.779999</v>
      </c>
      <c r="R299" s="398">
        <v>3.8628915978503078</v>
      </c>
      <c r="S299" s="398">
        <v>0.28999999999999998</v>
      </c>
      <c r="T299" s="398">
        <v>116.88029999999999</v>
      </c>
      <c r="U299" s="398">
        <v>152.58000000000001</v>
      </c>
      <c r="W299" s="401" t="s">
        <v>883</v>
      </c>
      <c r="X299" s="402" t="s">
        <v>405</v>
      </c>
      <c r="Y299" s="386">
        <f t="shared" si="64"/>
        <v>17833.59480078</v>
      </c>
      <c r="Z299" s="387">
        <f t="shared" si="65"/>
        <v>3.8628915978503077E-2</v>
      </c>
      <c r="AA299" s="387">
        <f t="shared" si="66"/>
        <v>2.8999999999999998E-3</v>
      </c>
      <c r="AB299" s="403">
        <f t="shared" si="67"/>
        <v>4.1584927906671905E-2</v>
      </c>
      <c r="AC299" s="388">
        <f t="shared" si="68"/>
        <v>3.521404733138777E-4</v>
      </c>
      <c r="AD299" s="389">
        <f t="shared" si="69"/>
        <v>1.4643736195778927E-5</v>
      </c>
    </row>
    <row r="300" spans="1:30" x14ac:dyDescent="0.55000000000000004">
      <c r="A300" t="str">
        <f t="shared" si="56"/>
        <v>Marriott International Inc/MD</v>
      </c>
      <c r="B300" t="str">
        <f t="shared" si="56"/>
        <v>MAR</v>
      </c>
      <c r="C300" s="382">
        <f t="shared" si="57"/>
        <v>8.1351732681785322E-3</v>
      </c>
      <c r="D300" s="383">
        <f t="shared" si="58"/>
        <v>80753.052404879985</v>
      </c>
      <c r="E300" s="384">
        <f t="shared" si="59"/>
        <v>5.8899999999999994E-2</v>
      </c>
      <c r="F300" s="385">
        <v>0.11</v>
      </c>
      <c r="G300" s="382">
        <v>5.8331400000000005E-2</v>
      </c>
      <c r="H300" s="399">
        <f t="shared" si="60"/>
        <v>7.57438E-2</v>
      </c>
      <c r="I300" s="399">
        <f t="shared" si="61"/>
        <v>8.4187067736673671E-2</v>
      </c>
      <c r="J300" s="382">
        <f t="shared" si="62"/>
        <v>1.5103312932362779E-3</v>
      </c>
      <c r="K300" s="382">
        <f t="shared" si="63"/>
        <v>1.2715036288850047E-4</v>
      </c>
      <c r="M300" s="400"/>
      <c r="N300" s="398" t="s">
        <v>4211</v>
      </c>
      <c r="O300" s="398" t="s">
        <v>884</v>
      </c>
      <c r="P300" s="398" t="s">
        <v>406</v>
      </c>
      <c r="Q300" s="398">
        <v>80753052404.87999</v>
      </c>
      <c r="R300" s="398">
        <v>0.81351732681785327</v>
      </c>
      <c r="S300" s="398">
        <v>5.89</v>
      </c>
      <c r="T300" s="398">
        <v>277.89339999999999</v>
      </c>
      <c r="U300" s="398">
        <v>290.58999999999997</v>
      </c>
      <c r="W300" s="401" t="s">
        <v>884</v>
      </c>
      <c r="X300" s="402" t="s">
        <v>406</v>
      </c>
      <c r="Y300" s="386">
        <f t="shared" si="64"/>
        <v>80753.052404879985</v>
      </c>
      <c r="Z300" s="387">
        <f t="shared" si="65"/>
        <v>8.1351732681785322E-3</v>
      </c>
      <c r="AA300" s="387">
        <f t="shared" si="66"/>
        <v>5.8899999999999994E-2</v>
      </c>
      <c r="AB300" s="403">
        <f t="shared" si="67"/>
        <v>6.7274754120926386E-2</v>
      </c>
      <c r="AC300" s="388">
        <f t="shared" si="68"/>
        <v>1.5945421219366869E-3</v>
      </c>
      <c r="AD300" s="389">
        <f t="shared" si="69"/>
        <v>1.0727242918875084E-4</v>
      </c>
    </row>
    <row r="301" spans="1:30" x14ac:dyDescent="0.55000000000000004">
      <c r="A301" t="str">
        <f t="shared" si="56"/>
        <v>Masco Corp</v>
      </c>
      <c r="B301" t="str">
        <f t="shared" si="56"/>
        <v>MAS</v>
      </c>
      <c r="C301" s="382">
        <f t="shared" si="57"/>
        <v>1.4682139253279514E-2</v>
      </c>
      <c r="D301" s="383">
        <f t="shared" si="58"/>
        <v>17104.57223704</v>
      </c>
      <c r="E301" s="384">
        <f t="shared" si="59"/>
        <v>8.3800000000000013E-2</v>
      </c>
      <c r="F301" s="385">
        <v>0.08</v>
      </c>
      <c r="G301" s="382">
        <v>8.3843700000000007E-2</v>
      </c>
      <c r="H301" s="399">
        <f t="shared" si="60"/>
        <v>8.2547900000000007E-2</v>
      </c>
      <c r="I301" s="399">
        <f t="shared" si="61"/>
        <v>9.7836029134712413E-2</v>
      </c>
      <c r="J301" s="382">
        <f t="shared" si="62"/>
        <v>3.1990828752203069E-4</v>
      </c>
      <c r="K301" s="382">
        <f t="shared" si="63"/>
        <v>3.1298556538441353E-5</v>
      </c>
      <c r="M301" s="400"/>
      <c r="N301" s="398" t="s">
        <v>4212</v>
      </c>
      <c r="O301" s="398" t="s">
        <v>885</v>
      </c>
      <c r="P301" s="398" t="s">
        <v>407</v>
      </c>
      <c r="Q301" s="398">
        <v>17104572237.039999</v>
      </c>
      <c r="R301" s="398">
        <v>1.4682139253279514</v>
      </c>
      <c r="S301" s="398">
        <v>8.3800000000000008</v>
      </c>
      <c r="T301" s="398">
        <v>215.74889999999999</v>
      </c>
      <c r="U301" s="398">
        <v>79.28</v>
      </c>
      <c r="W301" s="401" t="s">
        <v>885</v>
      </c>
      <c r="X301" s="402" t="s">
        <v>407</v>
      </c>
      <c r="Y301" s="386">
        <f t="shared" si="64"/>
        <v>17104.57223704</v>
      </c>
      <c r="Z301" s="387">
        <f t="shared" si="65"/>
        <v>1.4682139253279514E-2</v>
      </c>
      <c r="AA301" s="387">
        <f t="shared" si="66"/>
        <v>8.3800000000000013E-2</v>
      </c>
      <c r="AB301" s="403">
        <f t="shared" si="67"/>
        <v>9.9097320887991946E-2</v>
      </c>
      <c r="AC301" s="388">
        <f t="shared" si="68"/>
        <v>3.3774526284062684E-4</v>
      </c>
      <c r="AD301" s="389">
        <f t="shared" si="69"/>
        <v>3.3469650690116779E-5</v>
      </c>
    </row>
    <row r="302" spans="1:30" x14ac:dyDescent="0.55000000000000004">
      <c r="A302" t="str">
        <f t="shared" si="56"/>
        <v>McDonald's Corp</v>
      </c>
      <c r="B302" t="str">
        <f t="shared" si="56"/>
        <v>MCD</v>
      </c>
      <c r="C302" s="382">
        <f t="shared" si="57"/>
        <v>2.3477658468998963E-2</v>
      </c>
      <c r="D302" s="383">
        <f t="shared" si="58"/>
        <v>206888.10334820001</v>
      </c>
      <c r="E302" s="384">
        <f t="shared" si="59"/>
        <v>4.4299999999999999E-2</v>
      </c>
      <c r="F302" s="385">
        <v>8.5000000000000006E-2</v>
      </c>
      <c r="G302" s="382">
        <v>5.3341800000000002E-2</v>
      </c>
      <c r="H302" s="399">
        <f t="shared" si="60"/>
        <v>6.08806E-2</v>
      </c>
      <c r="I302" s="399">
        <f t="shared" si="61"/>
        <v>8.5072925436092836E-2</v>
      </c>
      <c r="J302" s="382">
        <f t="shared" si="62"/>
        <v>3.8694460132407921E-3</v>
      </c>
      <c r="K302" s="382">
        <f t="shared" si="63"/>
        <v>3.2918509216342057E-4</v>
      </c>
      <c r="M302" s="400"/>
      <c r="N302" s="398" t="s">
        <v>4213</v>
      </c>
      <c r="O302" s="398" t="s">
        <v>886</v>
      </c>
      <c r="P302" s="398" t="s">
        <v>408</v>
      </c>
      <c r="Q302" s="398">
        <v>206888103348.20001</v>
      </c>
      <c r="R302" s="398">
        <v>2.3477658468998963</v>
      </c>
      <c r="S302" s="398">
        <v>4.43</v>
      </c>
      <c r="T302" s="398">
        <v>716.61969999999997</v>
      </c>
      <c r="U302" s="398">
        <v>288.7</v>
      </c>
      <c r="W302" s="401" t="s">
        <v>886</v>
      </c>
      <c r="X302" s="402" t="s">
        <v>408</v>
      </c>
      <c r="Y302" s="386">
        <f t="shared" si="64"/>
        <v>206888.10334820001</v>
      </c>
      <c r="Z302" s="387">
        <f t="shared" si="65"/>
        <v>2.3477658468998963E-2</v>
      </c>
      <c r="AA302" s="387">
        <f t="shared" si="66"/>
        <v>4.4299999999999999E-2</v>
      </c>
      <c r="AB302" s="403">
        <f t="shared" si="67"/>
        <v>6.8297688604087289E-2</v>
      </c>
      <c r="AC302" s="388">
        <f t="shared" si="68"/>
        <v>4.0851928873509641E-3</v>
      </c>
      <c r="AD302" s="389">
        <f t="shared" si="69"/>
        <v>2.7900923170792838E-4</v>
      </c>
    </row>
    <row r="303" spans="1:30" x14ac:dyDescent="0.55000000000000004">
      <c r="A303" t="str">
        <f t="shared" si="56"/>
        <v>Microchip Technology Inc</v>
      </c>
      <c r="B303" t="str">
        <f t="shared" si="56"/>
        <v>MCHP</v>
      </c>
      <c r="C303" s="382">
        <f t="shared" si="57"/>
        <v>3.3683241252302029E-2</v>
      </c>
      <c r="D303" s="383">
        <f t="shared" si="58"/>
        <v>29159.655706199996</v>
      </c>
      <c r="E303" s="384" t="str">
        <f t="shared" si="59"/>
        <v>N/A</v>
      </c>
      <c r="F303" s="385" t="s">
        <v>184</v>
      </c>
      <c r="G303" s="382">
        <v>0.26300000000000001</v>
      </c>
      <c r="H303" s="399">
        <f t="shared" si="60"/>
        <v>0.26300000000000001</v>
      </c>
      <c r="I303" s="399">
        <f t="shared" si="61"/>
        <v>0.30111258747697978</v>
      </c>
      <c r="J303" s="382">
        <f t="shared" si="62"/>
        <v>5.4537555177800584E-4</v>
      </c>
      <c r="K303" s="382">
        <f t="shared" si="63"/>
        <v>1.642194435425609E-4</v>
      </c>
      <c r="M303" s="400"/>
      <c r="N303" s="398" t="s">
        <v>4214</v>
      </c>
      <c r="O303" s="398" t="s">
        <v>887</v>
      </c>
      <c r="P303" s="398" t="s">
        <v>409</v>
      </c>
      <c r="Q303" s="398">
        <v>29159655706.199997</v>
      </c>
      <c r="R303" s="398">
        <v>3.368324125230203</v>
      </c>
      <c r="S303" s="398" t="s">
        <v>3929</v>
      </c>
      <c r="T303" s="398">
        <v>537.01019999999994</v>
      </c>
      <c r="U303" s="398">
        <v>54.3</v>
      </c>
      <c r="W303" s="401" t="s">
        <v>887</v>
      </c>
      <c r="X303" s="402" t="s">
        <v>409</v>
      </c>
      <c r="Y303" s="386">
        <f t="shared" si="64"/>
        <v>29159.655706199996</v>
      </c>
      <c r="Z303" s="387">
        <f t="shared" si="65"/>
        <v>3.3683241252302029E-2</v>
      </c>
      <c r="AA303" s="387" t="str">
        <f t="shared" si="66"/>
        <v>N/A</v>
      </c>
      <c r="AB303" s="403" t="str">
        <f t="shared" si="67"/>
        <v>N/A</v>
      </c>
      <c r="AC303" s="388">
        <f t="shared" si="68"/>
        <v>5.7578379887838821E-4</v>
      </c>
      <c r="AD303" s="389" t="str">
        <f t="shared" si="69"/>
        <v>N/A</v>
      </c>
    </row>
    <row r="304" spans="1:30" x14ac:dyDescent="0.55000000000000004">
      <c r="A304" t="str">
        <f t="shared" si="56"/>
        <v>McKesson Corp</v>
      </c>
      <c r="B304" t="str">
        <f t="shared" si="56"/>
        <v>MCK</v>
      </c>
      <c r="C304" s="382">
        <f t="shared" si="57"/>
        <v>4.3261874737284579E-3</v>
      </c>
      <c r="D304" s="383">
        <f t="shared" si="58"/>
        <v>75497.622690749995</v>
      </c>
      <c r="E304" s="384">
        <f t="shared" si="59"/>
        <v>0.15210000000000001</v>
      </c>
      <c r="F304" s="385">
        <v>0.1</v>
      </c>
      <c r="G304" s="382">
        <v>0.13767279999999998</v>
      </c>
      <c r="H304" s="399">
        <f t="shared" si="60"/>
        <v>0.12992426666666665</v>
      </c>
      <c r="I304" s="399">
        <f t="shared" si="61"/>
        <v>0.13453149250788846</v>
      </c>
      <c r="J304" s="382">
        <f t="shared" si="62"/>
        <v>1.4120385387177547E-3</v>
      </c>
      <c r="K304" s="382">
        <f t="shared" si="63"/>
        <v>1.8996365209235738E-4</v>
      </c>
      <c r="M304" s="400"/>
      <c r="N304" s="398" t="s">
        <v>4215</v>
      </c>
      <c r="O304" s="398" t="s">
        <v>888</v>
      </c>
      <c r="P304" s="398" t="s">
        <v>410</v>
      </c>
      <c r="Q304" s="398">
        <v>75497622690.75</v>
      </c>
      <c r="R304" s="398">
        <v>0.43261874737284578</v>
      </c>
      <c r="S304" s="398">
        <v>15.21</v>
      </c>
      <c r="T304" s="398">
        <v>126.9401</v>
      </c>
      <c r="U304" s="398">
        <v>594.75</v>
      </c>
      <c r="W304" s="401" t="s">
        <v>888</v>
      </c>
      <c r="X304" s="402" t="s">
        <v>410</v>
      </c>
      <c r="Y304" s="386">
        <f t="shared" si="64"/>
        <v>75497.622690749995</v>
      </c>
      <c r="Z304" s="387">
        <f t="shared" si="65"/>
        <v>4.3261874737284579E-3</v>
      </c>
      <c r="AA304" s="387">
        <f t="shared" si="66"/>
        <v>0.15210000000000001</v>
      </c>
      <c r="AB304" s="403">
        <f t="shared" si="67"/>
        <v>0.15675519403110552</v>
      </c>
      <c r="AC304" s="388">
        <f t="shared" si="68"/>
        <v>1.4907689047207945E-3</v>
      </c>
      <c r="AD304" s="389">
        <f t="shared" si="69"/>
        <v>2.3368576891504681E-4</v>
      </c>
    </row>
    <row r="305" spans="1:30" x14ac:dyDescent="0.55000000000000004">
      <c r="A305" t="str">
        <f t="shared" si="56"/>
        <v>Moody's Corp</v>
      </c>
      <c r="B305" t="str">
        <f t="shared" si="56"/>
        <v>MCO</v>
      </c>
      <c r="C305" s="382">
        <f t="shared" si="57"/>
        <v>6.819637994553901E-3</v>
      </c>
      <c r="D305" s="383">
        <f t="shared" si="58"/>
        <v>90498.528000000006</v>
      </c>
      <c r="E305" s="384" t="str">
        <f t="shared" si="59"/>
        <v>N/A</v>
      </c>
      <c r="F305" s="385">
        <v>0.09</v>
      </c>
      <c r="G305" s="382">
        <v>0.15101000000000001</v>
      </c>
      <c r="H305" s="399">
        <f t="shared" si="60"/>
        <v>0.120505</v>
      </c>
      <c r="I305" s="399">
        <f t="shared" si="61"/>
        <v>0.12773553823282077</v>
      </c>
      <c r="J305" s="382">
        <f t="shared" si="62"/>
        <v>1.6926017625305224E-3</v>
      </c>
      <c r="K305" s="382">
        <f t="shared" si="63"/>
        <v>2.1620539715065738E-4</v>
      </c>
      <c r="M305" s="400"/>
      <c r="N305" s="398" t="s">
        <v>4216</v>
      </c>
      <c r="O305" s="398" t="s">
        <v>889</v>
      </c>
      <c r="P305" s="398" t="s">
        <v>411</v>
      </c>
      <c r="Q305" s="398">
        <v>90498528000</v>
      </c>
      <c r="R305" s="398">
        <v>0.6819637994553901</v>
      </c>
      <c r="S305" s="398" t="s">
        <v>3929</v>
      </c>
      <c r="T305" s="398">
        <v>181.2</v>
      </c>
      <c r="U305" s="398">
        <v>499.44</v>
      </c>
      <c r="W305" s="401" t="s">
        <v>889</v>
      </c>
      <c r="X305" s="402" t="s">
        <v>411</v>
      </c>
      <c r="Y305" s="386">
        <f t="shared" si="64"/>
        <v>90498.528000000006</v>
      </c>
      <c r="Z305" s="387">
        <f t="shared" si="65"/>
        <v>6.819637994553901E-3</v>
      </c>
      <c r="AA305" s="387" t="str">
        <f t="shared" si="66"/>
        <v>N/A</v>
      </c>
      <c r="AB305" s="403" t="str">
        <f t="shared" si="67"/>
        <v>N/A</v>
      </c>
      <c r="AC305" s="388">
        <f t="shared" si="68"/>
        <v>1.7869753597146536E-3</v>
      </c>
      <c r="AD305" s="389" t="str">
        <f t="shared" si="69"/>
        <v>N/A</v>
      </c>
    </row>
    <row r="306" spans="1:30" x14ac:dyDescent="0.55000000000000004">
      <c r="A306" t="str">
        <f t="shared" si="56"/>
        <v>Mondelez International Inc</v>
      </c>
      <c r="B306" t="str">
        <f t="shared" si="56"/>
        <v>MDLZ</v>
      </c>
      <c r="C306" s="382">
        <f t="shared" si="57"/>
        <v>3.0539748232453878E-2</v>
      </c>
      <c r="D306" s="383">
        <f t="shared" si="58"/>
        <v>77543.894789459999</v>
      </c>
      <c r="E306" s="384">
        <f t="shared" si="59"/>
        <v>4.9500000000000002E-2</v>
      </c>
      <c r="F306" s="385">
        <v>7.4999999999999997E-2</v>
      </c>
      <c r="G306" s="382">
        <v>4.0490399999999996E-2</v>
      </c>
      <c r="H306" s="399">
        <f t="shared" si="60"/>
        <v>5.4996799999999992E-2</v>
      </c>
      <c r="I306" s="399">
        <f t="shared" si="61"/>
        <v>8.637634244524918E-2</v>
      </c>
      <c r="J306" s="382">
        <f t="shared" si="62"/>
        <v>1.4503101419961371E-3</v>
      </c>
      <c r="K306" s="382">
        <f t="shared" si="63"/>
        <v>1.2527248547687631E-4</v>
      </c>
      <c r="M306" s="400"/>
      <c r="N306" s="398" t="s">
        <v>4217</v>
      </c>
      <c r="O306" s="398" t="s">
        <v>890</v>
      </c>
      <c r="P306" s="398" t="s">
        <v>412</v>
      </c>
      <c r="Q306" s="398">
        <v>77543894789.459991</v>
      </c>
      <c r="R306" s="398">
        <v>3.0539748232453876</v>
      </c>
      <c r="S306" s="398">
        <v>4.95</v>
      </c>
      <c r="T306" s="398">
        <v>1337.194</v>
      </c>
      <c r="U306" s="398">
        <v>57.99</v>
      </c>
      <c r="W306" s="401" t="s">
        <v>890</v>
      </c>
      <c r="X306" s="402" t="s">
        <v>412</v>
      </c>
      <c r="Y306" s="386">
        <f t="shared" si="64"/>
        <v>77543.894789459999</v>
      </c>
      <c r="Z306" s="387">
        <f t="shared" si="65"/>
        <v>3.0539748232453878E-2</v>
      </c>
      <c r="AA306" s="387">
        <f t="shared" si="66"/>
        <v>4.9500000000000002E-2</v>
      </c>
      <c r="AB306" s="403">
        <f t="shared" si="67"/>
        <v>8.0795607001207109E-2</v>
      </c>
      <c r="AC306" s="388">
        <f t="shared" si="68"/>
        <v>1.5311743997103524E-3</v>
      </c>
      <c r="AD306" s="389">
        <f t="shared" si="69"/>
        <v>1.2371216504930685E-4</v>
      </c>
    </row>
    <row r="307" spans="1:30" x14ac:dyDescent="0.55000000000000004">
      <c r="A307" t="str">
        <f t="shared" si="56"/>
        <v>Medtronic PLC</v>
      </c>
      <c r="B307" t="str">
        <f t="shared" si="56"/>
        <v>MDT</v>
      </c>
      <c r="C307" s="382">
        <f t="shared" si="57"/>
        <v>2.9762166923585118E-2</v>
      </c>
      <c r="D307" s="383">
        <f t="shared" si="58"/>
        <v>116457.18554841998</v>
      </c>
      <c r="E307" s="384">
        <f t="shared" si="59"/>
        <v>6.4899999999999999E-2</v>
      </c>
      <c r="F307" s="385">
        <v>6.5000000000000002E-2</v>
      </c>
      <c r="G307" s="382">
        <v>6.3731099999999999E-2</v>
      </c>
      <c r="H307" s="399">
        <f t="shared" si="60"/>
        <v>6.4543699999999996E-2</v>
      </c>
      <c r="I307" s="399">
        <f t="shared" si="61"/>
        <v>9.5266347110218016E-2</v>
      </c>
      <c r="J307" s="382">
        <f t="shared" si="62"/>
        <v>2.1781087701072854E-3</v>
      </c>
      <c r="K307" s="382">
        <f t="shared" si="63"/>
        <v>2.0750046613685072E-4</v>
      </c>
      <c r="M307" s="400"/>
      <c r="N307" s="398" t="s">
        <v>4218</v>
      </c>
      <c r="O307" s="398" t="s">
        <v>891</v>
      </c>
      <c r="P307" s="398" t="s">
        <v>413</v>
      </c>
      <c r="Q307" s="398">
        <v>116457185548.41998</v>
      </c>
      <c r="R307" s="398">
        <v>2.9762166923585118</v>
      </c>
      <c r="S307" s="398">
        <v>6.49</v>
      </c>
      <c r="T307" s="398">
        <v>1282.2859999999998</v>
      </c>
      <c r="U307" s="398">
        <v>90.82</v>
      </c>
      <c r="W307" s="401" t="s">
        <v>891</v>
      </c>
      <c r="X307" s="402" t="s">
        <v>413</v>
      </c>
      <c r="Y307" s="386">
        <f t="shared" si="64"/>
        <v>116457.18554841998</v>
      </c>
      <c r="Z307" s="387">
        <f t="shared" si="65"/>
        <v>2.9762166923585118E-2</v>
      </c>
      <c r="AA307" s="387">
        <f t="shared" si="66"/>
        <v>6.4899999999999999E-2</v>
      </c>
      <c r="AB307" s="403">
        <f t="shared" si="67"/>
        <v>9.5627949240255458E-2</v>
      </c>
      <c r="AC307" s="388">
        <f t="shared" si="68"/>
        <v>2.2995525522442081E-3</v>
      </c>
      <c r="AD307" s="389">
        <f t="shared" si="69"/>
        <v>2.1990149474130903E-4</v>
      </c>
    </row>
    <row r="308" spans="1:30" x14ac:dyDescent="0.55000000000000004">
      <c r="A308" t="str">
        <f t="shared" si="56"/>
        <v>MetLife Inc</v>
      </c>
      <c r="B308" t="str">
        <f t="shared" si="56"/>
        <v>MET</v>
      </c>
      <c r="C308" s="382">
        <f t="shared" si="57"/>
        <v>2.4945093052826262E-2</v>
      </c>
      <c r="D308" s="383">
        <f t="shared" si="58"/>
        <v>59901.290793729997</v>
      </c>
      <c r="E308" s="384">
        <f t="shared" si="59"/>
        <v>0.1368</v>
      </c>
      <c r="F308" s="385">
        <v>6.5000000000000002E-2</v>
      </c>
      <c r="G308" s="382">
        <v>0.13676460000000001</v>
      </c>
      <c r="H308" s="399">
        <f t="shared" si="60"/>
        <v>0.11285486666666666</v>
      </c>
      <c r="I308" s="399">
        <f t="shared" si="61"/>
        <v>0.13920754729472506</v>
      </c>
      <c r="J308" s="382">
        <f t="shared" si="62"/>
        <v>1.1203390001583312E-3</v>
      </c>
      <c r="K308" s="382">
        <f t="shared" si="63"/>
        <v>1.5595964435066587E-4</v>
      </c>
      <c r="M308" s="400"/>
      <c r="N308" s="398" t="s">
        <v>4219</v>
      </c>
      <c r="O308" s="398" t="s">
        <v>892</v>
      </c>
      <c r="P308" s="398" t="s">
        <v>414</v>
      </c>
      <c r="Q308" s="398">
        <v>59901290793.729996</v>
      </c>
      <c r="R308" s="398">
        <v>2.4945093052826262</v>
      </c>
      <c r="S308" s="398">
        <v>13.68</v>
      </c>
      <c r="T308" s="398">
        <v>692.42039999999997</v>
      </c>
      <c r="U308" s="398">
        <v>86.51</v>
      </c>
      <c r="W308" s="401" t="s">
        <v>892</v>
      </c>
      <c r="X308" s="402" t="s">
        <v>414</v>
      </c>
      <c r="Y308" s="386">
        <f t="shared" si="64"/>
        <v>59901.290793729997</v>
      </c>
      <c r="Z308" s="387">
        <f t="shared" si="65"/>
        <v>2.4945093052826262E-2</v>
      </c>
      <c r="AA308" s="387">
        <f t="shared" si="66"/>
        <v>0.1368</v>
      </c>
      <c r="AB308" s="403">
        <f t="shared" si="67"/>
        <v>0.16345133741763959</v>
      </c>
      <c r="AC308" s="388">
        <f t="shared" si="68"/>
        <v>1.1828052127377997E-3</v>
      </c>
      <c r="AD308" s="389">
        <f t="shared" si="69"/>
        <v>1.9333109392654908E-4</v>
      </c>
    </row>
    <row r="309" spans="1:30" x14ac:dyDescent="0.55000000000000004">
      <c r="A309" t="str">
        <f t="shared" si="56"/>
        <v>Meta Platforms Inc</v>
      </c>
      <c r="B309" t="str">
        <f t="shared" si="56"/>
        <v>META</v>
      </c>
      <c r="C309" s="382">
        <f t="shared" si="57"/>
        <v>3.0790214457761399E-3</v>
      </c>
      <c r="D309" s="383">
        <f t="shared" si="58"/>
        <v>1746147.2922526996</v>
      </c>
      <c r="E309" s="384">
        <f t="shared" si="59"/>
        <v>0.15905000000000002</v>
      </c>
      <c r="F309" s="385">
        <v>0.19</v>
      </c>
      <c r="G309" s="382">
        <v>0.17753830000000001</v>
      </c>
      <c r="H309" s="399">
        <f t="shared" si="60"/>
        <v>0.17552943333333335</v>
      </c>
      <c r="I309" s="399">
        <f t="shared" si="61"/>
        <v>0.17887868422390862</v>
      </c>
      <c r="J309" s="382">
        <f t="shared" si="62"/>
        <v>3.2658343177745595E-2</v>
      </c>
      <c r="K309" s="382">
        <f t="shared" si="63"/>
        <v>5.8418814565679945E-3</v>
      </c>
      <c r="M309" s="400"/>
      <c r="N309" s="398" t="s">
        <v>4220</v>
      </c>
      <c r="O309" s="398" t="s">
        <v>893</v>
      </c>
      <c r="P309" s="398" t="s">
        <v>415</v>
      </c>
      <c r="Q309" s="398">
        <v>1746147292252.6997</v>
      </c>
      <c r="R309" s="398">
        <v>0.307902144577614</v>
      </c>
      <c r="S309" s="398">
        <v>15.905000000000001</v>
      </c>
      <c r="T309" s="398">
        <v>2189.8979999999997</v>
      </c>
      <c r="U309" s="398">
        <v>689.18</v>
      </c>
      <c r="W309" s="401" t="s">
        <v>893</v>
      </c>
      <c r="X309" s="402" t="s">
        <v>415</v>
      </c>
      <c r="Y309" s="386">
        <f t="shared" si="64"/>
        <v>1746147.2922526996</v>
      </c>
      <c r="Z309" s="387">
        <f t="shared" si="65"/>
        <v>3.0790214457761399E-3</v>
      </c>
      <c r="AA309" s="387">
        <f t="shared" si="66"/>
        <v>0.15905000000000002</v>
      </c>
      <c r="AB309" s="403">
        <f t="shared" si="67"/>
        <v>0.16237388062625152</v>
      </c>
      <c r="AC309" s="388">
        <f t="shared" si="68"/>
        <v>3.4479258996213021E-2</v>
      </c>
      <c r="AD309" s="389">
        <f t="shared" si="69"/>
        <v>5.5985310843327018E-3</v>
      </c>
    </row>
    <row r="310" spans="1:30" x14ac:dyDescent="0.55000000000000004">
      <c r="A310" t="str">
        <f t="shared" si="56"/>
        <v>MGM Resorts International</v>
      </c>
      <c r="B310" t="str">
        <f t="shared" si="56"/>
        <v>MGM</v>
      </c>
      <c r="C310" s="382">
        <f t="shared" si="57"/>
        <v>0</v>
      </c>
      <c r="D310" s="383">
        <f t="shared" si="58"/>
        <v>10266.091784879998</v>
      </c>
      <c r="E310" s="384">
        <f t="shared" si="59"/>
        <v>5.6100000000000004E-2</v>
      </c>
      <c r="F310" s="385" t="s">
        <v>184</v>
      </c>
      <c r="G310" s="382">
        <v>-7.7170000000000002E-2</v>
      </c>
      <c r="H310" s="399">
        <f t="shared" si="60"/>
        <v>-1.0534999999999999E-2</v>
      </c>
      <c r="I310" s="399">
        <f t="shared" si="61"/>
        <v>-1.0534999999999999E-2</v>
      </c>
      <c r="J310" s="382">
        <f t="shared" si="62"/>
        <v>1.9200759872456711E-4</v>
      </c>
      <c r="K310" s="382">
        <f t="shared" si="63"/>
        <v>-2.0228000525633143E-6</v>
      </c>
      <c r="M310" s="400"/>
      <c r="N310" s="398" t="s">
        <v>4221</v>
      </c>
      <c r="O310" s="398" t="s">
        <v>416</v>
      </c>
      <c r="P310" s="398" t="s">
        <v>417</v>
      </c>
      <c r="Q310" s="398">
        <v>10266091784.879997</v>
      </c>
      <c r="R310" s="398">
        <v>0</v>
      </c>
      <c r="S310" s="398">
        <v>5.61</v>
      </c>
      <c r="T310" s="398">
        <v>297.7405</v>
      </c>
      <c r="U310" s="398">
        <v>34.479999999999997</v>
      </c>
      <c r="W310" s="401" t="s">
        <v>416</v>
      </c>
      <c r="X310" s="402" t="s">
        <v>417</v>
      </c>
      <c r="Y310" s="386">
        <f t="shared" si="64"/>
        <v>10266.091784879998</v>
      </c>
      <c r="Z310" s="387">
        <f t="shared" si="65"/>
        <v>0</v>
      </c>
      <c r="AA310" s="387">
        <f t="shared" si="66"/>
        <v>5.6100000000000004E-2</v>
      </c>
      <c r="AB310" s="403">
        <f t="shared" si="67"/>
        <v>5.6100000000000004E-2</v>
      </c>
      <c r="AC310" s="388">
        <f t="shared" si="68"/>
        <v>2.027132757358173E-4</v>
      </c>
      <c r="AD310" s="389">
        <f t="shared" si="69"/>
        <v>1.1372214768779352E-5</v>
      </c>
    </row>
    <row r="311" spans="1:30" x14ac:dyDescent="0.55000000000000004">
      <c r="A311" t="str">
        <f t="shared" si="56"/>
        <v>Mohawk Industries Inc</v>
      </c>
      <c r="B311" t="str">
        <f t="shared" si="56"/>
        <v>MHK</v>
      </c>
      <c r="C311" s="382" t="str">
        <f t="shared" si="57"/>
        <v>0.00%</v>
      </c>
      <c r="D311" s="383">
        <f t="shared" si="58"/>
        <v>7719.7305871999997</v>
      </c>
      <c r="E311" s="384">
        <f t="shared" si="59"/>
        <v>1.5700000000000002E-2</v>
      </c>
      <c r="F311" s="385">
        <v>0.01</v>
      </c>
      <c r="G311" s="382">
        <v>7.1390200000000001E-2</v>
      </c>
      <c r="H311" s="399">
        <f t="shared" si="60"/>
        <v>3.2363400000000001E-2</v>
      </c>
      <c r="I311" s="399">
        <f t="shared" si="61"/>
        <v>3.2363400000000001E-2</v>
      </c>
      <c r="J311" s="382">
        <f t="shared" si="62"/>
        <v>1.4438278596261259E-4</v>
      </c>
      <c r="K311" s="382">
        <f t="shared" si="63"/>
        <v>4.6727178552224167E-6</v>
      </c>
      <c r="M311" s="400"/>
      <c r="N311" s="398" t="s">
        <v>4222</v>
      </c>
      <c r="O311" s="398" t="s">
        <v>894</v>
      </c>
      <c r="P311" s="398" t="s">
        <v>418</v>
      </c>
      <c r="Q311" s="398">
        <v>7719730587.1999998</v>
      </c>
      <c r="R311" s="398" t="s">
        <v>3929</v>
      </c>
      <c r="S311" s="398">
        <v>1.57</v>
      </c>
      <c r="T311" s="398">
        <v>63.121259999999999</v>
      </c>
      <c r="U311" s="398">
        <v>122.3</v>
      </c>
      <c r="W311" s="401" t="s">
        <v>894</v>
      </c>
      <c r="X311" s="402" t="s">
        <v>418</v>
      </c>
      <c r="Y311" s="386">
        <f t="shared" si="64"/>
        <v>7719.7305871999997</v>
      </c>
      <c r="Z311" s="387" t="str">
        <f t="shared" si="65"/>
        <v>0.00%</v>
      </c>
      <c r="AA311" s="387">
        <f t="shared" si="66"/>
        <v>1.5700000000000002E-2</v>
      </c>
      <c r="AB311" s="403">
        <f t="shared" si="67"/>
        <v>1.5700000000000002E-2</v>
      </c>
      <c r="AC311" s="388">
        <f t="shared" si="68"/>
        <v>1.5243306877833342E-4</v>
      </c>
      <c r="AD311" s="389">
        <f t="shared" si="69"/>
        <v>2.393199179819835E-6</v>
      </c>
    </row>
    <row r="312" spans="1:30" x14ac:dyDescent="0.55000000000000004">
      <c r="A312" t="str">
        <f t="shared" si="56"/>
        <v>McCormick &amp; Co Inc/MD</v>
      </c>
      <c r="B312" t="str">
        <f t="shared" si="56"/>
        <v>MKC</v>
      </c>
      <c r="C312" s="382">
        <f t="shared" si="57"/>
        <v>2.3475333419655572E-2</v>
      </c>
      <c r="D312" s="383">
        <f t="shared" si="58"/>
        <v>20706.426782410002</v>
      </c>
      <c r="E312" s="384">
        <f t="shared" si="59"/>
        <v>6.3700000000000007E-2</v>
      </c>
      <c r="F312" s="385">
        <v>0.05</v>
      </c>
      <c r="G312" s="382">
        <v>6.2899099999999999E-2</v>
      </c>
      <c r="H312" s="399">
        <f t="shared" si="60"/>
        <v>5.886636666666667E-2</v>
      </c>
      <c r="I312" s="399">
        <f t="shared" si="61"/>
        <v>8.303265387867409E-2</v>
      </c>
      <c r="J312" s="382">
        <f t="shared" si="62"/>
        <v>3.8727408326040818E-4</v>
      </c>
      <c r="K312" s="382">
        <f t="shared" si="63"/>
        <v>3.2156394911542285E-5</v>
      </c>
      <c r="M312" s="400"/>
      <c r="N312" s="398" t="s">
        <v>4223</v>
      </c>
      <c r="O312" s="398" t="s">
        <v>895</v>
      </c>
      <c r="P312" s="398" t="s">
        <v>419</v>
      </c>
      <c r="Q312" s="398">
        <v>20706426782.410004</v>
      </c>
      <c r="R312" s="398">
        <v>2.3475333419655571</v>
      </c>
      <c r="S312" s="398">
        <v>6.37</v>
      </c>
      <c r="T312" s="398">
        <v>252.518</v>
      </c>
      <c r="U312" s="398">
        <v>77.23</v>
      </c>
      <c r="W312" s="401" t="s">
        <v>895</v>
      </c>
      <c r="X312" s="402" t="s">
        <v>419</v>
      </c>
      <c r="Y312" s="386">
        <f t="shared" si="64"/>
        <v>20706.426782410002</v>
      </c>
      <c r="Z312" s="387">
        <f t="shared" si="65"/>
        <v>2.3475333419655572E-2</v>
      </c>
      <c r="AA312" s="387">
        <f t="shared" si="66"/>
        <v>6.3700000000000007E-2</v>
      </c>
      <c r="AB312" s="403">
        <f t="shared" si="67"/>
        <v>8.7923022789071603E-2</v>
      </c>
      <c r="AC312" s="388">
        <f t="shared" si="68"/>
        <v>4.0886714144015965E-4</v>
      </c>
      <c r="AD312" s="389">
        <f t="shared" si="69"/>
        <v>3.5948834994545717E-5</v>
      </c>
    </row>
    <row r="313" spans="1:30" x14ac:dyDescent="0.55000000000000004">
      <c r="A313" t="str">
        <f t="shared" si="56"/>
        <v>MarketAxess Holdings Inc</v>
      </c>
      <c r="B313" t="str">
        <f t="shared" si="56"/>
        <v>MKTX</v>
      </c>
      <c r="C313" s="382">
        <f t="shared" si="57"/>
        <v>1.3384399220414268E-2</v>
      </c>
      <c r="D313" s="383">
        <f t="shared" si="58"/>
        <v>8318.7138293199987</v>
      </c>
      <c r="E313" s="384">
        <f t="shared" si="59"/>
        <v>3.9300000000000002E-2</v>
      </c>
      <c r="F313" s="385">
        <v>9.5000000000000001E-2</v>
      </c>
      <c r="G313" s="382">
        <v>6.1240199999999995E-2</v>
      </c>
      <c r="H313" s="399">
        <f t="shared" si="60"/>
        <v>6.5180066666666661E-2</v>
      </c>
      <c r="I313" s="399">
        <f t="shared" si="61"/>
        <v>7.9000663903820878E-2</v>
      </c>
      <c r="J313" s="382">
        <f t="shared" si="62"/>
        <v>1.5558562112186024E-4</v>
      </c>
      <c r="K313" s="382">
        <f t="shared" si="63"/>
        <v>1.2291367362515296E-5</v>
      </c>
      <c r="M313" s="400"/>
      <c r="N313" s="398" t="s">
        <v>4224</v>
      </c>
      <c r="O313" s="398" t="s">
        <v>896</v>
      </c>
      <c r="P313" s="398" t="s">
        <v>420</v>
      </c>
      <c r="Q313" s="398">
        <v>8318713829.3199987</v>
      </c>
      <c r="R313" s="398">
        <v>1.3384399220414269</v>
      </c>
      <c r="S313" s="398">
        <v>3.93</v>
      </c>
      <c r="T313" s="398">
        <v>37.704360000000001</v>
      </c>
      <c r="U313" s="398">
        <v>220.63</v>
      </c>
      <c r="W313" s="401" t="s">
        <v>896</v>
      </c>
      <c r="X313" s="402" t="s">
        <v>420</v>
      </c>
      <c r="Y313" s="386">
        <f t="shared" si="64"/>
        <v>8318.7138293199987</v>
      </c>
      <c r="Z313" s="387">
        <f t="shared" si="65"/>
        <v>1.3384399220414268E-2</v>
      </c>
      <c r="AA313" s="387">
        <f t="shared" si="66"/>
        <v>3.9300000000000002E-2</v>
      </c>
      <c r="AB313" s="403">
        <f t="shared" si="67"/>
        <v>5.2947402665095414E-2</v>
      </c>
      <c r="AC313" s="388">
        <f t="shared" si="68"/>
        <v>1.6426053512729364E-4</v>
      </c>
      <c r="AD313" s="389">
        <f t="shared" si="69"/>
        <v>8.697168695368865E-6</v>
      </c>
    </row>
    <row r="314" spans="1:30" x14ac:dyDescent="0.55000000000000004">
      <c r="A314" t="str">
        <f t="shared" si="56"/>
        <v>Martin Marietta Materials Inc</v>
      </c>
      <c r="B314" t="str">
        <f t="shared" si="56"/>
        <v>MLM</v>
      </c>
      <c r="C314" s="382">
        <f t="shared" si="57"/>
        <v>5.5190031610674118E-3</v>
      </c>
      <c r="D314" s="383">
        <f t="shared" si="58"/>
        <v>33255.557174840003</v>
      </c>
      <c r="E314" s="384">
        <f t="shared" si="59"/>
        <v>5.8299999999999998E-2</v>
      </c>
      <c r="F314" s="385">
        <v>0.105</v>
      </c>
      <c r="G314" s="382">
        <v>5.8267399999999997E-2</v>
      </c>
      <c r="H314" s="399">
        <f t="shared" si="60"/>
        <v>7.3855799999999999E-2</v>
      </c>
      <c r="I314" s="399">
        <f t="shared" si="61"/>
        <v>7.9578608357898997E-2</v>
      </c>
      <c r="J314" s="382">
        <f t="shared" si="62"/>
        <v>6.2198154966751221E-4</v>
      </c>
      <c r="K314" s="382">
        <f t="shared" si="63"/>
        <v>4.9496426146830058E-5</v>
      </c>
      <c r="M314" s="400"/>
      <c r="N314" s="398" t="s">
        <v>4225</v>
      </c>
      <c r="O314" s="398" t="s">
        <v>897</v>
      </c>
      <c r="P314" s="398" t="s">
        <v>421</v>
      </c>
      <c r="Q314" s="398">
        <v>33255557174.840004</v>
      </c>
      <c r="R314" s="398">
        <v>0.55190031610674117</v>
      </c>
      <c r="S314" s="398">
        <v>5.83</v>
      </c>
      <c r="T314" s="398">
        <v>61.11806</v>
      </c>
      <c r="U314" s="398">
        <v>544.12</v>
      </c>
      <c r="W314" s="401" t="s">
        <v>897</v>
      </c>
      <c r="X314" s="402" t="s">
        <v>421</v>
      </c>
      <c r="Y314" s="386">
        <f t="shared" si="64"/>
        <v>33255.557174840003</v>
      </c>
      <c r="Z314" s="387">
        <f t="shared" si="65"/>
        <v>5.5190031610674118E-3</v>
      </c>
      <c r="AA314" s="387">
        <f t="shared" si="66"/>
        <v>5.8299999999999998E-2</v>
      </c>
      <c r="AB314" s="403">
        <f t="shared" si="67"/>
        <v>6.3979882103212524E-2</v>
      </c>
      <c r="AC314" s="388">
        <f t="shared" si="68"/>
        <v>6.5666108121693358E-4</v>
      </c>
      <c r="AD314" s="389">
        <f t="shared" si="69"/>
        <v>4.2013098558027475E-5</v>
      </c>
    </row>
    <row r="315" spans="1:30" x14ac:dyDescent="0.55000000000000004">
      <c r="A315" t="str">
        <f t="shared" si="56"/>
        <v>Marsh &amp; McLennan Cos Inc</v>
      </c>
      <c r="B315" t="str">
        <f t="shared" si="56"/>
        <v>MMC</v>
      </c>
      <c r="C315" s="382">
        <f t="shared" si="57"/>
        <v>1.5404832165252675E-2</v>
      </c>
      <c r="D315" s="383">
        <f t="shared" si="58"/>
        <v>106514.43764328001</v>
      </c>
      <c r="E315" s="384">
        <f t="shared" si="59"/>
        <v>8.5800000000000001E-2</v>
      </c>
      <c r="F315" s="385">
        <v>0.1</v>
      </c>
      <c r="G315" s="382">
        <v>8.5807599999999998E-2</v>
      </c>
      <c r="H315" s="399">
        <f t="shared" si="60"/>
        <v>9.0535866666666673E-2</v>
      </c>
      <c r="I315" s="399">
        <f t="shared" si="61"/>
        <v>0.1066380437473872</v>
      </c>
      <c r="J315" s="382">
        <f t="shared" si="62"/>
        <v>1.9921486998104891E-3</v>
      </c>
      <c r="K315" s="382">
        <f t="shared" si="63"/>
        <v>2.1243884020169147E-4</v>
      </c>
      <c r="M315" s="400"/>
      <c r="N315" s="398" t="s">
        <v>4226</v>
      </c>
      <c r="O315" s="398" t="s">
        <v>898</v>
      </c>
      <c r="P315" s="398" t="s">
        <v>422</v>
      </c>
      <c r="Q315" s="398">
        <v>106514437643.28</v>
      </c>
      <c r="R315" s="398">
        <v>1.5404832165252675</v>
      </c>
      <c r="S315" s="398">
        <v>8.58</v>
      </c>
      <c r="T315" s="398">
        <v>491.12149999999997</v>
      </c>
      <c r="U315" s="398">
        <v>216.88</v>
      </c>
      <c r="W315" s="401" t="s">
        <v>898</v>
      </c>
      <c r="X315" s="402" t="s">
        <v>422</v>
      </c>
      <c r="Y315" s="386">
        <f t="shared" si="64"/>
        <v>106514.43764328001</v>
      </c>
      <c r="Z315" s="387">
        <f t="shared" si="65"/>
        <v>1.5404832165252675E-2</v>
      </c>
      <c r="AA315" s="387">
        <f t="shared" si="66"/>
        <v>8.5800000000000001E-2</v>
      </c>
      <c r="AB315" s="403">
        <f t="shared" si="67"/>
        <v>0.10186569946514201</v>
      </c>
      <c r="AC315" s="388">
        <f t="shared" si="68"/>
        <v>2.1032239941229133E-3</v>
      </c>
      <c r="AD315" s="389">
        <f t="shared" si="69"/>
        <v>2.1424638329320029E-4</v>
      </c>
    </row>
    <row r="316" spans="1:30" x14ac:dyDescent="0.55000000000000004">
      <c r="A316" t="str">
        <f t="shared" si="56"/>
        <v>3M Co</v>
      </c>
      <c r="B316" t="str">
        <f t="shared" si="56"/>
        <v>MMM</v>
      </c>
      <c r="C316" s="382">
        <f t="shared" si="57"/>
        <v>1.9875164257555849E-2</v>
      </c>
      <c r="D316" s="383">
        <f t="shared" si="58"/>
        <v>82881.819985400012</v>
      </c>
      <c r="E316" s="384">
        <f t="shared" si="59"/>
        <v>6.59E-2</v>
      </c>
      <c r="F316" s="385">
        <v>0.3</v>
      </c>
      <c r="G316" s="382">
        <v>-6.1874999999999999E-2</v>
      </c>
      <c r="H316" s="399">
        <f t="shared" si="60"/>
        <v>0.10134166666666666</v>
      </c>
      <c r="I316" s="399">
        <f t="shared" si="61"/>
        <v>0.12222392205978974</v>
      </c>
      <c r="J316" s="382">
        <f t="shared" si="62"/>
        <v>1.5501458166151114E-3</v>
      </c>
      <c r="K316" s="382">
        <f t="shared" si="63"/>
        <v>1.894649014712745E-4</v>
      </c>
      <c r="M316" s="400"/>
      <c r="N316" s="398" t="s">
        <v>4227</v>
      </c>
      <c r="O316" s="398" t="s">
        <v>899</v>
      </c>
      <c r="P316" s="398" t="s">
        <v>423</v>
      </c>
      <c r="Q316" s="398">
        <v>82881819985.400009</v>
      </c>
      <c r="R316" s="398">
        <v>1.9875164257555848</v>
      </c>
      <c r="S316" s="398">
        <v>6.59</v>
      </c>
      <c r="T316" s="398">
        <v>544.55859999999996</v>
      </c>
      <c r="U316" s="398">
        <v>152.19999999999999</v>
      </c>
      <c r="W316" s="401" t="s">
        <v>899</v>
      </c>
      <c r="X316" s="402" t="s">
        <v>423</v>
      </c>
      <c r="Y316" s="386">
        <f t="shared" si="64"/>
        <v>82881.819985400012</v>
      </c>
      <c r="Z316" s="387">
        <f t="shared" si="65"/>
        <v>1.9875164257555849E-2</v>
      </c>
      <c r="AA316" s="387">
        <f t="shared" si="66"/>
        <v>6.59E-2</v>
      </c>
      <c r="AB316" s="403">
        <f t="shared" si="67"/>
        <v>8.6430050919842322E-2</v>
      </c>
      <c r="AC316" s="388">
        <f t="shared" si="68"/>
        <v>1.6365765648941311E-3</v>
      </c>
      <c r="AD316" s="389">
        <f t="shared" si="69"/>
        <v>1.4144939583802038E-4</v>
      </c>
    </row>
    <row r="317" spans="1:30" x14ac:dyDescent="0.55000000000000004">
      <c r="A317" t="str">
        <f t="shared" si="56"/>
        <v>Monster Beverage Corp</v>
      </c>
      <c r="B317" t="str">
        <f t="shared" si="56"/>
        <v>MNST</v>
      </c>
      <c r="C317" s="382">
        <f t="shared" si="57"/>
        <v>0</v>
      </c>
      <c r="D317" s="383">
        <f t="shared" si="58"/>
        <v>47371.432589890006</v>
      </c>
      <c r="E317" s="384">
        <f t="shared" si="59"/>
        <v>9.9350000000000008E-2</v>
      </c>
      <c r="F317" s="385">
        <v>0.115</v>
      </c>
      <c r="G317" s="382">
        <v>0.1161022</v>
      </c>
      <c r="H317" s="399">
        <f t="shared" si="60"/>
        <v>0.11015073333333335</v>
      </c>
      <c r="I317" s="399">
        <f t="shared" si="61"/>
        <v>0.11015073333333335</v>
      </c>
      <c r="J317" s="382">
        <f t="shared" si="62"/>
        <v>8.8599198315406471E-4</v>
      </c>
      <c r="K317" s="382">
        <f t="shared" si="63"/>
        <v>9.7592666671874549E-5</v>
      </c>
      <c r="M317" s="400"/>
      <c r="N317" s="398" t="s">
        <v>4228</v>
      </c>
      <c r="O317" s="398" t="s">
        <v>900</v>
      </c>
      <c r="P317" s="398" t="s">
        <v>424</v>
      </c>
      <c r="Q317" s="398">
        <v>47371432589.890007</v>
      </c>
      <c r="R317" s="398">
        <v>0</v>
      </c>
      <c r="S317" s="398">
        <v>9.9350000000000005</v>
      </c>
      <c r="T317" s="398">
        <v>972.51969999999994</v>
      </c>
      <c r="U317" s="398">
        <v>48.71</v>
      </c>
      <c r="W317" s="401" t="s">
        <v>900</v>
      </c>
      <c r="X317" s="402" t="s">
        <v>424</v>
      </c>
      <c r="Y317" s="386">
        <f t="shared" si="64"/>
        <v>47371.432589890006</v>
      </c>
      <c r="Z317" s="387">
        <f t="shared" si="65"/>
        <v>0</v>
      </c>
      <c r="AA317" s="387">
        <f t="shared" si="66"/>
        <v>9.9350000000000008E-2</v>
      </c>
      <c r="AB317" s="403">
        <f t="shared" si="67"/>
        <v>9.9350000000000008E-2</v>
      </c>
      <c r="AC317" s="388">
        <f t="shared" si="68"/>
        <v>9.3539181977100394E-4</v>
      </c>
      <c r="AD317" s="389">
        <f t="shared" si="69"/>
        <v>9.293117729424925E-5</v>
      </c>
    </row>
    <row r="318" spans="1:30" x14ac:dyDescent="0.55000000000000004">
      <c r="A318" t="str">
        <f t="shared" si="56"/>
        <v>Altria Group Inc</v>
      </c>
      <c r="B318" t="str">
        <f t="shared" si="56"/>
        <v>MO</v>
      </c>
      <c r="C318" s="382">
        <f t="shared" si="57"/>
        <v>7.9628565958261538E-2</v>
      </c>
      <c r="D318" s="383">
        <f t="shared" si="58"/>
        <v>88520.082049860008</v>
      </c>
      <c r="E318" s="384">
        <f t="shared" si="59"/>
        <v>4.4800000000000006E-2</v>
      </c>
      <c r="F318" s="385">
        <v>0.05</v>
      </c>
      <c r="G318" s="382">
        <v>4.3072400000000004E-2</v>
      </c>
      <c r="H318" s="399">
        <f t="shared" si="60"/>
        <v>4.5957466666666669E-2</v>
      </c>
      <c r="I318" s="399">
        <f t="shared" si="61"/>
        <v>0.12741579620779886</v>
      </c>
      <c r="J318" s="382">
        <f t="shared" si="62"/>
        <v>1.655598717549743E-3</v>
      </c>
      <c r="K318" s="382">
        <f t="shared" si="63"/>
        <v>2.1094942879721121E-4</v>
      </c>
      <c r="M318" s="400"/>
      <c r="N318" s="398" t="s">
        <v>4229</v>
      </c>
      <c r="O318" s="398" t="s">
        <v>901</v>
      </c>
      <c r="P318" s="398" t="s">
        <v>425</v>
      </c>
      <c r="Q318" s="398">
        <v>88520082049.860001</v>
      </c>
      <c r="R318" s="398">
        <v>7.9628565958261532</v>
      </c>
      <c r="S318" s="398">
        <v>4.4800000000000004</v>
      </c>
      <c r="T318" s="398">
        <v>1694.8129999999999</v>
      </c>
      <c r="U318" s="398">
        <v>52.23</v>
      </c>
      <c r="W318" s="401" t="s">
        <v>901</v>
      </c>
      <c r="X318" s="402" t="s">
        <v>425</v>
      </c>
      <c r="Y318" s="386">
        <f t="shared" si="64"/>
        <v>88520.082049860008</v>
      </c>
      <c r="Z318" s="387">
        <f t="shared" si="65"/>
        <v>7.9628565958261538E-2</v>
      </c>
      <c r="AA318" s="387">
        <f t="shared" si="66"/>
        <v>4.4800000000000006E-2</v>
      </c>
      <c r="AB318" s="403">
        <f t="shared" si="67"/>
        <v>0.1262122458357266</v>
      </c>
      <c r="AC318" s="388">
        <f t="shared" si="68"/>
        <v>1.7479091534286528E-3</v>
      </c>
      <c r="AD318" s="389">
        <f t="shared" si="69"/>
        <v>2.2060753977105389E-4</v>
      </c>
    </row>
    <row r="319" spans="1:30" x14ac:dyDescent="0.55000000000000004">
      <c r="A319" t="str">
        <f t="shared" si="56"/>
        <v>Molina Healthcare Inc</v>
      </c>
      <c r="B319" t="str">
        <f t="shared" si="56"/>
        <v>MOH</v>
      </c>
      <c r="C319" s="382" t="str">
        <f t="shared" si="57"/>
        <v>0.00%</v>
      </c>
      <c r="D319" s="383">
        <f t="shared" si="58"/>
        <v>17755.452000000001</v>
      </c>
      <c r="E319" s="384">
        <f t="shared" si="59"/>
        <v>0.1173</v>
      </c>
      <c r="F319" s="385">
        <v>0.12</v>
      </c>
      <c r="G319" s="382">
        <v>0.13041</v>
      </c>
      <c r="H319" s="399">
        <f t="shared" si="60"/>
        <v>0.12257</v>
      </c>
      <c r="I319" s="399">
        <f t="shared" si="61"/>
        <v>0.12257</v>
      </c>
      <c r="J319" s="382">
        <f t="shared" si="62"/>
        <v>3.3208174777965549E-4</v>
      </c>
      <c r="K319" s="382">
        <f t="shared" si="63"/>
        <v>4.0703259825352375E-5</v>
      </c>
      <c r="M319" s="400"/>
      <c r="N319" s="398" t="s">
        <v>4230</v>
      </c>
      <c r="O319" s="398" t="s">
        <v>902</v>
      </c>
      <c r="P319" s="398" t="s">
        <v>426</v>
      </c>
      <c r="Q319" s="398">
        <v>17755452000</v>
      </c>
      <c r="R319" s="398" t="s">
        <v>3929</v>
      </c>
      <c r="S319" s="398">
        <v>11.73</v>
      </c>
      <c r="T319" s="398">
        <v>57.199999999999996</v>
      </c>
      <c r="U319" s="398">
        <v>310.41000000000003</v>
      </c>
      <c r="W319" s="401" t="s">
        <v>902</v>
      </c>
      <c r="X319" s="402" t="s">
        <v>426</v>
      </c>
      <c r="Y319" s="386">
        <f t="shared" si="64"/>
        <v>17755.452000000001</v>
      </c>
      <c r="Z319" s="387" t="str">
        <f t="shared" si="65"/>
        <v>0.00%</v>
      </c>
      <c r="AA319" s="387">
        <f t="shared" si="66"/>
        <v>0.1173</v>
      </c>
      <c r="AB319" s="403">
        <f t="shared" si="67"/>
        <v>0.1173</v>
      </c>
      <c r="AC319" s="388">
        <f t="shared" si="68"/>
        <v>3.5059747297322077E-4</v>
      </c>
      <c r="AD319" s="389">
        <f t="shared" si="69"/>
        <v>4.1125083579758799E-5</v>
      </c>
    </row>
    <row r="320" spans="1:30" x14ac:dyDescent="0.55000000000000004">
      <c r="A320" t="str">
        <f t="shared" si="56"/>
        <v>Mosaic Co/The</v>
      </c>
      <c r="B320" t="str">
        <f t="shared" si="56"/>
        <v>MOS</v>
      </c>
      <c r="C320" s="382">
        <f t="shared" si="57"/>
        <v>3.0010756543564002E-2</v>
      </c>
      <c r="D320" s="383">
        <f t="shared" si="58"/>
        <v>8859.1268591999997</v>
      </c>
      <c r="E320" s="384">
        <f t="shared" si="59"/>
        <v>-0.22375</v>
      </c>
      <c r="F320" s="385">
        <v>-0.115</v>
      </c>
      <c r="G320" s="382">
        <v>-4.6666699999999998E-2</v>
      </c>
      <c r="H320" s="399">
        <f t="shared" si="60"/>
        <v>-0.12847223333333332</v>
      </c>
      <c r="I320" s="399">
        <f t="shared" si="61"/>
        <v>-0.10038925124835663</v>
      </c>
      <c r="J320" s="382">
        <f t="shared" si="62"/>
        <v>1.656930125577668E-4</v>
      </c>
      <c r="K320" s="382">
        <f t="shared" si="63"/>
        <v>-1.6633797467758761E-5</v>
      </c>
      <c r="M320" s="400"/>
      <c r="N320" s="398" t="s">
        <v>4231</v>
      </c>
      <c r="O320" s="398" t="s">
        <v>903</v>
      </c>
      <c r="P320" s="398" t="s">
        <v>427</v>
      </c>
      <c r="Q320" s="398">
        <v>8859126859.1999989</v>
      </c>
      <c r="R320" s="398">
        <v>3.0010756543564003</v>
      </c>
      <c r="S320" s="398">
        <v>-22.375</v>
      </c>
      <c r="T320" s="398">
        <v>317.64529999999996</v>
      </c>
      <c r="U320" s="398">
        <v>27.89</v>
      </c>
      <c r="W320" s="401" t="s">
        <v>903</v>
      </c>
      <c r="X320" s="402" t="s">
        <v>427</v>
      </c>
      <c r="Y320" s="386">
        <f t="shared" si="64"/>
        <v>8859.1268591999997</v>
      </c>
      <c r="Z320" s="387">
        <f t="shared" si="65"/>
        <v>3.0010756543564002E-2</v>
      </c>
      <c r="AA320" s="387">
        <f t="shared" si="66"/>
        <v>-0.22375</v>
      </c>
      <c r="AB320" s="403">
        <f t="shared" si="67"/>
        <v>-0.19709669684474723</v>
      </c>
      <c r="AC320" s="388">
        <f t="shared" si="68"/>
        <v>1.7493147961452664E-4</v>
      </c>
      <c r="AD320" s="389">
        <f t="shared" si="69"/>
        <v>-3.4478416806187435E-5</v>
      </c>
    </row>
    <row r="321" spans="1:30" x14ac:dyDescent="0.55000000000000004">
      <c r="A321" t="str">
        <f t="shared" si="56"/>
        <v>Marathon Petroleum Corp</v>
      </c>
      <c r="B321" t="str">
        <f t="shared" si="56"/>
        <v>MPC</v>
      </c>
      <c r="C321" s="382">
        <f t="shared" si="57"/>
        <v>2.3196760689039874E-2</v>
      </c>
      <c r="D321" s="383">
        <f t="shared" si="58"/>
        <v>46829.584195919997</v>
      </c>
      <c r="E321" s="384">
        <f t="shared" si="59"/>
        <v>-0.16355</v>
      </c>
      <c r="F321" s="385">
        <v>-0.06</v>
      </c>
      <c r="G321" s="382">
        <v>0.15</v>
      </c>
      <c r="H321" s="399">
        <f t="shared" si="60"/>
        <v>-2.4516666666666669E-2</v>
      </c>
      <c r="I321" s="399">
        <f t="shared" si="61"/>
        <v>-1.6042596024066109E-3</v>
      </c>
      <c r="J321" s="382">
        <f t="shared" si="62"/>
        <v>8.7585774597997523E-4</v>
      </c>
      <c r="K321" s="382">
        <f t="shared" si="63"/>
        <v>-1.4051031993305855E-6</v>
      </c>
      <c r="M321" s="400"/>
      <c r="N321" s="398" t="s">
        <v>4232</v>
      </c>
      <c r="O321" s="398" t="s">
        <v>904</v>
      </c>
      <c r="P321" s="398" t="s">
        <v>428</v>
      </c>
      <c r="Q321" s="398">
        <v>46829584195.919998</v>
      </c>
      <c r="R321" s="398">
        <v>2.3196760689039873</v>
      </c>
      <c r="S321" s="398">
        <v>-16.355</v>
      </c>
      <c r="T321" s="398">
        <v>321.38900000000001</v>
      </c>
      <c r="U321" s="398">
        <v>145.71</v>
      </c>
      <c r="W321" s="401" t="s">
        <v>904</v>
      </c>
      <c r="X321" s="402" t="s">
        <v>428</v>
      </c>
      <c r="Y321" s="386">
        <f t="shared" si="64"/>
        <v>46829.584195919997</v>
      </c>
      <c r="Z321" s="387">
        <f t="shared" si="65"/>
        <v>2.3196760689039874E-2</v>
      </c>
      <c r="AA321" s="387">
        <f t="shared" si="66"/>
        <v>-0.16355</v>
      </c>
      <c r="AB321" s="403">
        <f t="shared" si="67"/>
        <v>-0.14225015441630637</v>
      </c>
      <c r="AC321" s="388">
        <f t="shared" si="68"/>
        <v>9.246925327204414E-4</v>
      </c>
      <c r="AD321" s="389">
        <f t="shared" si="69"/>
        <v>-1.3153765556708823E-4</v>
      </c>
    </row>
    <row r="322" spans="1:30" x14ac:dyDescent="0.55000000000000004">
      <c r="A322" t="str">
        <f t="shared" si="56"/>
        <v>Monolithic Power Systems Inc</v>
      </c>
      <c r="B322" t="str">
        <f t="shared" si="56"/>
        <v>MPWR</v>
      </c>
      <c r="C322" s="382">
        <f t="shared" si="57"/>
        <v>7.7788411754553862E-3</v>
      </c>
      <c r="D322" s="383">
        <f t="shared" si="58"/>
        <v>31090.908600000002</v>
      </c>
      <c r="E322" s="384">
        <f t="shared" si="59"/>
        <v>0.22</v>
      </c>
      <c r="F322" s="385">
        <v>0.12</v>
      </c>
      <c r="G322" s="382">
        <v>0.25768750000000001</v>
      </c>
      <c r="H322" s="399">
        <f t="shared" si="60"/>
        <v>0.19922916666666665</v>
      </c>
      <c r="I322" s="399">
        <f t="shared" si="61"/>
        <v>0.2077828938646312</v>
      </c>
      <c r="J322" s="382">
        <f t="shared" si="62"/>
        <v>5.8149594096199421E-4</v>
      </c>
      <c r="K322" s="382">
        <f t="shared" si="63"/>
        <v>1.2082490938361989E-4</v>
      </c>
      <c r="M322" s="400"/>
      <c r="N322" s="398" t="s">
        <v>4233</v>
      </c>
      <c r="O322" s="398" t="s">
        <v>905</v>
      </c>
      <c r="P322" s="398" t="s">
        <v>429</v>
      </c>
      <c r="Q322" s="398">
        <v>31090908600.000004</v>
      </c>
      <c r="R322" s="398">
        <v>0.77788411754553866</v>
      </c>
      <c r="S322" s="398">
        <v>22</v>
      </c>
      <c r="T322" s="398">
        <v>48.78</v>
      </c>
      <c r="U322" s="398">
        <v>637.37</v>
      </c>
      <c r="W322" s="401" t="s">
        <v>905</v>
      </c>
      <c r="X322" s="402" t="s">
        <v>429</v>
      </c>
      <c r="Y322" s="386">
        <f t="shared" si="64"/>
        <v>31090.908600000002</v>
      </c>
      <c r="Z322" s="387">
        <f t="shared" si="65"/>
        <v>7.7788411754553862E-3</v>
      </c>
      <c r="AA322" s="387">
        <f t="shared" si="66"/>
        <v>0.22</v>
      </c>
      <c r="AB322" s="403">
        <f t="shared" si="67"/>
        <v>0.22863451370475549</v>
      </c>
      <c r="AC322" s="388">
        <f t="shared" si="68"/>
        <v>6.1391813554514854E-4</v>
      </c>
      <c r="AD322" s="389">
        <f t="shared" si="69"/>
        <v>1.4036287437489521E-4</v>
      </c>
    </row>
    <row r="323" spans="1:30" x14ac:dyDescent="0.55000000000000004">
      <c r="A323" t="str">
        <f t="shared" si="56"/>
        <v>Merck &amp; Co Inc</v>
      </c>
      <c r="B323" t="str">
        <f t="shared" si="56"/>
        <v>MRK</v>
      </c>
      <c r="C323" s="382">
        <f t="shared" si="57"/>
        <v>3.1329690346083794E-2</v>
      </c>
      <c r="D323" s="383">
        <f t="shared" si="58"/>
        <v>249978.59443889998</v>
      </c>
      <c r="E323" s="384">
        <f t="shared" si="59"/>
        <v>0.13</v>
      </c>
      <c r="F323" s="385">
        <v>0.155</v>
      </c>
      <c r="G323" s="382">
        <v>0.36600340000000003</v>
      </c>
      <c r="H323" s="399">
        <f t="shared" si="60"/>
        <v>0.21700113333333335</v>
      </c>
      <c r="I323" s="399">
        <f t="shared" si="61"/>
        <v>0.25173011283545843</v>
      </c>
      <c r="J323" s="382">
        <f t="shared" si="62"/>
        <v>4.6753711788791166E-3</v>
      </c>
      <c r="K323" s="382">
        <f t="shared" si="63"/>
        <v>1.1769317144068904E-3</v>
      </c>
      <c r="M323" s="400"/>
      <c r="N323" s="398" t="s">
        <v>4234</v>
      </c>
      <c r="O323" s="398" t="s">
        <v>906</v>
      </c>
      <c r="P323" s="398" t="s">
        <v>430</v>
      </c>
      <c r="Q323" s="398">
        <v>249978594438.89996</v>
      </c>
      <c r="R323" s="398">
        <v>3.1329690346083794</v>
      </c>
      <c r="S323" s="398">
        <v>13</v>
      </c>
      <c r="T323" s="398">
        <v>2529.636</v>
      </c>
      <c r="U323" s="398">
        <v>98.82</v>
      </c>
      <c r="W323" s="401" t="s">
        <v>906</v>
      </c>
      <c r="X323" s="402" t="s">
        <v>430</v>
      </c>
      <c r="Y323" s="386">
        <f t="shared" si="64"/>
        <v>249978.59443889998</v>
      </c>
      <c r="Z323" s="387">
        <f t="shared" si="65"/>
        <v>3.1329690346083794E-2</v>
      </c>
      <c r="AA323" s="387">
        <f t="shared" si="66"/>
        <v>0.13</v>
      </c>
      <c r="AB323" s="403">
        <f t="shared" si="67"/>
        <v>0.16336612021857924</v>
      </c>
      <c r="AC323" s="388">
        <f t="shared" si="68"/>
        <v>4.9360536418715751E-3</v>
      </c>
      <c r="AD323" s="389">
        <f t="shared" si="69"/>
        <v>8.0638393266334763E-4</v>
      </c>
    </row>
    <row r="324" spans="1:30" x14ac:dyDescent="0.55000000000000004">
      <c r="A324" t="str">
        <f t="shared" si="56"/>
        <v>Moderna Inc</v>
      </c>
      <c r="B324" t="str">
        <f t="shared" si="56"/>
        <v>MRNA</v>
      </c>
      <c r="C324" s="382" t="str">
        <f t="shared" si="57"/>
        <v>0.00%</v>
      </c>
      <c r="D324" s="383">
        <f t="shared" si="58"/>
        <v>15169.518109620001</v>
      </c>
      <c r="E324" s="384">
        <f t="shared" si="59"/>
        <v>-0.20920000000000002</v>
      </c>
      <c r="F324" s="385">
        <v>-0.185</v>
      </c>
      <c r="G324" s="382">
        <v>-0.20577999999999999</v>
      </c>
      <c r="H324" s="399">
        <f t="shared" si="60"/>
        <v>-0.19999333333333333</v>
      </c>
      <c r="I324" s="399">
        <f t="shared" si="61"/>
        <v>-0.19999333333333333</v>
      </c>
      <c r="J324" s="382">
        <f t="shared" si="62"/>
        <v>2.8371680353830164E-4</v>
      </c>
      <c r="K324" s="382">
        <f t="shared" si="63"/>
        <v>-5.6741469262303404E-5</v>
      </c>
      <c r="M324" s="400"/>
      <c r="N324" s="398" t="s">
        <v>4235</v>
      </c>
      <c r="O324" s="398" t="s">
        <v>907</v>
      </c>
      <c r="P324" s="398" t="s">
        <v>431</v>
      </c>
      <c r="Q324" s="398">
        <v>15169518109.620001</v>
      </c>
      <c r="R324" s="398" t="s">
        <v>3929</v>
      </c>
      <c r="S324" s="398">
        <v>-20.92</v>
      </c>
      <c r="T324" s="398">
        <v>384.81779999999998</v>
      </c>
      <c r="U324" s="398">
        <v>39.42</v>
      </c>
      <c r="W324" s="401" t="s">
        <v>907</v>
      </c>
      <c r="X324" s="402" t="s">
        <v>431</v>
      </c>
      <c r="Y324" s="386">
        <f t="shared" si="64"/>
        <v>15169.518109620001</v>
      </c>
      <c r="Z324" s="387" t="str">
        <f t="shared" si="65"/>
        <v>0.00%</v>
      </c>
      <c r="AA324" s="387">
        <f t="shared" si="66"/>
        <v>-0.20920000000000002</v>
      </c>
      <c r="AB324" s="403">
        <f t="shared" si="67"/>
        <v>-0.20920000000000002</v>
      </c>
      <c r="AC324" s="388">
        <f t="shared" si="68"/>
        <v>2.9953586737494945E-4</v>
      </c>
      <c r="AD324" s="389">
        <f t="shared" si="69"/>
        <v>-6.2662903454839428E-5</v>
      </c>
    </row>
    <row r="325" spans="1:30" x14ac:dyDescent="0.55000000000000004">
      <c r="A325" t="str">
        <f t="shared" si="56"/>
        <v>Morgan Stanley</v>
      </c>
      <c r="B325" t="str">
        <f t="shared" si="56"/>
        <v>MS</v>
      </c>
      <c r="C325" s="382">
        <f t="shared" si="57"/>
        <v>2.7501264176840276E-2</v>
      </c>
      <c r="D325" s="383">
        <f t="shared" si="58"/>
        <v>223015.65520096998</v>
      </c>
      <c r="E325" s="384">
        <f t="shared" si="59"/>
        <v>0.1182</v>
      </c>
      <c r="F325" s="385">
        <v>0.13</v>
      </c>
      <c r="G325" s="382">
        <v>0.1162522</v>
      </c>
      <c r="H325" s="399">
        <f t="shared" si="60"/>
        <v>0.12148406666666667</v>
      </c>
      <c r="I325" s="399">
        <f t="shared" si="61"/>
        <v>0.15065581354884539</v>
      </c>
      <c r="J325" s="382">
        <f t="shared" si="62"/>
        <v>4.1710810043789999E-3</v>
      </c>
      <c r="K325" s="382">
        <f t="shared" si="63"/>
        <v>6.2839760209285338E-4</v>
      </c>
      <c r="M325" s="400"/>
      <c r="N325" s="398" t="s">
        <v>4236</v>
      </c>
      <c r="O325" s="398" t="s">
        <v>432</v>
      </c>
      <c r="P325" s="398" t="s">
        <v>433</v>
      </c>
      <c r="Q325" s="398">
        <v>223015655200.96997</v>
      </c>
      <c r="R325" s="398">
        <v>2.7501264176840277</v>
      </c>
      <c r="S325" s="398">
        <v>11.82</v>
      </c>
      <c r="T325" s="398">
        <v>1611.0359999999998</v>
      </c>
      <c r="U325" s="398">
        <v>138.43</v>
      </c>
      <c r="W325" s="401" t="s">
        <v>432</v>
      </c>
      <c r="X325" s="402" t="s">
        <v>433</v>
      </c>
      <c r="Y325" s="386">
        <f t="shared" si="64"/>
        <v>223015.65520096998</v>
      </c>
      <c r="Z325" s="387">
        <f t="shared" si="65"/>
        <v>2.7501264176840276E-2</v>
      </c>
      <c r="AA325" s="387">
        <f t="shared" si="66"/>
        <v>0.1182</v>
      </c>
      <c r="AB325" s="403">
        <f t="shared" si="67"/>
        <v>0.14732658888969152</v>
      </c>
      <c r="AC325" s="388">
        <f t="shared" si="68"/>
        <v>4.4036459982504071E-3</v>
      </c>
      <c r="AD325" s="389">
        <f t="shared" si="69"/>
        <v>6.4877414359997292E-4</v>
      </c>
    </row>
    <row r="326" spans="1:30" x14ac:dyDescent="0.55000000000000004">
      <c r="A326" t="str">
        <f t="shared" ref="A326:B389" si="70">O326</f>
        <v>MSCI Inc</v>
      </c>
      <c r="B326" t="str">
        <f t="shared" si="70"/>
        <v>MSCI</v>
      </c>
      <c r="C326" s="382">
        <f t="shared" ref="C326:C389" si="71">VLOOKUP($B326,$X$5:$AA$504, 3, FALSE)</f>
        <v>1.1743217655042982E-2</v>
      </c>
      <c r="D326" s="383">
        <f t="shared" ref="D326:D389" si="72">VLOOKUP($B326,$X$5:$AA$504, 2, FALSE)</f>
        <v>46769.637120380001</v>
      </c>
      <c r="E326" s="384">
        <f t="shared" ref="E326:E389" si="73">VLOOKUP($B326,$X$5:$AA$504, 4, FALSE)</f>
        <v>0.12</v>
      </c>
      <c r="F326" s="385">
        <v>0.1</v>
      </c>
      <c r="G326" s="382">
        <v>0.11763999999999999</v>
      </c>
      <c r="H326" s="399">
        <f t="shared" ref="H326:H389" si="74">IFERROR(AVERAGE(E326:G326),"N/A")</f>
        <v>0.11254666666666667</v>
      </c>
      <c r="I326" s="399">
        <f t="shared" ref="I326:I389" si="75">IFERROR(C326*(1+0.5*H326)+H326,"N/A")</f>
        <v>0.12495071432321778</v>
      </c>
      <c r="J326" s="382">
        <f t="shared" ref="J326:J389" si="76">IF(I326="N/A","N/A",D326/$D$505)</f>
        <v>8.7473655066376479E-4</v>
      </c>
      <c r="K326" s="382">
        <f t="shared" ref="K326:K389" si="77">IF(AND(ISNUMBER(D326),ISNUMBER(I326)),I326*J326,"N/A")</f>
        <v>1.0929895685006498E-4</v>
      </c>
      <c r="M326" s="400"/>
      <c r="N326" s="398" t="s">
        <v>4237</v>
      </c>
      <c r="O326" s="398" t="s">
        <v>908</v>
      </c>
      <c r="P326" s="398" t="s">
        <v>434</v>
      </c>
      <c r="Q326" s="398">
        <v>46769637120.379997</v>
      </c>
      <c r="R326" s="398">
        <v>1.1743217655042981</v>
      </c>
      <c r="S326" s="398">
        <v>12</v>
      </c>
      <c r="T326" s="398">
        <v>78.371290000000002</v>
      </c>
      <c r="U326" s="398">
        <v>596.77</v>
      </c>
      <c r="W326" s="401" t="s">
        <v>908</v>
      </c>
      <c r="X326" s="402" t="s">
        <v>434</v>
      </c>
      <c r="Y326" s="386">
        <f t="shared" ref="Y326:Y389" si="78">Q326/1000000</f>
        <v>46769.637120380001</v>
      </c>
      <c r="Z326" s="387">
        <f t="shared" ref="Z326:Z389" si="79">IFERROR(R326/100,"0.00%")</f>
        <v>1.1743217655042982E-2</v>
      </c>
      <c r="AA326" s="387">
        <f t="shared" ref="AA326:AA389" si="80">IFERROR(S326/100,"N/A")</f>
        <v>0.12</v>
      </c>
      <c r="AB326" s="403">
        <f t="shared" ref="AB326:AB389" si="81">IFERROR(Z326*(1+0.5*AA326)+AA326,"N/A")</f>
        <v>0.13244781071434555</v>
      </c>
      <c r="AC326" s="388">
        <f t="shared" ref="AC326:AC389" si="82">IF(Y326= "N/A","N/A", Y326/$Y$506)</f>
        <v>9.2350882344644164E-4</v>
      </c>
      <c r="AD326" s="389">
        <f t="shared" ref="AD326:AD389" si="83">IF(AND(ISNUMBER(Y326),ISNUMBER(AB326)),AB326*AC326,"N/A")</f>
        <v>1.2231672184086228E-4</v>
      </c>
    </row>
    <row r="327" spans="1:30" x14ac:dyDescent="0.55000000000000004">
      <c r="A327" t="str">
        <f t="shared" si="70"/>
        <v>Microsoft Corp</v>
      </c>
      <c r="B327" t="str">
        <f t="shared" si="70"/>
        <v>MSFT</v>
      </c>
      <c r="C327" s="382">
        <f t="shared" si="71"/>
        <v>7.8783790295378978E-3</v>
      </c>
      <c r="D327" s="383">
        <f t="shared" si="72"/>
        <v>3085548.6664590994</v>
      </c>
      <c r="E327" s="384">
        <f t="shared" si="73"/>
        <v>0.15393000000000001</v>
      </c>
      <c r="F327" s="385">
        <v>0.14499999999999999</v>
      </c>
      <c r="G327" s="382">
        <v>0.13187670000000001</v>
      </c>
      <c r="H327" s="399">
        <f t="shared" si="74"/>
        <v>0.14360223333333336</v>
      </c>
      <c r="I327" s="399">
        <f t="shared" si="75"/>
        <v>0.15204628877471532</v>
      </c>
      <c r="J327" s="382">
        <f t="shared" si="76"/>
        <v>5.7709282423050838E-2</v>
      </c>
      <c r="K327" s="382">
        <f t="shared" si="77"/>
        <v>8.77448222027679E-3</v>
      </c>
      <c r="M327" s="400"/>
      <c r="N327" s="398" t="s">
        <v>4238</v>
      </c>
      <c r="O327" s="398" t="s">
        <v>909</v>
      </c>
      <c r="P327" s="398" t="s">
        <v>435</v>
      </c>
      <c r="Q327" s="398">
        <v>3085548666459.0996</v>
      </c>
      <c r="R327" s="398">
        <v>0.78783790295378986</v>
      </c>
      <c r="S327" s="398">
        <v>15.393000000000001</v>
      </c>
      <c r="T327" s="398">
        <v>7433.982</v>
      </c>
      <c r="U327" s="398">
        <v>415.06</v>
      </c>
      <c r="W327" s="401" t="s">
        <v>909</v>
      </c>
      <c r="X327" s="402" t="s">
        <v>435</v>
      </c>
      <c r="Y327" s="386">
        <f t="shared" si="78"/>
        <v>3085548.6664590994</v>
      </c>
      <c r="Z327" s="387">
        <f t="shared" si="79"/>
        <v>7.8783790295378978E-3</v>
      </c>
      <c r="AA327" s="387">
        <f t="shared" si="80"/>
        <v>0.15393000000000001</v>
      </c>
      <c r="AB327" s="403">
        <f t="shared" si="81"/>
        <v>0.1624147384715463</v>
      </c>
      <c r="AC327" s="388">
        <f t="shared" si="82"/>
        <v>6.0926951631332812E-2</v>
      </c>
      <c r="AD327" s="389">
        <f t="shared" si="83"/>
        <v>9.8954349150714698E-3</v>
      </c>
    </row>
    <row r="328" spans="1:30" x14ac:dyDescent="0.55000000000000004">
      <c r="A328" t="str">
        <f t="shared" si="70"/>
        <v>Motorola Solutions Inc</v>
      </c>
      <c r="B328" t="str">
        <f t="shared" si="70"/>
        <v>MSI</v>
      </c>
      <c r="C328" s="382">
        <f t="shared" si="71"/>
        <v>8.1683537559936077E-3</v>
      </c>
      <c r="D328" s="383">
        <f t="shared" si="72"/>
        <v>78421.340611499996</v>
      </c>
      <c r="E328" s="384">
        <f t="shared" si="73"/>
        <v>9.4800000000000009E-2</v>
      </c>
      <c r="F328" s="385">
        <v>0.105</v>
      </c>
      <c r="G328" s="382">
        <v>9.0966000000000005E-2</v>
      </c>
      <c r="H328" s="399">
        <f t="shared" si="74"/>
        <v>9.6922000000000008E-2</v>
      </c>
      <c r="I328" s="399">
        <f t="shared" si="75"/>
        <v>0.10548620034736282</v>
      </c>
      <c r="J328" s="382">
        <f t="shared" si="76"/>
        <v>1.4667210867676359E-3</v>
      </c>
      <c r="K328" s="382">
        <f t="shared" si="77"/>
        <v>1.5471883441247255E-4</v>
      </c>
      <c r="M328" s="400"/>
      <c r="N328" s="398" t="s">
        <v>4239</v>
      </c>
      <c r="O328" s="398" t="s">
        <v>910</v>
      </c>
      <c r="P328" s="398" t="s">
        <v>436</v>
      </c>
      <c r="Q328" s="398">
        <v>78421340611.5</v>
      </c>
      <c r="R328" s="398">
        <v>0.8168353755993607</v>
      </c>
      <c r="S328" s="398">
        <v>9.48</v>
      </c>
      <c r="T328" s="398">
        <v>167.1206</v>
      </c>
      <c r="U328" s="398">
        <v>469.25</v>
      </c>
      <c r="W328" s="401" t="s">
        <v>910</v>
      </c>
      <c r="X328" s="402" t="s">
        <v>436</v>
      </c>
      <c r="Y328" s="386">
        <f t="shared" si="78"/>
        <v>78421.340611499996</v>
      </c>
      <c r="Z328" s="387">
        <f t="shared" si="79"/>
        <v>8.1683537559936077E-3</v>
      </c>
      <c r="AA328" s="387">
        <f t="shared" si="80"/>
        <v>9.4800000000000009E-2</v>
      </c>
      <c r="AB328" s="403">
        <f t="shared" si="81"/>
        <v>0.10335553372402771</v>
      </c>
      <c r="AC328" s="388">
        <f t="shared" si="82"/>
        <v>1.5485003617798133E-3</v>
      </c>
      <c r="AD328" s="389">
        <f t="shared" si="83"/>
        <v>1.600460813636026E-4</v>
      </c>
    </row>
    <row r="329" spans="1:30" x14ac:dyDescent="0.55000000000000004">
      <c r="A329" t="str">
        <f t="shared" si="70"/>
        <v>M&amp;T Bank Corp</v>
      </c>
      <c r="B329" t="str">
        <f t="shared" si="70"/>
        <v>MTB</v>
      </c>
      <c r="C329" s="382">
        <f t="shared" si="71"/>
        <v>2.7390180878552974E-2</v>
      </c>
      <c r="D329" s="383">
        <f t="shared" si="72"/>
        <v>33389.973835919998</v>
      </c>
      <c r="E329" s="384">
        <f t="shared" si="73"/>
        <v>8.4399999999999989E-2</v>
      </c>
      <c r="F329" s="385">
        <v>4.4999999999999998E-2</v>
      </c>
      <c r="G329" s="382">
        <v>5.9705000000000001E-2</v>
      </c>
      <c r="H329" s="399">
        <f t="shared" si="74"/>
        <v>6.3034999999999994E-2</v>
      </c>
      <c r="I329" s="399">
        <f t="shared" si="75"/>
        <v>9.1288450904392762E-2</v>
      </c>
      <c r="J329" s="382">
        <f t="shared" si="76"/>
        <v>6.2449555605507989E-4</v>
      </c>
      <c r="K329" s="382">
        <f t="shared" si="77"/>
        <v>5.7009231908945615E-5</v>
      </c>
      <c r="M329" s="400"/>
      <c r="N329" s="398" t="s">
        <v>4240</v>
      </c>
      <c r="O329" s="398" t="s">
        <v>911</v>
      </c>
      <c r="P329" s="398" t="s">
        <v>437</v>
      </c>
      <c r="Q329" s="398">
        <v>33389973835.919998</v>
      </c>
      <c r="R329" s="398">
        <v>2.7390180878552974</v>
      </c>
      <c r="S329" s="398">
        <v>8.44</v>
      </c>
      <c r="T329" s="398">
        <v>165.9212</v>
      </c>
      <c r="U329" s="398">
        <v>201.24</v>
      </c>
      <c r="W329" s="401" t="s">
        <v>911</v>
      </c>
      <c r="X329" s="402" t="s">
        <v>437</v>
      </c>
      <c r="Y329" s="386">
        <f t="shared" si="78"/>
        <v>33389.973835919998</v>
      </c>
      <c r="Z329" s="387">
        <f t="shared" si="79"/>
        <v>2.7390180878552974E-2</v>
      </c>
      <c r="AA329" s="387">
        <f t="shared" si="80"/>
        <v>8.4399999999999989E-2</v>
      </c>
      <c r="AB329" s="403">
        <f t="shared" si="81"/>
        <v>0.1129460465116279</v>
      </c>
      <c r="AC329" s="388">
        <f t="shared" si="82"/>
        <v>6.5931525987147552E-4</v>
      </c>
      <c r="AD329" s="389">
        <f t="shared" si="83"/>
        <v>7.446705200726971E-5</v>
      </c>
    </row>
    <row r="330" spans="1:30" x14ac:dyDescent="0.55000000000000004">
      <c r="A330" t="str">
        <f t="shared" si="70"/>
        <v>Match Group Inc</v>
      </c>
      <c r="B330" t="str">
        <f t="shared" si="70"/>
        <v>MTCH</v>
      </c>
      <c r="C330" s="382">
        <f t="shared" si="71"/>
        <v>0</v>
      </c>
      <c r="D330" s="383">
        <f t="shared" si="72"/>
        <v>8963.9485929000002</v>
      </c>
      <c r="E330" s="384">
        <f t="shared" si="73"/>
        <v>0.25205</v>
      </c>
      <c r="F330" s="385">
        <v>0.11</v>
      </c>
      <c r="G330" s="382">
        <v>0.19730139999999999</v>
      </c>
      <c r="H330" s="399">
        <f t="shared" si="74"/>
        <v>0.18645046666666665</v>
      </c>
      <c r="I330" s="399">
        <f t="shared" si="75"/>
        <v>0.18645046666666665</v>
      </c>
      <c r="J330" s="382">
        <f t="shared" si="76"/>
        <v>1.6765350246995771E-4</v>
      </c>
      <c r="K330" s="382">
        <f t="shared" si="77"/>
        <v>3.1259073773824764E-5</v>
      </c>
      <c r="M330" s="400"/>
      <c r="N330" s="398" t="s">
        <v>4241</v>
      </c>
      <c r="O330" s="398" t="s">
        <v>912</v>
      </c>
      <c r="P330" s="398" t="s">
        <v>438</v>
      </c>
      <c r="Q330" s="398">
        <v>8963948592.8999996</v>
      </c>
      <c r="R330" s="398">
        <v>0</v>
      </c>
      <c r="S330" s="398">
        <v>25.205000000000002</v>
      </c>
      <c r="T330" s="398">
        <v>251.09099999999998</v>
      </c>
      <c r="U330" s="398">
        <v>35.700000000000003</v>
      </c>
      <c r="W330" s="401" t="s">
        <v>912</v>
      </c>
      <c r="X330" s="402" t="s">
        <v>438</v>
      </c>
      <c r="Y330" s="386">
        <f t="shared" si="78"/>
        <v>8963.9485929000002</v>
      </c>
      <c r="Z330" s="387">
        <f t="shared" si="79"/>
        <v>0</v>
      </c>
      <c r="AA330" s="387">
        <f t="shared" si="80"/>
        <v>0.25205</v>
      </c>
      <c r="AB330" s="403">
        <f t="shared" si="81"/>
        <v>0.25205</v>
      </c>
      <c r="AC330" s="388">
        <f t="shared" si="82"/>
        <v>1.7700127963695873E-4</v>
      </c>
      <c r="AD330" s="389">
        <f t="shared" si="83"/>
        <v>4.4613172532495446E-5</v>
      </c>
    </row>
    <row r="331" spans="1:30" x14ac:dyDescent="0.55000000000000004">
      <c r="A331" t="str">
        <f t="shared" si="70"/>
        <v>Mettler-Toledo International Inc</v>
      </c>
      <c r="B331" t="str">
        <f t="shared" si="70"/>
        <v>MTD</v>
      </c>
      <c r="C331" s="382">
        <f t="shared" si="71"/>
        <v>0</v>
      </c>
      <c r="D331" s="383">
        <f t="shared" si="72"/>
        <v>28793.324325919999</v>
      </c>
      <c r="E331" s="384">
        <f t="shared" si="73"/>
        <v>8.5800000000000001E-2</v>
      </c>
      <c r="F331" s="385">
        <v>8.5000000000000006E-2</v>
      </c>
      <c r="G331" s="382">
        <v>0.1013534</v>
      </c>
      <c r="H331" s="399">
        <f t="shared" si="74"/>
        <v>9.0717800000000001E-2</v>
      </c>
      <c r="I331" s="399">
        <f t="shared" si="75"/>
        <v>9.0717800000000001E-2</v>
      </c>
      <c r="J331" s="382">
        <f t="shared" si="76"/>
        <v>5.3852402442573603E-4</v>
      </c>
      <c r="K331" s="382">
        <f t="shared" si="77"/>
        <v>4.8853714743049036E-5</v>
      </c>
      <c r="M331" s="400"/>
      <c r="N331" s="398" t="s">
        <v>4242</v>
      </c>
      <c r="O331" s="398" t="s">
        <v>913</v>
      </c>
      <c r="P331" s="398" t="s">
        <v>439</v>
      </c>
      <c r="Q331" s="398">
        <v>28793324325.919998</v>
      </c>
      <c r="R331" s="398">
        <v>0</v>
      </c>
      <c r="S331" s="398">
        <v>8.58</v>
      </c>
      <c r="T331" s="398">
        <v>21.10267</v>
      </c>
      <c r="U331" s="398">
        <v>1364.44</v>
      </c>
      <c r="W331" s="401" t="s">
        <v>913</v>
      </c>
      <c r="X331" s="402" t="s">
        <v>439</v>
      </c>
      <c r="Y331" s="386">
        <f t="shared" si="78"/>
        <v>28793.324325919999</v>
      </c>
      <c r="Z331" s="387">
        <f t="shared" si="79"/>
        <v>0</v>
      </c>
      <c r="AA331" s="387">
        <f t="shared" si="80"/>
        <v>8.5800000000000001E-2</v>
      </c>
      <c r="AB331" s="403">
        <f t="shared" si="81"/>
        <v>8.5800000000000001E-2</v>
      </c>
      <c r="AC331" s="388">
        <f t="shared" si="82"/>
        <v>5.6855025415100202E-4</v>
      </c>
      <c r="AD331" s="389">
        <f t="shared" si="83"/>
        <v>4.8781611806155975E-5</v>
      </c>
    </row>
    <row r="332" spans="1:30" x14ac:dyDescent="0.55000000000000004">
      <c r="A332" t="str">
        <f t="shared" si="70"/>
        <v>Micron Technology Inc</v>
      </c>
      <c r="B332" t="str">
        <f t="shared" si="70"/>
        <v>MU</v>
      </c>
      <c r="C332" s="382">
        <f t="shared" si="71"/>
        <v>5.2498903989478306E-3</v>
      </c>
      <c r="D332" s="383">
        <f t="shared" si="72"/>
        <v>101657.04707567999</v>
      </c>
      <c r="E332" s="384" t="str">
        <f t="shared" si="73"/>
        <v>N/A</v>
      </c>
      <c r="F332" s="385">
        <v>0.47499999999999998</v>
      </c>
      <c r="G332" s="382">
        <v>0.38049999999999995</v>
      </c>
      <c r="H332" s="399">
        <f t="shared" si="74"/>
        <v>0.42774999999999996</v>
      </c>
      <c r="I332" s="399">
        <f t="shared" si="75"/>
        <v>0.43412271070802277</v>
      </c>
      <c r="J332" s="382">
        <f t="shared" si="76"/>
        <v>1.9013005057269465E-3</v>
      </c>
      <c r="K332" s="382">
        <f t="shared" si="77"/>
        <v>8.2539772941671655E-4</v>
      </c>
      <c r="M332" s="400"/>
      <c r="N332" s="398" t="s">
        <v>4243</v>
      </c>
      <c r="O332" s="398" t="s">
        <v>914</v>
      </c>
      <c r="P332" s="398" t="s">
        <v>440</v>
      </c>
      <c r="Q332" s="398">
        <v>101657047075.67999</v>
      </c>
      <c r="R332" s="398">
        <v>0.52498903989478307</v>
      </c>
      <c r="S332" s="398" t="s">
        <v>3929</v>
      </c>
      <c r="T332" s="398">
        <v>1114.172</v>
      </c>
      <c r="U332" s="398">
        <v>91.24</v>
      </c>
      <c r="W332" s="401" t="s">
        <v>914</v>
      </c>
      <c r="X332" s="402" t="s">
        <v>440</v>
      </c>
      <c r="Y332" s="386">
        <f t="shared" si="78"/>
        <v>101657.04707567999</v>
      </c>
      <c r="Z332" s="387">
        <f t="shared" si="79"/>
        <v>5.2498903989478306E-3</v>
      </c>
      <c r="AA332" s="387" t="str">
        <f t="shared" si="80"/>
        <v>N/A</v>
      </c>
      <c r="AB332" s="403" t="str">
        <f t="shared" si="81"/>
        <v>N/A</v>
      </c>
      <c r="AC332" s="388">
        <f t="shared" si="82"/>
        <v>2.0073104201826656E-3</v>
      </c>
      <c r="AD332" s="389" t="str">
        <f t="shared" si="83"/>
        <v>N/A</v>
      </c>
    </row>
    <row r="333" spans="1:30" x14ac:dyDescent="0.55000000000000004">
      <c r="A333" t="str">
        <f t="shared" si="70"/>
        <v>Norwegian Cruise Line Holdings Ltd</v>
      </c>
      <c r="B333" t="str">
        <f t="shared" si="70"/>
        <v>NCLH</v>
      </c>
      <c r="C333" s="382" t="str">
        <f t="shared" si="71"/>
        <v>0.00%</v>
      </c>
      <c r="D333" s="383">
        <f t="shared" si="72"/>
        <v>12465.729681300001</v>
      </c>
      <c r="E333" s="384">
        <f t="shared" si="73"/>
        <v>0.58740000000000003</v>
      </c>
      <c r="F333" s="385" t="s">
        <v>184</v>
      </c>
      <c r="G333" s="382" t="s">
        <v>14</v>
      </c>
      <c r="H333" s="399">
        <f t="shared" si="74"/>
        <v>0.58740000000000003</v>
      </c>
      <c r="I333" s="399">
        <f t="shared" si="75"/>
        <v>0.58740000000000003</v>
      </c>
      <c r="J333" s="382">
        <f t="shared" si="76"/>
        <v>2.331476157247268E-4</v>
      </c>
      <c r="K333" s="382">
        <f t="shared" si="77"/>
        <v>1.3695090947670453E-4</v>
      </c>
      <c r="M333" s="400"/>
      <c r="N333" s="398" t="s">
        <v>4244</v>
      </c>
      <c r="O333" s="398" t="s">
        <v>915</v>
      </c>
      <c r="P333" s="398" t="s">
        <v>441</v>
      </c>
      <c r="Q333" s="398">
        <v>12465729681.300001</v>
      </c>
      <c r="R333" s="398" t="s">
        <v>3929</v>
      </c>
      <c r="S333" s="398">
        <v>58.74</v>
      </c>
      <c r="T333" s="398">
        <v>439.70830000000001</v>
      </c>
      <c r="U333" s="398">
        <v>28.35</v>
      </c>
      <c r="W333" s="401" t="s">
        <v>915</v>
      </c>
      <c r="X333" s="402" t="s">
        <v>441</v>
      </c>
      <c r="Y333" s="386">
        <f t="shared" si="78"/>
        <v>12465.729681300001</v>
      </c>
      <c r="Z333" s="387" t="str">
        <f t="shared" si="79"/>
        <v>0.00%</v>
      </c>
      <c r="AA333" s="387">
        <f t="shared" si="80"/>
        <v>0.58740000000000003</v>
      </c>
      <c r="AB333" s="403">
        <f t="shared" si="81"/>
        <v>0.58740000000000003</v>
      </c>
      <c r="AC333" s="388">
        <f t="shared" si="82"/>
        <v>2.4614711723650024E-4</v>
      </c>
      <c r="AD333" s="389">
        <f t="shared" si="83"/>
        <v>1.4458681666472024E-4</v>
      </c>
    </row>
    <row r="334" spans="1:30" x14ac:dyDescent="0.55000000000000004">
      <c r="A334" t="str">
        <f t="shared" si="70"/>
        <v>Nasdaq Inc</v>
      </c>
      <c r="B334" t="str">
        <f t="shared" si="70"/>
        <v>NDAQ</v>
      </c>
      <c r="C334" s="382">
        <f t="shared" si="71"/>
        <v>1.2606266699052708E-2</v>
      </c>
      <c r="D334" s="383">
        <f t="shared" si="72"/>
        <v>47325.541113360006</v>
      </c>
      <c r="E334" s="384">
        <f t="shared" si="73"/>
        <v>0.13470000000000001</v>
      </c>
      <c r="F334" s="385">
        <v>4.4999999999999998E-2</v>
      </c>
      <c r="G334" s="382">
        <v>0.13397719999999999</v>
      </c>
      <c r="H334" s="399">
        <f t="shared" si="74"/>
        <v>0.10455906666666666</v>
      </c>
      <c r="I334" s="399">
        <f t="shared" si="75"/>
        <v>0.11782438310582138</v>
      </c>
      <c r="J334" s="382">
        <f t="shared" si="76"/>
        <v>8.8513367091654625E-4</v>
      </c>
      <c r="K334" s="382">
        <f t="shared" si="77"/>
        <v>1.0429032874193318E-4</v>
      </c>
      <c r="M334" s="400"/>
      <c r="N334" s="398" t="s">
        <v>4245</v>
      </c>
      <c r="O334" s="398" t="s">
        <v>916</v>
      </c>
      <c r="P334" s="398" t="s">
        <v>442</v>
      </c>
      <c r="Q334" s="398">
        <v>47325541113.360008</v>
      </c>
      <c r="R334" s="398">
        <v>1.2606266699052708</v>
      </c>
      <c r="S334" s="398">
        <v>13.47</v>
      </c>
      <c r="T334" s="398">
        <v>574.75760000000002</v>
      </c>
      <c r="U334" s="398">
        <v>82.34</v>
      </c>
      <c r="W334" s="401" t="s">
        <v>916</v>
      </c>
      <c r="X334" s="402" t="s">
        <v>442</v>
      </c>
      <c r="Y334" s="386">
        <f t="shared" si="78"/>
        <v>47325.541113360006</v>
      </c>
      <c r="Z334" s="387">
        <f t="shared" si="79"/>
        <v>1.2606266699052708E-2</v>
      </c>
      <c r="AA334" s="387">
        <f t="shared" si="80"/>
        <v>0.13470000000000001</v>
      </c>
      <c r="AB334" s="403">
        <f t="shared" si="81"/>
        <v>0.14815529876123393</v>
      </c>
      <c r="AC334" s="388">
        <f t="shared" si="82"/>
        <v>9.3448565102337484E-4</v>
      </c>
      <c r="AD334" s="389">
        <f t="shared" si="83"/>
        <v>1.3844900081545427E-4</v>
      </c>
    </row>
    <row r="335" spans="1:30" x14ac:dyDescent="0.55000000000000004">
      <c r="A335" t="str">
        <f t="shared" si="70"/>
        <v>Nordson Corp</v>
      </c>
      <c r="B335" t="str">
        <f t="shared" si="70"/>
        <v>NDSN</v>
      </c>
      <c r="C335" s="382">
        <f t="shared" si="71"/>
        <v>1.4231223322132412E-2</v>
      </c>
      <c r="D335" s="383">
        <f t="shared" si="72"/>
        <v>12571.871572259997</v>
      </c>
      <c r="E335" s="384" t="str">
        <f t="shared" si="73"/>
        <v>N/A</v>
      </c>
      <c r="F335" s="385">
        <v>0.08</v>
      </c>
      <c r="G335" s="382">
        <v>0.13</v>
      </c>
      <c r="H335" s="399">
        <f t="shared" si="74"/>
        <v>0.10500000000000001</v>
      </c>
      <c r="I335" s="399">
        <f t="shared" si="75"/>
        <v>0.11997836254654437</v>
      </c>
      <c r="J335" s="382">
        <f t="shared" si="76"/>
        <v>2.3513279665183769E-4</v>
      </c>
      <c r="K335" s="382">
        <f t="shared" si="77"/>
        <v>2.8210847923277076E-5</v>
      </c>
      <c r="M335" s="400"/>
      <c r="N335" s="398" t="s">
        <v>4246</v>
      </c>
      <c r="O335" s="398" t="s">
        <v>917</v>
      </c>
      <c r="P335" s="398" t="s">
        <v>443</v>
      </c>
      <c r="Q335" s="398">
        <v>12571871572.259996</v>
      </c>
      <c r="R335" s="398">
        <v>1.4231223322132411</v>
      </c>
      <c r="S335" s="398" t="s">
        <v>3929</v>
      </c>
      <c r="T335" s="398">
        <v>57.087779999999995</v>
      </c>
      <c r="U335" s="398">
        <v>220.22</v>
      </c>
      <c r="W335" s="401" t="s">
        <v>917</v>
      </c>
      <c r="X335" s="402" t="s">
        <v>443</v>
      </c>
      <c r="Y335" s="386">
        <f t="shared" si="78"/>
        <v>12571.871572259997</v>
      </c>
      <c r="Z335" s="387">
        <f t="shared" si="79"/>
        <v>1.4231223322132412E-2</v>
      </c>
      <c r="AA335" s="387" t="str">
        <f t="shared" si="80"/>
        <v>N/A</v>
      </c>
      <c r="AB335" s="403" t="str">
        <f t="shared" si="81"/>
        <v>N/A</v>
      </c>
      <c r="AC335" s="388">
        <f t="shared" si="82"/>
        <v>2.4824298495911153E-4</v>
      </c>
      <c r="AD335" s="389" t="str">
        <f t="shared" si="83"/>
        <v>N/A</v>
      </c>
    </row>
    <row r="336" spans="1:30" x14ac:dyDescent="0.55000000000000004">
      <c r="A336" t="str">
        <f t="shared" si="70"/>
        <v>NextEra Energy Inc</v>
      </c>
      <c r="B336" t="str">
        <f t="shared" si="70"/>
        <v>NEE</v>
      </c>
      <c r="C336" s="382">
        <f t="shared" si="71"/>
        <v>3.1581889323644495E-2</v>
      </c>
      <c r="D336" s="383">
        <f t="shared" si="72"/>
        <v>147156.30888240002</v>
      </c>
      <c r="E336" s="384">
        <f t="shared" si="73"/>
        <v>7.5179999999999997E-2</v>
      </c>
      <c r="F336" s="385">
        <v>8.5000000000000006E-2</v>
      </c>
      <c r="G336" s="382">
        <v>8.2861100000000007E-2</v>
      </c>
      <c r="H336" s="399">
        <f t="shared" si="74"/>
        <v>8.1013700000000008E-2</v>
      </c>
      <c r="I336" s="399">
        <f t="shared" si="75"/>
        <v>0.11387487217719397</v>
      </c>
      <c r="J336" s="382">
        <f t="shared" si="76"/>
        <v>2.7522771175000353E-3</v>
      </c>
      <c r="K336" s="382">
        <f t="shared" si="77"/>
        <v>3.1341520495153241E-4</v>
      </c>
      <c r="M336" s="400"/>
      <c r="N336" s="398" t="s">
        <v>4247</v>
      </c>
      <c r="O336" s="398" t="s">
        <v>918</v>
      </c>
      <c r="P336" s="398" t="s">
        <v>49</v>
      </c>
      <c r="Q336" s="398">
        <v>147156308882.40002</v>
      </c>
      <c r="R336" s="398">
        <v>3.1581889323644496</v>
      </c>
      <c r="S336" s="398">
        <v>7.5179999999999998</v>
      </c>
      <c r="T336" s="398">
        <v>2056.4049999999997</v>
      </c>
      <c r="U336" s="398">
        <v>71.56</v>
      </c>
      <c r="W336" s="401" t="s">
        <v>918</v>
      </c>
      <c r="X336" s="402" t="s">
        <v>49</v>
      </c>
      <c r="Y336" s="386">
        <f t="shared" si="78"/>
        <v>147156.30888240002</v>
      </c>
      <c r="Z336" s="387">
        <f t="shared" si="79"/>
        <v>3.1581889323644495E-2</v>
      </c>
      <c r="AA336" s="387">
        <f t="shared" si="80"/>
        <v>7.5179999999999997E-2</v>
      </c>
      <c r="AB336" s="403">
        <f t="shared" si="81"/>
        <v>0.1079490525433203</v>
      </c>
      <c r="AC336" s="388">
        <f t="shared" si="82"/>
        <v>2.9057345330457465E-3</v>
      </c>
      <c r="AD336" s="389">
        <f t="shared" si="83"/>
        <v>3.1367128978469555E-4</v>
      </c>
    </row>
    <row r="337" spans="1:30" x14ac:dyDescent="0.55000000000000004">
      <c r="A337" t="str">
        <f t="shared" si="70"/>
        <v>Newmont Corp</v>
      </c>
      <c r="B337" t="str">
        <f t="shared" si="70"/>
        <v>NEM</v>
      </c>
      <c r="C337" s="382">
        <f t="shared" si="71"/>
        <v>2.3408239700374533E-2</v>
      </c>
      <c r="D337" s="383">
        <f t="shared" si="72"/>
        <v>48634.604462879994</v>
      </c>
      <c r="E337" s="384">
        <f t="shared" si="73"/>
        <v>0.34250000000000003</v>
      </c>
      <c r="F337" s="385">
        <v>0.13</v>
      </c>
      <c r="G337" s="382" t="s">
        <v>14</v>
      </c>
      <c r="H337" s="399">
        <f t="shared" si="74"/>
        <v>0.23625000000000002</v>
      </c>
      <c r="I337" s="399">
        <f t="shared" si="75"/>
        <v>0.2624233380149813</v>
      </c>
      <c r="J337" s="382">
        <f t="shared" si="76"/>
        <v>9.0961719547356045E-4</v>
      </c>
      <c r="K337" s="382">
        <f t="shared" si="77"/>
        <v>2.3870478075199746E-4</v>
      </c>
      <c r="M337" s="400"/>
      <c r="N337" s="398" t="s">
        <v>4248</v>
      </c>
      <c r="O337" s="398" t="s">
        <v>919</v>
      </c>
      <c r="P337" s="398" t="s">
        <v>444</v>
      </c>
      <c r="Q337" s="398">
        <v>48634604462.879997</v>
      </c>
      <c r="R337" s="398">
        <v>2.3408239700374533</v>
      </c>
      <c r="S337" s="398">
        <v>34.25</v>
      </c>
      <c r="T337" s="398">
        <v>1138.45</v>
      </c>
      <c r="U337" s="398">
        <v>42.72</v>
      </c>
      <c r="W337" s="401" t="s">
        <v>919</v>
      </c>
      <c r="X337" s="402" t="s">
        <v>444</v>
      </c>
      <c r="Y337" s="386">
        <f t="shared" si="78"/>
        <v>48634.604462879994</v>
      </c>
      <c r="Z337" s="387">
        <f t="shared" si="79"/>
        <v>2.3408239700374533E-2</v>
      </c>
      <c r="AA337" s="387">
        <f t="shared" si="80"/>
        <v>0.34250000000000003</v>
      </c>
      <c r="AB337" s="403">
        <f t="shared" si="81"/>
        <v>0.36991690074906369</v>
      </c>
      <c r="AC337" s="388">
        <f t="shared" si="82"/>
        <v>9.6033429189737614E-4</v>
      </c>
      <c r="AD337" s="389">
        <f t="shared" si="83"/>
        <v>3.5524388494172405E-4</v>
      </c>
    </row>
    <row r="338" spans="1:30" x14ac:dyDescent="0.55000000000000004">
      <c r="A338" t="str">
        <f t="shared" si="70"/>
        <v>Netflix Inc</v>
      </c>
      <c r="B338" t="str">
        <f t="shared" si="70"/>
        <v>NFLX</v>
      </c>
      <c r="C338" s="382">
        <f t="shared" si="71"/>
        <v>0</v>
      </c>
      <c r="D338" s="383">
        <f t="shared" si="72"/>
        <v>417816.02499600005</v>
      </c>
      <c r="E338" s="384">
        <f t="shared" si="73"/>
        <v>0.2293</v>
      </c>
      <c r="F338" s="385">
        <v>0.16500000000000001</v>
      </c>
      <c r="G338" s="382">
        <v>0.23968100000000001</v>
      </c>
      <c r="H338" s="399">
        <f t="shared" si="74"/>
        <v>0.21132700000000001</v>
      </c>
      <c r="I338" s="399">
        <f t="shared" si="75"/>
        <v>0.21132700000000001</v>
      </c>
      <c r="J338" s="382">
        <f t="shared" si="76"/>
        <v>7.8144490960308927E-3</v>
      </c>
      <c r="K338" s="382">
        <f t="shared" si="77"/>
        <v>1.6514040841169207E-3</v>
      </c>
      <c r="M338" s="400"/>
      <c r="N338" s="398" t="s">
        <v>4249</v>
      </c>
      <c r="O338" s="398" t="s">
        <v>920</v>
      </c>
      <c r="P338" s="398" t="s">
        <v>445</v>
      </c>
      <c r="Q338" s="398">
        <v>417816024996.00006</v>
      </c>
      <c r="R338" s="398">
        <v>0</v>
      </c>
      <c r="S338" s="398">
        <v>22.93</v>
      </c>
      <c r="T338" s="398">
        <v>427.75709999999998</v>
      </c>
      <c r="U338" s="398">
        <v>976.76</v>
      </c>
      <c r="W338" s="401" t="s">
        <v>920</v>
      </c>
      <c r="X338" s="402" t="s">
        <v>445</v>
      </c>
      <c r="Y338" s="386">
        <f t="shared" si="78"/>
        <v>417816.02499600005</v>
      </c>
      <c r="Z338" s="387">
        <f t="shared" si="79"/>
        <v>0</v>
      </c>
      <c r="AA338" s="387">
        <f t="shared" si="80"/>
        <v>0.2293</v>
      </c>
      <c r="AB338" s="403">
        <f t="shared" si="81"/>
        <v>0.2293</v>
      </c>
      <c r="AC338" s="388">
        <f t="shared" si="82"/>
        <v>8.2501556440981432E-3</v>
      </c>
      <c r="AD338" s="389">
        <f t="shared" si="83"/>
        <v>1.8917606891917043E-3</v>
      </c>
    </row>
    <row r="339" spans="1:30" x14ac:dyDescent="0.55000000000000004">
      <c r="A339" t="str">
        <f t="shared" si="70"/>
        <v>NiSource Inc</v>
      </c>
      <c r="B339" t="str">
        <f t="shared" si="70"/>
        <v>NI</v>
      </c>
      <c r="C339" s="382">
        <f t="shared" si="71"/>
        <v>2.9088471849865957E-2</v>
      </c>
      <c r="D339" s="383">
        <f t="shared" si="72"/>
        <v>17410.854573899996</v>
      </c>
      <c r="E339" s="384">
        <f t="shared" si="73"/>
        <v>0.08</v>
      </c>
      <c r="F339" s="385">
        <v>6.5000000000000002E-2</v>
      </c>
      <c r="G339" s="382">
        <v>7.8001899999999999E-2</v>
      </c>
      <c r="H339" s="399">
        <f t="shared" si="74"/>
        <v>7.4333966666666682E-2</v>
      </c>
      <c r="I339" s="399">
        <f t="shared" si="75"/>
        <v>0.10450356926496873</v>
      </c>
      <c r="J339" s="382">
        <f t="shared" si="76"/>
        <v>3.2563671244404926E-4</v>
      </c>
      <c r="K339" s="382">
        <f t="shared" si="77"/>
        <v>3.4030198734113406E-5</v>
      </c>
      <c r="M339" s="400"/>
      <c r="N339" s="398" t="s">
        <v>4250</v>
      </c>
      <c r="O339" s="398" t="s">
        <v>921</v>
      </c>
      <c r="P339" s="398" t="s">
        <v>50</v>
      </c>
      <c r="Q339" s="398">
        <v>17410854573.899998</v>
      </c>
      <c r="R339" s="398">
        <v>2.9088471849865956</v>
      </c>
      <c r="S339" s="398">
        <v>8</v>
      </c>
      <c r="T339" s="398">
        <v>466.77889999999996</v>
      </c>
      <c r="U339" s="398">
        <v>37.299999999999997</v>
      </c>
      <c r="W339" s="401" t="s">
        <v>921</v>
      </c>
      <c r="X339" s="402" t="s">
        <v>50</v>
      </c>
      <c r="Y339" s="386">
        <f t="shared" si="78"/>
        <v>17410.854573899996</v>
      </c>
      <c r="Z339" s="387">
        <f t="shared" si="79"/>
        <v>2.9088471849865957E-2</v>
      </c>
      <c r="AA339" s="387">
        <f t="shared" si="80"/>
        <v>0.08</v>
      </c>
      <c r="AB339" s="403">
        <f t="shared" si="81"/>
        <v>0.11025201072386059</v>
      </c>
      <c r="AC339" s="388">
        <f t="shared" si="82"/>
        <v>3.4379308484591556E-4</v>
      </c>
      <c r="AD339" s="389">
        <f t="shared" si="83"/>
        <v>3.7903878877220999E-5</v>
      </c>
    </row>
    <row r="340" spans="1:30" x14ac:dyDescent="0.55000000000000004">
      <c r="A340" t="str">
        <f t="shared" si="70"/>
        <v>NIKE Inc</v>
      </c>
      <c r="B340" t="str">
        <f t="shared" si="70"/>
        <v>NKE</v>
      </c>
      <c r="C340" s="382">
        <f t="shared" si="71"/>
        <v>1.9674902470741221E-2</v>
      </c>
      <c r="D340" s="383">
        <f t="shared" si="72"/>
        <v>113744.85761030001</v>
      </c>
      <c r="E340" s="384">
        <f t="shared" si="73"/>
        <v>-5.6799999999999996E-2</v>
      </c>
      <c r="F340" s="385">
        <v>6.5000000000000002E-2</v>
      </c>
      <c r="G340" s="382">
        <v>3.0023499999999998E-2</v>
      </c>
      <c r="H340" s="399">
        <f t="shared" si="74"/>
        <v>1.274116666666667E-2</v>
      </c>
      <c r="I340" s="399">
        <f t="shared" si="75"/>
        <v>3.2541409743172954E-2</v>
      </c>
      <c r="J340" s="382">
        <f t="shared" si="76"/>
        <v>2.1273798671065354E-3</v>
      </c>
      <c r="K340" s="382">
        <f t="shared" si="77"/>
        <v>6.9227939934890601E-5</v>
      </c>
      <c r="M340" s="400"/>
      <c r="N340" s="398" t="s">
        <v>4251</v>
      </c>
      <c r="O340" s="398" t="s">
        <v>922</v>
      </c>
      <c r="P340" s="398" t="s">
        <v>446</v>
      </c>
      <c r="Q340" s="398">
        <v>113744857610.3</v>
      </c>
      <c r="R340" s="398">
        <v>1.9674902470741222</v>
      </c>
      <c r="S340" s="398">
        <v>-5.68</v>
      </c>
      <c r="T340" s="398">
        <v>1181.239</v>
      </c>
      <c r="U340" s="398">
        <v>76.900000000000006</v>
      </c>
      <c r="W340" s="401" t="s">
        <v>922</v>
      </c>
      <c r="X340" s="402" t="s">
        <v>446</v>
      </c>
      <c r="Y340" s="386">
        <f t="shared" si="78"/>
        <v>113744.85761030001</v>
      </c>
      <c r="Z340" s="387">
        <f t="shared" si="79"/>
        <v>1.9674902470741221E-2</v>
      </c>
      <c r="AA340" s="387">
        <f t="shared" si="80"/>
        <v>-5.6799999999999996E-2</v>
      </c>
      <c r="AB340" s="403">
        <f t="shared" si="81"/>
        <v>-3.7683864759427824E-2</v>
      </c>
      <c r="AC340" s="388">
        <f t="shared" si="82"/>
        <v>2.2459951817543141E-3</v>
      </c>
      <c r="AD340" s="389">
        <f t="shared" si="83"/>
        <v>-8.463777867955608E-5</v>
      </c>
    </row>
    <row r="341" spans="1:30" x14ac:dyDescent="0.55000000000000004">
      <c r="A341" t="str">
        <f t="shared" si="70"/>
        <v>Northrop Grumman Corp</v>
      </c>
      <c r="B341" t="str">
        <f t="shared" si="70"/>
        <v>NOC</v>
      </c>
      <c r="C341" s="382">
        <f t="shared" si="71"/>
        <v>1.764114351386295E-2</v>
      </c>
      <c r="D341" s="383">
        <f t="shared" si="72"/>
        <v>70535.089960929981</v>
      </c>
      <c r="E341" s="384">
        <f t="shared" si="73"/>
        <v>0.19219999999999998</v>
      </c>
      <c r="F341" s="385">
        <v>7.4999999999999997E-2</v>
      </c>
      <c r="G341" s="382">
        <v>0.29802499999999998</v>
      </c>
      <c r="H341" s="399">
        <f t="shared" si="74"/>
        <v>0.18840833333333332</v>
      </c>
      <c r="I341" s="399">
        <f t="shared" si="75"/>
        <v>0.20771134607096681</v>
      </c>
      <c r="J341" s="382">
        <f t="shared" si="76"/>
        <v>1.3192238617198175E-3</v>
      </c>
      <c r="K341" s="382">
        <f t="shared" si="77"/>
        <v>2.7401776408676227E-4</v>
      </c>
      <c r="M341" s="400"/>
      <c r="N341" s="398" t="s">
        <v>4252</v>
      </c>
      <c r="O341" s="398" t="s">
        <v>923</v>
      </c>
      <c r="P341" s="398" t="s">
        <v>447</v>
      </c>
      <c r="Q341" s="398">
        <v>70535089960.929977</v>
      </c>
      <c r="R341" s="398">
        <v>1.7641143513862951</v>
      </c>
      <c r="S341" s="398">
        <v>19.22</v>
      </c>
      <c r="T341" s="398">
        <v>144.75569999999999</v>
      </c>
      <c r="U341" s="398">
        <v>487.27</v>
      </c>
      <c r="W341" s="401" t="s">
        <v>923</v>
      </c>
      <c r="X341" s="402" t="s">
        <v>447</v>
      </c>
      <c r="Y341" s="386">
        <f t="shared" si="78"/>
        <v>70535.089960929981</v>
      </c>
      <c r="Z341" s="387">
        <f t="shared" si="79"/>
        <v>1.764114351386295E-2</v>
      </c>
      <c r="AA341" s="387">
        <f t="shared" si="80"/>
        <v>0.19219999999999998</v>
      </c>
      <c r="AB341" s="403">
        <f t="shared" si="81"/>
        <v>0.21153645740554516</v>
      </c>
      <c r="AC341" s="388">
        <f t="shared" si="82"/>
        <v>1.3927792036069172E-3</v>
      </c>
      <c r="AD341" s="389">
        <f t="shared" si="83"/>
        <v>2.9462357867912376E-4</v>
      </c>
    </row>
    <row r="342" spans="1:30" x14ac:dyDescent="0.55000000000000004">
      <c r="A342" t="str">
        <f t="shared" si="70"/>
        <v>ServiceNow Inc</v>
      </c>
      <c r="B342" t="str">
        <f t="shared" si="70"/>
        <v>NOW</v>
      </c>
      <c r="C342" s="382" t="str">
        <f t="shared" si="71"/>
        <v>0.00%</v>
      </c>
      <c r="D342" s="383">
        <f t="shared" si="72"/>
        <v>209786.28</v>
      </c>
      <c r="E342" s="384">
        <f t="shared" si="73"/>
        <v>0.25</v>
      </c>
      <c r="F342" s="385">
        <v>0.32500000000000001</v>
      </c>
      <c r="G342" s="382">
        <v>0.3182027</v>
      </c>
      <c r="H342" s="399">
        <f t="shared" si="74"/>
        <v>0.29773423333333332</v>
      </c>
      <c r="I342" s="399">
        <f t="shared" si="75"/>
        <v>0.29773423333333332</v>
      </c>
      <c r="J342" s="382">
        <f t="shared" si="76"/>
        <v>3.9236508607379964E-3</v>
      </c>
      <c r="K342" s="382">
        <f t="shared" si="77"/>
        <v>1.1682051808895007E-3</v>
      </c>
      <c r="M342" s="400"/>
      <c r="N342" s="398" t="s">
        <v>4253</v>
      </c>
      <c r="O342" s="398" t="s">
        <v>924</v>
      </c>
      <c r="P342" s="398" t="s">
        <v>448</v>
      </c>
      <c r="Q342" s="398">
        <v>209786280000</v>
      </c>
      <c r="R342" s="398" t="s">
        <v>3929</v>
      </c>
      <c r="S342" s="398">
        <v>25</v>
      </c>
      <c r="T342" s="398">
        <v>206</v>
      </c>
      <c r="U342" s="398">
        <v>1018.38</v>
      </c>
      <c r="W342" s="401" t="s">
        <v>924</v>
      </c>
      <c r="X342" s="402" t="s">
        <v>448</v>
      </c>
      <c r="Y342" s="386">
        <f t="shared" si="78"/>
        <v>209786.28</v>
      </c>
      <c r="Z342" s="387" t="str">
        <f t="shared" si="79"/>
        <v>0.00%</v>
      </c>
      <c r="AA342" s="387">
        <f t="shared" si="80"/>
        <v>0.25</v>
      </c>
      <c r="AB342" s="403">
        <f t="shared" si="81"/>
        <v>0.25</v>
      </c>
      <c r="AC342" s="388">
        <f t="shared" si="82"/>
        <v>4.1424200089331727E-3</v>
      </c>
      <c r="AD342" s="389">
        <f t="shared" si="83"/>
        <v>1.0356050022332932E-3</v>
      </c>
    </row>
    <row r="343" spans="1:30" x14ac:dyDescent="0.55000000000000004">
      <c r="A343" t="str">
        <f t="shared" si="70"/>
        <v>NRG Energy Inc</v>
      </c>
      <c r="B343" t="str">
        <f t="shared" si="70"/>
        <v>NRG</v>
      </c>
      <c r="C343" s="382">
        <f t="shared" si="71"/>
        <v>1.591175322139789E-2</v>
      </c>
      <c r="D343" s="383">
        <f t="shared" si="72"/>
        <v>20750.899250120001</v>
      </c>
      <c r="E343" s="384">
        <f t="shared" si="73"/>
        <v>9.4E-2</v>
      </c>
      <c r="F343" s="385">
        <v>0.11</v>
      </c>
      <c r="G343" s="382">
        <v>9.6500000000000002E-2</v>
      </c>
      <c r="H343" s="399">
        <f t="shared" si="74"/>
        <v>0.10016666666666667</v>
      </c>
      <c r="I343" s="399">
        <f t="shared" si="75"/>
        <v>0.11687533352856957</v>
      </c>
      <c r="J343" s="382">
        <f t="shared" si="76"/>
        <v>3.8810585565376716E-4</v>
      </c>
      <c r="K343" s="382">
        <f t="shared" si="77"/>
        <v>4.5360001323924917E-5</v>
      </c>
      <c r="M343" s="400"/>
      <c r="N343" s="398" t="s">
        <v>4254</v>
      </c>
      <c r="O343" s="398" t="s">
        <v>925</v>
      </c>
      <c r="P343" s="398" t="s">
        <v>52</v>
      </c>
      <c r="Q343" s="398">
        <v>20750899250.120003</v>
      </c>
      <c r="R343" s="398">
        <v>1.5911753221397891</v>
      </c>
      <c r="S343" s="398">
        <v>9.4</v>
      </c>
      <c r="T343" s="398">
        <v>202.56639999999999</v>
      </c>
      <c r="U343" s="398">
        <v>102.44</v>
      </c>
      <c r="W343" s="401" t="s">
        <v>925</v>
      </c>
      <c r="X343" s="402" t="s">
        <v>52</v>
      </c>
      <c r="Y343" s="386">
        <f t="shared" si="78"/>
        <v>20750.899250120001</v>
      </c>
      <c r="Z343" s="387">
        <f t="shared" si="79"/>
        <v>1.591175322139789E-2</v>
      </c>
      <c r="AA343" s="387">
        <f t="shared" si="80"/>
        <v>9.4E-2</v>
      </c>
      <c r="AB343" s="403">
        <f t="shared" si="81"/>
        <v>0.11065960562280359</v>
      </c>
      <c r="AC343" s="388">
        <f t="shared" si="82"/>
        <v>4.0974529057407125E-4</v>
      </c>
      <c r="AD343" s="389">
        <f t="shared" si="83"/>
        <v>4.534225226072779E-5</v>
      </c>
    </row>
    <row r="344" spans="1:30" x14ac:dyDescent="0.55000000000000004">
      <c r="A344" t="str">
        <f t="shared" si="70"/>
        <v>Norfolk Southern Corp</v>
      </c>
      <c r="B344" t="str">
        <f t="shared" si="70"/>
        <v>NSC</v>
      </c>
      <c r="C344" s="382">
        <f t="shared" si="71"/>
        <v>2.1884057971014489E-2</v>
      </c>
      <c r="D344" s="383">
        <f t="shared" si="72"/>
        <v>57758.985708599997</v>
      </c>
      <c r="E344" s="384">
        <f t="shared" si="73"/>
        <v>0.12120000000000002</v>
      </c>
      <c r="F344" s="385">
        <v>9.5000000000000001E-2</v>
      </c>
      <c r="G344" s="382">
        <v>0.1143853</v>
      </c>
      <c r="H344" s="399">
        <f t="shared" si="74"/>
        <v>0.11019509999999999</v>
      </c>
      <c r="I344" s="399">
        <f t="shared" si="75"/>
        <v>0.13328491594927536</v>
      </c>
      <c r="J344" s="382">
        <f t="shared" si="76"/>
        <v>1.0802712836649852E-3</v>
      </c>
      <c r="K344" s="382">
        <f t="shared" si="77"/>
        <v>1.4398386724570335E-4</v>
      </c>
      <c r="M344" s="400"/>
      <c r="N344" s="398" t="s">
        <v>4255</v>
      </c>
      <c r="O344" s="398" t="s">
        <v>926</v>
      </c>
      <c r="P344" s="398" t="s">
        <v>449</v>
      </c>
      <c r="Q344" s="398">
        <v>57758985708.599998</v>
      </c>
      <c r="R344" s="398">
        <v>2.1884057971014488</v>
      </c>
      <c r="S344" s="398">
        <v>12.120000000000001</v>
      </c>
      <c r="T344" s="398">
        <v>226.2397</v>
      </c>
      <c r="U344" s="398">
        <v>255.3</v>
      </c>
      <c r="W344" s="401" t="s">
        <v>926</v>
      </c>
      <c r="X344" s="402" t="s">
        <v>449</v>
      </c>
      <c r="Y344" s="386">
        <f t="shared" si="78"/>
        <v>57758.985708599997</v>
      </c>
      <c r="Z344" s="387">
        <f t="shared" si="79"/>
        <v>2.1884057971014489E-2</v>
      </c>
      <c r="AA344" s="387">
        <f t="shared" si="80"/>
        <v>0.12120000000000002</v>
      </c>
      <c r="AB344" s="403">
        <f t="shared" si="81"/>
        <v>0.14441023188405799</v>
      </c>
      <c r="AC344" s="388">
        <f t="shared" si="82"/>
        <v>1.1405034594969214E-3</v>
      </c>
      <c r="AD344" s="389">
        <f t="shared" si="83"/>
        <v>1.6470036905052077E-4</v>
      </c>
    </row>
    <row r="345" spans="1:30" x14ac:dyDescent="0.55000000000000004">
      <c r="A345" t="str">
        <f t="shared" si="70"/>
        <v>NetApp Inc</v>
      </c>
      <c r="B345" t="str">
        <f t="shared" si="70"/>
        <v>NTAP</v>
      </c>
      <c r="C345" s="382">
        <f t="shared" si="71"/>
        <v>1.6969696969696971E-2</v>
      </c>
      <c r="D345" s="383">
        <f t="shared" si="72"/>
        <v>24823.714370399997</v>
      </c>
      <c r="E345" s="384">
        <f t="shared" si="73"/>
        <v>7.6600000000000001E-2</v>
      </c>
      <c r="F345" s="385">
        <v>9.5000000000000001E-2</v>
      </c>
      <c r="G345" s="382">
        <v>8.1063500000000011E-2</v>
      </c>
      <c r="H345" s="399">
        <f t="shared" si="74"/>
        <v>8.422116666666668E-2</v>
      </c>
      <c r="I345" s="399">
        <f t="shared" si="75"/>
        <v>0.10190546747474749</v>
      </c>
      <c r="J345" s="382">
        <f t="shared" si="76"/>
        <v>4.6428006758179858E-4</v>
      </c>
      <c r="K345" s="382">
        <f t="shared" si="77"/>
        <v>4.7312677326130543E-5</v>
      </c>
      <c r="M345" s="400"/>
      <c r="N345" s="398" t="s">
        <v>4256</v>
      </c>
      <c r="O345" s="398" t="s">
        <v>927</v>
      </c>
      <c r="P345" s="398" t="s">
        <v>450</v>
      </c>
      <c r="Q345" s="398">
        <v>24823714370.399998</v>
      </c>
      <c r="R345" s="398">
        <v>1.6969696969696972</v>
      </c>
      <c r="S345" s="398">
        <v>7.66</v>
      </c>
      <c r="T345" s="398">
        <v>203.3064</v>
      </c>
      <c r="U345" s="398">
        <v>122.1</v>
      </c>
      <c r="W345" s="401" t="s">
        <v>927</v>
      </c>
      <c r="X345" s="402" t="s">
        <v>450</v>
      </c>
      <c r="Y345" s="386">
        <f t="shared" si="78"/>
        <v>24823.714370399997</v>
      </c>
      <c r="Z345" s="387">
        <f t="shared" si="79"/>
        <v>1.6969696969696971E-2</v>
      </c>
      <c r="AA345" s="387">
        <f t="shared" si="80"/>
        <v>7.6600000000000001E-2</v>
      </c>
      <c r="AB345" s="403">
        <f t="shared" si="81"/>
        <v>9.4219636363636367E-2</v>
      </c>
      <c r="AC345" s="388">
        <f t="shared" si="82"/>
        <v>4.9016671206518795E-4</v>
      </c>
      <c r="AD345" s="389">
        <f t="shared" si="83"/>
        <v>4.6183329368341257E-5</v>
      </c>
    </row>
    <row r="346" spans="1:30" x14ac:dyDescent="0.55000000000000004">
      <c r="A346" t="str">
        <f t="shared" si="70"/>
        <v>Northern Trust Corp</v>
      </c>
      <c r="B346" t="str">
        <f t="shared" si="70"/>
        <v>NTRS</v>
      </c>
      <c r="C346" s="382">
        <f t="shared" si="71"/>
        <v>2.7313206875055659E-2</v>
      </c>
      <c r="D346" s="383">
        <f t="shared" si="72"/>
        <v>22257.953456070001</v>
      </c>
      <c r="E346" s="384">
        <f t="shared" si="73"/>
        <v>8.9099999999999999E-2</v>
      </c>
      <c r="F346" s="385">
        <v>0.06</v>
      </c>
      <c r="G346" s="382">
        <v>9.644069999999999E-2</v>
      </c>
      <c r="H346" s="399">
        <f t="shared" si="74"/>
        <v>8.18469E-2</v>
      </c>
      <c r="I346" s="399">
        <f t="shared" si="75"/>
        <v>0.11027785753094665</v>
      </c>
      <c r="J346" s="382">
        <f t="shared" si="76"/>
        <v>4.1629242024871844E-4</v>
      </c>
      <c r="K346" s="382">
        <f t="shared" si="77"/>
        <v>4.5907836211401148E-5</v>
      </c>
      <c r="M346" s="400"/>
      <c r="N346" s="398" t="s">
        <v>4257</v>
      </c>
      <c r="O346" s="398" t="s">
        <v>928</v>
      </c>
      <c r="P346" s="398" t="s">
        <v>451</v>
      </c>
      <c r="Q346" s="398">
        <v>22257953456.07</v>
      </c>
      <c r="R346" s="398">
        <v>2.731320687505566</v>
      </c>
      <c r="S346" s="398">
        <v>8.91</v>
      </c>
      <c r="T346" s="398">
        <v>198.21849999999998</v>
      </c>
      <c r="U346" s="398">
        <v>112.29</v>
      </c>
      <c r="W346" s="401" t="s">
        <v>928</v>
      </c>
      <c r="X346" s="402" t="s">
        <v>451</v>
      </c>
      <c r="Y346" s="386">
        <f t="shared" si="78"/>
        <v>22257.953456070001</v>
      </c>
      <c r="Z346" s="387">
        <f t="shared" si="79"/>
        <v>2.7313206875055659E-2</v>
      </c>
      <c r="AA346" s="387">
        <f t="shared" si="80"/>
        <v>8.9099999999999999E-2</v>
      </c>
      <c r="AB346" s="403">
        <f t="shared" si="81"/>
        <v>0.11763001024133939</v>
      </c>
      <c r="AC346" s="388">
        <f t="shared" si="82"/>
        <v>4.3950344014073581E-4</v>
      </c>
      <c r="AD346" s="389">
        <f t="shared" si="83"/>
        <v>5.1698794164858643E-5</v>
      </c>
    </row>
    <row r="347" spans="1:30" x14ac:dyDescent="0.55000000000000004">
      <c r="A347" t="str">
        <f t="shared" si="70"/>
        <v>Nucor Corp</v>
      </c>
      <c r="B347" t="str">
        <f t="shared" si="70"/>
        <v>NUE</v>
      </c>
      <c r="C347" s="382">
        <f t="shared" si="71"/>
        <v>1.7176672117106592E-2</v>
      </c>
      <c r="D347" s="383">
        <f t="shared" si="72"/>
        <v>30157.022801880001</v>
      </c>
      <c r="E347" s="384">
        <f t="shared" si="73"/>
        <v>-0.1041</v>
      </c>
      <c r="F347" s="385">
        <v>-0.05</v>
      </c>
      <c r="G347" s="382">
        <v>-2.0616000000000002E-3</v>
      </c>
      <c r="H347" s="399">
        <f t="shared" si="74"/>
        <v>-5.2053866666666671E-2</v>
      </c>
      <c r="I347" s="399">
        <f t="shared" si="75"/>
        <v>-3.5324250649640537E-2</v>
      </c>
      <c r="J347" s="382">
        <f t="shared" si="76"/>
        <v>5.6402939445750146E-4</v>
      </c>
      <c r="K347" s="382">
        <f t="shared" si="77"/>
        <v>-1.9923915703581753E-5</v>
      </c>
      <c r="M347" s="400"/>
      <c r="N347" s="398" t="s">
        <v>4258</v>
      </c>
      <c r="O347" s="398" t="s">
        <v>929</v>
      </c>
      <c r="P347" s="398" t="s">
        <v>452</v>
      </c>
      <c r="Q347" s="398">
        <v>30157022801.880001</v>
      </c>
      <c r="R347" s="398">
        <v>1.7176672117106593</v>
      </c>
      <c r="S347" s="398">
        <v>-10.41</v>
      </c>
      <c r="T347" s="398">
        <v>234.81289999999998</v>
      </c>
      <c r="U347" s="398">
        <v>128.43</v>
      </c>
      <c r="W347" s="401" t="s">
        <v>929</v>
      </c>
      <c r="X347" s="402" t="s">
        <v>452</v>
      </c>
      <c r="Y347" s="386">
        <f t="shared" si="78"/>
        <v>30157.022801880001</v>
      </c>
      <c r="Z347" s="387">
        <f t="shared" si="79"/>
        <v>1.7176672117106592E-2</v>
      </c>
      <c r="AA347" s="387">
        <f t="shared" si="80"/>
        <v>-0.1041</v>
      </c>
      <c r="AB347" s="403">
        <f t="shared" si="81"/>
        <v>-8.7817373666588802E-2</v>
      </c>
      <c r="AC347" s="388">
        <f t="shared" si="82"/>
        <v>5.9547771505534899E-4</v>
      </c>
      <c r="AD347" s="389">
        <f t="shared" si="83"/>
        <v>-5.2293289013142075E-5</v>
      </c>
    </row>
    <row r="348" spans="1:30" x14ac:dyDescent="0.55000000000000004">
      <c r="A348" t="str">
        <f t="shared" si="70"/>
        <v>NVIDIA Corp</v>
      </c>
      <c r="B348" t="str">
        <f t="shared" si="70"/>
        <v>NVDA</v>
      </c>
      <c r="C348" s="382">
        <f t="shared" si="71"/>
        <v>2.8316815191138504E-4</v>
      </c>
      <c r="D348" s="383">
        <f t="shared" si="72"/>
        <v>2940514.3</v>
      </c>
      <c r="E348" s="384">
        <f t="shared" si="73"/>
        <v>0.35</v>
      </c>
      <c r="F348" s="385">
        <v>0.44</v>
      </c>
      <c r="G348" s="382">
        <v>0.38134810000000002</v>
      </c>
      <c r="H348" s="399">
        <f t="shared" si="74"/>
        <v>0.39044936666666669</v>
      </c>
      <c r="I348" s="399">
        <f t="shared" si="75"/>
        <v>0.39078781623136505</v>
      </c>
      <c r="J348" s="382">
        <f t="shared" si="76"/>
        <v>5.4996692177426407E-2</v>
      </c>
      <c r="K348" s="382">
        <f t="shared" si="77"/>
        <v>2.1492037235965062E-2</v>
      </c>
      <c r="M348" s="400"/>
      <c r="N348" s="398" t="s">
        <v>4259</v>
      </c>
      <c r="O348" s="398" t="s">
        <v>930</v>
      </c>
      <c r="P348" s="398" t="s">
        <v>453</v>
      </c>
      <c r="Q348" s="398">
        <v>2940514300000</v>
      </c>
      <c r="R348" s="398">
        <v>2.8316815191138506E-2</v>
      </c>
      <c r="S348" s="398">
        <v>35</v>
      </c>
      <c r="T348" s="398">
        <v>24490</v>
      </c>
      <c r="U348" s="398">
        <v>120.07</v>
      </c>
      <c r="W348" s="401" t="s">
        <v>930</v>
      </c>
      <c r="X348" s="402" t="s">
        <v>453</v>
      </c>
      <c r="Y348" s="386">
        <f t="shared" si="78"/>
        <v>2940514.3</v>
      </c>
      <c r="Z348" s="387">
        <f t="shared" si="79"/>
        <v>2.8316815191138504E-4</v>
      </c>
      <c r="AA348" s="387">
        <f t="shared" si="80"/>
        <v>0.35</v>
      </c>
      <c r="AB348" s="403">
        <f t="shared" si="81"/>
        <v>0.35033272257849585</v>
      </c>
      <c r="AC348" s="388">
        <f t="shared" si="82"/>
        <v>5.8063116772336693E-2</v>
      </c>
      <c r="AD348" s="389">
        <f t="shared" si="83"/>
        <v>2.0341409780245841E-2</v>
      </c>
    </row>
    <row r="349" spans="1:30" x14ac:dyDescent="0.55000000000000004">
      <c r="A349" t="str">
        <f t="shared" si="70"/>
        <v>NVR Inc</v>
      </c>
      <c r="B349" t="str">
        <f t="shared" si="70"/>
        <v>NVR</v>
      </c>
      <c r="C349" s="382" t="str">
        <f t="shared" si="71"/>
        <v>0.00%</v>
      </c>
      <c r="D349" s="383">
        <f t="shared" si="72"/>
        <v>24560.581513680001</v>
      </c>
      <c r="E349" s="384">
        <f t="shared" si="73"/>
        <v>6.0100000000000001E-2</v>
      </c>
      <c r="F349" s="385">
        <v>1.4999999999999999E-2</v>
      </c>
      <c r="G349" s="382">
        <v>6.0129599999999998E-2</v>
      </c>
      <c r="H349" s="399">
        <f t="shared" si="74"/>
        <v>4.5076533333333335E-2</v>
      </c>
      <c r="I349" s="399">
        <f t="shared" si="75"/>
        <v>4.5076533333333335E-2</v>
      </c>
      <c r="J349" s="382">
        <f t="shared" si="76"/>
        <v>4.5935867110268725E-4</v>
      </c>
      <c r="K349" s="382">
        <f t="shared" si="77"/>
        <v>2.0706296449915984E-5</v>
      </c>
      <c r="M349" s="400"/>
      <c r="N349" s="398" t="s">
        <v>4260</v>
      </c>
      <c r="O349" s="398" t="s">
        <v>931</v>
      </c>
      <c r="P349" s="398" t="s">
        <v>454</v>
      </c>
      <c r="Q349" s="398">
        <v>24560581513.68</v>
      </c>
      <c r="R349" s="398" t="s">
        <v>3929</v>
      </c>
      <c r="S349" s="398">
        <v>6.01</v>
      </c>
      <c r="T349" s="398">
        <v>3.0638699999999996</v>
      </c>
      <c r="U349" s="398">
        <v>8016.18</v>
      </c>
      <c r="W349" s="401" t="s">
        <v>931</v>
      </c>
      <c r="X349" s="402" t="s">
        <v>454</v>
      </c>
      <c r="Y349" s="386">
        <f t="shared" si="78"/>
        <v>24560.581513680001</v>
      </c>
      <c r="Z349" s="387" t="str">
        <f t="shared" si="79"/>
        <v>0.00%</v>
      </c>
      <c r="AA349" s="387">
        <f t="shared" si="80"/>
        <v>6.0100000000000001E-2</v>
      </c>
      <c r="AB349" s="403">
        <f t="shared" si="81"/>
        <v>6.0100000000000001E-2</v>
      </c>
      <c r="AC349" s="388">
        <f t="shared" si="82"/>
        <v>4.8497091560659845E-4</v>
      </c>
      <c r="AD349" s="389">
        <f t="shared" si="83"/>
        <v>2.9146752027956569E-5</v>
      </c>
    </row>
    <row r="350" spans="1:30" x14ac:dyDescent="0.55000000000000004">
      <c r="A350" t="str">
        <f t="shared" si="70"/>
        <v>News Corp</v>
      </c>
      <c r="B350" t="str">
        <f t="shared" si="70"/>
        <v>NWSA</v>
      </c>
      <c r="C350" s="382">
        <f t="shared" si="71"/>
        <v>7.7524893314366997E-3</v>
      </c>
      <c r="D350" s="383">
        <f t="shared" si="72"/>
        <v>16661.097331819998</v>
      </c>
      <c r="E350" s="384" t="str">
        <f t="shared" si="73"/>
        <v>N/A</v>
      </c>
      <c r="F350" s="385">
        <v>0.19</v>
      </c>
      <c r="G350" s="382">
        <v>0.20399999999999999</v>
      </c>
      <c r="H350" s="399">
        <f t="shared" si="74"/>
        <v>0.19700000000000001</v>
      </c>
      <c r="I350" s="399">
        <f t="shared" si="75"/>
        <v>0.20551610953058322</v>
      </c>
      <c r="J350" s="382">
        <f t="shared" si="76"/>
        <v>3.1161393817953712E-4</v>
      </c>
      <c r="K350" s="382">
        <f t="shared" si="77"/>
        <v>6.4041684250162138E-5</v>
      </c>
      <c r="M350" s="400"/>
      <c r="N350" s="398" t="s">
        <v>4261</v>
      </c>
      <c r="O350" s="398" t="s">
        <v>932</v>
      </c>
      <c r="P350" s="398" t="s">
        <v>455</v>
      </c>
      <c r="Q350" s="398">
        <v>16661097331.819998</v>
      </c>
      <c r="R350" s="398">
        <v>0.77524893314366994</v>
      </c>
      <c r="S350" s="398" t="s">
        <v>3929</v>
      </c>
      <c r="T350" s="398">
        <v>378.90699999999998</v>
      </c>
      <c r="U350" s="398">
        <v>28.12</v>
      </c>
      <c r="W350" s="401" t="s">
        <v>932</v>
      </c>
      <c r="X350" s="402" t="s">
        <v>455</v>
      </c>
      <c r="Y350" s="386">
        <f t="shared" si="78"/>
        <v>16661.097331819998</v>
      </c>
      <c r="Z350" s="387">
        <f t="shared" si="79"/>
        <v>7.7524893314366997E-3</v>
      </c>
      <c r="AA350" s="387" t="str">
        <f t="shared" si="80"/>
        <v>N/A</v>
      </c>
      <c r="AB350" s="403" t="str">
        <f t="shared" si="81"/>
        <v>N/A</v>
      </c>
      <c r="AC350" s="388">
        <f t="shared" si="82"/>
        <v>3.2898844937864508E-4</v>
      </c>
      <c r="AD350" s="389" t="str">
        <f t="shared" si="83"/>
        <v>N/A</v>
      </c>
    </row>
    <row r="351" spans="1:30" x14ac:dyDescent="0.55000000000000004">
      <c r="A351" t="str">
        <f t="shared" si="70"/>
        <v>NXP Semiconductors NV</v>
      </c>
      <c r="B351" t="str">
        <f t="shared" si="70"/>
        <v>NXPI</v>
      </c>
      <c r="C351" s="382">
        <f t="shared" si="71"/>
        <v>1.9333493167106208E-2</v>
      </c>
      <c r="D351" s="383">
        <f t="shared" si="72"/>
        <v>53004.146209000006</v>
      </c>
      <c r="E351" s="384">
        <f t="shared" si="73"/>
        <v>1.2849999999999999E-2</v>
      </c>
      <c r="F351" s="385">
        <v>7.4999999999999997E-2</v>
      </c>
      <c r="G351" s="382">
        <v>6.6982E-2</v>
      </c>
      <c r="H351" s="399">
        <f t="shared" si="74"/>
        <v>5.1610666666666666E-2</v>
      </c>
      <c r="I351" s="399">
        <f t="shared" si="75"/>
        <v>7.1443067069447766E-2</v>
      </c>
      <c r="J351" s="382">
        <f t="shared" si="76"/>
        <v>9.9134111103750685E-4</v>
      </c>
      <c r="K351" s="382">
        <f t="shared" si="77"/>
        <v>7.0824449484553471E-5</v>
      </c>
      <c r="M351" s="400"/>
      <c r="N351" s="398" t="s">
        <v>4262</v>
      </c>
      <c r="O351" s="398" t="s">
        <v>933</v>
      </c>
      <c r="P351" s="398" t="s">
        <v>456</v>
      </c>
      <c r="Q351" s="398">
        <v>53004146209.000008</v>
      </c>
      <c r="R351" s="398">
        <v>1.9333493167106208</v>
      </c>
      <c r="S351" s="398">
        <v>1.2849999999999999</v>
      </c>
      <c r="T351" s="398">
        <v>254.15559999999999</v>
      </c>
      <c r="U351" s="398">
        <v>208.55</v>
      </c>
      <c r="W351" s="401" t="s">
        <v>933</v>
      </c>
      <c r="X351" s="402" t="s">
        <v>456</v>
      </c>
      <c r="Y351" s="386">
        <f t="shared" si="78"/>
        <v>53004.146209000006</v>
      </c>
      <c r="Z351" s="387">
        <f t="shared" si="79"/>
        <v>1.9333493167106208E-2</v>
      </c>
      <c r="AA351" s="387">
        <f t="shared" si="80"/>
        <v>1.2849999999999999E-2</v>
      </c>
      <c r="AB351" s="403">
        <f t="shared" si="81"/>
        <v>3.2307710860704865E-2</v>
      </c>
      <c r="AC351" s="388">
        <f t="shared" si="82"/>
        <v>1.0466148492293253E-3</v>
      </c>
      <c r="AD351" s="389">
        <f t="shared" si="83"/>
        <v>3.3813729931421258E-5</v>
      </c>
    </row>
    <row r="352" spans="1:30" x14ac:dyDescent="0.55000000000000004">
      <c r="A352" t="str">
        <f t="shared" si="70"/>
        <v>Realty Income Corp</v>
      </c>
      <c r="B352" t="str">
        <f t="shared" si="70"/>
        <v>O</v>
      </c>
      <c r="C352" s="382">
        <f t="shared" si="71"/>
        <v>5.7302342606149345E-2</v>
      </c>
      <c r="D352" s="383">
        <f t="shared" si="72"/>
        <v>47821.531772000009</v>
      </c>
      <c r="E352" s="384">
        <f t="shared" si="73"/>
        <v>3.78E-2</v>
      </c>
      <c r="F352" s="385">
        <v>0.05</v>
      </c>
      <c r="G352" s="382">
        <v>6.7730399999999996E-2</v>
      </c>
      <c r="H352" s="399">
        <f t="shared" si="74"/>
        <v>5.1843466666666671E-2</v>
      </c>
      <c r="I352" s="399">
        <f t="shared" si="75"/>
        <v>0.11063118531722792</v>
      </c>
      <c r="J352" s="382">
        <f t="shared" si="76"/>
        <v>8.9441022691768635E-4</v>
      </c>
      <c r="K352" s="382">
        <f t="shared" si="77"/>
        <v>9.8949663563754431E-5</v>
      </c>
      <c r="M352" s="400"/>
      <c r="N352" s="398" t="s">
        <v>4263</v>
      </c>
      <c r="O352" s="398" t="s">
        <v>934</v>
      </c>
      <c r="P352" s="398" t="s">
        <v>457</v>
      </c>
      <c r="Q352" s="398">
        <v>47821531772.000008</v>
      </c>
      <c r="R352" s="398">
        <v>5.7302342606149343</v>
      </c>
      <c r="S352" s="398">
        <v>3.7800000000000002</v>
      </c>
      <c r="T352" s="398">
        <v>875.21109999999999</v>
      </c>
      <c r="U352" s="398">
        <v>54.64</v>
      </c>
      <c r="W352" s="401" t="s">
        <v>934</v>
      </c>
      <c r="X352" s="402" t="s">
        <v>457</v>
      </c>
      <c r="Y352" s="386">
        <f t="shared" si="78"/>
        <v>47821.531772000009</v>
      </c>
      <c r="Z352" s="387">
        <f t="shared" si="79"/>
        <v>5.7302342606149345E-2</v>
      </c>
      <c r="AA352" s="387">
        <f t="shared" si="80"/>
        <v>3.78E-2</v>
      </c>
      <c r="AB352" s="403">
        <f t="shared" si="81"/>
        <v>9.6185356881405559E-2</v>
      </c>
      <c r="AC352" s="388">
        <f t="shared" si="82"/>
        <v>9.4427943557684653E-4</v>
      </c>
      <c r="AD352" s="389">
        <f t="shared" si="83"/>
        <v>9.0825854506731187E-5</v>
      </c>
    </row>
    <row r="353" spans="1:30" x14ac:dyDescent="0.55000000000000004">
      <c r="A353" t="str">
        <f t="shared" si="70"/>
        <v>Old Dominion Freight Line Inc</v>
      </c>
      <c r="B353" t="str">
        <f t="shared" si="70"/>
        <v>ODFL</v>
      </c>
      <c r="C353" s="382">
        <f t="shared" si="71"/>
        <v>5.6031463821992348E-3</v>
      </c>
      <c r="D353" s="383">
        <f t="shared" si="72"/>
        <v>39627.277656959996</v>
      </c>
      <c r="E353" s="384">
        <f t="shared" si="73"/>
        <v>1.2500000000000001E-2</v>
      </c>
      <c r="F353" s="385">
        <v>7.0000000000000007E-2</v>
      </c>
      <c r="G353" s="382">
        <v>8.6320200000000014E-2</v>
      </c>
      <c r="H353" s="399">
        <f t="shared" si="74"/>
        <v>5.6273400000000008E-2</v>
      </c>
      <c r="I353" s="399">
        <f t="shared" si="75"/>
        <v>6.2034200431011266E-2</v>
      </c>
      <c r="J353" s="382">
        <f t="shared" si="76"/>
        <v>7.4115238654994344E-4</v>
      </c>
      <c r="K353" s="382">
        <f t="shared" si="77"/>
        <v>4.5976795697161529E-5</v>
      </c>
      <c r="M353" s="400"/>
      <c r="N353" s="398" t="s">
        <v>4264</v>
      </c>
      <c r="O353" s="398" t="s">
        <v>935</v>
      </c>
      <c r="P353" s="398" t="s">
        <v>458</v>
      </c>
      <c r="Q353" s="398">
        <v>39627277656.959999</v>
      </c>
      <c r="R353" s="398">
        <v>0.56031463821992344</v>
      </c>
      <c r="S353" s="398">
        <v>1.25</v>
      </c>
      <c r="T353" s="398">
        <v>213.4975</v>
      </c>
      <c r="U353" s="398">
        <v>185.61</v>
      </c>
      <c r="W353" s="401" t="s">
        <v>935</v>
      </c>
      <c r="X353" s="402" t="s">
        <v>458</v>
      </c>
      <c r="Y353" s="386">
        <f t="shared" si="78"/>
        <v>39627.277656959996</v>
      </c>
      <c r="Z353" s="387">
        <f t="shared" si="79"/>
        <v>5.6031463821992348E-3</v>
      </c>
      <c r="AA353" s="387">
        <f t="shared" si="80"/>
        <v>1.2500000000000001E-2</v>
      </c>
      <c r="AB353" s="403">
        <f t="shared" si="81"/>
        <v>1.813816604708798E-2</v>
      </c>
      <c r="AC353" s="388">
        <f t="shared" si="82"/>
        <v>7.8247647017594076E-4</v>
      </c>
      <c r="AD353" s="389">
        <f t="shared" si="83"/>
        <v>1.41926881439905E-5</v>
      </c>
    </row>
    <row r="354" spans="1:30" x14ac:dyDescent="0.55000000000000004">
      <c r="A354" t="str">
        <f t="shared" si="70"/>
        <v>ONEOK Inc</v>
      </c>
      <c r="B354" t="str">
        <f t="shared" si="70"/>
        <v>OKE</v>
      </c>
      <c r="C354" s="382">
        <f t="shared" si="71"/>
        <v>4.0917978800041166E-2</v>
      </c>
      <c r="D354" s="383">
        <f t="shared" si="72"/>
        <v>56765.177839470016</v>
      </c>
      <c r="E354" s="384">
        <f t="shared" si="73"/>
        <v>7.3900000000000007E-2</v>
      </c>
      <c r="F354" s="385">
        <v>0.12</v>
      </c>
      <c r="G354" s="382">
        <v>7.3904200000000003E-2</v>
      </c>
      <c r="H354" s="399">
        <f t="shared" si="74"/>
        <v>8.9268066666666687E-2</v>
      </c>
      <c r="I354" s="399">
        <f t="shared" si="75"/>
        <v>0.13201237989640152</v>
      </c>
      <c r="J354" s="382">
        <f t="shared" si="76"/>
        <v>1.0616840095061602E-3</v>
      </c>
      <c r="K354" s="382">
        <f t="shared" si="77"/>
        <v>1.4015543279286198E-4</v>
      </c>
      <c r="M354" s="400"/>
      <c r="N354" s="398" t="s">
        <v>4265</v>
      </c>
      <c r="O354" s="398" t="s">
        <v>936</v>
      </c>
      <c r="P354" s="398" t="s">
        <v>459</v>
      </c>
      <c r="Q354" s="398">
        <v>56765177839.470016</v>
      </c>
      <c r="R354" s="398">
        <v>4.0917978800041164</v>
      </c>
      <c r="S354" s="398">
        <v>7.3900000000000006</v>
      </c>
      <c r="T354" s="398">
        <v>584.18419999999992</v>
      </c>
      <c r="U354" s="398">
        <v>97.17</v>
      </c>
      <c r="W354" s="401" t="s">
        <v>936</v>
      </c>
      <c r="X354" s="402" t="s">
        <v>459</v>
      </c>
      <c r="Y354" s="386">
        <f t="shared" si="78"/>
        <v>56765.177839470016</v>
      </c>
      <c r="Z354" s="387">
        <f t="shared" si="79"/>
        <v>4.0917978800041166E-2</v>
      </c>
      <c r="AA354" s="387">
        <f t="shared" si="80"/>
        <v>7.3900000000000007E-2</v>
      </c>
      <c r="AB354" s="403">
        <f t="shared" si="81"/>
        <v>0.11632989811670269</v>
      </c>
      <c r="AC354" s="388">
        <f t="shared" si="82"/>
        <v>1.1208798234702028E-3</v>
      </c>
      <c r="AD354" s="389">
        <f t="shared" si="83"/>
        <v>1.3039183566535638E-4</v>
      </c>
    </row>
    <row r="355" spans="1:30" x14ac:dyDescent="0.55000000000000004">
      <c r="A355" t="str">
        <f t="shared" si="70"/>
        <v>Omnicom Group Inc</v>
      </c>
      <c r="B355" t="str">
        <f t="shared" si="70"/>
        <v>OMC</v>
      </c>
      <c r="C355" s="382">
        <f t="shared" si="71"/>
        <v>3.3483120175135384E-2</v>
      </c>
      <c r="D355" s="383">
        <f t="shared" si="72"/>
        <v>16932.129454679998</v>
      </c>
      <c r="E355" s="384">
        <f t="shared" si="73"/>
        <v>5.4550000000000001E-2</v>
      </c>
      <c r="F355" s="385">
        <v>7.0000000000000007E-2</v>
      </c>
      <c r="G355" s="382">
        <v>5.9353599999999999E-2</v>
      </c>
      <c r="H355" s="399">
        <f t="shared" si="74"/>
        <v>6.13012E-2</v>
      </c>
      <c r="I355" s="399">
        <f t="shared" si="75"/>
        <v>9.5810597898375385E-2</v>
      </c>
      <c r="J355" s="382">
        <f t="shared" si="76"/>
        <v>3.1668307531351601E-4</v>
      </c>
      <c r="K355" s="382">
        <f t="shared" si="77"/>
        <v>3.034159479008421E-5</v>
      </c>
      <c r="M355" s="400"/>
      <c r="N355" s="398" t="s">
        <v>4266</v>
      </c>
      <c r="O355" s="398" t="s">
        <v>937</v>
      </c>
      <c r="P355" s="398" t="s">
        <v>460</v>
      </c>
      <c r="Q355" s="398">
        <v>16932129454.679998</v>
      </c>
      <c r="R355" s="398">
        <v>3.3483120175135386</v>
      </c>
      <c r="S355" s="398">
        <v>5.4550000000000001</v>
      </c>
      <c r="T355" s="398">
        <v>195.09309999999999</v>
      </c>
      <c r="U355" s="398">
        <v>86.79</v>
      </c>
      <c r="W355" s="401" t="s">
        <v>937</v>
      </c>
      <c r="X355" s="402" t="s">
        <v>460</v>
      </c>
      <c r="Y355" s="386">
        <f t="shared" si="78"/>
        <v>16932.129454679998</v>
      </c>
      <c r="Z355" s="387">
        <f t="shared" si="79"/>
        <v>3.3483120175135384E-2</v>
      </c>
      <c r="AA355" s="387">
        <f t="shared" si="80"/>
        <v>5.4550000000000001E-2</v>
      </c>
      <c r="AB355" s="403">
        <f t="shared" si="81"/>
        <v>8.8946372277912203E-2</v>
      </c>
      <c r="AC355" s="388">
        <f t="shared" si="82"/>
        <v>3.3434022399802865E-4</v>
      </c>
      <c r="AD355" s="389">
        <f t="shared" si="83"/>
        <v>2.9738350031209213E-5</v>
      </c>
    </row>
    <row r="356" spans="1:30" x14ac:dyDescent="0.55000000000000004">
      <c r="A356" t="str">
        <f t="shared" si="70"/>
        <v>ON Semiconductor Corp</v>
      </c>
      <c r="B356" t="str">
        <f t="shared" si="70"/>
        <v>ON</v>
      </c>
      <c r="C356" s="382" t="str">
        <f t="shared" si="71"/>
        <v>0.00%</v>
      </c>
      <c r="D356" s="383">
        <f t="shared" si="72"/>
        <v>22286.237904920003</v>
      </c>
      <c r="E356" s="384">
        <f t="shared" si="73"/>
        <v>-0.1033</v>
      </c>
      <c r="F356" s="385">
        <v>6.5000000000000002E-2</v>
      </c>
      <c r="G356" s="382">
        <v>3.9183799999999998E-2</v>
      </c>
      <c r="H356" s="399">
        <f t="shared" si="74"/>
        <v>2.9459999999999903E-4</v>
      </c>
      <c r="I356" s="399">
        <f t="shared" si="75"/>
        <v>2.9459999999999903E-4</v>
      </c>
      <c r="J356" s="382">
        <f t="shared" si="76"/>
        <v>4.1682142673129591E-4</v>
      </c>
      <c r="K356" s="382">
        <f t="shared" si="77"/>
        <v>1.2279559231503938E-7</v>
      </c>
      <c r="M356" s="400"/>
      <c r="N356" s="398" t="s">
        <v>4267</v>
      </c>
      <c r="O356" s="398" t="s">
        <v>938</v>
      </c>
      <c r="P356" s="398" t="s">
        <v>461</v>
      </c>
      <c r="Q356" s="398">
        <v>22286237904.920002</v>
      </c>
      <c r="R356" s="398" t="s">
        <v>3929</v>
      </c>
      <c r="S356" s="398">
        <v>-10.33</v>
      </c>
      <c r="T356" s="398">
        <v>425.79739999999998</v>
      </c>
      <c r="U356" s="398">
        <v>52.34</v>
      </c>
      <c r="W356" s="401" t="s">
        <v>938</v>
      </c>
      <c r="X356" s="402" t="s">
        <v>461</v>
      </c>
      <c r="Y356" s="386">
        <f t="shared" si="78"/>
        <v>22286.237904920003</v>
      </c>
      <c r="Z356" s="387" t="str">
        <f t="shared" si="79"/>
        <v>0.00%</v>
      </c>
      <c r="AA356" s="387">
        <f t="shared" si="80"/>
        <v>-0.1033</v>
      </c>
      <c r="AB356" s="403">
        <f t="shared" si="81"/>
        <v>-0.1033</v>
      </c>
      <c r="AC356" s="388">
        <f t="shared" si="82"/>
        <v>4.4006194218795212E-4</v>
      </c>
      <c r="AD356" s="389">
        <f t="shared" si="83"/>
        <v>-4.5458398628015455E-5</v>
      </c>
    </row>
    <row r="357" spans="1:30" x14ac:dyDescent="0.55000000000000004">
      <c r="A357" t="str">
        <f t="shared" si="70"/>
        <v>Oracle Corp</v>
      </c>
      <c r="B357" t="str">
        <f t="shared" si="70"/>
        <v>ORCL</v>
      </c>
      <c r="C357" s="382">
        <f t="shared" si="71"/>
        <v>9.4378454663060097E-3</v>
      </c>
      <c r="D357" s="383">
        <f t="shared" si="72"/>
        <v>475650.33736</v>
      </c>
      <c r="E357" s="384">
        <f t="shared" si="73"/>
        <v>0.10490000000000001</v>
      </c>
      <c r="F357" s="385">
        <v>0.125</v>
      </c>
      <c r="G357" s="382">
        <v>0.11156919999999999</v>
      </c>
      <c r="H357" s="399">
        <f t="shared" si="74"/>
        <v>0.11382306666666665</v>
      </c>
      <c r="I357" s="399">
        <f t="shared" si="75"/>
        <v>0.12379803438982319</v>
      </c>
      <c r="J357" s="382">
        <f t="shared" si="76"/>
        <v>8.8961292206186336E-3</v>
      </c>
      <c r="K357" s="382">
        <f t="shared" si="77"/>
        <v>1.1013233111904566E-3</v>
      </c>
      <c r="M357" s="400"/>
      <c r="N357" s="398" t="s">
        <v>4268</v>
      </c>
      <c r="O357" s="398" t="s">
        <v>939</v>
      </c>
      <c r="P357" s="398" t="s">
        <v>462</v>
      </c>
      <c r="Q357" s="398">
        <v>475650337360</v>
      </c>
      <c r="R357" s="398">
        <v>0.94378454663060096</v>
      </c>
      <c r="S357" s="398">
        <v>10.49</v>
      </c>
      <c r="T357" s="398">
        <v>2796.9559999999997</v>
      </c>
      <c r="U357" s="398">
        <v>170.06</v>
      </c>
      <c r="W357" s="401" t="s">
        <v>939</v>
      </c>
      <c r="X357" s="402" t="s">
        <v>462</v>
      </c>
      <c r="Y357" s="386">
        <f t="shared" si="78"/>
        <v>475650.33736</v>
      </c>
      <c r="Z357" s="387">
        <f t="shared" si="79"/>
        <v>9.4378454663060097E-3</v>
      </c>
      <c r="AA357" s="387">
        <f t="shared" si="80"/>
        <v>0.10490000000000001</v>
      </c>
      <c r="AB357" s="403">
        <f t="shared" si="81"/>
        <v>0.11483286046101376</v>
      </c>
      <c r="AC357" s="388">
        <f t="shared" si="82"/>
        <v>9.3921464965958587E-3</v>
      </c>
      <c r="AD357" s="389">
        <f t="shared" si="83"/>
        <v>1.0785270480729915E-3</v>
      </c>
    </row>
    <row r="358" spans="1:30" x14ac:dyDescent="0.55000000000000004">
      <c r="A358" t="str">
        <f t="shared" si="70"/>
        <v>O'Reilly Automotive Inc</v>
      </c>
      <c r="B358" t="str">
        <f t="shared" si="70"/>
        <v>ORLY</v>
      </c>
      <c r="C358" s="382">
        <f t="shared" si="71"/>
        <v>0</v>
      </c>
      <c r="D358" s="383">
        <f t="shared" si="72"/>
        <v>74727.763633059993</v>
      </c>
      <c r="E358" s="384">
        <f t="shared" si="73"/>
        <v>9.1050000000000006E-2</v>
      </c>
      <c r="F358" s="385">
        <v>0.105</v>
      </c>
      <c r="G358" s="382">
        <v>0.11921749999999999</v>
      </c>
      <c r="H358" s="399">
        <f t="shared" si="74"/>
        <v>0.10508916666666666</v>
      </c>
      <c r="I358" s="399">
        <f t="shared" si="75"/>
        <v>0.10508916666666666</v>
      </c>
      <c r="J358" s="382">
        <f t="shared" si="76"/>
        <v>1.3976397984648062E-3</v>
      </c>
      <c r="K358" s="382">
        <f t="shared" si="77"/>
        <v>1.4687680172083444E-4</v>
      </c>
      <c r="M358" s="400"/>
      <c r="N358" s="398" t="s">
        <v>4269</v>
      </c>
      <c r="O358" s="398" t="s">
        <v>940</v>
      </c>
      <c r="P358" s="398" t="s">
        <v>463</v>
      </c>
      <c r="Q358" s="398">
        <v>74727763633.059998</v>
      </c>
      <c r="R358" s="398">
        <v>0</v>
      </c>
      <c r="S358" s="398">
        <v>9.1050000000000004</v>
      </c>
      <c r="T358" s="398">
        <v>57.730689999999996</v>
      </c>
      <c r="U358" s="398">
        <v>1294.42</v>
      </c>
      <c r="W358" s="401" t="s">
        <v>940</v>
      </c>
      <c r="X358" s="402" t="s">
        <v>463</v>
      </c>
      <c r="Y358" s="386">
        <f t="shared" si="78"/>
        <v>74727.763633059993</v>
      </c>
      <c r="Z358" s="387">
        <f t="shared" si="79"/>
        <v>0</v>
      </c>
      <c r="AA358" s="387">
        <f t="shared" si="80"/>
        <v>9.1050000000000006E-2</v>
      </c>
      <c r="AB358" s="403">
        <f t="shared" si="81"/>
        <v>9.1050000000000006E-2</v>
      </c>
      <c r="AC358" s="388">
        <f t="shared" si="82"/>
        <v>1.4755673407070111E-3</v>
      </c>
      <c r="AD358" s="389">
        <f t="shared" si="83"/>
        <v>1.3435040637137336E-4</v>
      </c>
    </row>
    <row r="359" spans="1:30" x14ac:dyDescent="0.55000000000000004">
      <c r="A359" t="str">
        <f t="shared" si="70"/>
        <v>Otis Worldwide Corp</v>
      </c>
      <c r="B359" t="str">
        <f t="shared" si="70"/>
        <v>OTIS</v>
      </c>
      <c r="C359" s="382">
        <f t="shared" si="71"/>
        <v>1.7260532383148185E-2</v>
      </c>
      <c r="D359" s="383">
        <f t="shared" si="72"/>
        <v>38116.523200079995</v>
      </c>
      <c r="E359" s="384">
        <f t="shared" si="73"/>
        <v>0.1</v>
      </c>
      <c r="F359" s="385">
        <v>0.105</v>
      </c>
      <c r="G359" s="382">
        <v>0.1</v>
      </c>
      <c r="H359" s="399">
        <f t="shared" si="74"/>
        <v>0.10166666666666668</v>
      </c>
      <c r="I359" s="399">
        <f t="shared" si="75"/>
        <v>0.11980460944595824</v>
      </c>
      <c r="J359" s="382">
        <f t="shared" si="76"/>
        <v>7.1289661584319857E-4</v>
      </c>
      <c r="K359" s="382">
        <f t="shared" si="77"/>
        <v>8.5408300636439726E-5</v>
      </c>
      <c r="M359" s="400"/>
      <c r="N359" s="398" t="s">
        <v>4270</v>
      </c>
      <c r="O359" s="398" t="s">
        <v>941</v>
      </c>
      <c r="P359" s="398" t="s">
        <v>464</v>
      </c>
      <c r="Q359" s="398">
        <v>38116523200.079994</v>
      </c>
      <c r="R359" s="398">
        <v>1.7260532383148186</v>
      </c>
      <c r="S359" s="398">
        <v>10</v>
      </c>
      <c r="T359" s="398">
        <v>399.46049999999997</v>
      </c>
      <c r="U359" s="398">
        <v>95.42</v>
      </c>
      <c r="W359" s="401" t="s">
        <v>941</v>
      </c>
      <c r="X359" s="402" t="s">
        <v>464</v>
      </c>
      <c r="Y359" s="386">
        <f t="shared" si="78"/>
        <v>38116.523200079995</v>
      </c>
      <c r="Z359" s="387">
        <f t="shared" si="79"/>
        <v>1.7260532383148185E-2</v>
      </c>
      <c r="AA359" s="387">
        <f t="shared" si="80"/>
        <v>0.1</v>
      </c>
      <c r="AB359" s="403">
        <f t="shared" si="81"/>
        <v>0.1181235590023056</v>
      </c>
      <c r="AC359" s="388">
        <f t="shared" si="82"/>
        <v>7.5264525580498811E-4</v>
      </c>
      <c r="AD359" s="389">
        <f t="shared" si="83"/>
        <v>8.8905136281885913E-5</v>
      </c>
    </row>
    <row r="360" spans="1:30" x14ac:dyDescent="0.55000000000000004">
      <c r="A360" t="str">
        <f t="shared" si="70"/>
        <v>Occidental Petroleum Corp</v>
      </c>
      <c r="B360" t="str">
        <f t="shared" si="70"/>
        <v>OXY</v>
      </c>
      <c r="C360" s="382">
        <f t="shared" si="71"/>
        <v>1.8306538049303319E-2</v>
      </c>
      <c r="D360" s="383">
        <f t="shared" si="72"/>
        <v>43773.702909299995</v>
      </c>
      <c r="E360" s="384">
        <f t="shared" si="73"/>
        <v>0.12</v>
      </c>
      <c r="F360" s="385">
        <v>0.06</v>
      </c>
      <c r="G360" s="382" t="s">
        <v>14</v>
      </c>
      <c r="H360" s="399">
        <f t="shared" si="74"/>
        <v>0.09</v>
      </c>
      <c r="I360" s="399">
        <f t="shared" si="75"/>
        <v>0.10913033226152197</v>
      </c>
      <c r="J360" s="382">
        <f t="shared" si="76"/>
        <v>8.1870333511688308E-4</v>
      </c>
      <c r="K360" s="382">
        <f t="shared" si="77"/>
        <v>8.9345366984921611E-5</v>
      </c>
      <c r="M360" s="400"/>
      <c r="N360" s="398" t="s">
        <v>4271</v>
      </c>
      <c r="O360" s="398" t="s">
        <v>942</v>
      </c>
      <c r="P360" s="398" t="s">
        <v>465</v>
      </c>
      <c r="Q360" s="398">
        <v>43773702909.299995</v>
      </c>
      <c r="R360" s="398">
        <v>1.830653804930332</v>
      </c>
      <c r="S360" s="398">
        <v>12</v>
      </c>
      <c r="T360" s="398">
        <v>938.34299999999996</v>
      </c>
      <c r="U360" s="398">
        <v>46.65</v>
      </c>
      <c r="W360" s="401" t="s">
        <v>942</v>
      </c>
      <c r="X360" s="402" t="s">
        <v>465</v>
      </c>
      <c r="Y360" s="386">
        <f t="shared" si="78"/>
        <v>43773.702909299995</v>
      </c>
      <c r="Z360" s="387">
        <f t="shared" si="79"/>
        <v>1.8306538049303319E-2</v>
      </c>
      <c r="AA360" s="387">
        <f t="shared" si="80"/>
        <v>0.12</v>
      </c>
      <c r="AB360" s="403">
        <f t="shared" si="81"/>
        <v>0.13940493033226151</v>
      </c>
      <c r="AC360" s="388">
        <f t="shared" si="82"/>
        <v>8.6435139036061153E-4</v>
      </c>
      <c r="AD360" s="389">
        <f t="shared" si="83"/>
        <v>1.2049484535581442E-4</v>
      </c>
    </row>
    <row r="361" spans="1:30" x14ac:dyDescent="0.55000000000000004">
      <c r="A361" t="str">
        <f t="shared" si="70"/>
        <v>Palo Alto Networks Inc</v>
      </c>
      <c r="B361" t="str">
        <f t="shared" si="70"/>
        <v>PANW</v>
      </c>
      <c r="C361" s="382">
        <f t="shared" si="71"/>
        <v>0</v>
      </c>
      <c r="D361" s="383">
        <f t="shared" si="72"/>
        <v>121016.40399999999</v>
      </c>
      <c r="E361" s="384">
        <f t="shared" si="73"/>
        <v>0.13375000000000001</v>
      </c>
      <c r="F361" s="385">
        <v>0.36</v>
      </c>
      <c r="G361" s="382">
        <v>0.22261500000000001</v>
      </c>
      <c r="H361" s="399">
        <f t="shared" si="74"/>
        <v>0.23878833333333335</v>
      </c>
      <c r="I361" s="399">
        <f t="shared" si="75"/>
        <v>0.23878833333333335</v>
      </c>
      <c r="J361" s="382">
        <f t="shared" si="76"/>
        <v>2.2633802254275973E-3</v>
      </c>
      <c r="K361" s="382">
        <f t="shared" si="77"/>
        <v>5.4046879172948026E-4</v>
      </c>
      <c r="M361" s="400"/>
      <c r="N361" s="398" t="s">
        <v>4272</v>
      </c>
      <c r="O361" s="398" t="s">
        <v>943</v>
      </c>
      <c r="P361" s="398" t="s">
        <v>466</v>
      </c>
      <c r="Q361" s="398">
        <v>121016404000</v>
      </c>
      <c r="R361" s="398">
        <v>0</v>
      </c>
      <c r="S361" s="398">
        <v>13.375</v>
      </c>
      <c r="T361" s="398">
        <v>656.19999999999993</v>
      </c>
      <c r="U361" s="398">
        <v>184.42</v>
      </c>
      <c r="W361" s="401" t="s">
        <v>943</v>
      </c>
      <c r="X361" s="402" t="s">
        <v>466</v>
      </c>
      <c r="Y361" s="386">
        <f t="shared" si="78"/>
        <v>121016.40399999999</v>
      </c>
      <c r="Z361" s="387">
        <f t="shared" si="79"/>
        <v>0</v>
      </c>
      <c r="AA361" s="387">
        <f t="shared" si="80"/>
        <v>0.13375000000000001</v>
      </c>
      <c r="AB361" s="403">
        <f t="shared" si="81"/>
        <v>0.13375000000000001</v>
      </c>
      <c r="AC361" s="388">
        <f t="shared" si="82"/>
        <v>2.3895784478314809E-3</v>
      </c>
      <c r="AD361" s="389">
        <f t="shared" si="83"/>
        <v>3.1960611739746057E-4</v>
      </c>
    </row>
    <row r="362" spans="1:30" x14ac:dyDescent="0.55000000000000004">
      <c r="A362" t="str">
        <f t="shared" si="70"/>
        <v>Paramount Global</v>
      </c>
      <c r="B362" t="str">
        <f t="shared" si="70"/>
        <v>PARA</v>
      </c>
      <c r="C362" s="382">
        <f t="shared" si="71"/>
        <v>1.8474264705882353E-2</v>
      </c>
      <c r="D362" s="383">
        <f t="shared" si="72"/>
        <v>7742.2729230700024</v>
      </c>
      <c r="E362" s="384">
        <f t="shared" si="73"/>
        <v>0.45</v>
      </c>
      <c r="F362" s="385">
        <v>0.03</v>
      </c>
      <c r="G362" s="382">
        <v>0.39049999999999996</v>
      </c>
      <c r="H362" s="399">
        <f t="shared" si="74"/>
        <v>0.29016666666666663</v>
      </c>
      <c r="I362" s="399">
        <f t="shared" si="75"/>
        <v>0.31132123927696076</v>
      </c>
      <c r="J362" s="382">
        <f t="shared" si="76"/>
        <v>1.4480439721163891E-4</v>
      </c>
      <c r="K362" s="382">
        <f t="shared" si="77"/>
        <v>4.5080684392680707E-5</v>
      </c>
      <c r="M362" s="400"/>
      <c r="N362" s="398" t="s">
        <v>4273</v>
      </c>
      <c r="O362" s="398" t="s">
        <v>467</v>
      </c>
      <c r="P362" s="398" t="s">
        <v>468</v>
      </c>
      <c r="Q362" s="398">
        <v>7742272923.0700026</v>
      </c>
      <c r="R362" s="398">
        <v>1.8474264705882353</v>
      </c>
      <c r="S362" s="398">
        <v>45</v>
      </c>
      <c r="T362" s="398">
        <v>626.27249999999992</v>
      </c>
      <c r="U362" s="398">
        <v>10.88</v>
      </c>
      <c r="W362" s="401" t="s">
        <v>467</v>
      </c>
      <c r="X362" s="402" t="s">
        <v>468</v>
      </c>
      <c r="Y362" s="386">
        <f t="shared" si="78"/>
        <v>7742.2729230700024</v>
      </c>
      <c r="Z362" s="387">
        <f t="shared" si="79"/>
        <v>1.8474264705882353E-2</v>
      </c>
      <c r="AA362" s="387">
        <f t="shared" si="80"/>
        <v>0.45</v>
      </c>
      <c r="AB362" s="403">
        <f t="shared" si="81"/>
        <v>0.47263097426470591</v>
      </c>
      <c r="AC362" s="388">
        <f t="shared" si="82"/>
        <v>1.5287818760667619E-4</v>
      </c>
      <c r="AD362" s="389">
        <f t="shared" si="83"/>
        <v>7.2254966752365854E-5</v>
      </c>
    </row>
    <row r="363" spans="1:30" x14ac:dyDescent="0.55000000000000004">
      <c r="A363" t="str">
        <f t="shared" si="70"/>
        <v>Paycom Software Inc</v>
      </c>
      <c r="B363" t="str">
        <f t="shared" si="70"/>
        <v>PAYC</v>
      </c>
      <c r="C363" s="382">
        <f t="shared" si="71"/>
        <v>4.5962613220273656E-3</v>
      </c>
      <c r="D363" s="383">
        <f t="shared" si="72"/>
        <v>11968.33364508</v>
      </c>
      <c r="E363" s="384">
        <f t="shared" si="73"/>
        <v>0.1023</v>
      </c>
      <c r="F363" s="385">
        <v>0.14000000000000001</v>
      </c>
      <c r="G363" s="382">
        <v>0.10181889999999999</v>
      </c>
      <c r="H363" s="399">
        <f t="shared" si="74"/>
        <v>0.1147063</v>
      </c>
      <c r="I363" s="399">
        <f t="shared" si="75"/>
        <v>0.11956617138706879</v>
      </c>
      <c r="J363" s="382">
        <f t="shared" si="76"/>
        <v>2.238447748256829E-4</v>
      </c>
      <c r="K363" s="382">
        <f t="shared" si="77"/>
        <v>2.6764262710907424E-5</v>
      </c>
      <c r="M363" s="400"/>
      <c r="N363" s="398" t="s">
        <v>4274</v>
      </c>
      <c r="O363" s="398" t="s">
        <v>944</v>
      </c>
      <c r="P363" s="398" t="s">
        <v>469</v>
      </c>
      <c r="Q363" s="398">
        <v>11968333645.08</v>
      </c>
      <c r="R363" s="398">
        <v>0.45962613220273657</v>
      </c>
      <c r="S363" s="398">
        <v>10.23</v>
      </c>
      <c r="T363" s="398">
        <v>57.662039999999998</v>
      </c>
      <c r="U363" s="398">
        <v>207.56</v>
      </c>
      <c r="W363" s="401" t="s">
        <v>944</v>
      </c>
      <c r="X363" s="402" t="s">
        <v>469</v>
      </c>
      <c r="Y363" s="386">
        <f t="shared" si="78"/>
        <v>11968.33364508</v>
      </c>
      <c r="Z363" s="387">
        <f t="shared" si="79"/>
        <v>4.5962613220273656E-3</v>
      </c>
      <c r="AA363" s="387">
        <f t="shared" si="80"/>
        <v>0.1023</v>
      </c>
      <c r="AB363" s="403">
        <f t="shared" si="81"/>
        <v>0.10713136008864907</v>
      </c>
      <c r="AC363" s="388">
        <f t="shared" si="82"/>
        <v>2.363255822304847E-4</v>
      </c>
      <c r="AD363" s="389">
        <f t="shared" si="83"/>
        <v>2.5317881048093702E-5</v>
      </c>
    </row>
    <row r="364" spans="1:30" x14ac:dyDescent="0.55000000000000004">
      <c r="A364" t="str">
        <f t="shared" si="70"/>
        <v>Paychex Inc</v>
      </c>
      <c r="B364" t="str">
        <f t="shared" si="70"/>
        <v>PAYX</v>
      </c>
      <c r="C364" s="382">
        <f t="shared" si="71"/>
        <v>2.6559219882169704E-2</v>
      </c>
      <c r="D364" s="383">
        <f t="shared" si="72"/>
        <v>53170.514137579994</v>
      </c>
      <c r="E364" s="384">
        <f t="shared" si="73"/>
        <v>7.1099999999999997E-2</v>
      </c>
      <c r="F364" s="385">
        <v>0.08</v>
      </c>
      <c r="G364" s="382">
        <v>7.0153400000000005E-2</v>
      </c>
      <c r="H364" s="399">
        <f t="shared" si="74"/>
        <v>7.3751133333333344E-2</v>
      </c>
      <c r="I364" s="399">
        <f t="shared" si="75"/>
        <v>0.10128973949888265</v>
      </c>
      <c r="J364" s="382">
        <f t="shared" si="76"/>
        <v>9.9445270473263341E-4</v>
      </c>
      <c r="K364" s="382">
        <f t="shared" si="77"/>
        <v>1.0072785540632771E-4</v>
      </c>
      <c r="M364" s="400"/>
      <c r="N364" s="398" t="s">
        <v>4275</v>
      </c>
      <c r="O364" s="398" t="s">
        <v>945</v>
      </c>
      <c r="P364" s="398" t="s">
        <v>470</v>
      </c>
      <c r="Q364" s="398">
        <v>53170514137.579994</v>
      </c>
      <c r="R364" s="398">
        <v>2.6559219882169702</v>
      </c>
      <c r="S364" s="398">
        <v>7.11</v>
      </c>
      <c r="T364" s="398">
        <v>360.06309999999996</v>
      </c>
      <c r="U364" s="398">
        <v>147.66999999999999</v>
      </c>
      <c r="W364" s="401" t="s">
        <v>945</v>
      </c>
      <c r="X364" s="402" t="s">
        <v>470</v>
      </c>
      <c r="Y364" s="386">
        <f t="shared" si="78"/>
        <v>53170.514137579994</v>
      </c>
      <c r="Z364" s="387">
        <f t="shared" si="79"/>
        <v>2.6559219882169704E-2</v>
      </c>
      <c r="AA364" s="387">
        <f t="shared" si="80"/>
        <v>7.1099999999999997E-2</v>
      </c>
      <c r="AB364" s="403">
        <f t="shared" si="81"/>
        <v>9.8603400148980835E-2</v>
      </c>
      <c r="AC364" s="388">
        <f t="shared" si="82"/>
        <v>1.0498999345847379E-3</v>
      </c>
      <c r="AD364" s="389">
        <f t="shared" si="83"/>
        <v>1.0352370336624771E-4</v>
      </c>
    </row>
    <row r="365" spans="1:30" x14ac:dyDescent="0.55000000000000004">
      <c r="A365" t="str">
        <f t="shared" si="70"/>
        <v>PACCAR Inc</v>
      </c>
      <c r="B365" t="str">
        <f t="shared" si="70"/>
        <v>PCAR</v>
      </c>
      <c r="C365" s="382">
        <f t="shared" si="71"/>
        <v>3.2106782106782111E-2</v>
      </c>
      <c r="D365" s="383">
        <f t="shared" si="72"/>
        <v>58134.44542751999</v>
      </c>
      <c r="E365" s="384">
        <f t="shared" si="73"/>
        <v>-2.8199999999999999E-2</v>
      </c>
      <c r="F365" s="385">
        <v>7.4999999999999997E-2</v>
      </c>
      <c r="G365" s="382">
        <v>3.9284000000000003E-3</v>
      </c>
      <c r="H365" s="399">
        <f t="shared" si="74"/>
        <v>1.6909466666666664E-2</v>
      </c>
      <c r="I365" s="399">
        <f t="shared" si="75"/>
        <v>4.9287703054353059E-2</v>
      </c>
      <c r="J365" s="382">
        <f t="shared" si="76"/>
        <v>1.0872935391209324E-3</v>
      </c>
      <c r="K365" s="382">
        <f t="shared" si="77"/>
        <v>5.3590201089109123E-5</v>
      </c>
      <c r="M365" s="400"/>
      <c r="N365" s="398" t="s">
        <v>4276</v>
      </c>
      <c r="O365" s="398" t="s">
        <v>471</v>
      </c>
      <c r="P365" s="398" t="s">
        <v>472</v>
      </c>
      <c r="Q365" s="398">
        <v>58134445427.519989</v>
      </c>
      <c r="R365" s="398">
        <v>3.210678210678211</v>
      </c>
      <c r="S365" s="398">
        <v>-2.82</v>
      </c>
      <c r="T365" s="398">
        <v>524.30060000000003</v>
      </c>
      <c r="U365" s="398">
        <v>110.88</v>
      </c>
      <c r="W365" s="401" t="s">
        <v>471</v>
      </c>
      <c r="X365" s="402" t="s">
        <v>472</v>
      </c>
      <c r="Y365" s="386">
        <f t="shared" si="78"/>
        <v>58134.44542751999</v>
      </c>
      <c r="Z365" s="387">
        <f t="shared" si="79"/>
        <v>3.2106782106782111E-2</v>
      </c>
      <c r="AA365" s="387">
        <f t="shared" si="80"/>
        <v>-2.8199999999999999E-2</v>
      </c>
      <c r="AB365" s="403">
        <f t="shared" si="81"/>
        <v>3.4540764790764837E-3</v>
      </c>
      <c r="AC365" s="388">
        <f t="shared" si="82"/>
        <v>1.1479172515342397E-3</v>
      </c>
      <c r="AD365" s="389">
        <f t="shared" si="83"/>
        <v>3.9649939784505412E-6</v>
      </c>
    </row>
    <row r="366" spans="1:30" x14ac:dyDescent="0.55000000000000004">
      <c r="A366" t="str">
        <f t="shared" si="70"/>
        <v>PG&amp;E Corp</v>
      </c>
      <c r="B366" t="str">
        <f t="shared" si="70"/>
        <v>PCG</v>
      </c>
      <c r="C366" s="382">
        <f t="shared" si="71"/>
        <v>2.8115015974440887E-3</v>
      </c>
      <c r="D366" s="383">
        <f t="shared" si="72"/>
        <v>34214.134150749996</v>
      </c>
      <c r="E366" s="384">
        <f t="shared" si="73"/>
        <v>9.8049999999999998E-2</v>
      </c>
      <c r="F366" s="385">
        <v>0.1</v>
      </c>
      <c r="G366" s="382">
        <v>9.4516699999999995E-2</v>
      </c>
      <c r="H366" s="399">
        <f t="shared" si="74"/>
        <v>9.7522233333333333E-2</v>
      </c>
      <c r="I366" s="399">
        <f t="shared" si="75"/>
        <v>0.10047082688817892</v>
      </c>
      <c r="J366" s="382">
        <f t="shared" si="76"/>
        <v>6.3990989739650989E-4</v>
      </c>
      <c r="K366" s="382">
        <f t="shared" si="77"/>
        <v>6.4292276525357083E-5</v>
      </c>
      <c r="M366" s="400"/>
      <c r="N366" s="398" t="s">
        <v>4277</v>
      </c>
      <c r="O366" s="398" t="s">
        <v>946</v>
      </c>
      <c r="P366" s="398" t="s">
        <v>54</v>
      </c>
      <c r="Q366" s="398">
        <v>34214134150.749996</v>
      </c>
      <c r="R366" s="398">
        <v>0.28115015974440888</v>
      </c>
      <c r="S366" s="398">
        <v>9.8049999999999997</v>
      </c>
      <c r="T366" s="398">
        <v>2186.2069999999999</v>
      </c>
      <c r="U366" s="398">
        <v>15.65</v>
      </c>
      <c r="W366" s="401" t="s">
        <v>946</v>
      </c>
      <c r="X366" s="402" t="s">
        <v>54</v>
      </c>
      <c r="Y366" s="386">
        <f t="shared" si="78"/>
        <v>34214.134150749996</v>
      </c>
      <c r="Z366" s="387">
        <f t="shared" si="79"/>
        <v>2.8115015974440887E-3</v>
      </c>
      <c r="AA366" s="387">
        <f t="shared" si="80"/>
        <v>9.8049999999999998E-2</v>
      </c>
      <c r="AB366" s="403">
        <f t="shared" si="81"/>
        <v>0.10099933546325879</v>
      </c>
      <c r="AC366" s="388">
        <f t="shared" si="82"/>
        <v>6.7558905136403855E-4</v>
      </c>
      <c r="AD366" s="389">
        <f t="shared" si="83"/>
        <v>6.8234045234021306E-5</v>
      </c>
    </row>
    <row r="367" spans="1:30" x14ac:dyDescent="0.55000000000000004">
      <c r="A367" t="str">
        <f t="shared" si="70"/>
        <v>Public Service Enterprise Group Inc</v>
      </c>
      <c r="B367" t="str">
        <f t="shared" si="70"/>
        <v>PEG</v>
      </c>
      <c r="C367" s="382">
        <f t="shared" si="71"/>
        <v>2.8728752693320564E-2</v>
      </c>
      <c r="D367" s="383">
        <f t="shared" si="72"/>
        <v>41621.751670340003</v>
      </c>
      <c r="E367" s="384">
        <f t="shared" si="73"/>
        <v>6.7430000000000004E-2</v>
      </c>
      <c r="F367" s="385">
        <v>6.5000000000000002E-2</v>
      </c>
      <c r="G367" s="382">
        <v>7.1682200000000001E-2</v>
      </c>
      <c r="H367" s="399">
        <f t="shared" si="74"/>
        <v>6.8037399999999998E-2</v>
      </c>
      <c r="I367" s="399">
        <f t="shared" si="75"/>
        <v>9.7743467512568821E-2</v>
      </c>
      <c r="J367" s="382">
        <f t="shared" si="76"/>
        <v>7.7845520577776912E-4</v>
      </c>
      <c r="K367" s="382">
        <f t="shared" si="77"/>
        <v>7.6088911115929455E-5</v>
      </c>
      <c r="M367" s="400"/>
      <c r="N367" s="398" t="s">
        <v>4278</v>
      </c>
      <c r="O367" s="398" t="s">
        <v>947</v>
      </c>
      <c r="P367" s="398" t="s">
        <v>55</v>
      </c>
      <c r="Q367" s="398">
        <v>41621751670.340004</v>
      </c>
      <c r="R367" s="398">
        <v>2.8728752693320563</v>
      </c>
      <c r="S367" s="398">
        <v>6.7430000000000003</v>
      </c>
      <c r="T367" s="398">
        <v>498.22539999999998</v>
      </c>
      <c r="U367" s="398">
        <v>83.54</v>
      </c>
      <c r="W367" s="401" t="s">
        <v>947</v>
      </c>
      <c r="X367" s="402" t="s">
        <v>55</v>
      </c>
      <c r="Y367" s="386">
        <f t="shared" si="78"/>
        <v>41621.751670340003</v>
      </c>
      <c r="Z367" s="387">
        <f t="shared" si="79"/>
        <v>2.8728752693320564E-2</v>
      </c>
      <c r="AA367" s="387">
        <f t="shared" si="80"/>
        <v>6.7430000000000004E-2</v>
      </c>
      <c r="AB367" s="403">
        <f t="shared" si="81"/>
        <v>9.7127342590375865E-2</v>
      </c>
      <c r="AC367" s="388">
        <f t="shared" si="82"/>
        <v>8.2185916508011937E-4</v>
      </c>
      <c r="AD367" s="389">
        <f t="shared" si="83"/>
        <v>7.9824996687777029E-5</v>
      </c>
    </row>
    <row r="368" spans="1:30" x14ac:dyDescent="0.55000000000000004">
      <c r="A368" t="str">
        <f t="shared" si="70"/>
        <v>PepsiCo Inc</v>
      </c>
      <c r="B368" t="str">
        <f t="shared" si="70"/>
        <v>PEP</v>
      </c>
      <c r="C368" s="382">
        <f t="shared" si="71"/>
        <v>3.5198088791558828E-2</v>
      </c>
      <c r="D368" s="383">
        <f t="shared" si="72"/>
        <v>206745.02617724997</v>
      </c>
      <c r="E368" s="384">
        <f t="shared" si="73"/>
        <v>6.055E-2</v>
      </c>
      <c r="F368" s="385">
        <v>7.4999999999999997E-2</v>
      </c>
      <c r="G368" s="382">
        <v>5.2963799999999998E-2</v>
      </c>
      <c r="H368" s="399">
        <f t="shared" si="74"/>
        <v>6.2837933333333332E-2</v>
      </c>
      <c r="I368" s="399">
        <f t="shared" si="75"/>
        <v>9.914190970336452E-2</v>
      </c>
      <c r="J368" s="382">
        <f t="shared" si="76"/>
        <v>3.8667700285913188E-3</v>
      </c>
      <c r="K368" s="382">
        <f t="shared" si="77"/>
        <v>3.8335896501827675E-4</v>
      </c>
      <c r="M368" s="400"/>
      <c r="N368" s="398" t="s">
        <v>4279</v>
      </c>
      <c r="O368" s="398" t="s">
        <v>948</v>
      </c>
      <c r="P368" s="398" t="s">
        <v>474</v>
      </c>
      <c r="Q368" s="398">
        <v>206745026177.24997</v>
      </c>
      <c r="R368" s="398">
        <v>3.519808879155883</v>
      </c>
      <c r="S368" s="398">
        <v>6.0549999999999997</v>
      </c>
      <c r="T368" s="398">
        <v>1371.989</v>
      </c>
      <c r="U368" s="398">
        <v>150.69</v>
      </c>
      <c r="W368" s="401" t="s">
        <v>948</v>
      </c>
      <c r="X368" s="402" t="s">
        <v>474</v>
      </c>
      <c r="Y368" s="386">
        <f t="shared" si="78"/>
        <v>206745.02617724997</v>
      </c>
      <c r="Z368" s="387">
        <f t="shared" si="79"/>
        <v>3.5198088791558828E-2</v>
      </c>
      <c r="AA368" s="387">
        <f t="shared" si="80"/>
        <v>6.055E-2</v>
      </c>
      <c r="AB368" s="403">
        <f t="shared" si="81"/>
        <v>9.6813710929723268E-2</v>
      </c>
      <c r="AC368" s="388">
        <f t="shared" si="82"/>
        <v>4.0823676990890583E-3</v>
      </c>
      <c r="AD368" s="389">
        <f t="shared" si="83"/>
        <v>3.9522916632844758E-4</v>
      </c>
    </row>
    <row r="369" spans="1:30" x14ac:dyDescent="0.55000000000000004">
      <c r="A369" t="str">
        <f t="shared" si="70"/>
        <v>Pfizer Inc</v>
      </c>
      <c r="B369" t="str">
        <f t="shared" si="70"/>
        <v>PFE</v>
      </c>
      <c r="C369" s="382">
        <f t="shared" si="71"/>
        <v>6.3273001508295623E-2</v>
      </c>
      <c r="D369" s="383">
        <f t="shared" si="72"/>
        <v>150288.5757282</v>
      </c>
      <c r="E369" s="384">
        <f t="shared" si="73"/>
        <v>0.1128</v>
      </c>
      <c r="F369" s="385">
        <v>2.5000000000000001E-2</v>
      </c>
      <c r="G369" s="382">
        <v>5.9271799999999999E-2</v>
      </c>
      <c r="H369" s="399">
        <f t="shared" si="74"/>
        <v>6.5690600000000002E-2</v>
      </c>
      <c r="I369" s="399">
        <f t="shared" si="75"/>
        <v>0.13104182222473604</v>
      </c>
      <c r="J369" s="382">
        <f t="shared" si="76"/>
        <v>2.8108601740544684E-3</v>
      </c>
      <c r="K369" s="382">
        <f t="shared" si="77"/>
        <v>3.6834023922703623E-4</v>
      </c>
      <c r="M369" s="400"/>
      <c r="N369" s="398" t="s">
        <v>4280</v>
      </c>
      <c r="O369" s="398" t="s">
        <v>949</v>
      </c>
      <c r="P369" s="398" t="s">
        <v>475</v>
      </c>
      <c r="Q369" s="398">
        <v>150288575728.20001</v>
      </c>
      <c r="R369" s="398">
        <v>6.3273001508295623</v>
      </c>
      <c r="S369" s="398">
        <v>11.28</v>
      </c>
      <c r="T369" s="398">
        <v>5666.99</v>
      </c>
      <c r="U369" s="398">
        <v>26.52</v>
      </c>
      <c r="W369" s="401" t="s">
        <v>949</v>
      </c>
      <c r="X369" s="402" t="s">
        <v>475</v>
      </c>
      <c r="Y369" s="386">
        <f t="shared" si="78"/>
        <v>150288.5757282</v>
      </c>
      <c r="Z369" s="387">
        <f t="shared" si="79"/>
        <v>6.3273001508295623E-2</v>
      </c>
      <c r="AA369" s="387">
        <f t="shared" si="80"/>
        <v>0.1128</v>
      </c>
      <c r="AB369" s="403">
        <f t="shared" si="81"/>
        <v>0.1796415987933635</v>
      </c>
      <c r="AC369" s="388">
        <f t="shared" si="82"/>
        <v>2.9675839774200869E-3</v>
      </c>
      <c r="AD369" s="389">
        <f t="shared" si="83"/>
        <v>5.3310153025731312E-4</v>
      </c>
    </row>
    <row r="370" spans="1:30" x14ac:dyDescent="0.55000000000000004">
      <c r="A370" t="str">
        <f t="shared" si="70"/>
        <v>Principal Financial Group Inc</v>
      </c>
      <c r="B370" t="str">
        <f t="shared" si="70"/>
        <v>PFG</v>
      </c>
      <c r="C370" s="382">
        <f t="shared" si="71"/>
        <v>3.4639175257731955E-2</v>
      </c>
      <c r="D370" s="383">
        <f t="shared" si="72"/>
        <v>18858.447404349998</v>
      </c>
      <c r="E370" s="384">
        <f t="shared" si="73"/>
        <v>0.12595000000000001</v>
      </c>
      <c r="F370" s="385">
        <v>0.04</v>
      </c>
      <c r="G370" s="382">
        <v>0.1219327</v>
      </c>
      <c r="H370" s="399">
        <f t="shared" si="74"/>
        <v>9.5960900000000016E-2</v>
      </c>
      <c r="I370" s="399">
        <f t="shared" si="75"/>
        <v>0.13226207847422683</v>
      </c>
      <c r="J370" s="382">
        <f t="shared" si="76"/>
        <v>3.5271116581246447E-4</v>
      </c>
      <c r="K370" s="382">
        <f t="shared" si="77"/>
        <v>4.6650311891424209E-5</v>
      </c>
      <c r="M370" s="400"/>
      <c r="N370" s="398" t="s">
        <v>4281</v>
      </c>
      <c r="O370" s="398" t="s">
        <v>950</v>
      </c>
      <c r="P370" s="398" t="s">
        <v>476</v>
      </c>
      <c r="Q370" s="398">
        <v>18858447404.349998</v>
      </c>
      <c r="R370" s="398">
        <v>3.4639175257731956</v>
      </c>
      <c r="S370" s="398">
        <v>12.595000000000001</v>
      </c>
      <c r="T370" s="398">
        <v>228.7259</v>
      </c>
      <c r="U370" s="398">
        <v>82.45</v>
      </c>
      <c r="W370" s="401" t="s">
        <v>950</v>
      </c>
      <c r="X370" s="402" t="s">
        <v>476</v>
      </c>
      <c r="Y370" s="386">
        <f t="shared" si="78"/>
        <v>18858.447404349998</v>
      </c>
      <c r="Z370" s="387">
        <f t="shared" si="79"/>
        <v>3.4639175257731955E-2</v>
      </c>
      <c r="AA370" s="387">
        <f t="shared" si="80"/>
        <v>0.12595000000000001</v>
      </c>
      <c r="AB370" s="403">
        <f t="shared" si="81"/>
        <v>0.16277057731958763</v>
      </c>
      <c r="AC370" s="388">
        <f t="shared" si="82"/>
        <v>3.7237711572555313E-4</v>
      </c>
      <c r="AD370" s="389">
        <f t="shared" si="83"/>
        <v>6.0612038107251175E-5</v>
      </c>
    </row>
    <row r="371" spans="1:30" x14ac:dyDescent="0.55000000000000004">
      <c r="A371" t="str">
        <f t="shared" si="70"/>
        <v>Procter &amp; Gamble Co/The</v>
      </c>
      <c r="B371" t="str">
        <f t="shared" si="70"/>
        <v>PG</v>
      </c>
      <c r="C371" s="382">
        <f t="shared" si="71"/>
        <v>2.4441231399481896E-2</v>
      </c>
      <c r="D371" s="383">
        <f t="shared" si="72"/>
        <v>389221.95260586007</v>
      </c>
      <c r="E371" s="384">
        <f t="shared" si="73"/>
        <v>6.2400000000000004E-2</v>
      </c>
      <c r="F371" s="385">
        <v>0.05</v>
      </c>
      <c r="G371" s="382">
        <v>6.7746399999999998E-2</v>
      </c>
      <c r="H371" s="399">
        <f t="shared" si="74"/>
        <v>6.0048799999999992E-2</v>
      </c>
      <c r="I371" s="399">
        <f t="shared" si="75"/>
        <v>8.5223864707512489E-2</v>
      </c>
      <c r="J371" s="382">
        <f t="shared" si="76"/>
        <v>7.2796516977187758E-3</v>
      </c>
      <c r="K371" s="382">
        <f t="shared" si="77"/>
        <v>6.2040005140419851E-4</v>
      </c>
      <c r="M371" s="400"/>
      <c r="N371" s="398" t="s">
        <v>4282</v>
      </c>
      <c r="O371" s="398" t="s">
        <v>951</v>
      </c>
      <c r="P371" s="398" t="s">
        <v>477</v>
      </c>
      <c r="Q371" s="398">
        <v>389221952605.86005</v>
      </c>
      <c r="R371" s="398">
        <v>2.4441231399481897</v>
      </c>
      <c r="S371" s="398">
        <v>6.24</v>
      </c>
      <c r="T371" s="398">
        <v>2344.8519999999999</v>
      </c>
      <c r="U371" s="398">
        <v>165.99</v>
      </c>
      <c r="W371" s="401" t="s">
        <v>951</v>
      </c>
      <c r="X371" s="402" t="s">
        <v>477</v>
      </c>
      <c r="Y371" s="386">
        <f t="shared" si="78"/>
        <v>389221.95260586007</v>
      </c>
      <c r="Z371" s="387">
        <f t="shared" si="79"/>
        <v>2.4441231399481896E-2</v>
      </c>
      <c r="AA371" s="387">
        <f t="shared" si="80"/>
        <v>6.2400000000000004E-2</v>
      </c>
      <c r="AB371" s="403">
        <f t="shared" si="81"/>
        <v>8.7603797819145734E-2</v>
      </c>
      <c r="AC371" s="388">
        <f t="shared" si="82"/>
        <v>7.68553979979317E-3</v>
      </c>
      <c r="AD371" s="389">
        <f t="shared" si="83"/>
        <v>6.7328247475207867E-4</v>
      </c>
    </row>
    <row r="372" spans="1:30" x14ac:dyDescent="0.55000000000000004">
      <c r="A372" t="str">
        <f t="shared" si="70"/>
        <v>Progressive Corp/The</v>
      </c>
      <c r="B372" t="str">
        <f t="shared" si="70"/>
        <v>PGR</v>
      </c>
      <c r="C372" s="382">
        <f t="shared" si="71"/>
        <v>1.3496185684142186E-2</v>
      </c>
      <c r="D372" s="383">
        <f t="shared" si="72"/>
        <v>144367.38679932</v>
      </c>
      <c r="E372" s="384">
        <f t="shared" si="73"/>
        <v>0.23430000000000001</v>
      </c>
      <c r="F372" s="385">
        <v>0.245</v>
      </c>
      <c r="G372" s="382">
        <v>0.15857740000000001</v>
      </c>
      <c r="H372" s="399">
        <f t="shared" si="74"/>
        <v>0.2126258</v>
      </c>
      <c r="I372" s="399">
        <f t="shared" si="75"/>
        <v>0.22755680432316183</v>
      </c>
      <c r="J372" s="382">
        <f t="shared" si="76"/>
        <v>2.7001156676101372E-3</v>
      </c>
      <c r="K372" s="382">
        <f t="shared" si="77"/>
        <v>6.1442969262426349E-4</v>
      </c>
      <c r="M372" s="400"/>
      <c r="N372" s="398" t="s">
        <v>4283</v>
      </c>
      <c r="O372" s="398" t="s">
        <v>952</v>
      </c>
      <c r="P372" s="398" t="s">
        <v>478</v>
      </c>
      <c r="Q372" s="398">
        <v>144367386799.32001</v>
      </c>
      <c r="R372" s="398">
        <v>1.3496185684142186</v>
      </c>
      <c r="S372" s="398">
        <v>23.43</v>
      </c>
      <c r="T372" s="398">
        <v>585.81150000000002</v>
      </c>
      <c r="U372" s="398">
        <v>246.44</v>
      </c>
      <c r="W372" s="401" t="s">
        <v>952</v>
      </c>
      <c r="X372" s="402" t="s">
        <v>478</v>
      </c>
      <c r="Y372" s="386">
        <f t="shared" si="78"/>
        <v>144367.38679932</v>
      </c>
      <c r="Z372" s="387">
        <f t="shared" si="79"/>
        <v>1.3496185684142186E-2</v>
      </c>
      <c r="AA372" s="387">
        <f t="shared" si="80"/>
        <v>0.23430000000000001</v>
      </c>
      <c r="AB372" s="403">
        <f t="shared" si="81"/>
        <v>0.24937726383703945</v>
      </c>
      <c r="AC372" s="388">
        <f t="shared" si="82"/>
        <v>2.8506647418262911E-3</v>
      </c>
      <c r="AD372" s="389">
        <f t="shared" si="83"/>
        <v>7.1089097343336098E-4</v>
      </c>
    </row>
    <row r="373" spans="1:30" x14ac:dyDescent="0.55000000000000004">
      <c r="A373" t="str">
        <f t="shared" si="70"/>
        <v>Parker-Hannifin Corp</v>
      </c>
      <c r="B373" t="str">
        <f t="shared" si="70"/>
        <v>PH</v>
      </c>
      <c r="C373" s="382">
        <f t="shared" si="71"/>
        <v>9.2680857082243114E-3</v>
      </c>
      <c r="D373" s="383">
        <f t="shared" si="72"/>
        <v>91043.18224314999</v>
      </c>
      <c r="E373" s="384">
        <f t="shared" si="73"/>
        <v>7.51E-2</v>
      </c>
      <c r="F373" s="385">
        <v>0.105</v>
      </c>
      <c r="G373" s="382">
        <v>0.13168920000000001</v>
      </c>
      <c r="H373" s="399">
        <f t="shared" si="74"/>
        <v>0.10392973333333333</v>
      </c>
      <c r="I373" s="399">
        <f t="shared" si="75"/>
        <v>0.11367943387964076</v>
      </c>
      <c r="J373" s="382">
        <f t="shared" si="76"/>
        <v>1.7027884777434527E-3</v>
      </c>
      <c r="K373" s="382">
        <f t="shared" si="77"/>
        <v>1.9357203016665098E-4</v>
      </c>
      <c r="M373" s="400"/>
      <c r="N373" s="398" t="s">
        <v>4284</v>
      </c>
      <c r="O373" s="398" t="s">
        <v>953</v>
      </c>
      <c r="P373" s="398" t="s">
        <v>479</v>
      </c>
      <c r="Q373" s="398">
        <v>91043182243.149994</v>
      </c>
      <c r="R373" s="398">
        <v>0.92680857082243118</v>
      </c>
      <c r="S373" s="398">
        <v>7.51</v>
      </c>
      <c r="T373" s="398">
        <v>128.76480000000001</v>
      </c>
      <c r="U373" s="398">
        <v>707.05</v>
      </c>
      <c r="W373" s="401" t="s">
        <v>953</v>
      </c>
      <c r="X373" s="402" t="s">
        <v>479</v>
      </c>
      <c r="Y373" s="386">
        <f t="shared" si="78"/>
        <v>91043.18224314999</v>
      </c>
      <c r="Z373" s="387">
        <f t="shared" si="79"/>
        <v>9.2680857082243114E-3</v>
      </c>
      <c r="AA373" s="387">
        <f t="shared" si="80"/>
        <v>7.51E-2</v>
      </c>
      <c r="AB373" s="403">
        <f t="shared" si="81"/>
        <v>8.4716102326568135E-2</v>
      </c>
      <c r="AC373" s="388">
        <f t="shared" si="82"/>
        <v>1.7977300507972869E-3</v>
      </c>
      <c r="AD373" s="389">
        <f t="shared" si="83"/>
        <v>1.522966829388895E-4</v>
      </c>
    </row>
    <row r="374" spans="1:30" x14ac:dyDescent="0.55000000000000004">
      <c r="A374" t="str">
        <f t="shared" si="70"/>
        <v>PulteGroup Inc</v>
      </c>
      <c r="B374" t="str">
        <f t="shared" si="70"/>
        <v>PHM</v>
      </c>
      <c r="C374" s="382">
        <f t="shared" si="71"/>
        <v>7.6287572508349447E-3</v>
      </c>
      <c r="D374" s="383">
        <f t="shared" si="72"/>
        <v>23334.250554179998</v>
      </c>
      <c r="E374" s="384">
        <f t="shared" si="73"/>
        <v>4.4900000000000002E-2</v>
      </c>
      <c r="F374" s="385">
        <v>8.5000000000000006E-2</v>
      </c>
      <c r="G374" s="382">
        <v>0.172793</v>
      </c>
      <c r="H374" s="399">
        <f t="shared" si="74"/>
        <v>0.10089766666666666</v>
      </c>
      <c r="I374" s="399">
        <f t="shared" si="75"/>
        <v>0.10891128582058944</v>
      </c>
      <c r="J374" s="382">
        <f t="shared" si="76"/>
        <v>4.3642249756077671E-4</v>
      </c>
      <c r="K374" s="382">
        <f t="shared" si="77"/>
        <v>4.7531335370377251E-5</v>
      </c>
      <c r="M374" s="400"/>
      <c r="N374" s="398" t="s">
        <v>4285</v>
      </c>
      <c r="O374" s="398" t="s">
        <v>954</v>
      </c>
      <c r="P374" s="398" t="s">
        <v>480</v>
      </c>
      <c r="Q374" s="398">
        <v>23334250554.179996</v>
      </c>
      <c r="R374" s="398">
        <v>0.76287572508349444</v>
      </c>
      <c r="S374" s="398">
        <v>4.49</v>
      </c>
      <c r="T374" s="398">
        <v>205.0822</v>
      </c>
      <c r="U374" s="398">
        <v>113.78</v>
      </c>
      <c r="W374" s="401" t="s">
        <v>954</v>
      </c>
      <c r="X374" s="402" t="s">
        <v>480</v>
      </c>
      <c r="Y374" s="386">
        <f t="shared" si="78"/>
        <v>23334.250554179998</v>
      </c>
      <c r="Z374" s="387">
        <f t="shared" si="79"/>
        <v>7.6287572508349447E-3</v>
      </c>
      <c r="AA374" s="387">
        <f t="shared" si="80"/>
        <v>4.4900000000000002E-2</v>
      </c>
      <c r="AB374" s="403">
        <f t="shared" si="81"/>
        <v>5.2700022851116191E-2</v>
      </c>
      <c r="AC374" s="388">
        <f t="shared" si="82"/>
        <v>4.607559006675518E-4</v>
      </c>
      <c r="AD374" s="389">
        <f t="shared" si="83"/>
        <v>2.42818464939666E-5</v>
      </c>
    </row>
    <row r="375" spans="1:30" x14ac:dyDescent="0.55000000000000004">
      <c r="A375" t="str">
        <f t="shared" si="70"/>
        <v>Packaging Corp of America</v>
      </c>
      <c r="B375" t="str">
        <f t="shared" si="70"/>
        <v>PKG</v>
      </c>
      <c r="C375" s="382">
        <f t="shared" si="71"/>
        <v>2.3746825919307817E-2</v>
      </c>
      <c r="D375" s="383">
        <f t="shared" si="72"/>
        <v>19097.91896572</v>
      </c>
      <c r="E375" s="384">
        <f t="shared" si="73"/>
        <v>8.9900000000000008E-2</v>
      </c>
      <c r="F375" s="385">
        <v>8.5000000000000006E-2</v>
      </c>
      <c r="G375" s="382">
        <v>0.11312670000000001</v>
      </c>
      <c r="H375" s="399">
        <f t="shared" si="74"/>
        <v>9.6008900000000008E-2</v>
      </c>
      <c r="I375" s="399">
        <f t="shared" si="75"/>
        <v>0.12089567923680994</v>
      </c>
      <c r="J375" s="382">
        <f t="shared" si="76"/>
        <v>3.5719002304703521E-4</v>
      </c>
      <c r="K375" s="382">
        <f t="shared" si="77"/>
        <v>4.3182730452883117E-5</v>
      </c>
      <c r="M375" s="400"/>
      <c r="N375" s="398" t="s">
        <v>4286</v>
      </c>
      <c r="O375" s="398" t="s">
        <v>955</v>
      </c>
      <c r="P375" s="398" t="s">
        <v>481</v>
      </c>
      <c r="Q375" s="398">
        <v>19097918965.720001</v>
      </c>
      <c r="R375" s="398">
        <v>2.3746825919307817</v>
      </c>
      <c r="S375" s="398">
        <v>8.99</v>
      </c>
      <c r="T375" s="398">
        <v>89.804940000000002</v>
      </c>
      <c r="U375" s="398">
        <v>212.66</v>
      </c>
      <c r="W375" s="401" t="s">
        <v>955</v>
      </c>
      <c r="X375" s="402" t="s">
        <v>481</v>
      </c>
      <c r="Y375" s="386">
        <f t="shared" si="78"/>
        <v>19097.91896572</v>
      </c>
      <c r="Z375" s="387">
        <f t="shared" si="79"/>
        <v>2.3746825919307817E-2</v>
      </c>
      <c r="AA375" s="387">
        <f t="shared" si="80"/>
        <v>8.9900000000000008E-2</v>
      </c>
      <c r="AB375" s="403">
        <f t="shared" si="81"/>
        <v>0.11471424574438072</v>
      </c>
      <c r="AC375" s="388">
        <f t="shared" si="82"/>
        <v>3.7710569848792237E-4</v>
      </c>
      <c r="AD375" s="389">
        <f t="shared" si="83"/>
        <v>4.3259395767949866E-5</v>
      </c>
    </row>
    <row r="376" spans="1:30" x14ac:dyDescent="0.55000000000000004">
      <c r="A376" t="str">
        <f t="shared" si="70"/>
        <v>Prologis Inc</v>
      </c>
      <c r="B376" t="str">
        <f t="shared" si="70"/>
        <v>PLD</v>
      </c>
      <c r="C376" s="382">
        <f t="shared" si="71"/>
        <v>3.3937106918238993E-2</v>
      </c>
      <c r="D376" s="383">
        <f t="shared" si="72"/>
        <v>110446.36875000001</v>
      </c>
      <c r="E376" s="384">
        <f t="shared" si="73"/>
        <v>6.6299999999999998E-2</v>
      </c>
      <c r="F376" s="385">
        <v>5.0000000000000001E-3</v>
      </c>
      <c r="G376" s="382">
        <v>8.47522E-2</v>
      </c>
      <c r="H376" s="399">
        <f t="shared" si="74"/>
        <v>5.2017399999999998E-2</v>
      </c>
      <c r="I376" s="399">
        <f t="shared" si="75"/>
        <v>8.6837166950943401E-2</v>
      </c>
      <c r="J376" s="382">
        <f t="shared" si="76"/>
        <v>2.0656879459005789E-3</v>
      </c>
      <c r="K376" s="382">
        <f t="shared" si="77"/>
        <v>1.7937848902671992E-4</v>
      </c>
      <c r="M376" s="400"/>
      <c r="N376" s="398" t="s">
        <v>4287</v>
      </c>
      <c r="O376" s="398" t="s">
        <v>956</v>
      </c>
      <c r="P376" s="398" t="s">
        <v>482</v>
      </c>
      <c r="Q376" s="398">
        <v>110446368750.00002</v>
      </c>
      <c r="R376" s="398">
        <v>3.3937106918238991</v>
      </c>
      <c r="S376" s="398">
        <v>6.63</v>
      </c>
      <c r="T376" s="398">
        <v>926.17499999999995</v>
      </c>
      <c r="U376" s="398">
        <v>119.25</v>
      </c>
      <c r="W376" s="401" t="s">
        <v>956</v>
      </c>
      <c r="X376" s="402" t="s">
        <v>482</v>
      </c>
      <c r="Y376" s="386">
        <f t="shared" si="78"/>
        <v>110446.36875000001</v>
      </c>
      <c r="Z376" s="387">
        <f t="shared" si="79"/>
        <v>3.3937106918238993E-2</v>
      </c>
      <c r="AA376" s="387">
        <f t="shared" si="80"/>
        <v>6.6299999999999998E-2</v>
      </c>
      <c r="AB376" s="403">
        <f t="shared" si="81"/>
        <v>0.10136212201257862</v>
      </c>
      <c r="AC376" s="388">
        <f t="shared" si="82"/>
        <v>2.1808635332301596E-3</v>
      </c>
      <c r="AD376" s="389">
        <f t="shared" si="83"/>
        <v>2.2105695554805875E-4</v>
      </c>
    </row>
    <row r="377" spans="1:30" x14ac:dyDescent="0.55000000000000004">
      <c r="A377" t="str">
        <f t="shared" si="70"/>
        <v>Palantir Technologies Inc</v>
      </c>
      <c r="B377" t="str">
        <f t="shared" si="70"/>
        <v>PLTR</v>
      </c>
      <c r="C377" s="382" t="str">
        <f t="shared" si="71"/>
        <v>0.00%</v>
      </c>
      <c r="D377" s="383">
        <f t="shared" si="72"/>
        <v>187847.33452085996</v>
      </c>
      <c r="E377" s="384">
        <f t="shared" si="73"/>
        <v>0.36080000000000001</v>
      </c>
      <c r="F377" s="385" t="s">
        <v>184</v>
      </c>
      <c r="G377" s="382">
        <v>0.27940919999999997</v>
      </c>
      <c r="H377" s="399">
        <f t="shared" si="74"/>
        <v>0.32010459999999996</v>
      </c>
      <c r="I377" s="399">
        <f t="shared" si="75"/>
        <v>0.32010459999999996</v>
      </c>
      <c r="J377" s="382">
        <f t="shared" si="76"/>
        <v>3.5133248741534028E-3</v>
      </c>
      <c r="K377" s="382">
        <f t="shared" si="77"/>
        <v>1.1246314535109253E-3</v>
      </c>
      <c r="M377" s="400"/>
      <c r="N377" s="398" t="s">
        <v>4417</v>
      </c>
      <c r="O377" s="398" t="s">
        <v>2810</v>
      </c>
      <c r="P377" s="398" t="s">
        <v>2811</v>
      </c>
      <c r="Q377" s="398">
        <v>187847334520.85995</v>
      </c>
      <c r="R377" s="398" t="s">
        <v>3929</v>
      </c>
      <c r="S377" s="398">
        <v>36.08</v>
      </c>
      <c r="T377" s="398">
        <v>2180.654</v>
      </c>
      <c r="U377" s="398">
        <v>82.49</v>
      </c>
      <c r="W377" s="401" t="s">
        <v>2810</v>
      </c>
      <c r="X377" s="402" t="s">
        <v>2811</v>
      </c>
      <c r="Y377" s="386">
        <f t="shared" si="78"/>
        <v>187847.33452085996</v>
      </c>
      <c r="Z377" s="387" t="str">
        <f t="shared" si="79"/>
        <v>0.00%</v>
      </c>
      <c r="AA377" s="387">
        <f t="shared" si="80"/>
        <v>0.36080000000000001</v>
      </c>
      <c r="AB377" s="403">
        <f t="shared" si="81"/>
        <v>0.36080000000000001</v>
      </c>
      <c r="AC377" s="388">
        <f t="shared" si="82"/>
        <v>3.7092156700808719E-3</v>
      </c>
      <c r="AD377" s="389">
        <f t="shared" si="83"/>
        <v>1.3382850137651787E-3</v>
      </c>
    </row>
    <row r="378" spans="1:30" x14ac:dyDescent="0.55000000000000004">
      <c r="A378" t="str">
        <f t="shared" si="70"/>
        <v>Philip Morris International Inc</v>
      </c>
      <c r="B378" t="str">
        <f t="shared" si="70"/>
        <v>PM</v>
      </c>
      <c r="C378" s="382">
        <f t="shared" si="71"/>
        <v>4.059139784946237E-2</v>
      </c>
      <c r="D378" s="383">
        <f t="shared" si="72"/>
        <v>202439.30998200001</v>
      </c>
      <c r="E378" s="384">
        <f t="shared" si="73"/>
        <v>9.4500000000000015E-2</v>
      </c>
      <c r="F378" s="385">
        <v>0.06</v>
      </c>
      <c r="G378" s="382">
        <v>9.5411800000000005E-2</v>
      </c>
      <c r="H378" s="399">
        <f t="shared" si="74"/>
        <v>8.3303933333333344E-2</v>
      </c>
      <c r="I378" s="399">
        <f t="shared" si="75"/>
        <v>0.12558604273297491</v>
      </c>
      <c r="J378" s="382">
        <f t="shared" si="76"/>
        <v>3.786239847801679E-3</v>
      </c>
      <c r="K378" s="382">
        <f t="shared" si="77"/>
        <v>4.7549887932331407E-4</v>
      </c>
      <c r="M378" s="400"/>
      <c r="N378" s="398" t="s">
        <v>4288</v>
      </c>
      <c r="O378" s="398" t="s">
        <v>957</v>
      </c>
      <c r="P378" s="398" t="s">
        <v>483</v>
      </c>
      <c r="Q378" s="398">
        <v>202439309982</v>
      </c>
      <c r="R378" s="398">
        <v>4.059139784946237</v>
      </c>
      <c r="S378" s="398">
        <v>9.4500000000000011</v>
      </c>
      <c r="T378" s="398">
        <v>1554.8329999999999</v>
      </c>
      <c r="U378" s="398">
        <v>130.19999999999999</v>
      </c>
      <c r="W378" s="401" t="s">
        <v>957</v>
      </c>
      <c r="X378" s="402" t="s">
        <v>483</v>
      </c>
      <c r="Y378" s="386">
        <f t="shared" si="78"/>
        <v>202439.30998200001</v>
      </c>
      <c r="Z378" s="387">
        <f t="shared" si="79"/>
        <v>4.059139784946237E-2</v>
      </c>
      <c r="AA378" s="387">
        <f t="shared" si="80"/>
        <v>9.4500000000000015E-2</v>
      </c>
      <c r="AB378" s="403">
        <f t="shared" si="81"/>
        <v>0.13700934139784948</v>
      </c>
      <c r="AC378" s="388">
        <f t="shared" si="82"/>
        <v>3.9973474350375147E-3</v>
      </c>
      <c r="AD378" s="389">
        <f t="shared" si="83"/>
        <v>5.4767393941287284E-4</v>
      </c>
    </row>
    <row r="379" spans="1:30" x14ac:dyDescent="0.55000000000000004">
      <c r="A379" t="str">
        <f t="shared" si="70"/>
        <v>PNC Financial Services Group Inc/The</v>
      </c>
      <c r="B379" t="str">
        <f t="shared" si="70"/>
        <v>PNC</v>
      </c>
      <c r="C379" s="382">
        <f t="shared" si="71"/>
        <v>3.2634983826822596E-2</v>
      </c>
      <c r="D379" s="383">
        <f t="shared" si="72"/>
        <v>79733.62985659999</v>
      </c>
      <c r="E379" s="384">
        <f t="shared" si="73"/>
        <v>8.09E-2</v>
      </c>
      <c r="F379" s="385">
        <v>6.5000000000000002E-2</v>
      </c>
      <c r="G379" s="382">
        <v>0.20054</v>
      </c>
      <c r="H379" s="399">
        <f t="shared" si="74"/>
        <v>0.11547999999999999</v>
      </c>
      <c r="I379" s="399">
        <f t="shared" si="75"/>
        <v>0.14999932779298331</v>
      </c>
      <c r="J379" s="382">
        <f t="shared" si="76"/>
        <v>1.4912649455274833E-3</v>
      </c>
      <c r="K379" s="382">
        <f t="shared" si="77"/>
        <v>2.2368873939036235E-4</v>
      </c>
      <c r="M379" s="400"/>
      <c r="N379" s="398" t="s">
        <v>4289</v>
      </c>
      <c r="O379" s="398" t="s">
        <v>958</v>
      </c>
      <c r="P379" s="398" t="s">
        <v>484</v>
      </c>
      <c r="Q379" s="398">
        <v>79733629856.599991</v>
      </c>
      <c r="R379" s="398">
        <v>3.2634983826822594</v>
      </c>
      <c r="S379" s="398">
        <v>8.09</v>
      </c>
      <c r="T379" s="398">
        <v>396.78339999999997</v>
      </c>
      <c r="U379" s="398">
        <v>200.95</v>
      </c>
      <c r="W379" s="401" t="s">
        <v>958</v>
      </c>
      <c r="X379" s="402" t="s">
        <v>484</v>
      </c>
      <c r="Y379" s="386">
        <f t="shared" si="78"/>
        <v>79733.62985659999</v>
      </c>
      <c r="Z379" s="387">
        <f t="shared" si="79"/>
        <v>3.2634983826822596E-2</v>
      </c>
      <c r="AA379" s="387">
        <f t="shared" si="80"/>
        <v>8.09E-2</v>
      </c>
      <c r="AB379" s="403">
        <f t="shared" si="81"/>
        <v>0.11485506892261757</v>
      </c>
      <c r="AC379" s="388">
        <f t="shared" si="82"/>
        <v>1.5744127008823039E-3</v>
      </c>
      <c r="AD379" s="389">
        <f t="shared" si="83"/>
        <v>1.808292792724815E-4</v>
      </c>
    </row>
    <row r="380" spans="1:30" x14ac:dyDescent="0.55000000000000004">
      <c r="A380" t="str">
        <f t="shared" si="70"/>
        <v>Pentair PLC</v>
      </c>
      <c r="B380" t="str">
        <f t="shared" si="70"/>
        <v>PNR</v>
      </c>
      <c r="C380" s="382">
        <f t="shared" si="71"/>
        <v>8.8734567901234563E-3</v>
      </c>
      <c r="D380" s="383">
        <f t="shared" si="72"/>
        <v>17131.16646144</v>
      </c>
      <c r="E380" s="384">
        <f t="shared" si="73"/>
        <v>0.11800000000000001</v>
      </c>
      <c r="F380" s="385">
        <v>0.125</v>
      </c>
      <c r="G380" s="382">
        <v>0.12732960000000001</v>
      </c>
      <c r="H380" s="399">
        <f t="shared" si="74"/>
        <v>0.12344320000000002</v>
      </c>
      <c r="I380" s="399">
        <f t="shared" si="75"/>
        <v>0.13286434074074077</v>
      </c>
      <c r="J380" s="382">
        <f t="shared" si="76"/>
        <v>3.2040568159116481E-4</v>
      </c>
      <c r="K380" s="382">
        <f t="shared" si="77"/>
        <v>4.2570489654197811E-5</v>
      </c>
      <c r="M380" s="400"/>
      <c r="N380" s="398" t="s">
        <v>4290</v>
      </c>
      <c r="O380" s="398" t="s">
        <v>959</v>
      </c>
      <c r="P380" s="398" t="s">
        <v>485</v>
      </c>
      <c r="Q380" s="398">
        <v>17131166461.440001</v>
      </c>
      <c r="R380" s="398">
        <v>0.88734567901234562</v>
      </c>
      <c r="S380" s="398">
        <v>11.8</v>
      </c>
      <c r="T380" s="398">
        <v>165.2312</v>
      </c>
      <c r="U380" s="398">
        <v>103.68</v>
      </c>
      <c r="W380" s="401" t="s">
        <v>959</v>
      </c>
      <c r="X380" s="402" t="s">
        <v>485</v>
      </c>
      <c r="Y380" s="386">
        <f t="shared" si="78"/>
        <v>17131.16646144</v>
      </c>
      <c r="Z380" s="387">
        <f t="shared" si="79"/>
        <v>8.8734567901234563E-3</v>
      </c>
      <c r="AA380" s="387">
        <f t="shared" si="80"/>
        <v>0.11800000000000001</v>
      </c>
      <c r="AB380" s="403">
        <f t="shared" si="81"/>
        <v>0.12739699074074073</v>
      </c>
      <c r="AC380" s="388">
        <f t="shared" si="82"/>
        <v>3.3827038987599168E-4</v>
      </c>
      <c r="AD380" s="389">
        <f t="shared" si="83"/>
        <v>4.3094629726898473E-5</v>
      </c>
    </row>
    <row r="381" spans="1:30" x14ac:dyDescent="0.55000000000000004">
      <c r="A381" t="str">
        <f t="shared" si="70"/>
        <v>Pinnacle West Capital Corp</v>
      </c>
      <c r="B381" t="str">
        <f t="shared" si="70"/>
        <v>PNW</v>
      </c>
      <c r="C381" s="382">
        <f t="shared" si="71"/>
        <v>4.0857865685372585E-2</v>
      </c>
      <c r="D381" s="383">
        <f t="shared" si="72"/>
        <v>9887.3363472000001</v>
      </c>
      <c r="E381" s="384">
        <f t="shared" si="73"/>
        <v>5.96E-2</v>
      </c>
      <c r="F381" s="385">
        <v>0.04</v>
      </c>
      <c r="G381" s="382">
        <v>6.2977400000000003E-2</v>
      </c>
      <c r="H381" s="399">
        <f t="shared" si="74"/>
        <v>5.4192466666666661E-2</v>
      </c>
      <c r="I381" s="399">
        <f t="shared" si="75"/>
        <v>9.6157426614152094E-2</v>
      </c>
      <c r="J381" s="382">
        <f t="shared" si="76"/>
        <v>1.8492370315683826E-4</v>
      </c>
      <c r="K381" s="382">
        <f t="shared" si="77"/>
        <v>1.7781787415520921E-5</v>
      </c>
      <c r="M381" s="400"/>
      <c r="N381" s="398" t="s">
        <v>4291</v>
      </c>
      <c r="O381" s="398" t="s">
        <v>960</v>
      </c>
      <c r="P381" s="398" t="s">
        <v>57</v>
      </c>
      <c r="Q381" s="398">
        <v>9887336347.2000008</v>
      </c>
      <c r="R381" s="398">
        <v>4.0857865685372587</v>
      </c>
      <c r="S381" s="398">
        <v>5.96</v>
      </c>
      <c r="T381" s="398">
        <v>113.6998</v>
      </c>
      <c r="U381" s="398">
        <v>86.96</v>
      </c>
      <c r="W381" s="401" t="s">
        <v>960</v>
      </c>
      <c r="X381" s="402" t="s">
        <v>57</v>
      </c>
      <c r="Y381" s="386">
        <f t="shared" si="78"/>
        <v>9887.3363472000001</v>
      </c>
      <c r="Z381" s="387">
        <f t="shared" si="79"/>
        <v>4.0857865685372585E-2</v>
      </c>
      <c r="AA381" s="387">
        <f t="shared" si="80"/>
        <v>5.96E-2</v>
      </c>
      <c r="AB381" s="403">
        <f t="shared" si="81"/>
        <v>0.1016754300827967</v>
      </c>
      <c r="AC381" s="388">
        <f t="shared" si="82"/>
        <v>1.9523440674811294E-4</v>
      </c>
      <c r="AD381" s="389">
        <f t="shared" si="83"/>
        <v>1.9850542273074048E-5</v>
      </c>
    </row>
    <row r="382" spans="1:30" x14ac:dyDescent="0.55000000000000004">
      <c r="A382" t="str">
        <f t="shared" si="70"/>
        <v>Insulet Corp</v>
      </c>
      <c r="B382" t="str">
        <f t="shared" si="70"/>
        <v>PODD</v>
      </c>
      <c r="C382" s="382">
        <f t="shared" si="71"/>
        <v>0</v>
      </c>
      <c r="D382" s="383">
        <f t="shared" si="72"/>
        <v>19526.902464499999</v>
      </c>
      <c r="E382" s="384">
        <f t="shared" si="73"/>
        <v>0.31170000000000003</v>
      </c>
      <c r="F382" s="385">
        <v>0.34499999999999997</v>
      </c>
      <c r="G382" s="382">
        <v>0.2901186</v>
      </c>
      <c r="H382" s="399">
        <f t="shared" si="74"/>
        <v>0.3156062</v>
      </c>
      <c r="I382" s="399">
        <f t="shared" si="75"/>
        <v>0.3156062</v>
      </c>
      <c r="J382" s="382">
        <f t="shared" si="76"/>
        <v>3.6521333836694338E-4</v>
      </c>
      <c r="K382" s="382">
        <f t="shared" si="77"/>
        <v>1.1526359391130521E-4</v>
      </c>
      <c r="M382" s="400"/>
      <c r="N382" s="398" t="s">
        <v>4292</v>
      </c>
      <c r="O382" s="398" t="s">
        <v>961</v>
      </c>
      <c r="P382" s="398" t="s">
        <v>486</v>
      </c>
      <c r="Q382" s="398">
        <v>19526902464.5</v>
      </c>
      <c r="R382" s="398">
        <v>0</v>
      </c>
      <c r="S382" s="398">
        <v>31.17</v>
      </c>
      <c r="T382" s="398">
        <v>70.144779999999997</v>
      </c>
      <c r="U382" s="398">
        <v>278.38</v>
      </c>
      <c r="W382" s="401" t="s">
        <v>961</v>
      </c>
      <c r="X382" s="402" t="s">
        <v>486</v>
      </c>
      <c r="Y382" s="386">
        <f t="shared" si="78"/>
        <v>19526.902464499999</v>
      </c>
      <c r="Z382" s="387">
        <f t="shared" si="79"/>
        <v>0</v>
      </c>
      <c r="AA382" s="387">
        <f t="shared" si="80"/>
        <v>0.31170000000000003</v>
      </c>
      <c r="AB382" s="403">
        <f t="shared" si="81"/>
        <v>0.31170000000000003</v>
      </c>
      <c r="AC382" s="388">
        <f t="shared" si="82"/>
        <v>3.8557636601131056E-4</v>
      </c>
      <c r="AD382" s="389">
        <f t="shared" si="83"/>
        <v>1.2018415328572552E-4</v>
      </c>
    </row>
    <row r="383" spans="1:30" x14ac:dyDescent="0.55000000000000004">
      <c r="A383" t="str">
        <f t="shared" si="70"/>
        <v>Pool Corp</v>
      </c>
      <c r="B383" t="str">
        <f t="shared" si="70"/>
        <v>POOL</v>
      </c>
      <c r="C383" s="382">
        <f t="shared" si="71"/>
        <v>1.3635439360929556E-2</v>
      </c>
      <c r="D383" s="383">
        <f t="shared" si="72"/>
        <v>13100.615169749997</v>
      </c>
      <c r="E383" s="384">
        <f t="shared" si="73"/>
        <v>-1.4000000000000002E-3</v>
      </c>
      <c r="F383" s="385">
        <v>2.5000000000000001E-2</v>
      </c>
      <c r="G383" s="382">
        <v>-1.3701E-3</v>
      </c>
      <c r="H383" s="399">
        <f t="shared" si="74"/>
        <v>7.4099666666666677E-3</v>
      </c>
      <c r="I383" s="399">
        <f t="shared" si="75"/>
        <v>2.1095925103171147E-2</v>
      </c>
      <c r="J383" s="382">
        <f t="shared" si="76"/>
        <v>2.4502193368883241E-4</v>
      </c>
      <c r="K383" s="382">
        <f t="shared" si="77"/>
        <v>5.1689643617337759E-6</v>
      </c>
      <c r="M383" s="400"/>
      <c r="N383" s="398" t="s">
        <v>4293</v>
      </c>
      <c r="O383" s="398" t="s">
        <v>962</v>
      </c>
      <c r="P383" s="398" t="s">
        <v>487</v>
      </c>
      <c r="Q383" s="398">
        <v>13100615169.749998</v>
      </c>
      <c r="R383" s="398">
        <v>1.3635439360929555</v>
      </c>
      <c r="S383" s="398">
        <v>-0.14000000000000001</v>
      </c>
      <c r="T383" s="398">
        <v>38.055529999999997</v>
      </c>
      <c r="U383" s="398">
        <v>344.25</v>
      </c>
      <c r="W383" s="401" t="s">
        <v>962</v>
      </c>
      <c r="X383" s="402" t="s">
        <v>487</v>
      </c>
      <c r="Y383" s="386">
        <f t="shared" si="78"/>
        <v>13100.615169749997</v>
      </c>
      <c r="Z383" s="387">
        <f t="shared" si="79"/>
        <v>1.3635439360929556E-2</v>
      </c>
      <c r="AA383" s="387">
        <f t="shared" si="80"/>
        <v>-1.4000000000000002E-3</v>
      </c>
      <c r="AB383" s="403">
        <f t="shared" si="81"/>
        <v>1.2225894553376904E-2</v>
      </c>
      <c r="AC383" s="388">
        <f t="shared" si="82"/>
        <v>2.586835059399778E-4</v>
      </c>
      <c r="AD383" s="389">
        <f t="shared" si="83"/>
        <v>3.1626372663200165E-6</v>
      </c>
    </row>
    <row r="384" spans="1:30" x14ac:dyDescent="0.55000000000000004">
      <c r="A384" t="str">
        <f t="shared" si="70"/>
        <v>PPG Industries Inc</v>
      </c>
      <c r="B384" t="str">
        <f t="shared" si="70"/>
        <v>PPG</v>
      </c>
      <c r="C384" s="382">
        <f t="shared" si="71"/>
        <v>2.4189634252036747E-2</v>
      </c>
      <c r="D384" s="383">
        <f t="shared" si="72"/>
        <v>26768.16</v>
      </c>
      <c r="E384" s="384">
        <f t="shared" si="73"/>
        <v>6.8100000000000008E-2</v>
      </c>
      <c r="F384" s="385">
        <v>0.05</v>
      </c>
      <c r="G384" s="382">
        <v>6.6779099999999994E-2</v>
      </c>
      <c r="H384" s="399">
        <f t="shared" si="74"/>
        <v>6.1626366666666675E-2</v>
      </c>
      <c r="I384" s="399">
        <f t="shared" si="75"/>
        <v>8.6561360553677719E-2</v>
      </c>
      <c r="J384" s="382">
        <f t="shared" si="76"/>
        <v>5.0064720163955619E-4</v>
      </c>
      <c r="K384" s="382">
        <f t="shared" si="77"/>
        <v>4.3336702931311411E-5</v>
      </c>
      <c r="M384" s="400"/>
      <c r="N384" s="398" t="s">
        <v>4294</v>
      </c>
      <c r="O384" s="398" t="s">
        <v>963</v>
      </c>
      <c r="P384" s="398" t="s">
        <v>488</v>
      </c>
      <c r="Q384" s="398">
        <v>26768160000</v>
      </c>
      <c r="R384" s="398">
        <v>2.4189634252036747</v>
      </c>
      <c r="S384" s="398">
        <v>6.8100000000000005</v>
      </c>
      <c r="T384" s="398">
        <v>232</v>
      </c>
      <c r="U384" s="398">
        <v>115.38</v>
      </c>
      <c r="W384" s="401" t="s">
        <v>963</v>
      </c>
      <c r="X384" s="402" t="s">
        <v>488</v>
      </c>
      <c r="Y384" s="386">
        <f t="shared" si="78"/>
        <v>26768.16</v>
      </c>
      <c r="Z384" s="387">
        <f t="shared" si="79"/>
        <v>2.4189634252036747E-2</v>
      </c>
      <c r="AA384" s="387">
        <f t="shared" si="80"/>
        <v>6.8100000000000008E-2</v>
      </c>
      <c r="AB384" s="403">
        <f t="shared" si="81"/>
        <v>9.3113291298318607E-2</v>
      </c>
      <c r="AC384" s="388">
        <f t="shared" si="82"/>
        <v>5.2856155124312513E-4</v>
      </c>
      <c r="AD384" s="389">
        <f t="shared" si="83"/>
        <v>4.9216105689992265E-5</v>
      </c>
    </row>
    <row r="385" spans="1:30" x14ac:dyDescent="0.55000000000000004">
      <c r="A385" t="str">
        <f t="shared" si="70"/>
        <v>PPL Corp</v>
      </c>
      <c r="B385" t="str">
        <f t="shared" si="70"/>
        <v>PPL</v>
      </c>
      <c r="C385" s="382">
        <f t="shared" si="71"/>
        <v>3.0416666666666665E-2</v>
      </c>
      <c r="D385" s="383">
        <f t="shared" si="72"/>
        <v>24795.792168</v>
      </c>
      <c r="E385" s="384">
        <f t="shared" si="73"/>
        <v>7.4069999999999997E-2</v>
      </c>
      <c r="F385" s="385">
        <v>0.115</v>
      </c>
      <c r="G385" s="382">
        <v>7.1952100000000005E-2</v>
      </c>
      <c r="H385" s="399">
        <f t="shared" si="74"/>
        <v>8.7007366666666683E-2</v>
      </c>
      <c r="I385" s="399">
        <f t="shared" si="75"/>
        <v>0.11874727036805557</v>
      </c>
      <c r="J385" s="382">
        <f t="shared" si="76"/>
        <v>4.6375783622577067E-4</v>
      </c>
      <c r="K385" s="382">
        <f t="shared" si="77"/>
        <v>5.506997716360603E-5</v>
      </c>
      <c r="M385" s="400"/>
      <c r="N385" s="398" t="s">
        <v>4295</v>
      </c>
      <c r="O385" s="398" t="s">
        <v>964</v>
      </c>
      <c r="P385" s="398" t="s">
        <v>58</v>
      </c>
      <c r="Q385" s="398">
        <v>24795792168</v>
      </c>
      <c r="R385" s="398">
        <v>3.0416666666666665</v>
      </c>
      <c r="S385" s="398">
        <v>7.407</v>
      </c>
      <c r="T385" s="398">
        <v>737.96999999999991</v>
      </c>
      <c r="U385" s="398">
        <v>33.6</v>
      </c>
      <c r="W385" s="401" t="s">
        <v>964</v>
      </c>
      <c r="X385" s="402" t="s">
        <v>58</v>
      </c>
      <c r="Y385" s="386">
        <f t="shared" si="78"/>
        <v>24795.792168</v>
      </c>
      <c r="Z385" s="387">
        <f t="shared" si="79"/>
        <v>3.0416666666666665E-2</v>
      </c>
      <c r="AA385" s="387">
        <f t="shared" si="80"/>
        <v>7.4069999999999997E-2</v>
      </c>
      <c r="AB385" s="403">
        <f t="shared" si="81"/>
        <v>0.10561314791666665</v>
      </c>
      <c r="AC385" s="388">
        <f t="shared" si="82"/>
        <v>4.896153629020528E-4</v>
      </c>
      <c r="AD385" s="389">
        <f t="shared" si="83"/>
        <v>5.1709819744446926E-5</v>
      </c>
    </row>
    <row r="386" spans="1:30" x14ac:dyDescent="0.55000000000000004">
      <c r="A386" t="str">
        <f t="shared" si="70"/>
        <v>Prudential Financial Inc</v>
      </c>
      <c r="B386" t="str">
        <f t="shared" si="70"/>
        <v>PRU</v>
      </c>
      <c r="C386" s="382">
        <f t="shared" si="71"/>
        <v>4.2969526333222915E-2</v>
      </c>
      <c r="D386" s="383">
        <f t="shared" si="72"/>
        <v>42990.560000000005</v>
      </c>
      <c r="E386" s="384">
        <f t="shared" si="73"/>
        <v>1.7399999999999999E-2</v>
      </c>
      <c r="F386" s="385">
        <v>0.08</v>
      </c>
      <c r="G386" s="382">
        <v>1.7380400000000001E-2</v>
      </c>
      <c r="H386" s="399">
        <f t="shared" si="74"/>
        <v>3.8260133333333335E-2</v>
      </c>
      <c r="I386" s="399">
        <f t="shared" si="75"/>
        <v>8.205166956994589E-2</v>
      </c>
      <c r="J386" s="382">
        <f t="shared" si="76"/>
        <v>8.0405614584332444E-4</v>
      </c>
      <c r="K386" s="382">
        <f t="shared" si="77"/>
        <v>6.5974149194420682E-5</v>
      </c>
      <c r="M386" s="400"/>
      <c r="N386" s="398" t="s">
        <v>4296</v>
      </c>
      <c r="O386" s="398" t="s">
        <v>965</v>
      </c>
      <c r="P386" s="398" t="s">
        <v>489</v>
      </c>
      <c r="Q386" s="398">
        <v>42990560000.000008</v>
      </c>
      <c r="R386" s="398">
        <v>4.2969526333222916</v>
      </c>
      <c r="S386" s="398">
        <v>1.74</v>
      </c>
      <c r="T386" s="398">
        <v>356</v>
      </c>
      <c r="U386" s="398">
        <v>120.76</v>
      </c>
      <c r="W386" s="401" t="s">
        <v>965</v>
      </c>
      <c r="X386" s="402" t="s">
        <v>489</v>
      </c>
      <c r="Y386" s="386">
        <f t="shared" si="78"/>
        <v>42990.560000000005</v>
      </c>
      <c r="Z386" s="387">
        <f t="shared" si="79"/>
        <v>4.2969526333222915E-2</v>
      </c>
      <c r="AA386" s="387">
        <f t="shared" si="80"/>
        <v>1.7399999999999999E-2</v>
      </c>
      <c r="AB386" s="403">
        <f t="shared" si="81"/>
        <v>6.0743361212321947E-2</v>
      </c>
      <c r="AC386" s="388">
        <f t="shared" si="82"/>
        <v>8.488875246714996E-4</v>
      </c>
      <c r="AD386" s="389">
        <f t="shared" si="83"/>
        <v>5.1564281539754756E-5</v>
      </c>
    </row>
    <row r="387" spans="1:30" x14ac:dyDescent="0.55000000000000004">
      <c r="A387" t="str">
        <f t="shared" si="70"/>
        <v>Public Storage</v>
      </c>
      <c r="B387" t="str">
        <f t="shared" si="70"/>
        <v>PSA</v>
      </c>
      <c r="C387" s="382">
        <f t="shared" si="71"/>
        <v>4.0508576789064596E-2</v>
      </c>
      <c r="D387" s="383">
        <f t="shared" si="72"/>
        <v>52443.977993679997</v>
      </c>
      <c r="E387" s="384">
        <f t="shared" si="73"/>
        <v>2.0950000000000003E-2</v>
      </c>
      <c r="F387" s="385">
        <v>7.0000000000000007E-2</v>
      </c>
      <c r="G387" s="382">
        <v>1.74542E-2</v>
      </c>
      <c r="H387" s="399">
        <f t="shared" si="74"/>
        <v>3.6134733333333335E-2</v>
      </c>
      <c r="I387" s="399">
        <f t="shared" si="75"/>
        <v>7.7375193432390785E-2</v>
      </c>
      <c r="J387" s="382">
        <f t="shared" si="76"/>
        <v>9.8086423666708363E-4</v>
      </c>
      <c r="K387" s="382">
        <f t="shared" si="77"/>
        <v>7.5894560043029925E-5</v>
      </c>
      <c r="M387" s="400"/>
      <c r="N387" s="398" t="s">
        <v>4297</v>
      </c>
      <c r="O387" s="398" t="s">
        <v>490</v>
      </c>
      <c r="P387" s="398" t="s">
        <v>491</v>
      </c>
      <c r="Q387" s="398">
        <v>52443977993.68</v>
      </c>
      <c r="R387" s="398">
        <v>4.0508576789064596</v>
      </c>
      <c r="S387" s="398">
        <v>2.0950000000000002</v>
      </c>
      <c r="T387" s="398">
        <v>175.70349999999999</v>
      </c>
      <c r="U387" s="398">
        <v>298.48</v>
      </c>
      <c r="W387" s="401" t="s">
        <v>490</v>
      </c>
      <c r="X387" s="402" t="s">
        <v>491</v>
      </c>
      <c r="Y387" s="386">
        <f t="shared" si="78"/>
        <v>52443.977993679997</v>
      </c>
      <c r="Z387" s="387">
        <f t="shared" si="79"/>
        <v>4.0508576789064596E-2</v>
      </c>
      <c r="AA387" s="387">
        <f t="shared" si="80"/>
        <v>2.0950000000000003E-2</v>
      </c>
      <c r="AB387" s="403">
        <f t="shared" si="81"/>
        <v>6.1882904130930054E-2</v>
      </c>
      <c r="AC387" s="388">
        <f t="shared" si="82"/>
        <v>1.035553820722075E-3</v>
      </c>
      <c r="AD387" s="389">
        <f t="shared" si="83"/>
        <v>6.4083077810162491E-5</v>
      </c>
    </row>
    <row r="388" spans="1:30" x14ac:dyDescent="0.55000000000000004">
      <c r="A388" t="str">
        <f t="shared" si="70"/>
        <v>Phillips 66</v>
      </c>
      <c r="B388" t="str">
        <f t="shared" si="70"/>
        <v>PSX</v>
      </c>
      <c r="C388" s="382">
        <f t="shared" si="71"/>
        <v>3.9993212861627214E-2</v>
      </c>
      <c r="D388" s="383">
        <f t="shared" si="72"/>
        <v>48679.040186489998</v>
      </c>
      <c r="E388" s="384">
        <f t="shared" si="73"/>
        <v>-9.8900000000000002E-2</v>
      </c>
      <c r="F388" s="385">
        <v>5.0000000000000001E-3</v>
      </c>
      <c r="G388" s="382">
        <v>0.04</v>
      </c>
      <c r="H388" s="399">
        <f t="shared" si="74"/>
        <v>-1.7966666666666666E-2</v>
      </c>
      <c r="I388" s="399">
        <f t="shared" si="75"/>
        <v>2.1667273832753596E-2</v>
      </c>
      <c r="J388" s="382">
        <f t="shared" si="76"/>
        <v>9.1044828063885298E-4</v>
      </c>
      <c r="K388" s="382">
        <f t="shared" si="77"/>
        <v>1.9726932207161721E-5</v>
      </c>
      <c r="M388" s="400"/>
      <c r="N388" s="398" t="s">
        <v>4298</v>
      </c>
      <c r="O388" s="398" t="s">
        <v>492</v>
      </c>
      <c r="P388" s="398" t="s">
        <v>493</v>
      </c>
      <c r="Q388" s="398">
        <v>48679040186.489998</v>
      </c>
      <c r="R388" s="398">
        <v>3.9993212861627216</v>
      </c>
      <c r="S388" s="398">
        <v>-9.89</v>
      </c>
      <c r="T388" s="398">
        <v>412.98919999999998</v>
      </c>
      <c r="U388" s="398">
        <v>117.87</v>
      </c>
      <c r="W388" s="401" t="s">
        <v>492</v>
      </c>
      <c r="X388" s="402" t="s">
        <v>493</v>
      </c>
      <c r="Y388" s="386">
        <f t="shared" si="78"/>
        <v>48679.040186489998</v>
      </c>
      <c r="Z388" s="387">
        <f t="shared" si="79"/>
        <v>3.9993212861627214E-2</v>
      </c>
      <c r="AA388" s="387">
        <f t="shared" si="80"/>
        <v>-9.8900000000000002E-2</v>
      </c>
      <c r="AB388" s="403">
        <f t="shared" si="81"/>
        <v>-6.0884451514380253E-2</v>
      </c>
      <c r="AC388" s="388">
        <f t="shared" si="82"/>
        <v>9.6121171548577047E-4</v>
      </c>
      <c r="AD388" s="389">
        <f t="shared" si="83"/>
        <v>-5.8522848086547658E-5</v>
      </c>
    </row>
    <row r="389" spans="1:30" x14ac:dyDescent="0.55000000000000004">
      <c r="A389" t="str">
        <f t="shared" si="70"/>
        <v>PTC Inc</v>
      </c>
      <c r="B389" t="str">
        <f t="shared" si="70"/>
        <v>PTC</v>
      </c>
      <c r="C389" s="382">
        <f t="shared" si="71"/>
        <v>0</v>
      </c>
      <c r="D389" s="383">
        <f t="shared" si="72"/>
        <v>23286.416192479996</v>
      </c>
      <c r="E389" s="384">
        <f t="shared" si="73"/>
        <v>0.16589999999999999</v>
      </c>
      <c r="F389" s="385">
        <v>0.11</v>
      </c>
      <c r="G389" s="382">
        <v>0.1649959</v>
      </c>
      <c r="H389" s="399">
        <f t="shared" si="74"/>
        <v>0.14696529999999999</v>
      </c>
      <c r="I389" s="399">
        <f t="shared" si="75"/>
        <v>0.14696529999999999</v>
      </c>
      <c r="J389" s="382">
        <f t="shared" si="76"/>
        <v>4.3552784737461075E-4</v>
      </c>
      <c r="K389" s="382">
        <f t="shared" si="77"/>
        <v>6.4007480747763876E-5</v>
      </c>
      <c r="M389" s="400"/>
      <c r="N389" s="398" t="s">
        <v>4299</v>
      </c>
      <c r="O389" s="398" t="s">
        <v>966</v>
      </c>
      <c r="P389" s="398" t="s">
        <v>494</v>
      </c>
      <c r="Q389" s="398">
        <v>23286416192.479996</v>
      </c>
      <c r="R389" s="398">
        <v>0</v>
      </c>
      <c r="S389" s="398">
        <v>16.59</v>
      </c>
      <c r="T389" s="398">
        <v>120.3557</v>
      </c>
      <c r="U389" s="398">
        <v>193.48</v>
      </c>
      <c r="W389" s="401" t="s">
        <v>966</v>
      </c>
      <c r="X389" s="402" t="s">
        <v>494</v>
      </c>
      <c r="Y389" s="386">
        <f t="shared" si="78"/>
        <v>23286.416192479996</v>
      </c>
      <c r="Z389" s="387">
        <f t="shared" si="79"/>
        <v>0</v>
      </c>
      <c r="AA389" s="387">
        <f t="shared" si="80"/>
        <v>0.16589999999999999</v>
      </c>
      <c r="AB389" s="403">
        <f t="shared" si="81"/>
        <v>0.16589999999999999</v>
      </c>
      <c r="AC389" s="388">
        <f t="shared" si="82"/>
        <v>4.5981136789343215E-4</v>
      </c>
      <c r="AD389" s="389">
        <f t="shared" si="83"/>
        <v>7.6282705933520393E-5</v>
      </c>
    </row>
    <row r="390" spans="1:30" x14ac:dyDescent="0.55000000000000004">
      <c r="A390" t="str">
        <f t="shared" ref="A390:B453" si="84">O390</f>
        <v>Quanta Services Inc</v>
      </c>
      <c r="B390" t="str">
        <f t="shared" si="84"/>
        <v>PWR</v>
      </c>
      <c r="C390" s="382">
        <f t="shared" ref="C390:C453" si="85">VLOOKUP($B390,$X$5:$AA$504, 3, FALSE)</f>
        <v>1.193069145996554E-3</v>
      </c>
      <c r="D390" s="383">
        <f t="shared" ref="D390:D453" si="86">VLOOKUP($B390,$X$5:$AA$504, 2, FALSE)</f>
        <v>45406.802737949998</v>
      </c>
      <c r="E390" s="384">
        <f t="shared" ref="E390:E453" si="87">VLOOKUP($B390,$X$5:$AA$504, 4, FALSE)</f>
        <v>0.21400000000000002</v>
      </c>
      <c r="F390" s="385">
        <v>0.19</v>
      </c>
      <c r="G390" s="382">
        <v>0.17266049999999999</v>
      </c>
      <c r="H390" s="399">
        <f t="shared" ref="H390:H453" si="88">IFERROR(AVERAGE(E390:G390),"N/A")</f>
        <v>0.19222016666666666</v>
      </c>
      <c r="I390" s="399">
        <f t="shared" ref="I390:I453" si="89">IFERROR(C390*(1+0.5*H390)+H390,"N/A")</f>
        <v>0.19352790178770737</v>
      </c>
      <c r="J390" s="382">
        <f t="shared" ref="J390:J453" si="90">IF(I390="N/A","N/A",D390/$D$505)</f>
        <v>8.4924734184770295E-4</v>
      </c>
      <c r="K390" s="382">
        <f t="shared" ref="K390:K453" si="91">IF(AND(ISNUMBER(D390),ISNUMBER(I390)),I390*J390,"N/A")</f>
        <v>1.6435305616657381E-4</v>
      </c>
      <c r="M390" s="400"/>
      <c r="N390" s="398" t="s">
        <v>4300</v>
      </c>
      <c r="O390" s="398" t="s">
        <v>967</v>
      </c>
      <c r="P390" s="398" t="s">
        <v>495</v>
      </c>
      <c r="Q390" s="398">
        <v>45406802737.949997</v>
      </c>
      <c r="R390" s="398">
        <v>0.11930691459965541</v>
      </c>
      <c r="S390" s="398">
        <v>21.400000000000002</v>
      </c>
      <c r="T390" s="398">
        <v>147.61159999999998</v>
      </c>
      <c r="U390" s="398">
        <v>307.61</v>
      </c>
      <c r="W390" s="401" t="s">
        <v>967</v>
      </c>
      <c r="X390" s="402" t="s">
        <v>495</v>
      </c>
      <c r="Y390" s="386">
        <f t="shared" ref="Y390:Y453" si="92">Q390/1000000</f>
        <v>45406.802737949998</v>
      </c>
      <c r="Z390" s="387">
        <f t="shared" ref="Z390:Z453" si="93">IFERROR(R390/100,"0.00%")</f>
        <v>1.193069145996554E-3</v>
      </c>
      <c r="AA390" s="387">
        <f t="shared" ref="AA390:AA453" si="94">IFERROR(S390/100,"N/A")</f>
        <v>0.21400000000000002</v>
      </c>
      <c r="AB390" s="403">
        <f t="shared" ref="AB390:AB453" si="95">IFERROR(Z390*(1+0.5*AA390)+AA390,"N/A")</f>
        <v>0.2153207275446182</v>
      </c>
      <c r="AC390" s="388">
        <f t="shared" ref="AC390:AC453" si="96">IF(Y390= "N/A","N/A", Y390/$Y$506)</f>
        <v>8.9659842485107063E-4</v>
      </c>
      <c r="AD390" s="389">
        <f t="shared" ref="AD390:AD453" si="97">IF(AND(ISNUMBER(Y390),ISNUMBER(AB390)),AB390*AC390,"N/A")</f>
        <v>1.9305622515429122E-4</v>
      </c>
    </row>
    <row r="391" spans="1:30" x14ac:dyDescent="0.55000000000000004">
      <c r="A391" t="str">
        <f t="shared" si="84"/>
        <v>PayPal Holdings Inc</v>
      </c>
      <c r="B391" t="str">
        <f t="shared" si="84"/>
        <v>PYPL</v>
      </c>
      <c r="C391" s="382" t="str">
        <f t="shared" si="85"/>
        <v>0.00%</v>
      </c>
      <c r="D391" s="383">
        <f t="shared" si="86"/>
        <v>88804.889384239999</v>
      </c>
      <c r="E391" s="384">
        <f t="shared" si="87"/>
        <v>0.14005000000000001</v>
      </c>
      <c r="F391" s="385">
        <v>0.115</v>
      </c>
      <c r="G391" s="382">
        <v>0.11913679999999999</v>
      </c>
      <c r="H391" s="399">
        <f t="shared" si="88"/>
        <v>0.12472893333333333</v>
      </c>
      <c r="I391" s="399">
        <f t="shared" si="89"/>
        <v>0.12472893333333333</v>
      </c>
      <c r="J391" s="382">
        <f t="shared" si="90"/>
        <v>1.6609254936510425E-3</v>
      </c>
      <c r="K391" s="382">
        <f t="shared" si="91"/>
        <v>2.0716546516923463E-4</v>
      </c>
      <c r="M391" s="400"/>
      <c r="N391" s="398" t="s">
        <v>4301</v>
      </c>
      <c r="O391" s="398" t="s">
        <v>968</v>
      </c>
      <c r="P391" s="398" t="s">
        <v>496</v>
      </c>
      <c r="Q391" s="398">
        <v>88804889384.240005</v>
      </c>
      <c r="R391" s="398" t="s">
        <v>3929</v>
      </c>
      <c r="S391" s="398">
        <v>14.005000000000001</v>
      </c>
      <c r="T391" s="398">
        <v>1002.539</v>
      </c>
      <c r="U391" s="398">
        <v>88.58</v>
      </c>
      <c r="W391" s="401" t="s">
        <v>968</v>
      </c>
      <c r="X391" s="402" t="s">
        <v>496</v>
      </c>
      <c r="Y391" s="386">
        <f t="shared" si="92"/>
        <v>88804.889384239999</v>
      </c>
      <c r="Z391" s="387" t="str">
        <f t="shared" si="93"/>
        <v>0.00%</v>
      </c>
      <c r="AA391" s="387">
        <f t="shared" si="94"/>
        <v>0.14005000000000001</v>
      </c>
      <c r="AB391" s="403">
        <f t="shared" si="95"/>
        <v>0.14005000000000001</v>
      </c>
      <c r="AC391" s="388">
        <f t="shared" si="96"/>
        <v>1.7535329320695944E-3</v>
      </c>
      <c r="AD391" s="389">
        <f t="shared" si="97"/>
        <v>2.455822871363467E-4</v>
      </c>
    </row>
    <row r="392" spans="1:30" x14ac:dyDescent="0.55000000000000004">
      <c r="A392" t="str">
        <f t="shared" si="84"/>
        <v>QUALCOMM Inc</v>
      </c>
      <c r="B392" t="str">
        <f t="shared" si="84"/>
        <v>QCOM</v>
      </c>
      <c r="C392" s="382">
        <f t="shared" si="85"/>
        <v>2.0597929798184242E-2</v>
      </c>
      <c r="D392" s="383">
        <f t="shared" si="86"/>
        <v>191155.38581635003</v>
      </c>
      <c r="E392" s="384">
        <f t="shared" si="87"/>
        <v>8.4499999999999992E-2</v>
      </c>
      <c r="F392" s="385">
        <v>0.06</v>
      </c>
      <c r="G392" s="382">
        <v>5.0523800000000001E-2</v>
      </c>
      <c r="H392" s="399">
        <f t="shared" si="88"/>
        <v>6.5007933333333337E-2</v>
      </c>
      <c r="I392" s="399">
        <f t="shared" si="89"/>
        <v>8.6275377555080107E-2</v>
      </c>
      <c r="J392" s="382">
        <f t="shared" si="90"/>
        <v>3.5751956424081954E-3</v>
      </c>
      <c r="K392" s="382">
        <f t="shared" si="91"/>
        <v>3.0845135388204422E-4</v>
      </c>
      <c r="M392" s="400"/>
      <c r="N392" s="398" t="s">
        <v>4302</v>
      </c>
      <c r="O392" s="398" t="s">
        <v>969</v>
      </c>
      <c r="P392" s="398" t="s">
        <v>497</v>
      </c>
      <c r="Q392" s="398">
        <v>191155385816.35004</v>
      </c>
      <c r="R392" s="398">
        <v>2.059792979818424</v>
      </c>
      <c r="S392" s="398">
        <v>8.4499999999999993</v>
      </c>
      <c r="T392" s="398">
        <v>1105.3920000000001</v>
      </c>
      <c r="U392" s="398">
        <v>172.93</v>
      </c>
      <c r="W392" s="401" t="s">
        <v>969</v>
      </c>
      <c r="X392" s="402" t="s">
        <v>497</v>
      </c>
      <c r="Y392" s="386">
        <f t="shared" si="92"/>
        <v>191155.38581635003</v>
      </c>
      <c r="Z392" s="387">
        <f t="shared" si="93"/>
        <v>2.0597929798184242E-2</v>
      </c>
      <c r="AA392" s="387">
        <f t="shared" si="94"/>
        <v>8.4499999999999992E-2</v>
      </c>
      <c r="AB392" s="403">
        <f t="shared" si="95"/>
        <v>0.10596819233215751</v>
      </c>
      <c r="AC392" s="388">
        <f t="shared" si="96"/>
        <v>3.7745361375443086E-3</v>
      </c>
      <c r="AD392" s="389">
        <f t="shared" si="97"/>
        <v>3.9998077138797425E-4</v>
      </c>
    </row>
    <row r="393" spans="1:30" x14ac:dyDescent="0.55000000000000004">
      <c r="A393" t="str">
        <f t="shared" si="84"/>
        <v>Royal Caribbean Cruises Ltd</v>
      </c>
      <c r="B393" t="str">
        <f t="shared" si="84"/>
        <v>RCL</v>
      </c>
      <c r="C393" s="382">
        <f t="shared" si="85"/>
        <v>7.6481620405101265E-3</v>
      </c>
      <c r="D393" s="383">
        <f t="shared" si="86"/>
        <v>71682.138984000005</v>
      </c>
      <c r="E393" s="384">
        <f t="shared" si="87"/>
        <v>0.18100000000000002</v>
      </c>
      <c r="F393" s="385" t="s">
        <v>184</v>
      </c>
      <c r="G393" s="382" t="s">
        <v>14</v>
      </c>
      <c r="H393" s="399">
        <f t="shared" si="88"/>
        <v>0.18100000000000002</v>
      </c>
      <c r="I393" s="399">
        <f t="shared" si="89"/>
        <v>0.18934032070517631</v>
      </c>
      <c r="J393" s="382">
        <f t="shared" si="90"/>
        <v>1.3406772183772566E-3</v>
      </c>
      <c r="K393" s="382">
        <f t="shared" si="91"/>
        <v>2.5384425448967345E-4</v>
      </c>
      <c r="M393" s="400"/>
      <c r="N393" s="398" t="s">
        <v>4303</v>
      </c>
      <c r="O393" s="398" t="s">
        <v>970</v>
      </c>
      <c r="P393" s="398" t="s">
        <v>498</v>
      </c>
      <c r="Q393" s="398">
        <v>71682138984</v>
      </c>
      <c r="R393" s="398">
        <v>0.76481620405101269</v>
      </c>
      <c r="S393" s="398">
        <v>18.100000000000001</v>
      </c>
      <c r="T393" s="398">
        <v>268.87520000000001</v>
      </c>
      <c r="U393" s="398">
        <v>266.60000000000002</v>
      </c>
      <c r="W393" s="401" t="s">
        <v>970</v>
      </c>
      <c r="X393" s="402" t="s">
        <v>498</v>
      </c>
      <c r="Y393" s="386">
        <f t="shared" si="92"/>
        <v>71682.138984000005</v>
      </c>
      <c r="Z393" s="387">
        <f t="shared" si="93"/>
        <v>7.6481620405101265E-3</v>
      </c>
      <c r="AA393" s="387">
        <f t="shared" si="94"/>
        <v>0.18100000000000002</v>
      </c>
      <c r="AB393" s="403">
        <f t="shared" si="95"/>
        <v>0.18934032070517631</v>
      </c>
      <c r="AC393" s="388">
        <f t="shared" si="96"/>
        <v>1.4154287249406885E-3</v>
      </c>
      <c r="AD393" s="389">
        <f t="shared" si="97"/>
        <v>2.6799772871558876E-4</v>
      </c>
    </row>
    <row r="394" spans="1:30" x14ac:dyDescent="0.55000000000000004">
      <c r="A394" t="str">
        <f t="shared" si="84"/>
        <v>Regency Centers Corp</v>
      </c>
      <c r="B394" t="str">
        <f t="shared" si="84"/>
        <v>REG</v>
      </c>
      <c r="C394" s="382">
        <f t="shared" si="85"/>
        <v>3.7499999999999999E-2</v>
      </c>
      <c r="D394" s="383">
        <f t="shared" si="86"/>
        <v>13444.36181264</v>
      </c>
      <c r="E394" s="384">
        <f t="shared" si="87"/>
        <v>4.3100000000000006E-2</v>
      </c>
      <c r="F394" s="385">
        <v>0.115</v>
      </c>
      <c r="G394" s="382">
        <v>4.5548000000000005E-2</v>
      </c>
      <c r="H394" s="399">
        <f t="shared" si="88"/>
        <v>6.7882666666666674E-2</v>
      </c>
      <c r="I394" s="399">
        <f t="shared" si="89"/>
        <v>0.10665546666666667</v>
      </c>
      <c r="J394" s="382">
        <f t="shared" si="90"/>
        <v>2.5145105675279618E-4</v>
      </c>
      <c r="K394" s="382">
        <f t="shared" si="91"/>
        <v>2.681862980179596E-5</v>
      </c>
      <c r="M394" s="400"/>
      <c r="N394" s="398" t="s">
        <v>4304</v>
      </c>
      <c r="O394" s="398" t="s">
        <v>971</v>
      </c>
      <c r="P394" s="398" t="s">
        <v>499</v>
      </c>
      <c r="Q394" s="398">
        <v>13444361812.639999</v>
      </c>
      <c r="R394" s="398">
        <v>3.7499999999999996</v>
      </c>
      <c r="S394" s="398">
        <v>4.3100000000000005</v>
      </c>
      <c r="T394" s="398">
        <v>181.50539999999998</v>
      </c>
      <c r="U394" s="398">
        <v>71.84</v>
      </c>
      <c r="W394" s="401" t="s">
        <v>971</v>
      </c>
      <c r="X394" s="402" t="s">
        <v>499</v>
      </c>
      <c r="Y394" s="386">
        <f t="shared" si="92"/>
        <v>13444.36181264</v>
      </c>
      <c r="Z394" s="387">
        <f t="shared" si="93"/>
        <v>3.7499999999999999E-2</v>
      </c>
      <c r="AA394" s="387">
        <f t="shared" si="94"/>
        <v>4.3100000000000006E-2</v>
      </c>
      <c r="AB394" s="403">
        <f t="shared" si="95"/>
        <v>8.1408124999999998E-2</v>
      </c>
      <c r="AC394" s="388">
        <f t="shared" si="96"/>
        <v>2.6547109458262475E-4</v>
      </c>
      <c r="AD394" s="389">
        <f t="shared" si="97"/>
        <v>2.1611504051669137E-5</v>
      </c>
    </row>
    <row r="395" spans="1:30" x14ac:dyDescent="0.55000000000000004">
      <c r="A395" t="str">
        <f t="shared" si="84"/>
        <v>Regeneron Pharmaceuticals Inc</v>
      </c>
      <c r="B395" t="str">
        <f t="shared" si="84"/>
        <v>REGN</v>
      </c>
      <c r="C395" s="382" t="str">
        <f t="shared" si="85"/>
        <v>0.00%</v>
      </c>
      <c r="D395" s="383">
        <f t="shared" si="86"/>
        <v>73953.456572380004</v>
      </c>
      <c r="E395" s="384">
        <f t="shared" si="87"/>
        <v>0.28347</v>
      </c>
      <c r="F395" s="385">
        <v>1.4999999999999999E-2</v>
      </c>
      <c r="G395" s="382">
        <v>0.15129889999999999</v>
      </c>
      <c r="H395" s="399">
        <f t="shared" si="88"/>
        <v>0.14992296666666668</v>
      </c>
      <c r="I395" s="399">
        <f t="shared" si="89"/>
        <v>0.14992296666666668</v>
      </c>
      <c r="J395" s="382">
        <f t="shared" si="90"/>
        <v>1.3831578668288928E-3</v>
      </c>
      <c r="K395" s="382">
        <f t="shared" si="91"/>
        <v>2.0736713076332589E-4</v>
      </c>
      <c r="M395" s="400"/>
      <c r="N395" s="398" t="s">
        <v>4305</v>
      </c>
      <c r="O395" s="398" t="s">
        <v>972</v>
      </c>
      <c r="P395" s="398" t="s">
        <v>500</v>
      </c>
      <c r="Q395" s="398">
        <v>73953456572.380005</v>
      </c>
      <c r="R395" s="398" t="s">
        <v>3929</v>
      </c>
      <c r="S395" s="398">
        <v>28.347000000000001</v>
      </c>
      <c r="T395" s="398">
        <v>108.0724</v>
      </c>
      <c r="U395" s="398">
        <v>672.98</v>
      </c>
      <c r="W395" s="401" t="s">
        <v>972</v>
      </c>
      <c r="X395" s="402" t="s">
        <v>500</v>
      </c>
      <c r="Y395" s="386">
        <f t="shared" si="92"/>
        <v>73953.456572380004</v>
      </c>
      <c r="Z395" s="387" t="str">
        <f t="shared" si="93"/>
        <v>0.00%</v>
      </c>
      <c r="AA395" s="387">
        <f t="shared" si="94"/>
        <v>0.28347</v>
      </c>
      <c r="AB395" s="403">
        <f t="shared" si="95"/>
        <v>0.28347</v>
      </c>
      <c r="AC395" s="388">
        <f t="shared" si="96"/>
        <v>1.460277946847608E-3</v>
      </c>
      <c r="AD395" s="389">
        <f t="shared" si="97"/>
        <v>4.1394498959289143E-4</v>
      </c>
    </row>
    <row r="396" spans="1:30" x14ac:dyDescent="0.55000000000000004">
      <c r="A396" t="str">
        <f t="shared" si="84"/>
        <v>Regions Financial Corp</v>
      </c>
      <c r="B396" t="str">
        <f t="shared" si="84"/>
        <v>RF</v>
      </c>
      <c r="C396" s="382">
        <f t="shared" si="85"/>
        <v>4.2004870129870121E-2</v>
      </c>
      <c r="D396" s="383">
        <f t="shared" si="86"/>
        <v>22394.403169600002</v>
      </c>
      <c r="E396" s="384">
        <f t="shared" si="87"/>
        <v>6.4500000000000002E-2</v>
      </c>
      <c r="F396" s="385">
        <v>4.4999999999999998E-2</v>
      </c>
      <c r="G396" s="382">
        <v>7.352439999999999E-2</v>
      </c>
      <c r="H396" s="399">
        <f t="shared" si="88"/>
        <v>6.1008133333333325E-2</v>
      </c>
      <c r="I396" s="399">
        <f t="shared" si="89"/>
        <v>0.10429432282196968</v>
      </c>
      <c r="J396" s="382">
        <f t="shared" si="90"/>
        <v>4.1884445099133632E-4</v>
      </c>
      <c r="K396" s="382">
        <f t="shared" si="91"/>
        <v>4.3683098383881088E-5</v>
      </c>
      <c r="M396" s="400"/>
      <c r="N396" s="398" t="s">
        <v>4306</v>
      </c>
      <c r="O396" s="398" t="s">
        <v>973</v>
      </c>
      <c r="P396" s="398" t="s">
        <v>501</v>
      </c>
      <c r="Q396" s="398">
        <v>22394403169.600002</v>
      </c>
      <c r="R396" s="398">
        <v>4.2004870129870122</v>
      </c>
      <c r="S396" s="398">
        <v>6.45</v>
      </c>
      <c r="T396" s="398">
        <v>908.86379999999997</v>
      </c>
      <c r="U396" s="398">
        <v>24.64</v>
      </c>
      <c r="W396" s="401" t="s">
        <v>973</v>
      </c>
      <c r="X396" s="402" t="s">
        <v>501</v>
      </c>
      <c r="Y396" s="386">
        <f t="shared" si="92"/>
        <v>22394.403169600002</v>
      </c>
      <c r="Z396" s="387">
        <f t="shared" si="93"/>
        <v>4.2004870129870121E-2</v>
      </c>
      <c r="AA396" s="387">
        <f t="shared" si="94"/>
        <v>6.4500000000000002E-2</v>
      </c>
      <c r="AB396" s="403">
        <f t="shared" si="95"/>
        <v>0.10785952719155843</v>
      </c>
      <c r="AC396" s="388">
        <f t="shared" si="96"/>
        <v>4.4219776325633646E-4</v>
      </c>
      <c r="AD396" s="389">
        <f t="shared" si="97"/>
        <v>4.7695241669993143E-5</v>
      </c>
    </row>
    <row r="397" spans="1:30" x14ac:dyDescent="0.55000000000000004">
      <c r="A397" t="str">
        <f t="shared" si="84"/>
        <v>Raymond James Financial Inc</v>
      </c>
      <c r="B397" t="str">
        <f t="shared" si="84"/>
        <v>RJF</v>
      </c>
      <c r="C397" s="382">
        <f t="shared" si="85"/>
        <v>1.1674976258309593E-2</v>
      </c>
      <c r="D397" s="383">
        <f t="shared" si="86"/>
        <v>34430.468342400003</v>
      </c>
      <c r="E397" s="384">
        <f t="shared" si="87"/>
        <v>0.12710000000000002</v>
      </c>
      <c r="F397" s="385">
        <v>0.115</v>
      </c>
      <c r="G397" s="382">
        <v>0.15420529999999999</v>
      </c>
      <c r="H397" s="399">
        <f t="shared" si="88"/>
        <v>0.13210176666666668</v>
      </c>
      <c r="I397" s="399">
        <f t="shared" si="89"/>
        <v>0.14454788541973332</v>
      </c>
      <c r="J397" s="382">
        <f t="shared" si="90"/>
        <v>6.4395601441271614E-4</v>
      </c>
      <c r="K397" s="382">
        <f t="shared" si="91"/>
        <v>9.3082480186677436E-5</v>
      </c>
      <c r="M397" s="400"/>
      <c r="N397" s="398" t="s">
        <v>4307</v>
      </c>
      <c r="O397" s="398" t="s">
        <v>974</v>
      </c>
      <c r="P397" s="398" t="s">
        <v>502</v>
      </c>
      <c r="Q397" s="398">
        <v>34430468342.400002</v>
      </c>
      <c r="R397" s="398">
        <v>1.1674976258309593</v>
      </c>
      <c r="S397" s="398">
        <v>12.71</v>
      </c>
      <c r="T397" s="398">
        <v>204.35939999999999</v>
      </c>
      <c r="U397" s="398">
        <v>168.48</v>
      </c>
      <c r="W397" s="401" t="s">
        <v>974</v>
      </c>
      <c r="X397" s="402" t="s">
        <v>502</v>
      </c>
      <c r="Y397" s="386">
        <f t="shared" si="92"/>
        <v>34430.468342400003</v>
      </c>
      <c r="Z397" s="387">
        <f t="shared" si="93"/>
        <v>1.1674976258309593E-2</v>
      </c>
      <c r="AA397" s="387">
        <f t="shared" si="94"/>
        <v>0.12710000000000002</v>
      </c>
      <c r="AB397" s="403">
        <f t="shared" si="95"/>
        <v>0.13951692099952517</v>
      </c>
      <c r="AC397" s="388">
        <f t="shared" si="96"/>
        <v>6.7986076581603885E-4</v>
      </c>
      <c r="AD397" s="389">
        <f t="shared" si="97"/>
        <v>9.4852080755032983E-5</v>
      </c>
    </row>
    <row r="398" spans="1:30" x14ac:dyDescent="0.55000000000000004">
      <c r="A398" t="str">
        <f t="shared" si="84"/>
        <v>Ralph Lauren Corp</v>
      </c>
      <c r="B398" t="str">
        <f t="shared" si="84"/>
        <v>RL</v>
      </c>
      <c r="C398" s="382">
        <f t="shared" si="85"/>
        <v>1.316379655586704E-2</v>
      </c>
      <c r="D398" s="383">
        <f t="shared" si="86"/>
        <v>15505.9564968</v>
      </c>
      <c r="E398" s="384">
        <f t="shared" si="87"/>
        <v>0.1125</v>
      </c>
      <c r="F398" s="385">
        <v>0.115</v>
      </c>
      <c r="G398" s="382">
        <v>0.11247820000000001</v>
      </c>
      <c r="H398" s="399">
        <f t="shared" si="88"/>
        <v>0.11332606666666667</v>
      </c>
      <c r="I398" s="399">
        <f t="shared" si="89"/>
        <v>0.12723576386557203</v>
      </c>
      <c r="J398" s="382">
        <f t="shared" si="90"/>
        <v>2.9000923966636546E-4</v>
      </c>
      <c r="K398" s="382">
        <f t="shared" si="91"/>
        <v>3.6899547137023764E-5</v>
      </c>
      <c r="M398" s="400"/>
      <c r="N398" s="398" t="s">
        <v>4308</v>
      </c>
      <c r="O398" s="398" t="s">
        <v>975</v>
      </c>
      <c r="P398" s="398" t="s">
        <v>503</v>
      </c>
      <c r="Q398" s="398">
        <v>15505956496.799999</v>
      </c>
      <c r="R398" s="398">
        <v>1.316379655586704</v>
      </c>
      <c r="S398" s="398">
        <v>11.25</v>
      </c>
      <c r="T398" s="398">
        <v>40.21707</v>
      </c>
      <c r="U398" s="398">
        <v>249.7</v>
      </c>
      <c r="W398" s="401" t="s">
        <v>975</v>
      </c>
      <c r="X398" s="402" t="s">
        <v>503</v>
      </c>
      <c r="Y398" s="386">
        <f t="shared" si="92"/>
        <v>15505.9564968</v>
      </c>
      <c r="Z398" s="387">
        <f t="shared" si="93"/>
        <v>1.316379655586704E-2</v>
      </c>
      <c r="AA398" s="387">
        <f t="shared" si="94"/>
        <v>0.1125</v>
      </c>
      <c r="AB398" s="403">
        <f t="shared" si="95"/>
        <v>0.12640426011213457</v>
      </c>
      <c r="AC398" s="388">
        <f t="shared" si="96"/>
        <v>3.0617914789275849E-4</v>
      </c>
      <c r="AD398" s="389">
        <f t="shared" si="97"/>
        <v>3.8702348651147961E-5</v>
      </c>
    </row>
    <row r="399" spans="1:30" x14ac:dyDescent="0.55000000000000004">
      <c r="A399" t="str">
        <f t="shared" si="84"/>
        <v>ResMed Inc</v>
      </c>
      <c r="B399" t="str">
        <f t="shared" si="84"/>
        <v>RMD</v>
      </c>
      <c r="C399" s="382">
        <f t="shared" si="85"/>
        <v>9.391142349055805E-3</v>
      </c>
      <c r="D399" s="383">
        <f t="shared" si="86"/>
        <v>34687.027276159999</v>
      </c>
      <c r="E399" s="384">
        <f t="shared" si="87"/>
        <v>0.14080000000000001</v>
      </c>
      <c r="F399" s="385">
        <v>0.115</v>
      </c>
      <c r="G399" s="382">
        <v>0.16692340000000003</v>
      </c>
      <c r="H399" s="399">
        <f t="shared" si="88"/>
        <v>0.14090780000000003</v>
      </c>
      <c r="I399" s="399">
        <f t="shared" si="89"/>
        <v>0.15096058495300196</v>
      </c>
      <c r="J399" s="382">
        <f t="shared" si="90"/>
        <v>6.4875445824458841E-4</v>
      </c>
      <c r="K399" s="382">
        <f t="shared" si="91"/>
        <v>9.7936352507470959E-5</v>
      </c>
      <c r="M399" s="400"/>
      <c r="N399" s="398" t="s">
        <v>4309</v>
      </c>
      <c r="O399" s="398" t="s">
        <v>976</v>
      </c>
      <c r="P399" s="398" t="s">
        <v>504</v>
      </c>
      <c r="Q399" s="398">
        <v>34687027276.159996</v>
      </c>
      <c r="R399" s="398">
        <v>0.93911423490558055</v>
      </c>
      <c r="S399" s="398">
        <v>14.08</v>
      </c>
      <c r="T399" s="398">
        <v>146.86689999999999</v>
      </c>
      <c r="U399" s="398">
        <v>236.18</v>
      </c>
      <c r="W399" s="401" t="s">
        <v>976</v>
      </c>
      <c r="X399" s="402" t="s">
        <v>504</v>
      </c>
      <c r="Y399" s="386">
        <f t="shared" si="92"/>
        <v>34687.027276159999</v>
      </c>
      <c r="Z399" s="387">
        <f t="shared" si="93"/>
        <v>9.391142349055805E-3</v>
      </c>
      <c r="AA399" s="387">
        <f t="shared" si="94"/>
        <v>0.14080000000000001</v>
      </c>
      <c r="AB399" s="403">
        <f t="shared" si="95"/>
        <v>0.15085227877042934</v>
      </c>
      <c r="AC399" s="388">
        <f t="shared" si="96"/>
        <v>6.8492675421469849E-4</v>
      </c>
      <c r="AD399" s="389">
        <f t="shared" si="97"/>
        <v>1.0332276166412104E-4</v>
      </c>
    </row>
    <row r="400" spans="1:30" x14ac:dyDescent="0.55000000000000004">
      <c r="A400" t="str">
        <f t="shared" si="84"/>
        <v>Rockwell Automation Inc</v>
      </c>
      <c r="B400" t="str">
        <f t="shared" si="84"/>
        <v>ROK</v>
      </c>
      <c r="C400" s="382">
        <f t="shared" si="85"/>
        <v>1.8679739970549152E-2</v>
      </c>
      <c r="D400" s="383">
        <f t="shared" si="86"/>
        <v>31435.63686228</v>
      </c>
      <c r="E400" s="384">
        <f t="shared" si="87"/>
        <v>0.14929999999999999</v>
      </c>
      <c r="F400" s="385">
        <v>9.5000000000000001E-2</v>
      </c>
      <c r="G400" s="382">
        <v>6.4250000000000002E-2</v>
      </c>
      <c r="H400" s="399">
        <f t="shared" si="88"/>
        <v>0.10285</v>
      </c>
      <c r="I400" s="399">
        <f t="shared" si="89"/>
        <v>0.12249034559853464</v>
      </c>
      <c r="J400" s="382">
        <f t="shared" si="90"/>
        <v>5.8794342333794191E-4</v>
      </c>
      <c r="K400" s="382">
        <f t="shared" si="91"/>
        <v>7.201739311705006E-5</v>
      </c>
      <c r="M400" s="400"/>
      <c r="N400" s="398" t="s">
        <v>4310</v>
      </c>
      <c r="O400" s="398" t="s">
        <v>977</v>
      </c>
      <c r="P400" s="398" t="s">
        <v>505</v>
      </c>
      <c r="Q400" s="398">
        <v>31435636862.279999</v>
      </c>
      <c r="R400" s="398">
        <v>1.8679739970549152</v>
      </c>
      <c r="S400" s="398">
        <v>14.93</v>
      </c>
      <c r="T400" s="398">
        <v>112.9032</v>
      </c>
      <c r="U400" s="398">
        <v>278.43</v>
      </c>
      <c r="W400" s="401" t="s">
        <v>977</v>
      </c>
      <c r="X400" s="402" t="s">
        <v>505</v>
      </c>
      <c r="Y400" s="386">
        <f t="shared" si="92"/>
        <v>31435.63686228</v>
      </c>
      <c r="Z400" s="387">
        <f t="shared" si="93"/>
        <v>1.8679739970549152E-2</v>
      </c>
      <c r="AA400" s="387">
        <f t="shared" si="94"/>
        <v>0.14929999999999999</v>
      </c>
      <c r="AB400" s="403">
        <f t="shared" si="95"/>
        <v>0.16937418255935063</v>
      </c>
      <c r="AC400" s="388">
        <f t="shared" si="96"/>
        <v>6.2072510715126792E-4</v>
      </c>
      <c r="AD400" s="389">
        <f t="shared" si="97"/>
        <v>1.0513480761781133E-4</v>
      </c>
    </row>
    <row r="401" spans="1:30" x14ac:dyDescent="0.55000000000000004">
      <c r="A401" t="str">
        <f t="shared" si="84"/>
        <v>Rollins Inc</v>
      </c>
      <c r="B401" t="str">
        <f t="shared" si="84"/>
        <v>ROL</v>
      </c>
      <c r="C401" s="382">
        <f t="shared" si="85"/>
        <v>1.2282828282828282E-2</v>
      </c>
      <c r="D401" s="383">
        <f t="shared" si="86"/>
        <v>23973.098291999999</v>
      </c>
      <c r="E401" s="384">
        <f t="shared" si="87"/>
        <v>0.14000000000000001</v>
      </c>
      <c r="F401" s="385">
        <v>0.115</v>
      </c>
      <c r="G401" s="382">
        <v>0.127</v>
      </c>
      <c r="H401" s="399">
        <f t="shared" si="88"/>
        <v>0.12733333333333333</v>
      </c>
      <c r="I401" s="399">
        <f t="shared" si="89"/>
        <v>0.14039816835016836</v>
      </c>
      <c r="J401" s="382">
        <f t="shared" si="90"/>
        <v>4.4837092181606149E-4</v>
      </c>
      <c r="K401" s="382">
        <f t="shared" si="91"/>
        <v>6.2950456164451575E-5</v>
      </c>
      <c r="M401" s="400"/>
      <c r="N401" s="398" t="s">
        <v>4311</v>
      </c>
      <c r="O401" s="398" t="s">
        <v>978</v>
      </c>
      <c r="P401" s="398" t="s">
        <v>506</v>
      </c>
      <c r="Q401" s="398">
        <v>23973098292</v>
      </c>
      <c r="R401" s="398">
        <v>1.2282828282828282</v>
      </c>
      <c r="S401" s="398">
        <v>14</v>
      </c>
      <c r="T401" s="398">
        <v>484.30499999999995</v>
      </c>
      <c r="U401" s="398">
        <v>49.5</v>
      </c>
      <c r="W401" s="401" t="s">
        <v>978</v>
      </c>
      <c r="X401" s="402" t="s">
        <v>506</v>
      </c>
      <c r="Y401" s="386">
        <f t="shared" si="92"/>
        <v>23973.098291999999</v>
      </c>
      <c r="Z401" s="387">
        <f t="shared" si="93"/>
        <v>1.2282828282828282E-2</v>
      </c>
      <c r="AA401" s="387">
        <f t="shared" si="94"/>
        <v>0.14000000000000001</v>
      </c>
      <c r="AB401" s="403">
        <f t="shared" si="95"/>
        <v>0.15314262626262629</v>
      </c>
      <c r="AC401" s="388">
        <f t="shared" si="96"/>
        <v>4.733705275716909E-4</v>
      </c>
      <c r="AD401" s="389">
        <f t="shared" si="97"/>
        <v>7.2493205787653694E-5</v>
      </c>
    </row>
    <row r="402" spans="1:30" x14ac:dyDescent="0.55000000000000004">
      <c r="A402" t="str">
        <f t="shared" si="84"/>
        <v>Roper Technologies Inc</v>
      </c>
      <c r="B402" t="str">
        <f t="shared" si="84"/>
        <v>ROP</v>
      </c>
      <c r="C402" s="382">
        <f t="shared" si="85"/>
        <v>5.6353687136280741E-3</v>
      </c>
      <c r="D402" s="383">
        <f t="shared" si="86"/>
        <v>61726.46077315</v>
      </c>
      <c r="E402" s="384" t="str">
        <f t="shared" si="87"/>
        <v>N/A</v>
      </c>
      <c r="F402" s="385">
        <v>0.09</v>
      </c>
      <c r="G402" s="382">
        <v>0.1</v>
      </c>
      <c r="H402" s="399">
        <f t="shared" si="88"/>
        <v>9.5000000000000001E-2</v>
      </c>
      <c r="I402" s="399">
        <f t="shared" si="89"/>
        <v>0.10090304872752541</v>
      </c>
      <c r="J402" s="382">
        <f t="shared" si="90"/>
        <v>1.154475311459263E-3</v>
      </c>
      <c r="K402" s="382">
        <f t="shared" si="91"/>
        <v>1.1649007860689908E-4</v>
      </c>
      <c r="M402" s="400"/>
      <c r="N402" s="398" t="s">
        <v>4312</v>
      </c>
      <c r="O402" s="398" t="s">
        <v>979</v>
      </c>
      <c r="P402" s="398" t="s">
        <v>507</v>
      </c>
      <c r="Q402" s="398">
        <v>61726460773.150002</v>
      </c>
      <c r="R402" s="398">
        <v>0.56353687136280739</v>
      </c>
      <c r="S402" s="398" t="s">
        <v>3929</v>
      </c>
      <c r="T402" s="398">
        <v>107.22919999999999</v>
      </c>
      <c r="U402" s="398">
        <v>575.65</v>
      </c>
      <c r="W402" s="401" t="s">
        <v>979</v>
      </c>
      <c r="X402" s="402" t="s">
        <v>507</v>
      </c>
      <c r="Y402" s="386">
        <f t="shared" si="92"/>
        <v>61726.46077315</v>
      </c>
      <c r="Z402" s="387">
        <f t="shared" si="93"/>
        <v>5.6353687136280741E-3</v>
      </c>
      <c r="AA402" s="387" t="str">
        <f t="shared" si="94"/>
        <v>N/A</v>
      </c>
      <c r="AB402" s="403" t="str">
        <f t="shared" si="95"/>
        <v>N/A</v>
      </c>
      <c r="AC402" s="388">
        <f t="shared" si="96"/>
        <v>1.2188448462279095E-3</v>
      </c>
      <c r="AD402" s="389" t="str">
        <f t="shared" si="97"/>
        <v>N/A</v>
      </c>
    </row>
    <row r="403" spans="1:30" x14ac:dyDescent="0.55000000000000004">
      <c r="A403" t="str">
        <f t="shared" si="84"/>
        <v>Ross Stores Inc</v>
      </c>
      <c r="B403" t="str">
        <f t="shared" si="84"/>
        <v>ROST</v>
      </c>
      <c r="C403" s="382">
        <f t="shared" si="85"/>
        <v>9.7635494155154084E-3</v>
      </c>
      <c r="D403" s="383">
        <f t="shared" si="86"/>
        <v>49674.139900319999</v>
      </c>
      <c r="E403" s="384">
        <f t="shared" si="87"/>
        <v>0.98294999999999999</v>
      </c>
      <c r="F403" s="385">
        <v>9.5000000000000001E-2</v>
      </c>
      <c r="G403" s="382">
        <v>9.1316599999999998E-2</v>
      </c>
      <c r="H403" s="399">
        <f t="shared" si="88"/>
        <v>0.38975553333333335</v>
      </c>
      <c r="I403" s="399">
        <f t="shared" si="89"/>
        <v>0.40142178145368401</v>
      </c>
      <c r="J403" s="382">
        <f t="shared" si="90"/>
        <v>9.2905971628035066E-4</v>
      </c>
      <c r="K403" s="382">
        <f t="shared" si="91"/>
        <v>3.7294480638611261E-4</v>
      </c>
      <c r="M403" s="400"/>
      <c r="N403" s="398" t="s">
        <v>4313</v>
      </c>
      <c r="O403" s="398" t="s">
        <v>980</v>
      </c>
      <c r="P403" s="398" t="s">
        <v>508</v>
      </c>
      <c r="Q403" s="398">
        <v>49674139900.32</v>
      </c>
      <c r="R403" s="398">
        <v>0.9763549415515409</v>
      </c>
      <c r="S403" s="398">
        <v>98.295000000000002</v>
      </c>
      <c r="T403" s="398">
        <v>329.92919999999998</v>
      </c>
      <c r="U403" s="398">
        <v>150.56</v>
      </c>
      <c r="W403" s="401" t="s">
        <v>980</v>
      </c>
      <c r="X403" s="402" t="s">
        <v>508</v>
      </c>
      <c r="Y403" s="386">
        <f t="shared" si="92"/>
        <v>49674.139900319999</v>
      </c>
      <c r="Z403" s="387">
        <f t="shared" si="93"/>
        <v>9.7635494155154084E-3</v>
      </c>
      <c r="AA403" s="387">
        <f t="shared" si="94"/>
        <v>0.98294999999999999</v>
      </c>
      <c r="AB403" s="403">
        <f t="shared" si="95"/>
        <v>0.99751208986450579</v>
      </c>
      <c r="AC403" s="388">
        <f t="shared" si="96"/>
        <v>9.8086086015554148E-4</v>
      </c>
      <c r="AD403" s="389">
        <f t="shared" si="97"/>
        <v>9.7842056648005083E-4</v>
      </c>
    </row>
    <row r="404" spans="1:30" x14ac:dyDescent="0.55000000000000004">
      <c r="A404" t="str">
        <f t="shared" si="84"/>
        <v>Republic Services Inc</v>
      </c>
      <c r="B404" t="str">
        <f t="shared" si="84"/>
        <v>RSG</v>
      </c>
      <c r="C404" s="382">
        <f t="shared" si="85"/>
        <v>1.0185825609812328E-2</v>
      </c>
      <c r="D404" s="383">
        <f t="shared" si="86"/>
        <v>67913.296360740002</v>
      </c>
      <c r="E404" s="384">
        <f t="shared" si="87"/>
        <v>0.1125</v>
      </c>
      <c r="F404" s="385">
        <v>0.11</v>
      </c>
      <c r="G404" s="382">
        <v>0.1009371</v>
      </c>
      <c r="H404" s="399">
        <f t="shared" si="88"/>
        <v>0.10781236666666667</v>
      </c>
      <c r="I404" s="399">
        <f t="shared" si="89"/>
        <v>0.1185472712592029</v>
      </c>
      <c r="J404" s="382">
        <f t="shared" si="90"/>
        <v>1.2701882302378028E-3</v>
      </c>
      <c r="K404" s="382">
        <f t="shared" si="91"/>
        <v>1.5057734868024767E-4</v>
      </c>
      <c r="M404" s="400"/>
      <c r="N404" s="398" t="s">
        <v>4314</v>
      </c>
      <c r="O404" s="398" t="s">
        <v>981</v>
      </c>
      <c r="P404" s="398" t="s">
        <v>509</v>
      </c>
      <c r="Q404" s="398">
        <v>67913296360.739998</v>
      </c>
      <c r="R404" s="398">
        <v>1.0185825609812329</v>
      </c>
      <c r="S404" s="398">
        <v>11.25</v>
      </c>
      <c r="T404" s="398">
        <v>313.15209999999996</v>
      </c>
      <c r="U404" s="398">
        <v>216.87</v>
      </c>
      <c r="W404" s="401" t="s">
        <v>981</v>
      </c>
      <c r="X404" s="402" t="s">
        <v>509</v>
      </c>
      <c r="Y404" s="386">
        <f t="shared" si="92"/>
        <v>67913.296360740002</v>
      </c>
      <c r="Z404" s="387">
        <f t="shared" si="93"/>
        <v>1.0185825609812328E-2</v>
      </c>
      <c r="AA404" s="387">
        <f t="shared" si="94"/>
        <v>0.1125</v>
      </c>
      <c r="AB404" s="403">
        <f t="shared" si="95"/>
        <v>0.12325877830036427</v>
      </c>
      <c r="AC404" s="388">
        <f t="shared" si="96"/>
        <v>1.3410095155762228E-3</v>
      </c>
      <c r="AD404" s="389">
        <f t="shared" si="97"/>
        <v>1.6529119457908855E-4</v>
      </c>
    </row>
    <row r="405" spans="1:30" x14ac:dyDescent="0.55000000000000004">
      <c r="A405" t="str">
        <f t="shared" si="84"/>
        <v>RTX Corp</v>
      </c>
      <c r="B405" t="str">
        <f t="shared" si="84"/>
        <v>RTX</v>
      </c>
      <c r="C405" s="382">
        <f t="shared" si="85"/>
        <v>2.0015509887553316E-2</v>
      </c>
      <c r="D405" s="383">
        <f t="shared" si="86"/>
        <v>171634.56439314998</v>
      </c>
      <c r="E405" s="384">
        <f t="shared" si="87"/>
        <v>9.8250000000000004E-2</v>
      </c>
      <c r="F405" s="385">
        <v>0.125</v>
      </c>
      <c r="G405" s="382">
        <v>0.1003554</v>
      </c>
      <c r="H405" s="399">
        <f t="shared" si="88"/>
        <v>0.10786846666666666</v>
      </c>
      <c r="I405" s="399">
        <f t="shared" si="89"/>
        <v>0.12896349773478091</v>
      </c>
      <c r="J405" s="382">
        <f t="shared" si="90"/>
        <v>3.2100960382803584E-3</v>
      </c>
      <c r="K405" s="382">
        <f t="shared" si="91"/>
        <v>4.1398521316119818E-4</v>
      </c>
      <c r="M405" s="400"/>
      <c r="N405" s="398" t="s">
        <v>4315</v>
      </c>
      <c r="O405" s="398" t="s">
        <v>982</v>
      </c>
      <c r="P405" s="398" t="s">
        <v>510</v>
      </c>
      <c r="Q405" s="398">
        <v>171634564393.14999</v>
      </c>
      <c r="R405" s="398">
        <v>2.0015509887553318</v>
      </c>
      <c r="S405" s="398">
        <v>9.8250000000000011</v>
      </c>
      <c r="T405" s="398">
        <v>1331.0159999999998</v>
      </c>
      <c r="U405" s="398">
        <v>128.94999999999999</v>
      </c>
      <c r="W405" s="401" t="s">
        <v>982</v>
      </c>
      <c r="X405" s="402" t="s">
        <v>510</v>
      </c>
      <c r="Y405" s="386">
        <f t="shared" si="92"/>
        <v>171634.56439314998</v>
      </c>
      <c r="Z405" s="387">
        <f t="shared" si="93"/>
        <v>2.0015509887553316E-2</v>
      </c>
      <c r="AA405" s="387">
        <f t="shared" si="94"/>
        <v>9.8250000000000004E-2</v>
      </c>
      <c r="AB405" s="403">
        <f t="shared" si="95"/>
        <v>0.11924877181077938</v>
      </c>
      <c r="AC405" s="388">
        <f t="shared" si="96"/>
        <v>3.3890798471983659E-3</v>
      </c>
      <c r="AD405" s="389">
        <f t="shared" si="97"/>
        <v>4.0414360934706899E-4</v>
      </c>
    </row>
    <row r="406" spans="1:30" x14ac:dyDescent="0.55000000000000004">
      <c r="A406" t="str">
        <f t="shared" si="84"/>
        <v>Revvity Inc</v>
      </c>
      <c r="B406" t="str">
        <f t="shared" si="84"/>
        <v>RVTY</v>
      </c>
      <c r="C406" s="382">
        <f t="shared" si="85"/>
        <v>2.1802901768017131E-3</v>
      </c>
      <c r="D406" s="383">
        <f t="shared" si="86"/>
        <v>15350.29154885</v>
      </c>
      <c r="E406" s="384">
        <f t="shared" si="87"/>
        <v>8.904999999999999E-2</v>
      </c>
      <c r="F406" s="385">
        <v>-2.5000000000000001E-2</v>
      </c>
      <c r="G406" s="382">
        <v>8.9060600000000004E-2</v>
      </c>
      <c r="H406" s="399">
        <f t="shared" si="88"/>
        <v>5.103686666666666E-2</v>
      </c>
      <c r="I406" s="399">
        <f t="shared" si="89"/>
        <v>5.3272794432992411E-2</v>
      </c>
      <c r="J406" s="382">
        <f t="shared" si="90"/>
        <v>2.8709782473965644E-4</v>
      </c>
      <c r="K406" s="382">
        <f t="shared" si="91"/>
        <v>1.5294503399515001E-5</v>
      </c>
      <c r="M406" s="400"/>
      <c r="N406" s="398" t="s">
        <v>4316</v>
      </c>
      <c r="O406" s="398" t="s">
        <v>983</v>
      </c>
      <c r="P406" s="398" t="s">
        <v>511</v>
      </c>
      <c r="Q406" s="398">
        <v>15350291548.85</v>
      </c>
      <c r="R406" s="398">
        <v>0.2180290176801713</v>
      </c>
      <c r="S406" s="398">
        <v>8.9049999999999994</v>
      </c>
      <c r="T406" s="398">
        <v>121.7021</v>
      </c>
      <c r="U406" s="398">
        <v>126.13</v>
      </c>
      <c r="W406" s="401" t="s">
        <v>983</v>
      </c>
      <c r="X406" s="402" t="s">
        <v>511</v>
      </c>
      <c r="Y406" s="386">
        <f t="shared" si="92"/>
        <v>15350.29154885</v>
      </c>
      <c r="Z406" s="387">
        <f t="shared" si="93"/>
        <v>2.1802901768017131E-3</v>
      </c>
      <c r="AA406" s="387">
        <f t="shared" si="94"/>
        <v>8.904999999999999E-2</v>
      </c>
      <c r="AB406" s="403">
        <f t="shared" si="95"/>
        <v>9.1327367596923795E-2</v>
      </c>
      <c r="AC406" s="388">
        <f t="shared" si="96"/>
        <v>3.0310540257882463E-4</v>
      </c>
      <c r="AD406" s="389">
        <f t="shared" si="97"/>
        <v>2.768181852192989E-5</v>
      </c>
    </row>
    <row r="407" spans="1:30" x14ac:dyDescent="0.55000000000000004">
      <c r="A407" t="str">
        <f t="shared" si="84"/>
        <v>SBA Communications Corp</v>
      </c>
      <c r="B407" t="str">
        <f t="shared" si="84"/>
        <v>SBAC</v>
      </c>
      <c r="C407" s="382">
        <f t="shared" si="85"/>
        <v>1.9933184855233856E-2</v>
      </c>
      <c r="D407" s="383">
        <f t="shared" si="86"/>
        <v>21242.16801696</v>
      </c>
      <c r="E407" s="384">
        <f t="shared" si="87"/>
        <v>0.17510000000000001</v>
      </c>
      <c r="F407" s="385">
        <v>0.19</v>
      </c>
      <c r="G407" s="382">
        <v>0.18071909999999999</v>
      </c>
      <c r="H407" s="399">
        <f t="shared" si="88"/>
        <v>0.18193970000000001</v>
      </c>
      <c r="I407" s="399">
        <f t="shared" si="89"/>
        <v>0.20368620369153675</v>
      </c>
      <c r="J407" s="382">
        <f t="shared" si="90"/>
        <v>3.9729409770594264E-4</v>
      </c>
      <c r="K407" s="382">
        <f t="shared" si="91"/>
        <v>8.0923326510777939E-5</v>
      </c>
      <c r="M407" s="400"/>
      <c r="N407" s="398" t="s">
        <v>4317</v>
      </c>
      <c r="O407" s="398" t="s">
        <v>984</v>
      </c>
      <c r="P407" s="398" t="s">
        <v>512</v>
      </c>
      <c r="Q407" s="398">
        <v>21242168016.959999</v>
      </c>
      <c r="R407" s="398">
        <v>1.9933184855233854</v>
      </c>
      <c r="S407" s="398">
        <v>17.510000000000002</v>
      </c>
      <c r="T407" s="398">
        <v>107.5226</v>
      </c>
      <c r="U407" s="398">
        <v>197.56</v>
      </c>
      <c r="W407" s="401" t="s">
        <v>984</v>
      </c>
      <c r="X407" s="402" t="s">
        <v>512</v>
      </c>
      <c r="Y407" s="386">
        <f t="shared" si="92"/>
        <v>21242.16801696</v>
      </c>
      <c r="Z407" s="387">
        <f t="shared" si="93"/>
        <v>1.9933184855233856E-2</v>
      </c>
      <c r="AA407" s="387">
        <f t="shared" si="94"/>
        <v>0.17510000000000001</v>
      </c>
      <c r="AB407" s="403">
        <f t="shared" si="95"/>
        <v>0.19677833518930959</v>
      </c>
      <c r="AC407" s="388">
        <f t="shared" si="96"/>
        <v>4.1944583709942998E-4</v>
      </c>
      <c r="AD407" s="389">
        <f t="shared" si="97"/>
        <v>8.2537853526512176E-5</v>
      </c>
    </row>
    <row r="408" spans="1:30" x14ac:dyDescent="0.55000000000000004">
      <c r="A408" t="str">
        <f t="shared" si="84"/>
        <v>Starbucks Corp</v>
      </c>
      <c r="B408" t="str">
        <f t="shared" si="84"/>
        <v>SBUX</v>
      </c>
      <c r="C408" s="382">
        <f t="shared" si="85"/>
        <v>2.2808320950965823E-2</v>
      </c>
      <c r="D408" s="383">
        <f t="shared" si="86"/>
        <v>122313.71200000001</v>
      </c>
      <c r="E408" s="384">
        <f t="shared" si="87"/>
        <v>9.2000000000000012E-2</v>
      </c>
      <c r="F408" s="385">
        <v>4.4999999999999998E-2</v>
      </c>
      <c r="G408" s="382">
        <v>9.6667400000000014E-2</v>
      </c>
      <c r="H408" s="399">
        <f t="shared" si="88"/>
        <v>7.7889133333333346E-2</v>
      </c>
      <c r="I408" s="399">
        <f t="shared" si="89"/>
        <v>0.10158571446012879</v>
      </c>
      <c r="J408" s="382">
        <f t="shared" si="90"/>
        <v>2.2876438886702192E-3</v>
      </c>
      <c r="K408" s="382">
        <f t="shared" si="91"/>
        <v>2.3239193886091155E-4</v>
      </c>
      <c r="M408" s="400"/>
      <c r="N408" s="398" t="s">
        <v>4318</v>
      </c>
      <c r="O408" s="398" t="s">
        <v>985</v>
      </c>
      <c r="P408" s="398" t="s">
        <v>513</v>
      </c>
      <c r="Q408" s="398">
        <v>122313712000.00002</v>
      </c>
      <c r="R408" s="398">
        <v>2.2808320950965824</v>
      </c>
      <c r="S408" s="398">
        <v>9.2000000000000011</v>
      </c>
      <c r="T408" s="398">
        <v>1135.8999999999999</v>
      </c>
      <c r="U408" s="398">
        <v>107.68</v>
      </c>
      <c r="W408" s="401" t="s">
        <v>985</v>
      </c>
      <c r="X408" s="402" t="s">
        <v>513</v>
      </c>
      <c r="Y408" s="386">
        <f t="shared" si="92"/>
        <v>122313.71200000001</v>
      </c>
      <c r="Z408" s="387">
        <f t="shared" si="93"/>
        <v>2.2808320950965823E-2</v>
      </c>
      <c r="AA408" s="387">
        <f t="shared" si="94"/>
        <v>9.2000000000000012E-2</v>
      </c>
      <c r="AB408" s="403">
        <f t="shared" si="95"/>
        <v>0.11585750371471026</v>
      </c>
      <c r="AC408" s="388">
        <f t="shared" si="96"/>
        <v>2.4151949686876074E-3</v>
      </c>
      <c r="AD408" s="389">
        <f t="shared" si="97"/>
        <v>2.7981846005647402E-4</v>
      </c>
    </row>
    <row r="409" spans="1:30" x14ac:dyDescent="0.55000000000000004">
      <c r="A409" t="str">
        <f t="shared" si="84"/>
        <v>Charles Schwab Corp/The</v>
      </c>
      <c r="B409" t="str">
        <f t="shared" si="84"/>
        <v>SCHW</v>
      </c>
      <c r="C409" s="382">
        <f t="shared" si="85"/>
        <v>1.2983558994197293E-2</v>
      </c>
      <c r="D409" s="383">
        <f t="shared" si="86"/>
        <v>151423.57436976</v>
      </c>
      <c r="E409" s="384">
        <f t="shared" si="87"/>
        <v>9.9199999999999997E-2</v>
      </c>
      <c r="F409" s="385">
        <v>0.105</v>
      </c>
      <c r="G409" s="382">
        <v>0.23797999999999997</v>
      </c>
      <c r="H409" s="399">
        <f t="shared" si="88"/>
        <v>0.14739333333333332</v>
      </c>
      <c r="I409" s="399">
        <f t="shared" si="89"/>
        <v>0.16133373734687298</v>
      </c>
      <c r="J409" s="382">
        <f t="shared" si="90"/>
        <v>2.8320881513887982E-3</v>
      </c>
      <c r="K409" s="382">
        <f t="shared" si="91"/>
        <v>4.5691136595935142E-4</v>
      </c>
      <c r="M409" s="400"/>
      <c r="N409" s="398" t="s">
        <v>4319</v>
      </c>
      <c r="O409" s="398" t="s">
        <v>986</v>
      </c>
      <c r="P409" s="398" t="s">
        <v>514</v>
      </c>
      <c r="Q409" s="398">
        <v>151423574369.76001</v>
      </c>
      <c r="R409" s="398">
        <v>1.2983558994197293</v>
      </c>
      <c r="S409" s="398">
        <v>9.92</v>
      </c>
      <c r="T409" s="398">
        <v>1779.6619999999998</v>
      </c>
      <c r="U409" s="398">
        <v>82.72</v>
      </c>
      <c r="W409" s="401" t="s">
        <v>986</v>
      </c>
      <c r="X409" s="402" t="s">
        <v>514</v>
      </c>
      <c r="Y409" s="386">
        <f t="shared" si="92"/>
        <v>151423.57436976</v>
      </c>
      <c r="Z409" s="387">
        <f t="shared" si="93"/>
        <v>1.2983558994197293E-2</v>
      </c>
      <c r="AA409" s="387">
        <f t="shared" si="94"/>
        <v>9.9199999999999997E-2</v>
      </c>
      <c r="AB409" s="403">
        <f t="shared" si="95"/>
        <v>0.11282754352030948</v>
      </c>
      <c r="AC409" s="388">
        <f t="shared" si="96"/>
        <v>2.9899955530622601E-3</v>
      </c>
      <c r="AD409" s="389">
        <f t="shared" si="97"/>
        <v>3.3735385338866397E-4</v>
      </c>
    </row>
    <row r="410" spans="1:30" x14ac:dyDescent="0.55000000000000004">
      <c r="A410" t="str">
        <f t="shared" si="84"/>
        <v>Sherwin-Williams Co/The</v>
      </c>
      <c r="B410" t="str">
        <f t="shared" si="84"/>
        <v>SHW</v>
      </c>
      <c r="C410" s="382">
        <f t="shared" si="85"/>
        <v>8.7474871565780647E-3</v>
      </c>
      <c r="D410" s="383">
        <f t="shared" si="86"/>
        <v>90203.774704559997</v>
      </c>
      <c r="E410" s="384">
        <f t="shared" si="87"/>
        <v>8.5999999999999993E-2</v>
      </c>
      <c r="F410" s="385">
        <v>0.125</v>
      </c>
      <c r="G410" s="382">
        <v>8.9975199999999991E-2</v>
      </c>
      <c r="H410" s="399">
        <f t="shared" si="88"/>
        <v>0.10032506666666667</v>
      </c>
      <c r="I410" s="399">
        <f t="shared" si="89"/>
        <v>0.10951134993931949</v>
      </c>
      <c r="J410" s="382">
        <f t="shared" si="90"/>
        <v>1.6870889662630136E-3</v>
      </c>
      <c r="K410" s="382">
        <f t="shared" si="91"/>
        <v>1.8475539016319365E-4</v>
      </c>
      <c r="M410" s="400"/>
      <c r="N410" s="398" t="s">
        <v>4320</v>
      </c>
      <c r="O410" s="398" t="s">
        <v>987</v>
      </c>
      <c r="P410" s="398" t="s">
        <v>515</v>
      </c>
      <c r="Q410" s="398">
        <v>90203774704.559998</v>
      </c>
      <c r="R410" s="398">
        <v>0.87474871565780654</v>
      </c>
      <c r="S410" s="398">
        <v>8.6</v>
      </c>
      <c r="T410" s="398">
        <v>251.85329999999999</v>
      </c>
      <c r="U410" s="398">
        <v>358.16</v>
      </c>
      <c r="W410" s="401" t="s">
        <v>987</v>
      </c>
      <c r="X410" s="402" t="s">
        <v>515</v>
      </c>
      <c r="Y410" s="386">
        <f t="shared" si="92"/>
        <v>90203.774704559997</v>
      </c>
      <c r="Z410" s="387">
        <f t="shared" si="93"/>
        <v>8.7474871565780647E-3</v>
      </c>
      <c r="AA410" s="387">
        <f t="shared" si="94"/>
        <v>8.5999999999999993E-2</v>
      </c>
      <c r="AB410" s="403">
        <f t="shared" si="95"/>
        <v>9.5123629104310908E-2</v>
      </c>
      <c r="AC410" s="388">
        <f t="shared" si="96"/>
        <v>1.7811551890689389E-3</v>
      </c>
      <c r="AD410" s="389">
        <f t="shared" si="97"/>
        <v>1.6942994558221251E-4</v>
      </c>
    </row>
    <row r="411" spans="1:30" x14ac:dyDescent="0.55000000000000004">
      <c r="A411" t="str">
        <f t="shared" si="84"/>
        <v>J M Smucker Co/The</v>
      </c>
      <c r="B411" t="str">
        <f t="shared" si="84"/>
        <v>SJM</v>
      </c>
      <c r="C411" s="382">
        <f t="shared" si="85"/>
        <v>4.0246982879595848E-2</v>
      </c>
      <c r="D411" s="383">
        <f t="shared" si="86"/>
        <v>11374.802819519999</v>
      </c>
      <c r="E411" s="384">
        <f t="shared" si="87"/>
        <v>4.7149999999999997E-2</v>
      </c>
      <c r="F411" s="385">
        <v>6.5000000000000002E-2</v>
      </c>
      <c r="G411" s="382">
        <v>4.6569300000000001E-2</v>
      </c>
      <c r="H411" s="399">
        <f t="shared" si="88"/>
        <v>5.2906433333333336E-2</v>
      </c>
      <c r="I411" s="399">
        <f t="shared" si="89"/>
        <v>9.4218078371222758E-2</v>
      </c>
      <c r="J411" s="382">
        <f t="shared" si="90"/>
        <v>2.1274391668289571E-4</v>
      </c>
      <c r="K411" s="382">
        <f t="shared" si="91"/>
        <v>2.0044323015029953E-5</v>
      </c>
      <c r="M411" s="400"/>
      <c r="N411" s="398" t="s">
        <v>4321</v>
      </c>
      <c r="O411" s="398" t="s">
        <v>988</v>
      </c>
      <c r="P411" s="398" t="s">
        <v>516</v>
      </c>
      <c r="Q411" s="398">
        <v>11374802819.519999</v>
      </c>
      <c r="R411" s="398">
        <v>4.024698287959585</v>
      </c>
      <c r="S411" s="398">
        <v>4.7149999999999999</v>
      </c>
      <c r="T411" s="398">
        <v>106.416</v>
      </c>
      <c r="U411" s="398">
        <v>106.89</v>
      </c>
      <c r="W411" s="401" t="s">
        <v>988</v>
      </c>
      <c r="X411" s="402" t="s">
        <v>516</v>
      </c>
      <c r="Y411" s="386">
        <f t="shared" si="92"/>
        <v>11374.802819519999</v>
      </c>
      <c r="Z411" s="387">
        <f t="shared" si="93"/>
        <v>4.0246982879595848E-2</v>
      </c>
      <c r="AA411" s="387">
        <f t="shared" si="94"/>
        <v>4.7149999999999997E-2</v>
      </c>
      <c r="AB411" s="403">
        <f t="shared" si="95"/>
        <v>8.8345805500982311E-2</v>
      </c>
      <c r="AC411" s="388">
        <f t="shared" si="96"/>
        <v>2.2460577878233558E-4</v>
      </c>
      <c r="AD411" s="389">
        <f t="shared" si="97"/>
        <v>1.9842978446700879E-5</v>
      </c>
    </row>
    <row r="412" spans="1:30" x14ac:dyDescent="0.55000000000000004">
      <c r="A412" t="str">
        <f t="shared" si="84"/>
        <v>Schlumberger NV</v>
      </c>
      <c r="B412" t="str">
        <f t="shared" si="84"/>
        <v>SLB</v>
      </c>
      <c r="C412" s="382">
        <f t="shared" si="85"/>
        <v>2.8202581926514401E-2</v>
      </c>
      <c r="D412" s="383">
        <f t="shared" si="86"/>
        <v>56426.25491760001</v>
      </c>
      <c r="E412" s="384">
        <f t="shared" si="87"/>
        <v>1.2500000000000001E-2</v>
      </c>
      <c r="F412" s="385">
        <v>0.18</v>
      </c>
      <c r="G412" s="382">
        <v>-1.8168000000000001E-3</v>
      </c>
      <c r="H412" s="399">
        <f t="shared" si="88"/>
        <v>6.3561066666666666E-2</v>
      </c>
      <c r="I412" s="399">
        <f t="shared" si="89"/>
        <v>9.2659941688182729E-2</v>
      </c>
      <c r="J412" s="382">
        <f t="shared" si="90"/>
        <v>1.0553451049118317E-3</v>
      </c>
      <c r="K412" s="382">
        <f t="shared" si="91"/>
        <v>9.7788215882039411E-5</v>
      </c>
      <c r="M412" s="400"/>
      <c r="N412" s="398" t="s">
        <v>4322</v>
      </c>
      <c r="O412" s="398" t="s">
        <v>989</v>
      </c>
      <c r="P412" s="398" t="s">
        <v>517</v>
      </c>
      <c r="Q412" s="398">
        <v>56426254917.600014</v>
      </c>
      <c r="R412" s="398">
        <v>2.8202581926514401</v>
      </c>
      <c r="S412" s="398">
        <v>1.25</v>
      </c>
      <c r="T412" s="398">
        <v>1400.85</v>
      </c>
      <c r="U412" s="398">
        <v>40.28</v>
      </c>
      <c r="W412" s="401" t="s">
        <v>989</v>
      </c>
      <c r="X412" s="402" t="s">
        <v>517</v>
      </c>
      <c r="Y412" s="386">
        <f t="shared" si="92"/>
        <v>56426.25491760001</v>
      </c>
      <c r="Z412" s="387">
        <f t="shared" si="93"/>
        <v>2.8202581926514401E-2</v>
      </c>
      <c r="AA412" s="387">
        <f t="shared" si="94"/>
        <v>1.2500000000000001E-2</v>
      </c>
      <c r="AB412" s="403">
        <f t="shared" si="95"/>
        <v>4.0878848063555115E-2</v>
      </c>
      <c r="AC412" s="388">
        <f t="shared" si="96"/>
        <v>1.1141874835657992E-3</v>
      </c>
      <c r="AD412" s="389">
        <f t="shared" si="97"/>
        <v>4.5546700855001117E-5</v>
      </c>
    </row>
    <row r="413" spans="1:30" x14ac:dyDescent="0.55000000000000004">
      <c r="A413" t="str">
        <f t="shared" si="84"/>
        <v>Super Micro Computer Inc</v>
      </c>
      <c r="B413" t="str">
        <f t="shared" si="84"/>
        <v>SMCI</v>
      </c>
      <c r="C413" s="382">
        <f t="shared" si="85"/>
        <v>0</v>
      </c>
      <c r="D413" s="383">
        <f t="shared" si="86"/>
        <v>16700.321500400005</v>
      </c>
      <c r="E413" s="384" t="str">
        <f t="shared" si="87"/>
        <v>N/A</v>
      </c>
      <c r="F413" s="385">
        <v>0.39</v>
      </c>
      <c r="G413" s="382">
        <v>0.375</v>
      </c>
      <c r="H413" s="399">
        <f t="shared" si="88"/>
        <v>0.38250000000000001</v>
      </c>
      <c r="I413" s="399">
        <f t="shared" si="89"/>
        <v>0.38250000000000001</v>
      </c>
      <c r="J413" s="382">
        <f t="shared" si="90"/>
        <v>3.1234755118230681E-4</v>
      </c>
      <c r="K413" s="382">
        <f t="shared" si="91"/>
        <v>1.1947293832723236E-4</v>
      </c>
      <c r="M413" s="400"/>
      <c r="N413" s="398" t="s">
        <v>4323</v>
      </c>
      <c r="O413" s="398" t="s">
        <v>990</v>
      </c>
      <c r="P413" s="398" t="s">
        <v>607</v>
      </c>
      <c r="Q413" s="398">
        <v>16700321500.400005</v>
      </c>
      <c r="R413" s="398">
        <v>0</v>
      </c>
      <c r="S413" s="398" t="s">
        <v>3929</v>
      </c>
      <c r="T413" s="398">
        <v>585.56529999999998</v>
      </c>
      <c r="U413" s="398">
        <v>28.52</v>
      </c>
      <c r="W413" s="401" t="s">
        <v>990</v>
      </c>
      <c r="X413" s="402" t="s">
        <v>607</v>
      </c>
      <c r="Y413" s="386">
        <f t="shared" si="92"/>
        <v>16700.321500400005</v>
      </c>
      <c r="Z413" s="387">
        <f t="shared" si="93"/>
        <v>0</v>
      </c>
      <c r="AA413" s="387" t="str">
        <f t="shared" si="94"/>
        <v>N/A</v>
      </c>
      <c r="AB413" s="403" t="str">
        <f t="shared" si="95"/>
        <v>N/A</v>
      </c>
      <c r="AC413" s="388">
        <f t="shared" si="96"/>
        <v>3.297629660951796E-4</v>
      </c>
      <c r="AD413" s="389" t="str">
        <f t="shared" si="97"/>
        <v>N/A</v>
      </c>
    </row>
    <row r="414" spans="1:30" x14ac:dyDescent="0.55000000000000004">
      <c r="A414" t="str">
        <f t="shared" si="84"/>
        <v>Snap-on Inc</v>
      </c>
      <c r="B414" t="str">
        <f t="shared" si="84"/>
        <v>SNA</v>
      </c>
      <c r="C414" s="382">
        <f t="shared" si="85"/>
        <v>2.12220188652682E-2</v>
      </c>
      <c r="D414" s="383">
        <f t="shared" si="86"/>
        <v>18648.003820299997</v>
      </c>
      <c r="E414" s="384">
        <f t="shared" si="87"/>
        <v>4.8100000000000004E-2</v>
      </c>
      <c r="F414" s="385">
        <v>5.5E-2</v>
      </c>
      <c r="G414" s="382">
        <v>7.4055200000000002E-2</v>
      </c>
      <c r="H414" s="399">
        <f t="shared" si="88"/>
        <v>5.9051733333333335E-2</v>
      </c>
      <c r="I414" s="399">
        <f t="shared" si="89"/>
        <v>8.0900350698014933E-2</v>
      </c>
      <c r="J414" s="382">
        <f t="shared" si="90"/>
        <v>3.487752213374751E-4</v>
      </c>
      <c r="K414" s="382">
        <f t="shared" si="91"/>
        <v>2.8216037720979517E-5</v>
      </c>
      <c r="M414" s="400"/>
      <c r="N414" s="398" t="s">
        <v>4324</v>
      </c>
      <c r="O414" s="398" t="s">
        <v>991</v>
      </c>
      <c r="P414" s="398" t="s">
        <v>518</v>
      </c>
      <c r="Q414" s="398">
        <v>18648003820.299995</v>
      </c>
      <c r="R414" s="398">
        <v>2.12220188652682</v>
      </c>
      <c r="S414" s="398">
        <v>4.8100000000000005</v>
      </c>
      <c r="T414" s="398">
        <v>52.507399999999997</v>
      </c>
      <c r="U414" s="398">
        <v>355.15</v>
      </c>
      <c r="W414" s="401" t="s">
        <v>991</v>
      </c>
      <c r="X414" s="402" t="s">
        <v>518</v>
      </c>
      <c r="Y414" s="386">
        <f t="shared" si="92"/>
        <v>18648.003820299997</v>
      </c>
      <c r="Z414" s="387">
        <f t="shared" si="93"/>
        <v>2.12220188652682E-2</v>
      </c>
      <c r="AA414" s="387">
        <f t="shared" si="94"/>
        <v>4.8100000000000004E-2</v>
      </c>
      <c r="AB414" s="403">
        <f t="shared" si="95"/>
        <v>6.9832408418977907E-2</v>
      </c>
      <c r="AC414" s="388">
        <f t="shared" si="96"/>
        <v>3.6822171665312412E-4</v>
      </c>
      <c r="AD414" s="389">
        <f t="shared" si="97"/>
        <v>2.5713809306058122E-5</v>
      </c>
    </row>
    <row r="415" spans="1:30" x14ac:dyDescent="0.55000000000000004">
      <c r="A415" t="str">
        <f t="shared" si="84"/>
        <v>Synopsys Inc</v>
      </c>
      <c r="B415" t="str">
        <f t="shared" si="84"/>
        <v>SNPS</v>
      </c>
      <c r="C415" s="382" t="str">
        <f t="shared" si="85"/>
        <v>0.00%</v>
      </c>
      <c r="D415" s="383">
        <f t="shared" si="86"/>
        <v>81227.883380520027</v>
      </c>
      <c r="E415" s="384">
        <f t="shared" si="87"/>
        <v>0.11365</v>
      </c>
      <c r="F415" s="385">
        <v>0.16</v>
      </c>
      <c r="G415" s="382">
        <v>0.13696839999999999</v>
      </c>
      <c r="H415" s="399">
        <f t="shared" si="88"/>
        <v>0.13687279999999999</v>
      </c>
      <c r="I415" s="399">
        <f t="shared" si="89"/>
        <v>0.13687279999999999</v>
      </c>
      <c r="J415" s="382">
        <f t="shared" si="90"/>
        <v>1.5192120978640882E-3</v>
      </c>
      <c r="K415" s="382">
        <f t="shared" si="91"/>
        <v>2.0793881362853175E-4</v>
      </c>
      <c r="M415" s="400"/>
      <c r="N415" s="398" t="s">
        <v>4325</v>
      </c>
      <c r="O415" s="398" t="s">
        <v>992</v>
      </c>
      <c r="P415" s="398" t="s">
        <v>519</v>
      </c>
      <c r="Q415" s="398">
        <v>81227883380.52002</v>
      </c>
      <c r="R415" s="398" t="s">
        <v>3929</v>
      </c>
      <c r="S415" s="398">
        <v>11.365</v>
      </c>
      <c r="T415" s="398">
        <v>154.57839999999999</v>
      </c>
      <c r="U415" s="398">
        <v>525.48</v>
      </c>
      <c r="W415" s="401" t="s">
        <v>992</v>
      </c>
      <c r="X415" s="402" t="s">
        <v>519</v>
      </c>
      <c r="Y415" s="386">
        <f t="shared" si="92"/>
        <v>81227.883380520027</v>
      </c>
      <c r="Z415" s="387" t="str">
        <f t="shared" si="93"/>
        <v>0.00%</v>
      </c>
      <c r="AA415" s="387">
        <f t="shared" si="94"/>
        <v>0.11365</v>
      </c>
      <c r="AB415" s="403">
        <f t="shared" si="95"/>
        <v>0.11365</v>
      </c>
      <c r="AC415" s="388">
        <f t="shared" si="96"/>
        <v>1.6039180893943899E-3</v>
      </c>
      <c r="AD415" s="389">
        <f t="shared" si="97"/>
        <v>1.8228529085967241E-4</v>
      </c>
    </row>
    <row r="416" spans="1:30" x14ac:dyDescent="0.55000000000000004">
      <c r="A416" t="str">
        <f t="shared" si="84"/>
        <v>Southern Co/The</v>
      </c>
      <c r="B416" t="str">
        <f t="shared" si="84"/>
        <v>SO</v>
      </c>
      <c r="C416" s="382">
        <f t="shared" si="85"/>
        <v>3.4151280524121502E-2</v>
      </c>
      <c r="D416" s="383">
        <f t="shared" si="86"/>
        <v>91894.475525050002</v>
      </c>
      <c r="E416" s="384">
        <f t="shared" si="87"/>
        <v>8.199999999999999E-2</v>
      </c>
      <c r="F416" s="385">
        <v>0.06</v>
      </c>
      <c r="G416" s="382">
        <v>6.6665799999999997E-2</v>
      </c>
      <c r="H416" s="399">
        <f t="shared" si="88"/>
        <v>6.9555266666666657E-2</v>
      </c>
      <c r="I416" s="399">
        <f t="shared" si="89"/>
        <v>0.10489424790271987</v>
      </c>
      <c r="J416" s="382">
        <f t="shared" si="90"/>
        <v>1.7187102893045684E-3</v>
      </c>
      <c r="K416" s="382">
        <f t="shared" si="91"/>
        <v>1.8028282315926878E-4</v>
      </c>
      <c r="M416" s="400"/>
      <c r="N416" s="398" t="s">
        <v>4326</v>
      </c>
      <c r="O416" s="398" t="s">
        <v>993</v>
      </c>
      <c r="P416" s="398" t="s">
        <v>59</v>
      </c>
      <c r="Q416" s="398">
        <v>91894475525.050003</v>
      </c>
      <c r="R416" s="398">
        <v>3.4151280524121499</v>
      </c>
      <c r="S416" s="398">
        <v>8.1999999999999993</v>
      </c>
      <c r="T416" s="398">
        <v>1094.633</v>
      </c>
      <c r="U416" s="398">
        <v>83.95</v>
      </c>
      <c r="W416" s="401" t="s">
        <v>993</v>
      </c>
      <c r="X416" s="402" t="s">
        <v>59</v>
      </c>
      <c r="Y416" s="386">
        <f t="shared" si="92"/>
        <v>91894.475525050002</v>
      </c>
      <c r="Z416" s="387">
        <f t="shared" si="93"/>
        <v>3.4151280524121502E-2</v>
      </c>
      <c r="AA416" s="387">
        <f t="shared" si="94"/>
        <v>8.199999999999999E-2</v>
      </c>
      <c r="AB416" s="403">
        <f t="shared" si="95"/>
        <v>0.11755148302561047</v>
      </c>
      <c r="AC416" s="388">
        <f t="shared" si="96"/>
        <v>1.8145396072869345E-3</v>
      </c>
      <c r="AD416" s="389">
        <f t="shared" si="97"/>
        <v>2.1330182184528797E-4</v>
      </c>
    </row>
    <row r="417" spans="1:30" x14ac:dyDescent="0.55000000000000004">
      <c r="A417" t="str">
        <f t="shared" si="84"/>
        <v>Solventum Corp</v>
      </c>
      <c r="B417" t="str">
        <f t="shared" si="84"/>
        <v>SOLV</v>
      </c>
      <c r="C417" s="382" t="str">
        <f t="shared" si="85"/>
        <v>0.00%</v>
      </c>
      <c r="D417" s="383">
        <f t="shared" si="86"/>
        <v>12794.166424200001</v>
      </c>
      <c r="E417" s="384">
        <f t="shared" si="87"/>
        <v>-3.78E-2</v>
      </c>
      <c r="F417" s="385" t="s">
        <v>184</v>
      </c>
      <c r="G417" s="382">
        <v>-6.781920000000001E-2</v>
      </c>
      <c r="H417" s="399">
        <f t="shared" si="88"/>
        <v>-5.2809600000000005E-2</v>
      </c>
      <c r="I417" s="399">
        <f t="shared" si="89"/>
        <v>-5.2809600000000005E-2</v>
      </c>
      <c r="J417" s="382">
        <f t="shared" si="90"/>
        <v>2.3929039641075434E-4</v>
      </c>
      <c r="K417" s="382">
        <f t="shared" si="91"/>
        <v>-1.2636830118293373E-5</v>
      </c>
      <c r="M417" s="400"/>
      <c r="N417" s="398" t="s">
        <v>4327</v>
      </c>
      <c r="O417" s="398" t="s">
        <v>994</v>
      </c>
      <c r="P417" s="398" t="s">
        <v>608</v>
      </c>
      <c r="Q417" s="398">
        <v>12794166424.200001</v>
      </c>
      <c r="R417" s="398" t="s">
        <v>3929</v>
      </c>
      <c r="S417" s="398">
        <v>-3.7800000000000002</v>
      </c>
      <c r="T417" s="398">
        <v>172.75409999999999</v>
      </c>
      <c r="U417" s="398">
        <v>74.06</v>
      </c>
      <c r="W417" s="401" t="s">
        <v>994</v>
      </c>
      <c r="X417" s="402" t="s">
        <v>608</v>
      </c>
      <c r="Y417" s="386">
        <f t="shared" si="92"/>
        <v>12794.166424200001</v>
      </c>
      <c r="Z417" s="387" t="str">
        <f t="shared" si="93"/>
        <v>0.00%</v>
      </c>
      <c r="AA417" s="387">
        <f t="shared" si="94"/>
        <v>-3.78E-2</v>
      </c>
      <c r="AB417" s="403">
        <f t="shared" si="95"/>
        <v>-3.78E-2</v>
      </c>
      <c r="AC417" s="388">
        <f t="shared" si="96"/>
        <v>2.5263239804446255E-4</v>
      </c>
      <c r="AD417" s="389">
        <f t="shared" si="97"/>
        <v>-9.549504646080684E-6</v>
      </c>
    </row>
    <row r="418" spans="1:30" x14ac:dyDescent="0.55000000000000004">
      <c r="A418" t="str">
        <f t="shared" si="84"/>
        <v>Simon Property Group Inc</v>
      </c>
      <c r="B418" t="str">
        <f t="shared" si="84"/>
        <v>SPG</v>
      </c>
      <c r="C418" s="382">
        <f t="shared" si="85"/>
        <v>4.6508685148970434E-2</v>
      </c>
      <c r="D418" s="383">
        <f t="shared" si="86"/>
        <v>56726.717072679996</v>
      </c>
      <c r="E418" s="384">
        <f t="shared" si="87"/>
        <v>1.34E-2</v>
      </c>
      <c r="F418" s="385">
        <v>3.5000000000000003E-2</v>
      </c>
      <c r="G418" s="382">
        <v>1.4679500000000002E-2</v>
      </c>
      <c r="H418" s="399">
        <f t="shared" si="88"/>
        <v>2.1026500000000004E-2</v>
      </c>
      <c r="I418" s="399">
        <f t="shared" si="89"/>
        <v>6.8024142583112845E-2</v>
      </c>
      <c r="J418" s="382">
        <f t="shared" si="90"/>
        <v>1.0609646744728094E-3</v>
      </c>
      <c r="K418" s="382">
        <f t="shared" si="91"/>
        <v>7.2171212291984296E-5</v>
      </c>
      <c r="M418" s="400"/>
      <c r="N418" s="398" t="s">
        <v>4328</v>
      </c>
      <c r="O418" s="398" t="s">
        <v>995</v>
      </c>
      <c r="P418" s="398" t="s">
        <v>520</v>
      </c>
      <c r="Q418" s="398">
        <v>56726717072.679993</v>
      </c>
      <c r="R418" s="398">
        <v>4.6508685148970432</v>
      </c>
      <c r="S418" s="398">
        <v>1.34</v>
      </c>
      <c r="T418" s="398">
        <v>326.27010000000001</v>
      </c>
      <c r="U418" s="398">
        <v>173.86</v>
      </c>
      <c r="W418" s="401" t="s">
        <v>995</v>
      </c>
      <c r="X418" s="402" t="s">
        <v>520</v>
      </c>
      <c r="Y418" s="386">
        <f t="shared" si="92"/>
        <v>56726.717072679996</v>
      </c>
      <c r="Z418" s="387">
        <f t="shared" si="93"/>
        <v>4.6508685148970434E-2</v>
      </c>
      <c r="AA418" s="387">
        <f t="shared" si="94"/>
        <v>1.34E-2</v>
      </c>
      <c r="AB418" s="403">
        <f t="shared" si="95"/>
        <v>6.0220293339468538E-2</v>
      </c>
      <c r="AC418" s="388">
        <f t="shared" si="96"/>
        <v>1.1201203808130858E-3</v>
      </c>
      <c r="AD418" s="389">
        <f t="shared" si="97"/>
        <v>6.7453977908081233E-5</v>
      </c>
    </row>
    <row r="419" spans="1:30" x14ac:dyDescent="0.55000000000000004">
      <c r="A419" t="str">
        <f t="shared" si="84"/>
        <v>S&amp;P Global Inc</v>
      </c>
      <c r="B419" t="str">
        <f t="shared" si="84"/>
        <v>SPGI</v>
      </c>
      <c r="C419" s="382">
        <f t="shared" si="85"/>
        <v>6.9791526821503247E-3</v>
      </c>
      <c r="D419" s="383">
        <f t="shared" si="86"/>
        <v>165547.67499999999</v>
      </c>
      <c r="E419" s="384">
        <f t="shared" si="87"/>
        <v>0.14000000000000001</v>
      </c>
      <c r="F419" s="385">
        <v>0.08</v>
      </c>
      <c r="G419" s="382">
        <v>0.14305669999999998</v>
      </c>
      <c r="H419" s="399">
        <f t="shared" si="88"/>
        <v>0.1210189</v>
      </c>
      <c r="I419" s="399">
        <f t="shared" si="89"/>
        <v>0.12842035737241325</v>
      </c>
      <c r="J419" s="382">
        <f t="shared" si="90"/>
        <v>3.0962524217833694E-3</v>
      </c>
      <c r="K419" s="382">
        <f t="shared" si="91"/>
        <v>3.9762184252062029E-4</v>
      </c>
      <c r="M419" s="400"/>
      <c r="N419" s="398" t="s">
        <v>4329</v>
      </c>
      <c r="O419" s="398" t="s">
        <v>996</v>
      </c>
      <c r="P419" s="398" t="s">
        <v>521</v>
      </c>
      <c r="Q419" s="398">
        <v>165547675000</v>
      </c>
      <c r="R419" s="398">
        <v>0.69791526821503247</v>
      </c>
      <c r="S419" s="398">
        <v>14</v>
      </c>
      <c r="T419" s="398">
        <v>317.5</v>
      </c>
      <c r="U419" s="398">
        <v>521.41</v>
      </c>
      <c r="W419" s="401" t="s">
        <v>996</v>
      </c>
      <c r="X419" s="402" t="s">
        <v>521</v>
      </c>
      <c r="Y419" s="386">
        <f t="shared" si="92"/>
        <v>165547.67499999999</v>
      </c>
      <c r="Z419" s="387">
        <f t="shared" si="93"/>
        <v>6.9791526821503247E-3</v>
      </c>
      <c r="AA419" s="387">
        <f t="shared" si="94"/>
        <v>0.14000000000000001</v>
      </c>
      <c r="AB419" s="403">
        <f t="shared" si="95"/>
        <v>0.14746769336990087</v>
      </c>
      <c r="AC419" s="388">
        <f t="shared" si="96"/>
        <v>3.2688887059361838E-3</v>
      </c>
      <c r="AD419" s="389">
        <f t="shared" si="97"/>
        <v>4.820554773473292E-4</v>
      </c>
    </row>
    <row r="420" spans="1:30" x14ac:dyDescent="0.55000000000000004">
      <c r="A420" t="str">
        <f t="shared" si="84"/>
        <v>Sempra</v>
      </c>
      <c r="B420" t="str">
        <f t="shared" si="84"/>
        <v>SRE</v>
      </c>
      <c r="C420" s="382">
        <f t="shared" si="85"/>
        <v>3.0676474134812493E-2</v>
      </c>
      <c r="D420" s="383">
        <f t="shared" si="86"/>
        <v>52527.800963520007</v>
      </c>
      <c r="E420" s="384">
        <f t="shared" si="87"/>
        <v>9.8000000000000004E-2</v>
      </c>
      <c r="F420" s="385">
        <v>0.06</v>
      </c>
      <c r="G420" s="382">
        <v>6.4958000000000002E-2</v>
      </c>
      <c r="H420" s="399">
        <f t="shared" si="88"/>
        <v>7.4319333333333334E-2</v>
      </c>
      <c r="I420" s="399">
        <f t="shared" si="89"/>
        <v>0.10613573502150409</v>
      </c>
      <c r="J420" s="382">
        <f t="shared" si="90"/>
        <v>9.8243198489047731E-4</v>
      </c>
      <c r="K420" s="382">
        <f t="shared" si="91"/>
        <v>1.0427114082498601E-4</v>
      </c>
      <c r="M420" s="400"/>
      <c r="N420" s="398" t="s">
        <v>4330</v>
      </c>
      <c r="O420" s="398" t="s">
        <v>522</v>
      </c>
      <c r="P420" s="398" t="s">
        <v>60</v>
      </c>
      <c r="Q420" s="398">
        <v>52527800963.520004</v>
      </c>
      <c r="R420" s="398">
        <v>3.0676474134812493</v>
      </c>
      <c r="S420" s="398">
        <v>9.8000000000000007</v>
      </c>
      <c r="T420" s="398">
        <v>633.39929999999993</v>
      </c>
      <c r="U420" s="398">
        <v>82.93</v>
      </c>
      <c r="W420" s="401" t="s">
        <v>522</v>
      </c>
      <c r="X420" s="402" t="s">
        <v>60</v>
      </c>
      <c r="Y420" s="386">
        <f t="shared" si="92"/>
        <v>52527.800963520007</v>
      </c>
      <c r="Z420" s="387">
        <f t="shared" si="93"/>
        <v>3.0676474134812493E-2</v>
      </c>
      <c r="AA420" s="387">
        <f t="shared" si="94"/>
        <v>9.8000000000000004E-2</v>
      </c>
      <c r="AB420" s="403">
        <f t="shared" si="95"/>
        <v>0.13017962136741831</v>
      </c>
      <c r="AC420" s="388">
        <f t="shared" si="96"/>
        <v>1.0372089811428301E-3</v>
      </c>
      <c r="AD420" s="389">
        <f t="shared" si="97"/>
        <v>1.3502347244405934E-4</v>
      </c>
    </row>
    <row r="421" spans="1:30" x14ac:dyDescent="0.55000000000000004">
      <c r="A421" t="str">
        <f t="shared" si="84"/>
        <v>STERIS PLC</v>
      </c>
      <c r="B421" t="str">
        <f t="shared" si="84"/>
        <v>STE</v>
      </c>
      <c r="C421" s="382">
        <f t="shared" si="85"/>
        <v>1.0233401314298663E-2</v>
      </c>
      <c r="D421" s="383">
        <f t="shared" si="86"/>
        <v>21779.771702550002</v>
      </c>
      <c r="E421" s="384" t="str">
        <f t="shared" si="87"/>
        <v>N/A</v>
      </c>
      <c r="F421" s="385">
        <v>7.0000000000000007E-2</v>
      </c>
      <c r="G421" s="382" t="s">
        <v>14</v>
      </c>
      <c r="H421" s="399">
        <f t="shared" si="88"/>
        <v>7.0000000000000007E-2</v>
      </c>
      <c r="I421" s="399">
        <f t="shared" si="89"/>
        <v>8.0591570360299125E-2</v>
      </c>
      <c r="J421" s="382">
        <f t="shared" si="90"/>
        <v>4.0734894573366464E-4</v>
      </c>
      <c r="K421" s="382">
        <f t="shared" si="91"/>
        <v>3.2828891221288302E-5</v>
      </c>
      <c r="M421" s="400"/>
      <c r="N421" s="398" t="s">
        <v>4331</v>
      </c>
      <c r="O421" s="398" t="s">
        <v>997</v>
      </c>
      <c r="P421" s="398" t="s">
        <v>523</v>
      </c>
      <c r="Q421" s="398">
        <v>21779771702.550003</v>
      </c>
      <c r="R421" s="398">
        <v>1.0233401314298662</v>
      </c>
      <c r="S421" s="398" t="s">
        <v>3929</v>
      </c>
      <c r="T421" s="398">
        <v>98.707329999999999</v>
      </c>
      <c r="U421" s="398">
        <v>220.65</v>
      </c>
      <c r="W421" s="401" t="s">
        <v>997</v>
      </c>
      <c r="X421" s="402" t="s">
        <v>523</v>
      </c>
      <c r="Y421" s="386">
        <f t="shared" si="92"/>
        <v>21779.771702550002</v>
      </c>
      <c r="Z421" s="387">
        <f t="shared" si="93"/>
        <v>1.0233401314298663E-2</v>
      </c>
      <c r="AA421" s="387" t="str">
        <f t="shared" si="94"/>
        <v>N/A</v>
      </c>
      <c r="AB421" s="403" t="str">
        <f t="shared" si="95"/>
        <v>N/A</v>
      </c>
      <c r="AC421" s="388">
        <f t="shared" si="96"/>
        <v>4.3006130854048057E-4</v>
      </c>
      <c r="AD421" s="389" t="str">
        <f t="shared" si="97"/>
        <v>N/A</v>
      </c>
    </row>
    <row r="422" spans="1:30" x14ac:dyDescent="0.55000000000000004">
      <c r="A422" t="str">
        <f t="shared" si="84"/>
        <v>Steel Dynamics Inc</v>
      </c>
      <c r="B422" t="str">
        <f t="shared" si="84"/>
        <v>STLD</v>
      </c>
      <c r="C422" s="382">
        <f t="shared" si="85"/>
        <v>1.5062402496099844E-2</v>
      </c>
      <c r="D422" s="383">
        <f t="shared" si="86"/>
        <v>19517.808358999995</v>
      </c>
      <c r="E422" s="384">
        <f t="shared" si="87"/>
        <v>-3.4799999999999998E-2</v>
      </c>
      <c r="F422" s="385">
        <v>-0.01</v>
      </c>
      <c r="G422" s="382">
        <v>0.05</v>
      </c>
      <c r="H422" s="399">
        <f t="shared" si="88"/>
        <v>1.7333333333333343E-3</v>
      </c>
      <c r="I422" s="399">
        <f t="shared" si="89"/>
        <v>1.6808789911596463E-2</v>
      </c>
      <c r="J422" s="382">
        <f t="shared" si="90"/>
        <v>3.6504325052863127E-4</v>
      </c>
      <c r="K422" s="382">
        <f t="shared" si="91"/>
        <v>6.1359353067820375E-6</v>
      </c>
      <c r="M422" s="400"/>
      <c r="N422" s="398" t="s">
        <v>4332</v>
      </c>
      <c r="O422" s="398" t="s">
        <v>998</v>
      </c>
      <c r="P422" s="398" t="s">
        <v>524</v>
      </c>
      <c r="Q422" s="398">
        <v>19517808358.999996</v>
      </c>
      <c r="R422" s="398">
        <v>1.5062402496099845</v>
      </c>
      <c r="S422" s="398">
        <v>-3.48</v>
      </c>
      <c r="T422" s="398">
        <v>152.245</v>
      </c>
      <c r="U422" s="398">
        <v>128.19999999999999</v>
      </c>
      <c r="W422" s="401" t="s">
        <v>998</v>
      </c>
      <c r="X422" s="402" t="s">
        <v>524</v>
      </c>
      <c r="Y422" s="386">
        <f t="shared" si="92"/>
        <v>19517.808358999995</v>
      </c>
      <c r="Z422" s="387">
        <f t="shared" si="93"/>
        <v>1.5062402496099844E-2</v>
      </c>
      <c r="AA422" s="387">
        <f t="shared" si="94"/>
        <v>-3.4799999999999998E-2</v>
      </c>
      <c r="AB422" s="403">
        <f t="shared" si="95"/>
        <v>-1.9999683307332289E-2</v>
      </c>
      <c r="AC422" s="388">
        <f t="shared" si="96"/>
        <v>3.8539679466571749E-4</v>
      </c>
      <c r="AD422" s="389">
        <f t="shared" si="97"/>
        <v>-7.7078138409753198E-6</v>
      </c>
    </row>
    <row r="423" spans="1:30" x14ac:dyDescent="0.55000000000000004">
      <c r="A423" t="str">
        <f t="shared" si="84"/>
        <v>State Street Corp</v>
      </c>
      <c r="B423" t="str">
        <f t="shared" si="84"/>
        <v>STT</v>
      </c>
      <c r="C423" s="382">
        <f t="shared" si="85"/>
        <v>3.0515646526274354E-2</v>
      </c>
      <c r="D423" s="383">
        <f t="shared" si="86"/>
        <v>29789.955740779998</v>
      </c>
      <c r="E423" s="384">
        <f t="shared" si="87"/>
        <v>0.1032</v>
      </c>
      <c r="F423" s="385">
        <v>5.5E-2</v>
      </c>
      <c r="G423" s="382">
        <v>0.102865</v>
      </c>
      <c r="H423" s="399">
        <f t="shared" si="88"/>
        <v>8.7021666666666664E-2</v>
      </c>
      <c r="I423" s="399">
        <f t="shared" si="89"/>
        <v>0.11886507440300466</v>
      </c>
      <c r="J423" s="382">
        <f t="shared" si="90"/>
        <v>5.5716410760350127E-4</v>
      </c>
      <c r="K423" s="382">
        <f t="shared" si="91"/>
        <v>6.6227353104973878E-5</v>
      </c>
      <c r="M423" s="400"/>
      <c r="N423" s="398" t="s">
        <v>4333</v>
      </c>
      <c r="O423" s="398" t="s">
        <v>999</v>
      </c>
      <c r="P423" s="398" t="s">
        <v>525</v>
      </c>
      <c r="Q423" s="398">
        <v>29789955740.779999</v>
      </c>
      <c r="R423" s="398">
        <v>3.0515646526274356</v>
      </c>
      <c r="S423" s="398">
        <v>10.32</v>
      </c>
      <c r="T423" s="398">
        <v>293.15049999999997</v>
      </c>
      <c r="U423" s="398">
        <v>101.62</v>
      </c>
      <c r="W423" s="401" t="s">
        <v>999</v>
      </c>
      <c r="X423" s="402" t="s">
        <v>525</v>
      </c>
      <c r="Y423" s="386">
        <f t="shared" si="92"/>
        <v>29789.955740779998</v>
      </c>
      <c r="Z423" s="387">
        <f t="shared" si="93"/>
        <v>3.0515646526274354E-2</v>
      </c>
      <c r="AA423" s="387">
        <f t="shared" si="94"/>
        <v>0.1032</v>
      </c>
      <c r="AB423" s="403">
        <f t="shared" si="95"/>
        <v>0.13529025388703012</v>
      </c>
      <c r="AC423" s="388">
        <f t="shared" si="96"/>
        <v>5.882296436441921E-4</v>
      </c>
      <c r="AD423" s="389">
        <f t="shared" si="97"/>
        <v>7.9581737832499995E-5</v>
      </c>
    </row>
    <row r="424" spans="1:30" x14ac:dyDescent="0.55000000000000004">
      <c r="A424" t="str">
        <f t="shared" si="84"/>
        <v>Seagate Technology Holdings PLC</v>
      </c>
      <c r="B424" t="str">
        <f t="shared" si="84"/>
        <v>STX</v>
      </c>
      <c r="C424" s="382">
        <f t="shared" si="85"/>
        <v>2.9431299294312988E-2</v>
      </c>
      <c r="D424" s="383">
        <f t="shared" si="86"/>
        <v>20400.124389479999</v>
      </c>
      <c r="E424" s="384" t="str">
        <f t="shared" si="87"/>
        <v>N/A</v>
      </c>
      <c r="F424" s="385">
        <v>0.17499999999999999</v>
      </c>
      <c r="G424" s="382">
        <v>0.51323540000000001</v>
      </c>
      <c r="H424" s="399">
        <f t="shared" si="88"/>
        <v>0.34411769999999997</v>
      </c>
      <c r="I424" s="399">
        <f t="shared" si="89"/>
        <v>0.37861291480489828</v>
      </c>
      <c r="J424" s="382">
        <f t="shared" si="90"/>
        <v>3.8154528322798513E-4</v>
      </c>
      <c r="K424" s="382">
        <f t="shared" si="91"/>
        <v>1.4445797181300793E-4</v>
      </c>
      <c r="M424" s="400"/>
      <c r="N424" s="398" t="s">
        <v>4334</v>
      </c>
      <c r="O424" s="398" t="s">
        <v>1000</v>
      </c>
      <c r="P424" s="398" t="s">
        <v>526</v>
      </c>
      <c r="Q424" s="398">
        <v>20400124389.48</v>
      </c>
      <c r="R424" s="398">
        <v>2.9431299294312989</v>
      </c>
      <c r="S424" s="398" t="s">
        <v>3929</v>
      </c>
      <c r="T424" s="398">
        <v>211.70739999999998</v>
      </c>
      <c r="U424" s="398">
        <v>96.36</v>
      </c>
      <c r="W424" s="401" t="s">
        <v>1000</v>
      </c>
      <c r="X424" s="402" t="s">
        <v>526</v>
      </c>
      <c r="Y424" s="386">
        <f t="shared" si="92"/>
        <v>20400.124389479999</v>
      </c>
      <c r="Z424" s="387">
        <f t="shared" si="93"/>
        <v>2.9431299294312988E-2</v>
      </c>
      <c r="AA424" s="387" t="str">
        <f t="shared" si="94"/>
        <v>N/A</v>
      </c>
      <c r="AB424" s="403" t="str">
        <f t="shared" si="95"/>
        <v>N/A</v>
      </c>
      <c r="AC424" s="388">
        <f t="shared" si="96"/>
        <v>4.0281892340961276E-4</v>
      </c>
      <c r="AD424" s="389" t="str">
        <f t="shared" si="97"/>
        <v>N/A</v>
      </c>
    </row>
    <row r="425" spans="1:30" x14ac:dyDescent="0.55000000000000004">
      <c r="A425" t="str">
        <f t="shared" si="84"/>
        <v>Constellation Brands Inc</v>
      </c>
      <c r="B425" t="str">
        <f t="shared" si="84"/>
        <v>STZ</v>
      </c>
      <c r="C425" s="382">
        <f t="shared" si="85"/>
        <v>2.230641592920354E-2</v>
      </c>
      <c r="D425" s="383">
        <f t="shared" si="86"/>
        <v>32676.0440256</v>
      </c>
      <c r="E425" s="384">
        <f t="shared" si="87"/>
        <v>8.6800000000000002E-2</v>
      </c>
      <c r="F425" s="385">
        <v>7.4999999999999997E-2</v>
      </c>
      <c r="G425" s="382">
        <v>9.099320000000001E-2</v>
      </c>
      <c r="H425" s="399">
        <f t="shared" si="88"/>
        <v>8.4264400000000003E-2</v>
      </c>
      <c r="I425" s="399">
        <f t="shared" si="89"/>
        <v>0.10751063430641593</v>
      </c>
      <c r="J425" s="382">
        <f t="shared" si="90"/>
        <v>6.1114286533208036E-4</v>
      </c>
      <c r="K425" s="382">
        <f t="shared" si="91"/>
        <v>6.5704357103692489E-5</v>
      </c>
      <c r="M425" s="400"/>
      <c r="N425" s="398" t="s">
        <v>4335</v>
      </c>
      <c r="O425" s="398" t="s">
        <v>1001</v>
      </c>
      <c r="P425" s="398" t="s">
        <v>527</v>
      </c>
      <c r="Q425" s="398">
        <v>32676044025.599998</v>
      </c>
      <c r="R425" s="398">
        <v>2.230641592920354</v>
      </c>
      <c r="S425" s="398">
        <v>8.68</v>
      </c>
      <c r="T425" s="398">
        <v>180.7046</v>
      </c>
      <c r="U425" s="398">
        <v>180.8</v>
      </c>
      <c r="W425" s="401" t="s">
        <v>1001</v>
      </c>
      <c r="X425" s="402" t="s">
        <v>527</v>
      </c>
      <c r="Y425" s="386">
        <f t="shared" si="92"/>
        <v>32676.0440256</v>
      </c>
      <c r="Z425" s="387">
        <f t="shared" si="93"/>
        <v>2.230641592920354E-2</v>
      </c>
      <c r="AA425" s="387">
        <f t="shared" si="94"/>
        <v>8.6800000000000002E-2</v>
      </c>
      <c r="AB425" s="403">
        <f t="shared" si="95"/>
        <v>0.11007451438053098</v>
      </c>
      <c r="AC425" s="388">
        <f t="shared" si="96"/>
        <v>6.4521806947731141E-4</v>
      </c>
      <c r="AD425" s="389">
        <f t="shared" si="97"/>
        <v>7.1022065667258752E-5</v>
      </c>
    </row>
    <row r="426" spans="1:30" x14ac:dyDescent="0.55000000000000004">
      <c r="A426" t="str">
        <f t="shared" si="84"/>
        <v>Smurfit WestRock PLC</v>
      </c>
      <c r="B426" t="str">
        <f t="shared" si="84"/>
        <v>SW</v>
      </c>
      <c r="C426" s="382">
        <f t="shared" si="85"/>
        <v>2.1736673573177621E-2</v>
      </c>
      <c r="D426" s="383">
        <f t="shared" si="86"/>
        <v>27630.385816490001</v>
      </c>
      <c r="E426" s="384">
        <f t="shared" si="87"/>
        <v>-1.7100000000000001E-2</v>
      </c>
      <c r="F426" s="385" t="s">
        <v>184</v>
      </c>
      <c r="G426" s="382">
        <v>0.10230990000000001</v>
      </c>
      <c r="H426" s="399">
        <f t="shared" si="88"/>
        <v>4.2604950000000003E-2</v>
      </c>
      <c r="I426" s="399">
        <f t="shared" si="89"/>
        <v>6.4804668518553404E-2</v>
      </c>
      <c r="J426" s="382">
        <f t="shared" si="90"/>
        <v>5.1677348533657171E-4</v>
      </c>
      <c r="K426" s="382">
        <f t="shared" si="91"/>
        <v>3.3489334416414046E-5</v>
      </c>
      <c r="M426" s="400"/>
      <c r="N426" s="398" t="s">
        <v>4336</v>
      </c>
      <c r="O426" s="398" t="s">
        <v>2671</v>
      </c>
      <c r="P426" s="398" t="s">
        <v>2672</v>
      </c>
      <c r="Q426" s="398">
        <v>27630385816.490002</v>
      </c>
      <c r="R426" s="398">
        <v>2.1736673573177621</v>
      </c>
      <c r="S426" s="398">
        <v>-1.71</v>
      </c>
      <c r="T426" s="398">
        <v>520.4443</v>
      </c>
      <c r="U426" s="398">
        <v>53.09</v>
      </c>
      <c r="W426" s="401" t="s">
        <v>2671</v>
      </c>
      <c r="X426" s="402" t="s">
        <v>2672</v>
      </c>
      <c r="Y426" s="386">
        <f t="shared" si="92"/>
        <v>27630.385816490001</v>
      </c>
      <c r="Z426" s="387">
        <f t="shared" si="93"/>
        <v>2.1736673573177621E-2</v>
      </c>
      <c r="AA426" s="387">
        <f t="shared" si="94"/>
        <v>-1.7100000000000001E-2</v>
      </c>
      <c r="AB426" s="403">
        <f t="shared" si="95"/>
        <v>4.4508250141269516E-3</v>
      </c>
      <c r="AC426" s="388">
        <f t="shared" si="96"/>
        <v>5.4558698052499684E-4</v>
      </c>
      <c r="AD426" s="389">
        <f t="shared" si="97"/>
        <v>2.4283121803026498E-6</v>
      </c>
    </row>
    <row r="427" spans="1:30" x14ac:dyDescent="0.55000000000000004">
      <c r="A427" t="str">
        <f t="shared" si="84"/>
        <v>Stanley Black &amp; Decker Inc</v>
      </c>
      <c r="B427" t="str">
        <f t="shared" si="84"/>
        <v>SWK</v>
      </c>
      <c r="C427" s="382">
        <f t="shared" si="85"/>
        <v>3.7016009992051783E-2</v>
      </c>
      <c r="D427" s="383">
        <f t="shared" si="86"/>
        <v>13577.212383179998</v>
      </c>
      <c r="E427" s="384" t="str">
        <f t="shared" si="87"/>
        <v>N/A</v>
      </c>
      <c r="F427" s="385">
        <v>0.105</v>
      </c>
      <c r="G427" s="382">
        <v>0.34031</v>
      </c>
      <c r="H427" s="399">
        <f t="shared" si="88"/>
        <v>0.22265499999999999</v>
      </c>
      <c r="I427" s="399">
        <f t="shared" si="89"/>
        <v>0.2637919098444419</v>
      </c>
      <c r="J427" s="382">
        <f t="shared" si="90"/>
        <v>2.5393577241412919E-4</v>
      </c>
      <c r="K427" s="382">
        <f t="shared" si="91"/>
        <v>6.6986202382946677E-5</v>
      </c>
      <c r="M427" s="400"/>
      <c r="N427" s="398" t="s">
        <v>4337</v>
      </c>
      <c r="O427" s="398" t="s">
        <v>1002</v>
      </c>
      <c r="P427" s="398" t="s">
        <v>528</v>
      </c>
      <c r="Q427" s="398">
        <v>13577212383.179998</v>
      </c>
      <c r="R427" s="398">
        <v>3.7016009992051782</v>
      </c>
      <c r="S427" s="398" t="s">
        <v>3929</v>
      </c>
      <c r="T427" s="398">
        <v>154.16389999999998</v>
      </c>
      <c r="U427" s="398">
        <v>88.07</v>
      </c>
      <c r="W427" s="401" t="s">
        <v>1002</v>
      </c>
      <c r="X427" s="402" t="s">
        <v>528</v>
      </c>
      <c r="Y427" s="386">
        <f t="shared" si="92"/>
        <v>13577.212383179998</v>
      </c>
      <c r="Z427" s="387">
        <f t="shared" si="93"/>
        <v>3.7016009992051783E-2</v>
      </c>
      <c r="AA427" s="387" t="str">
        <f t="shared" si="94"/>
        <v>N/A</v>
      </c>
      <c r="AB427" s="403" t="str">
        <f t="shared" si="95"/>
        <v>N/A</v>
      </c>
      <c r="AC427" s="388">
        <f t="shared" si="96"/>
        <v>2.6809434936174128E-4</v>
      </c>
      <c r="AD427" s="389" t="str">
        <f t="shared" si="97"/>
        <v>N/A</v>
      </c>
    </row>
    <row r="428" spans="1:30" x14ac:dyDescent="0.55000000000000004">
      <c r="A428" t="str">
        <f t="shared" si="84"/>
        <v>Skyworks Solutions Inc</v>
      </c>
      <c r="B428" t="str">
        <f t="shared" si="84"/>
        <v>SWKS</v>
      </c>
      <c r="C428" s="382">
        <f t="shared" si="85"/>
        <v>3.1985128436232538E-2</v>
      </c>
      <c r="D428" s="383">
        <f t="shared" si="86"/>
        <v>14194.556805240001</v>
      </c>
      <c r="E428" s="384">
        <f t="shared" si="87"/>
        <v>0.15090000000000001</v>
      </c>
      <c r="F428" s="385">
        <v>-0.06</v>
      </c>
      <c r="G428" s="382">
        <v>9.1761900000000007E-2</v>
      </c>
      <c r="H428" s="399">
        <f t="shared" si="88"/>
        <v>6.0887300000000005E-2</v>
      </c>
      <c r="I428" s="399">
        <f t="shared" si="89"/>
        <v>9.384617249155025E-2</v>
      </c>
      <c r="J428" s="382">
        <f t="shared" si="90"/>
        <v>2.6548201830298108E-4</v>
      </c>
      <c r="K428" s="382">
        <f t="shared" si="91"/>
        <v>2.4914471283066462E-5</v>
      </c>
      <c r="M428" s="400"/>
      <c r="N428" s="398" t="s">
        <v>4338</v>
      </c>
      <c r="O428" s="398" t="s">
        <v>1003</v>
      </c>
      <c r="P428" s="398" t="s">
        <v>529</v>
      </c>
      <c r="Q428" s="398">
        <v>14194556805.240002</v>
      </c>
      <c r="R428" s="398">
        <v>3.1985128436232535</v>
      </c>
      <c r="S428" s="398">
        <v>15.09</v>
      </c>
      <c r="T428" s="398">
        <v>159.92059999999998</v>
      </c>
      <c r="U428" s="398">
        <v>88.76</v>
      </c>
      <c r="W428" s="401" t="s">
        <v>1003</v>
      </c>
      <c r="X428" s="402" t="s">
        <v>529</v>
      </c>
      <c r="Y428" s="386">
        <f t="shared" si="92"/>
        <v>14194.556805240001</v>
      </c>
      <c r="Z428" s="387">
        <f t="shared" si="93"/>
        <v>3.1985128436232538E-2</v>
      </c>
      <c r="AA428" s="387">
        <f t="shared" si="94"/>
        <v>0.15090000000000001</v>
      </c>
      <c r="AB428" s="403">
        <f t="shared" si="95"/>
        <v>0.1852984063767463</v>
      </c>
      <c r="AC428" s="388">
        <f t="shared" si="96"/>
        <v>2.8028437383018908E-4</v>
      </c>
      <c r="AD428" s="389">
        <f t="shared" si="97"/>
        <v>5.1936247803038254E-5</v>
      </c>
    </row>
    <row r="429" spans="1:30" x14ac:dyDescent="0.55000000000000004">
      <c r="A429" t="str">
        <f t="shared" si="84"/>
        <v>Synchrony Financial</v>
      </c>
      <c r="B429" t="str">
        <f t="shared" si="84"/>
        <v>SYF</v>
      </c>
      <c r="C429" s="382">
        <f t="shared" si="85"/>
        <v>1.5033342997970425E-2</v>
      </c>
      <c r="D429" s="383">
        <f t="shared" si="86"/>
        <v>26856.975539340001</v>
      </c>
      <c r="E429" s="384">
        <f t="shared" si="87"/>
        <v>0.158</v>
      </c>
      <c r="F429" s="385">
        <v>0.05</v>
      </c>
      <c r="G429" s="382">
        <v>0.30870300000000001</v>
      </c>
      <c r="H429" s="399">
        <f t="shared" si="88"/>
        <v>0.17223433333333335</v>
      </c>
      <c r="I429" s="399">
        <f t="shared" si="89"/>
        <v>0.18856230523581716</v>
      </c>
      <c r="J429" s="382">
        <f t="shared" si="90"/>
        <v>5.02308326320247E-4</v>
      </c>
      <c r="K429" s="382">
        <f t="shared" si="91"/>
        <v>9.4716415950090864E-5</v>
      </c>
      <c r="M429" s="400"/>
      <c r="N429" s="398" t="s">
        <v>4339</v>
      </c>
      <c r="O429" s="398" t="s">
        <v>530</v>
      </c>
      <c r="P429" s="398" t="s">
        <v>531</v>
      </c>
      <c r="Q429" s="398">
        <v>26856975539.34</v>
      </c>
      <c r="R429" s="398">
        <v>1.5033342997970425</v>
      </c>
      <c r="S429" s="398">
        <v>15.8</v>
      </c>
      <c r="T429" s="398">
        <v>389.34440000000001</v>
      </c>
      <c r="U429" s="398">
        <v>68.98</v>
      </c>
      <c r="W429" s="401" t="s">
        <v>530</v>
      </c>
      <c r="X429" s="402" t="s">
        <v>531</v>
      </c>
      <c r="Y429" s="386">
        <f t="shared" si="92"/>
        <v>26856.975539340001</v>
      </c>
      <c r="Z429" s="387">
        <f t="shared" si="93"/>
        <v>1.5033342997970425E-2</v>
      </c>
      <c r="AA429" s="387">
        <f t="shared" si="94"/>
        <v>0.158</v>
      </c>
      <c r="AB429" s="403">
        <f t="shared" si="95"/>
        <v>0.1742209770948101</v>
      </c>
      <c r="AC429" s="388">
        <f t="shared" si="96"/>
        <v>5.3031529446821225E-4</v>
      </c>
      <c r="AD429" s="389">
        <f t="shared" si="97"/>
        <v>9.2392048770573875E-5</v>
      </c>
    </row>
    <row r="430" spans="1:30" x14ac:dyDescent="0.55000000000000004">
      <c r="A430" t="str">
        <f t="shared" si="84"/>
        <v>Stryker Corp</v>
      </c>
      <c r="B430" t="str">
        <f t="shared" si="84"/>
        <v>SYK</v>
      </c>
      <c r="C430" s="382">
        <f t="shared" si="85"/>
        <v>8.3467504919624829E-3</v>
      </c>
      <c r="D430" s="383">
        <f t="shared" si="86"/>
        <v>149165.91981716998</v>
      </c>
      <c r="E430" s="384">
        <f t="shared" si="87"/>
        <v>9.9700000000000011E-2</v>
      </c>
      <c r="F430" s="385">
        <v>9.5000000000000001E-2</v>
      </c>
      <c r="G430" s="382">
        <v>0.1046687</v>
      </c>
      <c r="H430" s="399">
        <f t="shared" si="88"/>
        <v>9.9789566666666676E-2</v>
      </c>
      <c r="I430" s="399">
        <f t="shared" si="89"/>
        <v>0.10855277646596302</v>
      </c>
      <c r="J430" s="382">
        <f t="shared" si="90"/>
        <v>2.7898630438721443E-3</v>
      </c>
      <c r="K430" s="382">
        <f t="shared" si="91"/>
        <v>3.0284737937210407E-4</v>
      </c>
      <c r="M430" s="400"/>
      <c r="N430" s="398" t="s">
        <v>4340</v>
      </c>
      <c r="O430" s="398" t="s">
        <v>1004</v>
      </c>
      <c r="P430" s="398" t="s">
        <v>532</v>
      </c>
      <c r="Q430" s="398">
        <v>149165919817.16998</v>
      </c>
      <c r="R430" s="398">
        <v>0.83467504919624835</v>
      </c>
      <c r="S430" s="398">
        <v>9.9700000000000006</v>
      </c>
      <c r="T430" s="398">
        <v>381.2158</v>
      </c>
      <c r="U430" s="398">
        <v>391.29</v>
      </c>
      <c r="W430" s="401" t="s">
        <v>1004</v>
      </c>
      <c r="X430" s="402" t="s">
        <v>532</v>
      </c>
      <c r="Y430" s="386">
        <f t="shared" si="92"/>
        <v>149165.91981716998</v>
      </c>
      <c r="Z430" s="387">
        <f t="shared" si="93"/>
        <v>8.3467504919624829E-3</v>
      </c>
      <c r="AA430" s="387">
        <f t="shared" si="94"/>
        <v>9.9700000000000011E-2</v>
      </c>
      <c r="AB430" s="403">
        <f t="shared" si="95"/>
        <v>0.10846283600398682</v>
      </c>
      <c r="AC430" s="388">
        <f t="shared" si="96"/>
        <v>2.9454161201655621E-3</v>
      </c>
      <c r="AD430" s="389">
        <f t="shared" si="97"/>
        <v>3.1946818560501649E-4</v>
      </c>
    </row>
    <row r="431" spans="1:30" x14ac:dyDescent="0.55000000000000004">
      <c r="A431" t="str">
        <f t="shared" si="84"/>
        <v>Sysco Corp</v>
      </c>
      <c r="B431" t="str">
        <f t="shared" si="84"/>
        <v>SYY</v>
      </c>
      <c r="C431" s="382">
        <f t="shared" si="85"/>
        <v>2.8250137136588041E-2</v>
      </c>
      <c r="D431" s="383">
        <f t="shared" si="86"/>
        <v>35674.625640480001</v>
      </c>
      <c r="E431" s="384" t="str">
        <f t="shared" si="87"/>
        <v>N/A</v>
      </c>
      <c r="F431" s="385">
        <v>9.5000000000000001E-2</v>
      </c>
      <c r="G431" s="382">
        <v>7.5979900000000003E-2</v>
      </c>
      <c r="H431" s="399">
        <f t="shared" si="88"/>
        <v>8.5489950000000009E-2</v>
      </c>
      <c r="I431" s="399">
        <f t="shared" si="89"/>
        <v>0.11494763854223808</v>
      </c>
      <c r="J431" s="382">
        <f t="shared" si="90"/>
        <v>6.6722559550021644E-4</v>
      </c>
      <c r="K431" s="382">
        <f t="shared" si="91"/>
        <v>7.6696006577688439E-5</v>
      </c>
      <c r="M431" s="400"/>
      <c r="N431" s="398" t="s">
        <v>4341</v>
      </c>
      <c r="O431" s="398" t="s">
        <v>1005</v>
      </c>
      <c r="P431" s="398" t="s">
        <v>533</v>
      </c>
      <c r="Q431" s="398">
        <v>35674625640.480003</v>
      </c>
      <c r="R431" s="398">
        <v>2.8250137136588043</v>
      </c>
      <c r="S431" s="398" t="s">
        <v>3929</v>
      </c>
      <c r="T431" s="398">
        <v>489.2296</v>
      </c>
      <c r="U431" s="398">
        <v>72.92</v>
      </c>
      <c r="W431" s="401" t="s">
        <v>1005</v>
      </c>
      <c r="X431" s="402" t="s">
        <v>533</v>
      </c>
      <c r="Y431" s="386">
        <f t="shared" si="92"/>
        <v>35674.625640480001</v>
      </c>
      <c r="Z431" s="387">
        <f t="shared" si="93"/>
        <v>2.8250137136588041E-2</v>
      </c>
      <c r="AA431" s="387" t="str">
        <f t="shared" si="94"/>
        <v>N/A</v>
      </c>
      <c r="AB431" s="403" t="str">
        <f t="shared" si="95"/>
        <v>N/A</v>
      </c>
      <c r="AC431" s="388">
        <f t="shared" si="96"/>
        <v>7.0442777794775123E-4</v>
      </c>
      <c r="AD431" s="389" t="str">
        <f t="shared" si="97"/>
        <v>N/A</v>
      </c>
    </row>
    <row r="432" spans="1:30" x14ac:dyDescent="0.55000000000000004">
      <c r="A432" t="str">
        <f t="shared" si="84"/>
        <v>AT&amp;T Inc</v>
      </c>
      <c r="B432" t="str">
        <f t="shared" si="84"/>
        <v>T</v>
      </c>
      <c r="C432" s="382">
        <f t="shared" si="85"/>
        <v>4.7071217867678046E-2</v>
      </c>
      <c r="D432" s="383">
        <f t="shared" si="86"/>
        <v>170269.61169560999</v>
      </c>
      <c r="E432" s="384">
        <f t="shared" si="87"/>
        <v>4.0800000000000003E-2</v>
      </c>
      <c r="F432" s="385">
        <v>0.04</v>
      </c>
      <c r="G432" s="382">
        <v>6.2866999999999992E-3</v>
      </c>
      <c r="H432" s="399">
        <f t="shared" si="88"/>
        <v>2.9028900000000007E-2</v>
      </c>
      <c r="I432" s="399">
        <f t="shared" si="89"/>
        <v>7.6783330705857578E-2</v>
      </c>
      <c r="J432" s="382">
        <f t="shared" si="90"/>
        <v>3.184567210434374E-3</v>
      </c>
      <c r="K432" s="382">
        <f t="shared" si="91"/>
        <v>2.4452167727381286E-4</v>
      </c>
      <c r="M432" s="400"/>
      <c r="N432" s="398" t="s">
        <v>4342</v>
      </c>
      <c r="O432" s="398" t="s">
        <v>1006</v>
      </c>
      <c r="P432" s="398" t="s">
        <v>534</v>
      </c>
      <c r="Q432" s="398">
        <v>170269611695.60999</v>
      </c>
      <c r="R432" s="398">
        <v>4.7071217867678046</v>
      </c>
      <c r="S432" s="398">
        <v>4.08</v>
      </c>
      <c r="T432" s="398">
        <v>7175.2889999999998</v>
      </c>
      <c r="U432" s="398">
        <v>23.73</v>
      </c>
      <c r="W432" s="401" t="s">
        <v>1006</v>
      </c>
      <c r="X432" s="402" t="s">
        <v>534</v>
      </c>
      <c r="Y432" s="386">
        <f t="shared" si="92"/>
        <v>170269.61169560999</v>
      </c>
      <c r="Z432" s="387">
        <f t="shared" si="93"/>
        <v>4.7071217867678046E-2</v>
      </c>
      <c r="AA432" s="387">
        <f t="shared" si="94"/>
        <v>4.0800000000000003E-2</v>
      </c>
      <c r="AB432" s="403">
        <f t="shared" si="95"/>
        <v>8.8831470712178673E-2</v>
      </c>
      <c r="AC432" s="388">
        <f t="shared" si="96"/>
        <v>3.3621276205535299E-3</v>
      </c>
      <c r="AD432" s="389">
        <f t="shared" si="97"/>
        <v>2.9866274125580787E-4</v>
      </c>
    </row>
    <row r="433" spans="1:30" x14ac:dyDescent="0.55000000000000004">
      <c r="A433" t="str">
        <f t="shared" si="84"/>
        <v>Molson Coors Beverage Co</v>
      </c>
      <c r="B433" t="str">
        <f t="shared" si="84"/>
        <v>TAP</v>
      </c>
      <c r="C433" s="382">
        <f t="shared" si="85"/>
        <v>3.1433789954337904E-2</v>
      </c>
      <c r="D433" s="383">
        <f t="shared" si="86"/>
        <v>11297.607971325</v>
      </c>
      <c r="E433" s="384">
        <f t="shared" si="87"/>
        <v>0.04</v>
      </c>
      <c r="F433" s="385">
        <v>0.115</v>
      </c>
      <c r="G433" s="382">
        <v>3.6686700000000003E-2</v>
      </c>
      <c r="H433" s="399">
        <f t="shared" si="88"/>
        <v>6.3895566666666667E-2</v>
      </c>
      <c r="I433" s="399">
        <f t="shared" si="89"/>
        <v>9.6333596531811269E-2</v>
      </c>
      <c r="J433" s="382">
        <f t="shared" si="90"/>
        <v>2.1130013478941418E-4</v>
      </c>
      <c r="K433" s="382">
        <f t="shared" si="91"/>
        <v>2.0355301931920764E-5</v>
      </c>
      <c r="M433" s="400"/>
      <c r="N433" s="398" t="s">
        <v>4343</v>
      </c>
      <c r="O433" s="398" t="s">
        <v>1007</v>
      </c>
      <c r="P433" s="398" t="s">
        <v>535</v>
      </c>
      <c r="Q433" s="398">
        <v>11297607971.325001</v>
      </c>
      <c r="R433" s="398">
        <v>3.1433789954337903</v>
      </c>
      <c r="S433" s="398">
        <v>4</v>
      </c>
      <c r="T433" s="398">
        <v>193.5652</v>
      </c>
      <c r="U433" s="398">
        <v>54.75</v>
      </c>
      <c r="W433" s="401" t="s">
        <v>1007</v>
      </c>
      <c r="X433" s="402" t="s">
        <v>535</v>
      </c>
      <c r="Y433" s="386">
        <f t="shared" si="92"/>
        <v>11297.607971325</v>
      </c>
      <c r="Z433" s="387">
        <f t="shared" si="93"/>
        <v>3.1433789954337904E-2</v>
      </c>
      <c r="AA433" s="387">
        <f t="shared" si="94"/>
        <v>0.04</v>
      </c>
      <c r="AB433" s="403">
        <f t="shared" si="95"/>
        <v>7.2062465753424662E-2</v>
      </c>
      <c r="AC433" s="388">
        <f t="shared" si="96"/>
        <v>2.2308149662360948E-4</v>
      </c>
      <c r="AD433" s="389">
        <f t="shared" si="97"/>
        <v>1.6075802710661576E-5</v>
      </c>
    </row>
    <row r="434" spans="1:30" x14ac:dyDescent="0.55000000000000004">
      <c r="A434" t="str">
        <f t="shared" si="84"/>
        <v>TransDigm Group Inc</v>
      </c>
      <c r="B434" t="str">
        <f t="shared" si="84"/>
        <v>TDG</v>
      </c>
      <c r="C434" s="382">
        <f t="shared" si="85"/>
        <v>5.530760932212158E-2</v>
      </c>
      <c r="D434" s="383">
        <f t="shared" si="86"/>
        <v>75841.196606779995</v>
      </c>
      <c r="E434" s="384">
        <f t="shared" si="87"/>
        <v>0.13089999999999999</v>
      </c>
      <c r="F434" s="385">
        <v>0.19500000000000001</v>
      </c>
      <c r="G434" s="382">
        <v>0.11974800000000001</v>
      </c>
      <c r="H434" s="399">
        <f t="shared" si="88"/>
        <v>0.14854933333333334</v>
      </c>
      <c r="I434" s="399">
        <f t="shared" si="89"/>
        <v>0.20796489690198572</v>
      </c>
      <c r="J434" s="382">
        <f t="shared" si="90"/>
        <v>1.4184644312563812E-3</v>
      </c>
      <c r="K434" s="382">
        <f t="shared" si="91"/>
        <v>2.9499080920536712E-4</v>
      </c>
      <c r="M434" s="400"/>
      <c r="N434" s="398" t="s">
        <v>4344</v>
      </c>
      <c r="O434" s="398" t="s">
        <v>1008</v>
      </c>
      <c r="P434" s="398" t="s">
        <v>536</v>
      </c>
      <c r="Q434" s="398">
        <v>75841196606.779999</v>
      </c>
      <c r="R434" s="398">
        <v>5.530760932212158</v>
      </c>
      <c r="S434" s="398">
        <v>13.09</v>
      </c>
      <c r="T434" s="398">
        <v>56.040019999999998</v>
      </c>
      <c r="U434" s="398">
        <v>1353.34</v>
      </c>
      <c r="W434" s="401" t="s">
        <v>1008</v>
      </c>
      <c r="X434" s="402" t="s">
        <v>536</v>
      </c>
      <c r="Y434" s="386">
        <f t="shared" si="92"/>
        <v>75841.196606779995</v>
      </c>
      <c r="Z434" s="387">
        <f t="shared" si="93"/>
        <v>5.530760932212158E-2</v>
      </c>
      <c r="AA434" s="387">
        <f t="shared" si="94"/>
        <v>0.13089999999999999</v>
      </c>
      <c r="AB434" s="403">
        <f t="shared" si="95"/>
        <v>0.18982749235225443</v>
      </c>
      <c r="AC434" s="388">
        <f t="shared" si="96"/>
        <v>1.4975530827152285E-3</v>
      </c>
      <c r="AD434" s="389">
        <f t="shared" si="97"/>
        <v>2.8427674635622007E-4</v>
      </c>
    </row>
    <row r="435" spans="1:30" x14ac:dyDescent="0.55000000000000004">
      <c r="A435" t="str">
        <f t="shared" si="84"/>
        <v>Teledyne Technologies Inc</v>
      </c>
      <c r="B435" t="str">
        <f t="shared" si="84"/>
        <v>TDY</v>
      </c>
      <c r="C435" s="382" t="str">
        <f t="shared" si="85"/>
        <v>0.00%</v>
      </c>
      <c r="D435" s="383">
        <f t="shared" si="86"/>
        <v>23829.164796929996</v>
      </c>
      <c r="E435" s="384">
        <f t="shared" si="87"/>
        <v>7.4099999999999999E-2</v>
      </c>
      <c r="F435" s="385">
        <v>7.0000000000000007E-2</v>
      </c>
      <c r="G435" s="382">
        <v>7.4108199999999999E-2</v>
      </c>
      <c r="H435" s="399">
        <f t="shared" si="88"/>
        <v>7.2736066666666668E-2</v>
      </c>
      <c r="I435" s="399">
        <f t="shared" si="89"/>
        <v>7.2736066666666668E-2</v>
      </c>
      <c r="J435" s="382">
        <f t="shared" si="90"/>
        <v>4.4567892126282967E-4</v>
      </c>
      <c r="K435" s="382">
        <f t="shared" si="91"/>
        <v>3.2416931728901263E-5</v>
      </c>
      <c r="M435" s="400"/>
      <c r="N435" s="398" t="s">
        <v>4345</v>
      </c>
      <c r="O435" s="398" t="s">
        <v>1009</v>
      </c>
      <c r="P435" s="398" t="s">
        <v>537</v>
      </c>
      <c r="Q435" s="398">
        <v>23829164796.929996</v>
      </c>
      <c r="R435" s="398" t="s">
        <v>3929</v>
      </c>
      <c r="S435" s="398">
        <v>7.41</v>
      </c>
      <c r="T435" s="398">
        <v>46.602319999999999</v>
      </c>
      <c r="U435" s="398">
        <v>511.33</v>
      </c>
      <c r="W435" s="401" t="s">
        <v>1009</v>
      </c>
      <c r="X435" s="402" t="s">
        <v>537</v>
      </c>
      <c r="Y435" s="386">
        <f t="shared" si="92"/>
        <v>23829.164796929996</v>
      </c>
      <c r="Z435" s="387" t="str">
        <f t="shared" si="93"/>
        <v>0.00%</v>
      </c>
      <c r="AA435" s="387">
        <f t="shared" si="94"/>
        <v>7.4099999999999999E-2</v>
      </c>
      <c r="AB435" s="403">
        <f t="shared" si="95"/>
        <v>7.4099999999999999E-2</v>
      </c>
      <c r="AC435" s="388">
        <f t="shared" si="96"/>
        <v>4.7052843041484315E-4</v>
      </c>
      <c r="AD435" s="389">
        <f t="shared" si="97"/>
        <v>3.486615669373988E-5</v>
      </c>
    </row>
    <row r="436" spans="1:30" x14ac:dyDescent="0.55000000000000004">
      <c r="A436" t="str">
        <f t="shared" si="84"/>
        <v>Bio-Techne Corp</v>
      </c>
      <c r="B436" t="str">
        <f t="shared" si="84"/>
        <v>TECH</v>
      </c>
      <c r="C436" s="382">
        <f t="shared" si="85"/>
        <v>4.3507817811012919E-3</v>
      </c>
      <c r="D436" s="383">
        <f t="shared" si="86"/>
        <v>11686.491890000001</v>
      </c>
      <c r="E436" s="384" t="str">
        <f t="shared" si="87"/>
        <v>N/A</v>
      </c>
      <c r="F436" s="385">
        <v>0.11</v>
      </c>
      <c r="G436" s="382">
        <v>0.11132999999999998</v>
      </c>
      <c r="H436" s="399">
        <f t="shared" si="88"/>
        <v>0.11066499999999999</v>
      </c>
      <c r="I436" s="399">
        <f t="shared" si="89"/>
        <v>0.11525652141400407</v>
      </c>
      <c r="J436" s="382">
        <f t="shared" si="90"/>
        <v>2.1857346420941408E-4</v>
      </c>
      <c r="K436" s="382">
        <f t="shared" si="91"/>
        <v>2.5192017158185387E-5</v>
      </c>
      <c r="M436" s="400"/>
      <c r="N436" s="398" t="s">
        <v>4346</v>
      </c>
      <c r="O436" s="398" t="s">
        <v>1010</v>
      </c>
      <c r="P436" s="398" t="s">
        <v>538</v>
      </c>
      <c r="Q436" s="398">
        <v>11686491890.000002</v>
      </c>
      <c r="R436" s="398">
        <v>0.43507817811012917</v>
      </c>
      <c r="S436" s="398" t="s">
        <v>3929</v>
      </c>
      <c r="T436" s="398">
        <v>158.89179999999999</v>
      </c>
      <c r="U436" s="398">
        <v>73.55</v>
      </c>
      <c r="W436" s="401" t="s">
        <v>1010</v>
      </c>
      <c r="X436" s="402" t="s">
        <v>538</v>
      </c>
      <c r="Y436" s="386">
        <f t="shared" si="92"/>
        <v>11686.491890000001</v>
      </c>
      <c r="Z436" s="387">
        <f t="shared" si="93"/>
        <v>4.3507817811012919E-3</v>
      </c>
      <c r="AA436" s="387" t="str">
        <f t="shared" si="94"/>
        <v>N/A</v>
      </c>
      <c r="AB436" s="403" t="str">
        <f t="shared" si="95"/>
        <v>N/A</v>
      </c>
      <c r="AC436" s="388">
        <f t="shared" si="96"/>
        <v>2.3076036163743053E-4</v>
      </c>
      <c r="AD436" s="389" t="str">
        <f t="shared" si="97"/>
        <v>N/A</v>
      </c>
    </row>
    <row r="437" spans="1:30" x14ac:dyDescent="0.55000000000000004">
      <c r="A437" t="str">
        <f t="shared" si="84"/>
        <v>TE Connectivity PLC</v>
      </c>
      <c r="B437" t="str">
        <f t="shared" si="84"/>
        <v>TEL</v>
      </c>
      <c r="C437" s="382">
        <f t="shared" si="85"/>
        <v>1.7706291815908631E-2</v>
      </c>
      <c r="D437" s="383">
        <f t="shared" si="86"/>
        <v>44147.320044599997</v>
      </c>
      <c r="E437" s="384">
        <f t="shared" si="87"/>
        <v>7.3200000000000001E-2</v>
      </c>
      <c r="F437" s="385">
        <v>7.4999999999999997E-2</v>
      </c>
      <c r="G437" s="382">
        <v>9.1601000000000002E-2</v>
      </c>
      <c r="H437" s="399">
        <f t="shared" si="88"/>
        <v>7.9933666666666667E-2</v>
      </c>
      <c r="I437" s="399">
        <f t="shared" si="89"/>
        <v>9.834762289653308E-2</v>
      </c>
      <c r="J437" s="382">
        <f t="shared" si="90"/>
        <v>8.2569112857271024E-4</v>
      </c>
      <c r="K437" s="382">
        <f t="shared" si="91"/>
        <v>8.1204759741881715E-5</v>
      </c>
      <c r="M437" s="400"/>
      <c r="N437" s="398" t="s">
        <v>4347</v>
      </c>
      <c r="O437" s="398" t="s">
        <v>2812</v>
      </c>
      <c r="P437" s="398" t="s">
        <v>539</v>
      </c>
      <c r="Q437" s="398">
        <v>44147320044.599998</v>
      </c>
      <c r="R437" s="398">
        <v>1.770629181590863</v>
      </c>
      <c r="S437" s="398">
        <v>7.32</v>
      </c>
      <c r="T437" s="398">
        <v>298.35319999999996</v>
      </c>
      <c r="U437" s="398">
        <v>147.97</v>
      </c>
      <c r="W437" s="401" t="s">
        <v>2812</v>
      </c>
      <c r="X437" s="402" t="s">
        <v>539</v>
      </c>
      <c r="Y437" s="386">
        <f t="shared" si="92"/>
        <v>44147.320044599997</v>
      </c>
      <c r="Z437" s="387">
        <f t="shared" si="93"/>
        <v>1.7706291815908631E-2</v>
      </c>
      <c r="AA437" s="387">
        <f t="shared" si="94"/>
        <v>7.3200000000000001E-2</v>
      </c>
      <c r="AB437" s="403">
        <f t="shared" si="95"/>
        <v>9.1554342096370894E-2</v>
      </c>
      <c r="AC437" s="388">
        <f t="shared" si="96"/>
        <v>8.7172879891634269E-4</v>
      </c>
      <c r="AD437" s="389">
        <f t="shared" si="97"/>
        <v>7.9810556671245351E-5</v>
      </c>
    </row>
    <row r="438" spans="1:30" x14ac:dyDescent="0.55000000000000004">
      <c r="A438" t="str">
        <f t="shared" si="84"/>
        <v>Teradyne Inc</v>
      </c>
      <c r="B438" t="str">
        <f t="shared" si="84"/>
        <v>TER</v>
      </c>
      <c r="C438" s="382">
        <f t="shared" si="85"/>
        <v>4.3958891095949556E-3</v>
      </c>
      <c r="D438" s="383">
        <f t="shared" si="86"/>
        <v>18857.72868498</v>
      </c>
      <c r="E438" s="384">
        <f t="shared" si="87"/>
        <v>0.10800000000000001</v>
      </c>
      <c r="F438" s="385">
        <v>0.115</v>
      </c>
      <c r="G438" s="382">
        <v>0.17549959999999998</v>
      </c>
      <c r="H438" s="399">
        <f t="shared" si="88"/>
        <v>0.13283320000000001</v>
      </c>
      <c r="I438" s="399">
        <f t="shared" si="89"/>
        <v>0.13752104911823129</v>
      </c>
      <c r="J438" s="382">
        <f t="shared" si="90"/>
        <v>3.5269772354219438E-4</v>
      </c>
      <c r="K438" s="382">
        <f t="shared" si="91"/>
        <v>4.8503360963134477E-5</v>
      </c>
      <c r="M438" s="400"/>
      <c r="N438" s="398" t="s">
        <v>4348</v>
      </c>
      <c r="O438" s="398" t="s">
        <v>1011</v>
      </c>
      <c r="P438" s="398" t="s">
        <v>540</v>
      </c>
      <c r="Q438" s="398">
        <v>18857728684.98</v>
      </c>
      <c r="R438" s="398">
        <v>0.43958891095949559</v>
      </c>
      <c r="S438" s="398">
        <v>10.8</v>
      </c>
      <c r="T438" s="398">
        <v>162.86150000000001</v>
      </c>
      <c r="U438" s="398">
        <v>115.79</v>
      </c>
      <c r="W438" s="401" t="s">
        <v>1011</v>
      </c>
      <c r="X438" s="402" t="s">
        <v>540</v>
      </c>
      <c r="Y438" s="386">
        <f t="shared" si="92"/>
        <v>18857.72868498</v>
      </c>
      <c r="Z438" s="387">
        <f t="shared" si="93"/>
        <v>4.3958891095949556E-3</v>
      </c>
      <c r="AA438" s="387">
        <f t="shared" si="94"/>
        <v>0.10800000000000001</v>
      </c>
      <c r="AB438" s="403">
        <f t="shared" si="95"/>
        <v>0.1126332671215131</v>
      </c>
      <c r="AC438" s="388">
        <f t="shared" si="96"/>
        <v>3.7236292396096736E-4</v>
      </c>
      <c r="AD438" s="389">
        <f t="shared" si="97"/>
        <v>4.1940452680643304E-5</v>
      </c>
    </row>
    <row r="439" spans="1:30" x14ac:dyDescent="0.55000000000000004">
      <c r="A439" t="str">
        <f t="shared" si="84"/>
        <v>Truist Financial Corp</v>
      </c>
      <c r="B439" t="str">
        <f t="shared" si="84"/>
        <v>TFC</v>
      </c>
      <c r="C439" s="382">
        <f t="shared" si="85"/>
        <v>4.4288114237715254E-2</v>
      </c>
      <c r="D439" s="383">
        <f t="shared" si="86"/>
        <v>63216.532114879999</v>
      </c>
      <c r="E439" s="384">
        <f t="shared" si="87"/>
        <v>8.2200000000000009E-2</v>
      </c>
      <c r="F439" s="385">
        <v>1.4999999999999999E-2</v>
      </c>
      <c r="G439" s="382">
        <v>0.1014563</v>
      </c>
      <c r="H439" s="399">
        <f t="shared" si="88"/>
        <v>6.6218766666666665E-2</v>
      </c>
      <c r="I439" s="399">
        <f t="shared" si="89"/>
        <v>0.11197323305578889</v>
      </c>
      <c r="J439" s="382">
        <f t="shared" si="90"/>
        <v>1.1823442440822159E-3</v>
      </c>
      <c r="K439" s="382">
        <f t="shared" si="91"/>
        <v>1.3239090759478852E-4</v>
      </c>
      <c r="M439" s="400"/>
      <c r="N439" s="398" t="s">
        <v>4349</v>
      </c>
      <c r="O439" s="398" t="s">
        <v>1012</v>
      </c>
      <c r="P439" s="398" t="s">
        <v>541</v>
      </c>
      <c r="Q439" s="398">
        <v>63216532114.879997</v>
      </c>
      <c r="R439" s="398">
        <v>4.428811423771525</v>
      </c>
      <c r="S439" s="398">
        <v>8.2200000000000006</v>
      </c>
      <c r="T439" s="398">
        <v>1327.521</v>
      </c>
      <c r="U439" s="398">
        <v>47.62</v>
      </c>
      <c r="W439" s="401" t="s">
        <v>1012</v>
      </c>
      <c r="X439" s="402" t="s">
        <v>541</v>
      </c>
      <c r="Y439" s="386">
        <f t="shared" si="92"/>
        <v>63216.532114879999</v>
      </c>
      <c r="Z439" s="387">
        <f t="shared" si="93"/>
        <v>4.4288114237715254E-2</v>
      </c>
      <c r="AA439" s="387">
        <f t="shared" si="94"/>
        <v>8.2200000000000009E-2</v>
      </c>
      <c r="AB439" s="403">
        <f t="shared" si="95"/>
        <v>0.12830835573288535</v>
      </c>
      <c r="AC439" s="388">
        <f t="shared" si="96"/>
        <v>1.248267653766707E-3</v>
      </c>
      <c r="AD439" s="389">
        <f t="shared" si="97"/>
        <v>1.6016317016935279E-4</v>
      </c>
    </row>
    <row r="440" spans="1:30" x14ac:dyDescent="0.55000000000000004">
      <c r="A440" t="str">
        <f t="shared" si="84"/>
        <v>Teleflex Inc</v>
      </c>
      <c r="B440" t="str">
        <f t="shared" si="84"/>
        <v>TFX</v>
      </c>
      <c r="C440" s="382">
        <f t="shared" si="85"/>
        <v>7.5288504216600083E-3</v>
      </c>
      <c r="D440" s="383">
        <f t="shared" si="86"/>
        <v>8371.0186161599995</v>
      </c>
      <c r="E440" s="384">
        <f t="shared" si="87"/>
        <v>7.3349999999999999E-2</v>
      </c>
      <c r="F440" s="385">
        <v>8.5000000000000006E-2</v>
      </c>
      <c r="G440" s="382">
        <v>7.3352000000000001E-2</v>
      </c>
      <c r="H440" s="399">
        <f t="shared" si="88"/>
        <v>7.7233999999999997E-2</v>
      </c>
      <c r="I440" s="399">
        <f t="shared" si="89"/>
        <v>8.5053592038393244E-2</v>
      </c>
      <c r="J440" s="382">
        <f t="shared" si="90"/>
        <v>1.5656388205439353E-4</v>
      </c>
      <c r="K440" s="382">
        <f t="shared" si="91"/>
        <v>1.3316320552201505E-5</v>
      </c>
      <c r="M440" s="400"/>
      <c r="N440" s="398" t="s">
        <v>4350</v>
      </c>
      <c r="O440" s="398" t="s">
        <v>1013</v>
      </c>
      <c r="P440" s="398" t="s">
        <v>542</v>
      </c>
      <c r="Q440" s="398">
        <v>8371018616.1599998</v>
      </c>
      <c r="R440" s="398">
        <v>0.75288504216600083</v>
      </c>
      <c r="S440" s="398">
        <v>7.335</v>
      </c>
      <c r="T440" s="398">
        <v>46.443729999999995</v>
      </c>
      <c r="U440" s="398">
        <v>180.24</v>
      </c>
      <c r="W440" s="401" t="s">
        <v>1013</v>
      </c>
      <c r="X440" s="402" t="s">
        <v>542</v>
      </c>
      <c r="Y440" s="386">
        <f t="shared" si="92"/>
        <v>8371.0186161599995</v>
      </c>
      <c r="Z440" s="387">
        <f t="shared" si="93"/>
        <v>7.5288504216600083E-3</v>
      </c>
      <c r="AA440" s="387">
        <f t="shared" si="94"/>
        <v>7.3349999999999999E-2</v>
      </c>
      <c r="AB440" s="403">
        <f t="shared" si="95"/>
        <v>8.1154971010874391E-2</v>
      </c>
      <c r="AC440" s="388">
        <f t="shared" si="96"/>
        <v>1.6529334049268266E-4</v>
      </c>
      <c r="AD440" s="389">
        <f t="shared" si="97"/>
        <v>1.3414376255974252E-5</v>
      </c>
    </row>
    <row r="441" spans="1:30" x14ac:dyDescent="0.55000000000000004">
      <c r="A441" t="str">
        <f t="shared" si="84"/>
        <v>Target Corp</v>
      </c>
      <c r="B441" t="str">
        <f t="shared" si="84"/>
        <v>TGT</v>
      </c>
      <c r="C441" s="382">
        <f t="shared" si="85"/>
        <v>3.223841635849467E-2</v>
      </c>
      <c r="D441" s="383">
        <f t="shared" si="86"/>
        <v>63192.007128389996</v>
      </c>
      <c r="E441" s="384">
        <f t="shared" si="87"/>
        <v>0.11085</v>
      </c>
      <c r="F441" s="385">
        <v>0.08</v>
      </c>
      <c r="G441" s="382">
        <v>6.3964699999999999E-2</v>
      </c>
      <c r="H441" s="399">
        <f t="shared" si="88"/>
        <v>8.4938233333333335E-2</v>
      </c>
      <c r="I441" s="399">
        <f t="shared" si="89"/>
        <v>0.11854578675730548</v>
      </c>
      <c r="J441" s="382">
        <f t="shared" si="90"/>
        <v>1.1818855511479063E-3</v>
      </c>
      <c r="K441" s="382">
        <f t="shared" si="91"/>
        <v>1.4010755251792016E-4</v>
      </c>
      <c r="M441" s="400"/>
      <c r="N441" s="398" t="s">
        <v>4351</v>
      </c>
      <c r="O441" s="398" t="s">
        <v>1014</v>
      </c>
      <c r="P441" s="398" t="s">
        <v>543</v>
      </c>
      <c r="Q441" s="398">
        <v>63192007128.389999</v>
      </c>
      <c r="R441" s="398">
        <v>3.223841635849467</v>
      </c>
      <c r="S441" s="398">
        <v>11.085000000000001</v>
      </c>
      <c r="T441" s="398">
        <v>458.21189999999996</v>
      </c>
      <c r="U441" s="398">
        <v>137.91</v>
      </c>
      <c r="W441" s="401" t="s">
        <v>1014</v>
      </c>
      <c r="X441" s="402" t="s">
        <v>543</v>
      </c>
      <c r="Y441" s="386">
        <f t="shared" si="92"/>
        <v>63192.007128389996</v>
      </c>
      <c r="Z441" s="387">
        <f t="shared" si="93"/>
        <v>3.223841635849467E-2</v>
      </c>
      <c r="AA441" s="387">
        <f t="shared" si="94"/>
        <v>0.11085</v>
      </c>
      <c r="AB441" s="403">
        <f t="shared" si="95"/>
        <v>0.14487523058516424</v>
      </c>
      <c r="AC441" s="388">
        <f t="shared" si="96"/>
        <v>1.2477833857070654E-3</v>
      </c>
      <c r="AD441" s="389">
        <f t="shared" si="97"/>
        <v>1.8077290572464803E-4</v>
      </c>
    </row>
    <row r="442" spans="1:30" x14ac:dyDescent="0.55000000000000004">
      <c r="A442" t="str">
        <f t="shared" si="84"/>
        <v>TJX Cos Inc/The</v>
      </c>
      <c r="B442" t="str">
        <f t="shared" si="84"/>
        <v>TJX</v>
      </c>
      <c r="C442" s="382">
        <f t="shared" si="85"/>
        <v>1.1924032374388972E-2</v>
      </c>
      <c r="D442" s="383">
        <f t="shared" si="86"/>
        <v>140283.68043891</v>
      </c>
      <c r="E442" s="384">
        <f t="shared" si="87"/>
        <v>8.5699999999999998E-2</v>
      </c>
      <c r="F442" s="385">
        <v>0.125</v>
      </c>
      <c r="G442" s="382">
        <v>9.1186100000000006E-2</v>
      </c>
      <c r="H442" s="399">
        <f t="shared" si="88"/>
        <v>0.1006287</v>
      </c>
      <c r="I442" s="399">
        <f t="shared" si="89"/>
        <v>0.11315268231268531</v>
      </c>
      <c r="J442" s="382">
        <f t="shared" si="90"/>
        <v>2.6237377558800475E-3</v>
      </c>
      <c r="K442" s="382">
        <f t="shared" si="91"/>
        <v>2.9688296476289289E-4</v>
      </c>
      <c r="M442" s="400"/>
      <c r="N442" s="398" t="s">
        <v>4352</v>
      </c>
      <c r="O442" s="398" t="s">
        <v>1015</v>
      </c>
      <c r="P442" s="398" t="s">
        <v>544</v>
      </c>
      <c r="Q442" s="398">
        <v>140283680438.91</v>
      </c>
      <c r="R442" s="398">
        <v>1.1924032374388973</v>
      </c>
      <c r="S442" s="398">
        <v>8.57</v>
      </c>
      <c r="T442" s="398">
        <v>1124.1579999999999</v>
      </c>
      <c r="U442" s="398">
        <v>124.79</v>
      </c>
      <c r="W442" s="401" t="s">
        <v>1015</v>
      </c>
      <c r="X442" s="402" t="s">
        <v>544</v>
      </c>
      <c r="Y442" s="386">
        <f t="shared" si="92"/>
        <v>140283.68043891</v>
      </c>
      <c r="Z442" s="387">
        <f t="shared" si="93"/>
        <v>1.1924032374388972E-2</v>
      </c>
      <c r="AA442" s="387">
        <f t="shared" si="94"/>
        <v>8.5699999999999998E-2</v>
      </c>
      <c r="AB442" s="403">
        <f t="shared" si="95"/>
        <v>9.813497716163154E-2</v>
      </c>
      <c r="AC442" s="388">
        <f t="shared" si="96"/>
        <v>2.7700282629394444E-3</v>
      </c>
      <c r="AD442" s="389">
        <f t="shared" si="97"/>
        <v>2.7183666032063624E-4</v>
      </c>
    </row>
    <row r="443" spans="1:30" x14ac:dyDescent="0.55000000000000004">
      <c r="A443" t="str">
        <f t="shared" si="84"/>
        <v>Thermo Fisher Scientific Inc</v>
      </c>
      <c r="B443" t="str">
        <f t="shared" si="84"/>
        <v>TMO</v>
      </c>
      <c r="C443" s="382">
        <f t="shared" si="85"/>
        <v>2.6967795901296533E-3</v>
      </c>
      <c r="D443" s="383">
        <f t="shared" si="86"/>
        <v>228639.53340375001</v>
      </c>
      <c r="E443" s="384">
        <f t="shared" si="87"/>
        <v>9.6200000000000008E-2</v>
      </c>
      <c r="F443" s="385">
        <v>0.06</v>
      </c>
      <c r="G443" s="382">
        <v>0.1017159</v>
      </c>
      <c r="H443" s="399">
        <f t="shared" si="88"/>
        <v>8.5971966666666663E-2</v>
      </c>
      <c r="I443" s="399">
        <f t="shared" si="89"/>
        <v>8.8784669979311309E-2</v>
      </c>
      <c r="J443" s="382">
        <f t="shared" si="90"/>
        <v>4.2762648827099538E-3</v>
      </c>
      <c r="K443" s="382">
        <f t="shared" si="91"/>
        <v>3.7966676635552165E-4</v>
      </c>
      <c r="M443" s="400"/>
      <c r="N443" s="398" t="s">
        <v>4353</v>
      </c>
      <c r="O443" s="398" t="s">
        <v>1016</v>
      </c>
      <c r="P443" s="398" t="s">
        <v>545</v>
      </c>
      <c r="Q443" s="398">
        <v>228639533403.75</v>
      </c>
      <c r="R443" s="398">
        <v>0.26967795901296532</v>
      </c>
      <c r="S443" s="398">
        <v>9.620000000000001</v>
      </c>
      <c r="T443" s="398">
        <v>382.50029999999998</v>
      </c>
      <c r="U443" s="398">
        <v>597.75</v>
      </c>
      <c r="W443" s="401" t="s">
        <v>1016</v>
      </c>
      <c r="X443" s="402" t="s">
        <v>545</v>
      </c>
      <c r="Y443" s="386">
        <f t="shared" si="92"/>
        <v>228639.53340375001</v>
      </c>
      <c r="Z443" s="387">
        <f t="shared" si="93"/>
        <v>2.6967795901296533E-3</v>
      </c>
      <c r="AA443" s="387">
        <f t="shared" si="94"/>
        <v>9.6200000000000008E-2</v>
      </c>
      <c r="AB443" s="403">
        <f t="shared" si="95"/>
        <v>9.9026494688414901E-2</v>
      </c>
      <c r="AC443" s="388">
        <f t="shared" si="96"/>
        <v>4.5146945644149779E-3</v>
      </c>
      <c r="AD443" s="389">
        <f t="shared" si="97"/>
        <v>4.4707437730285546E-4</v>
      </c>
    </row>
    <row r="444" spans="1:30" x14ac:dyDescent="0.55000000000000004">
      <c r="A444" t="str">
        <f t="shared" si="84"/>
        <v>T-Mobile US Inc</v>
      </c>
      <c r="B444" t="str">
        <f t="shared" si="84"/>
        <v>TMUS</v>
      </c>
      <c r="C444" s="382">
        <f t="shared" si="85"/>
        <v>1.5517019358715713E-2</v>
      </c>
      <c r="D444" s="383">
        <f t="shared" si="86"/>
        <v>265992.32146743999</v>
      </c>
      <c r="E444" s="384">
        <f t="shared" si="87"/>
        <v>0.05</v>
      </c>
      <c r="F444" s="385">
        <v>0.22500000000000001</v>
      </c>
      <c r="G444" s="382">
        <v>0.18697279999999999</v>
      </c>
      <c r="H444" s="399">
        <f t="shared" si="88"/>
        <v>0.15399093333333333</v>
      </c>
      <c r="I444" s="399">
        <f t="shared" si="89"/>
        <v>0.17070269283884906</v>
      </c>
      <c r="J444" s="382">
        <f t="shared" si="90"/>
        <v>4.9748772945276435E-3</v>
      </c>
      <c r="K444" s="382">
        <f t="shared" si="91"/>
        <v>8.4922495071871674E-4</v>
      </c>
      <c r="M444" s="400"/>
      <c r="N444" s="398" t="s">
        <v>4354</v>
      </c>
      <c r="O444" s="398" t="s">
        <v>1017</v>
      </c>
      <c r="P444" s="398" t="s">
        <v>546</v>
      </c>
      <c r="Q444" s="398">
        <v>265992321467.44</v>
      </c>
      <c r="R444" s="398">
        <v>1.5517019358715713</v>
      </c>
      <c r="S444" s="398">
        <v>5</v>
      </c>
      <c r="T444" s="398">
        <v>1141.7449999999999</v>
      </c>
      <c r="U444" s="398">
        <v>232.97</v>
      </c>
      <c r="W444" s="401" t="s">
        <v>1017</v>
      </c>
      <c r="X444" s="402" t="s">
        <v>546</v>
      </c>
      <c r="Y444" s="386">
        <f t="shared" si="92"/>
        <v>265992.32146743999</v>
      </c>
      <c r="Z444" s="387">
        <f t="shared" si="93"/>
        <v>1.5517019358715713E-2</v>
      </c>
      <c r="AA444" s="387">
        <f t="shared" si="94"/>
        <v>0.05</v>
      </c>
      <c r="AB444" s="403">
        <f t="shared" si="95"/>
        <v>6.590494484268361E-2</v>
      </c>
      <c r="AC444" s="388">
        <f t="shared" si="96"/>
        <v>5.2522591785759687E-3</v>
      </c>
      <c r="AD444" s="389">
        <f t="shared" si="97"/>
        <v>3.4614985146352796E-4</v>
      </c>
    </row>
    <row r="445" spans="1:30" x14ac:dyDescent="0.55000000000000004">
      <c r="A445" t="str">
        <f t="shared" si="84"/>
        <v>Texas Pacific Land Corp</v>
      </c>
      <c r="B445" t="str">
        <f t="shared" si="84"/>
        <v>TPL</v>
      </c>
      <c r="C445" s="382">
        <f t="shared" si="85"/>
        <v>1.1648434669318593E-2</v>
      </c>
      <c r="D445" s="383">
        <f t="shared" si="86"/>
        <v>29802.36919338</v>
      </c>
      <c r="E445" s="384" t="str">
        <f t="shared" si="87"/>
        <v>N/A</v>
      </c>
      <c r="F445" s="385">
        <v>0.105</v>
      </c>
      <c r="G445" s="382" t="s">
        <v>14</v>
      </c>
      <c r="H445" s="399">
        <f t="shared" si="88"/>
        <v>0.105</v>
      </c>
      <c r="I445" s="399">
        <f t="shared" si="89"/>
        <v>0.11725997748945781</v>
      </c>
      <c r="J445" s="382">
        <f t="shared" si="90"/>
        <v>5.5739627747647261E-4</v>
      </c>
      <c r="K445" s="382">
        <f t="shared" si="91"/>
        <v>6.5360274949598758E-5</v>
      </c>
      <c r="M445" s="400"/>
      <c r="N445" s="398" t="s">
        <v>4418</v>
      </c>
      <c r="O445" s="398" t="s">
        <v>3855</v>
      </c>
      <c r="P445" s="398" t="s">
        <v>3856</v>
      </c>
      <c r="Q445" s="398">
        <v>29802369193.380001</v>
      </c>
      <c r="R445" s="398">
        <v>1.1648434669318593</v>
      </c>
      <c r="S445" s="398" t="s">
        <v>3929</v>
      </c>
      <c r="T445" s="398">
        <v>22.974909999999998</v>
      </c>
      <c r="U445" s="398">
        <v>1297.17</v>
      </c>
      <c r="W445" s="401" t="s">
        <v>3855</v>
      </c>
      <c r="X445" s="402" t="s">
        <v>3856</v>
      </c>
      <c r="Y445" s="386">
        <f t="shared" si="92"/>
        <v>29802.36919338</v>
      </c>
      <c r="Z445" s="387">
        <f t="shared" si="93"/>
        <v>1.1648434669318593E-2</v>
      </c>
      <c r="AA445" s="387" t="str">
        <f t="shared" si="94"/>
        <v>N/A</v>
      </c>
      <c r="AB445" s="403" t="str">
        <f t="shared" si="95"/>
        <v>N/A</v>
      </c>
      <c r="AC445" s="388">
        <f t="shared" si="96"/>
        <v>5.8847475850313418E-4</v>
      </c>
      <c r="AD445" s="389" t="str">
        <f t="shared" si="97"/>
        <v>N/A</v>
      </c>
    </row>
    <row r="446" spans="1:30" x14ac:dyDescent="0.55000000000000004">
      <c r="A446" t="str">
        <f t="shared" si="84"/>
        <v>Tapestry Inc</v>
      </c>
      <c r="B446" t="str">
        <f t="shared" si="84"/>
        <v>TPR</v>
      </c>
      <c r="C446" s="382">
        <f t="shared" si="85"/>
        <v>1.9276117356731563E-2</v>
      </c>
      <c r="D446" s="383">
        <f t="shared" si="86"/>
        <v>16997.627605000001</v>
      </c>
      <c r="E446" s="384">
        <f t="shared" si="87"/>
        <v>8.6150000000000004E-2</v>
      </c>
      <c r="F446" s="385">
        <v>0.08</v>
      </c>
      <c r="G446" s="382">
        <v>0.1</v>
      </c>
      <c r="H446" s="399">
        <f t="shared" si="88"/>
        <v>8.8716666666666666E-2</v>
      </c>
      <c r="I446" s="399">
        <f t="shared" si="89"/>
        <v>0.10884784046248058</v>
      </c>
      <c r="J446" s="382">
        <f t="shared" si="90"/>
        <v>3.1790809285937188E-4</v>
      </c>
      <c r="K446" s="382">
        <f t="shared" si="91"/>
        <v>3.4603609373288375E-5</v>
      </c>
      <c r="M446" s="400"/>
      <c r="N446" s="398" t="s">
        <v>4355</v>
      </c>
      <c r="O446" s="398" t="s">
        <v>1018</v>
      </c>
      <c r="P446" s="398" t="s">
        <v>547</v>
      </c>
      <c r="Q446" s="398">
        <v>16997627605.000002</v>
      </c>
      <c r="R446" s="398">
        <v>1.9276117356731564</v>
      </c>
      <c r="S446" s="398">
        <v>8.6150000000000002</v>
      </c>
      <c r="T446" s="398">
        <v>233.03579999999999</v>
      </c>
      <c r="U446" s="398">
        <v>72.94</v>
      </c>
      <c r="W446" s="401" t="s">
        <v>1018</v>
      </c>
      <c r="X446" s="402" t="s">
        <v>547</v>
      </c>
      <c r="Y446" s="386">
        <f t="shared" si="92"/>
        <v>16997.627605000001</v>
      </c>
      <c r="Z446" s="387">
        <f t="shared" si="93"/>
        <v>1.9276117356731563E-2</v>
      </c>
      <c r="AA446" s="387">
        <f t="shared" si="94"/>
        <v>8.6150000000000004E-2</v>
      </c>
      <c r="AB446" s="403">
        <f t="shared" si="95"/>
        <v>0.10625643611187277</v>
      </c>
      <c r="AC446" s="388">
        <f t="shared" si="96"/>
        <v>3.356335442687046E-4</v>
      </c>
      <c r="AD446" s="389">
        <f t="shared" si="97"/>
        <v>3.5663224253589033E-5</v>
      </c>
    </row>
    <row r="447" spans="1:30" x14ac:dyDescent="0.55000000000000004">
      <c r="A447" t="str">
        <f t="shared" si="84"/>
        <v>Targa Resources Corp</v>
      </c>
      <c r="B447" t="str">
        <f t="shared" si="84"/>
        <v>TRGP</v>
      </c>
      <c r="C447" s="382">
        <f t="shared" si="85"/>
        <v>1.4969512195121952E-2</v>
      </c>
      <c r="D447" s="383">
        <f t="shared" si="86"/>
        <v>42914.877710400004</v>
      </c>
      <c r="E447" s="384">
        <f t="shared" si="87"/>
        <v>0.27679999999999999</v>
      </c>
      <c r="F447" s="385">
        <v>0.21</v>
      </c>
      <c r="G447" s="382">
        <v>0.2818042</v>
      </c>
      <c r="H447" s="399">
        <f t="shared" si="88"/>
        <v>0.25620139999999997</v>
      </c>
      <c r="I447" s="399">
        <f t="shared" si="89"/>
        <v>0.2730885171859756</v>
      </c>
      <c r="J447" s="382">
        <f t="shared" si="90"/>
        <v>8.0264065346350019E-4</v>
      </c>
      <c r="K447" s="382">
        <f t="shared" si="91"/>
        <v>2.1919194588752977E-4</v>
      </c>
      <c r="M447" s="400"/>
      <c r="N447" s="398" t="s">
        <v>4356</v>
      </c>
      <c r="O447" s="398" t="s">
        <v>1019</v>
      </c>
      <c r="P447" s="398" t="s">
        <v>548</v>
      </c>
      <c r="Q447" s="398">
        <v>42914877710.400002</v>
      </c>
      <c r="R447" s="398">
        <v>1.4969512195121952</v>
      </c>
      <c r="S447" s="398">
        <v>27.68</v>
      </c>
      <c r="T447" s="398">
        <v>218.0634</v>
      </c>
      <c r="U447" s="398">
        <v>196.8</v>
      </c>
      <c r="W447" s="401" t="s">
        <v>1019</v>
      </c>
      <c r="X447" s="402" t="s">
        <v>548</v>
      </c>
      <c r="Y447" s="386">
        <f t="shared" si="92"/>
        <v>42914.877710400004</v>
      </c>
      <c r="Z447" s="387">
        <f t="shared" si="93"/>
        <v>1.4969512195121952E-2</v>
      </c>
      <c r="AA447" s="387">
        <f t="shared" si="94"/>
        <v>0.27679999999999999</v>
      </c>
      <c r="AB447" s="403">
        <f t="shared" si="95"/>
        <v>0.2938412926829268</v>
      </c>
      <c r="AC447" s="388">
        <f t="shared" si="96"/>
        <v>8.4739310935148479E-4</v>
      </c>
      <c r="AD447" s="389">
        <f t="shared" si="97"/>
        <v>2.4899908666244503E-4</v>
      </c>
    </row>
    <row r="448" spans="1:30" x14ac:dyDescent="0.55000000000000004">
      <c r="A448" t="str">
        <f t="shared" si="84"/>
        <v>Trimble Inc</v>
      </c>
      <c r="B448" t="str">
        <f t="shared" si="84"/>
        <v>TRMB</v>
      </c>
      <c r="C448" s="382" t="str">
        <f t="shared" si="85"/>
        <v>0.00%</v>
      </c>
      <c r="D448" s="383">
        <f t="shared" si="86"/>
        <v>18424.572367839995</v>
      </c>
      <c r="E448" s="384" t="str">
        <f t="shared" si="87"/>
        <v>N/A</v>
      </c>
      <c r="F448" s="385">
        <v>0.06</v>
      </c>
      <c r="G448" s="382">
        <v>0.1</v>
      </c>
      <c r="H448" s="399">
        <f t="shared" si="88"/>
        <v>0.08</v>
      </c>
      <c r="I448" s="399">
        <f t="shared" si="89"/>
        <v>0.08</v>
      </c>
      <c r="J448" s="382">
        <f t="shared" si="90"/>
        <v>3.4459636364115377E-4</v>
      </c>
      <c r="K448" s="382">
        <f t="shared" si="91"/>
        <v>2.7567709091292301E-5</v>
      </c>
      <c r="M448" s="400"/>
      <c r="N448" s="398" t="s">
        <v>4357</v>
      </c>
      <c r="O448" s="398" t="s">
        <v>1020</v>
      </c>
      <c r="P448" s="398" t="s">
        <v>549</v>
      </c>
      <c r="Q448" s="398">
        <v>18424572367.839996</v>
      </c>
      <c r="R448" s="398" t="s">
        <v>3929</v>
      </c>
      <c r="S448" s="398" t="s">
        <v>3929</v>
      </c>
      <c r="T448" s="398">
        <v>245.79209999999998</v>
      </c>
      <c r="U448" s="398">
        <v>74.959999999999994</v>
      </c>
      <c r="W448" s="401" t="s">
        <v>1020</v>
      </c>
      <c r="X448" s="402" t="s">
        <v>549</v>
      </c>
      <c r="Y448" s="386">
        <f t="shared" si="92"/>
        <v>18424.572367839995</v>
      </c>
      <c r="Z448" s="387" t="str">
        <f t="shared" si="93"/>
        <v>0.00%</v>
      </c>
      <c r="AA448" s="387" t="str">
        <f t="shared" si="94"/>
        <v>N/A</v>
      </c>
      <c r="AB448" s="403" t="str">
        <f t="shared" si="95"/>
        <v>N/A</v>
      </c>
      <c r="AC448" s="388">
        <f t="shared" si="96"/>
        <v>3.6380986036159109E-4</v>
      </c>
      <c r="AD448" s="389" t="str">
        <f t="shared" si="97"/>
        <v>N/A</v>
      </c>
    </row>
    <row r="449" spans="1:30" x14ac:dyDescent="0.55000000000000004">
      <c r="A449" t="str">
        <f t="shared" si="84"/>
        <v>T Rowe Price Group Inc</v>
      </c>
      <c r="B449" t="str">
        <f t="shared" si="84"/>
        <v>TROW</v>
      </c>
      <c r="C449" s="382">
        <f t="shared" si="85"/>
        <v>4.2413616147793362E-2</v>
      </c>
      <c r="D449" s="383">
        <f t="shared" si="86"/>
        <v>25974.885232400004</v>
      </c>
      <c r="E449" s="384">
        <f t="shared" si="87"/>
        <v>7.6499999999999999E-2</v>
      </c>
      <c r="F449" s="385">
        <v>5.5E-2</v>
      </c>
      <c r="G449" s="382">
        <v>6.9928400000000002E-2</v>
      </c>
      <c r="H449" s="399">
        <f t="shared" si="88"/>
        <v>6.7142800000000002E-2</v>
      </c>
      <c r="I449" s="399">
        <f t="shared" si="89"/>
        <v>0.11098030062093739</v>
      </c>
      <c r="J449" s="382">
        <f t="shared" si="90"/>
        <v>4.8581051534770026E-4</v>
      </c>
      <c r="K449" s="382">
        <f t="shared" si="91"/>
        <v>5.3915397038100295E-5</v>
      </c>
      <c r="M449" s="400"/>
      <c r="N449" s="398" t="s">
        <v>4358</v>
      </c>
      <c r="O449" s="398" t="s">
        <v>1021</v>
      </c>
      <c r="P449" s="398" t="s">
        <v>550</v>
      </c>
      <c r="Q449" s="398">
        <v>25974885232.400005</v>
      </c>
      <c r="R449" s="398">
        <v>4.2413616147793363</v>
      </c>
      <c r="S449" s="398">
        <v>7.65</v>
      </c>
      <c r="T449" s="398">
        <v>222.15949999999998</v>
      </c>
      <c r="U449" s="398">
        <v>116.92</v>
      </c>
      <c r="W449" s="401" t="s">
        <v>1021</v>
      </c>
      <c r="X449" s="402" t="s">
        <v>550</v>
      </c>
      <c r="Y449" s="386">
        <f t="shared" si="92"/>
        <v>25974.885232400004</v>
      </c>
      <c r="Z449" s="387">
        <f t="shared" si="93"/>
        <v>4.2413616147793362E-2</v>
      </c>
      <c r="AA449" s="387">
        <f t="shared" si="94"/>
        <v>7.6499999999999999E-2</v>
      </c>
      <c r="AB449" s="403">
        <f t="shared" si="95"/>
        <v>0.12053593696544646</v>
      </c>
      <c r="AC449" s="388">
        <f t="shared" si="96"/>
        <v>5.1289762283995204E-4</v>
      </c>
      <c r="AD449" s="389">
        <f t="shared" si="97"/>
        <v>6.1822595536363786E-5</v>
      </c>
    </row>
    <row r="450" spans="1:30" x14ac:dyDescent="0.55000000000000004">
      <c r="A450" t="str">
        <f t="shared" si="84"/>
        <v>Travelers Cos Inc/The</v>
      </c>
      <c r="B450" t="str">
        <f t="shared" si="84"/>
        <v>TRV</v>
      </c>
      <c r="C450" s="382">
        <f t="shared" si="85"/>
        <v>1.7762460233297986E-2</v>
      </c>
      <c r="D450" s="383">
        <f t="shared" si="86"/>
        <v>55660.509348339998</v>
      </c>
      <c r="E450" s="384" t="str">
        <f t="shared" si="87"/>
        <v>N/A</v>
      </c>
      <c r="F450" s="385">
        <v>0.12</v>
      </c>
      <c r="G450" s="382">
        <v>0.17871980000000001</v>
      </c>
      <c r="H450" s="399">
        <f t="shared" si="88"/>
        <v>0.14935989999999999</v>
      </c>
      <c r="I450" s="399">
        <f t="shared" si="89"/>
        <v>0.16844885987539765</v>
      </c>
      <c r="J450" s="382">
        <f t="shared" si="90"/>
        <v>1.0410232995872253E-3</v>
      </c>
      <c r="K450" s="382">
        <f t="shared" si="91"/>
        <v>1.7535918791919262E-4</v>
      </c>
      <c r="M450" s="400"/>
      <c r="N450" s="398" t="s">
        <v>4359</v>
      </c>
      <c r="O450" s="398" t="s">
        <v>1022</v>
      </c>
      <c r="P450" s="398" t="s">
        <v>551</v>
      </c>
      <c r="Q450" s="398">
        <v>55660509348.339996</v>
      </c>
      <c r="R450" s="398">
        <v>1.7762460233297988</v>
      </c>
      <c r="S450" s="398" t="s">
        <v>3929</v>
      </c>
      <c r="T450" s="398">
        <v>227.01899999999998</v>
      </c>
      <c r="U450" s="398">
        <v>245.18</v>
      </c>
      <c r="W450" s="401" t="s">
        <v>1022</v>
      </c>
      <c r="X450" s="402" t="s">
        <v>551</v>
      </c>
      <c r="Y450" s="386">
        <f t="shared" si="92"/>
        <v>55660.509348339998</v>
      </c>
      <c r="Z450" s="387">
        <f t="shared" si="93"/>
        <v>1.7762460233297986E-2</v>
      </c>
      <c r="AA450" s="387" t="str">
        <f t="shared" si="94"/>
        <v>N/A</v>
      </c>
      <c r="AB450" s="403" t="str">
        <f t="shared" si="95"/>
        <v>N/A</v>
      </c>
      <c r="AC450" s="388">
        <f t="shared" si="96"/>
        <v>1.0990671441048268E-3</v>
      </c>
      <c r="AD450" s="389" t="str">
        <f t="shared" si="97"/>
        <v>N/A</v>
      </c>
    </row>
    <row r="451" spans="1:30" x14ac:dyDescent="0.55000000000000004">
      <c r="A451" t="str">
        <f t="shared" si="84"/>
        <v>Tractor Supply Co</v>
      </c>
      <c r="B451" t="str">
        <f t="shared" si="84"/>
        <v>TSCO</v>
      </c>
      <c r="C451" s="382">
        <f t="shared" si="85"/>
        <v>1.7144959529065491E-2</v>
      </c>
      <c r="D451" s="383">
        <f t="shared" si="86"/>
        <v>29038.840471799995</v>
      </c>
      <c r="E451" s="384">
        <f t="shared" si="87"/>
        <v>7.5549999999999992E-2</v>
      </c>
      <c r="F451" s="385">
        <v>0.45</v>
      </c>
      <c r="G451" s="382">
        <v>8.62237E-2</v>
      </c>
      <c r="H451" s="399">
        <f t="shared" si="88"/>
        <v>0.20392456666666667</v>
      </c>
      <c r="I451" s="399">
        <f t="shared" si="89"/>
        <v>0.22281766541697326</v>
      </c>
      <c r="J451" s="382">
        <f t="shared" si="90"/>
        <v>5.4311593404493097E-4</v>
      </c>
      <c r="K451" s="382">
        <f t="shared" si="91"/>
        <v>1.2101582447465034E-4</v>
      </c>
      <c r="M451" s="400"/>
      <c r="N451" s="398" t="s">
        <v>4360</v>
      </c>
      <c r="O451" s="398" t="s">
        <v>1023</v>
      </c>
      <c r="P451" s="398" t="s">
        <v>552</v>
      </c>
      <c r="Q451" s="398">
        <v>29038840471.799995</v>
      </c>
      <c r="R451" s="398">
        <v>1.7144959529065491</v>
      </c>
      <c r="S451" s="398">
        <v>7.5549999999999997</v>
      </c>
      <c r="T451" s="398">
        <v>534.19499999999994</v>
      </c>
      <c r="U451" s="398">
        <v>54.36</v>
      </c>
      <c r="W451" s="401" t="s">
        <v>1023</v>
      </c>
      <c r="X451" s="402" t="s">
        <v>552</v>
      </c>
      <c r="Y451" s="386">
        <f t="shared" si="92"/>
        <v>29038.840471799995</v>
      </c>
      <c r="Z451" s="387">
        <f t="shared" si="93"/>
        <v>1.7144959529065491E-2</v>
      </c>
      <c r="AA451" s="387">
        <f t="shared" si="94"/>
        <v>7.5549999999999992E-2</v>
      </c>
      <c r="AB451" s="403">
        <f t="shared" si="95"/>
        <v>9.3342610375275928E-2</v>
      </c>
      <c r="AC451" s="388">
        <f t="shared" si="96"/>
        <v>5.7339819270641878E-4</v>
      </c>
      <c r="AD451" s="389">
        <f t="shared" si="97"/>
        <v>5.3522484091682634E-5</v>
      </c>
    </row>
    <row r="452" spans="1:30" x14ac:dyDescent="0.55000000000000004">
      <c r="A452" t="str">
        <f t="shared" si="84"/>
        <v>Tesla Inc</v>
      </c>
      <c r="B452" t="str">
        <f t="shared" si="84"/>
        <v>TSLA</v>
      </c>
      <c r="C452" s="382">
        <f t="shared" si="85"/>
        <v>0</v>
      </c>
      <c r="D452" s="383">
        <f t="shared" si="86"/>
        <v>1301402.7931702002</v>
      </c>
      <c r="E452" s="384">
        <f t="shared" si="87"/>
        <v>0.01</v>
      </c>
      <c r="F452" s="385">
        <v>0.19</v>
      </c>
      <c r="G452" s="382">
        <v>0.101395</v>
      </c>
      <c r="H452" s="399">
        <f t="shared" si="88"/>
        <v>0.10046500000000001</v>
      </c>
      <c r="I452" s="399">
        <f t="shared" si="89"/>
        <v>0.10046500000000001</v>
      </c>
      <c r="J452" s="382">
        <f t="shared" si="90"/>
        <v>2.434024851190978E-2</v>
      </c>
      <c r="K452" s="382">
        <f t="shared" si="91"/>
        <v>2.4453430667490165E-3</v>
      </c>
      <c r="M452" s="400"/>
      <c r="N452" s="398" t="s">
        <v>4361</v>
      </c>
      <c r="O452" s="398" t="s">
        <v>1024</v>
      </c>
      <c r="P452" s="398" t="s">
        <v>553</v>
      </c>
      <c r="Q452" s="398">
        <v>1301402793170.2002</v>
      </c>
      <c r="R452" s="398">
        <v>0</v>
      </c>
      <c r="S452" s="398">
        <v>1</v>
      </c>
      <c r="T452" s="398">
        <v>3216.5169999999998</v>
      </c>
      <c r="U452" s="398">
        <v>404.6</v>
      </c>
      <c r="W452" s="401" t="s">
        <v>1024</v>
      </c>
      <c r="X452" s="402" t="s">
        <v>553</v>
      </c>
      <c r="Y452" s="386">
        <f t="shared" si="92"/>
        <v>1301402.7931702002</v>
      </c>
      <c r="Z452" s="387">
        <f t="shared" si="93"/>
        <v>0</v>
      </c>
      <c r="AA452" s="387">
        <f t="shared" si="94"/>
        <v>0.01</v>
      </c>
      <c r="AB452" s="403">
        <f t="shared" si="95"/>
        <v>0.01</v>
      </c>
      <c r="AC452" s="388">
        <f t="shared" si="96"/>
        <v>2.5697376254108499E-2</v>
      </c>
      <c r="AD452" s="389">
        <f t="shared" si="97"/>
        <v>2.5697376254108498E-4</v>
      </c>
    </row>
    <row r="453" spans="1:30" x14ac:dyDescent="0.55000000000000004">
      <c r="A453" t="str">
        <f t="shared" si="84"/>
        <v>Tyson Foods Inc</v>
      </c>
      <c r="B453" t="str">
        <f t="shared" si="84"/>
        <v>TSN</v>
      </c>
      <c r="C453" s="382">
        <f t="shared" si="85"/>
        <v>3.5209771640998408E-2</v>
      </c>
      <c r="D453" s="383">
        <f t="shared" si="86"/>
        <v>20120.187575460001</v>
      </c>
      <c r="E453" s="384">
        <f t="shared" si="87"/>
        <v>0.18969999999999998</v>
      </c>
      <c r="F453" s="385">
        <v>-0.01</v>
      </c>
      <c r="G453" s="382">
        <v>0.1896967</v>
      </c>
      <c r="H453" s="399">
        <f t="shared" si="88"/>
        <v>0.12313223333333333</v>
      </c>
      <c r="I453" s="399">
        <f t="shared" si="89"/>
        <v>0.16050973388298811</v>
      </c>
      <c r="J453" s="382">
        <f t="shared" si="90"/>
        <v>3.7630960088840687E-4</v>
      </c>
      <c r="K453" s="382">
        <f t="shared" si="91"/>
        <v>6.0401353896211652E-5</v>
      </c>
      <c r="M453" s="400"/>
      <c r="N453" s="398" t="s">
        <v>4362</v>
      </c>
      <c r="O453" s="398" t="s">
        <v>1025</v>
      </c>
      <c r="P453" s="398" t="s">
        <v>554</v>
      </c>
      <c r="Q453" s="398">
        <v>20120187575.459999</v>
      </c>
      <c r="R453" s="398">
        <v>3.5209771640998406</v>
      </c>
      <c r="S453" s="398">
        <v>18.97</v>
      </c>
      <c r="T453" s="398">
        <v>286.1635</v>
      </c>
      <c r="U453" s="398">
        <v>56.49</v>
      </c>
      <c r="W453" s="401" t="s">
        <v>1025</v>
      </c>
      <c r="X453" s="402" t="s">
        <v>554</v>
      </c>
      <c r="Y453" s="386">
        <f t="shared" si="92"/>
        <v>20120.187575460001</v>
      </c>
      <c r="Z453" s="387">
        <f t="shared" si="93"/>
        <v>3.5209771640998408E-2</v>
      </c>
      <c r="AA453" s="387">
        <f t="shared" si="94"/>
        <v>0.18969999999999998</v>
      </c>
      <c r="AB453" s="403">
        <f t="shared" si="95"/>
        <v>0.2282494184811471</v>
      </c>
      <c r="AC453" s="388">
        <f t="shared" si="96"/>
        <v>3.9729131760224802E-4</v>
      </c>
      <c r="AD453" s="389">
        <f t="shared" si="97"/>
        <v>9.068151221032184E-5</v>
      </c>
    </row>
    <row r="454" spans="1:30" x14ac:dyDescent="0.55000000000000004">
      <c r="A454" t="str">
        <f t="shared" ref="A454:B504" si="98">O454</f>
        <v>Trane Technologies PLC</v>
      </c>
      <c r="B454" t="str">
        <f t="shared" si="98"/>
        <v>TT</v>
      </c>
      <c r="C454" s="382">
        <f t="shared" ref="C454:C504" si="99">VLOOKUP($B454,$X$5:$AA$504, 3, FALSE)</f>
        <v>9.8745692625775341E-3</v>
      </c>
      <c r="D454" s="383">
        <f t="shared" ref="D454:D504" si="100">VLOOKUP($B454,$X$5:$AA$504, 2, FALSE)</f>
        <v>81627.406303249998</v>
      </c>
      <c r="E454" s="384">
        <f t="shared" ref="E454:E504" si="101">VLOOKUP($B454,$X$5:$AA$504, 4, FALSE)</f>
        <v>0.14984999999999998</v>
      </c>
      <c r="F454" s="385">
        <v>0.14499999999999999</v>
      </c>
      <c r="G454" s="382">
        <v>0.12566759999999999</v>
      </c>
      <c r="H454" s="399">
        <f t="shared" ref="H454:H504" si="102">IFERROR(AVERAGE(E454:G454),"N/A")</f>
        <v>0.14017253333333332</v>
      </c>
      <c r="I454" s="399">
        <f t="shared" ref="I454:I504" si="103">IFERROR(C454*(1+0.5*H454)+H454,"N/A")</f>
        <v>0.15073917429046632</v>
      </c>
      <c r="J454" s="382">
        <f t="shared" ref="J454:J504" si="104">IF(I454="N/A","N/A",D454/$D$505)</f>
        <v>1.5266844094931136E-3</v>
      </c>
      <c r="K454" s="382">
        <f t="shared" ref="K454:K504" si="105">IF(AND(ISNUMBER(D454),ISNUMBER(I454)),I454*J454,"N/A")</f>
        <v>2.3013114728912012E-4</v>
      </c>
      <c r="M454" s="400"/>
      <c r="N454" s="398" t="s">
        <v>4363</v>
      </c>
      <c r="O454" s="398" t="s">
        <v>1026</v>
      </c>
      <c r="P454" s="398" t="s">
        <v>555</v>
      </c>
      <c r="Q454" s="398">
        <v>81627406303.25</v>
      </c>
      <c r="R454" s="398">
        <v>0.98745692625775339</v>
      </c>
      <c r="S454" s="398">
        <v>14.984999999999999</v>
      </c>
      <c r="T454" s="398">
        <v>225.0239</v>
      </c>
      <c r="U454" s="398">
        <v>362.75</v>
      </c>
      <c r="W454" s="401" t="s">
        <v>1026</v>
      </c>
      <c r="X454" s="402" t="s">
        <v>555</v>
      </c>
      <c r="Y454" s="386">
        <f t="shared" ref="Y454:Y504" si="106">Q454/1000000</f>
        <v>81627.406303249998</v>
      </c>
      <c r="Z454" s="387">
        <f t="shared" ref="Z454:Z504" si="107">IFERROR(R454/100,"0.00%")</f>
        <v>9.8745692625775341E-3</v>
      </c>
      <c r="AA454" s="387">
        <f t="shared" ref="AA454:AA504" si="108">IFERROR(S454/100,"N/A")</f>
        <v>0.14984999999999998</v>
      </c>
      <c r="AB454" s="403">
        <f t="shared" ref="AB454:AB504" si="109">IFERROR(Z454*(1+0.5*AA454)+AA454,"N/A")</f>
        <v>0.16046442136457614</v>
      </c>
      <c r="AC454" s="388">
        <f t="shared" ref="AC454:AC504" si="110">IF(Y454= "N/A","N/A", Y454/$Y$506)</f>
        <v>1.6118070311743008E-3</v>
      </c>
      <c r="AD454" s="389">
        <f t="shared" ref="AD454:AD504" si="111">IF(AND(ISNUMBER(Y454),ISNUMBER(AB454)),AB454*AC454,"N/A")</f>
        <v>2.5863768260873954E-4</v>
      </c>
    </row>
    <row r="455" spans="1:30" x14ac:dyDescent="0.55000000000000004">
      <c r="A455" t="str">
        <f t="shared" si="98"/>
        <v>Take-Two Interactive Software Inc</v>
      </c>
      <c r="B455" t="str">
        <f t="shared" si="98"/>
        <v>TTWO</v>
      </c>
      <c r="C455" s="382">
        <f t="shared" si="99"/>
        <v>0</v>
      </c>
      <c r="D455" s="383">
        <f t="shared" si="100"/>
        <v>32580.637304409996</v>
      </c>
      <c r="E455" s="384">
        <f t="shared" si="101"/>
        <v>0.6038</v>
      </c>
      <c r="F455" s="385" t="s">
        <v>184</v>
      </c>
      <c r="G455" s="382">
        <v>0.41786090000000004</v>
      </c>
      <c r="H455" s="399">
        <f t="shared" si="102"/>
        <v>0.51083045000000005</v>
      </c>
      <c r="I455" s="399">
        <f t="shared" si="103"/>
        <v>0.51083045000000005</v>
      </c>
      <c r="J455" s="382">
        <f t="shared" si="104"/>
        <v>6.0935846520964463E-4</v>
      </c>
      <c r="K455" s="382">
        <f t="shared" si="105"/>
        <v>3.1127885899435211E-4</v>
      </c>
      <c r="M455" s="400"/>
      <c r="N455" s="398" t="s">
        <v>4364</v>
      </c>
      <c r="O455" s="398" t="s">
        <v>1027</v>
      </c>
      <c r="P455" s="398" t="s">
        <v>556</v>
      </c>
      <c r="Q455" s="398">
        <v>32580637304.409996</v>
      </c>
      <c r="R455" s="398">
        <v>0</v>
      </c>
      <c r="S455" s="398">
        <v>60.38</v>
      </c>
      <c r="T455" s="398">
        <v>175.62739999999999</v>
      </c>
      <c r="U455" s="398">
        <v>185.51</v>
      </c>
      <c r="W455" s="401" t="s">
        <v>1027</v>
      </c>
      <c r="X455" s="402" t="s">
        <v>556</v>
      </c>
      <c r="Y455" s="386">
        <f t="shared" si="106"/>
        <v>32580.637304409996</v>
      </c>
      <c r="Z455" s="387">
        <f t="shared" si="107"/>
        <v>0</v>
      </c>
      <c r="AA455" s="387">
        <f t="shared" si="108"/>
        <v>0.6038</v>
      </c>
      <c r="AB455" s="403">
        <f t="shared" si="109"/>
        <v>0.6038</v>
      </c>
      <c r="AC455" s="388">
        <f t="shared" si="110"/>
        <v>6.4333417739988771E-4</v>
      </c>
      <c r="AD455" s="389">
        <f t="shared" si="111"/>
        <v>3.8844517631405218E-4</v>
      </c>
    </row>
    <row r="456" spans="1:30" x14ac:dyDescent="0.55000000000000004">
      <c r="A456" t="str">
        <f t="shared" si="98"/>
        <v>Texas Instruments Inc</v>
      </c>
      <c r="B456" t="str">
        <f t="shared" si="98"/>
        <v>TXN</v>
      </c>
      <c r="C456" s="382">
        <f t="shared" si="99"/>
        <v>2.9825036563566436E-2</v>
      </c>
      <c r="D456" s="383">
        <f t="shared" si="100"/>
        <v>168404.30911053999</v>
      </c>
      <c r="E456" s="384">
        <f t="shared" si="101"/>
        <v>7.8399999999999997E-2</v>
      </c>
      <c r="F456" s="385">
        <v>0.03</v>
      </c>
      <c r="G456" s="382">
        <v>0.1094913</v>
      </c>
      <c r="H456" s="399">
        <f t="shared" si="102"/>
        <v>7.2630433333333341E-2</v>
      </c>
      <c r="I456" s="399">
        <f t="shared" si="103"/>
        <v>0.10353857256179695</v>
      </c>
      <c r="J456" s="382">
        <f t="shared" si="104"/>
        <v>3.1496802955539222E-3</v>
      </c>
      <c r="K456" s="382">
        <f t="shared" si="105"/>
        <v>3.2611340182767183E-4</v>
      </c>
      <c r="M456" s="400"/>
      <c r="N456" s="398" t="s">
        <v>4365</v>
      </c>
      <c r="O456" s="398" t="s">
        <v>1028</v>
      </c>
      <c r="P456" s="398" t="s">
        <v>557</v>
      </c>
      <c r="Q456" s="398">
        <v>168404309110.54001</v>
      </c>
      <c r="R456" s="398">
        <v>2.9825036563566436</v>
      </c>
      <c r="S456" s="398">
        <v>7.84</v>
      </c>
      <c r="T456" s="398">
        <v>912.21659999999997</v>
      </c>
      <c r="U456" s="398">
        <v>184.61</v>
      </c>
      <c r="W456" s="401" t="s">
        <v>1028</v>
      </c>
      <c r="X456" s="402" t="s">
        <v>557</v>
      </c>
      <c r="Y456" s="386">
        <f t="shared" si="106"/>
        <v>168404.30911053999</v>
      </c>
      <c r="Z456" s="387">
        <f t="shared" si="107"/>
        <v>2.9825036563566436E-2</v>
      </c>
      <c r="AA456" s="387">
        <f t="shared" si="108"/>
        <v>7.8399999999999997E-2</v>
      </c>
      <c r="AB456" s="403">
        <f t="shared" si="109"/>
        <v>0.10939417799685823</v>
      </c>
      <c r="AC456" s="388">
        <f t="shared" si="110"/>
        <v>3.3252955324345706E-3</v>
      </c>
      <c r="AD456" s="389">
        <f t="shared" si="111"/>
        <v>3.6376797136730487E-4</v>
      </c>
    </row>
    <row r="457" spans="1:30" x14ac:dyDescent="0.55000000000000004">
      <c r="A457" t="str">
        <f t="shared" si="98"/>
        <v>Textron Inc</v>
      </c>
      <c r="B457" t="str">
        <f t="shared" si="98"/>
        <v>TXT</v>
      </c>
      <c r="C457" s="382">
        <f t="shared" si="99"/>
        <v>1.0456149522938176E-3</v>
      </c>
      <c r="D457" s="383">
        <f t="shared" si="100"/>
        <v>14193.49136835</v>
      </c>
      <c r="E457" s="384">
        <f t="shared" si="101"/>
        <v>0.1003</v>
      </c>
      <c r="F457" s="385">
        <v>0.13500000000000001</v>
      </c>
      <c r="G457" s="382">
        <v>0.1017392</v>
      </c>
      <c r="H457" s="399">
        <f t="shared" si="102"/>
        <v>0.1123464</v>
      </c>
      <c r="I457" s="399">
        <f t="shared" si="103"/>
        <v>0.11345075049013201</v>
      </c>
      <c r="J457" s="382">
        <f t="shared" si="104"/>
        <v>2.6546209134507652E-4</v>
      </c>
      <c r="K457" s="382">
        <f t="shared" si="105"/>
        <v>3.0116873489778908E-5</v>
      </c>
      <c r="M457" s="400"/>
      <c r="N457" s="398" t="s">
        <v>4366</v>
      </c>
      <c r="O457" s="398" t="s">
        <v>1029</v>
      </c>
      <c r="P457" s="398" t="s">
        <v>558</v>
      </c>
      <c r="Q457" s="398">
        <v>14193491368.35</v>
      </c>
      <c r="R457" s="398">
        <v>0.10456149522938177</v>
      </c>
      <c r="S457" s="398">
        <v>10.029999999999999</v>
      </c>
      <c r="T457" s="398">
        <v>185.51159999999999</v>
      </c>
      <c r="U457" s="398">
        <v>76.510000000000005</v>
      </c>
      <c r="W457" s="401" t="s">
        <v>1029</v>
      </c>
      <c r="X457" s="402" t="s">
        <v>558</v>
      </c>
      <c r="Y457" s="386">
        <f t="shared" si="106"/>
        <v>14193.49136835</v>
      </c>
      <c r="Z457" s="387">
        <f t="shared" si="107"/>
        <v>1.0456149522938176E-3</v>
      </c>
      <c r="AA457" s="387">
        <f t="shared" si="108"/>
        <v>0.1003</v>
      </c>
      <c r="AB457" s="403">
        <f t="shared" si="109"/>
        <v>0.10139805254215135</v>
      </c>
      <c r="AC457" s="388">
        <f t="shared" si="110"/>
        <v>2.8026333581430263E-4</v>
      </c>
      <c r="AD457" s="389">
        <f t="shared" si="111"/>
        <v>2.8418156450537267E-5</v>
      </c>
    </row>
    <row r="458" spans="1:30" x14ac:dyDescent="0.55000000000000004">
      <c r="A458" t="str">
        <f t="shared" si="98"/>
        <v>Tyler Technologies Inc</v>
      </c>
      <c r="B458" t="str">
        <f t="shared" si="98"/>
        <v>TYL</v>
      </c>
      <c r="C458" s="382" t="str">
        <f t="shared" si="99"/>
        <v>0.00%</v>
      </c>
      <c r="D458" s="383">
        <f t="shared" si="100"/>
        <v>25749.340679399997</v>
      </c>
      <c r="E458" s="384" t="str">
        <f t="shared" si="101"/>
        <v>N/A</v>
      </c>
      <c r="F458" s="385">
        <v>0.08</v>
      </c>
      <c r="G458" s="382">
        <v>0.14249999999999999</v>
      </c>
      <c r="H458" s="399">
        <f t="shared" si="102"/>
        <v>0.11124999999999999</v>
      </c>
      <c r="I458" s="399">
        <f t="shared" si="103"/>
        <v>0.11124999999999999</v>
      </c>
      <c r="J458" s="382">
        <f t="shared" si="104"/>
        <v>4.8159213615000802E-4</v>
      </c>
      <c r="K458" s="382">
        <f t="shared" si="105"/>
        <v>5.3577125146688387E-5</v>
      </c>
      <c r="M458" s="400"/>
      <c r="N458" s="398" t="s">
        <v>4367</v>
      </c>
      <c r="O458" s="398" t="s">
        <v>1030</v>
      </c>
      <c r="P458" s="398" t="s">
        <v>559</v>
      </c>
      <c r="Q458" s="398">
        <v>25749340679.399998</v>
      </c>
      <c r="R458" s="398" t="s">
        <v>3929</v>
      </c>
      <c r="S458" s="398" t="s">
        <v>3929</v>
      </c>
      <c r="T458" s="398">
        <v>42.798589999999997</v>
      </c>
      <c r="U458" s="398">
        <v>601.64</v>
      </c>
      <c r="W458" s="401" t="s">
        <v>1030</v>
      </c>
      <c r="X458" s="402" t="s">
        <v>559</v>
      </c>
      <c r="Y458" s="386">
        <f t="shared" si="106"/>
        <v>25749.340679399997</v>
      </c>
      <c r="Z458" s="387" t="str">
        <f t="shared" si="107"/>
        <v>0.00%</v>
      </c>
      <c r="AA458" s="387" t="str">
        <f t="shared" si="108"/>
        <v>N/A</v>
      </c>
      <c r="AB458" s="403" t="str">
        <f t="shared" si="109"/>
        <v>N/A</v>
      </c>
      <c r="AC458" s="388">
        <f t="shared" si="110"/>
        <v>5.0844404146535918E-4</v>
      </c>
      <c r="AD458" s="389" t="str">
        <f t="shared" si="111"/>
        <v>N/A</v>
      </c>
    </row>
    <row r="459" spans="1:30" x14ac:dyDescent="0.55000000000000004">
      <c r="A459" t="str">
        <f t="shared" si="98"/>
        <v>United Airlines Holdings Inc</v>
      </c>
      <c r="B459" t="str">
        <f t="shared" si="98"/>
        <v>UAL</v>
      </c>
      <c r="C459" s="382">
        <f t="shared" si="99"/>
        <v>0</v>
      </c>
      <c r="D459" s="383">
        <f t="shared" si="100"/>
        <v>34800.518622240001</v>
      </c>
      <c r="E459" s="384">
        <f t="shared" si="101"/>
        <v>0.14480000000000001</v>
      </c>
      <c r="F459" s="385" t="s">
        <v>184</v>
      </c>
      <c r="G459" s="382">
        <v>8.9510000000000006E-2</v>
      </c>
      <c r="H459" s="399">
        <f t="shared" si="102"/>
        <v>0.11715500000000001</v>
      </c>
      <c r="I459" s="399">
        <f t="shared" si="103"/>
        <v>0.11715500000000001</v>
      </c>
      <c r="J459" s="382">
        <f t="shared" si="104"/>
        <v>6.5087709666371253E-4</v>
      </c>
      <c r="K459" s="382">
        <f t="shared" si="105"/>
        <v>7.6253506259637242E-5</v>
      </c>
      <c r="M459" s="400"/>
      <c r="N459" s="398" t="s">
        <v>4368</v>
      </c>
      <c r="O459" s="398" t="s">
        <v>1031</v>
      </c>
      <c r="P459" s="398" t="s">
        <v>560</v>
      </c>
      <c r="Q459" s="398">
        <v>34800518622.239998</v>
      </c>
      <c r="R459" s="398">
        <v>0</v>
      </c>
      <c r="S459" s="398">
        <v>14.48</v>
      </c>
      <c r="T459" s="398">
        <v>328.80309999999997</v>
      </c>
      <c r="U459" s="398">
        <v>105.84</v>
      </c>
      <c r="W459" s="401" t="s">
        <v>1031</v>
      </c>
      <c r="X459" s="402" t="s">
        <v>560</v>
      </c>
      <c r="Y459" s="386">
        <f t="shared" si="106"/>
        <v>34800.518622240001</v>
      </c>
      <c r="Z459" s="387">
        <f t="shared" si="107"/>
        <v>0</v>
      </c>
      <c r="AA459" s="387">
        <f t="shared" si="108"/>
        <v>0.14480000000000001</v>
      </c>
      <c r="AB459" s="403">
        <f t="shared" si="109"/>
        <v>0.14480000000000001</v>
      </c>
      <c r="AC459" s="388">
        <f t="shared" si="110"/>
        <v>6.8716774358179415E-4</v>
      </c>
      <c r="AD459" s="389">
        <f t="shared" si="111"/>
        <v>9.9501889270643798E-5</v>
      </c>
    </row>
    <row r="460" spans="1:30" x14ac:dyDescent="0.55000000000000004">
      <c r="A460" t="str">
        <f t="shared" si="98"/>
        <v>Uber Technologies Inc</v>
      </c>
      <c r="B460" t="str">
        <f t="shared" si="98"/>
        <v>UBER</v>
      </c>
      <c r="C460" s="382" t="str">
        <f t="shared" si="99"/>
        <v>0.00%</v>
      </c>
      <c r="D460" s="383">
        <f t="shared" si="100"/>
        <v>140766.66837624999</v>
      </c>
      <c r="E460" s="384">
        <f t="shared" si="101"/>
        <v>0.60819999999999996</v>
      </c>
      <c r="F460" s="385" t="s">
        <v>184</v>
      </c>
      <c r="G460" s="382">
        <v>0.37843330000000003</v>
      </c>
      <c r="H460" s="399">
        <f t="shared" si="102"/>
        <v>0.49331665000000002</v>
      </c>
      <c r="I460" s="399">
        <f t="shared" si="103"/>
        <v>0.49331665000000002</v>
      </c>
      <c r="J460" s="382">
        <f t="shared" si="104"/>
        <v>2.6327711208649746E-3</v>
      </c>
      <c r="K460" s="382">
        <f t="shared" si="105"/>
        <v>1.2987898295618544E-3</v>
      </c>
      <c r="M460" s="400"/>
      <c r="N460" s="398" t="s">
        <v>4369</v>
      </c>
      <c r="O460" s="398" t="s">
        <v>1032</v>
      </c>
      <c r="P460" s="398" t="s">
        <v>561</v>
      </c>
      <c r="Q460" s="398">
        <v>140766668376.25</v>
      </c>
      <c r="R460" s="398" t="s">
        <v>3929</v>
      </c>
      <c r="S460" s="398">
        <v>60.82</v>
      </c>
      <c r="T460" s="398">
        <v>2105.7089999999998</v>
      </c>
      <c r="U460" s="398">
        <v>66.849999999999994</v>
      </c>
      <c r="W460" s="401" t="s">
        <v>1032</v>
      </c>
      <c r="X460" s="402" t="s">
        <v>561</v>
      </c>
      <c r="Y460" s="386">
        <f t="shared" si="106"/>
        <v>140766.66837624999</v>
      </c>
      <c r="Z460" s="387" t="str">
        <f t="shared" si="107"/>
        <v>0.00%</v>
      </c>
      <c r="AA460" s="387">
        <f t="shared" si="108"/>
        <v>0.60819999999999996</v>
      </c>
      <c r="AB460" s="403">
        <f t="shared" si="109"/>
        <v>0.60819999999999996</v>
      </c>
      <c r="AC460" s="388">
        <f t="shared" si="110"/>
        <v>2.7795652969900531E-3</v>
      </c>
      <c r="AD460" s="389">
        <f t="shared" si="111"/>
        <v>1.6905316136293501E-3</v>
      </c>
    </row>
    <row r="461" spans="1:30" x14ac:dyDescent="0.55000000000000004">
      <c r="A461" t="str">
        <f t="shared" si="98"/>
        <v>UDR Inc</v>
      </c>
      <c r="B461" t="str">
        <f t="shared" si="98"/>
        <v>UDR</v>
      </c>
      <c r="C461" s="382">
        <f t="shared" si="99"/>
        <v>4.0704360325826548E-2</v>
      </c>
      <c r="D461" s="383">
        <f t="shared" si="100"/>
        <v>13772.538539300002</v>
      </c>
      <c r="E461" s="384">
        <f t="shared" si="101"/>
        <v>1.46E-2</v>
      </c>
      <c r="F461" s="385">
        <v>1.4999999999999999E-2</v>
      </c>
      <c r="G461" s="382">
        <v>1.9209899999999999E-2</v>
      </c>
      <c r="H461" s="399">
        <f t="shared" si="102"/>
        <v>1.6269966666666667E-2</v>
      </c>
      <c r="I461" s="399">
        <f t="shared" si="103"/>
        <v>5.73054562853378E-2</v>
      </c>
      <c r="J461" s="382">
        <f t="shared" si="104"/>
        <v>2.5758897433269553E-4</v>
      </c>
      <c r="K461" s="382">
        <f t="shared" si="105"/>
        <v>1.4761253708207283E-5</v>
      </c>
      <c r="M461" s="400"/>
      <c r="N461" s="398" t="s">
        <v>4370</v>
      </c>
      <c r="O461" s="398" t="s">
        <v>1033</v>
      </c>
      <c r="P461" s="398" t="s">
        <v>562</v>
      </c>
      <c r="Q461" s="398">
        <v>13772538539.300001</v>
      </c>
      <c r="R461" s="398">
        <v>4.0704360325826547</v>
      </c>
      <c r="S461" s="398">
        <v>1.46</v>
      </c>
      <c r="T461" s="398">
        <v>329.96019999999999</v>
      </c>
      <c r="U461" s="398">
        <v>41.74</v>
      </c>
      <c r="W461" s="401" t="s">
        <v>1033</v>
      </c>
      <c r="X461" s="402" t="s">
        <v>562</v>
      </c>
      <c r="Y461" s="386">
        <f t="shared" si="106"/>
        <v>13772.538539300002</v>
      </c>
      <c r="Z461" s="387">
        <f t="shared" si="107"/>
        <v>4.0704360325826548E-2</v>
      </c>
      <c r="AA461" s="387">
        <f t="shared" si="108"/>
        <v>1.46E-2</v>
      </c>
      <c r="AB461" s="403">
        <f t="shared" si="109"/>
        <v>5.5601502156205088E-2</v>
      </c>
      <c r="AC461" s="388">
        <f t="shared" si="110"/>
        <v>2.7195124113454694E-4</v>
      </c>
      <c r="AD461" s="389">
        <f t="shared" si="111"/>
        <v>1.5120897520325161E-5</v>
      </c>
    </row>
    <row r="462" spans="1:30" x14ac:dyDescent="0.55000000000000004">
      <c r="A462" t="str">
        <f t="shared" si="98"/>
        <v>Universal Health Services Inc</v>
      </c>
      <c r="B462" t="str">
        <f t="shared" si="98"/>
        <v>UHS</v>
      </c>
      <c r="C462" s="382">
        <f t="shared" si="99"/>
        <v>4.2798048366567672E-3</v>
      </c>
      <c r="D462" s="383">
        <f t="shared" si="100"/>
        <v>12438.482586879998</v>
      </c>
      <c r="E462" s="384">
        <f t="shared" si="101"/>
        <v>0.23300000000000001</v>
      </c>
      <c r="F462" s="385">
        <v>0.125</v>
      </c>
      <c r="G462" s="382">
        <v>0.24546370000000001</v>
      </c>
      <c r="H462" s="399">
        <f t="shared" si="102"/>
        <v>0.20115456666666667</v>
      </c>
      <c r="I462" s="399">
        <f t="shared" si="103"/>
        <v>0.20586482264699124</v>
      </c>
      <c r="J462" s="382">
        <f t="shared" si="104"/>
        <v>2.3263801097138614E-4</v>
      </c>
      <c r="K462" s="382">
        <f t="shared" si="105"/>
        <v>4.7891982869573211E-5</v>
      </c>
      <c r="M462" s="400"/>
      <c r="N462" s="398" t="s">
        <v>4371</v>
      </c>
      <c r="O462" s="398" t="s">
        <v>1034</v>
      </c>
      <c r="P462" s="398" t="s">
        <v>563</v>
      </c>
      <c r="Q462" s="398">
        <v>12438482586.879997</v>
      </c>
      <c r="R462" s="398">
        <v>0.4279804836656767</v>
      </c>
      <c r="S462" s="398">
        <v>23.3</v>
      </c>
      <c r="T462" s="398">
        <v>58.714709999999997</v>
      </c>
      <c r="U462" s="398">
        <v>188.56</v>
      </c>
      <c r="W462" s="401" t="s">
        <v>1034</v>
      </c>
      <c r="X462" s="402" t="s">
        <v>563</v>
      </c>
      <c r="Y462" s="386">
        <f t="shared" si="106"/>
        <v>12438.482586879998</v>
      </c>
      <c r="Z462" s="387">
        <f t="shared" si="107"/>
        <v>4.2798048366567672E-3</v>
      </c>
      <c r="AA462" s="387">
        <f t="shared" si="108"/>
        <v>0.23300000000000001</v>
      </c>
      <c r="AB462" s="403">
        <f t="shared" si="109"/>
        <v>0.2377784021001273</v>
      </c>
      <c r="AC462" s="388">
        <f t="shared" si="110"/>
        <v>2.4560909869157584E-4</v>
      </c>
      <c r="AD462" s="389">
        <f t="shared" si="111"/>
        <v>5.8400539028135369E-5</v>
      </c>
    </row>
    <row r="463" spans="1:30" x14ac:dyDescent="0.55000000000000004">
      <c r="A463" t="str">
        <f t="shared" si="98"/>
        <v>Ulta Beauty Inc</v>
      </c>
      <c r="B463" t="str">
        <f t="shared" si="98"/>
        <v>ULTA</v>
      </c>
      <c r="C463" s="382">
        <f t="shared" si="99"/>
        <v>0</v>
      </c>
      <c r="D463" s="383">
        <f t="shared" si="100"/>
        <v>19112.4415367</v>
      </c>
      <c r="E463" s="384">
        <f t="shared" si="101"/>
        <v>3.4000000000000002E-3</v>
      </c>
      <c r="F463" s="385">
        <v>0.06</v>
      </c>
      <c r="G463" s="382">
        <v>8.6359600000000009E-2</v>
      </c>
      <c r="H463" s="399">
        <f t="shared" si="102"/>
        <v>4.9919866666666667E-2</v>
      </c>
      <c r="I463" s="399">
        <f t="shared" si="103"/>
        <v>4.9919866666666667E-2</v>
      </c>
      <c r="J463" s="382">
        <f t="shared" si="104"/>
        <v>3.5746163994269589E-4</v>
      </c>
      <c r="K463" s="382">
        <f t="shared" si="105"/>
        <v>1.7844437404387386E-5</v>
      </c>
      <c r="M463" s="400"/>
      <c r="N463" s="398" t="s">
        <v>4372</v>
      </c>
      <c r="O463" s="398" t="s">
        <v>1035</v>
      </c>
      <c r="P463" s="398" t="s">
        <v>564</v>
      </c>
      <c r="Q463" s="398">
        <v>19112441536.700001</v>
      </c>
      <c r="R463" s="398">
        <v>0</v>
      </c>
      <c r="S463" s="398">
        <v>0.34</v>
      </c>
      <c r="T463" s="398">
        <v>46.372540000000001</v>
      </c>
      <c r="U463" s="398">
        <v>412.15</v>
      </c>
      <c r="W463" s="401" t="s">
        <v>1035</v>
      </c>
      <c r="X463" s="402" t="s">
        <v>564</v>
      </c>
      <c r="Y463" s="386">
        <f t="shared" si="106"/>
        <v>19112.4415367</v>
      </c>
      <c r="Z463" s="387">
        <f t="shared" si="107"/>
        <v>0</v>
      </c>
      <c r="AA463" s="387">
        <f t="shared" si="108"/>
        <v>3.4000000000000002E-3</v>
      </c>
      <c r="AB463" s="403">
        <f t="shared" si="109"/>
        <v>3.4000000000000002E-3</v>
      </c>
      <c r="AC463" s="388">
        <f t="shared" si="110"/>
        <v>3.7739245979857004E-4</v>
      </c>
      <c r="AD463" s="389">
        <f t="shared" si="111"/>
        <v>1.2831343633151383E-6</v>
      </c>
    </row>
    <row r="464" spans="1:30" x14ac:dyDescent="0.55000000000000004">
      <c r="A464" t="str">
        <f t="shared" si="98"/>
        <v>UnitedHealth Group Inc</v>
      </c>
      <c r="B464" t="str">
        <f t="shared" si="98"/>
        <v>UNH</v>
      </c>
      <c r="C464" s="382">
        <f t="shared" si="99"/>
        <v>1.605743884679902E-2</v>
      </c>
      <c r="D464" s="383">
        <f t="shared" si="100"/>
        <v>499245.04835166002</v>
      </c>
      <c r="E464" s="384">
        <f t="shared" si="101"/>
        <v>0.1145</v>
      </c>
      <c r="F464" s="385">
        <v>0.115</v>
      </c>
      <c r="G464" s="382">
        <v>0.15034330000000001</v>
      </c>
      <c r="H464" s="399">
        <f t="shared" si="102"/>
        <v>0.12661443333333333</v>
      </c>
      <c r="I464" s="399">
        <f t="shared" si="103"/>
        <v>0.14368842394031842</v>
      </c>
      <c r="J464" s="382">
        <f t="shared" si="104"/>
        <v>9.3374231321713391E-3</v>
      </c>
      <c r="K464" s="382">
        <f t="shared" si="105"/>
        <v>1.3416796135255712E-3</v>
      </c>
      <c r="M464" s="400"/>
      <c r="N464" s="398" t="s">
        <v>4373</v>
      </c>
      <c r="O464" s="398" t="s">
        <v>1036</v>
      </c>
      <c r="P464" s="398" t="s">
        <v>565</v>
      </c>
      <c r="Q464" s="398">
        <v>499245048351.66003</v>
      </c>
      <c r="R464" s="398">
        <v>1.6057438846799019</v>
      </c>
      <c r="S464" s="398">
        <v>11.450000000000001</v>
      </c>
      <c r="T464" s="398">
        <v>920.28429999999992</v>
      </c>
      <c r="U464" s="398">
        <v>542.49</v>
      </c>
      <c r="W464" s="401" t="s">
        <v>1036</v>
      </c>
      <c r="X464" s="402" t="s">
        <v>565</v>
      </c>
      <c r="Y464" s="386">
        <f t="shared" si="106"/>
        <v>499245.04835166002</v>
      </c>
      <c r="Z464" s="387">
        <f t="shared" si="107"/>
        <v>1.605743884679902E-2</v>
      </c>
      <c r="AA464" s="387">
        <f t="shared" si="108"/>
        <v>0.1145</v>
      </c>
      <c r="AB464" s="403">
        <f t="shared" si="109"/>
        <v>0.13147672722077827</v>
      </c>
      <c r="AC464" s="388">
        <f t="shared" si="110"/>
        <v>9.8580454243848824E-3</v>
      </c>
      <c r="AD464" s="389">
        <f t="shared" si="111"/>
        <v>1.2961035491918925E-3</v>
      </c>
    </row>
    <row r="465" spans="1:30" x14ac:dyDescent="0.55000000000000004">
      <c r="A465" t="str">
        <f t="shared" si="98"/>
        <v>Union Pacific Corp</v>
      </c>
      <c r="B465" t="str">
        <f t="shared" si="98"/>
        <v>UNP</v>
      </c>
      <c r="C465" s="382">
        <f t="shared" si="99"/>
        <v>2.2176036159651316E-2</v>
      </c>
      <c r="D465" s="383">
        <f t="shared" si="100"/>
        <v>150224.32960432998</v>
      </c>
      <c r="E465" s="384">
        <f t="shared" si="101"/>
        <v>0.10200000000000001</v>
      </c>
      <c r="F465" s="385">
        <v>6.5000000000000002E-2</v>
      </c>
      <c r="G465" s="382">
        <v>9.2991899999999988E-2</v>
      </c>
      <c r="H465" s="399">
        <f t="shared" si="102"/>
        <v>8.6663966666666661E-2</v>
      </c>
      <c r="I465" s="399">
        <f t="shared" si="103"/>
        <v>0.10980093445558739</v>
      </c>
      <c r="J465" s="382">
        <f t="shared" si="104"/>
        <v>2.8096585732671261E-3</v>
      </c>
      <c r="K465" s="382">
        <f t="shared" si="105"/>
        <v>3.0850313684588289E-4</v>
      </c>
      <c r="M465" s="400"/>
      <c r="N465" s="398" t="s">
        <v>4374</v>
      </c>
      <c r="O465" s="398" t="s">
        <v>1037</v>
      </c>
      <c r="P465" s="398" t="s">
        <v>566</v>
      </c>
      <c r="Q465" s="398">
        <v>150224329604.32999</v>
      </c>
      <c r="R465" s="398">
        <v>2.2176036159651318</v>
      </c>
      <c r="S465" s="398">
        <v>10.200000000000001</v>
      </c>
      <c r="T465" s="398">
        <v>606.25659999999993</v>
      </c>
      <c r="U465" s="398">
        <v>247.79</v>
      </c>
      <c r="W465" s="401" t="s">
        <v>1037</v>
      </c>
      <c r="X465" s="402" t="s">
        <v>566</v>
      </c>
      <c r="Y465" s="386">
        <f t="shared" si="106"/>
        <v>150224.32960432998</v>
      </c>
      <c r="Z465" s="387">
        <f t="shared" si="107"/>
        <v>2.2176036159651316E-2</v>
      </c>
      <c r="AA465" s="387">
        <f t="shared" si="108"/>
        <v>0.10200000000000001</v>
      </c>
      <c r="AB465" s="403">
        <f t="shared" si="109"/>
        <v>0.12530701400379354</v>
      </c>
      <c r="AC465" s="388">
        <f t="shared" si="110"/>
        <v>2.9663153795450709E-3</v>
      </c>
      <c r="AD465" s="389">
        <f t="shared" si="111"/>
        <v>3.7170012280432236E-4</v>
      </c>
    </row>
    <row r="466" spans="1:30" x14ac:dyDescent="0.55000000000000004">
      <c r="A466" t="str">
        <f t="shared" si="98"/>
        <v>United Parcel Service Inc</v>
      </c>
      <c r="B466" t="str">
        <f t="shared" si="98"/>
        <v>UPS</v>
      </c>
      <c r="C466" s="382">
        <f t="shared" si="99"/>
        <v>5.7603081502232339E-2</v>
      </c>
      <c r="D466" s="383">
        <f t="shared" si="100"/>
        <v>97480.404610340003</v>
      </c>
      <c r="E466" s="384">
        <f t="shared" si="101"/>
        <v>3.73E-2</v>
      </c>
      <c r="F466" s="385">
        <v>0.01</v>
      </c>
      <c r="G466" s="382">
        <v>5.6152100000000003E-2</v>
      </c>
      <c r="H466" s="399">
        <f t="shared" si="102"/>
        <v>3.4484033333333337E-2</v>
      </c>
      <c r="I466" s="399">
        <f t="shared" si="103"/>
        <v>9.3080308126878536E-2</v>
      </c>
      <c r="J466" s="382">
        <f t="shared" si="104"/>
        <v>1.8231844020230909E-3</v>
      </c>
      <c r="K466" s="382">
        <f t="shared" si="105"/>
        <v>1.6970256591242809E-4</v>
      </c>
      <c r="M466" s="400"/>
      <c r="N466" s="398" t="s">
        <v>4375</v>
      </c>
      <c r="O466" s="398" t="s">
        <v>1038</v>
      </c>
      <c r="P466" s="398" t="s">
        <v>567</v>
      </c>
      <c r="Q466" s="398">
        <v>97480404610.339996</v>
      </c>
      <c r="R466" s="398">
        <v>5.7603081502232341</v>
      </c>
      <c r="S466" s="398">
        <v>3.73</v>
      </c>
      <c r="T466" s="398">
        <v>731.36969999999997</v>
      </c>
      <c r="U466" s="398">
        <v>114.23</v>
      </c>
      <c r="W466" s="401" t="s">
        <v>1038</v>
      </c>
      <c r="X466" s="402" t="s">
        <v>567</v>
      </c>
      <c r="Y466" s="386">
        <f t="shared" si="106"/>
        <v>97480.404610340003</v>
      </c>
      <c r="Z466" s="387">
        <f t="shared" si="107"/>
        <v>5.7603081502232339E-2</v>
      </c>
      <c r="AA466" s="387">
        <f t="shared" si="108"/>
        <v>3.73E-2</v>
      </c>
      <c r="AB466" s="403">
        <f t="shared" si="109"/>
        <v>9.5977378972248978E-2</v>
      </c>
      <c r="AC466" s="388">
        <f t="shared" si="110"/>
        <v>1.92483883377299E-3</v>
      </c>
      <c r="AD466" s="389">
        <f t="shared" si="111"/>
        <v>1.84740986209532E-4</v>
      </c>
    </row>
    <row r="467" spans="1:30" x14ac:dyDescent="0.55000000000000004">
      <c r="A467" t="str">
        <f t="shared" si="98"/>
        <v>United Rentals Inc</v>
      </c>
      <c r="B467" t="str">
        <f t="shared" si="98"/>
        <v>URI</v>
      </c>
      <c r="C467" s="382">
        <f t="shared" si="99"/>
        <v>9.2077144289370236E-3</v>
      </c>
      <c r="D467" s="383">
        <f t="shared" si="100"/>
        <v>49506.698709879995</v>
      </c>
      <c r="E467" s="384">
        <f t="shared" si="101"/>
        <v>9.6799999999999997E-2</v>
      </c>
      <c r="F467" s="385">
        <v>0.19</v>
      </c>
      <c r="G467" s="382">
        <v>0.1189486</v>
      </c>
      <c r="H467" s="399">
        <f t="shared" si="102"/>
        <v>0.13524953333333334</v>
      </c>
      <c r="I467" s="399">
        <f t="shared" si="103"/>
        <v>0.14507991730206052</v>
      </c>
      <c r="J467" s="382">
        <f t="shared" si="104"/>
        <v>9.2592804927623144E-4</v>
      </c>
      <c r="K467" s="382">
        <f t="shared" si="105"/>
        <v>1.3433356481665389E-4</v>
      </c>
      <c r="M467" s="400"/>
      <c r="N467" s="398" t="s">
        <v>4376</v>
      </c>
      <c r="O467" s="398" t="s">
        <v>1039</v>
      </c>
      <c r="P467" s="398" t="s">
        <v>568</v>
      </c>
      <c r="Q467" s="398">
        <v>49506698709.879997</v>
      </c>
      <c r="R467" s="398">
        <v>0.92077144289370239</v>
      </c>
      <c r="S467" s="398">
        <v>9.68</v>
      </c>
      <c r="T467" s="398">
        <v>65.307099999999991</v>
      </c>
      <c r="U467" s="398">
        <v>758.06</v>
      </c>
      <c r="W467" s="401" t="s">
        <v>1039</v>
      </c>
      <c r="X467" s="402" t="s">
        <v>568</v>
      </c>
      <c r="Y467" s="386">
        <f t="shared" si="106"/>
        <v>49506.698709879995</v>
      </c>
      <c r="Z467" s="387">
        <f t="shared" si="107"/>
        <v>9.2077144289370236E-3</v>
      </c>
      <c r="AA467" s="387">
        <f t="shared" si="108"/>
        <v>9.6799999999999997E-2</v>
      </c>
      <c r="AB467" s="403">
        <f t="shared" si="109"/>
        <v>0.10645336780729757</v>
      </c>
      <c r="AC467" s="388">
        <f t="shared" si="110"/>
        <v>9.7755458227312582E-4</v>
      </c>
      <c r="AD467" s="389">
        <f t="shared" si="111"/>
        <v>1.0406397749843019E-4</v>
      </c>
    </row>
    <row r="468" spans="1:30" x14ac:dyDescent="0.55000000000000004">
      <c r="A468" t="str">
        <f t="shared" si="98"/>
        <v>US Bancorp</v>
      </c>
      <c r="B468" t="str">
        <f t="shared" si="98"/>
        <v>USB</v>
      </c>
      <c r="C468" s="382">
        <f t="shared" si="99"/>
        <v>4.254918375889493E-2</v>
      </c>
      <c r="D468" s="383">
        <f t="shared" si="100"/>
        <v>74538.315342699992</v>
      </c>
      <c r="E468" s="384">
        <f t="shared" si="101"/>
        <v>0.11169999999999999</v>
      </c>
      <c r="F468" s="385">
        <v>0.04</v>
      </c>
      <c r="G468" s="382">
        <v>7.6309100000000005E-2</v>
      </c>
      <c r="H468" s="399">
        <f t="shared" si="102"/>
        <v>7.6003033333333345E-2</v>
      </c>
      <c r="I468" s="399">
        <f t="shared" si="103"/>
        <v>0.12016915060799499</v>
      </c>
      <c r="J468" s="382">
        <f t="shared" si="104"/>
        <v>1.3940965307757257E-3</v>
      </c>
      <c r="K468" s="382">
        <f t="shared" si="105"/>
        <v>1.6752739596887151E-4</v>
      </c>
      <c r="M468" s="400"/>
      <c r="N468" s="398" t="s">
        <v>4377</v>
      </c>
      <c r="O468" s="398" t="s">
        <v>1040</v>
      </c>
      <c r="P468" s="398" t="s">
        <v>569</v>
      </c>
      <c r="Q468" s="398">
        <v>74538315342.699997</v>
      </c>
      <c r="R468" s="398">
        <v>4.2549183758894928</v>
      </c>
      <c r="S468" s="398">
        <v>11.17</v>
      </c>
      <c r="T468" s="398">
        <v>1560.0319999999999</v>
      </c>
      <c r="U468" s="398">
        <v>47.78</v>
      </c>
      <c r="W468" s="401" t="s">
        <v>1040</v>
      </c>
      <c r="X468" s="402" t="s">
        <v>569</v>
      </c>
      <c r="Y468" s="386">
        <f t="shared" si="106"/>
        <v>74538.315342699992</v>
      </c>
      <c r="Z468" s="387">
        <f t="shared" si="107"/>
        <v>4.254918375889493E-2</v>
      </c>
      <c r="AA468" s="387">
        <f t="shared" si="108"/>
        <v>0.11169999999999999</v>
      </c>
      <c r="AB468" s="403">
        <f t="shared" si="109"/>
        <v>0.1566255556718292</v>
      </c>
      <c r="AC468" s="388">
        <f t="shared" si="110"/>
        <v>1.4718265127146111E-3</v>
      </c>
      <c r="AD468" s="389">
        <f t="shared" si="111"/>
        <v>2.3052564540645656E-4</v>
      </c>
    </row>
    <row r="469" spans="1:30" x14ac:dyDescent="0.55000000000000004">
      <c r="A469" t="str">
        <f t="shared" si="98"/>
        <v>Visa Inc</v>
      </c>
      <c r="B469" t="str">
        <f t="shared" si="98"/>
        <v>V</v>
      </c>
      <c r="C469" s="382">
        <f t="shared" si="99"/>
        <v>6.9543592744294915E-3</v>
      </c>
      <c r="D469" s="383">
        <f t="shared" si="100"/>
        <v>686948.01954329014</v>
      </c>
      <c r="E469" s="384">
        <f t="shared" si="101"/>
        <v>0.12530000000000002</v>
      </c>
      <c r="F469" s="385">
        <v>0.13500000000000001</v>
      </c>
      <c r="G469" s="382">
        <v>0.1243388</v>
      </c>
      <c r="H469" s="399">
        <f t="shared" si="102"/>
        <v>0.12821293333333336</v>
      </c>
      <c r="I469" s="399">
        <f t="shared" si="103"/>
        <v>0.1356131120087771</v>
      </c>
      <c r="J469" s="382">
        <f t="shared" si="104"/>
        <v>1.2848047966546202E-2</v>
      </c>
      <c r="K469" s="382">
        <f t="shared" si="105"/>
        <v>1.742363767981371E-3</v>
      </c>
      <c r="M469" s="400"/>
      <c r="N469" s="398" t="s">
        <v>4378</v>
      </c>
      <c r="O469" s="398" t="s">
        <v>1041</v>
      </c>
      <c r="P469" s="398" t="s">
        <v>570</v>
      </c>
      <c r="Q469" s="398">
        <v>686948019543.29016</v>
      </c>
      <c r="R469" s="398">
        <v>0.69543592744294913</v>
      </c>
      <c r="S469" s="398">
        <v>12.530000000000001</v>
      </c>
      <c r="T469" s="398">
        <v>1723.3619999999999</v>
      </c>
      <c r="U469" s="398">
        <v>341.8</v>
      </c>
      <c r="W469" s="401" t="s">
        <v>1041</v>
      </c>
      <c r="X469" s="402" t="s">
        <v>570</v>
      </c>
      <c r="Y469" s="386">
        <f t="shared" si="106"/>
        <v>686948.01954329014</v>
      </c>
      <c r="Z469" s="387">
        <f t="shared" si="107"/>
        <v>6.9543592744294915E-3</v>
      </c>
      <c r="AA469" s="387">
        <f t="shared" si="108"/>
        <v>0.12530000000000002</v>
      </c>
      <c r="AB469" s="403">
        <f t="shared" si="109"/>
        <v>0.13269004988297253</v>
      </c>
      <c r="AC469" s="388">
        <f t="shared" si="110"/>
        <v>1.3564410509844312E-2</v>
      </c>
      <c r="AD469" s="389">
        <f t="shared" si="111"/>
        <v>1.7998623071843586E-3</v>
      </c>
    </row>
    <row r="470" spans="1:30" x14ac:dyDescent="0.55000000000000004">
      <c r="A470" t="str">
        <f t="shared" si="98"/>
        <v>VICI Properties Inc</v>
      </c>
      <c r="B470" t="str">
        <f t="shared" si="98"/>
        <v>VICI</v>
      </c>
      <c r="C470" s="382">
        <f t="shared" si="99"/>
        <v>5.6902922405105819E-2</v>
      </c>
      <c r="D470" s="383">
        <f t="shared" si="100"/>
        <v>31054.189412870001</v>
      </c>
      <c r="E470" s="384">
        <f t="shared" si="101"/>
        <v>2.7200000000000002E-2</v>
      </c>
      <c r="F470" s="385">
        <v>0.105</v>
      </c>
      <c r="G470" s="382">
        <v>3.7250800000000001E-2</v>
      </c>
      <c r="H470" s="399">
        <f t="shared" si="102"/>
        <v>5.6483599999999995E-2</v>
      </c>
      <c r="I470" s="399">
        <f t="shared" si="103"/>
        <v>0.11499356335908634</v>
      </c>
      <c r="J470" s="382">
        <f t="shared" si="104"/>
        <v>5.8080917884300231E-4</v>
      </c>
      <c r="K470" s="382">
        <f t="shared" si="105"/>
        <v>6.6789317106821691E-5</v>
      </c>
      <c r="M470" s="400"/>
      <c r="N470" s="398" t="s">
        <v>4379</v>
      </c>
      <c r="O470" s="398" t="s">
        <v>1042</v>
      </c>
      <c r="P470" s="398" t="s">
        <v>571</v>
      </c>
      <c r="Q470" s="398">
        <v>31054189412.869999</v>
      </c>
      <c r="R470" s="398">
        <v>5.6902922405105816</v>
      </c>
      <c r="S470" s="398">
        <v>2.72</v>
      </c>
      <c r="T470" s="398">
        <v>1043.1369999999999</v>
      </c>
      <c r="U470" s="398">
        <v>29.77</v>
      </c>
      <c r="W470" s="401" t="s">
        <v>1042</v>
      </c>
      <c r="X470" s="402" t="s">
        <v>571</v>
      </c>
      <c r="Y470" s="386">
        <f t="shared" si="106"/>
        <v>31054.189412870001</v>
      </c>
      <c r="Z470" s="387">
        <f t="shared" si="107"/>
        <v>5.6902922405105819E-2</v>
      </c>
      <c r="AA470" s="387">
        <f t="shared" si="108"/>
        <v>2.7200000000000002E-2</v>
      </c>
      <c r="AB470" s="403">
        <f t="shared" si="109"/>
        <v>8.4876802149815272E-2</v>
      </c>
      <c r="AC470" s="388">
        <f t="shared" si="110"/>
        <v>6.1319308195499438E-4</v>
      </c>
      <c r="AD470" s="389">
        <f t="shared" si="111"/>
        <v>5.2045867896729521E-5</v>
      </c>
    </row>
    <row r="471" spans="1:30" x14ac:dyDescent="0.55000000000000004">
      <c r="A471" t="str">
        <f t="shared" si="98"/>
        <v>Valero Energy Corp</v>
      </c>
      <c r="B471" t="str">
        <f t="shared" si="98"/>
        <v>VLO</v>
      </c>
      <c r="C471" s="382">
        <f t="shared" si="99"/>
        <v>3.3240601503759397E-2</v>
      </c>
      <c r="D471" s="383">
        <f t="shared" si="100"/>
        <v>42105.835324</v>
      </c>
      <c r="E471" s="384">
        <f t="shared" si="101"/>
        <v>-0.22330000000000003</v>
      </c>
      <c r="F471" s="385">
        <v>-0.06</v>
      </c>
      <c r="G471" s="382">
        <v>0.19</v>
      </c>
      <c r="H471" s="399">
        <f t="shared" si="102"/>
        <v>-3.1099999999999999E-2</v>
      </c>
      <c r="I471" s="399">
        <f t="shared" si="103"/>
        <v>1.6237101503759378E-3</v>
      </c>
      <c r="J471" s="382">
        <f t="shared" si="104"/>
        <v>7.8750906403938776E-4</v>
      </c>
      <c r="K471" s="382">
        <f t="shared" si="105"/>
        <v>1.2786864607938083E-6</v>
      </c>
      <c r="M471" s="400"/>
      <c r="N471" s="398" t="s">
        <v>4380</v>
      </c>
      <c r="O471" s="398" t="s">
        <v>1043</v>
      </c>
      <c r="P471" s="398" t="s">
        <v>572</v>
      </c>
      <c r="Q471" s="398">
        <v>42105835324</v>
      </c>
      <c r="R471" s="398">
        <v>3.3240601503759399</v>
      </c>
      <c r="S471" s="398">
        <v>-22.330000000000002</v>
      </c>
      <c r="T471" s="398">
        <v>316.58519999999999</v>
      </c>
      <c r="U471" s="398">
        <v>133</v>
      </c>
      <c r="W471" s="401" t="s">
        <v>1043</v>
      </c>
      <c r="X471" s="402" t="s">
        <v>572</v>
      </c>
      <c r="Y471" s="386">
        <f t="shared" si="106"/>
        <v>42105.835324</v>
      </c>
      <c r="Z471" s="387">
        <f t="shared" si="107"/>
        <v>3.3240601503759397E-2</v>
      </c>
      <c r="AA471" s="387">
        <f t="shared" si="108"/>
        <v>-0.22330000000000003</v>
      </c>
      <c r="AB471" s="403">
        <f t="shared" si="109"/>
        <v>-0.19377071165413537</v>
      </c>
      <c r="AC471" s="388">
        <f t="shared" si="110"/>
        <v>8.3141783504137056E-4</v>
      </c>
      <c r="AD471" s="389">
        <f t="shared" si="111"/>
        <v>-1.6110442557790689E-4</v>
      </c>
    </row>
    <row r="472" spans="1:30" x14ac:dyDescent="0.55000000000000004">
      <c r="A472" t="str">
        <f t="shared" si="98"/>
        <v>Veralto Corp</v>
      </c>
      <c r="B472" t="str">
        <f t="shared" si="98"/>
        <v>VLTO</v>
      </c>
      <c r="C472" s="382">
        <f t="shared" si="99"/>
        <v>2.9016345874842832E-3</v>
      </c>
      <c r="D472" s="383">
        <f t="shared" si="100"/>
        <v>25569.150857249999</v>
      </c>
      <c r="E472" s="384" t="str">
        <f t="shared" si="101"/>
        <v>N/A</v>
      </c>
      <c r="F472" s="385" t="s">
        <v>184</v>
      </c>
      <c r="G472" s="382">
        <v>6.4369999999999997E-2</v>
      </c>
      <c r="H472" s="399">
        <f t="shared" si="102"/>
        <v>6.4369999999999997E-2</v>
      </c>
      <c r="I472" s="399">
        <f t="shared" si="103"/>
        <v>6.7365023696682458E-2</v>
      </c>
      <c r="J472" s="382">
        <f t="shared" si="104"/>
        <v>4.7822203038915906E-4</v>
      </c>
      <c r="K472" s="382">
        <f t="shared" si="105"/>
        <v>3.2215438409441301E-5</v>
      </c>
      <c r="M472" s="400"/>
      <c r="N472" s="398" t="s">
        <v>4381</v>
      </c>
      <c r="O472" s="398" t="s">
        <v>1044</v>
      </c>
      <c r="P472" s="398" t="s">
        <v>573</v>
      </c>
      <c r="Q472" s="398">
        <v>25569150857.25</v>
      </c>
      <c r="R472" s="398">
        <v>0.2901634587484283</v>
      </c>
      <c r="S472" s="398" t="s">
        <v>3929</v>
      </c>
      <c r="T472" s="398">
        <v>247.30779999999999</v>
      </c>
      <c r="U472" s="398">
        <v>103.39</v>
      </c>
      <c r="W472" s="401" t="s">
        <v>1044</v>
      </c>
      <c r="X472" s="402" t="s">
        <v>573</v>
      </c>
      <c r="Y472" s="386">
        <f t="shared" si="106"/>
        <v>25569.150857249999</v>
      </c>
      <c r="Z472" s="387">
        <f t="shared" si="107"/>
        <v>2.9016345874842832E-3</v>
      </c>
      <c r="AA472" s="387" t="str">
        <f t="shared" si="108"/>
        <v>N/A</v>
      </c>
      <c r="AB472" s="403" t="str">
        <f t="shared" si="109"/>
        <v>N/A</v>
      </c>
      <c r="AC472" s="388">
        <f t="shared" si="110"/>
        <v>5.0488603030905156E-4</v>
      </c>
      <c r="AD472" s="389" t="str">
        <f t="shared" si="111"/>
        <v>N/A</v>
      </c>
    </row>
    <row r="473" spans="1:30" x14ac:dyDescent="0.55000000000000004">
      <c r="A473" t="str">
        <f t="shared" si="98"/>
        <v>Vulcan Materials Co</v>
      </c>
      <c r="B473" t="str">
        <f t="shared" si="98"/>
        <v>VMC</v>
      </c>
      <c r="C473" s="382">
        <f t="shared" si="99"/>
        <v>6.5183293817253343E-3</v>
      </c>
      <c r="D473" s="383">
        <f t="shared" si="100"/>
        <v>36204.594154849998</v>
      </c>
      <c r="E473" s="384">
        <f t="shared" si="101"/>
        <v>0.1467</v>
      </c>
      <c r="F473" s="385">
        <v>0.08</v>
      </c>
      <c r="G473" s="382">
        <v>0.14670659999999999</v>
      </c>
      <c r="H473" s="399">
        <f t="shared" si="102"/>
        <v>0.12446886666666668</v>
      </c>
      <c r="I473" s="399">
        <f t="shared" si="103"/>
        <v>0.13139286058374369</v>
      </c>
      <c r="J473" s="382">
        <f t="shared" si="104"/>
        <v>6.7713764226310237E-4</v>
      </c>
      <c r="K473" s="382">
        <f t="shared" si="105"/>
        <v>8.8971051825880717E-5</v>
      </c>
      <c r="M473" s="400"/>
      <c r="N473" s="398" t="s">
        <v>4382</v>
      </c>
      <c r="O473" s="398" t="s">
        <v>1045</v>
      </c>
      <c r="P473" s="398" t="s">
        <v>574</v>
      </c>
      <c r="Q473" s="398">
        <v>36204594154.849998</v>
      </c>
      <c r="R473" s="398">
        <v>0.6518329381725334</v>
      </c>
      <c r="S473" s="398">
        <v>14.67</v>
      </c>
      <c r="T473" s="398">
        <v>132.06129999999999</v>
      </c>
      <c r="U473" s="398">
        <v>274.14999999999998</v>
      </c>
      <c r="W473" s="401" t="s">
        <v>1045</v>
      </c>
      <c r="X473" s="402" t="s">
        <v>574</v>
      </c>
      <c r="Y473" s="386">
        <f t="shared" si="106"/>
        <v>36204.594154849998</v>
      </c>
      <c r="Z473" s="387">
        <f t="shared" si="107"/>
        <v>6.5183293817253343E-3</v>
      </c>
      <c r="AA473" s="387">
        <f t="shared" si="108"/>
        <v>0.1467</v>
      </c>
      <c r="AB473" s="403">
        <f t="shared" si="109"/>
        <v>0.15369644884187489</v>
      </c>
      <c r="AC473" s="388">
        <f t="shared" si="110"/>
        <v>7.1489248602127668E-4</v>
      </c>
      <c r="AD473" s="389">
        <f t="shared" si="111"/>
        <v>1.0987643640520991E-4</v>
      </c>
    </row>
    <row r="474" spans="1:30" x14ac:dyDescent="0.55000000000000004">
      <c r="A474" t="str">
        <f t="shared" si="98"/>
        <v>Verisk Analytics Inc</v>
      </c>
      <c r="B474" t="str">
        <f t="shared" si="98"/>
        <v>VRSK</v>
      </c>
      <c r="C474" s="382">
        <f t="shared" si="99"/>
        <v>5.4167826328972999E-3</v>
      </c>
      <c r="D474" s="383">
        <f t="shared" si="100"/>
        <v>40589.584636959997</v>
      </c>
      <c r="E474" s="384">
        <f t="shared" si="101"/>
        <v>0.12</v>
      </c>
      <c r="F474" s="385">
        <v>0.11</v>
      </c>
      <c r="G474" s="382">
        <v>0.12025999999999999</v>
      </c>
      <c r="H474" s="399">
        <f t="shared" si="102"/>
        <v>0.11675333333333332</v>
      </c>
      <c r="I474" s="399">
        <f t="shared" si="103"/>
        <v>0.12248632968039705</v>
      </c>
      <c r="J474" s="382">
        <f t="shared" si="104"/>
        <v>7.5915049686664851E-4</v>
      </c>
      <c r="K474" s="382">
        <f t="shared" si="105"/>
        <v>9.2985558036245541E-5</v>
      </c>
      <c r="M474" s="400"/>
      <c r="N474" s="398" t="s">
        <v>4383</v>
      </c>
      <c r="O474" s="398" t="s">
        <v>1046</v>
      </c>
      <c r="P474" s="398" t="s">
        <v>575</v>
      </c>
      <c r="Q474" s="398">
        <v>40589584636.959999</v>
      </c>
      <c r="R474" s="398">
        <v>0.54167826328973001</v>
      </c>
      <c r="S474" s="398">
        <v>12</v>
      </c>
      <c r="T474" s="398">
        <v>141.2106</v>
      </c>
      <c r="U474" s="398">
        <v>287.44</v>
      </c>
      <c r="W474" s="401" t="s">
        <v>1046</v>
      </c>
      <c r="X474" s="402" t="s">
        <v>575</v>
      </c>
      <c r="Y474" s="386">
        <f t="shared" si="106"/>
        <v>40589.584636959997</v>
      </c>
      <c r="Z474" s="387">
        <f t="shared" si="107"/>
        <v>5.4167826328972999E-3</v>
      </c>
      <c r="AA474" s="387">
        <f t="shared" si="108"/>
        <v>0.12</v>
      </c>
      <c r="AB474" s="403">
        <f t="shared" si="109"/>
        <v>0.12574178959087112</v>
      </c>
      <c r="AC474" s="388">
        <f t="shared" si="110"/>
        <v>8.0147809263041224E-4</v>
      </c>
      <c r="AD474" s="389">
        <f t="shared" si="111"/>
        <v>1.0077928968522601E-4</v>
      </c>
    </row>
    <row r="475" spans="1:30" x14ac:dyDescent="0.55000000000000004">
      <c r="A475" t="str">
        <f t="shared" si="98"/>
        <v>VeriSign Inc</v>
      </c>
      <c r="B475" t="str">
        <f t="shared" si="98"/>
        <v>VRSN</v>
      </c>
      <c r="C475" s="382">
        <f t="shared" si="99"/>
        <v>0</v>
      </c>
      <c r="D475" s="383">
        <f t="shared" si="100"/>
        <v>20661.5</v>
      </c>
      <c r="E475" s="384" t="str">
        <f t="shared" si="101"/>
        <v>N/A</v>
      </c>
      <c r="F475" s="385">
        <v>0.12</v>
      </c>
      <c r="G475" s="382" t="s">
        <v>14</v>
      </c>
      <c r="H475" s="399">
        <f t="shared" si="102"/>
        <v>0.12</v>
      </c>
      <c r="I475" s="399">
        <f t="shared" si="103"/>
        <v>0.12</v>
      </c>
      <c r="J475" s="382">
        <f t="shared" si="104"/>
        <v>3.8643381378009137E-4</v>
      </c>
      <c r="K475" s="382">
        <f t="shared" si="105"/>
        <v>4.6372057653610966E-5</v>
      </c>
      <c r="M475" s="400"/>
      <c r="N475" s="398" t="s">
        <v>4384</v>
      </c>
      <c r="O475" s="398" t="s">
        <v>1047</v>
      </c>
      <c r="P475" s="398" t="s">
        <v>576</v>
      </c>
      <c r="Q475" s="398">
        <v>20661500000</v>
      </c>
      <c r="R475" s="398">
        <v>0</v>
      </c>
      <c r="S475" s="398" t="s">
        <v>3929</v>
      </c>
      <c r="T475" s="398">
        <v>96.1</v>
      </c>
      <c r="U475" s="398">
        <v>215</v>
      </c>
      <c r="W475" s="401" t="s">
        <v>1047</v>
      </c>
      <c r="X475" s="402" t="s">
        <v>576</v>
      </c>
      <c r="Y475" s="386">
        <f t="shared" si="106"/>
        <v>20661.5</v>
      </c>
      <c r="Z475" s="387">
        <f t="shared" si="107"/>
        <v>0</v>
      </c>
      <c r="AA475" s="387" t="str">
        <f t="shared" si="108"/>
        <v>N/A</v>
      </c>
      <c r="AB475" s="403" t="str">
        <f t="shared" si="109"/>
        <v>N/A</v>
      </c>
      <c r="AC475" s="388">
        <f t="shared" si="110"/>
        <v>4.079800214512253E-4</v>
      </c>
      <c r="AD475" s="389" t="str">
        <f t="shared" si="111"/>
        <v>N/A</v>
      </c>
    </row>
    <row r="476" spans="1:30" x14ac:dyDescent="0.55000000000000004">
      <c r="A476" t="str">
        <f t="shared" si="98"/>
        <v>Vertex Pharmaceuticals Inc</v>
      </c>
      <c r="B476" t="str">
        <f t="shared" si="98"/>
        <v>VRTX</v>
      </c>
      <c r="C476" s="382">
        <f t="shared" si="99"/>
        <v>0</v>
      </c>
      <c r="D476" s="383">
        <f t="shared" si="100"/>
        <v>118896.1226072</v>
      </c>
      <c r="E476" s="384">
        <f t="shared" si="101"/>
        <v>0.12200000000000001</v>
      </c>
      <c r="F476" s="385">
        <v>0.11</v>
      </c>
      <c r="G476" s="382">
        <v>0.1873224</v>
      </c>
      <c r="H476" s="399">
        <f t="shared" si="102"/>
        <v>0.13977413333333333</v>
      </c>
      <c r="I476" s="399">
        <f t="shared" si="103"/>
        <v>0.13977413333333333</v>
      </c>
      <c r="J476" s="382">
        <f t="shared" si="104"/>
        <v>2.223724419948486E-3</v>
      </c>
      <c r="K476" s="382">
        <f t="shared" si="105"/>
        <v>3.10819153570469E-4</v>
      </c>
      <c r="M476" s="400"/>
      <c r="N476" s="398" t="s">
        <v>4385</v>
      </c>
      <c r="O476" s="398" t="s">
        <v>1048</v>
      </c>
      <c r="P476" s="398" t="s">
        <v>577</v>
      </c>
      <c r="Q476" s="398">
        <v>118896122607.2</v>
      </c>
      <c r="R476" s="398">
        <v>0</v>
      </c>
      <c r="S476" s="398">
        <v>12.200000000000001</v>
      </c>
      <c r="T476" s="398">
        <v>257.52929999999998</v>
      </c>
      <c r="U476" s="398">
        <v>461.68</v>
      </c>
      <c r="W476" s="401" t="s">
        <v>1048</v>
      </c>
      <c r="X476" s="402" t="s">
        <v>577</v>
      </c>
      <c r="Y476" s="386">
        <f t="shared" si="106"/>
        <v>118896.1226072</v>
      </c>
      <c r="Z476" s="387">
        <f t="shared" si="107"/>
        <v>0</v>
      </c>
      <c r="AA476" s="387">
        <f t="shared" si="108"/>
        <v>0.12200000000000001</v>
      </c>
      <c r="AB476" s="403">
        <f t="shared" si="109"/>
        <v>0.12200000000000001</v>
      </c>
      <c r="AC476" s="388">
        <f t="shared" si="110"/>
        <v>2.347711572332743E-3</v>
      </c>
      <c r="AD476" s="389">
        <f t="shared" si="111"/>
        <v>2.8642081182459465E-4</v>
      </c>
    </row>
    <row r="477" spans="1:30" x14ac:dyDescent="0.55000000000000004">
      <c r="A477" t="str">
        <f t="shared" si="98"/>
        <v>Vistra Corp</v>
      </c>
      <c r="B477" t="str">
        <f t="shared" si="98"/>
        <v>VST</v>
      </c>
      <c r="C477" s="382">
        <f t="shared" si="99"/>
        <v>5.2669166220317802E-3</v>
      </c>
      <c r="D477" s="383">
        <f t="shared" si="100"/>
        <v>57168.211578569993</v>
      </c>
      <c r="E477" s="384">
        <f t="shared" si="101"/>
        <v>0.28689999999999999</v>
      </c>
      <c r="F477" s="385" t="s">
        <v>184</v>
      </c>
      <c r="G477" s="382" t="s">
        <v>14</v>
      </c>
      <c r="H477" s="399">
        <f t="shared" si="102"/>
        <v>0.28689999999999999</v>
      </c>
      <c r="I477" s="399">
        <f t="shared" si="103"/>
        <v>0.2929224558114622</v>
      </c>
      <c r="J477" s="382">
        <f t="shared" si="104"/>
        <v>1.0692219842360904E-3</v>
      </c>
      <c r="K477" s="382">
        <f t="shared" si="105"/>
        <v>3.131991294300401E-4</v>
      </c>
      <c r="M477" s="400"/>
      <c r="N477" s="398" t="s">
        <v>4386</v>
      </c>
      <c r="O477" s="398" t="s">
        <v>2673</v>
      </c>
      <c r="P477" s="398" t="s">
        <v>2674</v>
      </c>
      <c r="Q477" s="398">
        <v>57168211578.569992</v>
      </c>
      <c r="R477" s="398">
        <v>0.52669166220317798</v>
      </c>
      <c r="S477" s="398">
        <v>28.69</v>
      </c>
      <c r="T477" s="398">
        <v>340.22620000000001</v>
      </c>
      <c r="U477" s="398">
        <v>168.03</v>
      </c>
      <c r="W477" s="401" t="s">
        <v>2673</v>
      </c>
      <c r="X477" s="402" t="s">
        <v>2674</v>
      </c>
      <c r="Y477" s="386">
        <f t="shared" si="106"/>
        <v>57168.211578569993</v>
      </c>
      <c r="Z477" s="387">
        <f t="shared" si="107"/>
        <v>5.2669166220317802E-3</v>
      </c>
      <c r="AA477" s="387">
        <f t="shared" si="108"/>
        <v>0.28689999999999999</v>
      </c>
      <c r="AB477" s="403">
        <f t="shared" si="109"/>
        <v>0.2929224558114622</v>
      </c>
      <c r="AC477" s="388">
        <f t="shared" si="110"/>
        <v>1.1288380894975277E-3</v>
      </c>
      <c r="AD477" s="389">
        <f t="shared" si="111"/>
        <v>3.3066202538913498E-4</v>
      </c>
    </row>
    <row r="478" spans="1:30" x14ac:dyDescent="0.55000000000000004">
      <c r="A478" t="str">
        <f t="shared" si="98"/>
        <v>Ventas Inc</v>
      </c>
      <c r="B478" t="str">
        <f t="shared" si="98"/>
        <v>VTR</v>
      </c>
      <c r="C478" s="382">
        <f t="shared" si="99"/>
        <v>2.985766302548825E-2</v>
      </c>
      <c r="D478" s="383">
        <f t="shared" si="100"/>
        <v>25337.400400499999</v>
      </c>
      <c r="E478" s="384">
        <f t="shared" si="101"/>
        <v>7.6499999999999999E-2</v>
      </c>
      <c r="F478" s="385" t="s">
        <v>184</v>
      </c>
      <c r="G478" s="382">
        <v>6.8499299999999999E-2</v>
      </c>
      <c r="H478" s="399">
        <f t="shared" si="102"/>
        <v>7.2499649999999999E-2</v>
      </c>
      <c r="I478" s="399">
        <f t="shared" si="103"/>
        <v>0.10343964808507117</v>
      </c>
      <c r="J478" s="382">
        <f t="shared" si="104"/>
        <v>4.7388758163920477E-4</v>
      </c>
      <c r="K478" s="382">
        <f t="shared" si="105"/>
        <v>4.9018764676644776E-5</v>
      </c>
      <c r="M478" s="400"/>
      <c r="N478" s="398" t="s">
        <v>4387</v>
      </c>
      <c r="O478" s="398" t="s">
        <v>1049</v>
      </c>
      <c r="P478" s="398" t="s">
        <v>578</v>
      </c>
      <c r="Q478" s="398">
        <v>25337400400.5</v>
      </c>
      <c r="R478" s="398">
        <v>2.985766302548825</v>
      </c>
      <c r="S478" s="398">
        <v>7.65</v>
      </c>
      <c r="T478" s="398">
        <v>419.35449999999997</v>
      </c>
      <c r="U478" s="398">
        <v>60.42</v>
      </c>
      <c r="W478" s="401" t="s">
        <v>1049</v>
      </c>
      <c r="X478" s="402" t="s">
        <v>578</v>
      </c>
      <c r="Y478" s="386">
        <f t="shared" si="106"/>
        <v>25337.400400499999</v>
      </c>
      <c r="Z478" s="387">
        <f t="shared" si="107"/>
        <v>2.985766302548825E-2</v>
      </c>
      <c r="AA478" s="387">
        <f t="shared" si="108"/>
        <v>7.6499999999999999E-2</v>
      </c>
      <c r="AB478" s="403">
        <f t="shared" si="109"/>
        <v>0.10749971863621317</v>
      </c>
      <c r="AC478" s="388">
        <f t="shared" si="110"/>
        <v>5.0030990774698229E-4</v>
      </c>
      <c r="AD478" s="389">
        <f t="shared" si="111"/>
        <v>5.3783174313710367E-5</v>
      </c>
    </row>
    <row r="479" spans="1:30" x14ac:dyDescent="0.55000000000000004">
      <c r="A479" t="str">
        <f t="shared" si="98"/>
        <v>Viatris Inc</v>
      </c>
      <c r="B479" t="str">
        <f t="shared" si="98"/>
        <v>VTRS</v>
      </c>
      <c r="C479" s="382">
        <f t="shared" si="99"/>
        <v>4.4680851063829789E-2</v>
      </c>
      <c r="D479" s="383">
        <f t="shared" si="100"/>
        <v>13463.727934559998</v>
      </c>
      <c r="E479" s="384">
        <f t="shared" si="101"/>
        <v>-3.4099999999999998E-2</v>
      </c>
      <c r="F479" s="385">
        <v>-1.4999999999999999E-2</v>
      </c>
      <c r="G479" s="382">
        <v>-3.4144599999999997E-2</v>
      </c>
      <c r="H479" s="399">
        <f t="shared" si="102"/>
        <v>-2.7748200000000001E-2</v>
      </c>
      <c r="I479" s="399">
        <f t="shared" si="103"/>
        <v>1.6312744468085109E-2</v>
      </c>
      <c r="J479" s="382">
        <f t="shared" si="104"/>
        <v>2.5181326299879357E-4</v>
      </c>
      <c r="K479" s="382">
        <f t="shared" si="105"/>
        <v>4.1077654129740305E-6</v>
      </c>
      <c r="M479" s="400"/>
      <c r="N479" s="398" t="s">
        <v>4388</v>
      </c>
      <c r="O479" s="398" t="s">
        <v>1050</v>
      </c>
      <c r="P479" s="398" t="s">
        <v>579</v>
      </c>
      <c r="Q479" s="398">
        <v>13463727934.559998</v>
      </c>
      <c r="R479" s="398">
        <v>4.4680851063829792</v>
      </c>
      <c r="S479" s="398">
        <v>-3.41</v>
      </c>
      <c r="T479" s="398">
        <v>1193.5929999999998</v>
      </c>
      <c r="U479" s="398">
        <v>11.28</v>
      </c>
      <c r="W479" s="401" t="s">
        <v>1050</v>
      </c>
      <c r="X479" s="402" t="s">
        <v>579</v>
      </c>
      <c r="Y479" s="386">
        <f t="shared" si="106"/>
        <v>13463.727934559998</v>
      </c>
      <c r="Z479" s="387">
        <f t="shared" si="107"/>
        <v>4.4680851063829789E-2</v>
      </c>
      <c r="AA479" s="387">
        <f t="shared" si="108"/>
        <v>-3.4099999999999998E-2</v>
      </c>
      <c r="AB479" s="403">
        <f t="shared" si="109"/>
        <v>9.8190425531914927E-3</v>
      </c>
      <c r="AC479" s="388">
        <f t="shared" si="110"/>
        <v>2.6585349619123727E-4</v>
      </c>
      <c r="AD479" s="389">
        <f t="shared" si="111"/>
        <v>2.6104267920164911E-6</v>
      </c>
    </row>
    <row r="480" spans="1:30" x14ac:dyDescent="0.55000000000000004">
      <c r="A480" t="str">
        <f t="shared" si="98"/>
        <v>Verizon Communications Inc</v>
      </c>
      <c r="B480" t="str">
        <f t="shared" si="98"/>
        <v>VZ</v>
      </c>
      <c r="C480" s="382">
        <f t="shared" si="99"/>
        <v>6.9306930693069313E-2</v>
      </c>
      <c r="D480" s="383">
        <f t="shared" si="100"/>
        <v>165817.17877530004</v>
      </c>
      <c r="E480" s="384">
        <f t="shared" si="101"/>
        <v>1.01E-2</v>
      </c>
      <c r="F480" s="385">
        <v>5.0000000000000001E-3</v>
      </c>
      <c r="G480" s="382">
        <v>2.8599199999999998E-2</v>
      </c>
      <c r="H480" s="399">
        <f t="shared" si="102"/>
        <v>1.4566399999999998E-2</v>
      </c>
      <c r="I480" s="399">
        <f t="shared" si="103"/>
        <v>8.4378106930693073E-2</v>
      </c>
      <c r="J480" s="382">
        <f t="shared" si="104"/>
        <v>3.1012929741013199E-3</v>
      </c>
      <c r="K480" s="382">
        <f t="shared" si="105"/>
        <v>2.6168123019212832E-4</v>
      </c>
      <c r="M480" s="400"/>
      <c r="N480" s="398" t="s">
        <v>4389</v>
      </c>
      <c r="O480" s="398" t="s">
        <v>1051</v>
      </c>
      <c r="P480" s="398" t="s">
        <v>580</v>
      </c>
      <c r="Q480" s="398">
        <v>165817178775.30005</v>
      </c>
      <c r="R480" s="398">
        <v>6.9306930693069306</v>
      </c>
      <c r="S480" s="398">
        <v>1.01</v>
      </c>
      <c r="T480" s="398">
        <v>4209.6260000000002</v>
      </c>
      <c r="U480" s="398">
        <v>39.39</v>
      </c>
      <c r="W480" s="401" t="s">
        <v>1051</v>
      </c>
      <c r="X480" s="402" t="s">
        <v>580</v>
      </c>
      <c r="Y480" s="386">
        <f t="shared" si="106"/>
        <v>165817.17877530004</v>
      </c>
      <c r="Z480" s="387">
        <f t="shared" si="107"/>
        <v>6.9306930693069313E-2</v>
      </c>
      <c r="AA480" s="387">
        <f t="shared" si="108"/>
        <v>1.01E-2</v>
      </c>
      <c r="AB480" s="403">
        <f t="shared" si="109"/>
        <v>7.9756930693069314E-2</v>
      </c>
      <c r="AC480" s="388">
        <f t="shared" si="110"/>
        <v>3.2742103019494503E-3</v>
      </c>
      <c r="AD480" s="389">
        <f t="shared" si="111"/>
        <v>2.6114096412711585E-4</v>
      </c>
    </row>
    <row r="481" spans="1:30" x14ac:dyDescent="0.55000000000000004">
      <c r="A481" t="str">
        <f t="shared" si="98"/>
        <v>Westinghouse Air Brake Technologies Corp</v>
      </c>
      <c r="B481" t="str">
        <f t="shared" si="98"/>
        <v>WAB</v>
      </c>
      <c r="C481" s="382">
        <f t="shared" si="99"/>
        <v>3.8187764524817243E-3</v>
      </c>
      <c r="D481" s="383">
        <f t="shared" si="100"/>
        <v>35739.29062208</v>
      </c>
      <c r="E481" s="384">
        <f t="shared" si="101"/>
        <v>0.18559999999999999</v>
      </c>
      <c r="F481" s="385">
        <v>0.16500000000000001</v>
      </c>
      <c r="G481" s="382">
        <v>0.18563110000000002</v>
      </c>
      <c r="H481" s="399">
        <f t="shared" si="102"/>
        <v>0.17874370000000003</v>
      </c>
      <c r="I481" s="399">
        <f t="shared" si="103"/>
        <v>0.18290376756877649</v>
      </c>
      <c r="J481" s="382">
        <f t="shared" si="104"/>
        <v>6.6843503021975312E-4</v>
      </c>
      <c r="K481" s="382">
        <f t="shared" si="105"/>
        <v>1.2225928540214183E-4</v>
      </c>
      <c r="M481" s="400"/>
      <c r="N481" s="398" t="s">
        <v>4390</v>
      </c>
      <c r="O481" s="398" t="s">
        <v>1052</v>
      </c>
      <c r="P481" s="398" t="s">
        <v>581</v>
      </c>
      <c r="Q481" s="398">
        <v>35739290622.080002</v>
      </c>
      <c r="R481" s="398">
        <v>0.38187764524817241</v>
      </c>
      <c r="S481" s="398">
        <v>18.559999999999999</v>
      </c>
      <c r="T481" s="398">
        <v>171.8896</v>
      </c>
      <c r="U481" s="398">
        <v>207.92</v>
      </c>
      <c r="W481" s="401" t="s">
        <v>1052</v>
      </c>
      <c r="X481" s="402" t="s">
        <v>581</v>
      </c>
      <c r="Y481" s="386">
        <f t="shared" si="106"/>
        <v>35739.29062208</v>
      </c>
      <c r="Z481" s="387">
        <f t="shared" si="107"/>
        <v>3.8187764524817243E-3</v>
      </c>
      <c r="AA481" s="387">
        <f t="shared" si="108"/>
        <v>0.18559999999999999</v>
      </c>
      <c r="AB481" s="403">
        <f t="shared" si="109"/>
        <v>0.189773158907272</v>
      </c>
      <c r="AC481" s="388">
        <f t="shared" si="110"/>
        <v>7.0570464654781955E-4</v>
      </c>
      <c r="AD481" s="389">
        <f t="shared" si="111"/>
        <v>1.3392380003091959E-4</v>
      </c>
    </row>
    <row r="482" spans="1:30" x14ac:dyDescent="0.55000000000000004">
      <c r="A482" t="str">
        <f t="shared" si="98"/>
        <v>Waters Corp</v>
      </c>
      <c r="B482" t="str">
        <f t="shared" si="98"/>
        <v>WAT</v>
      </c>
      <c r="C482" s="382">
        <f t="shared" si="99"/>
        <v>0</v>
      </c>
      <c r="D482" s="383">
        <f t="shared" si="100"/>
        <v>24669.612773519999</v>
      </c>
      <c r="E482" s="384">
        <f t="shared" si="101"/>
        <v>6.1170000000000002E-2</v>
      </c>
      <c r="F482" s="385">
        <v>6.5000000000000002E-2</v>
      </c>
      <c r="G482" s="382">
        <v>6.8138699999999996E-2</v>
      </c>
      <c r="H482" s="399">
        <f t="shared" si="102"/>
        <v>6.4769566666666667E-2</v>
      </c>
      <c r="I482" s="399">
        <f t="shared" si="103"/>
        <v>6.4769566666666667E-2</v>
      </c>
      <c r="J482" s="382">
        <f t="shared" si="104"/>
        <v>4.6139789214478096E-4</v>
      </c>
      <c r="K482" s="382">
        <f t="shared" si="105"/>
        <v>2.9884541535130866E-5</v>
      </c>
      <c r="M482" s="400"/>
      <c r="N482" s="398" t="s">
        <v>4391</v>
      </c>
      <c r="O482" s="398" t="s">
        <v>1053</v>
      </c>
      <c r="P482" s="398" t="s">
        <v>582</v>
      </c>
      <c r="Q482" s="398">
        <v>24669612773.52</v>
      </c>
      <c r="R482" s="398">
        <v>0</v>
      </c>
      <c r="S482" s="398">
        <v>6.117</v>
      </c>
      <c r="T482" s="398">
        <v>59.376169999999995</v>
      </c>
      <c r="U482" s="398">
        <v>415.48</v>
      </c>
      <c r="W482" s="401" t="s">
        <v>1053</v>
      </c>
      <c r="X482" s="402" t="s">
        <v>582</v>
      </c>
      <c r="Y482" s="386">
        <f t="shared" si="106"/>
        <v>24669.612773519999</v>
      </c>
      <c r="Z482" s="387">
        <f t="shared" si="107"/>
        <v>0</v>
      </c>
      <c r="AA482" s="387">
        <f t="shared" si="108"/>
        <v>6.1170000000000002E-2</v>
      </c>
      <c r="AB482" s="403">
        <f t="shared" si="109"/>
        <v>6.1170000000000002E-2</v>
      </c>
      <c r="AC482" s="388">
        <f t="shared" si="110"/>
        <v>4.871238365333645E-4</v>
      </c>
      <c r="AD482" s="389">
        <f t="shared" si="111"/>
        <v>2.9797365080745907E-5</v>
      </c>
    </row>
    <row r="483" spans="1:30" x14ac:dyDescent="0.55000000000000004">
      <c r="A483" t="str">
        <f t="shared" si="98"/>
        <v>Walgreens Boots Alliance Inc</v>
      </c>
      <c r="B483" t="str">
        <f t="shared" si="98"/>
        <v>WBA</v>
      </c>
      <c r="C483" s="382">
        <f t="shared" si="99"/>
        <v>9.785992217898834E-2</v>
      </c>
      <c r="D483" s="383">
        <f t="shared" si="100"/>
        <v>8883.4976510399993</v>
      </c>
      <c r="E483" s="384">
        <f t="shared" si="101"/>
        <v>-0.2175</v>
      </c>
      <c r="F483" s="385">
        <v>-0.13</v>
      </c>
      <c r="G483" s="382">
        <v>-0.1516449</v>
      </c>
      <c r="H483" s="399">
        <f t="shared" si="102"/>
        <v>-0.16638163333333333</v>
      </c>
      <c r="I483" s="399">
        <f t="shared" si="103"/>
        <v>-7.6662757999351475E-2</v>
      </c>
      <c r="J483" s="382">
        <f t="shared" si="104"/>
        <v>1.6614882157625876E-4</v>
      </c>
      <c r="K483" s="382">
        <f t="shared" si="105"/>
        <v>-1.2737426900378153E-5</v>
      </c>
      <c r="M483" s="400"/>
      <c r="N483" s="398" t="s">
        <v>4392</v>
      </c>
      <c r="O483" s="398" t="s">
        <v>1054</v>
      </c>
      <c r="P483" s="398" t="s">
        <v>583</v>
      </c>
      <c r="Q483" s="398">
        <v>8883497651.039999</v>
      </c>
      <c r="R483" s="398">
        <v>9.7859922178988334</v>
      </c>
      <c r="S483" s="398">
        <v>-21.75</v>
      </c>
      <c r="T483" s="398">
        <v>864.15350000000001</v>
      </c>
      <c r="U483" s="398">
        <v>10.28</v>
      </c>
      <c r="W483" s="401" t="s">
        <v>1054</v>
      </c>
      <c r="X483" s="402" t="s">
        <v>583</v>
      </c>
      <c r="Y483" s="386">
        <f t="shared" si="106"/>
        <v>8883.4976510399993</v>
      </c>
      <c r="Z483" s="387">
        <f t="shared" si="107"/>
        <v>9.785992217898834E-2</v>
      </c>
      <c r="AA483" s="387">
        <f t="shared" si="108"/>
        <v>-0.2175</v>
      </c>
      <c r="AB483" s="403">
        <f t="shared" si="109"/>
        <v>-0.13028234435797664</v>
      </c>
      <c r="AC483" s="388">
        <f t="shared" si="110"/>
        <v>1.7541270296121813E-4</v>
      </c>
      <c r="AD483" s="389">
        <f t="shared" si="111"/>
        <v>-2.285317817195689E-5</v>
      </c>
    </row>
    <row r="484" spans="1:30" x14ac:dyDescent="0.55000000000000004">
      <c r="A484" t="str">
        <f t="shared" si="98"/>
        <v>Warner Bros Discovery Inc</v>
      </c>
      <c r="B484" t="str">
        <f t="shared" si="98"/>
        <v>WBD</v>
      </c>
      <c r="C484" s="382" t="str">
        <f t="shared" si="99"/>
        <v>0.00%</v>
      </c>
      <c r="D484" s="383">
        <f t="shared" si="100"/>
        <v>25611.043612679998</v>
      </c>
      <c r="E484" s="384">
        <f t="shared" si="101"/>
        <v>0.29085</v>
      </c>
      <c r="F484" s="385" t="s">
        <v>184</v>
      </c>
      <c r="G484" s="382">
        <v>0.13166259999999999</v>
      </c>
      <c r="H484" s="399">
        <f t="shared" si="102"/>
        <v>0.21125630000000001</v>
      </c>
      <c r="I484" s="399">
        <f t="shared" si="103"/>
        <v>0.21125630000000001</v>
      </c>
      <c r="J484" s="382">
        <f t="shared" si="104"/>
        <v>4.7900555420159142E-4</v>
      </c>
      <c r="K484" s="382">
        <f t="shared" si="105"/>
        <v>1.0119294106007766E-4</v>
      </c>
      <c r="M484" s="400"/>
      <c r="N484" s="398" t="s">
        <v>4393</v>
      </c>
      <c r="O484" s="398" t="s">
        <v>1055</v>
      </c>
      <c r="P484" s="398" t="s">
        <v>584</v>
      </c>
      <c r="Q484" s="398">
        <v>25611043612.679996</v>
      </c>
      <c r="R484" s="398" t="s">
        <v>3929</v>
      </c>
      <c r="S484" s="398">
        <v>29.085000000000001</v>
      </c>
      <c r="T484" s="398">
        <v>2453.165</v>
      </c>
      <c r="U484" s="398">
        <v>10.44</v>
      </c>
      <c r="W484" s="401" t="s">
        <v>1055</v>
      </c>
      <c r="X484" s="402" t="s">
        <v>584</v>
      </c>
      <c r="Y484" s="386">
        <f t="shared" si="106"/>
        <v>25611.043612679998</v>
      </c>
      <c r="Z484" s="387" t="str">
        <f t="shared" si="107"/>
        <v>0.00%</v>
      </c>
      <c r="AA484" s="387">
        <f t="shared" si="108"/>
        <v>0.29085</v>
      </c>
      <c r="AB484" s="403">
        <f t="shared" si="109"/>
        <v>0.29085</v>
      </c>
      <c r="AC484" s="388">
        <f t="shared" si="110"/>
        <v>5.0571324068869399E-4</v>
      </c>
      <c r="AD484" s="389">
        <f t="shared" si="111"/>
        <v>1.4708669605430663E-4</v>
      </c>
    </row>
    <row r="485" spans="1:30" x14ac:dyDescent="0.55000000000000004">
      <c r="A485" t="str">
        <f t="shared" si="98"/>
        <v>Workday Inc</v>
      </c>
      <c r="B485" t="str">
        <f t="shared" si="98"/>
        <v>WDAY</v>
      </c>
      <c r="C485" s="382" t="str">
        <f t="shared" si="99"/>
        <v>0.00%</v>
      </c>
      <c r="D485" s="383">
        <f>VLOOKUP($B485,$X$5:$AA$504, 2, FALSE)</f>
        <v>69707.960000000006</v>
      </c>
      <c r="E485" s="384">
        <f t="shared" si="101"/>
        <v>0.2</v>
      </c>
      <c r="F485" s="385">
        <v>0.155</v>
      </c>
      <c r="G485" s="382">
        <v>0.27636690000000003</v>
      </c>
      <c r="H485" s="399">
        <f t="shared" si="102"/>
        <v>0.21045563333333331</v>
      </c>
      <c r="I485" s="399">
        <f t="shared" si="103"/>
        <v>0.21045563333333331</v>
      </c>
      <c r="J485" s="382">
        <f t="shared" si="104"/>
        <v>1.3037539788316463E-3</v>
      </c>
      <c r="K485" s="382">
        <f t="shared" si="105"/>
        <v>2.7438236932586735E-4</v>
      </c>
      <c r="M485" s="400"/>
      <c r="N485" s="398" t="s">
        <v>4419</v>
      </c>
      <c r="O485" s="398" t="s">
        <v>3909</v>
      </c>
      <c r="P485" s="398" t="s">
        <v>3906</v>
      </c>
      <c r="Q485" s="398">
        <v>69707960000</v>
      </c>
      <c r="R485" s="398" t="s">
        <v>3929</v>
      </c>
      <c r="S485" s="398">
        <v>20</v>
      </c>
      <c r="T485" s="398">
        <v>214</v>
      </c>
      <c r="U485" s="398">
        <v>262.06</v>
      </c>
      <c r="W485" s="401" t="s">
        <v>3909</v>
      </c>
      <c r="X485" s="402" t="s">
        <v>3906</v>
      </c>
      <c r="Y485" s="386">
        <f t="shared" si="106"/>
        <v>69707.960000000006</v>
      </c>
      <c r="Z485" s="387" t="str">
        <f t="shared" si="107"/>
        <v>0.00%</v>
      </c>
      <c r="AA485" s="387">
        <f t="shared" si="108"/>
        <v>0.2</v>
      </c>
      <c r="AB485" s="403">
        <f t="shared" si="109"/>
        <v>0.2</v>
      </c>
      <c r="AC485" s="388">
        <f t="shared" si="110"/>
        <v>1.3764467737638194E-3</v>
      </c>
      <c r="AD485" s="389">
        <f t="shared" si="111"/>
        <v>2.7528935475276391E-4</v>
      </c>
    </row>
    <row r="486" spans="1:30" x14ac:dyDescent="0.55000000000000004">
      <c r="A486" t="str">
        <f t="shared" si="98"/>
        <v>Western Digital Corp</v>
      </c>
      <c r="B486" t="str">
        <f t="shared" si="98"/>
        <v>WDC</v>
      </c>
      <c r="C486" s="382">
        <f t="shared" si="99"/>
        <v>0</v>
      </c>
      <c r="D486" s="383">
        <f t="shared" si="100"/>
        <v>22653.770737259998</v>
      </c>
      <c r="E486" s="384">
        <f t="shared" si="101"/>
        <v>-0.1</v>
      </c>
      <c r="F486" s="385">
        <v>0.47499999999999998</v>
      </c>
      <c r="G486" s="382">
        <v>-0.1</v>
      </c>
      <c r="H486" s="399">
        <f t="shared" si="102"/>
        <v>9.1666666666666674E-2</v>
      </c>
      <c r="I486" s="399">
        <f t="shared" si="103"/>
        <v>9.1666666666666674E-2</v>
      </c>
      <c r="J486" s="382">
        <f t="shared" si="104"/>
        <v>4.2369542494490785E-4</v>
      </c>
      <c r="K486" s="382">
        <f t="shared" si="105"/>
        <v>3.8838747286616556E-5</v>
      </c>
      <c r="M486" s="400"/>
      <c r="N486" s="398" t="s">
        <v>4394</v>
      </c>
      <c r="O486" s="398" t="s">
        <v>1056</v>
      </c>
      <c r="P486" s="398" t="s">
        <v>585</v>
      </c>
      <c r="Q486" s="398">
        <v>22653770737.259998</v>
      </c>
      <c r="R486" s="398">
        <v>0</v>
      </c>
      <c r="S486" s="398">
        <v>-10</v>
      </c>
      <c r="T486" s="398">
        <v>347.82389999999998</v>
      </c>
      <c r="U486" s="398">
        <v>65.13</v>
      </c>
      <c r="W486" s="401" t="s">
        <v>1056</v>
      </c>
      <c r="X486" s="402" t="s">
        <v>585</v>
      </c>
      <c r="Y486" s="386">
        <f t="shared" si="106"/>
        <v>22653.770737259998</v>
      </c>
      <c r="Z486" s="387">
        <f t="shared" si="107"/>
        <v>0</v>
      </c>
      <c r="AA486" s="387">
        <f t="shared" si="108"/>
        <v>-0.1</v>
      </c>
      <c r="AB486" s="403">
        <f t="shared" si="109"/>
        <v>-0.1</v>
      </c>
      <c r="AC486" s="388">
        <f t="shared" si="110"/>
        <v>4.4731921067388492E-4</v>
      </c>
      <c r="AD486" s="389">
        <f t="shared" si="111"/>
        <v>-4.4731921067388493E-5</v>
      </c>
    </row>
    <row r="487" spans="1:30" x14ac:dyDescent="0.55000000000000004">
      <c r="A487" t="str">
        <f t="shared" si="98"/>
        <v>WEC Energy Group Inc</v>
      </c>
      <c r="B487" t="str">
        <f t="shared" si="98"/>
        <v>WEC</v>
      </c>
      <c r="C487" s="382">
        <f t="shared" si="99"/>
        <v>3.3598629860971181E-2</v>
      </c>
      <c r="D487" s="383">
        <f t="shared" si="100"/>
        <v>31401.34230996</v>
      </c>
      <c r="E487" s="384">
        <f t="shared" si="101"/>
        <v>7.2400000000000006E-2</v>
      </c>
      <c r="F487" s="385">
        <v>7.0000000000000007E-2</v>
      </c>
      <c r="G487" s="382">
        <v>7.2650699999999999E-2</v>
      </c>
      <c r="H487" s="399">
        <f t="shared" si="102"/>
        <v>7.1683566666666684E-2</v>
      </c>
      <c r="I487" s="399">
        <f t="shared" si="103"/>
        <v>0.10648643133941166</v>
      </c>
      <c r="J487" s="382">
        <f t="shared" si="104"/>
        <v>5.8730200937260062E-4</v>
      </c>
      <c r="K487" s="382">
        <f t="shared" si="105"/>
        <v>6.2539695096553943E-5</v>
      </c>
      <c r="M487" s="400"/>
      <c r="N487" s="398" t="s">
        <v>4395</v>
      </c>
      <c r="O487" s="398" t="s">
        <v>1057</v>
      </c>
      <c r="P487" s="398" t="s">
        <v>61</v>
      </c>
      <c r="Q487" s="398">
        <v>31401342309.959999</v>
      </c>
      <c r="R487" s="398">
        <v>3.3598629860971183</v>
      </c>
      <c r="S487" s="398">
        <v>7.24</v>
      </c>
      <c r="T487" s="398">
        <v>316.3544</v>
      </c>
      <c r="U487" s="398">
        <v>99.26</v>
      </c>
      <c r="W487" s="401" t="s">
        <v>1057</v>
      </c>
      <c r="X487" s="402" t="s">
        <v>61</v>
      </c>
      <c r="Y487" s="386">
        <f t="shared" si="106"/>
        <v>31401.34230996</v>
      </c>
      <c r="Z487" s="387">
        <f t="shared" si="107"/>
        <v>3.3598629860971181E-2</v>
      </c>
      <c r="AA487" s="387">
        <f t="shared" si="108"/>
        <v>7.2400000000000006E-2</v>
      </c>
      <c r="AB487" s="403">
        <f t="shared" si="109"/>
        <v>0.10721490026193833</v>
      </c>
      <c r="AC487" s="388">
        <f t="shared" si="110"/>
        <v>6.2004793017035305E-4</v>
      </c>
      <c r="AD487" s="389">
        <f t="shared" si="111"/>
        <v>6.6478376990835707E-5</v>
      </c>
    </row>
    <row r="488" spans="1:30" x14ac:dyDescent="0.55000000000000004">
      <c r="A488" t="str">
        <f t="shared" si="98"/>
        <v>Welltower Inc</v>
      </c>
      <c r="B488" t="str">
        <f t="shared" si="98"/>
        <v>WELL</v>
      </c>
      <c r="C488" s="382">
        <f t="shared" si="99"/>
        <v>1.891119577960141E-2</v>
      </c>
      <c r="D488" s="383">
        <f t="shared" si="100"/>
        <v>84984.666099039998</v>
      </c>
      <c r="E488" s="384">
        <f t="shared" si="101"/>
        <v>0.15990000000000001</v>
      </c>
      <c r="F488" s="385">
        <v>0.27500000000000002</v>
      </c>
      <c r="G488" s="382">
        <v>0.1342217</v>
      </c>
      <c r="H488" s="399">
        <f t="shared" si="102"/>
        <v>0.18970723333333336</v>
      </c>
      <c r="I488" s="399">
        <f t="shared" si="103"/>
        <v>0.21041222442812138</v>
      </c>
      <c r="J488" s="382">
        <f t="shared" si="104"/>
        <v>1.5894755285666418E-3</v>
      </c>
      <c r="K488" s="382">
        <f t="shared" si="105"/>
        <v>3.3444508163977106E-4</v>
      </c>
      <c r="M488" s="400"/>
      <c r="N488" s="398" t="s">
        <v>4396</v>
      </c>
      <c r="O488" s="398" t="s">
        <v>1058</v>
      </c>
      <c r="P488" s="398" t="s">
        <v>586</v>
      </c>
      <c r="Q488" s="398">
        <v>84984666099.039993</v>
      </c>
      <c r="R488" s="398">
        <v>1.8911195779601411</v>
      </c>
      <c r="S488" s="398">
        <v>15.99</v>
      </c>
      <c r="T488" s="398">
        <v>622.68949999999995</v>
      </c>
      <c r="U488" s="398">
        <v>136.47999999999999</v>
      </c>
      <c r="W488" s="401" t="s">
        <v>1058</v>
      </c>
      <c r="X488" s="402" t="s">
        <v>586</v>
      </c>
      <c r="Y488" s="386">
        <f t="shared" si="106"/>
        <v>84984.666099039998</v>
      </c>
      <c r="Z488" s="387">
        <f t="shared" si="107"/>
        <v>1.891119577960141E-2</v>
      </c>
      <c r="AA488" s="387">
        <f t="shared" si="108"/>
        <v>0.15990000000000001</v>
      </c>
      <c r="AB488" s="403">
        <f t="shared" si="109"/>
        <v>0.18032314588218057</v>
      </c>
      <c r="AC488" s="388">
        <f t="shared" si="110"/>
        <v>1.6780991650224598E-3</v>
      </c>
      <c r="AD488" s="389">
        <f t="shared" si="111"/>
        <v>3.0260012053911041E-4</v>
      </c>
    </row>
    <row r="489" spans="1:30" x14ac:dyDescent="0.55000000000000004">
      <c r="A489" t="str">
        <f t="shared" si="98"/>
        <v>Wells Fargo &amp; Co</v>
      </c>
      <c r="B489" t="str">
        <f t="shared" si="98"/>
        <v>WFC</v>
      </c>
      <c r="C489" s="382">
        <f t="shared" si="99"/>
        <v>2.1484771573604063E-2</v>
      </c>
      <c r="D489" s="383">
        <f t="shared" si="100"/>
        <v>262363.86392919999</v>
      </c>
      <c r="E489" s="384">
        <f t="shared" si="101"/>
        <v>0.16949999999999998</v>
      </c>
      <c r="F489" s="385">
        <v>9.5000000000000001E-2</v>
      </c>
      <c r="G489" s="382">
        <v>0.13009199999999999</v>
      </c>
      <c r="H489" s="399">
        <f t="shared" si="102"/>
        <v>0.13153066666666666</v>
      </c>
      <c r="I489" s="399">
        <f t="shared" si="103"/>
        <v>0.15442839140439932</v>
      </c>
      <c r="J489" s="382">
        <f t="shared" si="104"/>
        <v>4.9070139407226829E-3</v>
      </c>
      <c r="K489" s="382">
        <f t="shared" si="105"/>
        <v>7.5778226946476639E-4</v>
      </c>
      <c r="M489" s="400"/>
      <c r="N489" s="398" t="s">
        <v>4397</v>
      </c>
      <c r="O489" s="398" t="s">
        <v>1059</v>
      </c>
      <c r="P489" s="398" t="s">
        <v>587</v>
      </c>
      <c r="Q489" s="398">
        <v>262363863929.19998</v>
      </c>
      <c r="R489" s="398">
        <v>2.1484771573604062</v>
      </c>
      <c r="S489" s="398">
        <v>16.95</v>
      </c>
      <c r="T489" s="398">
        <v>3329.491</v>
      </c>
      <c r="U489" s="398">
        <v>78.8</v>
      </c>
      <c r="W489" s="401" t="s">
        <v>1059</v>
      </c>
      <c r="X489" s="402" t="s">
        <v>587</v>
      </c>
      <c r="Y489" s="386">
        <f t="shared" si="106"/>
        <v>262363.86392919999</v>
      </c>
      <c r="Z489" s="387">
        <f t="shared" si="107"/>
        <v>2.1484771573604063E-2</v>
      </c>
      <c r="AA489" s="387">
        <f t="shared" si="108"/>
        <v>0.16949999999999998</v>
      </c>
      <c r="AB489" s="403">
        <f t="shared" si="109"/>
        <v>0.192805605964467</v>
      </c>
      <c r="AC489" s="388">
        <f t="shared" si="110"/>
        <v>5.1806119997996935E-3</v>
      </c>
      <c r="AD489" s="389">
        <f t="shared" si="111"/>
        <v>9.9885103588816899E-4</v>
      </c>
    </row>
    <row r="490" spans="1:30" x14ac:dyDescent="0.55000000000000004">
      <c r="A490" t="str">
        <f t="shared" si="98"/>
        <v>Waste Management Inc</v>
      </c>
      <c r="B490" t="str">
        <f t="shared" si="98"/>
        <v>WM</v>
      </c>
      <c r="C490" s="382">
        <f t="shared" si="99"/>
        <v>1.4837010805411787E-2</v>
      </c>
      <c r="D490" s="383">
        <f t="shared" si="100"/>
        <v>88404.774060659998</v>
      </c>
      <c r="E490" s="384">
        <f t="shared" si="101"/>
        <v>0.10929999999999999</v>
      </c>
      <c r="F490" s="385">
        <v>9.5000000000000001E-2</v>
      </c>
      <c r="G490" s="382">
        <v>0.10958899999999999</v>
      </c>
      <c r="H490" s="399">
        <f t="shared" si="102"/>
        <v>0.10462966666666666</v>
      </c>
      <c r="I490" s="399">
        <f t="shared" si="103"/>
        <v>0.12024287321952844</v>
      </c>
      <c r="J490" s="382">
        <f t="shared" si="104"/>
        <v>1.6534421022979038E-3</v>
      </c>
      <c r="K490" s="382">
        <f t="shared" si="105"/>
        <v>1.9881462908243741E-4</v>
      </c>
      <c r="M490" s="400"/>
      <c r="N490" s="398" t="s">
        <v>4398</v>
      </c>
      <c r="O490" s="398" t="s">
        <v>1060</v>
      </c>
      <c r="P490" s="398" t="s">
        <v>588</v>
      </c>
      <c r="Q490" s="398">
        <v>88404774060.660004</v>
      </c>
      <c r="R490" s="398">
        <v>1.4837010805411788</v>
      </c>
      <c r="S490" s="398">
        <v>10.93</v>
      </c>
      <c r="T490" s="398">
        <v>401.3655</v>
      </c>
      <c r="U490" s="398">
        <v>220.26</v>
      </c>
      <c r="W490" s="401" t="s">
        <v>1060</v>
      </c>
      <c r="X490" s="402" t="s">
        <v>588</v>
      </c>
      <c r="Y490" s="386">
        <f t="shared" si="106"/>
        <v>88404.774060659998</v>
      </c>
      <c r="Z490" s="387">
        <f t="shared" si="107"/>
        <v>1.4837010805411787E-2</v>
      </c>
      <c r="AA490" s="387">
        <f t="shared" si="108"/>
        <v>0.10929999999999999</v>
      </c>
      <c r="AB490" s="403">
        <f t="shared" si="109"/>
        <v>0.12494785344592754</v>
      </c>
      <c r="AC490" s="388">
        <f t="shared" si="110"/>
        <v>1.745632292798625E-3</v>
      </c>
      <c r="AD490" s="389">
        <f t="shared" si="111"/>
        <v>2.1811300789108108E-4</v>
      </c>
    </row>
    <row r="491" spans="1:30" x14ac:dyDescent="0.55000000000000004">
      <c r="A491" t="str">
        <f t="shared" si="98"/>
        <v>Williams Cos Inc/The</v>
      </c>
      <c r="B491" t="str">
        <f t="shared" si="98"/>
        <v>WMB</v>
      </c>
      <c r="C491" s="382">
        <f t="shared" si="99"/>
        <v>3.4367670936316076E-2</v>
      </c>
      <c r="D491" s="383">
        <f t="shared" si="100"/>
        <v>67569.823963140007</v>
      </c>
      <c r="E491" s="384">
        <f t="shared" si="101"/>
        <v>5.96E-2</v>
      </c>
      <c r="F491" s="385">
        <v>0.1</v>
      </c>
      <c r="G491" s="382">
        <v>4.3082500000000003E-2</v>
      </c>
      <c r="H491" s="399">
        <f t="shared" si="102"/>
        <v>6.7560833333333334E-2</v>
      </c>
      <c r="I491" s="399">
        <f t="shared" si="103"/>
        <v>0.10308945851374106</v>
      </c>
      <c r="J491" s="382">
        <f t="shared" si="104"/>
        <v>1.2637642364071147E-3</v>
      </c>
      <c r="K491" s="382">
        <f t="shared" si="105"/>
        <v>1.3028077082024089E-4</v>
      </c>
      <c r="M491" s="400"/>
      <c r="N491" s="398" t="s">
        <v>4399</v>
      </c>
      <c r="O491" s="398" t="s">
        <v>1061</v>
      </c>
      <c r="P491" s="398" t="s">
        <v>589</v>
      </c>
      <c r="Q491" s="398">
        <v>67569823963.140007</v>
      </c>
      <c r="R491" s="398">
        <v>3.4367670936316075</v>
      </c>
      <c r="S491" s="398">
        <v>5.96</v>
      </c>
      <c r="T491" s="398">
        <v>1219.0119999999999</v>
      </c>
      <c r="U491" s="398">
        <v>55.43</v>
      </c>
      <c r="W491" s="401" t="s">
        <v>1061</v>
      </c>
      <c r="X491" s="402" t="s">
        <v>589</v>
      </c>
      <c r="Y491" s="386">
        <f t="shared" si="106"/>
        <v>67569.823963140007</v>
      </c>
      <c r="Z491" s="387">
        <f t="shared" si="107"/>
        <v>3.4367670936316076E-2</v>
      </c>
      <c r="AA491" s="387">
        <f t="shared" si="108"/>
        <v>5.96E-2</v>
      </c>
      <c r="AB491" s="403">
        <f t="shared" si="109"/>
        <v>9.4991827530218287E-2</v>
      </c>
      <c r="AC491" s="388">
        <f t="shared" si="110"/>
        <v>1.3342273421550893E-3</v>
      </c>
      <c r="AD491" s="389">
        <f t="shared" si="111"/>
        <v>1.2674069357209778E-4</v>
      </c>
    </row>
    <row r="492" spans="1:30" x14ac:dyDescent="0.55000000000000004">
      <c r="A492" t="str">
        <f t="shared" si="98"/>
        <v>Walmart Inc</v>
      </c>
      <c r="B492" t="str">
        <f t="shared" si="98"/>
        <v>WMT</v>
      </c>
      <c r="C492" s="382">
        <f t="shared" si="99"/>
        <v>8.4861450692746525E-3</v>
      </c>
      <c r="D492" s="383">
        <f t="shared" si="100"/>
        <v>788557.19086439989</v>
      </c>
      <c r="E492" s="384">
        <f t="shared" si="101"/>
        <v>9.8599999999999993E-2</v>
      </c>
      <c r="F492" s="385">
        <v>9.5000000000000001E-2</v>
      </c>
      <c r="G492" s="382">
        <v>9.7000400000000001E-2</v>
      </c>
      <c r="H492" s="399">
        <f t="shared" si="102"/>
        <v>9.6866799999999989E-2</v>
      </c>
      <c r="I492" s="399">
        <f t="shared" si="103"/>
        <v>0.10576395792787285</v>
      </c>
      <c r="J492" s="382">
        <f t="shared" si="104"/>
        <v>1.4748453047912566E-2</v>
      </c>
      <c r="K492" s="382">
        <f t="shared" si="105"/>
        <v>1.5598547676606328E-3</v>
      </c>
      <c r="M492" s="400"/>
      <c r="N492" s="398" t="s">
        <v>4400</v>
      </c>
      <c r="O492" s="398" t="s">
        <v>1062</v>
      </c>
      <c r="P492" s="398" t="s">
        <v>590</v>
      </c>
      <c r="Q492" s="398">
        <v>788557190864.3999</v>
      </c>
      <c r="R492" s="398">
        <v>0.84861450692746532</v>
      </c>
      <c r="S492" s="398">
        <v>9.86</v>
      </c>
      <c r="T492" s="398">
        <v>8033.3859999999995</v>
      </c>
      <c r="U492" s="398">
        <v>98.16</v>
      </c>
      <c r="W492" s="401" t="s">
        <v>1062</v>
      </c>
      <c r="X492" s="402" t="s">
        <v>590</v>
      </c>
      <c r="Y492" s="386">
        <f t="shared" si="106"/>
        <v>788557.19086439989</v>
      </c>
      <c r="Z492" s="387">
        <f t="shared" si="107"/>
        <v>8.4861450692746525E-3</v>
      </c>
      <c r="AA492" s="387">
        <f t="shared" si="108"/>
        <v>9.8599999999999993E-2</v>
      </c>
      <c r="AB492" s="403">
        <f t="shared" si="109"/>
        <v>0.10750451202118988</v>
      </c>
      <c r="AC492" s="388">
        <f t="shared" si="110"/>
        <v>1.5570775579913163E-2</v>
      </c>
      <c r="AD492" s="389">
        <f t="shared" si="111"/>
        <v>1.6739286305100245E-3</v>
      </c>
    </row>
    <row r="493" spans="1:30" x14ac:dyDescent="0.55000000000000004">
      <c r="A493" t="str">
        <f t="shared" si="98"/>
        <v>W R Berkley Corp</v>
      </c>
      <c r="B493" t="str">
        <f t="shared" si="98"/>
        <v>WRB</v>
      </c>
      <c r="C493" s="382">
        <f t="shared" si="99"/>
        <v>2.264150943396227E-2</v>
      </c>
      <c r="D493" s="383">
        <f t="shared" si="100"/>
        <v>22418.296329600005</v>
      </c>
      <c r="E493" s="384">
        <f t="shared" si="101"/>
        <v>0.1096</v>
      </c>
      <c r="F493" s="385">
        <v>0.13</v>
      </c>
      <c r="G493" s="382">
        <v>0.13</v>
      </c>
      <c r="H493" s="399">
        <f t="shared" si="102"/>
        <v>0.12320000000000002</v>
      </c>
      <c r="I493" s="399">
        <f t="shared" si="103"/>
        <v>0.14723622641509437</v>
      </c>
      <c r="J493" s="382">
        <f t="shared" si="104"/>
        <v>4.1929132682039325E-4</v>
      </c>
      <c r="K493" s="382">
        <f t="shared" si="105"/>
        <v>6.1734872729612755E-5</v>
      </c>
      <c r="M493" s="400"/>
      <c r="N493" s="398" t="s">
        <v>4401</v>
      </c>
      <c r="O493" s="398" t="s">
        <v>1063</v>
      </c>
      <c r="P493" s="398" t="s">
        <v>591</v>
      </c>
      <c r="Q493" s="398">
        <v>22418296329.600006</v>
      </c>
      <c r="R493" s="398">
        <v>2.2641509433962268</v>
      </c>
      <c r="S493" s="398">
        <v>10.96</v>
      </c>
      <c r="T493" s="398">
        <v>381.06909999999999</v>
      </c>
      <c r="U493" s="398">
        <v>58.83</v>
      </c>
      <c r="W493" s="401" t="s">
        <v>1063</v>
      </c>
      <c r="X493" s="402" t="s">
        <v>591</v>
      </c>
      <c r="Y493" s="386">
        <f t="shared" si="106"/>
        <v>22418.296329600005</v>
      </c>
      <c r="Z493" s="387">
        <f t="shared" si="107"/>
        <v>2.264150943396227E-2</v>
      </c>
      <c r="AA493" s="387">
        <f t="shared" si="108"/>
        <v>0.1096</v>
      </c>
      <c r="AB493" s="403">
        <f t="shared" si="109"/>
        <v>0.13348226415094341</v>
      </c>
      <c r="AC493" s="388">
        <f t="shared" si="110"/>
        <v>4.4266955532996807E-4</v>
      </c>
      <c r="AD493" s="389">
        <f t="shared" si="111"/>
        <v>5.9088534516135462E-5</v>
      </c>
    </row>
    <row r="494" spans="1:30" x14ac:dyDescent="0.55000000000000004">
      <c r="A494" t="str">
        <f t="shared" si="98"/>
        <v>West Pharmaceutical Services Inc</v>
      </c>
      <c r="B494" t="str">
        <f t="shared" si="98"/>
        <v>WST</v>
      </c>
      <c r="C494" s="382">
        <f t="shared" si="99"/>
        <v>2.3539745278875713E-3</v>
      </c>
      <c r="D494" s="383">
        <f t="shared" si="100"/>
        <v>24735.853300949995</v>
      </c>
      <c r="E494" s="384">
        <f t="shared" si="101"/>
        <v>4.6500000000000007E-2</v>
      </c>
      <c r="F494" s="385">
        <v>0.03</v>
      </c>
      <c r="G494" s="382">
        <v>8.0994200000000002E-2</v>
      </c>
      <c r="H494" s="399">
        <f t="shared" si="102"/>
        <v>5.2498066666666676E-2</v>
      </c>
      <c r="I494" s="399">
        <f t="shared" si="103"/>
        <v>5.4913830750402584E-2</v>
      </c>
      <c r="J494" s="382">
        <f t="shared" si="104"/>
        <v>4.626367944336553E-4</v>
      </c>
      <c r="K494" s="382">
        <f t="shared" si="105"/>
        <v>2.5405158628438538E-5</v>
      </c>
      <c r="M494" s="400"/>
      <c r="N494" s="398" t="s">
        <v>4402</v>
      </c>
      <c r="O494" s="398" t="s">
        <v>1064</v>
      </c>
      <c r="P494" s="398" t="s">
        <v>592</v>
      </c>
      <c r="Q494" s="398">
        <v>24735853300.949997</v>
      </c>
      <c r="R494" s="398">
        <v>0.23539745278875715</v>
      </c>
      <c r="S494" s="398">
        <v>4.6500000000000004</v>
      </c>
      <c r="T494" s="398">
        <v>72.422349999999994</v>
      </c>
      <c r="U494" s="398">
        <v>341.55</v>
      </c>
      <c r="W494" s="401" t="s">
        <v>1064</v>
      </c>
      <c r="X494" s="402" t="s">
        <v>592</v>
      </c>
      <c r="Y494" s="386">
        <f t="shared" si="106"/>
        <v>24735.853300949995</v>
      </c>
      <c r="Z494" s="387">
        <f t="shared" si="107"/>
        <v>2.3539745278875713E-3</v>
      </c>
      <c r="AA494" s="387">
        <f t="shared" si="108"/>
        <v>4.6500000000000007E-2</v>
      </c>
      <c r="AB494" s="403">
        <f t="shared" si="109"/>
        <v>4.8908704435660963E-2</v>
      </c>
      <c r="AC494" s="388">
        <f t="shared" si="110"/>
        <v>4.8843181571211873E-4</v>
      </c>
      <c r="AD494" s="389">
        <f t="shared" si="111"/>
        <v>2.3888567311637238E-5</v>
      </c>
    </row>
    <row r="495" spans="1:30" x14ac:dyDescent="0.55000000000000004">
      <c r="A495" t="str">
        <f t="shared" si="98"/>
        <v>Willis Towers Watson PLC</v>
      </c>
      <c r="B495" t="str">
        <f t="shared" si="98"/>
        <v>WTW</v>
      </c>
      <c r="C495" s="382">
        <f t="shared" si="99"/>
        <v>1.0595785353420418E-2</v>
      </c>
      <c r="D495" s="383">
        <f t="shared" si="100"/>
        <v>33195.590179679995</v>
      </c>
      <c r="E495" s="384">
        <f t="shared" si="101"/>
        <v>0.11144999999999999</v>
      </c>
      <c r="F495" s="385">
        <v>9.5000000000000001E-2</v>
      </c>
      <c r="G495" s="382">
        <v>0.11145820000000001</v>
      </c>
      <c r="H495" s="399">
        <f t="shared" si="102"/>
        <v>0.10596939999999999</v>
      </c>
      <c r="I495" s="399">
        <f t="shared" si="103"/>
        <v>0.11712659986163579</v>
      </c>
      <c r="J495" s="382">
        <f t="shared" si="104"/>
        <v>6.2085998179293327E-4</v>
      </c>
      <c r="K495" s="382">
        <f t="shared" si="105"/>
        <v>7.2719218657563375E-5</v>
      </c>
      <c r="M495" s="400"/>
      <c r="N495" s="398" t="s">
        <v>4403</v>
      </c>
      <c r="O495" s="398" t="s">
        <v>1065</v>
      </c>
      <c r="P495" s="398" t="s">
        <v>593</v>
      </c>
      <c r="Q495" s="398">
        <v>33195590179.679996</v>
      </c>
      <c r="R495" s="398">
        <v>1.0595785353420417</v>
      </c>
      <c r="S495" s="398">
        <v>11.145</v>
      </c>
      <c r="T495" s="398">
        <v>100.7255</v>
      </c>
      <c r="U495" s="398">
        <v>329.565</v>
      </c>
      <c r="W495" s="401" t="s">
        <v>1065</v>
      </c>
      <c r="X495" s="402" t="s">
        <v>593</v>
      </c>
      <c r="Y495" s="386">
        <f t="shared" si="106"/>
        <v>33195.590179679995</v>
      </c>
      <c r="Z495" s="387">
        <f t="shared" si="107"/>
        <v>1.0595785353420418E-2</v>
      </c>
      <c r="AA495" s="387">
        <f t="shared" si="108"/>
        <v>0.11144999999999999</v>
      </c>
      <c r="AB495" s="403">
        <f t="shared" si="109"/>
        <v>0.12263623549223976</v>
      </c>
      <c r="AC495" s="388">
        <f t="shared" si="110"/>
        <v>6.5547697861200436E-4</v>
      </c>
      <c r="AD495" s="389">
        <f t="shared" si="111"/>
        <v>8.0385229108803567E-5</v>
      </c>
    </row>
    <row r="496" spans="1:30" x14ac:dyDescent="0.55000000000000004">
      <c r="A496" t="str">
        <f t="shared" si="98"/>
        <v>Weyerhaeuser Co</v>
      </c>
      <c r="B496" t="str">
        <f t="shared" si="98"/>
        <v>WY</v>
      </c>
      <c r="C496" s="382">
        <f t="shared" si="99"/>
        <v>2.7531025473546699E-2</v>
      </c>
      <c r="D496" s="383">
        <f t="shared" si="100"/>
        <v>22247.940839999999</v>
      </c>
      <c r="E496" s="384">
        <f t="shared" si="101"/>
        <v>-0.1366</v>
      </c>
      <c r="F496" s="385">
        <v>-0.02</v>
      </c>
      <c r="G496" s="382">
        <v>8.1267099999999995E-2</v>
      </c>
      <c r="H496" s="399">
        <f t="shared" si="102"/>
        <v>-2.5110966666666665E-2</v>
      </c>
      <c r="I496" s="399">
        <f t="shared" si="103"/>
        <v>2.0743934753973438E-3</v>
      </c>
      <c r="J496" s="382">
        <f t="shared" si="104"/>
        <v>4.1610515342811749E-4</v>
      </c>
      <c r="K496" s="382">
        <f t="shared" si="105"/>
        <v>8.6316581535049761E-7</v>
      </c>
      <c r="M496" s="400"/>
      <c r="N496" s="398" t="s">
        <v>4404</v>
      </c>
      <c r="O496" s="398" t="s">
        <v>1066</v>
      </c>
      <c r="P496" s="398" t="s">
        <v>594</v>
      </c>
      <c r="Q496" s="398">
        <v>22247940840</v>
      </c>
      <c r="R496" s="398">
        <v>2.7531025473546697</v>
      </c>
      <c r="S496" s="398">
        <v>-13.66</v>
      </c>
      <c r="T496" s="398">
        <v>726.58199999999999</v>
      </c>
      <c r="U496" s="398">
        <v>30.62</v>
      </c>
      <c r="W496" s="401" t="s">
        <v>1066</v>
      </c>
      <c r="X496" s="402" t="s">
        <v>594</v>
      </c>
      <c r="Y496" s="386">
        <f t="shared" si="106"/>
        <v>22247.940839999999</v>
      </c>
      <c r="Z496" s="387">
        <f t="shared" si="107"/>
        <v>2.7531025473546699E-2</v>
      </c>
      <c r="AA496" s="387">
        <f t="shared" si="108"/>
        <v>-0.1366</v>
      </c>
      <c r="AB496" s="403">
        <f t="shared" si="109"/>
        <v>-0.11094934356629654</v>
      </c>
      <c r="AC496" s="388">
        <f t="shared" si="110"/>
        <v>4.3930573197245072E-4</v>
      </c>
      <c r="AD496" s="389">
        <f t="shared" si="111"/>
        <v>-4.8740682587254817E-5</v>
      </c>
    </row>
    <row r="497" spans="1:30" x14ac:dyDescent="0.55000000000000004">
      <c r="A497" t="str">
        <f t="shared" si="98"/>
        <v>Wynn Resorts Ltd</v>
      </c>
      <c r="B497" t="str">
        <f t="shared" si="98"/>
        <v>WYNN</v>
      </c>
      <c r="C497" s="382">
        <f t="shared" si="99"/>
        <v>1.2665515256188833E-2</v>
      </c>
      <c r="D497" s="383">
        <f t="shared" si="100"/>
        <v>9537.4303181999985</v>
      </c>
      <c r="E497" s="384">
        <f t="shared" si="101"/>
        <v>-0.1472</v>
      </c>
      <c r="F497" s="385" t="s">
        <v>184</v>
      </c>
      <c r="G497" s="382">
        <v>8.9484999999999995E-2</v>
      </c>
      <c r="H497" s="399">
        <f t="shared" si="102"/>
        <v>-2.8857500000000001E-2</v>
      </c>
      <c r="I497" s="399">
        <f t="shared" si="103"/>
        <v>-1.6374732297063904E-2</v>
      </c>
      <c r="J497" s="382">
        <f t="shared" si="104"/>
        <v>1.7837938056403921E-4</v>
      </c>
      <c r="K497" s="382">
        <f t="shared" si="105"/>
        <v>-2.9209146040522262E-6</v>
      </c>
      <c r="M497" s="400"/>
      <c r="N497" s="398" t="s">
        <v>4405</v>
      </c>
      <c r="O497" s="398" t="s">
        <v>1067</v>
      </c>
      <c r="P497" s="398" t="s">
        <v>595</v>
      </c>
      <c r="Q497" s="398">
        <v>9537430318.1999989</v>
      </c>
      <c r="R497" s="398">
        <v>1.2665515256188833</v>
      </c>
      <c r="S497" s="398">
        <v>-14.72</v>
      </c>
      <c r="T497" s="398">
        <v>109.815</v>
      </c>
      <c r="U497" s="398">
        <v>86.85</v>
      </c>
      <c r="W497" s="401" t="s">
        <v>1067</v>
      </c>
      <c r="X497" s="402" t="s">
        <v>595</v>
      </c>
      <c r="Y497" s="386">
        <f t="shared" si="106"/>
        <v>9537.4303181999985</v>
      </c>
      <c r="Z497" s="387">
        <f t="shared" si="107"/>
        <v>1.2665515256188833E-2</v>
      </c>
      <c r="AA497" s="387">
        <f t="shared" si="108"/>
        <v>-0.1472</v>
      </c>
      <c r="AB497" s="403">
        <f t="shared" si="109"/>
        <v>-0.13546666666666665</v>
      </c>
      <c r="AC497" s="388">
        <f t="shared" si="110"/>
        <v>1.8832519545090151E-4</v>
      </c>
      <c r="AD497" s="389">
        <f t="shared" si="111"/>
        <v>-2.5511786477082123E-5</v>
      </c>
    </row>
    <row r="498" spans="1:30" x14ac:dyDescent="0.55000000000000004">
      <c r="A498" t="str">
        <f t="shared" si="98"/>
        <v>Xcel Energy Inc</v>
      </c>
      <c r="B498" t="str">
        <f t="shared" si="98"/>
        <v>XEL</v>
      </c>
      <c r="C498" s="382">
        <f t="shared" si="99"/>
        <v>3.245535714285714E-2</v>
      </c>
      <c r="D498" s="383">
        <f t="shared" si="100"/>
        <v>40004.8619712</v>
      </c>
      <c r="E498" s="384">
        <f t="shared" si="101"/>
        <v>7.5630000000000003E-2</v>
      </c>
      <c r="F498" s="385">
        <v>6.5000000000000002E-2</v>
      </c>
      <c r="G498" s="382">
        <v>7.5416999999999998E-2</v>
      </c>
      <c r="H498" s="399">
        <f t="shared" si="102"/>
        <v>7.2015666666666658E-2</v>
      </c>
      <c r="I498" s="399">
        <f t="shared" si="103"/>
        <v>0.10563967090029761</v>
      </c>
      <c r="J498" s="382">
        <f t="shared" si="104"/>
        <v>7.4821437849512183E-4</v>
      </c>
      <c r="K498" s="382">
        <f t="shared" si="105"/>
        <v>7.9041120707095379E-5</v>
      </c>
      <c r="M498" s="400"/>
      <c r="N498" s="398" t="s">
        <v>4406</v>
      </c>
      <c r="O498" s="398" t="s">
        <v>1068</v>
      </c>
      <c r="P498" s="398" t="s">
        <v>62</v>
      </c>
      <c r="Q498" s="398">
        <v>40004861971.199997</v>
      </c>
      <c r="R498" s="398">
        <v>3.245535714285714</v>
      </c>
      <c r="S498" s="398">
        <v>7.5629999999999997</v>
      </c>
      <c r="T498" s="398">
        <v>595.31039999999996</v>
      </c>
      <c r="U498" s="398">
        <v>67.2</v>
      </c>
      <c r="W498" s="401" t="s">
        <v>1068</v>
      </c>
      <c r="X498" s="402" t="s">
        <v>62</v>
      </c>
      <c r="Y498" s="386">
        <f t="shared" si="106"/>
        <v>40004.8619712</v>
      </c>
      <c r="Z498" s="387">
        <f t="shared" si="107"/>
        <v>3.245535714285714E-2</v>
      </c>
      <c r="AA498" s="387">
        <f t="shared" si="108"/>
        <v>7.5630000000000003E-2</v>
      </c>
      <c r="AB498" s="403">
        <f t="shared" si="109"/>
        <v>0.10931265647321428</v>
      </c>
      <c r="AC498" s="388">
        <f t="shared" si="110"/>
        <v>7.8993221427115564E-4</v>
      </c>
      <c r="AD498" s="389">
        <f t="shared" si="111"/>
        <v>8.6349588775748326E-5</v>
      </c>
    </row>
    <row r="499" spans="1:30" x14ac:dyDescent="0.55000000000000004">
      <c r="A499" t="str">
        <f t="shared" si="98"/>
        <v>Exxon Mobil Corp</v>
      </c>
      <c r="B499" t="str">
        <f t="shared" si="98"/>
        <v>XOM</v>
      </c>
      <c r="C499" s="382">
        <f t="shared" si="99"/>
        <v>3.7480108583731166E-2</v>
      </c>
      <c r="D499" s="383">
        <f t="shared" si="100"/>
        <v>469527.94928087993</v>
      </c>
      <c r="E499" s="384">
        <f t="shared" si="101"/>
        <v>-7.1500000000000008E-2</v>
      </c>
      <c r="F499" s="385">
        <v>-0.03</v>
      </c>
      <c r="G499" s="382">
        <v>0.08</v>
      </c>
      <c r="H499" s="399">
        <f t="shared" si="102"/>
        <v>-7.1666666666666684E-3</v>
      </c>
      <c r="I499" s="399">
        <f t="shared" si="103"/>
        <v>3.0179138194639459E-2</v>
      </c>
      <c r="J499" s="382">
        <f t="shared" si="104"/>
        <v>8.7816216691409509E-3</v>
      </c>
      <c r="K499" s="382">
        <f t="shared" si="105"/>
        <v>2.6502177392604521E-4</v>
      </c>
      <c r="M499" s="400"/>
      <c r="N499" s="398" t="s">
        <v>4407</v>
      </c>
      <c r="O499" s="398" t="s">
        <v>1069</v>
      </c>
      <c r="P499" s="398" t="s">
        <v>596</v>
      </c>
      <c r="Q499" s="398">
        <v>469527949280.87994</v>
      </c>
      <c r="R499" s="398">
        <v>3.7480108583731164</v>
      </c>
      <c r="S499" s="398">
        <v>-7.15</v>
      </c>
      <c r="T499" s="398">
        <v>4395.0950000000003</v>
      </c>
      <c r="U499" s="398">
        <v>106.83</v>
      </c>
      <c r="W499" s="401" t="s">
        <v>1069</v>
      </c>
      <c r="X499" s="402" t="s">
        <v>596</v>
      </c>
      <c r="Y499" s="386">
        <f t="shared" si="106"/>
        <v>469527.94928087993</v>
      </c>
      <c r="Z499" s="387">
        <f t="shared" si="107"/>
        <v>3.7480108583731166E-2</v>
      </c>
      <c r="AA499" s="387">
        <f t="shared" si="108"/>
        <v>-7.1500000000000008E-2</v>
      </c>
      <c r="AB499" s="403">
        <f t="shared" si="109"/>
        <v>-3.5359805298137231E-2</v>
      </c>
      <c r="AC499" s="388">
        <f t="shared" si="110"/>
        <v>9.2712544016437925E-3</v>
      </c>
      <c r="AD499" s="389">
        <f t="shared" si="111"/>
        <v>-3.2782975051162227E-4</v>
      </c>
    </row>
    <row r="500" spans="1:30" x14ac:dyDescent="0.55000000000000004">
      <c r="A500" t="str">
        <f t="shared" si="98"/>
        <v>Xylem Inc/NY</v>
      </c>
      <c r="B500" t="str">
        <f t="shared" si="98"/>
        <v>XYL</v>
      </c>
      <c r="C500" s="382">
        <f t="shared" si="99"/>
        <v>1.1601096420509514E-2</v>
      </c>
      <c r="D500" s="383">
        <f t="shared" si="100"/>
        <v>30134.860960119997</v>
      </c>
      <c r="E500" s="384" t="str">
        <f t="shared" si="101"/>
        <v>N/A</v>
      </c>
      <c r="F500" s="385">
        <v>0.125</v>
      </c>
      <c r="G500" s="382">
        <v>0.1276167</v>
      </c>
      <c r="H500" s="399">
        <f t="shared" si="102"/>
        <v>0.12630835000000001</v>
      </c>
      <c r="I500" s="399">
        <f t="shared" si="103"/>
        <v>0.13864210409404226</v>
      </c>
      <c r="J500" s="382">
        <f t="shared" si="104"/>
        <v>5.6361489962258101E-4</v>
      </c>
      <c r="K500" s="382">
        <f t="shared" si="105"/>
        <v>7.8140755582427064E-5</v>
      </c>
      <c r="M500" s="400"/>
      <c r="N500" s="398" t="s">
        <v>4408</v>
      </c>
      <c r="O500" s="398" t="s">
        <v>1070</v>
      </c>
      <c r="P500" s="398" t="s">
        <v>597</v>
      </c>
      <c r="Q500" s="398">
        <v>30134860960.119995</v>
      </c>
      <c r="R500" s="398">
        <v>1.1601096420509514</v>
      </c>
      <c r="S500" s="398" t="s">
        <v>3929</v>
      </c>
      <c r="T500" s="398">
        <v>242.94469999999998</v>
      </c>
      <c r="U500" s="398">
        <v>124.04</v>
      </c>
      <c r="W500" s="401" t="s">
        <v>1070</v>
      </c>
      <c r="X500" s="402" t="s">
        <v>597</v>
      </c>
      <c r="Y500" s="386">
        <f t="shared" si="106"/>
        <v>30134.860960119997</v>
      </c>
      <c r="Z500" s="387">
        <f t="shared" si="107"/>
        <v>1.1601096420509514E-2</v>
      </c>
      <c r="AA500" s="387" t="str">
        <f t="shared" si="108"/>
        <v>N/A</v>
      </c>
      <c r="AB500" s="403" t="str">
        <f t="shared" si="109"/>
        <v>N/A</v>
      </c>
      <c r="AC500" s="388">
        <f t="shared" si="110"/>
        <v>5.9504010942765273E-4</v>
      </c>
      <c r="AD500" s="389" t="str">
        <f t="shared" si="111"/>
        <v>N/A</v>
      </c>
    </row>
    <row r="501" spans="1:30" x14ac:dyDescent="0.55000000000000004">
      <c r="A501" t="str">
        <f t="shared" si="98"/>
        <v>Yum! Brands Inc</v>
      </c>
      <c r="B501" t="str">
        <f t="shared" si="98"/>
        <v>YUM</v>
      </c>
      <c r="C501" s="382">
        <f t="shared" si="99"/>
        <v>2.0413793103448277E-2</v>
      </c>
      <c r="D501" s="383">
        <f t="shared" si="100"/>
        <v>36418.876946999997</v>
      </c>
      <c r="E501" s="384">
        <f t="shared" si="101"/>
        <v>9.2399999999999996E-2</v>
      </c>
      <c r="F501" s="385">
        <v>9.5000000000000001E-2</v>
      </c>
      <c r="G501" s="382">
        <v>9.2932600000000004E-2</v>
      </c>
      <c r="H501" s="399">
        <f t="shared" si="102"/>
        <v>9.3444200000000019E-2</v>
      </c>
      <c r="I501" s="399">
        <f t="shared" si="103"/>
        <v>0.11481176838620691</v>
      </c>
      <c r="J501" s="382">
        <f t="shared" si="104"/>
        <v>6.8114539177780223E-4</v>
      </c>
      <c r="K501" s="382">
        <f t="shared" si="105"/>
        <v>7.8203506958125188E-5</v>
      </c>
      <c r="M501" s="400"/>
      <c r="N501" s="398" t="s">
        <v>4409</v>
      </c>
      <c r="O501" s="398" t="s">
        <v>1071</v>
      </c>
      <c r="P501" s="398" t="s">
        <v>598</v>
      </c>
      <c r="Q501" s="398">
        <v>36418876947</v>
      </c>
      <c r="R501" s="398">
        <v>2.0413793103448277</v>
      </c>
      <c r="S501" s="398">
        <v>9.24</v>
      </c>
      <c r="T501" s="398">
        <v>279.07189999999997</v>
      </c>
      <c r="U501" s="398">
        <v>130.5</v>
      </c>
      <c r="W501" s="401" t="s">
        <v>1071</v>
      </c>
      <c r="X501" s="402" t="s">
        <v>598</v>
      </c>
      <c r="Y501" s="386">
        <f t="shared" si="106"/>
        <v>36418.876946999997</v>
      </c>
      <c r="Z501" s="387">
        <f t="shared" si="107"/>
        <v>2.0413793103448277E-2</v>
      </c>
      <c r="AA501" s="387">
        <f t="shared" si="108"/>
        <v>9.2399999999999996E-2</v>
      </c>
      <c r="AB501" s="403">
        <f t="shared" si="109"/>
        <v>0.11375691034482759</v>
      </c>
      <c r="AC501" s="388">
        <f t="shared" si="110"/>
        <v>7.191236937331071E-4</v>
      </c>
      <c r="AD501" s="389">
        <f t="shared" si="111"/>
        <v>8.1805289554838311E-5</v>
      </c>
    </row>
    <row r="502" spans="1:30" x14ac:dyDescent="0.55000000000000004">
      <c r="A502" t="str">
        <f t="shared" si="98"/>
        <v>Zimmer Biomet Holdings Inc</v>
      </c>
      <c r="B502" t="str">
        <f t="shared" si="98"/>
        <v>ZBH</v>
      </c>
      <c r="C502" s="382">
        <f t="shared" si="99"/>
        <v>8.430763609791744E-3</v>
      </c>
      <c r="D502" s="383">
        <f t="shared" si="100"/>
        <v>21794.589989759999</v>
      </c>
      <c r="E502" s="384">
        <f t="shared" si="101"/>
        <v>6.5000000000000002E-2</v>
      </c>
      <c r="F502" s="385">
        <v>0.06</v>
      </c>
      <c r="G502" s="382">
        <v>8.3097299999999999E-2</v>
      </c>
      <c r="H502" s="399">
        <f t="shared" si="102"/>
        <v>6.9365766666666662E-2</v>
      </c>
      <c r="I502" s="399">
        <f t="shared" si="103"/>
        <v>7.8088933467147723E-2</v>
      </c>
      <c r="J502" s="382">
        <f t="shared" si="104"/>
        <v>4.0762609343544077E-4</v>
      </c>
      <c r="K502" s="382">
        <f t="shared" si="105"/>
        <v>3.1831086889753477E-5</v>
      </c>
      <c r="M502" s="400"/>
      <c r="N502" s="398" t="s">
        <v>4410</v>
      </c>
      <c r="O502" s="398" t="s">
        <v>1072</v>
      </c>
      <c r="P502" s="398" t="s">
        <v>599</v>
      </c>
      <c r="Q502" s="398">
        <v>21794589989.759998</v>
      </c>
      <c r="R502" s="398">
        <v>0.84307636097917438</v>
      </c>
      <c r="S502" s="398">
        <v>6.5</v>
      </c>
      <c r="T502" s="398">
        <v>199.0737</v>
      </c>
      <c r="U502" s="398">
        <v>109.48</v>
      </c>
      <c r="W502" s="401" t="s">
        <v>1072</v>
      </c>
      <c r="X502" s="402" t="s">
        <v>599</v>
      </c>
      <c r="Y502" s="386">
        <f t="shared" si="106"/>
        <v>21794.589989759999</v>
      </c>
      <c r="Z502" s="387">
        <f t="shared" si="107"/>
        <v>8.430763609791744E-3</v>
      </c>
      <c r="AA502" s="387">
        <f t="shared" si="108"/>
        <v>6.5000000000000002E-2</v>
      </c>
      <c r="AB502" s="403">
        <f t="shared" si="109"/>
        <v>7.3704763427109979E-2</v>
      </c>
      <c r="AC502" s="388">
        <f t="shared" si="110"/>
        <v>4.303539090357885E-4</v>
      </c>
      <c r="AD502" s="389">
        <f t="shared" si="111"/>
        <v>3.1719133055414796E-5</v>
      </c>
    </row>
    <row r="503" spans="1:30" x14ac:dyDescent="0.55000000000000004">
      <c r="A503" t="str">
        <f t="shared" si="98"/>
        <v>Zebra Technologies Corp</v>
      </c>
      <c r="B503" t="str">
        <f t="shared" si="98"/>
        <v>ZBRA</v>
      </c>
      <c r="C503" s="382">
        <f t="shared" si="99"/>
        <v>0</v>
      </c>
      <c r="D503" s="383">
        <f t="shared" si="100"/>
        <v>20216.276174319999</v>
      </c>
      <c r="E503" s="384" t="str">
        <f t="shared" si="101"/>
        <v>N/A</v>
      </c>
      <c r="F503" s="385">
        <v>0.03</v>
      </c>
      <c r="G503" s="382" t="s">
        <v>14</v>
      </c>
      <c r="H503" s="399">
        <f t="shared" si="102"/>
        <v>0.03</v>
      </c>
      <c r="I503" s="399">
        <f t="shared" si="103"/>
        <v>0.03</v>
      </c>
      <c r="J503" s="382">
        <f t="shared" si="104"/>
        <v>3.7810675422762498E-4</v>
      </c>
      <c r="K503" s="382">
        <f t="shared" si="105"/>
        <v>1.1343202626828749E-5</v>
      </c>
      <c r="M503" s="400"/>
      <c r="N503" s="398" t="s">
        <v>4411</v>
      </c>
      <c r="O503" s="398" t="s">
        <v>1073</v>
      </c>
      <c r="P503" s="398" t="s">
        <v>600</v>
      </c>
      <c r="Q503" s="398">
        <v>20216276174.32</v>
      </c>
      <c r="R503" s="398">
        <v>0</v>
      </c>
      <c r="S503" s="398" t="s">
        <v>3929</v>
      </c>
      <c r="T503" s="398">
        <v>51.580030000000001</v>
      </c>
      <c r="U503" s="398">
        <v>391.94</v>
      </c>
      <c r="W503" s="401" t="s">
        <v>1073</v>
      </c>
      <c r="X503" s="402" t="s">
        <v>600</v>
      </c>
      <c r="Y503" s="386">
        <f t="shared" si="106"/>
        <v>20216.276174319999</v>
      </c>
      <c r="Z503" s="387">
        <f t="shared" si="107"/>
        <v>0</v>
      </c>
      <c r="AA503" s="387" t="str">
        <f t="shared" si="108"/>
        <v>N/A</v>
      </c>
      <c r="AB503" s="403" t="str">
        <f t="shared" si="109"/>
        <v>N/A</v>
      </c>
      <c r="AC503" s="388">
        <f t="shared" si="110"/>
        <v>3.9918867397153968E-4</v>
      </c>
      <c r="AD503" s="389" t="str">
        <f t="shared" si="111"/>
        <v>N/A</v>
      </c>
    </row>
    <row r="504" spans="1:30" x14ac:dyDescent="0.55000000000000004">
      <c r="A504" t="str">
        <f t="shared" si="98"/>
        <v>Zoetis Inc</v>
      </c>
      <c r="B504" t="str">
        <f t="shared" si="98"/>
        <v>ZTS</v>
      </c>
      <c r="C504" s="382">
        <f t="shared" si="99"/>
        <v>1.0128730251609128E-2</v>
      </c>
      <c r="D504" s="383">
        <f t="shared" si="100"/>
        <v>77104.100379900003</v>
      </c>
      <c r="E504" s="384">
        <f t="shared" si="101"/>
        <v>8.8950000000000001E-2</v>
      </c>
      <c r="F504" s="385">
        <v>7.4999999999999997E-2</v>
      </c>
      <c r="G504" s="382">
        <v>9.197749999999999E-2</v>
      </c>
      <c r="H504" s="399">
        <f t="shared" si="102"/>
        <v>8.5309166666666658E-2</v>
      </c>
      <c r="I504" s="399">
        <f t="shared" si="103"/>
        <v>9.5869933686853898E-2</v>
      </c>
      <c r="J504" s="382">
        <f t="shared" si="104"/>
        <v>1.4420846292809212E-3</v>
      </c>
      <c r="K504" s="382">
        <f t="shared" si="105"/>
        <v>1.382525577799932E-4</v>
      </c>
      <c r="M504" s="400"/>
      <c r="N504" s="398" t="s">
        <v>4412</v>
      </c>
      <c r="O504" s="398" t="s">
        <v>1074</v>
      </c>
      <c r="P504" s="398" t="s">
        <v>601</v>
      </c>
      <c r="Q504" s="398">
        <v>77104100379.900009</v>
      </c>
      <c r="R504" s="398">
        <v>1.0128730251609128</v>
      </c>
      <c r="S504" s="398">
        <v>8.8949999999999996</v>
      </c>
      <c r="T504" s="398">
        <v>451.16499999999996</v>
      </c>
      <c r="U504" s="398">
        <v>170.9</v>
      </c>
      <c r="W504" s="401" t="s">
        <v>1074</v>
      </c>
      <c r="X504" s="402" t="s">
        <v>601</v>
      </c>
      <c r="Y504" s="386">
        <f t="shared" si="106"/>
        <v>77104.100379900003</v>
      </c>
      <c r="Z504" s="387">
        <f t="shared" si="107"/>
        <v>1.0128730251609128E-2</v>
      </c>
      <c r="AA504" s="387">
        <f t="shared" si="108"/>
        <v>8.8950000000000001E-2</v>
      </c>
      <c r="AB504" s="403">
        <f t="shared" si="109"/>
        <v>9.9529205529549442E-2</v>
      </c>
      <c r="AC504" s="388">
        <f t="shared" si="110"/>
        <v>1.522490260966969E-3</v>
      </c>
      <c r="AD504" s="389">
        <f t="shared" si="111"/>
        <v>1.5153224610051883E-4</v>
      </c>
    </row>
    <row r="505" spans="1:30" x14ac:dyDescent="0.55000000000000004">
      <c r="D505" s="404">
        <f>SUMIF(I5:I504,"&lt;&gt;n/a",D5:D504)</f>
        <v>53467111.994909115</v>
      </c>
      <c r="H505" s="405"/>
      <c r="I505" s="406"/>
      <c r="J505" s="407" t="s">
        <v>602</v>
      </c>
      <c r="K505" s="408">
        <f>SUM(K5:K504)</f>
        <v>0.16089458939520671</v>
      </c>
      <c r="W505" s="398"/>
      <c r="X505" s="398"/>
      <c r="Y505" s="390"/>
      <c r="Z505" s="409"/>
      <c r="AA505" s="409"/>
      <c r="AB505" s="409"/>
      <c r="AC505" s="409"/>
      <c r="AD505" s="409"/>
    </row>
    <row r="506" spans="1:30" x14ac:dyDescent="0.55000000000000004">
      <c r="W506" s="410"/>
      <c r="X506" s="411" t="s">
        <v>4413</v>
      </c>
      <c r="Y506" s="391">
        <f>SUMIF(AB5:AB504,"&lt;&gt;n/a",Y5:Y504)</f>
        <v>50643411.230052397</v>
      </c>
      <c r="Z506" s="412"/>
      <c r="AA506" s="413"/>
      <c r="AB506" s="413"/>
      <c r="AC506" s="414" t="s">
        <v>602</v>
      </c>
      <c r="AD506" s="415">
        <f>SUM(AD5:AD504)</f>
        <v>0.16297787210054321</v>
      </c>
    </row>
    <row r="507" spans="1:30" x14ac:dyDescent="0.55000000000000004">
      <c r="A507" t="s">
        <v>17</v>
      </c>
    </row>
    <row r="508" spans="1:30" x14ac:dyDescent="0.55000000000000004">
      <c r="A508" s="416" t="s">
        <v>2858</v>
      </c>
    </row>
    <row r="509" spans="1:30" x14ac:dyDescent="0.55000000000000004">
      <c r="A509" s="416" t="s">
        <v>2859</v>
      </c>
    </row>
    <row r="510" spans="1:30" x14ac:dyDescent="0.55000000000000004">
      <c r="A510" s="416" t="s">
        <v>2860</v>
      </c>
    </row>
  </sheetData>
  <mergeCells count="1">
    <mergeCell ref="E3:G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N34"/>
  <sheetViews>
    <sheetView view="pageBreakPreview" zoomScale="80" zoomScaleNormal="100" zoomScaleSheetLayoutView="80" workbookViewId="0">
      <selection sqref="A1:N1"/>
    </sheetView>
  </sheetViews>
  <sheetFormatPr defaultColWidth="8.734375" defaultRowHeight="15.6" x14ac:dyDescent="0.6"/>
  <cols>
    <col min="1" max="1" width="13.7890625" style="110" customWidth="1"/>
    <col min="2" max="2" width="3" style="110" customWidth="1"/>
    <col min="3" max="3" width="14.734375" style="110" customWidth="1"/>
    <col min="4" max="4" width="3.7890625" style="110" customWidth="1"/>
    <col min="5" max="5" width="3" style="110" customWidth="1"/>
    <col min="6" max="6" width="13" style="110" customWidth="1"/>
    <col min="7" max="7" width="3" style="110" customWidth="1"/>
    <col min="8" max="8" width="2.734375" style="110" customWidth="1"/>
    <col min="9" max="9" width="12" style="110" customWidth="1"/>
    <col min="10" max="10" width="6.26171875" style="110" customWidth="1"/>
    <col min="11" max="11" width="2.734375" style="110" customWidth="1"/>
    <col min="12" max="12" width="12.7890625" style="686" customWidth="1"/>
    <col min="13" max="13" width="6" style="686" customWidth="1"/>
    <col min="14" max="14" width="2.734375" style="110" customWidth="1"/>
    <col min="15" max="16384" width="8.734375" style="184"/>
  </cols>
  <sheetData>
    <row r="1" spans="1:14" x14ac:dyDescent="0.6">
      <c r="A1" s="1395" t="str">
        <f>Input!G28</f>
        <v>Atmos Energy Corporation</v>
      </c>
      <c r="B1" s="1395"/>
      <c r="C1" s="1395"/>
      <c r="D1" s="1395"/>
      <c r="E1" s="1395"/>
      <c r="F1" s="1395"/>
      <c r="G1" s="1395"/>
      <c r="H1" s="1395"/>
      <c r="I1" s="1395"/>
      <c r="J1" s="1395"/>
      <c r="K1" s="1395"/>
      <c r="L1" s="1395"/>
      <c r="M1" s="1395"/>
      <c r="N1" s="1395"/>
    </row>
    <row r="2" spans="1:14" x14ac:dyDescent="0.6">
      <c r="A2" s="1396" t="s">
        <v>1211</v>
      </c>
      <c r="B2" s="1396"/>
      <c r="C2" s="1396"/>
      <c r="D2" s="1396"/>
      <c r="E2" s="1396"/>
      <c r="F2" s="1396"/>
      <c r="G2" s="1396"/>
      <c r="H2" s="1396"/>
      <c r="I2" s="1396"/>
      <c r="J2" s="1396"/>
      <c r="K2" s="1396"/>
      <c r="L2" s="1396"/>
      <c r="M2" s="1396"/>
      <c r="N2" s="1396"/>
    </row>
    <row r="3" spans="1:14" x14ac:dyDescent="0.6">
      <c r="A3" s="1395" t="s">
        <v>1212</v>
      </c>
      <c r="B3" s="1395"/>
      <c r="C3" s="1395"/>
      <c r="D3" s="1395"/>
      <c r="E3" s="1395"/>
      <c r="F3" s="1395"/>
      <c r="G3" s="1395"/>
      <c r="H3" s="1395"/>
      <c r="I3" s="1395"/>
      <c r="J3" s="1395"/>
      <c r="K3" s="1395"/>
      <c r="L3" s="1395"/>
      <c r="M3" s="1395"/>
      <c r="N3" s="1395"/>
    </row>
    <row r="4" spans="1:14" x14ac:dyDescent="0.6">
      <c r="A4" s="283"/>
      <c r="B4" s="283"/>
      <c r="C4" s="283"/>
      <c r="D4" s="283"/>
      <c r="E4" s="283"/>
      <c r="F4" s="420"/>
      <c r="G4" s="420"/>
      <c r="H4" s="420"/>
      <c r="I4" s="420"/>
      <c r="K4" s="420"/>
      <c r="L4" s="688"/>
      <c r="N4" s="420"/>
    </row>
    <row r="5" spans="1:14" x14ac:dyDescent="0.6">
      <c r="A5" s="1395" t="s">
        <v>1213</v>
      </c>
      <c r="B5" s="1395"/>
      <c r="C5" s="1395"/>
      <c r="D5" s="1395"/>
      <c r="E5" s="1395"/>
      <c r="F5" s="1395"/>
      <c r="G5" s="1395"/>
      <c r="H5" s="1395"/>
      <c r="I5" s="1395"/>
      <c r="J5" s="1395"/>
      <c r="K5" s="184"/>
      <c r="L5" s="688"/>
      <c r="N5" s="184"/>
    </row>
    <row r="6" spans="1:14" x14ac:dyDescent="0.6">
      <c r="A6" s="421"/>
      <c r="B6" s="421"/>
      <c r="C6" s="421"/>
      <c r="D6" s="421"/>
      <c r="E6" s="421"/>
      <c r="F6" s="421"/>
      <c r="G6" s="421"/>
      <c r="H6" s="421"/>
      <c r="I6" s="421"/>
      <c r="J6" s="421"/>
      <c r="K6" s="421"/>
      <c r="L6" s="184"/>
      <c r="M6" s="184"/>
      <c r="N6" s="421"/>
    </row>
    <row r="7" spans="1:14" x14ac:dyDescent="0.6">
      <c r="A7" s="421"/>
      <c r="B7" s="421"/>
      <c r="C7" s="1396" t="s">
        <v>1163</v>
      </c>
      <c r="D7" s="1396"/>
      <c r="E7" s="109"/>
      <c r="F7" s="1396" t="s">
        <v>1164</v>
      </c>
      <c r="G7" s="1396"/>
      <c r="H7" s="109"/>
      <c r="I7" s="1396" t="s">
        <v>1165</v>
      </c>
      <c r="J7" s="1396"/>
      <c r="K7" s="109"/>
      <c r="L7" s="1396" t="s">
        <v>1166</v>
      </c>
      <c r="M7" s="1396"/>
      <c r="N7" s="109"/>
    </row>
    <row r="8" spans="1:14" x14ac:dyDescent="0.6">
      <c r="L8" s="1398"/>
      <c r="M8" s="1398"/>
    </row>
    <row r="9" spans="1:14" ht="43.9" customHeight="1" x14ac:dyDescent="0.6">
      <c r="A9" s="439"/>
      <c r="B9" s="109"/>
      <c r="C9" s="1397" t="s">
        <v>1214</v>
      </c>
      <c r="D9" s="1397"/>
      <c r="E9" s="284"/>
      <c r="F9" s="1397" t="s">
        <v>4520</v>
      </c>
      <c r="G9" s="1397"/>
      <c r="H9" s="440"/>
      <c r="I9" s="1397" t="s">
        <v>1215</v>
      </c>
      <c r="J9" s="1397"/>
      <c r="K9" s="440"/>
      <c r="L9" s="1397" t="s">
        <v>1216</v>
      </c>
      <c r="M9" s="1397"/>
      <c r="N9" s="440"/>
    </row>
    <row r="10" spans="1:14" x14ac:dyDescent="0.6">
      <c r="A10" s="439"/>
      <c r="B10" s="109"/>
      <c r="C10" s="440"/>
      <c r="D10" s="440"/>
      <c r="E10" s="284"/>
      <c r="F10" s="440"/>
      <c r="G10" s="440"/>
      <c r="H10" s="440"/>
      <c r="I10" s="440"/>
      <c r="J10" s="440"/>
      <c r="K10" s="440"/>
      <c r="L10" s="30"/>
      <c r="M10" s="110"/>
      <c r="N10" s="440"/>
    </row>
    <row r="11" spans="1:14" x14ac:dyDescent="0.6">
      <c r="A11" s="441">
        <f>'MRP WP1'!C54</f>
        <v>45688</v>
      </c>
      <c r="C11" s="30">
        <f>'MRP WP1'!C58</f>
        <v>5.48</v>
      </c>
      <c r="D11" s="110" t="s">
        <v>1090</v>
      </c>
      <c r="E11" s="31"/>
      <c r="F11" s="30">
        <f>'MRP WP1'!C55</f>
        <v>5.75</v>
      </c>
      <c r="G11" s="110" t="s">
        <v>1090</v>
      </c>
      <c r="I11" s="30">
        <f>'MRP WP1'!C56</f>
        <v>5.88</v>
      </c>
      <c r="J11" s="110" t="s">
        <v>1090</v>
      </c>
      <c r="K11" s="31"/>
      <c r="L11" s="30">
        <f>'MRP WP1'!C57</f>
        <v>6.07</v>
      </c>
      <c r="M11" s="110" t="s">
        <v>1090</v>
      </c>
      <c r="N11" s="31"/>
    </row>
    <row r="12" spans="1:14" x14ac:dyDescent="0.6">
      <c r="A12" s="441">
        <f>'MRP WP1'!D54</f>
        <v>45657</v>
      </c>
      <c r="C12" s="30">
        <f>'MRP WP1'!D58</f>
        <v>5.2</v>
      </c>
      <c r="D12" s="29"/>
      <c r="E12" s="29"/>
      <c r="F12" s="30">
        <f>'MRP WP1'!D55</f>
        <v>5.45</v>
      </c>
      <c r="I12" s="30">
        <f>'MRP WP1'!D56</f>
        <v>5.58</v>
      </c>
      <c r="J12" s="30"/>
      <c r="K12" s="30"/>
      <c r="L12" s="30">
        <f>'MRP WP1'!D57</f>
        <v>5.77</v>
      </c>
      <c r="M12" s="28"/>
      <c r="N12" s="30"/>
    </row>
    <row r="13" spans="1:14" x14ac:dyDescent="0.6">
      <c r="A13" s="441">
        <f>'MRP WP1'!E54</f>
        <v>45625</v>
      </c>
      <c r="C13" s="89">
        <f>'MRP WP1'!E58</f>
        <v>5.14</v>
      </c>
      <c r="D13" s="29"/>
      <c r="E13" s="29"/>
      <c r="F13" s="89">
        <f>'MRP WP1'!E55</f>
        <v>5.43</v>
      </c>
      <c r="I13" s="89">
        <f>'MRP WP1'!E56</f>
        <v>5.56</v>
      </c>
      <c r="J13" s="30"/>
      <c r="K13" s="30"/>
      <c r="L13" s="89">
        <f>'MRP WP1'!E57</f>
        <v>5.76</v>
      </c>
      <c r="M13" s="28"/>
      <c r="N13" s="30"/>
    </row>
    <row r="14" spans="1:14" x14ac:dyDescent="0.6">
      <c r="L14" s="110"/>
      <c r="M14" s="110"/>
    </row>
    <row r="15" spans="1:14" ht="15.9" thickBot="1" x14ac:dyDescent="0.65">
      <c r="A15" s="110" t="s">
        <v>1082</v>
      </c>
      <c r="C15" s="442">
        <f>ROUND(AVERAGE(C11:C13),2)</f>
        <v>5.27</v>
      </c>
      <c r="D15" s="110" t="s">
        <v>1090</v>
      </c>
      <c r="F15" s="442">
        <f>ROUND(AVERAGE(F11:F13),2)</f>
        <v>5.54</v>
      </c>
      <c r="G15" s="110" t="s">
        <v>1090</v>
      </c>
      <c r="I15" s="442">
        <f>ROUND(AVERAGE(I11:I13),2)</f>
        <v>5.67</v>
      </c>
      <c r="J15" s="110" t="s">
        <v>1090</v>
      </c>
      <c r="L15" s="442">
        <f>ROUND(AVERAGE(L11:L13),2)</f>
        <v>5.87</v>
      </c>
      <c r="M15" s="110"/>
    </row>
    <row r="16" spans="1:14" ht="15.9" thickTop="1" x14ac:dyDescent="0.6">
      <c r="L16" s="110"/>
    </row>
    <row r="17" spans="1:14" x14ac:dyDescent="0.6">
      <c r="A17" s="1395" t="s">
        <v>1217</v>
      </c>
      <c r="B17" s="1395"/>
      <c r="C17" s="1395"/>
      <c r="D17" s="1395"/>
      <c r="E17" s="1395"/>
      <c r="F17" s="1395"/>
      <c r="G17" s="1395"/>
      <c r="H17" s="1395"/>
      <c r="I17" s="1395"/>
      <c r="J17" s="1395"/>
      <c r="K17" s="184"/>
      <c r="N17" s="184"/>
    </row>
    <row r="18" spans="1:14" x14ac:dyDescent="0.6">
      <c r="L18" s="184"/>
      <c r="M18" s="184"/>
    </row>
    <row r="19" spans="1:14" x14ac:dyDescent="0.6">
      <c r="A19" s="108" t="s">
        <v>1218</v>
      </c>
    </row>
    <row r="20" spans="1:14" ht="15.9" thickBot="1" x14ac:dyDescent="0.65">
      <c r="A20" s="108"/>
      <c r="L20" s="442">
        <f>I15-C15</f>
        <v>0.40000000000000036</v>
      </c>
      <c r="M20" s="443" t="s">
        <v>1219</v>
      </c>
    </row>
    <row r="21" spans="1:14" ht="15.9" thickTop="1" x14ac:dyDescent="0.6">
      <c r="A21" s="108"/>
      <c r="L21" s="110"/>
      <c r="M21" s="110"/>
    </row>
    <row r="22" spans="1:14" x14ac:dyDescent="0.6">
      <c r="A22" s="108" t="s">
        <v>1220</v>
      </c>
      <c r="L22" s="110"/>
      <c r="M22" s="110"/>
    </row>
    <row r="23" spans="1:14" ht="15.9" thickBot="1" x14ac:dyDescent="0.65">
      <c r="L23" s="442">
        <f>ROUND(L15-I15,2)</f>
        <v>0.2</v>
      </c>
      <c r="M23" s="111" t="s">
        <v>1221</v>
      </c>
    </row>
    <row r="24" spans="1:14" ht="15.9" thickTop="1" x14ac:dyDescent="0.6">
      <c r="I24" s="184"/>
      <c r="J24" s="184"/>
      <c r="L24" s="431"/>
      <c r="M24" s="111"/>
    </row>
    <row r="25" spans="1:14" x14ac:dyDescent="0.6">
      <c r="A25" s="108" t="s">
        <v>4518</v>
      </c>
      <c r="B25" s="686"/>
      <c r="C25" s="686"/>
      <c r="D25" s="686"/>
      <c r="E25" s="686"/>
      <c r="F25" s="686"/>
      <c r="G25" s="686"/>
      <c r="H25" s="686"/>
      <c r="I25" s="184"/>
      <c r="J25" s="184"/>
      <c r="K25" s="686"/>
      <c r="M25" s="111"/>
      <c r="N25" s="686"/>
    </row>
    <row r="26" spans="1:14" ht="15.9" thickBot="1" x14ac:dyDescent="0.65">
      <c r="I26" s="184"/>
      <c r="J26" s="184"/>
      <c r="L26" s="442">
        <f>I15-F15</f>
        <v>0.12999999999999989</v>
      </c>
      <c r="M26" s="111" t="s">
        <v>4519</v>
      </c>
    </row>
    <row r="27" spans="1:14" ht="15.9" thickTop="1" x14ac:dyDescent="0.6">
      <c r="I27" s="431"/>
      <c r="J27" s="111"/>
      <c r="L27" s="184"/>
      <c r="M27" s="687"/>
    </row>
    <row r="28" spans="1:14" x14ac:dyDescent="0.6">
      <c r="A28" s="112" t="s">
        <v>17</v>
      </c>
      <c r="I28" s="431"/>
      <c r="J28" s="111"/>
      <c r="L28" s="689"/>
      <c r="M28" s="687"/>
    </row>
    <row r="29" spans="1:14" s="108" customFormat="1" ht="15" x14ac:dyDescent="0.5">
      <c r="A29" s="444" t="s">
        <v>1146</v>
      </c>
      <c r="B29" s="110" t="s">
        <v>4522</v>
      </c>
      <c r="C29" s="110"/>
      <c r="D29" s="110"/>
      <c r="E29" s="110"/>
      <c r="F29" s="110"/>
      <c r="G29" s="110"/>
      <c r="H29" s="110"/>
      <c r="I29" s="431"/>
      <c r="J29" s="111"/>
      <c r="K29" s="110"/>
      <c r="L29" s="110"/>
      <c r="M29" s="110"/>
      <c r="N29" s="110"/>
    </row>
    <row r="30" spans="1:14" s="108" customFormat="1" ht="15" x14ac:dyDescent="0.5">
      <c r="A30" s="444" t="s">
        <v>1147</v>
      </c>
      <c r="B30" s="110" t="s">
        <v>4523</v>
      </c>
      <c r="C30" s="110"/>
      <c r="D30" s="110"/>
      <c r="E30" s="110"/>
      <c r="F30" s="110"/>
      <c r="G30" s="110"/>
      <c r="H30" s="110"/>
      <c r="I30" s="431"/>
      <c r="J30" s="111"/>
      <c r="K30" s="110"/>
      <c r="L30" s="110"/>
      <c r="M30" s="110"/>
      <c r="N30" s="110"/>
    </row>
    <row r="31" spans="1:14" s="108" customFormat="1" ht="15" x14ac:dyDescent="0.5">
      <c r="A31" s="444" t="s">
        <v>1149</v>
      </c>
      <c r="B31" s="110" t="s">
        <v>1222</v>
      </c>
      <c r="C31" s="110"/>
      <c r="D31" s="110"/>
      <c r="E31" s="110"/>
      <c r="F31" s="110"/>
      <c r="G31" s="110"/>
      <c r="H31" s="110"/>
      <c r="I31" s="431"/>
      <c r="J31" s="111"/>
      <c r="K31" s="110"/>
      <c r="L31" s="110"/>
      <c r="M31" s="110"/>
      <c r="N31" s="110"/>
    </row>
    <row r="33" spans="1:1" x14ac:dyDescent="0.6">
      <c r="A33" s="110" t="s">
        <v>1143</v>
      </c>
    </row>
    <row r="34" spans="1:1" x14ac:dyDescent="0.6">
      <c r="A34" s="437" t="s">
        <v>1194</v>
      </c>
    </row>
  </sheetData>
  <mergeCells count="14">
    <mergeCell ref="A1:N1"/>
    <mergeCell ref="A2:N2"/>
    <mergeCell ref="A3:N3"/>
    <mergeCell ref="L9:M9"/>
    <mergeCell ref="L8:M8"/>
    <mergeCell ref="L7:M7"/>
    <mergeCell ref="C9:D9"/>
    <mergeCell ref="F9:G9"/>
    <mergeCell ref="I9:J9"/>
    <mergeCell ref="A17:J17"/>
    <mergeCell ref="A5:J5"/>
    <mergeCell ref="C7:D7"/>
    <mergeCell ref="F7:G7"/>
    <mergeCell ref="I7:J7"/>
  </mergeCells>
  <printOptions horizontalCentered="1"/>
  <pageMargins left="0.7" right="0.7" top="0.75" bottom="0.75" header="0.3" footer="0.3"/>
  <pageSetup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K35"/>
  <sheetViews>
    <sheetView zoomScale="85" zoomScaleNormal="85" workbookViewId="0"/>
  </sheetViews>
  <sheetFormatPr defaultColWidth="9" defaultRowHeight="13.8" x14ac:dyDescent="0.45"/>
  <cols>
    <col min="1" max="1" width="28.26171875" style="1" bestFit="1" customWidth="1"/>
    <col min="2" max="2" width="9" style="1"/>
    <col min="3" max="3" width="18.26171875" style="1" bestFit="1" customWidth="1"/>
    <col min="4" max="4" width="11.5234375" style="1" bestFit="1" customWidth="1"/>
    <col min="5" max="6" width="11.5234375" style="1" customWidth="1"/>
    <col min="7" max="8" width="12" style="1" customWidth="1"/>
    <col min="9" max="10" width="9" style="1"/>
    <col min="11" max="11" width="10.26171875" style="1" customWidth="1"/>
    <col min="12" max="16384" width="9" style="1"/>
  </cols>
  <sheetData>
    <row r="1" spans="1:11" x14ac:dyDescent="0.45">
      <c r="A1" s="143" t="s">
        <v>124</v>
      </c>
      <c r="B1" s="143"/>
      <c r="C1" s="315">
        <f>Input!E2</f>
        <v>45688</v>
      </c>
      <c r="D1" s="143"/>
      <c r="E1" s="143"/>
      <c r="F1" s="143"/>
      <c r="G1" s="143"/>
      <c r="H1" s="143"/>
      <c r="I1" s="143"/>
      <c r="J1" s="143"/>
      <c r="K1" s="143"/>
    </row>
    <row r="2" spans="1:11" x14ac:dyDescent="0.45">
      <c r="A2" s="143"/>
      <c r="B2" s="143"/>
      <c r="C2" s="143"/>
      <c r="D2" s="143"/>
      <c r="E2" s="143"/>
      <c r="F2" s="143"/>
      <c r="G2" s="143"/>
      <c r="H2" s="143"/>
      <c r="I2" s="143"/>
      <c r="J2" s="143"/>
      <c r="K2" s="143"/>
    </row>
    <row r="3" spans="1:11" ht="37.200000000000003" x14ac:dyDescent="0.45">
      <c r="A3" s="262" t="s">
        <v>23</v>
      </c>
      <c r="B3" s="262" t="s">
        <v>75</v>
      </c>
      <c r="C3" s="262" t="s">
        <v>125</v>
      </c>
      <c r="D3" s="316" t="s">
        <v>126</v>
      </c>
      <c r="E3" s="316" t="s">
        <v>79</v>
      </c>
      <c r="F3" s="316" t="s">
        <v>77</v>
      </c>
      <c r="G3" s="317" t="s">
        <v>1281</v>
      </c>
      <c r="H3" s="317" t="s">
        <v>1075</v>
      </c>
      <c r="I3" s="316" t="s">
        <v>127</v>
      </c>
      <c r="J3" s="316" t="s">
        <v>128</v>
      </c>
      <c r="K3" s="316" t="s">
        <v>129</v>
      </c>
    </row>
    <row r="4" spans="1:11" x14ac:dyDescent="0.45">
      <c r="A4" s="1" t="s">
        <v>625</v>
      </c>
      <c r="B4" s="1" t="str">
        <f>Input!E28</f>
        <v>AEE</v>
      </c>
      <c r="C4" s="318">
        <f>VLOOKUP($B4,'MRP WP2 Combined'!$B$5:$G$504,3,FALSE)</f>
        <v>25105.293621599998</v>
      </c>
      <c r="D4" s="319">
        <f>VLOOKUP($B4,'MRP WP2 Combined'!$B$5:$G$504,2,FALSE)</f>
        <v>2.8439490445859875E-2</v>
      </c>
      <c r="E4" s="319">
        <f>VLOOKUP($B4,'MRP WP2 Combined'!$B$5:$G$504,4,FALSE)</f>
        <v>6.5869999999999998E-2</v>
      </c>
      <c r="F4" s="319">
        <f>VLOOKUP($B4,'MRP WP2 Combined'!$B$5:$G$504,5,FALSE)</f>
        <v>6.5000000000000002E-2</v>
      </c>
      <c r="G4" s="319">
        <f>VLOOKUP($B4,'MRP WP2 Combined'!$B$5:$G$504,6,FALSE)</f>
        <v>6.559580000000001E-2</v>
      </c>
      <c r="H4" s="314">
        <f>IFERROR(AVERAGE(E4:G4),"N/A")</f>
        <v>6.5488599999999994E-2</v>
      </c>
      <c r="I4" s="320">
        <f>IFERROR(D4*(1+0.5*H4)+H4,"N/A")</f>
        <v>9.4859321652866244E-2</v>
      </c>
      <c r="J4" s="320">
        <f>IF(I4="N/A","N/A",C4/$C$35)</f>
        <v>2.0988051577358391E-2</v>
      </c>
      <c r="K4" s="321">
        <f>IF(ISNUMBER(J4),I4*J4,"N/A")</f>
        <v>1.9909123354435862E-3</v>
      </c>
    </row>
    <row r="5" spans="1:11" x14ac:dyDescent="0.45">
      <c r="A5" s="1" t="s">
        <v>626</v>
      </c>
      <c r="B5" s="1" t="str">
        <f>Input!E29</f>
        <v>AEP</v>
      </c>
      <c r="C5" s="318">
        <f>VLOOKUP($B5,'MRP WP2 Combined'!$B$5:$G$504,3,FALSE)</f>
        <v>52383.126350600003</v>
      </c>
      <c r="D5" s="319">
        <f>VLOOKUP($B5,'MRP WP2 Combined'!$B$5:$G$504,2,FALSE)</f>
        <v>3.6305408702724688E-2</v>
      </c>
      <c r="E5" s="319">
        <f>VLOOKUP($B5,'MRP WP2 Combined'!$B$5:$G$504,4,FALSE)</f>
        <v>6.0129999999999996E-2</v>
      </c>
      <c r="F5" s="319">
        <f>VLOOKUP($B5,'MRP WP2 Combined'!$B$5:$G$504,5,FALSE)</f>
        <v>0.06</v>
      </c>
      <c r="G5" s="319">
        <f>VLOOKUP($B5,'MRP WP2 Combined'!$B$5:$G$504,6,FALSE)</f>
        <v>6.4429299999999995E-2</v>
      </c>
      <c r="H5" s="314">
        <f t="shared" ref="H5:H34" si="0">IFERROR(AVERAGE(E5:G5),"N/A")</f>
        <v>6.1519766666666663E-2</v>
      </c>
      <c r="I5" s="320">
        <f t="shared" ref="I5:I34" si="1">IFERROR(D5*(1+0.5*H5)+H5,"N/A")</f>
        <v>9.8941925505456149E-2</v>
      </c>
      <c r="J5" s="320">
        <f t="shared" ref="J5:J34" si="2">IF(I5="N/A","N/A",C5/$C$35)</f>
        <v>4.3792348107960774E-2</v>
      </c>
      <c r="K5" s="321">
        <f t="shared" ref="K5:K34" si="3">IF(ISNUMBER(J5),I5*J5,"N/A")</f>
        <v>4.3328992442068582E-3</v>
      </c>
    </row>
    <row r="6" spans="1:11" x14ac:dyDescent="0.45">
      <c r="A6" s="322" t="s">
        <v>627</v>
      </c>
      <c r="B6" s="1" t="str">
        <f>Input!E30</f>
        <v>AES</v>
      </c>
      <c r="C6" s="318">
        <f>VLOOKUP($B6,'MRP WP2 Combined'!$B$5:$G$504,3,FALSE)</f>
        <v>7821.2974729999996</v>
      </c>
      <c r="D6" s="319">
        <f>VLOOKUP($B6,'MRP WP2 Combined'!$B$5:$G$504,2,FALSE)</f>
        <v>6.30909090909091E-2</v>
      </c>
      <c r="E6" s="319">
        <f>VLOOKUP($B6,'MRP WP2 Combined'!$B$5:$G$504,4,FALSE)</f>
        <v>6.4000000000000001E-2</v>
      </c>
      <c r="F6" s="319" t="str">
        <f>VLOOKUP($B6,'MRP WP2 Combined'!$B$5:$G$504,5,FALSE)</f>
        <v>N/A</v>
      </c>
      <c r="G6" s="319">
        <f>VLOOKUP($B6,'MRP WP2 Combined'!$B$5:$G$504,6,FALSE)</f>
        <v>7.9499600000000004E-2</v>
      </c>
      <c r="H6" s="314">
        <f t="shared" si="0"/>
        <v>7.1749800000000002E-2</v>
      </c>
      <c r="I6" s="320">
        <f t="shared" si="1"/>
        <v>0.13710408914545458</v>
      </c>
      <c r="J6" s="320">
        <f t="shared" si="2"/>
        <v>6.5386128216382549E-3</v>
      </c>
      <c r="K6" s="321">
        <f t="shared" si="3"/>
        <v>8.964705551855036E-4</v>
      </c>
    </row>
    <row r="7" spans="1:11" x14ac:dyDescent="0.45">
      <c r="A7" s="1" t="s">
        <v>652</v>
      </c>
      <c r="B7" s="1" t="str">
        <f>Input!E31</f>
        <v>ATO</v>
      </c>
      <c r="C7" s="318">
        <f>VLOOKUP($B7,'MRP WP2 Combined'!$B$5:$G$504,3,FALSE)</f>
        <v>22149.173116369999</v>
      </c>
      <c r="D7" s="319">
        <f>VLOOKUP($B7,'MRP WP2 Combined'!$B$5:$G$504,2,FALSE)</f>
        <v>2.4440390148059786E-2</v>
      </c>
      <c r="E7" s="319">
        <f>VLOOKUP($B7,'MRP WP2 Combined'!$B$5:$G$504,4,FALSE)</f>
        <v>7.0099999999999996E-2</v>
      </c>
      <c r="F7" s="319">
        <f>VLOOKUP($B7,'MRP WP2 Combined'!$B$5:$G$504,5,FALSE)</f>
        <v>7.0000000000000007E-2</v>
      </c>
      <c r="G7" s="319">
        <f>VLOOKUP($B7,'MRP WP2 Combined'!$B$5:$G$504,6,FALSE)</f>
        <v>7.7142000000000002E-2</v>
      </c>
      <c r="H7" s="314">
        <f t="shared" si="0"/>
        <v>7.2413999999999992E-2</v>
      </c>
      <c r="I7" s="320">
        <f t="shared" si="1"/>
        <v>9.7739303354150583E-2</v>
      </c>
      <c r="J7" s="320">
        <f t="shared" si="2"/>
        <v>1.8516731760597777E-2</v>
      </c>
      <c r="K7" s="321">
        <f t="shared" si="3"/>
        <v>1.8098124626765009E-3</v>
      </c>
    </row>
    <row r="8" spans="1:11" x14ac:dyDescent="0.45">
      <c r="A8" s="1" t="s">
        <v>656</v>
      </c>
      <c r="B8" s="1" t="str">
        <f>Input!E32</f>
        <v>AWK</v>
      </c>
      <c r="C8" s="318">
        <f>VLOOKUP($B8,'MRP WP2 Combined'!$B$5:$G$504,3,FALSE)</f>
        <v>24291.574324960002</v>
      </c>
      <c r="D8" s="319">
        <f>VLOOKUP($B8,'MRP WP2 Combined'!$B$5:$G$504,2,FALSE)</f>
        <v>2.4197689345314508E-2</v>
      </c>
      <c r="E8" s="319">
        <f>VLOOKUP($B8,'MRP WP2 Combined'!$B$5:$G$504,4,FALSE)</f>
        <v>7.8299999999999995E-2</v>
      </c>
      <c r="F8" s="319">
        <f>VLOOKUP($B8,'MRP WP2 Combined'!$B$5:$G$504,5,FALSE)</f>
        <v>0.04</v>
      </c>
      <c r="G8" s="319">
        <f>VLOOKUP($B8,'MRP WP2 Combined'!$B$5:$G$504,6,FALSE)</f>
        <v>8.07287E-2</v>
      </c>
      <c r="H8" s="314">
        <f t="shared" si="0"/>
        <v>6.6342899999999996E-2</v>
      </c>
      <c r="I8" s="320">
        <f t="shared" si="1"/>
        <v>9.1343261787548133E-2</v>
      </c>
      <c r="J8" s="320">
        <f t="shared" si="2"/>
        <v>2.0307781399092954E-2</v>
      </c>
      <c r="K8" s="321">
        <f t="shared" si="3"/>
        <v>1.8549789926616482E-3</v>
      </c>
    </row>
    <row r="9" spans="1:11" x14ac:dyDescent="0.45">
      <c r="A9" s="1" t="s">
        <v>694</v>
      </c>
      <c r="B9" s="1" t="str">
        <f>Input!E33</f>
        <v>CEG</v>
      </c>
      <c r="C9" s="318">
        <f>VLOOKUP($B9,'MRP WP2 Combined'!$B$5:$G$504,3,FALSE)</f>
        <v>94529.979281219988</v>
      </c>
      <c r="D9" s="319">
        <f>VLOOKUP($B9,'MRP WP2 Combined'!$B$5:$G$504,2,FALSE)</f>
        <v>4.5636375758383889E-3</v>
      </c>
      <c r="E9" s="319">
        <f>VLOOKUP($B9,'MRP WP2 Combined'!$B$5:$G$504,4,FALSE)</f>
        <v>0.15780000000000002</v>
      </c>
      <c r="F9" s="319" t="str">
        <f>VLOOKUP($B9,'MRP WP2 Combined'!$B$5:$G$504,5,FALSE)</f>
        <v>N/A</v>
      </c>
      <c r="G9" s="319">
        <f>VLOOKUP($B9,'MRP WP2 Combined'!$B$5:$G$504,6,FALSE)</f>
        <v>0.128</v>
      </c>
      <c r="H9" s="314">
        <f t="shared" si="0"/>
        <v>0.14290000000000003</v>
      </c>
      <c r="I9" s="320">
        <f t="shared" si="1"/>
        <v>0.14778970948063208</v>
      </c>
      <c r="J9" s="320">
        <f t="shared" si="2"/>
        <v>7.9027160991014214E-2</v>
      </c>
      <c r="K9" s="321">
        <f t="shared" si="3"/>
        <v>1.167940116394113E-2</v>
      </c>
    </row>
    <row r="10" spans="1:11" x14ac:dyDescent="0.45">
      <c r="A10" s="1" t="s">
        <v>708</v>
      </c>
      <c r="B10" s="1" t="str">
        <f>Input!E34</f>
        <v>CMS</v>
      </c>
      <c r="C10" s="318">
        <f>VLOOKUP($B10,'MRP WP2 Combined'!$B$5:$G$504,3,FALSE)</f>
        <v>19719.801089999997</v>
      </c>
      <c r="D10" s="319">
        <f>VLOOKUP($B10,'MRP WP2 Combined'!$B$5:$G$504,2,FALSE)</f>
        <v>3.1409090909090907E-2</v>
      </c>
      <c r="E10" s="319">
        <f>VLOOKUP($B10,'MRP WP2 Combined'!$B$5:$G$504,4,FALSE)</f>
        <v>7.5330000000000008E-2</v>
      </c>
      <c r="F10" s="319">
        <f>VLOOKUP($B10,'MRP WP2 Combined'!$B$5:$G$504,5,FALSE)</f>
        <v>0.06</v>
      </c>
      <c r="G10" s="319">
        <f>VLOOKUP($B10,'MRP WP2 Combined'!$B$5:$G$504,6,FALSE)</f>
        <v>7.2933100000000001E-2</v>
      </c>
      <c r="H10" s="314">
        <f t="shared" si="0"/>
        <v>6.942103333333334E-2</v>
      </c>
      <c r="I10" s="320">
        <f t="shared" si="1"/>
        <v>0.1019203500159091</v>
      </c>
      <c r="J10" s="320">
        <f t="shared" si="2"/>
        <v>1.6485774219986635E-2</v>
      </c>
      <c r="K10" s="321">
        <f t="shared" si="3"/>
        <v>1.6802358787842886E-3</v>
      </c>
    </row>
    <row r="11" spans="1:11" x14ac:dyDescent="0.45">
      <c r="A11" s="1" t="s">
        <v>710</v>
      </c>
      <c r="B11" s="1" t="str">
        <f>Input!E35</f>
        <v>CNP</v>
      </c>
      <c r="C11" s="318">
        <f>VLOOKUP($B11,'MRP WP2 Combined'!$B$5:$G$504,3,FALSE)</f>
        <v>21226.757379319999</v>
      </c>
      <c r="D11" s="319">
        <f>VLOOKUP($B11,'MRP WP2 Combined'!$B$5:$G$504,2,FALSE)</f>
        <v>2.443966840650906E-2</v>
      </c>
      <c r="E11" s="319">
        <f>VLOOKUP($B11,'MRP WP2 Combined'!$B$5:$G$504,4,FALSE)</f>
        <v>7.8799999999999995E-2</v>
      </c>
      <c r="F11" s="319">
        <f>VLOOKUP($B11,'MRP WP2 Combined'!$B$5:$G$504,5,FALSE)</f>
        <v>6.5000000000000002E-2</v>
      </c>
      <c r="G11" s="319">
        <f>VLOOKUP($B11,'MRP WP2 Combined'!$B$5:$G$504,6,FALSE)</f>
        <v>7.7102100000000007E-2</v>
      </c>
      <c r="H11" s="314">
        <f t="shared" si="0"/>
        <v>7.3634033333333335E-2</v>
      </c>
      <c r="I11" s="320">
        <f t="shared" si="1"/>
        <v>9.8973497418892636E-2</v>
      </c>
      <c r="J11" s="320">
        <f t="shared" si="2"/>
        <v>1.7745591245104428E-2</v>
      </c>
      <c r="K11" s="321">
        <f t="shared" si="3"/>
        <v>1.7563432292940669E-3</v>
      </c>
    </row>
    <row r="12" spans="1:11" x14ac:dyDescent="0.45">
      <c r="A12" s="1" t="s">
        <v>729</v>
      </c>
      <c r="B12" s="1" t="str">
        <f>Input!E36</f>
        <v>D</v>
      </c>
      <c r="C12" s="318">
        <f>VLOOKUP($B12,'MRP WP2 Combined'!$B$5:$G$504,3,FALSE)</f>
        <v>46696.135109340001</v>
      </c>
      <c r="D12" s="319">
        <f>VLOOKUP($B12,'MRP WP2 Combined'!$B$5:$G$504,2,FALSE)</f>
        <v>4.7364633926965286E-2</v>
      </c>
      <c r="E12" s="319">
        <f>VLOOKUP($B12,'MRP WP2 Combined'!$B$5:$G$504,4,FALSE)</f>
        <v>0.10922999999999999</v>
      </c>
      <c r="F12" s="319">
        <f>VLOOKUP($B12,'MRP WP2 Combined'!$B$5:$G$504,5,FALSE)</f>
        <v>3.5000000000000003E-2</v>
      </c>
      <c r="G12" s="319">
        <f>VLOOKUP($B12,'MRP WP2 Combined'!$B$5:$G$504,6,FALSE)</f>
        <v>0.14223660000000002</v>
      </c>
      <c r="H12" s="314">
        <f t="shared" si="0"/>
        <v>9.5488866666666672E-2</v>
      </c>
      <c r="I12" s="320">
        <f t="shared" si="1"/>
        <v>0.14511489820051571</v>
      </c>
      <c r="J12" s="320">
        <f t="shared" si="2"/>
        <v>3.9038017515752248E-2</v>
      </c>
      <c r="K12" s="321">
        <f t="shared" si="3"/>
        <v>5.6649979377483362E-3</v>
      </c>
    </row>
    <row r="13" spans="1:11" x14ac:dyDescent="0.45">
      <c r="A13" s="1" t="s">
        <v>748</v>
      </c>
      <c r="B13" s="1" t="str">
        <f>Input!E37</f>
        <v>DTE</v>
      </c>
      <c r="C13" s="318">
        <f>VLOOKUP($B13,'MRP WP2 Combined'!$B$5:$G$504,3,FALSE)</f>
        <v>24806.173315679996</v>
      </c>
      <c r="D13" s="319">
        <f>VLOOKUP($B13,'MRP WP2 Combined'!$B$5:$G$504,2,FALSE)</f>
        <v>3.4292625959292625E-2</v>
      </c>
      <c r="E13" s="319">
        <f>VLOOKUP($B13,'MRP WP2 Combined'!$B$5:$G$504,4,FALSE)</f>
        <v>0.10978</v>
      </c>
      <c r="F13" s="319">
        <f>VLOOKUP($B13,'MRP WP2 Combined'!$B$5:$G$504,5,FALSE)</f>
        <v>8.5000000000000006E-2</v>
      </c>
      <c r="G13" s="319">
        <f>VLOOKUP($B13,'MRP WP2 Combined'!$B$5:$G$504,6,FALSE)</f>
        <v>7.5356800000000002E-2</v>
      </c>
      <c r="H13" s="314">
        <f t="shared" si="0"/>
        <v>9.0045600000000003E-2</v>
      </c>
      <c r="I13" s="320">
        <f t="shared" si="1"/>
        <v>0.12588217599933266</v>
      </c>
      <c r="J13" s="320">
        <f t="shared" si="2"/>
        <v>2.0737986690521824E-2</v>
      </c>
      <c r="K13" s="321">
        <f t="shared" si="3"/>
        <v>2.6105428904480863E-3</v>
      </c>
    </row>
    <row r="14" spans="1:11" x14ac:dyDescent="0.45">
      <c r="A14" s="1" t="s">
        <v>749</v>
      </c>
      <c r="B14" s="1" t="str">
        <f>Input!E38</f>
        <v>DUK</v>
      </c>
      <c r="C14" s="318">
        <f>VLOOKUP($B14,'MRP WP2 Combined'!$B$5:$G$504,3,FALSE)</f>
        <v>86344.29</v>
      </c>
      <c r="D14" s="319">
        <f>VLOOKUP($B14,'MRP WP2 Combined'!$B$5:$G$504,2,FALSE)</f>
        <v>3.7235467452451113E-2</v>
      </c>
      <c r="E14" s="319">
        <f>VLOOKUP($B14,'MRP WP2 Combined'!$B$5:$G$504,4,FALSE)</f>
        <v>6.3E-2</v>
      </c>
      <c r="F14" s="319">
        <f>VLOOKUP($B14,'MRP WP2 Combined'!$B$5:$G$504,5,FALSE)</f>
        <v>0.06</v>
      </c>
      <c r="G14" s="319">
        <f>VLOOKUP($B14,'MRP WP2 Combined'!$B$5:$G$504,6,FALSE)</f>
        <v>6.5320199999999995E-2</v>
      </c>
      <c r="H14" s="314">
        <f t="shared" si="0"/>
        <v>6.2773399999999993E-2</v>
      </c>
      <c r="I14" s="320">
        <f t="shared" si="1"/>
        <v>0.10117756589874095</v>
      </c>
      <c r="J14" s="320">
        <f t="shared" si="2"/>
        <v>7.2183916238733728E-2</v>
      </c>
      <c r="K14" s="321">
        <f t="shared" si="3"/>
        <v>7.3033929420736792E-3</v>
      </c>
    </row>
    <row r="15" spans="1:11" x14ac:dyDescent="0.45">
      <c r="A15" s="1" t="s">
        <v>756</v>
      </c>
      <c r="B15" s="1" t="str">
        <f>Input!E39</f>
        <v>ED</v>
      </c>
      <c r="C15" s="318">
        <f>VLOOKUP($B15,'MRP WP2 Combined'!$B$5:$G$504,3,FALSE)</f>
        <v>32472.678690599998</v>
      </c>
      <c r="D15" s="319">
        <f>VLOOKUP($B15,'MRP WP2 Combined'!$B$5:$G$504,2,FALSE)</f>
        <v>3.5491785790484315E-2</v>
      </c>
      <c r="E15" s="319">
        <f>VLOOKUP($B15,'MRP WP2 Combined'!$B$5:$G$504,4,FALSE)</f>
        <v>5.9930000000000004E-2</v>
      </c>
      <c r="F15" s="319">
        <f>VLOOKUP($B15,'MRP WP2 Combined'!$B$5:$G$504,5,FALSE)</f>
        <v>0.06</v>
      </c>
      <c r="G15" s="319">
        <f>VLOOKUP($B15,'MRP WP2 Combined'!$B$5:$G$504,6,FALSE)</f>
        <v>5.3201799999999994E-2</v>
      </c>
      <c r="H15" s="314">
        <f t="shared" si="0"/>
        <v>5.7710600000000001E-2</v>
      </c>
      <c r="I15" s="320">
        <f t="shared" si="1"/>
        <v>9.4226511917004485E-2</v>
      </c>
      <c r="J15" s="320">
        <f t="shared" si="2"/>
        <v>2.7147193157180213E-2</v>
      </c>
      <c r="K15" s="321">
        <f t="shared" si="3"/>
        <v>2.5579853195382639E-3</v>
      </c>
    </row>
    <row r="16" spans="1:11" x14ac:dyDescent="0.45">
      <c r="A16" s="1" t="s">
        <v>271</v>
      </c>
      <c r="B16" s="1" t="str">
        <f>Input!E40</f>
        <v>EIX</v>
      </c>
      <c r="C16" s="318">
        <f>VLOOKUP($B16,'MRP WP2 Combined'!$B$5:$G$504,3,FALSE)</f>
        <v>20906.114525999998</v>
      </c>
      <c r="D16" s="319">
        <f>VLOOKUP($B16,'MRP WP2 Combined'!$B$5:$G$504,2,FALSE)</f>
        <v>5.7907407407407414E-2</v>
      </c>
      <c r="E16" s="319">
        <f>VLOOKUP($B16,'MRP WP2 Combined'!$B$5:$G$504,4,FALSE)</f>
        <v>7.7700000000000005E-2</v>
      </c>
      <c r="F16" s="319">
        <f>VLOOKUP($B16,'MRP WP2 Combined'!$B$5:$G$504,5,FALSE)</f>
        <v>6.5000000000000002E-2</v>
      </c>
      <c r="G16" s="319">
        <f>VLOOKUP($B16,'MRP WP2 Combined'!$B$5:$G$504,6,FALSE)</f>
        <v>8.2505099999999998E-2</v>
      </c>
      <c r="H16" s="314">
        <f t="shared" si="0"/>
        <v>7.5068366666666664E-2</v>
      </c>
      <c r="I16" s="320">
        <f t="shared" si="1"/>
        <v>0.13514928132006174</v>
      </c>
      <c r="J16" s="320">
        <f t="shared" si="2"/>
        <v>1.7477533486257843E-2</v>
      </c>
      <c r="K16" s="321">
        <f t="shared" si="3"/>
        <v>2.3620760899150605E-3</v>
      </c>
    </row>
    <row r="17" spans="1:11" x14ac:dyDescent="0.45">
      <c r="A17" s="1" t="s">
        <v>283</v>
      </c>
      <c r="B17" s="1" t="str">
        <f>Input!E41</f>
        <v>ES</v>
      </c>
      <c r="C17" s="318">
        <f>VLOOKUP($B17,'MRP WP2 Combined'!$B$5:$G$504,3,FALSE)</f>
        <v>21134.072378159999</v>
      </c>
      <c r="D17" s="319">
        <f>VLOOKUP($B17,'MRP WP2 Combined'!$B$5:$G$504,2,FALSE)</f>
        <v>4.9757281553398064E-2</v>
      </c>
      <c r="E17" s="319">
        <f>VLOOKUP($B17,'MRP WP2 Combined'!$B$5:$G$504,4,FALSE)</f>
        <v>5.0900000000000001E-2</v>
      </c>
      <c r="F17" s="319">
        <f>VLOOKUP($B17,'MRP WP2 Combined'!$B$5:$G$504,5,FALSE)</f>
        <v>0.06</v>
      </c>
      <c r="G17" s="319">
        <f>VLOOKUP($B17,'MRP WP2 Combined'!$B$5:$G$504,6,FALSE)</f>
        <v>5.4142999999999997E-2</v>
      </c>
      <c r="H17" s="314">
        <f t="shared" si="0"/>
        <v>5.5014333333333332E-2</v>
      </c>
      <c r="I17" s="320">
        <f t="shared" si="1"/>
        <v>0.10614029672330097</v>
      </c>
      <c r="J17" s="320">
        <f t="shared" si="2"/>
        <v>1.7668106487741548E-2</v>
      </c>
      <c r="K17" s="321">
        <f t="shared" si="3"/>
        <v>1.8752980651477668E-3</v>
      </c>
    </row>
    <row r="18" spans="1:11" x14ac:dyDescent="0.45">
      <c r="A18" s="1" t="s">
        <v>770</v>
      </c>
      <c r="B18" s="1" t="str">
        <f>Input!E42</f>
        <v>ETR</v>
      </c>
      <c r="C18" s="318">
        <f>VLOOKUP($B18,'MRP WP2 Combined'!$B$5:$G$504,3,FALSE)</f>
        <v>34768.403550239993</v>
      </c>
      <c r="D18" s="319">
        <f>VLOOKUP($B18,'MRP WP2 Combined'!$B$5:$G$504,2,FALSE)</f>
        <v>2.9637395165268875E-2</v>
      </c>
      <c r="E18" s="319">
        <f>VLOOKUP($B18,'MRP WP2 Combined'!$B$5:$G$504,4,FALSE)</f>
        <v>8.5470000000000004E-2</v>
      </c>
      <c r="F18" s="319">
        <f>VLOOKUP($B18,'MRP WP2 Combined'!$B$5:$G$504,5,FALSE)</f>
        <v>0.13</v>
      </c>
      <c r="G18" s="319">
        <f>VLOOKUP($B18,'MRP WP2 Combined'!$B$5:$G$504,6,FALSE)</f>
        <v>8.6999999999999994E-2</v>
      </c>
      <c r="H18" s="314">
        <f t="shared" si="0"/>
        <v>0.10082333333333333</v>
      </c>
      <c r="I18" s="320">
        <f t="shared" si="1"/>
        <v>0.13195479898454202</v>
      </c>
      <c r="J18" s="320">
        <f t="shared" si="2"/>
        <v>2.9066421527410975E-2</v>
      </c>
      <c r="K18" s="321">
        <f t="shared" si="3"/>
        <v>3.83545380984948E-3</v>
      </c>
    </row>
    <row r="19" spans="1:11" x14ac:dyDescent="0.45">
      <c r="A19" s="1" t="s">
        <v>771</v>
      </c>
      <c r="B19" s="1" t="str">
        <f>Input!E43</f>
        <v>EVRG</v>
      </c>
      <c r="C19" s="318">
        <f>VLOOKUP($B19,'MRP WP2 Combined'!$B$5:$G$504,3,FALSE)</f>
        <v>14742.797162309998</v>
      </c>
      <c r="D19" s="319">
        <f>VLOOKUP($B19,'MRP WP2 Combined'!$B$5:$G$504,2,FALSE)</f>
        <v>4.029920523609163E-2</v>
      </c>
      <c r="E19" s="319">
        <f>VLOOKUP($B19,'MRP WP2 Combined'!$B$5:$G$504,4,FALSE)</f>
        <v>5.6850000000000005E-2</v>
      </c>
      <c r="F19" s="319">
        <f>VLOOKUP($B19,'MRP WP2 Combined'!$B$5:$G$504,5,FALSE)</f>
        <v>5.5E-2</v>
      </c>
      <c r="G19" s="319">
        <f>VLOOKUP($B19,'MRP WP2 Combined'!$B$5:$G$504,6,FALSE)</f>
        <v>5.7942999999999995E-2</v>
      </c>
      <c r="H19" s="314">
        <f t="shared" si="0"/>
        <v>5.6597666666666664E-2</v>
      </c>
      <c r="I19" s="320">
        <f t="shared" si="1"/>
        <v>9.8037292395200246E-2</v>
      </c>
      <c r="J19" s="320">
        <f t="shared" si="2"/>
        <v>1.232499376031497E-2</v>
      </c>
      <c r="K19" s="321">
        <f t="shared" si="3"/>
        <v>1.2083090170490172E-3</v>
      </c>
    </row>
    <row r="20" spans="1:11" x14ac:dyDescent="0.45">
      <c r="A20" s="1" t="s">
        <v>773</v>
      </c>
      <c r="B20" s="1" t="str">
        <f>Input!E44</f>
        <v>EXC</v>
      </c>
      <c r="C20" s="318">
        <f>VLOOKUP($B20,'MRP WP2 Combined'!$B$5:$G$504,3,FALSE)</f>
        <v>40193.3462</v>
      </c>
      <c r="D20" s="319">
        <f>VLOOKUP($B20,'MRP WP2 Combined'!$B$5:$G$504,2,FALSE)</f>
        <v>3.8124999999999999E-2</v>
      </c>
      <c r="E20" s="319">
        <f>VLOOKUP($B20,'MRP WP2 Combined'!$B$5:$G$504,4,FALSE)</f>
        <v>5.2350000000000001E-2</v>
      </c>
      <c r="F20" s="319">
        <f>VLOOKUP($B20,'MRP WP2 Combined'!$B$5:$G$504,5,FALSE)</f>
        <v>3.5000000000000003E-2</v>
      </c>
      <c r="G20" s="319">
        <f>VLOOKUP($B20,'MRP WP2 Combined'!$B$5:$G$504,6,FALSE)</f>
        <v>5.9151499999999996E-2</v>
      </c>
      <c r="H20" s="314">
        <f t="shared" si="0"/>
        <v>4.8833833333333333E-2</v>
      </c>
      <c r="I20" s="320">
        <f t="shared" si="1"/>
        <v>8.7889728281249996E-2</v>
      </c>
      <c r="J20" s="320">
        <f t="shared" si="2"/>
        <v>3.3601679224592923E-2</v>
      </c>
      <c r="K20" s="321">
        <f t="shared" si="3"/>
        <v>2.9532424568431952E-3</v>
      </c>
    </row>
    <row r="21" spans="1:11" x14ac:dyDescent="0.45">
      <c r="A21" s="1" t="s">
        <v>783</v>
      </c>
      <c r="B21" s="1" t="str">
        <f>Input!E45</f>
        <v>FE</v>
      </c>
      <c r="C21" s="318">
        <f>VLOOKUP($B21,'MRP WP2 Combined'!$B$5:$G$504,3,FALSE)</f>
        <v>22937.416759199998</v>
      </c>
      <c r="D21" s="319">
        <f>VLOOKUP($B21,'MRP WP2 Combined'!$B$5:$G$504,2,FALSE)</f>
        <v>4.2462311557788943E-2</v>
      </c>
      <c r="E21" s="319">
        <f>VLOOKUP($B21,'MRP WP2 Combined'!$B$5:$G$504,4,FALSE)</f>
        <v>5.808E-2</v>
      </c>
      <c r="F21" s="319">
        <f>VLOOKUP($B21,'MRP WP2 Combined'!$B$5:$G$504,5,FALSE)</f>
        <v>5.5E-2</v>
      </c>
      <c r="G21" s="319">
        <f>VLOOKUP($B21,'MRP WP2 Combined'!$B$5:$G$504,6,FALSE)</f>
        <v>6.6984100000000005E-2</v>
      </c>
      <c r="H21" s="314">
        <f t="shared" si="0"/>
        <v>6.0021366666666666E-2</v>
      </c>
      <c r="I21" s="320">
        <f t="shared" si="1"/>
        <v>0.10375800121021775</v>
      </c>
      <c r="J21" s="320">
        <f t="shared" si="2"/>
        <v>1.9175704265783178E-2</v>
      </c>
      <c r="K21" s="321">
        <f t="shared" si="3"/>
        <v>1.9896327464159085E-3</v>
      </c>
    </row>
    <row r="22" spans="1:11" x14ac:dyDescent="0.45">
      <c r="A22" s="1" t="s">
        <v>873</v>
      </c>
      <c r="B22" s="1" t="str">
        <f>Input!E46</f>
        <v>LNT</v>
      </c>
      <c r="C22" s="318">
        <f>VLOOKUP($B22,'MRP WP2 Combined'!$B$5:$G$504,3,FALSE)</f>
        <v>15108.56101376</v>
      </c>
      <c r="D22" s="319">
        <f>VLOOKUP($B22,'MRP WP2 Combined'!$B$5:$G$504,2,FALSE)</f>
        <v>3.2608695652173912E-2</v>
      </c>
      <c r="E22" s="319">
        <f>VLOOKUP($B22,'MRP WP2 Combined'!$B$5:$G$504,4,FALSE)</f>
        <v>6.7150000000000001E-2</v>
      </c>
      <c r="F22" s="319">
        <f>VLOOKUP($B22,'MRP WP2 Combined'!$B$5:$G$504,5,FALSE)</f>
        <v>0.06</v>
      </c>
      <c r="G22" s="319">
        <f>VLOOKUP($B22,'MRP WP2 Combined'!$B$5:$G$504,6,FALSE)</f>
        <v>6.9104600000000002E-2</v>
      </c>
      <c r="H22" s="314">
        <f t="shared" si="0"/>
        <v>6.5418199999999996E-2</v>
      </c>
      <c r="I22" s="320">
        <f t="shared" si="1"/>
        <v>9.9093496739130427E-2</v>
      </c>
      <c r="J22" s="320">
        <f t="shared" si="2"/>
        <v>1.2630772720524423E-2</v>
      </c>
      <c r="K22" s="321">
        <f t="shared" si="3"/>
        <v>1.2516274353939845E-3</v>
      </c>
    </row>
    <row r="23" spans="1:11" x14ac:dyDescent="0.45">
      <c r="A23" s="1" t="s">
        <v>918</v>
      </c>
      <c r="B23" s="1" t="str">
        <f>Input!E47</f>
        <v>NEE</v>
      </c>
      <c r="C23" s="318">
        <f>VLOOKUP($B23,'MRP WP2 Combined'!$B$5:$G$504,3,FALSE)</f>
        <v>147156.30888240002</v>
      </c>
      <c r="D23" s="319">
        <f>VLOOKUP($B23,'MRP WP2 Combined'!$B$5:$G$504,2,FALSE)</f>
        <v>3.1581889323644495E-2</v>
      </c>
      <c r="E23" s="319">
        <f>VLOOKUP($B23,'MRP WP2 Combined'!$B$5:$G$504,4,FALSE)</f>
        <v>7.5179999999999997E-2</v>
      </c>
      <c r="F23" s="319">
        <f>VLOOKUP($B23,'MRP WP2 Combined'!$B$5:$G$504,5,FALSE)</f>
        <v>8.5000000000000006E-2</v>
      </c>
      <c r="G23" s="319">
        <f>VLOOKUP($B23,'MRP WP2 Combined'!$B$5:$G$504,6,FALSE)</f>
        <v>8.2861100000000007E-2</v>
      </c>
      <c r="H23" s="314">
        <f t="shared" si="0"/>
        <v>8.1013700000000008E-2</v>
      </c>
      <c r="I23" s="320">
        <f t="shared" si="1"/>
        <v>0.11387487217719397</v>
      </c>
      <c r="J23" s="320">
        <f t="shared" si="2"/>
        <v>0.12302282726939316</v>
      </c>
      <c r="K23" s="321">
        <f t="shared" si="3"/>
        <v>1.4009208730179159E-2</v>
      </c>
    </row>
    <row r="24" spans="1:11" x14ac:dyDescent="0.45">
      <c r="A24" s="1" t="s">
        <v>921</v>
      </c>
      <c r="B24" s="1" t="str">
        <f>Input!E48</f>
        <v>NI</v>
      </c>
      <c r="C24" s="318">
        <f>VLOOKUP($B24,'MRP WP2 Combined'!$B$5:$G$504,3,FALSE)</f>
        <v>17410.854573899996</v>
      </c>
      <c r="D24" s="319">
        <f>VLOOKUP($B24,'MRP WP2 Combined'!$B$5:$G$504,2,FALSE)</f>
        <v>2.9088471849865957E-2</v>
      </c>
      <c r="E24" s="319">
        <f>VLOOKUP($B24,'MRP WP2 Combined'!$B$5:$G$504,4,FALSE)</f>
        <v>0.08</v>
      </c>
      <c r="F24" s="319">
        <f>VLOOKUP($B24,'MRP WP2 Combined'!$B$5:$G$504,5,FALSE)</f>
        <v>6.5000000000000002E-2</v>
      </c>
      <c r="G24" s="319">
        <f>VLOOKUP($B24,'MRP WP2 Combined'!$B$5:$G$504,6,FALSE)</f>
        <v>7.8001899999999999E-2</v>
      </c>
      <c r="H24" s="314">
        <f t="shared" si="0"/>
        <v>7.4333966666666682E-2</v>
      </c>
      <c r="I24" s="320">
        <f t="shared" si="1"/>
        <v>0.10450356926496873</v>
      </c>
      <c r="J24" s="320">
        <f t="shared" si="2"/>
        <v>1.4555492531204686E-2</v>
      </c>
      <c r="K24" s="321">
        <f t="shared" si="3"/>
        <v>1.521100921920484E-3</v>
      </c>
    </row>
    <row r="25" spans="1:11" x14ac:dyDescent="0.45">
      <c r="A25" s="1" t="s">
        <v>925</v>
      </c>
      <c r="B25" s="1" t="str">
        <f>Input!E49</f>
        <v>NRG</v>
      </c>
      <c r="C25" s="318">
        <f>VLOOKUP($B25,'MRP WP2 Combined'!$B$5:$G$504,3,FALSE)</f>
        <v>20750.899250120001</v>
      </c>
      <c r="D25" s="319">
        <f>VLOOKUP($B25,'MRP WP2 Combined'!$B$5:$G$504,2,FALSE)</f>
        <v>1.591175322139789E-2</v>
      </c>
      <c r="E25" s="319">
        <f>VLOOKUP($B25,'MRP WP2 Combined'!$B$5:$G$504,4,FALSE)</f>
        <v>9.4E-2</v>
      </c>
      <c r="F25" s="319">
        <f>VLOOKUP($B25,'MRP WP2 Combined'!$B$5:$G$504,5,FALSE)</f>
        <v>0.11</v>
      </c>
      <c r="G25" s="319">
        <f>VLOOKUP($B25,'MRP WP2 Combined'!$B$5:$G$504,6,FALSE)</f>
        <v>9.6500000000000002E-2</v>
      </c>
      <c r="H25" s="314">
        <f t="shared" si="0"/>
        <v>0.10016666666666667</v>
      </c>
      <c r="I25" s="320">
        <f t="shared" si="1"/>
        <v>0.11687533352856957</v>
      </c>
      <c r="J25" s="320">
        <f t="shared" si="2"/>
        <v>1.7347773354197071E-2</v>
      </c>
      <c r="K25" s="321">
        <f t="shared" si="3"/>
        <v>2.027526796749815E-3</v>
      </c>
    </row>
    <row r="26" spans="1:11" x14ac:dyDescent="0.45">
      <c r="A26" s="1" t="s">
        <v>946</v>
      </c>
      <c r="B26" s="1" t="str">
        <f>Input!E50</f>
        <v>PCG</v>
      </c>
      <c r="C26" s="318">
        <f>VLOOKUP($B26,'MRP WP2 Combined'!$B$5:$G$504,3,FALSE)</f>
        <v>34214.134150749996</v>
      </c>
      <c r="D26" s="319">
        <f>VLOOKUP($B26,'MRP WP2 Combined'!$B$5:$G$504,2,FALSE)</f>
        <v>2.8115015974440887E-3</v>
      </c>
      <c r="E26" s="319">
        <f>VLOOKUP($B26,'MRP WP2 Combined'!$B$5:$G$504,4,FALSE)</f>
        <v>9.8049999999999998E-2</v>
      </c>
      <c r="F26" s="319">
        <f>VLOOKUP($B26,'MRP WP2 Combined'!$B$5:$G$504,5,FALSE)</f>
        <v>0.1</v>
      </c>
      <c r="G26" s="319">
        <f>VLOOKUP($B26,'MRP WP2 Combined'!$B$5:$G$504,6,FALSE)</f>
        <v>9.4516699999999995E-2</v>
      </c>
      <c r="H26" s="314">
        <f t="shared" si="0"/>
        <v>9.7522233333333333E-2</v>
      </c>
      <c r="I26" s="320">
        <f t="shared" si="1"/>
        <v>0.10047082688817892</v>
      </c>
      <c r="J26" s="320">
        <f t="shared" si="2"/>
        <v>2.8603051732992848E-2</v>
      </c>
      <c r="K26" s="321">
        <f t="shared" si="3"/>
        <v>2.8737722591391504E-3</v>
      </c>
    </row>
    <row r="27" spans="1:11" x14ac:dyDescent="0.45">
      <c r="A27" s="1" t="s">
        <v>947</v>
      </c>
      <c r="B27" s="1" t="str">
        <f>Input!E51</f>
        <v>PEG</v>
      </c>
      <c r="C27" s="318">
        <f>VLOOKUP($B27,'MRP WP2 Combined'!$B$5:$G$504,3,FALSE)</f>
        <v>41621.751670340003</v>
      </c>
      <c r="D27" s="319">
        <f>VLOOKUP($B27,'MRP WP2 Combined'!$B$5:$G$504,2,FALSE)</f>
        <v>2.8728752693320564E-2</v>
      </c>
      <c r="E27" s="319">
        <f>VLOOKUP($B27,'MRP WP2 Combined'!$B$5:$G$504,4,FALSE)</f>
        <v>6.7430000000000004E-2</v>
      </c>
      <c r="F27" s="319">
        <f>VLOOKUP($B27,'MRP WP2 Combined'!$B$5:$G$504,5,FALSE)</f>
        <v>6.5000000000000002E-2</v>
      </c>
      <c r="G27" s="319">
        <f>VLOOKUP($B27,'MRP WP2 Combined'!$B$5:$G$504,6,FALSE)</f>
        <v>7.1682200000000001E-2</v>
      </c>
      <c r="H27" s="314">
        <f t="shared" si="0"/>
        <v>6.8037399999999998E-2</v>
      </c>
      <c r="I27" s="320">
        <f t="shared" si="1"/>
        <v>9.7743467512568821E-2</v>
      </c>
      <c r="J27" s="320">
        <f t="shared" si="2"/>
        <v>3.4795827683349975E-2</v>
      </c>
      <c r="K27" s="321">
        <f t="shared" si="3"/>
        <v>3.4010648527404612E-3</v>
      </c>
    </row>
    <row r="28" spans="1:11" x14ac:dyDescent="0.45">
      <c r="A28" s="1" t="s">
        <v>960</v>
      </c>
      <c r="B28" s="1" t="str">
        <f>Input!E52</f>
        <v>PNW</v>
      </c>
      <c r="C28" s="318">
        <f>VLOOKUP($B28,'MRP WP2 Combined'!$B$5:$G$504,3,FALSE)</f>
        <v>9887.3363472000001</v>
      </c>
      <c r="D28" s="319">
        <f>VLOOKUP($B28,'MRP WP2 Combined'!$B$5:$G$504,2,FALSE)</f>
        <v>4.0857865685372585E-2</v>
      </c>
      <c r="E28" s="319">
        <f>VLOOKUP($B28,'MRP WP2 Combined'!$B$5:$G$504,4,FALSE)</f>
        <v>5.96E-2</v>
      </c>
      <c r="F28" s="319">
        <f>VLOOKUP($B28,'MRP WP2 Combined'!$B$5:$G$504,5,FALSE)</f>
        <v>0.04</v>
      </c>
      <c r="G28" s="319">
        <f>VLOOKUP($B28,'MRP WP2 Combined'!$B$5:$G$504,6,FALSE)</f>
        <v>6.2977400000000003E-2</v>
      </c>
      <c r="H28" s="314">
        <f t="shared" si="0"/>
        <v>5.4192466666666661E-2</v>
      </c>
      <c r="I28" s="320">
        <f t="shared" si="1"/>
        <v>9.6157426614152094E-2</v>
      </c>
      <c r="J28" s="320">
        <f t="shared" si="2"/>
        <v>8.2658234691659668E-3</v>
      </c>
      <c r="K28" s="321">
        <f t="shared" si="3"/>
        <v>7.9482031364186249E-4</v>
      </c>
    </row>
    <row r="29" spans="1:11" x14ac:dyDescent="0.45">
      <c r="A29" s="1" t="s">
        <v>964</v>
      </c>
      <c r="B29" s="1" t="str">
        <f>Input!E53</f>
        <v>PPL</v>
      </c>
      <c r="C29" s="318">
        <f>VLOOKUP($B29,'MRP WP2 Combined'!$B$5:$G$504,3,FALSE)</f>
        <v>24795.792168</v>
      </c>
      <c r="D29" s="319">
        <f>VLOOKUP($B29,'MRP WP2 Combined'!$B$5:$G$504,2,FALSE)</f>
        <v>3.0416666666666665E-2</v>
      </c>
      <c r="E29" s="319">
        <f>VLOOKUP($B29,'MRP WP2 Combined'!$B$5:$G$504,4,FALSE)</f>
        <v>7.4069999999999997E-2</v>
      </c>
      <c r="F29" s="319">
        <f>VLOOKUP($B29,'MRP WP2 Combined'!$B$5:$G$504,5,FALSE)</f>
        <v>0.115</v>
      </c>
      <c r="G29" s="319">
        <f>VLOOKUP($B29,'MRP WP2 Combined'!$B$5:$G$504,6,FALSE)</f>
        <v>7.1952100000000005E-2</v>
      </c>
      <c r="H29" s="314">
        <f t="shared" si="0"/>
        <v>8.7007366666666683E-2</v>
      </c>
      <c r="I29" s="320">
        <f t="shared" si="1"/>
        <v>0.11874727036805557</v>
      </c>
      <c r="J29" s="320">
        <f t="shared" si="2"/>
        <v>2.0729308040264873E-2</v>
      </c>
      <c r="K29" s="321">
        <f t="shared" si="3"/>
        <v>2.4615487464000412E-3</v>
      </c>
    </row>
    <row r="30" spans="1:11" x14ac:dyDescent="0.45">
      <c r="A30" s="1" t="s">
        <v>993</v>
      </c>
      <c r="B30" s="1" t="str">
        <f>Input!E54</f>
        <v>SO</v>
      </c>
      <c r="C30" s="318">
        <f>VLOOKUP($B30,'MRP WP2 Combined'!$B$5:$G$504,3,FALSE)</f>
        <v>91894.475525050002</v>
      </c>
      <c r="D30" s="319">
        <f>VLOOKUP($B30,'MRP WP2 Combined'!$B$5:$G$504,2,FALSE)</f>
        <v>3.4151280524121502E-2</v>
      </c>
      <c r="E30" s="319">
        <f>VLOOKUP($B30,'MRP WP2 Combined'!$B$5:$G$504,4,FALSE)</f>
        <v>8.199999999999999E-2</v>
      </c>
      <c r="F30" s="319">
        <f>VLOOKUP($B30,'MRP WP2 Combined'!$B$5:$G$504,5,FALSE)</f>
        <v>0.06</v>
      </c>
      <c r="G30" s="319">
        <f>VLOOKUP($B30,'MRP WP2 Combined'!$B$5:$G$504,6,FALSE)</f>
        <v>6.6665799999999997E-2</v>
      </c>
      <c r="H30" s="314">
        <f t="shared" si="0"/>
        <v>6.9555266666666657E-2</v>
      </c>
      <c r="I30" s="320">
        <f t="shared" si="1"/>
        <v>0.10489424790271987</v>
      </c>
      <c r="J30" s="320">
        <f t="shared" si="2"/>
        <v>7.6823877109911676E-2</v>
      </c>
      <c r="K30" s="321">
        <f t="shared" si="3"/>
        <v>8.0583828104151614E-3</v>
      </c>
    </row>
    <row r="31" spans="1:11" x14ac:dyDescent="0.45">
      <c r="A31" s="1" t="s">
        <v>1280</v>
      </c>
      <c r="B31" s="1" t="str">
        <f>Input!E55</f>
        <v>SRE</v>
      </c>
      <c r="C31" s="318">
        <f>VLOOKUP($B31,'MRP WP2 Combined'!$B$5:$G$504,3,FALSE)</f>
        <v>52527.800963520007</v>
      </c>
      <c r="D31" s="319">
        <f>VLOOKUP($B31,'MRP WP2 Combined'!$B$5:$G$504,2,FALSE)</f>
        <v>3.0676474134812493E-2</v>
      </c>
      <c r="E31" s="319">
        <f>VLOOKUP($B31,'MRP WP2 Combined'!$B$5:$G$504,4,FALSE)</f>
        <v>9.8000000000000004E-2</v>
      </c>
      <c r="F31" s="319">
        <f>VLOOKUP($B31,'MRP WP2 Combined'!$B$5:$G$504,5,FALSE)</f>
        <v>0.06</v>
      </c>
      <c r="G31" s="319">
        <f>VLOOKUP($B31,'MRP WP2 Combined'!$B$5:$G$504,6,FALSE)</f>
        <v>6.4958000000000002E-2</v>
      </c>
      <c r="H31" s="314">
        <f t="shared" si="0"/>
        <v>7.4319333333333334E-2</v>
      </c>
      <c r="I31" s="320">
        <f t="shared" si="1"/>
        <v>0.10613573502150409</v>
      </c>
      <c r="J31" s="320">
        <f t="shared" si="2"/>
        <v>4.3913296234824623E-2</v>
      </c>
      <c r="K31" s="321">
        <f t="shared" si="3"/>
        <v>4.660769973100159E-3</v>
      </c>
    </row>
    <row r="32" spans="1:11" x14ac:dyDescent="0.45">
      <c r="A32" s="1" t="s">
        <v>2786</v>
      </c>
      <c r="B32" s="1" t="s">
        <v>2674</v>
      </c>
      <c r="C32" s="318">
        <f>VLOOKUP($B32,'MRP WP2 Combined'!$B$5:$G$504,3,FALSE)</f>
        <v>57168.211578569993</v>
      </c>
      <c r="D32" s="319">
        <f>VLOOKUP($B32,'MRP WP2 Combined'!$B$5:$G$504,2,FALSE)</f>
        <v>5.2669166220317802E-3</v>
      </c>
      <c r="E32" s="319">
        <f>VLOOKUP($B32,'MRP WP2 Combined'!$B$5:$G$504,4,FALSE)</f>
        <v>0.28689999999999999</v>
      </c>
      <c r="F32" s="319" t="str">
        <f>VLOOKUP($B32,'MRP WP2 Combined'!$B$5:$G$504,5,FALSE)</f>
        <v>N/A</v>
      </c>
      <c r="G32" s="319" t="str">
        <f>VLOOKUP($B32,'MRP WP2 Combined'!$B$5:$G$504,6,FALSE)</f>
        <v>NA</v>
      </c>
      <c r="H32" s="314">
        <f t="shared" si="0"/>
        <v>0.28689999999999999</v>
      </c>
      <c r="I32" s="320">
        <f t="shared" si="1"/>
        <v>0.2929224558114622</v>
      </c>
      <c r="J32" s="320">
        <f t="shared" si="2"/>
        <v>4.7792684335069571E-2</v>
      </c>
      <c r="K32" s="321">
        <f t="shared" si="3"/>
        <v>1.3999550465250579E-2</v>
      </c>
    </row>
    <row r="33" spans="1:11" x14ac:dyDescent="0.45">
      <c r="A33" s="1" t="s">
        <v>1057</v>
      </c>
      <c r="B33" s="1" t="str">
        <f>Input!E57</f>
        <v>WEC</v>
      </c>
      <c r="C33" s="318">
        <f>VLOOKUP($B33,'MRP WP2 Combined'!$B$5:$G$504,3,FALSE)</f>
        <v>31401.34230996</v>
      </c>
      <c r="D33" s="319">
        <f>VLOOKUP($B33,'MRP WP2 Combined'!$B$5:$G$504,2,FALSE)</f>
        <v>3.3598629860971181E-2</v>
      </c>
      <c r="E33" s="319">
        <f>VLOOKUP($B33,'MRP WP2 Combined'!$B$5:$G$504,4,FALSE)</f>
        <v>7.2400000000000006E-2</v>
      </c>
      <c r="F33" s="319">
        <f>VLOOKUP($B33,'MRP WP2 Combined'!$B$5:$G$504,5,FALSE)</f>
        <v>7.0000000000000007E-2</v>
      </c>
      <c r="G33" s="319">
        <f>VLOOKUP($B33,'MRP WP2 Combined'!$B$5:$G$504,6,FALSE)</f>
        <v>7.2650699999999999E-2</v>
      </c>
      <c r="H33" s="314">
        <f t="shared" si="0"/>
        <v>7.1683566666666684E-2</v>
      </c>
      <c r="I33" s="320">
        <f t="shared" si="1"/>
        <v>0.10648643133941166</v>
      </c>
      <c r="J33" s="320">
        <f t="shared" si="2"/>
        <v>2.6251554828766999E-2</v>
      </c>
      <c r="K33" s="321">
        <f t="shared" si="3"/>
        <v>2.7954343908262978E-3</v>
      </c>
    </row>
    <row r="34" spans="1:11" x14ac:dyDescent="0.45">
      <c r="A34" s="1" t="s">
        <v>1068</v>
      </c>
      <c r="B34" s="1" t="str">
        <f>Input!E58</f>
        <v>XEL</v>
      </c>
      <c r="C34" s="318">
        <f>VLOOKUP($B34,'MRP WP2 Combined'!$B$5:$G$504,3,FALSE)</f>
        <v>40004.8619712</v>
      </c>
      <c r="D34" s="319">
        <f>VLOOKUP($B34,'MRP WP2 Combined'!$B$5:$G$504,2,FALSE)</f>
        <v>3.245535714285714E-2</v>
      </c>
      <c r="E34" s="319">
        <f>VLOOKUP($B34,'MRP WP2 Combined'!$B$5:$G$504,4,FALSE)</f>
        <v>7.5630000000000003E-2</v>
      </c>
      <c r="F34" s="319">
        <f>VLOOKUP($B34,'MRP WP2 Combined'!$B$5:$G$504,5,FALSE)</f>
        <v>6.5000000000000002E-2</v>
      </c>
      <c r="G34" s="319">
        <f>VLOOKUP($B34,'MRP WP2 Combined'!$B$5:$G$504,6,FALSE)</f>
        <v>7.5416999999999998E-2</v>
      </c>
      <c r="H34" s="314">
        <f t="shared" si="0"/>
        <v>7.2015666666666658E-2</v>
      </c>
      <c r="I34" s="320">
        <f t="shared" si="1"/>
        <v>0.10563967090029761</v>
      </c>
      <c r="J34" s="320">
        <f t="shared" si="2"/>
        <v>3.344410621329106E-2</v>
      </c>
      <c r="K34" s="321">
        <f t="shared" si="3"/>
        <v>3.5330243739266657E-3</v>
      </c>
    </row>
    <row r="35" spans="1:11" x14ac:dyDescent="0.45">
      <c r="C35" s="323">
        <f>SUMIF(I4:I34,"&lt;&gt;n/a",C4:C34)</f>
        <v>1196170.7607333702</v>
      </c>
      <c r="D35" s="324"/>
      <c r="E35" s="324"/>
      <c r="F35" s="324"/>
      <c r="G35" s="324"/>
      <c r="H35" s="324"/>
      <c r="I35" s="324"/>
      <c r="J35" s="325"/>
      <c r="K35" s="326">
        <f>SUM(K4:K34)</f>
        <v>0.11974981720690621</v>
      </c>
    </row>
  </sheetData>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BA1192"/>
  <sheetViews>
    <sheetView topLeftCell="T1" zoomScale="70" zoomScaleNormal="70" workbookViewId="0">
      <selection activeCell="T1" sqref="T1"/>
    </sheetView>
  </sheetViews>
  <sheetFormatPr defaultColWidth="9.734375" defaultRowHeight="13.8" x14ac:dyDescent="0.45"/>
  <cols>
    <col min="1" max="1" width="14" style="294" bestFit="1" customWidth="1"/>
    <col min="2" max="2" width="16.26171875" style="5" customWidth="1"/>
    <col min="3" max="3" width="13.26171875" style="5" customWidth="1"/>
    <col min="4" max="4" width="14" style="5" bestFit="1" customWidth="1"/>
    <col min="5" max="6" width="11" style="5" customWidth="1"/>
    <col min="7" max="7" width="16.26171875" style="5" bestFit="1" customWidth="1"/>
    <col min="8" max="8" width="11" style="5" customWidth="1"/>
    <col min="9" max="11" width="11.5234375" style="5" bestFit="1" customWidth="1"/>
    <col min="12" max="13" width="19" style="294" bestFit="1" customWidth="1"/>
    <col min="14" max="14" width="23" style="294" bestFit="1" customWidth="1"/>
    <col min="15" max="16" width="22.734375" style="294" customWidth="1"/>
    <col min="17" max="17" width="21" style="294" bestFit="1" customWidth="1"/>
    <col min="18" max="18" width="17.26171875" style="294" bestFit="1" customWidth="1"/>
    <col min="19" max="19" width="9.734375" style="294" bestFit="1"/>
    <col min="20" max="20" width="9.734375" style="294"/>
    <col min="21" max="22" width="9.734375" style="294" bestFit="1"/>
    <col min="23" max="23" width="15" style="294" bestFit="1" customWidth="1"/>
    <col min="24" max="24" width="9.734375" style="294" bestFit="1"/>
    <col min="25" max="26" width="14" style="294" bestFit="1" customWidth="1"/>
    <col min="27" max="29" width="9.734375" style="294" bestFit="1"/>
    <col min="30" max="30" width="9.734375" style="294"/>
    <col min="31" max="31" width="9.734375" style="294" bestFit="1"/>
    <col min="32" max="32" width="11.7890625" style="294" bestFit="1" customWidth="1"/>
    <col min="33" max="34" width="9.734375" style="294" bestFit="1"/>
    <col min="35" max="36" width="14" style="294" bestFit="1" customWidth="1"/>
    <col min="37" max="39" width="9.734375" style="294" bestFit="1"/>
    <col min="40" max="40" width="9.734375" style="294"/>
    <col min="41" max="41" width="9.734375" style="294" bestFit="1"/>
    <col min="42" max="42" width="11.7890625" style="294" bestFit="1" customWidth="1"/>
    <col min="43" max="44" width="9.734375" style="294" bestFit="1"/>
    <col min="45" max="45" width="14" style="294" bestFit="1" customWidth="1"/>
    <col min="46" max="49" width="9.734375" style="294" bestFit="1"/>
    <col min="50" max="16384" width="9.734375" style="294"/>
  </cols>
  <sheetData>
    <row r="1" spans="1:49" ht="14.7" thickBot="1" x14ac:dyDescent="0.6">
      <c r="A1" s="294" t="s">
        <v>1094</v>
      </c>
      <c r="B1" s="4"/>
      <c r="C1" s="5" t="s">
        <v>1095</v>
      </c>
      <c r="I1" s="1481"/>
      <c r="J1" s="1481"/>
      <c r="N1" s="294" t="s">
        <v>4428</v>
      </c>
      <c r="P1" s="294" t="s">
        <v>4427</v>
      </c>
      <c r="U1" t="s">
        <v>1096</v>
      </c>
      <c r="V1"/>
      <c r="W1"/>
      <c r="X1"/>
      <c r="Y1"/>
      <c r="Z1"/>
      <c r="AA1"/>
      <c r="AB1"/>
      <c r="AC1"/>
      <c r="AE1" t="s">
        <v>1096</v>
      </c>
      <c r="AF1"/>
      <c r="AG1"/>
      <c r="AH1"/>
      <c r="AI1"/>
      <c r="AJ1"/>
      <c r="AK1"/>
      <c r="AL1"/>
      <c r="AM1"/>
      <c r="AO1" t="s">
        <v>1096</v>
      </c>
      <c r="AP1"/>
      <c r="AQ1"/>
      <c r="AR1"/>
      <c r="AS1"/>
      <c r="AT1"/>
      <c r="AU1"/>
      <c r="AV1"/>
      <c r="AW1"/>
    </row>
    <row r="2" spans="1:49" ht="14.7" thickBot="1" x14ac:dyDescent="0.6">
      <c r="A2" s="294" t="s">
        <v>1097</v>
      </c>
      <c r="B2" s="6"/>
      <c r="C2" s="5" t="s">
        <v>1098</v>
      </c>
      <c r="I2" s="1481"/>
      <c r="J2" s="1481"/>
      <c r="U2"/>
      <c r="V2"/>
      <c r="W2"/>
      <c r="X2"/>
      <c r="Y2"/>
      <c r="Z2"/>
      <c r="AA2"/>
      <c r="AB2"/>
      <c r="AC2"/>
      <c r="AE2"/>
      <c r="AF2"/>
      <c r="AG2"/>
      <c r="AH2"/>
      <c r="AI2"/>
      <c r="AJ2"/>
      <c r="AK2"/>
      <c r="AL2"/>
      <c r="AM2"/>
      <c r="AO2"/>
      <c r="AP2"/>
      <c r="AQ2"/>
      <c r="AR2"/>
      <c r="AS2"/>
      <c r="AT2"/>
      <c r="AU2"/>
      <c r="AV2"/>
      <c r="AW2"/>
    </row>
    <row r="3" spans="1:49" ht="14.4" x14ac:dyDescent="0.55000000000000004">
      <c r="I3" s="1481"/>
      <c r="J3" s="1481"/>
      <c r="U3" s="419" t="s">
        <v>1099</v>
      </c>
      <c r="V3" s="419"/>
      <c r="W3"/>
      <c r="X3"/>
      <c r="Y3"/>
      <c r="Z3"/>
      <c r="AA3"/>
      <c r="AB3"/>
      <c r="AC3"/>
      <c r="AE3" s="419" t="s">
        <v>1099</v>
      </c>
      <c r="AF3" s="419"/>
      <c r="AG3"/>
      <c r="AH3"/>
      <c r="AI3"/>
      <c r="AJ3"/>
      <c r="AK3"/>
      <c r="AL3"/>
      <c r="AM3"/>
      <c r="AO3" s="419" t="s">
        <v>1099</v>
      </c>
      <c r="AP3" s="419"/>
      <c r="AQ3"/>
      <c r="AR3"/>
      <c r="AS3"/>
      <c r="AT3"/>
      <c r="AU3"/>
      <c r="AV3"/>
      <c r="AW3"/>
    </row>
    <row r="4" spans="1:49" ht="28.2" x14ac:dyDescent="0.55000000000000004">
      <c r="B4" s="5" t="s">
        <v>1100</v>
      </c>
      <c r="C4" s="5" t="s">
        <v>1101</v>
      </c>
      <c r="D4" s="5" t="s">
        <v>1102</v>
      </c>
      <c r="E4" s="5" t="s">
        <v>1103</v>
      </c>
      <c r="F4" s="5" t="s">
        <v>1104</v>
      </c>
      <c r="G4" s="54" t="s">
        <v>1105</v>
      </c>
      <c r="H4" s="5" t="s">
        <v>1106</v>
      </c>
      <c r="I4" s="5" t="s">
        <v>1107</v>
      </c>
      <c r="J4" s="5" t="s">
        <v>1108</v>
      </c>
      <c r="K4" s="5" t="s">
        <v>1109</v>
      </c>
      <c r="L4" s="294" t="s">
        <v>1110</v>
      </c>
      <c r="M4" s="294" t="s">
        <v>1111</v>
      </c>
      <c r="N4" s="294" t="s">
        <v>1112</v>
      </c>
      <c r="O4" s="294" t="s">
        <v>1113</v>
      </c>
      <c r="P4" s="294" t="s">
        <v>1114</v>
      </c>
      <c r="Q4" s="294" t="s">
        <v>1115</v>
      </c>
      <c r="R4" s="294" t="s">
        <v>1116</v>
      </c>
      <c r="S4" s="294" t="s">
        <v>1117</v>
      </c>
      <c r="U4" t="s">
        <v>1118</v>
      </c>
      <c r="V4">
        <v>0.13778197239803297</v>
      </c>
      <c r="W4"/>
      <c r="X4"/>
      <c r="Y4"/>
      <c r="Z4"/>
      <c r="AA4"/>
      <c r="AB4"/>
      <c r="AC4"/>
      <c r="AE4" t="s">
        <v>1118</v>
      </c>
      <c r="AF4">
        <v>0.16737335736928852</v>
      </c>
      <c r="AG4"/>
      <c r="AH4"/>
      <c r="AI4"/>
      <c r="AJ4"/>
      <c r="AK4"/>
      <c r="AL4"/>
      <c r="AM4"/>
      <c r="AO4" t="s">
        <v>1118</v>
      </c>
      <c r="AP4">
        <v>0.11488091817443671</v>
      </c>
      <c r="AQ4"/>
      <c r="AR4"/>
      <c r="AS4"/>
      <c r="AT4"/>
      <c r="AU4"/>
      <c r="AV4"/>
      <c r="AW4"/>
    </row>
    <row r="5" spans="1:49" ht="14.4" x14ac:dyDescent="0.55000000000000004">
      <c r="A5" s="295">
        <v>9498</v>
      </c>
      <c r="B5" s="7">
        <v>0</v>
      </c>
      <c r="D5" s="5">
        <v>3.0999999999999999E-3</v>
      </c>
      <c r="U5" t="s">
        <v>1119</v>
      </c>
      <c r="V5">
        <v>1.8983871917892317E-2</v>
      </c>
      <c r="W5"/>
      <c r="X5"/>
      <c r="Y5"/>
      <c r="Z5"/>
      <c r="AA5"/>
      <c r="AB5"/>
      <c r="AC5"/>
      <c r="AE5" t="s">
        <v>1119</v>
      </c>
      <c r="AF5">
        <v>2.801384075706757E-2</v>
      </c>
      <c r="AG5"/>
      <c r="AH5"/>
      <c r="AI5"/>
      <c r="AJ5"/>
      <c r="AK5"/>
      <c r="AL5"/>
      <c r="AM5"/>
      <c r="AO5" t="s">
        <v>1119</v>
      </c>
      <c r="AP5">
        <v>1.3197625360601624E-2</v>
      </c>
      <c r="AQ5"/>
      <c r="AR5"/>
      <c r="AS5"/>
      <c r="AT5"/>
      <c r="AU5"/>
      <c r="AV5"/>
      <c r="AW5"/>
    </row>
    <row r="6" spans="1:49" ht="14.4" x14ac:dyDescent="0.55000000000000004">
      <c r="A6" s="295">
        <v>9529</v>
      </c>
      <c r="B6" s="7">
        <v>-3.85E-2</v>
      </c>
      <c r="D6" s="5">
        <v>2.8E-3</v>
      </c>
      <c r="I6" s="5">
        <f t="shared" ref="I6:I69" si="0">B6-D6</f>
        <v>-4.1299999999999996E-2</v>
      </c>
      <c r="U6" t="s">
        <v>1120</v>
      </c>
      <c r="V6">
        <v>1.8148964574843714E-2</v>
      </c>
      <c r="W6"/>
      <c r="X6"/>
      <c r="Y6"/>
      <c r="Z6"/>
      <c r="AA6"/>
      <c r="AB6"/>
      <c r="AC6"/>
      <c r="AE6" t="s">
        <v>1120</v>
      </c>
      <c r="AF6">
        <v>2.7169369723841735E-2</v>
      </c>
      <c r="AG6"/>
      <c r="AH6"/>
      <c r="AI6"/>
      <c r="AJ6"/>
      <c r="AK6"/>
      <c r="AL6"/>
      <c r="AM6"/>
      <c r="AO6" t="s">
        <v>1120</v>
      </c>
      <c r="AP6">
        <v>1.2340281855267655E-2</v>
      </c>
      <c r="AQ6"/>
      <c r="AR6"/>
      <c r="AS6"/>
      <c r="AT6"/>
      <c r="AU6"/>
      <c r="AV6"/>
      <c r="AW6"/>
    </row>
    <row r="7" spans="1:49" ht="14.4" x14ac:dyDescent="0.55000000000000004">
      <c r="A7" s="295">
        <v>9557</v>
      </c>
      <c r="B7" s="7">
        <v>-5.7500000000000002E-2</v>
      </c>
      <c r="D7" s="5">
        <v>3.2000000000000002E-3</v>
      </c>
      <c r="I7" s="5">
        <f t="shared" si="0"/>
        <v>-6.0700000000000004E-2</v>
      </c>
      <c r="U7" t="s">
        <v>1121</v>
      </c>
      <c r="V7">
        <v>0.20884254945728969</v>
      </c>
      <c r="W7"/>
      <c r="X7"/>
      <c r="Y7"/>
      <c r="Z7"/>
      <c r="AA7"/>
      <c r="AB7"/>
      <c r="AC7"/>
      <c r="AE7" t="s">
        <v>1121</v>
      </c>
      <c r="AF7">
        <v>0.20850843263463462</v>
      </c>
      <c r="AG7"/>
      <c r="AH7"/>
      <c r="AI7"/>
      <c r="AJ7"/>
      <c r="AK7"/>
      <c r="AL7"/>
      <c r="AM7"/>
      <c r="AO7" t="s">
        <v>1121</v>
      </c>
      <c r="AP7">
        <v>0.21620993019012311</v>
      </c>
      <c r="AQ7"/>
      <c r="AR7"/>
      <c r="AS7"/>
      <c r="AT7"/>
      <c r="AU7"/>
      <c r="AV7"/>
      <c r="AW7"/>
    </row>
    <row r="8" spans="1:49" ht="14.7" thickBot="1" x14ac:dyDescent="0.6">
      <c r="A8" s="295">
        <v>9588</v>
      </c>
      <c r="B8" s="7">
        <v>2.53E-2</v>
      </c>
      <c r="D8" s="5">
        <v>3.0000000000000001E-3</v>
      </c>
      <c r="I8" s="5">
        <f t="shared" si="0"/>
        <v>2.23E-2</v>
      </c>
      <c r="U8" s="281" t="s">
        <v>1122</v>
      </c>
      <c r="V8" s="281">
        <v>1177</v>
      </c>
      <c r="W8"/>
      <c r="X8"/>
      <c r="Y8"/>
      <c r="Z8"/>
      <c r="AA8"/>
      <c r="AB8"/>
      <c r="AC8"/>
      <c r="AE8" s="281" t="s">
        <v>1122</v>
      </c>
      <c r="AF8" s="281">
        <v>1153</v>
      </c>
      <c r="AG8"/>
      <c r="AH8"/>
      <c r="AI8"/>
      <c r="AJ8"/>
      <c r="AK8"/>
      <c r="AL8"/>
      <c r="AM8"/>
      <c r="AO8" s="281" t="s">
        <v>1122</v>
      </c>
      <c r="AP8" s="281">
        <v>1153</v>
      </c>
      <c r="AQ8"/>
      <c r="AR8"/>
      <c r="AS8"/>
      <c r="AT8"/>
      <c r="AU8"/>
      <c r="AV8"/>
      <c r="AW8"/>
    </row>
    <row r="9" spans="1:49" ht="14.4" x14ac:dyDescent="0.55000000000000004">
      <c r="A9" s="295">
        <v>9618</v>
      </c>
      <c r="B9" s="7">
        <v>1.7899999999999999E-2</v>
      </c>
      <c r="D9" s="5">
        <v>2.8E-3</v>
      </c>
      <c r="I9" s="5">
        <f t="shared" si="0"/>
        <v>1.5099999999999999E-2</v>
      </c>
      <c r="U9"/>
      <c r="V9"/>
      <c r="W9"/>
      <c r="X9"/>
      <c r="Y9"/>
      <c r="Z9"/>
      <c r="AA9"/>
      <c r="AB9"/>
      <c r="AC9"/>
      <c r="AE9"/>
      <c r="AF9"/>
      <c r="AG9"/>
      <c r="AH9"/>
      <c r="AI9"/>
      <c r="AJ9"/>
      <c r="AK9"/>
      <c r="AL9"/>
      <c r="AM9"/>
      <c r="AO9"/>
      <c r="AP9"/>
      <c r="AQ9"/>
      <c r="AR9"/>
      <c r="AS9"/>
      <c r="AT9"/>
      <c r="AU9"/>
      <c r="AV9"/>
      <c r="AW9"/>
    </row>
    <row r="10" spans="1:49" ht="14.7" thickBot="1" x14ac:dyDescent="0.6">
      <c r="A10" s="295">
        <v>9649</v>
      </c>
      <c r="B10" s="7">
        <v>4.5699999999999998E-2</v>
      </c>
      <c r="D10" s="5">
        <v>3.3E-3</v>
      </c>
      <c r="I10" s="5">
        <f t="shared" si="0"/>
        <v>4.24E-2</v>
      </c>
      <c r="U10" t="s">
        <v>1123</v>
      </c>
      <c r="V10"/>
      <c r="W10"/>
      <c r="X10"/>
      <c r="Y10"/>
      <c r="Z10"/>
      <c r="AA10"/>
      <c r="AB10"/>
      <c r="AC10"/>
      <c r="AE10" t="s">
        <v>1123</v>
      </c>
      <c r="AF10"/>
      <c r="AG10"/>
      <c r="AH10"/>
      <c r="AI10"/>
      <c r="AJ10"/>
      <c r="AK10"/>
      <c r="AL10"/>
      <c r="AM10"/>
      <c r="AO10" t="s">
        <v>1123</v>
      </c>
      <c r="AP10"/>
      <c r="AQ10"/>
      <c r="AR10"/>
      <c r="AS10"/>
      <c r="AT10"/>
      <c r="AU10"/>
      <c r="AV10"/>
      <c r="AW10"/>
    </row>
    <row r="11" spans="1:49" ht="14.4" x14ac:dyDescent="0.55000000000000004">
      <c r="A11" s="295">
        <v>9679</v>
      </c>
      <c r="B11" s="7">
        <v>4.7899999999999998E-2</v>
      </c>
      <c r="D11" s="5">
        <v>3.0999999999999999E-3</v>
      </c>
      <c r="I11" s="5">
        <f t="shared" si="0"/>
        <v>4.48E-2</v>
      </c>
      <c r="U11" s="418"/>
      <c r="V11" s="418" t="s">
        <v>1124</v>
      </c>
      <c r="W11" s="418" t="s">
        <v>1125</v>
      </c>
      <c r="X11" s="418" t="s">
        <v>433</v>
      </c>
      <c r="Y11" s="418" t="s">
        <v>290</v>
      </c>
      <c r="Z11" s="418" t="s">
        <v>1126</v>
      </c>
      <c r="AA11"/>
      <c r="AB11"/>
      <c r="AC11"/>
      <c r="AE11" s="418"/>
      <c r="AF11" s="418" t="s">
        <v>1124</v>
      </c>
      <c r="AG11" s="418" t="s">
        <v>1125</v>
      </c>
      <c r="AH11" s="418" t="s">
        <v>433</v>
      </c>
      <c r="AI11" s="418" t="s">
        <v>290</v>
      </c>
      <c r="AJ11" s="418" t="s">
        <v>1126</v>
      </c>
      <c r="AK11"/>
      <c r="AL11"/>
      <c r="AM11"/>
      <c r="AO11" s="418"/>
      <c r="AP11" s="418" t="s">
        <v>1124</v>
      </c>
      <c r="AQ11" s="418" t="s">
        <v>1125</v>
      </c>
      <c r="AR11" s="418" t="s">
        <v>433</v>
      </c>
      <c r="AS11" s="418" t="s">
        <v>290</v>
      </c>
      <c r="AT11" s="418" t="s">
        <v>1126</v>
      </c>
      <c r="AU11"/>
      <c r="AV11"/>
      <c r="AW11"/>
    </row>
    <row r="12" spans="1:49" ht="14.4" x14ac:dyDescent="0.55000000000000004">
      <c r="A12" s="295">
        <v>9710</v>
      </c>
      <c r="B12" s="7">
        <v>2.4799999999999999E-2</v>
      </c>
      <c r="D12" s="5">
        <v>3.0999999999999999E-3</v>
      </c>
      <c r="I12" s="5">
        <f t="shared" si="0"/>
        <v>2.1700000000000001E-2</v>
      </c>
      <c r="U12" t="s">
        <v>1127</v>
      </c>
      <c r="V12">
        <v>1</v>
      </c>
      <c r="W12">
        <v>0.99170953041777921</v>
      </c>
      <c r="X12">
        <v>0.99170953041777921</v>
      </c>
      <c r="Y12">
        <v>22.737699070383211</v>
      </c>
      <c r="Z12">
        <v>2.0895133453523874E-6</v>
      </c>
      <c r="AA12"/>
      <c r="AB12"/>
      <c r="AC12"/>
      <c r="AE12" t="s">
        <v>1127</v>
      </c>
      <c r="AF12">
        <v>1</v>
      </c>
      <c r="AG12">
        <v>1.4422320612973891</v>
      </c>
      <c r="AH12">
        <v>1.4422320612973891</v>
      </c>
      <c r="AI12">
        <v>33.173240590688202</v>
      </c>
      <c r="AJ12">
        <v>1.0809107838437176E-8</v>
      </c>
      <c r="AK12"/>
      <c r="AL12"/>
      <c r="AM12"/>
      <c r="AO12" t="s">
        <v>1127</v>
      </c>
      <c r="AP12">
        <v>1</v>
      </c>
      <c r="AQ12">
        <v>0.71960174326249415</v>
      </c>
      <c r="AR12">
        <v>0.71960174326249415</v>
      </c>
      <c r="AS12">
        <v>15.393626100264946</v>
      </c>
      <c r="AT12">
        <v>9.2449543807817633E-5</v>
      </c>
      <c r="AU12"/>
      <c r="AV12"/>
      <c r="AW12"/>
    </row>
    <row r="13" spans="1:49" ht="14.4" x14ac:dyDescent="0.55000000000000004">
      <c r="A13" s="295">
        <v>9741</v>
      </c>
      <c r="B13" s="7">
        <v>2.52E-2</v>
      </c>
      <c r="D13" s="5">
        <v>3.0000000000000001E-3</v>
      </c>
      <c r="I13" s="5">
        <f t="shared" si="0"/>
        <v>2.2200000000000001E-2</v>
      </c>
      <c r="U13" t="s">
        <v>1128</v>
      </c>
      <c r="V13">
        <v>1175</v>
      </c>
      <c r="W13">
        <v>51.247872294989079</v>
      </c>
      <c r="X13">
        <v>4.361521046382049E-2</v>
      </c>
      <c r="Y13"/>
      <c r="Z13"/>
      <c r="AA13"/>
      <c r="AB13"/>
      <c r="AC13"/>
      <c r="AE13" t="s">
        <v>1128</v>
      </c>
      <c r="AF13">
        <v>1151</v>
      </c>
      <c r="AG13">
        <v>50.040607218194502</v>
      </c>
      <c r="AH13">
        <v>4.3475766479751959E-2</v>
      </c>
      <c r="AI13"/>
      <c r="AJ13"/>
      <c r="AK13"/>
      <c r="AL13"/>
      <c r="AM13"/>
      <c r="AO13" t="s">
        <v>1128</v>
      </c>
      <c r="AP13">
        <v>1151</v>
      </c>
      <c r="AQ13">
        <v>53.805490733653407</v>
      </c>
      <c r="AR13">
        <v>4.6746733912817903E-2</v>
      </c>
      <c r="AS13"/>
      <c r="AT13"/>
      <c r="AU13"/>
      <c r="AV13"/>
      <c r="AW13"/>
    </row>
    <row r="14" spans="1:49" ht="14.7" thickBot="1" x14ac:dyDescent="0.6">
      <c r="A14" s="295">
        <v>9771</v>
      </c>
      <c r="B14" s="7">
        <v>-2.8400000000000002E-2</v>
      </c>
      <c r="D14" s="5">
        <v>3.0000000000000001E-3</v>
      </c>
      <c r="I14" s="5">
        <f t="shared" si="0"/>
        <v>-3.1400000000000004E-2</v>
      </c>
      <c r="U14" s="281" t="s">
        <v>1129</v>
      </c>
      <c r="V14" s="281">
        <v>1176</v>
      </c>
      <c r="W14" s="281">
        <v>52.239581825406859</v>
      </c>
      <c r="X14" s="281"/>
      <c r="Y14" s="281"/>
      <c r="Z14" s="281"/>
      <c r="AA14"/>
      <c r="AB14"/>
      <c r="AC14"/>
      <c r="AE14" s="281" t="s">
        <v>1129</v>
      </c>
      <c r="AF14" s="281">
        <v>1152</v>
      </c>
      <c r="AG14" s="281">
        <v>51.482839279491891</v>
      </c>
      <c r="AH14" s="281"/>
      <c r="AI14" s="281"/>
      <c r="AJ14" s="281"/>
      <c r="AK14"/>
      <c r="AL14"/>
      <c r="AM14"/>
      <c r="AO14" s="281" t="s">
        <v>1129</v>
      </c>
      <c r="AP14" s="281">
        <v>1152</v>
      </c>
      <c r="AQ14" s="281">
        <v>54.525092476915901</v>
      </c>
      <c r="AR14" s="281"/>
      <c r="AS14" s="281"/>
      <c r="AT14" s="281"/>
      <c r="AU14"/>
      <c r="AV14"/>
      <c r="AW14"/>
    </row>
    <row r="15" spans="1:49" ht="14.7" thickBot="1" x14ac:dyDescent="0.6">
      <c r="A15" s="295">
        <v>9802</v>
      </c>
      <c r="B15" s="7">
        <v>3.4700000000000002E-2</v>
      </c>
      <c r="D15" s="5">
        <v>3.0999999999999999E-3</v>
      </c>
      <c r="I15" s="5">
        <f t="shared" si="0"/>
        <v>3.1600000000000003E-2</v>
      </c>
      <c r="U15"/>
      <c r="V15"/>
      <c r="W15"/>
      <c r="X15"/>
      <c r="Y15"/>
      <c r="Z15"/>
      <c r="AA15"/>
      <c r="AB15"/>
      <c r="AC15"/>
      <c r="AE15"/>
      <c r="AF15"/>
      <c r="AG15"/>
      <c r="AH15"/>
      <c r="AI15"/>
      <c r="AJ15"/>
      <c r="AK15"/>
      <c r="AL15"/>
      <c r="AM15"/>
      <c r="AO15"/>
      <c r="AP15"/>
      <c r="AQ15"/>
      <c r="AR15"/>
      <c r="AS15"/>
      <c r="AT15"/>
      <c r="AU15"/>
      <c r="AV15"/>
      <c r="AW15"/>
    </row>
    <row r="16" spans="1:49" ht="14.4" x14ac:dyDescent="0.55000000000000004">
      <c r="A16" s="295">
        <v>9832</v>
      </c>
      <c r="B16" s="7">
        <v>1.9599999999999999E-2</v>
      </c>
      <c r="D16" s="5">
        <v>3.0000000000000001E-3</v>
      </c>
      <c r="I16" s="5">
        <f t="shared" si="0"/>
        <v>1.66E-2</v>
      </c>
      <c r="L16" s="8">
        <f>((1+B5)*(1+B6)*(1+B7)*(1+B8)*(1+B9)*(1+B10)*(1+B11)*(1+B12)*(1+B13)*(1+B14)*(1+B15)*(1+B16))-1</f>
        <v>0.11607444428240954</v>
      </c>
      <c r="M16" s="8">
        <f>D16*12</f>
        <v>3.6000000000000004E-2</v>
      </c>
      <c r="O16" s="296">
        <f t="shared" ref="O16:O79" si="1">L16-M16</f>
        <v>8.0074444282409535E-2</v>
      </c>
      <c r="U16" s="418"/>
      <c r="V16" s="418" t="s">
        <v>1130</v>
      </c>
      <c r="W16" s="418" t="s">
        <v>1121</v>
      </c>
      <c r="X16" s="418" t="s">
        <v>1131</v>
      </c>
      <c r="Y16" s="418" t="s">
        <v>1132</v>
      </c>
      <c r="Z16" s="418" t="s">
        <v>1133</v>
      </c>
      <c r="AA16" s="418" t="s">
        <v>1134</v>
      </c>
      <c r="AB16" s="418" t="s">
        <v>1135</v>
      </c>
      <c r="AC16" s="418" t="s">
        <v>1136</v>
      </c>
      <c r="AE16" s="418"/>
      <c r="AF16" s="418" t="s">
        <v>1130</v>
      </c>
      <c r="AG16" s="418" t="s">
        <v>1121</v>
      </c>
      <c r="AH16" s="418" t="s">
        <v>1131</v>
      </c>
      <c r="AI16" s="418" t="s">
        <v>1132</v>
      </c>
      <c r="AJ16" s="418" t="s">
        <v>1133</v>
      </c>
      <c r="AK16" s="418" t="s">
        <v>1134</v>
      </c>
      <c r="AL16" s="418" t="s">
        <v>1135</v>
      </c>
      <c r="AM16" s="418" t="s">
        <v>1136</v>
      </c>
      <c r="AO16" s="418"/>
      <c r="AP16" s="418" t="s">
        <v>1130</v>
      </c>
      <c r="AQ16" s="418" t="s">
        <v>1121</v>
      </c>
      <c r="AR16" s="418" t="s">
        <v>1131</v>
      </c>
      <c r="AS16" s="418" t="s">
        <v>1132</v>
      </c>
      <c r="AT16" s="418" t="s">
        <v>1133</v>
      </c>
      <c r="AU16" s="418" t="s">
        <v>1134</v>
      </c>
      <c r="AV16" s="418" t="s">
        <v>1135</v>
      </c>
      <c r="AW16" s="418" t="s">
        <v>1136</v>
      </c>
    </row>
    <row r="17" spans="1:49" ht="14.4" x14ac:dyDescent="0.55000000000000004">
      <c r="A17" s="295">
        <v>9863</v>
      </c>
      <c r="B17" s="7">
        <v>-1.9300000000000001E-2</v>
      </c>
      <c r="D17" s="5">
        <v>3.0000000000000001E-3</v>
      </c>
      <c r="I17" s="5">
        <f t="shared" si="0"/>
        <v>-2.23E-2</v>
      </c>
      <c r="L17" s="8">
        <f t="shared" ref="L17:L80" si="2">((1+B6)*(1+B7)*(1+B8)*(1+B9)*(1+B10)*(1+B11)*(1+B12)*(1+B13)*(1+B14)*(1+B15)*(1+B16)*(1+B17))-1</f>
        <v>9.4534207507759094E-2</v>
      </c>
      <c r="M17" s="8">
        <f t="shared" ref="M17:M80" si="3">D17*12</f>
        <v>3.6000000000000004E-2</v>
      </c>
      <c r="O17" s="296">
        <f t="shared" si="1"/>
        <v>5.853420750775909E-2</v>
      </c>
      <c r="U17" t="s">
        <v>1137</v>
      </c>
      <c r="V17">
        <v>0.12839827778839966</v>
      </c>
      <c r="W17">
        <v>1.2609715939387169E-2</v>
      </c>
      <c r="X17">
        <v>10.182487726574418</v>
      </c>
      <c r="Y17">
        <v>2.149351687779572E-23</v>
      </c>
      <c r="Z17">
        <v>0.10365820445376411</v>
      </c>
      <c r="AA17">
        <v>0.1531383511230352</v>
      </c>
      <c r="AB17">
        <v>0.10365820445376411</v>
      </c>
      <c r="AC17">
        <v>0.1531383511230352</v>
      </c>
      <c r="AE17" t="s">
        <v>1137</v>
      </c>
      <c r="AF17">
        <v>0.13542060713607673</v>
      </c>
      <c r="AG17">
        <v>1.4074007446551065E-2</v>
      </c>
      <c r="AH17">
        <v>9.6220360583411875</v>
      </c>
      <c r="AI17">
        <v>3.9283876961910497E-21</v>
      </c>
      <c r="AJ17">
        <v>0.10780702214848395</v>
      </c>
      <c r="AK17">
        <v>0.16303419212366951</v>
      </c>
      <c r="AL17">
        <v>0.10780702214848395</v>
      </c>
      <c r="AM17">
        <v>0.16303419212366951</v>
      </c>
      <c r="AO17" t="s">
        <v>1137</v>
      </c>
      <c r="AP17">
        <v>9.5098891101234095E-2</v>
      </c>
      <c r="AQ17">
        <v>1.4564084138069172E-2</v>
      </c>
      <c r="AR17">
        <v>6.5296856430988592</v>
      </c>
      <c r="AS17">
        <v>9.8654668444421586E-11</v>
      </c>
      <c r="AT17">
        <v>6.6523762329963002E-2</v>
      </c>
      <c r="AU17">
        <v>0.12367401987250519</v>
      </c>
      <c r="AV17">
        <v>6.6523762329963002E-2</v>
      </c>
      <c r="AW17">
        <v>0.12367401987250519</v>
      </c>
    </row>
    <row r="18" spans="1:49" ht="14.7" thickBot="1" x14ac:dyDescent="0.6">
      <c r="A18" s="295">
        <v>9894</v>
      </c>
      <c r="B18" s="7">
        <v>5.3699999999999998E-2</v>
      </c>
      <c r="D18" s="5">
        <v>2.7000000000000001E-3</v>
      </c>
      <c r="I18" s="5">
        <f t="shared" si="0"/>
        <v>5.0999999999999997E-2</v>
      </c>
      <c r="L18" s="8">
        <f t="shared" si="2"/>
        <v>0.19949110187303742</v>
      </c>
      <c r="M18" s="8">
        <f t="shared" si="3"/>
        <v>3.2399999999999998E-2</v>
      </c>
      <c r="O18" s="296">
        <f t="shared" si="1"/>
        <v>0.16709110187303744</v>
      </c>
      <c r="U18" s="281" t="s">
        <v>1138</v>
      </c>
      <c r="V18" s="281">
        <v>-1.0773160930526755</v>
      </c>
      <c r="W18" s="281">
        <v>0.22592791283355954</v>
      </c>
      <c r="X18" s="281">
        <v>-4.7684063449314973</v>
      </c>
      <c r="Y18" s="281">
        <v>2.08951334535268E-6</v>
      </c>
      <c r="Z18" s="281">
        <v>-1.520583265660773</v>
      </c>
      <c r="AA18" s="281">
        <v>-0.63404892044457806</v>
      </c>
      <c r="AB18" s="281">
        <v>-1.520583265660773</v>
      </c>
      <c r="AC18" s="281">
        <v>-0.63404892044457806</v>
      </c>
      <c r="AE18" s="281" t="s">
        <v>1138</v>
      </c>
      <c r="AF18" s="281">
        <v>-1.256949834809499</v>
      </c>
      <c r="AG18" s="281">
        <v>0.21823479551050431</v>
      </c>
      <c r="AH18" s="281">
        <v>-5.7596215666213411</v>
      </c>
      <c r="AI18" s="281">
        <v>1.0809107838429829E-8</v>
      </c>
      <c r="AJ18" s="281">
        <v>-1.685132432833917</v>
      </c>
      <c r="AK18" s="281">
        <v>-0.82876723678508091</v>
      </c>
      <c r="AL18" s="281">
        <v>-1.685132432833917</v>
      </c>
      <c r="AM18" s="281">
        <v>-0.82876723678508091</v>
      </c>
      <c r="AO18" s="281" t="s">
        <v>1138</v>
      </c>
      <c r="AP18" s="281">
        <v>-0.8219446926030306</v>
      </c>
      <c r="AQ18" s="281">
        <v>0.20949426028503265</v>
      </c>
      <c r="AR18" s="281">
        <v>-3.9234711799965938</v>
      </c>
      <c r="AS18" s="281">
        <v>9.2449543807868333E-5</v>
      </c>
      <c r="AT18" s="281">
        <v>-1.2329781230430052</v>
      </c>
      <c r="AU18" s="281">
        <v>-0.41091126216305601</v>
      </c>
      <c r="AV18" s="281">
        <v>-1.2329781230430052</v>
      </c>
      <c r="AW18" s="281">
        <v>-0.41091126216305601</v>
      </c>
    </row>
    <row r="19" spans="1:49" ht="14.4" x14ac:dyDescent="0.55000000000000004">
      <c r="A19" s="295">
        <v>9922</v>
      </c>
      <c r="B19" s="7">
        <v>8.6999999999999994E-3</v>
      </c>
      <c r="D19" s="5">
        <v>2.8999999999999998E-3</v>
      </c>
      <c r="I19" s="5">
        <f t="shared" si="0"/>
        <v>5.7999999999999996E-3</v>
      </c>
      <c r="L19" s="8">
        <f t="shared" si="2"/>
        <v>0.28374182966507422</v>
      </c>
      <c r="M19" s="8">
        <f t="shared" si="3"/>
        <v>3.4799999999999998E-2</v>
      </c>
      <c r="O19" s="296">
        <f t="shared" si="1"/>
        <v>0.24894182966507422</v>
      </c>
      <c r="U19"/>
      <c r="V19"/>
      <c r="W19"/>
      <c r="X19"/>
      <c r="Y19"/>
      <c r="Z19"/>
      <c r="AA19"/>
      <c r="AB19"/>
      <c r="AC19"/>
      <c r="AE19"/>
      <c r="AF19"/>
      <c r="AG19"/>
      <c r="AH19"/>
      <c r="AI19"/>
      <c r="AJ19"/>
      <c r="AK19"/>
      <c r="AL19"/>
      <c r="AM19"/>
      <c r="AO19"/>
      <c r="AP19"/>
      <c r="AQ19"/>
      <c r="AR19"/>
      <c r="AS19"/>
      <c r="AT19"/>
      <c r="AU19"/>
      <c r="AV19"/>
      <c r="AW19"/>
    </row>
    <row r="20" spans="1:49" ht="14.4" x14ac:dyDescent="0.55000000000000004">
      <c r="A20" s="295">
        <v>9953</v>
      </c>
      <c r="B20" s="7">
        <v>2.01E-2</v>
      </c>
      <c r="D20" s="5">
        <v>2.7000000000000001E-3</v>
      </c>
      <c r="I20" s="5">
        <f t="shared" si="0"/>
        <v>1.7399999999999999E-2</v>
      </c>
      <c r="L20" s="8">
        <f t="shared" si="2"/>
        <v>0.27723109376898725</v>
      </c>
      <c r="M20" s="8">
        <f t="shared" si="3"/>
        <v>3.2399999999999998E-2</v>
      </c>
      <c r="O20" s="296">
        <f t="shared" si="1"/>
        <v>0.24483109376898726</v>
      </c>
      <c r="U20"/>
      <c r="V20"/>
      <c r="W20"/>
      <c r="X20"/>
      <c r="Y20"/>
      <c r="Z20"/>
      <c r="AA20"/>
      <c r="AB20"/>
      <c r="AC20"/>
      <c r="AE20"/>
      <c r="AF20"/>
      <c r="AG20"/>
      <c r="AH20"/>
      <c r="AI20"/>
      <c r="AJ20"/>
      <c r="AK20"/>
      <c r="AL20"/>
      <c r="AM20"/>
      <c r="AO20"/>
      <c r="AP20"/>
      <c r="AQ20"/>
      <c r="AR20"/>
      <c r="AS20"/>
      <c r="AT20"/>
      <c r="AU20"/>
      <c r="AV20"/>
      <c r="AW20"/>
    </row>
    <row r="21" spans="1:49" ht="14.4" x14ac:dyDescent="0.55000000000000004">
      <c r="A21" s="295">
        <v>9983</v>
      </c>
      <c r="B21" s="7">
        <v>6.0699999999999997E-2</v>
      </c>
      <c r="D21" s="5">
        <v>2.7999999999999995E-3</v>
      </c>
      <c r="I21" s="5">
        <f t="shared" si="0"/>
        <v>5.79E-2</v>
      </c>
      <c r="L21" s="8">
        <f t="shared" si="2"/>
        <v>0.33093527965494141</v>
      </c>
      <c r="M21" s="8">
        <f t="shared" si="3"/>
        <v>3.3599999999999991E-2</v>
      </c>
      <c r="O21" s="296">
        <f t="shared" si="1"/>
        <v>0.29733527965494144</v>
      </c>
      <c r="U21"/>
      <c r="V21"/>
      <c r="W21"/>
      <c r="X21"/>
      <c r="Y21"/>
      <c r="Z21"/>
      <c r="AA21"/>
      <c r="AB21"/>
      <c r="AC21"/>
      <c r="AE21"/>
      <c r="AF21"/>
      <c r="AG21"/>
      <c r="AH21"/>
      <c r="AI21"/>
      <c r="AJ21"/>
      <c r="AK21"/>
      <c r="AL21"/>
      <c r="AM21"/>
      <c r="AO21"/>
      <c r="AP21"/>
      <c r="AQ21"/>
      <c r="AR21"/>
      <c r="AS21"/>
      <c r="AT21"/>
      <c r="AU21"/>
      <c r="AV21"/>
      <c r="AW21"/>
    </row>
    <row r="22" spans="1:49" x14ac:dyDescent="0.45">
      <c r="A22" s="295">
        <v>10014</v>
      </c>
      <c r="B22" s="7">
        <v>-6.7000000000000002E-3</v>
      </c>
      <c r="D22" s="5">
        <v>2.7000000000000001E-3</v>
      </c>
      <c r="I22" s="5">
        <f t="shared" si="0"/>
        <v>-9.4000000000000004E-3</v>
      </c>
      <c r="L22" s="8">
        <f t="shared" si="2"/>
        <v>0.26424214715621375</v>
      </c>
      <c r="M22" s="8">
        <f t="shared" si="3"/>
        <v>3.2399999999999998E-2</v>
      </c>
      <c r="O22" s="296">
        <f t="shared" si="1"/>
        <v>0.23184214715621376</v>
      </c>
      <c r="U22" s="297"/>
      <c r="V22" s="297"/>
      <c r="W22" s="297"/>
      <c r="X22" s="297"/>
      <c r="Y22" s="297"/>
      <c r="Z22" s="297"/>
      <c r="AA22" s="297"/>
      <c r="AB22" s="297"/>
      <c r="AC22" s="297"/>
      <c r="AE22" s="297"/>
      <c r="AF22" s="297"/>
      <c r="AG22" s="297"/>
      <c r="AH22" s="297"/>
      <c r="AI22" s="297"/>
      <c r="AJ22" s="297"/>
      <c r="AK22" s="297"/>
      <c r="AL22" s="297"/>
      <c r="AM22" s="297"/>
      <c r="AO22" s="297"/>
      <c r="AP22" s="297"/>
      <c r="AQ22" s="297"/>
      <c r="AR22" s="297"/>
      <c r="AS22" s="297"/>
      <c r="AT22" s="297"/>
      <c r="AU22" s="297"/>
      <c r="AV22" s="297"/>
      <c r="AW22" s="297"/>
    </row>
    <row r="23" spans="1:49" ht="14.1" thickBot="1" x14ac:dyDescent="0.5">
      <c r="A23" s="295">
        <v>10044</v>
      </c>
      <c r="B23" s="7">
        <v>6.7000000000000004E-2</v>
      </c>
      <c r="D23" s="5">
        <v>2.7000000000000001E-3</v>
      </c>
      <c r="I23" s="5">
        <f t="shared" si="0"/>
        <v>6.430000000000001E-2</v>
      </c>
      <c r="L23" s="8">
        <f t="shared" si="2"/>
        <v>0.28728540033942163</v>
      </c>
      <c r="M23" s="8">
        <f t="shared" si="3"/>
        <v>3.2399999999999998E-2</v>
      </c>
      <c r="O23" s="296">
        <f t="shared" si="1"/>
        <v>0.25488540033942164</v>
      </c>
      <c r="U23" s="297"/>
      <c r="V23" s="297"/>
      <c r="W23" s="297"/>
      <c r="X23" s="297"/>
      <c r="Y23" s="297"/>
      <c r="Z23" s="297"/>
      <c r="AA23" s="297"/>
      <c r="AB23" s="297"/>
      <c r="AC23" s="297"/>
      <c r="AE23" s="297"/>
      <c r="AF23" s="297"/>
      <c r="AG23" s="297"/>
      <c r="AH23" s="297"/>
      <c r="AI23" s="297"/>
      <c r="AJ23" s="297"/>
      <c r="AK23" s="297"/>
      <c r="AL23" s="297"/>
      <c r="AM23" s="297"/>
      <c r="AO23" s="297"/>
      <c r="AP23" s="297"/>
      <c r="AQ23" s="297"/>
      <c r="AR23" s="297"/>
      <c r="AS23" s="297"/>
      <c r="AT23" s="297"/>
      <c r="AU23" s="297"/>
      <c r="AV23" s="297"/>
      <c r="AW23" s="297"/>
    </row>
    <row r="24" spans="1:49" ht="14.1" x14ac:dyDescent="0.5">
      <c r="A24" s="295">
        <v>10075</v>
      </c>
      <c r="B24" s="7">
        <v>5.1499999999999997E-2</v>
      </c>
      <c r="D24" s="5">
        <v>2.8999999999999998E-3</v>
      </c>
      <c r="I24" s="5">
        <f t="shared" si="0"/>
        <v>4.8599999999999997E-2</v>
      </c>
      <c r="L24" s="8">
        <f t="shared" si="2"/>
        <v>0.32082415930611119</v>
      </c>
      <c r="M24" s="8">
        <f t="shared" si="3"/>
        <v>3.4799999999999998E-2</v>
      </c>
      <c r="O24" s="296">
        <f t="shared" si="1"/>
        <v>0.28602415930611119</v>
      </c>
      <c r="U24" s="298"/>
      <c r="V24" s="298"/>
      <c r="W24" s="298"/>
      <c r="X24" s="297"/>
      <c r="Y24" s="297"/>
      <c r="Z24" s="297"/>
      <c r="AA24" s="297"/>
      <c r="AB24" s="297"/>
      <c r="AC24" s="297"/>
      <c r="AE24" s="298"/>
      <c r="AF24" s="298"/>
      <c r="AG24" s="298"/>
      <c r="AH24" s="297"/>
      <c r="AI24" s="297"/>
      <c r="AJ24" s="297"/>
      <c r="AK24" s="297"/>
      <c r="AL24" s="297"/>
      <c r="AM24" s="297"/>
      <c r="AO24" s="298"/>
      <c r="AP24" s="298"/>
      <c r="AQ24" s="298"/>
      <c r="AR24" s="297"/>
      <c r="AS24" s="297"/>
      <c r="AT24" s="297"/>
      <c r="AU24" s="297"/>
      <c r="AV24" s="297"/>
      <c r="AW24" s="297"/>
    </row>
    <row r="25" spans="1:49" x14ac:dyDescent="0.45">
      <c r="A25" s="295">
        <v>10106</v>
      </c>
      <c r="B25" s="7">
        <v>4.4999999999999998E-2</v>
      </c>
      <c r="D25" s="5">
        <v>2.7000000000000001E-3</v>
      </c>
      <c r="I25" s="5">
        <f t="shared" si="0"/>
        <v>4.2299999999999997E-2</v>
      </c>
      <c r="L25" s="8">
        <f t="shared" si="2"/>
        <v>0.34633363877768808</v>
      </c>
      <c r="M25" s="8">
        <f t="shared" si="3"/>
        <v>3.2399999999999998E-2</v>
      </c>
      <c r="O25" s="296">
        <f t="shared" si="1"/>
        <v>0.3139336387776881</v>
      </c>
      <c r="U25" s="297"/>
      <c r="V25" s="297"/>
      <c r="W25" s="297"/>
      <c r="X25" s="297"/>
      <c r="Y25" s="297"/>
      <c r="Z25" s="297"/>
      <c r="AA25" s="297"/>
      <c r="AB25" s="297"/>
      <c r="AC25" s="297"/>
      <c r="AE25" s="297"/>
      <c r="AF25" s="297"/>
      <c r="AG25" s="297"/>
      <c r="AH25" s="297"/>
      <c r="AI25" s="297"/>
      <c r="AJ25" s="297"/>
      <c r="AK25" s="297"/>
      <c r="AL25" s="297"/>
      <c r="AM25" s="297"/>
      <c r="AO25" s="297"/>
      <c r="AP25" s="297"/>
      <c r="AQ25" s="297"/>
      <c r="AR25" s="297"/>
      <c r="AS25" s="297"/>
      <c r="AT25" s="297"/>
      <c r="AU25" s="297"/>
      <c r="AV25" s="297"/>
      <c r="AW25" s="297"/>
    </row>
    <row r="26" spans="1:49" x14ac:dyDescent="0.45">
      <c r="A26" s="295">
        <v>10136</v>
      </c>
      <c r="B26" s="7">
        <v>-5.0200000000000002E-2</v>
      </c>
      <c r="D26" s="5">
        <v>2.7999999999999995E-3</v>
      </c>
      <c r="I26" s="5">
        <f t="shared" si="0"/>
        <v>-5.2999999999999999E-2</v>
      </c>
      <c r="L26" s="8">
        <f t="shared" si="2"/>
        <v>0.31612565882158083</v>
      </c>
      <c r="M26" s="8">
        <f t="shared" si="3"/>
        <v>3.3599999999999991E-2</v>
      </c>
      <c r="O26" s="296">
        <f t="shared" si="1"/>
        <v>0.28252565882158087</v>
      </c>
      <c r="U26" s="297"/>
      <c r="V26" s="297"/>
      <c r="W26" s="297"/>
      <c r="X26" s="297"/>
      <c r="Y26" s="297"/>
      <c r="Z26" s="297"/>
      <c r="AA26" s="297"/>
      <c r="AB26" s="297"/>
      <c r="AC26" s="297"/>
      <c r="AE26" s="297"/>
      <c r="AF26" s="297"/>
      <c r="AG26" s="297"/>
      <c r="AH26" s="297"/>
      <c r="AI26" s="297"/>
      <c r="AJ26" s="297"/>
      <c r="AK26" s="297"/>
      <c r="AL26" s="297"/>
      <c r="AM26" s="297"/>
      <c r="AO26" s="297"/>
      <c r="AP26" s="297"/>
      <c r="AQ26" s="297"/>
      <c r="AR26" s="297"/>
      <c r="AS26" s="297"/>
      <c r="AT26" s="297"/>
      <c r="AU26" s="297"/>
      <c r="AV26" s="297"/>
      <c r="AW26" s="297"/>
    </row>
    <row r="27" spans="1:49" x14ac:dyDescent="0.45">
      <c r="A27" s="295">
        <v>10167</v>
      </c>
      <c r="B27" s="7">
        <v>7.2099999999999997E-2</v>
      </c>
      <c r="D27" s="5">
        <v>2.7000000000000001E-3</v>
      </c>
      <c r="I27" s="5">
        <f t="shared" si="0"/>
        <v>6.9400000000000003E-2</v>
      </c>
      <c r="L27" s="8">
        <f t="shared" si="2"/>
        <v>0.36369799828222393</v>
      </c>
      <c r="M27" s="8">
        <f t="shared" si="3"/>
        <v>3.2399999999999998E-2</v>
      </c>
      <c r="O27" s="296">
        <f t="shared" si="1"/>
        <v>0.33129799828222395</v>
      </c>
      <c r="U27" s="297"/>
      <c r="V27" s="297"/>
      <c r="W27" s="297"/>
      <c r="X27" s="297"/>
      <c r="Y27" s="297"/>
      <c r="Z27" s="297"/>
      <c r="AA27" s="297"/>
      <c r="AB27" s="297"/>
      <c r="AC27" s="297"/>
      <c r="AE27" s="297"/>
      <c r="AF27" s="297"/>
      <c r="AG27" s="297"/>
      <c r="AH27" s="297"/>
      <c r="AI27" s="297"/>
      <c r="AJ27" s="297"/>
      <c r="AK27" s="297"/>
      <c r="AL27" s="297"/>
      <c r="AM27" s="297"/>
      <c r="AO27" s="297"/>
      <c r="AP27" s="297"/>
      <c r="AQ27" s="297"/>
      <c r="AR27" s="297"/>
      <c r="AS27" s="297"/>
      <c r="AT27" s="297"/>
      <c r="AU27" s="297"/>
      <c r="AV27" s="297"/>
      <c r="AW27" s="297"/>
    </row>
    <row r="28" spans="1:49" x14ac:dyDescent="0.45">
      <c r="A28" s="295">
        <v>10197</v>
      </c>
      <c r="B28" s="7">
        <v>2.7900000000000001E-2</v>
      </c>
      <c r="D28" s="5">
        <v>2.7000000000000001E-3</v>
      </c>
      <c r="I28" s="5">
        <f t="shared" si="0"/>
        <v>2.52E-2</v>
      </c>
      <c r="L28" s="8">
        <f t="shared" si="2"/>
        <v>0.37479910988063758</v>
      </c>
      <c r="M28" s="8">
        <f t="shared" si="3"/>
        <v>3.2399999999999998E-2</v>
      </c>
      <c r="O28" s="296">
        <f t="shared" si="1"/>
        <v>0.3423991098806376</v>
      </c>
      <c r="U28" s="297"/>
      <c r="V28" s="297"/>
      <c r="W28" s="297"/>
      <c r="X28" s="297"/>
      <c r="Y28" s="297"/>
      <c r="Z28" s="297"/>
      <c r="AA28" s="297"/>
      <c r="AB28" s="297"/>
      <c r="AC28" s="297"/>
      <c r="AE28" s="297"/>
      <c r="AF28" s="297"/>
      <c r="AG28" s="297"/>
      <c r="AH28" s="297"/>
      <c r="AI28" s="297"/>
      <c r="AJ28" s="297"/>
      <c r="AK28" s="297"/>
      <c r="AL28" s="297"/>
      <c r="AM28" s="297"/>
      <c r="AO28" s="297"/>
      <c r="AP28" s="297"/>
      <c r="AQ28" s="297"/>
      <c r="AR28" s="297"/>
      <c r="AS28" s="297"/>
      <c r="AT28" s="297"/>
      <c r="AU28" s="297"/>
      <c r="AV28" s="297"/>
      <c r="AW28" s="297"/>
    </row>
    <row r="29" spans="1:49" x14ac:dyDescent="0.45">
      <c r="A29" s="295">
        <v>10228</v>
      </c>
      <c r="B29" s="7">
        <v>-4.0000000000000001E-3</v>
      </c>
      <c r="C29" s="5">
        <v>3.7499999999999999E-2</v>
      </c>
      <c r="D29" s="5">
        <v>2.7000000000000001E-3</v>
      </c>
      <c r="E29" s="5">
        <v>3.7166666666666663E-3</v>
      </c>
      <c r="F29" s="5">
        <v>3.8416666666666673E-3</v>
      </c>
      <c r="G29" s="5">
        <v>3.7791666666666668E-3</v>
      </c>
      <c r="H29" s="5">
        <v>4.0416666666666665E-3</v>
      </c>
      <c r="I29" s="5">
        <f t="shared" si="0"/>
        <v>-6.7000000000000002E-3</v>
      </c>
      <c r="J29" s="5">
        <f t="shared" ref="J29:J92" si="4">B29-G29</f>
        <v>-7.7791666666666669E-3</v>
      </c>
      <c r="K29" s="5">
        <f t="shared" ref="K29:K92" si="5">$C29-H29</f>
        <v>3.3458333333333333E-2</v>
      </c>
      <c r="L29" s="8">
        <f t="shared" si="2"/>
        <v>0.39624748999807768</v>
      </c>
      <c r="M29" s="8">
        <f t="shared" si="3"/>
        <v>3.2399999999999998E-2</v>
      </c>
      <c r="O29" s="296">
        <f t="shared" si="1"/>
        <v>0.3638474899980777</v>
      </c>
      <c r="U29" s="297"/>
      <c r="V29" s="297"/>
      <c r="W29" s="297"/>
      <c r="X29" s="297"/>
      <c r="Y29" s="297"/>
      <c r="Z29" s="297"/>
      <c r="AA29" s="297"/>
      <c r="AB29" s="297"/>
      <c r="AC29" s="297"/>
      <c r="AE29" s="297"/>
      <c r="AF29" s="297"/>
      <c r="AG29" s="297"/>
      <c r="AH29" s="297"/>
      <c r="AI29" s="297"/>
      <c r="AJ29" s="297"/>
      <c r="AK29" s="297"/>
      <c r="AL29" s="297"/>
      <c r="AM29" s="297"/>
      <c r="AO29" s="297"/>
      <c r="AP29" s="297"/>
      <c r="AQ29" s="297"/>
      <c r="AR29" s="297"/>
      <c r="AS29" s="297"/>
      <c r="AT29" s="297"/>
      <c r="AU29" s="297"/>
      <c r="AV29" s="297"/>
      <c r="AW29" s="297"/>
    </row>
    <row r="30" spans="1:49" x14ac:dyDescent="0.45">
      <c r="A30" s="295">
        <v>10259</v>
      </c>
      <c r="B30" s="7">
        <v>-1.2500000000000001E-2</v>
      </c>
      <c r="C30" s="5">
        <v>-8.0000000000000002E-3</v>
      </c>
      <c r="D30" s="5">
        <v>2.5000000000000001E-3</v>
      </c>
      <c r="E30" s="5">
        <v>3.7166666666666663E-3</v>
      </c>
      <c r="F30" s="5">
        <v>3.8416666666666673E-3</v>
      </c>
      <c r="G30" s="5">
        <v>3.7791666666666668E-3</v>
      </c>
      <c r="H30" s="5">
        <v>4.0416666666666665E-3</v>
      </c>
      <c r="I30" s="5">
        <f t="shared" si="0"/>
        <v>-1.5000000000000001E-2</v>
      </c>
      <c r="J30" s="5">
        <f t="shared" si="4"/>
        <v>-1.6279166666666667E-2</v>
      </c>
      <c r="K30" s="5">
        <f t="shared" si="5"/>
        <v>-1.2041666666666666E-2</v>
      </c>
      <c r="L30" s="8">
        <f t="shared" si="2"/>
        <v>0.30852652213447995</v>
      </c>
      <c r="M30" s="8">
        <f t="shared" si="3"/>
        <v>0.03</v>
      </c>
      <c r="O30" s="296">
        <f t="shared" si="1"/>
        <v>0.27852652213447993</v>
      </c>
      <c r="U30" s="297"/>
      <c r="V30" s="297"/>
      <c r="W30" s="297"/>
      <c r="X30" s="297"/>
      <c r="Y30" s="297"/>
      <c r="Z30" s="297"/>
      <c r="AA30" s="297"/>
      <c r="AB30" s="297"/>
      <c r="AC30" s="297"/>
      <c r="AE30" s="297"/>
      <c r="AF30" s="297"/>
      <c r="AG30" s="297"/>
      <c r="AH30" s="297"/>
      <c r="AI30" s="297"/>
      <c r="AJ30" s="297"/>
      <c r="AK30" s="297"/>
      <c r="AL30" s="297"/>
      <c r="AM30" s="297"/>
      <c r="AO30" s="297"/>
      <c r="AP30" s="297"/>
      <c r="AQ30" s="297"/>
      <c r="AR30" s="297"/>
      <c r="AS30" s="297"/>
      <c r="AT30" s="297"/>
      <c r="AU30" s="297"/>
      <c r="AV30" s="297"/>
      <c r="AW30" s="297"/>
    </row>
    <row r="31" spans="1:49" x14ac:dyDescent="0.45">
      <c r="A31" s="295">
        <v>10288</v>
      </c>
      <c r="B31" s="7">
        <v>0.1101</v>
      </c>
      <c r="C31" s="5">
        <v>7.2299999999999989E-2</v>
      </c>
      <c r="D31" s="5">
        <v>2.7000000000000001E-3</v>
      </c>
      <c r="E31" s="5">
        <v>3.7166666666666663E-3</v>
      </c>
      <c r="F31" s="5">
        <v>3.8250000000000003E-3</v>
      </c>
      <c r="G31" s="5">
        <v>3.7708333333333331E-3</v>
      </c>
      <c r="H31" s="5">
        <v>4.0166666666666666E-3</v>
      </c>
      <c r="I31" s="5">
        <f t="shared" si="0"/>
        <v>0.10740000000000001</v>
      </c>
      <c r="J31" s="5">
        <f t="shared" si="4"/>
        <v>0.10632916666666667</v>
      </c>
      <c r="K31" s="5">
        <f t="shared" si="5"/>
        <v>6.8283333333333321E-2</v>
      </c>
      <c r="L31" s="8">
        <f t="shared" si="2"/>
        <v>0.44006671182857837</v>
      </c>
      <c r="M31" s="8">
        <f t="shared" si="3"/>
        <v>3.2399999999999998E-2</v>
      </c>
      <c r="O31" s="296">
        <f t="shared" si="1"/>
        <v>0.40766671182857839</v>
      </c>
      <c r="U31" s="297"/>
      <c r="V31" s="297"/>
      <c r="W31" s="297"/>
      <c r="X31" s="297"/>
      <c r="Y31" s="297"/>
      <c r="Z31" s="297"/>
      <c r="AA31" s="297"/>
      <c r="AB31" s="297"/>
      <c r="AC31" s="297"/>
      <c r="AE31" s="297"/>
      <c r="AF31" s="297"/>
      <c r="AG31" s="297"/>
      <c r="AH31" s="297"/>
      <c r="AI31" s="297"/>
      <c r="AJ31" s="297"/>
      <c r="AK31" s="297"/>
      <c r="AL31" s="297"/>
      <c r="AM31" s="297"/>
      <c r="AO31" s="297"/>
      <c r="AP31" s="297"/>
      <c r="AQ31" s="297"/>
      <c r="AR31" s="297"/>
      <c r="AS31" s="297"/>
      <c r="AT31" s="297"/>
      <c r="AU31" s="297"/>
      <c r="AV31" s="297"/>
      <c r="AW31" s="297"/>
    </row>
    <row r="32" spans="1:49" x14ac:dyDescent="0.45">
      <c r="A32" s="295">
        <v>10319</v>
      </c>
      <c r="B32" s="7">
        <v>3.4500000000000003E-2</v>
      </c>
      <c r="C32" s="5">
        <v>9.8600000000000007E-2</v>
      </c>
      <c r="D32" s="5">
        <v>2.5999999999999999E-3</v>
      </c>
      <c r="E32" s="5">
        <v>3.7166666666666663E-3</v>
      </c>
      <c r="F32" s="5">
        <v>3.8333333333333331E-3</v>
      </c>
      <c r="G32" s="5">
        <v>3.7749999999999993E-3</v>
      </c>
      <c r="H32" s="5">
        <v>4.0166666666666666E-3</v>
      </c>
      <c r="I32" s="5">
        <f t="shared" si="0"/>
        <v>3.1900000000000005E-2</v>
      </c>
      <c r="J32" s="5">
        <f t="shared" si="4"/>
        <v>3.0725000000000002E-2</v>
      </c>
      <c r="K32" s="5">
        <f t="shared" si="5"/>
        <v>9.4583333333333339E-2</v>
      </c>
      <c r="L32" s="8">
        <f t="shared" si="2"/>
        <v>0.46039507243080435</v>
      </c>
      <c r="M32" s="8">
        <f t="shared" si="3"/>
        <v>3.1199999999999999E-2</v>
      </c>
      <c r="O32" s="296">
        <f t="shared" si="1"/>
        <v>0.42919507243080435</v>
      </c>
      <c r="U32" s="297"/>
      <c r="V32" s="297"/>
      <c r="W32" s="297"/>
      <c r="X32" s="297"/>
      <c r="Y32" s="297"/>
      <c r="Z32" s="297"/>
      <c r="AA32" s="297"/>
      <c r="AB32" s="297"/>
      <c r="AC32" s="297"/>
      <c r="AE32" s="297"/>
      <c r="AF32" s="297"/>
      <c r="AG32" s="297"/>
      <c r="AH32" s="297"/>
      <c r="AI32" s="297"/>
      <c r="AJ32" s="297"/>
      <c r="AK32" s="297"/>
      <c r="AL32" s="297"/>
      <c r="AM32" s="297"/>
      <c r="AO32" s="297"/>
      <c r="AP32" s="297"/>
      <c r="AQ32" s="297"/>
      <c r="AR32" s="297"/>
      <c r="AS32" s="297"/>
      <c r="AT32" s="297"/>
      <c r="AU32" s="297"/>
      <c r="AV32" s="297"/>
      <c r="AW32" s="297"/>
    </row>
    <row r="33" spans="1:53" x14ac:dyDescent="0.45">
      <c r="A33" s="295">
        <v>10349</v>
      </c>
      <c r="B33" s="7">
        <v>1.9699999999999999E-2</v>
      </c>
      <c r="C33" s="5">
        <v>2.0799999999999999E-2</v>
      </c>
      <c r="D33" s="5">
        <v>2.7000000000000001E-3</v>
      </c>
      <c r="E33" s="5">
        <v>3.741666666666667E-3</v>
      </c>
      <c r="F33" s="5">
        <v>3.8666666666666667E-3</v>
      </c>
      <c r="G33" s="5">
        <v>3.8041666666666666E-3</v>
      </c>
      <c r="H33" s="5">
        <v>4.0583333333333331E-3</v>
      </c>
      <c r="I33" s="5">
        <f t="shared" si="0"/>
        <v>1.6999999999999998E-2</v>
      </c>
      <c r="J33" s="5">
        <f t="shared" si="4"/>
        <v>1.5895833333333331E-2</v>
      </c>
      <c r="K33" s="5">
        <f t="shared" si="5"/>
        <v>1.6741666666666665E-2</v>
      </c>
      <c r="L33" s="8">
        <f t="shared" si="2"/>
        <v>0.4039453713186496</v>
      </c>
      <c r="M33" s="8">
        <f t="shared" si="3"/>
        <v>3.2399999999999998E-2</v>
      </c>
      <c r="O33" s="296">
        <f t="shared" si="1"/>
        <v>0.37154537131864962</v>
      </c>
      <c r="U33" s="297"/>
      <c r="V33" s="297"/>
      <c r="W33" s="297"/>
      <c r="X33" s="297"/>
      <c r="Y33" s="297"/>
      <c r="Z33" s="297"/>
      <c r="AA33" s="297"/>
      <c r="AB33" s="297"/>
      <c r="AC33" s="297"/>
      <c r="AE33" s="297"/>
      <c r="AF33" s="297"/>
      <c r="AG33" s="297"/>
      <c r="AH33" s="297"/>
      <c r="AI33" s="297"/>
      <c r="AJ33" s="297"/>
      <c r="AK33" s="297"/>
      <c r="AL33" s="297"/>
      <c r="AM33" s="297"/>
      <c r="AO33" s="297"/>
      <c r="AP33" s="297"/>
      <c r="AQ33" s="297"/>
      <c r="AR33" s="297"/>
      <c r="AS33" s="297"/>
      <c r="AT33" s="297"/>
      <c r="AU33" s="297"/>
      <c r="AV33" s="297"/>
      <c r="AW33" s="297"/>
    </row>
    <row r="34" spans="1:53" x14ac:dyDescent="0.45">
      <c r="A34" s="295">
        <v>10380</v>
      </c>
      <c r="B34" s="7">
        <v>-3.85E-2</v>
      </c>
      <c r="C34" s="5">
        <v>-4.0099999999999997E-2</v>
      </c>
      <c r="D34" s="5">
        <v>2.7000000000000001E-3</v>
      </c>
      <c r="E34" s="5">
        <v>3.8083333333333337E-3</v>
      </c>
      <c r="F34" s="5">
        <v>3.9583333333333328E-3</v>
      </c>
      <c r="G34" s="5">
        <v>3.8833333333333333E-3</v>
      </c>
      <c r="H34" s="5">
        <v>4.1583333333333333E-3</v>
      </c>
      <c r="I34" s="5">
        <f t="shared" si="0"/>
        <v>-4.1200000000000001E-2</v>
      </c>
      <c r="J34" s="5">
        <f t="shared" si="4"/>
        <v>-4.2383333333333335E-2</v>
      </c>
      <c r="K34" s="5">
        <f t="shared" si="5"/>
        <v>-4.425833333333333E-2</v>
      </c>
      <c r="L34" s="8">
        <f t="shared" si="2"/>
        <v>0.35899876625680216</v>
      </c>
      <c r="M34" s="8">
        <f t="shared" si="3"/>
        <v>3.2399999999999998E-2</v>
      </c>
      <c r="O34" s="296">
        <f t="shared" si="1"/>
        <v>0.32659876625680218</v>
      </c>
      <c r="U34" s="297"/>
      <c r="V34" s="297"/>
      <c r="W34" s="297"/>
      <c r="X34" s="297"/>
      <c r="Y34" s="297"/>
      <c r="Z34" s="297"/>
      <c r="AA34" s="297"/>
      <c r="AB34" s="297"/>
      <c r="AC34" s="297"/>
      <c r="AE34" s="297"/>
      <c r="AF34" s="297"/>
      <c r="AG34" s="297"/>
      <c r="AH34" s="297"/>
      <c r="AI34" s="297"/>
      <c r="AJ34" s="297"/>
      <c r="AK34" s="297"/>
      <c r="AL34" s="297"/>
      <c r="AM34" s="297"/>
      <c r="AO34" s="297"/>
      <c r="AP34" s="297"/>
      <c r="AQ34" s="297"/>
      <c r="AR34" s="297"/>
      <c r="AS34" s="297"/>
      <c r="AT34" s="297"/>
      <c r="AU34" s="297"/>
      <c r="AV34" s="297"/>
      <c r="AW34" s="297"/>
    </row>
    <row r="35" spans="1:53" x14ac:dyDescent="0.45">
      <c r="A35" s="295">
        <v>10410</v>
      </c>
      <c r="B35" s="7">
        <v>1.41E-2</v>
      </c>
      <c r="C35" s="5">
        <v>-7.6000000000000009E-3</v>
      </c>
      <c r="D35" s="5">
        <v>2.7000000000000001E-3</v>
      </c>
      <c r="E35" s="5">
        <v>3.8416666666666673E-3</v>
      </c>
      <c r="F35" s="5">
        <v>3.9916666666666668E-3</v>
      </c>
      <c r="G35" s="5">
        <v>3.9166666666666673E-3</v>
      </c>
      <c r="H35" s="5">
        <v>4.1999999999999997E-3</v>
      </c>
      <c r="I35" s="5">
        <f t="shared" si="0"/>
        <v>1.14E-2</v>
      </c>
      <c r="J35" s="5">
        <f t="shared" si="4"/>
        <v>1.0183333333333332E-2</v>
      </c>
      <c r="K35" s="5">
        <f t="shared" si="5"/>
        <v>-1.1800000000000001E-2</v>
      </c>
      <c r="L35" s="8">
        <f t="shared" si="2"/>
        <v>0.29162197643957199</v>
      </c>
      <c r="M35" s="8">
        <f t="shared" si="3"/>
        <v>3.2399999999999998E-2</v>
      </c>
      <c r="O35" s="296">
        <f t="shared" si="1"/>
        <v>0.25922197643957201</v>
      </c>
      <c r="U35" s="297"/>
      <c r="V35" s="297"/>
      <c r="W35" s="297"/>
      <c r="X35" s="297"/>
      <c r="Y35" s="297"/>
      <c r="Z35" s="297"/>
      <c r="AA35" s="297"/>
      <c r="AB35" s="297"/>
      <c r="AC35" s="297"/>
      <c r="AE35" s="297"/>
      <c r="AF35" s="297"/>
      <c r="AG35" s="297"/>
      <c r="AH35" s="297"/>
      <c r="AI35" s="297"/>
      <c r="AJ35" s="297"/>
      <c r="AK35" s="297"/>
      <c r="AL35" s="297"/>
      <c r="AM35" s="297"/>
      <c r="AO35" s="297"/>
      <c r="AP35" s="297"/>
      <c r="AQ35" s="297"/>
      <c r="AR35" s="297"/>
      <c r="AS35" s="297"/>
      <c r="AT35" s="297"/>
      <c r="AU35" s="297"/>
      <c r="AV35" s="297"/>
      <c r="AW35" s="297"/>
    </row>
    <row r="36" spans="1:53" x14ac:dyDescent="0.45">
      <c r="A36" s="295">
        <v>10441</v>
      </c>
      <c r="B36" s="7">
        <v>8.0299999999999996E-2</v>
      </c>
      <c r="C36" s="5">
        <v>6.8199999999999997E-2</v>
      </c>
      <c r="D36" s="5">
        <v>2.8999999999999998E-3</v>
      </c>
      <c r="E36" s="5">
        <v>3.8666666666666667E-3</v>
      </c>
      <c r="F36" s="5">
        <v>4.0166666666666666E-3</v>
      </c>
      <c r="G36" s="5">
        <v>3.9416666666666662E-3</v>
      </c>
      <c r="H36" s="5">
        <v>4.2333333333333337E-3</v>
      </c>
      <c r="I36" s="5">
        <f t="shared" si="0"/>
        <v>7.7399999999999997E-2</v>
      </c>
      <c r="J36" s="5">
        <f t="shared" si="4"/>
        <v>7.6358333333333334E-2</v>
      </c>
      <c r="K36" s="5">
        <f t="shared" si="5"/>
        <v>6.3966666666666658E-2</v>
      </c>
      <c r="L36" s="8">
        <f t="shared" si="2"/>
        <v>0.32699878378285274</v>
      </c>
      <c r="M36" s="8">
        <f t="shared" si="3"/>
        <v>3.4799999999999998E-2</v>
      </c>
      <c r="O36" s="296">
        <f t="shared" si="1"/>
        <v>0.29219878378285274</v>
      </c>
      <c r="U36" s="297"/>
      <c r="V36" s="297"/>
      <c r="W36" s="297"/>
      <c r="X36" s="297"/>
      <c r="Y36" s="297"/>
      <c r="Z36" s="297"/>
      <c r="AA36" s="297"/>
      <c r="AB36" s="297"/>
      <c r="AC36" s="297"/>
      <c r="AE36" s="297"/>
      <c r="AF36" s="297"/>
      <c r="AG36" s="297"/>
      <c r="AH36" s="297"/>
      <c r="AI36" s="297"/>
      <c r="AJ36" s="297"/>
      <c r="AK36" s="297"/>
      <c r="AL36" s="297"/>
      <c r="AM36" s="297"/>
      <c r="AO36" s="297"/>
      <c r="AP36" s="297"/>
      <c r="AQ36" s="297"/>
      <c r="AR36" s="297"/>
      <c r="AS36" s="297"/>
      <c r="AT36" s="297"/>
      <c r="AU36" s="297"/>
      <c r="AV36" s="297"/>
      <c r="AW36" s="297"/>
    </row>
    <row r="37" spans="1:53" x14ac:dyDescent="0.45">
      <c r="A37" s="295">
        <v>10472</v>
      </c>
      <c r="B37" s="7">
        <v>2.5899999999999999E-2</v>
      </c>
      <c r="C37" s="5">
        <v>2.87E-2</v>
      </c>
      <c r="D37" s="5">
        <v>2.7000000000000001E-3</v>
      </c>
      <c r="E37" s="5">
        <v>3.8416666666666673E-3</v>
      </c>
      <c r="F37" s="5">
        <v>3.9916666666666668E-3</v>
      </c>
      <c r="G37" s="5">
        <v>3.9166666666666673E-3</v>
      </c>
      <c r="H37" s="5">
        <v>4.208333333333333E-3</v>
      </c>
      <c r="I37" s="5">
        <f t="shared" si="0"/>
        <v>2.3199999999999998E-2</v>
      </c>
      <c r="J37" s="5">
        <f t="shared" si="4"/>
        <v>2.1983333333333334E-2</v>
      </c>
      <c r="K37" s="5">
        <f t="shared" si="5"/>
        <v>2.4491666666666669E-2</v>
      </c>
      <c r="L37" s="8">
        <f t="shared" si="2"/>
        <v>0.30274454763907088</v>
      </c>
      <c r="M37" s="8">
        <f t="shared" si="3"/>
        <v>3.2399999999999998E-2</v>
      </c>
      <c r="O37" s="296">
        <f t="shared" si="1"/>
        <v>0.2703445476390709</v>
      </c>
      <c r="U37" s="297"/>
      <c r="V37" s="297"/>
      <c r="W37" s="297"/>
      <c r="X37" s="297"/>
      <c r="Y37" s="297"/>
      <c r="Z37" s="297"/>
      <c r="AA37" s="297"/>
      <c r="AB37" s="297"/>
      <c r="AC37" s="297"/>
      <c r="AE37" s="297"/>
      <c r="AF37" s="297"/>
      <c r="AG37" s="297"/>
      <c r="AH37" s="297"/>
      <c r="AI37" s="297"/>
      <c r="AJ37" s="297"/>
      <c r="AK37" s="297"/>
      <c r="AL37" s="297"/>
      <c r="AM37" s="297"/>
      <c r="AO37" s="297"/>
      <c r="AP37" s="297"/>
      <c r="AQ37" s="297"/>
      <c r="AR37" s="297"/>
      <c r="AS37" s="297"/>
      <c r="AT37" s="297"/>
      <c r="AU37" s="297"/>
      <c r="AV37" s="297"/>
      <c r="AW37" s="297"/>
    </row>
    <row r="38" spans="1:53" x14ac:dyDescent="0.45">
      <c r="A38" s="295">
        <v>10502</v>
      </c>
      <c r="B38" s="7">
        <v>1.6799999999999999E-2</v>
      </c>
      <c r="C38" s="5">
        <v>-9.1999999999999998E-3</v>
      </c>
      <c r="D38" s="5">
        <v>3.0000000000000001E-3</v>
      </c>
      <c r="E38" s="5">
        <v>3.8416666666666673E-3</v>
      </c>
      <c r="F38" s="5">
        <v>3.9833333333333335E-3</v>
      </c>
      <c r="G38" s="5">
        <v>3.9125000000000002E-3</v>
      </c>
      <c r="H38" s="5">
        <v>4.1583333333333333E-3</v>
      </c>
      <c r="I38" s="5">
        <f t="shared" si="0"/>
        <v>1.38E-2</v>
      </c>
      <c r="J38" s="5">
        <f t="shared" si="4"/>
        <v>1.28875E-2</v>
      </c>
      <c r="K38" s="5">
        <f t="shared" si="5"/>
        <v>-1.3358333333333333E-2</v>
      </c>
      <c r="L38" s="8">
        <f t="shared" si="2"/>
        <v>0.3946416677610094</v>
      </c>
      <c r="M38" s="8">
        <f t="shared" si="3"/>
        <v>3.6000000000000004E-2</v>
      </c>
      <c r="O38" s="296">
        <f t="shared" si="1"/>
        <v>0.35864166776100936</v>
      </c>
      <c r="U38" s="297"/>
      <c r="V38" s="297"/>
      <c r="W38" s="297"/>
      <c r="X38" s="297"/>
      <c r="Y38" s="297"/>
      <c r="Z38" s="297"/>
      <c r="AA38" s="297"/>
      <c r="AB38" s="297"/>
      <c r="AC38" s="297"/>
      <c r="AE38" s="297"/>
      <c r="AF38" s="297"/>
      <c r="AG38" s="297"/>
      <c r="AH38" s="297"/>
      <c r="AI38" s="297"/>
      <c r="AJ38" s="297"/>
      <c r="AK38" s="297"/>
      <c r="AL38" s="297"/>
      <c r="AM38" s="297"/>
      <c r="AO38" s="297"/>
      <c r="AP38" s="297"/>
      <c r="AQ38" s="297"/>
      <c r="AR38" s="297"/>
      <c r="AS38" s="297"/>
      <c r="AT38" s="297"/>
      <c r="AU38" s="297"/>
      <c r="AV38" s="297"/>
      <c r="AW38" s="297"/>
    </row>
    <row r="39" spans="1:53" x14ac:dyDescent="0.45">
      <c r="A39" s="295">
        <v>10533</v>
      </c>
      <c r="B39" s="7">
        <v>0.12920000000000001</v>
      </c>
      <c r="C39" s="5">
        <v>0.2147</v>
      </c>
      <c r="D39" s="5">
        <v>2.7000000000000001E-3</v>
      </c>
      <c r="E39" s="5">
        <v>3.8166666666666666E-3</v>
      </c>
      <c r="F39" s="5">
        <v>3.933333333333333E-3</v>
      </c>
      <c r="G39" s="5">
        <v>3.8749999999999995E-3</v>
      </c>
      <c r="H39" s="5">
        <v>4.15E-3</v>
      </c>
      <c r="I39" s="5">
        <f t="shared" si="0"/>
        <v>0.1265</v>
      </c>
      <c r="J39" s="5">
        <f t="shared" si="4"/>
        <v>0.12532500000000002</v>
      </c>
      <c r="K39" s="5">
        <f t="shared" si="5"/>
        <v>0.21055000000000001</v>
      </c>
      <c r="L39" s="8">
        <f t="shared" si="2"/>
        <v>0.46892022314684367</v>
      </c>
      <c r="M39" s="8">
        <f t="shared" si="3"/>
        <v>3.2399999999999998E-2</v>
      </c>
      <c r="O39" s="296">
        <f t="shared" si="1"/>
        <v>0.43652022314684369</v>
      </c>
      <c r="U39" s="297"/>
      <c r="V39" s="297"/>
      <c r="W39" s="297"/>
      <c r="X39" s="297"/>
      <c r="Y39" s="297"/>
      <c r="Z39" s="297"/>
      <c r="AA39" s="297"/>
      <c r="AB39" s="297"/>
      <c r="AC39" s="297"/>
      <c r="AE39" s="297"/>
      <c r="AF39" s="297"/>
      <c r="AG39" s="297"/>
      <c r="AH39" s="297"/>
      <c r="AI39" s="297"/>
      <c r="AJ39" s="297"/>
      <c r="AK39" s="297"/>
      <c r="AL39" s="297"/>
      <c r="AM39" s="297"/>
      <c r="AO39" s="297"/>
      <c r="AP39" s="297"/>
      <c r="AQ39" s="297"/>
      <c r="AR39" s="297"/>
      <c r="AS39" s="297"/>
      <c r="AT39" s="297"/>
      <c r="AU39" s="297"/>
      <c r="AV39" s="297"/>
      <c r="AW39" s="297"/>
    </row>
    <row r="40" spans="1:53" x14ac:dyDescent="0.45">
      <c r="A40" s="295">
        <v>10563</v>
      </c>
      <c r="B40" s="7">
        <v>4.8999999999999998E-3</v>
      </c>
      <c r="C40" s="5">
        <v>0.01</v>
      </c>
      <c r="D40" s="5">
        <v>2.8999999999999998E-3</v>
      </c>
      <c r="E40" s="5">
        <v>3.8416666666666673E-3</v>
      </c>
      <c r="F40" s="5">
        <v>3.9749999999999994E-3</v>
      </c>
      <c r="G40" s="5">
        <v>3.908333333333334E-3</v>
      </c>
      <c r="H40" s="5">
        <v>4.208333333333333E-3</v>
      </c>
      <c r="I40" s="5">
        <f t="shared" si="0"/>
        <v>2E-3</v>
      </c>
      <c r="J40" s="5">
        <f t="shared" si="4"/>
        <v>9.9166666666666587E-4</v>
      </c>
      <c r="K40" s="5">
        <f t="shared" si="5"/>
        <v>5.7916666666666672E-3</v>
      </c>
      <c r="L40" s="8">
        <f t="shared" si="2"/>
        <v>0.43605207922975375</v>
      </c>
      <c r="M40" s="8">
        <f t="shared" si="3"/>
        <v>3.4799999999999998E-2</v>
      </c>
      <c r="N40" s="8">
        <f t="shared" ref="N40:N103" si="6">G40*12</f>
        <v>4.6900000000000011E-2</v>
      </c>
      <c r="O40" s="296">
        <f t="shared" si="1"/>
        <v>0.40125207922975376</v>
      </c>
      <c r="P40" s="8">
        <f t="shared" ref="P40:P103" si="7">L40-N40</f>
        <v>0.38915207922975376</v>
      </c>
      <c r="Q40" s="8">
        <f t="shared" ref="Q40:Q103" si="8">((1+C29)*(1+C30)*(1+C31)*(1+C32)*(1+C33)*(1+C34)*(1+C35)*(1+C36)*(1+C37)*(1+C38)*(1+C39)*(1+C40))-1</f>
        <v>0.57480506712921131</v>
      </c>
      <c r="R40" s="8">
        <f t="shared" ref="R40:R103" si="9">H40*12</f>
        <v>5.0499999999999996E-2</v>
      </c>
      <c r="S40" s="296">
        <f t="shared" ref="S40:S103" si="10">Q40-R40</f>
        <v>0.52430506712921132</v>
      </c>
      <c r="U40" s="297"/>
      <c r="V40" s="297"/>
      <c r="W40" s="297"/>
      <c r="X40" s="297"/>
      <c r="Y40" s="297"/>
      <c r="Z40" s="297"/>
      <c r="AA40" s="297"/>
      <c r="AB40" s="297"/>
      <c r="AC40" s="297"/>
      <c r="AE40" s="297"/>
      <c r="AF40" s="297"/>
      <c r="AG40" s="297"/>
      <c r="AH40" s="297"/>
      <c r="AI40" s="297"/>
      <c r="AJ40" s="297"/>
      <c r="AK40" s="297"/>
      <c r="AL40" s="297"/>
      <c r="AM40" s="297"/>
      <c r="AO40" s="297"/>
      <c r="AP40" s="297"/>
      <c r="AQ40" s="297"/>
      <c r="AR40" s="297"/>
      <c r="AS40" s="297"/>
      <c r="AT40" s="297"/>
      <c r="AU40" s="297"/>
      <c r="AV40" s="297"/>
      <c r="AW40" s="297"/>
    </row>
    <row r="41" spans="1:53" x14ac:dyDescent="0.45">
      <c r="A41" s="295">
        <v>10594</v>
      </c>
      <c r="B41" s="7">
        <v>5.8299999999999998E-2</v>
      </c>
      <c r="C41" s="5">
        <v>0.13250000000000001</v>
      </c>
      <c r="D41" s="5">
        <v>2.8999999999999998E-3</v>
      </c>
      <c r="E41" s="5">
        <v>3.8500000000000001E-3</v>
      </c>
      <c r="F41" s="5">
        <v>3.9916666666666668E-3</v>
      </c>
      <c r="G41" s="5">
        <v>3.9208333333333335E-3</v>
      </c>
      <c r="H41" s="5">
        <v>4.208333333333333E-3</v>
      </c>
      <c r="I41" s="5">
        <f t="shared" si="0"/>
        <v>5.5399999999999998E-2</v>
      </c>
      <c r="J41" s="5">
        <f t="shared" si="4"/>
        <v>5.4379166666666666E-2</v>
      </c>
      <c r="K41" s="5">
        <f t="shared" si="5"/>
        <v>0.12829166666666666</v>
      </c>
      <c r="L41" s="8">
        <f t="shared" si="2"/>
        <v>0.5258774251494458</v>
      </c>
      <c r="M41" s="8">
        <f t="shared" si="3"/>
        <v>3.4799999999999998E-2</v>
      </c>
      <c r="N41" s="8">
        <f t="shared" si="6"/>
        <v>4.7050000000000002E-2</v>
      </c>
      <c r="O41" s="296">
        <f t="shared" si="1"/>
        <v>0.4910774251494458</v>
      </c>
      <c r="P41" s="8">
        <f t="shared" si="7"/>
        <v>0.47882742514944582</v>
      </c>
      <c r="Q41" s="8">
        <f t="shared" si="8"/>
        <v>0.71900408532417592</v>
      </c>
      <c r="R41" s="8">
        <f t="shared" si="9"/>
        <v>5.0499999999999996E-2</v>
      </c>
      <c r="S41" s="296">
        <f t="shared" si="10"/>
        <v>0.66850408532417593</v>
      </c>
      <c r="U41" s="297"/>
      <c r="V41" s="297"/>
      <c r="W41" s="297"/>
      <c r="X41" s="297"/>
      <c r="Y41" s="297" t="s">
        <v>1139</v>
      </c>
      <c r="Z41" s="297"/>
      <c r="AA41" s="297" t="s">
        <v>1140</v>
      </c>
      <c r="AB41" s="297"/>
      <c r="AC41" s="297"/>
      <c r="AE41" s="297"/>
      <c r="AF41" s="297"/>
      <c r="AG41" s="297"/>
      <c r="AH41" s="297"/>
      <c r="AI41" s="297" t="s">
        <v>1141</v>
      </c>
      <c r="AJ41" s="297"/>
      <c r="AK41" s="297" t="s">
        <v>1140</v>
      </c>
      <c r="AL41" s="297"/>
      <c r="AM41" s="297"/>
      <c r="AO41" s="297"/>
      <c r="AP41" s="297"/>
      <c r="AQ41" s="297"/>
      <c r="AR41" s="297"/>
      <c r="AS41" s="297" t="s">
        <v>1142</v>
      </c>
      <c r="AT41" s="297"/>
      <c r="AU41" s="297" t="s">
        <v>1140</v>
      </c>
      <c r="AV41" s="297"/>
      <c r="AW41" s="297"/>
    </row>
    <row r="42" spans="1:53" x14ac:dyDescent="0.45">
      <c r="A42" s="295">
        <v>10625</v>
      </c>
      <c r="B42" s="7">
        <v>-1.9E-3</v>
      </c>
      <c r="C42" s="5">
        <v>-2.3199999999999998E-2</v>
      </c>
      <c r="D42" s="5">
        <v>2.7000000000000001E-3</v>
      </c>
      <c r="E42" s="5">
        <v>3.8833333333333337E-3</v>
      </c>
      <c r="F42" s="5">
        <v>4.0500000000000006E-3</v>
      </c>
      <c r="G42" s="5">
        <v>3.966666666666667E-3</v>
      </c>
      <c r="H42" s="5">
        <v>4.2500000000000003E-3</v>
      </c>
      <c r="I42" s="5">
        <f t="shared" si="0"/>
        <v>-4.5999999999999999E-3</v>
      </c>
      <c r="J42" s="5">
        <f t="shared" si="4"/>
        <v>-5.8666666666666667E-3</v>
      </c>
      <c r="K42" s="5">
        <f t="shared" si="5"/>
        <v>-2.7449999999999999E-2</v>
      </c>
      <c r="L42" s="8">
        <f t="shared" si="2"/>
        <v>0.54225646383965787</v>
      </c>
      <c r="M42" s="8">
        <f t="shared" si="3"/>
        <v>3.2399999999999998E-2</v>
      </c>
      <c r="N42" s="8">
        <f t="shared" si="6"/>
        <v>4.7600000000000003E-2</v>
      </c>
      <c r="O42" s="296">
        <f t="shared" si="1"/>
        <v>0.50985646383965788</v>
      </c>
      <c r="P42" s="8">
        <f t="shared" si="7"/>
        <v>0.49465646383965789</v>
      </c>
      <c r="Q42" s="8">
        <f t="shared" si="8"/>
        <v>0.69266450659743395</v>
      </c>
      <c r="R42" s="8">
        <f t="shared" si="9"/>
        <v>5.1000000000000004E-2</v>
      </c>
      <c r="S42" s="296">
        <f t="shared" si="10"/>
        <v>0.6416645065974339</v>
      </c>
      <c r="U42" s="297"/>
      <c r="V42" s="297"/>
      <c r="W42" s="297" t="s">
        <v>1361</v>
      </c>
      <c r="X42" s="297"/>
      <c r="Y42" s="55">
        <f>'MRP WP1'!C50/100</f>
        <v>4.5599999999999995E-2</v>
      </c>
      <c r="Z42" s="9"/>
      <c r="AA42" s="9">
        <f>Y42*$V$18+$V$17</f>
        <v>7.9272663945197663E-2</v>
      </c>
      <c r="AB42" s="297"/>
      <c r="AC42" s="297"/>
      <c r="AE42" s="297"/>
      <c r="AF42" s="297"/>
      <c r="AG42" s="297" t="s">
        <v>1361</v>
      </c>
      <c r="AH42" s="297"/>
      <c r="AI42" s="9">
        <f>'MRP WP1'!C35/100</f>
        <v>5.3499999999999999E-2</v>
      </c>
      <c r="AJ42" s="9"/>
      <c r="AK42" s="9">
        <f>AI42*$AF$18+$AF$17</f>
        <v>6.8173790973768536E-2</v>
      </c>
      <c r="AL42" s="297"/>
      <c r="AM42" s="297"/>
      <c r="AO42" s="297"/>
      <c r="AP42" s="297"/>
      <c r="AQ42" s="297" t="s">
        <v>1361</v>
      </c>
      <c r="AR42" s="297"/>
      <c r="AS42" s="9">
        <f>'1.11 Risk Premium Summary'!G18/100</f>
        <v>5.7500000000000002E-2</v>
      </c>
      <c r="AT42" s="9"/>
      <c r="AU42" s="9">
        <f>AS42*$AP$18+$AP$17</f>
        <v>4.7837071276559832E-2</v>
      </c>
      <c r="AV42" s="297"/>
      <c r="AW42" s="297"/>
    </row>
    <row r="43" spans="1:53" x14ac:dyDescent="0.45">
      <c r="A43" s="295">
        <v>10653</v>
      </c>
      <c r="B43" s="7">
        <v>-1.1999999999999999E-3</v>
      </c>
      <c r="C43" s="5">
        <v>-1.1000000000000001E-2</v>
      </c>
      <c r="D43" s="5">
        <v>2.7999999999999995E-3</v>
      </c>
      <c r="E43" s="5">
        <v>3.9166666666666664E-3</v>
      </c>
      <c r="F43" s="5">
        <v>4.0999999999999995E-3</v>
      </c>
      <c r="G43" s="5">
        <v>4.0083333333333334E-3</v>
      </c>
      <c r="H43" s="5">
        <v>4.2833333333333326E-3</v>
      </c>
      <c r="I43" s="5">
        <f t="shared" si="0"/>
        <v>-3.9999999999999992E-3</v>
      </c>
      <c r="J43" s="5">
        <f t="shared" si="4"/>
        <v>-5.208333333333333E-3</v>
      </c>
      <c r="K43" s="5">
        <f t="shared" si="5"/>
        <v>-1.5283333333333333E-2</v>
      </c>
      <c r="L43" s="8">
        <f t="shared" si="2"/>
        <v>0.38762792188365869</v>
      </c>
      <c r="M43" s="8">
        <f t="shared" si="3"/>
        <v>3.3599999999999991E-2</v>
      </c>
      <c r="N43" s="8">
        <f t="shared" si="6"/>
        <v>4.8100000000000004E-2</v>
      </c>
      <c r="O43" s="296">
        <f t="shared" si="1"/>
        <v>0.35402792188365872</v>
      </c>
      <c r="P43" s="8">
        <f t="shared" si="7"/>
        <v>0.33952792188365866</v>
      </c>
      <c r="Q43" s="8">
        <f t="shared" si="8"/>
        <v>0.56117243031321684</v>
      </c>
      <c r="R43" s="8">
        <f t="shared" si="9"/>
        <v>5.1399999999999987E-2</v>
      </c>
      <c r="S43" s="296">
        <f t="shared" si="10"/>
        <v>0.50977243031321684</v>
      </c>
      <c r="U43" s="297"/>
      <c r="V43" s="297"/>
      <c r="W43" s="297"/>
      <c r="X43" s="297"/>
      <c r="Y43" s="297"/>
      <c r="Z43" s="297"/>
      <c r="AA43" s="297"/>
      <c r="AB43" s="297"/>
      <c r="AC43" s="297"/>
      <c r="AE43" s="297"/>
      <c r="AF43" s="297"/>
      <c r="AG43" s="297"/>
      <c r="AH43" s="297"/>
      <c r="AI43" s="297"/>
      <c r="AJ43" s="297"/>
      <c r="AK43" s="297"/>
      <c r="AL43" s="297"/>
      <c r="AM43" s="297"/>
      <c r="AO43" s="297"/>
      <c r="AP43" s="297"/>
      <c r="AQ43" s="297"/>
      <c r="AR43" s="297"/>
      <c r="AS43" s="297"/>
      <c r="AT43" s="297"/>
      <c r="AU43" s="297"/>
      <c r="AV43" s="297"/>
      <c r="AW43" s="297"/>
    </row>
    <row r="44" spans="1:53" x14ac:dyDescent="0.45">
      <c r="A44" s="295">
        <v>10684</v>
      </c>
      <c r="B44" s="7">
        <v>1.7600000000000001E-2</v>
      </c>
      <c r="C44" s="5">
        <v>3.4700000000000002E-2</v>
      </c>
      <c r="D44" s="5">
        <v>3.3999999999999998E-3</v>
      </c>
      <c r="E44" s="5">
        <v>3.908333333333334E-3</v>
      </c>
      <c r="F44" s="5">
        <v>4.0916666666666671E-3</v>
      </c>
      <c r="G44" s="5">
        <v>4.0000000000000001E-3</v>
      </c>
      <c r="H44" s="5">
        <v>4.2833333333333326E-3</v>
      </c>
      <c r="I44" s="5">
        <f t="shared" si="0"/>
        <v>1.4200000000000001E-2</v>
      </c>
      <c r="J44" s="5">
        <f t="shared" si="4"/>
        <v>1.3600000000000001E-2</v>
      </c>
      <c r="K44" s="5">
        <f t="shared" si="5"/>
        <v>3.0416666666666668E-2</v>
      </c>
      <c r="L44" s="8">
        <f t="shared" si="2"/>
        <v>0.36495908488043649</v>
      </c>
      <c r="M44" s="8">
        <f t="shared" si="3"/>
        <v>4.0799999999999996E-2</v>
      </c>
      <c r="N44" s="8">
        <f t="shared" si="6"/>
        <v>4.8000000000000001E-2</v>
      </c>
      <c r="O44" s="296">
        <f t="shared" si="1"/>
        <v>0.32415908488043649</v>
      </c>
      <c r="P44" s="8">
        <f t="shared" si="7"/>
        <v>0.3169590848804365</v>
      </c>
      <c r="Q44" s="8">
        <f t="shared" si="8"/>
        <v>0.47036693395693163</v>
      </c>
      <c r="R44" s="8">
        <f t="shared" si="9"/>
        <v>5.1399999999999987E-2</v>
      </c>
      <c r="S44" s="296">
        <f t="shared" si="10"/>
        <v>0.41896693395693163</v>
      </c>
      <c r="U44" s="297"/>
      <c r="V44" s="297"/>
      <c r="W44" s="297"/>
      <c r="X44" s="297"/>
      <c r="Y44" s="55"/>
      <c r="Z44" s="297"/>
      <c r="AA44" s="9"/>
      <c r="AB44" s="297"/>
      <c r="AC44" s="297"/>
      <c r="AD44" s="297"/>
      <c r="AE44" s="297"/>
      <c r="AF44" s="297"/>
      <c r="AG44" s="297"/>
      <c r="AH44" s="297"/>
      <c r="AI44" s="55"/>
      <c r="AJ44" s="297"/>
      <c r="AK44" s="9"/>
      <c r="AL44" s="297"/>
      <c r="AM44" s="297"/>
      <c r="AN44" s="297"/>
      <c r="AO44" s="297"/>
      <c r="AP44" s="297"/>
      <c r="AQ44" s="297"/>
      <c r="AR44" s="297"/>
      <c r="AS44" s="55"/>
      <c r="AT44" s="297"/>
      <c r="AU44" s="9"/>
      <c r="AV44" s="297"/>
      <c r="AW44" s="297"/>
      <c r="AX44" s="297"/>
      <c r="AY44" s="297"/>
    </row>
    <row r="45" spans="1:53" x14ac:dyDescent="0.45">
      <c r="A45" s="295">
        <v>10714</v>
      </c>
      <c r="B45" s="7">
        <v>-3.6200000000000003E-2</v>
      </c>
      <c r="C45" s="5">
        <v>4.7E-2</v>
      </c>
      <c r="D45" s="5">
        <v>3.0000000000000001E-3</v>
      </c>
      <c r="E45" s="5">
        <v>3.9166666666666664E-3</v>
      </c>
      <c r="F45" s="5">
        <v>4.0916666666666671E-3</v>
      </c>
      <c r="G45" s="5">
        <v>4.0041666666666663E-3</v>
      </c>
      <c r="H45" s="5">
        <v>4.2833333333333326E-3</v>
      </c>
      <c r="I45" s="5">
        <f t="shared" si="0"/>
        <v>-3.9200000000000006E-2</v>
      </c>
      <c r="J45" s="5">
        <f t="shared" si="4"/>
        <v>-4.0204166666666666E-2</v>
      </c>
      <c r="K45" s="5">
        <f t="shared" si="5"/>
        <v>4.2716666666666667E-2</v>
      </c>
      <c r="L45" s="8">
        <f t="shared" si="2"/>
        <v>0.29013196627220239</v>
      </c>
      <c r="M45" s="8">
        <f t="shared" si="3"/>
        <v>3.6000000000000004E-2</v>
      </c>
      <c r="N45" s="8">
        <f t="shared" si="6"/>
        <v>4.8049999999999995E-2</v>
      </c>
      <c r="O45" s="296">
        <f t="shared" si="1"/>
        <v>0.25413196627220236</v>
      </c>
      <c r="P45" s="8">
        <f t="shared" si="7"/>
        <v>0.24208196627220241</v>
      </c>
      <c r="Q45" s="8">
        <f t="shared" si="8"/>
        <v>0.50810558371170389</v>
      </c>
      <c r="R45" s="8">
        <f t="shared" si="9"/>
        <v>5.1399999999999987E-2</v>
      </c>
      <c r="S45" s="296">
        <f t="shared" si="10"/>
        <v>0.45670558371170389</v>
      </c>
      <c r="U45" s="297"/>
      <c r="V45" s="297"/>
      <c r="W45" s="297"/>
      <c r="X45" s="297"/>
      <c r="Y45" s="297"/>
      <c r="Z45" s="297"/>
      <c r="AA45" s="297"/>
      <c r="AB45" s="297"/>
      <c r="AC45" s="297"/>
      <c r="AE45" s="297"/>
      <c r="AF45" s="297"/>
      <c r="AG45" s="297"/>
      <c r="AH45" s="297"/>
      <c r="AI45" s="297"/>
      <c r="AJ45" s="297"/>
      <c r="AK45" s="297"/>
      <c r="AL45" s="297"/>
      <c r="AM45" s="297"/>
      <c r="AO45" s="297"/>
      <c r="AP45" s="297"/>
      <c r="AQ45" s="297"/>
      <c r="AR45" s="297"/>
      <c r="AS45" s="297"/>
      <c r="AT45" s="297"/>
      <c r="AU45" s="297"/>
      <c r="AV45" s="297"/>
      <c r="AW45" s="297"/>
    </row>
    <row r="46" spans="1:53" x14ac:dyDescent="0.45">
      <c r="A46" s="295">
        <v>10745</v>
      </c>
      <c r="B46" s="7">
        <v>0.114</v>
      </c>
      <c r="C46" s="5">
        <v>0.21780000000000002</v>
      </c>
      <c r="D46" s="5">
        <v>2.8999999999999998E-3</v>
      </c>
      <c r="E46" s="5">
        <v>3.9749999999999994E-3</v>
      </c>
      <c r="F46" s="5">
        <v>4.15E-3</v>
      </c>
      <c r="G46" s="5">
        <v>4.0625000000000001E-3</v>
      </c>
      <c r="H46" s="5">
        <v>4.3583333333333339E-3</v>
      </c>
      <c r="I46" s="5">
        <f t="shared" si="0"/>
        <v>0.1111</v>
      </c>
      <c r="J46" s="5">
        <f t="shared" si="4"/>
        <v>0.10993750000000001</v>
      </c>
      <c r="K46" s="5">
        <f t="shared" si="5"/>
        <v>0.2134416666666667</v>
      </c>
      <c r="L46" s="8">
        <f t="shared" si="2"/>
        <v>0.49475508104756472</v>
      </c>
      <c r="M46" s="8">
        <f t="shared" si="3"/>
        <v>3.4799999999999998E-2</v>
      </c>
      <c r="N46" s="8">
        <f t="shared" si="6"/>
        <v>4.8750000000000002E-2</v>
      </c>
      <c r="O46" s="296">
        <f t="shared" si="1"/>
        <v>0.45995508104756472</v>
      </c>
      <c r="P46" s="8">
        <f t="shared" si="7"/>
        <v>0.4460050810475647</v>
      </c>
      <c r="Q46" s="8">
        <f t="shared" si="8"/>
        <v>0.91329407213679858</v>
      </c>
      <c r="R46" s="8">
        <f t="shared" si="9"/>
        <v>5.2300000000000006E-2</v>
      </c>
      <c r="S46" s="296">
        <f t="shared" si="10"/>
        <v>0.86099407213679857</v>
      </c>
      <c r="U46" s="293"/>
      <c r="V46" s="293"/>
      <c r="W46" s="293"/>
      <c r="X46" s="293"/>
      <c r="Y46" s="10"/>
      <c r="Z46" s="299"/>
      <c r="AA46" s="10"/>
      <c r="AB46" s="293"/>
      <c r="AC46" s="293"/>
      <c r="AE46" s="293"/>
      <c r="AF46" s="293"/>
      <c r="AG46" s="293"/>
      <c r="AH46" s="293"/>
      <c r="AI46" s="10"/>
      <c r="AJ46" s="299"/>
      <c r="AK46" s="10"/>
      <c r="AL46" s="293"/>
      <c r="AM46" s="293"/>
      <c r="AO46" s="297"/>
      <c r="AP46" s="297"/>
      <c r="AQ46" s="297"/>
      <c r="AR46" s="297"/>
      <c r="AS46" s="10"/>
      <c r="AT46" s="297"/>
      <c r="AU46" s="10"/>
      <c r="AV46" s="297"/>
      <c r="AW46" s="297"/>
    </row>
    <row r="47" spans="1:53" ht="14.4" x14ac:dyDescent="0.55000000000000004">
      <c r="A47" s="295">
        <v>10775</v>
      </c>
      <c r="B47" s="7">
        <v>4.7100000000000003E-2</v>
      </c>
      <c r="C47" s="5">
        <v>9.0499999999999983E-2</v>
      </c>
      <c r="D47" s="5">
        <v>3.2000000000000002E-3</v>
      </c>
      <c r="E47" s="5">
        <v>3.9749999999999994E-3</v>
      </c>
      <c r="F47" s="5">
        <v>4.1416666666666659E-3</v>
      </c>
      <c r="G47" s="5">
        <v>4.0583333333333331E-3</v>
      </c>
      <c r="H47" s="5">
        <v>4.3666666666666671E-3</v>
      </c>
      <c r="I47" s="5">
        <f t="shared" si="0"/>
        <v>4.3900000000000002E-2</v>
      </c>
      <c r="J47" s="5">
        <f t="shared" si="4"/>
        <v>4.3041666666666673E-2</v>
      </c>
      <c r="K47" s="5">
        <f t="shared" si="5"/>
        <v>8.6133333333333312E-2</v>
      </c>
      <c r="L47" s="8">
        <f t="shared" si="2"/>
        <v>0.54339615951573328</v>
      </c>
      <c r="M47" s="8">
        <f t="shared" si="3"/>
        <v>3.8400000000000004E-2</v>
      </c>
      <c r="N47" s="8">
        <f t="shared" si="6"/>
        <v>4.8699999999999993E-2</v>
      </c>
      <c r="O47" s="296">
        <f t="shared" si="1"/>
        <v>0.50499615951573329</v>
      </c>
      <c r="P47" s="8">
        <f t="shared" si="7"/>
        <v>0.49469615951573331</v>
      </c>
      <c r="Q47" s="8">
        <f t="shared" si="8"/>
        <v>1.102425620380068</v>
      </c>
      <c r="R47" s="8">
        <f t="shared" si="9"/>
        <v>5.2400000000000002E-2</v>
      </c>
      <c r="S47" s="296">
        <f t="shared" si="10"/>
        <v>1.050025620380068</v>
      </c>
      <c r="U47" s="293"/>
      <c r="V47" s="293"/>
      <c r="W47" s="293"/>
      <c r="X47" s="293"/>
      <c r="Y47" s="293"/>
      <c r="Z47" s="293"/>
      <c r="AA47" s="293"/>
      <c r="AB47" s="293"/>
      <c r="AC47" s="293"/>
      <c r="AE47" s="293"/>
      <c r="AF47" s="293"/>
      <c r="AG47" s="293"/>
      <c r="AH47" s="293"/>
      <c r="AI47" s="293"/>
      <c r="AJ47" s="293"/>
      <c r="AK47" s="293"/>
      <c r="AL47" s="293"/>
      <c r="AM47" s="293"/>
      <c r="AO47" s="297"/>
      <c r="AP47" s="297"/>
      <c r="AQ47" s="293"/>
      <c r="AR47" s="293"/>
      <c r="AS47"/>
      <c r="AT47"/>
      <c r="AU47"/>
      <c r="AV47"/>
      <c r="AW47"/>
      <c r="AX47"/>
      <c r="AY47"/>
      <c r="AZ47"/>
      <c r="BA47"/>
    </row>
    <row r="48" spans="1:53" ht="14.4" x14ac:dyDescent="0.55000000000000004">
      <c r="A48" s="295">
        <v>10806</v>
      </c>
      <c r="B48" s="7">
        <v>0.1028</v>
      </c>
      <c r="C48" s="5">
        <v>0.1033</v>
      </c>
      <c r="D48" s="5">
        <v>3.0000000000000001E-3</v>
      </c>
      <c r="E48" s="5">
        <v>3.9916666666666668E-3</v>
      </c>
      <c r="F48" s="5">
        <v>4.1583333333333333E-3</v>
      </c>
      <c r="G48" s="5">
        <v>4.0749999999999996E-3</v>
      </c>
      <c r="H48" s="5">
        <v>4.4166666666666668E-3</v>
      </c>
      <c r="I48" s="5">
        <f t="shared" si="0"/>
        <v>9.98E-2</v>
      </c>
      <c r="J48" s="5">
        <f t="shared" si="4"/>
        <v>9.8725000000000007E-2</v>
      </c>
      <c r="K48" s="5">
        <f t="shared" si="5"/>
        <v>9.8883333333333337E-2</v>
      </c>
      <c r="L48" s="8">
        <f t="shared" si="2"/>
        <v>0.5755413169619088</v>
      </c>
      <c r="M48" s="8">
        <f t="shared" si="3"/>
        <v>3.6000000000000004E-2</v>
      </c>
      <c r="N48" s="8">
        <f t="shared" si="6"/>
        <v>4.8899999999999999E-2</v>
      </c>
      <c r="O48" s="296">
        <f t="shared" si="1"/>
        <v>0.53954131696190877</v>
      </c>
      <c r="P48" s="8">
        <f t="shared" si="7"/>
        <v>0.52664131696190886</v>
      </c>
      <c r="Q48" s="8">
        <f t="shared" si="8"/>
        <v>1.171509255724891</v>
      </c>
      <c r="R48" s="8">
        <f t="shared" si="9"/>
        <v>5.3000000000000005E-2</v>
      </c>
      <c r="S48" s="296">
        <f t="shared" si="10"/>
        <v>1.118509255724891</v>
      </c>
      <c r="U48" s="300"/>
      <c r="V48" s="300"/>
      <c r="W48" s="293"/>
      <c r="X48" s="293"/>
      <c r="Y48" s="293"/>
      <c r="Z48" s="293"/>
      <c r="AA48" s="293"/>
      <c r="AB48" s="293"/>
      <c r="AC48" s="293"/>
      <c r="AE48" s="300"/>
      <c r="AF48" s="300"/>
      <c r="AG48" s="293"/>
      <c r="AH48" s="293"/>
      <c r="AI48" s="293"/>
      <c r="AJ48" s="293"/>
      <c r="AK48" s="293"/>
      <c r="AL48" s="293"/>
      <c r="AM48" s="293"/>
      <c r="AO48" s="297"/>
      <c r="AP48" s="297"/>
      <c r="AQ48" s="293"/>
      <c r="AR48" s="293"/>
      <c r="AS48"/>
      <c r="AT48"/>
      <c r="AU48"/>
      <c r="AV48"/>
      <c r="AW48"/>
      <c r="AX48"/>
      <c r="AY48"/>
      <c r="AZ48"/>
      <c r="BA48"/>
    </row>
    <row r="49" spans="1:53" ht="14.4" x14ac:dyDescent="0.55000000000000004">
      <c r="A49" s="295">
        <v>10837</v>
      </c>
      <c r="B49" s="7">
        <v>-4.7600000000000003E-2</v>
      </c>
      <c r="C49" s="5">
        <v>3.9999999999999996E-4</v>
      </c>
      <c r="D49" s="5">
        <v>3.2000000000000002E-3</v>
      </c>
      <c r="E49" s="5">
        <v>4.0000000000000001E-3</v>
      </c>
      <c r="F49" s="5">
        <v>4.1749999999999999E-3</v>
      </c>
      <c r="G49" s="5">
        <v>4.0874999999999991E-3</v>
      </c>
      <c r="H49" s="5">
        <v>4.4833333333333331E-3</v>
      </c>
      <c r="I49" s="5">
        <f t="shared" si="0"/>
        <v>-5.0800000000000005E-2</v>
      </c>
      <c r="J49" s="5">
        <f t="shared" si="4"/>
        <v>-5.1687500000000004E-2</v>
      </c>
      <c r="K49" s="5">
        <f t="shared" si="5"/>
        <v>-4.0833333333333329E-3</v>
      </c>
      <c r="L49" s="8">
        <f t="shared" si="2"/>
        <v>0.46266258921388248</v>
      </c>
      <c r="M49" s="8">
        <f t="shared" si="3"/>
        <v>3.8400000000000004E-2</v>
      </c>
      <c r="N49" s="8">
        <f t="shared" si="6"/>
        <v>4.9049999999999989E-2</v>
      </c>
      <c r="O49" s="296">
        <f t="shared" si="1"/>
        <v>0.42426258921388249</v>
      </c>
      <c r="P49" s="8">
        <f t="shared" si="7"/>
        <v>0.4136125892138825</v>
      </c>
      <c r="Q49" s="8">
        <f t="shared" si="8"/>
        <v>1.1117700587413051</v>
      </c>
      <c r="R49" s="8">
        <f t="shared" si="9"/>
        <v>5.3800000000000001E-2</v>
      </c>
      <c r="S49" s="296">
        <f t="shared" si="10"/>
        <v>1.057970058741305</v>
      </c>
      <c r="U49"/>
      <c r="V49"/>
      <c r="W49"/>
      <c r="X49"/>
      <c r="Y49"/>
      <c r="Z49"/>
      <c r="AA49"/>
      <c r="AB49"/>
      <c r="AC49"/>
      <c r="AD49"/>
      <c r="AE49"/>
      <c r="AF49"/>
      <c r="AG49"/>
      <c r="AH49"/>
      <c r="AI49"/>
      <c r="AJ49"/>
      <c r="AK49"/>
      <c r="AL49"/>
      <c r="AM49"/>
      <c r="AN49"/>
      <c r="AO49"/>
      <c r="AP49"/>
      <c r="AQ49"/>
      <c r="AR49"/>
      <c r="AS49"/>
      <c r="AT49"/>
      <c r="AU49"/>
      <c r="AV49"/>
      <c r="AW49"/>
      <c r="AX49"/>
      <c r="AY49"/>
      <c r="AZ49"/>
      <c r="BA49"/>
    </row>
    <row r="50" spans="1:53" ht="14.4" x14ac:dyDescent="0.55000000000000004">
      <c r="A50" s="295">
        <v>10867</v>
      </c>
      <c r="B50" s="7">
        <v>-0.1973</v>
      </c>
      <c r="C50" s="5">
        <v>-0.30220000000000002</v>
      </c>
      <c r="D50" s="5">
        <v>3.0999999999999999E-3</v>
      </c>
      <c r="E50" s="5">
        <v>3.9749999999999994E-3</v>
      </c>
      <c r="F50" s="5">
        <v>4.1749999999999999E-3</v>
      </c>
      <c r="G50" s="5">
        <v>4.0749999999999996E-3</v>
      </c>
      <c r="H50" s="5">
        <v>4.45E-3</v>
      </c>
      <c r="I50" s="5">
        <f t="shared" si="0"/>
        <v>-0.20039999999999999</v>
      </c>
      <c r="J50" s="5">
        <f t="shared" si="4"/>
        <v>-0.201375</v>
      </c>
      <c r="K50" s="5">
        <f t="shared" si="5"/>
        <v>-0.30665000000000003</v>
      </c>
      <c r="L50" s="8">
        <f t="shared" si="2"/>
        <v>0.15468062584774178</v>
      </c>
      <c r="M50" s="8">
        <f t="shared" si="3"/>
        <v>3.7199999999999997E-2</v>
      </c>
      <c r="N50" s="8">
        <f t="shared" si="6"/>
        <v>4.8899999999999999E-2</v>
      </c>
      <c r="O50" s="296">
        <f t="shared" si="1"/>
        <v>0.11748062584774178</v>
      </c>
      <c r="P50" s="8">
        <f t="shared" si="7"/>
        <v>0.10578062584774178</v>
      </c>
      <c r="Q50" s="8">
        <f t="shared" si="8"/>
        <v>0.48727608698999036</v>
      </c>
      <c r="R50" s="8">
        <f t="shared" si="9"/>
        <v>5.3400000000000003E-2</v>
      </c>
      <c r="S50" s="296">
        <f t="shared" si="10"/>
        <v>0.43387608698999036</v>
      </c>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ht="14.4" x14ac:dyDescent="0.55000000000000004">
      <c r="A51" s="295">
        <v>10898</v>
      </c>
      <c r="B51" s="7">
        <v>-0.1246</v>
      </c>
      <c r="C51" s="5">
        <v>-0.1424</v>
      </c>
      <c r="D51" s="5">
        <v>2.5999999999999999E-3</v>
      </c>
      <c r="E51" s="5">
        <v>3.966666666666667E-3</v>
      </c>
      <c r="F51" s="5">
        <v>4.1166666666666669E-3</v>
      </c>
      <c r="G51" s="5">
        <v>4.0416666666666665E-3</v>
      </c>
      <c r="H51" s="5">
        <v>4.4083333333333335E-3</v>
      </c>
      <c r="I51" s="5">
        <f t="shared" si="0"/>
        <v>-0.12720000000000001</v>
      </c>
      <c r="J51" s="5">
        <f t="shared" si="4"/>
        <v>-0.12864166666666668</v>
      </c>
      <c r="K51" s="5">
        <f t="shared" si="5"/>
        <v>-0.14680833333333332</v>
      </c>
      <c r="L51" s="8">
        <f t="shared" si="2"/>
        <v>-0.10484642236351993</v>
      </c>
      <c r="M51" s="8">
        <f t="shared" si="3"/>
        <v>3.1199999999999999E-2</v>
      </c>
      <c r="N51" s="8">
        <f t="shared" si="6"/>
        <v>4.8500000000000001E-2</v>
      </c>
      <c r="O51" s="296">
        <f t="shared" si="1"/>
        <v>-0.13604642236351994</v>
      </c>
      <c r="P51" s="8">
        <f t="shared" si="7"/>
        <v>-0.15334642236351992</v>
      </c>
      <c r="Q51" s="8">
        <f t="shared" si="8"/>
        <v>5.0043609288396906E-2</v>
      </c>
      <c r="R51" s="8">
        <f t="shared" si="9"/>
        <v>5.2900000000000003E-2</v>
      </c>
      <c r="S51" s="296">
        <f t="shared" si="10"/>
        <v>-2.8563907116030962E-3</v>
      </c>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ht="14.4" x14ac:dyDescent="0.55000000000000004">
      <c r="A52" s="295">
        <v>10928</v>
      </c>
      <c r="B52" s="7">
        <v>2.8199999999999999E-2</v>
      </c>
      <c r="C52" s="5">
        <v>6.7999999999999991E-2</v>
      </c>
      <c r="D52" s="5">
        <v>3.0999999999999999E-3</v>
      </c>
      <c r="E52" s="5">
        <v>3.8916666666666665E-3</v>
      </c>
      <c r="F52" s="5">
        <v>4.0333333333333332E-3</v>
      </c>
      <c r="G52" s="5">
        <v>3.9624999999999999E-3</v>
      </c>
      <c r="H52" s="5">
        <v>4.3583333333333339E-3</v>
      </c>
      <c r="I52" s="5">
        <f t="shared" si="0"/>
        <v>2.5100000000000001E-2</v>
      </c>
      <c r="J52" s="5">
        <f t="shared" si="4"/>
        <v>2.4237499999999999E-2</v>
      </c>
      <c r="K52" s="5">
        <f t="shared" si="5"/>
        <v>6.3641666666666652E-2</v>
      </c>
      <c r="L52" s="8">
        <f t="shared" si="2"/>
        <v>-8.4091045351946891E-2</v>
      </c>
      <c r="M52" s="8">
        <f t="shared" si="3"/>
        <v>3.7199999999999997E-2</v>
      </c>
      <c r="N52" s="8">
        <f t="shared" si="6"/>
        <v>4.7549999999999995E-2</v>
      </c>
      <c r="O52" s="296">
        <f t="shared" si="1"/>
        <v>-0.12129104535194689</v>
      </c>
      <c r="P52" s="8">
        <f t="shared" si="7"/>
        <v>-0.13164104535194687</v>
      </c>
      <c r="Q52" s="8">
        <f t="shared" si="8"/>
        <v>0.11034314328713646</v>
      </c>
      <c r="R52" s="8">
        <f t="shared" si="9"/>
        <v>5.2300000000000006E-2</v>
      </c>
      <c r="S52" s="296">
        <f t="shared" si="10"/>
        <v>5.8043143287136452E-2</v>
      </c>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ht="14.4" x14ac:dyDescent="0.55000000000000004">
      <c r="A53" s="295">
        <v>10959</v>
      </c>
      <c r="B53" s="7">
        <v>6.3899999999999998E-2</v>
      </c>
      <c r="C53" s="5">
        <v>7.3999999999999996E-2</v>
      </c>
      <c r="D53" s="5">
        <v>2.8999999999999998E-3</v>
      </c>
      <c r="E53" s="5">
        <v>3.8833333333333337E-3</v>
      </c>
      <c r="F53" s="5">
        <v>4.0500000000000006E-3</v>
      </c>
      <c r="G53" s="5">
        <v>3.966666666666667E-3</v>
      </c>
      <c r="H53" s="5">
        <v>4.3833333333333328E-3</v>
      </c>
      <c r="I53" s="5">
        <f t="shared" si="0"/>
        <v>6.0999999999999999E-2</v>
      </c>
      <c r="J53" s="5">
        <f t="shared" si="4"/>
        <v>5.9933333333333332E-2</v>
      </c>
      <c r="K53" s="5">
        <f t="shared" si="5"/>
        <v>6.961666666666666E-2</v>
      </c>
      <c r="L53" s="8">
        <f t="shared" si="2"/>
        <v>-7.9244508315162165E-2</v>
      </c>
      <c r="M53" s="8">
        <f t="shared" si="3"/>
        <v>3.4799999999999998E-2</v>
      </c>
      <c r="N53" s="8">
        <f t="shared" si="6"/>
        <v>4.7600000000000003E-2</v>
      </c>
      <c r="O53" s="296">
        <f t="shared" si="1"/>
        <v>-0.11404450831516216</v>
      </c>
      <c r="P53" s="8">
        <f t="shared" si="7"/>
        <v>-0.12684450831516217</v>
      </c>
      <c r="Q53" s="8">
        <f t="shared" si="8"/>
        <v>5.2987669660384151E-2</v>
      </c>
      <c r="R53" s="8">
        <f t="shared" si="9"/>
        <v>5.2599999999999994E-2</v>
      </c>
      <c r="S53" s="296">
        <f t="shared" si="10"/>
        <v>3.8766966038415729E-4</v>
      </c>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ht="14.4" x14ac:dyDescent="0.55000000000000004">
      <c r="A54" s="295">
        <v>10990</v>
      </c>
      <c r="B54" s="7">
        <v>2.5899999999999999E-2</v>
      </c>
      <c r="C54" s="5">
        <v>8.8499999999999995E-2</v>
      </c>
      <c r="D54" s="5">
        <v>2.5999999999999999E-3</v>
      </c>
      <c r="E54" s="5">
        <v>3.908333333333334E-3</v>
      </c>
      <c r="F54" s="5">
        <v>4.0749999999999996E-3</v>
      </c>
      <c r="G54" s="5">
        <v>3.9916666666666668E-3</v>
      </c>
      <c r="H54" s="5">
        <v>4.4083333333333335E-3</v>
      </c>
      <c r="I54" s="5">
        <f t="shared" si="0"/>
        <v>2.3300000000000001E-2</v>
      </c>
      <c r="J54" s="5">
        <f t="shared" si="4"/>
        <v>2.1908333333333332E-2</v>
      </c>
      <c r="K54" s="5">
        <f t="shared" si="5"/>
        <v>8.4091666666666662E-2</v>
      </c>
      <c r="L54" s="8">
        <f t="shared" si="2"/>
        <v>-5.3598778760169385E-2</v>
      </c>
      <c r="M54" s="8">
        <f t="shared" si="3"/>
        <v>3.1199999999999999E-2</v>
      </c>
      <c r="N54" s="8">
        <f t="shared" si="6"/>
        <v>4.7899999999999998E-2</v>
      </c>
      <c r="O54" s="296">
        <f t="shared" si="1"/>
        <v>-8.4798778760169391E-2</v>
      </c>
      <c r="P54" s="8">
        <f t="shared" si="7"/>
        <v>-0.10149877876016938</v>
      </c>
      <c r="Q54" s="8">
        <f t="shared" si="8"/>
        <v>0.17339995743788683</v>
      </c>
      <c r="R54" s="8">
        <f t="shared" si="9"/>
        <v>5.2900000000000003E-2</v>
      </c>
      <c r="S54" s="296">
        <f t="shared" si="10"/>
        <v>0.12049995743788683</v>
      </c>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ht="14.4" x14ac:dyDescent="0.55000000000000004">
      <c r="A55" s="295">
        <v>11018</v>
      </c>
      <c r="B55" s="7">
        <v>8.1199999999999994E-2</v>
      </c>
      <c r="C55" s="5">
        <v>8.9099999999999999E-2</v>
      </c>
      <c r="D55" s="5">
        <v>2.8999999999999998E-3</v>
      </c>
      <c r="E55" s="5">
        <v>3.8500000000000001E-3</v>
      </c>
      <c r="F55" s="5">
        <v>4.0000000000000001E-3</v>
      </c>
      <c r="G55" s="5">
        <v>3.9249999999999997E-3</v>
      </c>
      <c r="H55" s="5">
        <v>4.3166666666666666E-3</v>
      </c>
      <c r="I55" s="5">
        <f t="shared" si="0"/>
        <v>7.8299999999999995E-2</v>
      </c>
      <c r="J55" s="5">
        <f t="shared" si="4"/>
        <v>7.7274999999999996E-2</v>
      </c>
      <c r="K55" s="5">
        <f t="shared" si="5"/>
        <v>8.4783333333333336E-2</v>
      </c>
      <c r="L55" s="8">
        <f t="shared" si="2"/>
        <v>2.4478374453849705E-2</v>
      </c>
      <c r="M55" s="8">
        <f t="shared" si="3"/>
        <v>3.4799999999999998E-2</v>
      </c>
      <c r="N55" s="8">
        <f t="shared" si="6"/>
        <v>4.7099999999999996E-2</v>
      </c>
      <c r="O55" s="296">
        <f t="shared" si="1"/>
        <v>-1.0321625546150293E-2</v>
      </c>
      <c r="P55" s="8">
        <f t="shared" si="7"/>
        <v>-2.2621625546150291E-2</v>
      </c>
      <c r="Q55" s="8">
        <f t="shared" si="8"/>
        <v>0.29216369428271283</v>
      </c>
      <c r="R55" s="8">
        <f t="shared" si="9"/>
        <v>5.1799999999999999E-2</v>
      </c>
      <c r="S55" s="296">
        <f t="shared" si="10"/>
        <v>0.24036369428271281</v>
      </c>
      <c r="U55"/>
      <c r="V55"/>
      <c r="W55"/>
      <c r="X55"/>
      <c r="Y55"/>
      <c r="Z55"/>
      <c r="AA55"/>
      <c r="AB55"/>
      <c r="AC55"/>
      <c r="AD55"/>
      <c r="AE55"/>
      <c r="AF55"/>
      <c r="AG55"/>
      <c r="AH55"/>
      <c r="AI55"/>
      <c r="AJ55"/>
      <c r="AK55"/>
      <c r="AL55"/>
      <c r="AM55"/>
      <c r="AN55"/>
      <c r="AO55"/>
      <c r="AP55"/>
      <c r="AQ55"/>
      <c r="AR55"/>
      <c r="AS55"/>
      <c r="AT55"/>
      <c r="AU55"/>
      <c r="AV55"/>
      <c r="AW55"/>
      <c r="AX55"/>
      <c r="AY55"/>
      <c r="AZ55"/>
      <c r="BA55"/>
    </row>
    <row r="56" spans="1:53" ht="14.4" x14ac:dyDescent="0.55000000000000004">
      <c r="A56" s="295">
        <v>11049</v>
      </c>
      <c r="B56" s="7">
        <v>-8.0000000000000002E-3</v>
      </c>
      <c r="C56" s="5">
        <v>3.4099999999999998E-2</v>
      </c>
      <c r="D56" s="5">
        <v>2.7000000000000001E-3</v>
      </c>
      <c r="E56" s="5">
        <v>3.8333333333333331E-3</v>
      </c>
      <c r="F56" s="5">
        <v>3.9833333333333335E-3</v>
      </c>
      <c r="G56" s="5">
        <v>3.908333333333334E-3</v>
      </c>
      <c r="H56" s="5">
        <v>4.2916666666666667E-3</v>
      </c>
      <c r="I56" s="5">
        <f t="shared" si="0"/>
        <v>-1.0700000000000001E-2</v>
      </c>
      <c r="J56" s="5">
        <f t="shared" si="4"/>
        <v>-1.1908333333333333E-2</v>
      </c>
      <c r="K56" s="5">
        <f t="shared" si="5"/>
        <v>2.9808333333333333E-2</v>
      </c>
      <c r="L56" s="8">
        <f t="shared" si="2"/>
        <v>-1.2946664129139807E-3</v>
      </c>
      <c r="M56" s="8">
        <f t="shared" si="3"/>
        <v>3.2399999999999998E-2</v>
      </c>
      <c r="N56" s="8">
        <f t="shared" si="6"/>
        <v>4.6900000000000011E-2</v>
      </c>
      <c r="O56" s="296">
        <f t="shared" si="1"/>
        <v>-3.3694666412913979E-2</v>
      </c>
      <c r="P56" s="8">
        <f t="shared" si="7"/>
        <v>-4.8194666412913992E-2</v>
      </c>
      <c r="Q56" s="8">
        <f t="shared" si="8"/>
        <v>0.29141439669252267</v>
      </c>
      <c r="R56" s="8">
        <f t="shared" si="9"/>
        <v>5.1500000000000004E-2</v>
      </c>
      <c r="S56" s="296">
        <f t="shared" si="10"/>
        <v>0.23991439669252268</v>
      </c>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ht="14.4" x14ac:dyDescent="0.55000000000000004">
      <c r="A57" s="295">
        <v>11079</v>
      </c>
      <c r="B57" s="7">
        <v>-9.5999999999999992E-3</v>
      </c>
      <c r="C57" s="5">
        <v>-2.3600000000000003E-2</v>
      </c>
      <c r="D57" s="5">
        <v>2.7000000000000001E-3</v>
      </c>
      <c r="E57" s="5">
        <v>3.8333333333333331E-3</v>
      </c>
      <c r="F57" s="5">
        <v>3.9749999999999994E-3</v>
      </c>
      <c r="G57" s="5">
        <v>3.9041666666666665E-3</v>
      </c>
      <c r="H57" s="5">
        <v>4.1999999999999997E-3</v>
      </c>
      <c r="I57" s="5">
        <f t="shared" si="0"/>
        <v>-1.2299999999999998E-2</v>
      </c>
      <c r="J57" s="5">
        <f t="shared" si="4"/>
        <v>-1.3504166666666666E-2</v>
      </c>
      <c r="K57" s="5">
        <f t="shared" si="5"/>
        <v>-2.7800000000000002E-2</v>
      </c>
      <c r="L57" s="8">
        <f t="shared" si="2"/>
        <v>2.6268688923687389E-2</v>
      </c>
      <c r="M57" s="8">
        <f t="shared" si="3"/>
        <v>3.2399999999999998E-2</v>
      </c>
      <c r="N57" s="8">
        <f t="shared" si="6"/>
        <v>4.6849999999999996E-2</v>
      </c>
      <c r="O57" s="296">
        <f t="shared" si="1"/>
        <v>-6.1313110763126094E-3</v>
      </c>
      <c r="P57" s="8">
        <f t="shared" si="7"/>
        <v>-2.0581311076312607E-2</v>
      </c>
      <c r="Q57" s="8">
        <f t="shared" si="8"/>
        <v>0.20433334950389614</v>
      </c>
      <c r="R57" s="8">
        <f t="shared" si="9"/>
        <v>5.04E-2</v>
      </c>
      <c r="S57" s="296">
        <f t="shared" si="10"/>
        <v>0.15393334950389614</v>
      </c>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ht="14.4" x14ac:dyDescent="0.55000000000000004">
      <c r="A58" s="295">
        <v>11110</v>
      </c>
      <c r="B58" s="7">
        <v>-0.16250000000000001</v>
      </c>
      <c r="C58" s="5">
        <v>-0.19030000000000002</v>
      </c>
      <c r="D58" s="5">
        <v>2.8999999999999998E-3</v>
      </c>
      <c r="E58" s="5">
        <v>3.8083333333333337E-3</v>
      </c>
      <c r="F58" s="5">
        <v>3.966666666666667E-3</v>
      </c>
      <c r="G58" s="5">
        <v>3.8875000000000003E-3</v>
      </c>
      <c r="H58" s="5">
        <v>4.1749999999999999E-3</v>
      </c>
      <c r="I58" s="5">
        <f t="shared" si="0"/>
        <v>-0.16539999999999999</v>
      </c>
      <c r="J58" s="5">
        <f t="shared" si="4"/>
        <v>-0.16638749999999999</v>
      </c>
      <c r="K58" s="5">
        <f t="shared" si="5"/>
        <v>-0.19447500000000004</v>
      </c>
      <c r="L58" s="8">
        <f t="shared" si="2"/>
        <v>-0.22845599014938212</v>
      </c>
      <c r="M58" s="8">
        <f t="shared" si="3"/>
        <v>3.4799999999999998E-2</v>
      </c>
      <c r="N58" s="8">
        <f t="shared" si="6"/>
        <v>4.6650000000000004E-2</v>
      </c>
      <c r="O58" s="296">
        <f t="shared" si="1"/>
        <v>-0.26325599014938211</v>
      </c>
      <c r="P58" s="8">
        <f t="shared" si="7"/>
        <v>-0.27510599014938214</v>
      </c>
      <c r="Q58" s="8">
        <f t="shared" si="8"/>
        <v>-0.19925380760937395</v>
      </c>
      <c r="R58" s="8">
        <f t="shared" si="9"/>
        <v>5.0099999999999999E-2</v>
      </c>
      <c r="S58" s="296">
        <f t="shared" si="10"/>
        <v>-0.24935380760937395</v>
      </c>
      <c r="U58"/>
      <c r="V58"/>
      <c r="W58"/>
      <c r="X58"/>
      <c r="Y58"/>
      <c r="Z58"/>
      <c r="AA58"/>
      <c r="AB58"/>
      <c r="AC58"/>
      <c r="AD58"/>
      <c r="AE58"/>
      <c r="AF58"/>
      <c r="AG58"/>
      <c r="AH58"/>
      <c r="AI58"/>
      <c r="AJ58"/>
      <c r="AK58"/>
      <c r="AL58"/>
      <c r="AM58"/>
      <c r="AN58"/>
      <c r="AO58"/>
      <c r="AP58"/>
      <c r="AQ58"/>
      <c r="AR58"/>
      <c r="AS58"/>
      <c r="AT58"/>
      <c r="AU58"/>
      <c r="AV58"/>
      <c r="AW58"/>
      <c r="AX58"/>
      <c r="AY58"/>
      <c r="AZ58"/>
      <c r="BA58"/>
    </row>
    <row r="59" spans="1:53" ht="14.4" x14ac:dyDescent="0.55000000000000004">
      <c r="A59" s="295">
        <v>11140</v>
      </c>
      <c r="B59" s="7">
        <v>3.8600000000000002E-2</v>
      </c>
      <c r="C59" s="5">
        <v>1.7599999999999998E-2</v>
      </c>
      <c r="D59" s="5">
        <v>2.7999999999999995E-3</v>
      </c>
      <c r="E59" s="5">
        <v>3.7666666666666664E-3</v>
      </c>
      <c r="F59" s="5">
        <v>3.9500000000000004E-3</v>
      </c>
      <c r="G59" s="5">
        <v>3.8583333333333334E-3</v>
      </c>
      <c r="H59" s="5">
        <v>4.1583333333333333E-3</v>
      </c>
      <c r="I59" s="5">
        <f t="shared" si="0"/>
        <v>3.5800000000000005E-2</v>
      </c>
      <c r="J59" s="5">
        <f t="shared" si="4"/>
        <v>3.4741666666666671E-2</v>
      </c>
      <c r="K59" s="5">
        <f t="shared" si="5"/>
        <v>1.3441666666666664E-2</v>
      </c>
      <c r="L59" s="8">
        <f t="shared" si="2"/>
        <v>-0.23471912078039192</v>
      </c>
      <c r="M59" s="8">
        <f t="shared" si="3"/>
        <v>3.3599999999999991E-2</v>
      </c>
      <c r="N59" s="8">
        <f t="shared" si="6"/>
        <v>4.6300000000000001E-2</v>
      </c>
      <c r="O59" s="296">
        <f t="shared" si="1"/>
        <v>-0.26831912078039188</v>
      </c>
      <c r="P59" s="8">
        <f t="shared" si="7"/>
        <v>-0.28101912078039193</v>
      </c>
      <c r="Q59" s="8">
        <f t="shared" si="8"/>
        <v>-0.25278374564263972</v>
      </c>
      <c r="R59" s="8">
        <f t="shared" si="9"/>
        <v>4.99E-2</v>
      </c>
      <c r="S59" s="296">
        <f t="shared" si="10"/>
        <v>-0.30268374564263972</v>
      </c>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ht="14.4" x14ac:dyDescent="0.55000000000000004">
      <c r="A60" s="295">
        <v>11171</v>
      </c>
      <c r="B60" s="7">
        <v>1.41E-2</v>
      </c>
      <c r="C60" s="5">
        <v>7.6000000000000009E-3</v>
      </c>
      <c r="D60" s="5">
        <v>2.5999999999999999E-3</v>
      </c>
      <c r="E60" s="5">
        <v>3.725E-3</v>
      </c>
      <c r="F60" s="5">
        <v>3.8999999999999994E-3</v>
      </c>
      <c r="G60" s="5">
        <v>3.8124999999999999E-3</v>
      </c>
      <c r="H60" s="5">
        <v>4.1250000000000002E-3</v>
      </c>
      <c r="I60" s="5">
        <f t="shared" si="0"/>
        <v>1.15E-2</v>
      </c>
      <c r="J60" s="5">
        <f t="shared" si="4"/>
        <v>1.02875E-2</v>
      </c>
      <c r="K60" s="5">
        <f t="shared" si="5"/>
        <v>3.4750000000000007E-3</v>
      </c>
      <c r="L60" s="8">
        <f t="shared" si="2"/>
        <v>-0.29627190821853056</v>
      </c>
      <c r="M60" s="8">
        <f t="shared" si="3"/>
        <v>3.1199999999999999E-2</v>
      </c>
      <c r="N60" s="8">
        <f t="shared" si="6"/>
        <v>4.5749999999999999E-2</v>
      </c>
      <c r="O60" s="296">
        <f t="shared" si="1"/>
        <v>-0.32747190821853056</v>
      </c>
      <c r="P60" s="8">
        <f t="shared" si="7"/>
        <v>-0.34202190821853057</v>
      </c>
      <c r="Q60" s="8">
        <f t="shared" si="8"/>
        <v>-0.31759711964970894</v>
      </c>
      <c r="R60" s="8">
        <f t="shared" si="9"/>
        <v>4.9500000000000002E-2</v>
      </c>
      <c r="S60" s="296">
        <f t="shared" si="10"/>
        <v>-0.36709711964970893</v>
      </c>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ht="14.4" x14ac:dyDescent="0.55000000000000004">
      <c r="A61" s="295">
        <v>11202</v>
      </c>
      <c r="B61" s="7">
        <v>-0.12820000000000001</v>
      </c>
      <c r="C61" s="5">
        <v>-0.1108</v>
      </c>
      <c r="D61" s="5">
        <v>2.8999999999999998E-3</v>
      </c>
      <c r="E61" s="5">
        <v>3.6833333333333336E-3</v>
      </c>
      <c r="F61" s="5">
        <v>3.875E-3</v>
      </c>
      <c r="G61" s="5">
        <v>3.7791666666666668E-3</v>
      </c>
      <c r="H61" s="5">
        <v>4.0500000000000006E-3</v>
      </c>
      <c r="I61" s="5">
        <f t="shared" si="0"/>
        <v>-0.13109999999999999</v>
      </c>
      <c r="J61" s="5">
        <f t="shared" si="4"/>
        <v>-0.13197916666666668</v>
      </c>
      <c r="K61" s="5">
        <f t="shared" si="5"/>
        <v>-0.11484999999999999</v>
      </c>
      <c r="L61" s="8">
        <f t="shared" si="2"/>
        <v>-0.35582722551965029</v>
      </c>
      <c r="M61" s="8">
        <f t="shared" si="3"/>
        <v>3.4799999999999998E-2</v>
      </c>
      <c r="N61" s="8">
        <f t="shared" si="6"/>
        <v>4.5350000000000001E-2</v>
      </c>
      <c r="O61" s="296">
        <f t="shared" si="1"/>
        <v>-0.39062722551965029</v>
      </c>
      <c r="P61" s="8">
        <f t="shared" si="7"/>
        <v>-0.40117722551965029</v>
      </c>
      <c r="Q61" s="8">
        <f t="shared" si="8"/>
        <v>-0.39344997880100063</v>
      </c>
      <c r="R61" s="8">
        <f t="shared" si="9"/>
        <v>4.8600000000000004E-2</v>
      </c>
      <c r="S61" s="296">
        <f t="shared" si="10"/>
        <v>-0.44204997880100061</v>
      </c>
      <c r="U61"/>
      <c r="V61"/>
      <c r="W61"/>
      <c r="X61"/>
      <c r="Y61"/>
      <c r="Z61"/>
      <c r="AA61"/>
      <c r="AB61"/>
      <c r="AC61"/>
      <c r="AD61"/>
      <c r="AE61"/>
      <c r="AF61"/>
      <c r="AG61"/>
      <c r="AH61"/>
      <c r="AI61"/>
      <c r="AJ61"/>
      <c r="AK61"/>
      <c r="AL61"/>
      <c r="AM61"/>
      <c r="AN61"/>
      <c r="AO61"/>
      <c r="AP61"/>
      <c r="AQ61"/>
      <c r="AR61"/>
      <c r="AS61"/>
      <c r="AT61"/>
      <c r="AU61"/>
      <c r="AV61"/>
      <c r="AW61"/>
      <c r="AX61"/>
      <c r="AY61"/>
      <c r="AZ61"/>
      <c r="BA61"/>
    </row>
    <row r="62" spans="1:53" ht="14.4" x14ac:dyDescent="0.55000000000000004">
      <c r="A62" s="295">
        <v>11232</v>
      </c>
      <c r="B62" s="7">
        <v>-8.5500000000000007E-2</v>
      </c>
      <c r="C62" s="5">
        <v>-8.1799999999999998E-2</v>
      </c>
      <c r="D62" s="5">
        <v>2.7000000000000001E-3</v>
      </c>
      <c r="E62" s="5">
        <v>3.6833333333333336E-3</v>
      </c>
      <c r="F62" s="5">
        <v>3.8916666666666665E-3</v>
      </c>
      <c r="G62" s="5">
        <v>3.7875000000000005E-3</v>
      </c>
      <c r="H62" s="5">
        <v>4.0666666666666663E-3</v>
      </c>
      <c r="I62" s="5">
        <f t="shared" si="0"/>
        <v>-8.8200000000000001E-2</v>
      </c>
      <c r="J62" s="5">
        <f t="shared" si="4"/>
        <v>-8.9287500000000006E-2</v>
      </c>
      <c r="K62" s="5">
        <f t="shared" si="5"/>
        <v>-8.5866666666666661E-2</v>
      </c>
      <c r="L62" s="8">
        <f t="shared" si="2"/>
        <v>-0.26610688643044766</v>
      </c>
      <c r="M62" s="8">
        <f t="shared" si="3"/>
        <v>3.2399999999999998E-2</v>
      </c>
      <c r="N62" s="8">
        <f t="shared" si="6"/>
        <v>4.5450000000000004E-2</v>
      </c>
      <c r="O62" s="296">
        <f t="shared" si="1"/>
        <v>-0.29850688643044765</v>
      </c>
      <c r="P62" s="8">
        <f t="shared" si="7"/>
        <v>-0.31155688643044765</v>
      </c>
      <c r="Q62" s="8">
        <f t="shared" si="8"/>
        <v>-0.20187126760544427</v>
      </c>
      <c r="R62" s="8">
        <f t="shared" si="9"/>
        <v>4.8799999999999996E-2</v>
      </c>
      <c r="S62" s="296">
        <f t="shared" si="10"/>
        <v>-0.25067126760544428</v>
      </c>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row>
    <row r="63" spans="1:53" ht="14.4" x14ac:dyDescent="0.55000000000000004">
      <c r="A63" s="295">
        <v>11263</v>
      </c>
      <c r="B63" s="7">
        <v>-8.8999999999999999E-3</v>
      </c>
      <c r="C63" s="5">
        <v>-7.3000000000000009E-2</v>
      </c>
      <c r="D63" s="5">
        <v>2.5999999999999999E-3</v>
      </c>
      <c r="E63" s="5">
        <v>3.725E-3</v>
      </c>
      <c r="F63" s="5">
        <v>3.9583333333333328E-3</v>
      </c>
      <c r="G63" s="5">
        <v>3.8416666666666664E-3</v>
      </c>
      <c r="H63" s="5">
        <v>4.1333333333333335E-3</v>
      </c>
      <c r="I63" s="5">
        <f t="shared" si="0"/>
        <v>-1.15E-2</v>
      </c>
      <c r="J63" s="5">
        <f t="shared" si="4"/>
        <v>-1.2741666666666667E-2</v>
      </c>
      <c r="K63" s="5">
        <f t="shared" si="5"/>
        <v>-7.7133333333333345E-2</v>
      </c>
      <c r="L63" s="8">
        <f t="shared" si="2"/>
        <v>-0.16910959006307591</v>
      </c>
      <c r="M63" s="8">
        <f t="shared" si="3"/>
        <v>3.1199999999999999E-2</v>
      </c>
      <c r="N63" s="8">
        <f t="shared" si="6"/>
        <v>4.6099999999999995E-2</v>
      </c>
      <c r="O63" s="296">
        <f t="shared" si="1"/>
        <v>-0.20030959006307592</v>
      </c>
      <c r="P63" s="8">
        <f t="shared" si="7"/>
        <v>-0.21520959006307591</v>
      </c>
      <c r="Q63" s="8">
        <f t="shared" si="8"/>
        <v>-0.13728389117332884</v>
      </c>
      <c r="R63" s="8">
        <f t="shared" si="9"/>
        <v>4.9600000000000005E-2</v>
      </c>
      <c r="S63" s="296">
        <f t="shared" si="10"/>
        <v>-0.18688389117332885</v>
      </c>
      <c r="U63"/>
      <c r="V63"/>
      <c r="W63"/>
      <c r="X63"/>
      <c r="Y63"/>
      <c r="Z63"/>
      <c r="AA63"/>
      <c r="AB63"/>
      <c r="AC63"/>
      <c r="AD63"/>
      <c r="AE63"/>
      <c r="AF63"/>
      <c r="AG63"/>
      <c r="AH63"/>
      <c r="AI63"/>
      <c r="AJ63"/>
      <c r="AK63"/>
      <c r="AL63"/>
      <c r="AM63"/>
      <c r="AN63"/>
      <c r="AO63"/>
      <c r="AP63"/>
      <c r="AQ63"/>
      <c r="AR63"/>
      <c r="AS63"/>
      <c r="AT63"/>
      <c r="AU63"/>
      <c r="AV63"/>
      <c r="AW63"/>
      <c r="AX63"/>
      <c r="AY63"/>
      <c r="AZ63"/>
      <c r="BA63"/>
    </row>
    <row r="64" spans="1:53" ht="14.4" x14ac:dyDescent="0.55000000000000004">
      <c r="A64" s="295">
        <v>11293</v>
      </c>
      <c r="B64" s="7">
        <v>-7.0599999999999996E-2</v>
      </c>
      <c r="C64" s="5">
        <v>-3.39E-2</v>
      </c>
      <c r="D64" s="5">
        <v>2.7999999999999995E-3</v>
      </c>
      <c r="E64" s="5">
        <v>3.7666666666666664E-3</v>
      </c>
      <c r="F64" s="5">
        <v>4.0416666666666665E-3</v>
      </c>
      <c r="G64" s="5">
        <v>3.9041666666666665E-3</v>
      </c>
      <c r="H64" s="5">
        <v>4.2583333333333336E-3</v>
      </c>
      <c r="I64" s="5">
        <f t="shared" si="0"/>
        <v>-7.3399999999999993E-2</v>
      </c>
      <c r="J64" s="5">
        <f t="shared" si="4"/>
        <v>-7.4504166666666663E-2</v>
      </c>
      <c r="K64" s="5">
        <f t="shared" si="5"/>
        <v>-3.8158333333333336E-2</v>
      </c>
      <c r="L64" s="8">
        <f t="shared" si="2"/>
        <v>-0.24895006127662178</v>
      </c>
      <c r="M64" s="8">
        <f t="shared" si="3"/>
        <v>3.3599999999999991E-2</v>
      </c>
      <c r="N64" s="8">
        <f t="shared" si="6"/>
        <v>4.6849999999999996E-2</v>
      </c>
      <c r="O64" s="296">
        <f t="shared" si="1"/>
        <v>-0.28255006127662174</v>
      </c>
      <c r="P64" s="8">
        <f t="shared" si="7"/>
        <v>-0.29580006127662178</v>
      </c>
      <c r="Q64" s="8">
        <f t="shared" si="8"/>
        <v>-0.2195973476241132</v>
      </c>
      <c r="R64" s="8">
        <f t="shared" si="9"/>
        <v>5.1100000000000007E-2</v>
      </c>
      <c r="S64" s="296">
        <f t="shared" si="10"/>
        <v>-0.27069734762411324</v>
      </c>
      <c r="U64"/>
      <c r="V64"/>
      <c r="W64"/>
      <c r="X64"/>
      <c r="Y64"/>
      <c r="Z64"/>
      <c r="AA64"/>
      <c r="AB64"/>
      <c r="AC64"/>
      <c r="AD64"/>
      <c r="AE64"/>
      <c r="AF64"/>
      <c r="AG64"/>
      <c r="AH64"/>
      <c r="AI64"/>
      <c r="AJ64"/>
      <c r="AK64"/>
      <c r="AL64"/>
      <c r="AM64"/>
      <c r="AN64"/>
      <c r="AO64"/>
      <c r="AP64"/>
      <c r="AQ64"/>
      <c r="AR64"/>
      <c r="AS64"/>
      <c r="AT64"/>
      <c r="AU64"/>
      <c r="AV64"/>
      <c r="AW64"/>
      <c r="AX64"/>
      <c r="AY64"/>
      <c r="AZ64"/>
      <c r="BA64"/>
    </row>
    <row r="65" spans="1:53" ht="14.4" x14ac:dyDescent="0.55000000000000004">
      <c r="A65" s="295">
        <v>11324</v>
      </c>
      <c r="B65" s="7">
        <v>5.0200000000000002E-2</v>
      </c>
      <c r="C65" s="5">
        <v>5.4000000000000006E-2</v>
      </c>
      <c r="D65" s="5">
        <v>2.7999999999999995E-3</v>
      </c>
      <c r="E65" s="5">
        <v>3.6833333333333336E-3</v>
      </c>
      <c r="F65" s="5">
        <v>3.9166666666666664E-3</v>
      </c>
      <c r="G65" s="5">
        <v>3.8E-3</v>
      </c>
      <c r="H65" s="5">
        <v>4.1749999999999999E-3</v>
      </c>
      <c r="I65" s="5">
        <f t="shared" si="0"/>
        <v>4.7400000000000005E-2</v>
      </c>
      <c r="J65" s="5">
        <f t="shared" si="4"/>
        <v>4.6400000000000004E-2</v>
      </c>
      <c r="K65" s="5">
        <f t="shared" si="5"/>
        <v>4.9825000000000008E-2</v>
      </c>
      <c r="L65" s="8">
        <f t="shared" si="2"/>
        <v>-0.25862144407623688</v>
      </c>
      <c r="M65" s="8">
        <f t="shared" si="3"/>
        <v>3.3599999999999991E-2</v>
      </c>
      <c r="N65" s="8">
        <f t="shared" si="6"/>
        <v>4.5600000000000002E-2</v>
      </c>
      <c r="O65" s="296">
        <f t="shared" si="1"/>
        <v>-0.29222144407623685</v>
      </c>
      <c r="P65" s="8">
        <f t="shared" si="7"/>
        <v>-0.30422144407623686</v>
      </c>
      <c r="Q65" s="8">
        <f t="shared" si="8"/>
        <v>-0.23412998547096386</v>
      </c>
      <c r="R65" s="8">
        <f t="shared" si="9"/>
        <v>5.0099999999999999E-2</v>
      </c>
      <c r="S65" s="296">
        <f t="shared" si="10"/>
        <v>-0.28422998547096384</v>
      </c>
      <c r="U65"/>
      <c r="V65"/>
      <c r="W65"/>
      <c r="X65"/>
      <c r="Y65"/>
      <c r="Z65"/>
      <c r="AA65"/>
      <c r="AB65"/>
      <c r="AC65"/>
      <c r="AD65"/>
      <c r="AE65"/>
      <c r="AF65"/>
      <c r="AG65"/>
      <c r="AH65"/>
      <c r="AI65"/>
      <c r="AJ65"/>
      <c r="AK65"/>
      <c r="AL65"/>
      <c r="AM65"/>
      <c r="AN65"/>
      <c r="AO65"/>
      <c r="AP65"/>
      <c r="AQ65"/>
      <c r="AR65"/>
      <c r="AS65"/>
      <c r="AT65"/>
      <c r="AU65"/>
      <c r="AV65"/>
      <c r="AW65"/>
      <c r="AX65"/>
      <c r="AY65"/>
      <c r="AZ65"/>
      <c r="BA65"/>
    </row>
    <row r="66" spans="1:53" ht="14.4" x14ac:dyDescent="0.55000000000000004">
      <c r="A66" s="295">
        <v>11355</v>
      </c>
      <c r="B66" s="7">
        <v>0.1193</v>
      </c>
      <c r="C66" s="5">
        <v>0.15240000000000001</v>
      </c>
      <c r="D66" s="5">
        <v>2.5999999999999999E-3</v>
      </c>
      <c r="E66" s="5">
        <v>3.6916666666666664E-3</v>
      </c>
      <c r="F66" s="5">
        <v>3.9166666666666664E-3</v>
      </c>
      <c r="G66" s="5">
        <v>3.8041666666666662E-3</v>
      </c>
      <c r="H66" s="5">
        <v>4.1749999999999999E-3</v>
      </c>
      <c r="I66" s="5">
        <f t="shared" si="0"/>
        <v>0.1167</v>
      </c>
      <c r="J66" s="5">
        <f t="shared" si="4"/>
        <v>0.11549583333333334</v>
      </c>
      <c r="K66" s="5">
        <f t="shared" si="5"/>
        <v>0.148225</v>
      </c>
      <c r="L66" s="8">
        <f t="shared" si="2"/>
        <v>-0.19112484877135394</v>
      </c>
      <c r="M66" s="8">
        <f t="shared" si="3"/>
        <v>3.1199999999999999E-2</v>
      </c>
      <c r="N66" s="8">
        <f t="shared" si="6"/>
        <v>4.5649999999999996E-2</v>
      </c>
      <c r="O66" s="296">
        <f t="shared" si="1"/>
        <v>-0.22232484877135394</v>
      </c>
      <c r="P66" s="8">
        <f t="shared" si="7"/>
        <v>-0.23677484877135394</v>
      </c>
      <c r="Q66" s="8">
        <f t="shared" si="8"/>
        <v>-0.18916986243154688</v>
      </c>
      <c r="R66" s="8">
        <f t="shared" si="9"/>
        <v>5.0099999999999999E-2</v>
      </c>
      <c r="S66" s="296">
        <f t="shared" si="10"/>
        <v>-0.23926986243154688</v>
      </c>
      <c r="U66"/>
      <c r="V66"/>
      <c r="W66"/>
      <c r="X66"/>
      <c r="Y66"/>
      <c r="Z66"/>
      <c r="AA66"/>
      <c r="AB66"/>
      <c r="AC66"/>
      <c r="AD66"/>
      <c r="AE66"/>
      <c r="AF66"/>
      <c r="AG66"/>
      <c r="AH66"/>
      <c r="AI66"/>
      <c r="AJ66"/>
      <c r="AK66"/>
      <c r="AL66"/>
      <c r="AM66"/>
      <c r="AN66"/>
      <c r="AO66"/>
      <c r="AP66"/>
      <c r="AQ66"/>
      <c r="AR66"/>
      <c r="AS66"/>
      <c r="AT66"/>
      <c r="AU66"/>
      <c r="AV66"/>
      <c r="AW66"/>
      <c r="AX66"/>
      <c r="AY66"/>
      <c r="AZ66"/>
      <c r="BA66"/>
    </row>
    <row r="67" spans="1:53" ht="14.4" x14ac:dyDescent="0.55000000000000004">
      <c r="A67" s="295">
        <v>11383</v>
      </c>
      <c r="B67" s="7">
        <v>-6.7500000000000004E-2</v>
      </c>
      <c r="C67" s="5">
        <v>-2.3900000000000001E-2</v>
      </c>
      <c r="D67" s="5">
        <v>2.8999999999999998E-3</v>
      </c>
      <c r="E67" s="5">
        <v>3.6583333333333329E-3</v>
      </c>
      <c r="F67" s="5">
        <v>3.8916666666666665E-3</v>
      </c>
      <c r="G67" s="5">
        <v>3.7749999999999993E-3</v>
      </c>
      <c r="H67" s="5">
        <v>4.15E-3</v>
      </c>
      <c r="I67" s="5">
        <f t="shared" si="0"/>
        <v>-7.0400000000000004E-2</v>
      </c>
      <c r="J67" s="5">
        <f t="shared" si="4"/>
        <v>-7.1275000000000005E-2</v>
      </c>
      <c r="K67" s="5">
        <f t="shared" si="5"/>
        <v>-2.8050000000000002E-2</v>
      </c>
      <c r="L67" s="8">
        <f t="shared" si="2"/>
        <v>-0.30237136651802388</v>
      </c>
      <c r="M67" s="8">
        <f t="shared" si="3"/>
        <v>3.4799999999999998E-2</v>
      </c>
      <c r="N67" s="8">
        <f t="shared" si="6"/>
        <v>4.5299999999999993E-2</v>
      </c>
      <c r="O67" s="296">
        <f t="shared" si="1"/>
        <v>-0.33717136651802387</v>
      </c>
      <c r="P67" s="8">
        <f t="shared" si="7"/>
        <v>-0.34767136651802388</v>
      </c>
      <c r="Q67" s="8">
        <f t="shared" si="8"/>
        <v>-0.27329786311581405</v>
      </c>
      <c r="R67" s="8">
        <f t="shared" si="9"/>
        <v>4.9799999999999997E-2</v>
      </c>
      <c r="S67" s="296">
        <f t="shared" si="10"/>
        <v>-0.32309786311581407</v>
      </c>
      <c r="U67"/>
      <c r="V67"/>
      <c r="W67"/>
      <c r="X67"/>
      <c r="Y67"/>
      <c r="Z67"/>
      <c r="AA67"/>
      <c r="AB67"/>
      <c r="AC67"/>
      <c r="AD67"/>
      <c r="AE67"/>
      <c r="AF67"/>
      <c r="AG67"/>
      <c r="AH67"/>
      <c r="AI67"/>
      <c r="AJ67"/>
      <c r="AK67"/>
      <c r="AL67"/>
      <c r="AM67"/>
      <c r="AN67"/>
      <c r="AO67"/>
      <c r="AP67"/>
      <c r="AQ67"/>
      <c r="AR67"/>
      <c r="AS67"/>
      <c r="AT67"/>
      <c r="AU67"/>
      <c r="AV67"/>
      <c r="AW67"/>
      <c r="AX67"/>
      <c r="AY67"/>
      <c r="AZ67"/>
      <c r="BA67"/>
    </row>
    <row r="68" spans="1:53" x14ac:dyDescent="0.45">
      <c r="A68" s="295">
        <v>11414</v>
      </c>
      <c r="B68" s="7">
        <v>-9.35E-2</v>
      </c>
      <c r="C68" s="5">
        <v>-0.10540000000000001</v>
      </c>
      <c r="D68" s="5">
        <v>2.7000000000000001E-3</v>
      </c>
      <c r="E68" s="5">
        <v>3.666666666666667E-3</v>
      </c>
      <c r="F68" s="5">
        <v>3.966666666666667E-3</v>
      </c>
      <c r="G68" s="5">
        <v>3.816666666666667E-3</v>
      </c>
      <c r="H68" s="5">
        <v>4.0500000000000006E-3</v>
      </c>
      <c r="I68" s="5">
        <f t="shared" si="0"/>
        <v>-9.6199999999999994E-2</v>
      </c>
      <c r="J68" s="5">
        <f t="shared" si="4"/>
        <v>-9.7316666666666662E-2</v>
      </c>
      <c r="K68" s="5">
        <f t="shared" si="5"/>
        <v>-0.10945000000000001</v>
      </c>
      <c r="L68" s="8">
        <f t="shared" si="2"/>
        <v>-0.36249964087559328</v>
      </c>
      <c r="M68" s="8">
        <f t="shared" si="3"/>
        <v>3.2399999999999998E-2</v>
      </c>
      <c r="N68" s="8">
        <f t="shared" si="6"/>
        <v>4.5800000000000007E-2</v>
      </c>
      <c r="O68" s="296">
        <f t="shared" si="1"/>
        <v>-0.39489964087559326</v>
      </c>
      <c r="P68" s="8">
        <f t="shared" si="7"/>
        <v>-0.40829964087559328</v>
      </c>
      <c r="Q68" s="8">
        <f t="shared" si="8"/>
        <v>-0.37132991813500349</v>
      </c>
      <c r="R68" s="8">
        <f t="shared" si="9"/>
        <v>4.8600000000000004E-2</v>
      </c>
      <c r="S68" s="296">
        <f t="shared" si="10"/>
        <v>-0.41992991813500347</v>
      </c>
    </row>
    <row r="69" spans="1:53" x14ac:dyDescent="0.45">
      <c r="A69" s="295">
        <v>11444</v>
      </c>
      <c r="B69" s="7">
        <v>-0.12790000000000001</v>
      </c>
      <c r="C69" s="5">
        <v>-0.10289999999999999</v>
      </c>
      <c r="D69" s="5">
        <v>2.5999999999999999E-3</v>
      </c>
      <c r="E69" s="5">
        <v>3.6416666666666667E-3</v>
      </c>
      <c r="F69" s="5">
        <v>3.966666666666667E-3</v>
      </c>
      <c r="G69" s="5">
        <v>3.8041666666666666E-3</v>
      </c>
      <c r="H69" s="5">
        <v>4.0333333333333332E-3</v>
      </c>
      <c r="I69" s="5">
        <f t="shared" si="0"/>
        <v>-0.1305</v>
      </c>
      <c r="J69" s="5">
        <f t="shared" si="4"/>
        <v>-0.13170416666666668</v>
      </c>
      <c r="K69" s="5">
        <f t="shared" si="5"/>
        <v>-0.10693333333333332</v>
      </c>
      <c r="L69" s="8">
        <f t="shared" si="2"/>
        <v>-0.43864694750363986</v>
      </c>
      <c r="M69" s="8">
        <f t="shared" si="3"/>
        <v>3.1199999999999999E-2</v>
      </c>
      <c r="N69" s="8">
        <f t="shared" si="6"/>
        <v>4.5649999999999996E-2</v>
      </c>
      <c r="O69" s="296">
        <f t="shared" si="1"/>
        <v>-0.46984694750363987</v>
      </c>
      <c r="P69" s="8">
        <f t="shared" si="7"/>
        <v>-0.48429694750363983</v>
      </c>
      <c r="Q69" s="8">
        <f t="shared" si="8"/>
        <v>-0.42238843666418657</v>
      </c>
      <c r="R69" s="8">
        <f t="shared" si="9"/>
        <v>4.8399999999999999E-2</v>
      </c>
      <c r="S69" s="296">
        <f t="shared" si="10"/>
        <v>-0.47078843666418657</v>
      </c>
    </row>
    <row r="70" spans="1:53" x14ac:dyDescent="0.45">
      <c r="A70" s="295">
        <v>11475</v>
      </c>
      <c r="B70" s="7">
        <v>0.1421</v>
      </c>
      <c r="C70" s="5">
        <v>0.13730000000000001</v>
      </c>
      <c r="D70" s="5">
        <v>2.7999999999999995E-3</v>
      </c>
      <c r="E70" s="5">
        <v>3.6333333333333335E-3</v>
      </c>
      <c r="F70" s="5">
        <v>4.0083333333333334E-3</v>
      </c>
      <c r="G70" s="5">
        <v>3.8208333333333332E-3</v>
      </c>
      <c r="H70" s="5">
        <v>4.0583333333333331E-3</v>
      </c>
      <c r="I70" s="5">
        <f t="shared" ref="I70:I133" si="11">B70-D70</f>
        <v>0.13930000000000001</v>
      </c>
      <c r="J70" s="5">
        <f t="shared" si="4"/>
        <v>0.13827916666666668</v>
      </c>
      <c r="K70" s="5">
        <f t="shared" si="5"/>
        <v>0.13324166666666667</v>
      </c>
      <c r="L70" s="8">
        <f t="shared" si="2"/>
        <v>-0.23448200447033651</v>
      </c>
      <c r="M70" s="8">
        <f t="shared" si="3"/>
        <v>3.3599999999999991E-2</v>
      </c>
      <c r="N70" s="8">
        <f t="shared" si="6"/>
        <v>4.5850000000000002E-2</v>
      </c>
      <c r="O70" s="296">
        <f t="shared" si="1"/>
        <v>-0.26808200447033648</v>
      </c>
      <c r="P70" s="8">
        <f t="shared" si="7"/>
        <v>-0.28033200447033652</v>
      </c>
      <c r="Q70" s="8">
        <f t="shared" si="8"/>
        <v>-0.18869009388437619</v>
      </c>
      <c r="R70" s="8">
        <f t="shared" si="9"/>
        <v>4.8699999999999993E-2</v>
      </c>
      <c r="S70" s="296">
        <f t="shared" si="10"/>
        <v>-0.23739009388437618</v>
      </c>
    </row>
    <row r="71" spans="1:53" x14ac:dyDescent="0.45">
      <c r="A71" s="295">
        <v>11505</v>
      </c>
      <c r="B71" s="7">
        <v>-7.22E-2</v>
      </c>
      <c r="C71" s="5">
        <v>-6.2199999999999991E-2</v>
      </c>
      <c r="D71" s="5">
        <v>2.7000000000000001E-3</v>
      </c>
      <c r="E71" s="5">
        <v>3.6333333333333335E-3</v>
      </c>
      <c r="F71" s="5">
        <v>4.0083333333333334E-3</v>
      </c>
      <c r="G71" s="5">
        <v>3.8208333333333332E-3</v>
      </c>
      <c r="H71" s="5">
        <v>4.0249999999999999E-3</v>
      </c>
      <c r="I71" s="5">
        <f t="shared" si="11"/>
        <v>-7.4899999999999994E-2</v>
      </c>
      <c r="J71" s="5">
        <f t="shared" si="4"/>
        <v>-7.6020833333333329E-2</v>
      </c>
      <c r="K71" s="5">
        <f t="shared" si="5"/>
        <v>-6.6224999999999992E-2</v>
      </c>
      <c r="L71" s="8">
        <f t="shared" si="2"/>
        <v>-0.31614905040205898</v>
      </c>
      <c r="M71" s="8">
        <f t="shared" si="3"/>
        <v>3.2399999999999998E-2</v>
      </c>
      <c r="N71" s="8">
        <f t="shared" si="6"/>
        <v>4.5850000000000002E-2</v>
      </c>
      <c r="O71" s="296">
        <f t="shared" si="1"/>
        <v>-0.34854905040205897</v>
      </c>
      <c r="P71" s="8">
        <f t="shared" si="7"/>
        <v>-0.36199905040205899</v>
      </c>
      <c r="Q71" s="8">
        <f t="shared" si="8"/>
        <v>-0.25231286364462269</v>
      </c>
      <c r="R71" s="8">
        <f t="shared" si="9"/>
        <v>4.8299999999999996E-2</v>
      </c>
      <c r="S71" s="296">
        <f t="shared" si="10"/>
        <v>-0.3006128636446227</v>
      </c>
    </row>
    <row r="72" spans="1:53" x14ac:dyDescent="0.45">
      <c r="A72" s="295">
        <v>11536</v>
      </c>
      <c r="B72" s="7">
        <v>1.8200000000000001E-2</v>
      </c>
      <c r="C72" s="5">
        <v>2.5599999999999998E-2</v>
      </c>
      <c r="D72" s="5">
        <v>2.7000000000000001E-3</v>
      </c>
      <c r="E72" s="5">
        <v>3.666666666666667E-3</v>
      </c>
      <c r="F72" s="5">
        <v>4.0416666666666665E-3</v>
      </c>
      <c r="G72" s="5">
        <v>3.8541666666666663E-3</v>
      </c>
      <c r="H72" s="5">
        <v>4.0083333333333334E-3</v>
      </c>
      <c r="I72" s="5">
        <f t="shared" si="11"/>
        <v>1.55E-2</v>
      </c>
      <c r="J72" s="5">
        <f t="shared" si="4"/>
        <v>1.4345833333333335E-2</v>
      </c>
      <c r="K72" s="5">
        <f t="shared" si="5"/>
        <v>2.1591666666666665E-2</v>
      </c>
      <c r="L72" s="8">
        <f t="shared" si="2"/>
        <v>-0.31338424526119368</v>
      </c>
      <c r="M72" s="8">
        <f t="shared" si="3"/>
        <v>3.2399999999999998E-2</v>
      </c>
      <c r="N72" s="8">
        <f t="shared" si="6"/>
        <v>4.6249999999999999E-2</v>
      </c>
      <c r="O72" s="296">
        <f t="shared" si="1"/>
        <v>-0.34578424526119367</v>
      </c>
      <c r="P72" s="8">
        <f t="shared" si="7"/>
        <v>-0.3596342452611937</v>
      </c>
      <c r="Q72" s="8">
        <f t="shared" si="8"/>
        <v>-0.23895600729845656</v>
      </c>
      <c r="R72" s="8">
        <f t="shared" si="9"/>
        <v>4.8100000000000004E-2</v>
      </c>
      <c r="S72" s="296">
        <f t="shared" si="10"/>
        <v>-0.28705600729845659</v>
      </c>
    </row>
    <row r="73" spans="1:53" x14ac:dyDescent="0.45">
      <c r="A73" s="295">
        <v>11567</v>
      </c>
      <c r="B73" s="7">
        <v>-0.29730000000000001</v>
      </c>
      <c r="C73" s="5">
        <v>-0.31490000000000001</v>
      </c>
      <c r="D73" s="5">
        <v>2.7000000000000001E-3</v>
      </c>
      <c r="E73" s="5">
        <v>3.7916666666666667E-3</v>
      </c>
      <c r="F73" s="5">
        <v>4.2333333333333337E-3</v>
      </c>
      <c r="G73" s="5">
        <v>4.0124999999999996E-3</v>
      </c>
      <c r="H73" s="5">
        <v>4.208333333333333E-3</v>
      </c>
      <c r="I73" s="5">
        <f t="shared" si="11"/>
        <v>-0.3</v>
      </c>
      <c r="J73" s="5">
        <f t="shared" si="4"/>
        <v>-0.30131249999999998</v>
      </c>
      <c r="K73" s="5">
        <f t="shared" si="5"/>
        <v>-0.31910833333333333</v>
      </c>
      <c r="L73" s="8">
        <f t="shared" si="2"/>
        <v>-0.44656470422693362</v>
      </c>
      <c r="M73" s="8">
        <f t="shared" si="3"/>
        <v>3.2399999999999998E-2</v>
      </c>
      <c r="N73" s="8">
        <f t="shared" si="6"/>
        <v>4.8149999999999998E-2</v>
      </c>
      <c r="O73" s="296">
        <f t="shared" si="1"/>
        <v>-0.4789647042269336</v>
      </c>
      <c r="P73" s="8">
        <f t="shared" si="7"/>
        <v>-0.49471470422693364</v>
      </c>
      <c r="Q73" s="8">
        <f t="shared" si="8"/>
        <v>-0.41364008164661792</v>
      </c>
      <c r="R73" s="8">
        <f t="shared" si="9"/>
        <v>5.0499999999999996E-2</v>
      </c>
      <c r="S73" s="296">
        <f t="shared" si="10"/>
        <v>-0.46414008164661791</v>
      </c>
    </row>
    <row r="74" spans="1:53" x14ac:dyDescent="0.45">
      <c r="A74" s="295">
        <v>11597</v>
      </c>
      <c r="B74" s="7">
        <v>8.9599999999999999E-2</v>
      </c>
      <c r="C74" s="5">
        <v>9.9000000000000005E-2</v>
      </c>
      <c r="D74" s="5">
        <v>2.8999999999999998E-3</v>
      </c>
      <c r="E74" s="5">
        <v>4.1583333333333333E-3</v>
      </c>
      <c r="F74" s="5">
        <v>4.6416666666666663E-3</v>
      </c>
      <c r="G74" s="5">
        <v>4.4000000000000003E-3</v>
      </c>
      <c r="H74" s="5">
        <v>4.6166666666666665E-3</v>
      </c>
      <c r="I74" s="5">
        <f t="shared" si="11"/>
        <v>8.6699999999999999E-2</v>
      </c>
      <c r="J74" s="5">
        <f t="shared" si="4"/>
        <v>8.5199999999999998E-2</v>
      </c>
      <c r="K74" s="5">
        <f t="shared" si="5"/>
        <v>9.4383333333333333E-2</v>
      </c>
      <c r="L74" s="8">
        <f t="shared" si="2"/>
        <v>-0.34059803359832364</v>
      </c>
      <c r="M74" s="8">
        <f t="shared" si="3"/>
        <v>3.4799999999999998E-2</v>
      </c>
      <c r="N74" s="8">
        <f t="shared" si="6"/>
        <v>5.28E-2</v>
      </c>
      <c r="O74" s="296">
        <f t="shared" si="1"/>
        <v>-0.37539803359832363</v>
      </c>
      <c r="P74" s="8">
        <f t="shared" si="7"/>
        <v>-0.39339803359832365</v>
      </c>
      <c r="Q74" s="8">
        <f t="shared" si="8"/>
        <v>-0.29818171392902748</v>
      </c>
      <c r="R74" s="8">
        <f t="shared" si="9"/>
        <v>5.5399999999999998E-2</v>
      </c>
      <c r="S74" s="296">
        <f t="shared" si="10"/>
        <v>-0.35358171392902749</v>
      </c>
    </row>
    <row r="75" spans="1:53" x14ac:dyDescent="0.45">
      <c r="A75" s="295">
        <v>11628</v>
      </c>
      <c r="B75" s="7">
        <v>-7.9799999999999996E-2</v>
      </c>
      <c r="C75" s="5">
        <v>-6.1400000000000003E-2</v>
      </c>
      <c r="D75" s="5">
        <v>3.0999999999999999E-3</v>
      </c>
      <c r="E75" s="5">
        <v>4.1166666666666669E-3</v>
      </c>
      <c r="F75" s="5">
        <v>4.6750000000000003E-3</v>
      </c>
      <c r="G75" s="5">
        <v>4.3958333333333332E-3</v>
      </c>
      <c r="H75" s="5">
        <v>4.5916666666666666E-3</v>
      </c>
      <c r="I75" s="5">
        <f t="shared" si="11"/>
        <v>-8.2900000000000001E-2</v>
      </c>
      <c r="J75" s="5">
        <f t="shared" si="4"/>
        <v>-8.4195833333333331E-2</v>
      </c>
      <c r="K75" s="5">
        <f t="shared" si="5"/>
        <v>-6.5991666666666671E-2</v>
      </c>
      <c r="L75" s="8">
        <f t="shared" si="2"/>
        <v>-0.38776945869960389</v>
      </c>
      <c r="M75" s="8">
        <f t="shared" si="3"/>
        <v>3.7199999999999997E-2</v>
      </c>
      <c r="N75" s="8">
        <f t="shared" si="6"/>
        <v>5.2749999999999998E-2</v>
      </c>
      <c r="O75" s="296">
        <f t="shared" si="1"/>
        <v>-0.4249694586996039</v>
      </c>
      <c r="P75" s="8">
        <f t="shared" si="7"/>
        <v>-0.44051945869960391</v>
      </c>
      <c r="Q75" s="8">
        <f t="shared" si="8"/>
        <v>-0.28939952178401851</v>
      </c>
      <c r="R75" s="8">
        <f t="shared" si="9"/>
        <v>5.5099999999999996E-2</v>
      </c>
      <c r="S75" s="296">
        <f t="shared" si="10"/>
        <v>-0.34449952178401849</v>
      </c>
    </row>
    <row r="76" spans="1:53" x14ac:dyDescent="0.45">
      <c r="A76" s="295">
        <v>11658</v>
      </c>
      <c r="B76" s="7">
        <v>-0.14000000000000001</v>
      </c>
      <c r="C76" s="5">
        <v>-0.1283</v>
      </c>
      <c r="D76" s="5">
        <v>3.2000000000000002E-3</v>
      </c>
      <c r="E76" s="5">
        <v>4.4333333333333334E-3</v>
      </c>
      <c r="F76" s="5">
        <v>5.2166666666666663E-3</v>
      </c>
      <c r="G76" s="5">
        <v>4.8249999999999994E-3</v>
      </c>
      <c r="H76" s="5">
        <v>5.1999999999999998E-3</v>
      </c>
      <c r="I76" s="5">
        <f t="shared" si="11"/>
        <v>-0.14320000000000002</v>
      </c>
      <c r="J76" s="5">
        <f t="shared" si="4"/>
        <v>-0.14482500000000001</v>
      </c>
      <c r="K76" s="5">
        <f t="shared" si="5"/>
        <v>-0.13350000000000001</v>
      </c>
      <c r="L76" s="8">
        <f t="shared" si="2"/>
        <v>-0.43348583438956245</v>
      </c>
      <c r="M76" s="8">
        <f t="shared" si="3"/>
        <v>3.8400000000000004E-2</v>
      </c>
      <c r="N76" s="8">
        <f t="shared" si="6"/>
        <v>5.7899999999999993E-2</v>
      </c>
      <c r="O76" s="296">
        <f t="shared" si="1"/>
        <v>-0.47188583438956244</v>
      </c>
      <c r="P76" s="8">
        <f t="shared" si="7"/>
        <v>-0.49138583438956246</v>
      </c>
      <c r="Q76" s="8">
        <f t="shared" si="8"/>
        <v>-0.35883403699319849</v>
      </c>
      <c r="R76" s="8">
        <f t="shared" si="9"/>
        <v>6.2399999999999997E-2</v>
      </c>
      <c r="S76" s="296">
        <f t="shared" si="10"/>
        <v>-0.4212340369931985</v>
      </c>
    </row>
    <row r="77" spans="1:53" x14ac:dyDescent="0.45">
      <c r="A77" s="295">
        <v>11689</v>
      </c>
      <c r="B77" s="7">
        <v>-2.7099999999999999E-2</v>
      </c>
      <c r="C77" s="5">
        <v>-1.9999999999999997E-2</v>
      </c>
      <c r="D77" s="5">
        <v>3.2000000000000002E-3</v>
      </c>
      <c r="E77" s="5">
        <v>4.3333333333333331E-3</v>
      </c>
      <c r="F77" s="5">
        <v>5.0666666666666672E-3</v>
      </c>
      <c r="G77" s="5">
        <v>4.7000000000000002E-3</v>
      </c>
      <c r="H77" s="5">
        <v>5.1416666666666668E-3</v>
      </c>
      <c r="I77" s="5">
        <f t="shared" si="11"/>
        <v>-3.0300000000000001E-2</v>
      </c>
      <c r="J77" s="5">
        <f t="shared" si="4"/>
        <v>-3.1800000000000002E-2</v>
      </c>
      <c r="K77" s="5">
        <f t="shared" si="5"/>
        <v>-2.5141666666666663E-2</v>
      </c>
      <c r="L77" s="8">
        <f t="shared" si="2"/>
        <v>-0.47518412519292075</v>
      </c>
      <c r="M77" s="8">
        <f t="shared" si="3"/>
        <v>3.8400000000000004E-2</v>
      </c>
      <c r="N77" s="8">
        <f t="shared" si="6"/>
        <v>5.6400000000000006E-2</v>
      </c>
      <c r="O77" s="296">
        <f t="shared" si="1"/>
        <v>-0.51358412519292074</v>
      </c>
      <c r="P77" s="8">
        <f t="shared" si="7"/>
        <v>-0.53158412519292075</v>
      </c>
      <c r="Q77" s="8">
        <f t="shared" si="8"/>
        <v>-0.40384948411132304</v>
      </c>
      <c r="R77" s="8">
        <f t="shared" si="9"/>
        <v>6.1700000000000005E-2</v>
      </c>
      <c r="S77" s="296">
        <f t="shared" si="10"/>
        <v>-0.46554948411132302</v>
      </c>
    </row>
    <row r="78" spans="1:53" x14ac:dyDescent="0.45">
      <c r="A78" s="295">
        <v>11720</v>
      </c>
      <c r="B78" s="7">
        <v>5.7000000000000002E-2</v>
      </c>
      <c r="C78" s="5">
        <v>7.9899999999999999E-2</v>
      </c>
      <c r="D78" s="5">
        <v>3.2000000000000002E-3</v>
      </c>
      <c r="E78" s="5">
        <v>4.3583333333333339E-3</v>
      </c>
      <c r="F78" s="5">
        <v>5.1083333333333336E-3</v>
      </c>
      <c r="G78" s="5">
        <v>4.7333333333333342E-3</v>
      </c>
      <c r="H78" s="5">
        <v>5.3416666666666664E-3</v>
      </c>
      <c r="I78" s="5">
        <f t="shared" si="11"/>
        <v>5.3800000000000001E-2</v>
      </c>
      <c r="J78" s="5">
        <f t="shared" si="4"/>
        <v>5.226666666666667E-2</v>
      </c>
      <c r="K78" s="5">
        <f t="shared" si="5"/>
        <v>7.4558333333333338E-2</v>
      </c>
      <c r="L78" s="8">
        <f t="shared" si="2"/>
        <v>-0.50439526519156352</v>
      </c>
      <c r="M78" s="8">
        <f t="shared" si="3"/>
        <v>3.8400000000000004E-2</v>
      </c>
      <c r="N78" s="8">
        <f t="shared" si="6"/>
        <v>5.680000000000001E-2</v>
      </c>
      <c r="O78" s="296">
        <f t="shared" si="1"/>
        <v>-0.54279526519156351</v>
      </c>
      <c r="P78" s="8">
        <f t="shared" si="7"/>
        <v>-0.56119526519156349</v>
      </c>
      <c r="Q78" s="8">
        <f t="shared" si="8"/>
        <v>-0.44135461462323655</v>
      </c>
      <c r="R78" s="8">
        <f t="shared" si="9"/>
        <v>6.409999999999999E-2</v>
      </c>
      <c r="S78" s="296">
        <f t="shared" si="10"/>
        <v>-0.5054546146232366</v>
      </c>
    </row>
    <row r="79" spans="1:53" x14ac:dyDescent="0.45">
      <c r="A79" s="295">
        <v>11749</v>
      </c>
      <c r="B79" s="7">
        <v>-0.1158</v>
      </c>
      <c r="C79" s="5">
        <v>-0.10580000000000001</v>
      </c>
      <c r="D79" s="5">
        <v>3.0999999999999999E-3</v>
      </c>
      <c r="E79" s="5">
        <v>4.15E-3</v>
      </c>
      <c r="F79" s="5">
        <v>4.875E-3</v>
      </c>
      <c r="G79" s="5">
        <v>4.5125E-3</v>
      </c>
      <c r="H79" s="5">
        <v>5.0499999999999998E-3</v>
      </c>
      <c r="I79" s="5">
        <f t="shared" si="11"/>
        <v>-0.11890000000000001</v>
      </c>
      <c r="J79" s="5">
        <f t="shared" si="4"/>
        <v>-0.1203125</v>
      </c>
      <c r="K79" s="5">
        <f t="shared" si="5"/>
        <v>-0.11085</v>
      </c>
      <c r="L79" s="8">
        <f t="shared" si="2"/>
        <v>-0.53006573027601145</v>
      </c>
      <c r="M79" s="8">
        <f t="shared" si="3"/>
        <v>3.7199999999999997E-2</v>
      </c>
      <c r="N79" s="8">
        <f t="shared" si="6"/>
        <v>5.4150000000000004E-2</v>
      </c>
      <c r="O79" s="296">
        <f t="shared" si="1"/>
        <v>-0.56726573027601146</v>
      </c>
      <c r="P79" s="8">
        <f t="shared" si="7"/>
        <v>-0.58421573027601148</v>
      </c>
      <c r="Q79" s="8">
        <f t="shared" si="8"/>
        <v>-0.48822794426400784</v>
      </c>
      <c r="R79" s="8">
        <f t="shared" si="9"/>
        <v>6.0600000000000001E-2</v>
      </c>
      <c r="S79" s="296">
        <f t="shared" si="10"/>
        <v>-0.54882794426400783</v>
      </c>
    </row>
    <row r="80" spans="1:53" x14ac:dyDescent="0.45">
      <c r="A80" s="295">
        <v>11780</v>
      </c>
      <c r="B80" s="7">
        <v>-0.19969999999999999</v>
      </c>
      <c r="C80" s="5">
        <v>-0.1535</v>
      </c>
      <c r="D80" s="5">
        <v>3.0000000000000001E-3</v>
      </c>
      <c r="E80" s="5">
        <v>4.3083333333333333E-3</v>
      </c>
      <c r="F80" s="5">
        <v>5.0916666666666662E-3</v>
      </c>
      <c r="G80" s="5">
        <v>4.6999999999999993E-3</v>
      </c>
      <c r="H80" s="5">
        <v>5.6916666666666669E-3</v>
      </c>
      <c r="I80" s="5">
        <f t="shared" si="11"/>
        <v>-0.20269999999999999</v>
      </c>
      <c r="J80" s="5">
        <f t="shared" si="4"/>
        <v>-0.2044</v>
      </c>
      <c r="K80" s="5">
        <f t="shared" si="5"/>
        <v>-0.15919166666666668</v>
      </c>
      <c r="L80" s="8">
        <f t="shared" si="2"/>
        <v>-0.58512035735233514</v>
      </c>
      <c r="M80" s="8">
        <f t="shared" si="3"/>
        <v>3.6000000000000004E-2</v>
      </c>
      <c r="N80" s="8">
        <f t="shared" si="6"/>
        <v>5.6399999999999992E-2</v>
      </c>
      <c r="O80" s="296">
        <f t="shared" ref="O80:O143" si="12">L80-M80</f>
        <v>-0.62112035735233517</v>
      </c>
      <c r="P80" s="8">
        <f t="shared" si="7"/>
        <v>-0.64152035735233515</v>
      </c>
      <c r="Q80" s="8">
        <f t="shared" si="8"/>
        <v>-0.51574441629720846</v>
      </c>
      <c r="R80" s="8">
        <f t="shared" si="9"/>
        <v>6.83E-2</v>
      </c>
      <c r="S80" s="296">
        <f t="shared" si="10"/>
        <v>-0.58404441629720849</v>
      </c>
    </row>
    <row r="81" spans="1:49" x14ac:dyDescent="0.45">
      <c r="A81" s="295">
        <v>11810</v>
      </c>
      <c r="B81" s="7">
        <v>-0.21959999999999999</v>
      </c>
      <c r="C81" s="5">
        <v>-0.28059999999999996</v>
      </c>
      <c r="D81" s="5">
        <v>2.7999999999999995E-3</v>
      </c>
      <c r="E81" s="5">
        <v>4.4666666666666674E-3</v>
      </c>
      <c r="F81" s="5">
        <v>5.3166666666666666E-3</v>
      </c>
      <c r="G81" s="5">
        <v>4.8916666666666666E-3</v>
      </c>
      <c r="H81" s="5">
        <v>6.1333333333333344E-3</v>
      </c>
      <c r="I81" s="5">
        <f t="shared" si="11"/>
        <v>-0.22239999999999999</v>
      </c>
      <c r="J81" s="5">
        <f t="shared" si="4"/>
        <v>-0.22449166666666664</v>
      </c>
      <c r="K81" s="5">
        <f t="shared" si="5"/>
        <v>-0.28673333333333328</v>
      </c>
      <c r="L81" s="8">
        <f t="shared" ref="L81:L144" si="13">((1+B70)*(1+B71)*(1+B72)*(1+B73)*(1+B74)*(1+B75)*(1+B76)*(1+B77)*(1+B78)*(1+B79)*(1+B80)*(1+B81))-1</f>
        <v>-0.62874432619855791</v>
      </c>
      <c r="M81" s="8">
        <f t="shared" ref="M81:M144" si="14">D81*12</f>
        <v>3.3599999999999991E-2</v>
      </c>
      <c r="N81" s="8">
        <f t="shared" si="6"/>
        <v>5.8700000000000002E-2</v>
      </c>
      <c r="O81" s="296">
        <f t="shared" si="12"/>
        <v>-0.66234432619855788</v>
      </c>
      <c r="P81" s="8">
        <f t="shared" si="7"/>
        <v>-0.68744432619855789</v>
      </c>
      <c r="Q81" s="8">
        <f t="shared" si="8"/>
        <v>-0.61166707511337837</v>
      </c>
      <c r="R81" s="8">
        <f t="shared" si="9"/>
        <v>7.3600000000000013E-2</v>
      </c>
      <c r="S81" s="296">
        <f t="shared" si="10"/>
        <v>-0.68526707511337837</v>
      </c>
    </row>
    <row r="82" spans="1:49" x14ac:dyDescent="0.45">
      <c r="A82" s="295">
        <v>11841</v>
      </c>
      <c r="B82" s="7">
        <v>-2.2000000000000001E-3</v>
      </c>
      <c r="C82" s="5">
        <v>8.9999999999999993E-3</v>
      </c>
      <c r="D82" s="5">
        <v>2.7999999999999995E-3</v>
      </c>
      <c r="E82" s="5">
        <v>4.5083333333333338E-3</v>
      </c>
      <c r="F82" s="5">
        <v>5.4999999999999997E-3</v>
      </c>
      <c r="G82" s="5">
        <v>5.0041666666666663E-3</v>
      </c>
      <c r="H82" s="5">
        <v>6.3083333333333333E-3</v>
      </c>
      <c r="I82" s="5">
        <f t="shared" si="11"/>
        <v>-4.9999999999999992E-3</v>
      </c>
      <c r="J82" s="5">
        <f t="shared" si="4"/>
        <v>-7.204166666666666E-3</v>
      </c>
      <c r="K82" s="5">
        <f t="shared" si="5"/>
        <v>2.691666666666666E-3</v>
      </c>
      <c r="L82" s="8">
        <f t="shared" si="13"/>
        <v>-0.67565107143062886</v>
      </c>
      <c r="M82" s="8">
        <f t="shared" si="14"/>
        <v>3.3599999999999991E-2</v>
      </c>
      <c r="N82" s="8">
        <f t="shared" si="6"/>
        <v>6.0049999999999992E-2</v>
      </c>
      <c r="O82" s="296">
        <f t="shared" si="12"/>
        <v>-0.70925107143062882</v>
      </c>
      <c r="P82" s="8">
        <f t="shared" si="7"/>
        <v>-0.73570107143062891</v>
      </c>
      <c r="Q82" s="8">
        <f t="shared" si="8"/>
        <v>-0.65547531767290845</v>
      </c>
      <c r="R82" s="8">
        <f t="shared" si="9"/>
        <v>7.5700000000000003E-2</v>
      </c>
      <c r="S82" s="296">
        <f t="shared" si="10"/>
        <v>-0.73117531767290844</v>
      </c>
    </row>
    <row r="83" spans="1:49" x14ac:dyDescent="0.45">
      <c r="A83" s="295">
        <v>11871</v>
      </c>
      <c r="B83" s="7">
        <v>0.38150000000000001</v>
      </c>
      <c r="C83" s="5">
        <v>0.33179999999999998</v>
      </c>
      <c r="D83" s="5">
        <v>2.7999999999999995E-3</v>
      </c>
      <c r="E83" s="5">
        <v>4.3833333333333328E-3</v>
      </c>
      <c r="F83" s="5">
        <v>5.4250000000000001E-3</v>
      </c>
      <c r="G83" s="5">
        <v>4.904166666666666E-3</v>
      </c>
      <c r="H83" s="5">
        <v>6.0666666666666673E-3</v>
      </c>
      <c r="I83" s="5">
        <f t="shared" si="11"/>
        <v>0.37869999999999998</v>
      </c>
      <c r="J83" s="5">
        <f t="shared" si="4"/>
        <v>0.37659583333333335</v>
      </c>
      <c r="K83" s="5">
        <f t="shared" si="5"/>
        <v>0.32573333333333332</v>
      </c>
      <c r="L83" s="8">
        <f t="shared" si="13"/>
        <v>-0.5170424177424161</v>
      </c>
      <c r="M83" s="8">
        <f t="shared" si="14"/>
        <v>3.3599999999999991E-2</v>
      </c>
      <c r="N83" s="8">
        <f t="shared" si="6"/>
        <v>5.8849999999999993E-2</v>
      </c>
      <c r="O83" s="296">
        <f t="shared" si="12"/>
        <v>-0.55064241774241607</v>
      </c>
      <c r="P83" s="8">
        <f t="shared" si="7"/>
        <v>-0.57589241774241606</v>
      </c>
      <c r="Q83" s="8">
        <f t="shared" si="8"/>
        <v>-0.51072939654167149</v>
      </c>
      <c r="R83" s="8">
        <f t="shared" si="9"/>
        <v>7.2800000000000004E-2</v>
      </c>
      <c r="S83" s="296">
        <f t="shared" si="10"/>
        <v>-0.58352939654167146</v>
      </c>
    </row>
    <row r="84" spans="1:49" x14ac:dyDescent="0.45">
      <c r="A84" s="295">
        <v>11902</v>
      </c>
      <c r="B84" s="7">
        <v>0.38690000000000002</v>
      </c>
      <c r="C84" s="5">
        <v>0.40300000000000002</v>
      </c>
      <c r="D84" s="5">
        <v>2.7999999999999995E-3</v>
      </c>
      <c r="E84" s="5">
        <v>4.0916666666666671E-3</v>
      </c>
      <c r="F84" s="5">
        <v>4.8583333333333334E-3</v>
      </c>
      <c r="G84" s="5">
        <v>4.4749999999999998E-3</v>
      </c>
      <c r="H84" s="5">
        <v>5.2916666666666667E-3</v>
      </c>
      <c r="I84" s="5">
        <f t="shared" si="11"/>
        <v>0.3841</v>
      </c>
      <c r="J84" s="5">
        <f t="shared" si="4"/>
        <v>0.38242500000000001</v>
      </c>
      <c r="K84" s="5">
        <f t="shared" si="5"/>
        <v>0.39770833333333333</v>
      </c>
      <c r="L84" s="8">
        <f t="shared" si="13"/>
        <v>-0.34215883830972005</v>
      </c>
      <c r="M84" s="8">
        <f t="shared" si="14"/>
        <v>3.3599999999999991E-2</v>
      </c>
      <c r="N84" s="8">
        <f t="shared" si="6"/>
        <v>5.3699999999999998E-2</v>
      </c>
      <c r="O84" s="296">
        <f t="shared" si="12"/>
        <v>-0.37575883830972001</v>
      </c>
      <c r="P84" s="8">
        <f t="shared" si="7"/>
        <v>-0.39585883830972002</v>
      </c>
      <c r="Q84" s="8">
        <f t="shared" si="8"/>
        <v>-0.330687737273757</v>
      </c>
      <c r="R84" s="8">
        <f t="shared" si="9"/>
        <v>6.3500000000000001E-2</v>
      </c>
      <c r="S84" s="296">
        <f t="shared" si="10"/>
        <v>-0.394187737273757</v>
      </c>
    </row>
    <row r="85" spans="1:49" x14ac:dyDescent="0.45">
      <c r="A85" s="295">
        <v>11933</v>
      </c>
      <c r="B85" s="7">
        <v>-3.4599999999999999E-2</v>
      </c>
      <c r="C85" s="5">
        <v>-2.7000000000000003E-2</v>
      </c>
      <c r="D85" s="5">
        <v>2.5999999999999999E-3</v>
      </c>
      <c r="E85" s="5">
        <v>3.9166666666666664E-3</v>
      </c>
      <c r="F85" s="5">
        <v>4.6166666666666665E-3</v>
      </c>
      <c r="G85" s="5">
        <v>4.266666666666666E-3</v>
      </c>
      <c r="H85" s="5">
        <v>4.9249999999999997E-3</v>
      </c>
      <c r="I85" s="5">
        <f t="shared" si="11"/>
        <v>-3.7199999999999997E-2</v>
      </c>
      <c r="J85" s="5">
        <f t="shared" si="4"/>
        <v>-3.8866666666666667E-2</v>
      </c>
      <c r="K85" s="5">
        <f t="shared" si="5"/>
        <v>-3.1925000000000002E-2</v>
      </c>
      <c r="L85" s="8">
        <f t="shared" si="13"/>
        <v>-9.6229034444576089E-2</v>
      </c>
      <c r="M85" s="8">
        <f t="shared" si="14"/>
        <v>3.1199999999999999E-2</v>
      </c>
      <c r="N85" s="8">
        <f t="shared" si="6"/>
        <v>5.1199999999999996E-2</v>
      </c>
      <c r="O85" s="296">
        <f t="shared" si="12"/>
        <v>-0.12742903444457609</v>
      </c>
      <c r="P85" s="8">
        <f t="shared" si="7"/>
        <v>-0.14742903444457608</v>
      </c>
      <c r="Q85" s="8">
        <f t="shared" si="8"/>
        <v>-4.9422227948278441E-2</v>
      </c>
      <c r="R85" s="8">
        <f t="shared" si="9"/>
        <v>5.91E-2</v>
      </c>
      <c r="S85" s="296">
        <f t="shared" si="10"/>
        <v>-0.10852222794827844</v>
      </c>
    </row>
    <row r="86" spans="1:49" x14ac:dyDescent="0.45">
      <c r="A86" s="295">
        <v>11963</v>
      </c>
      <c r="B86" s="7">
        <v>-0.13489999999999999</v>
      </c>
      <c r="C86" s="5">
        <v>-0.1047</v>
      </c>
      <c r="D86" s="5">
        <v>2.7000000000000001E-3</v>
      </c>
      <c r="E86" s="5">
        <v>3.8666666666666667E-3</v>
      </c>
      <c r="F86" s="5">
        <v>4.5916666666666666E-3</v>
      </c>
      <c r="G86" s="5">
        <v>4.2291666666666667E-3</v>
      </c>
      <c r="H86" s="5">
        <v>4.8416666666666669E-3</v>
      </c>
      <c r="I86" s="5">
        <f t="shared" si="11"/>
        <v>-0.1376</v>
      </c>
      <c r="J86" s="5">
        <f t="shared" si="4"/>
        <v>-0.13912916666666666</v>
      </c>
      <c r="K86" s="5">
        <f t="shared" si="5"/>
        <v>-0.10954166666666666</v>
      </c>
      <c r="L86" s="8">
        <f t="shared" si="13"/>
        <v>-0.28244102211637556</v>
      </c>
      <c r="M86" s="8">
        <f t="shared" si="14"/>
        <v>3.2399999999999998E-2</v>
      </c>
      <c r="N86" s="8">
        <f t="shared" si="6"/>
        <v>5.0750000000000003E-2</v>
      </c>
      <c r="O86" s="296">
        <f t="shared" si="12"/>
        <v>-0.31484102211637555</v>
      </c>
      <c r="P86" s="8">
        <f t="shared" si="7"/>
        <v>-0.33319102211637558</v>
      </c>
      <c r="Q86" s="8">
        <f t="shared" si="8"/>
        <v>-0.22561212072983938</v>
      </c>
      <c r="R86" s="8">
        <f t="shared" si="9"/>
        <v>5.8099999999999999E-2</v>
      </c>
      <c r="S86" s="296">
        <f t="shared" si="10"/>
        <v>-0.28371212072983937</v>
      </c>
    </row>
    <row r="87" spans="1:49" x14ac:dyDescent="0.45">
      <c r="A87" s="295">
        <v>11994</v>
      </c>
      <c r="B87" s="7">
        <v>-4.1700000000000001E-2</v>
      </c>
      <c r="C87" s="5">
        <v>-3.5400000000000001E-2</v>
      </c>
      <c r="D87" s="5">
        <v>2.5999999999999999E-3</v>
      </c>
      <c r="E87" s="5">
        <v>3.858333333333333E-3</v>
      </c>
      <c r="F87" s="5">
        <v>4.6416666666666663E-3</v>
      </c>
      <c r="G87" s="5">
        <v>4.2500000000000003E-3</v>
      </c>
      <c r="H87" s="5">
        <v>4.8999999999999998E-3</v>
      </c>
      <c r="I87" s="5">
        <f t="shared" si="11"/>
        <v>-4.4299999999999999E-2</v>
      </c>
      <c r="J87" s="5">
        <f t="shared" si="4"/>
        <v>-4.5950000000000005E-2</v>
      </c>
      <c r="K87" s="5">
        <f t="shared" si="5"/>
        <v>-4.0300000000000002E-2</v>
      </c>
      <c r="L87" s="8">
        <f t="shared" si="13"/>
        <v>-0.25273117962847502</v>
      </c>
      <c r="M87" s="8">
        <f t="shared" si="14"/>
        <v>3.1199999999999999E-2</v>
      </c>
      <c r="N87" s="8">
        <f t="shared" si="6"/>
        <v>5.1000000000000004E-2</v>
      </c>
      <c r="O87" s="296">
        <f t="shared" si="12"/>
        <v>-0.28393117962847503</v>
      </c>
      <c r="P87" s="8">
        <f t="shared" si="7"/>
        <v>-0.30373117962847501</v>
      </c>
      <c r="Q87" s="8">
        <f t="shared" si="8"/>
        <v>-0.20416093293842219</v>
      </c>
      <c r="R87" s="8">
        <f t="shared" si="9"/>
        <v>5.8799999999999998E-2</v>
      </c>
      <c r="S87" s="296">
        <f t="shared" si="10"/>
        <v>-0.26296093293842221</v>
      </c>
      <c r="U87" s="297"/>
      <c r="V87" s="297"/>
      <c r="W87" s="297"/>
      <c r="X87" s="297"/>
      <c r="Y87" s="297"/>
      <c r="Z87" s="297"/>
      <c r="AA87" s="297"/>
      <c r="AB87" s="297"/>
      <c r="AC87" s="297"/>
      <c r="AE87" s="297"/>
      <c r="AF87" s="297"/>
      <c r="AG87" s="297"/>
      <c r="AH87" s="297"/>
      <c r="AI87" s="297"/>
      <c r="AJ87" s="297"/>
      <c r="AK87" s="297"/>
      <c r="AL87" s="297"/>
      <c r="AM87" s="297"/>
      <c r="AO87" s="297"/>
      <c r="AP87" s="297"/>
      <c r="AQ87" s="297"/>
      <c r="AR87" s="297"/>
      <c r="AS87" s="297"/>
      <c r="AT87" s="297"/>
      <c r="AU87" s="297"/>
      <c r="AV87" s="297"/>
      <c r="AW87" s="297"/>
    </row>
    <row r="88" spans="1:49" x14ac:dyDescent="0.45">
      <c r="A88" s="295">
        <v>12024</v>
      </c>
      <c r="B88" s="11">
        <v>5.6500000000000002E-2</v>
      </c>
      <c r="C88" s="5">
        <v>8.929999999999999E-2</v>
      </c>
      <c r="D88" s="5">
        <v>2.7000000000000001E-3</v>
      </c>
      <c r="E88" s="5">
        <v>3.8250000000000003E-3</v>
      </c>
      <c r="F88" s="5">
        <v>4.6666666666666662E-3</v>
      </c>
      <c r="G88" s="5">
        <v>4.2458333333333332E-3</v>
      </c>
      <c r="H88" s="5">
        <v>4.8750000000000009E-3</v>
      </c>
      <c r="I88" s="5">
        <f t="shared" si="11"/>
        <v>5.3800000000000001E-2</v>
      </c>
      <c r="J88" s="5">
        <f t="shared" si="4"/>
        <v>5.2254166666666671E-2</v>
      </c>
      <c r="K88" s="5">
        <f t="shared" si="5"/>
        <v>8.4424999999999986E-2</v>
      </c>
      <c r="L88" s="8">
        <f t="shared" si="13"/>
        <v>-8.1988943345911225E-2</v>
      </c>
      <c r="M88" s="8">
        <f t="shared" si="14"/>
        <v>3.2399999999999998E-2</v>
      </c>
      <c r="N88" s="8">
        <f t="shared" si="6"/>
        <v>5.0949999999999995E-2</v>
      </c>
      <c r="O88" s="296">
        <f t="shared" si="12"/>
        <v>-0.11438894334591122</v>
      </c>
      <c r="P88" s="8">
        <f t="shared" si="7"/>
        <v>-0.13293894334591122</v>
      </c>
      <c r="Q88" s="8">
        <f t="shared" si="8"/>
        <v>-5.4978825855496183E-3</v>
      </c>
      <c r="R88" s="8">
        <f t="shared" si="9"/>
        <v>5.850000000000001E-2</v>
      </c>
      <c r="S88" s="296">
        <f t="shared" si="10"/>
        <v>-6.3997882585549629E-2</v>
      </c>
      <c r="U88" s="297"/>
      <c r="V88" s="297"/>
      <c r="W88" s="297"/>
      <c r="X88" s="297"/>
      <c r="Y88" s="297"/>
      <c r="Z88" s="297"/>
      <c r="AA88" s="297"/>
      <c r="AB88" s="297"/>
      <c r="AC88" s="297"/>
      <c r="AE88" s="297"/>
      <c r="AF88" s="297"/>
      <c r="AG88" s="297"/>
      <c r="AH88" s="297"/>
      <c r="AI88" s="297"/>
      <c r="AJ88" s="297"/>
      <c r="AK88" s="297"/>
      <c r="AL88" s="297"/>
      <c r="AM88" s="297"/>
      <c r="AO88" s="297"/>
      <c r="AP88" s="297"/>
      <c r="AQ88" s="297"/>
      <c r="AR88" s="297"/>
      <c r="AS88" s="297"/>
      <c r="AT88" s="297"/>
      <c r="AU88" s="297"/>
      <c r="AV88" s="297"/>
      <c r="AW88" s="297"/>
    </row>
    <row r="89" spans="1:49" x14ac:dyDescent="0.45">
      <c r="A89" s="295">
        <v>12055</v>
      </c>
      <c r="B89" s="12">
        <v>8.6999999999999994E-3</v>
      </c>
      <c r="C89" s="5">
        <v>-3.1099999999999996E-2</v>
      </c>
      <c r="D89" s="13">
        <v>2.7000000000000001E-3</v>
      </c>
      <c r="E89" s="13">
        <v>3.7000000000000006E-3</v>
      </c>
      <c r="F89" s="5">
        <v>4.4166666666666668E-3</v>
      </c>
      <c r="G89" s="5">
        <v>4.0583333333333339E-3</v>
      </c>
      <c r="H89" s="13">
        <v>4.4916666666666664E-3</v>
      </c>
      <c r="I89" s="5">
        <f t="shared" si="11"/>
        <v>5.9999999999999993E-3</v>
      </c>
      <c r="J89" s="5">
        <f t="shared" si="4"/>
        <v>4.6416666666666655E-3</v>
      </c>
      <c r="K89" s="5">
        <f t="shared" si="5"/>
        <v>-3.559166666666666E-2</v>
      </c>
      <c r="L89" s="8">
        <f t="shared" si="13"/>
        <v>-4.8208703004441134E-2</v>
      </c>
      <c r="M89" s="8">
        <f t="shared" si="14"/>
        <v>3.2399999999999998E-2</v>
      </c>
      <c r="N89" s="8">
        <f t="shared" si="6"/>
        <v>4.8700000000000007E-2</v>
      </c>
      <c r="O89" s="296">
        <f t="shared" si="12"/>
        <v>-8.0608703004441132E-2</v>
      </c>
      <c r="P89" s="8">
        <f t="shared" si="7"/>
        <v>-9.6908703004441141E-2</v>
      </c>
      <c r="Q89" s="8">
        <f t="shared" si="8"/>
        <v>-1.6762141262386954E-2</v>
      </c>
      <c r="R89" s="8">
        <f t="shared" si="9"/>
        <v>5.3899999999999997E-2</v>
      </c>
      <c r="S89" s="296">
        <f t="shared" si="10"/>
        <v>-7.0662141262386957E-2</v>
      </c>
      <c r="U89" s="297"/>
      <c r="V89" s="297"/>
      <c r="W89" s="297"/>
      <c r="X89" s="297"/>
      <c r="Y89" s="297"/>
      <c r="Z89" s="297"/>
      <c r="AA89" s="297"/>
      <c r="AB89" s="297"/>
      <c r="AC89" s="297"/>
      <c r="AE89" s="297"/>
      <c r="AF89" s="297"/>
      <c r="AG89" s="297"/>
      <c r="AH89" s="297"/>
      <c r="AI89" s="297"/>
      <c r="AJ89" s="297"/>
      <c r="AK89" s="297"/>
      <c r="AL89" s="297"/>
      <c r="AM89" s="297"/>
      <c r="AO89" s="297"/>
      <c r="AP89" s="297"/>
      <c r="AQ89" s="297"/>
      <c r="AR89" s="297"/>
      <c r="AS89" s="297"/>
      <c r="AT89" s="297"/>
      <c r="AU89" s="297"/>
      <c r="AV89" s="297"/>
      <c r="AW89" s="297"/>
    </row>
    <row r="90" spans="1:49" x14ac:dyDescent="0.45">
      <c r="A90" s="295">
        <v>12086</v>
      </c>
      <c r="B90" s="12">
        <v>-0.1772</v>
      </c>
      <c r="C90" s="5">
        <v>-0.19839999999999999</v>
      </c>
      <c r="D90" s="14">
        <v>2.3E-3</v>
      </c>
      <c r="E90" s="14">
        <v>3.7333333333333333E-3</v>
      </c>
      <c r="F90" s="5">
        <v>4.4583333333333332E-3</v>
      </c>
      <c r="G90" s="5">
        <v>4.0958333333333333E-3</v>
      </c>
      <c r="H90" s="14">
        <v>4.8083333333333337E-3</v>
      </c>
      <c r="I90" s="5">
        <f t="shared" si="11"/>
        <v>-0.17949999999999999</v>
      </c>
      <c r="J90" s="5">
        <f t="shared" si="4"/>
        <v>-0.18129583333333332</v>
      </c>
      <c r="K90" s="5">
        <f t="shared" si="5"/>
        <v>-0.20320833333333332</v>
      </c>
      <c r="L90" s="8">
        <f t="shared" si="13"/>
        <v>-0.25909755991679684</v>
      </c>
      <c r="M90" s="8">
        <f t="shared" si="14"/>
        <v>2.76E-2</v>
      </c>
      <c r="N90" s="8">
        <f t="shared" si="6"/>
        <v>4.9149999999999999E-2</v>
      </c>
      <c r="O90" s="296">
        <f t="shared" si="12"/>
        <v>-0.28669755991679685</v>
      </c>
      <c r="P90" s="8">
        <f t="shared" si="7"/>
        <v>-0.30824755991679686</v>
      </c>
      <c r="Q90" s="8">
        <f t="shared" si="8"/>
        <v>-0.27015143294372557</v>
      </c>
      <c r="R90" s="8">
        <f t="shared" si="9"/>
        <v>5.7700000000000001E-2</v>
      </c>
      <c r="S90" s="296">
        <f t="shared" si="10"/>
        <v>-0.32785143294372554</v>
      </c>
      <c r="U90" s="297"/>
      <c r="V90" s="297"/>
      <c r="W90" s="297"/>
      <c r="X90" s="297"/>
      <c r="Y90" s="297"/>
      <c r="Z90" s="297"/>
      <c r="AA90" s="297"/>
      <c r="AB90" s="297"/>
      <c r="AC90" s="297"/>
      <c r="AE90" s="297"/>
      <c r="AF90" s="297"/>
      <c r="AG90" s="297"/>
      <c r="AH90" s="297"/>
      <c r="AI90" s="297"/>
      <c r="AJ90" s="297"/>
      <c r="AK90" s="297"/>
      <c r="AL90" s="297"/>
      <c r="AM90" s="297"/>
      <c r="AO90" s="297"/>
      <c r="AP90" s="297"/>
      <c r="AQ90" s="297"/>
      <c r="AR90" s="297"/>
      <c r="AS90" s="297"/>
      <c r="AT90" s="297"/>
      <c r="AU90" s="297"/>
      <c r="AV90" s="297"/>
      <c r="AW90" s="297"/>
    </row>
    <row r="91" spans="1:49" x14ac:dyDescent="0.45">
      <c r="A91" s="295">
        <v>12114</v>
      </c>
      <c r="B91" s="12">
        <v>3.5299999999999998E-2</v>
      </c>
      <c r="C91" s="5">
        <v>-0.10800000000000001</v>
      </c>
      <c r="D91" s="14">
        <v>2.7000000000000001E-3</v>
      </c>
      <c r="E91" s="14">
        <v>3.8999999999999994E-3</v>
      </c>
      <c r="F91" s="5">
        <v>4.6750000000000003E-3</v>
      </c>
      <c r="G91" s="5">
        <v>4.2874999999999996E-3</v>
      </c>
      <c r="H91" s="14">
        <v>5.2833333333333335E-3</v>
      </c>
      <c r="I91" s="5">
        <f t="shared" si="11"/>
        <v>3.2599999999999997E-2</v>
      </c>
      <c r="J91" s="5">
        <f t="shared" si="4"/>
        <v>3.1012499999999998E-2</v>
      </c>
      <c r="K91" s="5">
        <f t="shared" si="5"/>
        <v>-0.11328333333333335</v>
      </c>
      <c r="L91" s="8">
        <f t="shared" si="13"/>
        <v>-0.13248552791434054</v>
      </c>
      <c r="M91" s="8">
        <f t="shared" si="14"/>
        <v>3.2399999999999998E-2</v>
      </c>
      <c r="N91" s="8">
        <f t="shared" si="6"/>
        <v>5.1449999999999996E-2</v>
      </c>
      <c r="O91" s="296">
        <f t="shared" si="12"/>
        <v>-0.16488552791434052</v>
      </c>
      <c r="P91" s="8">
        <f t="shared" si="7"/>
        <v>-0.18393552791434054</v>
      </c>
      <c r="Q91" s="8">
        <f t="shared" si="8"/>
        <v>-0.27194707916104133</v>
      </c>
      <c r="R91" s="8">
        <f t="shared" si="9"/>
        <v>6.3399999999999998E-2</v>
      </c>
      <c r="S91" s="296">
        <f t="shared" si="10"/>
        <v>-0.33534707916104134</v>
      </c>
      <c r="U91" s="297"/>
      <c r="V91" s="297"/>
      <c r="W91" s="297"/>
      <c r="X91" s="297"/>
      <c r="Y91" s="297"/>
      <c r="Z91" s="297"/>
      <c r="AA91" s="297"/>
      <c r="AB91" s="297"/>
      <c r="AC91" s="297"/>
      <c r="AE91" s="297"/>
      <c r="AF91" s="297"/>
      <c r="AG91" s="297"/>
      <c r="AH91" s="297"/>
      <c r="AI91" s="297"/>
      <c r="AJ91" s="297"/>
      <c r="AK91" s="297"/>
      <c r="AL91" s="297"/>
      <c r="AM91" s="297"/>
      <c r="AO91" s="297"/>
      <c r="AP91" s="297"/>
      <c r="AQ91" s="297"/>
      <c r="AR91" s="297"/>
      <c r="AS91" s="297"/>
      <c r="AT91" s="297"/>
      <c r="AU91" s="297"/>
      <c r="AV91" s="297"/>
      <c r="AW91" s="297"/>
    </row>
    <row r="92" spans="1:49" x14ac:dyDescent="0.45">
      <c r="A92" s="295">
        <v>12145</v>
      </c>
      <c r="B92" s="12">
        <v>0.42559999999999998</v>
      </c>
      <c r="C92" s="5">
        <v>0.26349999999999996</v>
      </c>
      <c r="D92" s="14">
        <v>2.5000000000000001E-3</v>
      </c>
      <c r="E92" s="14">
        <v>3.9833333333333335E-3</v>
      </c>
      <c r="F92" s="5">
        <v>4.841666666666666E-3</v>
      </c>
      <c r="G92" s="5">
        <v>4.4125000000000006E-3</v>
      </c>
      <c r="H92" s="14">
        <v>5.7416666666666675E-3</v>
      </c>
      <c r="I92" s="5">
        <f t="shared" si="11"/>
        <v>0.42309999999999998</v>
      </c>
      <c r="J92" s="5">
        <f t="shared" si="4"/>
        <v>0.42118749999999999</v>
      </c>
      <c r="K92" s="5">
        <f t="shared" si="5"/>
        <v>0.25775833333333331</v>
      </c>
      <c r="L92" s="8">
        <f t="shared" si="13"/>
        <v>0.54533129002288661</v>
      </c>
      <c r="M92" s="8">
        <f t="shared" si="14"/>
        <v>0.03</v>
      </c>
      <c r="N92" s="8">
        <f t="shared" si="6"/>
        <v>5.2950000000000011E-2</v>
      </c>
      <c r="O92" s="296">
        <f t="shared" si="12"/>
        <v>0.51533129002288658</v>
      </c>
      <c r="P92" s="8">
        <f t="shared" si="7"/>
        <v>0.49238129002288661</v>
      </c>
      <c r="Q92" s="8">
        <f t="shared" si="8"/>
        <v>8.6703916692290717E-2</v>
      </c>
      <c r="R92" s="8">
        <f t="shared" si="9"/>
        <v>6.8900000000000017E-2</v>
      </c>
      <c r="S92" s="296">
        <f t="shared" si="10"/>
        <v>1.78039166922907E-2</v>
      </c>
      <c r="U92" s="297"/>
      <c r="V92" s="297"/>
      <c r="W92" s="297"/>
      <c r="X92" s="297"/>
      <c r="Y92" s="297"/>
      <c r="Z92" s="297"/>
      <c r="AA92" s="297"/>
      <c r="AB92" s="297"/>
      <c r="AC92" s="297"/>
      <c r="AE92" s="297"/>
      <c r="AF92" s="297"/>
      <c r="AG92" s="297"/>
      <c r="AH92" s="297"/>
      <c r="AI92" s="297"/>
      <c r="AJ92" s="297"/>
      <c r="AK92" s="297"/>
      <c r="AL92" s="297"/>
      <c r="AM92" s="297"/>
      <c r="AO92" s="297"/>
      <c r="AP92" s="297"/>
      <c r="AQ92" s="297"/>
      <c r="AR92" s="297"/>
      <c r="AS92" s="297"/>
      <c r="AT92" s="297"/>
      <c r="AU92" s="297"/>
      <c r="AV92" s="297"/>
      <c r="AW92" s="297"/>
    </row>
    <row r="93" spans="1:49" x14ac:dyDescent="0.45">
      <c r="A93" s="295">
        <v>12175</v>
      </c>
      <c r="B93" s="12">
        <v>0.16830000000000001</v>
      </c>
      <c r="C93" s="5">
        <v>0.17319999999999999</v>
      </c>
      <c r="D93" s="14">
        <v>2.7999999999999995E-3</v>
      </c>
      <c r="E93" s="14">
        <v>3.858333333333333E-3</v>
      </c>
      <c r="F93" s="5">
        <v>4.5000000000000005E-3</v>
      </c>
      <c r="G93" s="5">
        <v>4.179166666666667E-3</v>
      </c>
      <c r="H93" s="14">
        <v>5.416666666666666E-3</v>
      </c>
      <c r="I93" s="5">
        <f t="shared" si="11"/>
        <v>0.16550000000000001</v>
      </c>
      <c r="J93" s="5">
        <f t="shared" ref="J93:J156" si="15">B93-G93</f>
        <v>0.16412083333333333</v>
      </c>
      <c r="K93" s="5">
        <f t="shared" ref="K93:K156" si="16">$C93-H93</f>
        <v>0.16778333333333334</v>
      </c>
      <c r="L93" s="8">
        <f t="shared" si="13"/>
        <v>1.3134425245178605</v>
      </c>
      <c r="M93" s="8">
        <f t="shared" si="14"/>
        <v>3.3599999999999991E-2</v>
      </c>
      <c r="N93" s="8">
        <f t="shared" si="6"/>
        <v>5.015E-2</v>
      </c>
      <c r="O93" s="296">
        <f t="shared" si="12"/>
        <v>1.2798425245178604</v>
      </c>
      <c r="P93" s="8">
        <f t="shared" si="7"/>
        <v>1.2632925245178606</v>
      </c>
      <c r="Q93" s="8">
        <f t="shared" si="8"/>
        <v>0.77220049355490117</v>
      </c>
      <c r="R93" s="8">
        <f t="shared" si="9"/>
        <v>6.4999999999999988E-2</v>
      </c>
      <c r="S93" s="296">
        <f t="shared" si="10"/>
        <v>0.70720049355490122</v>
      </c>
      <c r="U93" s="297"/>
      <c r="V93" s="297"/>
      <c r="W93" s="297"/>
      <c r="X93" s="297"/>
      <c r="Y93" s="297"/>
      <c r="Z93" s="297"/>
      <c r="AA93" s="297"/>
      <c r="AB93" s="297"/>
      <c r="AC93" s="297"/>
      <c r="AE93" s="297"/>
      <c r="AF93" s="297"/>
      <c r="AG93" s="297"/>
      <c r="AH93" s="297"/>
      <c r="AI93" s="297"/>
      <c r="AJ93" s="297"/>
      <c r="AK93" s="297"/>
      <c r="AL93" s="297"/>
      <c r="AM93" s="297"/>
      <c r="AO93" s="297"/>
      <c r="AP93" s="297"/>
      <c r="AQ93" s="297"/>
      <c r="AR93" s="297"/>
      <c r="AS93" s="297"/>
      <c r="AT93" s="297"/>
      <c r="AU93" s="297"/>
      <c r="AV93" s="297"/>
      <c r="AW93" s="297"/>
    </row>
    <row r="94" spans="1:49" x14ac:dyDescent="0.45">
      <c r="A94" s="295">
        <v>12206</v>
      </c>
      <c r="B94" s="12">
        <v>0.1338</v>
      </c>
      <c r="C94" s="5">
        <v>0.14259999999999998</v>
      </c>
      <c r="D94" s="14">
        <v>2.5000000000000001E-3</v>
      </c>
      <c r="E94" s="14">
        <v>3.7166666666666663E-3</v>
      </c>
      <c r="F94" s="5">
        <v>4.2416666666666662E-3</v>
      </c>
      <c r="G94" s="5">
        <v>3.9791666666666664E-3</v>
      </c>
      <c r="H94" s="14">
        <v>5.0916666666666662E-3</v>
      </c>
      <c r="I94" s="5">
        <f t="shared" si="11"/>
        <v>0.1313</v>
      </c>
      <c r="J94" s="5">
        <f t="shared" si="15"/>
        <v>0.12982083333333333</v>
      </c>
      <c r="K94" s="5">
        <f t="shared" si="16"/>
        <v>0.13750833333333332</v>
      </c>
      <c r="L94" s="8">
        <f t="shared" si="13"/>
        <v>1.6287644160135799</v>
      </c>
      <c r="M94" s="8">
        <f t="shared" si="14"/>
        <v>0.03</v>
      </c>
      <c r="N94" s="8">
        <f t="shared" si="6"/>
        <v>4.7750000000000001E-2</v>
      </c>
      <c r="O94" s="296">
        <f t="shared" si="12"/>
        <v>1.5987644160135799</v>
      </c>
      <c r="P94" s="8">
        <f t="shared" si="7"/>
        <v>1.5810144160135799</v>
      </c>
      <c r="Q94" s="8">
        <f t="shared" si="8"/>
        <v>1.0068545926024082</v>
      </c>
      <c r="R94" s="8">
        <f t="shared" si="9"/>
        <v>6.1099999999999995E-2</v>
      </c>
      <c r="S94" s="296">
        <f t="shared" si="10"/>
        <v>0.94575459260240813</v>
      </c>
      <c r="U94" s="297"/>
      <c r="V94" s="297"/>
      <c r="W94" s="297"/>
      <c r="X94" s="297"/>
      <c r="Y94" s="297"/>
      <c r="Z94" s="297"/>
      <c r="AA94" s="297"/>
      <c r="AB94" s="297"/>
      <c r="AC94" s="297"/>
      <c r="AE94" s="297"/>
      <c r="AF94" s="297"/>
      <c r="AG94" s="297"/>
      <c r="AH94" s="297"/>
      <c r="AI94" s="297"/>
      <c r="AJ94" s="297"/>
      <c r="AK94" s="297"/>
      <c r="AL94" s="297"/>
      <c r="AM94" s="297"/>
      <c r="AO94" s="297"/>
      <c r="AP94" s="297"/>
      <c r="AQ94" s="297"/>
      <c r="AR94" s="297"/>
      <c r="AS94" s="297"/>
      <c r="AT94" s="297"/>
      <c r="AU94" s="297"/>
      <c r="AV94" s="297"/>
      <c r="AW94" s="297"/>
    </row>
    <row r="95" spans="1:49" x14ac:dyDescent="0.45">
      <c r="A95" s="295">
        <v>12236</v>
      </c>
      <c r="B95" s="12">
        <v>-8.6199999999999999E-2</v>
      </c>
      <c r="C95" s="5">
        <v>-0.12039999999999999</v>
      </c>
      <c r="D95" s="14">
        <v>2.5999999999999999E-3</v>
      </c>
      <c r="E95" s="14">
        <v>3.6333333333333335E-3</v>
      </c>
      <c r="F95" s="5">
        <v>4.0249999999999999E-3</v>
      </c>
      <c r="G95" s="5">
        <v>3.8291666666666669E-3</v>
      </c>
      <c r="H95" s="14">
        <v>4.9249999999999997E-3</v>
      </c>
      <c r="I95" s="5">
        <f t="shared" si="11"/>
        <v>-8.8800000000000004E-2</v>
      </c>
      <c r="J95" s="5">
        <f t="shared" si="15"/>
        <v>-9.002916666666666E-2</v>
      </c>
      <c r="K95" s="5">
        <f t="shared" si="16"/>
        <v>-0.12532499999999999</v>
      </c>
      <c r="L95" s="8">
        <f t="shared" si="13"/>
        <v>0.73880920981050235</v>
      </c>
      <c r="M95" s="8">
        <f t="shared" si="14"/>
        <v>3.1199999999999999E-2</v>
      </c>
      <c r="N95" s="8">
        <f t="shared" si="6"/>
        <v>4.5950000000000005E-2</v>
      </c>
      <c r="O95" s="296">
        <f t="shared" si="12"/>
        <v>0.70760920981050235</v>
      </c>
      <c r="P95" s="8">
        <f t="shared" si="7"/>
        <v>0.69285920981050231</v>
      </c>
      <c r="Q95" s="8">
        <f t="shared" si="8"/>
        <v>0.32544623791340954</v>
      </c>
      <c r="R95" s="8">
        <f t="shared" si="9"/>
        <v>5.91E-2</v>
      </c>
      <c r="S95" s="296">
        <f t="shared" si="10"/>
        <v>0.26634623791340956</v>
      </c>
      <c r="U95" s="297"/>
      <c r="V95" s="297"/>
      <c r="W95" s="297"/>
      <c r="X95" s="297"/>
      <c r="Y95" s="297"/>
      <c r="Z95" s="297"/>
      <c r="AA95" s="297"/>
      <c r="AB95" s="297"/>
      <c r="AC95" s="297"/>
      <c r="AE95" s="297"/>
      <c r="AF95" s="297"/>
      <c r="AG95" s="297"/>
      <c r="AH95" s="297"/>
      <c r="AI95" s="297"/>
      <c r="AJ95" s="297"/>
      <c r="AK95" s="297"/>
      <c r="AL95" s="297"/>
      <c r="AM95" s="297"/>
      <c r="AO95" s="297"/>
      <c r="AP95" s="297"/>
      <c r="AQ95" s="297"/>
      <c r="AR95" s="297"/>
      <c r="AS95" s="297"/>
      <c r="AT95" s="297"/>
      <c r="AU95" s="297"/>
      <c r="AV95" s="297"/>
      <c r="AW95" s="297"/>
    </row>
    <row r="96" spans="1:49" x14ac:dyDescent="0.45">
      <c r="A96" s="295">
        <v>12267</v>
      </c>
      <c r="B96" s="12">
        <v>0.1206</v>
      </c>
      <c r="C96" s="5">
        <v>-5.5999999999999991E-3</v>
      </c>
      <c r="D96" s="14">
        <v>2.5999999999999999E-3</v>
      </c>
      <c r="E96" s="14">
        <v>3.5833333333333333E-3</v>
      </c>
      <c r="F96" s="5">
        <v>3.9749999999999994E-3</v>
      </c>
      <c r="G96" s="5">
        <v>3.7791666666666668E-3</v>
      </c>
      <c r="H96" s="14">
        <v>4.9833333333333335E-3</v>
      </c>
      <c r="I96" s="5">
        <f t="shared" si="11"/>
        <v>0.11799999999999999</v>
      </c>
      <c r="J96" s="5">
        <f t="shared" si="15"/>
        <v>0.11682083333333333</v>
      </c>
      <c r="K96" s="5">
        <f t="shared" si="16"/>
        <v>-1.0583333333333333E-2</v>
      </c>
      <c r="L96" s="8">
        <f t="shared" si="13"/>
        <v>0.40493878470953137</v>
      </c>
      <c r="M96" s="8">
        <f t="shared" si="14"/>
        <v>3.1199999999999999E-2</v>
      </c>
      <c r="N96" s="8">
        <f t="shared" si="6"/>
        <v>4.5350000000000001E-2</v>
      </c>
      <c r="O96" s="296">
        <f t="shared" si="12"/>
        <v>0.37373878470953137</v>
      </c>
      <c r="P96" s="8">
        <f t="shared" si="7"/>
        <v>0.35958878470953137</v>
      </c>
      <c r="Q96" s="8">
        <f t="shared" si="8"/>
        <v>-6.0567541709840134E-2</v>
      </c>
      <c r="R96" s="8">
        <f t="shared" si="9"/>
        <v>5.9800000000000006E-2</v>
      </c>
      <c r="S96" s="296">
        <f t="shared" si="10"/>
        <v>-0.12036754170984014</v>
      </c>
      <c r="U96" s="297"/>
      <c r="V96" s="297"/>
      <c r="W96" s="297"/>
      <c r="X96" s="297"/>
      <c r="Y96" s="297"/>
      <c r="Z96" s="297"/>
      <c r="AA96" s="297"/>
      <c r="AB96" s="297"/>
      <c r="AC96" s="297"/>
      <c r="AE96" s="297"/>
      <c r="AF96" s="297"/>
      <c r="AG96" s="297"/>
      <c r="AH96" s="297"/>
      <c r="AI96" s="297"/>
      <c r="AJ96" s="297"/>
      <c r="AK96" s="297"/>
      <c r="AL96" s="297"/>
      <c r="AM96" s="297"/>
      <c r="AO96" s="297"/>
      <c r="AP96" s="297"/>
      <c r="AQ96" s="297"/>
      <c r="AR96" s="297"/>
      <c r="AS96" s="297"/>
      <c r="AT96" s="297"/>
      <c r="AU96" s="297"/>
      <c r="AV96" s="297"/>
      <c r="AW96" s="297"/>
    </row>
    <row r="97" spans="1:49" x14ac:dyDescent="0.45">
      <c r="A97" s="295">
        <v>12298</v>
      </c>
      <c r="B97" s="12">
        <v>-0.1118</v>
      </c>
      <c r="C97" s="5">
        <v>-0.1759</v>
      </c>
      <c r="D97" s="14">
        <v>2.5000000000000001E-3</v>
      </c>
      <c r="E97" s="14">
        <v>3.6333333333333335E-3</v>
      </c>
      <c r="F97" s="5">
        <v>4.1333333333333335E-3</v>
      </c>
      <c r="G97" s="5">
        <v>3.8833333333333333E-3</v>
      </c>
      <c r="H97" s="14">
        <v>5.3E-3</v>
      </c>
      <c r="I97" s="5">
        <f t="shared" si="11"/>
        <v>-0.1143</v>
      </c>
      <c r="J97" s="5">
        <f t="shared" si="15"/>
        <v>-0.11568333333333333</v>
      </c>
      <c r="K97" s="5">
        <f t="shared" si="16"/>
        <v>-0.1812</v>
      </c>
      <c r="L97" s="8">
        <f t="shared" si="13"/>
        <v>0.29259025127305338</v>
      </c>
      <c r="M97" s="8">
        <f t="shared" si="14"/>
        <v>0.03</v>
      </c>
      <c r="N97" s="8">
        <f t="shared" si="6"/>
        <v>4.6600000000000003E-2</v>
      </c>
      <c r="O97" s="296">
        <f t="shared" si="12"/>
        <v>0.26259025127305335</v>
      </c>
      <c r="P97" s="8">
        <f t="shared" si="7"/>
        <v>0.24599025127305338</v>
      </c>
      <c r="Q97" s="8">
        <f t="shared" si="8"/>
        <v>-0.20433063835876586</v>
      </c>
      <c r="R97" s="8">
        <f t="shared" si="9"/>
        <v>6.3600000000000004E-2</v>
      </c>
      <c r="S97" s="296">
        <f t="shared" si="10"/>
        <v>-0.26793063835876585</v>
      </c>
      <c r="U97" s="297"/>
      <c r="V97" s="297"/>
      <c r="W97" s="297"/>
      <c r="X97" s="297"/>
      <c r="Y97" s="297"/>
      <c r="Z97" s="297"/>
      <c r="AA97" s="297"/>
      <c r="AB97" s="297"/>
      <c r="AC97" s="297"/>
      <c r="AE97" s="297"/>
      <c r="AF97" s="297"/>
      <c r="AG97" s="297"/>
      <c r="AH97" s="297"/>
      <c r="AI97" s="297"/>
      <c r="AJ97" s="297"/>
      <c r="AK97" s="297"/>
      <c r="AL97" s="297"/>
      <c r="AM97" s="297"/>
      <c r="AO97" s="297"/>
      <c r="AP97" s="297"/>
      <c r="AQ97" s="297"/>
      <c r="AR97" s="297"/>
      <c r="AS97" s="297"/>
      <c r="AT97" s="297"/>
      <c r="AU97" s="297"/>
      <c r="AV97" s="297"/>
      <c r="AW97" s="297"/>
    </row>
    <row r="98" spans="1:49" x14ac:dyDescent="0.45">
      <c r="A98" s="295">
        <v>12328</v>
      </c>
      <c r="B98" s="12">
        <v>-8.5500000000000007E-2</v>
      </c>
      <c r="C98" s="5">
        <v>-7.1200000000000013E-2</v>
      </c>
      <c r="D98" s="14">
        <v>2.5999999999999999E-3</v>
      </c>
      <c r="E98" s="14">
        <v>3.6166666666666665E-3</v>
      </c>
      <c r="F98" s="5">
        <v>4.1416666666666659E-3</v>
      </c>
      <c r="G98" s="5">
        <v>3.8791666666666662E-3</v>
      </c>
      <c r="H98" s="14">
        <v>5.3E-3</v>
      </c>
      <c r="I98" s="5">
        <f t="shared" si="11"/>
        <v>-8.8100000000000012E-2</v>
      </c>
      <c r="J98" s="5">
        <f t="shared" si="15"/>
        <v>-8.9379166666666676E-2</v>
      </c>
      <c r="K98" s="5">
        <f t="shared" si="16"/>
        <v>-7.6500000000000012E-2</v>
      </c>
      <c r="L98" s="8">
        <f t="shared" si="13"/>
        <v>0.36640132330274788</v>
      </c>
      <c r="M98" s="8">
        <f t="shared" si="14"/>
        <v>3.1199999999999999E-2</v>
      </c>
      <c r="N98" s="8">
        <f t="shared" si="6"/>
        <v>4.6549999999999994E-2</v>
      </c>
      <c r="O98" s="296">
        <f t="shared" si="12"/>
        <v>0.33520132330274788</v>
      </c>
      <c r="P98" s="8">
        <f t="shared" si="7"/>
        <v>0.3198513233027479</v>
      </c>
      <c r="Q98" s="8">
        <f t="shared" si="8"/>
        <v>-0.17455858026094262</v>
      </c>
      <c r="R98" s="8">
        <f t="shared" si="9"/>
        <v>6.3600000000000004E-2</v>
      </c>
      <c r="S98" s="296">
        <f t="shared" si="10"/>
        <v>-0.23815858026094261</v>
      </c>
      <c r="U98" s="297"/>
      <c r="V98" s="297"/>
      <c r="W98" s="297"/>
      <c r="X98" s="297"/>
      <c r="Y98" s="297"/>
      <c r="Z98" s="297"/>
      <c r="AA98" s="297"/>
      <c r="AB98" s="297"/>
      <c r="AC98" s="297"/>
      <c r="AE98" s="297"/>
      <c r="AF98" s="297"/>
      <c r="AG98" s="297"/>
      <c r="AH98" s="297"/>
      <c r="AI98" s="297"/>
      <c r="AJ98" s="297"/>
      <c r="AK98" s="297"/>
      <c r="AL98" s="297"/>
      <c r="AM98" s="297"/>
      <c r="AO98" s="297"/>
      <c r="AP98" s="297"/>
      <c r="AQ98" s="297"/>
      <c r="AR98" s="297"/>
      <c r="AS98" s="297"/>
      <c r="AT98" s="297"/>
      <c r="AU98" s="297"/>
      <c r="AV98" s="297"/>
      <c r="AW98" s="297"/>
    </row>
    <row r="99" spans="1:49" x14ac:dyDescent="0.45">
      <c r="A99" s="295">
        <v>12359</v>
      </c>
      <c r="B99" s="12">
        <v>0.11269999999999999</v>
      </c>
      <c r="C99" s="5">
        <v>-1.7999999999999999E-2</v>
      </c>
      <c r="D99" s="14">
        <v>2.5000000000000001E-3</v>
      </c>
      <c r="E99" s="14">
        <v>3.7833333333333334E-3</v>
      </c>
      <c r="F99" s="5">
        <v>4.4583333333333332E-3</v>
      </c>
      <c r="G99" s="5">
        <v>4.120833333333334E-3</v>
      </c>
      <c r="H99" s="14">
        <v>5.8833333333333342E-3</v>
      </c>
      <c r="I99" s="5">
        <f t="shared" si="11"/>
        <v>0.11019999999999999</v>
      </c>
      <c r="J99" s="5">
        <f t="shared" si="15"/>
        <v>0.10857916666666666</v>
      </c>
      <c r="K99" s="5">
        <f t="shared" si="16"/>
        <v>-2.3883333333333333E-2</v>
      </c>
      <c r="L99" s="8">
        <f t="shared" si="13"/>
        <v>0.58655405659915205</v>
      </c>
      <c r="M99" s="8">
        <f t="shared" si="14"/>
        <v>0.03</v>
      </c>
      <c r="N99" s="8">
        <f t="shared" si="6"/>
        <v>4.9450000000000008E-2</v>
      </c>
      <c r="O99" s="296">
        <f t="shared" si="12"/>
        <v>0.55655405659915202</v>
      </c>
      <c r="P99" s="8">
        <f t="shared" si="7"/>
        <v>0.53710405659915206</v>
      </c>
      <c r="Q99" s="8">
        <f t="shared" si="8"/>
        <v>-0.15966880138528483</v>
      </c>
      <c r="R99" s="8">
        <f t="shared" si="9"/>
        <v>7.060000000000001E-2</v>
      </c>
      <c r="S99" s="296">
        <f t="shared" si="10"/>
        <v>-0.23026880138528483</v>
      </c>
      <c r="U99" s="297"/>
      <c r="V99" s="297"/>
      <c r="W99" s="297"/>
      <c r="X99" s="297"/>
      <c r="Y99" s="297"/>
      <c r="Z99" s="297"/>
      <c r="AA99" s="297"/>
      <c r="AB99" s="297"/>
      <c r="AC99" s="297"/>
      <c r="AE99" s="297"/>
      <c r="AF99" s="297"/>
      <c r="AG99" s="297"/>
      <c r="AH99" s="297"/>
      <c r="AI99" s="297"/>
      <c r="AJ99" s="297"/>
      <c r="AK99" s="297"/>
      <c r="AL99" s="297"/>
      <c r="AM99" s="297"/>
      <c r="AO99" s="297"/>
      <c r="AP99" s="297"/>
      <c r="AQ99" s="297"/>
      <c r="AR99" s="297"/>
      <c r="AS99" s="297"/>
      <c r="AT99" s="297"/>
      <c r="AU99" s="297"/>
      <c r="AV99" s="297"/>
      <c r="AW99" s="297"/>
    </row>
    <row r="100" spans="1:49" x14ac:dyDescent="0.45">
      <c r="A100" s="295">
        <v>12389</v>
      </c>
      <c r="B100" s="12">
        <v>2.53E-2</v>
      </c>
      <c r="C100" s="5">
        <v>1.26E-2</v>
      </c>
      <c r="D100" s="14">
        <v>2.7999999999999995E-3</v>
      </c>
      <c r="E100" s="14">
        <v>3.7499999999999999E-3</v>
      </c>
      <c r="F100" s="5">
        <v>4.3916666666666661E-3</v>
      </c>
      <c r="G100" s="5">
        <v>4.0708333333333334E-3</v>
      </c>
      <c r="H100" s="14">
        <v>6.0166666666666667E-3</v>
      </c>
      <c r="I100" s="5">
        <f t="shared" si="11"/>
        <v>2.2499999999999999E-2</v>
      </c>
      <c r="J100" s="5">
        <f t="shared" si="15"/>
        <v>2.1229166666666667E-2</v>
      </c>
      <c r="K100" s="5">
        <f t="shared" si="16"/>
        <v>6.5833333333333334E-3</v>
      </c>
      <c r="L100" s="8">
        <f t="shared" si="13"/>
        <v>0.53970078015249512</v>
      </c>
      <c r="M100" s="8">
        <f t="shared" si="14"/>
        <v>3.3599999999999991E-2</v>
      </c>
      <c r="N100" s="8">
        <f t="shared" si="6"/>
        <v>4.8850000000000005E-2</v>
      </c>
      <c r="O100" s="296">
        <f t="shared" si="12"/>
        <v>0.50610078015249516</v>
      </c>
      <c r="P100" s="8">
        <f t="shared" si="7"/>
        <v>0.49085078015249511</v>
      </c>
      <c r="Q100" s="8">
        <f t="shared" si="8"/>
        <v>-0.21883836251054711</v>
      </c>
      <c r="R100" s="8">
        <f t="shared" si="9"/>
        <v>7.22E-2</v>
      </c>
      <c r="S100" s="296">
        <f t="shared" si="10"/>
        <v>-0.2910383625105471</v>
      </c>
      <c r="U100" s="297"/>
      <c r="V100" s="297"/>
      <c r="W100" s="297"/>
      <c r="X100" s="297"/>
      <c r="Y100" s="297"/>
      <c r="Z100" s="297"/>
      <c r="AA100" s="297"/>
      <c r="AB100" s="297"/>
      <c r="AC100" s="297"/>
      <c r="AE100" s="297"/>
      <c r="AF100" s="297"/>
      <c r="AG100" s="297"/>
      <c r="AH100" s="297"/>
      <c r="AI100" s="297"/>
      <c r="AJ100" s="297"/>
      <c r="AK100" s="297"/>
      <c r="AL100" s="297"/>
      <c r="AM100" s="297"/>
      <c r="AO100" s="297"/>
      <c r="AP100" s="297"/>
      <c r="AQ100" s="297"/>
      <c r="AR100" s="297"/>
      <c r="AS100" s="297"/>
      <c r="AT100" s="297"/>
      <c r="AU100" s="297"/>
      <c r="AV100" s="297"/>
      <c r="AW100" s="297"/>
    </row>
    <row r="101" spans="1:49" x14ac:dyDescent="0.45">
      <c r="A101" s="295">
        <v>12420</v>
      </c>
      <c r="B101" s="12">
        <v>0.1069</v>
      </c>
      <c r="C101" s="5">
        <v>0.17460000000000001</v>
      </c>
      <c r="D101" s="5">
        <v>2.8999999999999998E-3</v>
      </c>
      <c r="E101" s="5">
        <v>3.6249999999999998E-3</v>
      </c>
      <c r="F101" s="5">
        <v>4.1666666666666666E-3</v>
      </c>
      <c r="G101" s="5">
        <v>3.8958333333333332E-3</v>
      </c>
      <c r="H101" s="5">
        <v>5.4666666666666674E-3</v>
      </c>
      <c r="I101" s="5">
        <f t="shared" si="11"/>
        <v>0.104</v>
      </c>
      <c r="J101" s="5">
        <f t="shared" si="15"/>
        <v>0.10300416666666666</v>
      </c>
      <c r="K101" s="5">
        <f t="shared" si="16"/>
        <v>0.16913333333333333</v>
      </c>
      <c r="L101" s="8">
        <f t="shared" si="13"/>
        <v>0.68959531431624588</v>
      </c>
      <c r="M101" s="8">
        <f t="shared" si="14"/>
        <v>3.4799999999999998E-2</v>
      </c>
      <c r="N101" s="8">
        <f t="shared" si="6"/>
        <v>4.675E-2</v>
      </c>
      <c r="O101" s="296">
        <f t="shared" si="12"/>
        <v>0.65479531431624594</v>
      </c>
      <c r="P101" s="8">
        <f t="shared" si="7"/>
        <v>0.64284531431624592</v>
      </c>
      <c r="Q101" s="8">
        <f t="shared" si="8"/>
        <v>-5.2995707095560562E-2</v>
      </c>
      <c r="R101" s="8">
        <f t="shared" si="9"/>
        <v>6.5600000000000006E-2</v>
      </c>
      <c r="S101" s="296">
        <f t="shared" si="10"/>
        <v>-0.11859570709556057</v>
      </c>
      <c r="U101" s="297"/>
      <c r="V101" s="297"/>
      <c r="W101" s="297"/>
      <c r="X101" s="297"/>
      <c r="Y101" s="297"/>
      <c r="Z101" s="297"/>
      <c r="AA101" s="297"/>
      <c r="AB101" s="297"/>
      <c r="AC101" s="297"/>
      <c r="AE101" s="297"/>
      <c r="AF101" s="297"/>
      <c r="AG101" s="297"/>
      <c r="AH101" s="297"/>
      <c r="AI101" s="297"/>
      <c r="AJ101" s="297"/>
      <c r="AK101" s="297"/>
      <c r="AL101" s="297"/>
      <c r="AM101" s="297"/>
      <c r="AO101" s="297"/>
      <c r="AP101" s="297"/>
      <c r="AQ101" s="297"/>
      <c r="AR101" s="297"/>
      <c r="AS101" s="297"/>
      <c r="AT101" s="297"/>
      <c r="AU101" s="297"/>
      <c r="AV101" s="297"/>
      <c r="AW101" s="297"/>
    </row>
    <row r="102" spans="1:49" x14ac:dyDescent="0.45">
      <c r="A102" s="295">
        <v>12451</v>
      </c>
      <c r="B102" s="12">
        <v>-3.2199999999999999E-2</v>
      </c>
      <c r="C102" s="5">
        <v>-2.4199999999999999E-2</v>
      </c>
      <c r="D102" s="5">
        <v>2.3999999999999998E-3</v>
      </c>
      <c r="E102" s="5">
        <v>3.5000000000000005E-3</v>
      </c>
      <c r="F102" s="5">
        <v>3.9166666666666664E-3</v>
      </c>
      <c r="G102" s="5">
        <v>3.7083333333333334E-3</v>
      </c>
      <c r="H102" s="5">
        <v>4.816666666666667E-3</v>
      </c>
      <c r="I102" s="5">
        <f t="shared" si="11"/>
        <v>-3.4599999999999999E-2</v>
      </c>
      <c r="J102" s="5">
        <f t="shared" si="15"/>
        <v>-3.5908333333333334E-2</v>
      </c>
      <c r="K102" s="5">
        <f t="shared" si="16"/>
        <v>-2.9016666666666666E-2</v>
      </c>
      <c r="L102" s="8">
        <f t="shared" si="13"/>
        <v>0.98734849926502455</v>
      </c>
      <c r="M102" s="8">
        <f t="shared" si="14"/>
        <v>2.8799999999999999E-2</v>
      </c>
      <c r="N102" s="8">
        <f t="shared" si="6"/>
        <v>4.4499999999999998E-2</v>
      </c>
      <c r="O102" s="296">
        <f t="shared" si="12"/>
        <v>0.9585484992650245</v>
      </c>
      <c r="P102" s="8">
        <f t="shared" si="7"/>
        <v>0.94284849926502456</v>
      </c>
      <c r="Q102" s="8">
        <f t="shared" si="8"/>
        <v>0.15280288050917146</v>
      </c>
      <c r="R102" s="8">
        <f t="shared" si="9"/>
        <v>5.7800000000000004E-2</v>
      </c>
      <c r="S102" s="296">
        <f t="shared" si="10"/>
        <v>9.5002880509171453E-2</v>
      </c>
      <c r="U102" s="297"/>
      <c r="V102" s="297"/>
      <c r="W102" s="297"/>
      <c r="X102" s="297"/>
      <c r="Y102" s="297"/>
      <c r="Z102" s="297"/>
      <c r="AA102" s="297"/>
      <c r="AB102" s="297"/>
      <c r="AC102" s="297"/>
      <c r="AE102" s="297"/>
      <c r="AF102" s="297"/>
      <c r="AG102" s="297"/>
      <c r="AH102" s="297"/>
      <c r="AI102" s="297"/>
      <c r="AJ102" s="297"/>
      <c r="AK102" s="297"/>
      <c r="AL102" s="297"/>
      <c r="AM102" s="297"/>
      <c r="AO102" s="297"/>
      <c r="AP102" s="297"/>
      <c r="AQ102" s="297"/>
      <c r="AR102" s="297"/>
      <c r="AS102" s="297"/>
      <c r="AT102" s="297"/>
      <c r="AU102" s="297"/>
      <c r="AV102" s="297"/>
      <c r="AW102" s="297"/>
    </row>
    <row r="103" spans="1:49" x14ac:dyDescent="0.45">
      <c r="A103" s="295">
        <v>12479</v>
      </c>
      <c r="B103" s="12">
        <v>0</v>
      </c>
      <c r="C103" s="5">
        <v>-1.1099999999999999E-2</v>
      </c>
      <c r="D103" s="5">
        <v>2.7000000000000001E-3</v>
      </c>
      <c r="E103" s="5">
        <v>3.4416666666666667E-3</v>
      </c>
      <c r="F103" s="5">
        <v>3.7916666666666667E-3</v>
      </c>
      <c r="G103" s="5">
        <v>3.6166666666666669E-3</v>
      </c>
      <c r="H103" s="5">
        <v>4.7166666666666668E-3</v>
      </c>
      <c r="I103" s="5">
        <f t="shared" si="11"/>
        <v>-2.7000000000000001E-3</v>
      </c>
      <c r="J103" s="5">
        <f t="shared" si="15"/>
        <v>-3.6166666666666669E-3</v>
      </c>
      <c r="K103" s="5">
        <f t="shared" si="16"/>
        <v>-1.5816666666666666E-2</v>
      </c>
      <c r="L103" s="8">
        <f t="shared" si="13"/>
        <v>0.91958707549987984</v>
      </c>
      <c r="M103" s="8">
        <f t="shared" si="14"/>
        <v>3.2399999999999998E-2</v>
      </c>
      <c r="N103" s="8">
        <f t="shared" si="6"/>
        <v>4.3400000000000001E-2</v>
      </c>
      <c r="O103" s="296">
        <f t="shared" si="12"/>
        <v>0.88718707549987985</v>
      </c>
      <c r="P103" s="8">
        <f t="shared" si="7"/>
        <v>0.87618707549987984</v>
      </c>
      <c r="Q103" s="8">
        <f t="shared" si="8"/>
        <v>0.278034493873901</v>
      </c>
      <c r="R103" s="8">
        <f t="shared" si="9"/>
        <v>5.6599999999999998E-2</v>
      </c>
      <c r="S103" s="296">
        <f t="shared" si="10"/>
        <v>0.22143449387390102</v>
      </c>
      <c r="U103" s="297"/>
      <c r="V103" s="297"/>
      <c r="W103" s="297"/>
      <c r="X103" s="297"/>
      <c r="Y103" s="297"/>
      <c r="Z103" s="297"/>
      <c r="AA103" s="297"/>
      <c r="AB103" s="297"/>
      <c r="AC103" s="297"/>
      <c r="AE103" s="297"/>
      <c r="AF103" s="297"/>
      <c r="AG103" s="297"/>
      <c r="AH103" s="297"/>
      <c r="AI103" s="297"/>
      <c r="AJ103" s="297"/>
      <c r="AK103" s="297"/>
      <c r="AL103" s="297"/>
      <c r="AM103" s="297"/>
      <c r="AO103" s="297"/>
      <c r="AP103" s="297"/>
      <c r="AQ103" s="297"/>
      <c r="AR103" s="297"/>
      <c r="AS103" s="297"/>
      <c r="AT103" s="297"/>
      <c r="AU103" s="297"/>
      <c r="AV103" s="297"/>
      <c r="AW103" s="297"/>
    </row>
    <row r="104" spans="1:49" x14ac:dyDescent="0.45">
      <c r="A104" s="295">
        <v>12510</v>
      </c>
      <c r="B104" s="12">
        <v>-2.5100000000000001E-2</v>
      </c>
      <c r="C104" s="5">
        <v>-3.5099999999999999E-2</v>
      </c>
      <c r="D104" s="5">
        <v>2.5000000000000001E-3</v>
      </c>
      <c r="E104" s="5">
        <v>3.3916666666666665E-3</v>
      </c>
      <c r="F104" s="5">
        <v>3.6916666666666664E-3</v>
      </c>
      <c r="G104" s="5">
        <v>3.5416666666666665E-3</v>
      </c>
      <c r="H104" s="5">
        <v>4.5333333333333337E-3</v>
      </c>
      <c r="I104" s="5">
        <f t="shared" si="11"/>
        <v>-2.76E-2</v>
      </c>
      <c r="J104" s="5">
        <f t="shared" si="15"/>
        <v>-2.8641666666666666E-2</v>
      </c>
      <c r="K104" s="5">
        <f t="shared" si="16"/>
        <v>-3.9633333333333333E-2</v>
      </c>
      <c r="L104" s="8">
        <f t="shared" si="13"/>
        <v>0.31271425358083071</v>
      </c>
      <c r="M104" s="8">
        <f t="shared" si="14"/>
        <v>0.03</v>
      </c>
      <c r="N104" s="8">
        <f t="shared" ref="N104:N167" si="17">G104*12</f>
        <v>4.2499999999999996E-2</v>
      </c>
      <c r="O104" s="296">
        <f t="shared" si="12"/>
        <v>0.28271425358083069</v>
      </c>
      <c r="P104" s="8">
        <f t="shared" ref="P104:P167" si="18">L104-N104</f>
        <v>0.27021425358083073</v>
      </c>
      <c r="Q104" s="8">
        <f t="shared" ref="Q104:Q167" si="19">((1+C93)*(1+C94)*(1+C95)*(1+C96)*(1+C97)*(1+C98)*(1+C99)*(1+C100)*(1+C101)*(1+C102)*(1+C103)*(1+C104))-1</f>
        <v>-2.4000409070892847E-2</v>
      </c>
      <c r="R104" s="8">
        <f t="shared" ref="R104:R167" si="20">H104*12</f>
        <v>5.4400000000000004E-2</v>
      </c>
      <c r="S104" s="296">
        <f t="shared" ref="S104:S167" si="21">Q104-R104</f>
        <v>-7.8400409070892851E-2</v>
      </c>
      <c r="U104" s="297"/>
      <c r="V104" s="297"/>
      <c r="W104" s="297"/>
      <c r="X104" s="297"/>
      <c r="Y104" s="297"/>
      <c r="Z104" s="297"/>
      <c r="AA104" s="297"/>
      <c r="AB104" s="297"/>
      <c r="AC104" s="297"/>
      <c r="AE104" s="297"/>
      <c r="AF104" s="297"/>
      <c r="AG104" s="297"/>
      <c r="AH104" s="297"/>
      <c r="AI104" s="297"/>
      <c r="AJ104" s="297"/>
      <c r="AK104" s="297"/>
      <c r="AL104" s="297"/>
      <c r="AM104" s="297"/>
      <c r="AO104" s="297"/>
      <c r="AP104" s="297"/>
      <c r="AQ104" s="297"/>
      <c r="AR104" s="297"/>
      <c r="AS104" s="297"/>
      <c r="AT104" s="297"/>
      <c r="AU104" s="297"/>
      <c r="AV104" s="297"/>
      <c r="AW104" s="297"/>
    </row>
    <row r="105" spans="1:49" x14ac:dyDescent="0.45">
      <c r="A105" s="295">
        <v>12540</v>
      </c>
      <c r="B105" s="12">
        <v>-7.3599999999999999E-2</v>
      </c>
      <c r="C105" s="5">
        <v>-7.6499999999999999E-2</v>
      </c>
      <c r="D105" s="5">
        <v>2.5000000000000001E-3</v>
      </c>
      <c r="E105" s="5">
        <v>3.3416666666666668E-3</v>
      </c>
      <c r="F105" s="5">
        <v>3.6416666666666667E-3</v>
      </c>
      <c r="G105" s="5">
        <v>3.4916666666666668E-3</v>
      </c>
      <c r="H105" s="5">
        <v>4.4916666666666664E-3</v>
      </c>
      <c r="I105" s="5">
        <f t="shared" si="11"/>
        <v>-7.6100000000000001E-2</v>
      </c>
      <c r="J105" s="5">
        <f t="shared" si="15"/>
        <v>-7.7091666666666669E-2</v>
      </c>
      <c r="K105" s="5">
        <f t="shared" si="16"/>
        <v>-8.099166666666667E-2</v>
      </c>
      <c r="L105" s="8">
        <f t="shared" si="13"/>
        <v>4.0912851594009814E-2</v>
      </c>
      <c r="M105" s="8">
        <f t="shared" si="14"/>
        <v>0.03</v>
      </c>
      <c r="N105" s="8">
        <f t="shared" si="17"/>
        <v>4.19E-2</v>
      </c>
      <c r="O105" s="296">
        <f t="shared" si="12"/>
        <v>1.0912851594009815E-2</v>
      </c>
      <c r="P105" s="8">
        <f t="shared" si="18"/>
        <v>-9.8714840599018611E-4</v>
      </c>
      <c r="Q105" s="8">
        <f t="shared" si="19"/>
        <v>-0.23172892752895469</v>
      </c>
      <c r="R105" s="8">
        <f t="shared" si="20"/>
        <v>5.3899999999999997E-2</v>
      </c>
      <c r="S105" s="296">
        <f t="shared" si="21"/>
        <v>-0.28562892752895469</v>
      </c>
      <c r="U105" s="297"/>
      <c r="V105" s="297"/>
      <c r="W105" s="297"/>
      <c r="X105" s="297"/>
      <c r="Y105" s="297"/>
      <c r="Z105" s="297"/>
      <c r="AA105" s="297"/>
      <c r="AB105" s="297"/>
      <c r="AC105" s="297"/>
      <c r="AE105" s="297"/>
      <c r="AF105" s="297"/>
      <c r="AG105" s="297"/>
      <c r="AH105" s="297"/>
      <c r="AI105" s="297"/>
      <c r="AJ105" s="297"/>
      <c r="AK105" s="297"/>
      <c r="AL105" s="297"/>
      <c r="AM105" s="297"/>
      <c r="AO105" s="297"/>
      <c r="AP105" s="297"/>
      <c r="AQ105" s="297"/>
      <c r="AR105" s="297"/>
      <c r="AS105" s="297"/>
      <c r="AT105" s="297"/>
      <c r="AU105" s="297"/>
      <c r="AV105" s="297"/>
      <c r="AW105" s="297"/>
    </row>
    <row r="106" spans="1:49" x14ac:dyDescent="0.45">
      <c r="A106" s="295">
        <v>12571</v>
      </c>
      <c r="B106" s="12">
        <v>2.29E-2</v>
      </c>
      <c r="C106" s="5">
        <v>4.7800000000000002E-2</v>
      </c>
      <c r="D106" s="5">
        <v>2.3999999999999998E-3</v>
      </c>
      <c r="E106" s="5">
        <v>3.2750000000000001E-3</v>
      </c>
      <c r="F106" s="5">
        <v>3.5833333333333333E-3</v>
      </c>
      <c r="G106" s="5">
        <v>3.4291666666666663E-3</v>
      </c>
      <c r="H106" s="5">
        <v>4.5000000000000005E-3</v>
      </c>
      <c r="I106" s="5">
        <f t="shared" si="11"/>
        <v>2.0500000000000001E-2</v>
      </c>
      <c r="J106" s="5">
        <f t="shared" si="15"/>
        <v>1.9470833333333333E-2</v>
      </c>
      <c r="K106" s="5">
        <f t="shared" si="16"/>
        <v>4.3300000000000005E-2</v>
      </c>
      <c r="L106" s="8">
        <f t="shared" si="13"/>
        <v>-6.0901608841495092E-2</v>
      </c>
      <c r="M106" s="8">
        <f t="shared" si="14"/>
        <v>2.8799999999999999E-2</v>
      </c>
      <c r="N106" s="8">
        <f t="shared" si="17"/>
        <v>4.1149999999999992E-2</v>
      </c>
      <c r="O106" s="296">
        <f t="shared" si="12"/>
        <v>-8.9701608841495084E-2</v>
      </c>
      <c r="P106" s="8">
        <f t="shared" si="18"/>
        <v>-0.10205160884149508</v>
      </c>
      <c r="Q106" s="8">
        <f t="shared" si="19"/>
        <v>-0.29547135503661714</v>
      </c>
      <c r="R106" s="8">
        <f t="shared" si="20"/>
        <v>5.4000000000000006E-2</v>
      </c>
      <c r="S106" s="296">
        <f t="shared" si="21"/>
        <v>-0.34947135503661714</v>
      </c>
      <c r="U106" s="297"/>
      <c r="V106" s="297"/>
      <c r="W106" s="297"/>
      <c r="X106" s="297"/>
      <c r="Y106" s="297"/>
      <c r="Z106" s="297"/>
      <c r="AA106" s="297"/>
      <c r="AB106" s="297"/>
      <c r="AC106" s="297"/>
      <c r="AE106" s="297"/>
      <c r="AF106" s="297"/>
      <c r="AG106" s="297"/>
      <c r="AH106" s="297"/>
      <c r="AI106" s="297"/>
      <c r="AJ106" s="297"/>
      <c r="AK106" s="297"/>
      <c r="AL106" s="297"/>
      <c r="AM106" s="297"/>
      <c r="AO106" s="297"/>
      <c r="AP106" s="297"/>
      <c r="AQ106" s="297"/>
      <c r="AR106" s="297"/>
      <c r="AS106" s="297"/>
      <c r="AT106" s="297"/>
      <c r="AU106" s="297"/>
      <c r="AV106" s="297"/>
      <c r="AW106" s="297"/>
    </row>
    <row r="107" spans="1:49" x14ac:dyDescent="0.45">
      <c r="A107" s="295">
        <v>12601</v>
      </c>
      <c r="B107" s="12">
        <v>-0.1132</v>
      </c>
      <c r="C107" s="5">
        <v>-0.1603</v>
      </c>
      <c r="D107" s="5">
        <v>2.3999999999999998E-3</v>
      </c>
      <c r="E107" s="5">
        <v>3.2416666666666666E-3</v>
      </c>
      <c r="F107" s="5">
        <v>3.5666666666666668E-3</v>
      </c>
      <c r="G107" s="5">
        <v>3.4041666666666669E-3</v>
      </c>
      <c r="H107" s="5">
        <v>4.4083333333333335E-3</v>
      </c>
      <c r="I107" s="5">
        <f t="shared" si="11"/>
        <v>-0.11559999999999999</v>
      </c>
      <c r="J107" s="5">
        <f t="shared" si="15"/>
        <v>-0.11660416666666666</v>
      </c>
      <c r="K107" s="5">
        <f t="shared" si="16"/>
        <v>-0.16470833333333335</v>
      </c>
      <c r="L107" s="8">
        <f t="shared" si="13"/>
        <v>-8.8649099059573078E-2</v>
      </c>
      <c r="M107" s="8">
        <f t="shared" si="14"/>
        <v>2.8799999999999999E-2</v>
      </c>
      <c r="N107" s="8">
        <f t="shared" si="17"/>
        <v>4.0850000000000004E-2</v>
      </c>
      <c r="O107" s="296">
        <f t="shared" si="12"/>
        <v>-0.11744909905957307</v>
      </c>
      <c r="P107" s="8">
        <f t="shared" si="18"/>
        <v>-0.12949909905957308</v>
      </c>
      <c r="Q107" s="8">
        <f t="shared" si="19"/>
        <v>-0.32742985086885779</v>
      </c>
      <c r="R107" s="8">
        <f t="shared" si="20"/>
        <v>5.2900000000000003E-2</v>
      </c>
      <c r="S107" s="296">
        <f t="shared" si="21"/>
        <v>-0.38032985086885779</v>
      </c>
      <c r="U107" s="297"/>
      <c r="V107" s="297"/>
      <c r="W107" s="297"/>
      <c r="X107" s="297"/>
      <c r="Y107" s="297"/>
      <c r="Z107" s="297"/>
      <c r="AA107" s="297"/>
      <c r="AB107" s="297"/>
      <c r="AC107" s="297"/>
      <c r="AE107" s="297"/>
      <c r="AF107" s="297"/>
      <c r="AG107" s="297"/>
      <c r="AH107" s="297"/>
      <c r="AI107" s="297"/>
      <c r="AJ107" s="297"/>
      <c r="AK107" s="297"/>
      <c r="AL107" s="297"/>
      <c r="AM107" s="297"/>
      <c r="AO107" s="297"/>
      <c r="AP107" s="297"/>
      <c r="AQ107" s="297"/>
      <c r="AR107" s="297"/>
      <c r="AS107" s="297"/>
      <c r="AT107" s="297"/>
      <c r="AU107" s="297"/>
      <c r="AV107" s="297"/>
      <c r="AW107" s="297"/>
    </row>
    <row r="108" spans="1:49" x14ac:dyDescent="0.45">
      <c r="A108" s="295">
        <v>12632</v>
      </c>
      <c r="B108" s="12">
        <v>6.1100000000000002E-2</v>
      </c>
      <c r="C108" s="5">
        <v>2.69E-2</v>
      </c>
      <c r="D108" s="5">
        <v>2.3999999999999998E-3</v>
      </c>
      <c r="E108" s="5">
        <v>3.2750000000000001E-3</v>
      </c>
      <c r="F108" s="5">
        <v>3.6166666666666665E-3</v>
      </c>
      <c r="G108" s="5">
        <v>3.4458333333333337E-3</v>
      </c>
      <c r="H108" s="5">
        <v>4.5249999999999995E-3</v>
      </c>
      <c r="I108" s="5">
        <f t="shared" si="11"/>
        <v>5.8700000000000002E-2</v>
      </c>
      <c r="J108" s="5">
        <f t="shared" si="15"/>
        <v>5.7654166666666666E-2</v>
      </c>
      <c r="K108" s="5">
        <f t="shared" si="16"/>
        <v>2.2374999999999999E-2</v>
      </c>
      <c r="L108" s="8">
        <f t="shared" si="13"/>
        <v>-0.1370386926754531</v>
      </c>
      <c r="M108" s="8">
        <f t="shared" si="14"/>
        <v>2.8799999999999999E-2</v>
      </c>
      <c r="N108" s="8">
        <f t="shared" si="17"/>
        <v>4.1350000000000005E-2</v>
      </c>
      <c r="O108" s="296">
        <f t="shared" si="12"/>
        <v>-0.16583869267545309</v>
      </c>
      <c r="P108" s="8">
        <f t="shared" si="18"/>
        <v>-0.1783886926754531</v>
      </c>
      <c r="Q108" s="8">
        <f t="shared" si="19"/>
        <v>-0.30544822391113235</v>
      </c>
      <c r="R108" s="8">
        <f t="shared" si="20"/>
        <v>5.4299999999999994E-2</v>
      </c>
      <c r="S108" s="296">
        <f t="shared" si="21"/>
        <v>-0.35974822391113237</v>
      </c>
      <c r="U108" s="297"/>
      <c r="V108" s="297"/>
      <c r="W108" s="297"/>
      <c r="X108" s="297"/>
      <c r="Y108" s="297"/>
      <c r="Z108" s="297"/>
      <c r="AA108" s="297"/>
      <c r="AB108" s="297"/>
      <c r="AC108" s="297"/>
      <c r="AE108" s="297"/>
      <c r="AF108" s="297"/>
      <c r="AG108" s="297"/>
      <c r="AH108" s="297"/>
      <c r="AI108" s="297"/>
      <c r="AJ108" s="297"/>
      <c r="AK108" s="297"/>
      <c r="AL108" s="297"/>
      <c r="AM108" s="297"/>
      <c r="AO108" s="297"/>
      <c r="AP108" s="297"/>
      <c r="AQ108" s="297"/>
      <c r="AR108" s="297"/>
      <c r="AS108" s="297"/>
      <c r="AT108" s="297"/>
      <c r="AU108" s="297"/>
      <c r="AV108" s="297"/>
      <c r="AW108" s="297"/>
    </row>
    <row r="109" spans="1:49" x14ac:dyDescent="0.45">
      <c r="A109" s="295">
        <v>12663</v>
      </c>
      <c r="B109" s="12">
        <v>-3.3E-3</v>
      </c>
      <c r="C109" s="5">
        <v>9.4999999999999998E-3</v>
      </c>
      <c r="D109" s="5">
        <v>2.3E-3</v>
      </c>
      <c r="E109" s="5">
        <v>3.3E-3</v>
      </c>
      <c r="F109" s="5">
        <v>3.6833333333333336E-3</v>
      </c>
      <c r="G109" s="5">
        <v>3.4916666666666668E-3</v>
      </c>
      <c r="H109" s="5">
        <v>4.6333333333333339E-3</v>
      </c>
      <c r="I109" s="5">
        <f t="shared" si="11"/>
        <v>-5.5999999999999999E-3</v>
      </c>
      <c r="J109" s="5">
        <f t="shared" si="15"/>
        <v>-6.7916666666666663E-3</v>
      </c>
      <c r="K109" s="5">
        <f t="shared" si="16"/>
        <v>4.8666666666666658E-3</v>
      </c>
      <c r="L109" s="8">
        <f t="shared" si="13"/>
        <v>-3.1621779992822008E-2</v>
      </c>
      <c r="M109" s="8">
        <f t="shared" si="14"/>
        <v>2.76E-2</v>
      </c>
      <c r="N109" s="8">
        <f t="shared" si="17"/>
        <v>4.19E-2</v>
      </c>
      <c r="O109" s="296">
        <f t="shared" si="12"/>
        <v>-5.9221779992822007E-2</v>
      </c>
      <c r="P109" s="8">
        <f t="shared" si="18"/>
        <v>-7.3521779992822001E-2</v>
      </c>
      <c r="Q109" s="8">
        <f t="shared" si="19"/>
        <v>-0.14919303729922118</v>
      </c>
      <c r="R109" s="8">
        <f t="shared" si="20"/>
        <v>5.5600000000000011E-2</v>
      </c>
      <c r="S109" s="296">
        <f t="shared" si="21"/>
        <v>-0.20479303729922119</v>
      </c>
      <c r="U109" s="297"/>
      <c r="V109" s="297"/>
      <c r="W109" s="297"/>
      <c r="X109" s="297"/>
      <c r="Y109" s="297"/>
      <c r="Z109" s="297"/>
      <c r="AA109" s="297"/>
      <c r="AB109" s="297"/>
      <c r="AC109" s="297"/>
      <c r="AE109" s="297"/>
      <c r="AF109" s="297"/>
      <c r="AG109" s="297"/>
      <c r="AH109" s="297"/>
      <c r="AI109" s="297"/>
      <c r="AJ109" s="297"/>
      <c r="AK109" s="297"/>
      <c r="AL109" s="297"/>
      <c r="AM109" s="297"/>
      <c r="AO109" s="297"/>
      <c r="AP109" s="297"/>
      <c r="AQ109" s="297"/>
      <c r="AR109" s="297"/>
      <c r="AS109" s="297"/>
      <c r="AT109" s="297"/>
      <c r="AU109" s="297"/>
      <c r="AV109" s="297"/>
      <c r="AW109" s="297"/>
    </row>
    <row r="110" spans="1:49" x14ac:dyDescent="0.45">
      <c r="A110" s="295">
        <v>12693</v>
      </c>
      <c r="B110" s="12">
        <v>-2.86E-2</v>
      </c>
      <c r="C110" s="5">
        <v>-6.6599999999999993E-2</v>
      </c>
      <c r="D110" s="5">
        <v>2.7000000000000001E-3</v>
      </c>
      <c r="E110" s="5">
        <v>3.2500000000000003E-3</v>
      </c>
      <c r="F110" s="5">
        <v>3.6333333333333335E-3</v>
      </c>
      <c r="G110" s="5">
        <v>3.4416666666666667E-3</v>
      </c>
      <c r="H110" s="5">
        <v>4.5000000000000005E-3</v>
      </c>
      <c r="I110" s="5">
        <f t="shared" si="11"/>
        <v>-3.1300000000000001E-2</v>
      </c>
      <c r="J110" s="5">
        <f t="shared" si="15"/>
        <v>-3.204166666666667E-2</v>
      </c>
      <c r="K110" s="5">
        <f t="shared" si="16"/>
        <v>-7.1099999999999997E-2</v>
      </c>
      <c r="L110" s="8">
        <f t="shared" si="13"/>
        <v>2.8630511662080638E-2</v>
      </c>
      <c r="M110" s="8">
        <f t="shared" si="14"/>
        <v>3.2399999999999998E-2</v>
      </c>
      <c r="N110" s="8">
        <f t="shared" si="17"/>
        <v>4.1300000000000003E-2</v>
      </c>
      <c r="O110" s="296">
        <f t="shared" si="12"/>
        <v>-3.7694883379193606E-3</v>
      </c>
      <c r="P110" s="8">
        <f t="shared" si="18"/>
        <v>-1.2669488337919366E-2</v>
      </c>
      <c r="Q110" s="8">
        <f t="shared" si="19"/>
        <v>-0.1449793077251218</v>
      </c>
      <c r="R110" s="8">
        <f t="shared" si="20"/>
        <v>5.4000000000000006E-2</v>
      </c>
      <c r="S110" s="296">
        <f t="shared" si="21"/>
        <v>-0.19897930772512179</v>
      </c>
      <c r="U110" s="297"/>
      <c r="V110" s="297"/>
      <c r="W110" s="297"/>
      <c r="X110" s="297"/>
      <c r="Y110" s="297"/>
      <c r="Z110" s="297"/>
      <c r="AA110" s="297"/>
      <c r="AB110" s="297"/>
      <c r="AC110" s="297"/>
      <c r="AE110" s="297"/>
      <c r="AF110" s="297"/>
      <c r="AG110" s="297"/>
      <c r="AH110" s="297"/>
      <c r="AI110" s="297"/>
      <c r="AJ110" s="297"/>
      <c r="AK110" s="297"/>
      <c r="AL110" s="297"/>
      <c r="AM110" s="297"/>
      <c r="AO110" s="297"/>
      <c r="AP110" s="297"/>
      <c r="AQ110" s="297"/>
      <c r="AR110" s="297"/>
      <c r="AS110" s="297"/>
      <c r="AT110" s="297"/>
      <c r="AU110" s="297"/>
      <c r="AV110" s="297"/>
      <c r="AW110" s="297"/>
    </row>
    <row r="111" spans="1:49" x14ac:dyDescent="0.45">
      <c r="A111" s="295">
        <v>12724</v>
      </c>
      <c r="B111" s="12">
        <v>9.4200000000000006E-2</v>
      </c>
      <c r="C111" s="5">
        <v>-4.8000000000000004E-3</v>
      </c>
      <c r="D111" s="5">
        <v>2.5000000000000001E-3</v>
      </c>
      <c r="E111" s="5">
        <v>3.2166666666666667E-3</v>
      </c>
      <c r="F111" s="5">
        <v>3.5666666666666668E-3</v>
      </c>
      <c r="G111" s="5">
        <v>3.3916666666666665E-3</v>
      </c>
      <c r="H111" s="5">
        <v>4.4833333333333331E-3</v>
      </c>
      <c r="I111" s="5">
        <f t="shared" si="11"/>
        <v>9.1700000000000004E-2</v>
      </c>
      <c r="J111" s="5">
        <f t="shared" si="15"/>
        <v>9.0808333333333338E-2</v>
      </c>
      <c r="K111" s="5">
        <f t="shared" si="16"/>
        <v>-9.2833333333333344E-3</v>
      </c>
      <c r="L111" s="8">
        <f t="shared" si="13"/>
        <v>1.1528269848700035E-2</v>
      </c>
      <c r="M111" s="8">
        <f t="shared" si="14"/>
        <v>0.03</v>
      </c>
      <c r="N111" s="8">
        <f t="shared" si="17"/>
        <v>4.07E-2</v>
      </c>
      <c r="O111" s="296">
        <f t="shared" si="12"/>
        <v>-1.8471730151299964E-2</v>
      </c>
      <c r="P111" s="8">
        <f t="shared" si="18"/>
        <v>-2.9171730151299965E-2</v>
      </c>
      <c r="Q111" s="8">
        <f t="shared" si="19"/>
        <v>-0.13348615789006235</v>
      </c>
      <c r="R111" s="8">
        <f t="shared" si="20"/>
        <v>5.3800000000000001E-2</v>
      </c>
      <c r="S111" s="296">
        <f t="shared" si="21"/>
        <v>-0.18728615789006237</v>
      </c>
      <c r="U111" s="297"/>
      <c r="V111" s="297"/>
      <c r="W111" s="297"/>
      <c r="X111" s="297"/>
      <c r="Y111" s="297"/>
      <c r="Z111" s="297"/>
      <c r="AA111" s="297"/>
      <c r="AB111" s="297"/>
      <c r="AC111" s="297"/>
      <c r="AE111" s="297"/>
      <c r="AF111" s="297"/>
      <c r="AG111" s="297"/>
      <c r="AH111" s="297"/>
      <c r="AI111" s="297"/>
      <c r="AJ111" s="297"/>
      <c r="AK111" s="297"/>
      <c r="AL111" s="297"/>
      <c r="AM111" s="297"/>
      <c r="AO111" s="297"/>
      <c r="AP111" s="297"/>
      <c r="AQ111" s="297"/>
      <c r="AR111" s="297"/>
      <c r="AS111" s="297"/>
      <c r="AT111" s="297"/>
      <c r="AU111" s="297"/>
      <c r="AV111" s="297"/>
      <c r="AW111" s="297"/>
    </row>
    <row r="112" spans="1:49" x14ac:dyDescent="0.45">
      <c r="A112" s="295">
        <v>12754</v>
      </c>
      <c r="B112" s="12">
        <v>-1E-3</v>
      </c>
      <c r="C112" s="5">
        <v>-7.010000000000001E-2</v>
      </c>
      <c r="D112" s="5">
        <v>2.5000000000000001E-3</v>
      </c>
      <c r="E112" s="5">
        <v>3.1749999999999999E-3</v>
      </c>
      <c r="F112" s="5">
        <v>3.5583333333333326E-3</v>
      </c>
      <c r="G112" s="5">
        <v>3.3666666666666667E-3</v>
      </c>
      <c r="H112" s="5">
        <v>4.4666666666666674E-3</v>
      </c>
      <c r="I112" s="5">
        <f t="shared" si="11"/>
        <v>-3.5000000000000001E-3</v>
      </c>
      <c r="J112" s="5">
        <f t="shared" si="15"/>
        <v>-4.3666666666666663E-3</v>
      </c>
      <c r="K112" s="5">
        <f t="shared" si="16"/>
        <v>-7.456666666666667E-2</v>
      </c>
      <c r="L112" s="8">
        <f t="shared" si="13"/>
        <v>-1.4418471102261021E-2</v>
      </c>
      <c r="M112" s="8">
        <f t="shared" si="14"/>
        <v>0.03</v>
      </c>
      <c r="N112" s="8">
        <f t="shared" si="17"/>
        <v>4.0399999999999998E-2</v>
      </c>
      <c r="O112" s="296">
        <f t="shared" si="12"/>
        <v>-4.441847110226102E-2</v>
      </c>
      <c r="P112" s="8">
        <f t="shared" si="18"/>
        <v>-5.481847110226102E-2</v>
      </c>
      <c r="Q112" s="8">
        <f t="shared" si="19"/>
        <v>-0.20425516316607606</v>
      </c>
      <c r="R112" s="8">
        <f t="shared" si="20"/>
        <v>5.3600000000000009E-2</v>
      </c>
      <c r="S112" s="296">
        <f t="shared" si="21"/>
        <v>-0.25785516316607604</v>
      </c>
      <c r="U112" s="297"/>
      <c r="V112" s="297"/>
      <c r="W112" s="297"/>
      <c r="X112" s="297"/>
      <c r="Y112" s="297"/>
      <c r="Z112" s="297"/>
      <c r="AA112" s="297"/>
      <c r="AB112" s="297"/>
      <c r="AC112" s="297"/>
      <c r="AE112" s="297"/>
      <c r="AF112" s="297"/>
      <c r="AG112" s="297"/>
      <c r="AH112" s="297"/>
      <c r="AI112" s="297"/>
      <c r="AJ112" s="297"/>
      <c r="AK112" s="297"/>
      <c r="AL112" s="297"/>
      <c r="AM112" s="297"/>
      <c r="AO112" s="297"/>
      <c r="AP112" s="297"/>
      <c r="AQ112" s="297"/>
      <c r="AR112" s="297"/>
      <c r="AS112" s="297"/>
      <c r="AT112" s="297"/>
      <c r="AU112" s="297"/>
      <c r="AV112" s="297"/>
      <c r="AW112" s="297"/>
    </row>
    <row r="113" spans="1:49" x14ac:dyDescent="0.45">
      <c r="A113" s="295">
        <v>12785</v>
      </c>
      <c r="B113" s="12">
        <v>-4.1099999999999998E-2</v>
      </c>
      <c r="C113" s="5">
        <v>-2.3099999999999999E-2</v>
      </c>
      <c r="D113" s="5">
        <v>2.5000000000000001E-3</v>
      </c>
      <c r="E113" s="5">
        <v>3.1416666666666663E-3</v>
      </c>
      <c r="F113" s="5">
        <v>3.5083333333333334E-3</v>
      </c>
      <c r="G113" s="5">
        <v>3.3250000000000003E-3</v>
      </c>
      <c r="H113" s="5">
        <v>4.3166666666666666E-3</v>
      </c>
      <c r="I113" s="5">
        <f t="shared" si="11"/>
        <v>-4.36E-2</v>
      </c>
      <c r="J113" s="5">
        <f t="shared" si="15"/>
        <v>-4.4424999999999999E-2</v>
      </c>
      <c r="K113" s="5">
        <f t="shared" si="16"/>
        <v>-2.7416666666666666E-2</v>
      </c>
      <c r="L113" s="8">
        <f t="shared" si="13"/>
        <v>-0.14619737278883216</v>
      </c>
      <c r="M113" s="8">
        <f t="shared" si="14"/>
        <v>0.03</v>
      </c>
      <c r="N113" s="8">
        <f t="shared" si="17"/>
        <v>3.9900000000000005E-2</v>
      </c>
      <c r="O113" s="296">
        <f t="shared" si="12"/>
        <v>-0.17619737278883216</v>
      </c>
      <c r="P113" s="8">
        <f t="shared" si="18"/>
        <v>-0.18609737278883215</v>
      </c>
      <c r="Q113" s="8">
        <f t="shared" si="19"/>
        <v>-0.33818905916647357</v>
      </c>
      <c r="R113" s="8">
        <f t="shared" si="20"/>
        <v>5.1799999999999999E-2</v>
      </c>
      <c r="S113" s="296">
        <f t="shared" si="21"/>
        <v>-0.38998905916647358</v>
      </c>
      <c r="U113" s="297"/>
      <c r="V113" s="297"/>
      <c r="W113" s="297"/>
      <c r="X113" s="297"/>
      <c r="Y113" s="297"/>
      <c r="Z113" s="297"/>
      <c r="AA113" s="297"/>
      <c r="AB113" s="297"/>
      <c r="AC113" s="297"/>
      <c r="AE113" s="297"/>
      <c r="AF113" s="297"/>
      <c r="AG113" s="297"/>
      <c r="AH113" s="297"/>
      <c r="AI113" s="297"/>
      <c r="AJ113" s="297"/>
      <c r="AK113" s="297"/>
      <c r="AL113" s="297"/>
      <c r="AM113" s="297"/>
      <c r="AO113" s="297"/>
      <c r="AP113" s="297"/>
      <c r="AQ113" s="297"/>
      <c r="AR113" s="297"/>
      <c r="AS113" s="297"/>
      <c r="AT113" s="297"/>
      <c r="AU113" s="297"/>
      <c r="AV113" s="297"/>
      <c r="AW113" s="297"/>
    </row>
    <row r="114" spans="1:49" x14ac:dyDescent="0.45">
      <c r="A114" s="295">
        <v>12816</v>
      </c>
      <c r="B114" s="12">
        <v>-3.4099999999999998E-2</v>
      </c>
      <c r="C114" s="5">
        <v>-0.11360000000000001</v>
      </c>
      <c r="D114" s="5">
        <v>2.0999999999999999E-3</v>
      </c>
      <c r="E114" s="5">
        <v>3.075E-3</v>
      </c>
      <c r="F114" s="5">
        <v>3.4416666666666667E-3</v>
      </c>
      <c r="G114" s="5">
        <v>3.2583333333333331E-3</v>
      </c>
      <c r="H114" s="5">
        <v>4.1333333333333335E-3</v>
      </c>
      <c r="I114" s="5">
        <f t="shared" si="11"/>
        <v>-3.6199999999999996E-2</v>
      </c>
      <c r="J114" s="5">
        <f t="shared" si="15"/>
        <v>-3.7358333333333334E-2</v>
      </c>
      <c r="K114" s="5">
        <f t="shared" si="16"/>
        <v>-0.11773333333333334</v>
      </c>
      <c r="L114" s="8">
        <f t="shared" si="13"/>
        <v>-0.14787357137500834</v>
      </c>
      <c r="M114" s="8">
        <f t="shared" si="14"/>
        <v>2.52E-2</v>
      </c>
      <c r="N114" s="8">
        <f t="shared" si="17"/>
        <v>3.9099999999999996E-2</v>
      </c>
      <c r="O114" s="296">
        <f t="shared" si="12"/>
        <v>-0.17307357137500834</v>
      </c>
      <c r="P114" s="8">
        <f t="shared" si="18"/>
        <v>-0.18697357137500834</v>
      </c>
      <c r="Q114" s="8">
        <f t="shared" si="19"/>
        <v>-0.39882228125144725</v>
      </c>
      <c r="R114" s="8">
        <f t="shared" si="20"/>
        <v>4.9600000000000005E-2</v>
      </c>
      <c r="S114" s="296">
        <f t="shared" si="21"/>
        <v>-0.44842228125144723</v>
      </c>
      <c r="U114" s="297"/>
      <c r="V114" s="297"/>
      <c r="W114" s="297"/>
      <c r="X114" s="297"/>
      <c r="Y114" s="297"/>
      <c r="Z114" s="297"/>
      <c r="AA114" s="297"/>
      <c r="AB114" s="297"/>
      <c r="AC114" s="297"/>
      <c r="AE114" s="297"/>
      <c r="AF114" s="297"/>
      <c r="AG114" s="297"/>
      <c r="AH114" s="297"/>
      <c r="AI114" s="297"/>
      <c r="AJ114" s="297"/>
      <c r="AK114" s="297"/>
      <c r="AL114" s="297"/>
      <c r="AM114" s="297"/>
      <c r="AO114" s="297"/>
      <c r="AP114" s="297"/>
      <c r="AQ114" s="297"/>
      <c r="AR114" s="297"/>
      <c r="AS114" s="297"/>
      <c r="AT114" s="297"/>
      <c r="AU114" s="297"/>
      <c r="AV114" s="297"/>
      <c r="AW114" s="297"/>
    </row>
    <row r="115" spans="1:49" x14ac:dyDescent="0.45">
      <c r="A115" s="295">
        <v>12844</v>
      </c>
      <c r="B115" s="12">
        <v>-2.86E-2</v>
      </c>
      <c r="C115" s="5">
        <v>0.1043</v>
      </c>
      <c r="D115" s="5">
        <v>2.2000000000000001E-3</v>
      </c>
      <c r="E115" s="5">
        <v>3.0583333333333335E-3</v>
      </c>
      <c r="F115" s="5">
        <v>3.4250000000000001E-3</v>
      </c>
      <c r="G115" s="5">
        <v>3.241666666666667E-3</v>
      </c>
      <c r="H115" s="5">
        <v>4.0666666666666663E-3</v>
      </c>
      <c r="I115" s="5">
        <f t="shared" si="11"/>
        <v>-3.0800000000000001E-2</v>
      </c>
      <c r="J115" s="5">
        <f t="shared" si="15"/>
        <v>-3.1841666666666671E-2</v>
      </c>
      <c r="K115" s="5">
        <f t="shared" si="16"/>
        <v>0.10023333333333334</v>
      </c>
      <c r="L115" s="8">
        <f t="shared" si="13"/>
        <v>-0.17224438723368307</v>
      </c>
      <c r="M115" s="8">
        <f t="shared" si="14"/>
        <v>2.64E-2</v>
      </c>
      <c r="N115" s="8">
        <f t="shared" si="17"/>
        <v>3.8900000000000004E-2</v>
      </c>
      <c r="O115" s="296">
        <f t="shared" si="12"/>
        <v>-0.19864438723368308</v>
      </c>
      <c r="P115" s="8">
        <f t="shared" si="18"/>
        <v>-0.21114438723368306</v>
      </c>
      <c r="Q115" s="8">
        <f t="shared" si="19"/>
        <v>-0.32866765616945426</v>
      </c>
      <c r="R115" s="8">
        <f t="shared" si="20"/>
        <v>4.8799999999999996E-2</v>
      </c>
      <c r="S115" s="296">
        <f t="shared" si="21"/>
        <v>-0.37746765616945427</v>
      </c>
      <c r="U115" s="297"/>
      <c r="V115" s="297"/>
      <c r="W115" s="297"/>
      <c r="X115" s="297"/>
      <c r="Y115" s="297"/>
      <c r="Z115" s="297"/>
      <c r="AA115" s="297"/>
      <c r="AB115" s="297"/>
      <c r="AC115" s="297"/>
      <c r="AE115" s="297"/>
      <c r="AF115" s="297"/>
      <c r="AG115" s="297"/>
      <c r="AH115" s="297"/>
      <c r="AI115" s="297"/>
      <c r="AJ115" s="297"/>
      <c r="AK115" s="297"/>
      <c r="AL115" s="297"/>
      <c r="AM115" s="297"/>
      <c r="AO115" s="297"/>
      <c r="AP115" s="297"/>
      <c r="AQ115" s="297"/>
      <c r="AR115" s="297"/>
      <c r="AS115" s="297"/>
      <c r="AT115" s="297"/>
      <c r="AU115" s="297"/>
      <c r="AV115" s="297"/>
      <c r="AW115" s="297"/>
    </row>
    <row r="116" spans="1:49" x14ac:dyDescent="0.45">
      <c r="A116" s="295">
        <v>12875</v>
      </c>
      <c r="B116" s="12">
        <v>9.8000000000000004E-2</v>
      </c>
      <c r="C116" s="5">
        <v>0.11779999999999999</v>
      </c>
      <c r="D116" s="5">
        <v>2.3E-3</v>
      </c>
      <c r="E116" s="5">
        <v>3.0499999999999998E-3</v>
      </c>
      <c r="F116" s="5">
        <v>3.4000000000000002E-3</v>
      </c>
      <c r="G116" s="5">
        <v>3.225E-3</v>
      </c>
      <c r="H116" s="5">
        <v>3.9916666666666668E-3</v>
      </c>
      <c r="I116" s="5">
        <f t="shared" si="11"/>
        <v>9.5700000000000007E-2</v>
      </c>
      <c r="J116" s="5">
        <f t="shared" si="15"/>
        <v>9.4774999999999998E-2</v>
      </c>
      <c r="K116" s="5">
        <f t="shared" si="16"/>
        <v>0.11380833333333332</v>
      </c>
      <c r="L116" s="8">
        <f t="shared" si="13"/>
        <v>-6.7724214978545416E-2</v>
      </c>
      <c r="M116" s="8">
        <f t="shared" si="14"/>
        <v>2.76E-2</v>
      </c>
      <c r="N116" s="8">
        <f t="shared" si="17"/>
        <v>3.8699999999999998E-2</v>
      </c>
      <c r="O116" s="296">
        <f t="shared" si="12"/>
        <v>-9.5324214978545416E-2</v>
      </c>
      <c r="P116" s="8">
        <f t="shared" si="18"/>
        <v>-0.10642421497854541</v>
      </c>
      <c r="Q116" s="8">
        <f t="shared" si="19"/>
        <v>-0.22228697903017502</v>
      </c>
      <c r="R116" s="8">
        <f t="shared" si="20"/>
        <v>4.7899999999999998E-2</v>
      </c>
      <c r="S116" s="296">
        <f t="shared" si="21"/>
        <v>-0.27018697903017502</v>
      </c>
      <c r="U116" s="297"/>
      <c r="V116" s="297"/>
      <c r="W116" s="297"/>
      <c r="X116" s="297"/>
      <c r="Y116" s="297"/>
      <c r="Z116" s="297"/>
      <c r="AA116" s="297"/>
      <c r="AB116" s="297"/>
      <c r="AC116" s="297"/>
      <c r="AE116" s="297"/>
      <c r="AF116" s="297"/>
      <c r="AG116" s="297"/>
      <c r="AH116" s="297"/>
      <c r="AI116" s="297"/>
      <c r="AJ116" s="297"/>
      <c r="AK116" s="297"/>
      <c r="AL116" s="297"/>
      <c r="AM116" s="297"/>
      <c r="AO116" s="297"/>
      <c r="AP116" s="297"/>
      <c r="AQ116" s="297"/>
      <c r="AR116" s="297"/>
      <c r="AS116" s="297"/>
      <c r="AT116" s="297"/>
      <c r="AU116" s="297"/>
      <c r="AV116" s="297"/>
      <c r="AW116" s="297"/>
    </row>
    <row r="117" spans="1:49" x14ac:dyDescent="0.45">
      <c r="A117" s="295">
        <v>12905</v>
      </c>
      <c r="B117" s="12">
        <v>4.0899999999999999E-2</v>
      </c>
      <c r="C117" s="5">
        <v>0.1106</v>
      </c>
      <c r="D117" s="5">
        <v>2.3E-3</v>
      </c>
      <c r="E117" s="5">
        <v>3.0416666666666665E-3</v>
      </c>
      <c r="F117" s="5">
        <v>3.3583333333333338E-3</v>
      </c>
      <c r="G117" s="5">
        <v>3.2000000000000002E-3</v>
      </c>
      <c r="H117" s="5">
        <v>3.8416666666666673E-3</v>
      </c>
      <c r="I117" s="5">
        <f t="shared" si="11"/>
        <v>3.8599999999999995E-2</v>
      </c>
      <c r="J117" s="5">
        <f t="shared" si="15"/>
        <v>3.7699999999999997E-2</v>
      </c>
      <c r="K117" s="5">
        <f t="shared" si="16"/>
        <v>0.10675833333333333</v>
      </c>
      <c r="L117" s="8">
        <f t="shared" si="13"/>
        <v>4.7502012768601221E-2</v>
      </c>
      <c r="M117" s="8">
        <f t="shared" si="14"/>
        <v>2.76E-2</v>
      </c>
      <c r="N117" s="8">
        <f t="shared" si="17"/>
        <v>3.8400000000000004E-2</v>
      </c>
      <c r="O117" s="296">
        <f t="shared" si="12"/>
        <v>1.9902012768601221E-2</v>
      </c>
      <c r="P117" s="8">
        <f t="shared" si="18"/>
        <v>9.102012768601217E-3</v>
      </c>
      <c r="Q117" s="8">
        <f t="shared" si="19"/>
        <v>-6.4723247331794576E-2</v>
      </c>
      <c r="R117" s="8">
        <f t="shared" si="20"/>
        <v>4.6100000000000009E-2</v>
      </c>
      <c r="S117" s="296">
        <f t="shared" si="21"/>
        <v>-0.11082324733179458</v>
      </c>
      <c r="U117" s="297"/>
      <c r="V117" s="297"/>
      <c r="W117" s="297"/>
      <c r="X117" s="297"/>
      <c r="Y117" s="297"/>
      <c r="Z117" s="297"/>
      <c r="AA117" s="297"/>
      <c r="AB117" s="297"/>
      <c r="AC117" s="297"/>
      <c r="AE117" s="297"/>
      <c r="AF117" s="297"/>
      <c r="AG117" s="297"/>
      <c r="AH117" s="297"/>
      <c r="AI117" s="297"/>
      <c r="AJ117" s="297"/>
      <c r="AK117" s="297"/>
      <c r="AL117" s="297"/>
      <c r="AM117" s="297"/>
      <c r="AO117" s="297"/>
      <c r="AP117" s="297"/>
      <c r="AQ117" s="297"/>
      <c r="AR117" s="297"/>
      <c r="AS117" s="297"/>
      <c r="AT117" s="297"/>
      <c r="AU117" s="297"/>
      <c r="AV117" s="297"/>
      <c r="AW117" s="297"/>
    </row>
    <row r="118" spans="1:49" x14ac:dyDescent="0.45">
      <c r="A118" s="295">
        <v>12936</v>
      </c>
      <c r="B118" s="12">
        <v>6.9900000000000004E-2</v>
      </c>
      <c r="C118" s="5">
        <v>0.1036</v>
      </c>
      <c r="D118" s="5">
        <v>2.2000000000000001E-3</v>
      </c>
      <c r="E118" s="5">
        <v>3.0083333333333333E-3</v>
      </c>
      <c r="F118" s="5">
        <v>3.3250000000000003E-3</v>
      </c>
      <c r="G118" s="5">
        <v>3.1666666666666666E-3</v>
      </c>
      <c r="H118" s="5">
        <v>3.7750000000000001E-3</v>
      </c>
      <c r="I118" s="5">
        <f t="shared" si="11"/>
        <v>6.770000000000001E-2</v>
      </c>
      <c r="J118" s="5">
        <f t="shared" si="15"/>
        <v>6.6733333333333339E-2</v>
      </c>
      <c r="K118" s="5">
        <f t="shared" si="16"/>
        <v>9.9824999999999997E-2</v>
      </c>
      <c r="L118" s="8">
        <f t="shared" si="13"/>
        <v>9.563242101977365E-2</v>
      </c>
      <c r="M118" s="8">
        <f t="shared" si="14"/>
        <v>2.64E-2</v>
      </c>
      <c r="N118" s="8">
        <f t="shared" si="17"/>
        <v>3.7999999999999999E-2</v>
      </c>
      <c r="O118" s="296">
        <f t="shared" si="12"/>
        <v>6.9232421019773643E-2</v>
      </c>
      <c r="P118" s="8">
        <f t="shared" si="18"/>
        <v>5.7632421019773651E-2</v>
      </c>
      <c r="Q118" s="8">
        <f t="shared" si="19"/>
        <v>-1.4915609615736458E-2</v>
      </c>
      <c r="R118" s="8">
        <f t="shared" si="20"/>
        <v>4.53E-2</v>
      </c>
      <c r="S118" s="296">
        <f t="shared" si="21"/>
        <v>-6.0215609615736458E-2</v>
      </c>
      <c r="U118" s="297"/>
      <c r="V118" s="297"/>
      <c r="W118" s="297"/>
      <c r="X118" s="297"/>
      <c r="Y118" s="297"/>
      <c r="Z118" s="297"/>
      <c r="AA118" s="297"/>
      <c r="AB118" s="297"/>
      <c r="AC118" s="297"/>
      <c r="AE118" s="297"/>
      <c r="AF118" s="297"/>
      <c r="AG118" s="297"/>
      <c r="AH118" s="297"/>
      <c r="AI118" s="297"/>
      <c r="AJ118" s="297"/>
      <c r="AK118" s="297"/>
      <c r="AL118" s="297"/>
      <c r="AM118" s="297"/>
      <c r="AO118" s="297"/>
      <c r="AP118" s="297"/>
      <c r="AQ118" s="297"/>
      <c r="AR118" s="297"/>
      <c r="AS118" s="297"/>
      <c r="AT118" s="297"/>
      <c r="AU118" s="297"/>
      <c r="AV118" s="297"/>
      <c r="AW118" s="297"/>
    </row>
    <row r="119" spans="1:49" x14ac:dyDescent="0.45">
      <c r="A119" s="295">
        <v>12966</v>
      </c>
      <c r="B119" s="12">
        <v>8.5000000000000006E-2</v>
      </c>
      <c r="C119" s="5">
        <v>8.6999999999999994E-2</v>
      </c>
      <c r="D119" s="5">
        <v>2.3999999999999998E-3</v>
      </c>
      <c r="E119" s="5">
        <v>2.9666666666666669E-3</v>
      </c>
      <c r="F119" s="5">
        <v>3.2416666666666666E-3</v>
      </c>
      <c r="G119" s="5">
        <v>3.1041666666666665E-3</v>
      </c>
      <c r="H119" s="5">
        <v>3.6833333333333336E-3</v>
      </c>
      <c r="I119" s="5">
        <f t="shared" si="11"/>
        <v>8.2600000000000007E-2</v>
      </c>
      <c r="J119" s="5">
        <f t="shared" si="15"/>
        <v>8.1895833333333334E-2</v>
      </c>
      <c r="K119" s="5">
        <f t="shared" si="16"/>
        <v>8.3316666666666664E-2</v>
      </c>
      <c r="L119" s="8">
        <f t="shared" si="13"/>
        <v>0.34050651421566802</v>
      </c>
      <c r="M119" s="8">
        <f t="shared" si="14"/>
        <v>2.8799999999999999E-2</v>
      </c>
      <c r="N119" s="8">
        <f t="shared" si="17"/>
        <v>3.7249999999999998E-2</v>
      </c>
      <c r="O119" s="296">
        <f t="shared" si="12"/>
        <v>0.31170651421566803</v>
      </c>
      <c r="P119" s="8">
        <f t="shared" si="18"/>
        <v>0.30325651421566802</v>
      </c>
      <c r="Q119" s="8">
        <f t="shared" si="19"/>
        <v>0.27520153905882383</v>
      </c>
      <c r="R119" s="8">
        <f t="shared" si="20"/>
        <v>4.4200000000000003E-2</v>
      </c>
      <c r="S119" s="296">
        <f t="shared" si="21"/>
        <v>0.23100153905882381</v>
      </c>
      <c r="U119" s="297"/>
      <c r="V119" s="297"/>
      <c r="W119" s="297"/>
      <c r="X119" s="297"/>
      <c r="Y119" s="297"/>
      <c r="Z119" s="297"/>
      <c r="AA119" s="297"/>
      <c r="AB119" s="297"/>
      <c r="AC119" s="297"/>
      <c r="AE119" s="297"/>
      <c r="AF119" s="297"/>
      <c r="AG119" s="297"/>
      <c r="AH119" s="297"/>
      <c r="AI119" s="297"/>
      <c r="AJ119" s="297"/>
      <c r="AK119" s="297"/>
      <c r="AL119" s="297"/>
      <c r="AM119" s="297"/>
      <c r="AO119" s="297"/>
      <c r="AP119" s="297"/>
      <c r="AQ119" s="297"/>
      <c r="AR119" s="297"/>
      <c r="AS119" s="297"/>
      <c r="AT119" s="297"/>
      <c r="AU119" s="297"/>
      <c r="AV119" s="297"/>
      <c r="AW119" s="297"/>
    </row>
    <row r="120" spans="1:49" x14ac:dyDescent="0.45">
      <c r="A120" s="295">
        <v>12997</v>
      </c>
      <c r="B120" s="12">
        <v>2.8000000000000001E-2</v>
      </c>
      <c r="C120" s="5">
        <v>5.6299999999999996E-2</v>
      </c>
      <c r="D120" s="5">
        <v>2.3E-3</v>
      </c>
      <c r="E120" s="5">
        <v>3.0000000000000001E-3</v>
      </c>
      <c r="F120" s="5">
        <v>3.225E-3</v>
      </c>
      <c r="G120" s="5">
        <v>3.1125000000000002E-3</v>
      </c>
      <c r="H120" s="5">
        <v>3.7000000000000006E-3</v>
      </c>
      <c r="I120" s="5">
        <f t="shared" si="11"/>
        <v>2.5700000000000001E-2</v>
      </c>
      <c r="J120" s="5">
        <f t="shared" si="15"/>
        <v>2.48875E-2</v>
      </c>
      <c r="K120" s="5">
        <f t="shared" si="16"/>
        <v>5.2599999999999994E-2</v>
      </c>
      <c r="L120" s="8">
        <f t="shared" si="13"/>
        <v>0.29869069514061519</v>
      </c>
      <c r="M120" s="8">
        <f t="shared" si="14"/>
        <v>2.76E-2</v>
      </c>
      <c r="N120" s="8">
        <f t="shared" si="17"/>
        <v>3.7350000000000001E-2</v>
      </c>
      <c r="O120" s="296">
        <f t="shared" si="12"/>
        <v>0.27109069514061518</v>
      </c>
      <c r="P120" s="8">
        <f t="shared" si="18"/>
        <v>0.2613406951406152</v>
      </c>
      <c r="Q120" s="8">
        <f t="shared" si="19"/>
        <v>0.31171037657789036</v>
      </c>
      <c r="R120" s="8">
        <f t="shared" si="20"/>
        <v>4.4400000000000009E-2</v>
      </c>
      <c r="S120" s="296">
        <f t="shared" si="21"/>
        <v>0.26731037657789036</v>
      </c>
      <c r="U120" s="297"/>
      <c r="V120" s="297"/>
      <c r="W120" s="297"/>
      <c r="X120" s="297"/>
      <c r="Y120" s="297"/>
      <c r="Z120" s="297"/>
      <c r="AA120" s="297"/>
      <c r="AB120" s="297"/>
      <c r="AC120" s="297"/>
      <c r="AE120" s="297"/>
      <c r="AF120" s="297"/>
      <c r="AG120" s="297"/>
      <c r="AH120" s="297"/>
      <c r="AI120" s="297"/>
      <c r="AJ120" s="297"/>
      <c r="AK120" s="297"/>
      <c r="AL120" s="297"/>
      <c r="AM120" s="297"/>
      <c r="AO120" s="297"/>
      <c r="AP120" s="297"/>
      <c r="AQ120" s="297"/>
      <c r="AR120" s="297"/>
      <c r="AS120" s="297"/>
      <c r="AT120" s="297"/>
      <c r="AU120" s="297"/>
      <c r="AV120" s="297"/>
      <c r="AW120" s="297"/>
    </row>
    <row r="121" spans="1:49" x14ac:dyDescent="0.45">
      <c r="A121" s="295">
        <v>13028</v>
      </c>
      <c r="B121" s="12">
        <v>2.5600000000000001E-2</v>
      </c>
      <c r="C121" s="5">
        <v>-1.2199999999999999E-2</v>
      </c>
      <c r="D121" s="5">
        <v>2.3E-3</v>
      </c>
      <c r="E121" s="5">
        <v>2.9916666666666663E-3</v>
      </c>
      <c r="F121" s="5">
        <v>3.2083333333333334E-3</v>
      </c>
      <c r="G121" s="5">
        <v>3.0999999999999999E-3</v>
      </c>
      <c r="H121" s="5">
        <v>3.6916666666666664E-3</v>
      </c>
      <c r="I121" s="5">
        <f t="shared" si="11"/>
        <v>2.3300000000000001E-2</v>
      </c>
      <c r="J121" s="5">
        <f t="shared" si="15"/>
        <v>2.2500000000000003E-2</v>
      </c>
      <c r="K121" s="5">
        <f t="shared" si="16"/>
        <v>-1.5891666666666665E-2</v>
      </c>
      <c r="L121" s="8">
        <f t="shared" si="13"/>
        <v>0.3363471224402681</v>
      </c>
      <c r="M121" s="8">
        <f t="shared" si="14"/>
        <v>2.76E-2</v>
      </c>
      <c r="N121" s="8">
        <f t="shared" si="17"/>
        <v>3.7199999999999997E-2</v>
      </c>
      <c r="O121" s="296">
        <f t="shared" si="12"/>
        <v>0.30874712244026808</v>
      </c>
      <c r="P121" s="8">
        <f t="shared" si="18"/>
        <v>0.29914712244026809</v>
      </c>
      <c r="Q121" s="8">
        <f t="shared" si="19"/>
        <v>0.28351412578864821</v>
      </c>
      <c r="R121" s="8">
        <f t="shared" si="20"/>
        <v>4.4299999999999999E-2</v>
      </c>
      <c r="S121" s="296">
        <f t="shared" si="21"/>
        <v>0.2392141257886482</v>
      </c>
      <c r="U121" s="297"/>
      <c r="V121" s="297"/>
      <c r="W121" s="297"/>
      <c r="X121" s="297"/>
      <c r="Y121" s="297"/>
      <c r="Z121" s="297"/>
      <c r="AA121" s="297"/>
      <c r="AB121" s="297"/>
      <c r="AC121" s="297"/>
      <c r="AE121" s="297"/>
      <c r="AF121" s="297"/>
      <c r="AG121" s="297"/>
      <c r="AH121" s="297"/>
      <c r="AI121" s="297"/>
      <c r="AJ121" s="297"/>
      <c r="AK121" s="297"/>
      <c r="AL121" s="297"/>
      <c r="AM121" s="297"/>
      <c r="AO121" s="297"/>
      <c r="AP121" s="297"/>
      <c r="AQ121" s="297"/>
      <c r="AR121" s="297"/>
      <c r="AS121" s="297"/>
      <c r="AT121" s="297"/>
      <c r="AU121" s="297"/>
      <c r="AV121" s="297"/>
      <c r="AW121" s="297"/>
    </row>
    <row r="122" spans="1:49" x14ac:dyDescent="0.45">
      <c r="A122" s="295">
        <v>13058</v>
      </c>
      <c r="B122" s="12">
        <v>7.7700000000000005E-2</v>
      </c>
      <c r="C122" s="5">
        <v>0.12240000000000001</v>
      </c>
      <c r="D122" s="5">
        <v>2.3E-3</v>
      </c>
      <c r="E122" s="5">
        <v>2.9333333333333334E-3</v>
      </c>
      <c r="F122" s="5">
        <v>3.1833333333333332E-3</v>
      </c>
      <c r="G122" s="5">
        <v>3.058333333333333E-3</v>
      </c>
      <c r="H122" s="5">
        <v>3.666666666666667E-3</v>
      </c>
      <c r="I122" s="5">
        <f t="shared" si="11"/>
        <v>7.5400000000000009E-2</v>
      </c>
      <c r="J122" s="5">
        <f t="shared" si="15"/>
        <v>7.4641666666666676E-2</v>
      </c>
      <c r="K122" s="5">
        <f t="shared" si="16"/>
        <v>0.11873333333333334</v>
      </c>
      <c r="L122" s="8">
        <f t="shared" si="13"/>
        <v>0.48258317258994943</v>
      </c>
      <c r="M122" s="8">
        <f t="shared" si="14"/>
        <v>2.76E-2</v>
      </c>
      <c r="N122" s="8">
        <f t="shared" si="17"/>
        <v>3.6699999999999997E-2</v>
      </c>
      <c r="O122" s="296">
        <f t="shared" si="12"/>
        <v>0.45498317258994941</v>
      </c>
      <c r="P122" s="8">
        <f t="shared" si="18"/>
        <v>0.44588317258994942</v>
      </c>
      <c r="Q122" s="8">
        <f t="shared" si="19"/>
        <v>0.54340717247180015</v>
      </c>
      <c r="R122" s="8">
        <f t="shared" si="20"/>
        <v>4.4000000000000004E-2</v>
      </c>
      <c r="S122" s="296">
        <f t="shared" si="21"/>
        <v>0.49940717247180016</v>
      </c>
      <c r="U122" s="297"/>
      <c r="V122" s="297"/>
      <c r="W122" s="297"/>
      <c r="X122" s="297"/>
      <c r="Y122" s="297"/>
      <c r="Z122" s="297"/>
      <c r="AA122" s="297"/>
      <c r="AB122" s="297"/>
      <c r="AC122" s="297"/>
      <c r="AE122" s="297"/>
      <c r="AF122" s="297"/>
      <c r="AG122" s="297"/>
      <c r="AH122" s="297"/>
      <c r="AI122" s="297"/>
      <c r="AJ122" s="297"/>
      <c r="AK122" s="297"/>
      <c r="AL122" s="297"/>
      <c r="AM122" s="297"/>
      <c r="AO122" s="297"/>
      <c r="AP122" s="297"/>
      <c r="AQ122" s="297"/>
      <c r="AR122" s="297"/>
      <c r="AS122" s="297"/>
      <c r="AT122" s="297"/>
      <c r="AU122" s="297"/>
      <c r="AV122" s="297"/>
      <c r="AW122" s="297"/>
    </row>
    <row r="123" spans="1:49" x14ac:dyDescent="0.45">
      <c r="A123" s="295">
        <v>13089</v>
      </c>
      <c r="B123" s="12">
        <v>4.7399999999999998E-2</v>
      </c>
      <c r="C123" s="5">
        <v>1.0800000000000001E-2</v>
      </c>
      <c r="D123" s="5">
        <v>2.3999999999999998E-3</v>
      </c>
      <c r="E123" s="5">
        <v>2.891666666666667E-3</v>
      </c>
      <c r="F123" s="5">
        <v>3.1083333333333336E-3</v>
      </c>
      <c r="G123" s="5">
        <v>3.0000000000000005E-3</v>
      </c>
      <c r="H123" s="5">
        <v>3.6249999999999998E-3</v>
      </c>
      <c r="I123" s="5">
        <f t="shared" si="11"/>
        <v>4.4999999999999998E-2</v>
      </c>
      <c r="J123" s="5">
        <f t="shared" si="15"/>
        <v>4.4399999999999995E-2</v>
      </c>
      <c r="K123" s="5">
        <f t="shared" si="16"/>
        <v>7.1750000000000008E-3</v>
      </c>
      <c r="L123" s="8">
        <f t="shared" si="13"/>
        <v>0.41917164592461442</v>
      </c>
      <c r="M123" s="8">
        <f t="shared" si="14"/>
        <v>2.8799999999999999E-2</v>
      </c>
      <c r="N123" s="8">
        <f t="shared" si="17"/>
        <v>3.6000000000000004E-2</v>
      </c>
      <c r="O123" s="296">
        <f t="shared" si="12"/>
        <v>0.39037164592461443</v>
      </c>
      <c r="P123" s="8">
        <f t="shared" si="18"/>
        <v>0.38317164592461439</v>
      </c>
      <c r="Q123" s="8">
        <f t="shared" si="19"/>
        <v>0.56760045210459809</v>
      </c>
      <c r="R123" s="8">
        <f t="shared" si="20"/>
        <v>4.3499999999999997E-2</v>
      </c>
      <c r="S123" s="296">
        <f t="shared" si="21"/>
        <v>0.5241004521045981</v>
      </c>
      <c r="U123" s="297"/>
      <c r="V123" s="297"/>
      <c r="W123" s="297"/>
      <c r="X123" s="297"/>
      <c r="Y123" s="297"/>
      <c r="Z123" s="297"/>
      <c r="AA123" s="297"/>
      <c r="AB123" s="297"/>
      <c r="AC123" s="297"/>
      <c r="AE123" s="297"/>
      <c r="AF123" s="297"/>
      <c r="AG123" s="297"/>
      <c r="AH123" s="297"/>
      <c r="AI123" s="297"/>
      <c r="AJ123" s="297"/>
      <c r="AK123" s="297"/>
      <c r="AL123" s="297"/>
      <c r="AM123" s="297"/>
      <c r="AO123" s="297"/>
      <c r="AP123" s="297"/>
      <c r="AQ123" s="297"/>
      <c r="AR123" s="297"/>
      <c r="AS123" s="297"/>
      <c r="AT123" s="297"/>
      <c r="AU123" s="297"/>
      <c r="AV123" s="297"/>
      <c r="AW123" s="297"/>
    </row>
    <row r="124" spans="1:49" x14ac:dyDescent="0.45">
      <c r="A124" s="295">
        <v>13119</v>
      </c>
      <c r="B124" s="12">
        <v>3.9399999999999998E-2</v>
      </c>
      <c r="C124" s="5">
        <v>4.7900000000000012E-2</v>
      </c>
      <c r="D124" s="5">
        <v>2.3999999999999998E-3</v>
      </c>
      <c r="E124" s="5">
        <v>2.8666666666666667E-3</v>
      </c>
      <c r="F124" s="5">
        <v>3.0416666666666665E-3</v>
      </c>
      <c r="G124" s="5">
        <v>2.9541666666666666E-3</v>
      </c>
      <c r="H124" s="5">
        <v>3.5750000000000001E-3</v>
      </c>
      <c r="I124" s="5">
        <f t="shared" si="11"/>
        <v>3.6999999999999998E-2</v>
      </c>
      <c r="J124" s="5">
        <f t="shared" si="15"/>
        <v>3.644583333333333E-2</v>
      </c>
      <c r="K124" s="5">
        <f t="shared" si="16"/>
        <v>4.432500000000001E-2</v>
      </c>
      <c r="L124" s="8">
        <f t="shared" si="13"/>
        <v>0.47656357234639102</v>
      </c>
      <c r="M124" s="8">
        <f t="shared" si="14"/>
        <v>2.8799999999999999E-2</v>
      </c>
      <c r="N124" s="8">
        <f t="shared" si="17"/>
        <v>3.5449999999999995E-2</v>
      </c>
      <c r="O124" s="296">
        <f t="shared" si="12"/>
        <v>0.44776357234639103</v>
      </c>
      <c r="P124" s="8">
        <f t="shared" si="18"/>
        <v>0.44111357234639104</v>
      </c>
      <c r="Q124" s="8">
        <f t="shared" si="19"/>
        <v>0.76652168379439511</v>
      </c>
      <c r="R124" s="8">
        <f t="shared" si="20"/>
        <v>4.2900000000000001E-2</v>
      </c>
      <c r="S124" s="296">
        <f t="shared" si="21"/>
        <v>0.72362168379439507</v>
      </c>
      <c r="U124" s="297"/>
      <c r="V124" s="297"/>
      <c r="W124" s="297"/>
      <c r="X124" s="297"/>
      <c r="Y124" s="297"/>
      <c r="Z124" s="297"/>
      <c r="AA124" s="297"/>
      <c r="AB124" s="297"/>
      <c r="AC124" s="297"/>
      <c r="AE124" s="297"/>
      <c r="AF124" s="297"/>
      <c r="AG124" s="297"/>
      <c r="AH124" s="297"/>
      <c r="AI124" s="297"/>
      <c r="AJ124" s="297"/>
      <c r="AK124" s="297"/>
      <c r="AL124" s="297"/>
      <c r="AM124" s="297"/>
      <c r="AO124" s="297"/>
      <c r="AP124" s="297"/>
      <c r="AQ124" s="297"/>
      <c r="AR124" s="297"/>
      <c r="AS124" s="297"/>
      <c r="AT124" s="297"/>
      <c r="AU124" s="297"/>
      <c r="AV124" s="297"/>
      <c r="AW124" s="297"/>
    </row>
    <row r="125" spans="1:49" x14ac:dyDescent="0.45">
      <c r="A125" s="295">
        <v>13150</v>
      </c>
      <c r="B125" s="12">
        <v>6.7000000000000004E-2</v>
      </c>
      <c r="C125" s="5">
        <v>0.11030000000000001</v>
      </c>
      <c r="D125" s="5">
        <v>2.3999999999999998E-3</v>
      </c>
      <c r="E125" s="5">
        <v>2.8083333333333333E-3</v>
      </c>
      <c r="F125" s="5">
        <v>2.9749999999999998E-3</v>
      </c>
      <c r="G125" s="5">
        <v>2.891666666666667E-3</v>
      </c>
      <c r="H125" s="5">
        <v>3.5083333333333334E-3</v>
      </c>
      <c r="I125" s="5">
        <f t="shared" si="11"/>
        <v>6.4600000000000005E-2</v>
      </c>
      <c r="J125" s="5">
        <f t="shared" si="15"/>
        <v>6.4108333333333337E-2</v>
      </c>
      <c r="K125" s="5">
        <f t="shared" si="16"/>
        <v>0.10679166666666667</v>
      </c>
      <c r="L125" s="8">
        <f t="shared" si="13"/>
        <v>0.64302151600125068</v>
      </c>
      <c r="M125" s="8">
        <f t="shared" si="14"/>
        <v>2.8799999999999999E-2</v>
      </c>
      <c r="N125" s="8">
        <f t="shared" si="17"/>
        <v>3.4700000000000002E-2</v>
      </c>
      <c r="O125" s="296">
        <f t="shared" si="12"/>
        <v>0.61422151600125063</v>
      </c>
      <c r="P125" s="8">
        <f t="shared" si="18"/>
        <v>0.60832151600125073</v>
      </c>
      <c r="Q125" s="8">
        <f t="shared" si="19"/>
        <v>1.0077480044189957</v>
      </c>
      <c r="R125" s="8">
        <f t="shared" si="20"/>
        <v>4.2099999999999999E-2</v>
      </c>
      <c r="S125" s="296">
        <f t="shared" si="21"/>
        <v>0.96564800441899568</v>
      </c>
      <c r="U125" s="297"/>
      <c r="V125" s="297"/>
      <c r="W125" s="297"/>
      <c r="X125" s="297"/>
      <c r="Y125" s="297"/>
      <c r="Z125" s="297"/>
      <c r="AA125" s="297"/>
      <c r="AB125" s="297"/>
      <c r="AC125" s="297"/>
      <c r="AE125" s="297"/>
      <c r="AF125" s="297"/>
      <c r="AG125" s="297"/>
      <c r="AH125" s="297"/>
      <c r="AI125" s="297"/>
      <c r="AJ125" s="297"/>
      <c r="AK125" s="297"/>
      <c r="AL125" s="297"/>
      <c r="AM125" s="297"/>
      <c r="AO125" s="297"/>
      <c r="AP125" s="297"/>
      <c r="AQ125" s="297"/>
      <c r="AR125" s="297"/>
      <c r="AS125" s="297"/>
      <c r="AT125" s="297"/>
      <c r="AU125" s="297"/>
      <c r="AV125" s="297"/>
      <c r="AW125" s="297"/>
    </row>
    <row r="126" spans="1:49" x14ac:dyDescent="0.45">
      <c r="A126" s="295">
        <v>13181</v>
      </c>
      <c r="B126" s="12">
        <v>2.24E-2</v>
      </c>
      <c r="C126" s="5">
        <v>-3.4200000000000001E-2</v>
      </c>
      <c r="D126" s="5">
        <v>2.3E-3</v>
      </c>
      <c r="E126" s="5">
        <v>2.7666666666666668E-3</v>
      </c>
      <c r="F126" s="5">
        <v>2.9583333333333332E-3</v>
      </c>
      <c r="G126" s="5">
        <v>2.8625E-3</v>
      </c>
      <c r="H126" s="5">
        <v>3.4749999999999998E-3</v>
      </c>
      <c r="I126" s="5">
        <f t="shared" si="11"/>
        <v>2.01E-2</v>
      </c>
      <c r="J126" s="5">
        <f t="shared" si="15"/>
        <v>1.9537499999999999E-2</v>
      </c>
      <c r="K126" s="5">
        <f t="shared" si="16"/>
        <v>-3.7675E-2</v>
      </c>
      <c r="L126" s="8">
        <f t="shared" si="13"/>
        <v>0.73912951440074348</v>
      </c>
      <c r="M126" s="8">
        <f t="shared" si="14"/>
        <v>2.76E-2</v>
      </c>
      <c r="N126" s="8">
        <f t="shared" si="17"/>
        <v>3.4349999999999999E-2</v>
      </c>
      <c r="O126" s="296">
        <f t="shared" si="12"/>
        <v>0.71152951440074352</v>
      </c>
      <c r="P126" s="8">
        <f t="shared" si="18"/>
        <v>0.70477951440074349</v>
      </c>
      <c r="Q126" s="8">
        <f t="shared" si="19"/>
        <v>1.1875936627570698</v>
      </c>
      <c r="R126" s="8">
        <f t="shared" si="20"/>
        <v>4.1700000000000001E-2</v>
      </c>
      <c r="S126" s="296">
        <f t="shared" si="21"/>
        <v>1.1458936627570697</v>
      </c>
      <c r="U126" s="297"/>
      <c r="V126" s="297"/>
      <c r="W126" s="297"/>
      <c r="X126" s="297"/>
      <c r="Y126" s="297"/>
      <c r="Z126" s="297"/>
      <c r="AA126" s="297"/>
      <c r="AB126" s="297"/>
      <c r="AC126" s="297"/>
      <c r="AE126" s="297"/>
      <c r="AF126" s="297"/>
      <c r="AG126" s="297"/>
      <c r="AH126" s="297"/>
      <c r="AI126" s="297"/>
      <c r="AJ126" s="297"/>
      <c r="AK126" s="297"/>
      <c r="AL126" s="297"/>
      <c r="AM126" s="297"/>
      <c r="AO126" s="297"/>
      <c r="AP126" s="297"/>
      <c r="AQ126" s="297"/>
      <c r="AR126" s="297"/>
      <c r="AS126" s="297"/>
      <c r="AT126" s="297"/>
      <c r="AU126" s="297"/>
      <c r="AV126" s="297"/>
      <c r="AW126" s="297"/>
    </row>
    <row r="127" spans="1:49" x14ac:dyDescent="0.45">
      <c r="A127" s="295">
        <v>13210</v>
      </c>
      <c r="B127" s="12">
        <v>2.6800000000000001E-2</v>
      </c>
      <c r="C127" s="5">
        <v>3.3E-3</v>
      </c>
      <c r="D127" s="5">
        <v>2.3999999999999998E-3</v>
      </c>
      <c r="E127" s="5">
        <v>2.7416666666666666E-3</v>
      </c>
      <c r="F127" s="5">
        <v>2.9583333333333332E-3</v>
      </c>
      <c r="G127" s="5">
        <v>2.8500000000000001E-3</v>
      </c>
      <c r="H127" s="5">
        <v>3.4749999999999998E-3</v>
      </c>
      <c r="I127" s="5">
        <f t="shared" si="11"/>
        <v>2.4400000000000002E-2</v>
      </c>
      <c r="J127" s="5">
        <f t="shared" si="15"/>
        <v>2.3949999999999999E-2</v>
      </c>
      <c r="K127" s="5">
        <f t="shared" si="16"/>
        <v>-1.7499999999999981E-4</v>
      </c>
      <c r="L127" s="8">
        <f t="shared" si="13"/>
        <v>0.83831396477937314</v>
      </c>
      <c r="M127" s="8">
        <f t="shared" si="14"/>
        <v>2.8799999999999999E-2</v>
      </c>
      <c r="N127" s="8">
        <f t="shared" si="17"/>
        <v>3.4200000000000001E-2</v>
      </c>
      <c r="O127" s="296">
        <f t="shared" si="12"/>
        <v>0.8095139647793731</v>
      </c>
      <c r="P127" s="8">
        <f t="shared" si="18"/>
        <v>0.80411396477937314</v>
      </c>
      <c r="Q127" s="8">
        <f t="shared" si="19"/>
        <v>0.98751491609541597</v>
      </c>
      <c r="R127" s="8">
        <f t="shared" si="20"/>
        <v>4.1700000000000001E-2</v>
      </c>
      <c r="S127" s="296">
        <f t="shared" si="21"/>
        <v>0.94581491609541601</v>
      </c>
      <c r="U127" s="297"/>
      <c r="V127" s="297"/>
      <c r="W127" s="297"/>
      <c r="X127" s="297"/>
      <c r="Y127" s="297"/>
      <c r="Z127" s="297"/>
      <c r="AA127" s="297"/>
      <c r="AB127" s="297"/>
      <c r="AC127" s="297"/>
      <c r="AE127" s="297"/>
      <c r="AF127" s="297"/>
      <c r="AG127" s="297"/>
      <c r="AH127" s="297"/>
      <c r="AI127" s="297"/>
      <c r="AJ127" s="297"/>
      <c r="AK127" s="297"/>
      <c r="AL127" s="297"/>
      <c r="AM127" s="297"/>
      <c r="AO127" s="297"/>
      <c r="AP127" s="297"/>
      <c r="AQ127" s="297"/>
      <c r="AR127" s="297"/>
      <c r="AS127" s="297"/>
      <c r="AT127" s="297"/>
      <c r="AU127" s="297"/>
      <c r="AV127" s="297"/>
      <c r="AW127" s="297"/>
    </row>
    <row r="128" spans="1:49" x14ac:dyDescent="0.45">
      <c r="A128" s="295">
        <v>13241</v>
      </c>
      <c r="B128" s="12">
        <v>-7.51E-2</v>
      </c>
      <c r="C128" s="5">
        <v>-8.14E-2</v>
      </c>
      <c r="D128" s="5">
        <v>2.2000000000000001E-3</v>
      </c>
      <c r="E128" s="5">
        <v>2.7416666666666666E-3</v>
      </c>
      <c r="F128" s="5">
        <v>2.9749999999999998E-3</v>
      </c>
      <c r="G128" s="5">
        <v>2.8583333333333334E-3</v>
      </c>
      <c r="H128" s="5">
        <v>3.4749999999999998E-3</v>
      </c>
      <c r="I128" s="5">
        <f t="shared" si="11"/>
        <v>-7.7299999999999994E-2</v>
      </c>
      <c r="J128" s="5">
        <f t="shared" si="15"/>
        <v>-7.7958333333333338E-2</v>
      </c>
      <c r="K128" s="5">
        <f t="shared" si="16"/>
        <v>-8.4875000000000006E-2</v>
      </c>
      <c r="L128" s="8">
        <f t="shared" si="13"/>
        <v>0.54850326596033061</v>
      </c>
      <c r="M128" s="8">
        <f t="shared" si="14"/>
        <v>2.64E-2</v>
      </c>
      <c r="N128" s="8">
        <f t="shared" si="17"/>
        <v>3.4299999999999997E-2</v>
      </c>
      <c r="O128" s="296">
        <f t="shared" si="12"/>
        <v>0.52210326596033063</v>
      </c>
      <c r="P128" s="8">
        <f t="shared" si="18"/>
        <v>0.51420326596033061</v>
      </c>
      <c r="Q128" s="8">
        <f t="shared" si="19"/>
        <v>0.63332546244878252</v>
      </c>
      <c r="R128" s="8">
        <f t="shared" si="20"/>
        <v>4.1700000000000001E-2</v>
      </c>
      <c r="S128" s="296">
        <f t="shared" si="21"/>
        <v>0.59162546244878256</v>
      </c>
      <c r="U128" s="297"/>
      <c r="V128" s="297"/>
      <c r="W128" s="297"/>
      <c r="X128" s="297"/>
      <c r="Y128" s="297"/>
      <c r="Z128" s="297"/>
      <c r="AA128" s="297"/>
      <c r="AB128" s="297"/>
      <c r="AC128" s="297"/>
      <c r="AE128" s="297"/>
      <c r="AF128" s="297"/>
      <c r="AG128" s="297"/>
      <c r="AH128" s="297"/>
      <c r="AI128" s="297"/>
      <c r="AJ128" s="297"/>
      <c r="AK128" s="297"/>
      <c r="AL128" s="297"/>
      <c r="AM128" s="297"/>
      <c r="AO128" s="297"/>
      <c r="AP128" s="297"/>
      <c r="AQ128" s="297"/>
      <c r="AR128" s="297"/>
      <c r="AS128" s="297"/>
      <c r="AT128" s="297"/>
      <c r="AU128" s="297"/>
      <c r="AV128" s="297"/>
      <c r="AW128" s="297"/>
    </row>
    <row r="129" spans="1:49" x14ac:dyDescent="0.45">
      <c r="A129" s="295">
        <v>13271</v>
      </c>
      <c r="B129" s="12">
        <v>5.45E-2</v>
      </c>
      <c r="C129" s="5">
        <v>7.6100000000000001E-2</v>
      </c>
      <c r="D129" s="5">
        <v>2.2000000000000001E-3</v>
      </c>
      <c r="E129" s="5">
        <v>2.725E-3</v>
      </c>
      <c r="F129" s="5">
        <v>2.9416666666666662E-3</v>
      </c>
      <c r="G129" s="5">
        <v>2.8333333333333331E-3</v>
      </c>
      <c r="H129" s="5">
        <v>3.4499999999999999E-3</v>
      </c>
      <c r="I129" s="5">
        <f t="shared" si="11"/>
        <v>5.2299999999999999E-2</v>
      </c>
      <c r="J129" s="5">
        <f t="shared" si="15"/>
        <v>5.1666666666666666E-2</v>
      </c>
      <c r="K129" s="5">
        <f t="shared" si="16"/>
        <v>7.2650000000000006E-2</v>
      </c>
      <c r="L129" s="8">
        <f t="shared" si="13"/>
        <v>0.56873541546274198</v>
      </c>
      <c r="M129" s="8">
        <f t="shared" si="14"/>
        <v>2.64E-2</v>
      </c>
      <c r="N129" s="8">
        <f t="shared" si="17"/>
        <v>3.3999999999999996E-2</v>
      </c>
      <c r="O129" s="296">
        <f t="shared" si="12"/>
        <v>0.542335415462742</v>
      </c>
      <c r="P129" s="8">
        <f t="shared" si="18"/>
        <v>0.53473541546274195</v>
      </c>
      <c r="Q129" s="8">
        <f t="shared" si="19"/>
        <v>0.58258736731598693</v>
      </c>
      <c r="R129" s="8">
        <f t="shared" si="20"/>
        <v>4.1399999999999999E-2</v>
      </c>
      <c r="S129" s="296">
        <f t="shared" si="21"/>
        <v>0.54118736731598693</v>
      </c>
      <c r="U129" s="297"/>
      <c r="V129" s="297"/>
      <c r="W129" s="297"/>
      <c r="X129" s="297"/>
      <c r="Y129" s="297"/>
      <c r="Z129" s="297"/>
      <c r="AA129" s="297"/>
      <c r="AB129" s="297"/>
      <c r="AC129" s="297"/>
      <c r="AE129" s="297"/>
      <c r="AF129" s="297"/>
      <c r="AG129" s="297"/>
      <c r="AH129" s="297"/>
      <c r="AI129" s="297"/>
      <c r="AJ129" s="297"/>
      <c r="AK129" s="297"/>
      <c r="AL129" s="297"/>
      <c r="AM129" s="297"/>
      <c r="AO129" s="297"/>
      <c r="AP129" s="297"/>
      <c r="AQ129" s="297"/>
      <c r="AR129" s="297"/>
      <c r="AS129" s="297"/>
      <c r="AT129" s="297"/>
      <c r="AU129" s="297"/>
      <c r="AV129" s="297"/>
      <c r="AW129" s="297"/>
    </row>
    <row r="130" spans="1:49" x14ac:dyDescent="0.45">
      <c r="A130" s="295">
        <v>13302</v>
      </c>
      <c r="B130" s="12">
        <v>3.3300000000000003E-2</v>
      </c>
      <c r="C130" s="5">
        <v>3.5000000000000003E-2</v>
      </c>
      <c r="D130" s="5">
        <v>2.3999999999999998E-3</v>
      </c>
      <c r="E130" s="5">
        <v>2.7000000000000001E-3</v>
      </c>
      <c r="F130" s="5">
        <v>2.9249999999999996E-3</v>
      </c>
      <c r="G130" s="5">
        <v>2.8124999999999999E-3</v>
      </c>
      <c r="H130" s="5">
        <v>3.4333333333333334E-3</v>
      </c>
      <c r="I130" s="5">
        <f t="shared" si="11"/>
        <v>3.0900000000000004E-2</v>
      </c>
      <c r="J130" s="5">
        <f t="shared" si="15"/>
        <v>3.0487500000000004E-2</v>
      </c>
      <c r="K130" s="5">
        <f t="shared" si="16"/>
        <v>3.1566666666666673E-2</v>
      </c>
      <c r="L130" s="8">
        <f t="shared" si="13"/>
        <v>0.51507085222698512</v>
      </c>
      <c r="M130" s="8">
        <f t="shared" si="14"/>
        <v>2.8799999999999999E-2</v>
      </c>
      <c r="N130" s="8">
        <f t="shared" si="17"/>
        <v>3.3750000000000002E-2</v>
      </c>
      <c r="O130" s="296">
        <f t="shared" si="12"/>
        <v>0.48627085222698513</v>
      </c>
      <c r="P130" s="8">
        <f t="shared" si="18"/>
        <v>0.48132085222698512</v>
      </c>
      <c r="Q130" s="8">
        <f t="shared" si="19"/>
        <v>0.48421341534255746</v>
      </c>
      <c r="R130" s="8">
        <f t="shared" si="20"/>
        <v>4.1200000000000001E-2</v>
      </c>
      <c r="S130" s="296">
        <f t="shared" si="21"/>
        <v>0.44301341534255745</v>
      </c>
      <c r="U130" s="297"/>
      <c r="V130" s="297"/>
      <c r="W130" s="297"/>
      <c r="X130" s="297"/>
      <c r="Y130" s="297"/>
      <c r="Z130" s="297"/>
      <c r="AA130" s="297"/>
      <c r="AB130" s="297"/>
      <c r="AC130" s="297"/>
      <c r="AE130" s="297"/>
      <c r="AF130" s="297"/>
      <c r="AG130" s="297"/>
      <c r="AH130" s="297"/>
      <c r="AI130" s="297"/>
      <c r="AJ130" s="297"/>
      <c r="AK130" s="297"/>
      <c r="AL130" s="297"/>
      <c r="AM130" s="297"/>
      <c r="AO130" s="297"/>
      <c r="AP130" s="297"/>
      <c r="AQ130" s="297"/>
      <c r="AR130" s="297"/>
      <c r="AS130" s="297"/>
      <c r="AT130" s="297"/>
      <c r="AU130" s="297"/>
      <c r="AV130" s="297"/>
      <c r="AW130" s="297"/>
    </row>
    <row r="131" spans="1:49" x14ac:dyDescent="0.45">
      <c r="A131" s="295">
        <v>13332</v>
      </c>
      <c r="B131" s="12">
        <v>7.0099999999999996E-2</v>
      </c>
      <c r="C131" s="5">
        <v>0.1009</v>
      </c>
      <c r="D131" s="5">
        <v>2.3E-3</v>
      </c>
      <c r="E131" s="5">
        <v>2.6916666666666669E-3</v>
      </c>
      <c r="F131" s="5">
        <v>2.8999999999999998E-3</v>
      </c>
      <c r="G131" s="5">
        <v>2.7958333333333329E-3</v>
      </c>
      <c r="H131" s="5">
        <v>3.3916666666666665E-3</v>
      </c>
      <c r="I131" s="5">
        <f t="shared" si="11"/>
        <v>6.7799999999999999E-2</v>
      </c>
      <c r="J131" s="5">
        <f t="shared" si="15"/>
        <v>6.7304166666666665E-2</v>
      </c>
      <c r="K131" s="5">
        <f t="shared" si="16"/>
        <v>9.7508333333333336E-2</v>
      </c>
      <c r="L131" s="8">
        <f t="shared" si="13"/>
        <v>0.49426481010884515</v>
      </c>
      <c r="M131" s="8">
        <f t="shared" si="14"/>
        <v>2.76E-2</v>
      </c>
      <c r="N131" s="8">
        <f t="shared" si="17"/>
        <v>3.3549999999999996E-2</v>
      </c>
      <c r="O131" s="296">
        <f t="shared" si="12"/>
        <v>0.46666481010884514</v>
      </c>
      <c r="P131" s="8">
        <f t="shared" si="18"/>
        <v>0.46071481010884519</v>
      </c>
      <c r="Q131" s="8">
        <f t="shared" si="19"/>
        <v>0.50319277732347878</v>
      </c>
      <c r="R131" s="8">
        <f t="shared" si="20"/>
        <v>4.07E-2</v>
      </c>
      <c r="S131" s="296">
        <f t="shared" si="21"/>
        <v>0.46249277732347877</v>
      </c>
      <c r="U131" s="297"/>
      <c r="V131" s="297"/>
      <c r="W131" s="297"/>
      <c r="X131" s="297"/>
      <c r="Y131" s="297"/>
      <c r="Z131" s="297"/>
      <c r="AA131" s="297"/>
      <c r="AB131" s="297"/>
      <c r="AC131" s="297"/>
      <c r="AE131" s="297"/>
      <c r="AF131" s="297"/>
      <c r="AG131" s="297"/>
      <c r="AH131" s="297"/>
      <c r="AI131" s="297"/>
      <c r="AJ131" s="297"/>
      <c r="AK131" s="297"/>
      <c r="AL131" s="297"/>
      <c r="AM131" s="297"/>
      <c r="AO131" s="297"/>
      <c r="AP131" s="297"/>
      <c r="AQ131" s="297"/>
      <c r="AR131" s="297"/>
      <c r="AS131" s="297"/>
      <c r="AT131" s="297"/>
      <c r="AU131" s="297"/>
      <c r="AV131" s="297"/>
      <c r="AW131" s="297"/>
    </row>
    <row r="132" spans="1:49" x14ac:dyDescent="0.45">
      <c r="A132" s="295">
        <v>13363</v>
      </c>
      <c r="B132" s="12">
        <v>1.5100000000000001E-2</v>
      </c>
      <c r="C132" s="5">
        <v>-1.8E-3</v>
      </c>
      <c r="D132" s="5">
        <v>2.3E-3</v>
      </c>
      <c r="E132" s="5">
        <v>2.6750000000000003E-3</v>
      </c>
      <c r="F132" s="5">
        <v>2.8666666666666667E-3</v>
      </c>
      <c r="G132" s="5">
        <v>2.7708333333333335E-3</v>
      </c>
      <c r="H132" s="5">
        <v>3.3833333333333332E-3</v>
      </c>
      <c r="I132" s="5">
        <f t="shared" si="11"/>
        <v>1.2800000000000001E-2</v>
      </c>
      <c r="J132" s="5">
        <f t="shared" si="15"/>
        <v>1.2329166666666667E-2</v>
      </c>
      <c r="K132" s="5">
        <f t="shared" si="16"/>
        <v>-5.1833333333333332E-3</v>
      </c>
      <c r="L132" s="8">
        <f t="shared" si="13"/>
        <v>0.4755138217329653</v>
      </c>
      <c r="M132" s="8">
        <f t="shared" si="14"/>
        <v>2.76E-2</v>
      </c>
      <c r="N132" s="8">
        <f t="shared" si="17"/>
        <v>3.3250000000000002E-2</v>
      </c>
      <c r="O132" s="296">
        <f t="shared" si="12"/>
        <v>0.44791382173296529</v>
      </c>
      <c r="P132" s="8">
        <f t="shared" si="18"/>
        <v>0.4422638217329653</v>
      </c>
      <c r="Q132" s="8">
        <f t="shared" si="19"/>
        <v>0.42051219381264482</v>
      </c>
      <c r="R132" s="8">
        <f t="shared" si="20"/>
        <v>4.0599999999999997E-2</v>
      </c>
      <c r="S132" s="296">
        <f t="shared" si="21"/>
        <v>0.37991219381264485</v>
      </c>
      <c r="U132" s="297"/>
      <c r="V132" s="297"/>
      <c r="W132" s="297"/>
      <c r="X132" s="297"/>
      <c r="Y132" s="297"/>
      <c r="Z132" s="297"/>
      <c r="AA132" s="297"/>
      <c r="AB132" s="297"/>
      <c r="AC132" s="297"/>
      <c r="AE132" s="297"/>
      <c r="AF132" s="297"/>
      <c r="AG132" s="297"/>
      <c r="AH132" s="297"/>
      <c r="AI132" s="297"/>
      <c r="AJ132" s="297"/>
      <c r="AK132" s="297"/>
      <c r="AL132" s="297"/>
      <c r="AM132" s="297"/>
      <c r="AO132" s="297"/>
      <c r="AP132" s="297"/>
      <c r="AQ132" s="297"/>
      <c r="AR132" s="297"/>
      <c r="AS132" s="297"/>
      <c r="AT132" s="297"/>
      <c r="AU132" s="297"/>
      <c r="AV132" s="297"/>
      <c r="AW132" s="297"/>
    </row>
    <row r="133" spans="1:49" x14ac:dyDescent="0.45">
      <c r="A133" s="295">
        <v>13394</v>
      </c>
      <c r="B133" s="12">
        <v>3.0999999999999999E-3</v>
      </c>
      <c r="C133" s="5">
        <v>-2.2499999999999999E-2</v>
      </c>
      <c r="D133" s="5">
        <v>2.0999999999999999E-3</v>
      </c>
      <c r="E133" s="5">
        <v>2.65E-3</v>
      </c>
      <c r="F133" s="5">
        <v>2.8416666666666668E-3</v>
      </c>
      <c r="G133" s="5">
        <v>2.7458333333333336E-3</v>
      </c>
      <c r="H133" s="5">
        <v>3.3749999999999995E-3</v>
      </c>
      <c r="I133" s="5">
        <f t="shared" si="11"/>
        <v>1E-3</v>
      </c>
      <c r="J133" s="5">
        <f t="shared" si="15"/>
        <v>3.5416666666666626E-4</v>
      </c>
      <c r="K133" s="5">
        <f t="shared" si="16"/>
        <v>-2.5874999999999999E-2</v>
      </c>
      <c r="L133" s="8">
        <f t="shared" si="13"/>
        <v>0.44314344245352744</v>
      </c>
      <c r="M133" s="8">
        <f t="shared" si="14"/>
        <v>2.52E-2</v>
      </c>
      <c r="N133" s="8">
        <f t="shared" si="17"/>
        <v>3.2950000000000007E-2</v>
      </c>
      <c r="O133" s="296">
        <f t="shared" si="12"/>
        <v>0.41794344245352744</v>
      </c>
      <c r="P133" s="8">
        <f t="shared" si="18"/>
        <v>0.4101934424535274</v>
      </c>
      <c r="Q133" s="8">
        <f t="shared" si="19"/>
        <v>0.40570021203873274</v>
      </c>
      <c r="R133" s="8">
        <f t="shared" si="20"/>
        <v>4.0499999999999994E-2</v>
      </c>
      <c r="S133" s="296">
        <f t="shared" si="21"/>
        <v>0.36520021203873276</v>
      </c>
      <c r="U133" s="297"/>
      <c r="V133" s="297"/>
      <c r="W133" s="297"/>
      <c r="X133" s="297"/>
      <c r="Y133" s="297"/>
      <c r="Z133" s="297"/>
      <c r="AA133" s="297"/>
      <c r="AB133" s="297"/>
      <c r="AC133" s="297"/>
      <c r="AE133" s="297"/>
      <c r="AF133" s="297"/>
      <c r="AG133" s="297"/>
      <c r="AH133" s="297"/>
      <c r="AI133" s="297"/>
      <c r="AJ133" s="297"/>
      <c r="AK133" s="297"/>
      <c r="AL133" s="297"/>
      <c r="AM133" s="297"/>
      <c r="AO133" s="297"/>
      <c r="AP133" s="297"/>
      <c r="AQ133" s="297"/>
      <c r="AR133" s="297"/>
      <c r="AS133" s="297"/>
      <c r="AT133" s="297"/>
      <c r="AU133" s="297"/>
      <c r="AV133" s="297"/>
      <c r="AW133" s="297"/>
    </row>
    <row r="134" spans="1:49" x14ac:dyDescent="0.45">
      <c r="A134" s="295">
        <v>13424</v>
      </c>
      <c r="B134" s="12">
        <v>7.7499999999999999E-2</v>
      </c>
      <c r="C134" s="5">
        <v>5.6600000000000004E-2</v>
      </c>
      <c r="D134" s="5">
        <v>2.3E-3</v>
      </c>
      <c r="E134" s="5">
        <v>2.65E-3</v>
      </c>
      <c r="F134" s="5">
        <v>2.8083333333333333E-3</v>
      </c>
      <c r="G134" s="5">
        <v>2.7291666666666671E-3</v>
      </c>
      <c r="H134" s="5">
        <v>3.3666666666666667E-3</v>
      </c>
      <c r="I134" s="5">
        <f t="shared" ref="I134:I197" si="22">B134-D134</f>
        <v>7.5200000000000003E-2</v>
      </c>
      <c r="J134" s="5">
        <f t="shared" si="15"/>
        <v>7.4770833333333328E-2</v>
      </c>
      <c r="K134" s="5">
        <f t="shared" si="16"/>
        <v>5.3233333333333341E-2</v>
      </c>
      <c r="L134" s="8">
        <f t="shared" si="13"/>
        <v>0.44287562331230923</v>
      </c>
      <c r="M134" s="8">
        <f t="shared" si="14"/>
        <v>2.76E-2</v>
      </c>
      <c r="N134" s="8">
        <f t="shared" si="17"/>
        <v>3.2750000000000001E-2</v>
      </c>
      <c r="O134" s="296">
        <f t="shared" si="12"/>
        <v>0.41527562331230922</v>
      </c>
      <c r="P134" s="8">
        <f t="shared" si="18"/>
        <v>0.41012562331230923</v>
      </c>
      <c r="Q134" s="8">
        <f t="shared" si="19"/>
        <v>0.32329191379198585</v>
      </c>
      <c r="R134" s="8">
        <f t="shared" si="20"/>
        <v>4.0399999999999998E-2</v>
      </c>
      <c r="S134" s="296">
        <f t="shared" si="21"/>
        <v>0.28289191379198586</v>
      </c>
      <c r="U134" s="297"/>
      <c r="V134" s="297"/>
      <c r="W134" s="297"/>
      <c r="X134" s="297"/>
      <c r="Y134" s="297"/>
      <c r="Z134" s="297"/>
      <c r="AA134" s="297"/>
      <c r="AB134" s="297"/>
      <c r="AC134" s="297"/>
      <c r="AE134" s="297"/>
      <c r="AF134" s="297"/>
      <c r="AG134" s="297"/>
      <c r="AH134" s="297"/>
      <c r="AI134" s="297"/>
      <c r="AJ134" s="297"/>
      <c r="AK134" s="297"/>
      <c r="AL134" s="297"/>
      <c r="AM134" s="297"/>
      <c r="AO134" s="297"/>
      <c r="AP134" s="297"/>
      <c r="AQ134" s="297"/>
      <c r="AR134" s="297"/>
      <c r="AS134" s="297"/>
      <c r="AT134" s="297"/>
      <c r="AU134" s="297"/>
      <c r="AV134" s="297"/>
      <c r="AW134" s="297"/>
    </row>
    <row r="135" spans="1:49" x14ac:dyDescent="0.45">
      <c r="A135" s="295">
        <v>13455</v>
      </c>
      <c r="B135" s="12">
        <v>1.34E-2</v>
      </c>
      <c r="C135" s="5">
        <v>-1.6900000000000002E-2</v>
      </c>
      <c r="D135" s="5">
        <v>2.2000000000000001E-3</v>
      </c>
      <c r="E135" s="5">
        <v>2.6250000000000002E-3</v>
      </c>
      <c r="F135" s="5">
        <v>2.7583333333333331E-3</v>
      </c>
      <c r="G135" s="5">
        <v>2.6916666666666669E-3</v>
      </c>
      <c r="H135" s="5">
        <v>3.2916666666666667E-3</v>
      </c>
      <c r="I135" s="5">
        <f t="shared" si="22"/>
        <v>1.12E-2</v>
      </c>
      <c r="J135" s="5">
        <f t="shared" si="15"/>
        <v>1.0708333333333334E-2</v>
      </c>
      <c r="K135" s="5">
        <f t="shared" si="16"/>
        <v>-2.019166666666667E-2</v>
      </c>
      <c r="L135" s="8">
        <f t="shared" si="13"/>
        <v>0.39603795748013604</v>
      </c>
      <c r="M135" s="8">
        <f t="shared" si="14"/>
        <v>2.64E-2</v>
      </c>
      <c r="N135" s="8">
        <f t="shared" si="17"/>
        <v>3.2300000000000002E-2</v>
      </c>
      <c r="O135" s="296">
        <f t="shared" si="12"/>
        <v>0.36963795748013606</v>
      </c>
      <c r="P135" s="8">
        <f t="shared" si="18"/>
        <v>0.36373795748013604</v>
      </c>
      <c r="Q135" s="8">
        <f t="shared" si="19"/>
        <v>0.2870283740095978</v>
      </c>
      <c r="R135" s="8">
        <f t="shared" si="20"/>
        <v>3.95E-2</v>
      </c>
      <c r="S135" s="296">
        <f t="shared" si="21"/>
        <v>0.24752837400959779</v>
      </c>
      <c r="U135" s="297"/>
      <c r="V135" s="297"/>
      <c r="W135" s="297"/>
      <c r="X135" s="297"/>
      <c r="Y135" s="297"/>
      <c r="Z135" s="297"/>
      <c r="AA135" s="297"/>
      <c r="AB135" s="297"/>
      <c r="AC135" s="297"/>
      <c r="AE135" s="297"/>
      <c r="AF135" s="297"/>
      <c r="AG135" s="297"/>
      <c r="AH135" s="297"/>
      <c r="AI135" s="297"/>
      <c r="AJ135" s="297"/>
      <c r="AK135" s="297"/>
      <c r="AL135" s="297"/>
      <c r="AM135" s="297"/>
      <c r="AO135" s="297"/>
      <c r="AP135" s="297"/>
      <c r="AQ135" s="297"/>
      <c r="AR135" s="297"/>
      <c r="AS135" s="297"/>
      <c r="AT135" s="297"/>
      <c r="AU135" s="297"/>
      <c r="AV135" s="297"/>
      <c r="AW135" s="297"/>
    </row>
    <row r="136" spans="1:49" x14ac:dyDescent="0.45">
      <c r="A136" s="295">
        <v>13485</v>
      </c>
      <c r="B136" s="12">
        <v>-2.8999999999999998E-3</v>
      </c>
      <c r="C136" s="5">
        <v>-1.7399999999999999E-2</v>
      </c>
      <c r="D136" s="5">
        <v>2.2000000000000001E-3</v>
      </c>
      <c r="E136" s="5">
        <v>2.5833333333333337E-3</v>
      </c>
      <c r="F136" s="5">
        <v>2.7333333333333333E-3</v>
      </c>
      <c r="G136" s="5">
        <v>2.6583333333333337E-3</v>
      </c>
      <c r="H136" s="5">
        <v>3.1916666666666664E-3</v>
      </c>
      <c r="I136" s="5">
        <f t="shared" si="22"/>
        <v>-5.1000000000000004E-3</v>
      </c>
      <c r="J136" s="5">
        <f t="shared" si="15"/>
        <v>-5.5583333333333335E-3</v>
      </c>
      <c r="K136" s="5">
        <f t="shared" si="16"/>
        <v>-2.0591666666666664E-2</v>
      </c>
      <c r="L136" s="8">
        <f t="shared" si="13"/>
        <v>0.3392240209769517</v>
      </c>
      <c r="M136" s="8">
        <f t="shared" si="14"/>
        <v>2.64E-2</v>
      </c>
      <c r="N136" s="8">
        <f t="shared" si="17"/>
        <v>3.1900000000000005E-2</v>
      </c>
      <c r="O136" s="296">
        <f t="shared" si="12"/>
        <v>0.31282402097695172</v>
      </c>
      <c r="P136" s="8">
        <f t="shared" si="18"/>
        <v>0.30732402097695172</v>
      </c>
      <c r="Q136" s="8">
        <f t="shared" si="19"/>
        <v>0.20682706393914541</v>
      </c>
      <c r="R136" s="8">
        <f t="shared" si="20"/>
        <v>3.8300000000000001E-2</v>
      </c>
      <c r="S136" s="296">
        <f t="shared" si="21"/>
        <v>0.16852706393914541</v>
      </c>
      <c r="U136" s="297"/>
      <c r="V136" s="297"/>
      <c r="W136" s="297"/>
      <c r="X136" s="297"/>
      <c r="Y136" s="297"/>
      <c r="Z136" s="297"/>
      <c r="AA136" s="297"/>
      <c r="AB136" s="297"/>
      <c r="AC136" s="297"/>
      <c r="AE136" s="297"/>
      <c r="AF136" s="297"/>
      <c r="AG136" s="297"/>
      <c r="AH136" s="297"/>
      <c r="AI136" s="297"/>
      <c r="AJ136" s="297"/>
      <c r="AK136" s="297"/>
      <c r="AL136" s="297"/>
      <c r="AM136" s="297"/>
      <c r="AO136" s="297"/>
      <c r="AP136" s="297"/>
      <c r="AQ136" s="297"/>
      <c r="AR136" s="297"/>
      <c r="AS136" s="297"/>
      <c r="AT136" s="297"/>
      <c r="AU136" s="297"/>
      <c r="AV136" s="297"/>
      <c r="AW136" s="297"/>
    </row>
    <row r="137" spans="1:49" x14ac:dyDescent="0.45">
      <c r="A137" s="295">
        <v>13516</v>
      </c>
      <c r="B137" s="12">
        <v>3.9E-2</v>
      </c>
      <c r="C137" s="5">
        <v>1.9500000000000003E-2</v>
      </c>
      <c r="D137" s="5">
        <v>2.0999999999999999E-3</v>
      </c>
      <c r="E137" s="5">
        <v>2.5833333333333337E-3</v>
      </c>
      <c r="F137" s="5">
        <v>2.7499999999999998E-3</v>
      </c>
      <c r="G137" s="5">
        <v>2.6666666666666666E-3</v>
      </c>
      <c r="H137" s="5">
        <v>3.1833333333333336E-3</v>
      </c>
      <c r="I137" s="5">
        <f t="shared" si="22"/>
        <v>3.6900000000000002E-2</v>
      </c>
      <c r="J137" s="5">
        <f t="shared" si="15"/>
        <v>3.6333333333333336E-2</v>
      </c>
      <c r="K137" s="5">
        <f t="shared" si="16"/>
        <v>1.631666666666667E-2</v>
      </c>
      <c r="L137" s="8">
        <f t="shared" si="13"/>
        <v>0.30408037281635614</v>
      </c>
      <c r="M137" s="8">
        <f t="shared" si="14"/>
        <v>2.52E-2</v>
      </c>
      <c r="N137" s="8">
        <f t="shared" si="17"/>
        <v>3.2000000000000001E-2</v>
      </c>
      <c r="O137" s="296">
        <f t="shared" si="12"/>
        <v>0.27888037281635614</v>
      </c>
      <c r="P137" s="8">
        <f t="shared" si="18"/>
        <v>0.27208037281635611</v>
      </c>
      <c r="Q137" s="8">
        <f t="shared" si="19"/>
        <v>0.10813310968743495</v>
      </c>
      <c r="R137" s="8">
        <f t="shared" si="20"/>
        <v>3.8200000000000005E-2</v>
      </c>
      <c r="S137" s="296">
        <f t="shared" si="21"/>
        <v>6.9933109687434936E-2</v>
      </c>
      <c r="U137" s="297"/>
      <c r="V137" s="297"/>
      <c r="W137" s="297"/>
      <c r="X137" s="297"/>
      <c r="Y137" s="297"/>
      <c r="Z137" s="297"/>
      <c r="AA137" s="297"/>
      <c r="AB137" s="297"/>
      <c r="AC137" s="297"/>
      <c r="AE137" s="297"/>
      <c r="AF137" s="297"/>
      <c r="AG137" s="297"/>
      <c r="AH137" s="297"/>
      <c r="AI137" s="297"/>
      <c r="AJ137" s="297"/>
      <c r="AK137" s="297"/>
      <c r="AL137" s="297"/>
      <c r="AM137" s="297"/>
      <c r="AO137" s="297"/>
      <c r="AP137" s="297"/>
      <c r="AQ137" s="297"/>
      <c r="AR137" s="297"/>
      <c r="AS137" s="297"/>
      <c r="AT137" s="297"/>
      <c r="AU137" s="297"/>
      <c r="AV137" s="297"/>
      <c r="AW137" s="297"/>
    </row>
    <row r="138" spans="1:49" x14ac:dyDescent="0.45">
      <c r="A138" s="295">
        <v>13547</v>
      </c>
      <c r="B138" s="12">
        <v>1.9099999999999999E-2</v>
      </c>
      <c r="C138" s="5">
        <v>-3.5299999999999998E-2</v>
      </c>
      <c r="D138" s="5">
        <v>2E-3</v>
      </c>
      <c r="E138" s="5">
        <v>2.6833333333333336E-3</v>
      </c>
      <c r="F138" s="5">
        <v>2.8333333333333331E-3</v>
      </c>
      <c r="G138" s="5">
        <v>2.7583333333333336E-3</v>
      </c>
      <c r="H138" s="5">
        <v>3.2416666666666666E-3</v>
      </c>
      <c r="I138" s="5">
        <f t="shared" si="22"/>
        <v>1.7099999999999997E-2</v>
      </c>
      <c r="J138" s="5">
        <f t="shared" si="15"/>
        <v>1.6341666666666664E-2</v>
      </c>
      <c r="K138" s="5">
        <f t="shared" si="16"/>
        <v>-3.8541666666666662E-2</v>
      </c>
      <c r="L138" s="8">
        <f t="shared" si="13"/>
        <v>0.29987119320926081</v>
      </c>
      <c r="M138" s="8">
        <f t="shared" si="14"/>
        <v>2.4E-2</v>
      </c>
      <c r="N138" s="8">
        <f t="shared" si="17"/>
        <v>3.3100000000000004E-2</v>
      </c>
      <c r="O138" s="296">
        <f t="shared" si="12"/>
        <v>0.27587119320926079</v>
      </c>
      <c r="P138" s="8">
        <f t="shared" si="18"/>
        <v>0.26677119320926079</v>
      </c>
      <c r="Q138" s="8">
        <f t="shared" si="19"/>
        <v>0.10687099908414588</v>
      </c>
      <c r="R138" s="8">
        <f t="shared" si="20"/>
        <v>3.8899999999999997E-2</v>
      </c>
      <c r="S138" s="296">
        <f t="shared" si="21"/>
        <v>6.7970999084145889E-2</v>
      </c>
      <c r="U138" s="297"/>
      <c r="V138" s="297"/>
      <c r="W138" s="297"/>
      <c r="X138" s="297"/>
      <c r="Y138" s="297"/>
      <c r="Z138" s="297"/>
      <c r="AA138" s="297"/>
      <c r="AB138" s="297"/>
      <c r="AC138" s="297"/>
      <c r="AE138" s="297"/>
      <c r="AF138" s="297"/>
      <c r="AG138" s="297"/>
      <c r="AH138" s="297"/>
      <c r="AI138" s="297"/>
      <c r="AJ138" s="297"/>
      <c r="AK138" s="297"/>
      <c r="AL138" s="297"/>
      <c r="AM138" s="297"/>
      <c r="AO138" s="297"/>
      <c r="AP138" s="297"/>
      <c r="AQ138" s="297"/>
      <c r="AR138" s="297"/>
      <c r="AS138" s="297"/>
      <c r="AT138" s="297"/>
      <c r="AU138" s="297"/>
      <c r="AV138" s="297"/>
      <c r="AW138" s="297"/>
    </row>
    <row r="139" spans="1:49" x14ac:dyDescent="0.45">
      <c r="A139" s="295">
        <v>13575</v>
      </c>
      <c r="B139" s="12">
        <v>-7.7000000000000002E-3</v>
      </c>
      <c r="C139" s="5">
        <v>-5.7300000000000004E-2</v>
      </c>
      <c r="D139" s="5">
        <v>2.2000000000000001E-3</v>
      </c>
      <c r="E139" s="5">
        <v>2.7666666666666668E-3</v>
      </c>
      <c r="F139" s="5">
        <v>2.9166666666666668E-3</v>
      </c>
      <c r="G139" s="5">
        <v>2.8416666666666668E-3</v>
      </c>
      <c r="H139" s="5">
        <v>3.3333333333333331E-3</v>
      </c>
      <c r="I139" s="5">
        <f t="shared" si="22"/>
        <v>-9.9000000000000008E-3</v>
      </c>
      <c r="J139" s="5">
        <f t="shared" si="15"/>
        <v>-1.0541666666666668E-2</v>
      </c>
      <c r="K139" s="5">
        <f t="shared" si="16"/>
        <v>-6.0633333333333338E-2</v>
      </c>
      <c r="L139" s="8">
        <f t="shared" si="13"/>
        <v>0.25619612877050035</v>
      </c>
      <c r="M139" s="8">
        <f t="shared" si="14"/>
        <v>2.64E-2</v>
      </c>
      <c r="N139" s="8">
        <f t="shared" si="17"/>
        <v>3.4100000000000005E-2</v>
      </c>
      <c r="O139" s="296">
        <f t="shared" si="12"/>
        <v>0.22979612877050035</v>
      </c>
      <c r="P139" s="8">
        <f t="shared" si="18"/>
        <v>0.22209612877050033</v>
      </c>
      <c r="Q139" s="8">
        <f t="shared" si="19"/>
        <v>4.0015240542833119E-2</v>
      </c>
      <c r="R139" s="8">
        <f t="shared" si="20"/>
        <v>3.9999999999999994E-2</v>
      </c>
      <c r="S139" s="296">
        <f t="shared" si="21"/>
        <v>1.524054283312537E-5</v>
      </c>
      <c r="U139" s="297"/>
      <c r="V139" s="297"/>
      <c r="W139" s="297"/>
      <c r="X139" s="297"/>
      <c r="Y139" s="297"/>
      <c r="Z139" s="297"/>
      <c r="AA139" s="297"/>
      <c r="AB139" s="297"/>
      <c r="AC139" s="297"/>
      <c r="AE139" s="297"/>
      <c r="AF139" s="297"/>
      <c r="AG139" s="297"/>
      <c r="AH139" s="297"/>
      <c r="AI139" s="297"/>
      <c r="AJ139" s="297"/>
      <c r="AK139" s="297"/>
      <c r="AL139" s="297"/>
      <c r="AM139" s="297"/>
      <c r="AO139" s="297"/>
      <c r="AP139" s="297"/>
      <c r="AQ139" s="297"/>
      <c r="AR139" s="297"/>
      <c r="AS139" s="297"/>
      <c r="AT139" s="297"/>
      <c r="AU139" s="297"/>
      <c r="AV139" s="297"/>
      <c r="AW139" s="297"/>
    </row>
    <row r="140" spans="1:49" x14ac:dyDescent="0.45">
      <c r="A140" s="295">
        <v>13606</v>
      </c>
      <c r="B140" s="12">
        <v>-8.09E-2</v>
      </c>
      <c r="C140" s="5">
        <v>-7.3599999999999999E-2</v>
      </c>
      <c r="D140" s="5">
        <v>2.3E-3</v>
      </c>
      <c r="E140" s="5">
        <v>2.8499999999999997E-3</v>
      </c>
      <c r="F140" s="5">
        <v>2.9749999999999998E-3</v>
      </c>
      <c r="G140" s="5">
        <v>2.9125000000000002E-3</v>
      </c>
      <c r="H140" s="5">
        <v>3.3916666666666665E-3</v>
      </c>
      <c r="I140" s="5">
        <f t="shared" si="22"/>
        <v>-8.3199999999999996E-2</v>
      </c>
      <c r="J140" s="5">
        <f t="shared" si="15"/>
        <v>-8.3812499999999998E-2</v>
      </c>
      <c r="K140" s="5">
        <f t="shared" si="16"/>
        <v>-7.6991666666666667E-2</v>
      </c>
      <c r="L140" s="8">
        <f t="shared" si="13"/>
        <v>0.24831858790460259</v>
      </c>
      <c r="M140" s="8">
        <f t="shared" si="14"/>
        <v>2.76E-2</v>
      </c>
      <c r="N140" s="8">
        <f t="shared" si="17"/>
        <v>3.4950000000000002E-2</v>
      </c>
      <c r="O140" s="296">
        <f t="shared" si="12"/>
        <v>0.22071858790460258</v>
      </c>
      <c r="P140" s="8">
        <f t="shared" si="18"/>
        <v>0.21336858790460259</v>
      </c>
      <c r="Q140" s="8">
        <f t="shared" si="19"/>
        <v>4.8846199476247021E-2</v>
      </c>
      <c r="R140" s="8">
        <f t="shared" si="20"/>
        <v>4.07E-2</v>
      </c>
      <c r="S140" s="296">
        <f t="shared" si="21"/>
        <v>8.1461994762470208E-3</v>
      </c>
      <c r="U140" s="297"/>
      <c r="V140" s="297"/>
      <c r="W140" s="297"/>
      <c r="X140" s="297"/>
      <c r="Y140" s="297"/>
      <c r="Z140" s="297"/>
      <c r="AA140" s="297"/>
      <c r="AB140" s="297"/>
      <c r="AC140" s="297"/>
      <c r="AE140" s="297"/>
      <c r="AF140" s="297"/>
      <c r="AG140" s="297"/>
      <c r="AH140" s="297"/>
      <c r="AI140" s="297"/>
      <c r="AJ140" s="297"/>
      <c r="AK140" s="297"/>
      <c r="AL140" s="297"/>
      <c r="AM140" s="297"/>
      <c r="AO140" s="297"/>
      <c r="AP140" s="297"/>
      <c r="AQ140" s="297"/>
      <c r="AR140" s="297"/>
      <c r="AS140" s="297"/>
      <c r="AT140" s="297"/>
      <c r="AU140" s="297"/>
      <c r="AV140" s="297"/>
      <c r="AW140" s="297"/>
    </row>
    <row r="141" spans="1:49" x14ac:dyDescent="0.45">
      <c r="A141" s="295">
        <v>13636</v>
      </c>
      <c r="B141" s="12">
        <v>-2.3999999999999998E-3</v>
      </c>
      <c r="C141" s="5">
        <v>-5.16E-2</v>
      </c>
      <c r="D141" s="5">
        <v>2.2000000000000001E-3</v>
      </c>
      <c r="E141" s="5">
        <v>2.7750000000000001E-3</v>
      </c>
      <c r="F141" s="5">
        <v>2.8999999999999998E-3</v>
      </c>
      <c r="G141" s="5">
        <v>2.8375000000000002E-3</v>
      </c>
      <c r="H141" s="5">
        <v>3.3333333333333331E-3</v>
      </c>
      <c r="I141" s="5">
        <f t="shared" si="22"/>
        <v>-4.5999999999999999E-3</v>
      </c>
      <c r="J141" s="5">
        <f t="shared" si="15"/>
        <v>-5.2375E-3</v>
      </c>
      <c r="K141" s="5">
        <f t="shared" si="16"/>
        <v>-5.4933333333333334E-2</v>
      </c>
      <c r="L141" s="8">
        <f t="shared" si="13"/>
        <v>0.18096028761842731</v>
      </c>
      <c r="M141" s="8">
        <f t="shared" si="14"/>
        <v>2.64E-2</v>
      </c>
      <c r="N141" s="8">
        <f t="shared" si="17"/>
        <v>3.4050000000000004E-2</v>
      </c>
      <c r="O141" s="296">
        <f t="shared" si="12"/>
        <v>0.1545602876184273</v>
      </c>
      <c r="P141" s="8">
        <f t="shared" si="18"/>
        <v>0.14691028761842731</v>
      </c>
      <c r="Q141" s="8">
        <f t="shared" si="19"/>
        <v>-7.5619611947520649E-2</v>
      </c>
      <c r="R141" s="8">
        <f t="shared" si="20"/>
        <v>3.9999999999999994E-2</v>
      </c>
      <c r="S141" s="296">
        <f t="shared" si="21"/>
        <v>-0.11561961194752064</v>
      </c>
      <c r="U141" s="297"/>
      <c r="V141" s="297"/>
      <c r="W141" s="297"/>
      <c r="X141" s="297"/>
      <c r="Y141" s="297"/>
      <c r="Z141" s="297"/>
      <c r="AA141" s="297"/>
      <c r="AB141" s="297"/>
      <c r="AC141" s="297"/>
      <c r="AE141" s="297"/>
      <c r="AF141" s="297"/>
      <c r="AG141" s="297"/>
      <c r="AH141" s="297"/>
      <c r="AI141" s="297"/>
      <c r="AJ141" s="297"/>
      <c r="AK141" s="297"/>
      <c r="AL141" s="297"/>
      <c r="AM141" s="297"/>
      <c r="AO141" s="297"/>
      <c r="AP141" s="297"/>
      <c r="AQ141" s="297"/>
      <c r="AR141" s="297"/>
      <c r="AS141" s="297"/>
      <c r="AT141" s="297"/>
      <c r="AU141" s="297"/>
      <c r="AV141" s="297"/>
      <c r="AW141" s="297"/>
    </row>
    <row r="142" spans="1:49" x14ac:dyDescent="0.45">
      <c r="A142" s="295">
        <v>13667</v>
      </c>
      <c r="B142" s="12">
        <v>-5.04E-2</v>
      </c>
      <c r="C142" s="5">
        <v>-4.6699999999999998E-2</v>
      </c>
      <c r="D142" s="5">
        <v>2.5000000000000001E-3</v>
      </c>
      <c r="E142" s="5">
        <v>2.7333333333333333E-3</v>
      </c>
      <c r="F142" s="5">
        <v>2.8583333333333334E-3</v>
      </c>
      <c r="G142" s="5">
        <v>2.7958333333333329E-3</v>
      </c>
      <c r="H142" s="5">
        <v>3.3250000000000003E-3</v>
      </c>
      <c r="I142" s="5">
        <f t="shared" si="22"/>
        <v>-5.2900000000000003E-2</v>
      </c>
      <c r="J142" s="5">
        <f t="shared" si="15"/>
        <v>-5.3195833333333331E-2</v>
      </c>
      <c r="K142" s="5">
        <f t="shared" si="16"/>
        <v>-5.0025E-2</v>
      </c>
      <c r="L142" s="8">
        <f t="shared" si="13"/>
        <v>8.5299418486846523E-2</v>
      </c>
      <c r="M142" s="8">
        <f t="shared" si="14"/>
        <v>0.03</v>
      </c>
      <c r="N142" s="8">
        <f t="shared" si="17"/>
        <v>3.3549999999999996E-2</v>
      </c>
      <c r="O142" s="296">
        <f t="shared" si="12"/>
        <v>5.5299418486846524E-2</v>
      </c>
      <c r="P142" s="8">
        <f t="shared" si="18"/>
        <v>5.1749418486846527E-2</v>
      </c>
      <c r="Q142" s="8">
        <f t="shared" si="19"/>
        <v>-0.14858760972905438</v>
      </c>
      <c r="R142" s="8">
        <f t="shared" si="20"/>
        <v>3.9900000000000005E-2</v>
      </c>
      <c r="S142" s="296">
        <f t="shared" si="21"/>
        <v>-0.18848760972905437</v>
      </c>
      <c r="U142" s="297"/>
      <c r="V142" s="297"/>
      <c r="W142" s="297"/>
      <c r="X142" s="297"/>
      <c r="Y142" s="297"/>
      <c r="Z142" s="297"/>
      <c r="AA142" s="297"/>
      <c r="AB142" s="297"/>
      <c r="AC142" s="297"/>
      <c r="AE142" s="297"/>
      <c r="AF142" s="297"/>
      <c r="AG142" s="297"/>
      <c r="AH142" s="297"/>
      <c r="AI142" s="297"/>
      <c r="AJ142" s="297"/>
      <c r="AK142" s="297"/>
      <c r="AL142" s="297"/>
      <c r="AM142" s="297"/>
      <c r="AO142" s="297"/>
      <c r="AP142" s="297"/>
      <c r="AQ142" s="297"/>
      <c r="AR142" s="297"/>
      <c r="AS142" s="297"/>
      <c r="AT142" s="297"/>
      <c r="AU142" s="297"/>
      <c r="AV142" s="297"/>
      <c r="AW142" s="297"/>
    </row>
    <row r="143" spans="1:49" x14ac:dyDescent="0.45">
      <c r="A143" s="295">
        <v>13697</v>
      </c>
      <c r="B143" s="12">
        <v>0.1045</v>
      </c>
      <c r="C143" s="5">
        <v>0.1671</v>
      </c>
      <c r="D143" s="5">
        <v>2.3999999999999998E-3</v>
      </c>
      <c r="E143" s="5">
        <v>2.708333333333333E-3</v>
      </c>
      <c r="F143" s="5">
        <v>2.8416666666666668E-3</v>
      </c>
      <c r="G143" s="5">
        <v>2.7749999999999997E-3</v>
      </c>
      <c r="H143" s="5">
        <v>3.283333333333333E-3</v>
      </c>
      <c r="I143" s="5">
        <f t="shared" si="22"/>
        <v>0.1021</v>
      </c>
      <c r="J143" s="5">
        <f t="shared" si="15"/>
        <v>0.101725</v>
      </c>
      <c r="K143" s="5">
        <f t="shared" si="16"/>
        <v>0.16381666666666667</v>
      </c>
      <c r="L143" s="8">
        <f t="shared" si="13"/>
        <v>0.12018802702431697</v>
      </c>
      <c r="M143" s="8">
        <f t="shared" si="14"/>
        <v>2.8799999999999999E-2</v>
      </c>
      <c r="N143" s="8">
        <f t="shared" si="17"/>
        <v>3.3299999999999996E-2</v>
      </c>
      <c r="O143" s="296">
        <f t="shared" si="12"/>
        <v>9.1388027024316976E-2</v>
      </c>
      <c r="P143" s="8">
        <f t="shared" si="18"/>
        <v>8.6888027024316972E-2</v>
      </c>
      <c r="Q143" s="8">
        <f t="shared" si="19"/>
        <v>-9.7389953051848166E-2</v>
      </c>
      <c r="R143" s="8">
        <f t="shared" si="20"/>
        <v>3.9399999999999998E-2</v>
      </c>
      <c r="S143" s="296">
        <f t="shared" si="21"/>
        <v>-0.13678995305184816</v>
      </c>
      <c r="U143" s="297"/>
      <c r="V143" s="297"/>
      <c r="W143" s="297"/>
      <c r="X143" s="297"/>
      <c r="Y143" s="297"/>
      <c r="Z143" s="297"/>
      <c r="AA143" s="297"/>
      <c r="AB143" s="297"/>
      <c r="AC143" s="297"/>
      <c r="AE143" s="297"/>
      <c r="AF143" s="297"/>
      <c r="AG143" s="297"/>
      <c r="AH143" s="297"/>
      <c r="AI143" s="297"/>
      <c r="AJ143" s="297"/>
      <c r="AK143" s="297"/>
      <c r="AL143" s="297"/>
      <c r="AM143" s="297"/>
      <c r="AO143" s="297"/>
      <c r="AP143" s="297"/>
      <c r="AQ143" s="297"/>
      <c r="AR143" s="297"/>
      <c r="AS143" s="297"/>
      <c r="AT143" s="297"/>
      <c r="AU143" s="297"/>
      <c r="AV143" s="297"/>
      <c r="AW143" s="297"/>
    </row>
    <row r="144" spans="1:49" x14ac:dyDescent="0.45">
      <c r="A144" s="295">
        <v>13728</v>
      </c>
      <c r="B144" s="12">
        <v>-4.8300000000000003E-2</v>
      </c>
      <c r="C144" s="5">
        <v>-9.0300000000000005E-2</v>
      </c>
      <c r="D144" s="5">
        <v>2.3E-3</v>
      </c>
      <c r="E144" s="5">
        <v>2.7000000000000001E-3</v>
      </c>
      <c r="F144" s="5">
        <v>2.8416666666666668E-3</v>
      </c>
      <c r="G144" s="5">
        <v>2.7708333333333335E-3</v>
      </c>
      <c r="H144" s="5">
        <v>3.2416666666666666E-3</v>
      </c>
      <c r="I144" s="5">
        <f t="shared" si="22"/>
        <v>-5.0600000000000006E-2</v>
      </c>
      <c r="J144" s="5">
        <f t="shared" si="15"/>
        <v>-5.1070833333333336E-2</v>
      </c>
      <c r="K144" s="5">
        <f t="shared" si="16"/>
        <v>-9.3541666666666676E-2</v>
      </c>
      <c r="L144" s="8">
        <f t="shared" si="13"/>
        <v>5.0224554545407196E-2</v>
      </c>
      <c r="M144" s="8">
        <f t="shared" si="14"/>
        <v>2.76E-2</v>
      </c>
      <c r="N144" s="8">
        <f t="shared" si="17"/>
        <v>3.3250000000000002E-2</v>
      </c>
      <c r="O144" s="296">
        <f t="shared" ref="O144:O207" si="23">L144-M144</f>
        <v>2.2624554545407197E-2</v>
      </c>
      <c r="P144" s="8">
        <f t="shared" si="18"/>
        <v>1.6974554545407194E-2</v>
      </c>
      <c r="Q144" s="8">
        <f t="shared" si="19"/>
        <v>-0.17741498726834937</v>
      </c>
      <c r="R144" s="8">
        <f t="shared" si="20"/>
        <v>3.8899999999999997E-2</v>
      </c>
      <c r="S144" s="296">
        <f t="shared" si="21"/>
        <v>-0.21631498726834936</v>
      </c>
      <c r="U144" s="297"/>
      <c r="V144" s="297"/>
      <c r="W144" s="297"/>
      <c r="X144" s="297"/>
      <c r="Y144" s="297"/>
      <c r="Z144" s="297"/>
      <c r="AA144" s="297"/>
      <c r="AB144" s="297"/>
      <c r="AC144" s="297"/>
      <c r="AE144" s="297"/>
      <c r="AF144" s="297"/>
      <c r="AG144" s="297"/>
      <c r="AH144" s="297"/>
      <c r="AI144" s="297"/>
      <c r="AJ144" s="297"/>
      <c r="AK144" s="297"/>
      <c r="AL144" s="297"/>
      <c r="AM144" s="297"/>
      <c r="AO144" s="297"/>
      <c r="AP144" s="297"/>
      <c r="AQ144" s="297"/>
      <c r="AR144" s="297"/>
      <c r="AS144" s="297"/>
      <c r="AT144" s="297"/>
      <c r="AU144" s="297"/>
      <c r="AV144" s="297"/>
      <c r="AW144" s="297"/>
    </row>
    <row r="145" spans="1:49" x14ac:dyDescent="0.45">
      <c r="A145" s="295">
        <v>13759</v>
      </c>
      <c r="B145" s="12">
        <v>-0.14030000000000001</v>
      </c>
      <c r="C145" s="5">
        <v>-0.1174</v>
      </c>
      <c r="D145" s="5">
        <v>2.3E-3</v>
      </c>
      <c r="E145" s="5">
        <v>2.7333333333333333E-3</v>
      </c>
      <c r="F145" s="5">
        <v>2.8833333333333332E-3</v>
      </c>
      <c r="G145" s="5">
        <v>2.8083333333333333E-3</v>
      </c>
      <c r="H145" s="5">
        <v>3.3E-3</v>
      </c>
      <c r="I145" s="5">
        <f t="shared" si="22"/>
        <v>-0.1426</v>
      </c>
      <c r="J145" s="5">
        <f t="shared" si="15"/>
        <v>-0.14310833333333334</v>
      </c>
      <c r="K145" s="5">
        <f t="shared" si="16"/>
        <v>-0.1207</v>
      </c>
      <c r="L145" s="8">
        <f t="shared" ref="L145:L208" si="24">((1+B134)*(1+B135)*(1+B136)*(1+B137)*(1+B138)*(1+B139)*(1+B140)*(1+B141)*(1+B142)*(1+B143)*(1+B144)*(1+B145))-1</f>
        <v>-9.9912222567354769E-2</v>
      </c>
      <c r="M145" s="8">
        <f t="shared" ref="M145:M208" si="25">D145*12</f>
        <v>2.76E-2</v>
      </c>
      <c r="N145" s="8">
        <f t="shared" si="17"/>
        <v>3.3700000000000001E-2</v>
      </c>
      <c r="O145" s="296">
        <f t="shared" si="23"/>
        <v>-0.12751222256735478</v>
      </c>
      <c r="P145" s="8">
        <f t="shared" si="18"/>
        <v>-0.13361222256735478</v>
      </c>
      <c r="Q145" s="8">
        <f t="shared" si="19"/>
        <v>-0.25727515883687468</v>
      </c>
      <c r="R145" s="8">
        <f t="shared" si="20"/>
        <v>3.9599999999999996E-2</v>
      </c>
      <c r="S145" s="296">
        <f t="shared" si="21"/>
        <v>-0.29687515883687465</v>
      </c>
      <c r="U145" s="297"/>
      <c r="V145" s="297"/>
      <c r="W145" s="297"/>
      <c r="X145" s="297"/>
      <c r="Y145" s="297"/>
      <c r="Z145" s="297"/>
      <c r="AA145" s="297"/>
      <c r="AB145" s="297"/>
      <c r="AC145" s="297"/>
      <c r="AE145" s="297"/>
      <c r="AF145" s="297"/>
      <c r="AG145" s="297"/>
      <c r="AH145" s="297"/>
      <c r="AI145" s="297"/>
      <c r="AJ145" s="297"/>
      <c r="AK145" s="297"/>
      <c r="AL145" s="297"/>
      <c r="AM145" s="297"/>
      <c r="AO145" s="297"/>
      <c r="AP145" s="297"/>
      <c r="AQ145" s="297"/>
      <c r="AR145" s="297"/>
      <c r="AS145" s="297"/>
      <c r="AT145" s="297"/>
      <c r="AU145" s="297"/>
      <c r="AV145" s="297"/>
      <c r="AW145" s="297"/>
    </row>
    <row r="146" spans="1:49" x14ac:dyDescent="0.45">
      <c r="A146" s="295">
        <v>13789</v>
      </c>
      <c r="B146" s="12">
        <v>-9.8100000000000007E-2</v>
      </c>
      <c r="C146" s="5">
        <v>-5.16E-2</v>
      </c>
      <c r="D146" s="5">
        <v>2.3E-3</v>
      </c>
      <c r="E146" s="5">
        <v>2.725E-3</v>
      </c>
      <c r="F146" s="5">
        <v>2.9416666666666662E-3</v>
      </c>
      <c r="G146" s="5">
        <v>2.8333333333333331E-3</v>
      </c>
      <c r="H146" s="5">
        <v>3.4083333333333331E-3</v>
      </c>
      <c r="I146" s="5">
        <f t="shared" si="22"/>
        <v>-0.1004</v>
      </c>
      <c r="J146" s="5">
        <f t="shared" si="15"/>
        <v>-0.10093333333333333</v>
      </c>
      <c r="K146" s="5">
        <f t="shared" si="16"/>
        <v>-5.5008333333333333E-2</v>
      </c>
      <c r="L146" s="8">
        <f t="shared" si="24"/>
        <v>-0.24659938146960281</v>
      </c>
      <c r="M146" s="8">
        <f t="shared" si="25"/>
        <v>2.76E-2</v>
      </c>
      <c r="N146" s="8">
        <f t="shared" si="17"/>
        <v>3.3999999999999996E-2</v>
      </c>
      <c r="O146" s="296">
        <f t="shared" si="23"/>
        <v>-0.27419938146960282</v>
      </c>
      <c r="P146" s="8">
        <f t="shared" si="18"/>
        <v>-0.28059938146960278</v>
      </c>
      <c r="Q146" s="8">
        <f t="shared" si="19"/>
        <v>-0.33333310679622552</v>
      </c>
      <c r="R146" s="8">
        <f t="shared" si="20"/>
        <v>4.0899999999999999E-2</v>
      </c>
      <c r="S146" s="296">
        <f t="shared" si="21"/>
        <v>-0.37423310679622551</v>
      </c>
      <c r="U146" s="297"/>
      <c r="V146" s="297"/>
      <c r="W146" s="297"/>
      <c r="X146" s="297"/>
      <c r="Y146" s="297"/>
      <c r="Z146" s="297"/>
      <c r="AA146" s="297"/>
      <c r="AB146" s="297"/>
      <c r="AC146" s="297"/>
      <c r="AE146" s="297"/>
      <c r="AF146" s="297"/>
      <c r="AG146" s="297"/>
      <c r="AH146" s="297"/>
      <c r="AI146" s="297"/>
      <c r="AJ146" s="297"/>
      <c r="AK146" s="297"/>
      <c r="AL146" s="297"/>
      <c r="AM146" s="297"/>
      <c r="AO146" s="297"/>
      <c r="AP146" s="297"/>
      <c r="AQ146" s="297"/>
      <c r="AR146" s="297"/>
      <c r="AS146" s="297"/>
      <c r="AT146" s="297"/>
      <c r="AU146" s="297"/>
      <c r="AV146" s="297"/>
      <c r="AW146" s="297"/>
    </row>
    <row r="147" spans="1:49" x14ac:dyDescent="0.45">
      <c r="A147" s="295">
        <v>13820</v>
      </c>
      <c r="B147" s="12">
        <v>-8.6599999999999996E-2</v>
      </c>
      <c r="C147" s="5">
        <v>8.0000000000000002E-3</v>
      </c>
      <c r="D147" s="5">
        <v>2.3999999999999998E-3</v>
      </c>
      <c r="E147" s="5">
        <v>2.7000000000000001E-3</v>
      </c>
      <c r="F147" s="5">
        <v>2.9499999999999999E-3</v>
      </c>
      <c r="G147" s="5">
        <v>2.8249999999999998E-3</v>
      </c>
      <c r="H147" s="5">
        <v>3.4000000000000002E-3</v>
      </c>
      <c r="I147" s="5">
        <f t="shared" si="22"/>
        <v>-8.8999999999999996E-2</v>
      </c>
      <c r="J147" s="5">
        <f t="shared" si="15"/>
        <v>-8.9424999999999991E-2</v>
      </c>
      <c r="K147" s="5">
        <f t="shared" si="16"/>
        <v>4.5999999999999999E-3</v>
      </c>
      <c r="L147" s="8">
        <f t="shared" si="24"/>
        <v>-0.32094323567627325</v>
      </c>
      <c r="M147" s="8">
        <f t="shared" si="25"/>
        <v>2.8799999999999999E-2</v>
      </c>
      <c r="N147" s="8">
        <f t="shared" si="17"/>
        <v>3.39E-2</v>
      </c>
      <c r="O147" s="296">
        <f t="shared" si="23"/>
        <v>-0.34974323567627325</v>
      </c>
      <c r="P147" s="8">
        <f t="shared" si="18"/>
        <v>-0.35484323567627324</v>
      </c>
      <c r="Q147" s="8">
        <f t="shared" si="19"/>
        <v>-0.31644773843006335</v>
      </c>
      <c r="R147" s="8">
        <f t="shared" si="20"/>
        <v>4.0800000000000003E-2</v>
      </c>
      <c r="S147" s="296">
        <f t="shared" si="21"/>
        <v>-0.35724773843006336</v>
      </c>
      <c r="U147" s="297"/>
      <c r="V147" s="297"/>
      <c r="W147" s="297"/>
      <c r="X147" s="297"/>
      <c r="Y147" s="297"/>
      <c r="Z147" s="297"/>
      <c r="AA147" s="297"/>
      <c r="AB147" s="297"/>
      <c r="AC147" s="297"/>
      <c r="AE147" s="297"/>
      <c r="AF147" s="297"/>
      <c r="AG147" s="297"/>
      <c r="AH147" s="297"/>
      <c r="AI147" s="297"/>
      <c r="AJ147" s="297"/>
      <c r="AK147" s="297"/>
      <c r="AL147" s="297"/>
      <c r="AM147" s="297"/>
      <c r="AO147" s="297"/>
      <c r="AP147" s="297"/>
      <c r="AQ147" s="297"/>
      <c r="AR147" s="297"/>
      <c r="AS147" s="297"/>
      <c r="AT147" s="297"/>
      <c r="AU147" s="297"/>
      <c r="AV147" s="297"/>
      <c r="AW147" s="297"/>
    </row>
    <row r="148" spans="1:49" x14ac:dyDescent="0.45">
      <c r="A148" s="295">
        <v>13850</v>
      </c>
      <c r="B148" s="12">
        <v>-4.5900000000000003E-2</v>
      </c>
      <c r="C148" s="5">
        <v>-9.5100000000000004E-2</v>
      </c>
      <c r="D148" s="5">
        <v>2.3E-3</v>
      </c>
      <c r="E148" s="5">
        <v>2.6750000000000003E-3</v>
      </c>
      <c r="F148" s="5">
        <v>2.9166666666666668E-3</v>
      </c>
      <c r="G148" s="5">
        <v>2.7958333333333333E-3</v>
      </c>
      <c r="H148" s="5">
        <v>3.3583333333333338E-3</v>
      </c>
      <c r="I148" s="5">
        <f t="shared" si="22"/>
        <v>-4.8200000000000007E-2</v>
      </c>
      <c r="J148" s="5">
        <f t="shared" si="15"/>
        <v>-4.8695833333333334E-2</v>
      </c>
      <c r="K148" s="5">
        <f t="shared" si="16"/>
        <v>-9.8458333333333342E-2</v>
      </c>
      <c r="L148" s="8">
        <f t="shared" si="24"/>
        <v>-0.35022760120221885</v>
      </c>
      <c r="M148" s="8">
        <f t="shared" si="25"/>
        <v>2.76E-2</v>
      </c>
      <c r="N148" s="8">
        <f t="shared" si="17"/>
        <v>3.3549999999999996E-2</v>
      </c>
      <c r="O148" s="296">
        <f t="shared" si="23"/>
        <v>-0.37782760120221887</v>
      </c>
      <c r="P148" s="8">
        <f t="shared" si="18"/>
        <v>-0.38377760120221882</v>
      </c>
      <c r="Q148" s="8">
        <f t="shared" si="19"/>
        <v>-0.37050026308300876</v>
      </c>
      <c r="R148" s="8">
        <f t="shared" si="20"/>
        <v>4.0300000000000002E-2</v>
      </c>
      <c r="S148" s="296">
        <f t="shared" si="21"/>
        <v>-0.41080026308300877</v>
      </c>
      <c r="U148" s="297"/>
      <c r="V148" s="297"/>
      <c r="W148" s="297"/>
      <c r="X148" s="297"/>
      <c r="Y148" s="297"/>
      <c r="Z148" s="297"/>
      <c r="AA148" s="297"/>
      <c r="AB148" s="297"/>
      <c r="AC148" s="297"/>
      <c r="AE148" s="297"/>
      <c r="AF148" s="297"/>
      <c r="AG148" s="297"/>
      <c r="AH148" s="297"/>
      <c r="AI148" s="297"/>
      <c r="AJ148" s="297"/>
      <c r="AK148" s="297"/>
      <c r="AL148" s="297"/>
      <c r="AM148" s="297"/>
      <c r="AO148" s="297"/>
      <c r="AP148" s="297"/>
      <c r="AQ148" s="297"/>
      <c r="AR148" s="297"/>
      <c r="AS148" s="297"/>
      <c r="AT148" s="297"/>
      <c r="AU148" s="297"/>
      <c r="AV148" s="297"/>
      <c r="AW148" s="297"/>
    </row>
    <row r="149" spans="1:49" x14ac:dyDescent="0.45">
      <c r="A149" s="295">
        <v>13881</v>
      </c>
      <c r="B149" s="12">
        <v>1.52E-2</v>
      </c>
      <c r="C149" s="5">
        <v>-3.6799999999999999E-2</v>
      </c>
      <c r="D149" s="5">
        <v>2.3E-3</v>
      </c>
      <c r="E149" s="5">
        <v>2.6416666666666667E-3</v>
      </c>
      <c r="F149" s="5">
        <v>2.9166666666666668E-3</v>
      </c>
      <c r="G149" s="5">
        <v>2.7791666666666672E-3</v>
      </c>
      <c r="H149" s="5">
        <v>3.3416666666666668E-3</v>
      </c>
      <c r="I149" s="5">
        <f t="shared" si="22"/>
        <v>1.29E-2</v>
      </c>
      <c r="J149" s="5">
        <f t="shared" si="15"/>
        <v>1.2420833333333332E-2</v>
      </c>
      <c r="K149" s="5">
        <f t="shared" si="16"/>
        <v>-4.0141666666666666E-2</v>
      </c>
      <c r="L149" s="8">
        <f t="shared" si="24"/>
        <v>-0.36511170427381356</v>
      </c>
      <c r="M149" s="8">
        <f t="shared" si="25"/>
        <v>2.76E-2</v>
      </c>
      <c r="N149" s="8">
        <f t="shared" si="17"/>
        <v>3.3350000000000005E-2</v>
      </c>
      <c r="O149" s="296">
        <f t="shared" si="23"/>
        <v>-0.39271170427381358</v>
      </c>
      <c r="P149" s="8">
        <f t="shared" si="18"/>
        <v>-0.39846170427381356</v>
      </c>
      <c r="Q149" s="8">
        <f t="shared" si="19"/>
        <v>-0.40526322059985675</v>
      </c>
      <c r="R149" s="8">
        <f t="shared" si="20"/>
        <v>4.0100000000000004E-2</v>
      </c>
      <c r="S149" s="296">
        <f t="shared" si="21"/>
        <v>-0.44536322059985678</v>
      </c>
      <c r="U149" s="297"/>
      <c r="V149" s="297"/>
      <c r="W149" s="297"/>
      <c r="X149" s="297"/>
      <c r="Y149" s="297"/>
      <c r="Z149" s="297"/>
      <c r="AA149" s="297"/>
      <c r="AB149" s="297"/>
      <c r="AC149" s="297"/>
      <c r="AE149" s="297"/>
      <c r="AF149" s="297"/>
      <c r="AG149" s="297"/>
      <c r="AH149" s="297"/>
      <c r="AI149" s="297"/>
      <c r="AJ149" s="297"/>
      <c r="AK149" s="297"/>
      <c r="AL149" s="297"/>
      <c r="AM149" s="297"/>
      <c r="AO149" s="297"/>
      <c r="AP149" s="297"/>
      <c r="AQ149" s="297"/>
      <c r="AR149" s="297"/>
      <c r="AS149" s="297"/>
      <c r="AT149" s="297"/>
      <c r="AU149" s="297"/>
      <c r="AV149" s="297"/>
      <c r="AW149" s="297"/>
    </row>
    <row r="150" spans="1:49" x14ac:dyDescent="0.45">
      <c r="A150" s="295">
        <v>13912</v>
      </c>
      <c r="B150" s="12">
        <v>6.7400000000000002E-2</v>
      </c>
      <c r="C150" s="5">
        <v>3.4099999999999998E-2</v>
      </c>
      <c r="D150" s="5">
        <v>2.0999999999999999E-3</v>
      </c>
      <c r="E150" s="5">
        <v>2.6666666666666666E-3</v>
      </c>
      <c r="F150" s="5">
        <v>2.9249999999999996E-3</v>
      </c>
      <c r="G150" s="5">
        <v>2.7958333333333329E-3</v>
      </c>
      <c r="H150" s="5">
        <v>3.3583333333333338E-3</v>
      </c>
      <c r="I150" s="5">
        <f t="shared" si="22"/>
        <v>6.5299999999999997E-2</v>
      </c>
      <c r="J150" s="5">
        <f t="shared" si="15"/>
        <v>6.4604166666666671E-2</v>
      </c>
      <c r="K150" s="5">
        <f t="shared" si="16"/>
        <v>3.0741666666666664E-2</v>
      </c>
      <c r="L150" s="8">
        <f t="shared" si="24"/>
        <v>-0.33502132581873079</v>
      </c>
      <c r="M150" s="8">
        <f t="shared" si="25"/>
        <v>2.52E-2</v>
      </c>
      <c r="N150" s="8">
        <f t="shared" si="17"/>
        <v>3.3549999999999996E-2</v>
      </c>
      <c r="O150" s="296">
        <f t="shared" si="23"/>
        <v>-0.36022132581873079</v>
      </c>
      <c r="P150" s="8">
        <f t="shared" si="18"/>
        <v>-0.36857132581873076</v>
      </c>
      <c r="Q150" s="8">
        <f t="shared" si="19"/>
        <v>-0.36247817603639676</v>
      </c>
      <c r="R150" s="8">
        <f t="shared" si="20"/>
        <v>4.0300000000000002E-2</v>
      </c>
      <c r="S150" s="296">
        <f t="shared" si="21"/>
        <v>-0.40277817603639676</v>
      </c>
      <c r="U150" s="297"/>
      <c r="V150" s="297"/>
      <c r="W150" s="297"/>
      <c r="X150" s="297"/>
      <c r="Y150" s="297"/>
      <c r="Z150" s="297"/>
      <c r="AA150" s="297"/>
      <c r="AB150" s="297"/>
      <c r="AC150" s="297"/>
      <c r="AE150" s="297"/>
      <c r="AF150" s="297"/>
      <c r="AG150" s="297"/>
      <c r="AH150" s="297"/>
      <c r="AI150" s="297"/>
      <c r="AJ150" s="297"/>
      <c r="AK150" s="297"/>
      <c r="AL150" s="297"/>
      <c r="AM150" s="297"/>
      <c r="AO150" s="297"/>
      <c r="AP150" s="297"/>
      <c r="AQ150" s="297"/>
      <c r="AR150" s="297"/>
      <c r="AS150" s="297"/>
      <c r="AT150" s="297"/>
      <c r="AU150" s="297"/>
      <c r="AV150" s="297"/>
      <c r="AW150" s="297"/>
    </row>
    <row r="151" spans="1:49" x14ac:dyDescent="0.45">
      <c r="A151" s="295">
        <v>13940</v>
      </c>
      <c r="B151" s="12">
        <v>-0.2487</v>
      </c>
      <c r="C151" s="5">
        <v>-0.19839999999999999</v>
      </c>
      <c r="D151" s="5">
        <v>2.3E-3</v>
      </c>
      <c r="E151" s="5">
        <v>2.6833333333333336E-3</v>
      </c>
      <c r="F151" s="5">
        <v>2.9666666666666669E-3</v>
      </c>
      <c r="G151" s="5">
        <v>2.8250000000000003E-3</v>
      </c>
      <c r="H151" s="5">
        <v>3.3250000000000003E-3</v>
      </c>
      <c r="I151" s="5">
        <f t="shared" si="22"/>
        <v>-0.251</v>
      </c>
      <c r="J151" s="5">
        <f t="shared" si="15"/>
        <v>-0.251525</v>
      </c>
      <c r="K151" s="5">
        <f t="shared" si="16"/>
        <v>-0.20172499999999999</v>
      </c>
      <c r="L151" s="8">
        <f t="shared" si="24"/>
        <v>-0.49652476276087132</v>
      </c>
      <c r="M151" s="8">
        <f t="shared" si="25"/>
        <v>2.76E-2</v>
      </c>
      <c r="N151" s="8">
        <f t="shared" si="17"/>
        <v>3.39E-2</v>
      </c>
      <c r="O151" s="296">
        <f t="shared" si="23"/>
        <v>-0.52412476276087128</v>
      </c>
      <c r="P151" s="8">
        <f t="shared" si="18"/>
        <v>-0.53042476276087136</v>
      </c>
      <c r="Q151" s="8">
        <f t="shared" si="19"/>
        <v>-0.45790018660313525</v>
      </c>
      <c r="R151" s="8">
        <f t="shared" si="20"/>
        <v>3.9900000000000005E-2</v>
      </c>
      <c r="S151" s="296">
        <f t="shared" si="21"/>
        <v>-0.49780018660313524</v>
      </c>
      <c r="U151" s="297"/>
      <c r="V151" s="297"/>
      <c r="W151" s="297"/>
      <c r="X151" s="297"/>
      <c r="Y151" s="297"/>
      <c r="Z151" s="297"/>
      <c r="AA151" s="297"/>
      <c r="AB151" s="297"/>
      <c r="AC151" s="297"/>
      <c r="AE151" s="297"/>
      <c r="AF151" s="297"/>
      <c r="AG151" s="297"/>
      <c r="AH151" s="297"/>
      <c r="AI151" s="297"/>
      <c r="AJ151" s="297"/>
      <c r="AK151" s="297"/>
      <c r="AL151" s="297"/>
      <c r="AM151" s="297"/>
      <c r="AO151" s="297"/>
      <c r="AP151" s="297"/>
      <c r="AQ151" s="297"/>
      <c r="AR151" s="297"/>
      <c r="AS151" s="297"/>
      <c r="AT151" s="297"/>
      <c r="AU151" s="297"/>
      <c r="AV151" s="297"/>
      <c r="AW151" s="297"/>
    </row>
    <row r="152" spans="1:49" x14ac:dyDescent="0.45">
      <c r="A152" s="295">
        <v>13971</v>
      </c>
      <c r="B152" s="12">
        <v>0.1447</v>
      </c>
      <c r="C152" s="5">
        <v>0.15379999999999999</v>
      </c>
      <c r="D152" s="5">
        <v>2.2000000000000001E-3</v>
      </c>
      <c r="E152" s="5">
        <v>2.7499999999999998E-3</v>
      </c>
      <c r="F152" s="5">
        <v>3.1083333333333336E-3</v>
      </c>
      <c r="G152" s="5">
        <v>2.9291666666666667E-3</v>
      </c>
      <c r="H152" s="5">
        <v>3.4000000000000002E-3</v>
      </c>
      <c r="I152" s="5">
        <f t="shared" si="22"/>
        <v>0.14249999999999999</v>
      </c>
      <c r="J152" s="5">
        <f t="shared" si="15"/>
        <v>0.14177083333333332</v>
      </c>
      <c r="K152" s="5">
        <f t="shared" si="16"/>
        <v>0.15039999999999998</v>
      </c>
      <c r="L152" s="8">
        <f t="shared" si="24"/>
        <v>-0.37294298327969677</v>
      </c>
      <c r="M152" s="8">
        <f t="shared" si="25"/>
        <v>2.64E-2</v>
      </c>
      <c r="N152" s="8">
        <f t="shared" si="17"/>
        <v>3.5150000000000001E-2</v>
      </c>
      <c r="O152" s="296">
        <f t="shared" si="23"/>
        <v>-0.39934298327969675</v>
      </c>
      <c r="P152" s="8">
        <f t="shared" si="18"/>
        <v>-0.40809298327969679</v>
      </c>
      <c r="Q152" s="8">
        <f t="shared" si="19"/>
        <v>-0.32483293966180649</v>
      </c>
      <c r="R152" s="8">
        <f t="shared" si="20"/>
        <v>4.0800000000000003E-2</v>
      </c>
      <c r="S152" s="296">
        <f t="shared" si="21"/>
        <v>-0.36563293966180649</v>
      </c>
      <c r="U152" s="297"/>
      <c r="V152" s="297"/>
      <c r="W152" s="297"/>
      <c r="X152" s="297"/>
      <c r="Y152" s="297"/>
      <c r="Z152" s="297"/>
      <c r="AA152" s="297"/>
      <c r="AB152" s="297"/>
      <c r="AC152" s="297"/>
      <c r="AE152" s="297"/>
      <c r="AF152" s="297"/>
      <c r="AG152" s="297"/>
      <c r="AH152" s="297"/>
      <c r="AI152" s="297"/>
      <c r="AJ152" s="297"/>
      <c r="AK152" s="297"/>
      <c r="AL152" s="297"/>
      <c r="AM152" s="297"/>
      <c r="AO152" s="297"/>
      <c r="AP152" s="297"/>
      <c r="AQ152" s="297"/>
      <c r="AR152" s="297"/>
      <c r="AS152" s="297"/>
      <c r="AT152" s="297"/>
      <c r="AU152" s="297"/>
      <c r="AV152" s="297"/>
      <c r="AW152" s="297"/>
    </row>
    <row r="153" spans="1:49" x14ac:dyDescent="0.45">
      <c r="A153" s="295">
        <v>14001</v>
      </c>
      <c r="B153" s="12">
        <v>-3.3000000000000002E-2</v>
      </c>
      <c r="C153" s="5">
        <v>1.8100000000000002E-2</v>
      </c>
      <c r="D153" s="5">
        <v>2.2000000000000001E-3</v>
      </c>
      <c r="E153" s="5">
        <v>2.6833333333333336E-3</v>
      </c>
      <c r="F153" s="5">
        <v>2.9666666666666669E-3</v>
      </c>
      <c r="G153" s="5">
        <v>2.8250000000000003E-3</v>
      </c>
      <c r="H153" s="5">
        <v>3.2916666666666667E-3</v>
      </c>
      <c r="I153" s="5">
        <f t="shared" si="22"/>
        <v>-3.5200000000000002E-2</v>
      </c>
      <c r="J153" s="5">
        <f t="shared" si="15"/>
        <v>-3.5825000000000003E-2</v>
      </c>
      <c r="K153" s="5">
        <f t="shared" si="16"/>
        <v>1.4808333333333335E-2</v>
      </c>
      <c r="L153" s="8">
        <f t="shared" si="24"/>
        <v>-0.39217708984709976</v>
      </c>
      <c r="M153" s="8">
        <f t="shared" si="25"/>
        <v>2.64E-2</v>
      </c>
      <c r="N153" s="8">
        <f t="shared" si="17"/>
        <v>3.39E-2</v>
      </c>
      <c r="O153" s="296">
        <f t="shared" si="23"/>
        <v>-0.41857708984709974</v>
      </c>
      <c r="P153" s="8">
        <f t="shared" si="18"/>
        <v>-0.42607708984709974</v>
      </c>
      <c r="Q153" s="8">
        <f t="shared" si="19"/>
        <v>-0.27521342879553501</v>
      </c>
      <c r="R153" s="8">
        <f t="shared" si="20"/>
        <v>3.95E-2</v>
      </c>
      <c r="S153" s="296">
        <f t="shared" si="21"/>
        <v>-0.31471342879553499</v>
      </c>
      <c r="U153" s="297"/>
      <c r="V153" s="297"/>
      <c r="W153" s="297"/>
      <c r="X153" s="297"/>
      <c r="Y153" s="297"/>
      <c r="Z153" s="297"/>
      <c r="AA153" s="297"/>
      <c r="AB153" s="297"/>
      <c r="AC153" s="297"/>
      <c r="AE153" s="297"/>
      <c r="AF153" s="297"/>
      <c r="AG153" s="297"/>
      <c r="AH153" s="297"/>
      <c r="AI153" s="297"/>
      <c r="AJ153" s="297"/>
      <c r="AK153" s="297"/>
      <c r="AL153" s="297"/>
      <c r="AM153" s="297"/>
      <c r="AO153" s="297"/>
      <c r="AP153" s="297"/>
      <c r="AQ153" s="297"/>
      <c r="AR153" s="297"/>
      <c r="AS153" s="297"/>
      <c r="AT153" s="297"/>
      <c r="AU153" s="297"/>
      <c r="AV153" s="297"/>
      <c r="AW153" s="297"/>
    </row>
    <row r="154" spans="1:49" x14ac:dyDescent="0.45">
      <c r="A154" s="295">
        <v>14032</v>
      </c>
      <c r="B154" s="12">
        <v>0.25030000000000002</v>
      </c>
      <c r="C154" s="5">
        <v>0.16219999999999998</v>
      </c>
      <c r="D154" s="5">
        <v>2.0999999999999999E-3</v>
      </c>
      <c r="E154" s="5">
        <v>2.7166666666666667E-3</v>
      </c>
      <c r="F154" s="5">
        <v>3.0666666666666672E-3</v>
      </c>
      <c r="G154" s="5">
        <v>2.891666666666667E-3</v>
      </c>
      <c r="H154" s="5">
        <v>3.2916666666666667E-3</v>
      </c>
      <c r="I154" s="5">
        <f t="shared" si="22"/>
        <v>0.24820000000000003</v>
      </c>
      <c r="J154" s="5">
        <f t="shared" si="15"/>
        <v>0.24740833333333337</v>
      </c>
      <c r="K154" s="5">
        <f t="shared" si="16"/>
        <v>0.15890833333333332</v>
      </c>
      <c r="L154" s="8">
        <f t="shared" si="24"/>
        <v>-0.19970410218600354</v>
      </c>
      <c r="M154" s="8">
        <f t="shared" si="25"/>
        <v>2.52E-2</v>
      </c>
      <c r="N154" s="8">
        <f t="shared" si="17"/>
        <v>3.4700000000000002E-2</v>
      </c>
      <c r="O154" s="296">
        <f t="shared" si="23"/>
        <v>-0.22490410218600354</v>
      </c>
      <c r="P154" s="8">
        <f t="shared" si="18"/>
        <v>-0.23440410218600355</v>
      </c>
      <c r="Q154" s="8">
        <f t="shared" si="19"/>
        <v>-0.11638838450243405</v>
      </c>
      <c r="R154" s="8">
        <f t="shared" si="20"/>
        <v>3.95E-2</v>
      </c>
      <c r="S154" s="296">
        <f t="shared" si="21"/>
        <v>-0.15588838450243406</v>
      </c>
      <c r="U154" s="297"/>
      <c r="V154" s="297"/>
      <c r="W154" s="297"/>
      <c r="X154" s="297"/>
      <c r="Y154" s="297"/>
      <c r="Z154" s="297"/>
      <c r="AA154" s="297"/>
      <c r="AB154" s="297"/>
      <c r="AC154" s="297"/>
      <c r="AE154" s="297"/>
      <c r="AF154" s="297"/>
      <c r="AG154" s="297"/>
      <c r="AH154" s="297"/>
      <c r="AI154" s="297"/>
      <c r="AJ154" s="297"/>
      <c r="AK154" s="297"/>
      <c r="AL154" s="297"/>
      <c r="AM154" s="297"/>
      <c r="AO154" s="297"/>
      <c r="AP154" s="297"/>
      <c r="AQ154" s="297"/>
      <c r="AR154" s="297"/>
      <c r="AS154" s="297"/>
      <c r="AT154" s="297"/>
      <c r="AU154" s="297"/>
      <c r="AV154" s="297"/>
      <c r="AW154" s="297"/>
    </row>
    <row r="155" spans="1:49" x14ac:dyDescent="0.45">
      <c r="A155" s="295">
        <v>14062</v>
      </c>
      <c r="B155" s="12">
        <v>7.4399999999999994E-2</v>
      </c>
      <c r="C155" s="5">
        <v>1.4800000000000001E-2</v>
      </c>
      <c r="D155" s="5">
        <v>2.0999999999999999E-3</v>
      </c>
      <c r="E155" s="5">
        <v>2.6833333333333336E-3</v>
      </c>
      <c r="F155" s="5">
        <v>3.0166666666666671E-3</v>
      </c>
      <c r="G155" s="5">
        <v>2.8500000000000001E-3</v>
      </c>
      <c r="H155" s="5">
        <v>3.2166666666666667E-3</v>
      </c>
      <c r="I155" s="5">
        <f t="shared" si="22"/>
        <v>7.2299999999999989E-2</v>
      </c>
      <c r="J155" s="5">
        <f t="shared" si="15"/>
        <v>7.1549999999999989E-2</v>
      </c>
      <c r="K155" s="5">
        <f t="shared" si="16"/>
        <v>1.1583333333333334E-2</v>
      </c>
      <c r="L155" s="8">
        <f t="shared" si="24"/>
        <v>-0.22151388627310309</v>
      </c>
      <c r="M155" s="8">
        <f t="shared" si="25"/>
        <v>2.52E-2</v>
      </c>
      <c r="N155" s="8">
        <f t="shared" si="17"/>
        <v>3.4200000000000001E-2</v>
      </c>
      <c r="O155" s="296">
        <f t="shared" si="23"/>
        <v>-0.24671388627310309</v>
      </c>
      <c r="P155" s="8">
        <f t="shared" si="18"/>
        <v>-0.2557138862731031</v>
      </c>
      <c r="Q155" s="8">
        <f t="shared" si="19"/>
        <v>-0.23169474131871337</v>
      </c>
      <c r="R155" s="8">
        <f t="shared" si="20"/>
        <v>3.8600000000000002E-2</v>
      </c>
      <c r="S155" s="296">
        <f t="shared" si="21"/>
        <v>-0.27029474131871339</v>
      </c>
      <c r="U155" s="297"/>
      <c r="V155" s="297"/>
      <c r="W155" s="297"/>
      <c r="X155" s="297"/>
      <c r="Y155" s="297"/>
      <c r="Z155" s="297"/>
      <c r="AA155" s="297"/>
      <c r="AB155" s="297"/>
      <c r="AC155" s="297"/>
      <c r="AE155" s="297"/>
      <c r="AF155" s="297"/>
      <c r="AG155" s="297"/>
      <c r="AH155" s="297"/>
      <c r="AI155" s="297"/>
      <c r="AJ155" s="297"/>
      <c r="AK155" s="297"/>
      <c r="AL155" s="297"/>
      <c r="AM155" s="297"/>
      <c r="AO155" s="297"/>
      <c r="AP155" s="297"/>
      <c r="AQ155" s="297"/>
      <c r="AR155" s="297"/>
      <c r="AS155" s="297"/>
      <c r="AT155" s="297"/>
      <c r="AU155" s="297"/>
      <c r="AV155" s="297"/>
      <c r="AW155" s="297"/>
    </row>
    <row r="156" spans="1:49" x14ac:dyDescent="0.45">
      <c r="A156" s="295">
        <v>14093</v>
      </c>
      <c r="B156" s="12">
        <v>-2.2599999999999999E-2</v>
      </c>
      <c r="C156" s="5">
        <v>-5.57E-2</v>
      </c>
      <c r="D156" s="5">
        <v>2.2000000000000001E-3</v>
      </c>
      <c r="E156" s="5">
        <v>2.65E-3</v>
      </c>
      <c r="F156" s="5">
        <v>2.9749999999999998E-3</v>
      </c>
      <c r="G156" s="5">
        <v>2.8124999999999999E-3</v>
      </c>
      <c r="H156" s="5">
        <v>3.2000000000000002E-3</v>
      </c>
      <c r="I156" s="5">
        <f t="shared" si="22"/>
        <v>-2.4799999999999999E-2</v>
      </c>
      <c r="J156" s="5">
        <f t="shared" si="15"/>
        <v>-2.5412499999999998E-2</v>
      </c>
      <c r="K156" s="5">
        <f t="shared" si="16"/>
        <v>-5.8900000000000001E-2</v>
      </c>
      <c r="L156" s="8">
        <f t="shared" si="24"/>
        <v>-0.20049140742180394</v>
      </c>
      <c r="M156" s="8">
        <f t="shared" si="25"/>
        <v>2.64E-2</v>
      </c>
      <c r="N156" s="8">
        <f t="shared" si="17"/>
        <v>3.3750000000000002E-2</v>
      </c>
      <c r="O156" s="296">
        <f t="shared" si="23"/>
        <v>-0.22689140742180394</v>
      </c>
      <c r="P156" s="8">
        <f t="shared" si="18"/>
        <v>-0.23424140742180394</v>
      </c>
      <c r="Q156" s="8">
        <f t="shared" si="19"/>
        <v>-0.20247262199325156</v>
      </c>
      <c r="R156" s="8">
        <f t="shared" si="20"/>
        <v>3.8400000000000004E-2</v>
      </c>
      <c r="S156" s="296">
        <f t="shared" si="21"/>
        <v>-0.24087262199325155</v>
      </c>
      <c r="U156" s="297"/>
      <c r="V156" s="297"/>
      <c r="W156" s="297"/>
      <c r="X156" s="297"/>
      <c r="Y156" s="297"/>
      <c r="Z156" s="297"/>
      <c r="AA156" s="297"/>
      <c r="AB156" s="297"/>
      <c r="AC156" s="297"/>
      <c r="AE156" s="297"/>
      <c r="AF156" s="297"/>
      <c r="AG156" s="297"/>
      <c r="AH156" s="297"/>
      <c r="AI156" s="297"/>
      <c r="AJ156" s="297"/>
      <c r="AK156" s="297"/>
      <c r="AL156" s="297"/>
      <c r="AM156" s="297"/>
      <c r="AO156" s="297"/>
      <c r="AP156" s="297"/>
      <c r="AQ156" s="297"/>
      <c r="AR156" s="297"/>
      <c r="AS156" s="297"/>
      <c r="AT156" s="297"/>
      <c r="AU156" s="297"/>
      <c r="AV156" s="297"/>
      <c r="AW156" s="297"/>
    </row>
    <row r="157" spans="1:49" x14ac:dyDescent="0.45">
      <c r="A157" s="295">
        <v>14124</v>
      </c>
      <c r="B157" s="12">
        <v>1.66E-2</v>
      </c>
      <c r="C157" s="5">
        <v>1.9099999999999999E-2</v>
      </c>
      <c r="D157" s="5">
        <v>2.0999999999999999E-3</v>
      </c>
      <c r="E157" s="5">
        <v>2.6750000000000003E-3</v>
      </c>
      <c r="F157" s="5">
        <v>3.0000000000000001E-3</v>
      </c>
      <c r="G157" s="5">
        <v>2.8375000000000002E-3</v>
      </c>
      <c r="H157" s="5">
        <v>3.2333333333333329E-3</v>
      </c>
      <c r="I157" s="5">
        <f t="shared" si="22"/>
        <v>1.4500000000000001E-2</v>
      </c>
      <c r="J157" s="5">
        <f t="shared" ref="J157:J220" si="26">B157-G157</f>
        <v>1.37625E-2</v>
      </c>
      <c r="K157" s="5">
        <f t="shared" ref="K157:K220" si="27">$C157-H157</f>
        <v>1.5866666666666668E-2</v>
      </c>
      <c r="L157" s="8">
        <f t="shared" si="24"/>
        <v>-5.45766718448365E-2</v>
      </c>
      <c r="M157" s="8">
        <f t="shared" si="25"/>
        <v>2.52E-2</v>
      </c>
      <c r="N157" s="8">
        <f t="shared" si="17"/>
        <v>3.4050000000000004E-2</v>
      </c>
      <c r="O157" s="296">
        <f t="shared" si="23"/>
        <v>-7.97766718448365E-2</v>
      </c>
      <c r="P157" s="8">
        <f t="shared" si="18"/>
        <v>-8.8626671844836497E-2</v>
      </c>
      <c r="Q157" s="8">
        <f t="shared" si="19"/>
        <v>-7.9129672641426341E-2</v>
      </c>
      <c r="R157" s="8">
        <f t="shared" si="20"/>
        <v>3.8799999999999994E-2</v>
      </c>
      <c r="S157" s="296">
        <f t="shared" si="21"/>
        <v>-0.11792967264142634</v>
      </c>
      <c r="U157" s="297"/>
      <c r="V157" s="297"/>
      <c r="W157" s="297"/>
      <c r="X157" s="297"/>
      <c r="Y157" s="297"/>
      <c r="Z157" s="297"/>
      <c r="AA157" s="297"/>
      <c r="AB157" s="297"/>
      <c r="AC157" s="297"/>
      <c r="AE157" s="297"/>
      <c r="AF157" s="297"/>
      <c r="AG157" s="297"/>
      <c r="AH157" s="297"/>
      <c r="AI157" s="297"/>
      <c r="AJ157" s="297"/>
      <c r="AK157" s="297"/>
      <c r="AL157" s="297"/>
      <c r="AM157" s="297"/>
      <c r="AO157" s="297"/>
      <c r="AP157" s="297"/>
      <c r="AQ157" s="297"/>
      <c r="AR157" s="297"/>
      <c r="AS157" s="297"/>
      <c r="AT157" s="297"/>
      <c r="AU157" s="297"/>
      <c r="AV157" s="297"/>
      <c r="AW157" s="297"/>
    </row>
    <row r="158" spans="1:49" x14ac:dyDescent="0.45">
      <c r="A158" s="295">
        <v>14154</v>
      </c>
      <c r="B158" s="12">
        <v>7.7600000000000002E-2</v>
      </c>
      <c r="C158" s="5">
        <v>0.18009999999999998</v>
      </c>
      <c r="D158" s="5">
        <v>2.2000000000000001E-3</v>
      </c>
      <c r="E158" s="5">
        <v>2.6250000000000002E-3</v>
      </c>
      <c r="F158" s="5">
        <v>2.9416666666666662E-3</v>
      </c>
      <c r="G158" s="5">
        <v>2.7833333333333334E-3</v>
      </c>
      <c r="H158" s="5">
        <v>3.1583333333333337E-3</v>
      </c>
      <c r="I158" s="5">
        <f t="shared" si="22"/>
        <v>7.5400000000000009E-2</v>
      </c>
      <c r="J158" s="5">
        <f t="shared" si="26"/>
        <v>7.481666666666667E-2</v>
      </c>
      <c r="K158" s="5">
        <f t="shared" si="27"/>
        <v>0.17694166666666664</v>
      </c>
      <c r="L158" s="8">
        <f t="shared" si="24"/>
        <v>0.12960214926267244</v>
      </c>
      <c r="M158" s="8">
        <f t="shared" si="25"/>
        <v>2.64E-2</v>
      </c>
      <c r="N158" s="8">
        <f t="shared" si="17"/>
        <v>3.3399999999999999E-2</v>
      </c>
      <c r="O158" s="296">
        <f t="shared" si="23"/>
        <v>0.10320214926267243</v>
      </c>
      <c r="P158" s="8">
        <f t="shared" si="18"/>
        <v>9.620214926267244E-2</v>
      </c>
      <c r="Q158" s="8">
        <f t="shared" si="19"/>
        <v>0.14584465765062471</v>
      </c>
      <c r="R158" s="8">
        <f t="shared" si="20"/>
        <v>3.7900000000000003E-2</v>
      </c>
      <c r="S158" s="296">
        <f t="shared" si="21"/>
        <v>0.10794465765062471</v>
      </c>
      <c r="U158" s="297"/>
      <c r="V158" s="297"/>
      <c r="W158" s="297"/>
      <c r="X158" s="297"/>
      <c r="Y158" s="297"/>
      <c r="Z158" s="297"/>
      <c r="AA158" s="297"/>
      <c r="AB158" s="297"/>
      <c r="AC158" s="297"/>
      <c r="AE158" s="297"/>
      <c r="AF158" s="297"/>
      <c r="AG158" s="297"/>
      <c r="AH158" s="297"/>
      <c r="AI158" s="297"/>
      <c r="AJ158" s="297"/>
      <c r="AK158" s="297"/>
      <c r="AL158" s="297"/>
      <c r="AM158" s="297"/>
      <c r="AO158" s="297"/>
      <c r="AP158" s="297"/>
      <c r="AQ158" s="297"/>
      <c r="AR158" s="297"/>
      <c r="AS158" s="297"/>
      <c r="AT158" s="297"/>
      <c r="AU158" s="297"/>
      <c r="AV158" s="297"/>
      <c r="AW158" s="297"/>
    </row>
    <row r="159" spans="1:49" x14ac:dyDescent="0.45">
      <c r="A159" s="295">
        <v>14185</v>
      </c>
      <c r="B159" s="12">
        <v>-2.7300000000000001E-2</v>
      </c>
      <c r="C159" s="5">
        <v>-6.2000000000000013E-2</v>
      </c>
      <c r="D159" s="5">
        <v>2.0999999999999999E-3</v>
      </c>
      <c r="E159" s="5">
        <v>2.5833333333333337E-3</v>
      </c>
      <c r="F159" s="5">
        <v>2.8833333333333332E-3</v>
      </c>
      <c r="G159" s="5">
        <v>2.7333333333333333E-3</v>
      </c>
      <c r="H159" s="5">
        <v>3.1083333333333336E-3</v>
      </c>
      <c r="I159" s="5">
        <f t="shared" si="22"/>
        <v>-2.9400000000000003E-2</v>
      </c>
      <c r="J159" s="5">
        <f t="shared" si="26"/>
        <v>-3.0033333333333335E-2</v>
      </c>
      <c r="K159" s="5">
        <f t="shared" si="27"/>
        <v>-6.5108333333333351E-2</v>
      </c>
      <c r="L159" s="8">
        <f t="shared" si="24"/>
        <v>0.2029384832360428</v>
      </c>
      <c r="M159" s="8">
        <f t="shared" si="25"/>
        <v>2.52E-2</v>
      </c>
      <c r="N159" s="8">
        <f t="shared" si="17"/>
        <v>3.2799999999999996E-2</v>
      </c>
      <c r="O159" s="296">
        <f t="shared" si="23"/>
        <v>0.1777384832360428</v>
      </c>
      <c r="P159" s="8">
        <f t="shared" si="18"/>
        <v>0.1701384832360428</v>
      </c>
      <c r="Q159" s="8">
        <f t="shared" si="19"/>
        <v>6.6272111980442583E-2</v>
      </c>
      <c r="R159" s="8">
        <f t="shared" si="20"/>
        <v>3.73E-2</v>
      </c>
      <c r="S159" s="296">
        <f t="shared" si="21"/>
        <v>2.8972111980442583E-2</v>
      </c>
      <c r="U159" s="297"/>
      <c r="V159" s="297"/>
      <c r="W159" s="297"/>
      <c r="X159" s="297"/>
      <c r="Y159" s="297"/>
      <c r="Z159" s="297"/>
      <c r="AA159" s="297"/>
      <c r="AB159" s="297"/>
      <c r="AC159" s="297"/>
      <c r="AE159" s="297"/>
      <c r="AF159" s="297"/>
      <c r="AG159" s="297"/>
      <c r="AH159" s="297"/>
      <c r="AI159" s="297"/>
      <c r="AJ159" s="297"/>
      <c r="AK159" s="297"/>
      <c r="AL159" s="297"/>
      <c r="AM159" s="297"/>
      <c r="AO159" s="297"/>
      <c r="AP159" s="297"/>
      <c r="AQ159" s="297"/>
      <c r="AR159" s="297"/>
      <c r="AS159" s="297"/>
      <c r="AT159" s="297"/>
      <c r="AU159" s="297"/>
      <c r="AV159" s="297"/>
      <c r="AW159" s="297"/>
    </row>
    <row r="160" spans="1:49" x14ac:dyDescent="0.45">
      <c r="A160" s="295">
        <v>14215</v>
      </c>
      <c r="B160" s="12">
        <v>4.0099999999999997E-2</v>
      </c>
      <c r="C160" s="5">
        <v>3.9099999999999996E-2</v>
      </c>
      <c r="D160" s="5">
        <v>2.2000000000000001E-3</v>
      </c>
      <c r="E160" s="5">
        <v>2.5666666666666667E-3</v>
      </c>
      <c r="F160" s="5">
        <v>2.8499999999999997E-3</v>
      </c>
      <c r="G160" s="5">
        <v>2.708333333333333E-3</v>
      </c>
      <c r="H160" s="5">
        <v>3.1166666666666669E-3</v>
      </c>
      <c r="I160" s="5">
        <f t="shared" si="22"/>
        <v>3.7899999999999996E-2</v>
      </c>
      <c r="J160" s="5">
        <f t="shared" si="26"/>
        <v>3.7391666666666663E-2</v>
      </c>
      <c r="K160" s="5">
        <f t="shared" si="27"/>
        <v>3.5983333333333326E-2</v>
      </c>
      <c r="L160" s="8">
        <f t="shared" si="24"/>
        <v>0.3113681127909107</v>
      </c>
      <c r="M160" s="8">
        <f t="shared" si="25"/>
        <v>2.64E-2</v>
      </c>
      <c r="N160" s="8">
        <f t="shared" si="17"/>
        <v>3.2499999999999994E-2</v>
      </c>
      <c r="O160" s="296">
        <f t="shared" si="23"/>
        <v>0.28496811279091072</v>
      </c>
      <c r="P160" s="8">
        <f t="shared" si="18"/>
        <v>0.27886811279091073</v>
      </c>
      <c r="Q160" s="8">
        <f t="shared" si="19"/>
        <v>0.22440419003080758</v>
      </c>
      <c r="R160" s="8">
        <f t="shared" si="20"/>
        <v>3.7400000000000003E-2</v>
      </c>
      <c r="S160" s="296">
        <f t="shared" si="21"/>
        <v>0.18700419003080759</v>
      </c>
      <c r="U160" s="297"/>
      <c r="V160" s="297"/>
      <c r="W160" s="297"/>
      <c r="X160" s="297"/>
      <c r="Y160" s="297"/>
      <c r="Z160" s="297"/>
      <c r="AA160" s="297"/>
      <c r="AB160" s="297"/>
      <c r="AC160" s="297"/>
      <c r="AE160" s="297"/>
      <c r="AF160" s="297"/>
      <c r="AG160" s="297"/>
      <c r="AH160" s="297"/>
      <c r="AI160" s="297"/>
      <c r="AJ160" s="297"/>
      <c r="AK160" s="297"/>
      <c r="AL160" s="297"/>
      <c r="AM160" s="297"/>
      <c r="AO160" s="297"/>
      <c r="AP160" s="297"/>
      <c r="AQ160" s="297"/>
      <c r="AR160" s="297"/>
      <c r="AS160" s="297"/>
      <c r="AT160" s="297"/>
      <c r="AU160" s="297"/>
      <c r="AV160" s="297"/>
      <c r="AW160" s="297"/>
    </row>
    <row r="161" spans="1:49" x14ac:dyDescent="0.45">
      <c r="A161" s="295">
        <v>14246</v>
      </c>
      <c r="B161" s="12">
        <v>-6.7400000000000002E-2</v>
      </c>
      <c r="C161" s="5">
        <v>1.6500000000000001E-2</v>
      </c>
      <c r="D161" s="5">
        <v>2.0999999999999999E-3</v>
      </c>
      <c r="E161" s="5">
        <v>2.5083333333333329E-3</v>
      </c>
      <c r="F161" s="5">
        <v>2.7666666666666668E-3</v>
      </c>
      <c r="G161" s="5">
        <v>2.6374999999999997E-3</v>
      </c>
      <c r="H161" s="5">
        <v>3.0666666666666672E-3</v>
      </c>
      <c r="I161" s="5">
        <f t="shared" si="22"/>
        <v>-6.9500000000000006E-2</v>
      </c>
      <c r="J161" s="5">
        <f t="shared" si="26"/>
        <v>-7.0037500000000003E-2</v>
      </c>
      <c r="K161" s="5">
        <f t="shared" si="27"/>
        <v>1.3433333333333334E-2</v>
      </c>
      <c r="L161" s="8">
        <f t="shared" si="24"/>
        <v>0.2046709042442898</v>
      </c>
      <c r="M161" s="8">
        <f t="shared" si="25"/>
        <v>2.52E-2</v>
      </c>
      <c r="N161" s="8">
        <f t="shared" si="17"/>
        <v>3.1649999999999998E-2</v>
      </c>
      <c r="O161" s="296">
        <f t="shared" si="23"/>
        <v>0.1794709042442898</v>
      </c>
      <c r="P161" s="8">
        <f t="shared" si="18"/>
        <v>0.17302090424428979</v>
      </c>
      <c r="Q161" s="8">
        <f t="shared" si="19"/>
        <v>0.29215828401818511</v>
      </c>
      <c r="R161" s="8">
        <f t="shared" si="20"/>
        <v>3.6800000000000006E-2</v>
      </c>
      <c r="S161" s="296">
        <f t="shared" si="21"/>
        <v>0.25535828401818511</v>
      </c>
      <c r="U161" s="297"/>
      <c r="V161" s="297"/>
      <c r="W161" s="297"/>
      <c r="X161" s="297"/>
      <c r="Y161" s="297"/>
      <c r="Z161" s="297"/>
      <c r="AA161" s="297"/>
      <c r="AB161" s="297"/>
      <c r="AC161" s="297"/>
      <c r="AE161" s="297"/>
      <c r="AF161" s="297"/>
      <c r="AG161" s="297"/>
      <c r="AH161" s="297"/>
      <c r="AI161" s="297"/>
      <c r="AJ161" s="297"/>
      <c r="AK161" s="297"/>
      <c r="AL161" s="297"/>
      <c r="AM161" s="297"/>
      <c r="AO161" s="297"/>
      <c r="AP161" s="297"/>
      <c r="AQ161" s="297"/>
      <c r="AR161" s="297"/>
      <c r="AS161" s="297"/>
      <c r="AT161" s="297"/>
      <c r="AU161" s="297"/>
      <c r="AV161" s="297"/>
      <c r="AW161" s="297"/>
    </row>
    <row r="162" spans="1:49" x14ac:dyDescent="0.45">
      <c r="A162" s="295">
        <v>14277</v>
      </c>
      <c r="B162" s="12">
        <v>3.9E-2</v>
      </c>
      <c r="C162" s="5">
        <v>8.0100000000000005E-2</v>
      </c>
      <c r="D162" s="5">
        <v>1.9E-3</v>
      </c>
      <c r="E162" s="5">
        <v>2.5000000000000001E-3</v>
      </c>
      <c r="F162" s="5">
        <v>2.7166666666666667E-3</v>
      </c>
      <c r="G162" s="5">
        <v>2.6083333333333336E-3</v>
      </c>
      <c r="H162" s="5">
        <v>2.9916666666666663E-3</v>
      </c>
      <c r="I162" s="5">
        <f t="shared" si="22"/>
        <v>3.7100000000000001E-2</v>
      </c>
      <c r="J162" s="5">
        <f t="shared" si="26"/>
        <v>3.6391666666666669E-2</v>
      </c>
      <c r="K162" s="5">
        <f t="shared" si="27"/>
        <v>7.7108333333333334E-2</v>
      </c>
      <c r="L162" s="8">
        <f t="shared" si="24"/>
        <v>0.17261857739349606</v>
      </c>
      <c r="M162" s="8">
        <f t="shared" si="25"/>
        <v>2.2800000000000001E-2</v>
      </c>
      <c r="N162" s="8">
        <f t="shared" si="17"/>
        <v>3.1300000000000001E-2</v>
      </c>
      <c r="O162" s="296">
        <f t="shared" si="23"/>
        <v>0.14981857739349608</v>
      </c>
      <c r="P162" s="8">
        <f t="shared" si="18"/>
        <v>0.14131857739349607</v>
      </c>
      <c r="Q162" s="8">
        <f t="shared" si="19"/>
        <v>0.34963752303262896</v>
      </c>
      <c r="R162" s="8">
        <f t="shared" si="20"/>
        <v>3.5899999999999994E-2</v>
      </c>
      <c r="S162" s="296">
        <f t="shared" si="21"/>
        <v>0.31373752303262897</v>
      </c>
      <c r="U162" s="297"/>
      <c r="V162" s="297"/>
      <c r="W162" s="297"/>
      <c r="X162" s="297"/>
      <c r="Y162" s="297"/>
      <c r="Z162" s="297"/>
      <c r="AA162" s="297"/>
      <c r="AB162" s="297"/>
      <c r="AC162" s="297"/>
      <c r="AE162" s="297"/>
      <c r="AF162" s="297"/>
      <c r="AG162" s="297"/>
      <c r="AH162" s="297"/>
      <c r="AI162" s="297"/>
      <c r="AJ162" s="297"/>
      <c r="AK162" s="297"/>
      <c r="AL162" s="297"/>
      <c r="AM162" s="297"/>
      <c r="AO162" s="297"/>
      <c r="AP162" s="297"/>
      <c r="AQ162" s="297"/>
      <c r="AR162" s="297"/>
      <c r="AS162" s="297"/>
      <c r="AT162" s="297"/>
      <c r="AU162" s="297"/>
      <c r="AV162" s="297"/>
      <c r="AW162" s="297"/>
    </row>
    <row r="163" spans="1:49" x14ac:dyDescent="0.45">
      <c r="A163" s="295">
        <v>14305</v>
      </c>
      <c r="B163" s="12">
        <v>-0.13389999999999999</v>
      </c>
      <c r="C163" s="5">
        <v>-0.13780000000000001</v>
      </c>
      <c r="D163" s="5">
        <v>2.0999999999999999E-3</v>
      </c>
      <c r="E163" s="5">
        <v>2.4916666666666668E-3</v>
      </c>
      <c r="F163" s="5">
        <v>2.6833333333333336E-3</v>
      </c>
      <c r="G163" s="5">
        <v>2.5875000000000004E-3</v>
      </c>
      <c r="H163" s="5">
        <v>2.9499999999999999E-3</v>
      </c>
      <c r="I163" s="5">
        <f t="shared" si="22"/>
        <v>-0.13599999999999998</v>
      </c>
      <c r="J163" s="5">
        <f t="shared" si="26"/>
        <v>-0.13648749999999998</v>
      </c>
      <c r="K163" s="5">
        <f t="shared" si="27"/>
        <v>-0.14075000000000001</v>
      </c>
      <c r="L163" s="8">
        <f t="shared" si="24"/>
        <v>0.35179681868828294</v>
      </c>
      <c r="M163" s="8">
        <f t="shared" si="25"/>
        <v>2.52E-2</v>
      </c>
      <c r="N163" s="8">
        <f t="shared" si="17"/>
        <v>3.1050000000000005E-2</v>
      </c>
      <c r="O163" s="296">
        <f t="shared" si="23"/>
        <v>0.32659681868828294</v>
      </c>
      <c r="P163" s="8">
        <f t="shared" si="18"/>
        <v>0.32074681868828292</v>
      </c>
      <c r="Q163" s="8">
        <f t="shared" si="19"/>
        <v>0.45166850344153286</v>
      </c>
      <c r="R163" s="8">
        <f t="shared" si="20"/>
        <v>3.5400000000000001E-2</v>
      </c>
      <c r="S163" s="296">
        <f t="shared" si="21"/>
        <v>0.41626850344153288</v>
      </c>
      <c r="U163" s="297"/>
      <c r="V163" s="297"/>
      <c r="W163" s="297"/>
      <c r="X163" s="297"/>
      <c r="Y163" s="297"/>
      <c r="Z163" s="297"/>
      <c r="AA163" s="297"/>
      <c r="AB163" s="297"/>
      <c r="AC163" s="297"/>
      <c r="AE163" s="297"/>
      <c r="AF163" s="297"/>
      <c r="AG163" s="297"/>
      <c r="AH163" s="297"/>
      <c r="AI163" s="297"/>
      <c r="AJ163" s="297"/>
      <c r="AK163" s="297"/>
      <c r="AL163" s="297"/>
      <c r="AM163" s="297"/>
      <c r="AO163" s="297"/>
      <c r="AP163" s="297"/>
      <c r="AQ163" s="297"/>
      <c r="AR163" s="297"/>
      <c r="AS163" s="297"/>
      <c r="AT163" s="297"/>
      <c r="AU163" s="297"/>
      <c r="AV163" s="297"/>
      <c r="AW163" s="297"/>
    </row>
    <row r="164" spans="1:49" x14ac:dyDescent="0.45">
      <c r="A164" s="295">
        <v>14336</v>
      </c>
      <c r="B164" s="12">
        <v>-2.7000000000000001E-3</v>
      </c>
      <c r="C164" s="5">
        <v>2.8500000000000001E-2</v>
      </c>
      <c r="D164" s="5">
        <v>1.9E-3</v>
      </c>
      <c r="E164" s="5">
        <v>2.5166666666666666E-3</v>
      </c>
      <c r="F164" s="5">
        <v>2.6833333333333336E-3</v>
      </c>
      <c r="G164" s="5">
        <v>2.5999999999999999E-3</v>
      </c>
      <c r="H164" s="5">
        <v>2.9583333333333332E-3</v>
      </c>
      <c r="I164" s="5">
        <f t="shared" si="22"/>
        <v>-4.5999999999999999E-3</v>
      </c>
      <c r="J164" s="5">
        <f t="shared" si="26"/>
        <v>-5.3E-3</v>
      </c>
      <c r="K164" s="5">
        <f t="shared" si="27"/>
        <v>2.5541666666666667E-2</v>
      </c>
      <c r="L164" s="8">
        <f t="shared" si="24"/>
        <v>0.1777295075371923</v>
      </c>
      <c r="M164" s="8">
        <f t="shared" si="25"/>
        <v>2.2800000000000001E-2</v>
      </c>
      <c r="N164" s="8">
        <f t="shared" si="17"/>
        <v>3.1199999999999999E-2</v>
      </c>
      <c r="O164" s="296">
        <f t="shared" si="23"/>
        <v>0.15492950753719231</v>
      </c>
      <c r="P164" s="8">
        <f t="shared" si="18"/>
        <v>0.14652950753719229</v>
      </c>
      <c r="Q164" s="8">
        <f t="shared" si="19"/>
        <v>0.29402067584470148</v>
      </c>
      <c r="R164" s="8">
        <f t="shared" si="20"/>
        <v>3.5499999999999997E-2</v>
      </c>
      <c r="S164" s="296">
        <f t="shared" si="21"/>
        <v>0.25852067584470151</v>
      </c>
      <c r="U164" s="297"/>
      <c r="V164" s="297"/>
      <c r="W164" s="297"/>
      <c r="X164" s="297"/>
      <c r="Y164" s="297"/>
      <c r="Z164" s="297"/>
      <c r="AA164" s="297"/>
      <c r="AB164" s="297"/>
      <c r="AC164" s="297"/>
      <c r="AE164" s="297"/>
      <c r="AF164" s="297"/>
      <c r="AG164" s="297"/>
      <c r="AH164" s="297"/>
      <c r="AI164" s="297"/>
      <c r="AJ164" s="297"/>
      <c r="AK164" s="297"/>
      <c r="AL164" s="297"/>
      <c r="AM164" s="297"/>
      <c r="AO164" s="297"/>
      <c r="AP164" s="297"/>
      <c r="AQ164" s="297"/>
      <c r="AR164" s="297"/>
      <c r="AS164" s="297"/>
      <c r="AT164" s="297"/>
      <c r="AU164" s="297"/>
      <c r="AV164" s="297"/>
      <c r="AW164" s="297"/>
    </row>
    <row r="165" spans="1:49" x14ac:dyDescent="0.45">
      <c r="A165" s="295">
        <v>14366</v>
      </c>
      <c r="B165" s="12">
        <v>7.3300000000000004E-2</v>
      </c>
      <c r="C165" s="5">
        <v>6.6500000000000004E-2</v>
      </c>
      <c r="D165" s="5">
        <v>2E-3</v>
      </c>
      <c r="E165" s="5">
        <v>2.4750000000000002E-3</v>
      </c>
      <c r="F165" s="5">
        <v>2.6333333333333334E-3</v>
      </c>
      <c r="G165" s="5">
        <v>2.5541666666666668E-3</v>
      </c>
      <c r="H165" s="5">
        <v>2.9166666666666668E-3</v>
      </c>
      <c r="I165" s="5">
        <f t="shared" si="22"/>
        <v>7.1300000000000002E-2</v>
      </c>
      <c r="J165" s="5">
        <f t="shared" si="26"/>
        <v>7.0745833333333341E-2</v>
      </c>
      <c r="K165" s="5">
        <f t="shared" si="27"/>
        <v>6.3583333333333339E-2</v>
      </c>
      <c r="L165" s="8">
        <f t="shared" si="24"/>
        <v>0.30719449890348338</v>
      </c>
      <c r="M165" s="8">
        <f t="shared" si="25"/>
        <v>2.4E-2</v>
      </c>
      <c r="N165" s="8">
        <f t="shared" si="17"/>
        <v>3.0650000000000004E-2</v>
      </c>
      <c r="O165" s="296">
        <f t="shared" si="23"/>
        <v>0.28319449890348336</v>
      </c>
      <c r="P165" s="8">
        <f t="shared" si="18"/>
        <v>0.27654449890348337</v>
      </c>
      <c r="Q165" s="8">
        <f t="shared" si="19"/>
        <v>0.35553781631310688</v>
      </c>
      <c r="R165" s="8">
        <f t="shared" si="20"/>
        <v>3.5000000000000003E-2</v>
      </c>
      <c r="S165" s="296">
        <f t="shared" si="21"/>
        <v>0.32053781631310685</v>
      </c>
      <c r="U165" s="297"/>
      <c r="V165" s="297"/>
      <c r="W165" s="297"/>
      <c r="X165" s="297"/>
      <c r="Y165" s="297"/>
      <c r="Z165" s="297"/>
      <c r="AA165" s="297"/>
      <c r="AB165" s="297"/>
      <c r="AC165" s="297"/>
      <c r="AE165" s="297"/>
      <c r="AF165" s="297"/>
      <c r="AG165" s="297"/>
      <c r="AH165" s="297"/>
      <c r="AI165" s="297"/>
      <c r="AJ165" s="297"/>
      <c r="AK165" s="297"/>
      <c r="AL165" s="297"/>
      <c r="AM165" s="297"/>
      <c r="AO165" s="297"/>
      <c r="AP165" s="297"/>
      <c r="AQ165" s="297"/>
      <c r="AR165" s="297"/>
      <c r="AS165" s="297"/>
      <c r="AT165" s="297"/>
      <c r="AU165" s="297"/>
      <c r="AV165" s="297"/>
      <c r="AW165" s="297"/>
    </row>
    <row r="166" spans="1:49" x14ac:dyDescent="0.45">
      <c r="A166" s="295">
        <v>14397</v>
      </c>
      <c r="B166" s="12">
        <v>-6.1199999999999997E-2</v>
      </c>
      <c r="C166" s="5">
        <v>-4.2299999999999997E-2</v>
      </c>
      <c r="D166" s="5">
        <v>1.8E-3</v>
      </c>
      <c r="E166" s="5">
        <v>2.4333333333333334E-3</v>
      </c>
      <c r="F166" s="5">
        <v>2.6083333333333332E-3</v>
      </c>
      <c r="G166" s="5">
        <v>2.5208333333333333E-3</v>
      </c>
      <c r="H166" s="5">
        <v>2.891666666666667E-3</v>
      </c>
      <c r="I166" s="5">
        <f t="shared" si="22"/>
        <v>-6.3E-2</v>
      </c>
      <c r="J166" s="5">
        <f t="shared" si="26"/>
        <v>-6.3720833333333338E-2</v>
      </c>
      <c r="K166" s="5">
        <f t="shared" si="27"/>
        <v>-4.5191666666666665E-2</v>
      </c>
      <c r="L166" s="8">
        <f t="shared" si="24"/>
        <v>-1.8480208293537137E-2</v>
      </c>
      <c r="M166" s="8">
        <f t="shared" si="25"/>
        <v>2.1600000000000001E-2</v>
      </c>
      <c r="N166" s="8">
        <f t="shared" si="17"/>
        <v>3.0249999999999999E-2</v>
      </c>
      <c r="O166" s="296">
        <f t="shared" si="23"/>
        <v>-4.0080208293537138E-2</v>
      </c>
      <c r="P166" s="8">
        <f t="shared" si="18"/>
        <v>-4.8730208293537136E-2</v>
      </c>
      <c r="Q166" s="8">
        <f t="shared" si="19"/>
        <v>0.11701821259943457</v>
      </c>
      <c r="R166" s="8">
        <f t="shared" si="20"/>
        <v>3.4700000000000002E-2</v>
      </c>
      <c r="S166" s="296">
        <f t="shared" si="21"/>
        <v>8.2318212599434559E-2</v>
      </c>
      <c r="U166" s="297"/>
      <c r="V166" s="297"/>
      <c r="W166" s="297"/>
      <c r="X166" s="297"/>
      <c r="Y166" s="297"/>
      <c r="Z166" s="297"/>
      <c r="AA166" s="297"/>
      <c r="AB166" s="297"/>
      <c r="AC166" s="297"/>
      <c r="AE166" s="297"/>
      <c r="AF166" s="297"/>
      <c r="AG166" s="297"/>
      <c r="AH166" s="297"/>
      <c r="AI166" s="297"/>
      <c r="AJ166" s="297"/>
      <c r="AK166" s="297"/>
      <c r="AL166" s="297"/>
      <c r="AM166" s="297"/>
      <c r="AO166" s="297"/>
      <c r="AP166" s="297"/>
      <c r="AQ166" s="297"/>
      <c r="AR166" s="297"/>
      <c r="AS166" s="297"/>
      <c r="AT166" s="297"/>
      <c r="AU166" s="297"/>
      <c r="AV166" s="297"/>
      <c r="AW166" s="297"/>
    </row>
    <row r="167" spans="1:49" x14ac:dyDescent="0.45">
      <c r="A167" s="295">
        <v>14427</v>
      </c>
      <c r="B167" s="12">
        <v>0.1105</v>
      </c>
      <c r="C167" s="5">
        <v>0.1208</v>
      </c>
      <c r="D167" s="5">
        <v>1.9E-3</v>
      </c>
      <c r="E167" s="5">
        <v>2.4083333333333335E-3</v>
      </c>
      <c r="F167" s="5">
        <v>2.5666666666666667E-3</v>
      </c>
      <c r="G167" s="5">
        <v>2.4875000000000001E-3</v>
      </c>
      <c r="H167" s="5">
        <v>2.8583333333333334E-3</v>
      </c>
      <c r="I167" s="5">
        <f t="shared" si="22"/>
        <v>0.1086</v>
      </c>
      <c r="J167" s="5">
        <f t="shared" si="26"/>
        <v>0.1080125</v>
      </c>
      <c r="K167" s="5">
        <f t="shared" si="27"/>
        <v>0.11794166666666667</v>
      </c>
      <c r="L167" s="8">
        <f t="shared" si="24"/>
        <v>1.4499002876048994E-2</v>
      </c>
      <c r="M167" s="8">
        <f t="shared" si="25"/>
        <v>2.2800000000000001E-2</v>
      </c>
      <c r="N167" s="8">
        <f t="shared" si="17"/>
        <v>2.9850000000000002E-2</v>
      </c>
      <c r="O167" s="296">
        <f t="shared" si="23"/>
        <v>-8.3009971239510066E-3</v>
      </c>
      <c r="P167" s="8">
        <f t="shared" si="18"/>
        <v>-1.5350997123951007E-2</v>
      </c>
      <c r="Q167" s="8">
        <f t="shared" si="19"/>
        <v>0.23369532191707343</v>
      </c>
      <c r="R167" s="8">
        <f t="shared" si="20"/>
        <v>3.4299999999999997E-2</v>
      </c>
      <c r="S167" s="296">
        <f t="shared" si="21"/>
        <v>0.19939532191707343</v>
      </c>
      <c r="U167" s="297"/>
      <c r="V167" s="297"/>
      <c r="W167" s="297"/>
      <c r="X167" s="297"/>
      <c r="Y167" s="297"/>
      <c r="Z167" s="297"/>
      <c r="AA167" s="297"/>
      <c r="AB167" s="297"/>
      <c r="AC167" s="297"/>
      <c r="AE167" s="297"/>
      <c r="AF167" s="297"/>
      <c r="AG167" s="297"/>
      <c r="AH167" s="297"/>
      <c r="AI167" s="297"/>
      <c r="AJ167" s="297"/>
      <c r="AK167" s="297"/>
      <c r="AL167" s="297"/>
      <c r="AM167" s="297"/>
      <c r="AO167" s="297"/>
      <c r="AP167" s="297"/>
      <c r="AQ167" s="297"/>
      <c r="AR167" s="297"/>
      <c r="AS167" s="297"/>
      <c r="AT167" s="297"/>
      <c r="AU167" s="297"/>
      <c r="AV167" s="297"/>
      <c r="AW167" s="297"/>
    </row>
    <row r="168" spans="1:49" x14ac:dyDescent="0.45">
      <c r="A168" s="295">
        <v>14458</v>
      </c>
      <c r="B168" s="12">
        <v>-6.4799999999999996E-2</v>
      </c>
      <c r="C168" s="5">
        <v>-6.4699999999999994E-2</v>
      </c>
      <c r="D168" s="5">
        <v>1.8E-3</v>
      </c>
      <c r="E168" s="5">
        <v>2.4416666666666666E-3</v>
      </c>
      <c r="F168" s="5">
        <v>2.5916666666666666E-3</v>
      </c>
      <c r="G168" s="5">
        <v>2.5166666666666666E-3</v>
      </c>
      <c r="H168" s="5">
        <v>2.8416666666666668E-3</v>
      </c>
      <c r="I168" s="5">
        <f t="shared" si="22"/>
        <v>-6.6599999999999993E-2</v>
      </c>
      <c r="J168" s="5">
        <f t="shared" si="26"/>
        <v>-6.7316666666666664E-2</v>
      </c>
      <c r="K168" s="5">
        <f t="shared" si="27"/>
        <v>-6.7541666666666667E-2</v>
      </c>
      <c r="L168" s="8">
        <f t="shared" si="24"/>
        <v>-2.9302775230529265E-2</v>
      </c>
      <c r="M168" s="8">
        <f t="shared" si="25"/>
        <v>2.1600000000000001E-2</v>
      </c>
      <c r="N168" s="8">
        <f t="shared" ref="N168:N231" si="28">G168*12</f>
        <v>3.0199999999999998E-2</v>
      </c>
      <c r="O168" s="296">
        <f t="shared" si="23"/>
        <v>-5.0902775230529267E-2</v>
      </c>
      <c r="P168" s="8">
        <f t="shared" ref="P168:P231" si="29">L168-N168</f>
        <v>-5.9502775230529263E-2</v>
      </c>
      <c r="Q168" s="8">
        <f t="shared" ref="Q168:Q231" si="30">((1+C157)*(1+C158)*(1+C159)*(1+C160)*(1+C161)*(1+C162)*(1+C163)*(1+C164)*(1+C165)*(1+C166)*(1+C167)*(1+C168))-1</f>
        <v>0.22193713289107153</v>
      </c>
      <c r="R168" s="8">
        <f t="shared" ref="R168:R231" si="31">H168*12</f>
        <v>3.4100000000000005E-2</v>
      </c>
      <c r="S168" s="296">
        <f t="shared" ref="S168:S231" si="32">Q168-R168</f>
        <v>0.18783713289107151</v>
      </c>
      <c r="U168" s="297"/>
      <c r="V168" s="297"/>
      <c r="W168" s="297"/>
      <c r="X168" s="297"/>
      <c r="Y168" s="297"/>
      <c r="Z168" s="297"/>
      <c r="AA168" s="297"/>
      <c r="AB168" s="297"/>
      <c r="AC168" s="297"/>
      <c r="AE168" s="297"/>
      <c r="AF168" s="297"/>
      <c r="AG168" s="297"/>
      <c r="AH168" s="297"/>
      <c r="AI168" s="297"/>
      <c r="AJ168" s="297"/>
      <c r="AK168" s="297"/>
      <c r="AL168" s="297"/>
      <c r="AM168" s="297"/>
      <c r="AO168" s="297"/>
      <c r="AP168" s="297"/>
      <c r="AQ168" s="297"/>
      <c r="AR168" s="297"/>
      <c r="AS168" s="297"/>
      <c r="AT168" s="297"/>
      <c r="AU168" s="297"/>
      <c r="AV168" s="297"/>
      <c r="AW168" s="297"/>
    </row>
    <row r="169" spans="1:49" x14ac:dyDescent="0.45">
      <c r="A169" s="295">
        <v>14489</v>
      </c>
      <c r="B169" s="12">
        <v>0.1673</v>
      </c>
      <c r="C169" s="5">
        <v>4.2100000000000005E-2</v>
      </c>
      <c r="D169" s="5">
        <v>1.9E-3</v>
      </c>
      <c r="E169" s="5">
        <v>2.708333333333333E-3</v>
      </c>
      <c r="F169" s="5">
        <v>2.9083333333333335E-3</v>
      </c>
      <c r="G169" s="5">
        <v>2.8083333333333333E-3</v>
      </c>
      <c r="H169" s="5">
        <v>3.0916666666666666E-3</v>
      </c>
      <c r="I169" s="5">
        <f t="shared" si="22"/>
        <v>0.16539999999999999</v>
      </c>
      <c r="J169" s="5">
        <f t="shared" si="26"/>
        <v>0.16449166666666667</v>
      </c>
      <c r="K169" s="5">
        <f t="shared" si="27"/>
        <v>3.9008333333333339E-2</v>
      </c>
      <c r="L169" s="8">
        <f t="shared" si="24"/>
        <v>0.11459263276943088</v>
      </c>
      <c r="M169" s="8">
        <f t="shared" si="25"/>
        <v>2.2800000000000001E-2</v>
      </c>
      <c r="N169" s="8">
        <f t="shared" si="28"/>
        <v>3.3700000000000001E-2</v>
      </c>
      <c r="O169" s="296">
        <f t="shared" si="23"/>
        <v>9.1792632769430879E-2</v>
      </c>
      <c r="P169" s="8">
        <f t="shared" si="29"/>
        <v>8.0892632769430872E-2</v>
      </c>
      <c r="Q169" s="8">
        <f t="shared" si="30"/>
        <v>0.24951495062877593</v>
      </c>
      <c r="R169" s="8">
        <f t="shared" si="31"/>
        <v>3.7100000000000001E-2</v>
      </c>
      <c r="S169" s="296">
        <f t="shared" si="32"/>
        <v>0.21241495062877594</v>
      </c>
      <c r="U169" s="297"/>
      <c r="V169" s="297"/>
      <c r="W169" s="297"/>
      <c r="X169" s="297"/>
      <c r="Y169" s="297"/>
      <c r="Z169" s="297"/>
      <c r="AA169" s="297"/>
      <c r="AB169" s="297"/>
      <c r="AC169" s="297"/>
      <c r="AE169" s="297"/>
      <c r="AF169" s="297"/>
      <c r="AG169" s="297"/>
      <c r="AH169" s="297"/>
      <c r="AI169" s="297"/>
      <c r="AJ169" s="297"/>
      <c r="AK169" s="297"/>
      <c r="AL169" s="297"/>
      <c r="AM169" s="297"/>
      <c r="AO169" s="297"/>
      <c r="AP169" s="297"/>
      <c r="AQ169" s="297"/>
      <c r="AR169" s="297"/>
      <c r="AS169" s="297"/>
      <c r="AT169" s="297"/>
      <c r="AU169" s="297"/>
      <c r="AV169" s="297"/>
      <c r="AW169" s="297"/>
    </row>
    <row r="170" spans="1:49" x14ac:dyDescent="0.45">
      <c r="A170" s="295">
        <v>14519</v>
      </c>
      <c r="B170" s="12">
        <v>-1.23E-2</v>
      </c>
      <c r="C170" s="5">
        <v>1.3000000000000001E-2</v>
      </c>
      <c r="D170" s="5">
        <v>2.3E-3</v>
      </c>
      <c r="E170" s="5">
        <v>2.6250000000000002E-3</v>
      </c>
      <c r="F170" s="5">
        <v>2.7916666666666667E-3</v>
      </c>
      <c r="G170" s="5">
        <v>2.7083333333333339E-3</v>
      </c>
      <c r="H170" s="5">
        <v>2.9833333333333335E-3</v>
      </c>
      <c r="I170" s="5">
        <f t="shared" si="22"/>
        <v>-1.46E-2</v>
      </c>
      <c r="J170" s="5">
        <f t="shared" si="26"/>
        <v>-1.5008333333333334E-2</v>
      </c>
      <c r="K170" s="5">
        <f t="shared" si="27"/>
        <v>1.0016666666666667E-2</v>
      </c>
      <c r="L170" s="8">
        <f t="shared" si="24"/>
        <v>2.1606480499597902E-2</v>
      </c>
      <c r="M170" s="8">
        <f t="shared" si="25"/>
        <v>2.76E-2</v>
      </c>
      <c r="N170" s="8">
        <f t="shared" si="28"/>
        <v>3.2500000000000008E-2</v>
      </c>
      <c r="O170" s="296">
        <f t="shared" si="23"/>
        <v>-5.9935195004020975E-3</v>
      </c>
      <c r="P170" s="8">
        <f t="shared" si="29"/>
        <v>-1.0893519500402106E-2</v>
      </c>
      <c r="Q170" s="8">
        <f t="shared" si="30"/>
        <v>7.2585920673629012E-2</v>
      </c>
      <c r="R170" s="8">
        <f t="shared" si="31"/>
        <v>3.5799999999999998E-2</v>
      </c>
      <c r="S170" s="296">
        <f t="shared" si="32"/>
        <v>3.6785920673629013E-2</v>
      </c>
      <c r="U170" s="297"/>
      <c r="V170" s="297"/>
      <c r="W170" s="297"/>
      <c r="X170" s="297"/>
      <c r="Y170" s="297"/>
      <c r="Z170" s="297"/>
      <c r="AA170" s="297"/>
      <c r="AB170" s="297"/>
      <c r="AC170" s="297"/>
      <c r="AE170" s="297"/>
      <c r="AF170" s="297"/>
      <c r="AG170" s="297"/>
      <c r="AH170" s="297"/>
      <c r="AI170" s="297"/>
      <c r="AJ170" s="297"/>
      <c r="AK170" s="297"/>
      <c r="AL170" s="297"/>
      <c r="AM170" s="297"/>
      <c r="AO170" s="297"/>
      <c r="AP170" s="297"/>
      <c r="AQ170" s="297"/>
      <c r="AR170" s="297"/>
      <c r="AS170" s="297"/>
      <c r="AT170" s="297"/>
      <c r="AU170" s="297"/>
      <c r="AV170" s="297"/>
      <c r="AW170" s="297"/>
    </row>
    <row r="171" spans="1:49" x14ac:dyDescent="0.45">
      <c r="A171" s="295">
        <v>14550</v>
      </c>
      <c r="B171" s="12">
        <v>-3.9800000000000002E-2</v>
      </c>
      <c r="C171" s="5">
        <v>-1.5699999999999999E-2</v>
      </c>
      <c r="D171" s="5">
        <v>2E-3</v>
      </c>
      <c r="E171" s="5">
        <v>2.5000000000000001E-3</v>
      </c>
      <c r="F171" s="5">
        <v>2.6333333333333334E-3</v>
      </c>
      <c r="G171" s="5">
        <v>2.5666666666666672E-3</v>
      </c>
      <c r="H171" s="5">
        <v>2.8416666666666668E-3</v>
      </c>
      <c r="I171" s="5">
        <f t="shared" si="22"/>
        <v>-4.1800000000000004E-2</v>
      </c>
      <c r="J171" s="5">
        <f t="shared" si="26"/>
        <v>-4.2366666666666671E-2</v>
      </c>
      <c r="K171" s="5">
        <f t="shared" si="27"/>
        <v>-1.8541666666666665E-2</v>
      </c>
      <c r="L171" s="8">
        <f t="shared" si="24"/>
        <v>8.4779917505029001E-3</v>
      </c>
      <c r="M171" s="8">
        <f t="shared" si="25"/>
        <v>2.4E-2</v>
      </c>
      <c r="N171" s="8">
        <f t="shared" si="28"/>
        <v>3.0800000000000008E-2</v>
      </c>
      <c r="O171" s="296">
        <f t="shared" si="23"/>
        <v>-1.55220082494971E-2</v>
      </c>
      <c r="P171" s="8">
        <f t="shared" si="29"/>
        <v>-2.2322008249497108E-2</v>
      </c>
      <c r="Q171" s="8">
        <f t="shared" si="30"/>
        <v>0.12552912763225321</v>
      </c>
      <c r="R171" s="8">
        <f t="shared" si="31"/>
        <v>3.4100000000000005E-2</v>
      </c>
      <c r="S171" s="296">
        <f t="shared" si="32"/>
        <v>9.1429127632253207E-2</v>
      </c>
      <c r="U171" s="297"/>
      <c r="V171" s="297"/>
      <c r="W171" s="297"/>
      <c r="X171" s="297"/>
      <c r="Y171" s="297"/>
      <c r="Z171" s="297"/>
      <c r="AA171" s="297"/>
      <c r="AB171" s="297"/>
      <c r="AC171" s="297"/>
      <c r="AE171" s="297"/>
      <c r="AF171" s="297"/>
      <c r="AG171" s="297"/>
      <c r="AH171" s="297"/>
      <c r="AI171" s="297"/>
      <c r="AJ171" s="297"/>
      <c r="AK171" s="297"/>
      <c r="AL171" s="297"/>
      <c r="AM171" s="297"/>
      <c r="AO171" s="297"/>
      <c r="AP171" s="297"/>
      <c r="AQ171" s="297"/>
      <c r="AR171" s="297"/>
      <c r="AS171" s="297"/>
      <c r="AT171" s="297"/>
      <c r="AU171" s="297"/>
      <c r="AV171" s="297"/>
      <c r="AW171" s="297"/>
    </row>
    <row r="172" spans="1:49" x14ac:dyDescent="0.45">
      <c r="A172" s="295">
        <v>14580</v>
      </c>
      <c r="B172" s="12">
        <v>2.7E-2</v>
      </c>
      <c r="C172" s="5">
        <v>2.7199999999999998E-2</v>
      </c>
      <c r="D172" s="5">
        <v>1.9E-3</v>
      </c>
      <c r="E172" s="5">
        <v>2.4499999999999999E-3</v>
      </c>
      <c r="F172" s="5">
        <v>2.6166666666666664E-3</v>
      </c>
      <c r="G172" s="5">
        <v>2.5333333333333332E-3</v>
      </c>
      <c r="H172" s="5">
        <v>2.816666666666667E-3</v>
      </c>
      <c r="I172" s="5">
        <f t="shared" si="22"/>
        <v>2.5100000000000001E-2</v>
      </c>
      <c r="J172" s="5">
        <f t="shared" si="26"/>
        <v>2.4466666666666668E-2</v>
      </c>
      <c r="K172" s="5">
        <f t="shared" si="27"/>
        <v>2.4383333333333333E-2</v>
      </c>
      <c r="L172" s="8">
        <f t="shared" si="24"/>
        <v>-4.2237308645646232E-3</v>
      </c>
      <c r="M172" s="8">
        <f t="shared" si="25"/>
        <v>2.2800000000000001E-2</v>
      </c>
      <c r="N172" s="8">
        <f t="shared" si="28"/>
        <v>3.0399999999999996E-2</v>
      </c>
      <c r="O172" s="296">
        <f t="shared" si="23"/>
        <v>-2.7023730864564624E-2</v>
      </c>
      <c r="P172" s="8">
        <f t="shared" si="29"/>
        <v>-3.462373086456462E-2</v>
      </c>
      <c r="Q172" s="8">
        <f t="shared" si="30"/>
        <v>0.11263932239808527</v>
      </c>
      <c r="R172" s="8">
        <f t="shared" si="31"/>
        <v>3.3800000000000004E-2</v>
      </c>
      <c r="S172" s="296">
        <f t="shared" si="32"/>
        <v>7.8839322398085276E-2</v>
      </c>
      <c r="U172" s="297"/>
      <c r="V172" s="297"/>
      <c r="W172" s="297"/>
      <c r="X172" s="297"/>
      <c r="Y172" s="297"/>
      <c r="Z172" s="297"/>
      <c r="AA172" s="297"/>
      <c r="AB172" s="297"/>
      <c r="AC172" s="297"/>
      <c r="AE172" s="297"/>
      <c r="AF172" s="297"/>
      <c r="AG172" s="297"/>
      <c r="AH172" s="297"/>
      <c r="AI172" s="297"/>
      <c r="AJ172" s="297"/>
      <c r="AK172" s="297"/>
      <c r="AL172" s="297"/>
      <c r="AM172" s="297"/>
      <c r="AO172" s="297"/>
      <c r="AP172" s="297"/>
      <c r="AQ172" s="297"/>
      <c r="AR172" s="297"/>
      <c r="AS172" s="297"/>
      <c r="AT172" s="297"/>
      <c r="AU172" s="297"/>
      <c r="AV172" s="297"/>
      <c r="AW172" s="297"/>
    </row>
    <row r="173" spans="1:49" x14ac:dyDescent="0.45">
      <c r="A173" s="295">
        <v>14611</v>
      </c>
      <c r="B173" s="12">
        <v>-3.3599999999999998E-2</v>
      </c>
      <c r="C173" s="5">
        <v>6.8999999999999999E-3</v>
      </c>
      <c r="D173" s="5">
        <v>2E-3</v>
      </c>
      <c r="E173" s="5">
        <v>2.3999999999999998E-3</v>
      </c>
      <c r="F173" s="5">
        <v>2.5666666666666667E-3</v>
      </c>
      <c r="G173" s="5">
        <v>2.4833333333333331E-3</v>
      </c>
      <c r="H173" s="5">
        <v>2.7833333333333334E-3</v>
      </c>
      <c r="I173" s="5">
        <f t="shared" si="22"/>
        <v>-3.56E-2</v>
      </c>
      <c r="J173" s="5">
        <f t="shared" si="26"/>
        <v>-3.6083333333333328E-2</v>
      </c>
      <c r="K173" s="5">
        <f t="shared" si="27"/>
        <v>4.116666666666666E-3</v>
      </c>
      <c r="L173" s="8">
        <f t="shared" si="24"/>
        <v>3.1865951632516376E-2</v>
      </c>
      <c r="M173" s="8">
        <f t="shared" si="25"/>
        <v>2.4E-2</v>
      </c>
      <c r="N173" s="8">
        <f t="shared" si="28"/>
        <v>2.9799999999999997E-2</v>
      </c>
      <c r="O173" s="296">
        <f t="shared" si="23"/>
        <v>7.8659516325163756E-3</v>
      </c>
      <c r="P173" s="8">
        <f t="shared" si="29"/>
        <v>2.0659516325163794E-3</v>
      </c>
      <c r="Q173" s="8">
        <f t="shared" si="30"/>
        <v>0.10213136618065133</v>
      </c>
      <c r="R173" s="8">
        <f t="shared" si="31"/>
        <v>3.3399999999999999E-2</v>
      </c>
      <c r="S173" s="296">
        <f t="shared" si="32"/>
        <v>6.8731366180651329E-2</v>
      </c>
      <c r="U173" s="297"/>
      <c r="V173" s="297"/>
      <c r="W173" s="297"/>
      <c r="X173" s="297"/>
      <c r="Y173" s="297"/>
      <c r="Z173" s="297"/>
      <c r="AA173" s="297"/>
      <c r="AB173" s="297"/>
      <c r="AC173" s="297"/>
      <c r="AE173" s="297"/>
      <c r="AF173" s="297"/>
      <c r="AG173" s="297"/>
      <c r="AH173" s="297"/>
      <c r="AI173" s="297"/>
      <c r="AJ173" s="297"/>
      <c r="AK173" s="297"/>
      <c r="AL173" s="297"/>
      <c r="AM173" s="297"/>
      <c r="AO173" s="297"/>
      <c r="AP173" s="297"/>
      <c r="AQ173" s="297"/>
      <c r="AR173" s="297"/>
      <c r="AS173" s="297"/>
      <c r="AT173" s="297"/>
      <c r="AU173" s="297"/>
      <c r="AV173" s="297"/>
      <c r="AW173" s="297"/>
    </row>
    <row r="174" spans="1:49" x14ac:dyDescent="0.45">
      <c r="A174" s="295">
        <v>14642</v>
      </c>
      <c r="B174" s="12">
        <v>1.3299999999999999E-2</v>
      </c>
      <c r="C174" s="5">
        <v>-1.0200000000000001E-2</v>
      </c>
      <c r="D174" s="5">
        <v>1.8E-3</v>
      </c>
      <c r="E174" s="5">
        <v>2.3833333333333332E-3</v>
      </c>
      <c r="F174" s="5">
        <v>2.5416666666666665E-3</v>
      </c>
      <c r="G174" s="5">
        <v>2.4624999999999998E-3</v>
      </c>
      <c r="H174" s="5">
        <v>2.7916666666666667E-3</v>
      </c>
      <c r="I174" s="5">
        <f t="shared" si="22"/>
        <v>1.15E-2</v>
      </c>
      <c r="J174" s="5">
        <f t="shared" si="26"/>
        <v>1.08375E-2</v>
      </c>
      <c r="K174" s="5">
        <f t="shared" si="27"/>
        <v>-1.2991666666666667E-2</v>
      </c>
      <c r="L174" s="8">
        <f t="shared" si="24"/>
        <v>6.3424146190846908E-3</v>
      </c>
      <c r="M174" s="8">
        <f t="shared" si="25"/>
        <v>2.1600000000000001E-2</v>
      </c>
      <c r="N174" s="8">
        <f t="shared" si="28"/>
        <v>2.955E-2</v>
      </c>
      <c r="O174" s="296">
        <f t="shared" si="23"/>
        <v>-1.525758538091531E-2</v>
      </c>
      <c r="P174" s="8">
        <f t="shared" si="29"/>
        <v>-2.3207585380915309E-2</v>
      </c>
      <c r="Q174" s="8">
        <f t="shared" si="30"/>
        <v>9.9894697209599315E-3</v>
      </c>
      <c r="R174" s="8">
        <f t="shared" si="31"/>
        <v>3.3500000000000002E-2</v>
      </c>
      <c r="S174" s="296">
        <f t="shared" si="32"/>
        <v>-2.3510530279040071E-2</v>
      </c>
      <c r="U174" s="297"/>
      <c r="V174" s="297"/>
      <c r="W174" s="297"/>
      <c r="X174" s="297"/>
      <c r="Y174" s="297"/>
      <c r="Z174" s="297"/>
      <c r="AA174" s="297"/>
      <c r="AB174" s="297"/>
      <c r="AC174" s="297"/>
      <c r="AE174" s="297"/>
      <c r="AF174" s="297"/>
      <c r="AG174" s="297"/>
      <c r="AH174" s="297"/>
      <c r="AI174" s="297"/>
      <c r="AJ174" s="297"/>
      <c r="AK174" s="297"/>
      <c r="AL174" s="297"/>
      <c r="AM174" s="297"/>
      <c r="AO174" s="297"/>
      <c r="AP174" s="297"/>
      <c r="AQ174" s="297"/>
      <c r="AR174" s="297"/>
      <c r="AS174" s="297"/>
      <c r="AT174" s="297"/>
      <c r="AU174" s="297"/>
      <c r="AV174" s="297"/>
      <c r="AW174" s="297"/>
    </row>
    <row r="175" spans="1:49" x14ac:dyDescent="0.45">
      <c r="A175" s="295">
        <v>14671</v>
      </c>
      <c r="B175" s="12">
        <v>1.24E-2</v>
      </c>
      <c r="C175" s="5">
        <v>9.3999999999999986E-3</v>
      </c>
      <c r="D175" s="5">
        <v>1.9E-3</v>
      </c>
      <c r="E175" s="5">
        <v>2.3666666666666667E-3</v>
      </c>
      <c r="F175" s="5">
        <v>2.5333333333333336E-3</v>
      </c>
      <c r="G175" s="5">
        <v>2.4499999999999999E-3</v>
      </c>
      <c r="H175" s="5">
        <v>2.7833333333333334E-3</v>
      </c>
      <c r="I175" s="5">
        <f t="shared" si="22"/>
        <v>1.0499999999999999E-2</v>
      </c>
      <c r="J175" s="5">
        <f t="shared" si="26"/>
        <v>9.9500000000000005E-3</v>
      </c>
      <c r="K175" s="5">
        <f t="shared" si="27"/>
        <v>6.6166666666666648E-3</v>
      </c>
      <c r="L175" s="8">
        <f t="shared" si="24"/>
        <v>0.17633190227498141</v>
      </c>
      <c r="M175" s="8">
        <f t="shared" si="25"/>
        <v>2.2800000000000001E-2</v>
      </c>
      <c r="N175" s="8">
        <f t="shared" si="28"/>
        <v>2.9399999999999999E-2</v>
      </c>
      <c r="O175" s="296">
        <f t="shared" si="23"/>
        <v>0.15353190227498142</v>
      </c>
      <c r="P175" s="8">
        <f t="shared" si="29"/>
        <v>0.1469319022749814</v>
      </c>
      <c r="Q175" s="8">
        <f t="shared" si="30"/>
        <v>0.18242098206487722</v>
      </c>
      <c r="R175" s="8">
        <f t="shared" si="31"/>
        <v>3.3399999999999999E-2</v>
      </c>
      <c r="S175" s="296">
        <f t="shared" si="32"/>
        <v>0.14902098206487724</v>
      </c>
      <c r="U175" s="297"/>
      <c r="V175" s="297"/>
      <c r="W175" s="297"/>
      <c r="X175" s="297"/>
      <c r="Y175" s="297"/>
      <c r="Z175" s="297"/>
      <c r="AA175" s="297"/>
      <c r="AB175" s="297"/>
      <c r="AC175" s="297"/>
      <c r="AE175" s="297"/>
      <c r="AF175" s="297"/>
      <c r="AG175" s="297"/>
      <c r="AH175" s="297"/>
      <c r="AI175" s="297"/>
      <c r="AJ175" s="297"/>
      <c r="AK175" s="297"/>
      <c r="AL175" s="297"/>
      <c r="AM175" s="297"/>
      <c r="AO175" s="297"/>
      <c r="AP175" s="297"/>
      <c r="AQ175" s="297"/>
      <c r="AR175" s="297"/>
      <c r="AS175" s="297"/>
      <c r="AT175" s="297"/>
      <c r="AU175" s="297"/>
      <c r="AV175" s="297"/>
      <c r="AW175" s="297"/>
    </row>
    <row r="176" spans="1:49" x14ac:dyDescent="0.45">
      <c r="A176" s="295">
        <v>14702</v>
      </c>
      <c r="B176" s="12">
        <v>-2.3999999999999998E-3</v>
      </c>
      <c r="C176" s="5">
        <v>-9.1999999999999998E-3</v>
      </c>
      <c r="D176" s="5">
        <v>1.8E-3</v>
      </c>
      <c r="E176" s="5">
        <v>2.3499999999999997E-3</v>
      </c>
      <c r="F176" s="5">
        <v>2.4916666666666668E-3</v>
      </c>
      <c r="G176" s="5">
        <v>2.420833333333333E-3</v>
      </c>
      <c r="H176" s="5">
        <v>2.708333333333333E-3</v>
      </c>
      <c r="I176" s="5">
        <f t="shared" si="22"/>
        <v>-4.1999999999999997E-3</v>
      </c>
      <c r="J176" s="5">
        <f t="shared" si="26"/>
        <v>-4.8208333333333332E-3</v>
      </c>
      <c r="K176" s="5">
        <f t="shared" si="27"/>
        <v>-1.1908333333333333E-2</v>
      </c>
      <c r="L176" s="8">
        <f t="shared" si="24"/>
        <v>0.17668575725410784</v>
      </c>
      <c r="M176" s="8">
        <f t="shared" si="25"/>
        <v>2.1600000000000001E-2</v>
      </c>
      <c r="N176" s="8">
        <f t="shared" si="28"/>
        <v>2.9049999999999996E-2</v>
      </c>
      <c r="O176" s="296">
        <f t="shared" si="23"/>
        <v>0.15508575725410784</v>
      </c>
      <c r="P176" s="8">
        <f t="shared" si="29"/>
        <v>0.14763575725410785</v>
      </c>
      <c r="Q176" s="8">
        <f t="shared" si="30"/>
        <v>0.13907895870673825</v>
      </c>
      <c r="R176" s="8">
        <f t="shared" si="31"/>
        <v>3.2499999999999994E-2</v>
      </c>
      <c r="S176" s="296">
        <f t="shared" si="32"/>
        <v>0.10657895870673825</v>
      </c>
      <c r="U176" s="297"/>
      <c r="V176" s="297"/>
      <c r="W176" s="297"/>
      <c r="X176" s="297"/>
      <c r="Y176" s="297"/>
      <c r="Z176" s="297"/>
      <c r="AA176" s="297"/>
      <c r="AB176" s="297"/>
      <c r="AC176" s="297"/>
      <c r="AE176" s="297"/>
      <c r="AF176" s="297"/>
      <c r="AG176" s="297"/>
      <c r="AH176" s="297"/>
      <c r="AI176" s="297"/>
      <c r="AJ176" s="297"/>
      <c r="AK176" s="297"/>
      <c r="AL176" s="297"/>
      <c r="AM176" s="297"/>
      <c r="AO176" s="297"/>
      <c r="AP176" s="297"/>
      <c r="AQ176" s="297"/>
      <c r="AR176" s="297"/>
      <c r="AS176" s="297"/>
      <c r="AT176" s="297"/>
      <c r="AU176" s="297"/>
      <c r="AV176" s="297"/>
      <c r="AW176" s="297"/>
    </row>
    <row r="177" spans="1:49" x14ac:dyDescent="0.45">
      <c r="A177" s="295">
        <v>14732</v>
      </c>
      <c r="B177" s="12">
        <v>-0.22889999999999999</v>
      </c>
      <c r="C177" s="5">
        <v>-0.19640000000000002</v>
      </c>
      <c r="D177" s="5">
        <v>1.9E-3</v>
      </c>
      <c r="E177" s="5">
        <v>2.4416666666666666E-3</v>
      </c>
      <c r="F177" s="5">
        <v>2.5666666666666667E-3</v>
      </c>
      <c r="G177" s="5">
        <v>2.5041666666666667E-3</v>
      </c>
      <c r="H177" s="5">
        <v>2.7500000000000003E-3</v>
      </c>
      <c r="I177" s="5">
        <f t="shared" si="22"/>
        <v>-0.23080000000000001</v>
      </c>
      <c r="J177" s="5">
        <f t="shared" si="26"/>
        <v>-0.23140416666666666</v>
      </c>
      <c r="K177" s="5">
        <f t="shared" si="27"/>
        <v>-0.19915000000000002</v>
      </c>
      <c r="L177" s="8">
        <f t="shared" si="24"/>
        <v>-0.15462369568746637</v>
      </c>
      <c r="M177" s="8">
        <f t="shared" si="25"/>
        <v>2.2800000000000001E-2</v>
      </c>
      <c r="N177" s="8">
        <f t="shared" si="28"/>
        <v>3.005E-2</v>
      </c>
      <c r="O177" s="296">
        <f t="shared" si="23"/>
        <v>-0.17742369568746635</v>
      </c>
      <c r="P177" s="8">
        <f t="shared" si="29"/>
        <v>-0.18467369568746636</v>
      </c>
      <c r="Q177" s="8">
        <f t="shared" si="30"/>
        <v>-0.14171228202837804</v>
      </c>
      <c r="R177" s="8">
        <f t="shared" si="31"/>
        <v>3.3000000000000002E-2</v>
      </c>
      <c r="S177" s="296">
        <f t="shared" si="32"/>
        <v>-0.17471228202837805</v>
      </c>
      <c r="U177" s="297"/>
      <c r="V177" s="297"/>
      <c r="W177" s="297"/>
      <c r="X177" s="297"/>
      <c r="Y177" s="297"/>
      <c r="Z177" s="297"/>
      <c r="AA177" s="297"/>
      <c r="AB177" s="297"/>
      <c r="AC177" s="297"/>
      <c r="AE177" s="297"/>
      <c r="AF177" s="297"/>
      <c r="AG177" s="297"/>
      <c r="AH177" s="297"/>
      <c r="AI177" s="297"/>
      <c r="AJ177" s="297"/>
      <c r="AK177" s="297"/>
      <c r="AL177" s="297"/>
      <c r="AM177" s="297"/>
      <c r="AO177" s="297"/>
      <c r="AP177" s="297"/>
      <c r="AQ177" s="297"/>
      <c r="AR177" s="297"/>
      <c r="AS177" s="297"/>
      <c r="AT177" s="297"/>
      <c r="AU177" s="297"/>
      <c r="AV177" s="297"/>
      <c r="AW177" s="297"/>
    </row>
    <row r="178" spans="1:49" x14ac:dyDescent="0.45">
      <c r="A178" s="295">
        <v>14763</v>
      </c>
      <c r="B178" s="12">
        <v>8.09E-2</v>
      </c>
      <c r="C178" s="5">
        <v>0.15060000000000001</v>
      </c>
      <c r="D178" s="5">
        <v>1.9E-3</v>
      </c>
      <c r="E178" s="5">
        <v>2.4666666666666669E-3</v>
      </c>
      <c r="F178" s="5">
        <v>2.5833333333333337E-3</v>
      </c>
      <c r="G178" s="5">
        <v>2.5249999999999999E-3</v>
      </c>
      <c r="H178" s="5">
        <v>2.7833333333333334E-3</v>
      </c>
      <c r="I178" s="5">
        <f t="shared" si="22"/>
        <v>7.9000000000000001E-2</v>
      </c>
      <c r="J178" s="5">
        <f t="shared" si="26"/>
        <v>7.8375E-2</v>
      </c>
      <c r="K178" s="5">
        <f t="shared" si="27"/>
        <v>0.14781666666666668</v>
      </c>
      <c r="L178" s="8">
        <f t="shared" si="24"/>
        <v>-2.6664627895805704E-2</v>
      </c>
      <c r="M178" s="8">
        <f t="shared" si="25"/>
        <v>2.2800000000000001E-2</v>
      </c>
      <c r="N178" s="8">
        <f t="shared" si="28"/>
        <v>3.0300000000000001E-2</v>
      </c>
      <c r="O178" s="296">
        <f t="shared" si="23"/>
        <v>-4.9464627895805705E-2</v>
      </c>
      <c r="P178" s="8">
        <f t="shared" si="29"/>
        <v>-5.6964627895805704E-2</v>
      </c>
      <c r="Q178" s="8">
        <f t="shared" si="30"/>
        <v>3.1164089274457796E-2</v>
      </c>
      <c r="R178" s="8">
        <f t="shared" si="31"/>
        <v>3.3399999999999999E-2</v>
      </c>
      <c r="S178" s="296">
        <f t="shared" si="32"/>
        <v>-2.2359107255422034E-3</v>
      </c>
      <c r="U178" s="297"/>
      <c r="V178" s="297"/>
      <c r="W178" s="297"/>
      <c r="X178" s="297"/>
      <c r="Y178" s="297"/>
      <c r="Z178" s="297"/>
      <c r="AA178" s="297"/>
      <c r="AB178" s="297"/>
      <c r="AC178" s="297"/>
      <c r="AE178" s="297"/>
      <c r="AF178" s="297"/>
      <c r="AG178" s="297"/>
      <c r="AH178" s="297"/>
      <c r="AI178" s="297"/>
      <c r="AJ178" s="297"/>
      <c r="AK178" s="297"/>
      <c r="AL178" s="297"/>
      <c r="AM178" s="297"/>
      <c r="AO178" s="297"/>
      <c r="AP178" s="297"/>
      <c r="AQ178" s="297"/>
      <c r="AR178" s="297"/>
      <c r="AS178" s="297"/>
      <c r="AT178" s="297"/>
      <c r="AU178" s="297"/>
      <c r="AV178" s="297"/>
      <c r="AW178" s="297"/>
    </row>
    <row r="179" spans="1:49" x14ac:dyDescent="0.45">
      <c r="A179" s="295">
        <v>14793</v>
      </c>
      <c r="B179" s="12">
        <v>3.4099999999999998E-2</v>
      </c>
      <c r="C179" s="5">
        <v>6.5000000000000006E-3</v>
      </c>
      <c r="D179" s="5">
        <v>2E-3</v>
      </c>
      <c r="E179" s="5">
        <v>2.3999999999999998E-3</v>
      </c>
      <c r="F179" s="5">
        <v>2.5083333333333329E-3</v>
      </c>
      <c r="G179" s="5">
        <v>2.4541666666666666E-3</v>
      </c>
      <c r="H179" s="5">
        <v>2.6916666666666669E-3</v>
      </c>
      <c r="I179" s="5">
        <f t="shared" si="22"/>
        <v>3.2099999999999997E-2</v>
      </c>
      <c r="J179" s="5">
        <f t="shared" si="26"/>
        <v>3.1645833333333331E-2</v>
      </c>
      <c r="K179" s="5">
        <f t="shared" si="27"/>
        <v>3.8083333333333337E-3</v>
      </c>
      <c r="L179" s="8">
        <f t="shared" si="24"/>
        <v>-9.3627997935211593E-2</v>
      </c>
      <c r="M179" s="8">
        <f t="shared" si="25"/>
        <v>2.4E-2</v>
      </c>
      <c r="N179" s="8">
        <f t="shared" si="28"/>
        <v>2.9449999999999997E-2</v>
      </c>
      <c r="O179" s="296">
        <f t="shared" si="23"/>
        <v>-0.11762799793521159</v>
      </c>
      <c r="P179" s="8">
        <f t="shared" si="29"/>
        <v>-0.1230779979352116</v>
      </c>
      <c r="Q179" s="8">
        <f t="shared" si="30"/>
        <v>-7.3994775290201931E-2</v>
      </c>
      <c r="R179" s="8">
        <f t="shared" si="31"/>
        <v>3.2300000000000002E-2</v>
      </c>
      <c r="S179" s="296">
        <f t="shared" si="32"/>
        <v>-0.10629477529020193</v>
      </c>
      <c r="U179" s="297"/>
      <c r="V179" s="297"/>
      <c r="W179" s="297"/>
      <c r="X179" s="297"/>
      <c r="Y179" s="297"/>
      <c r="Z179" s="297"/>
      <c r="AA179" s="297"/>
      <c r="AB179" s="297"/>
      <c r="AC179" s="297"/>
      <c r="AE179" s="297"/>
      <c r="AF179" s="297"/>
      <c r="AG179" s="297"/>
      <c r="AH179" s="297"/>
      <c r="AI179" s="297"/>
      <c r="AJ179" s="297"/>
      <c r="AK179" s="297"/>
      <c r="AL179" s="297"/>
      <c r="AM179" s="297"/>
      <c r="AO179" s="297"/>
      <c r="AP179" s="297"/>
      <c r="AQ179" s="297"/>
      <c r="AR179" s="297"/>
      <c r="AS179" s="297"/>
      <c r="AT179" s="297"/>
      <c r="AU179" s="297"/>
      <c r="AV179" s="297"/>
      <c r="AW179" s="297"/>
    </row>
    <row r="180" spans="1:49" x14ac:dyDescent="0.45">
      <c r="A180" s="295">
        <v>14824</v>
      </c>
      <c r="B180" s="12">
        <v>3.5000000000000003E-2</v>
      </c>
      <c r="C180" s="5">
        <v>-9.4000000000000004E-3</v>
      </c>
      <c r="D180" s="5">
        <v>1.9E-3</v>
      </c>
      <c r="E180" s="5">
        <v>2.3750000000000004E-3</v>
      </c>
      <c r="F180" s="5">
        <v>2.5249999999999999E-3</v>
      </c>
      <c r="G180" s="5">
        <v>2.4499999999999999E-3</v>
      </c>
      <c r="H180" s="5">
        <v>2.6750000000000003E-3</v>
      </c>
      <c r="I180" s="5">
        <f t="shared" si="22"/>
        <v>3.3100000000000004E-2</v>
      </c>
      <c r="J180" s="5">
        <f t="shared" si="26"/>
        <v>3.2550000000000003E-2</v>
      </c>
      <c r="K180" s="5">
        <f t="shared" si="27"/>
        <v>-1.2075000000000001E-2</v>
      </c>
      <c r="L180" s="8">
        <f t="shared" si="24"/>
        <v>3.0956181961674378E-3</v>
      </c>
      <c r="M180" s="8">
        <f t="shared" si="25"/>
        <v>2.2800000000000001E-2</v>
      </c>
      <c r="N180" s="8">
        <f t="shared" si="28"/>
        <v>2.9399999999999999E-2</v>
      </c>
      <c r="O180" s="296">
        <f t="shared" si="23"/>
        <v>-1.9704381803832563E-2</v>
      </c>
      <c r="P180" s="8">
        <f t="shared" si="29"/>
        <v>-2.6304381803832561E-2</v>
      </c>
      <c r="Q180" s="8">
        <f t="shared" si="30"/>
        <v>-1.9244332730112501E-2</v>
      </c>
      <c r="R180" s="8">
        <f t="shared" si="31"/>
        <v>3.2100000000000004E-2</v>
      </c>
      <c r="S180" s="296">
        <f t="shared" si="32"/>
        <v>-5.1344332730112505E-2</v>
      </c>
      <c r="U180" s="297"/>
      <c r="V180" s="297"/>
      <c r="W180" s="297"/>
      <c r="X180" s="297"/>
      <c r="Y180" s="297"/>
      <c r="Z180" s="297"/>
      <c r="AA180" s="297"/>
      <c r="AB180" s="297"/>
      <c r="AC180" s="297"/>
      <c r="AE180" s="297"/>
      <c r="AF180" s="297"/>
      <c r="AG180" s="297"/>
      <c r="AH180" s="297"/>
      <c r="AI180" s="297"/>
      <c r="AJ180" s="297"/>
      <c r="AK180" s="297"/>
      <c r="AL180" s="297"/>
      <c r="AM180" s="297"/>
      <c r="AO180" s="297"/>
      <c r="AP180" s="297"/>
      <c r="AQ180" s="297"/>
      <c r="AR180" s="297"/>
      <c r="AS180" s="297"/>
      <c r="AT180" s="297"/>
      <c r="AU180" s="297"/>
      <c r="AV180" s="297"/>
      <c r="AW180" s="297"/>
    </row>
    <row r="181" spans="1:49" x14ac:dyDescent="0.45">
      <c r="A181" s="295">
        <v>14855</v>
      </c>
      <c r="B181" s="12">
        <v>1.23E-2</v>
      </c>
      <c r="C181" s="5">
        <v>-2.1099999999999997E-2</v>
      </c>
      <c r="D181" s="5">
        <v>1.8E-3</v>
      </c>
      <c r="E181" s="5">
        <v>2.3499999999999997E-3</v>
      </c>
      <c r="F181" s="5">
        <v>2.5083333333333329E-3</v>
      </c>
      <c r="G181" s="5">
        <v>2.4291666666666663E-3</v>
      </c>
      <c r="H181" s="5">
        <v>2.65E-3</v>
      </c>
      <c r="I181" s="5">
        <f t="shared" si="22"/>
        <v>1.0500000000000001E-2</v>
      </c>
      <c r="J181" s="5">
        <f t="shared" si="26"/>
        <v>9.8708333333333339E-3</v>
      </c>
      <c r="K181" s="5">
        <f t="shared" si="27"/>
        <v>-2.3749999999999997E-2</v>
      </c>
      <c r="L181" s="8">
        <f t="shared" si="24"/>
        <v>-0.13010049318942862</v>
      </c>
      <c r="M181" s="8">
        <f t="shared" si="25"/>
        <v>2.1600000000000001E-2</v>
      </c>
      <c r="N181" s="8">
        <f t="shared" si="28"/>
        <v>2.9149999999999995E-2</v>
      </c>
      <c r="O181" s="296">
        <f t="shared" si="23"/>
        <v>-0.15170049318942863</v>
      </c>
      <c r="P181" s="8">
        <f t="shared" si="29"/>
        <v>-0.15925049318942863</v>
      </c>
      <c r="Q181" s="8">
        <f t="shared" si="30"/>
        <v>-7.8723997034360615E-2</v>
      </c>
      <c r="R181" s="8">
        <f t="shared" si="31"/>
        <v>3.1800000000000002E-2</v>
      </c>
      <c r="S181" s="296">
        <f t="shared" si="32"/>
        <v>-0.11052399703436061</v>
      </c>
      <c r="U181" s="297"/>
      <c r="V181" s="297"/>
      <c r="W181" s="297"/>
      <c r="X181" s="297"/>
      <c r="Y181" s="297"/>
      <c r="Z181" s="297"/>
      <c r="AA181" s="297"/>
      <c r="AB181" s="297"/>
      <c r="AC181" s="297"/>
      <c r="AE181" s="297"/>
      <c r="AF181" s="297"/>
      <c r="AG181" s="297"/>
      <c r="AH181" s="297"/>
      <c r="AI181" s="297"/>
      <c r="AJ181" s="297"/>
      <c r="AK181" s="297"/>
      <c r="AL181" s="297"/>
      <c r="AM181" s="297"/>
      <c r="AO181" s="297"/>
      <c r="AP181" s="297"/>
      <c r="AQ181" s="297"/>
      <c r="AR181" s="297"/>
      <c r="AS181" s="297"/>
      <c r="AT181" s="297"/>
      <c r="AU181" s="297"/>
      <c r="AV181" s="297"/>
      <c r="AW181" s="297"/>
    </row>
    <row r="182" spans="1:49" x14ac:dyDescent="0.45">
      <c r="A182" s="295">
        <v>14885</v>
      </c>
      <c r="B182" s="12">
        <v>4.2200000000000001E-2</v>
      </c>
      <c r="C182" s="5">
        <v>3.1699999999999999E-2</v>
      </c>
      <c r="D182" s="5">
        <v>1.8E-3</v>
      </c>
      <c r="E182" s="5">
        <v>2.3250000000000002E-3</v>
      </c>
      <c r="F182" s="5">
        <v>2.5083333333333329E-3</v>
      </c>
      <c r="G182" s="5">
        <v>2.4166666666666664E-3</v>
      </c>
      <c r="H182" s="5">
        <v>2.6250000000000002E-3</v>
      </c>
      <c r="I182" s="5">
        <f t="shared" si="22"/>
        <v>4.0399999999999998E-2</v>
      </c>
      <c r="J182" s="5">
        <f t="shared" si="26"/>
        <v>3.9783333333333337E-2</v>
      </c>
      <c r="K182" s="5">
        <f t="shared" si="27"/>
        <v>2.9075E-2</v>
      </c>
      <c r="L182" s="8">
        <f t="shared" si="24"/>
        <v>-8.2100571025637836E-2</v>
      </c>
      <c r="M182" s="8">
        <f t="shared" si="25"/>
        <v>2.1600000000000001E-2</v>
      </c>
      <c r="N182" s="8">
        <f t="shared" si="28"/>
        <v>2.8999999999999998E-2</v>
      </c>
      <c r="O182" s="296">
        <f t="shared" si="23"/>
        <v>-0.10370057102563784</v>
      </c>
      <c r="P182" s="8">
        <f t="shared" si="29"/>
        <v>-0.11110057102563783</v>
      </c>
      <c r="Q182" s="8">
        <f t="shared" si="30"/>
        <v>-6.1717223830552226E-2</v>
      </c>
      <c r="R182" s="8">
        <f t="shared" si="31"/>
        <v>3.15E-2</v>
      </c>
      <c r="S182" s="296">
        <f t="shared" si="32"/>
        <v>-9.3217223830552226E-2</v>
      </c>
      <c r="U182" s="297"/>
      <c r="V182" s="297"/>
      <c r="W182" s="297"/>
      <c r="X182" s="297"/>
      <c r="Y182" s="297"/>
      <c r="Z182" s="297"/>
      <c r="AA182" s="297"/>
      <c r="AB182" s="297"/>
      <c r="AC182" s="297"/>
      <c r="AE182" s="297"/>
      <c r="AF182" s="297"/>
      <c r="AG182" s="297"/>
      <c r="AH182" s="297"/>
      <c r="AI182" s="297"/>
      <c r="AJ182" s="297"/>
      <c r="AK182" s="297"/>
      <c r="AL182" s="297"/>
      <c r="AM182" s="297"/>
      <c r="AO182" s="297"/>
      <c r="AP182" s="297"/>
      <c r="AQ182" s="297"/>
      <c r="AR182" s="297"/>
      <c r="AS182" s="297"/>
      <c r="AT182" s="297"/>
      <c r="AU182" s="297"/>
      <c r="AV182" s="297"/>
      <c r="AW182" s="297"/>
    </row>
    <row r="183" spans="1:49" x14ac:dyDescent="0.45">
      <c r="A183" s="295">
        <v>14916</v>
      </c>
      <c r="B183" s="12">
        <v>-3.1600000000000003E-2</v>
      </c>
      <c r="C183" s="5">
        <v>-0.12069999999999999</v>
      </c>
      <c r="D183" s="5">
        <v>1.8E-3</v>
      </c>
      <c r="E183" s="5">
        <v>2.2916666666666667E-3</v>
      </c>
      <c r="F183" s="5">
        <v>2.4666666666666669E-3</v>
      </c>
      <c r="G183" s="5">
        <v>2.3791666666666666E-3</v>
      </c>
      <c r="H183" s="5">
        <v>2.5916666666666666E-3</v>
      </c>
      <c r="I183" s="5">
        <f t="shared" si="22"/>
        <v>-3.3400000000000006E-2</v>
      </c>
      <c r="J183" s="5">
        <f t="shared" si="26"/>
        <v>-3.3979166666666671E-2</v>
      </c>
      <c r="K183" s="5">
        <f t="shared" si="27"/>
        <v>-0.12329166666666666</v>
      </c>
      <c r="L183" s="8">
        <f t="shared" si="24"/>
        <v>-7.4261813144373634E-2</v>
      </c>
      <c r="M183" s="8">
        <f t="shared" si="25"/>
        <v>2.1600000000000001E-2</v>
      </c>
      <c r="N183" s="8">
        <f t="shared" si="28"/>
        <v>2.8549999999999999E-2</v>
      </c>
      <c r="O183" s="296">
        <f t="shared" si="23"/>
        <v>-9.5861813144373642E-2</v>
      </c>
      <c r="P183" s="8">
        <f t="shared" si="29"/>
        <v>-0.10281181314437363</v>
      </c>
      <c r="Q183" s="8">
        <f t="shared" si="30"/>
        <v>-0.16180834594554971</v>
      </c>
      <c r="R183" s="8">
        <f t="shared" si="31"/>
        <v>3.1099999999999999E-2</v>
      </c>
      <c r="S183" s="296">
        <f t="shared" si="32"/>
        <v>-0.1929083459455497</v>
      </c>
      <c r="U183" s="297"/>
      <c r="V183" s="297"/>
      <c r="W183" s="297"/>
      <c r="X183" s="297"/>
      <c r="Y183" s="297"/>
      <c r="Z183" s="297"/>
      <c r="AA183" s="297"/>
      <c r="AB183" s="297"/>
      <c r="AC183" s="297"/>
      <c r="AE183" s="297"/>
      <c r="AF183" s="297"/>
      <c r="AG183" s="297"/>
      <c r="AH183" s="297"/>
      <c r="AI183" s="297"/>
      <c r="AJ183" s="297"/>
      <c r="AK183" s="297"/>
      <c r="AL183" s="297"/>
      <c r="AM183" s="297"/>
      <c r="AO183" s="297"/>
      <c r="AP183" s="297"/>
      <c r="AQ183" s="297"/>
      <c r="AR183" s="297"/>
      <c r="AS183" s="297"/>
      <c r="AT183" s="297"/>
      <c r="AU183" s="297"/>
      <c r="AV183" s="297"/>
      <c r="AW183" s="297"/>
    </row>
    <row r="184" spans="1:49" x14ac:dyDescent="0.45">
      <c r="A184" s="295">
        <v>14946</v>
      </c>
      <c r="B184" s="12">
        <v>8.9999999999999998E-4</v>
      </c>
      <c r="C184" s="5">
        <v>1.54E-2</v>
      </c>
      <c r="D184" s="5">
        <v>1.6999999999999999E-3</v>
      </c>
      <c r="E184" s="5">
        <v>2.2583333333333331E-3</v>
      </c>
      <c r="F184" s="5">
        <v>2.4333333333333334E-3</v>
      </c>
      <c r="G184" s="5">
        <v>2.345833333333333E-3</v>
      </c>
      <c r="H184" s="5">
        <v>2.5833333333333337E-3</v>
      </c>
      <c r="I184" s="5">
        <f t="shared" si="22"/>
        <v>-7.9999999999999993E-4</v>
      </c>
      <c r="J184" s="5">
        <f t="shared" si="26"/>
        <v>-1.445833333333333E-3</v>
      </c>
      <c r="K184" s="5">
        <f t="shared" si="27"/>
        <v>1.2816666666666667E-2</v>
      </c>
      <c r="L184" s="8">
        <f t="shared" si="24"/>
        <v>-9.7788362975855359E-2</v>
      </c>
      <c r="M184" s="8">
        <f t="shared" si="25"/>
        <v>2.0399999999999998E-2</v>
      </c>
      <c r="N184" s="8">
        <f t="shared" si="28"/>
        <v>2.8149999999999994E-2</v>
      </c>
      <c r="O184" s="296">
        <f t="shared" si="23"/>
        <v>-0.11818836297585536</v>
      </c>
      <c r="P184" s="8">
        <f t="shared" si="29"/>
        <v>-0.12593836297585537</v>
      </c>
      <c r="Q184" s="8">
        <f t="shared" si="30"/>
        <v>-0.17143710521136224</v>
      </c>
      <c r="R184" s="8">
        <f t="shared" si="31"/>
        <v>3.1000000000000007E-2</v>
      </c>
      <c r="S184" s="296">
        <f t="shared" si="32"/>
        <v>-0.20243710521136224</v>
      </c>
      <c r="U184" s="297"/>
      <c r="V184" s="297"/>
      <c r="W184" s="297"/>
      <c r="X184" s="297"/>
      <c r="Y184" s="297"/>
      <c r="Z184" s="297"/>
      <c r="AA184" s="297"/>
      <c r="AB184" s="297"/>
      <c r="AC184" s="297"/>
      <c r="AE184" s="297"/>
      <c r="AF184" s="297"/>
      <c r="AG184" s="297"/>
      <c r="AH184" s="297"/>
      <c r="AI184" s="297"/>
      <c r="AJ184" s="297"/>
      <c r="AK184" s="297"/>
      <c r="AL184" s="297"/>
      <c r="AM184" s="297"/>
      <c r="AO184" s="297"/>
      <c r="AP184" s="297"/>
      <c r="AQ184" s="297"/>
      <c r="AR184" s="297"/>
      <c r="AS184" s="297"/>
      <c r="AT184" s="297"/>
      <c r="AU184" s="297"/>
      <c r="AV184" s="297"/>
      <c r="AW184" s="297"/>
    </row>
    <row r="185" spans="1:49" x14ac:dyDescent="0.45">
      <c r="A185" s="295">
        <v>14977</v>
      </c>
      <c r="B185" s="12">
        <v>-4.6300000000000001E-2</v>
      </c>
      <c r="C185" s="5">
        <v>-8.4000000000000012E-3</v>
      </c>
      <c r="D185" s="5">
        <v>1.6000000000000001E-3</v>
      </c>
      <c r="E185" s="5">
        <v>2.2916666666666667E-3</v>
      </c>
      <c r="F185" s="5">
        <v>2.4583333333333336E-3</v>
      </c>
      <c r="G185" s="5">
        <v>2.3749999999999999E-3</v>
      </c>
      <c r="H185" s="5">
        <v>2.6250000000000002E-3</v>
      </c>
      <c r="I185" s="5">
        <f t="shared" si="22"/>
        <v>-4.7899999999999998E-2</v>
      </c>
      <c r="J185" s="5">
        <f t="shared" si="26"/>
        <v>-4.8675000000000003E-2</v>
      </c>
      <c r="K185" s="5">
        <f t="shared" si="27"/>
        <v>-1.1025000000000002E-2</v>
      </c>
      <c r="L185" s="8">
        <f t="shared" si="24"/>
        <v>-0.10964482799055608</v>
      </c>
      <c r="M185" s="8">
        <f t="shared" si="25"/>
        <v>1.9200000000000002E-2</v>
      </c>
      <c r="N185" s="8">
        <f t="shared" si="28"/>
        <v>2.8499999999999998E-2</v>
      </c>
      <c r="O185" s="296">
        <f t="shared" si="23"/>
        <v>-0.12884482799055608</v>
      </c>
      <c r="P185" s="8">
        <f t="shared" si="29"/>
        <v>-0.13814482799055608</v>
      </c>
      <c r="Q185" s="8">
        <f t="shared" si="30"/>
        <v>-0.1840272455334061</v>
      </c>
      <c r="R185" s="8">
        <f t="shared" si="31"/>
        <v>3.15E-2</v>
      </c>
      <c r="S185" s="296">
        <f t="shared" si="32"/>
        <v>-0.2155272455334061</v>
      </c>
      <c r="U185" s="297"/>
      <c r="V185" s="297"/>
      <c r="W185" s="297"/>
      <c r="X185" s="297"/>
      <c r="Y185" s="297"/>
      <c r="Z185" s="297"/>
      <c r="AA185" s="297"/>
      <c r="AB185" s="297"/>
      <c r="AC185" s="297"/>
      <c r="AE185" s="297"/>
      <c r="AF185" s="297"/>
      <c r="AG185" s="297"/>
      <c r="AH185" s="297"/>
      <c r="AI185" s="297"/>
      <c r="AJ185" s="297"/>
      <c r="AK185" s="297"/>
      <c r="AL185" s="297"/>
      <c r="AM185" s="297"/>
      <c r="AO185" s="297"/>
      <c r="AP185" s="297"/>
      <c r="AQ185" s="297"/>
      <c r="AR185" s="297"/>
      <c r="AS185" s="297"/>
      <c r="AT185" s="297"/>
      <c r="AU185" s="297"/>
      <c r="AV185" s="297"/>
      <c r="AW185" s="297"/>
    </row>
    <row r="186" spans="1:49" x14ac:dyDescent="0.45">
      <c r="A186" s="295">
        <v>15008</v>
      </c>
      <c r="B186" s="12">
        <v>-6.0000000000000001E-3</v>
      </c>
      <c r="C186" s="5">
        <v>-2.3299999999999998E-2</v>
      </c>
      <c r="D186" s="5">
        <v>1.6000000000000001E-3</v>
      </c>
      <c r="E186" s="5">
        <v>2.3166666666666665E-3</v>
      </c>
      <c r="F186" s="5">
        <v>2.5000000000000001E-3</v>
      </c>
      <c r="G186" s="5">
        <v>2.4083333333333335E-3</v>
      </c>
      <c r="H186" s="5">
        <v>2.6666666666666666E-3</v>
      </c>
      <c r="I186" s="5">
        <f t="shared" si="22"/>
        <v>-7.6E-3</v>
      </c>
      <c r="J186" s="5">
        <f t="shared" si="26"/>
        <v>-8.4083333333333336E-3</v>
      </c>
      <c r="K186" s="5">
        <f t="shared" si="27"/>
        <v>-2.5966666666666666E-2</v>
      </c>
      <c r="L186" s="8">
        <f t="shared" si="24"/>
        <v>-0.12660313729656847</v>
      </c>
      <c r="M186" s="8">
        <f t="shared" si="25"/>
        <v>1.9200000000000002E-2</v>
      </c>
      <c r="N186" s="8">
        <f t="shared" si="28"/>
        <v>2.8900000000000002E-2</v>
      </c>
      <c r="O186" s="296">
        <f t="shared" si="23"/>
        <v>-0.14580313729656846</v>
      </c>
      <c r="P186" s="8">
        <f t="shared" si="29"/>
        <v>-0.15550313729656848</v>
      </c>
      <c r="Q186" s="8">
        <f t="shared" si="30"/>
        <v>-0.1948266424656272</v>
      </c>
      <c r="R186" s="8">
        <f t="shared" si="31"/>
        <v>3.2000000000000001E-2</v>
      </c>
      <c r="S186" s="296">
        <f t="shared" si="32"/>
        <v>-0.2268266424656272</v>
      </c>
      <c r="U186" s="297"/>
      <c r="V186" s="297"/>
      <c r="W186" s="297"/>
      <c r="X186" s="297"/>
      <c r="Y186" s="297"/>
      <c r="Z186" s="297"/>
      <c r="AA186" s="297"/>
      <c r="AB186" s="297"/>
      <c r="AC186" s="297"/>
      <c r="AE186" s="297"/>
      <c r="AF186" s="297"/>
      <c r="AG186" s="297"/>
      <c r="AH186" s="297"/>
      <c r="AI186" s="297"/>
      <c r="AJ186" s="297"/>
      <c r="AK186" s="297"/>
      <c r="AL186" s="297"/>
      <c r="AM186" s="297"/>
      <c r="AO186" s="297"/>
      <c r="AP186" s="297"/>
      <c r="AQ186" s="297"/>
      <c r="AR186" s="297"/>
      <c r="AS186" s="297"/>
      <c r="AT186" s="297"/>
      <c r="AU186" s="297"/>
      <c r="AV186" s="297"/>
      <c r="AW186" s="297"/>
    </row>
    <row r="187" spans="1:49" x14ac:dyDescent="0.45">
      <c r="A187" s="295">
        <v>15036</v>
      </c>
      <c r="B187" s="12">
        <v>7.1000000000000004E-3</v>
      </c>
      <c r="C187" s="5">
        <v>-2.8000000000000004E-2</v>
      </c>
      <c r="D187" s="5">
        <v>1.8E-3</v>
      </c>
      <c r="E187" s="5">
        <v>2.3333333333333331E-3</v>
      </c>
      <c r="F187" s="5">
        <v>2.5083333333333329E-3</v>
      </c>
      <c r="G187" s="5">
        <v>2.420833333333333E-3</v>
      </c>
      <c r="H187" s="5">
        <v>2.6333333333333334E-3</v>
      </c>
      <c r="I187" s="5">
        <f t="shared" si="22"/>
        <v>5.3000000000000009E-3</v>
      </c>
      <c r="J187" s="5">
        <f t="shared" si="26"/>
        <v>4.6791666666666674E-3</v>
      </c>
      <c r="K187" s="5">
        <f t="shared" si="27"/>
        <v>-3.0633333333333339E-2</v>
      </c>
      <c r="L187" s="8">
        <f t="shared" si="24"/>
        <v>-0.13117544406496828</v>
      </c>
      <c r="M187" s="8">
        <f t="shared" si="25"/>
        <v>2.1600000000000001E-2</v>
      </c>
      <c r="N187" s="8">
        <f t="shared" si="28"/>
        <v>2.9049999999999996E-2</v>
      </c>
      <c r="O187" s="296">
        <f t="shared" si="23"/>
        <v>-0.15277544406496829</v>
      </c>
      <c r="P187" s="8">
        <f t="shared" si="29"/>
        <v>-0.16022544406496828</v>
      </c>
      <c r="Q187" s="8">
        <f t="shared" si="30"/>
        <v>-0.2246596953403901</v>
      </c>
      <c r="R187" s="8">
        <f t="shared" si="31"/>
        <v>3.1600000000000003E-2</v>
      </c>
      <c r="S187" s="296">
        <f t="shared" si="32"/>
        <v>-0.25625969534039011</v>
      </c>
      <c r="U187" s="297"/>
      <c r="V187" s="297"/>
      <c r="W187" s="297"/>
      <c r="X187" s="297"/>
      <c r="Y187" s="297"/>
      <c r="Z187" s="297"/>
      <c r="AA187" s="297"/>
      <c r="AB187" s="297"/>
      <c r="AC187" s="297"/>
      <c r="AE187" s="297"/>
      <c r="AF187" s="297"/>
      <c r="AG187" s="297"/>
      <c r="AH187" s="297"/>
      <c r="AI187" s="297"/>
      <c r="AJ187" s="297"/>
      <c r="AK187" s="297"/>
      <c r="AL187" s="297"/>
      <c r="AM187" s="297"/>
      <c r="AO187" s="297"/>
      <c r="AP187" s="297"/>
      <c r="AQ187" s="297"/>
      <c r="AR187" s="297"/>
      <c r="AS187" s="297"/>
      <c r="AT187" s="297"/>
      <c r="AU187" s="297"/>
      <c r="AV187" s="297"/>
      <c r="AW187" s="297"/>
    </row>
    <row r="188" spans="1:49" x14ac:dyDescent="0.45">
      <c r="A188" s="295">
        <v>15067</v>
      </c>
      <c r="B188" s="12">
        <v>-6.1199999999999997E-2</v>
      </c>
      <c r="C188" s="5">
        <v>-8.4399999999999989E-2</v>
      </c>
      <c r="D188" s="5">
        <v>1.6999999999999999E-3</v>
      </c>
      <c r="E188" s="5">
        <v>2.3499999999999997E-3</v>
      </c>
      <c r="F188" s="5">
        <v>2.5333333333333336E-3</v>
      </c>
      <c r="G188" s="5">
        <v>2.4416666666666666E-3</v>
      </c>
      <c r="H188" s="5">
        <v>2.6166666666666664E-3</v>
      </c>
      <c r="I188" s="5">
        <f t="shared" si="22"/>
        <v>-6.2899999999999998E-2</v>
      </c>
      <c r="J188" s="5">
        <f t="shared" si="26"/>
        <v>-6.3641666666666666E-2</v>
      </c>
      <c r="K188" s="5">
        <f t="shared" si="27"/>
        <v>-8.7016666666666659E-2</v>
      </c>
      <c r="L188" s="8">
        <f t="shared" si="24"/>
        <v>-0.18238523144365693</v>
      </c>
      <c r="M188" s="8">
        <f t="shared" si="25"/>
        <v>2.0399999999999998E-2</v>
      </c>
      <c r="N188" s="8">
        <f t="shared" si="28"/>
        <v>2.93E-2</v>
      </c>
      <c r="O188" s="296">
        <f t="shared" si="23"/>
        <v>-0.20278523144365693</v>
      </c>
      <c r="P188" s="8">
        <f t="shared" si="29"/>
        <v>-0.21168523144365692</v>
      </c>
      <c r="Q188" s="8">
        <f t="shared" si="30"/>
        <v>-0.28350667849582267</v>
      </c>
      <c r="R188" s="8">
        <f t="shared" si="31"/>
        <v>3.1399999999999997E-2</v>
      </c>
      <c r="S188" s="296">
        <f t="shared" si="32"/>
        <v>-0.31490667849582266</v>
      </c>
      <c r="U188" s="297"/>
      <c r="V188" s="297"/>
      <c r="W188" s="297"/>
      <c r="X188" s="297"/>
      <c r="Y188" s="297"/>
      <c r="Z188" s="297"/>
      <c r="AA188" s="297"/>
      <c r="AB188" s="297"/>
      <c r="AC188" s="297"/>
      <c r="AE188" s="297"/>
      <c r="AF188" s="297"/>
      <c r="AG188" s="297"/>
      <c r="AH188" s="297"/>
      <c r="AI188" s="297"/>
      <c r="AJ188" s="297"/>
      <c r="AK188" s="297"/>
      <c r="AL188" s="297"/>
      <c r="AM188" s="297"/>
      <c r="AO188" s="297"/>
      <c r="AP188" s="297"/>
      <c r="AQ188" s="297"/>
      <c r="AR188" s="297"/>
      <c r="AS188" s="297"/>
      <c r="AT188" s="297"/>
      <c r="AU188" s="297"/>
      <c r="AV188" s="297"/>
      <c r="AW188" s="297"/>
    </row>
    <row r="189" spans="1:49" x14ac:dyDescent="0.45">
      <c r="A189" s="295">
        <v>15097</v>
      </c>
      <c r="B189" s="12">
        <v>1.83E-2</v>
      </c>
      <c r="C189" s="5">
        <v>-3.3700000000000001E-2</v>
      </c>
      <c r="D189" s="5">
        <v>1.6999999999999999E-3</v>
      </c>
      <c r="E189" s="5">
        <v>2.3416666666666668E-3</v>
      </c>
      <c r="F189" s="5">
        <v>2.4916666666666668E-3</v>
      </c>
      <c r="G189" s="5">
        <v>2.4166666666666668E-3</v>
      </c>
      <c r="H189" s="5">
        <v>2.5666666666666667E-3</v>
      </c>
      <c r="I189" s="5">
        <f t="shared" si="22"/>
        <v>1.66E-2</v>
      </c>
      <c r="J189" s="5">
        <f t="shared" si="26"/>
        <v>1.5883333333333333E-2</v>
      </c>
      <c r="K189" s="5">
        <f t="shared" si="27"/>
        <v>-3.6266666666666669E-2</v>
      </c>
      <c r="L189" s="8">
        <f t="shared" si="24"/>
        <v>7.9726519025967946E-2</v>
      </c>
      <c r="M189" s="8">
        <f t="shared" si="25"/>
        <v>2.0399999999999998E-2</v>
      </c>
      <c r="N189" s="8">
        <f t="shared" si="28"/>
        <v>2.9000000000000001E-2</v>
      </c>
      <c r="O189" s="296">
        <f t="shared" si="23"/>
        <v>5.9326519025967944E-2</v>
      </c>
      <c r="P189" s="8">
        <f t="shared" si="29"/>
        <v>5.0726519025967948E-2</v>
      </c>
      <c r="Q189" s="8">
        <f t="shared" si="30"/>
        <v>-0.13844263741975271</v>
      </c>
      <c r="R189" s="8">
        <f t="shared" si="31"/>
        <v>3.0800000000000001E-2</v>
      </c>
      <c r="S189" s="296">
        <f t="shared" si="32"/>
        <v>-0.16924263741975271</v>
      </c>
      <c r="U189" s="297"/>
      <c r="V189" s="297"/>
      <c r="W189" s="297"/>
      <c r="X189" s="297"/>
      <c r="Y189" s="297"/>
      <c r="Z189" s="297"/>
      <c r="AA189" s="297"/>
      <c r="AB189" s="297"/>
      <c r="AC189" s="297"/>
      <c r="AE189" s="297"/>
      <c r="AF189" s="297"/>
      <c r="AG189" s="297"/>
      <c r="AH189" s="297"/>
      <c r="AI189" s="297"/>
      <c r="AJ189" s="297"/>
      <c r="AK189" s="297"/>
      <c r="AL189" s="297"/>
      <c r="AM189" s="297"/>
      <c r="AO189" s="297"/>
      <c r="AP189" s="297"/>
      <c r="AQ189" s="297"/>
      <c r="AR189" s="297"/>
      <c r="AS189" s="297"/>
      <c r="AT189" s="297"/>
      <c r="AU189" s="297"/>
      <c r="AV189" s="297"/>
      <c r="AW189" s="297"/>
    </row>
    <row r="190" spans="1:49" x14ac:dyDescent="0.45">
      <c r="A190" s="295">
        <v>15128</v>
      </c>
      <c r="B190" s="12">
        <v>5.7799999999999997E-2</v>
      </c>
      <c r="C190" s="5">
        <v>2.5700000000000004E-2</v>
      </c>
      <c r="D190" s="5">
        <v>1.6000000000000001E-3</v>
      </c>
      <c r="E190" s="5">
        <v>2.3083333333333332E-3</v>
      </c>
      <c r="F190" s="5">
        <v>2.4583333333333336E-3</v>
      </c>
      <c r="G190" s="5">
        <v>2.3833333333333332E-3</v>
      </c>
      <c r="H190" s="5">
        <v>2.5249999999999999E-3</v>
      </c>
      <c r="I190" s="5">
        <f t="shared" si="22"/>
        <v>5.62E-2</v>
      </c>
      <c r="J190" s="5">
        <f t="shared" si="26"/>
        <v>5.5416666666666663E-2</v>
      </c>
      <c r="K190" s="5">
        <f t="shared" si="27"/>
        <v>2.3175000000000005E-2</v>
      </c>
      <c r="L190" s="8">
        <f t="shared" si="24"/>
        <v>5.6651597581339308E-2</v>
      </c>
      <c r="M190" s="8">
        <f t="shared" si="25"/>
        <v>1.9200000000000002E-2</v>
      </c>
      <c r="N190" s="8">
        <f t="shared" si="28"/>
        <v>2.86E-2</v>
      </c>
      <c r="O190" s="296">
        <f t="shared" si="23"/>
        <v>3.7451597581339306E-2</v>
      </c>
      <c r="P190" s="8">
        <f t="shared" si="29"/>
        <v>2.8051597581339308E-2</v>
      </c>
      <c r="Q190" s="8">
        <f t="shared" si="30"/>
        <v>-0.23196646375929109</v>
      </c>
      <c r="R190" s="8">
        <f t="shared" si="31"/>
        <v>3.0300000000000001E-2</v>
      </c>
      <c r="S190" s="296">
        <f t="shared" si="32"/>
        <v>-0.26226646375929108</v>
      </c>
      <c r="U190" s="297"/>
      <c r="V190" s="297"/>
      <c r="W190" s="297"/>
      <c r="X190" s="297"/>
      <c r="Y190" s="297"/>
      <c r="Z190" s="297"/>
      <c r="AA190" s="297"/>
      <c r="AB190" s="297"/>
      <c r="AC190" s="297"/>
      <c r="AE190" s="297"/>
      <c r="AF190" s="297"/>
      <c r="AG190" s="297"/>
      <c r="AH190" s="297"/>
      <c r="AI190" s="297"/>
      <c r="AJ190" s="297"/>
      <c r="AK190" s="297"/>
      <c r="AL190" s="297"/>
      <c r="AM190" s="297"/>
      <c r="AO190" s="297"/>
      <c r="AP190" s="297"/>
      <c r="AQ190" s="297"/>
      <c r="AR190" s="297"/>
      <c r="AS190" s="297"/>
      <c r="AT190" s="297"/>
      <c r="AU190" s="297"/>
      <c r="AV190" s="297"/>
      <c r="AW190" s="297"/>
    </row>
    <row r="191" spans="1:49" x14ac:dyDescent="0.45">
      <c r="A191" s="295">
        <v>15158</v>
      </c>
      <c r="B191" s="12">
        <v>5.79E-2</v>
      </c>
      <c r="C191" s="5">
        <v>5.3800000000000001E-2</v>
      </c>
      <c r="D191" s="5">
        <v>1.6000000000000001E-3</v>
      </c>
      <c r="E191" s="5">
        <v>2.2833333333333334E-3</v>
      </c>
      <c r="F191" s="5">
        <v>2.4166666666666668E-3</v>
      </c>
      <c r="G191" s="5">
        <v>2.3500000000000001E-3</v>
      </c>
      <c r="H191" s="5">
        <v>2.5000000000000001E-3</v>
      </c>
      <c r="I191" s="5">
        <f t="shared" si="22"/>
        <v>5.6300000000000003E-2</v>
      </c>
      <c r="J191" s="5">
        <f t="shared" si="26"/>
        <v>5.5550000000000002E-2</v>
      </c>
      <c r="K191" s="5">
        <f t="shared" si="27"/>
        <v>5.1299999999999998E-2</v>
      </c>
      <c r="L191" s="8">
        <f t="shared" si="24"/>
        <v>8.0970626710471061E-2</v>
      </c>
      <c r="M191" s="8">
        <f t="shared" si="25"/>
        <v>1.9200000000000002E-2</v>
      </c>
      <c r="N191" s="8">
        <f t="shared" si="28"/>
        <v>2.8200000000000003E-2</v>
      </c>
      <c r="O191" s="296">
        <f t="shared" si="23"/>
        <v>6.1770626710471059E-2</v>
      </c>
      <c r="P191" s="8">
        <f t="shared" si="29"/>
        <v>5.2770626710471058E-2</v>
      </c>
      <c r="Q191" s="8">
        <f t="shared" si="30"/>
        <v>-0.19587308446054752</v>
      </c>
      <c r="R191" s="8">
        <f t="shared" si="31"/>
        <v>0.03</v>
      </c>
      <c r="S191" s="296">
        <f t="shared" si="32"/>
        <v>-0.22587308446054752</v>
      </c>
      <c r="U191" s="297"/>
      <c r="V191" s="297"/>
      <c r="W191" s="297"/>
      <c r="X191" s="297"/>
      <c r="Y191" s="297"/>
      <c r="Z191" s="297"/>
      <c r="AA191" s="297"/>
      <c r="AB191" s="297"/>
      <c r="AC191" s="297"/>
      <c r="AE191" s="297"/>
      <c r="AF191" s="297"/>
      <c r="AG191" s="297"/>
      <c r="AH191" s="297"/>
      <c r="AI191" s="297"/>
      <c r="AJ191" s="297"/>
      <c r="AK191" s="297"/>
      <c r="AL191" s="297"/>
      <c r="AM191" s="297"/>
      <c r="AO191" s="297"/>
      <c r="AP191" s="297"/>
      <c r="AQ191" s="297"/>
      <c r="AR191" s="297"/>
      <c r="AS191" s="297"/>
      <c r="AT191" s="297"/>
      <c r="AU191" s="297"/>
      <c r="AV191" s="297"/>
      <c r="AW191" s="297"/>
    </row>
    <row r="192" spans="1:49" x14ac:dyDescent="0.45">
      <c r="A192" s="295">
        <v>15189</v>
      </c>
      <c r="B192" s="12">
        <v>1E-3</v>
      </c>
      <c r="C192" s="5">
        <v>-1.9200000000000002E-2</v>
      </c>
      <c r="D192" s="5">
        <v>1.6000000000000001E-3</v>
      </c>
      <c r="E192" s="5">
        <v>2.2833333333333334E-3</v>
      </c>
      <c r="F192" s="5">
        <v>2.4166666666666668E-3</v>
      </c>
      <c r="G192" s="5">
        <v>2.3500000000000001E-3</v>
      </c>
      <c r="H192" s="5">
        <v>2.4833333333333331E-3</v>
      </c>
      <c r="I192" s="5">
        <f t="shared" si="22"/>
        <v>-6.0000000000000006E-4</v>
      </c>
      <c r="J192" s="5">
        <f t="shared" si="26"/>
        <v>-1.3500000000000001E-3</v>
      </c>
      <c r="K192" s="5">
        <f t="shared" si="27"/>
        <v>-2.1683333333333336E-2</v>
      </c>
      <c r="L192" s="8">
        <f t="shared" si="24"/>
        <v>4.5460480519016189E-2</v>
      </c>
      <c r="M192" s="8">
        <f t="shared" si="25"/>
        <v>1.9200000000000002E-2</v>
      </c>
      <c r="N192" s="8">
        <f t="shared" si="28"/>
        <v>2.8200000000000003E-2</v>
      </c>
      <c r="O192" s="296">
        <f t="shared" si="23"/>
        <v>2.6260480519016187E-2</v>
      </c>
      <c r="P192" s="8">
        <f t="shared" si="29"/>
        <v>1.7260480519016186E-2</v>
      </c>
      <c r="Q192" s="8">
        <f t="shared" si="30"/>
        <v>-0.20382830732778623</v>
      </c>
      <c r="R192" s="8">
        <f t="shared" si="31"/>
        <v>2.9799999999999997E-2</v>
      </c>
      <c r="S192" s="296">
        <f t="shared" si="32"/>
        <v>-0.23362830732778622</v>
      </c>
      <c r="U192" s="297"/>
      <c r="V192" s="297"/>
      <c r="W192" s="297"/>
      <c r="X192" s="297"/>
      <c r="Y192" s="297"/>
      <c r="Z192" s="297"/>
      <c r="AA192" s="297"/>
      <c r="AB192" s="297"/>
      <c r="AC192" s="297"/>
      <c r="AE192" s="297"/>
      <c r="AF192" s="297"/>
      <c r="AG192" s="297"/>
      <c r="AH192" s="297"/>
      <c r="AI192" s="297"/>
      <c r="AJ192" s="297"/>
      <c r="AK192" s="297"/>
      <c r="AL192" s="297"/>
      <c r="AM192" s="297"/>
      <c r="AO192" s="297"/>
      <c r="AP192" s="297"/>
      <c r="AQ192" s="297"/>
      <c r="AR192" s="297"/>
      <c r="AS192" s="297"/>
      <c r="AT192" s="297"/>
      <c r="AU192" s="297"/>
      <c r="AV192" s="297"/>
      <c r="AW192" s="297"/>
    </row>
    <row r="193" spans="1:49" x14ac:dyDescent="0.45">
      <c r="A193" s="295">
        <v>15220</v>
      </c>
      <c r="B193" s="12">
        <v>-6.7999999999999996E-3</v>
      </c>
      <c r="C193" s="5">
        <v>-2.8199999999999992E-2</v>
      </c>
      <c r="D193" s="5">
        <v>1.6000000000000001E-3</v>
      </c>
      <c r="E193" s="5">
        <v>2.2916666666666667E-3</v>
      </c>
      <c r="F193" s="5">
        <v>2.4250000000000001E-3</v>
      </c>
      <c r="G193" s="5">
        <v>2.3583333333333334E-3</v>
      </c>
      <c r="H193" s="5">
        <v>2.5000000000000001E-3</v>
      </c>
      <c r="I193" s="5">
        <f t="shared" si="22"/>
        <v>-8.3999999999999995E-3</v>
      </c>
      <c r="J193" s="5">
        <f t="shared" si="26"/>
        <v>-9.1583333333333326E-3</v>
      </c>
      <c r="K193" s="5">
        <f t="shared" si="27"/>
        <v>-3.0699999999999991E-2</v>
      </c>
      <c r="L193" s="8">
        <f t="shared" si="24"/>
        <v>2.5734811075261321E-2</v>
      </c>
      <c r="M193" s="8">
        <f t="shared" si="25"/>
        <v>1.9200000000000002E-2</v>
      </c>
      <c r="N193" s="8">
        <f t="shared" si="28"/>
        <v>2.8299999999999999E-2</v>
      </c>
      <c r="O193" s="296">
        <f t="shared" si="23"/>
        <v>6.5348110752613195E-3</v>
      </c>
      <c r="P193" s="8">
        <f t="shared" si="29"/>
        <v>-2.5651889247386775E-3</v>
      </c>
      <c r="Q193" s="8">
        <f t="shared" si="30"/>
        <v>-0.20960297176539233</v>
      </c>
      <c r="R193" s="8">
        <f t="shared" si="31"/>
        <v>0.03</v>
      </c>
      <c r="S193" s="296">
        <f t="shared" si="32"/>
        <v>-0.23960297176539233</v>
      </c>
      <c r="U193" s="297"/>
      <c r="V193" s="297"/>
      <c r="W193" s="297"/>
      <c r="X193" s="297"/>
      <c r="Y193" s="297"/>
      <c r="Z193" s="297"/>
      <c r="AA193" s="297"/>
      <c r="AB193" s="297"/>
      <c r="AC193" s="297"/>
      <c r="AE193" s="297"/>
      <c r="AF193" s="297"/>
      <c r="AG193" s="297"/>
      <c r="AH193" s="297"/>
      <c r="AI193" s="297"/>
      <c r="AJ193" s="297"/>
      <c r="AK193" s="297"/>
      <c r="AL193" s="297"/>
      <c r="AM193" s="297"/>
      <c r="AO193" s="297"/>
      <c r="AP193" s="297"/>
      <c r="AQ193" s="297"/>
      <c r="AR193" s="297"/>
      <c r="AS193" s="297"/>
      <c r="AT193" s="297"/>
      <c r="AU193" s="297"/>
      <c r="AV193" s="297"/>
      <c r="AW193" s="297"/>
    </row>
    <row r="194" spans="1:49" x14ac:dyDescent="0.45">
      <c r="A194" s="295">
        <v>15250</v>
      </c>
      <c r="B194" s="12">
        <v>-6.5699999999999995E-2</v>
      </c>
      <c r="C194" s="5">
        <v>-8.48E-2</v>
      </c>
      <c r="D194" s="5">
        <v>1.6000000000000001E-3</v>
      </c>
      <c r="E194" s="5">
        <v>2.2750000000000001E-3</v>
      </c>
      <c r="F194" s="5">
        <v>2.3916666666666665E-3</v>
      </c>
      <c r="G194" s="5">
        <v>2.3333333333333335E-3</v>
      </c>
      <c r="H194" s="5">
        <v>2.5000000000000001E-3</v>
      </c>
      <c r="I194" s="5">
        <f t="shared" si="22"/>
        <v>-6.7299999999999999E-2</v>
      </c>
      <c r="J194" s="5">
        <f t="shared" si="26"/>
        <v>-6.8033333333333335E-2</v>
      </c>
      <c r="K194" s="5">
        <f t="shared" si="27"/>
        <v>-8.7300000000000003E-2</v>
      </c>
      <c r="L194" s="8">
        <f t="shared" si="24"/>
        <v>-8.0460531579719441E-2</v>
      </c>
      <c r="M194" s="8">
        <f t="shared" si="25"/>
        <v>1.9200000000000002E-2</v>
      </c>
      <c r="N194" s="8">
        <f t="shared" si="28"/>
        <v>2.8000000000000004E-2</v>
      </c>
      <c r="O194" s="296">
        <f t="shared" si="23"/>
        <v>-9.9660531579719436E-2</v>
      </c>
      <c r="P194" s="8">
        <f t="shared" si="29"/>
        <v>-0.10846053157971944</v>
      </c>
      <c r="Q194" s="8">
        <f t="shared" si="30"/>
        <v>-0.29885493821817111</v>
      </c>
      <c r="R194" s="8">
        <f t="shared" si="31"/>
        <v>0.03</v>
      </c>
      <c r="S194" s="296">
        <f t="shared" si="32"/>
        <v>-0.32885493821817113</v>
      </c>
      <c r="U194" s="297"/>
      <c r="V194" s="297"/>
      <c r="W194" s="297"/>
      <c r="X194" s="297"/>
      <c r="Y194" s="297"/>
      <c r="Z194" s="297"/>
      <c r="AA194" s="297"/>
      <c r="AB194" s="297"/>
      <c r="AC194" s="297"/>
      <c r="AE194" s="297"/>
      <c r="AF194" s="297"/>
      <c r="AG194" s="297"/>
      <c r="AH194" s="297"/>
      <c r="AI194" s="297"/>
      <c r="AJ194" s="297"/>
      <c r="AK194" s="297"/>
      <c r="AL194" s="297"/>
      <c r="AM194" s="297"/>
      <c r="AO194" s="297"/>
      <c r="AP194" s="297"/>
      <c r="AQ194" s="297"/>
      <c r="AR194" s="297"/>
      <c r="AS194" s="297"/>
      <c r="AT194" s="297"/>
      <c r="AU194" s="297"/>
      <c r="AV194" s="297"/>
      <c r="AW194" s="297"/>
    </row>
    <row r="195" spans="1:49" x14ac:dyDescent="0.45">
      <c r="A195" s="295">
        <v>15281</v>
      </c>
      <c r="B195" s="12">
        <v>-2.8400000000000002E-2</v>
      </c>
      <c r="C195" s="5">
        <v>-6.5199999999999994E-2</v>
      </c>
      <c r="D195" s="5">
        <v>1.3999999999999998E-3</v>
      </c>
      <c r="E195" s="5">
        <v>2.2666666666666668E-3</v>
      </c>
      <c r="F195" s="5">
        <v>2.3833333333333332E-3</v>
      </c>
      <c r="G195" s="5">
        <v>2.3249999999999998E-3</v>
      </c>
      <c r="H195" s="5">
        <v>2.4833333333333331E-3</v>
      </c>
      <c r="I195" s="5">
        <f t="shared" si="22"/>
        <v>-2.98E-2</v>
      </c>
      <c r="J195" s="5">
        <f t="shared" si="26"/>
        <v>-3.0725000000000002E-2</v>
      </c>
      <c r="K195" s="5">
        <f t="shared" si="27"/>
        <v>-6.7683333333333331E-2</v>
      </c>
      <c r="L195" s="8">
        <f t="shared" si="24"/>
        <v>-7.7421987280932858E-2</v>
      </c>
      <c r="M195" s="8">
        <f t="shared" si="25"/>
        <v>1.6799999999999995E-2</v>
      </c>
      <c r="N195" s="8">
        <f t="shared" si="28"/>
        <v>2.7899999999999998E-2</v>
      </c>
      <c r="O195" s="296">
        <f t="shared" si="23"/>
        <v>-9.4221987280932853E-2</v>
      </c>
      <c r="P195" s="8">
        <f t="shared" si="29"/>
        <v>-0.10532198728093285</v>
      </c>
      <c r="Q195" s="8">
        <f t="shared" si="30"/>
        <v>-0.25459979102279806</v>
      </c>
      <c r="R195" s="8">
        <f t="shared" si="31"/>
        <v>2.9799999999999997E-2</v>
      </c>
      <c r="S195" s="296">
        <f t="shared" si="32"/>
        <v>-0.28439979102279805</v>
      </c>
      <c r="U195" s="297"/>
      <c r="V195" s="297"/>
      <c r="W195" s="297"/>
      <c r="X195" s="297"/>
      <c r="Y195" s="297"/>
      <c r="Z195" s="297"/>
      <c r="AA195" s="297"/>
      <c r="AB195" s="297"/>
      <c r="AC195" s="297"/>
      <c r="AE195" s="297"/>
      <c r="AF195" s="297"/>
      <c r="AG195" s="297"/>
      <c r="AH195" s="297"/>
      <c r="AI195" s="297"/>
      <c r="AJ195" s="297"/>
      <c r="AK195" s="297"/>
      <c r="AL195" s="297"/>
      <c r="AM195" s="297"/>
      <c r="AO195" s="297"/>
      <c r="AP195" s="297"/>
      <c r="AQ195" s="297"/>
      <c r="AR195" s="297"/>
      <c r="AS195" s="297"/>
      <c r="AT195" s="297"/>
      <c r="AU195" s="297"/>
      <c r="AV195" s="297"/>
      <c r="AW195" s="297"/>
    </row>
    <row r="196" spans="1:49" x14ac:dyDescent="0.45">
      <c r="A196" s="295">
        <v>15311</v>
      </c>
      <c r="B196" s="12">
        <v>-4.07E-2</v>
      </c>
      <c r="C196" s="5">
        <v>-6.7799999999999999E-2</v>
      </c>
      <c r="D196" s="5">
        <v>1.6000000000000001E-3</v>
      </c>
      <c r="E196" s="5">
        <v>2.3333333333333331E-3</v>
      </c>
      <c r="F196" s="5">
        <v>2.4583333333333336E-3</v>
      </c>
      <c r="G196" s="5">
        <v>2.3958333333333331E-3</v>
      </c>
      <c r="H196" s="5">
        <v>2.5500000000000002E-3</v>
      </c>
      <c r="I196" s="5">
        <f t="shared" si="22"/>
        <v>-4.2299999999999997E-2</v>
      </c>
      <c r="J196" s="5">
        <f t="shared" si="26"/>
        <v>-4.3095833333333333E-2</v>
      </c>
      <c r="K196" s="5">
        <f t="shared" si="27"/>
        <v>-7.0349999999999996E-2</v>
      </c>
      <c r="L196" s="8">
        <f t="shared" si="24"/>
        <v>-0.11576672234848517</v>
      </c>
      <c r="M196" s="8">
        <f t="shared" si="25"/>
        <v>1.9200000000000002E-2</v>
      </c>
      <c r="N196" s="8">
        <f t="shared" si="28"/>
        <v>2.8749999999999998E-2</v>
      </c>
      <c r="O196" s="296">
        <f t="shared" si="23"/>
        <v>-0.13496672234848517</v>
      </c>
      <c r="P196" s="8">
        <f t="shared" si="29"/>
        <v>-0.14451672234848517</v>
      </c>
      <c r="Q196" s="8">
        <f t="shared" si="30"/>
        <v>-0.31567650698390026</v>
      </c>
      <c r="R196" s="8">
        <f t="shared" si="31"/>
        <v>3.0600000000000002E-2</v>
      </c>
      <c r="S196" s="296">
        <f t="shared" si="32"/>
        <v>-0.34627650698390028</v>
      </c>
      <c r="U196" s="297"/>
      <c r="V196" s="297"/>
      <c r="W196" s="297"/>
      <c r="X196" s="297"/>
      <c r="Y196" s="297"/>
      <c r="Z196" s="297"/>
      <c r="AA196" s="297"/>
      <c r="AB196" s="297"/>
      <c r="AC196" s="297"/>
      <c r="AE196" s="297"/>
      <c r="AF196" s="297"/>
      <c r="AG196" s="297"/>
      <c r="AH196" s="297"/>
      <c r="AI196" s="297"/>
      <c r="AJ196" s="297"/>
      <c r="AK196" s="297"/>
      <c r="AL196" s="297"/>
      <c r="AM196" s="297"/>
      <c r="AO196" s="297"/>
      <c r="AP196" s="297"/>
      <c r="AQ196" s="297"/>
      <c r="AR196" s="297"/>
      <c r="AS196" s="297"/>
      <c r="AT196" s="297"/>
      <c r="AU196" s="297"/>
      <c r="AV196" s="297"/>
      <c r="AW196" s="297"/>
    </row>
    <row r="197" spans="1:49" x14ac:dyDescent="0.45">
      <c r="A197" s="295">
        <v>15342</v>
      </c>
      <c r="B197" s="12">
        <v>1.61E-2</v>
      </c>
      <c r="C197" s="5">
        <v>2.52E-2</v>
      </c>
      <c r="D197" s="5">
        <v>2.0999999999999999E-3</v>
      </c>
      <c r="E197" s="5">
        <v>2.3583333333333334E-3</v>
      </c>
      <c r="F197" s="5">
        <v>2.4666666666666669E-3</v>
      </c>
      <c r="G197" s="5">
        <v>2.4125000000000001E-3</v>
      </c>
      <c r="H197" s="5">
        <v>2.575E-3</v>
      </c>
      <c r="I197" s="5">
        <f t="shared" si="22"/>
        <v>1.4E-2</v>
      </c>
      <c r="J197" s="5">
        <f t="shared" si="26"/>
        <v>1.36875E-2</v>
      </c>
      <c r="K197" s="5">
        <f t="shared" si="27"/>
        <v>2.2624999999999999E-2</v>
      </c>
      <c r="L197" s="8">
        <f t="shared" si="24"/>
        <v>-5.7911886943793012E-2</v>
      </c>
      <c r="M197" s="8">
        <f t="shared" si="25"/>
        <v>2.52E-2</v>
      </c>
      <c r="N197" s="8">
        <f t="shared" si="28"/>
        <v>2.8950000000000004E-2</v>
      </c>
      <c r="O197" s="296">
        <f t="shared" si="23"/>
        <v>-8.3111886943793012E-2</v>
      </c>
      <c r="P197" s="8">
        <f t="shared" si="29"/>
        <v>-8.6861886943793015E-2</v>
      </c>
      <c r="Q197" s="8">
        <f t="shared" si="30"/>
        <v>-0.29248845800715473</v>
      </c>
      <c r="R197" s="8">
        <f t="shared" si="31"/>
        <v>3.09E-2</v>
      </c>
      <c r="S197" s="296">
        <f t="shared" si="32"/>
        <v>-0.32338845800715471</v>
      </c>
      <c r="U197" s="297"/>
      <c r="V197" s="297"/>
      <c r="W197" s="297"/>
      <c r="X197" s="297"/>
      <c r="Y197" s="297"/>
      <c r="Z197" s="297"/>
      <c r="AA197" s="297"/>
      <c r="AB197" s="297"/>
      <c r="AC197" s="297"/>
      <c r="AE197" s="297"/>
      <c r="AF197" s="297"/>
      <c r="AG197" s="297"/>
      <c r="AH197" s="297"/>
      <c r="AI197" s="297"/>
      <c r="AJ197" s="297"/>
      <c r="AK197" s="297"/>
      <c r="AL197" s="297"/>
      <c r="AM197" s="297"/>
      <c r="AO197" s="297"/>
      <c r="AP197" s="297"/>
      <c r="AQ197" s="297"/>
      <c r="AR197" s="297"/>
      <c r="AS197" s="297"/>
      <c r="AT197" s="297"/>
      <c r="AU197" s="297"/>
      <c r="AV197" s="297"/>
      <c r="AW197" s="297"/>
    </row>
    <row r="198" spans="1:49" x14ac:dyDescent="0.45">
      <c r="A198" s="295">
        <v>15373</v>
      </c>
      <c r="B198" s="12">
        <v>-1.5900000000000001E-2</v>
      </c>
      <c r="C198" s="5">
        <v>-3.39E-2</v>
      </c>
      <c r="D198" s="5">
        <v>1.9E-3</v>
      </c>
      <c r="E198" s="5">
        <v>2.3750000000000004E-3</v>
      </c>
      <c r="F198" s="5">
        <v>2.4833333333333331E-3</v>
      </c>
      <c r="G198" s="5">
        <v>2.4291666666666667E-3</v>
      </c>
      <c r="H198" s="5">
        <v>2.575E-3</v>
      </c>
      <c r="I198" s="5">
        <f t="shared" ref="I198:I261" si="33">B198-D198</f>
        <v>-1.78E-2</v>
      </c>
      <c r="J198" s="5">
        <f t="shared" si="26"/>
        <v>-1.8329166666666667E-2</v>
      </c>
      <c r="K198" s="5">
        <f t="shared" si="27"/>
        <v>-3.6475E-2</v>
      </c>
      <c r="L198" s="8">
        <f t="shared" si="24"/>
        <v>-6.7294857083890047E-2</v>
      </c>
      <c r="M198" s="8">
        <f t="shared" si="25"/>
        <v>2.2800000000000001E-2</v>
      </c>
      <c r="N198" s="8">
        <f t="shared" si="28"/>
        <v>2.9150000000000002E-2</v>
      </c>
      <c r="O198" s="296">
        <f t="shared" si="23"/>
        <v>-9.0094857083890048E-2</v>
      </c>
      <c r="P198" s="8">
        <f t="shared" si="29"/>
        <v>-9.6444857083890057E-2</v>
      </c>
      <c r="Q198" s="8">
        <f t="shared" si="30"/>
        <v>-0.30016699015123582</v>
      </c>
      <c r="R198" s="8">
        <f t="shared" si="31"/>
        <v>3.09E-2</v>
      </c>
      <c r="S198" s="296">
        <f t="shared" si="32"/>
        <v>-0.33106699015123581</v>
      </c>
      <c r="U198" s="297"/>
      <c r="V198" s="297"/>
      <c r="W198" s="297"/>
      <c r="X198" s="297"/>
      <c r="Y198" s="297"/>
      <c r="Z198" s="297"/>
      <c r="AA198" s="297"/>
      <c r="AB198" s="297"/>
      <c r="AC198" s="297"/>
      <c r="AE198" s="297"/>
      <c r="AF198" s="297"/>
      <c r="AG198" s="297"/>
      <c r="AH198" s="297"/>
      <c r="AI198" s="297"/>
      <c r="AJ198" s="297"/>
      <c r="AK198" s="297"/>
      <c r="AL198" s="297"/>
      <c r="AM198" s="297"/>
      <c r="AO198" s="297"/>
      <c r="AP198" s="297"/>
      <c r="AQ198" s="297"/>
      <c r="AR198" s="297"/>
      <c r="AS198" s="297"/>
      <c r="AT198" s="297"/>
      <c r="AU198" s="297"/>
      <c r="AV198" s="297"/>
      <c r="AW198" s="297"/>
    </row>
    <row r="199" spans="1:49" x14ac:dyDescent="0.45">
      <c r="A199" s="295">
        <v>15401</v>
      </c>
      <c r="B199" s="12">
        <v>-6.5199999999999994E-2</v>
      </c>
      <c r="C199" s="5">
        <v>-0.10459999999999998</v>
      </c>
      <c r="D199" s="5">
        <v>2.0999999999999999E-3</v>
      </c>
      <c r="E199" s="5">
        <v>2.3833333333333332E-3</v>
      </c>
      <c r="F199" s="5">
        <v>2.5000000000000001E-3</v>
      </c>
      <c r="G199" s="5">
        <v>2.4416666666666666E-3</v>
      </c>
      <c r="H199" s="5">
        <v>2.5999999999999999E-3</v>
      </c>
      <c r="I199" s="5">
        <f t="shared" si="33"/>
        <v>-6.7299999999999999E-2</v>
      </c>
      <c r="J199" s="5">
        <f t="shared" si="26"/>
        <v>-6.7641666666666656E-2</v>
      </c>
      <c r="K199" s="5">
        <f t="shared" si="27"/>
        <v>-0.10719999999999999</v>
      </c>
      <c r="L199" s="8">
        <f t="shared" si="24"/>
        <v>-0.13425402879755821</v>
      </c>
      <c r="M199" s="8">
        <f t="shared" si="25"/>
        <v>2.52E-2</v>
      </c>
      <c r="N199" s="8">
        <f t="shared" si="28"/>
        <v>2.93E-2</v>
      </c>
      <c r="O199" s="296">
        <f t="shared" si="23"/>
        <v>-0.15945402879755821</v>
      </c>
      <c r="P199" s="8">
        <f t="shared" si="29"/>
        <v>-0.1635540287975582</v>
      </c>
      <c r="Q199" s="8">
        <f t="shared" si="30"/>
        <v>-0.35531843928129292</v>
      </c>
      <c r="R199" s="8">
        <f t="shared" si="31"/>
        <v>3.1199999999999999E-2</v>
      </c>
      <c r="S199" s="296">
        <f t="shared" si="32"/>
        <v>-0.38651843928129292</v>
      </c>
      <c r="U199" s="297"/>
      <c r="V199" s="297"/>
      <c r="W199" s="297"/>
      <c r="X199" s="297"/>
      <c r="Y199" s="297"/>
      <c r="Z199" s="297"/>
      <c r="AA199" s="297"/>
      <c r="AB199" s="297"/>
      <c r="AC199" s="297"/>
      <c r="AE199" s="297"/>
      <c r="AF199" s="297"/>
      <c r="AG199" s="297"/>
      <c r="AH199" s="297"/>
      <c r="AI199" s="297"/>
      <c r="AJ199" s="297"/>
      <c r="AK199" s="297"/>
      <c r="AL199" s="297"/>
      <c r="AM199" s="297"/>
      <c r="AO199" s="297"/>
      <c r="AP199" s="297"/>
      <c r="AQ199" s="297"/>
      <c r="AR199" s="297"/>
      <c r="AS199" s="297"/>
      <c r="AT199" s="297"/>
      <c r="AU199" s="297"/>
      <c r="AV199" s="297"/>
      <c r="AW199" s="297"/>
    </row>
    <row r="200" spans="1:49" x14ac:dyDescent="0.45">
      <c r="A200" s="295">
        <v>15432</v>
      </c>
      <c r="B200" s="12">
        <v>-0.04</v>
      </c>
      <c r="C200" s="5">
        <v>-4.3200000000000002E-2</v>
      </c>
      <c r="D200" s="5">
        <v>2E-3</v>
      </c>
      <c r="E200" s="5">
        <v>2.3583333333333334E-3</v>
      </c>
      <c r="F200" s="5">
        <v>2.4833333333333331E-3</v>
      </c>
      <c r="G200" s="5">
        <v>2.420833333333333E-3</v>
      </c>
      <c r="H200" s="5">
        <v>2.575E-3</v>
      </c>
      <c r="I200" s="5">
        <f t="shared" si="33"/>
        <v>-4.2000000000000003E-2</v>
      </c>
      <c r="J200" s="5">
        <f t="shared" si="26"/>
        <v>-4.2420833333333331E-2</v>
      </c>
      <c r="K200" s="5">
        <f t="shared" si="27"/>
        <v>-4.5775000000000003E-2</v>
      </c>
      <c r="L200" s="8">
        <f t="shared" si="24"/>
        <v>-0.11470373630768604</v>
      </c>
      <c r="M200" s="8">
        <f t="shared" si="25"/>
        <v>2.4E-2</v>
      </c>
      <c r="N200" s="8">
        <f t="shared" si="28"/>
        <v>2.9049999999999996E-2</v>
      </c>
      <c r="O200" s="296">
        <f t="shared" si="23"/>
        <v>-0.13870373630768604</v>
      </c>
      <c r="P200" s="8">
        <f t="shared" si="29"/>
        <v>-0.14375373630768604</v>
      </c>
      <c r="Q200" s="8">
        <f t="shared" si="30"/>
        <v>-0.32630917726555386</v>
      </c>
      <c r="R200" s="8">
        <f t="shared" si="31"/>
        <v>3.09E-2</v>
      </c>
      <c r="S200" s="296">
        <f t="shared" si="32"/>
        <v>-0.35720917726555385</v>
      </c>
      <c r="U200" s="297"/>
      <c r="V200" s="297"/>
      <c r="W200" s="297"/>
      <c r="X200" s="297"/>
      <c r="Y200" s="297"/>
      <c r="Z200" s="297"/>
      <c r="AA200" s="297"/>
      <c r="AB200" s="297"/>
      <c r="AC200" s="297"/>
      <c r="AE200" s="297"/>
      <c r="AF200" s="297"/>
      <c r="AG200" s="297"/>
      <c r="AH200" s="297"/>
      <c r="AI200" s="297"/>
      <c r="AJ200" s="297"/>
      <c r="AK200" s="297"/>
      <c r="AL200" s="297"/>
      <c r="AM200" s="297"/>
      <c r="AO200" s="297"/>
      <c r="AP200" s="297"/>
      <c r="AQ200" s="297"/>
      <c r="AR200" s="297"/>
      <c r="AS200" s="297"/>
      <c r="AT200" s="297"/>
      <c r="AU200" s="297"/>
      <c r="AV200" s="297"/>
      <c r="AW200" s="297"/>
    </row>
    <row r="201" spans="1:49" x14ac:dyDescent="0.45">
      <c r="A201" s="295">
        <v>15462</v>
      </c>
      <c r="B201" s="12">
        <v>7.9600000000000004E-2</v>
      </c>
      <c r="C201" s="5">
        <v>9.5600000000000004E-2</v>
      </c>
      <c r="D201" s="5">
        <v>1.9E-3</v>
      </c>
      <c r="E201" s="5">
        <v>2.3750000000000004E-3</v>
      </c>
      <c r="F201" s="5">
        <v>2.5000000000000001E-3</v>
      </c>
      <c r="G201" s="5">
        <v>2.4375000000000004E-3</v>
      </c>
      <c r="H201" s="5">
        <v>2.5833333333333337E-3</v>
      </c>
      <c r="I201" s="5">
        <f t="shared" si="33"/>
        <v>7.7700000000000005E-2</v>
      </c>
      <c r="J201" s="5">
        <f t="shared" si="26"/>
        <v>7.7162500000000009E-2</v>
      </c>
      <c r="K201" s="5">
        <f t="shared" si="27"/>
        <v>9.3016666666666664E-2</v>
      </c>
      <c r="L201" s="8">
        <f t="shared" si="24"/>
        <v>-6.1410344414983609E-2</v>
      </c>
      <c r="M201" s="8">
        <f t="shared" si="25"/>
        <v>2.2800000000000001E-2</v>
      </c>
      <c r="N201" s="8">
        <f t="shared" si="28"/>
        <v>2.9250000000000005E-2</v>
      </c>
      <c r="O201" s="296">
        <f t="shared" si="23"/>
        <v>-8.4210344414983609E-2</v>
      </c>
      <c r="P201" s="8">
        <f t="shared" si="29"/>
        <v>-9.0660344414983607E-2</v>
      </c>
      <c r="Q201" s="8">
        <f t="shared" si="30"/>
        <v>-0.23616302867860994</v>
      </c>
      <c r="R201" s="8">
        <f t="shared" si="31"/>
        <v>3.1000000000000007E-2</v>
      </c>
      <c r="S201" s="296">
        <f t="shared" si="32"/>
        <v>-0.26716302867860997</v>
      </c>
      <c r="U201" s="297"/>
      <c r="V201" s="297"/>
      <c r="W201" s="297"/>
      <c r="X201" s="297"/>
      <c r="Y201" s="297"/>
      <c r="Z201" s="297"/>
      <c r="AA201" s="297"/>
      <c r="AB201" s="297"/>
      <c r="AC201" s="297"/>
      <c r="AE201" s="297"/>
      <c r="AF201" s="297"/>
      <c r="AG201" s="297"/>
      <c r="AH201" s="297"/>
      <c r="AI201" s="297"/>
      <c r="AJ201" s="297"/>
      <c r="AK201" s="297"/>
      <c r="AL201" s="297"/>
      <c r="AM201" s="297"/>
      <c r="AO201" s="297"/>
      <c r="AP201" s="297"/>
      <c r="AQ201" s="297"/>
      <c r="AR201" s="297"/>
      <c r="AS201" s="297"/>
      <c r="AT201" s="297"/>
      <c r="AU201" s="297"/>
      <c r="AV201" s="297"/>
      <c r="AW201" s="297"/>
    </row>
    <row r="202" spans="1:49" x14ac:dyDescent="0.45">
      <c r="A202" s="295">
        <v>15493</v>
      </c>
      <c r="B202" s="12">
        <v>2.2100000000000002E-2</v>
      </c>
      <c r="C202" s="5">
        <v>5.7000000000000002E-3</v>
      </c>
      <c r="D202" s="5">
        <v>2.0999999999999999E-3</v>
      </c>
      <c r="E202" s="5">
        <v>2.3750000000000004E-3</v>
      </c>
      <c r="F202" s="5">
        <v>2.5083333333333329E-3</v>
      </c>
      <c r="G202" s="5">
        <v>2.4416666666666666E-3</v>
      </c>
      <c r="H202" s="5">
        <v>2.5999999999999999E-3</v>
      </c>
      <c r="I202" s="5">
        <f t="shared" si="33"/>
        <v>0.02</v>
      </c>
      <c r="J202" s="5">
        <f t="shared" si="26"/>
        <v>1.9658333333333333E-2</v>
      </c>
      <c r="K202" s="5">
        <f t="shared" si="27"/>
        <v>3.1000000000000003E-3</v>
      </c>
      <c r="L202" s="8">
        <f t="shared" si="24"/>
        <v>-9.3087079813343521E-2</v>
      </c>
      <c r="M202" s="8">
        <f t="shared" si="25"/>
        <v>2.52E-2</v>
      </c>
      <c r="N202" s="8">
        <f t="shared" si="28"/>
        <v>2.93E-2</v>
      </c>
      <c r="O202" s="296">
        <f t="shared" si="23"/>
        <v>-0.11828707981334352</v>
      </c>
      <c r="P202" s="8">
        <f t="shared" si="29"/>
        <v>-0.12238707981334351</v>
      </c>
      <c r="Q202" s="8">
        <f t="shared" si="30"/>
        <v>-0.25105699321641628</v>
      </c>
      <c r="R202" s="8">
        <f t="shared" si="31"/>
        <v>3.1199999999999999E-2</v>
      </c>
      <c r="S202" s="296">
        <f t="shared" si="32"/>
        <v>-0.28225699321641629</v>
      </c>
      <c r="U202" s="297"/>
      <c r="V202" s="297"/>
      <c r="W202" s="297"/>
      <c r="X202" s="297"/>
      <c r="Y202" s="297"/>
      <c r="Z202" s="297"/>
      <c r="AA202" s="297"/>
      <c r="AB202" s="297"/>
      <c r="AC202" s="297"/>
      <c r="AE202" s="297"/>
      <c r="AF202" s="297"/>
      <c r="AG202" s="297"/>
      <c r="AH202" s="297"/>
      <c r="AI202" s="297"/>
      <c r="AJ202" s="297"/>
      <c r="AK202" s="297"/>
      <c r="AL202" s="297"/>
      <c r="AM202" s="297"/>
      <c r="AO202" s="297"/>
      <c r="AP202" s="297"/>
      <c r="AQ202" s="297"/>
      <c r="AR202" s="297"/>
      <c r="AS202" s="297"/>
      <c r="AT202" s="297"/>
      <c r="AU202" s="297"/>
      <c r="AV202" s="297"/>
      <c r="AW202" s="297"/>
    </row>
    <row r="203" spans="1:49" x14ac:dyDescent="0.45">
      <c r="A203" s="295">
        <v>15523</v>
      </c>
      <c r="B203" s="12">
        <v>3.3700000000000001E-2</v>
      </c>
      <c r="C203" s="5">
        <v>4.0000000000000001E-3</v>
      </c>
      <c r="D203" s="5">
        <v>2.0999999999999999E-3</v>
      </c>
      <c r="E203" s="5">
        <v>2.3583333333333334E-3</v>
      </c>
      <c r="F203" s="5">
        <v>2.4916666666666668E-3</v>
      </c>
      <c r="G203" s="5">
        <v>2.4250000000000001E-3</v>
      </c>
      <c r="H203" s="5">
        <v>2.5833333333333337E-3</v>
      </c>
      <c r="I203" s="5">
        <f t="shared" si="33"/>
        <v>3.1600000000000003E-2</v>
      </c>
      <c r="J203" s="5">
        <f t="shared" si="26"/>
        <v>3.1274999999999997E-2</v>
      </c>
      <c r="K203" s="5">
        <f t="shared" si="27"/>
        <v>1.4166666666666663E-3</v>
      </c>
      <c r="L203" s="8">
        <f t="shared" si="24"/>
        <v>-0.11383317364878842</v>
      </c>
      <c r="M203" s="8">
        <f t="shared" si="25"/>
        <v>2.52E-2</v>
      </c>
      <c r="N203" s="8">
        <f t="shared" si="28"/>
        <v>2.9100000000000001E-2</v>
      </c>
      <c r="O203" s="296">
        <f t="shared" si="23"/>
        <v>-0.13903317364878842</v>
      </c>
      <c r="P203" s="8">
        <f t="shared" si="29"/>
        <v>-0.14293317364878844</v>
      </c>
      <c r="Q203" s="8">
        <f t="shared" si="30"/>
        <v>-0.28645020040736568</v>
      </c>
      <c r="R203" s="8">
        <f t="shared" si="31"/>
        <v>3.1000000000000007E-2</v>
      </c>
      <c r="S203" s="296">
        <f t="shared" si="32"/>
        <v>-0.31745020040736571</v>
      </c>
      <c r="U203" s="297"/>
      <c r="V203" s="297"/>
      <c r="W203" s="297"/>
      <c r="X203" s="297"/>
      <c r="Y203" s="297"/>
      <c r="Z203" s="297"/>
      <c r="AA203" s="297"/>
      <c r="AB203" s="297"/>
      <c r="AC203" s="297"/>
      <c r="AE203" s="297"/>
      <c r="AF203" s="297"/>
      <c r="AG203" s="297"/>
      <c r="AH203" s="297"/>
      <c r="AI203" s="297"/>
      <c r="AJ203" s="297"/>
      <c r="AK203" s="297"/>
      <c r="AL203" s="297"/>
      <c r="AM203" s="297"/>
      <c r="AO203" s="297"/>
      <c r="AP203" s="297"/>
      <c r="AQ203" s="297"/>
      <c r="AR203" s="297"/>
      <c r="AS203" s="297"/>
      <c r="AT203" s="297"/>
      <c r="AU203" s="297"/>
      <c r="AV203" s="297"/>
      <c r="AW203" s="297"/>
    </row>
    <row r="204" spans="1:49" x14ac:dyDescent="0.45">
      <c r="A204" s="295">
        <v>15554</v>
      </c>
      <c r="B204" s="12">
        <v>1.6400000000000001E-2</v>
      </c>
      <c r="C204" s="5">
        <v>2.5999999999999999E-3</v>
      </c>
      <c r="D204" s="5">
        <v>2.0999999999999999E-3</v>
      </c>
      <c r="E204" s="5">
        <v>2.3416666666666668E-3</v>
      </c>
      <c r="F204" s="5">
        <v>2.4916666666666668E-3</v>
      </c>
      <c r="G204" s="5">
        <v>2.4166666666666668E-3</v>
      </c>
      <c r="H204" s="5">
        <v>2.5833333333333337E-3</v>
      </c>
      <c r="I204" s="5">
        <f t="shared" si="33"/>
        <v>1.4300000000000002E-2</v>
      </c>
      <c r="J204" s="5">
        <f t="shared" si="26"/>
        <v>1.3983333333333334E-2</v>
      </c>
      <c r="K204" s="5">
        <f t="shared" si="27"/>
        <v>1.6666666666666132E-5</v>
      </c>
      <c r="L204" s="8">
        <f t="shared" si="24"/>
        <v>-0.1001998378587694</v>
      </c>
      <c r="M204" s="8">
        <f t="shared" si="25"/>
        <v>2.52E-2</v>
      </c>
      <c r="N204" s="8">
        <f t="shared" si="28"/>
        <v>2.9000000000000001E-2</v>
      </c>
      <c r="O204" s="296">
        <f t="shared" si="23"/>
        <v>-0.1253998378587694</v>
      </c>
      <c r="P204" s="8">
        <f t="shared" si="29"/>
        <v>-0.1291998378587694</v>
      </c>
      <c r="Q204" s="8">
        <f t="shared" si="30"/>
        <v>-0.27059030478020474</v>
      </c>
      <c r="R204" s="8">
        <f t="shared" si="31"/>
        <v>3.1000000000000007E-2</v>
      </c>
      <c r="S204" s="296">
        <f t="shared" si="32"/>
        <v>-0.30159030478020477</v>
      </c>
      <c r="U204" s="297"/>
      <c r="V204" s="297"/>
      <c r="W204" s="297"/>
      <c r="X204" s="297"/>
      <c r="Y204" s="297"/>
      <c r="Z204" s="297"/>
      <c r="AA204" s="297"/>
      <c r="AB204" s="297"/>
      <c r="AC204" s="297"/>
      <c r="AE204" s="297"/>
      <c r="AF204" s="297"/>
      <c r="AG204" s="297"/>
      <c r="AH204" s="297"/>
      <c r="AI204" s="297"/>
      <c r="AJ204" s="297"/>
      <c r="AK204" s="297"/>
      <c r="AL204" s="297"/>
      <c r="AM204" s="297"/>
      <c r="AO204" s="297"/>
      <c r="AP204" s="297"/>
      <c r="AQ204" s="297"/>
      <c r="AR204" s="297"/>
      <c r="AS204" s="297"/>
      <c r="AT204" s="297"/>
      <c r="AU204" s="297"/>
      <c r="AV204" s="297"/>
      <c r="AW204" s="297"/>
    </row>
    <row r="205" spans="1:49" x14ac:dyDescent="0.45">
      <c r="A205" s="295">
        <v>15585</v>
      </c>
      <c r="B205" s="12">
        <v>2.9000000000000001E-2</v>
      </c>
      <c r="C205" s="5">
        <v>4.6600000000000003E-2</v>
      </c>
      <c r="D205" s="5">
        <v>2E-3</v>
      </c>
      <c r="E205" s="5">
        <v>2.3333333333333331E-3</v>
      </c>
      <c r="F205" s="5">
        <v>2.4833333333333331E-3</v>
      </c>
      <c r="G205" s="5">
        <v>2.4083333333333331E-3</v>
      </c>
      <c r="H205" s="5">
        <v>2.5666666666666667E-3</v>
      </c>
      <c r="I205" s="5">
        <f t="shared" si="33"/>
        <v>2.7000000000000003E-2</v>
      </c>
      <c r="J205" s="5">
        <f t="shared" si="26"/>
        <v>2.659166666666667E-2</v>
      </c>
      <c r="K205" s="5">
        <f t="shared" si="27"/>
        <v>4.4033333333333334E-2</v>
      </c>
      <c r="L205" s="8">
        <f t="shared" si="24"/>
        <v>-6.7766444982555463E-2</v>
      </c>
      <c r="M205" s="8">
        <f t="shared" si="25"/>
        <v>2.4E-2</v>
      </c>
      <c r="N205" s="8">
        <f t="shared" si="28"/>
        <v>2.8899999999999995E-2</v>
      </c>
      <c r="O205" s="296">
        <f t="shared" si="23"/>
        <v>-9.1766444982555456E-2</v>
      </c>
      <c r="P205" s="8">
        <f t="shared" si="29"/>
        <v>-9.6666444982555458E-2</v>
      </c>
      <c r="Q205" s="8">
        <f t="shared" si="30"/>
        <v>-0.21444722472006839</v>
      </c>
      <c r="R205" s="8">
        <f t="shared" si="31"/>
        <v>3.0800000000000001E-2</v>
      </c>
      <c r="S205" s="296">
        <f t="shared" si="32"/>
        <v>-0.24524722472006838</v>
      </c>
      <c r="U205" s="297"/>
      <c r="V205" s="297"/>
      <c r="W205" s="297"/>
      <c r="X205" s="297"/>
      <c r="Y205" s="297"/>
      <c r="Z205" s="297"/>
      <c r="AA205" s="297"/>
      <c r="AB205" s="297"/>
      <c r="AC205" s="297"/>
      <c r="AE205" s="297"/>
      <c r="AF205" s="297"/>
      <c r="AG205" s="297"/>
      <c r="AH205" s="297"/>
      <c r="AI205" s="297"/>
      <c r="AJ205" s="297"/>
      <c r="AK205" s="297"/>
      <c r="AL205" s="297"/>
      <c r="AM205" s="297"/>
      <c r="AO205" s="297"/>
      <c r="AP205" s="297"/>
      <c r="AQ205" s="297"/>
      <c r="AR205" s="297"/>
      <c r="AS205" s="297"/>
      <c r="AT205" s="297"/>
      <c r="AU205" s="297"/>
      <c r="AV205" s="297"/>
      <c r="AW205" s="297"/>
    </row>
    <row r="206" spans="1:49" x14ac:dyDescent="0.45">
      <c r="A206" s="295">
        <v>15615</v>
      </c>
      <c r="B206" s="12">
        <v>6.7799999999999999E-2</v>
      </c>
      <c r="C206" s="5">
        <v>0.13620000000000002</v>
      </c>
      <c r="D206" s="5">
        <v>2.0999999999999999E-3</v>
      </c>
      <c r="E206" s="5">
        <v>2.3333333333333331E-3</v>
      </c>
      <c r="F206" s="5">
        <v>2.4583333333333336E-3</v>
      </c>
      <c r="G206" s="5">
        <v>2.3958333333333331E-3</v>
      </c>
      <c r="H206" s="5">
        <v>2.5666666666666667E-3</v>
      </c>
      <c r="I206" s="5">
        <f t="shared" si="33"/>
        <v>6.5699999999999995E-2</v>
      </c>
      <c r="J206" s="5">
        <f t="shared" si="26"/>
        <v>6.5404166666666666E-2</v>
      </c>
      <c r="K206" s="5">
        <f t="shared" si="27"/>
        <v>0.13363333333333335</v>
      </c>
      <c r="L206" s="8">
        <f t="shared" si="24"/>
        <v>6.5438285398295104E-2</v>
      </c>
      <c r="M206" s="8">
        <f t="shared" si="25"/>
        <v>2.52E-2</v>
      </c>
      <c r="N206" s="8">
        <f t="shared" si="28"/>
        <v>2.8749999999999998E-2</v>
      </c>
      <c r="O206" s="296">
        <f t="shared" si="23"/>
        <v>4.0238285398295104E-2</v>
      </c>
      <c r="P206" s="8">
        <f t="shared" si="29"/>
        <v>3.6688285398295106E-2</v>
      </c>
      <c r="Q206" s="8">
        <f t="shared" si="30"/>
        <v>-2.4754082962130219E-2</v>
      </c>
      <c r="R206" s="8">
        <f t="shared" si="31"/>
        <v>3.0800000000000001E-2</v>
      </c>
      <c r="S206" s="296">
        <f t="shared" si="32"/>
        <v>-5.555408296213022E-2</v>
      </c>
      <c r="U206" s="297"/>
      <c r="V206" s="297"/>
      <c r="W206" s="297"/>
      <c r="X206" s="297"/>
      <c r="Y206" s="297"/>
      <c r="Z206" s="297"/>
      <c r="AA206" s="297"/>
      <c r="AB206" s="297"/>
      <c r="AC206" s="297"/>
      <c r="AE206" s="297"/>
      <c r="AF206" s="297"/>
      <c r="AG206" s="297"/>
      <c r="AH206" s="297"/>
      <c r="AI206" s="297"/>
      <c r="AJ206" s="297"/>
      <c r="AK206" s="297"/>
      <c r="AL206" s="297"/>
      <c r="AM206" s="297"/>
      <c r="AO206" s="297"/>
      <c r="AP206" s="297"/>
      <c r="AQ206" s="297"/>
      <c r="AR206" s="297"/>
      <c r="AS206" s="297"/>
      <c r="AT206" s="297"/>
      <c r="AU206" s="297"/>
      <c r="AV206" s="297"/>
      <c r="AW206" s="297"/>
    </row>
    <row r="207" spans="1:49" x14ac:dyDescent="0.45">
      <c r="A207" s="295">
        <v>15646</v>
      </c>
      <c r="B207" s="12">
        <v>-2.0999999999999999E-3</v>
      </c>
      <c r="C207" s="5">
        <v>-1.5000000000000005E-3</v>
      </c>
      <c r="D207" s="5">
        <v>2E-3</v>
      </c>
      <c r="E207" s="5">
        <v>2.3250000000000002E-3</v>
      </c>
      <c r="F207" s="5">
        <v>2.4499999999999999E-3</v>
      </c>
      <c r="G207" s="5">
        <v>2.3875000000000003E-3</v>
      </c>
      <c r="H207" s="5">
        <v>2.5583333333333335E-3</v>
      </c>
      <c r="I207" s="5">
        <f t="shared" si="33"/>
        <v>-4.0999999999999995E-3</v>
      </c>
      <c r="J207" s="5">
        <f t="shared" si="26"/>
        <v>-4.4875000000000002E-3</v>
      </c>
      <c r="K207" s="5">
        <f t="shared" si="27"/>
        <v>-4.0583333333333339E-3</v>
      </c>
      <c r="L207" s="8">
        <f t="shared" si="24"/>
        <v>9.4278370727623129E-2</v>
      </c>
      <c r="M207" s="8">
        <f t="shared" si="25"/>
        <v>2.4E-2</v>
      </c>
      <c r="N207" s="8">
        <f t="shared" si="28"/>
        <v>2.8650000000000002E-2</v>
      </c>
      <c r="O207" s="296">
        <f t="shared" si="23"/>
        <v>7.0278370727623135E-2</v>
      </c>
      <c r="P207" s="8">
        <f t="shared" si="29"/>
        <v>6.562837072762312E-2</v>
      </c>
      <c r="Q207" s="8">
        <f t="shared" si="30"/>
        <v>4.1702019856988848E-2</v>
      </c>
      <c r="R207" s="8">
        <f t="shared" si="31"/>
        <v>3.0700000000000002E-2</v>
      </c>
      <c r="S207" s="296">
        <f t="shared" si="32"/>
        <v>1.1002019856988846E-2</v>
      </c>
      <c r="U207" s="297"/>
      <c r="V207" s="297"/>
      <c r="W207" s="297"/>
      <c r="X207" s="297"/>
      <c r="Y207" s="297"/>
      <c r="Z207" s="297"/>
      <c r="AA207" s="297"/>
      <c r="AB207" s="297"/>
      <c r="AC207" s="297"/>
      <c r="AE207" s="297"/>
      <c r="AF207" s="297"/>
      <c r="AG207" s="297"/>
      <c r="AH207" s="297"/>
      <c r="AI207" s="297"/>
      <c r="AJ207" s="297"/>
      <c r="AK207" s="297"/>
      <c r="AL207" s="297"/>
      <c r="AM207" s="297"/>
      <c r="AO207" s="297"/>
      <c r="AP207" s="297"/>
      <c r="AQ207" s="297"/>
      <c r="AR207" s="297"/>
      <c r="AS207" s="297"/>
      <c r="AT207" s="297"/>
      <c r="AU207" s="297"/>
      <c r="AV207" s="297"/>
      <c r="AW207" s="297"/>
    </row>
    <row r="208" spans="1:49" x14ac:dyDescent="0.45">
      <c r="A208" s="295">
        <v>15676</v>
      </c>
      <c r="B208" s="12">
        <v>5.4899999999999997E-2</v>
      </c>
      <c r="C208" s="5">
        <v>3.2799999999999996E-2</v>
      </c>
      <c r="D208" s="5">
        <v>2.0999999999999999E-3</v>
      </c>
      <c r="E208" s="5">
        <v>2.3416666666666668E-3</v>
      </c>
      <c r="F208" s="5">
        <v>2.4666666666666669E-3</v>
      </c>
      <c r="G208" s="5">
        <v>2.4041666666666669E-3</v>
      </c>
      <c r="H208" s="5">
        <v>2.5500000000000002E-3</v>
      </c>
      <c r="I208" s="5">
        <f t="shared" si="33"/>
        <v>5.28E-2</v>
      </c>
      <c r="J208" s="5">
        <f t="shared" si="26"/>
        <v>5.2495833333333332E-2</v>
      </c>
      <c r="K208" s="5">
        <f t="shared" si="27"/>
        <v>3.0249999999999996E-2</v>
      </c>
      <c r="L208" s="8">
        <f t="shared" si="24"/>
        <v>0.20332977512829098</v>
      </c>
      <c r="M208" s="8">
        <f t="shared" si="25"/>
        <v>2.52E-2</v>
      </c>
      <c r="N208" s="8">
        <f t="shared" si="28"/>
        <v>2.8850000000000001E-2</v>
      </c>
      <c r="O208" s="296">
        <f t="shared" ref="O208:O271" si="34">L208-M208</f>
        <v>0.17812977512829098</v>
      </c>
      <c r="P208" s="8">
        <f t="shared" si="29"/>
        <v>0.17447977512829099</v>
      </c>
      <c r="Q208" s="8">
        <f t="shared" si="30"/>
        <v>0.15411912262207483</v>
      </c>
      <c r="R208" s="8">
        <f t="shared" si="31"/>
        <v>3.0600000000000002E-2</v>
      </c>
      <c r="S208" s="296">
        <f t="shared" si="32"/>
        <v>0.12351912262207483</v>
      </c>
      <c r="U208" s="297"/>
      <c r="V208" s="297"/>
      <c r="W208" s="297"/>
      <c r="X208" s="297"/>
      <c r="Y208" s="297"/>
      <c r="Z208" s="297"/>
      <c r="AA208" s="297"/>
      <c r="AB208" s="297"/>
      <c r="AC208" s="297"/>
      <c r="AE208" s="297"/>
      <c r="AF208" s="297"/>
      <c r="AG208" s="297"/>
      <c r="AH208" s="297"/>
      <c r="AI208" s="297"/>
      <c r="AJ208" s="297"/>
      <c r="AK208" s="297"/>
      <c r="AL208" s="297"/>
      <c r="AM208" s="297"/>
      <c r="AO208" s="297"/>
      <c r="AP208" s="297"/>
      <c r="AQ208" s="297"/>
      <c r="AR208" s="297"/>
      <c r="AS208" s="297"/>
      <c r="AT208" s="297"/>
      <c r="AU208" s="297"/>
      <c r="AV208" s="297"/>
      <c r="AW208" s="297"/>
    </row>
    <row r="209" spans="1:49" x14ac:dyDescent="0.45">
      <c r="A209" s="295">
        <v>15707</v>
      </c>
      <c r="B209" s="12">
        <v>7.3700000000000002E-2</v>
      </c>
      <c r="C209" s="5">
        <v>0.1217</v>
      </c>
      <c r="D209" s="5">
        <v>2E-3</v>
      </c>
      <c r="E209" s="5">
        <v>2.3250000000000002E-3</v>
      </c>
      <c r="F209" s="5">
        <v>2.4416666666666666E-3</v>
      </c>
      <c r="G209" s="5">
        <v>2.3833333333333332E-3</v>
      </c>
      <c r="H209" s="5">
        <v>2.5416666666666669E-3</v>
      </c>
      <c r="I209" s="5">
        <f t="shared" si="33"/>
        <v>7.17E-2</v>
      </c>
      <c r="J209" s="5">
        <f t="shared" si="26"/>
        <v>7.1316666666666667E-2</v>
      </c>
      <c r="K209" s="5">
        <f t="shared" si="27"/>
        <v>0.11915833333333334</v>
      </c>
      <c r="L209" s="8">
        <f t="shared" ref="L209:L272" si="35">((1+B198)*(1+B199)*(1+B200)*(1+B201)*(1+B202)*(1+B203)*(1+B204)*(1+B205)*(1+B206)*(1+B207)*(1+B208)*(1+B209))-1</f>
        <v>0.27154333191147195</v>
      </c>
      <c r="M209" s="8">
        <f t="shared" ref="M209:M272" si="36">D209*12</f>
        <v>2.4E-2</v>
      </c>
      <c r="N209" s="8">
        <f t="shared" si="28"/>
        <v>2.86E-2</v>
      </c>
      <c r="O209" s="296">
        <f t="shared" si="34"/>
        <v>0.24754333191147196</v>
      </c>
      <c r="P209" s="8">
        <f t="shared" si="29"/>
        <v>0.24294333191147194</v>
      </c>
      <c r="Q209" s="8">
        <f t="shared" si="30"/>
        <v>0.26275401857703939</v>
      </c>
      <c r="R209" s="8">
        <f t="shared" si="31"/>
        <v>3.0500000000000003E-2</v>
      </c>
      <c r="S209" s="296">
        <f t="shared" si="32"/>
        <v>0.2322540185770394</v>
      </c>
      <c r="U209" s="297"/>
      <c r="V209" s="297"/>
      <c r="W209" s="297"/>
      <c r="X209" s="297"/>
      <c r="Y209" s="297"/>
      <c r="Z209" s="297"/>
      <c r="AA209" s="297"/>
      <c r="AB209" s="297"/>
      <c r="AC209" s="297"/>
      <c r="AE209" s="297"/>
      <c r="AF209" s="297"/>
      <c r="AG209" s="297"/>
      <c r="AH209" s="297"/>
      <c r="AI209" s="297"/>
      <c r="AJ209" s="297"/>
      <c r="AK209" s="297"/>
      <c r="AL209" s="297"/>
      <c r="AM209" s="297"/>
      <c r="AO209" s="297"/>
      <c r="AP209" s="297"/>
      <c r="AQ209" s="297"/>
      <c r="AR209" s="297"/>
      <c r="AS209" s="297"/>
      <c r="AT209" s="297"/>
      <c r="AU209" s="297"/>
      <c r="AV209" s="297"/>
      <c r="AW209" s="297"/>
    </row>
    <row r="210" spans="1:49" x14ac:dyDescent="0.45">
      <c r="A210" s="295">
        <v>15738</v>
      </c>
      <c r="B210" s="12">
        <v>5.8299999999999998E-2</v>
      </c>
      <c r="C210" s="5">
        <v>7.1900000000000006E-2</v>
      </c>
      <c r="D210" s="5">
        <v>1.9E-3</v>
      </c>
      <c r="E210" s="5">
        <v>2.3083333333333332E-3</v>
      </c>
      <c r="F210" s="5">
        <v>2.4083333333333335E-3</v>
      </c>
      <c r="G210" s="5">
        <v>2.3583333333333334E-3</v>
      </c>
      <c r="H210" s="5">
        <v>2.5166666666666666E-3</v>
      </c>
      <c r="I210" s="5">
        <f t="shared" si="33"/>
        <v>5.6399999999999999E-2</v>
      </c>
      <c r="J210" s="5">
        <f t="shared" si="26"/>
        <v>5.5941666666666667E-2</v>
      </c>
      <c r="K210" s="5">
        <f t="shared" si="27"/>
        <v>6.9383333333333339E-2</v>
      </c>
      <c r="L210" s="8">
        <f t="shared" si="35"/>
        <v>0.36741622615782044</v>
      </c>
      <c r="M210" s="8">
        <f t="shared" si="36"/>
        <v>2.2800000000000001E-2</v>
      </c>
      <c r="N210" s="8">
        <f t="shared" si="28"/>
        <v>2.8299999999999999E-2</v>
      </c>
      <c r="O210" s="296">
        <f t="shared" si="34"/>
        <v>0.34461622615782045</v>
      </c>
      <c r="P210" s="8">
        <f t="shared" si="29"/>
        <v>0.33911622615782044</v>
      </c>
      <c r="Q210" s="8">
        <f t="shared" si="30"/>
        <v>0.40104133372604189</v>
      </c>
      <c r="R210" s="8">
        <f t="shared" si="31"/>
        <v>3.0199999999999998E-2</v>
      </c>
      <c r="S210" s="296">
        <f t="shared" si="32"/>
        <v>0.37084133372604189</v>
      </c>
      <c r="U210" s="297"/>
      <c r="V210" s="297"/>
      <c r="W210" s="297"/>
      <c r="X210" s="297"/>
      <c r="Y210" s="297"/>
      <c r="Z210" s="297"/>
      <c r="AA210" s="297"/>
      <c r="AB210" s="297"/>
      <c r="AC210" s="297"/>
      <c r="AE210" s="297"/>
      <c r="AF210" s="297"/>
      <c r="AG210" s="297"/>
      <c r="AH210" s="297"/>
      <c r="AI210" s="297"/>
      <c r="AJ210" s="297"/>
      <c r="AK210" s="297"/>
      <c r="AL210" s="297"/>
      <c r="AM210" s="297"/>
      <c r="AO210" s="297"/>
      <c r="AP210" s="297"/>
      <c r="AQ210" s="297"/>
      <c r="AR210" s="297"/>
      <c r="AS210" s="297"/>
      <c r="AT210" s="297"/>
      <c r="AU210" s="297"/>
      <c r="AV210" s="297"/>
      <c r="AW210" s="297"/>
    </row>
    <row r="211" spans="1:49" x14ac:dyDescent="0.45">
      <c r="A211" s="295">
        <v>15766</v>
      </c>
      <c r="B211" s="12">
        <v>5.45E-2</v>
      </c>
      <c r="C211" s="5">
        <v>4.1200000000000001E-2</v>
      </c>
      <c r="D211" s="5">
        <v>2.0999999999999999E-3</v>
      </c>
      <c r="E211" s="5">
        <v>2.3E-3</v>
      </c>
      <c r="F211" s="5">
        <v>2.3999999999999998E-3</v>
      </c>
      <c r="G211" s="5">
        <v>2.3499999999999997E-3</v>
      </c>
      <c r="H211" s="5">
        <v>2.5083333333333333E-3</v>
      </c>
      <c r="I211" s="5">
        <f t="shared" si="33"/>
        <v>5.2400000000000002E-2</v>
      </c>
      <c r="J211" s="5">
        <f t="shared" si="26"/>
        <v>5.2150000000000002E-2</v>
      </c>
      <c r="K211" s="5">
        <f t="shared" si="27"/>
        <v>3.8691666666666666E-2</v>
      </c>
      <c r="L211" s="8">
        <f t="shared" si="35"/>
        <v>0.54251220633656549</v>
      </c>
      <c r="M211" s="8">
        <f t="shared" si="36"/>
        <v>2.52E-2</v>
      </c>
      <c r="N211" s="8">
        <f t="shared" si="28"/>
        <v>2.8199999999999996E-2</v>
      </c>
      <c r="O211" s="296">
        <f t="shared" si="34"/>
        <v>0.51731220633656549</v>
      </c>
      <c r="P211" s="8">
        <f t="shared" si="29"/>
        <v>0.51431220633656549</v>
      </c>
      <c r="Q211" s="8">
        <f t="shared" si="30"/>
        <v>0.62917605168143287</v>
      </c>
      <c r="R211" s="8">
        <f t="shared" si="31"/>
        <v>3.0100000000000002E-2</v>
      </c>
      <c r="S211" s="296">
        <f t="shared" si="32"/>
        <v>0.59907605168143285</v>
      </c>
      <c r="U211" s="297"/>
      <c r="V211" s="297"/>
      <c r="W211" s="297"/>
      <c r="X211" s="297"/>
      <c r="Y211" s="297"/>
      <c r="Z211" s="297"/>
      <c r="AA211" s="297"/>
      <c r="AB211" s="297"/>
      <c r="AC211" s="297"/>
      <c r="AE211" s="297"/>
      <c r="AF211" s="297"/>
      <c r="AG211" s="297"/>
      <c r="AH211" s="297"/>
      <c r="AI211" s="297"/>
      <c r="AJ211" s="297"/>
      <c r="AK211" s="297"/>
      <c r="AL211" s="297"/>
      <c r="AM211" s="297"/>
      <c r="AO211" s="297"/>
      <c r="AP211" s="297"/>
      <c r="AQ211" s="297"/>
      <c r="AR211" s="297"/>
      <c r="AS211" s="297"/>
      <c r="AT211" s="297"/>
      <c r="AU211" s="297"/>
      <c r="AV211" s="297"/>
      <c r="AW211" s="297"/>
    </row>
    <row r="212" spans="1:49" x14ac:dyDescent="0.45">
      <c r="A212" s="295">
        <v>15797</v>
      </c>
      <c r="B212" s="12">
        <v>3.5000000000000001E-3</v>
      </c>
      <c r="C212" s="5">
        <v>3.8700000000000005E-2</v>
      </c>
      <c r="D212" s="5">
        <v>2E-3</v>
      </c>
      <c r="E212" s="5">
        <v>2.3E-3</v>
      </c>
      <c r="F212" s="5">
        <v>2.3999999999999998E-3</v>
      </c>
      <c r="G212" s="5">
        <v>2.3499999999999997E-3</v>
      </c>
      <c r="H212" s="5">
        <v>2.5000000000000001E-3</v>
      </c>
      <c r="I212" s="5">
        <f t="shared" si="33"/>
        <v>1.5E-3</v>
      </c>
      <c r="J212" s="5">
        <f t="shared" si="26"/>
        <v>1.1500000000000004E-3</v>
      </c>
      <c r="K212" s="5">
        <f t="shared" si="27"/>
        <v>3.6200000000000003E-2</v>
      </c>
      <c r="L212" s="8">
        <f t="shared" si="35"/>
        <v>0.6124072906861906</v>
      </c>
      <c r="M212" s="8">
        <f t="shared" si="36"/>
        <v>2.4E-2</v>
      </c>
      <c r="N212" s="8">
        <f t="shared" si="28"/>
        <v>2.8199999999999996E-2</v>
      </c>
      <c r="O212" s="296">
        <f t="shared" si="34"/>
        <v>0.58840729068619058</v>
      </c>
      <c r="P212" s="8">
        <f t="shared" si="29"/>
        <v>0.58420729068619059</v>
      </c>
      <c r="Q212" s="8">
        <f t="shared" si="30"/>
        <v>0.76862998001829408</v>
      </c>
      <c r="R212" s="8">
        <f t="shared" si="31"/>
        <v>0.03</v>
      </c>
      <c r="S212" s="296">
        <f t="shared" si="32"/>
        <v>0.73862998001829405</v>
      </c>
      <c r="U212" s="297"/>
      <c r="V212" s="297"/>
      <c r="W212" s="297"/>
      <c r="X212" s="297"/>
      <c r="Y212" s="297"/>
      <c r="Z212" s="297"/>
      <c r="AA212" s="297"/>
      <c r="AB212" s="297"/>
      <c r="AC212" s="297"/>
      <c r="AE212" s="297"/>
      <c r="AF212" s="297"/>
      <c r="AG212" s="297"/>
      <c r="AH212" s="297"/>
      <c r="AI212" s="297"/>
      <c r="AJ212" s="297"/>
      <c r="AK212" s="297"/>
      <c r="AL212" s="297"/>
      <c r="AM212" s="297"/>
      <c r="AO212" s="297"/>
      <c r="AP212" s="297"/>
      <c r="AQ212" s="297"/>
      <c r="AR212" s="297"/>
      <c r="AS212" s="297"/>
      <c r="AT212" s="297"/>
      <c r="AU212" s="297"/>
      <c r="AV212" s="297"/>
      <c r="AW212" s="297"/>
    </row>
    <row r="213" spans="1:49" x14ac:dyDescent="0.45">
      <c r="A213" s="295">
        <v>15827</v>
      </c>
      <c r="B213" s="12">
        <v>5.5199999999999999E-2</v>
      </c>
      <c r="C213" s="5">
        <v>3.4700000000000002E-2</v>
      </c>
      <c r="D213" s="5">
        <v>1.9E-3</v>
      </c>
      <c r="E213" s="5">
        <v>2.2833333333333334E-3</v>
      </c>
      <c r="F213" s="5">
        <v>2.3916666666666665E-3</v>
      </c>
      <c r="G213" s="5">
        <v>2.3375000000000002E-3</v>
      </c>
      <c r="H213" s="5">
        <v>2.5000000000000001E-3</v>
      </c>
      <c r="I213" s="5">
        <f t="shared" si="33"/>
        <v>5.33E-2</v>
      </c>
      <c r="J213" s="5">
        <f t="shared" si="26"/>
        <v>5.28625E-2</v>
      </c>
      <c r="K213" s="5">
        <f t="shared" si="27"/>
        <v>3.2199999999999999E-2</v>
      </c>
      <c r="L213" s="8">
        <f t="shared" si="35"/>
        <v>0.57596533265289795</v>
      </c>
      <c r="M213" s="8">
        <f t="shared" si="36"/>
        <v>2.2800000000000001E-2</v>
      </c>
      <c r="N213" s="8">
        <f t="shared" si="28"/>
        <v>2.8050000000000002E-2</v>
      </c>
      <c r="O213" s="296">
        <f t="shared" si="34"/>
        <v>0.55316533265289791</v>
      </c>
      <c r="P213" s="8">
        <f t="shared" si="29"/>
        <v>0.54791533265289794</v>
      </c>
      <c r="Q213" s="8">
        <f t="shared" si="30"/>
        <v>0.67031894881793463</v>
      </c>
      <c r="R213" s="8">
        <f t="shared" si="31"/>
        <v>0.03</v>
      </c>
      <c r="S213" s="296">
        <f t="shared" si="32"/>
        <v>0.64031894881793461</v>
      </c>
      <c r="U213" s="297"/>
      <c r="V213" s="297"/>
      <c r="W213" s="297"/>
      <c r="X213" s="297"/>
      <c r="Y213" s="297"/>
      <c r="Z213" s="297"/>
      <c r="AA213" s="297"/>
      <c r="AB213" s="297"/>
      <c r="AC213" s="297"/>
      <c r="AE213" s="297"/>
      <c r="AF213" s="297"/>
      <c r="AG213" s="297"/>
      <c r="AH213" s="297"/>
      <c r="AI213" s="297"/>
      <c r="AJ213" s="297"/>
      <c r="AK213" s="297"/>
      <c r="AL213" s="297"/>
      <c r="AM213" s="297"/>
      <c r="AO213" s="297"/>
      <c r="AP213" s="297"/>
      <c r="AQ213" s="297"/>
      <c r="AR213" s="297"/>
      <c r="AS213" s="297"/>
      <c r="AT213" s="297"/>
      <c r="AU213" s="297"/>
      <c r="AV213" s="297"/>
      <c r="AW213" s="297"/>
    </row>
    <row r="214" spans="1:49" x14ac:dyDescent="0.45">
      <c r="A214" s="295">
        <v>15858</v>
      </c>
      <c r="B214" s="12">
        <v>2.23E-2</v>
      </c>
      <c r="C214" s="5">
        <v>5.3800000000000001E-2</v>
      </c>
      <c r="D214" s="5">
        <v>2.0999999999999999E-3</v>
      </c>
      <c r="E214" s="5">
        <v>2.2666666666666668E-3</v>
      </c>
      <c r="F214" s="5">
        <v>2.3750000000000004E-3</v>
      </c>
      <c r="G214" s="5">
        <v>2.3208333333333336E-3</v>
      </c>
      <c r="H214" s="5">
        <v>2.4833333333333331E-3</v>
      </c>
      <c r="I214" s="5">
        <f t="shared" si="33"/>
        <v>2.0199999999999999E-2</v>
      </c>
      <c r="J214" s="5">
        <f t="shared" si="26"/>
        <v>1.9979166666666666E-2</v>
      </c>
      <c r="K214" s="5">
        <f t="shared" si="27"/>
        <v>5.131666666666667E-2</v>
      </c>
      <c r="L214" s="8">
        <f t="shared" si="35"/>
        <v>0.57627371056751509</v>
      </c>
      <c r="M214" s="8">
        <f t="shared" si="36"/>
        <v>2.52E-2</v>
      </c>
      <c r="N214" s="8">
        <f t="shared" si="28"/>
        <v>2.7850000000000003E-2</v>
      </c>
      <c r="O214" s="296">
        <f t="shared" si="34"/>
        <v>0.55107371056751508</v>
      </c>
      <c r="P214" s="8">
        <f t="shared" si="29"/>
        <v>0.54842371056751504</v>
      </c>
      <c r="Q214" s="8">
        <f t="shared" si="30"/>
        <v>0.75020593443804207</v>
      </c>
      <c r="R214" s="8">
        <f t="shared" si="31"/>
        <v>2.9799999999999997E-2</v>
      </c>
      <c r="S214" s="296">
        <f t="shared" si="32"/>
        <v>0.72040593443804202</v>
      </c>
      <c r="U214" s="297"/>
      <c r="V214" s="297"/>
      <c r="W214" s="297"/>
      <c r="X214" s="297"/>
      <c r="Y214" s="297"/>
      <c r="Z214" s="297"/>
      <c r="AA214" s="297"/>
      <c r="AB214" s="297"/>
      <c r="AC214" s="297"/>
      <c r="AE214" s="297"/>
      <c r="AF214" s="297"/>
      <c r="AG214" s="297"/>
      <c r="AH214" s="297"/>
      <c r="AI214" s="297"/>
      <c r="AJ214" s="297"/>
      <c r="AK214" s="297"/>
      <c r="AL214" s="297"/>
      <c r="AM214" s="297"/>
      <c r="AO214" s="297"/>
      <c r="AP214" s="297"/>
      <c r="AQ214" s="297"/>
      <c r="AR214" s="297"/>
      <c r="AS214" s="297"/>
      <c r="AT214" s="297"/>
      <c r="AU214" s="297"/>
      <c r="AV214" s="297"/>
      <c r="AW214" s="297"/>
    </row>
    <row r="215" spans="1:49" x14ac:dyDescent="0.45">
      <c r="A215" s="295">
        <v>15888</v>
      </c>
      <c r="B215" s="12">
        <v>-5.2600000000000001E-2</v>
      </c>
      <c r="C215" s="5">
        <v>3.8E-3</v>
      </c>
      <c r="D215" s="5">
        <v>2.0999999999999999E-3</v>
      </c>
      <c r="E215" s="5">
        <v>2.2416666666666665E-3</v>
      </c>
      <c r="F215" s="5">
        <v>2.3499999999999997E-3</v>
      </c>
      <c r="G215" s="5">
        <v>2.2958333333333329E-3</v>
      </c>
      <c r="H215" s="5">
        <v>2.4666666666666669E-3</v>
      </c>
      <c r="I215" s="5">
        <f t="shared" si="33"/>
        <v>-5.4699999999999999E-2</v>
      </c>
      <c r="J215" s="5">
        <f t="shared" si="26"/>
        <v>-5.4895833333333331E-2</v>
      </c>
      <c r="K215" s="5">
        <f t="shared" si="27"/>
        <v>1.3333333333333331E-3</v>
      </c>
      <c r="L215" s="8">
        <f t="shared" si="35"/>
        <v>0.44467612788203881</v>
      </c>
      <c r="M215" s="8">
        <f t="shared" si="36"/>
        <v>2.52E-2</v>
      </c>
      <c r="N215" s="8">
        <f t="shared" si="28"/>
        <v>2.7549999999999995E-2</v>
      </c>
      <c r="O215" s="296">
        <f t="shared" si="34"/>
        <v>0.41947612788203881</v>
      </c>
      <c r="P215" s="8">
        <f t="shared" si="29"/>
        <v>0.41712612788203879</v>
      </c>
      <c r="Q215" s="8">
        <f t="shared" si="30"/>
        <v>0.74985728783755734</v>
      </c>
      <c r="R215" s="8">
        <f t="shared" si="31"/>
        <v>2.9600000000000001E-2</v>
      </c>
      <c r="S215" s="296">
        <f t="shared" si="32"/>
        <v>0.72025728783755738</v>
      </c>
      <c r="U215" s="297"/>
      <c r="V215" s="297"/>
      <c r="W215" s="297"/>
      <c r="X215" s="297"/>
      <c r="Y215" s="297"/>
      <c r="Z215" s="297"/>
      <c r="AA215" s="297"/>
      <c r="AB215" s="297"/>
      <c r="AC215" s="297"/>
      <c r="AE215" s="297"/>
      <c r="AF215" s="297"/>
      <c r="AG215" s="297"/>
      <c r="AH215" s="297"/>
      <c r="AI215" s="297"/>
      <c r="AJ215" s="297"/>
      <c r="AK215" s="297"/>
      <c r="AL215" s="297"/>
      <c r="AM215" s="297"/>
      <c r="AO215" s="297"/>
      <c r="AP215" s="297"/>
      <c r="AQ215" s="297"/>
      <c r="AR215" s="297"/>
      <c r="AS215" s="297"/>
      <c r="AT215" s="297"/>
      <c r="AU215" s="297"/>
      <c r="AV215" s="297"/>
      <c r="AW215" s="297"/>
    </row>
    <row r="216" spans="1:49" x14ac:dyDescent="0.45">
      <c r="A216" s="295">
        <v>15919</v>
      </c>
      <c r="B216" s="12">
        <v>1.7100000000000001E-2</v>
      </c>
      <c r="C216" s="5">
        <v>1.0500000000000001E-2</v>
      </c>
      <c r="D216" s="5">
        <v>2.0999999999999999E-3</v>
      </c>
      <c r="E216" s="5">
        <v>2.2416666666666665E-3</v>
      </c>
      <c r="F216" s="5">
        <v>2.3416666666666668E-3</v>
      </c>
      <c r="G216" s="5">
        <v>2.2916666666666667E-3</v>
      </c>
      <c r="H216" s="5">
        <v>2.4666666666666669E-3</v>
      </c>
      <c r="I216" s="5">
        <f t="shared" si="33"/>
        <v>1.5000000000000001E-2</v>
      </c>
      <c r="J216" s="5">
        <f t="shared" si="26"/>
        <v>1.4808333333333333E-2</v>
      </c>
      <c r="K216" s="5">
        <f t="shared" si="27"/>
        <v>8.0333333333333333E-3</v>
      </c>
      <c r="L216" s="8">
        <f t="shared" si="35"/>
        <v>0.44567108389297716</v>
      </c>
      <c r="M216" s="8">
        <f t="shared" si="36"/>
        <v>2.52E-2</v>
      </c>
      <c r="N216" s="8">
        <f t="shared" si="28"/>
        <v>2.75E-2</v>
      </c>
      <c r="O216" s="296">
        <f t="shared" si="34"/>
        <v>0.42047108389297716</v>
      </c>
      <c r="P216" s="8">
        <f t="shared" si="29"/>
        <v>0.41817108389297714</v>
      </c>
      <c r="Q216" s="8">
        <f t="shared" si="30"/>
        <v>0.76364531154982207</v>
      </c>
      <c r="R216" s="8">
        <f t="shared" si="31"/>
        <v>2.9600000000000001E-2</v>
      </c>
      <c r="S216" s="296">
        <f t="shared" si="32"/>
        <v>0.73404531154982211</v>
      </c>
      <c r="U216" s="297"/>
      <c r="V216" s="297"/>
      <c r="W216" s="297"/>
      <c r="X216" s="297"/>
      <c r="Y216" s="297"/>
      <c r="Z216" s="297"/>
      <c r="AA216" s="297"/>
      <c r="AB216" s="297"/>
      <c r="AC216" s="297"/>
      <c r="AE216" s="297"/>
      <c r="AF216" s="297"/>
      <c r="AG216" s="297"/>
      <c r="AH216" s="297"/>
      <c r="AI216" s="297"/>
      <c r="AJ216" s="297"/>
      <c r="AK216" s="297"/>
      <c r="AL216" s="297"/>
      <c r="AM216" s="297"/>
      <c r="AO216" s="297"/>
      <c r="AP216" s="297"/>
      <c r="AQ216" s="297"/>
      <c r="AR216" s="297"/>
      <c r="AS216" s="297"/>
      <c r="AT216" s="297"/>
      <c r="AU216" s="297"/>
      <c r="AV216" s="297"/>
      <c r="AW216" s="297"/>
    </row>
    <row r="217" spans="1:49" x14ac:dyDescent="0.45">
      <c r="A217" s="295">
        <v>15950</v>
      </c>
      <c r="B217" s="12">
        <v>2.63E-2</v>
      </c>
      <c r="C217" s="5">
        <v>3.2300000000000002E-2</v>
      </c>
      <c r="D217" s="5">
        <v>2E-3</v>
      </c>
      <c r="E217" s="5">
        <v>2.2416666666666665E-3</v>
      </c>
      <c r="F217" s="5">
        <v>2.3499999999999997E-3</v>
      </c>
      <c r="G217" s="5">
        <v>2.2958333333333329E-3</v>
      </c>
      <c r="H217" s="5">
        <v>2.4666666666666669E-3</v>
      </c>
      <c r="I217" s="5">
        <f t="shared" si="33"/>
        <v>2.4300000000000002E-2</v>
      </c>
      <c r="J217" s="5">
        <f t="shared" si="26"/>
        <v>2.4004166666666667E-2</v>
      </c>
      <c r="K217" s="5">
        <f t="shared" si="27"/>
        <v>2.9833333333333337E-2</v>
      </c>
      <c r="L217" s="8">
        <f t="shared" si="35"/>
        <v>0.44187777784194604</v>
      </c>
      <c r="M217" s="8">
        <f t="shared" si="36"/>
        <v>2.4E-2</v>
      </c>
      <c r="N217" s="8">
        <f t="shared" si="28"/>
        <v>2.7549999999999995E-2</v>
      </c>
      <c r="O217" s="296">
        <f t="shared" si="34"/>
        <v>0.41787777784194602</v>
      </c>
      <c r="P217" s="8">
        <f t="shared" si="29"/>
        <v>0.41432777784194602</v>
      </c>
      <c r="Q217" s="8">
        <f t="shared" si="30"/>
        <v>0.73954811304498524</v>
      </c>
      <c r="R217" s="8">
        <f t="shared" si="31"/>
        <v>2.9600000000000001E-2</v>
      </c>
      <c r="S217" s="296">
        <f t="shared" si="32"/>
        <v>0.70994811304498529</v>
      </c>
      <c r="U217" s="297"/>
      <c r="V217" s="297"/>
      <c r="W217" s="297"/>
      <c r="X217" s="297"/>
      <c r="Y217" s="297"/>
      <c r="Z217" s="297"/>
      <c r="AA217" s="297"/>
      <c r="AB217" s="297"/>
      <c r="AC217" s="297"/>
      <c r="AE217" s="297"/>
      <c r="AF217" s="297"/>
      <c r="AG217" s="297"/>
      <c r="AH217" s="297"/>
      <c r="AI217" s="297"/>
      <c r="AJ217" s="297"/>
      <c r="AK217" s="297"/>
      <c r="AL217" s="297"/>
      <c r="AM217" s="297"/>
      <c r="AO217" s="297"/>
      <c r="AP217" s="297"/>
      <c r="AQ217" s="297"/>
      <c r="AR217" s="297"/>
      <c r="AS217" s="297"/>
      <c r="AT217" s="297"/>
      <c r="AU217" s="297"/>
      <c r="AV217" s="297"/>
      <c r="AW217" s="297"/>
    </row>
    <row r="218" spans="1:49" x14ac:dyDescent="0.45">
      <c r="A218" s="295">
        <v>15980</v>
      </c>
      <c r="B218" s="12">
        <v>-1.0800000000000001E-2</v>
      </c>
      <c r="C218" s="5">
        <v>8.199999999999999E-3</v>
      </c>
      <c r="D218" s="5">
        <v>2E-3</v>
      </c>
      <c r="E218" s="5">
        <v>2.2500000000000003E-3</v>
      </c>
      <c r="F218" s="5">
        <v>2.3583333333333334E-3</v>
      </c>
      <c r="G218" s="5">
        <v>2.3041666666666666E-3</v>
      </c>
      <c r="H218" s="5">
        <v>2.4750000000000002E-3</v>
      </c>
      <c r="I218" s="5">
        <f t="shared" si="33"/>
        <v>-1.2800000000000001E-2</v>
      </c>
      <c r="J218" s="5">
        <f t="shared" si="26"/>
        <v>-1.3104166666666667E-2</v>
      </c>
      <c r="K218" s="5">
        <f t="shared" si="27"/>
        <v>5.7249999999999992E-3</v>
      </c>
      <c r="L218" s="8">
        <f t="shared" si="35"/>
        <v>0.33574217816187768</v>
      </c>
      <c r="M218" s="8">
        <f t="shared" si="36"/>
        <v>2.4E-2</v>
      </c>
      <c r="N218" s="8">
        <f t="shared" si="28"/>
        <v>2.7650000000000001E-2</v>
      </c>
      <c r="O218" s="296">
        <f t="shared" si="34"/>
        <v>0.31174217816187766</v>
      </c>
      <c r="P218" s="8">
        <f t="shared" si="29"/>
        <v>0.30809217816187767</v>
      </c>
      <c r="Q218" s="8">
        <f t="shared" si="30"/>
        <v>0.54357719377922309</v>
      </c>
      <c r="R218" s="8">
        <f t="shared" si="31"/>
        <v>2.9700000000000004E-2</v>
      </c>
      <c r="S218" s="296">
        <f t="shared" si="32"/>
        <v>0.51387719377922303</v>
      </c>
      <c r="U218" s="297"/>
      <c r="V218" s="297"/>
      <c r="W218" s="297"/>
      <c r="X218" s="297"/>
      <c r="Y218" s="297"/>
      <c r="Z218" s="297"/>
      <c r="AA218" s="297"/>
      <c r="AB218" s="297"/>
      <c r="AC218" s="297"/>
      <c r="AE218" s="297"/>
      <c r="AF218" s="297"/>
      <c r="AG218" s="297"/>
      <c r="AH218" s="297"/>
      <c r="AI218" s="297"/>
      <c r="AJ218" s="297"/>
      <c r="AK218" s="297"/>
      <c r="AL218" s="297"/>
      <c r="AM218" s="297"/>
      <c r="AO218" s="297"/>
      <c r="AP218" s="297"/>
      <c r="AQ218" s="297"/>
      <c r="AR218" s="297"/>
      <c r="AS218" s="297"/>
      <c r="AT218" s="297"/>
      <c r="AU218" s="297"/>
      <c r="AV218" s="297"/>
      <c r="AW218" s="297"/>
    </row>
    <row r="219" spans="1:49" x14ac:dyDescent="0.45">
      <c r="A219" s="295">
        <v>16011</v>
      </c>
      <c r="B219" s="12">
        <v>-6.54E-2</v>
      </c>
      <c r="C219" s="5">
        <v>-7.7499999999999999E-2</v>
      </c>
      <c r="D219" s="5">
        <v>2.0999999999999999E-3</v>
      </c>
      <c r="E219" s="5">
        <v>2.2583333333333331E-3</v>
      </c>
      <c r="F219" s="5">
        <v>2.3666666666666667E-3</v>
      </c>
      <c r="G219" s="5">
        <v>2.3125000000000003E-3</v>
      </c>
      <c r="H219" s="5">
        <v>2.4833333333333331E-3</v>
      </c>
      <c r="I219" s="5">
        <f t="shared" si="33"/>
        <v>-6.7500000000000004E-2</v>
      </c>
      <c r="J219" s="5">
        <f t="shared" si="26"/>
        <v>-6.7712499999999995E-2</v>
      </c>
      <c r="K219" s="5">
        <f t="shared" si="27"/>
        <v>-7.9983333333333337E-2</v>
      </c>
      <c r="L219" s="8">
        <f t="shared" si="35"/>
        <v>0.25101176441536333</v>
      </c>
      <c r="M219" s="8">
        <f t="shared" si="36"/>
        <v>2.52E-2</v>
      </c>
      <c r="N219" s="8">
        <f t="shared" si="28"/>
        <v>2.7750000000000004E-2</v>
      </c>
      <c r="O219" s="296">
        <f t="shared" si="34"/>
        <v>0.22581176441536333</v>
      </c>
      <c r="P219" s="8">
        <f t="shared" si="29"/>
        <v>0.22326176441536333</v>
      </c>
      <c r="Q219" s="8">
        <f t="shared" si="30"/>
        <v>0.42608909490368907</v>
      </c>
      <c r="R219" s="8">
        <f t="shared" si="31"/>
        <v>2.9799999999999997E-2</v>
      </c>
      <c r="S219" s="296">
        <f t="shared" si="32"/>
        <v>0.39628909490368908</v>
      </c>
      <c r="U219" s="297"/>
      <c r="V219" s="297"/>
      <c r="W219" s="297"/>
      <c r="X219" s="297"/>
      <c r="Y219" s="297"/>
      <c r="Z219" s="297"/>
      <c r="AA219" s="297"/>
      <c r="AB219" s="297"/>
      <c r="AC219" s="297"/>
      <c r="AE219" s="297"/>
      <c r="AF219" s="297"/>
      <c r="AG219" s="297"/>
      <c r="AH219" s="297"/>
      <c r="AI219" s="297"/>
      <c r="AJ219" s="297"/>
      <c r="AK219" s="297"/>
      <c r="AL219" s="297"/>
      <c r="AM219" s="297"/>
      <c r="AO219" s="297"/>
      <c r="AP219" s="297"/>
      <c r="AQ219" s="297"/>
      <c r="AR219" s="297"/>
      <c r="AS219" s="297"/>
      <c r="AT219" s="297"/>
      <c r="AU219" s="297"/>
      <c r="AV219" s="297"/>
      <c r="AW219" s="297"/>
    </row>
    <row r="220" spans="1:49" x14ac:dyDescent="0.45">
      <c r="A220" s="295">
        <v>16041</v>
      </c>
      <c r="B220" s="12">
        <v>6.1699999999999998E-2</v>
      </c>
      <c r="C220" s="5">
        <v>5.779999999999999E-2</v>
      </c>
      <c r="D220" s="5">
        <v>2.0999999999999999E-3</v>
      </c>
      <c r="E220" s="5">
        <v>2.2833333333333334E-3</v>
      </c>
      <c r="F220" s="5">
        <v>2.3916666666666665E-3</v>
      </c>
      <c r="G220" s="5">
        <v>2.3375000000000002E-3</v>
      </c>
      <c r="H220" s="5">
        <v>2.4916666666666668E-3</v>
      </c>
      <c r="I220" s="5">
        <f t="shared" si="33"/>
        <v>5.96E-2</v>
      </c>
      <c r="J220" s="5">
        <f t="shared" si="26"/>
        <v>5.9362499999999999E-2</v>
      </c>
      <c r="K220" s="5">
        <f t="shared" si="27"/>
        <v>5.530833333333332E-2</v>
      </c>
      <c r="L220" s="8">
        <f t="shared" si="35"/>
        <v>0.25907592215356079</v>
      </c>
      <c r="M220" s="8">
        <f t="shared" si="36"/>
        <v>2.52E-2</v>
      </c>
      <c r="N220" s="8">
        <f t="shared" si="28"/>
        <v>2.8050000000000002E-2</v>
      </c>
      <c r="O220" s="296">
        <f t="shared" si="34"/>
        <v>0.23387592215356079</v>
      </c>
      <c r="P220" s="8">
        <f t="shared" si="29"/>
        <v>0.2310259221535608</v>
      </c>
      <c r="Q220" s="8">
        <f t="shared" si="30"/>
        <v>0.46060906718543992</v>
      </c>
      <c r="R220" s="8">
        <f t="shared" si="31"/>
        <v>2.9900000000000003E-2</v>
      </c>
      <c r="S220" s="296">
        <f t="shared" si="32"/>
        <v>0.43070906718543994</v>
      </c>
      <c r="U220" s="297"/>
      <c r="V220" s="297"/>
      <c r="W220" s="297"/>
      <c r="X220" s="297"/>
      <c r="Y220" s="297"/>
      <c r="Z220" s="297"/>
      <c r="AA220" s="297"/>
      <c r="AB220" s="297"/>
      <c r="AC220" s="297"/>
      <c r="AE220" s="297"/>
      <c r="AF220" s="297"/>
      <c r="AG220" s="297"/>
      <c r="AH220" s="297"/>
      <c r="AI220" s="297"/>
      <c r="AJ220" s="297"/>
      <c r="AK220" s="297"/>
      <c r="AL220" s="297"/>
      <c r="AM220" s="297"/>
      <c r="AO220" s="297"/>
      <c r="AP220" s="297"/>
      <c r="AQ220" s="297"/>
      <c r="AR220" s="297"/>
      <c r="AS220" s="297"/>
      <c r="AT220" s="297"/>
      <c r="AU220" s="297"/>
      <c r="AV220" s="297"/>
      <c r="AW220" s="297"/>
    </row>
    <row r="221" spans="1:49" x14ac:dyDescent="0.45">
      <c r="A221" s="295">
        <v>16072</v>
      </c>
      <c r="B221" s="12">
        <v>1.7100000000000001E-2</v>
      </c>
      <c r="C221" s="5">
        <v>1.0599999999999998E-2</v>
      </c>
      <c r="D221" s="5">
        <v>2.0999999999999999E-3</v>
      </c>
      <c r="E221" s="5">
        <v>2.2666666666666668E-3</v>
      </c>
      <c r="F221" s="5">
        <v>2.3583333333333334E-3</v>
      </c>
      <c r="G221" s="5">
        <v>2.3125000000000003E-3</v>
      </c>
      <c r="H221" s="5">
        <v>2.4916666666666668E-3</v>
      </c>
      <c r="I221" s="5">
        <f t="shared" si="33"/>
        <v>1.5000000000000001E-2</v>
      </c>
      <c r="J221" s="5">
        <f t="shared" ref="J221:J284" si="37">B221-G221</f>
        <v>1.47875E-2</v>
      </c>
      <c r="K221" s="5">
        <f t="shared" ref="K221:K284" si="38">$C221-H221</f>
        <v>8.108333333333332E-3</v>
      </c>
      <c r="L221" s="8">
        <f t="shared" si="35"/>
        <v>0.1927038469054545</v>
      </c>
      <c r="M221" s="8">
        <f t="shared" si="36"/>
        <v>2.52E-2</v>
      </c>
      <c r="N221" s="8">
        <f t="shared" si="28"/>
        <v>2.7750000000000004E-2</v>
      </c>
      <c r="O221" s="296">
        <f t="shared" si="34"/>
        <v>0.1675038469054545</v>
      </c>
      <c r="P221" s="8">
        <f t="shared" si="29"/>
        <v>0.1649538469054545</v>
      </c>
      <c r="Q221" s="8">
        <f t="shared" si="30"/>
        <v>0.31594144895926357</v>
      </c>
      <c r="R221" s="8">
        <f t="shared" si="31"/>
        <v>2.9900000000000003E-2</v>
      </c>
      <c r="S221" s="296">
        <f t="shared" si="32"/>
        <v>0.28604144895926359</v>
      </c>
      <c r="U221" s="297"/>
      <c r="V221" s="297"/>
      <c r="W221" s="297"/>
      <c r="X221" s="297"/>
      <c r="Y221" s="297"/>
      <c r="Z221" s="297"/>
      <c r="AA221" s="297"/>
      <c r="AB221" s="297"/>
      <c r="AC221" s="297"/>
      <c r="AE221" s="297"/>
      <c r="AF221" s="297"/>
      <c r="AG221" s="297"/>
      <c r="AH221" s="297"/>
      <c r="AI221" s="297"/>
      <c r="AJ221" s="297"/>
      <c r="AK221" s="297"/>
      <c r="AL221" s="297"/>
      <c r="AM221" s="297"/>
      <c r="AO221" s="297"/>
      <c r="AP221" s="297"/>
      <c r="AQ221" s="297"/>
      <c r="AR221" s="297"/>
      <c r="AS221" s="297"/>
      <c r="AT221" s="297"/>
      <c r="AU221" s="297"/>
      <c r="AV221" s="297"/>
      <c r="AW221" s="297"/>
    </row>
    <row r="222" spans="1:49" x14ac:dyDescent="0.45">
      <c r="A222" s="295">
        <v>16103</v>
      </c>
      <c r="B222" s="12">
        <v>4.1999999999999997E-3</v>
      </c>
      <c r="C222" s="5">
        <v>1.7899999999999999E-2</v>
      </c>
      <c r="D222" s="5">
        <v>2E-3</v>
      </c>
      <c r="E222" s="5">
        <v>2.2833333333333334E-3</v>
      </c>
      <c r="F222" s="5">
        <v>2.3583333333333334E-3</v>
      </c>
      <c r="G222" s="5">
        <v>2.3208333333333336E-3</v>
      </c>
      <c r="H222" s="5">
        <v>2.4916666666666668E-3</v>
      </c>
      <c r="I222" s="5">
        <f t="shared" si="33"/>
        <v>2.1999999999999997E-3</v>
      </c>
      <c r="J222" s="5">
        <f t="shared" si="37"/>
        <v>1.8791666666666661E-3</v>
      </c>
      <c r="K222" s="5">
        <f t="shared" si="38"/>
        <v>1.5408333333333333E-2</v>
      </c>
      <c r="L222" s="8">
        <f t="shared" si="35"/>
        <v>0.13173315984357692</v>
      </c>
      <c r="M222" s="8">
        <f t="shared" si="36"/>
        <v>2.4E-2</v>
      </c>
      <c r="N222" s="8">
        <f t="shared" si="28"/>
        <v>2.7850000000000003E-2</v>
      </c>
      <c r="O222" s="296">
        <f t="shared" si="34"/>
        <v>0.10773315984357693</v>
      </c>
      <c r="P222" s="8">
        <f t="shared" si="29"/>
        <v>0.10388315984357692</v>
      </c>
      <c r="Q222" s="8">
        <f t="shared" si="30"/>
        <v>0.24964716941471599</v>
      </c>
      <c r="R222" s="8">
        <f t="shared" si="31"/>
        <v>2.9900000000000003E-2</v>
      </c>
      <c r="S222" s="296">
        <f t="shared" si="32"/>
        <v>0.21974716941471598</v>
      </c>
      <c r="U222" s="297"/>
      <c r="V222" s="297"/>
      <c r="W222" s="297"/>
      <c r="X222" s="297"/>
      <c r="Y222" s="297"/>
      <c r="Z222" s="297"/>
      <c r="AA222" s="297"/>
      <c r="AB222" s="297"/>
      <c r="AC222" s="297"/>
      <c r="AE222" s="297"/>
      <c r="AF222" s="297"/>
      <c r="AG222" s="297"/>
      <c r="AH222" s="297"/>
      <c r="AI222" s="297"/>
      <c r="AJ222" s="297"/>
      <c r="AK222" s="297"/>
      <c r="AL222" s="297"/>
      <c r="AM222" s="297"/>
      <c r="AO222" s="297"/>
      <c r="AP222" s="297"/>
      <c r="AQ222" s="297"/>
      <c r="AR222" s="297"/>
      <c r="AS222" s="297"/>
      <c r="AT222" s="297"/>
      <c r="AU222" s="297"/>
      <c r="AV222" s="297"/>
      <c r="AW222" s="297"/>
    </row>
    <row r="223" spans="1:49" x14ac:dyDescent="0.45">
      <c r="A223" s="295">
        <v>16132</v>
      </c>
      <c r="B223" s="12">
        <v>1.95E-2</v>
      </c>
      <c r="C223" s="5">
        <v>1.04E-2</v>
      </c>
      <c r="D223" s="5">
        <v>2.0999999999999999E-3</v>
      </c>
      <c r="E223" s="5">
        <v>2.2833333333333334E-3</v>
      </c>
      <c r="F223" s="5">
        <v>2.3499999999999997E-3</v>
      </c>
      <c r="G223" s="5">
        <v>2.316666666666667E-3</v>
      </c>
      <c r="H223" s="5">
        <v>2.4750000000000002E-3</v>
      </c>
      <c r="I223" s="5">
        <f t="shared" si="33"/>
        <v>1.7399999999999999E-2</v>
      </c>
      <c r="J223" s="5">
        <f t="shared" si="37"/>
        <v>1.7183333333333332E-2</v>
      </c>
      <c r="K223" s="5">
        <f t="shared" si="38"/>
        <v>7.9249999999999998E-3</v>
      </c>
      <c r="L223" s="8">
        <f t="shared" si="35"/>
        <v>9.4169707406853265E-2</v>
      </c>
      <c r="M223" s="8">
        <f t="shared" si="36"/>
        <v>2.52E-2</v>
      </c>
      <c r="N223" s="8">
        <f t="shared" si="28"/>
        <v>2.7800000000000005E-2</v>
      </c>
      <c r="O223" s="296">
        <f t="shared" si="34"/>
        <v>6.8969707406853265E-2</v>
      </c>
      <c r="P223" s="8">
        <f t="shared" si="29"/>
        <v>6.6369707406853259E-2</v>
      </c>
      <c r="Q223" s="8">
        <f t="shared" si="30"/>
        <v>0.2126810410839699</v>
      </c>
      <c r="R223" s="8">
        <f t="shared" si="31"/>
        <v>2.9700000000000004E-2</v>
      </c>
      <c r="S223" s="296">
        <f t="shared" si="32"/>
        <v>0.1829810410839699</v>
      </c>
      <c r="U223" s="297"/>
      <c r="V223" s="297"/>
      <c r="W223" s="297"/>
      <c r="X223" s="297"/>
      <c r="Y223" s="297"/>
      <c r="Z223" s="297"/>
      <c r="AA223" s="297"/>
      <c r="AB223" s="297"/>
      <c r="AC223" s="297"/>
      <c r="AE223" s="297"/>
      <c r="AF223" s="297"/>
      <c r="AG223" s="297"/>
      <c r="AH223" s="297"/>
      <c r="AI223" s="297"/>
      <c r="AJ223" s="297"/>
      <c r="AK223" s="297"/>
      <c r="AL223" s="297"/>
      <c r="AM223" s="297"/>
      <c r="AO223" s="297"/>
      <c r="AP223" s="297"/>
      <c r="AQ223" s="297"/>
      <c r="AR223" s="297"/>
      <c r="AS223" s="297"/>
      <c r="AT223" s="297"/>
      <c r="AU223" s="297"/>
      <c r="AV223" s="297"/>
      <c r="AW223" s="297"/>
    </row>
    <row r="224" spans="1:49" x14ac:dyDescent="0.45">
      <c r="A224" s="295">
        <v>16163</v>
      </c>
      <c r="B224" s="12">
        <v>-0.01</v>
      </c>
      <c r="C224" s="5">
        <v>-9.1000000000000004E-3</v>
      </c>
      <c r="D224" s="5">
        <v>2E-3</v>
      </c>
      <c r="E224" s="5">
        <v>2.2833333333333334E-3</v>
      </c>
      <c r="F224" s="5">
        <v>2.3499999999999997E-3</v>
      </c>
      <c r="G224" s="5">
        <v>2.316666666666667E-3</v>
      </c>
      <c r="H224" s="5">
        <v>2.4916666666666668E-3</v>
      </c>
      <c r="I224" s="5">
        <f t="shared" si="33"/>
        <v>-1.2E-2</v>
      </c>
      <c r="J224" s="5">
        <f t="shared" si="37"/>
        <v>-1.2316666666666667E-2</v>
      </c>
      <c r="K224" s="5">
        <f t="shared" si="38"/>
        <v>-1.1591666666666667E-2</v>
      </c>
      <c r="L224" s="8">
        <f t="shared" si="35"/>
        <v>7.944993555833002E-2</v>
      </c>
      <c r="M224" s="8">
        <f t="shared" si="36"/>
        <v>2.4E-2</v>
      </c>
      <c r="N224" s="8">
        <f t="shared" si="28"/>
        <v>2.7800000000000005E-2</v>
      </c>
      <c r="O224" s="296">
        <f t="shared" si="34"/>
        <v>5.544993555833002E-2</v>
      </c>
      <c r="P224" s="8">
        <f t="shared" si="29"/>
        <v>5.1649935558330015E-2</v>
      </c>
      <c r="Q224" s="8">
        <f t="shared" si="30"/>
        <v>0.15687459671715165</v>
      </c>
      <c r="R224" s="8">
        <f t="shared" si="31"/>
        <v>2.9900000000000003E-2</v>
      </c>
      <c r="S224" s="296">
        <f t="shared" si="32"/>
        <v>0.12697459671715164</v>
      </c>
      <c r="U224" s="297"/>
      <c r="V224" s="297"/>
      <c r="W224" s="297"/>
      <c r="X224" s="297"/>
      <c r="Y224" s="297"/>
      <c r="Z224" s="297"/>
      <c r="AA224" s="297"/>
      <c r="AB224" s="297"/>
      <c r="AC224" s="297"/>
      <c r="AE224" s="297"/>
      <c r="AF224" s="297"/>
      <c r="AG224" s="297"/>
      <c r="AH224" s="297"/>
      <c r="AI224" s="297"/>
      <c r="AJ224" s="297"/>
      <c r="AK224" s="297"/>
      <c r="AL224" s="297"/>
      <c r="AM224" s="297"/>
      <c r="AO224" s="297"/>
      <c r="AP224" s="297"/>
      <c r="AQ224" s="297"/>
      <c r="AR224" s="297"/>
      <c r="AS224" s="297"/>
      <c r="AT224" s="297"/>
      <c r="AU224" s="297"/>
      <c r="AV224" s="297"/>
      <c r="AW224" s="297"/>
    </row>
    <row r="225" spans="1:49" x14ac:dyDescent="0.45">
      <c r="A225" s="295">
        <v>16193</v>
      </c>
      <c r="B225" s="12">
        <v>5.0500000000000003E-2</v>
      </c>
      <c r="C225" s="5">
        <v>3.0099999999999998E-2</v>
      </c>
      <c r="D225" s="5">
        <v>2.2000000000000001E-3</v>
      </c>
      <c r="E225" s="5">
        <v>2.2750000000000001E-3</v>
      </c>
      <c r="F225" s="5">
        <v>2.3416666666666668E-3</v>
      </c>
      <c r="G225" s="5">
        <v>2.3083333333333332E-3</v>
      </c>
      <c r="H225" s="5">
        <v>2.4916666666666668E-3</v>
      </c>
      <c r="I225" s="5">
        <f t="shared" si="33"/>
        <v>4.8300000000000003E-2</v>
      </c>
      <c r="J225" s="5">
        <f t="shared" si="37"/>
        <v>4.8191666666666667E-2</v>
      </c>
      <c r="K225" s="5">
        <f t="shared" si="38"/>
        <v>2.7608333333333332E-2</v>
      </c>
      <c r="L225" s="8">
        <f t="shared" si="35"/>
        <v>7.4641923146347544E-2</v>
      </c>
      <c r="M225" s="8">
        <f t="shared" si="36"/>
        <v>2.64E-2</v>
      </c>
      <c r="N225" s="8">
        <f t="shared" si="28"/>
        <v>2.7699999999999999E-2</v>
      </c>
      <c r="O225" s="296">
        <f t="shared" si="34"/>
        <v>4.8241923146347544E-2</v>
      </c>
      <c r="P225" s="8">
        <f t="shared" si="29"/>
        <v>4.6941923146347542E-2</v>
      </c>
      <c r="Q225" s="8">
        <f t="shared" si="30"/>
        <v>0.15173144107310144</v>
      </c>
      <c r="R225" s="8">
        <f t="shared" si="31"/>
        <v>2.9900000000000003E-2</v>
      </c>
      <c r="S225" s="296">
        <f t="shared" si="32"/>
        <v>0.12183144107310143</v>
      </c>
      <c r="U225" s="297"/>
      <c r="V225" s="297"/>
      <c r="W225" s="297"/>
      <c r="X225" s="297"/>
      <c r="Y225" s="297"/>
      <c r="Z225" s="297"/>
      <c r="AA225" s="297"/>
      <c r="AB225" s="297"/>
      <c r="AC225" s="297"/>
      <c r="AE225" s="297"/>
      <c r="AF225" s="297"/>
      <c r="AG225" s="297"/>
      <c r="AH225" s="297"/>
      <c r="AI225" s="297"/>
      <c r="AJ225" s="297"/>
      <c r="AK225" s="297"/>
      <c r="AL225" s="297"/>
      <c r="AM225" s="297"/>
      <c r="AO225" s="297"/>
      <c r="AP225" s="297"/>
      <c r="AQ225" s="297"/>
      <c r="AR225" s="297"/>
      <c r="AS225" s="297"/>
      <c r="AT225" s="297"/>
      <c r="AU225" s="297"/>
      <c r="AV225" s="297"/>
      <c r="AW225" s="297"/>
    </row>
    <row r="226" spans="1:49" x14ac:dyDescent="0.45">
      <c r="A226" s="295">
        <v>16224</v>
      </c>
      <c r="B226" s="12">
        <v>5.4300000000000001E-2</v>
      </c>
      <c r="C226" s="5">
        <v>5.2600000000000001E-2</v>
      </c>
      <c r="D226" s="5">
        <v>2E-3</v>
      </c>
      <c r="E226" s="5">
        <v>2.2750000000000001E-3</v>
      </c>
      <c r="F226" s="5">
        <v>2.3416666666666668E-3</v>
      </c>
      <c r="G226" s="5">
        <v>2.3083333333333332E-3</v>
      </c>
      <c r="H226" s="5">
        <v>2.4916666666666668E-3</v>
      </c>
      <c r="I226" s="5">
        <f t="shared" si="33"/>
        <v>5.2299999999999999E-2</v>
      </c>
      <c r="J226" s="5">
        <f t="shared" si="37"/>
        <v>5.1991666666666665E-2</v>
      </c>
      <c r="K226" s="5">
        <f t="shared" si="38"/>
        <v>5.0108333333333331E-2</v>
      </c>
      <c r="L226" s="8">
        <f t="shared" si="35"/>
        <v>0.10828032825314926</v>
      </c>
      <c r="M226" s="8">
        <f t="shared" si="36"/>
        <v>2.4E-2</v>
      </c>
      <c r="N226" s="8">
        <f t="shared" si="28"/>
        <v>2.7699999999999999E-2</v>
      </c>
      <c r="O226" s="296">
        <f t="shared" si="34"/>
        <v>8.4280328253149267E-2</v>
      </c>
      <c r="P226" s="8">
        <f t="shared" si="29"/>
        <v>8.0580328253149258E-2</v>
      </c>
      <c r="Q226" s="8">
        <f t="shared" si="30"/>
        <v>0.15041992301532203</v>
      </c>
      <c r="R226" s="8">
        <f t="shared" si="31"/>
        <v>2.9900000000000003E-2</v>
      </c>
      <c r="S226" s="296">
        <f t="shared" si="32"/>
        <v>0.12051992301532202</v>
      </c>
      <c r="U226" s="297"/>
      <c r="V226" s="297"/>
      <c r="W226" s="297"/>
      <c r="X226" s="297"/>
      <c r="Y226" s="297"/>
      <c r="Z226" s="297"/>
      <c r="AA226" s="297"/>
      <c r="AB226" s="297"/>
      <c r="AC226" s="297"/>
      <c r="AE226" s="297"/>
      <c r="AF226" s="297"/>
      <c r="AG226" s="297"/>
      <c r="AH226" s="297"/>
      <c r="AI226" s="297"/>
      <c r="AJ226" s="297"/>
      <c r="AK226" s="297"/>
      <c r="AL226" s="297"/>
      <c r="AM226" s="297"/>
      <c r="AO226" s="297"/>
      <c r="AP226" s="297"/>
      <c r="AQ226" s="297"/>
      <c r="AR226" s="297"/>
      <c r="AS226" s="297"/>
      <c r="AT226" s="297"/>
      <c r="AU226" s="297"/>
      <c r="AV226" s="297"/>
      <c r="AW226" s="297"/>
    </row>
    <row r="227" spans="1:49" x14ac:dyDescent="0.45">
      <c r="A227" s="295">
        <v>16254</v>
      </c>
      <c r="B227" s="12">
        <v>-1.9300000000000001E-2</v>
      </c>
      <c r="C227" s="5">
        <v>2.9000000000000002E-3</v>
      </c>
      <c r="D227" s="5">
        <v>2.0999999999999999E-3</v>
      </c>
      <c r="E227" s="5">
        <v>2.2666666666666668E-3</v>
      </c>
      <c r="F227" s="5">
        <v>2.3333333333333331E-3</v>
      </c>
      <c r="G227" s="5">
        <v>2.3E-3</v>
      </c>
      <c r="H227" s="5">
        <v>2.4666666666666669E-3</v>
      </c>
      <c r="I227" s="5">
        <f t="shared" si="33"/>
        <v>-2.1400000000000002E-2</v>
      </c>
      <c r="J227" s="5">
        <f t="shared" si="37"/>
        <v>-2.1600000000000001E-2</v>
      </c>
      <c r="K227" s="5">
        <f t="shared" si="38"/>
        <v>4.3333333333333331E-4</v>
      </c>
      <c r="L227" s="8">
        <f t="shared" si="35"/>
        <v>0.14723508329941248</v>
      </c>
      <c r="M227" s="8">
        <f t="shared" si="36"/>
        <v>2.52E-2</v>
      </c>
      <c r="N227" s="8">
        <f t="shared" si="28"/>
        <v>2.76E-2</v>
      </c>
      <c r="O227" s="296">
        <f t="shared" si="34"/>
        <v>0.12203508329941248</v>
      </c>
      <c r="P227" s="8">
        <f t="shared" si="29"/>
        <v>0.11963508329941248</v>
      </c>
      <c r="Q227" s="8">
        <f t="shared" si="30"/>
        <v>0.14938846462648581</v>
      </c>
      <c r="R227" s="8">
        <f t="shared" si="31"/>
        <v>2.9600000000000001E-2</v>
      </c>
      <c r="S227" s="296">
        <f t="shared" si="32"/>
        <v>0.1197884646264858</v>
      </c>
      <c r="U227" s="297"/>
      <c r="V227" s="297"/>
      <c r="W227" s="297"/>
      <c r="X227" s="297"/>
      <c r="Y227" s="297"/>
      <c r="Z227" s="297"/>
      <c r="AA227" s="297"/>
      <c r="AB227" s="297"/>
      <c r="AC227" s="297"/>
      <c r="AE227" s="297"/>
      <c r="AF227" s="297"/>
      <c r="AG227" s="297"/>
      <c r="AH227" s="297"/>
      <c r="AI227" s="297"/>
      <c r="AJ227" s="297"/>
      <c r="AK227" s="297"/>
      <c r="AL227" s="297"/>
      <c r="AM227" s="297"/>
      <c r="AO227" s="297"/>
      <c r="AP227" s="297"/>
      <c r="AQ227" s="297"/>
      <c r="AR227" s="297"/>
      <c r="AS227" s="297"/>
      <c r="AT227" s="297"/>
      <c r="AU227" s="297"/>
      <c r="AV227" s="297"/>
      <c r="AW227" s="297"/>
    </row>
    <row r="228" spans="1:49" x14ac:dyDescent="0.45">
      <c r="A228" s="295">
        <v>16285</v>
      </c>
      <c r="B228" s="12">
        <v>1.5699999999999999E-2</v>
      </c>
      <c r="C228" s="5">
        <v>3.5700000000000003E-2</v>
      </c>
      <c r="D228" s="5">
        <v>2.0999999999999999E-3</v>
      </c>
      <c r="E228" s="5">
        <v>2.2583333333333331E-3</v>
      </c>
      <c r="F228" s="5">
        <v>2.3250000000000002E-3</v>
      </c>
      <c r="G228" s="5">
        <v>2.2916666666666667E-3</v>
      </c>
      <c r="H228" s="5">
        <v>2.4499999999999999E-3</v>
      </c>
      <c r="I228" s="5">
        <f t="shared" si="33"/>
        <v>1.3599999999999999E-2</v>
      </c>
      <c r="J228" s="5">
        <f t="shared" si="37"/>
        <v>1.3408333333333331E-2</v>
      </c>
      <c r="K228" s="5">
        <f t="shared" si="38"/>
        <v>3.3250000000000002E-2</v>
      </c>
      <c r="L228" s="8">
        <f t="shared" si="35"/>
        <v>0.14565595723843594</v>
      </c>
      <c r="M228" s="8">
        <f t="shared" si="36"/>
        <v>2.52E-2</v>
      </c>
      <c r="N228" s="8">
        <f t="shared" si="28"/>
        <v>2.75E-2</v>
      </c>
      <c r="O228" s="296">
        <f t="shared" si="34"/>
        <v>0.12045595723843594</v>
      </c>
      <c r="P228" s="8">
        <f t="shared" si="29"/>
        <v>0.11815595723843594</v>
      </c>
      <c r="Q228" s="8">
        <f t="shared" si="30"/>
        <v>0.17805208591157973</v>
      </c>
      <c r="R228" s="8">
        <f t="shared" si="31"/>
        <v>2.9399999999999999E-2</v>
      </c>
      <c r="S228" s="296">
        <f t="shared" si="32"/>
        <v>0.14865208591157972</v>
      </c>
      <c r="U228" s="297"/>
      <c r="V228" s="297"/>
      <c r="W228" s="297"/>
      <c r="X228" s="297"/>
      <c r="Y228" s="297"/>
      <c r="Z228" s="297"/>
      <c r="AA228" s="297"/>
      <c r="AB228" s="297"/>
      <c r="AC228" s="297"/>
      <c r="AE228" s="297"/>
      <c r="AF228" s="297"/>
      <c r="AG228" s="297"/>
      <c r="AH228" s="297"/>
      <c r="AI228" s="297"/>
      <c r="AJ228" s="297"/>
      <c r="AK228" s="297"/>
      <c r="AL228" s="297"/>
      <c r="AM228" s="297"/>
      <c r="AO228" s="297"/>
      <c r="AP228" s="297"/>
      <c r="AQ228" s="297"/>
      <c r="AR228" s="297"/>
      <c r="AS228" s="297"/>
      <c r="AT228" s="297"/>
      <c r="AU228" s="297"/>
      <c r="AV228" s="297"/>
      <c r="AW228" s="297"/>
    </row>
    <row r="229" spans="1:49" x14ac:dyDescent="0.45">
      <c r="A229" s="295">
        <v>16316</v>
      </c>
      <c r="B229" s="12">
        <v>-8.0000000000000004E-4</v>
      </c>
      <c r="C229" s="5">
        <v>-1.5000000000000003E-2</v>
      </c>
      <c r="D229" s="5">
        <v>2E-3</v>
      </c>
      <c r="E229" s="5">
        <v>2.2666666666666668E-3</v>
      </c>
      <c r="F229" s="5">
        <v>2.3250000000000002E-3</v>
      </c>
      <c r="G229" s="5">
        <v>2.2958333333333338E-3</v>
      </c>
      <c r="H229" s="5">
        <v>2.4416666666666666E-3</v>
      </c>
      <c r="I229" s="5">
        <f t="shared" si="33"/>
        <v>-2.8E-3</v>
      </c>
      <c r="J229" s="5">
        <f t="shared" si="37"/>
        <v>-3.0958333333333337E-3</v>
      </c>
      <c r="K229" s="5">
        <f t="shared" si="38"/>
        <v>-1.7441666666666668E-2</v>
      </c>
      <c r="L229" s="8">
        <f t="shared" si="35"/>
        <v>0.11540429939846564</v>
      </c>
      <c r="M229" s="8">
        <f t="shared" si="36"/>
        <v>2.4E-2</v>
      </c>
      <c r="N229" s="8">
        <f t="shared" si="28"/>
        <v>2.7550000000000005E-2</v>
      </c>
      <c r="O229" s="296">
        <f t="shared" si="34"/>
        <v>9.1404299398465644E-2</v>
      </c>
      <c r="P229" s="8">
        <f t="shared" si="29"/>
        <v>8.7854299398465632E-2</v>
      </c>
      <c r="Q229" s="8">
        <f t="shared" si="30"/>
        <v>0.12407372335842859</v>
      </c>
      <c r="R229" s="8">
        <f t="shared" si="31"/>
        <v>2.93E-2</v>
      </c>
      <c r="S229" s="296">
        <f t="shared" si="32"/>
        <v>9.4773723358428597E-2</v>
      </c>
      <c r="U229" s="297"/>
      <c r="V229" s="297"/>
      <c r="W229" s="297"/>
      <c r="X229" s="297"/>
      <c r="Y229" s="297"/>
      <c r="Z229" s="297"/>
      <c r="AA229" s="297"/>
      <c r="AB229" s="297"/>
      <c r="AC229" s="297"/>
      <c r="AE229" s="297"/>
      <c r="AF229" s="297"/>
      <c r="AG229" s="297"/>
      <c r="AH229" s="297"/>
      <c r="AI229" s="297"/>
      <c r="AJ229" s="297"/>
      <c r="AK229" s="297"/>
      <c r="AL229" s="297"/>
      <c r="AM229" s="297"/>
      <c r="AO229" s="297"/>
      <c r="AP229" s="297"/>
      <c r="AQ229" s="297"/>
      <c r="AR229" s="297"/>
      <c r="AS229" s="297"/>
      <c r="AT229" s="297"/>
      <c r="AU229" s="297"/>
      <c r="AV229" s="297"/>
      <c r="AW229" s="297"/>
    </row>
    <row r="230" spans="1:49" x14ac:dyDescent="0.45">
      <c r="A230" s="295">
        <v>16346</v>
      </c>
      <c r="B230" s="12">
        <v>2.3E-3</v>
      </c>
      <c r="C230" s="5">
        <v>1.3899999999999999E-2</v>
      </c>
      <c r="D230" s="5">
        <v>2.0999999999999999E-3</v>
      </c>
      <c r="E230" s="5">
        <v>2.2666666666666668E-3</v>
      </c>
      <c r="F230" s="5">
        <v>2.3416666666666668E-3</v>
      </c>
      <c r="G230" s="5">
        <v>2.3041666666666666E-3</v>
      </c>
      <c r="H230" s="5">
        <v>2.4499999999999999E-3</v>
      </c>
      <c r="I230" s="5">
        <f t="shared" si="33"/>
        <v>2.0000000000000009E-4</v>
      </c>
      <c r="J230" s="5">
        <f t="shared" si="37"/>
        <v>-4.1666666666666415E-6</v>
      </c>
      <c r="K230" s="5">
        <f t="shared" si="38"/>
        <v>1.1449999999999998E-2</v>
      </c>
      <c r="L230" s="8">
        <f t="shared" si="35"/>
        <v>0.13017562604840505</v>
      </c>
      <c r="M230" s="8">
        <f t="shared" si="36"/>
        <v>2.52E-2</v>
      </c>
      <c r="N230" s="8">
        <f t="shared" si="28"/>
        <v>2.7650000000000001E-2</v>
      </c>
      <c r="O230" s="296">
        <f t="shared" si="34"/>
        <v>0.10497562604840505</v>
      </c>
      <c r="P230" s="8">
        <f t="shared" si="29"/>
        <v>0.10252562604840504</v>
      </c>
      <c r="Q230" s="8">
        <f t="shared" si="30"/>
        <v>0.1304288316932265</v>
      </c>
      <c r="R230" s="8">
        <f t="shared" si="31"/>
        <v>2.9399999999999999E-2</v>
      </c>
      <c r="S230" s="296">
        <f t="shared" si="32"/>
        <v>0.1010288316932265</v>
      </c>
      <c r="U230" s="297"/>
      <c r="V230" s="297"/>
      <c r="W230" s="297"/>
      <c r="X230" s="297"/>
      <c r="Y230" s="297"/>
      <c r="Z230" s="297"/>
      <c r="AA230" s="297"/>
      <c r="AB230" s="297"/>
      <c r="AC230" s="297"/>
      <c r="AE230" s="297"/>
      <c r="AF230" s="297"/>
      <c r="AG230" s="297"/>
      <c r="AH230" s="297"/>
      <c r="AI230" s="297"/>
      <c r="AJ230" s="297"/>
      <c r="AK230" s="297"/>
      <c r="AL230" s="297"/>
      <c r="AM230" s="297"/>
      <c r="AO230" s="297"/>
      <c r="AP230" s="297"/>
      <c r="AQ230" s="297"/>
      <c r="AR230" s="297"/>
      <c r="AS230" s="297"/>
      <c r="AT230" s="297"/>
      <c r="AU230" s="297"/>
      <c r="AV230" s="297"/>
      <c r="AW230" s="297"/>
    </row>
    <row r="231" spans="1:49" x14ac:dyDescent="0.45">
      <c r="A231" s="295">
        <v>16377</v>
      </c>
      <c r="B231" s="12">
        <v>1.3299999999999999E-2</v>
      </c>
      <c r="C231" s="5">
        <v>-1.3000000000000001E-2</v>
      </c>
      <c r="D231" s="5">
        <v>2E-3</v>
      </c>
      <c r="E231" s="5">
        <v>2.2666666666666668E-3</v>
      </c>
      <c r="F231" s="5">
        <v>2.3333333333333331E-3</v>
      </c>
      <c r="G231" s="5">
        <v>2.3E-3</v>
      </c>
      <c r="H231" s="5">
        <v>2.4666666666666669E-3</v>
      </c>
      <c r="I231" s="5">
        <f t="shared" si="33"/>
        <v>1.1299999999999999E-2</v>
      </c>
      <c r="J231" s="5">
        <f t="shared" si="37"/>
        <v>1.0999999999999999E-2</v>
      </c>
      <c r="K231" s="5">
        <f t="shared" si="38"/>
        <v>-1.5466666666666668E-2</v>
      </c>
      <c r="L231" s="8">
        <f t="shared" si="35"/>
        <v>0.22534449162727266</v>
      </c>
      <c r="M231" s="8">
        <f t="shared" si="36"/>
        <v>2.4E-2</v>
      </c>
      <c r="N231" s="8">
        <f t="shared" si="28"/>
        <v>2.76E-2</v>
      </c>
      <c r="O231" s="296">
        <f t="shared" si="34"/>
        <v>0.20134449162727266</v>
      </c>
      <c r="P231" s="8">
        <f t="shared" si="29"/>
        <v>0.19774449162727264</v>
      </c>
      <c r="Q231" s="8">
        <f t="shared" si="30"/>
        <v>0.20946694512868791</v>
      </c>
      <c r="R231" s="8">
        <f t="shared" si="31"/>
        <v>2.9600000000000001E-2</v>
      </c>
      <c r="S231" s="296">
        <f t="shared" si="32"/>
        <v>0.17986694512868789</v>
      </c>
      <c r="U231" s="297"/>
      <c r="V231" s="297"/>
      <c r="W231" s="297"/>
      <c r="X231" s="297"/>
      <c r="Y231" s="297"/>
      <c r="Z231" s="297"/>
      <c r="AA231" s="297"/>
      <c r="AB231" s="297"/>
      <c r="AC231" s="297"/>
      <c r="AE231" s="297"/>
      <c r="AF231" s="297"/>
      <c r="AG231" s="297"/>
      <c r="AH231" s="297"/>
      <c r="AI231" s="297"/>
      <c r="AJ231" s="297"/>
      <c r="AK231" s="297"/>
      <c r="AL231" s="297"/>
      <c r="AM231" s="297"/>
      <c r="AO231" s="297"/>
      <c r="AP231" s="297"/>
      <c r="AQ231" s="297"/>
      <c r="AR231" s="297"/>
      <c r="AS231" s="297"/>
      <c r="AT231" s="297"/>
      <c r="AU231" s="297"/>
      <c r="AV231" s="297"/>
      <c r="AW231" s="297"/>
    </row>
    <row r="232" spans="1:49" x14ac:dyDescent="0.45">
      <c r="A232" s="295">
        <v>16407</v>
      </c>
      <c r="B232" s="12">
        <v>3.7400000000000003E-2</v>
      </c>
      <c r="C232" s="5">
        <v>3.2399999999999998E-2</v>
      </c>
      <c r="D232" s="5">
        <v>2E-3</v>
      </c>
      <c r="E232" s="5">
        <v>2.2500000000000003E-3</v>
      </c>
      <c r="F232" s="5">
        <v>2.3E-3</v>
      </c>
      <c r="G232" s="5">
        <v>2.2749999999999997E-3</v>
      </c>
      <c r="H232" s="5">
        <v>2.4750000000000002E-3</v>
      </c>
      <c r="I232" s="5">
        <f t="shared" si="33"/>
        <v>3.5400000000000001E-2</v>
      </c>
      <c r="J232" s="5">
        <f t="shared" si="37"/>
        <v>3.5125000000000003E-2</v>
      </c>
      <c r="K232" s="5">
        <f t="shared" si="38"/>
        <v>2.9924999999999997E-2</v>
      </c>
      <c r="L232" s="8">
        <f t="shared" si="35"/>
        <v>0.1972990257267897</v>
      </c>
      <c r="M232" s="8">
        <f t="shared" si="36"/>
        <v>2.4E-2</v>
      </c>
      <c r="N232" s="8">
        <f t="shared" ref="N232:N295" si="39">G232*12</f>
        <v>2.7299999999999998E-2</v>
      </c>
      <c r="O232" s="296">
        <f t="shared" si="34"/>
        <v>0.17329902572678971</v>
      </c>
      <c r="P232" s="8">
        <f t="shared" ref="P232:P295" si="40">L232-N232</f>
        <v>0.16999902572678971</v>
      </c>
      <c r="Q232" s="8">
        <f t="shared" ref="Q232:Q295" si="41">((1+C221)*(1+C222)*(1+C223)*(1+C224)*(1+C225)*(1+C226)*(1+C227)*(1+C228)*(1+C229)*(1+C230)*(1+C231)*(1+C232))-1</f>
        <v>0.18042510318666793</v>
      </c>
      <c r="R232" s="8">
        <f t="shared" ref="R232:R295" si="42">H232*12</f>
        <v>2.9700000000000004E-2</v>
      </c>
      <c r="S232" s="296">
        <f t="shared" ref="S232:S295" si="43">Q232-R232</f>
        <v>0.15072510318666793</v>
      </c>
      <c r="U232" s="297"/>
      <c r="V232" s="297"/>
      <c r="W232" s="297"/>
      <c r="X232" s="297"/>
      <c r="Y232" s="297"/>
      <c r="Z232" s="297"/>
      <c r="AA232" s="297"/>
      <c r="AB232" s="297"/>
      <c r="AC232" s="297"/>
      <c r="AE232" s="297"/>
      <c r="AF232" s="297"/>
      <c r="AG232" s="297"/>
      <c r="AH232" s="297"/>
      <c r="AI232" s="297"/>
      <c r="AJ232" s="297"/>
      <c r="AK232" s="297"/>
      <c r="AL232" s="297"/>
      <c r="AM232" s="297"/>
      <c r="AO232" s="297"/>
      <c r="AP232" s="297"/>
      <c r="AQ232" s="297"/>
      <c r="AR232" s="297"/>
      <c r="AS232" s="297"/>
      <c r="AT232" s="297"/>
      <c r="AU232" s="297"/>
      <c r="AV232" s="297"/>
      <c r="AW232" s="297"/>
    </row>
    <row r="233" spans="1:49" x14ac:dyDescent="0.45">
      <c r="A233" s="295">
        <v>16438</v>
      </c>
      <c r="B233" s="12">
        <v>1.5800000000000002E-2</v>
      </c>
      <c r="C233" s="5">
        <v>4.9699999999999994E-2</v>
      </c>
      <c r="D233" s="5">
        <v>2.0999999999999999E-3</v>
      </c>
      <c r="E233" s="5">
        <v>2.2416666666666665E-3</v>
      </c>
      <c r="F233" s="5">
        <v>2.3E-3</v>
      </c>
      <c r="G233" s="5">
        <v>2.270833333333333E-3</v>
      </c>
      <c r="H233" s="5">
        <v>2.4916666666666668E-3</v>
      </c>
      <c r="I233" s="5">
        <f t="shared" si="33"/>
        <v>1.3700000000000002E-2</v>
      </c>
      <c r="J233" s="5">
        <f t="shared" si="37"/>
        <v>1.3529166666666669E-2</v>
      </c>
      <c r="K233" s="5">
        <f t="shared" si="38"/>
        <v>4.7208333333333324E-2</v>
      </c>
      <c r="L233" s="8">
        <f t="shared" si="35"/>
        <v>0.19576870546974035</v>
      </c>
      <c r="M233" s="8">
        <f t="shared" si="36"/>
        <v>2.52E-2</v>
      </c>
      <c r="N233" s="8">
        <f t="shared" si="39"/>
        <v>2.7249999999999996E-2</v>
      </c>
      <c r="O233" s="296">
        <f t="shared" si="34"/>
        <v>0.17056870546974034</v>
      </c>
      <c r="P233" s="8">
        <f t="shared" si="40"/>
        <v>0.16851870546974035</v>
      </c>
      <c r="Q233" s="8">
        <f t="shared" si="41"/>
        <v>0.22609561727196237</v>
      </c>
      <c r="R233" s="8">
        <f t="shared" si="42"/>
        <v>2.9900000000000003E-2</v>
      </c>
      <c r="S233" s="296">
        <f t="shared" si="43"/>
        <v>0.19619561727196236</v>
      </c>
      <c r="U233" s="297"/>
      <c r="V233" s="297"/>
      <c r="W233" s="297"/>
      <c r="X233" s="297"/>
      <c r="Y233" s="297"/>
      <c r="Z233" s="297"/>
      <c r="AA233" s="297"/>
      <c r="AB233" s="297"/>
      <c r="AC233" s="297"/>
      <c r="AE233" s="297"/>
      <c r="AF233" s="297"/>
      <c r="AG233" s="297"/>
      <c r="AH233" s="297"/>
      <c r="AI233" s="297"/>
      <c r="AJ233" s="297"/>
      <c r="AK233" s="297"/>
      <c r="AL233" s="297"/>
      <c r="AM233" s="297"/>
      <c r="AO233" s="297"/>
      <c r="AP233" s="297"/>
      <c r="AQ233" s="297"/>
      <c r="AR233" s="297"/>
      <c r="AS233" s="297"/>
      <c r="AT233" s="297"/>
      <c r="AU233" s="297"/>
      <c r="AV233" s="297"/>
      <c r="AW233" s="297"/>
    </row>
    <row r="234" spans="1:49" x14ac:dyDescent="0.45">
      <c r="A234" s="295">
        <v>16469</v>
      </c>
      <c r="B234" s="12">
        <v>6.83E-2</v>
      </c>
      <c r="C234" s="5">
        <v>6.9499999999999992E-2</v>
      </c>
      <c r="D234" s="5">
        <v>1.8E-3</v>
      </c>
      <c r="E234" s="5">
        <v>2.2083333333333334E-3</v>
      </c>
      <c r="F234" s="5">
        <v>2.2750000000000001E-3</v>
      </c>
      <c r="G234" s="5">
        <v>2.241666666666667E-3</v>
      </c>
      <c r="H234" s="5">
        <v>2.4833333333333331E-3</v>
      </c>
      <c r="I234" s="5">
        <f t="shared" si="33"/>
        <v>6.6500000000000004E-2</v>
      </c>
      <c r="J234" s="5">
        <f t="shared" si="37"/>
        <v>6.605833333333333E-2</v>
      </c>
      <c r="K234" s="5">
        <f t="shared" si="38"/>
        <v>6.7016666666666655E-2</v>
      </c>
      <c r="L234" s="8">
        <f t="shared" si="35"/>
        <v>0.27209690106883433</v>
      </c>
      <c r="M234" s="8">
        <f t="shared" si="36"/>
        <v>2.1600000000000001E-2</v>
      </c>
      <c r="N234" s="8">
        <f t="shared" si="39"/>
        <v>2.6900000000000004E-2</v>
      </c>
      <c r="O234" s="296">
        <f t="shared" si="34"/>
        <v>0.25049690106883432</v>
      </c>
      <c r="P234" s="8">
        <f t="shared" si="40"/>
        <v>0.24519690106883432</v>
      </c>
      <c r="Q234" s="8">
        <f t="shared" si="41"/>
        <v>0.28824959492323776</v>
      </c>
      <c r="R234" s="8">
        <f t="shared" si="42"/>
        <v>2.9799999999999997E-2</v>
      </c>
      <c r="S234" s="296">
        <f t="shared" si="43"/>
        <v>0.25844959492323777</v>
      </c>
      <c r="U234" s="297"/>
      <c r="V234" s="297"/>
      <c r="W234" s="297"/>
      <c r="X234" s="297"/>
      <c r="Y234" s="297"/>
      <c r="Z234" s="297"/>
      <c r="AA234" s="297"/>
      <c r="AB234" s="297"/>
      <c r="AC234" s="297"/>
      <c r="AE234" s="297"/>
      <c r="AF234" s="297"/>
      <c r="AG234" s="297"/>
      <c r="AH234" s="297"/>
      <c r="AI234" s="297"/>
      <c r="AJ234" s="297"/>
      <c r="AK234" s="297"/>
      <c r="AL234" s="297"/>
      <c r="AM234" s="297"/>
      <c r="AO234" s="297"/>
      <c r="AP234" s="297"/>
      <c r="AQ234" s="297"/>
      <c r="AR234" s="297"/>
      <c r="AS234" s="297"/>
      <c r="AT234" s="297"/>
      <c r="AU234" s="297"/>
      <c r="AV234" s="297"/>
      <c r="AW234" s="297"/>
    </row>
    <row r="235" spans="1:49" x14ac:dyDescent="0.45">
      <c r="A235" s="295">
        <v>16497</v>
      </c>
      <c r="B235" s="12">
        <v>-4.41E-2</v>
      </c>
      <c r="C235" s="5">
        <v>-3.5699999999999996E-2</v>
      </c>
      <c r="D235" s="5">
        <v>2E-3</v>
      </c>
      <c r="E235" s="5">
        <v>2.1833333333333336E-3</v>
      </c>
      <c r="F235" s="5">
        <v>2.2666666666666668E-3</v>
      </c>
      <c r="G235" s="5">
        <v>2.2250000000000004E-3</v>
      </c>
      <c r="H235" s="5">
        <v>2.4750000000000002E-3</v>
      </c>
      <c r="I235" s="5">
        <f t="shared" si="33"/>
        <v>-4.6100000000000002E-2</v>
      </c>
      <c r="J235" s="5">
        <f t="shared" si="37"/>
        <v>-4.6324999999999998E-2</v>
      </c>
      <c r="K235" s="5">
        <f t="shared" si="38"/>
        <v>-3.8174999999999994E-2</v>
      </c>
      <c r="L235" s="8">
        <f t="shared" si="35"/>
        <v>0.19273901690210793</v>
      </c>
      <c r="M235" s="8">
        <f t="shared" si="36"/>
        <v>2.4E-2</v>
      </c>
      <c r="N235" s="8">
        <f t="shared" si="39"/>
        <v>2.6700000000000005E-2</v>
      </c>
      <c r="O235" s="296">
        <f t="shared" si="34"/>
        <v>0.16873901690210794</v>
      </c>
      <c r="P235" s="8">
        <f t="shared" si="40"/>
        <v>0.16603901690210793</v>
      </c>
      <c r="Q235" s="8">
        <f t="shared" si="41"/>
        <v>0.22947256966001439</v>
      </c>
      <c r="R235" s="8">
        <f t="shared" si="42"/>
        <v>2.9700000000000004E-2</v>
      </c>
      <c r="S235" s="296">
        <f t="shared" si="43"/>
        <v>0.19977256966001439</v>
      </c>
      <c r="U235" s="297"/>
      <c r="V235" s="297"/>
      <c r="W235" s="297"/>
      <c r="X235" s="297"/>
      <c r="Y235" s="297"/>
      <c r="Z235" s="297"/>
      <c r="AA235" s="297"/>
      <c r="AB235" s="297"/>
      <c r="AC235" s="297"/>
      <c r="AE235" s="297"/>
      <c r="AF235" s="297"/>
      <c r="AG235" s="297"/>
      <c r="AH235" s="297"/>
      <c r="AI235" s="297"/>
      <c r="AJ235" s="297"/>
      <c r="AK235" s="297"/>
      <c r="AL235" s="297"/>
      <c r="AM235" s="297"/>
      <c r="AO235" s="297"/>
      <c r="AP235" s="297"/>
      <c r="AQ235" s="297"/>
      <c r="AR235" s="297"/>
      <c r="AS235" s="297"/>
      <c r="AT235" s="297"/>
      <c r="AU235" s="297"/>
      <c r="AV235" s="297"/>
      <c r="AW235" s="297"/>
    </row>
    <row r="236" spans="1:49" x14ac:dyDescent="0.45">
      <c r="A236" s="295">
        <v>16528</v>
      </c>
      <c r="B236" s="12">
        <v>9.0200000000000002E-2</v>
      </c>
      <c r="C236" s="5">
        <v>0.1066</v>
      </c>
      <c r="D236" s="5">
        <v>1.9E-3</v>
      </c>
      <c r="E236" s="5">
        <v>2.1749999999999999E-3</v>
      </c>
      <c r="F236" s="5">
        <v>2.2750000000000001E-3</v>
      </c>
      <c r="G236" s="5">
        <v>2.225E-3</v>
      </c>
      <c r="H236" s="5">
        <v>2.4583333333333336E-3</v>
      </c>
      <c r="I236" s="5">
        <f t="shared" si="33"/>
        <v>8.8300000000000003E-2</v>
      </c>
      <c r="J236" s="5">
        <f t="shared" si="37"/>
        <v>8.7974999999999998E-2</v>
      </c>
      <c r="K236" s="5">
        <f t="shared" si="38"/>
        <v>0.10414166666666666</v>
      </c>
      <c r="L236" s="8">
        <f t="shared" si="35"/>
        <v>0.3134586628552305</v>
      </c>
      <c r="M236" s="8">
        <f t="shared" si="36"/>
        <v>2.2800000000000001E-2</v>
      </c>
      <c r="N236" s="8">
        <f t="shared" si="39"/>
        <v>2.6700000000000002E-2</v>
      </c>
      <c r="O236" s="296">
        <f t="shared" si="34"/>
        <v>0.29065866285523051</v>
      </c>
      <c r="P236" s="8">
        <f t="shared" si="40"/>
        <v>0.2867586628552305</v>
      </c>
      <c r="Q236" s="8">
        <f t="shared" si="41"/>
        <v>0.37302890865452842</v>
      </c>
      <c r="R236" s="8">
        <f t="shared" si="42"/>
        <v>2.9500000000000005E-2</v>
      </c>
      <c r="S236" s="296">
        <f t="shared" si="43"/>
        <v>0.3435289086545284</v>
      </c>
      <c r="U236" s="297"/>
      <c r="V236" s="297"/>
      <c r="W236" s="297"/>
      <c r="X236" s="297"/>
      <c r="Y236" s="297"/>
      <c r="Z236" s="297"/>
      <c r="AA236" s="297"/>
      <c r="AB236" s="297"/>
      <c r="AC236" s="297"/>
      <c r="AE236" s="297"/>
      <c r="AF236" s="297"/>
      <c r="AG236" s="297"/>
      <c r="AH236" s="297"/>
      <c r="AI236" s="297"/>
      <c r="AJ236" s="297"/>
      <c r="AK236" s="297"/>
      <c r="AL236" s="297"/>
      <c r="AM236" s="297"/>
      <c r="AO236" s="297"/>
      <c r="AP236" s="297"/>
      <c r="AQ236" s="297"/>
      <c r="AR236" s="297"/>
      <c r="AS236" s="297"/>
      <c r="AT236" s="297"/>
      <c r="AU236" s="297"/>
      <c r="AV236" s="297"/>
      <c r="AW236" s="297"/>
    </row>
    <row r="237" spans="1:49" x14ac:dyDescent="0.45">
      <c r="A237" s="295">
        <v>16558</v>
      </c>
      <c r="B237" s="12">
        <v>1.95E-2</v>
      </c>
      <c r="C237" s="5">
        <v>1.7100000000000001E-2</v>
      </c>
      <c r="D237" s="5">
        <v>1.9E-3</v>
      </c>
      <c r="E237" s="5">
        <v>2.1833333333333336E-3</v>
      </c>
      <c r="F237" s="5">
        <v>2.2666666666666668E-3</v>
      </c>
      <c r="G237" s="5">
        <v>2.2250000000000004E-3</v>
      </c>
      <c r="H237" s="5">
        <v>2.4333333333333334E-3</v>
      </c>
      <c r="I237" s="5">
        <f t="shared" si="33"/>
        <v>1.7600000000000001E-2</v>
      </c>
      <c r="J237" s="5">
        <f t="shared" si="37"/>
        <v>1.7274999999999999E-2</v>
      </c>
      <c r="K237" s="5">
        <f t="shared" si="38"/>
        <v>1.4666666666666668E-2</v>
      </c>
      <c r="L237" s="8">
        <f t="shared" si="35"/>
        <v>0.2746988165453661</v>
      </c>
      <c r="M237" s="8">
        <f t="shared" si="36"/>
        <v>2.2800000000000001E-2</v>
      </c>
      <c r="N237" s="8">
        <f t="shared" si="39"/>
        <v>2.6700000000000005E-2</v>
      </c>
      <c r="O237" s="296">
        <f t="shared" si="34"/>
        <v>0.25189881654536611</v>
      </c>
      <c r="P237" s="8">
        <f t="shared" si="40"/>
        <v>0.2479988165453661</v>
      </c>
      <c r="Q237" s="8">
        <f t="shared" si="41"/>
        <v>0.35570109988595311</v>
      </c>
      <c r="R237" s="8">
        <f t="shared" si="42"/>
        <v>2.92E-2</v>
      </c>
      <c r="S237" s="296">
        <f t="shared" si="43"/>
        <v>0.32650109988595311</v>
      </c>
      <c r="U237" s="297"/>
      <c r="V237" s="297"/>
      <c r="W237" s="297"/>
      <c r="X237" s="297"/>
      <c r="Y237" s="297"/>
      <c r="Z237" s="297"/>
      <c r="AA237" s="297"/>
      <c r="AB237" s="297"/>
      <c r="AC237" s="297"/>
      <c r="AE237" s="297"/>
      <c r="AF237" s="297"/>
      <c r="AG237" s="297"/>
      <c r="AH237" s="297"/>
      <c r="AI237" s="297"/>
      <c r="AJ237" s="297"/>
      <c r="AK237" s="297"/>
      <c r="AL237" s="297"/>
      <c r="AM237" s="297"/>
      <c r="AO237" s="297"/>
      <c r="AP237" s="297"/>
      <c r="AQ237" s="297"/>
      <c r="AR237" s="297"/>
      <c r="AS237" s="297"/>
      <c r="AT237" s="297"/>
      <c r="AU237" s="297"/>
      <c r="AV237" s="297"/>
      <c r="AW237" s="297"/>
    </row>
    <row r="238" spans="1:49" x14ac:dyDescent="0.45">
      <c r="A238" s="295">
        <v>16589</v>
      </c>
      <c r="B238" s="12">
        <v>-6.9999999999999999E-4</v>
      </c>
      <c r="C238" s="5">
        <v>6.6199999999999995E-2</v>
      </c>
      <c r="D238" s="5">
        <v>1.9E-3</v>
      </c>
      <c r="E238" s="5">
        <v>2.1749999999999999E-3</v>
      </c>
      <c r="F238" s="5">
        <v>2.2416666666666665E-3</v>
      </c>
      <c r="G238" s="5">
        <v>2.2083333333333334E-3</v>
      </c>
      <c r="H238" s="5">
        <v>2.3916666666666665E-3</v>
      </c>
      <c r="I238" s="5">
        <f t="shared" si="33"/>
        <v>-2.5999999999999999E-3</v>
      </c>
      <c r="J238" s="5">
        <f t="shared" si="37"/>
        <v>-2.9083333333333335E-3</v>
      </c>
      <c r="K238" s="5">
        <f t="shared" si="38"/>
        <v>6.3808333333333328E-2</v>
      </c>
      <c r="L238" s="8">
        <f t="shared" si="35"/>
        <v>0.208201202099767</v>
      </c>
      <c r="M238" s="8">
        <f t="shared" si="36"/>
        <v>2.2800000000000001E-2</v>
      </c>
      <c r="N238" s="8">
        <f t="shared" si="39"/>
        <v>2.6500000000000003E-2</v>
      </c>
      <c r="O238" s="296">
        <f t="shared" si="34"/>
        <v>0.18540120209976702</v>
      </c>
      <c r="P238" s="8">
        <f t="shared" si="40"/>
        <v>0.18170120209976701</v>
      </c>
      <c r="Q238" s="8">
        <f t="shared" si="41"/>
        <v>0.37321728358199069</v>
      </c>
      <c r="R238" s="8">
        <f t="shared" si="42"/>
        <v>2.8699999999999996E-2</v>
      </c>
      <c r="S238" s="296">
        <f t="shared" si="43"/>
        <v>0.34451728358199069</v>
      </c>
      <c r="U238" s="297"/>
      <c r="V238" s="297"/>
      <c r="W238" s="297"/>
      <c r="X238" s="297"/>
      <c r="Y238" s="297"/>
      <c r="Z238" s="297"/>
      <c r="AA238" s="297"/>
      <c r="AB238" s="297"/>
      <c r="AC238" s="297"/>
      <c r="AE238" s="297"/>
      <c r="AF238" s="297"/>
      <c r="AG238" s="297"/>
      <c r="AH238" s="297"/>
      <c r="AI238" s="297"/>
      <c r="AJ238" s="297"/>
      <c r="AK238" s="297"/>
      <c r="AL238" s="297"/>
      <c r="AM238" s="297"/>
      <c r="AO238" s="297"/>
      <c r="AP238" s="297"/>
      <c r="AQ238" s="297"/>
      <c r="AR238" s="297"/>
      <c r="AS238" s="297"/>
      <c r="AT238" s="297"/>
      <c r="AU238" s="297"/>
      <c r="AV238" s="297"/>
      <c r="AW238" s="297"/>
    </row>
    <row r="239" spans="1:49" x14ac:dyDescent="0.45">
      <c r="A239" s="295">
        <v>16619</v>
      </c>
      <c r="B239" s="12">
        <v>-1.7999999999999999E-2</v>
      </c>
      <c r="C239" s="5">
        <v>-5.0999999999999986E-3</v>
      </c>
      <c r="D239" s="5">
        <v>1.8E-3</v>
      </c>
      <c r="E239" s="5">
        <v>2.1666666666666666E-3</v>
      </c>
      <c r="F239" s="5">
        <v>2.2333333333333337E-3</v>
      </c>
      <c r="G239" s="5">
        <v>2.2000000000000001E-3</v>
      </c>
      <c r="H239" s="5">
        <v>2.3583333333333334E-3</v>
      </c>
      <c r="I239" s="5">
        <f t="shared" si="33"/>
        <v>-1.9799999999999998E-2</v>
      </c>
      <c r="J239" s="5">
        <f t="shared" si="37"/>
        <v>-2.0199999999999999E-2</v>
      </c>
      <c r="K239" s="5">
        <f t="shared" si="38"/>
        <v>-7.4583333333333324E-3</v>
      </c>
      <c r="L239" s="8">
        <f t="shared" si="35"/>
        <v>0.20980277400017511</v>
      </c>
      <c r="M239" s="8">
        <f t="shared" si="36"/>
        <v>2.1600000000000001E-2</v>
      </c>
      <c r="N239" s="8">
        <f t="shared" si="39"/>
        <v>2.64E-2</v>
      </c>
      <c r="O239" s="296">
        <f t="shared" si="34"/>
        <v>0.1882027740001751</v>
      </c>
      <c r="P239" s="8">
        <f t="shared" si="40"/>
        <v>0.1834027740001751</v>
      </c>
      <c r="Q239" s="8">
        <f t="shared" si="41"/>
        <v>0.36226331183141158</v>
      </c>
      <c r="R239" s="8">
        <f t="shared" si="42"/>
        <v>2.8299999999999999E-2</v>
      </c>
      <c r="S239" s="296">
        <f t="shared" si="43"/>
        <v>0.33396331183141159</v>
      </c>
      <c r="U239" s="297"/>
      <c r="V239" s="297"/>
      <c r="W239" s="297"/>
      <c r="X239" s="297"/>
      <c r="Y239" s="297"/>
      <c r="Z239" s="297"/>
      <c r="AA239" s="297"/>
      <c r="AB239" s="297"/>
      <c r="AC239" s="297"/>
      <c r="AE239" s="297"/>
      <c r="AF239" s="297"/>
      <c r="AG239" s="297"/>
      <c r="AH239" s="297"/>
      <c r="AI239" s="297"/>
      <c r="AJ239" s="297"/>
      <c r="AK239" s="297"/>
      <c r="AL239" s="297"/>
      <c r="AM239" s="297"/>
      <c r="AO239" s="297"/>
      <c r="AP239" s="297"/>
      <c r="AQ239" s="297"/>
      <c r="AR239" s="297"/>
      <c r="AS239" s="297"/>
      <c r="AT239" s="297"/>
      <c r="AU239" s="297"/>
      <c r="AV239" s="297"/>
      <c r="AW239" s="297"/>
    </row>
    <row r="240" spans="1:49" x14ac:dyDescent="0.45">
      <c r="A240" s="295">
        <v>16650</v>
      </c>
      <c r="B240" s="12">
        <v>6.4100000000000004E-2</v>
      </c>
      <c r="C240" s="5">
        <v>3.0999999999999999E-3</v>
      </c>
      <c r="D240" s="5">
        <v>1.9E-3</v>
      </c>
      <c r="E240" s="5">
        <v>2.1749999999999999E-3</v>
      </c>
      <c r="F240" s="5">
        <v>2.2500000000000003E-3</v>
      </c>
      <c r="G240" s="5">
        <v>2.2125000000000001E-3</v>
      </c>
      <c r="H240" s="5">
        <v>2.3333333333333335E-3</v>
      </c>
      <c r="I240" s="5">
        <f t="shared" si="33"/>
        <v>6.2200000000000005E-2</v>
      </c>
      <c r="J240" s="5">
        <f t="shared" si="37"/>
        <v>6.1887500000000005E-2</v>
      </c>
      <c r="K240" s="5">
        <f t="shared" si="38"/>
        <v>7.6666666666666636E-4</v>
      </c>
      <c r="L240" s="8">
        <f t="shared" si="35"/>
        <v>0.26745213332045448</v>
      </c>
      <c r="M240" s="8">
        <f t="shared" si="36"/>
        <v>2.2800000000000001E-2</v>
      </c>
      <c r="N240" s="8">
        <f t="shared" si="39"/>
        <v>2.6550000000000001E-2</v>
      </c>
      <c r="O240" s="296">
        <f t="shared" si="34"/>
        <v>0.24465213332045449</v>
      </c>
      <c r="P240" s="8">
        <f t="shared" si="40"/>
        <v>0.24090213332045449</v>
      </c>
      <c r="Q240" s="8">
        <f t="shared" si="41"/>
        <v>0.31938430829206244</v>
      </c>
      <c r="R240" s="8">
        <f t="shared" si="42"/>
        <v>2.8000000000000004E-2</v>
      </c>
      <c r="S240" s="296">
        <f t="shared" si="43"/>
        <v>0.29138430829206241</v>
      </c>
      <c r="U240" s="297"/>
      <c r="V240" s="297"/>
      <c r="W240" s="297"/>
      <c r="X240" s="297"/>
      <c r="Y240" s="297"/>
      <c r="Z240" s="297"/>
      <c r="AA240" s="297"/>
      <c r="AB240" s="297"/>
      <c r="AC240" s="297"/>
      <c r="AE240" s="297"/>
      <c r="AF240" s="297"/>
      <c r="AG240" s="297"/>
      <c r="AH240" s="297"/>
      <c r="AI240" s="297"/>
      <c r="AJ240" s="297"/>
      <c r="AK240" s="297"/>
      <c r="AL240" s="297"/>
      <c r="AM240" s="297"/>
      <c r="AO240" s="297"/>
      <c r="AP240" s="297"/>
      <c r="AQ240" s="297"/>
      <c r="AR240" s="297"/>
      <c r="AS240" s="297"/>
      <c r="AT240" s="297"/>
      <c r="AU240" s="297"/>
      <c r="AV240" s="297"/>
      <c r="AW240" s="297"/>
    </row>
    <row r="241" spans="1:49" x14ac:dyDescent="0.45">
      <c r="A241" s="295">
        <v>16681</v>
      </c>
      <c r="B241" s="12">
        <v>4.3799999999999999E-2</v>
      </c>
      <c r="C241" s="5">
        <v>7.3900000000000007E-2</v>
      </c>
      <c r="D241" s="5">
        <v>1.8E-3</v>
      </c>
      <c r="E241" s="5">
        <v>2.1833333333333336E-3</v>
      </c>
      <c r="F241" s="5">
        <v>2.2500000000000003E-3</v>
      </c>
      <c r="G241" s="5">
        <v>2.2166666666666667E-3</v>
      </c>
      <c r="H241" s="5">
        <v>2.3250000000000002E-3</v>
      </c>
      <c r="I241" s="5">
        <f t="shared" si="33"/>
        <v>4.1999999999999996E-2</v>
      </c>
      <c r="J241" s="5">
        <f t="shared" si="37"/>
        <v>4.1583333333333333E-2</v>
      </c>
      <c r="K241" s="5">
        <f t="shared" si="38"/>
        <v>7.1575000000000014E-2</v>
      </c>
      <c r="L241" s="8">
        <f t="shared" si="35"/>
        <v>0.32402575736578365</v>
      </c>
      <c r="M241" s="8">
        <f t="shared" si="36"/>
        <v>2.1600000000000001E-2</v>
      </c>
      <c r="N241" s="8">
        <f t="shared" si="39"/>
        <v>2.6599999999999999E-2</v>
      </c>
      <c r="O241" s="296">
        <f t="shared" si="34"/>
        <v>0.30242575736578364</v>
      </c>
      <c r="P241" s="8">
        <f t="shared" si="40"/>
        <v>0.29742575736578364</v>
      </c>
      <c r="Q241" s="8">
        <f t="shared" si="41"/>
        <v>0.4384637651521277</v>
      </c>
      <c r="R241" s="8">
        <f t="shared" si="42"/>
        <v>2.7900000000000001E-2</v>
      </c>
      <c r="S241" s="296">
        <f t="shared" si="43"/>
        <v>0.41056376515212772</v>
      </c>
      <c r="U241" s="297"/>
      <c r="V241" s="297"/>
      <c r="W241" s="297"/>
      <c r="X241" s="297"/>
      <c r="Y241" s="297"/>
      <c r="Z241" s="297"/>
      <c r="AA241" s="297"/>
      <c r="AB241" s="297"/>
      <c r="AC241" s="297"/>
      <c r="AE241" s="297"/>
      <c r="AF241" s="297"/>
      <c r="AG241" s="297"/>
      <c r="AH241" s="297"/>
      <c r="AI241" s="297"/>
      <c r="AJ241" s="297"/>
      <c r="AK241" s="297"/>
      <c r="AL241" s="297"/>
      <c r="AM241" s="297"/>
      <c r="AO241" s="297"/>
      <c r="AP241" s="297"/>
      <c r="AQ241" s="297"/>
      <c r="AR241" s="297"/>
      <c r="AS241" s="297"/>
      <c r="AT241" s="297"/>
      <c r="AU241" s="297"/>
      <c r="AV241" s="297"/>
      <c r="AW241" s="297"/>
    </row>
    <row r="242" spans="1:49" x14ac:dyDescent="0.45">
      <c r="A242" s="295">
        <v>16711</v>
      </c>
      <c r="B242" s="12">
        <v>3.2199999999999999E-2</v>
      </c>
      <c r="C242" s="5">
        <v>6.4100000000000004E-2</v>
      </c>
      <c r="D242" s="5">
        <v>1.9E-3</v>
      </c>
      <c r="E242" s="5">
        <v>2.1833333333333336E-3</v>
      </c>
      <c r="F242" s="5">
        <v>2.2500000000000003E-3</v>
      </c>
      <c r="G242" s="5">
        <v>2.2166666666666667E-3</v>
      </c>
      <c r="H242" s="5">
        <v>2.3250000000000002E-3</v>
      </c>
      <c r="I242" s="5">
        <f t="shared" si="33"/>
        <v>3.0300000000000001E-2</v>
      </c>
      <c r="J242" s="5">
        <f t="shared" si="37"/>
        <v>2.9983333333333334E-2</v>
      </c>
      <c r="K242" s="5">
        <f t="shared" si="38"/>
        <v>6.1775000000000004E-2</v>
      </c>
      <c r="L242" s="8">
        <f t="shared" si="35"/>
        <v>0.36352328320159777</v>
      </c>
      <c r="M242" s="8">
        <f t="shared" si="36"/>
        <v>2.2800000000000001E-2</v>
      </c>
      <c r="N242" s="8">
        <f t="shared" si="39"/>
        <v>2.6599999999999999E-2</v>
      </c>
      <c r="O242" s="296">
        <f t="shared" si="34"/>
        <v>0.34072328320159778</v>
      </c>
      <c r="P242" s="8">
        <f t="shared" si="40"/>
        <v>0.33692328320159776</v>
      </c>
      <c r="Q242" s="8">
        <f t="shared" si="41"/>
        <v>0.50968467550880714</v>
      </c>
      <c r="R242" s="8">
        <f t="shared" si="42"/>
        <v>2.7900000000000001E-2</v>
      </c>
      <c r="S242" s="296">
        <f t="shared" si="43"/>
        <v>0.48178467550880716</v>
      </c>
      <c r="U242" s="297"/>
      <c r="V242" s="297"/>
      <c r="W242" s="297"/>
      <c r="X242" s="297"/>
      <c r="Y242" s="297"/>
      <c r="Z242" s="297"/>
      <c r="AA242" s="297"/>
      <c r="AB242" s="297"/>
      <c r="AC242" s="297"/>
      <c r="AE242" s="297"/>
      <c r="AF242" s="297"/>
      <c r="AG242" s="297"/>
      <c r="AH242" s="297"/>
      <c r="AI242" s="297"/>
      <c r="AJ242" s="297"/>
      <c r="AK242" s="297"/>
      <c r="AL242" s="297"/>
      <c r="AM242" s="297"/>
      <c r="AO242" s="297"/>
      <c r="AP242" s="297"/>
      <c r="AQ242" s="297"/>
      <c r="AR242" s="297"/>
      <c r="AS242" s="297"/>
      <c r="AT242" s="297"/>
      <c r="AU242" s="297"/>
      <c r="AV242" s="297"/>
      <c r="AW242" s="297"/>
    </row>
    <row r="243" spans="1:49" x14ac:dyDescent="0.45">
      <c r="A243" s="295">
        <v>16742</v>
      </c>
      <c r="B243" s="12">
        <v>3.9600000000000003E-2</v>
      </c>
      <c r="C243" s="5">
        <v>4.7100000000000003E-2</v>
      </c>
      <c r="D243" s="5">
        <v>1.8E-3</v>
      </c>
      <c r="E243" s="5">
        <v>2.1833333333333336E-3</v>
      </c>
      <c r="F243" s="5">
        <v>2.2333333333333337E-3</v>
      </c>
      <c r="G243" s="5">
        <v>2.2083333333333334E-3</v>
      </c>
      <c r="H243" s="5">
        <v>2.3083333333333332E-3</v>
      </c>
      <c r="I243" s="5">
        <f t="shared" si="33"/>
        <v>3.78E-2</v>
      </c>
      <c r="J243" s="5">
        <f t="shared" si="37"/>
        <v>3.739166666666667E-2</v>
      </c>
      <c r="K243" s="5">
        <f t="shared" si="38"/>
        <v>4.4791666666666667E-2</v>
      </c>
      <c r="L243" s="8">
        <f t="shared" si="35"/>
        <v>0.39891325887336615</v>
      </c>
      <c r="M243" s="8">
        <f t="shared" si="36"/>
        <v>2.1600000000000001E-2</v>
      </c>
      <c r="N243" s="8">
        <f t="shared" si="39"/>
        <v>2.6500000000000003E-2</v>
      </c>
      <c r="O243" s="296">
        <f t="shared" si="34"/>
        <v>0.37731325887336614</v>
      </c>
      <c r="P243" s="8">
        <f t="shared" si="40"/>
        <v>0.37241325887336613</v>
      </c>
      <c r="Q243" s="8">
        <f t="shared" si="41"/>
        <v>0.60161177682398304</v>
      </c>
      <c r="R243" s="8">
        <f t="shared" si="42"/>
        <v>2.7699999999999999E-2</v>
      </c>
      <c r="S243" s="296">
        <f t="shared" si="43"/>
        <v>0.57391177682398309</v>
      </c>
      <c r="U243" s="297"/>
      <c r="V243" s="297"/>
      <c r="W243" s="297"/>
      <c r="X243" s="297"/>
      <c r="Y243" s="297"/>
      <c r="Z243" s="297"/>
      <c r="AA243" s="297"/>
      <c r="AB243" s="297"/>
      <c r="AC243" s="297"/>
      <c r="AE243" s="297"/>
      <c r="AF243" s="297"/>
      <c r="AG243" s="297"/>
      <c r="AH243" s="297"/>
      <c r="AI243" s="297"/>
      <c r="AJ243" s="297"/>
      <c r="AK243" s="297"/>
      <c r="AL243" s="297"/>
      <c r="AM243" s="297"/>
      <c r="AO243" s="297"/>
      <c r="AP243" s="297"/>
      <c r="AQ243" s="297"/>
      <c r="AR243" s="297"/>
      <c r="AS243" s="297"/>
      <c r="AT243" s="297"/>
      <c r="AU243" s="297"/>
      <c r="AV243" s="297"/>
      <c r="AW243" s="297"/>
    </row>
    <row r="244" spans="1:49" x14ac:dyDescent="0.45">
      <c r="A244" s="295">
        <v>16772</v>
      </c>
      <c r="B244" s="12">
        <v>1.1599999999999999E-2</v>
      </c>
      <c r="C244" s="5">
        <v>-1.1699999999999999E-2</v>
      </c>
      <c r="D244" s="5">
        <v>1.8E-3</v>
      </c>
      <c r="E244" s="5">
        <v>2.1749999999999999E-3</v>
      </c>
      <c r="F244" s="5">
        <v>2.2333333333333337E-3</v>
      </c>
      <c r="G244" s="5">
        <v>2.2041666666666668E-3</v>
      </c>
      <c r="H244" s="5">
        <v>2.2916666666666667E-3</v>
      </c>
      <c r="I244" s="5">
        <f t="shared" si="33"/>
        <v>9.7999999999999997E-3</v>
      </c>
      <c r="J244" s="5">
        <f t="shared" si="37"/>
        <v>9.3958333333333324E-3</v>
      </c>
      <c r="K244" s="5">
        <f t="shared" si="38"/>
        <v>-1.3991666666666666E-2</v>
      </c>
      <c r="L244" s="8">
        <f t="shared" si="35"/>
        <v>0.36412247221543881</v>
      </c>
      <c r="M244" s="8">
        <f t="shared" si="36"/>
        <v>2.1600000000000001E-2</v>
      </c>
      <c r="N244" s="8">
        <f t="shared" si="39"/>
        <v>2.6450000000000001E-2</v>
      </c>
      <c r="O244" s="296">
        <f t="shared" si="34"/>
        <v>0.3425224722154388</v>
      </c>
      <c r="P244" s="8">
        <f t="shared" si="40"/>
        <v>0.33767247221543883</v>
      </c>
      <c r="Q244" s="8">
        <f t="shared" si="41"/>
        <v>0.53319732568301315</v>
      </c>
      <c r="R244" s="8">
        <f t="shared" si="42"/>
        <v>2.75E-2</v>
      </c>
      <c r="S244" s="296">
        <f t="shared" si="43"/>
        <v>0.50569732568301318</v>
      </c>
      <c r="U244" s="297"/>
      <c r="V244" s="297"/>
      <c r="W244" s="297"/>
      <c r="X244" s="297"/>
      <c r="Y244" s="297"/>
      <c r="Z244" s="297"/>
      <c r="AA244" s="297"/>
      <c r="AB244" s="297"/>
      <c r="AC244" s="297"/>
      <c r="AE244" s="297"/>
      <c r="AF244" s="297"/>
      <c r="AG244" s="297"/>
      <c r="AH244" s="297"/>
      <c r="AI244" s="297"/>
      <c r="AJ244" s="297"/>
      <c r="AK244" s="297"/>
      <c r="AL244" s="297"/>
      <c r="AM244" s="297"/>
      <c r="AO244" s="297"/>
      <c r="AP244" s="297"/>
      <c r="AQ244" s="297"/>
      <c r="AR244" s="297"/>
      <c r="AS244" s="297"/>
      <c r="AT244" s="297"/>
      <c r="AU244" s="297"/>
      <c r="AV244" s="297"/>
      <c r="AW244" s="297"/>
    </row>
    <row r="245" spans="1:49" x14ac:dyDescent="0.45">
      <c r="A245" s="295">
        <v>16803</v>
      </c>
      <c r="B245" s="12">
        <v>7.1400000000000005E-2</v>
      </c>
      <c r="C245" s="5">
        <v>0.11989999999999998</v>
      </c>
      <c r="D245" s="5">
        <v>1.6999999999999999E-3</v>
      </c>
      <c r="E245" s="5">
        <v>2.1166666666666669E-3</v>
      </c>
      <c r="F245" s="5">
        <v>2.1833333333333336E-3</v>
      </c>
      <c r="G245" s="5">
        <v>2.1500000000000004E-3</v>
      </c>
      <c r="H245" s="5">
        <v>2.2416666666666665E-3</v>
      </c>
      <c r="I245" s="5">
        <f t="shared" si="33"/>
        <v>6.9700000000000012E-2</v>
      </c>
      <c r="J245" s="5">
        <f t="shared" si="37"/>
        <v>6.9250000000000006E-2</v>
      </c>
      <c r="K245" s="5">
        <f t="shared" si="38"/>
        <v>0.11765833333333331</v>
      </c>
      <c r="L245" s="8">
        <f t="shared" si="35"/>
        <v>0.43878796685530763</v>
      </c>
      <c r="M245" s="8">
        <f t="shared" si="36"/>
        <v>2.0399999999999998E-2</v>
      </c>
      <c r="N245" s="8">
        <f t="shared" si="39"/>
        <v>2.5800000000000003E-2</v>
      </c>
      <c r="O245" s="296">
        <f t="shared" si="34"/>
        <v>0.41838796685530766</v>
      </c>
      <c r="P245" s="8">
        <f t="shared" si="40"/>
        <v>0.41298796685530764</v>
      </c>
      <c r="Q245" s="8">
        <f t="shared" si="41"/>
        <v>0.63573181388244837</v>
      </c>
      <c r="R245" s="8">
        <f t="shared" si="42"/>
        <v>2.69E-2</v>
      </c>
      <c r="S245" s="296">
        <f t="shared" si="43"/>
        <v>0.60883181388244834</v>
      </c>
      <c r="U245" s="297"/>
      <c r="V245" s="297"/>
      <c r="W245" s="297"/>
      <c r="X245" s="297"/>
      <c r="Y245" s="297"/>
      <c r="Z245" s="297"/>
      <c r="AA245" s="297"/>
      <c r="AB245" s="297"/>
      <c r="AC245" s="297"/>
      <c r="AE245" s="297"/>
      <c r="AF245" s="297"/>
      <c r="AG245" s="297"/>
      <c r="AH245" s="297"/>
      <c r="AI245" s="297"/>
      <c r="AJ245" s="297"/>
      <c r="AK245" s="297"/>
      <c r="AL245" s="297"/>
      <c r="AM245" s="297"/>
      <c r="AO245" s="297"/>
      <c r="AP245" s="297"/>
      <c r="AQ245" s="297"/>
      <c r="AR245" s="297"/>
      <c r="AS245" s="297"/>
      <c r="AT245" s="297"/>
      <c r="AU245" s="297"/>
      <c r="AV245" s="297"/>
      <c r="AW245" s="297"/>
    </row>
    <row r="246" spans="1:49" x14ac:dyDescent="0.45">
      <c r="A246" s="295">
        <v>16834</v>
      </c>
      <c r="B246" s="12">
        <v>-6.4100000000000004E-2</v>
      </c>
      <c r="C246" s="5">
        <v>-6.4000000000000001E-2</v>
      </c>
      <c r="D246" s="5">
        <v>1.5E-3</v>
      </c>
      <c r="E246" s="5">
        <v>2.0666666666666667E-3</v>
      </c>
      <c r="F246" s="5">
        <v>2.1333333333333334E-3</v>
      </c>
      <c r="G246" s="5">
        <v>2.1000000000000003E-3</v>
      </c>
      <c r="H246" s="5">
        <v>2.225E-3</v>
      </c>
      <c r="I246" s="5">
        <f t="shared" si="33"/>
        <v>-6.5600000000000006E-2</v>
      </c>
      <c r="J246" s="5">
        <f t="shared" si="37"/>
        <v>-6.6200000000000009E-2</v>
      </c>
      <c r="K246" s="5">
        <f t="shared" si="38"/>
        <v>-6.6225000000000006E-2</v>
      </c>
      <c r="L246" s="8">
        <f t="shared" si="35"/>
        <v>0.26047145762415269</v>
      </c>
      <c r="M246" s="8">
        <f t="shared" si="36"/>
        <v>1.8000000000000002E-2</v>
      </c>
      <c r="N246" s="8">
        <f t="shared" si="39"/>
        <v>2.5200000000000004E-2</v>
      </c>
      <c r="O246" s="296">
        <f t="shared" si="34"/>
        <v>0.24247145762415268</v>
      </c>
      <c r="P246" s="8">
        <f t="shared" si="40"/>
        <v>0.23527145762415269</v>
      </c>
      <c r="Q246" s="8">
        <f t="shared" si="41"/>
        <v>0.43155210639922537</v>
      </c>
      <c r="R246" s="8">
        <f t="shared" si="42"/>
        <v>2.6700000000000002E-2</v>
      </c>
      <c r="S246" s="296">
        <f t="shared" si="43"/>
        <v>0.40485210639922536</v>
      </c>
      <c r="U246" s="297"/>
      <c r="V246" s="297"/>
      <c r="W246" s="297"/>
      <c r="X246" s="297"/>
      <c r="Y246" s="297"/>
      <c r="Z246" s="297"/>
      <c r="AA246" s="297"/>
      <c r="AB246" s="297"/>
      <c r="AC246" s="297"/>
      <c r="AE246" s="297"/>
      <c r="AF246" s="297"/>
      <c r="AG246" s="297"/>
      <c r="AH246" s="297"/>
      <c r="AI246" s="297"/>
      <c r="AJ246" s="297"/>
      <c r="AK246" s="297"/>
      <c r="AL246" s="297"/>
      <c r="AM246" s="297"/>
      <c r="AO246" s="297"/>
      <c r="AP246" s="297"/>
      <c r="AQ246" s="297"/>
      <c r="AR246" s="297"/>
      <c r="AS246" s="297"/>
      <c r="AT246" s="297"/>
      <c r="AU246" s="297"/>
      <c r="AV246" s="297"/>
      <c r="AW246" s="297"/>
    </row>
    <row r="247" spans="1:49" x14ac:dyDescent="0.45">
      <c r="A247" s="295">
        <v>16862</v>
      </c>
      <c r="B247" s="12">
        <v>4.8000000000000001E-2</v>
      </c>
      <c r="C247" s="5">
        <v>6.3100000000000003E-2</v>
      </c>
      <c r="D247" s="5">
        <v>1.6000000000000001E-3</v>
      </c>
      <c r="E247" s="5">
        <v>2.0583333333333335E-3</v>
      </c>
      <c r="F247" s="5">
        <v>2.1166666666666669E-3</v>
      </c>
      <c r="G247" s="5">
        <v>2.0874999999999999E-3</v>
      </c>
      <c r="H247" s="5">
        <v>2.2166666666666667E-3</v>
      </c>
      <c r="I247" s="5">
        <f t="shared" si="33"/>
        <v>4.6400000000000004E-2</v>
      </c>
      <c r="J247" s="5">
        <f t="shared" si="37"/>
        <v>4.5912500000000002E-2</v>
      </c>
      <c r="K247" s="5">
        <f t="shared" si="38"/>
        <v>6.0883333333333338E-2</v>
      </c>
      <c r="L247" s="8">
        <f t="shared" si="35"/>
        <v>0.38191661009531486</v>
      </c>
      <c r="M247" s="8">
        <f t="shared" si="36"/>
        <v>1.9200000000000002E-2</v>
      </c>
      <c r="N247" s="8">
        <f t="shared" si="39"/>
        <v>2.5049999999999999E-2</v>
      </c>
      <c r="O247" s="296">
        <f t="shared" si="34"/>
        <v>0.36271661009531486</v>
      </c>
      <c r="P247" s="8">
        <f t="shared" si="40"/>
        <v>0.35686661009531484</v>
      </c>
      <c r="Q247" s="8">
        <f t="shared" si="41"/>
        <v>0.57822570186976718</v>
      </c>
      <c r="R247" s="8">
        <f t="shared" si="42"/>
        <v>2.6599999999999999E-2</v>
      </c>
      <c r="S247" s="296">
        <f t="shared" si="43"/>
        <v>0.55162570186976723</v>
      </c>
      <c r="U247" s="297"/>
      <c r="V247" s="297"/>
      <c r="W247" s="297"/>
      <c r="X247" s="297"/>
      <c r="Y247" s="297"/>
      <c r="Z247" s="297"/>
      <c r="AA247" s="297"/>
      <c r="AB247" s="297"/>
      <c r="AC247" s="297"/>
      <c r="AE247" s="297"/>
      <c r="AF247" s="297"/>
      <c r="AG247" s="297"/>
      <c r="AH247" s="297"/>
      <c r="AI247" s="297"/>
      <c r="AJ247" s="297"/>
      <c r="AK247" s="297"/>
      <c r="AL247" s="297"/>
      <c r="AM247" s="297"/>
      <c r="AO247" s="297"/>
      <c r="AP247" s="297"/>
      <c r="AQ247" s="297"/>
      <c r="AR247" s="297"/>
      <c r="AS247" s="297"/>
      <c r="AT247" s="297"/>
      <c r="AU247" s="297"/>
      <c r="AV247" s="297"/>
      <c r="AW247" s="297"/>
    </row>
    <row r="248" spans="1:49" x14ac:dyDescent="0.45">
      <c r="A248" s="295">
        <v>16893</v>
      </c>
      <c r="B248" s="12">
        <v>3.9300000000000002E-2</v>
      </c>
      <c r="C248" s="5">
        <v>3.3800000000000004E-2</v>
      </c>
      <c r="D248" s="5">
        <v>1.6999999999999999E-3</v>
      </c>
      <c r="E248" s="5">
        <v>2.0499999999999997E-3</v>
      </c>
      <c r="F248" s="5">
        <v>2.1333333333333334E-3</v>
      </c>
      <c r="G248" s="5">
        <v>2.0916666666666666E-3</v>
      </c>
      <c r="H248" s="5">
        <v>2.2083333333333334E-3</v>
      </c>
      <c r="I248" s="5">
        <f t="shared" si="33"/>
        <v>3.7600000000000001E-2</v>
      </c>
      <c r="J248" s="5">
        <f t="shared" si="37"/>
        <v>3.7208333333333336E-2</v>
      </c>
      <c r="K248" s="5">
        <f t="shared" si="38"/>
        <v>3.1591666666666671E-2</v>
      </c>
      <c r="L248" s="8">
        <f t="shared" si="35"/>
        <v>0.31739674635118398</v>
      </c>
      <c r="M248" s="8">
        <f t="shared" si="36"/>
        <v>2.0399999999999998E-2</v>
      </c>
      <c r="N248" s="8">
        <f t="shared" si="39"/>
        <v>2.5099999999999997E-2</v>
      </c>
      <c r="O248" s="296">
        <f t="shared" si="34"/>
        <v>0.296996746351184</v>
      </c>
      <c r="P248" s="8">
        <f t="shared" si="40"/>
        <v>0.29229674635118397</v>
      </c>
      <c r="Q248" s="8">
        <f t="shared" si="41"/>
        <v>0.47439881672959117</v>
      </c>
      <c r="R248" s="8">
        <f t="shared" si="42"/>
        <v>2.6500000000000003E-2</v>
      </c>
      <c r="S248" s="296">
        <f t="shared" si="43"/>
        <v>0.44789881672959114</v>
      </c>
      <c r="U248" s="297"/>
      <c r="V248" s="297"/>
      <c r="W248" s="297"/>
      <c r="X248" s="297"/>
      <c r="Y248" s="297"/>
      <c r="Z248" s="297"/>
      <c r="AA248" s="297"/>
      <c r="AB248" s="297"/>
      <c r="AC248" s="297"/>
      <c r="AE248" s="297"/>
      <c r="AF248" s="297"/>
      <c r="AG248" s="297"/>
      <c r="AH248" s="297"/>
      <c r="AI248" s="297"/>
      <c r="AJ248" s="297"/>
      <c r="AK248" s="297"/>
      <c r="AL248" s="297"/>
      <c r="AM248" s="297"/>
      <c r="AO248" s="297"/>
      <c r="AP248" s="297"/>
      <c r="AQ248" s="297"/>
      <c r="AR248" s="297"/>
      <c r="AS248" s="297"/>
      <c r="AT248" s="297"/>
      <c r="AU248" s="297"/>
      <c r="AV248" s="297"/>
      <c r="AW248" s="297"/>
    </row>
    <row r="249" spans="1:49" x14ac:dyDescent="0.45">
      <c r="A249" s="295">
        <v>16923</v>
      </c>
      <c r="B249" s="12">
        <v>2.8799999999999999E-2</v>
      </c>
      <c r="C249" s="5">
        <v>3.0099999999999998E-2</v>
      </c>
      <c r="D249" s="5">
        <v>1.8E-3</v>
      </c>
      <c r="E249" s="5">
        <v>2.0916666666666666E-3</v>
      </c>
      <c r="F249" s="5">
        <v>2.15E-3</v>
      </c>
      <c r="G249" s="5">
        <v>2.1208333333333331E-3</v>
      </c>
      <c r="H249" s="5">
        <v>2.2416666666666665E-3</v>
      </c>
      <c r="I249" s="5">
        <f t="shared" si="33"/>
        <v>2.7E-2</v>
      </c>
      <c r="J249" s="5">
        <f t="shared" si="37"/>
        <v>2.6679166666666667E-2</v>
      </c>
      <c r="K249" s="5">
        <f t="shared" si="38"/>
        <v>2.7858333333333332E-2</v>
      </c>
      <c r="L249" s="8">
        <f t="shared" si="35"/>
        <v>0.32941419582746256</v>
      </c>
      <c r="M249" s="8">
        <f t="shared" si="36"/>
        <v>2.1600000000000001E-2</v>
      </c>
      <c r="N249" s="8">
        <f t="shared" si="39"/>
        <v>2.5449999999999997E-2</v>
      </c>
      <c r="O249" s="296">
        <f t="shared" si="34"/>
        <v>0.30781419582746256</v>
      </c>
      <c r="P249" s="8">
        <f t="shared" si="40"/>
        <v>0.30396419582746259</v>
      </c>
      <c r="Q249" s="8">
        <f t="shared" si="41"/>
        <v>0.49324375293791389</v>
      </c>
      <c r="R249" s="8">
        <f t="shared" si="42"/>
        <v>2.69E-2</v>
      </c>
      <c r="S249" s="296">
        <f t="shared" si="43"/>
        <v>0.46634375293791391</v>
      </c>
      <c r="U249" s="297"/>
      <c r="V249" s="297"/>
      <c r="W249" s="297"/>
      <c r="X249" s="297"/>
      <c r="Y249" s="297"/>
      <c r="Z249" s="297"/>
      <c r="AA249" s="297"/>
      <c r="AB249" s="297"/>
      <c r="AC249" s="297"/>
      <c r="AE249" s="297"/>
      <c r="AF249" s="297"/>
      <c r="AG249" s="297"/>
      <c r="AH249" s="297"/>
      <c r="AI249" s="297"/>
      <c r="AJ249" s="297"/>
      <c r="AK249" s="297"/>
      <c r="AL249" s="297"/>
      <c r="AM249" s="297"/>
      <c r="AO249" s="297"/>
      <c r="AP249" s="297"/>
      <c r="AQ249" s="297"/>
      <c r="AR249" s="297"/>
      <c r="AS249" s="297"/>
      <c r="AT249" s="297"/>
      <c r="AU249" s="297"/>
      <c r="AV249" s="297"/>
      <c r="AW249" s="297"/>
    </row>
    <row r="250" spans="1:49" x14ac:dyDescent="0.45">
      <c r="A250" s="295">
        <v>16954</v>
      </c>
      <c r="B250" s="12">
        <v>-3.6999999999999998E-2</v>
      </c>
      <c r="C250" s="5">
        <v>-2.76E-2</v>
      </c>
      <c r="D250" s="5">
        <v>1.6000000000000001E-3</v>
      </c>
      <c r="E250" s="5">
        <v>2.075E-3</v>
      </c>
      <c r="F250" s="5">
        <v>2.1583333333333333E-3</v>
      </c>
      <c r="G250" s="5">
        <v>2.1166666666666669E-3</v>
      </c>
      <c r="H250" s="5">
        <v>2.2500000000000003E-3</v>
      </c>
      <c r="I250" s="5">
        <f t="shared" si="33"/>
        <v>-3.8599999999999995E-2</v>
      </c>
      <c r="J250" s="5">
        <f t="shared" si="37"/>
        <v>-3.9116666666666668E-2</v>
      </c>
      <c r="K250" s="5">
        <f t="shared" si="38"/>
        <v>-2.9850000000000002E-2</v>
      </c>
      <c r="L250" s="8">
        <f t="shared" si="35"/>
        <v>0.28112265644135559</v>
      </c>
      <c r="M250" s="8">
        <f t="shared" si="36"/>
        <v>1.9200000000000002E-2</v>
      </c>
      <c r="N250" s="8">
        <f t="shared" si="39"/>
        <v>2.5400000000000002E-2</v>
      </c>
      <c r="O250" s="296">
        <f t="shared" si="34"/>
        <v>0.26192265644135559</v>
      </c>
      <c r="P250" s="8">
        <f t="shared" si="40"/>
        <v>0.25572265644135561</v>
      </c>
      <c r="Q250" s="8">
        <f t="shared" si="41"/>
        <v>0.36187415621536978</v>
      </c>
      <c r="R250" s="8">
        <f t="shared" si="42"/>
        <v>2.7000000000000003E-2</v>
      </c>
      <c r="S250" s="296">
        <f t="shared" si="43"/>
        <v>0.33487415621536976</v>
      </c>
      <c r="U250" s="297"/>
      <c r="V250" s="297"/>
      <c r="W250" s="297"/>
      <c r="X250" s="297"/>
      <c r="Y250" s="297"/>
      <c r="Z250" s="297"/>
      <c r="AA250" s="297"/>
      <c r="AB250" s="297"/>
      <c r="AC250" s="297"/>
      <c r="AE250" s="297"/>
      <c r="AF250" s="297"/>
      <c r="AG250" s="297"/>
      <c r="AH250" s="297"/>
      <c r="AI250" s="297"/>
      <c r="AJ250" s="297"/>
      <c r="AK250" s="297"/>
      <c r="AL250" s="297"/>
      <c r="AM250" s="297"/>
      <c r="AO250" s="297"/>
      <c r="AP250" s="297"/>
      <c r="AQ250" s="297"/>
      <c r="AR250" s="297"/>
      <c r="AS250" s="297"/>
      <c r="AT250" s="297"/>
      <c r="AU250" s="297"/>
      <c r="AV250" s="297"/>
      <c r="AW250" s="297"/>
    </row>
    <row r="251" spans="1:49" x14ac:dyDescent="0.45">
      <c r="A251" s="295">
        <v>16984</v>
      </c>
      <c r="B251" s="12">
        <v>-2.3900000000000001E-2</v>
      </c>
      <c r="C251" s="5">
        <v>-3.95E-2</v>
      </c>
      <c r="D251" s="5">
        <v>1.9E-3</v>
      </c>
      <c r="E251" s="5">
        <v>2.0666666666666667E-3</v>
      </c>
      <c r="F251" s="5">
        <v>2.1583333333333333E-3</v>
      </c>
      <c r="G251" s="5">
        <v>2.1124999999999998E-3</v>
      </c>
      <c r="H251" s="5">
        <v>2.2416666666666665E-3</v>
      </c>
      <c r="I251" s="5">
        <f t="shared" si="33"/>
        <v>-2.58E-2</v>
      </c>
      <c r="J251" s="5">
        <f t="shared" si="37"/>
        <v>-2.6012500000000001E-2</v>
      </c>
      <c r="K251" s="5">
        <f t="shared" si="38"/>
        <v>-4.174166666666667E-2</v>
      </c>
      <c r="L251" s="8">
        <f t="shared" si="35"/>
        <v>0.2734254836582557</v>
      </c>
      <c r="M251" s="8">
        <f t="shared" si="36"/>
        <v>2.2800000000000001E-2</v>
      </c>
      <c r="N251" s="8">
        <f t="shared" si="39"/>
        <v>2.5349999999999998E-2</v>
      </c>
      <c r="O251" s="296">
        <f t="shared" si="34"/>
        <v>0.25062548365825571</v>
      </c>
      <c r="P251" s="8">
        <f t="shared" si="40"/>
        <v>0.24807548365825571</v>
      </c>
      <c r="Q251" s="8">
        <f t="shared" si="41"/>
        <v>0.31478553326451131</v>
      </c>
      <c r="R251" s="8">
        <f t="shared" si="42"/>
        <v>2.69E-2</v>
      </c>
      <c r="S251" s="296">
        <f t="shared" si="43"/>
        <v>0.28788553326451133</v>
      </c>
      <c r="U251" s="297"/>
      <c r="V251" s="297"/>
      <c r="W251" s="297"/>
      <c r="X251" s="297"/>
      <c r="Y251" s="297"/>
      <c r="Z251" s="297"/>
      <c r="AA251" s="297"/>
      <c r="AB251" s="297"/>
      <c r="AC251" s="297"/>
      <c r="AE251" s="297"/>
      <c r="AF251" s="297"/>
      <c r="AG251" s="297"/>
      <c r="AH251" s="297"/>
      <c r="AI251" s="297"/>
      <c r="AJ251" s="297"/>
      <c r="AK251" s="297"/>
      <c r="AL251" s="297"/>
      <c r="AM251" s="297"/>
      <c r="AO251" s="297"/>
      <c r="AP251" s="297"/>
      <c r="AQ251" s="297"/>
      <c r="AR251" s="297"/>
      <c r="AS251" s="297"/>
      <c r="AT251" s="297"/>
      <c r="AU251" s="297"/>
      <c r="AV251" s="297"/>
      <c r="AW251" s="297"/>
    </row>
    <row r="252" spans="1:49" x14ac:dyDescent="0.45">
      <c r="A252" s="295">
        <v>17015</v>
      </c>
      <c r="B252" s="12">
        <v>-6.7400000000000002E-2</v>
      </c>
      <c r="C252" s="5">
        <v>-7.2399999999999992E-2</v>
      </c>
      <c r="D252" s="5">
        <v>1.6999999999999999E-3</v>
      </c>
      <c r="E252" s="5">
        <v>2.0916666666666666E-3</v>
      </c>
      <c r="F252" s="5">
        <v>2.1833333333333336E-3</v>
      </c>
      <c r="G252" s="5">
        <v>2.1375000000000001E-3</v>
      </c>
      <c r="H252" s="5">
        <v>2.2583333333333331E-3</v>
      </c>
      <c r="I252" s="5">
        <f t="shared" si="33"/>
        <v>-6.9099999999999995E-2</v>
      </c>
      <c r="J252" s="5">
        <f t="shared" si="37"/>
        <v>-6.9537500000000002E-2</v>
      </c>
      <c r="K252" s="5">
        <f t="shared" si="38"/>
        <v>-7.4658333333333327E-2</v>
      </c>
      <c r="L252" s="8">
        <f t="shared" si="35"/>
        <v>0.11605733113399941</v>
      </c>
      <c r="M252" s="8">
        <f t="shared" si="36"/>
        <v>2.0399999999999998E-2</v>
      </c>
      <c r="N252" s="8">
        <f t="shared" si="39"/>
        <v>2.5649999999999999E-2</v>
      </c>
      <c r="O252" s="296">
        <f t="shared" si="34"/>
        <v>9.5657331133999407E-2</v>
      </c>
      <c r="P252" s="8">
        <f t="shared" si="40"/>
        <v>9.0407331133999402E-2</v>
      </c>
      <c r="Q252" s="8">
        <f t="shared" si="41"/>
        <v>0.21582600005598751</v>
      </c>
      <c r="R252" s="8">
        <f t="shared" si="42"/>
        <v>2.7099999999999999E-2</v>
      </c>
      <c r="S252" s="296">
        <f t="shared" si="43"/>
        <v>0.1887260000559875</v>
      </c>
      <c r="U252" s="297"/>
      <c r="V252" s="297"/>
      <c r="W252" s="297"/>
      <c r="X252" s="297"/>
      <c r="Y252" s="297"/>
      <c r="Z252" s="297"/>
      <c r="AA252" s="297"/>
      <c r="AB252" s="297"/>
      <c r="AC252" s="297"/>
      <c r="AE252" s="297"/>
      <c r="AF252" s="297"/>
      <c r="AG252" s="297"/>
      <c r="AH252" s="297"/>
      <c r="AI252" s="297"/>
      <c r="AJ252" s="297"/>
      <c r="AK252" s="297"/>
      <c r="AL252" s="297"/>
      <c r="AM252" s="297"/>
      <c r="AO252" s="297"/>
      <c r="AP252" s="297"/>
      <c r="AQ252" s="297"/>
      <c r="AR252" s="297"/>
      <c r="AS252" s="297"/>
      <c r="AT252" s="297"/>
      <c r="AU252" s="297"/>
      <c r="AV252" s="297"/>
      <c r="AW252" s="297"/>
    </row>
    <row r="253" spans="1:49" x14ac:dyDescent="0.45">
      <c r="A253" s="295">
        <v>17046</v>
      </c>
      <c r="B253" s="12">
        <v>-9.9699999999999997E-2</v>
      </c>
      <c r="C253" s="5">
        <v>-0.1051</v>
      </c>
      <c r="D253" s="5">
        <v>1.8E-3</v>
      </c>
      <c r="E253" s="5">
        <v>2.15E-3</v>
      </c>
      <c r="F253" s="5">
        <v>2.2333333333333337E-3</v>
      </c>
      <c r="G253" s="5">
        <v>2.1916666666666668E-3</v>
      </c>
      <c r="H253" s="5">
        <v>2.2916666666666667E-3</v>
      </c>
      <c r="I253" s="5">
        <f t="shared" si="33"/>
        <v>-0.10149999999999999</v>
      </c>
      <c r="J253" s="5">
        <f t="shared" si="37"/>
        <v>-0.10189166666666666</v>
      </c>
      <c r="K253" s="5">
        <f t="shared" si="38"/>
        <v>-0.10739166666666666</v>
      </c>
      <c r="L253" s="8">
        <f t="shared" si="35"/>
        <v>-3.7376494328472898E-2</v>
      </c>
      <c r="M253" s="8">
        <f t="shared" si="36"/>
        <v>2.1600000000000001E-2</v>
      </c>
      <c r="N253" s="8">
        <f t="shared" si="39"/>
        <v>2.6300000000000004E-2</v>
      </c>
      <c r="O253" s="296">
        <f t="shared" si="34"/>
        <v>-5.8976494328472899E-2</v>
      </c>
      <c r="P253" s="8">
        <f t="shared" si="40"/>
        <v>-6.3676494328472902E-2</v>
      </c>
      <c r="Q253" s="8">
        <f t="shared" si="41"/>
        <v>1.3169464056339342E-2</v>
      </c>
      <c r="R253" s="8">
        <f t="shared" si="42"/>
        <v>2.75E-2</v>
      </c>
      <c r="S253" s="296">
        <f t="shared" si="43"/>
        <v>-1.4330535943660658E-2</v>
      </c>
      <c r="U253" s="297"/>
      <c r="V253" s="297"/>
      <c r="W253" s="297"/>
      <c r="X253" s="297"/>
      <c r="Y253" s="297"/>
      <c r="Z253" s="297"/>
      <c r="AA253" s="297"/>
      <c r="AB253" s="297"/>
      <c r="AC253" s="297"/>
      <c r="AE253" s="297"/>
      <c r="AF253" s="297"/>
      <c r="AG253" s="297"/>
      <c r="AH253" s="297"/>
      <c r="AI253" s="297"/>
      <c r="AJ253" s="297"/>
      <c r="AK253" s="297"/>
      <c r="AL253" s="297"/>
      <c r="AM253" s="297"/>
      <c r="AO253" s="297"/>
      <c r="AP253" s="297"/>
      <c r="AQ253" s="297"/>
      <c r="AR253" s="297"/>
      <c r="AS253" s="297"/>
      <c r="AT253" s="297"/>
      <c r="AU253" s="297"/>
      <c r="AV253" s="297"/>
      <c r="AW253" s="297"/>
    </row>
    <row r="254" spans="1:49" x14ac:dyDescent="0.45">
      <c r="A254" s="295">
        <v>17076</v>
      </c>
      <c r="B254" s="12">
        <v>-6.0000000000000001E-3</v>
      </c>
      <c r="C254" s="5">
        <v>2.1999999999999999E-2</v>
      </c>
      <c r="D254" s="5">
        <v>1.9E-3</v>
      </c>
      <c r="E254" s="5">
        <v>2.1666666666666666E-3</v>
      </c>
      <c r="F254" s="5">
        <v>2.2500000000000003E-3</v>
      </c>
      <c r="G254" s="5">
        <v>2.2083333333333334E-3</v>
      </c>
      <c r="H254" s="5">
        <v>2.3E-3</v>
      </c>
      <c r="I254" s="5">
        <f t="shared" si="33"/>
        <v>-7.9000000000000008E-3</v>
      </c>
      <c r="J254" s="5">
        <f t="shared" si="37"/>
        <v>-8.2083333333333331E-3</v>
      </c>
      <c r="K254" s="5">
        <f t="shared" si="38"/>
        <v>1.9699999999999999E-2</v>
      </c>
      <c r="L254" s="8">
        <f t="shared" si="35"/>
        <v>-7.3001584346543247E-2</v>
      </c>
      <c r="M254" s="8">
        <f t="shared" si="36"/>
        <v>2.2800000000000001E-2</v>
      </c>
      <c r="N254" s="8">
        <f t="shared" si="39"/>
        <v>2.6500000000000003E-2</v>
      </c>
      <c r="O254" s="296">
        <f t="shared" si="34"/>
        <v>-9.5801584346543248E-2</v>
      </c>
      <c r="P254" s="8">
        <f t="shared" si="40"/>
        <v>-9.9501584346543243E-2</v>
      </c>
      <c r="Q254" s="8">
        <f t="shared" si="41"/>
        <v>-2.691552272758313E-2</v>
      </c>
      <c r="R254" s="8">
        <f t="shared" si="42"/>
        <v>2.76E-2</v>
      </c>
      <c r="S254" s="296">
        <f t="shared" si="43"/>
        <v>-5.4515522727583129E-2</v>
      </c>
      <c r="U254" s="297"/>
      <c r="V254" s="297"/>
      <c r="W254" s="297"/>
      <c r="X254" s="297"/>
      <c r="Y254" s="297"/>
      <c r="Z254" s="297"/>
      <c r="AA254" s="297"/>
      <c r="AB254" s="297"/>
      <c r="AC254" s="297"/>
      <c r="AE254" s="297"/>
      <c r="AF254" s="297"/>
      <c r="AG254" s="297"/>
      <c r="AH254" s="297"/>
      <c r="AI254" s="297"/>
      <c r="AJ254" s="297"/>
      <c r="AK254" s="297"/>
      <c r="AL254" s="297"/>
      <c r="AM254" s="297"/>
      <c r="AO254" s="297"/>
      <c r="AP254" s="297"/>
      <c r="AQ254" s="297"/>
      <c r="AR254" s="297"/>
      <c r="AS254" s="297"/>
      <c r="AT254" s="297"/>
      <c r="AU254" s="297"/>
      <c r="AV254" s="297"/>
      <c r="AW254" s="297"/>
    </row>
    <row r="255" spans="1:49" x14ac:dyDescent="0.45">
      <c r="A255" s="295">
        <v>17107</v>
      </c>
      <c r="B255" s="12">
        <v>-2.7000000000000001E-3</v>
      </c>
      <c r="C255" s="5">
        <v>5.7999999999999996E-3</v>
      </c>
      <c r="D255" s="5">
        <v>1.8E-3</v>
      </c>
      <c r="E255" s="5">
        <v>2.1583333333333333E-3</v>
      </c>
      <c r="F255" s="5">
        <v>2.2416666666666665E-3</v>
      </c>
      <c r="G255" s="5">
        <v>2.1999999999999997E-3</v>
      </c>
      <c r="H255" s="5">
        <v>2.3E-3</v>
      </c>
      <c r="I255" s="5">
        <f t="shared" si="33"/>
        <v>-4.5000000000000005E-3</v>
      </c>
      <c r="J255" s="5">
        <f t="shared" si="37"/>
        <v>-4.8999999999999998E-3</v>
      </c>
      <c r="K255" s="5">
        <f t="shared" si="38"/>
        <v>3.4999999999999996E-3</v>
      </c>
      <c r="L255" s="8">
        <f t="shared" si="35"/>
        <v>-0.11071996928511718</v>
      </c>
      <c r="M255" s="8">
        <f t="shared" si="36"/>
        <v>2.1600000000000001E-2</v>
      </c>
      <c r="N255" s="8">
        <f t="shared" si="39"/>
        <v>2.6399999999999996E-2</v>
      </c>
      <c r="O255" s="296">
        <f t="shared" si="34"/>
        <v>-0.13231996928511719</v>
      </c>
      <c r="P255" s="8">
        <f t="shared" si="40"/>
        <v>-0.13711996928511719</v>
      </c>
      <c r="Q255" s="8">
        <f t="shared" si="41"/>
        <v>-6.5296182560789617E-2</v>
      </c>
      <c r="R255" s="8">
        <f t="shared" si="42"/>
        <v>2.76E-2</v>
      </c>
      <c r="S255" s="296">
        <f t="shared" si="43"/>
        <v>-9.2896182560789617E-2</v>
      </c>
      <c r="U255" s="297"/>
      <c r="V255" s="297"/>
      <c r="W255" s="297"/>
      <c r="X255" s="297"/>
      <c r="Y255" s="297"/>
      <c r="Z255" s="297"/>
      <c r="AA255" s="297"/>
      <c r="AB255" s="297"/>
      <c r="AC255" s="297"/>
      <c r="AE255" s="297"/>
      <c r="AF255" s="297"/>
      <c r="AG255" s="297"/>
      <c r="AH255" s="297"/>
      <c r="AI255" s="297"/>
      <c r="AJ255" s="297"/>
      <c r="AK255" s="297"/>
      <c r="AL255" s="297"/>
      <c r="AM255" s="297"/>
      <c r="AO255" s="297"/>
      <c r="AP255" s="297"/>
      <c r="AQ255" s="297"/>
      <c r="AR255" s="297"/>
      <c r="AS255" s="297"/>
      <c r="AT255" s="297"/>
      <c r="AU255" s="297"/>
      <c r="AV255" s="297"/>
      <c r="AW255" s="297"/>
    </row>
    <row r="256" spans="1:49" x14ac:dyDescent="0.45">
      <c r="A256" s="295">
        <v>17137</v>
      </c>
      <c r="B256" s="12">
        <v>4.5699999999999998E-2</v>
      </c>
      <c r="C256" s="5">
        <v>7.0599999999999996E-2</v>
      </c>
      <c r="D256" s="5">
        <v>1.9E-3</v>
      </c>
      <c r="E256" s="5">
        <v>2.1749999999999999E-3</v>
      </c>
      <c r="F256" s="5">
        <v>2.2416666666666665E-3</v>
      </c>
      <c r="G256" s="5">
        <v>2.2083333333333334E-3</v>
      </c>
      <c r="H256" s="5">
        <v>2.3E-3</v>
      </c>
      <c r="I256" s="5">
        <f t="shared" si="33"/>
        <v>4.3799999999999999E-2</v>
      </c>
      <c r="J256" s="5">
        <f t="shared" si="37"/>
        <v>4.3491666666666665E-2</v>
      </c>
      <c r="K256" s="5">
        <f t="shared" si="38"/>
        <v>6.83E-2</v>
      </c>
      <c r="L256" s="8">
        <f t="shared" si="35"/>
        <v>-8.0743250179366566E-2</v>
      </c>
      <c r="M256" s="8">
        <f t="shared" si="36"/>
        <v>2.2800000000000001E-2</v>
      </c>
      <c r="N256" s="8">
        <f t="shared" si="39"/>
        <v>2.6500000000000003E-2</v>
      </c>
      <c r="O256" s="296">
        <f t="shared" si="34"/>
        <v>-0.10354325017936657</v>
      </c>
      <c r="P256" s="8">
        <f t="shared" si="40"/>
        <v>-0.10724325017936656</v>
      </c>
      <c r="Q256" s="8">
        <f t="shared" si="41"/>
        <v>1.2540632348900571E-2</v>
      </c>
      <c r="R256" s="8">
        <f t="shared" si="42"/>
        <v>2.76E-2</v>
      </c>
      <c r="S256" s="296">
        <f t="shared" si="43"/>
        <v>-1.5059367651099428E-2</v>
      </c>
      <c r="U256" s="297"/>
      <c r="V256" s="297"/>
      <c r="W256" s="297"/>
      <c r="X256" s="297"/>
      <c r="Y256" s="297"/>
      <c r="Z256" s="297"/>
      <c r="AA256" s="297"/>
      <c r="AB256" s="297"/>
      <c r="AC256" s="297"/>
      <c r="AE256" s="297"/>
      <c r="AF256" s="297"/>
      <c r="AG256" s="297"/>
      <c r="AH256" s="297"/>
      <c r="AI256" s="297"/>
      <c r="AJ256" s="297"/>
      <c r="AK256" s="297"/>
      <c r="AL256" s="297"/>
      <c r="AM256" s="297"/>
      <c r="AO256" s="297"/>
      <c r="AP256" s="297"/>
      <c r="AQ256" s="297"/>
      <c r="AR256" s="297"/>
      <c r="AS256" s="297"/>
      <c r="AT256" s="297"/>
      <c r="AU256" s="297"/>
      <c r="AV256" s="297"/>
      <c r="AW256" s="297"/>
    </row>
    <row r="257" spans="1:49" x14ac:dyDescent="0.45">
      <c r="A257" s="295">
        <v>17168</v>
      </c>
      <c r="B257" s="12">
        <v>2.5499999999999998E-2</v>
      </c>
      <c r="C257" s="5">
        <v>-2.0000000000000012E-4</v>
      </c>
      <c r="D257" s="5">
        <v>1.8E-3</v>
      </c>
      <c r="E257" s="5">
        <v>2.1416666666666663E-3</v>
      </c>
      <c r="F257" s="5">
        <v>2.2083333333333334E-3</v>
      </c>
      <c r="G257" s="5">
        <v>2.1749999999999999E-3</v>
      </c>
      <c r="H257" s="5">
        <v>2.2666666666666668E-3</v>
      </c>
      <c r="I257" s="5">
        <f t="shared" si="33"/>
        <v>2.3699999999999999E-2</v>
      </c>
      <c r="J257" s="5">
        <f t="shared" si="37"/>
        <v>2.3324999999999999E-2</v>
      </c>
      <c r="K257" s="5">
        <f t="shared" si="38"/>
        <v>-2.4666666666666669E-3</v>
      </c>
      <c r="L257" s="8">
        <f t="shared" si="35"/>
        <v>-0.12012525952859809</v>
      </c>
      <c r="M257" s="8">
        <f t="shared" si="36"/>
        <v>2.1600000000000001E-2</v>
      </c>
      <c r="N257" s="8">
        <f t="shared" si="39"/>
        <v>2.6099999999999998E-2</v>
      </c>
      <c r="O257" s="296">
        <f t="shared" si="34"/>
        <v>-0.1417252595285981</v>
      </c>
      <c r="P257" s="8">
        <f t="shared" si="40"/>
        <v>-0.14622525952859811</v>
      </c>
      <c r="Q257" s="8">
        <f t="shared" si="41"/>
        <v>-9.6045964619670521E-2</v>
      </c>
      <c r="R257" s="8">
        <f t="shared" si="42"/>
        <v>2.7200000000000002E-2</v>
      </c>
      <c r="S257" s="296">
        <f t="shared" si="43"/>
        <v>-0.12324596461967052</v>
      </c>
      <c r="U257" s="297"/>
      <c r="V257" s="297"/>
      <c r="W257" s="297"/>
      <c r="X257" s="297"/>
      <c r="Y257" s="297"/>
      <c r="Z257" s="297"/>
      <c r="AA257" s="297"/>
      <c r="AB257" s="297"/>
      <c r="AC257" s="297"/>
      <c r="AE257" s="297"/>
      <c r="AF257" s="297"/>
      <c r="AG257" s="297"/>
      <c r="AH257" s="297"/>
      <c r="AI257" s="297"/>
      <c r="AJ257" s="297"/>
      <c r="AK257" s="297"/>
      <c r="AL257" s="297"/>
      <c r="AM257" s="297"/>
      <c r="AO257" s="297"/>
      <c r="AP257" s="297"/>
      <c r="AQ257" s="297"/>
      <c r="AR257" s="297"/>
      <c r="AS257" s="297"/>
      <c r="AT257" s="297"/>
      <c r="AU257" s="297"/>
      <c r="AV257" s="297"/>
      <c r="AW257" s="297"/>
    </row>
    <row r="258" spans="1:49" x14ac:dyDescent="0.45">
      <c r="A258" s="295">
        <v>17199</v>
      </c>
      <c r="B258" s="12">
        <v>-7.7000000000000002E-3</v>
      </c>
      <c r="C258" s="5">
        <v>-8.8999999999999999E-3</v>
      </c>
      <c r="D258" s="5">
        <v>1.6000000000000001E-3</v>
      </c>
      <c r="E258" s="5">
        <v>2.1250000000000002E-3</v>
      </c>
      <c r="F258" s="5">
        <v>2.2000000000000001E-3</v>
      </c>
      <c r="G258" s="5">
        <v>2.1624999999999999E-3</v>
      </c>
      <c r="H258" s="5">
        <v>2.2666666666666668E-3</v>
      </c>
      <c r="I258" s="5">
        <f t="shared" si="33"/>
        <v>-9.300000000000001E-3</v>
      </c>
      <c r="J258" s="5">
        <f t="shared" si="37"/>
        <v>-9.8624999999999997E-3</v>
      </c>
      <c r="K258" s="5">
        <f t="shared" si="38"/>
        <v>-1.1166666666666667E-2</v>
      </c>
      <c r="L258" s="8">
        <f t="shared" si="35"/>
        <v>-6.7101501261061958E-2</v>
      </c>
      <c r="M258" s="8">
        <f t="shared" si="36"/>
        <v>1.9200000000000002E-2</v>
      </c>
      <c r="N258" s="8">
        <f t="shared" si="39"/>
        <v>2.5950000000000001E-2</v>
      </c>
      <c r="O258" s="296">
        <f t="shared" si="34"/>
        <v>-8.6301501261061953E-2</v>
      </c>
      <c r="P258" s="8">
        <f t="shared" si="40"/>
        <v>-9.3051501261061959E-2</v>
      </c>
      <c r="Q258" s="8">
        <f t="shared" si="41"/>
        <v>-4.2832431126661907E-2</v>
      </c>
      <c r="R258" s="8">
        <f t="shared" si="42"/>
        <v>2.7200000000000002E-2</v>
      </c>
      <c r="S258" s="296">
        <f t="shared" si="43"/>
        <v>-7.0032431126661909E-2</v>
      </c>
      <c r="U258" s="297"/>
      <c r="V258" s="297"/>
      <c r="W258" s="297"/>
      <c r="X258" s="297"/>
      <c r="Y258" s="297"/>
      <c r="Z258" s="297"/>
      <c r="AA258" s="297"/>
      <c r="AB258" s="297"/>
      <c r="AC258" s="297"/>
      <c r="AE258" s="297"/>
      <c r="AF258" s="297"/>
      <c r="AG258" s="297"/>
      <c r="AH258" s="297"/>
      <c r="AI258" s="297"/>
      <c r="AJ258" s="297"/>
      <c r="AK258" s="297"/>
      <c r="AL258" s="297"/>
      <c r="AM258" s="297"/>
      <c r="AO258" s="297"/>
      <c r="AP258" s="297"/>
      <c r="AQ258" s="297"/>
      <c r="AR258" s="297"/>
      <c r="AS258" s="297"/>
      <c r="AT258" s="297"/>
      <c r="AU258" s="297"/>
      <c r="AV258" s="297"/>
      <c r="AW258" s="297"/>
    </row>
    <row r="259" spans="1:49" x14ac:dyDescent="0.45">
      <c r="A259" s="295">
        <v>17227</v>
      </c>
      <c r="B259" s="12">
        <v>-1.49E-2</v>
      </c>
      <c r="C259" s="5">
        <v>-3.6399999999999995E-2</v>
      </c>
      <c r="D259" s="5">
        <v>1.8E-3</v>
      </c>
      <c r="E259" s="5">
        <v>2.1250000000000002E-3</v>
      </c>
      <c r="F259" s="5">
        <v>2.2000000000000001E-3</v>
      </c>
      <c r="G259" s="5">
        <v>2.1624999999999999E-3</v>
      </c>
      <c r="H259" s="5">
        <v>2.2666666666666668E-3</v>
      </c>
      <c r="I259" s="5">
        <f t="shared" si="33"/>
        <v>-1.67E-2</v>
      </c>
      <c r="J259" s="5">
        <f t="shared" si="37"/>
        <v>-1.7062500000000001E-2</v>
      </c>
      <c r="K259" s="5">
        <f t="shared" si="38"/>
        <v>-3.8666666666666662E-2</v>
      </c>
      <c r="L259" s="8">
        <f t="shared" si="35"/>
        <v>-0.12309321459186295</v>
      </c>
      <c r="M259" s="8">
        <f t="shared" si="36"/>
        <v>2.1600000000000001E-2</v>
      </c>
      <c r="N259" s="8">
        <f t="shared" si="39"/>
        <v>2.5950000000000001E-2</v>
      </c>
      <c r="O259" s="296">
        <f t="shared" si="34"/>
        <v>-0.14469321459186296</v>
      </c>
      <c r="P259" s="8">
        <f t="shared" si="40"/>
        <v>-0.14904321459186295</v>
      </c>
      <c r="Q259" s="8">
        <f t="shared" si="41"/>
        <v>-0.13241776938543071</v>
      </c>
      <c r="R259" s="8">
        <f t="shared" si="42"/>
        <v>2.7200000000000002E-2</v>
      </c>
      <c r="S259" s="296">
        <f t="shared" si="43"/>
        <v>-0.15961776938543071</v>
      </c>
      <c r="U259" s="297"/>
      <c r="V259" s="297"/>
      <c r="W259" s="297"/>
      <c r="X259" s="297"/>
      <c r="Y259" s="297"/>
      <c r="Z259" s="297"/>
      <c r="AA259" s="297"/>
      <c r="AB259" s="297"/>
      <c r="AC259" s="297"/>
      <c r="AE259" s="297"/>
      <c r="AF259" s="297"/>
      <c r="AG259" s="297"/>
      <c r="AH259" s="297"/>
      <c r="AI259" s="297"/>
      <c r="AJ259" s="297"/>
      <c r="AK259" s="297"/>
      <c r="AL259" s="297"/>
      <c r="AM259" s="297"/>
      <c r="AO259" s="297"/>
      <c r="AP259" s="297"/>
      <c r="AQ259" s="297"/>
      <c r="AR259" s="297"/>
      <c r="AS259" s="297"/>
      <c r="AT259" s="297"/>
      <c r="AU259" s="297"/>
      <c r="AV259" s="297"/>
      <c r="AW259" s="297"/>
    </row>
    <row r="260" spans="1:49" x14ac:dyDescent="0.45">
      <c r="A260" s="295">
        <v>17258</v>
      </c>
      <c r="B260" s="12">
        <v>-3.6299999999999999E-2</v>
      </c>
      <c r="C260" s="5">
        <v>-3.2000000000000001E-2</v>
      </c>
      <c r="D260" s="5">
        <v>1.6999999999999999E-3</v>
      </c>
      <c r="E260" s="5">
        <v>2.1083333333333332E-3</v>
      </c>
      <c r="F260" s="5">
        <v>2.1916666666666664E-3</v>
      </c>
      <c r="G260" s="5">
        <v>2.1499999999999996E-3</v>
      </c>
      <c r="H260" s="5">
        <v>2.2500000000000003E-3</v>
      </c>
      <c r="I260" s="5">
        <f t="shared" si="33"/>
        <v>-3.7999999999999999E-2</v>
      </c>
      <c r="J260" s="5">
        <f t="shared" si="37"/>
        <v>-3.8449999999999998E-2</v>
      </c>
      <c r="K260" s="5">
        <f t="shared" si="38"/>
        <v>-3.4250000000000003E-2</v>
      </c>
      <c r="L260" s="8">
        <f t="shared" si="35"/>
        <v>-0.18688052622166662</v>
      </c>
      <c r="M260" s="8">
        <f t="shared" si="36"/>
        <v>2.0399999999999998E-2</v>
      </c>
      <c r="N260" s="8">
        <f t="shared" si="39"/>
        <v>2.5799999999999997E-2</v>
      </c>
      <c r="O260" s="296">
        <f t="shared" si="34"/>
        <v>-0.20728052622166662</v>
      </c>
      <c r="P260" s="8">
        <f t="shared" si="40"/>
        <v>-0.21268052622166661</v>
      </c>
      <c r="Q260" s="8">
        <f t="shared" si="41"/>
        <v>-0.18763822863716073</v>
      </c>
      <c r="R260" s="8">
        <f t="shared" si="42"/>
        <v>2.7000000000000003E-2</v>
      </c>
      <c r="S260" s="296">
        <f t="shared" si="43"/>
        <v>-0.21463822863716073</v>
      </c>
      <c r="U260" s="297"/>
      <c r="V260" s="297"/>
      <c r="W260" s="297"/>
      <c r="X260" s="297"/>
      <c r="Y260" s="297"/>
      <c r="Z260" s="297"/>
      <c r="AA260" s="297"/>
      <c r="AB260" s="297"/>
      <c r="AC260" s="297"/>
      <c r="AE260" s="297"/>
      <c r="AF260" s="297"/>
      <c r="AG260" s="297"/>
      <c r="AH260" s="297"/>
      <c r="AI260" s="297"/>
      <c r="AJ260" s="297"/>
      <c r="AK260" s="297"/>
      <c r="AL260" s="297"/>
      <c r="AM260" s="297"/>
      <c r="AO260" s="297"/>
      <c r="AP260" s="297"/>
      <c r="AQ260" s="297"/>
      <c r="AR260" s="297"/>
      <c r="AS260" s="297"/>
      <c r="AT260" s="297"/>
      <c r="AU260" s="297"/>
      <c r="AV260" s="297"/>
      <c r="AW260" s="297"/>
    </row>
    <row r="261" spans="1:49" x14ac:dyDescent="0.45">
      <c r="A261" s="295">
        <v>17288</v>
      </c>
      <c r="B261" s="12">
        <v>1.4E-3</v>
      </c>
      <c r="C261" s="5">
        <v>-2.7900000000000001E-2</v>
      </c>
      <c r="D261" s="5">
        <v>1.6999999999999999E-3</v>
      </c>
      <c r="E261" s="5">
        <v>2.1083333333333332E-3</v>
      </c>
      <c r="F261" s="5">
        <v>2.1916666666666664E-3</v>
      </c>
      <c r="G261" s="5">
        <v>2.1499999999999996E-3</v>
      </c>
      <c r="H261" s="5">
        <v>2.2500000000000003E-3</v>
      </c>
      <c r="I261" s="5">
        <f t="shared" si="33"/>
        <v>-2.9999999999999992E-4</v>
      </c>
      <c r="J261" s="5">
        <f t="shared" si="37"/>
        <v>-7.4999999999999958E-4</v>
      </c>
      <c r="K261" s="5">
        <f t="shared" si="38"/>
        <v>-3.0150000000000003E-2</v>
      </c>
      <c r="L261" s="8">
        <f t="shared" si="35"/>
        <v>-0.20853631313994658</v>
      </c>
      <c r="M261" s="8">
        <f t="shared" si="36"/>
        <v>2.0399999999999998E-2</v>
      </c>
      <c r="N261" s="8">
        <f t="shared" si="39"/>
        <v>2.5799999999999997E-2</v>
      </c>
      <c r="O261" s="296">
        <f t="shared" si="34"/>
        <v>-0.22893631313994658</v>
      </c>
      <c r="P261" s="8">
        <f t="shared" si="40"/>
        <v>-0.23433631313994657</v>
      </c>
      <c r="Q261" s="8">
        <f t="shared" si="41"/>
        <v>-0.23337843127675362</v>
      </c>
      <c r="R261" s="8">
        <f t="shared" si="42"/>
        <v>2.7000000000000003E-2</v>
      </c>
      <c r="S261" s="296">
        <f t="shared" si="43"/>
        <v>-0.26037843127675364</v>
      </c>
      <c r="U261" s="297"/>
      <c r="V261" s="297"/>
      <c r="W261" s="297"/>
      <c r="X261" s="297"/>
      <c r="Y261" s="297"/>
      <c r="Z261" s="297"/>
      <c r="AA261" s="297"/>
      <c r="AB261" s="297"/>
      <c r="AC261" s="297"/>
      <c r="AE261" s="297"/>
      <c r="AF261" s="297"/>
      <c r="AG261" s="297"/>
      <c r="AH261" s="297"/>
      <c r="AI261" s="297"/>
      <c r="AJ261" s="297"/>
      <c r="AK261" s="297"/>
      <c r="AL261" s="297"/>
      <c r="AM261" s="297"/>
      <c r="AO261" s="297"/>
      <c r="AP261" s="297"/>
      <c r="AQ261" s="297"/>
      <c r="AR261" s="297"/>
      <c r="AS261" s="297"/>
      <c r="AT261" s="297"/>
      <c r="AU261" s="297"/>
      <c r="AV261" s="297"/>
      <c r="AW261" s="297"/>
    </row>
    <row r="262" spans="1:49" x14ac:dyDescent="0.45">
      <c r="A262" s="295">
        <v>17319</v>
      </c>
      <c r="B262" s="12">
        <v>5.5399999999999998E-2</v>
      </c>
      <c r="C262" s="5">
        <v>4.2800000000000005E-2</v>
      </c>
      <c r="D262" s="5">
        <v>1.9E-3</v>
      </c>
      <c r="E262" s="5">
        <v>2.1250000000000002E-3</v>
      </c>
      <c r="F262" s="5">
        <v>2.2000000000000001E-3</v>
      </c>
      <c r="G262" s="5">
        <v>2.1624999999999999E-3</v>
      </c>
      <c r="H262" s="5">
        <v>2.2583333333333331E-3</v>
      </c>
      <c r="I262" s="5">
        <f t="shared" ref="I262:I325" si="44">B262-D262</f>
        <v>5.3499999999999999E-2</v>
      </c>
      <c r="J262" s="5">
        <f t="shared" si="37"/>
        <v>5.32375E-2</v>
      </c>
      <c r="K262" s="5">
        <f t="shared" si="38"/>
        <v>4.054166666666667E-2</v>
      </c>
      <c r="L262" s="8">
        <f t="shared" si="35"/>
        <v>-0.13259524910477616</v>
      </c>
      <c r="M262" s="8">
        <f t="shared" si="36"/>
        <v>2.2800000000000001E-2</v>
      </c>
      <c r="N262" s="8">
        <f t="shared" si="39"/>
        <v>2.5950000000000001E-2</v>
      </c>
      <c r="O262" s="296">
        <f t="shared" si="34"/>
        <v>-0.15539524910477615</v>
      </c>
      <c r="P262" s="8">
        <f t="shared" si="40"/>
        <v>-0.15854524910477616</v>
      </c>
      <c r="Q262" s="8">
        <f t="shared" si="41"/>
        <v>-0.17787641725154157</v>
      </c>
      <c r="R262" s="8">
        <f t="shared" si="42"/>
        <v>2.7099999999999999E-2</v>
      </c>
      <c r="S262" s="296">
        <f t="shared" si="43"/>
        <v>-0.20497641725154159</v>
      </c>
      <c r="U262" s="297"/>
      <c r="V262" s="297"/>
      <c r="W262" s="297"/>
      <c r="X262" s="297"/>
      <c r="Y262" s="297"/>
      <c r="Z262" s="297"/>
      <c r="AA262" s="297"/>
      <c r="AB262" s="297"/>
      <c r="AC262" s="297"/>
      <c r="AE262" s="297"/>
      <c r="AF262" s="297"/>
      <c r="AG262" s="297"/>
      <c r="AH262" s="297"/>
      <c r="AI262" s="297"/>
      <c r="AJ262" s="297"/>
      <c r="AK262" s="297"/>
      <c r="AL262" s="297"/>
      <c r="AM262" s="297"/>
      <c r="AO262" s="297"/>
      <c r="AP262" s="297"/>
      <c r="AQ262" s="297"/>
      <c r="AR262" s="297"/>
      <c r="AS262" s="297"/>
      <c r="AT262" s="297"/>
      <c r="AU262" s="297"/>
      <c r="AV262" s="297"/>
      <c r="AW262" s="297"/>
    </row>
    <row r="263" spans="1:49" x14ac:dyDescent="0.45">
      <c r="A263" s="295">
        <v>17349</v>
      </c>
      <c r="B263" s="12">
        <v>3.8100000000000002E-2</v>
      </c>
      <c r="C263" s="5">
        <v>2.1399999999999995E-2</v>
      </c>
      <c r="D263" s="5">
        <v>1.8E-3</v>
      </c>
      <c r="E263" s="5">
        <v>2.1250000000000002E-3</v>
      </c>
      <c r="F263" s="5">
        <v>2.2000000000000001E-3</v>
      </c>
      <c r="G263" s="5">
        <v>2.1624999999999999E-3</v>
      </c>
      <c r="H263" s="5">
        <v>2.2750000000000001E-3</v>
      </c>
      <c r="I263" s="5">
        <f t="shared" si="44"/>
        <v>3.6299999999999999E-2</v>
      </c>
      <c r="J263" s="5">
        <f t="shared" si="37"/>
        <v>3.5937500000000004E-2</v>
      </c>
      <c r="K263" s="5">
        <f t="shared" si="38"/>
        <v>1.9124999999999996E-2</v>
      </c>
      <c r="L263" s="8">
        <f t="shared" si="35"/>
        <v>-7.7499362868218791E-2</v>
      </c>
      <c r="M263" s="8">
        <f t="shared" si="36"/>
        <v>2.1600000000000001E-2</v>
      </c>
      <c r="N263" s="8">
        <f t="shared" si="39"/>
        <v>2.5950000000000001E-2</v>
      </c>
      <c r="O263" s="296">
        <f t="shared" si="34"/>
        <v>-9.9099362868218799E-2</v>
      </c>
      <c r="P263" s="8">
        <f t="shared" si="40"/>
        <v>-0.10344936286821879</v>
      </c>
      <c r="Q263" s="8">
        <f t="shared" si="41"/>
        <v>-0.1257501015936745</v>
      </c>
      <c r="R263" s="8">
        <f t="shared" si="42"/>
        <v>2.7300000000000001E-2</v>
      </c>
      <c r="S263" s="296">
        <f t="shared" si="43"/>
        <v>-0.15305010159367449</v>
      </c>
      <c r="U263" s="297"/>
      <c r="V263" s="297"/>
      <c r="W263" s="297"/>
      <c r="X263" s="297"/>
      <c r="Y263" s="297"/>
      <c r="Z263" s="297"/>
      <c r="AA263" s="297"/>
      <c r="AB263" s="297"/>
      <c r="AC263" s="297"/>
      <c r="AE263" s="297"/>
      <c r="AF263" s="297"/>
      <c r="AG263" s="297"/>
      <c r="AH263" s="297"/>
      <c r="AI263" s="297"/>
      <c r="AJ263" s="297"/>
      <c r="AK263" s="297"/>
      <c r="AL263" s="297"/>
      <c r="AM263" s="297"/>
      <c r="AO263" s="297"/>
      <c r="AP263" s="297"/>
      <c r="AQ263" s="297"/>
      <c r="AR263" s="297"/>
      <c r="AS263" s="297"/>
      <c r="AT263" s="297"/>
      <c r="AU263" s="297"/>
      <c r="AV263" s="297"/>
      <c r="AW263" s="297"/>
    </row>
    <row r="264" spans="1:49" x14ac:dyDescent="0.45">
      <c r="A264" s="295">
        <v>17380</v>
      </c>
      <c r="B264" s="12">
        <v>-2.0299999999999999E-2</v>
      </c>
      <c r="C264" s="5">
        <v>-2.2000000000000001E-3</v>
      </c>
      <c r="D264" s="5">
        <v>1.6999999999999999E-3</v>
      </c>
      <c r="E264" s="5">
        <v>2.1333333333333334E-3</v>
      </c>
      <c r="F264" s="5">
        <v>2.2000000000000001E-3</v>
      </c>
      <c r="G264" s="5">
        <v>2.1666666666666666E-3</v>
      </c>
      <c r="H264" s="5">
        <v>2.2750000000000001E-3</v>
      </c>
      <c r="I264" s="5">
        <f t="shared" si="44"/>
        <v>-2.1999999999999999E-2</v>
      </c>
      <c r="J264" s="5">
        <f t="shared" si="37"/>
        <v>-2.2466666666666666E-2</v>
      </c>
      <c r="K264" s="5">
        <f t="shared" si="38"/>
        <v>-4.4749999999999998E-3</v>
      </c>
      <c r="L264" s="8">
        <f t="shared" si="35"/>
        <v>-3.0909420761305872E-2</v>
      </c>
      <c r="M264" s="8">
        <f t="shared" si="36"/>
        <v>2.0399999999999998E-2</v>
      </c>
      <c r="N264" s="8">
        <f t="shared" si="39"/>
        <v>2.5999999999999999E-2</v>
      </c>
      <c r="O264" s="296">
        <f t="shared" si="34"/>
        <v>-5.1309420761305874E-2</v>
      </c>
      <c r="P264" s="8">
        <f t="shared" si="40"/>
        <v>-5.6909420761305868E-2</v>
      </c>
      <c r="Q264" s="8">
        <f t="shared" si="41"/>
        <v>-5.9587593111436465E-2</v>
      </c>
      <c r="R264" s="8">
        <f t="shared" si="42"/>
        <v>2.7300000000000001E-2</v>
      </c>
      <c r="S264" s="296">
        <f t="shared" si="43"/>
        <v>-8.688759311143647E-2</v>
      </c>
      <c r="U264" s="297"/>
      <c r="V264" s="297"/>
      <c r="W264" s="297"/>
      <c r="X264" s="297"/>
      <c r="Y264" s="297"/>
      <c r="Z264" s="297"/>
      <c r="AA264" s="297"/>
      <c r="AB264" s="297"/>
      <c r="AC264" s="297"/>
      <c r="AE264" s="297"/>
      <c r="AF264" s="297"/>
      <c r="AG264" s="297"/>
      <c r="AH264" s="297"/>
      <c r="AI264" s="297"/>
      <c r="AJ264" s="297"/>
      <c r="AK264" s="297"/>
      <c r="AL264" s="297"/>
      <c r="AM264" s="297"/>
      <c r="AO264" s="297"/>
      <c r="AP264" s="297"/>
      <c r="AQ264" s="297"/>
      <c r="AR264" s="297"/>
      <c r="AS264" s="297"/>
      <c r="AT264" s="297"/>
      <c r="AU264" s="297"/>
      <c r="AV264" s="297"/>
      <c r="AW264" s="297"/>
    </row>
    <row r="265" spans="1:49" x14ac:dyDescent="0.45">
      <c r="A265" s="295">
        <v>17411</v>
      </c>
      <c r="B265" s="12">
        <v>-1.11E-2</v>
      </c>
      <c r="C265" s="5">
        <v>-1.4200000000000001E-2</v>
      </c>
      <c r="D265" s="5">
        <v>1.8E-3</v>
      </c>
      <c r="E265" s="5">
        <v>2.1749999999999999E-3</v>
      </c>
      <c r="F265" s="5">
        <v>2.2416666666666665E-3</v>
      </c>
      <c r="G265" s="5">
        <v>2.2083333333333334E-3</v>
      </c>
      <c r="H265" s="5">
        <v>2.3333333333333335E-3</v>
      </c>
      <c r="I265" s="5">
        <f t="shared" si="44"/>
        <v>-1.29E-2</v>
      </c>
      <c r="J265" s="5">
        <f t="shared" si="37"/>
        <v>-1.3308333333333333E-2</v>
      </c>
      <c r="K265" s="5">
        <f t="shared" si="38"/>
        <v>-1.6533333333333334E-2</v>
      </c>
      <c r="L265" s="8">
        <f t="shared" si="35"/>
        <v>6.4460372996939963E-2</v>
      </c>
      <c r="M265" s="8">
        <f t="shared" si="36"/>
        <v>2.1600000000000001E-2</v>
      </c>
      <c r="N265" s="8">
        <f t="shared" si="39"/>
        <v>2.6500000000000003E-2</v>
      </c>
      <c r="O265" s="296">
        <f t="shared" si="34"/>
        <v>4.2860372996939962E-2</v>
      </c>
      <c r="P265" s="8">
        <f t="shared" si="40"/>
        <v>3.796037299693996E-2</v>
      </c>
      <c r="Q265" s="8">
        <f t="shared" si="41"/>
        <v>3.5935356699906107E-2</v>
      </c>
      <c r="R265" s="8">
        <f t="shared" si="42"/>
        <v>2.8000000000000004E-2</v>
      </c>
      <c r="S265" s="296">
        <f t="shared" si="43"/>
        <v>7.9353566999061029E-3</v>
      </c>
      <c r="U265" s="297"/>
      <c r="V265" s="297"/>
      <c r="W265" s="297"/>
      <c r="X265" s="297"/>
      <c r="Y265" s="297"/>
      <c r="Z265" s="297"/>
      <c r="AA265" s="297"/>
      <c r="AB265" s="297"/>
      <c r="AC265" s="297"/>
      <c r="AE265" s="297"/>
      <c r="AF265" s="297"/>
      <c r="AG265" s="297"/>
      <c r="AH265" s="297"/>
      <c r="AI265" s="297"/>
      <c r="AJ265" s="297"/>
      <c r="AK265" s="297"/>
      <c r="AL265" s="297"/>
      <c r="AM265" s="297"/>
      <c r="AO265" s="297"/>
      <c r="AP265" s="297"/>
      <c r="AQ265" s="297"/>
      <c r="AR265" s="297"/>
      <c r="AS265" s="297"/>
      <c r="AT265" s="297"/>
      <c r="AU265" s="297"/>
      <c r="AV265" s="297"/>
      <c r="AW265" s="297"/>
    </row>
    <row r="266" spans="1:49" x14ac:dyDescent="0.45">
      <c r="A266" s="295">
        <v>17441</v>
      </c>
      <c r="B266" s="12">
        <v>2.3800000000000002E-2</v>
      </c>
      <c r="C266" s="5">
        <v>-1.3299999999999999E-2</v>
      </c>
      <c r="D266" s="5">
        <v>1.8E-3</v>
      </c>
      <c r="E266" s="5">
        <v>2.2500000000000003E-3</v>
      </c>
      <c r="F266" s="5">
        <v>2.3250000000000002E-3</v>
      </c>
      <c r="G266" s="5">
        <v>2.2875E-3</v>
      </c>
      <c r="H266" s="5">
        <v>2.3999999999999998E-3</v>
      </c>
      <c r="I266" s="5">
        <f t="shared" si="44"/>
        <v>2.2000000000000002E-2</v>
      </c>
      <c r="J266" s="5">
        <f t="shared" si="37"/>
        <v>2.15125E-2</v>
      </c>
      <c r="K266" s="5">
        <f t="shared" si="38"/>
        <v>-1.5699999999999999E-2</v>
      </c>
      <c r="L266" s="8">
        <f t="shared" si="35"/>
        <v>9.6372766473105553E-2</v>
      </c>
      <c r="M266" s="8">
        <f t="shared" si="36"/>
        <v>2.1600000000000001E-2</v>
      </c>
      <c r="N266" s="8">
        <f t="shared" si="39"/>
        <v>2.7450000000000002E-2</v>
      </c>
      <c r="O266" s="296">
        <f t="shared" si="34"/>
        <v>7.4772766473105545E-2</v>
      </c>
      <c r="P266" s="8">
        <f t="shared" si="40"/>
        <v>6.8922766473105551E-2</v>
      </c>
      <c r="Q266" s="8">
        <f t="shared" si="41"/>
        <v>1.5402784324591856E-4</v>
      </c>
      <c r="R266" s="8">
        <f t="shared" si="42"/>
        <v>2.8799999999999999E-2</v>
      </c>
      <c r="S266" s="296">
        <f t="shared" si="43"/>
        <v>-2.8645972156754081E-2</v>
      </c>
      <c r="U266" s="297"/>
      <c r="V266" s="297"/>
      <c r="W266" s="297"/>
      <c r="X266" s="297"/>
      <c r="Y266" s="297"/>
      <c r="Z266" s="297"/>
      <c r="AA266" s="297"/>
      <c r="AB266" s="297"/>
      <c r="AC266" s="297"/>
      <c r="AE266" s="297"/>
      <c r="AF266" s="297"/>
      <c r="AG266" s="297"/>
      <c r="AH266" s="297"/>
      <c r="AI266" s="297"/>
      <c r="AJ266" s="297"/>
      <c r="AK266" s="297"/>
      <c r="AL266" s="297"/>
      <c r="AM266" s="297"/>
      <c r="AO266" s="297"/>
      <c r="AP266" s="297"/>
      <c r="AQ266" s="297"/>
      <c r="AR266" s="297"/>
      <c r="AS266" s="297"/>
      <c r="AT266" s="297"/>
      <c r="AU266" s="297"/>
      <c r="AV266" s="297"/>
      <c r="AW266" s="297"/>
    </row>
    <row r="267" spans="1:49" x14ac:dyDescent="0.45">
      <c r="A267" s="295">
        <v>17472</v>
      </c>
      <c r="B267" s="12">
        <v>-1.7500000000000002E-2</v>
      </c>
      <c r="C267" s="5">
        <v>-8.2399999999999987E-2</v>
      </c>
      <c r="D267" s="5">
        <v>1.6999999999999999E-3</v>
      </c>
      <c r="E267" s="5">
        <v>2.3083333333333332E-3</v>
      </c>
      <c r="F267" s="5">
        <v>2.3750000000000004E-3</v>
      </c>
      <c r="G267" s="5">
        <v>2.3416666666666668E-3</v>
      </c>
      <c r="H267" s="5">
        <v>2.4416666666666666E-3</v>
      </c>
      <c r="I267" s="5">
        <f t="shared" si="44"/>
        <v>-1.9200000000000002E-2</v>
      </c>
      <c r="J267" s="5">
        <f t="shared" si="37"/>
        <v>-1.9841666666666667E-2</v>
      </c>
      <c r="K267" s="5">
        <f t="shared" si="38"/>
        <v>-8.4841666666666649E-2</v>
      </c>
      <c r="L267" s="8">
        <f t="shared" si="35"/>
        <v>8.0102519863457289E-2</v>
      </c>
      <c r="M267" s="8">
        <f t="shared" si="36"/>
        <v>2.0399999999999998E-2</v>
      </c>
      <c r="N267" s="8">
        <f t="shared" si="39"/>
        <v>2.81E-2</v>
      </c>
      <c r="O267" s="296">
        <f t="shared" si="34"/>
        <v>5.9702519863457287E-2</v>
      </c>
      <c r="P267" s="8">
        <f t="shared" si="40"/>
        <v>5.2002519863457289E-2</v>
      </c>
      <c r="Q267" s="8">
        <f t="shared" si="41"/>
        <v>-8.7550869010775134E-2</v>
      </c>
      <c r="R267" s="8">
        <f t="shared" si="42"/>
        <v>2.93E-2</v>
      </c>
      <c r="S267" s="296">
        <f t="shared" si="43"/>
        <v>-0.11685086901077513</v>
      </c>
      <c r="U267" s="297"/>
      <c r="V267" s="297"/>
      <c r="W267" s="297"/>
      <c r="X267" s="297"/>
      <c r="Y267" s="297"/>
      <c r="Z267" s="297"/>
      <c r="AA267" s="297"/>
      <c r="AB267" s="297"/>
      <c r="AC267" s="297"/>
      <c r="AE267" s="297"/>
      <c r="AF267" s="297"/>
      <c r="AG267" s="297"/>
      <c r="AH267" s="297"/>
      <c r="AI267" s="297"/>
      <c r="AJ267" s="297"/>
      <c r="AK267" s="297"/>
      <c r="AL267" s="297"/>
      <c r="AM267" s="297"/>
      <c r="AO267" s="297"/>
      <c r="AP267" s="297"/>
      <c r="AQ267" s="297"/>
      <c r="AR267" s="297"/>
      <c r="AS267" s="297"/>
      <c r="AT267" s="297"/>
      <c r="AU267" s="297"/>
      <c r="AV267" s="297"/>
      <c r="AW267" s="297"/>
    </row>
    <row r="268" spans="1:49" x14ac:dyDescent="0.45">
      <c r="A268" s="295">
        <v>17502</v>
      </c>
      <c r="B268" s="12">
        <v>2.3300000000000001E-2</v>
      </c>
      <c r="C268" s="5">
        <v>1.89E-2</v>
      </c>
      <c r="D268" s="5">
        <v>2.0999999999999999E-3</v>
      </c>
      <c r="E268" s="5">
        <v>2.3833333333333332E-3</v>
      </c>
      <c r="F268" s="5">
        <v>2.4499999999999999E-3</v>
      </c>
      <c r="G268" s="5">
        <v>2.4166666666666664E-3</v>
      </c>
      <c r="H268" s="5">
        <v>2.5416666666666669E-3</v>
      </c>
      <c r="I268" s="5">
        <f t="shared" si="44"/>
        <v>2.12E-2</v>
      </c>
      <c r="J268" s="5">
        <f t="shared" si="37"/>
        <v>2.0883333333333334E-2</v>
      </c>
      <c r="K268" s="5">
        <f t="shared" si="38"/>
        <v>1.6358333333333332E-2</v>
      </c>
      <c r="L268" s="8">
        <f t="shared" si="35"/>
        <v>5.6965581501650764E-2</v>
      </c>
      <c r="M268" s="8">
        <f t="shared" si="36"/>
        <v>2.52E-2</v>
      </c>
      <c r="N268" s="8">
        <f t="shared" si="39"/>
        <v>2.8999999999999998E-2</v>
      </c>
      <c r="O268" s="296">
        <f t="shared" si="34"/>
        <v>3.1765581501650764E-2</v>
      </c>
      <c r="P268" s="8">
        <f t="shared" si="40"/>
        <v>2.7965581501650766E-2</v>
      </c>
      <c r="Q268" s="8">
        <f t="shared" si="41"/>
        <v>-0.13161365630027921</v>
      </c>
      <c r="R268" s="8">
        <f t="shared" si="42"/>
        <v>3.0500000000000003E-2</v>
      </c>
      <c r="S268" s="296">
        <f t="shared" si="43"/>
        <v>-0.16211365630027921</v>
      </c>
      <c r="U268" s="297"/>
      <c r="V268" s="297"/>
      <c r="W268" s="297"/>
      <c r="X268" s="297"/>
      <c r="Y268" s="297"/>
      <c r="Z268" s="297"/>
      <c r="AA268" s="297"/>
      <c r="AB268" s="297"/>
      <c r="AC268" s="297"/>
      <c r="AE268" s="297"/>
      <c r="AF268" s="297"/>
      <c r="AG268" s="297"/>
      <c r="AH268" s="297"/>
      <c r="AI268" s="297"/>
      <c r="AJ268" s="297"/>
      <c r="AK268" s="297"/>
      <c r="AL268" s="297"/>
      <c r="AM268" s="297"/>
      <c r="AO268" s="297"/>
      <c r="AP268" s="297"/>
      <c r="AQ268" s="297"/>
      <c r="AR268" s="297"/>
      <c r="AS268" s="297"/>
      <c r="AT268" s="297"/>
      <c r="AU268" s="297"/>
      <c r="AV268" s="297"/>
      <c r="AW268" s="297"/>
    </row>
    <row r="269" spans="1:49" x14ac:dyDescent="0.45">
      <c r="A269" s="295">
        <v>17533</v>
      </c>
      <c r="B269" s="12">
        <v>-3.7900000000000003E-2</v>
      </c>
      <c r="C269" s="5">
        <v>6.9999999999999993E-3</v>
      </c>
      <c r="D269" s="5">
        <v>2E-3</v>
      </c>
      <c r="E269" s="5">
        <v>2.3833333333333332E-3</v>
      </c>
      <c r="F269" s="5">
        <v>2.4499999999999999E-3</v>
      </c>
      <c r="G269" s="5">
        <v>2.4166666666666664E-3</v>
      </c>
      <c r="H269" s="5">
        <v>2.5416666666666669E-3</v>
      </c>
      <c r="I269" s="5">
        <f t="shared" si="44"/>
        <v>-3.9900000000000005E-2</v>
      </c>
      <c r="J269" s="5">
        <f t="shared" si="37"/>
        <v>-4.0316666666666667E-2</v>
      </c>
      <c r="K269" s="5">
        <f t="shared" si="38"/>
        <v>4.4583333333333324E-3</v>
      </c>
      <c r="L269" s="8">
        <f t="shared" si="35"/>
        <v>-8.3797308993289743E-3</v>
      </c>
      <c r="M269" s="8">
        <f t="shared" si="36"/>
        <v>2.4E-2</v>
      </c>
      <c r="N269" s="8">
        <f t="shared" si="39"/>
        <v>2.8999999999999998E-2</v>
      </c>
      <c r="O269" s="296">
        <f t="shared" si="34"/>
        <v>-3.2379730899328975E-2</v>
      </c>
      <c r="P269" s="8">
        <f t="shared" si="40"/>
        <v>-3.7379730899328972E-2</v>
      </c>
      <c r="Q269" s="8">
        <f t="shared" si="41"/>
        <v>-0.1253600238991609</v>
      </c>
      <c r="R269" s="8">
        <f t="shared" si="42"/>
        <v>3.0500000000000003E-2</v>
      </c>
      <c r="S269" s="296">
        <f t="shared" si="43"/>
        <v>-0.1558600238991609</v>
      </c>
      <c r="U269" s="297"/>
      <c r="V269" s="297"/>
      <c r="W269" s="297"/>
      <c r="X269" s="297"/>
      <c r="Y269" s="297"/>
      <c r="Z269" s="297"/>
      <c r="AA269" s="297"/>
      <c r="AB269" s="297"/>
      <c r="AC269" s="297"/>
      <c r="AE269" s="297"/>
      <c r="AF269" s="297"/>
      <c r="AG269" s="297"/>
      <c r="AH269" s="297"/>
      <c r="AI269" s="297"/>
      <c r="AJ269" s="297"/>
      <c r="AK269" s="297"/>
      <c r="AL269" s="297"/>
      <c r="AM269" s="297"/>
      <c r="AO269" s="297"/>
      <c r="AP269" s="297"/>
      <c r="AQ269" s="297"/>
      <c r="AR269" s="297"/>
      <c r="AS269" s="297"/>
      <c r="AT269" s="297"/>
      <c r="AU269" s="297"/>
      <c r="AV269" s="297"/>
      <c r="AW269" s="297"/>
    </row>
    <row r="270" spans="1:49" x14ac:dyDescent="0.45">
      <c r="A270" s="295">
        <v>17564</v>
      </c>
      <c r="B270" s="12">
        <v>-3.8800000000000001E-2</v>
      </c>
      <c r="C270" s="5">
        <v>-3.7200000000000004E-2</v>
      </c>
      <c r="D270" s="5">
        <v>1.9E-3</v>
      </c>
      <c r="E270" s="5">
        <v>2.3750000000000004E-3</v>
      </c>
      <c r="F270" s="5">
        <v>2.4416666666666666E-3</v>
      </c>
      <c r="G270" s="5">
        <v>2.4083333333333335E-3</v>
      </c>
      <c r="H270" s="5">
        <v>2.5416666666666669E-3</v>
      </c>
      <c r="I270" s="5">
        <f t="shared" si="44"/>
        <v>-4.07E-2</v>
      </c>
      <c r="J270" s="5">
        <f t="shared" si="37"/>
        <v>-4.1208333333333333E-2</v>
      </c>
      <c r="K270" s="5">
        <f t="shared" si="38"/>
        <v>-3.9741666666666668E-2</v>
      </c>
      <c r="L270" s="8">
        <f t="shared" si="35"/>
        <v>-3.9458427230106508E-2</v>
      </c>
      <c r="M270" s="8">
        <f t="shared" si="36"/>
        <v>2.2800000000000001E-2</v>
      </c>
      <c r="N270" s="8">
        <f t="shared" si="39"/>
        <v>2.8900000000000002E-2</v>
      </c>
      <c r="O270" s="296">
        <f t="shared" si="34"/>
        <v>-6.2258427230106508E-2</v>
      </c>
      <c r="P270" s="8">
        <f t="shared" si="40"/>
        <v>-6.8358427230106517E-2</v>
      </c>
      <c r="Q270" s="8">
        <f t="shared" si="41"/>
        <v>-0.15033460903048357</v>
      </c>
      <c r="R270" s="8">
        <f t="shared" si="42"/>
        <v>3.0500000000000003E-2</v>
      </c>
      <c r="S270" s="296">
        <f t="shared" si="43"/>
        <v>-0.18083460903048357</v>
      </c>
      <c r="U270" s="297"/>
      <c r="V270" s="297"/>
      <c r="W270" s="297"/>
      <c r="X270" s="297"/>
      <c r="Y270" s="297"/>
      <c r="Z270" s="297"/>
      <c r="AA270" s="297"/>
      <c r="AB270" s="297"/>
      <c r="AC270" s="297"/>
      <c r="AE270" s="297"/>
      <c r="AF270" s="297"/>
      <c r="AG270" s="297"/>
      <c r="AH270" s="297"/>
      <c r="AI270" s="297"/>
      <c r="AJ270" s="297"/>
      <c r="AK270" s="297"/>
      <c r="AL270" s="297"/>
      <c r="AM270" s="297"/>
      <c r="AO270" s="297"/>
      <c r="AP270" s="297"/>
      <c r="AQ270" s="297"/>
      <c r="AR270" s="297"/>
      <c r="AS270" s="297"/>
      <c r="AT270" s="297"/>
      <c r="AU270" s="297"/>
      <c r="AV270" s="297"/>
      <c r="AW270" s="297"/>
    </row>
    <row r="271" spans="1:49" x14ac:dyDescent="0.45">
      <c r="A271" s="295">
        <v>17593</v>
      </c>
      <c r="B271" s="12">
        <v>7.9299999999999995E-2</v>
      </c>
      <c r="C271" s="5">
        <v>6.1699999999999998E-2</v>
      </c>
      <c r="D271" s="5">
        <v>2.2000000000000001E-3</v>
      </c>
      <c r="E271" s="5">
        <v>2.3583333333333334E-3</v>
      </c>
      <c r="F271" s="5">
        <v>2.4166666666666668E-3</v>
      </c>
      <c r="G271" s="5">
        <v>2.3875000000000003E-3</v>
      </c>
      <c r="H271" s="5">
        <v>2.5166666666666666E-3</v>
      </c>
      <c r="I271" s="5">
        <f t="shared" si="44"/>
        <v>7.7100000000000002E-2</v>
      </c>
      <c r="J271" s="5">
        <f t="shared" si="37"/>
        <v>7.6912499999999995E-2</v>
      </c>
      <c r="K271" s="5">
        <f t="shared" si="38"/>
        <v>5.9183333333333331E-2</v>
      </c>
      <c r="L271" s="8">
        <f t="shared" si="35"/>
        <v>5.2393177840367233E-2</v>
      </c>
      <c r="M271" s="8">
        <f t="shared" si="36"/>
        <v>2.64E-2</v>
      </c>
      <c r="N271" s="8">
        <f t="shared" si="39"/>
        <v>2.8650000000000002E-2</v>
      </c>
      <c r="O271" s="296">
        <f t="shared" si="34"/>
        <v>2.5993177840367233E-2</v>
      </c>
      <c r="P271" s="8">
        <f t="shared" si="40"/>
        <v>2.3743177840367231E-2</v>
      </c>
      <c r="Q271" s="8">
        <f t="shared" si="41"/>
        <v>-6.3833804906251457E-2</v>
      </c>
      <c r="R271" s="8">
        <f t="shared" si="42"/>
        <v>3.0199999999999998E-2</v>
      </c>
      <c r="S271" s="296">
        <f t="shared" si="43"/>
        <v>-9.4033804906251461E-2</v>
      </c>
      <c r="U271" s="297"/>
      <c r="V271" s="297"/>
      <c r="W271" s="297"/>
      <c r="X271" s="297"/>
      <c r="Y271" s="297"/>
      <c r="Z271" s="297"/>
      <c r="AA271" s="297"/>
      <c r="AB271" s="297"/>
      <c r="AC271" s="297"/>
      <c r="AE271" s="297"/>
      <c r="AF271" s="297"/>
      <c r="AG271" s="297"/>
      <c r="AH271" s="297"/>
      <c r="AI271" s="297"/>
      <c r="AJ271" s="297"/>
      <c r="AK271" s="297"/>
      <c r="AL271" s="297"/>
      <c r="AM271" s="297"/>
      <c r="AO271" s="297"/>
      <c r="AP271" s="297"/>
      <c r="AQ271" s="297"/>
      <c r="AR271" s="297"/>
      <c r="AS271" s="297"/>
      <c r="AT271" s="297"/>
      <c r="AU271" s="297"/>
      <c r="AV271" s="297"/>
      <c r="AW271" s="297"/>
    </row>
    <row r="272" spans="1:49" x14ac:dyDescent="0.45">
      <c r="A272" s="295">
        <v>17624</v>
      </c>
      <c r="B272" s="12">
        <v>2.92E-2</v>
      </c>
      <c r="C272" s="5">
        <v>1.6E-2</v>
      </c>
      <c r="D272" s="5">
        <v>2E-3</v>
      </c>
      <c r="E272" s="5">
        <v>2.3166666666666665E-3</v>
      </c>
      <c r="F272" s="5">
        <v>2.3916666666666665E-3</v>
      </c>
      <c r="G272" s="5">
        <v>2.3541666666666667E-3</v>
      </c>
      <c r="H272" s="5">
        <v>2.4750000000000002E-3</v>
      </c>
      <c r="I272" s="5">
        <f t="shared" si="44"/>
        <v>2.7200000000000002E-2</v>
      </c>
      <c r="J272" s="5">
        <f t="shared" si="37"/>
        <v>2.6845833333333333E-2</v>
      </c>
      <c r="K272" s="5">
        <f t="shared" si="38"/>
        <v>1.3525000000000001E-2</v>
      </c>
      <c r="L272" s="8">
        <f t="shared" si="35"/>
        <v>0.12392140565871723</v>
      </c>
      <c r="M272" s="8">
        <f t="shared" si="36"/>
        <v>2.4E-2</v>
      </c>
      <c r="N272" s="8">
        <f t="shared" si="39"/>
        <v>2.8250000000000001E-2</v>
      </c>
      <c r="O272" s="296">
        <f t="shared" ref="O272:O335" si="45">L272-M272</f>
        <v>9.9921405658717238E-2</v>
      </c>
      <c r="P272" s="8">
        <f t="shared" si="40"/>
        <v>9.5671405658717235E-2</v>
      </c>
      <c r="Q272" s="8">
        <f t="shared" si="41"/>
        <v>-1.7412340686727146E-2</v>
      </c>
      <c r="R272" s="8">
        <f t="shared" si="42"/>
        <v>2.9700000000000004E-2</v>
      </c>
      <c r="S272" s="296">
        <f t="shared" si="43"/>
        <v>-4.711234068672715E-2</v>
      </c>
      <c r="U272" s="297"/>
      <c r="V272" s="297"/>
      <c r="W272" s="297"/>
      <c r="X272" s="297"/>
      <c r="Y272" s="297"/>
      <c r="Z272" s="297"/>
      <c r="AA272" s="297"/>
      <c r="AB272" s="297"/>
      <c r="AC272" s="297"/>
      <c r="AE272" s="297"/>
      <c r="AF272" s="297"/>
      <c r="AG272" s="297"/>
      <c r="AH272" s="297"/>
      <c r="AI272" s="297"/>
      <c r="AJ272" s="297"/>
      <c r="AK272" s="297"/>
      <c r="AL272" s="297"/>
      <c r="AM272" s="297"/>
      <c r="AO272" s="297"/>
      <c r="AP272" s="297"/>
      <c r="AQ272" s="297"/>
      <c r="AR272" s="297"/>
      <c r="AS272" s="297"/>
      <c r="AT272" s="297"/>
      <c r="AU272" s="297"/>
      <c r="AV272" s="297"/>
      <c r="AW272" s="297"/>
    </row>
    <row r="273" spans="1:49" x14ac:dyDescent="0.45">
      <c r="A273" s="295">
        <v>17654</v>
      </c>
      <c r="B273" s="12">
        <v>8.7900000000000006E-2</v>
      </c>
      <c r="C273" s="5">
        <v>5.8299999999999998E-2</v>
      </c>
      <c r="D273" s="5">
        <v>1.8E-3</v>
      </c>
      <c r="E273" s="5">
        <v>2.3E-3</v>
      </c>
      <c r="F273" s="5">
        <v>2.3833333333333332E-3</v>
      </c>
      <c r="G273" s="5">
        <v>2.3416666666666664E-3</v>
      </c>
      <c r="H273" s="5">
        <v>2.4499999999999999E-3</v>
      </c>
      <c r="I273" s="5">
        <f t="shared" si="44"/>
        <v>8.610000000000001E-2</v>
      </c>
      <c r="J273" s="5">
        <f t="shared" si="37"/>
        <v>8.5558333333333333E-2</v>
      </c>
      <c r="K273" s="5">
        <f t="shared" si="38"/>
        <v>5.5849999999999997E-2</v>
      </c>
      <c r="L273" s="8">
        <f t="shared" ref="L273:L336" si="46">((1+B262)*(1+B263)*(1+B264)*(1+B265)*(1+B266)*(1+B267)*(1+B268)*(1+B269)*(1+B270)*(1+B271)*(1+B272)*(1+B273))-1</f>
        <v>0.2210046906492098</v>
      </c>
      <c r="M273" s="8">
        <f t="shared" ref="M273:M336" si="47">D273*12</f>
        <v>2.1600000000000001E-2</v>
      </c>
      <c r="N273" s="8">
        <f t="shared" si="39"/>
        <v>2.8099999999999997E-2</v>
      </c>
      <c r="O273" s="296">
        <f t="shared" si="45"/>
        <v>0.19940469064920979</v>
      </c>
      <c r="P273" s="8">
        <f t="shared" si="40"/>
        <v>0.19290469064920981</v>
      </c>
      <c r="Q273" s="8">
        <f t="shared" si="41"/>
        <v>6.9717642064845986E-2</v>
      </c>
      <c r="R273" s="8">
        <f t="shared" si="42"/>
        <v>2.9399999999999999E-2</v>
      </c>
      <c r="S273" s="296">
        <f t="shared" si="43"/>
        <v>4.031764206484599E-2</v>
      </c>
      <c r="U273" s="297"/>
      <c r="V273" s="297"/>
      <c r="W273" s="297"/>
      <c r="X273" s="297"/>
      <c r="Y273" s="297"/>
      <c r="Z273" s="297"/>
      <c r="AA273" s="297"/>
      <c r="AB273" s="297"/>
      <c r="AC273" s="297"/>
      <c r="AE273" s="297"/>
      <c r="AF273" s="297"/>
      <c r="AG273" s="297"/>
      <c r="AH273" s="297"/>
      <c r="AI273" s="297"/>
      <c r="AJ273" s="297"/>
      <c r="AK273" s="297"/>
      <c r="AL273" s="297"/>
      <c r="AM273" s="297"/>
      <c r="AO273" s="297"/>
      <c r="AP273" s="297"/>
      <c r="AQ273" s="297"/>
      <c r="AR273" s="297"/>
      <c r="AS273" s="297"/>
      <c r="AT273" s="297"/>
      <c r="AU273" s="297"/>
      <c r="AV273" s="297"/>
      <c r="AW273" s="297"/>
    </row>
    <row r="274" spans="1:49" x14ac:dyDescent="0.45">
      <c r="A274" s="295">
        <v>17685</v>
      </c>
      <c r="B274" s="12">
        <v>5.4000000000000003E-3</v>
      </c>
      <c r="C274" s="5">
        <v>2.12E-2</v>
      </c>
      <c r="D274" s="5">
        <v>2.0999999999999999E-3</v>
      </c>
      <c r="E274" s="5">
        <v>2.3E-3</v>
      </c>
      <c r="F274" s="5">
        <v>2.3750000000000004E-3</v>
      </c>
      <c r="G274" s="5">
        <v>2.3375000000000002E-3</v>
      </c>
      <c r="H274" s="5">
        <v>2.4499999999999999E-3</v>
      </c>
      <c r="I274" s="5">
        <f t="shared" si="44"/>
        <v>3.3000000000000004E-3</v>
      </c>
      <c r="J274" s="5">
        <f t="shared" si="37"/>
        <v>3.0625000000000001E-3</v>
      </c>
      <c r="K274" s="5">
        <f t="shared" si="38"/>
        <v>1.8749999999999999E-2</v>
      </c>
      <c r="L274" s="8">
        <f t="shared" si="46"/>
        <v>0.16315910174219739</v>
      </c>
      <c r="M274" s="8">
        <f t="shared" si="47"/>
        <v>2.52E-2</v>
      </c>
      <c r="N274" s="8">
        <f t="shared" si="39"/>
        <v>2.8050000000000002E-2</v>
      </c>
      <c r="O274" s="296">
        <f t="shared" si="45"/>
        <v>0.13795910174219739</v>
      </c>
      <c r="P274" s="8">
        <f t="shared" si="40"/>
        <v>0.1351091017421974</v>
      </c>
      <c r="Q274" s="8">
        <f t="shared" si="41"/>
        <v>4.7560084461661933E-2</v>
      </c>
      <c r="R274" s="8">
        <f t="shared" si="42"/>
        <v>2.9399999999999999E-2</v>
      </c>
      <c r="S274" s="296">
        <f t="shared" si="43"/>
        <v>1.8160084461661934E-2</v>
      </c>
      <c r="U274" s="297"/>
      <c r="V274" s="297"/>
      <c r="W274" s="297"/>
      <c r="X274" s="297"/>
      <c r="Y274" s="297"/>
      <c r="Z274" s="297"/>
      <c r="AA274" s="297"/>
      <c r="AB274" s="297"/>
      <c r="AC274" s="297"/>
      <c r="AE274" s="297"/>
      <c r="AF274" s="297"/>
      <c r="AG274" s="297"/>
      <c r="AH274" s="297"/>
      <c r="AI274" s="297"/>
      <c r="AJ274" s="297"/>
      <c r="AK274" s="297"/>
      <c r="AL274" s="297"/>
      <c r="AM274" s="297"/>
      <c r="AO274" s="297"/>
      <c r="AP274" s="297"/>
      <c r="AQ274" s="297"/>
      <c r="AR274" s="297"/>
      <c r="AS274" s="297"/>
      <c r="AT274" s="297"/>
      <c r="AU274" s="297"/>
      <c r="AV274" s="297"/>
      <c r="AW274" s="297"/>
    </row>
    <row r="275" spans="1:49" x14ac:dyDescent="0.45">
      <c r="A275" s="295">
        <v>17715</v>
      </c>
      <c r="B275" s="12">
        <v>-5.0799999999999998E-2</v>
      </c>
      <c r="C275" s="5">
        <v>-4.4299999999999999E-2</v>
      </c>
      <c r="D275" s="5">
        <v>1.9E-3</v>
      </c>
      <c r="E275" s="5">
        <v>2.3416666666666668E-3</v>
      </c>
      <c r="F275" s="5">
        <v>2.4083333333333335E-3</v>
      </c>
      <c r="G275" s="5">
        <v>2.3749999999999999E-3</v>
      </c>
      <c r="H275" s="5">
        <v>2.4916666666666668E-3</v>
      </c>
      <c r="I275" s="5">
        <f t="shared" si="44"/>
        <v>-5.2699999999999997E-2</v>
      </c>
      <c r="J275" s="5">
        <f t="shared" si="37"/>
        <v>-5.3175E-2</v>
      </c>
      <c r="K275" s="5">
        <f t="shared" si="38"/>
        <v>-4.6791666666666669E-2</v>
      </c>
      <c r="L275" s="8">
        <f t="shared" si="46"/>
        <v>6.3549387702238613E-2</v>
      </c>
      <c r="M275" s="8">
        <f t="shared" si="47"/>
        <v>2.2800000000000001E-2</v>
      </c>
      <c r="N275" s="8">
        <f t="shared" si="39"/>
        <v>2.8499999999999998E-2</v>
      </c>
      <c r="O275" s="296">
        <f t="shared" si="45"/>
        <v>4.0749387702238613E-2</v>
      </c>
      <c r="P275" s="8">
        <f t="shared" si="40"/>
        <v>3.5049387702238616E-2</v>
      </c>
      <c r="Q275" s="8">
        <f t="shared" si="41"/>
        <v>-1.9822623144693408E-2</v>
      </c>
      <c r="R275" s="8">
        <f t="shared" si="42"/>
        <v>2.9900000000000003E-2</v>
      </c>
      <c r="S275" s="296">
        <f t="shared" si="43"/>
        <v>-4.9722623144693411E-2</v>
      </c>
      <c r="U275" s="297"/>
      <c r="V275" s="297"/>
      <c r="W275" s="297"/>
      <c r="X275" s="297"/>
      <c r="Y275" s="297"/>
      <c r="Z275" s="297"/>
      <c r="AA275" s="297"/>
      <c r="AB275" s="297"/>
      <c r="AC275" s="297"/>
      <c r="AE275" s="297"/>
      <c r="AF275" s="297"/>
      <c r="AG275" s="297"/>
      <c r="AH275" s="297"/>
      <c r="AI275" s="297"/>
      <c r="AJ275" s="297"/>
      <c r="AK275" s="297"/>
      <c r="AL275" s="297"/>
      <c r="AM275" s="297"/>
      <c r="AO275" s="297"/>
      <c r="AP275" s="297"/>
      <c r="AQ275" s="297"/>
      <c r="AR275" s="297"/>
      <c r="AS275" s="297"/>
      <c r="AT275" s="297"/>
      <c r="AU275" s="297"/>
      <c r="AV275" s="297"/>
      <c r="AW275" s="297"/>
    </row>
    <row r="276" spans="1:49" x14ac:dyDescent="0.45">
      <c r="A276" s="295">
        <v>17746</v>
      </c>
      <c r="B276" s="12">
        <v>1.5800000000000002E-2</v>
      </c>
      <c r="C276" s="5">
        <v>3.5999999999999999E-3</v>
      </c>
      <c r="D276" s="5">
        <v>2.0999999999999999E-3</v>
      </c>
      <c r="E276" s="5">
        <v>2.3666666666666667E-3</v>
      </c>
      <c r="F276" s="5">
        <v>2.4499999999999999E-3</v>
      </c>
      <c r="G276" s="5">
        <v>2.4083333333333335E-3</v>
      </c>
      <c r="H276" s="5">
        <v>2.5249999999999999E-3</v>
      </c>
      <c r="I276" s="5">
        <f t="shared" si="44"/>
        <v>1.3700000000000002E-2</v>
      </c>
      <c r="J276" s="5">
        <f t="shared" si="37"/>
        <v>1.3391666666666668E-2</v>
      </c>
      <c r="K276" s="5">
        <f t="shared" si="38"/>
        <v>1.075E-3</v>
      </c>
      <c r="L276" s="8">
        <f t="shared" si="46"/>
        <v>0.10273907117274073</v>
      </c>
      <c r="M276" s="8">
        <f t="shared" si="47"/>
        <v>2.52E-2</v>
      </c>
      <c r="N276" s="8">
        <f t="shared" si="39"/>
        <v>2.8900000000000002E-2</v>
      </c>
      <c r="O276" s="296">
        <f t="shared" si="45"/>
        <v>7.7539071172740726E-2</v>
      </c>
      <c r="P276" s="8">
        <f t="shared" si="40"/>
        <v>7.3839071172740717E-2</v>
      </c>
      <c r="Q276" s="8">
        <f t="shared" si="41"/>
        <v>-1.4125059719397148E-2</v>
      </c>
      <c r="R276" s="8">
        <f t="shared" si="42"/>
        <v>3.0300000000000001E-2</v>
      </c>
      <c r="S276" s="296">
        <f t="shared" si="43"/>
        <v>-4.4425059719397149E-2</v>
      </c>
      <c r="U276" s="297"/>
      <c r="V276" s="297"/>
      <c r="W276" s="297"/>
      <c r="X276" s="297"/>
      <c r="Y276" s="297"/>
      <c r="Z276" s="297"/>
      <c r="AA276" s="297"/>
      <c r="AB276" s="297"/>
      <c r="AC276" s="297"/>
      <c r="AE276" s="297"/>
      <c r="AF276" s="297"/>
      <c r="AG276" s="297"/>
      <c r="AH276" s="297"/>
      <c r="AI276" s="297"/>
      <c r="AJ276" s="297"/>
      <c r="AK276" s="297"/>
      <c r="AL276" s="297"/>
      <c r="AM276" s="297"/>
      <c r="AO276" s="297"/>
      <c r="AP276" s="297"/>
      <c r="AQ276" s="297"/>
      <c r="AR276" s="297"/>
      <c r="AS276" s="297"/>
      <c r="AT276" s="297"/>
      <c r="AU276" s="297"/>
      <c r="AV276" s="297"/>
      <c r="AW276" s="297"/>
    </row>
    <row r="277" spans="1:49" x14ac:dyDescent="0.45">
      <c r="A277" s="295">
        <v>17777</v>
      </c>
      <c r="B277" s="12">
        <v>-2.76E-2</v>
      </c>
      <c r="C277" s="5">
        <v>-7.0999999999999995E-3</v>
      </c>
      <c r="D277" s="5">
        <v>2E-3</v>
      </c>
      <c r="E277" s="5">
        <v>2.3666666666666667E-3</v>
      </c>
      <c r="F277" s="5">
        <v>2.4416666666666666E-3</v>
      </c>
      <c r="G277" s="5">
        <v>2.4041666666666669E-3</v>
      </c>
      <c r="H277" s="5">
        <v>2.5416666666666669E-3</v>
      </c>
      <c r="I277" s="5">
        <f t="shared" si="44"/>
        <v>-2.9600000000000001E-2</v>
      </c>
      <c r="J277" s="5">
        <f t="shared" si="37"/>
        <v>-3.0004166666666665E-2</v>
      </c>
      <c r="K277" s="5">
        <f t="shared" si="38"/>
        <v>-9.6416666666666664E-3</v>
      </c>
      <c r="L277" s="8">
        <f t="shared" si="46"/>
        <v>8.433964284394091E-2</v>
      </c>
      <c r="M277" s="8">
        <f t="shared" si="47"/>
        <v>2.4E-2</v>
      </c>
      <c r="N277" s="8">
        <f t="shared" si="39"/>
        <v>2.8850000000000001E-2</v>
      </c>
      <c r="O277" s="296">
        <f t="shared" si="45"/>
        <v>6.0339642843940909E-2</v>
      </c>
      <c r="P277" s="8">
        <f t="shared" si="40"/>
        <v>5.5489642843940909E-2</v>
      </c>
      <c r="Q277" s="8">
        <f t="shared" si="41"/>
        <v>-7.0245199790925916E-3</v>
      </c>
      <c r="R277" s="8">
        <f t="shared" si="42"/>
        <v>3.0500000000000003E-2</v>
      </c>
      <c r="S277" s="296">
        <f t="shared" si="43"/>
        <v>-3.7524519979092591E-2</v>
      </c>
      <c r="U277" s="297"/>
      <c r="V277" s="297"/>
      <c r="W277" s="297"/>
      <c r="X277" s="297"/>
      <c r="Y277" s="297"/>
      <c r="Z277" s="297"/>
      <c r="AA277" s="297"/>
      <c r="AB277" s="297"/>
      <c r="AC277" s="297"/>
      <c r="AE277" s="297"/>
      <c r="AF277" s="297"/>
      <c r="AG277" s="297"/>
      <c r="AH277" s="297"/>
      <c r="AI277" s="297"/>
      <c r="AJ277" s="297"/>
      <c r="AK277" s="297"/>
      <c r="AL277" s="297"/>
      <c r="AM277" s="297"/>
      <c r="AO277" s="297"/>
      <c r="AP277" s="297"/>
      <c r="AQ277" s="297"/>
      <c r="AR277" s="297"/>
      <c r="AS277" s="297"/>
      <c r="AT277" s="297"/>
      <c r="AU277" s="297"/>
      <c r="AV277" s="297"/>
      <c r="AW277" s="297"/>
    </row>
    <row r="278" spans="1:49" x14ac:dyDescent="0.45">
      <c r="A278" s="295">
        <v>17807</v>
      </c>
      <c r="B278" s="12">
        <v>7.0999999999999994E-2</v>
      </c>
      <c r="C278" s="5">
        <v>4.0300000000000002E-2</v>
      </c>
      <c r="D278" s="5">
        <v>1.9E-3</v>
      </c>
      <c r="E278" s="5">
        <v>2.3666666666666667E-3</v>
      </c>
      <c r="F278" s="5">
        <v>2.4499999999999999E-3</v>
      </c>
      <c r="G278" s="5">
        <v>2.4083333333333335E-3</v>
      </c>
      <c r="H278" s="5">
        <v>2.5249999999999999E-3</v>
      </c>
      <c r="I278" s="5">
        <f t="shared" si="44"/>
        <v>6.9099999999999995E-2</v>
      </c>
      <c r="J278" s="5">
        <f t="shared" si="37"/>
        <v>6.8591666666666662E-2</v>
      </c>
      <c r="K278" s="5">
        <f t="shared" si="38"/>
        <v>3.7775000000000003E-2</v>
      </c>
      <c r="L278" s="8">
        <f t="shared" si="46"/>
        <v>0.13433068713211571</v>
      </c>
      <c r="M278" s="8">
        <f t="shared" si="47"/>
        <v>2.2800000000000001E-2</v>
      </c>
      <c r="N278" s="8">
        <f t="shared" si="39"/>
        <v>2.8900000000000002E-2</v>
      </c>
      <c r="O278" s="296">
        <f t="shared" si="45"/>
        <v>0.11153068713211571</v>
      </c>
      <c r="P278" s="8">
        <f t="shared" si="40"/>
        <v>0.1054306871321157</v>
      </c>
      <c r="Q278" s="8">
        <f t="shared" si="41"/>
        <v>4.6916379715972845E-2</v>
      </c>
      <c r="R278" s="8">
        <f t="shared" si="42"/>
        <v>3.0300000000000001E-2</v>
      </c>
      <c r="S278" s="296">
        <f t="shared" si="43"/>
        <v>1.6616379715972844E-2</v>
      </c>
      <c r="U278" s="297"/>
      <c r="V278" s="297"/>
      <c r="W278" s="297"/>
      <c r="X278" s="297"/>
      <c r="Y278" s="297"/>
      <c r="Z278" s="297"/>
      <c r="AA278" s="297"/>
      <c r="AB278" s="297"/>
      <c r="AC278" s="297"/>
      <c r="AE278" s="297"/>
      <c r="AF278" s="297"/>
      <c r="AG278" s="297"/>
      <c r="AH278" s="297"/>
      <c r="AI278" s="297"/>
      <c r="AJ278" s="297"/>
      <c r="AK278" s="297"/>
      <c r="AL278" s="297"/>
      <c r="AM278" s="297"/>
      <c r="AO278" s="297"/>
      <c r="AP278" s="297"/>
      <c r="AQ278" s="297"/>
      <c r="AR278" s="297"/>
      <c r="AS278" s="297"/>
      <c r="AT278" s="297"/>
      <c r="AU278" s="297"/>
      <c r="AV278" s="297"/>
      <c r="AW278" s="297"/>
    </row>
    <row r="279" spans="1:49" x14ac:dyDescent="0.45">
      <c r="A279" s="295">
        <v>17838</v>
      </c>
      <c r="B279" s="12">
        <v>-9.6100000000000005E-2</v>
      </c>
      <c r="C279" s="5">
        <v>-9.1299999999999992E-2</v>
      </c>
      <c r="D279" s="5">
        <v>2.0999999999999999E-3</v>
      </c>
      <c r="E279" s="5">
        <v>2.3666666666666667E-3</v>
      </c>
      <c r="F279" s="5">
        <v>2.4333333333333334E-3</v>
      </c>
      <c r="G279" s="5">
        <v>2.3999999999999998E-3</v>
      </c>
      <c r="H279" s="5">
        <v>2.5583333333333335E-3</v>
      </c>
      <c r="I279" s="5">
        <f t="shared" si="44"/>
        <v>-9.820000000000001E-2</v>
      </c>
      <c r="J279" s="5">
        <f t="shared" si="37"/>
        <v>-9.8500000000000004E-2</v>
      </c>
      <c r="K279" s="5">
        <f t="shared" si="38"/>
        <v>-9.3858333333333321E-2</v>
      </c>
      <c r="L279" s="8">
        <f t="shared" si="46"/>
        <v>4.3584232161547165E-2</v>
      </c>
      <c r="M279" s="8">
        <f t="shared" si="47"/>
        <v>2.52E-2</v>
      </c>
      <c r="N279" s="8">
        <f t="shared" si="39"/>
        <v>2.8799999999999999E-2</v>
      </c>
      <c r="O279" s="296">
        <f t="shared" si="45"/>
        <v>1.8384232161547165E-2</v>
      </c>
      <c r="P279" s="8">
        <f t="shared" si="40"/>
        <v>1.4784232161547166E-2</v>
      </c>
      <c r="Q279" s="8">
        <f t="shared" si="41"/>
        <v>3.6762112301552241E-2</v>
      </c>
      <c r="R279" s="8">
        <f t="shared" si="42"/>
        <v>3.0700000000000002E-2</v>
      </c>
      <c r="S279" s="296">
        <f t="shared" si="43"/>
        <v>6.0621123015522395E-3</v>
      </c>
      <c r="U279" s="297"/>
      <c r="V279" s="297"/>
      <c r="W279" s="297"/>
      <c r="X279" s="297"/>
      <c r="Y279" s="297"/>
      <c r="Z279" s="297"/>
      <c r="AA279" s="297"/>
      <c r="AB279" s="297"/>
      <c r="AC279" s="297"/>
      <c r="AE279" s="297"/>
      <c r="AF279" s="297"/>
      <c r="AG279" s="297"/>
      <c r="AH279" s="297"/>
      <c r="AI279" s="297"/>
      <c r="AJ279" s="297"/>
      <c r="AK279" s="297"/>
      <c r="AL279" s="297"/>
      <c r="AM279" s="297"/>
      <c r="AO279" s="297"/>
      <c r="AP279" s="297"/>
      <c r="AQ279" s="297"/>
      <c r="AR279" s="297"/>
      <c r="AS279" s="297"/>
      <c r="AT279" s="297"/>
      <c r="AU279" s="297"/>
      <c r="AV279" s="297"/>
      <c r="AW279" s="297"/>
    </row>
    <row r="280" spans="1:49" x14ac:dyDescent="0.45">
      <c r="A280" s="295">
        <v>17868</v>
      </c>
      <c r="B280" s="12">
        <v>3.4599999999999999E-2</v>
      </c>
      <c r="C280" s="5">
        <v>2.2099999999999998E-2</v>
      </c>
      <c r="D280" s="5">
        <v>2E-3</v>
      </c>
      <c r="E280" s="5">
        <v>2.3250000000000002E-3</v>
      </c>
      <c r="F280" s="5">
        <v>2.3999999999999998E-3</v>
      </c>
      <c r="G280" s="5">
        <v>2.3625E-3</v>
      </c>
      <c r="H280" s="5">
        <v>2.5500000000000002E-3</v>
      </c>
      <c r="I280" s="5">
        <f t="shared" si="44"/>
        <v>3.2599999999999997E-2</v>
      </c>
      <c r="J280" s="5">
        <f t="shared" si="37"/>
        <v>3.2237500000000002E-2</v>
      </c>
      <c r="K280" s="5">
        <f t="shared" si="38"/>
        <v>1.9549999999999998E-2</v>
      </c>
      <c r="L280" s="8">
        <f t="shared" si="46"/>
        <v>5.5108224952932883E-2</v>
      </c>
      <c r="M280" s="8">
        <f t="shared" si="47"/>
        <v>2.4E-2</v>
      </c>
      <c r="N280" s="8">
        <f t="shared" si="39"/>
        <v>2.835E-2</v>
      </c>
      <c r="O280" s="296">
        <f t="shared" si="45"/>
        <v>3.1108224952932882E-2</v>
      </c>
      <c r="P280" s="8">
        <f t="shared" si="40"/>
        <v>2.6758224952932883E-2</v>
      </c>
      <c r="Q280" s="8">
        <f t="shared" si="41"/>
        <v>4.0018210799309673E-2</v>
      </c>
      <c r="R280" s="8">
        <f t="shared" si="42"/>
        <v>3.0600000000000002E-2</v>
      </c>
      <c r="S280" s="296">
        <f t="shared" si="43"/>
        <v>9.4182107993096703E-3</v>
      </c>
      <c r="U280" s="297"/>
      <c r="V280" s="297"/>
      <c r="W280" s="297"/>
      <c r="X280" s="297"/>
      <c r="Y280" s="297"/>
      <c r="Z280" s="297"/>
      <c r="AA280" s="297"/>
      <c r="AB280" s="297"/>
      <c r="AC280" s="297"/>
      <c r="AE280" s="297"/>
      <c r="AF280" s="297"/>
      <c r="AG280" s="297"/>
      <c r="AH280" s="297"/>
      <c r="AI280" s="297"/>
      <c r="AJ280" s="297"/>
      <c r="AK280" s="297"/>
      <c r="AL280" s="297"/>
      <c r="AM280" s="297"/>
      <c r="AO280" s="297"/>
      <c r="AP280" s="297"/>
      <c r="AQ280" s="297"/>
      <c r="AR280" s="297"/>
      <c r="AS280" s="297"/>
      <c r="AT280" s="297"/>
      <c r="AU280" s="297"/>
      <c r="AV280" s="297"/>
      <c r="AW280" s="297"/>
    </row>
    <row r="281" spans="1:49" x14ac:dyDescent="0.45">
      <c r="A281" s="295">
        <v>17899</v>
      </c>
      <c r="B281" s="12">
        <v>3.8999999999999998E-3</v>
      </c>
      <c r="C281" s="5">
        <v>5.04E-2</v>
      </c>
      <c r="D281" s="5">
        <v>2E-3</v>
      </c>
      <c r="E281" s="5">
        <v>2.2583333333333331E-3</v>
      </c>
      <c r="F281" s="5">
        <v>2.3416666666666668E-3</v>
      </c>
      <c r="G281" s="5">
        <v>2.3E-3</v>
      </c>
      <c r="H281" s="5">
        <v>2.4916666666666668E-3</v>
      </c>
      <c r="I281" s="5">
        <f t="shared" si="44"/>
        <v>1.8999999999999998E-3</v>
      </c>
      <c r="J281" s="5">
        <f t="shared" si="37"/>
        <v>1.5999999999999999E-3</v>
      </c>
      <c r="K281" s="5">
        <f t="shared" si="38"/>
        <v>4.7908333333333331E-2</v>
      </c>
      <c r="L281" s="8">
        <f t="shared" si="46"/>
        <v>0.10094911862618194</v>
      </c>
      <c r="M281" s="8">
        <f t="shared" si="47"/>
        <v>2.4E-2</v>
      </c>
      <c r="N281" s="8">
        <f t="shared" si="39"/>
        <v>2.76E-2</v>
      </c>
      <c r="O281" s="296">
        <f t="shared" si="45"/>
        <v>7.694911862618195E-2</v>
      </c>
      <c r="P281" s="8">
        <f t="shared" si="40"/>
        <v>7.3349118626181944E-2</v>
      </c>
      <c r="Q281" s="8">
        <f t="shared" si="41"/>
        <v>8.484123994398729E-2</v>
      </c>
      <c r="R281" s="8">
        <f t="shared" si="42"/>
        <v>2.9900000000000003E-2</v>
      </c>
      <c r="S281" s="296">
        <f t="shared" si="43"/>
        <v>5.4941239943987287E-2</v>
      </c>
      <c r="U281" s="297"/>
      <c r="V281" s="297"/>
      <c r="W281" s="297"/>
      <c r="X281" s="297"/>
      <c r="Y281" s="297"/>
      <c r="Z281" s="297"/>
      <c r="AA281" s="297"/>
      <c r="AB281" s="297"/>
      <c r="AC281" s="297"/>
      <c r="AE281" s="297"/>
      <c r="AF281" s="297"/>
      <c r="AG281" s="297"/>
      <c r="AH281" s="297"/>
      <c r="AI281" s="297"/>
      <c r="AJ281" s="297"/>
      <c r="AK281" s="297"/>
      <c r="AL281" s="297"/>
      <c r="AM281" s="297"/>
      <c r="AO281" s="297"/>
      <c r="AP281" s="297"/>
      <c r="AQ281" s="297"/>
      <c r="AR281" s="297"/>
      <c r="AS281" s="297"/>
      <c r="AT281" s="297"/>
      <c r="AU281" s="297"/>
      <c r="AV281" s="297"/>
      <c r="AW281" s="297"/>
    </row>
    <row r="282" spans="1:49" x14ac:dyDescent="0.45">
      <c r="A282" s="295">
        <v>17930</v>
      </c>
      <c r="B282" s="12">
        <v>-2.9600000000000001E-2</v>
      </c>
      <c r="C282" s="5">
        <v>5.0000000000000044E-4</v>
      </c>
      <c r="D282" s="5">
        <v>1.8E-3</v>
      </c>
      <c r="E282" s="5">
        <v>2.2583333333333331E-3</v>
      </c>
      <c r="F282" s="5">
        <v>2.3333333333333331E-3</v>
      </c>
      <c r="G282" s="5">
        <v>2.2958333333333329E-3</v>
      </c>
      <c r="H282" s="5">
        <v>2.4916666666666668E-3</v>
      </c>
      <c r="I282" s="5">
        <f t="shared" si="44"/>
        <v>-3.1400000000000004E-2</v>
      </c>
      <c r="J282" s="5">
        <f t="shared" si="37"/>
        <v>-3.1895833333333332E-2</v>
      </c>
      <c r="K282" s="5">
        <f t="shared" si="38"/>
        <v>-1.9916666666666663E-3</v>
      </c>
      <c r="L282" s="8">
        <f t="shared" si="46"/>
        <v>0.11148670902501734</v>
      </c>
      <c r="M282" s="8">
        <f t="shared" si="47"/>
        <v>2.1600000000000001E-2</v>
      </c>
      <c r="N282" s="8">
        <f t="shared" si="39"/>
        <v>2.7549999999999995E-2</v>
      </c>
      <c r="O282" s="296">
        <f t="shared" si="45"/>
        <v>8.9886709025017331E-2</v>
      </c>
      <c r="P282" s="8">
        <f t="shared" si="40"/>
        <v>8.3936709025017348E-2</v>
      </c>
      <c r="Q282" s="8">
        <f t="shared" si="41"/>
        <v>0.12731996319480543</v>
      </c>
      <c r="R282" s="8">
        <f t="shared" si="42"/>
        <v>2.9900000000000003E-2</v>
      </c>
      <c r="S282" s="296">
        <f t="shared" si="43"/>
        <v>9.741996319480542E-2</v>
      </c>
      <c r="U282" s="297"/>
      <c r="V282" s="297"/>
      <c r="W282" s="297"/>
      <c r="X282" s="297"/>
      <c r="Y282" s="297"/>
      <c r="Z282" s="297"/>
      <c r="AA282" s="297"/>
      <c r="AB282" s="297"/>
      <c r="AC282" s="297"/>
      <c r="AE282" s="297"/>
      <c r="AF282" s="297"/>
      <c r="AG282" s="297"/>
      <c r="AH282" s="297"/>
      <c r="AI282" s="297"/>
      <c r="AJ282" s="297"/>
      <c r="AK282" s="297"/>
      <c r="AL282" s="297"/>
      <c r="AM282" s="297"/>
      <c r="AO282" s="297"/>
      <c r="AP282" s="297"/>
      <c r="AQ282" s="297"/>
      <c r="AR282" s="297"/>
      <c r="AS282" s="297"/>
      <c r="AT282" s="297"/>
      <c r="AU282" s="297"/>
      <c r="AV282" s="297"/>
      <c r="AW282" s="297"/>
    </row>
    <row r="283" spans="1:49" x14ac:dyDescent="0.45">
      <c r="A283" s="295">
        <v>17958</v>
      </c>
      <c r="B283" s="12">
        <v>3.2800000000000003E-2</v>
      </c>
      <c r="C283" s="5">
        <v>3.6400000000000002E-2</v>
      </c>
      <c r="D283" s="5">
        <v>1.9E-3</v>
      </c>
      <c r="E283" s="5">
        <v>2.2500000000000003E-3</v>
      </c>
      <c r="F283" s="5">
        <v>2.3250000000000002E-3</v>
      </c>
      <c r="G283" s="5">
        <v>2.2875E-3</v>
      </c>
      <c r="H283" s="5">
        <v>2.4750000000000002E-3</v>
      </c>
      <c r="I283" s="5">
        <f t="shared" si="44"/>
        <v>3.0900000000000004E-2</v>
      </c>
      <c r="J283" s="5">
        <f t="shared" si="37"/>
        <v>3.0512500000000001E-2</v>
      </c>
      <c r="K283" s="5">
        <f t="shared" si="38"/>
        <v>3.3925000000000004E-2</v>
      </c>
      <c r="L283" s="8">
        <f t="shared" si="46"/>
        <v>6.3599993589398496E-2</v>
      </c>
      <c r="M283" s="8">
        <f t="shared" si="47"/>
        <v>2.2800000000000001E-2</v>
      </c>
      <c r="N283" s="8">
        <f t="shared" si="39"/>
        <v>2.7450000000000002E-2</v>
      </c>
      <c r="O283" s="296">
        <f t="shared" si="45"/>
        <v>4.0799993589398495E-2</v>
      </c>
      <c r="P283" s="8">
        <f t="shared" si="40"/>
        <v>3.6149993589398494E-2</v>
      </c>
      <c r="Q283" s="8">
        <f t="shared" si="41"/>
        <v>0.10045625869369545</v>
      </c>
      <c r="R283" s="8">
        <f t="shared" si="42"/>
        <v>2.9700000000000004E-2</v>
      </c>
      <c r="S283" s="296">
        <f t="shared" si="43"/>
        <v>7.0756258693695451E-2</v>
      </c>
      <c r="U283" s="297"/>
      <c r="V283" s="297"/>
      <c r="W283" s="297"/>
      <c r="X283" s="297"/>
      <c r="Y283" s="297"/>
      <c r="Z283" s="297"/>
      <c r="AA283" s="297"/>
      <c r="AB283" s="297"/>
      <c r="AC283" s="297"/>
      <c r="AE283" s="297"/>
      <c r="AF283" s="297"/>
      <c r="AG283" s="297"/>
      <c r="AH283" s="297"/>
      <c r="AI283" s="297"/>
      <c r="AJ283" s="297"/>
      <c r="AK283" s="297"/>
      <c r="AL283" s="297"/>
      <c r="AM283" s="297"/>
      <c r="AO283" s="297"/>
      <c r="AP283" s="297"/>
      <c r="AQ283" s="297"/>
      <c r="AR283" s="297"/>
      <c r="AS283" s="297"/>
      <c r="AT283" s="297"/>
      <c r="AU283" s="297"/>
      <c r="AV283" s="297"/>
      <c r="AW283" s="297"/>
    </row>
    <row r="284" spans="1:49" x14ac:dyDescent="0.45">
      <c r="A284" s="295">
        <v>17989</v>
      </c>
      <c r="B284" s="12">
        <v>-1.7899999999999999E-2</v>
      </c>
      <c r="C284" s="5">
        <v>5.7999999999999996E-3</v>
      </c>
      <c r="D284" s="5">
        <v>1.8E-3</v>
      </c>
      <c r="E284" s="5">
        <v>2.2500000000000003E-3</v>
      </c>
      <c r="F284" s="5">
        <v>2.3250000000000002E-3</v>
      </c>
      <c r="G284" s="5">
        <v>2.2875E-3</v>
      </c>
      <c r="H284" s="5">
        <v>2.4666666666666669E-3</v>
      </c>
      <c r="I284" s="5">
        <f t="shared" si="44"/>
        <v>-1.9699999999999999E-2</v>
      </c>
      <c r="J284" s="5">
        <f t="shared" si="37"/>
        <v>-2.0187500000000001E-2</v>
      </c>
      <c r="K284" s="5">
        <f t="shared" si="38"/>
        <v>3.3333333333333327E-3</v>
      </c>
      <c r="L284" s="8">
        <f t="shared" si="46"/>
        <v>1.4925722604108849E-2</v>
      </c>
      <c r="M284" s="8">
        <f t="shared" si="47"/>
        <v>2.1600000000000001E-2</v>
      </c>
      <c r="N284" s="8">
        <f t="shared" si="39"/>
        <v>2.7450000000000002E-2</v>
      </c>
      <c r="O284" s="296">
        <f t="shared" si="45"/>
        <v>-6.6742773958911525E-3</v>
      </c>
      <c r="P284" s="8">
        <f t="shared" si="40"/>
        <v>-1.2524277395891154E-2</v>
      </c>
      <c r="Q284" s="8">
        <f t="shared" si="41"/>
        <v>8.9408371057204006E-2</v>
      </c>
      <c r="R284" s="8">
        <f t="shared" si="42"/>
        <v>2.9600000000000001E-2</v>
      </c>
      <c r="S284" s="296">
        <f t="shared" si="43"/>
        <v>5.9808371057204004E-2</v>
      </c>
      <c r="U284" s="297"/>
      <c r="V284" s="297"/>
      <c r="W284" s="297"/>
      <c r="X284" s="297"/>
      <c r="Y284" s="297"/>
      <c r="Z284" s="297"/>
      <c r="AA284" s="297"/>
      <c r="AB284" s="297"/>
      <c r="AC284" s="297"/>
      <c r="AE284" s="297"/>
      <c r="AF284" s="297"/>
      <c r="AG284" s="297"/>
      <c r="AH284" s="297"/>
      <c r="AI284" s="297"/>
      <c r="AJ284" s="297"/>
      <c r="AK284" s="297"/>
      <c r="AL284" s="297"/>
      <c r="AM284" s="297"/>
      <c r="AO284" s="297"/>
      <c r="AP284" s="297"/>
      <c r="AQ284" s="297"/>
      <c r="AR284" s="297"/>
      <c r="AS284" s="297"/>
      <c r="AT284" s="297"/>
      <c r="AU284" s="297"/>
      <c r="AV284" s="297"/>
      <c r="AW284" s="297"/>
    </row>
    <row r="285" spans="1:49" x14ac:dyDescent="0.45">
      <c r="A285" s="295">
        <v>18019</v>
      </c>
      <c r="B285" s="12">
        <v>-2.58E-2</v>
      </c>
      <c r="C285" s="5">
        <v>3.4000000000000002E-3</v>
      </c>
      <c r="D285" s="5">
        <v>2E-3</v>
      </c>
      <c r="E285" s="5">
        <v>2.2583333333333331E-3</v>
      </c>
      <c r="F285" s="5">
        <v>2.3166666666666665E-3</v>
      </c>
      <c r="G285" s="5">
        <v>2.2875E-3</v>
      </c>
      <c r="H285" s="5">
        <v>2.4583333333333336E-3</v>
      </c>
      <c r="I285" s="5">
        <f t="shared" si="44"/>
        <v>-2.7799999999999998E-2</v>
      </c>
      <c r="J285" s="5">
        <f t="shared" ref="J285:J348" si="48">B285-G285</f>
        <v>-2.8087500000000001E-2</v>
      </c>
      <c r="K285" s="5">
        <f t="shared" ref="K285:K348" si="49">$C285-H285</f>
        <v>9.4166666666666661E-4</v>
      </c>
      <c r="L285" s="8">
        <f t="shared" si="46"/>
        <v>-9.1147496129311056E-2</v>
      </c>
      <c r="M285" s="8">
        <f t="shared" si="47"/>
        <v>2.4E-2</v>
      </c>
      <c r="N285" s="8">
        <f t="shared" si="39"/>
        <v>2.7450000000000002E-2</v>
      </c>
      <c r="O285" s="296">
        <f t="shared" si="45"/>
        <v>-0.11514749612931105</v>
      </c>
      <c r="P285" s="8">
        <f t="shared" si="40"/>
        <v>-0.11859749612931106</v>
      </c>
      <c r="Q285" s="8">
        <f t="shared" si="41"/>
        <v>3.2894604099781066E-2</v>
      </c>
      <c r="R285" s="8">
        <f t="shared" si="42"/>
        <v>2.9500000000000005E-2</v>
      </c>
      <c r="S285" s="296">
        <f t="shared" si="43"/>
        <v>3.3946040997810609E-3</v>
      </c>
      <c r="U285" s="297"/>
      <c r="V285" s="297"/>
      <c r="W285" s="297"/>
      <c r="X285" s="297"/>
      <c r="Y285" s="297"/>
      <c r="Z285" s="297"/>
      <c r="AA285" s="297"/>
      <c r="AB285" s="297"/>
      <c r="AC285" s="297"/>
      <c r="AE285" s="297"/>
      <c r="AF285" s="297"/>
      <c r="AG285" s="297"/>
      <c r="AH285" s="297"/>
      <c r="AI285" s="297"/>
      <c r="AJ285" s="297"/>
      <c r="AK285" s="297"/>
      <c r="AL285" s="297"/>
      <c r="AM285" s="297"/>
      <c r="AO285" s="297"/>
      <c r="AP285" s="297"/>
      <c r="AQ285" s="297"/>
      <c r="AR285" s="297"/>
      <c r="AS285" s="297"/>
      <c r="AT285" s="297"/>
      <c r="AU285" s="297"/>
      <c r="AV285" s="297"/>
      <c r="AW285" s="297"/>
    </row>
    <row r="286" spans="1:49" x14ac:dyDescent="0.45">
      <c r="A286" s="295">
        <v>18050</v>
      </c>
      <c r="B286" s="12">
        <v>1.4E-3</v>
      </c>
      <c r="C286" s="5">
        <v>-1.3399999999999999E-2</v>
      </c>
      <c r="D286" s="5">
        <v>1.9E-3</v>
      </c>
      <c r="E286" s="5">
        <v>2.2583333333333331E-3</v>
      </c>
      <c r="F286" s="5">
        <v>2.3166666666666665E-3</v>
      </c>
      <c r="G286" s="5">
        <v>2.2875E-3</v>
      </c>
      <c r="H286" s="5">
        <v>2.4499999999999999E-3</v>
      </c>
      <c r="I286" s="5">
        <f t="shared" si="44"/>
        <v>-5.0000000000000001E-4</v>
      </c>
      <c r="J286" s="5">
        <f t="shared" si="48"/>
        <v>-8.8750000000000005E-4</v>
      </c>
      <c r="K286" s="5">
        <f t="shared" si="49"/>
        <v>-1.585E-2</v>
      </c>
      <c r="L286" s="8">
        <f t="shared" si="46"/>
        <v>-9.4763380369894512E-2</v>
      </c>
      <c r="M286" s="8">
        <f t="shared" si="47"/>
        <v>2.2800000000000001E-2</v>
      </c>
      <c r="N286" s="8">
        <f t="shared" si="39"/>
        <v>2.7450000000000002E-2</v>
      </c>
      <c r="O286" s="296">
        <f t="shared" si="45"/>
        <v>-0.11756338036989451</v>
      </c>
      <c r="P286" s="8">
        <f t="shared" si="40"/>
        <v>-0.12221338036989451</v>
      </c>
      <c r="Q286" s="8">
        <f t="shared" si="41"/>
        <v>-2.1016290591027165E-3</v>
      </c>
      <c r="R286" s="8">
        <f t="shared" si="42"/>
        <v>2.9399999999999999E-2</v>
      </c>
      <c r="S286" s="296">
        <f t="shared" si="43"/>
        <v>-3.1501629059102712E-2</v>
      </c>
      <c r="U286" s="297"/>
      <c r="V286" s="297"/>
      <c r="W286" s="297"/>
      <c r="X286" s="297"/>
      <c r="Y286" s="297"/>
      <c r="Z286" s="297"/>
      <c r="AA286" s="297"/>
      <c r="AB286" s="297"/>
      <c r="AC286" s="297"/>
      <c r="AE286" s="297"/>
      <c r="AF286" s="297"/>
      <c r="AG286" s="297"/>
      <c r="AH286" s="297"/>
      <c r="AI286" s="297"/>
      <c r="AJ286" s="297"/>
      <c r="AK286" s="297"/>
      <c r="AL286" s="297"/>
      <c r="AM286" s="297"/>
      <c r="AO286" s="297"/>
      <c r="AP286" s="297"/>
      <c r="AQ286" s="297"/>
      <c r="AR286" s="297"/>
      <c r="AS286" s="297"/>
      <c r="AT286" s="297"/>
      <c r="AU286" s="297"/>
      <c r="AV286" s="297"/>
      <c r="AW286" s="297"/>
    </row>
    <row r="287" spans="1:49" x14ac:dyDescent="0.45">
      <c r="A287" s="295">
        <v>18080</v>
      </c>
      <c r="B287" s="12">
        <v>6.5000000000000002E-2</v>
      </c>
      <c r="C287" s="5">
        <v>5.6899999999999992E-2</v>
      </c>
      <c r="D287" s="5">
        <v>1.6999999999999999E-3</v>
      </c>
      <c r="E287" s="5">
        <v>2.225E-3</v>
      </c>
      <c r="F287" s="5">
        <v>2.2916666666666667E-3</v>
      </c>
      <c r="G287" s="5">
        <v>2.2583333333333331E-3</v>
      </c>
      <c r="H287" s="5">
        <v>2.4166666666666668E-3</v>
      </c>
      <c r="I287" s="5">
        <f t="shared" si="44"/>
        <v>6.3300000000000009E-2</v>
      </c>
      <c r="J287" s="5">
        <f t="shared" si="48"/>
        <v>6.2741666666666668E-2</v>
      </c>
      <c r="K287" s="5">
        <f t="shared" si="49"/>
        <v>5.4483333333333328E-2</v>
      </c>
      <c r="L287" s="8">
        <f t="shared" si="46"/>
        <v>1.5673198383967746E-2</v>
      </c>
      <c r="M287" s="8">
        <f t="shared" si="47"/>
        <v>2.0399999999999998E-2</v>
      </c>
      <c r="N287" s="8">
        <f t="shared" si="39"/>
        <v>2.7099999999999999E-2</v>
      </c>
      <c r="O287" s="296">
        <f t="shared" si="45"/>
        <v>-4.7268016160322522E-3</v>
      </c>
      <c r="P287" s="8">
        <f t="shared" si="40"/>
        <v>-1.1426801616032253E-2</v>
      </c>
      <c r="Q287" s="8">
        <f t="shared" si="41"/>
        <v>0.10356679737096752</v>
      </c>
      <c r="R287" s="8">
        <f t="shared" si="42"/>
        <v>2.9000000000000001E-2</v>
      </c>
      <c r="S287" s="296">
        <f t="shared" si="43"/>
        <v>7.4566797370967525E-2</v>
      </c>
      <c r="U287" s="297"/>
      <c r="V287" s="297"/>
      <c r="W287" s="297"/>
      <c r="X287" s="297"/>
      <c r="Y287" s="297"/>
      <c r="Z287" s="297"/>
      <c r="AA287" s="297"/>
      <c r="AB287" s="297"/>
      <c r="AC287" s="297"/>
      <c r="AE287" s="297"/>
      <c r="AF287" s="297"/>
      <c r="AG287" s="297"/>
      <c r="AH287" s="297"/>
      <c r="AI287" s="297"/>
      <c r="AJ287" s="297"/>
      <c r="AK287" s="297"/>
      <c r="AL287" s="297"/>
      <c r="AM287" s="297"/>
      <c r="AO287" s="297"/>
      <c r="AP287" s="297"/>
      <c r="AQ287" s="297"/>
      <c r="AR287" s="297"/>
      <c r="AS287" s="297"/>
      <c r="AT287" s="297"/>
      <c r="AU287" s="297"/>
      <c r="AV287" s="297"/>
      <c r="AW287" s="297"/>
    </row>
    <row r="288" spans="1:49" x14ac:dyDescent="0.45">
      <c r="A288" s="295">
        <v>18111</v>
      </c>
      <c r="B288" s="12">
        <v>2.1899999999999999E-2</v>
      </c>
      <c r="C288" s="5">
        <v>3.4599999999999999E-2</v>
      </c>
      <c r="D288" s="5">
        <v>1.9E-3</v>
      </c>
      <c r="E288" s="5">
        <v>2.1833333333333336E-3</v>
      </c>
      <c r="F288" s="5">
        <v>2.2583333333333331E-3</v>
      </c>
      <c r="G288" s="5">
        <v>2.2208333333333333E-3</v>
      </c>
      <c r="H288" s="5">
        <v>2.3833333333333332E-3</v>
      </c>
      <c r="I288" s="5">
        <f t="shared" si="44"/>
        <v>0.02</v>
      </c>
      <c r="J288" s="5">
        <f t="shared" si="48"/>
        <v>1.9679166666666664E-2</v>
      </c>
      <c r="K288" s="5">
        <f t="shared" si="49"/>
        <v>3.2216666666666664E-2</v>
      </c>
      <c r="L288" s="8">
        <f t="shared" si="46"/>
        <v>2.1772436925158845E-2</v>
      </c>
      <c r="M288" s="8">
        <f t="shared" si="47"/>
        <v>2.2800000000000001E-2</v>
      </c>
      <c r="N288" s="8">
        <f t="shared" si="39"/>
        <v>2.665E-2</v>
      </c>
      <c r="O288" s="296">
        <f t="shared" si="45"/>
        <v>-1.0275630748411563E-3</v>
      </c>
      <c r="P288" s="8">
        <f t="shared" si="40"/>
        <v>-4.8775630748411555E-3</v>
      </c>
      <c r="Q288" s="8">
        <f t="shared" si="41"/>
        <v>0.13765465181347492</v>
      </c>
      <c r="R288" s="8">
        <f t="shared" si="42"/>
        <v>2.86E-2</v>
      </c>
      <c r="S288" s="296">
        <f t="shared" si="43"/>
        <v>0.10905465181347491</v>
      </c>
      <c r="U288" s="297"/>
      <c r="V288" s="297"/>
      <c r="W288" s="297"/>
      <c r="X288" s="297"/>
      <c r="Y288" s="297"/>
      <c r="Z288" s="297"/>
      <c r="AA288" s="297"/>
      <c r="AB288" s="297"/>
      <c r="AC288" s="297"/>
      <c r="AE288" s="297"/>
      <c r="AF288" s="297"/>
      <c r="AG288" s="297"/>
      <c r="AH288" s="297"/>
      <c r="AI288" s="297"/>
      <c r="AJ288" s="297"/>
      <c r="AK288" s="297"/>
      <c r="AL288" s="297"/>
      <c r="AM288" s="297"/>
      <c r="AO288" s="297"/>
      <c r="AP288" s="297"/>
      <c r="AQ288" s="297"/>
      <c r="AR288" s="297"/>
      <c r="AS288" s="297"/>
      <c r="AT288" s="297"/>
      <c r="AU288" s="297"/>
      <c r="AV288" s="297"/>
      <c r="AW288" s="297"/>
    </row>
    <row r="289" spans="1:49" x14ac:dyDescent="0.45">
      <c r="A289" s="295">
        <v>18142</v>
      </c>
      <c r="B289" s="12">
        <v>2.63E-2</v>
      </c>
      <c r="C289" s="5">
        <v>3.73E-2</v>
      </c>
      <c r="D289" s="5">
        <v>1.6999999999999999E-3</v>
      </c>
      <c r="E289" s="5">
        <v>2.1666666666666666E-3</v>
      </c>
      <c r="F289" s="5">
        <v>2.2416666666666665E-3</v>
      </c>
      <c r="G289" s="5">
        <v>2.2041666666666663E-3</v>
      </c>
      <c r="H289" s="5">
        <v>2.3750000000000004E-3</v>
      </c>
      <c r="I289" s="5">
        <f t="shared" si="44"/>
        <v>2.46E-2</v>
      </c>
      <c r="J289" s="5">
        <f t="shared" si="48"/>
        <v>2.4095833333333334E-2</v>
      </c>
      <c r="K289" s="5">
        <f t="shared" si="49"/>
        <v>3.4924999999999998E-2</v>
      </c>
      <c r="L289" s="8">
        <f t="shared" si="46"/>
        <v>7.8409144401779818E-2</v>
      </c>
      <c r="M289" s="8">
        <f t="shared" si="47"/>
        <v>2.0399999999999998E-2</v>
      </c>
      <c r="N289" s="8">
        <f t="shared" si="39"/>
        <v>2.6449999999999994E-2</v>
      </c>
      <c r="O289" s="296">
        <f t="shared" si="45"/>
        <v>5.8009144401779816E-2</v>
      </c>
      <c r="P289" s="8">
        <f t="shared" si="40"/>
        <v>5.1959144401779823E-2</v>
      </c>
      <c r="Q289" s="8">
        <f t="shared" si="41"/>
        <v>0.1885277171176527</v>
      </c>
      <c r="R289" s="8">
        <f t="shared" si="42"/>
        <v>2.8500000000000004E-2</v>
      </c>
      <c r="S289" s="296">
        <f t="shared" si="43"/>
        <v>0.16002771711765271</v>
      </c>
      <c r="U289" s="297"/>
      <c r="V289" s="297"/>
      <c r="W289" s="297"/>
      <c r="X289" s="297"/>
      <c r="Y289" s="297"/>
      <c r="Z289" s="297"/>
      <c r="AA289" s="297"/>
      <c r="AB289" s="297"/>
      <c r="AC289" s="297"/>
      <c r="AE289" s="297"/>
      <c r="AF289" s="297"/>
      <c r="AG289" s="297"/>
      <c r="AH289" s="297"/>
      <c r="AI289" s="297"/>
      <c r="AJ289" s="297"/>
      <c r="AK289" s="297"/>
      <c r="AL289" s="297"/>
      <c r="AM289" s="297"/>
      <c r="AO289" s="297"/>
      <c r="AP289" s="297"/>
      <c r="AQ289" s="297"/>
      <c r="AR289" s="297"/>
      <c r="AS289" s="297"/>
      <c r="AT289" s="297"/>
      <c r="AU289" s="297"/>
      <c r="AV289" s="297"/>
      <c r="AW289" s="297"/>
    </row>
    <row r="290" spans="1:49" x14ac:dyDescent="0.45">
      <c r="A290" s="295">
        <v>18172</v>
      </c>
      <c r="B290" s="12">
        <v>3.4000000000000002E-2</v>
      </c>
      <c r="C290" s="5">
        <v>1.1199999999999998E-2</v>
      </c>
      <c r="D290" s="5">
        <v>1.8E-3</v>
      </c>
      <c r="E290" s="5">
        <v>2.1749999999999999E-3</v>
      </c>
      <c r="F290" s="5">
        <v>2.2500000000000003E-3</v>
      </c>
      <c r="G290" s="5">
        <v>2.2125000000000001E-3</v>
      </c>
      <c r="H290" s="5">
        <v>2.3583333333333334E-3</v>
      </c>
      <c r="I290" s="5">
        <f t="shared" si="44"/>
        <v>3.2199999999999999E-2</v>
      </c>
      <c r="J290" s="5">
        <f t="shared" si="48"/>
        <v>3.1787500000000003E-2</v>
      </c>
      <c r="K290" s="5">
        <f t="shared" si="49"/>
        <v>8.8416666666666643E-3</v>
      </c>
      <c r="L290" s="8">
        <f t="shared" si="46"/>
        <v>4.1153179562502862E-2</v>
      </c>
      <c r="M290" s="8">
        <f t="shared" si="47"/>
        <v>2.1600000000000001E-2</v>
      </c>
      <c r="N290" s="8">
        <f t="shared" si="39"/>
        <v>2.6550000000000001E-2</v>
      </c>
      <c r="O290" s="296">
        <f t="shared" si="45"/>
        <v>1.9553179562502861E-2</v>
      </c>
      <c r="P290" s="8">
        <f t="shared" si="40"/>
        <v>1.4603179562502861E-2</v>
      </c>
      <c r="Q290" s="8">
        <f t="shared" si="41"/>
        <v>0.15528138762796395</v>
      </c>
      <c r="R290" s="8">
        <f t="shared" si="42"/>
        <v>2.8299999999999999E-2</v>
      </c>
      <c r="S290" s="296">
        <f t="shared" si="43"/>
        <v>0.12698138762796396</v>
      </c>
      <c r="U290" s="297"/>
      <c r="V290" s="297"/>
      <c r="W290" s="297"/>
      <c r="X290" s="297"/>
      <c r="Y290" s="297"/>
      <c r="Z290" s="297"/>
      <c r="AA290" s="297"/>
      <c r="AB290" s="297"/>
      <c r="AC290" s="297"/>
      <c r="AE290" s="297"/>
      <c r="AF290" s="297"/>
      <c r="AG290" s="297"/>
      <c r="AH290" s="297"/>
      <c r="AI290" s="297"/>
      <c r="AJ290" s="297"/>
      <c r="AK290" s="297"/>
      <c r="AL290" s="297"/>
      <c r="AM290" s="297"/>
      <c r="AO290" s="297"/>
      <c r="AP290" s="297"/>
      <c r="AQ290" s="297"/>
      <c r="AR290" s="297"/>
      <c r="AS290" s="297"/>
      <c r="AT290" s="297"/>
      <c r="AU290" s="297"/>
      <c r="AV290" s="297"/>
      <c r="AW290" s="297"/>
    </row>
    <row r="291" spans="1:49" x14ac:dyDescent="0.45">
      <c r="A291" s="295">
        <v>18203</v>
      </c>
      <c r="B291" s="12">
        <v>1.7500000000000002E-2</v>
      </c>
      <c r="C291" s="5">
        <v>1.5899999999999997E-2</v>
      </c>
      <c r="D291" s="5">
        <v>1.6999999999999999E-3</v>
      </c>
      <c r="E291" s="5">
        <v>2.1666666666666666E-3</v>
      </c>
      <c r="F291" s="5">
        <v>2.2333333333333337E-3</v>
      </c>
      <c r="G291" s="5">
        <v>2.2000000000000001E-3</v>
      </c>
      <c r="H291" s="5">
        <v>2.3416666666666668E-3</v>
      </c>
      <c r="I291" s="5">
        <f t="shared" si="44"/>
        <v>1.5800000000000002E-2</v>
      </c>
      <c r="J291" s="5">
        <f t="shared" si="48"/>
        <v>1.5300000000000001E-2</v>
      </c>
      <c r="K291" s="5">
        <f t="shared" si="49"/>
        <v>1.355833333333333E-2</v>
      </c>
      <c r="L291" s="8">
        <f t="shared" si="46"/>
        <v>0.17200283239832559</v>
      </c>
      <c r="M291" s="8">
        <f t="shared" si="47"/>
        <v>2.0399999999999998E-2</v>
      </c>
      <c r="N291" s="8">
        <f t="shared" si="39"/>
        <v>2.64E-2</v>
      </c>
      <c r="O291" s="296">
        <f t="shared" si="45"/>
        <v>0.15160283239832559</v>
      </c>
      <c r="P291" s="8">
        <f t="shared" si="40"/>
        <v>0.14560283239832558</v>
      </c>
      <c r="Q291" s="8">
        <f t="shared" si="41"/>
        <v>0.29157077329288894</v>
      </c>
      <c r="R291" s="8">
        <f t="shared" si="42"/>
        <v>2.81E-2</v>
      </c>
      <c r="S291" s="296">
        <f t="shared" si="43"/>
        <v>0.26347077329288893</v>
      </c>
      <c r="U291" s="297"/>
      <c r="V291" s="297"/>
      <c r="W291" s="297"/>
      <c r="X291" s="297"/>
      <c r="Y291" s="297"/>
      <c r="Z291" s="297"/>
      <c r="AA291" s="297"/>
      <c r="AB291" s="297"/>
      <c r="AC291" s="297"/>
      <c r="AE291" s="297"/>
      <c r="AF291" s="297"/>
      <c r="AG291" s="297"/>
      <c r="AH291" s="297"/>
      <c r="AI291" s="297"/>
      <c r="AJ291" s="297"/>
      <c r="AK291" s="297"/>
      <c r="AL291" s="297"/>
      <c r="AM291" s="297"/>
      <c r="AO291" s="297"/>
      <c r="AP291" s="297"/>
      <c r="AQ291" s="297"/>
      <c r="AR291" s="297"/>
      <c r="AS291" s="297"/>
      <c r="AT291" s="297"/>
      <c r="AU291" s="297"/>
      <c r="AV291" s="297"/>
      <c r="AW291" s="297"/>
    </row>
    <row r="292" spans="1:49" x14ac:dyDescent="0.45">
      <c r="A292" s="295">
        <v>18233</v>
      </c>
      <c r="B292" s="12">
        <v>4.8599999999999997E-2</v>
      </c>
      <c r="C292" s="5">
        <v>3.9599999999999996E-2</v>
      </c>
      <c r="D292" s="5">
        <v>1.6999999999999999E-3</v>
      </c>
      <c r="E292" s="5">
        <v>2.15E-3</v>
      </c>
      <c r="F292" s="5">
        <v>2.225E-3</v>
      </c>
      <c r="G292" s="5">
        <v>2.1875000000000002E-3</v>
      </c>
      <c r="H292" s="5">
        <v>2.316666666666667E-3</v>
      </c>
      <c r="I292" s="5">
        <f t="shared" si="44"/>
        <v>4.6899999999999997E-2</v>
      </c>
      <c r="J292" s="5">
        <f t="shared" si="48"/>
        <v>4.6412499999999995E-2</v>
      </c>
      <c r="K292" s="5">
        <f t="shared" si="49"/>
        <v>3.7283333333333328E-2</v>
      </c>
      <c r="L292" s="8">
        <f t="shared" si="46"/>
        <v>0.18786214000858736</v>
      </c>
      <c r="M292" s="8">
        <f t="shared" si="47"/>
        <v>2.0399999999999998E-2</v>
      </c>
      <c r="N292" s="8">
        <f t="shared" si="39"/>
        <v>2.6250000000000002E-2</v>
      </c>
      <c r="O292" s="296">
        <f t="shared" si="45"/>
        <v>0.16746214000858736</v>
      </c>
      <c r="P292" s="8">
        <f t="shared" si="40"/>
        <v>0.16161214000858737</v>
      </c>
      <c r="Q292" s="8">
        <f t="shared" si="41"/>
        <v>0.31368454741736396</v>
      </c>
      <c r="R292" s="8">
        <f t="shared" si="42"/>
        <v>2.7800000000000005E-2</v>
      </c>
      <c r="S292" s="296">
        <f t="shared" si="43"/>
        <v>0.28588454741736397</v>
      </c>
      <c r="U292" s="297"/>
      <c r="V292" s="297"/>
      <c r="W292" s="297"/>
      <c r="X292" s="297"/>
      <c r="Y292" s="297"/>
      <c r="Z292" s="297"/>
      <c r="AA292" s="297"/>
      <c r="AB292" s="297"/>
      <c r="AC292" s="297"/>
      <c r="AE292" s="297"/>
      <c r="AF292" s="297"/>
      <c r="AG292" s="297"/>
      <c r="AH292" s="297"/>
      <c r="AI292" s="297"/>
      <c r="AJ292" s="297"/>
      <c r="AK292" s="297"/>
      <c r="AL292" s="297"/>
      <c r="AM292" s="297"/>
      <c r="AO292" s="297"/>
      <c r="AP292" s="297"/>
      <c r="AQ292" s="297"/>
      <c r="AR292" s="297"/>
      <c r="AS292" s="297"/>
      <c r="AT292" s="297"/>
      <c r="AU292" s="297"/>
      <c r="AV292" s="297"/>
      <c r="AW292" s="297"/>
    </row>
    <row r="293" spans="1:49" x14ac:dyDescent="0.45">
      <c r="A293" s="295">
        <v>18264</v>
      </c>
      <c r="B293" s="12">
        <v>1.9699999999999999E-2</v>
      </c>
      <c r="C293" s="5">
        <v>3.5299999999999998E-2</v>
      </c>
      <c r="D293" s="5">
        <v>1.8E-3</v>
      </c>
      <c r="E293" s="5">
        <v>2.1416666666666663E-3</v>
      </c>
      <c r="F293" s="5">
        <v>2.2083333333333334E-3</v>
      </c>
      <c r="G293" s="5">
        <v>2.1749999999999999E-3</v>
      </c>
      <c r="H293" s="5">
        <v>2.3E-3</v>
      </c>
      <c r="I293" s="5">
        <f t="shared" si="44"/>
        <v>1.7899999999999999E-2</v>
      </c>
      <c r="J293" s="5">
        <f t="shared" si="48"/>
        <v>1.7524999999999999E-2</v>
      </c>
      <c r="K293" s="5">
        <f t="shared" si="49"/>
        <v>3.3000000000000002E-2</v>
      </c>
      <c r="L293" s="8">
        <f t="shared" si="46"/>
        <v>0.20655745011132187</v>
      </c>
      <c r="M293" s="8">
        <f t="shared" si="47"/>
        <v>2.1600000000000001E-2</v>
      </c>
      <c r="N293" s="8">
        <f t="shared" si="39"/>
        <v>2.6099999999999998E-2</v>
      </c>
      <c r="O293" s="296">
        <f t="shared" si="45"/>
        <v>0.18495745011132186</v>
      </c>
      <c r="P293" s="8">
        <f t="shared" si="40"/>
        <v>0.18045745011132186</v>
      </c>
      <c r="Q293" s="8">
        <f t="shared" si="41"/>
        <v>0.29479970672238864</v>
      </c>
      <c r="R293" s="8">
        <f t="shared" si="42"/>
        <v>2.76E-2</v>
      </c>
      <c r="S293" s="296">
        <f t="shared" si="43"/>
        <v>0.26719970672238863</v>
      </c>
      <c r="U293" s="297"/>
      <c r="V293" s="297"/>
      <c r="W293" s="297"/>
      <c r="X293" s="297"/>
      <c r="Y293" s="297"/>
      <c r="Z293" s="297"/>
      <c r="AA293" s="297"/>
      <c r="AB293" s="297"/>
      <c r="AC293" s="297"/>
      <c r="AE293" s="297"/>
      <c r="AF293" s="297"/>
      <c r="AG293" s="297"/>
      <c r="AH293" s="297"/>
      <c r="AI293" s="297"/>
      <c r="AJ293" s="297"/>
      <c r="AK293" s="297"/>
      <c r="AL293" s="297"/>
      <c r="AM293" s="297"/>
      <c r="AO293" s="297"/>
      <c r="AP293" s="297"/>
      <c r="AQ293" s="297"/>
      <c r="AR293" s="297"/>
      <c r="AS293" s="297"/>
      <c r="AT293" s="297"/>
      <c r="AU293" s="297"/>
      <c r="AV293" s="297"/>
      <c r="AW293" s="297"/>
    </row>
    <row r="294" spans="1:49" x14ac:dyDescent="0.45">
      <c r="A294" s="295">
        <v>18295</v>
      </c>
      <c r="B294" s="12">
        <v>1.9900000000000001E-2</v>
      </c>
      <c r="C294" s="5">
        <v>0.01</v>
      </c>
      <c r="D294" s="5">
        <v>1.6000000000000001E-3</v>
      </c>
      <c r="E294" s="5">
        <v>2.15E-3</v>
      </c>
      <c r="F294" s="5">
        <v>2.2083333333333334E-3</v>
      </c>
      <c r="G294" s="5">
        <v>2.1791666666666665E-3</v>
      </c>
      <c r="H294" s="5">
        <v>2.3E-3</v>
      </c>
      <c r="I294" s="5">
        <f t="shared" si="44"/>
        <v>1.83E-2</v>
      </c>
      <c r="J294" s="5">
        <f t="shared" si="48"/>
        <v>1.7720833333333335E-2</v>
      </c>
      <c r="K294" s="5">
        <f t="shared" si="49"/>
        <v>7.7000000000000002E-3</v>
      </c>
      <c r="L294" s="8">
        <f t="shared" si="46"/>
        <v>0.26810381633196378</v>
      </c>
      <c r="M294" s="8">
        <f t="shared" si="47"/>
        <v>1.9200000000000002E-2</v>
      </c>
      <c r="N294" s="8">
        <f t="shared" si="39"/>
        <v>2.615E-2</v>
      </c>
      <c r="O294" s="296">
        <f t="shared" si="45"/>
        <v>0.24890381633196379</v>
      </c>
      <c r="P294" s="8">
        <f t="shared" si="40"/>
        <v>0.24195381633196378</v>
      </c>
      <c r="Q294" s="8">
        <f t="shared" si="41"/>
        <v>0.30709415671125595</v>
      </c>
      <c r="R294" s="8">
        <f t="shared" si="42"/>
        <v>2.76E-2</v>
      </c>
      <c r="S294" s="296">
        <f t="shared" si="43"/>
        <v>0.27949415671125594</v>
      </c>
      <c r="U294" s="297"/>
      <c r="V294" s="297"/>
      <c r="W294" s="297"/>
      <c r="X294" s="297"/>
      <c r="Y294" s="297"/>
      <c r="Z294" s="297"/>
      <c r="AA294" s="297"/>
      <c r="AB294" s="297"/>
      <c r="AC294" s="297"/>
      <c r="AE294" s="297"/>
      <c r="AF294" s="297"/>
      <c r="AG294" s="297"/>
      <c r="AH294" s="297"/>
      <c r="AI294" s="297"/>
      <c r="AJ294" s="297"/>
      <c r="AK294" s="297"/>
      <c r="AL294" s="297"/>
      <c r="AM294" s="297"/>
      <c r="AO294" s="297"/>
      <c r="AP294" s="297"/>
      <c r="AQ294" s="297"/>
      <c r="AR294" s="297"/>
      <c r="AS294" s="297"/>
      <c r="AT294" s="297"/>
      <c r="AU294" s="297"/>
      <c r="AV294" s="297"/>
      <c r="AW294" s="297"/>
    </row>
    <row r="295" spans="1:49" x14ac:dyDescent="0.45">
      <c r="A295" s="295">
        <v>18323</v>
      </c>
      <c r="B295" s="12">
        <v>7.0000000000000001E-3</v>
      </c>
      <c r="C295" s="5">
        <v>8.3999999999999995E-3</v>
      </c>
      <c r="D295" s="5">
        <v>1.8E-3</v>
      </c>
      <c r="E295" s="5">
        <v>2.15E-3</v>
      </c>
      <c r="F295" s="5">
        <v>2.2166666666666667E-3</v>
      </c>
      <c r="G295" s="5">
        <v>2.1833333333333331E-3</v>
      </c>
      <c r="H295" s="5">
        <v>2.3E-3</v>
      </c>
      <c r="I295" s="5">
        <f t="shared" si="44"/>
        <v>5.1999999999999998E-3</v>
      </c>
      <c r="J295" s="5">
        <f t="shared" si="48"/>
        <v>4.816666666666667E-3</v>
      </c>
      <c r="K295" s="5">
        <f t="shared" si="49"/>
        <v>6.0999999999999995E-3</v>
      </c>
      <c r="L295" s="8">
        <f t="shared" si="46"/>
        <v>0.23642577754288019</v>
      </c>
      <c r="M295" s="8">
        <f t="shared" si="47"/>
        <v>2.1600000000000001E-2</v>
      </c>
      <c r="N295" s="8">
        <f t="shared" si="39"/>
        <v>2.6199999999999998E-2</v>
      </c>
      <c r="O295" s="296">
        <f t="shared" si="45"/>
        <v>0.21482577754288018</v>
      </c>
      <c r="P295" s="8">
        <f t="shared" si="40"/>
        <v>0.21022577754288019</v>
      </c>
      <c r="Q295" s="8">
        <f t="shared" si="41"/>
        <v>0.27178092206448357</v>
      </c>
      <c r="R295" s="8">
        <f t="shared" si="42"/>
        <v>2.76E-2</v>
      </c>
      <c r="S295" s="296">
        <f t="shared" si="43"/>
        <v>0.24418092206448355</v>
      </c>
      <c r="U295" s="297"/>
      <c r="V295" s="297"/>
      <c r="W295" s="297"/>
      <c r="X295" s="297"/>
      <c r="Y295" s="297"/>
      <c r="Z295" s="297"/>
      <c r="AA295" s="297"/>
      <c r="AB295" s="297"/>
      <c r="AC295" s="297"/>
      <c r="AE295" s="297"/>
      <c r="AF295" s="297"/>
      <c r="AG295" s="297"/>
      <c r="AH295" s="297"/>
      <c r="AI295" s="297"/>
      <c r="AJ295" s="297"/>
      <c r="AK295" s="297"/>
      <c r="AL295" s="297"/>
      <c r="AM295" s="297"/>
      <c r="AO295" s="297"/>
      <c r="AP295" s="297"/>
      <c r="AQ295" s="297"/>
      <c r="AR295" s="297"/>
      <c r="AS295" s="297"/>
      <c r="AT295" s="297"/>
      <c r="AU295" s="297"/>
      <c r="AV295" s="297"/>
      <c r="AW295" s="297"/>
    </row>
    <row r="296" spans="1:49" x14ac:dyDescent="0.45">
      <c r="A296" s="295">
        <v>18354</v>
      </c>
      <c r="B296" s="12">
        <v>4.8599999999999997E-2</v>
      </c>
      <c r="C296" s="5">
        <v>1.8499999999999999E-2</v>
      </c>
      <c r="D296" s="5">
        <v>1.6000000000000001E-3</v>
      </c>
      <c r="E296" s="5">
        <v>2.1666666666666666E-3</v>
      </c>
      <c r="F296" s="5">
        <v>2.2166666666666667E-3</v>
      </c>
      <c r="G296" s="5">
        <v>2.1916666666666668E-3</v>
      </c>
      <c r="H296" s="5">
        <v>2.3083333333333332E-3</v>
      </c>
      <c r="I296" s="5">
        <f t="shared" si="44"/>
        <v>4.7E-2</v>
      </c>
      <c r="J296" s="5">
        <f t="shared" si="48"/>
        <v>4.6408333333333329E-2</v>
      </c>
      <c r="K296" s="5">
        <f t="shared" si="49"/>
        <v>1.6191666666666667E-2</v>
      </c>
      <c r="L296" s="8">
        <f t="shared" si="46"/>
        <v>0.32014669619332525</v>
      </c>
      <c r="M296" s="8">
        <f t="shared" si="47"/>
        <v>1.9200000000000002E-2</v>
      </c>
      <c r="N296" s="8">
        <f t="shared" ref="N296:N359" si="50">G296*12</f>
        <v>2.6300000000000004E-2</v>
      </c>
      <c r="O296" s="296">
        <f t="shared" si="45"/>
        <v>0.30094669619332526</v>
      </c>
      <c r="P296" s="8">
        <f t="shared" ref="P296:P359" si="51">L296-N296</f>
        <v>0.29384669619332526</v>
      </c>
      <c r="Q296" s="8">
        <f t="shared" ref="Q296:Q359" si="52">((1+C285)*(1+C286)*(1+C287)*(1+C288)*(1+C289)*(1+C290)*(1+C291)*(1+C292)*(1+C293)*(1+C294)*(1+C295)*(1+C296))-1</f>
        <v>0.28783940059920154</v>
      </c>
      <c r="R296" s="8">
        <f t="shared" ref="R296:R359" si="53">H296*12</f>
        <v>2.7699999999999999E-2</v>
      </c>
      <c r="S296" s="296">
        <f t="shared" ref="S296:S359" si="54">Q296-R296</f>
        <v>0.26013940059920154</v>
      </c>
      <c r="U296" s="297"/>
      <c r="V296" s="297"/>
      <c r="W296" s="297"/>
      <c r="X296" s="297"/>
      <c r="Y296" s="297"/>
      <c r="Z296" s="297"/>
      <c r="AA296" s="297"/>
      <c r="AB296" s="297"/>
      <c r="AC296" s="297"/>
      <c r="AE296" s="297"/>
      <c r="AF296" s="297"/>
      <c r="AG296" s="297"/>
      <c r="AH296" s="297"/>
      <c r="AI296" s="297"/>
      <c r="AJ296" s="297"/>
      <c r="AK296" s="297"/>
      <c r="AL296" s="297"/>
      <c r="AM296" s="297"/>
      <c r="AO296" s="297"/>
      <c r="AP296" s="297"/>
      <c r="AQ296" s="297"/>
      <c r="AR296" s="297"/>
      <c r="AS296" s="297"/>
      <c r="AT296" s="297"/>
      <c r="AU296" s="297"/>
      <c r="AV296" s="297"/>
      <c r="AW296" s="297"/>
    </row>
    <row r="297" spans="1:49" x14ac:dyDescent="0.45">
      <c r="A297" s="295">
        <v>18384</v>
      </c>
      <c r="B297" s="12">
        <v>5.0900000000000001E-2</v>
      </c>
      <c r="C297" s="5">
        <v>1.9199999999999998E-2</v>
      </c>
      <c r="D297" s="5">
        <v>1.9E-3</v>
      </c>
      <c r="E297" s="5">
        <v>2.1749999999999999E-3</v>
      </c>
      <c r="F297" s="5">
        <v>2.2416666666666665E-3</v>
      </c>
      <c r="G297" s="5">
        <v>2.2083333333333334E-3</v>
      </c>
      <c r="H297" s="5">
        <v>2.3250000000000002E-3</v>
      </c>
      <c r="I297" s="5">
        <f t="shared" si="44"/>
        <v>4.9000000000000002E-2</v>
      </c>
      <c r="J297" s="5">
        <f t="shared" si="48"/>
        <v>4.8691666666666668E-2</v>
      </c>
      <c r="K297" s="5">
        <f t="shared" si="49"/>
        <v>1.6874999999999998E-2</v>
      </c>
      <c r="L297" s="8">
        <f t="shared" si="46"/>
        <v>0.42408351778850872</v>
      </c>
      <c r="M297" s="8">
        <f t="shared" si="47"/>
        <v>2.2800000000000001E-2</v>
      </c>
      <c r="N297" s="8">
        <f t="shared" si="50"/>
        <v>2.6500000000000003E-2</v>
      </c>
      <c r="O297" s="296">
        <f t="shared" si="45"/>
        <v>0.40128351778850874</v>
      </c>
      <c r="P297" s="8">
        <f t="shared" si="51"/>
        <v>0.3975835177885087</v>
      </c>
      <c r="Q297" s="8">
        <f t="shared" si="52"/>
        <v>0.30811831482031726</v>
      </c>
      <c r="R297" s="8">
        <f t="shared" si="53"/>
        <v>2.7900000000000001E-2</v>
      </c>
      <c r="S297" s="296">
        <f t="shared" si="54"/>
        <v>0.28021831482031728</v>
      </c>
      <c r="U297" s="297"/>
      <c r="V297" s="297"/>
      <c r="W297" s="297"/>
      <c r="X297" s="297"/>
      <c r="Y297" s="297"/>
      <c r="Z297" s="297"/>
      <c r="AA297" s="297"/>
      <c r="AB297" s="297"/>
      <c r="AC297" s="297"/>
      <c r="AE297" s="297"/>
      <c r="AF297" s="297"/>
      <c r="AG297" s="297"/>
      <c r="AH297" s="297"/>
      <c r="AI297" s="297"/>
      <c r="AJ297" s="297"/>
      <c r="AK297" s="297"/>
      <c r="AL297" s="297"/>
      <c r="AM297" s="297"/>
      <c r="AO297" s="297"/>
      <c r="AP297" s="297"/>
      <c r="AQ297" s="297"/>
      <c r="AR297" s="297"/>
      <c r="AS297" s="297"/>
      <c r="AT297" s="297"/>
      <c r="AU297" s="297"/>
      <c r="AV297" s="297"/>
      <c r="AW297" s="297"/>
    </row>
    <row r="298" spans="1:49" x14ac:dyDescent="0.45">
      <c r="A298" s="295">
        <v>18415</v>
      </c>
      <c r="B298" s="12">
        <v>-5.4800000000000001E-2</v>
      </c>
      <c r="C298" s="5">
        <v>-7.7100000000000002E-2</v>
      </c>
      <c r="D298" s="5">
        <v>1.6999999999999999E-3</v>
      </c>
      <c r="E298" s="5">
        <v>2.1833333333333336E-3</v>
      </c>
      <c r="F298" s="5">
        <v>2.2416666666666665E-3</v>
      </c>
      <c r="G298" s="5">
        <v>2.2125000000000001E-3</v>
      </c>
      <c r="H298" s="5">
        <v>2.3250000000000002E-3</v>
      </c>
      <c r="I298" s="5">
        <f t="shared" si="44"/>
        <v>-5.6500000000000002E-2</v>
      </c>
      <c r="J298" s="5">
        <f t="shared" si="48"/>
        <v>-5.7012500000000001E-2</v>
      </c>
      <c r="K298" s="5">
        <f t="shared" si="49"/>
        <v>-7.9424999999999996E-2</v>
      </c>
      <c r="L298" s="8">
        <f t="shared" si="46"/>
        <v>0.34416191433363208</v>
      </c>
      <c r="M298" s="8">
        <f t="shared" si="47"/>
        <v>2.0399999999999998E-2</v>
      </c>
      <c r="N298" s="8">
        <f t="shared" si="50"/>
        <v>2.6550000000000001E-2</v>
      </c>
      <c r="O298" s="296">
        <f t="shared" si="45"/>
        <v>0.32376191433363211</v>
      </c>
      <c r="P298" s="8">
        <f t="shared" si="51"/>
        <v>0.31761191433363206</v>
      </c>
      <c r="Q298" s="8">
        <f t="shared" si="52"/>
        <v>0.22365942909757841</v>
      </c>
      <c r="R298" s="8">
        <f t="shared" si="53"/>
        <v>2.7900000000000001E-2</v>
      </c>
      <c r="S298" s="296">
        <f t="shared" si="54"/>
        <v>0.1957594290975784</v>
      </c>
      <c r="U298" s="297"/>
      <c r="V298" s="297"/>
      <c r="W298" s="297"/>
      <c r="X298" s="297"/>
      <c r="Y298" s="297"/>
      <c r="Z298" s="297"/>
      <c r="AA298" s="297"/>
      <c r="AB298" s="297"/>
      <c r="AC298" s="297"/>
      <c r="AE298" s="297"/>
      <c r="AF298" s="297"/>
      <c r="AG298" s="297"/>
      <c r="AH298" s="297"/>
      <c r="AI298" s="297"/>
      <c r="AJ298" s="297"/>
      <c r="AK298" s="297"/>
      <c r="AL298" s="297"/>
      <c r="AM298" s="297"/>
      <c r="AO298" s="297"/>
      <c r="AP298" s="297"/>
      <c r="AQ298" s="297"/>
      <c r="AR298" s="297"/>
      <c r="AS298" s="297"/>
      <c r="AT298" s="297"/>
      <c r="AU298" s="297"/>
      <c r="AV298" s="297"/>
      <c r="AW298" s="297"/>
    </row>
    <row r="299" spans="1:49" x14ac:dyDescent="0.45">
      <c r="A299" s="295">
        <v>18445</v>
      </c>
      <c r="B299" s="12">
        <v>1.1900000000000001E-2</v>
      </c>
      <c r="C299" s="5">
        <v>-4.36E-2</v>
      </c>
      <c r="D299" s="5">
        <v>1.8E-3</v>
      </c>
      <c r="E299" s="5">
        <v>2.2083333333333334E-3</v>
      </c>
      <c r="F299" s="5">
        <v>2.2666666666666668E-3</v>
      </c>
      <c r="G299" s="5">
        <v>2.2374999999999999E-3</v>
      </c>
      <c r="H299" s="5">
        <v>2.3250000000000002E-3</v>
      </c>
      <c r="I299" s="5">
        <f t="shared" si="44"/>
        <v>1.0100000000000001E-2</v>
      </c>
      <c r="J299" s="5">
        <f t="shared" si="48"/>
        <v>9.6625000000000009E-3</v>
      </c>
      <c r="K299" s="5">
        <f t="shared" si="49"/>
        <v>-4.5925000000000001E-2</v>
      </c>
      <c r="L299" s="8">
        <f t="shared" si="46"/>
        <v>0.27714313719643435</v>
      </c>
      <c r="M299" s="8">
        <f t="shared" si="47"/>
        <v>2.1600000000000001E-2</v>
      </c>
      <c r="N299" s="8">
        <f t="shared" si="50"/>
        <v>2.6849999999999999E-2</v>
      </c>
      <c r="O299" s="296">
        <f t="shared" si="45"/>
        <v>0.25554313719643434</v>
      </c>
      <c r="P299" s="8">
        <f t="shared" si="51"/>
        <v>0.25029313719643437</v>
      </c>
      <c r="Q299" s="8">
        <f t="shared" si="52"/>
        <v>0.1073023729670961</v>
      </c>
      <c r="R299" s="8">
        <f t="shared" si="53"/>
        <v>2.7900000000000001E-2</v>
      </c>
      <c r="S299" s="296">
        <f t="shared" si="54"/>
        <v>7.9402372967096096E-2</v>
      </c>
      <c r="U299" s="297"/>
      <c r="V299" s="297"/>
      <c r="W299" s="297"/>
      <c r="X299" s="297"/>
      <c r="Y299" s="297"/>
      <c r="Z299" s="297"/>
      <c r="AA299" s="297"/>
      <c r="AB299" s="297"/>
      <c r="AC299" s="297"/>
      <c r="AE299" s="297"/>
      <c r="AF299" s="297"/>
      <c r="AG299" s="297"/>
      <c r="AH299" s="297"/>
      <c r="AI299" s="297"/>
      <c r="AJ299" s="297"/>
      <c r="AK299" s="297"/>
      <c r="AL299" s="297"/>
      <c r="AM299" s="297"/>
      <c r="AO299" s="297"/>
      <c r="AP299" s="297"/>
      <c r="AQ299" s="297"/>
      <c r="AR299" s="297"/>
      <c r="AS299" s="297"/>
      <c r="AT299" s="297"/>
      <c r="AU299" s="297"/>
      <c r="AV299" s="297"/>
      <c r="AW299" s="297"/>
    </row>
    <row r="300" spans="1:49" x14ac:dyDescent="0.45">
      <c r="A300" s="295">
        <v>18476</v>
      </c>
      <c r="B300" s="12">
        <v>4.4299999999999999E-2</v>
      </c>
      <c r="C300" s="5">
        <v>1.54E-2</v>
      </c>
      <c r="D300" s="5">
        <v>1.8E-3</v>
      </c>
      <c r="E300" s="5">
        <v>2.1749999999999999E-3</v>
      </c>
      <c r="F300" s="5">
        <v>2.225E-3</v>
      </c>
      <c r="G300" s="5">
        <v>2.2000000000000001E-3</v>
      </c>
      <c r="H300" s="5">
        <v>2.3E-3</v>
      </c>
      <c r="I300" s="5">
        <f t="shared" si="44"/>
        <v>4.2499999999999996E-2</v>
      </c>
      <c r="J300" s="5">
        <f t="shared" si="48"/>
        <v>4.2099999999999999E-2</v>
      </c>
      <c r="K300" s="5">
        <f t="shared" si="49"/>
        <v>1.3100000000000001E-2</v>
      </c>
      <c r="L300" s="8">
        <f t="shared" si="46"/>
        <v>0.30513805477467049</v>
      </c>
      <c r="M300" s="8">
        <f t="shared" si="47"/>
        <v>2.1600000000000001E-2</v>
      </c>
      <c r="N300" s="8">
        <f t="shared" si="50"/>
        <v>2.64E-2</v>
      </c>
      <c r="O300" s="296">
        <f t="shared" si="45"/>
        <v>0.28353805477467048</v>
      </c>
      <c r="P300" s="8">
        <f t="shared" si="51"/>
        <v>0.27873805477467051</v>
      </c>
      <c r="Q300" s="8">
        <f t="shared" si="52"/>
        <v>8.6753169834514976E-2</v>
      </c>
      <c r="R300" s="8">
        <f t="shared" si="53"/>
        <v>2.76E-2</v>
      </c>
      <c r="S300" s="296">
        <f t="shared" si="54"/>
        <v>5.9153169834514976E-2</v>
      </c>
      <c r="U300" s="297"/>
      <c r="V300" s="297"/>
      <c r="W300" s="297"/>
      <c r="X300" s="297"/>
      <c r="Y300" s="297"/>
      <c r="Z300" s="297"/>
      <c r="AA300" s="297"/>
      <c r="AB300" s="297"/>
      <c r="AC300" s="297"/>
      <c r="AE300" s="297"/>
      <c r="AF300" s="297"/>
      <c r="AG300" s="297"/>
      <c r="AH300" s="297"/>
      <c r="AI300" s="297"/>
      <c r="AJ300" s="297"/>
      <c r="AK300" s="297"/>
      <c r="AL300" s="297"/>
      <c r="AM300" s="297"/>
      <c r="AO300" s="297"/>
      <c r="AP300" s="297"/>
      <c r="AQ300" s="297"/>
      <c r="AR300" s="297"/>
      <c r="AS300" s="297"/>
      <c r="AT300" s="297"/>
      <c r="AU300" s="297"/>
      <c r="AV300" s="297"/>
      <c r="AW300" s="297"/>
    </row>
    <row r="301" spans="1:49" x14ac:dyDescent="0.45">
      <c r="A301" s="295">
        <v>18507</v>
      </c>
      <c r="B301" s="12">
        <v>5.9200000000000003E-2</v>
      </c>
      <c r="C301" s="5">
        <v>4.1800000000000004E-2</v>
      </c>
      <c r="D301" s="5">
        <v>1.6999999999999999E-3</v>
      </c>
      <c r="E301" s="5">
        <v>2.2000000000000001E-3</v>
      </c>
      <c r="F301" s="5">
        <v>2.2583333333333331E-3</v>
      </c>
      <c r="G301" s="5">
        <v>2.2291666666666666E-3</v>
      </c>
      <c r="H301" s="5">
        <v>2.3333333333333335E-3</v>
      </c>
      <c r="I301" s="5">
        <f t="shared" si="44"/>
        <v>5.7500000000000002E-2</v>
      </c>
      <c r="J301" s="5">
        <f t="shared" si="48"/>
        <v>5.6970833333333339E-2</v>
      </c>
      <c r="K301" s="5">
        <f t="shared" si="49"/>
        <v>3.9466666666666671E-2</v>
      </c>
      <c r="L301" s="8">
        <f t="shared" si="46"/>
        <v>0.34697673937185125</v>
      </c>
      <c r="M301" s="8">
        <f t="shared" si="47"/>
        <v>2.0399999999999998E-2</v>
      </c>
      <c r="N301" s="8">
        <f t="shared" si="50"/>
        <v>2.6749999999999999E-2</v>
      </c>
      <c r="O301" s="296">
        <f t="shared" si="45"/>
        <v>0.32657673937185128</v>
      </c>
      <c r="P301" s="8">
        <f t="shared" si="51"/>
        <v>0.32022673937185125</v>
      </c>
      <c r="Q301" s="8">
        <f t="shared" si="52"/>
        <v>9.14677068674421E-2</v>
      </c>
      <c r="R301" s="8">
        <f t="shared" si="53"/>
        <v>2.8000000000000004E-2</v>
      </c>
      <c r="S301" s="296">
        <f t="shared" si="54"/>
        <v>6.3467706867442103E-2</v>
      </c>
      <c r="U301" s="297"/>
      <c r="V301" s="297"/>
      <c r="W301" s="297"/>
      <c r="X301" s="297"/>
      <c r="Y301" s="297"/>
      <c r="Z301" s="297"/>
      <c r="AA301" s="297"/>
      <c r="AB301" s="297"/>
      <c r="AC301" s="297"/>
      <c r="AE301" s="297"/>
      <c r="AF301" s="297"/>
      <c r="AG301" s="297"/>
      <c r="AH301" s="297"/>
      <c r="AI301" s="297"/>
      <c r="AJ301" s="297"/>
      <c r="AK301" s="297"/>
      <c r="AL301" s="297"/>
      <c r="AM301" s="297"/>
      <c r="AO301" s="297"/>
      <c r="AP301" s="297"/>
      <c r="AQ301" s="297"/>
      <c r="AR301" s="297"/>
      <c r="AS301" s="297"/>
      <c r="AT301" s="297"/>
      <c r="AU301" s="297"/>
      <c r="AV301" s="297"/>
      <c r="AW301" s="297"/>
    </row>
    <row r="302" spans="1:49" x14ac:dyDescent="0.45">
      <c r="A302" s="295">
        <v>18537</v>
      </c>
      <c r="B302" s="12">
        <v>9.2999999999999992E-3</v>
      </c>
      <c r="C302" s="5">
        <v>-2.7000000000000001E-3</v>
      </c>
      <c r="D302" s="5">
        <v>1.9E-3</v>
      </c>
      <c r="E302" s="5">
        <v>2.225E-3</v>
      </c>
      <c r="F302" s="5">
        <v>2.2666666666666668E-3</v>
      </c>
      <c r="G302" s="5">
        <v>2.2458333333333336E-3</v>
      </c>
      <c r="H302" s="5">
        <v>2.3583333333333334E-3</v>
      </c>
      <c r="I302" s="5">
        <f t="shared" si="44"/>
        <v>7.3999999999999995E-3</v>
      </c>
      <c r="J302" s="5">
        <f t="shared" si="48"/>
        <v>7.0541666666666652E-3</v>
      </c>
      <c r="K302" s="5">
        <f t="shared" si="49"/>
        <v>-5.0583333333333331E-3</v>
      </c>
      <c r="L302" s="8">
        <f t="shared" si="46"/>
        <v>0.31480040913734042</v>
      </c>
      <c r="M302" s="8">
        <f t="shared" si="47"/>
        <v>2.2800000000000001E-2</v>
      </c>
      <c r="N302" s="8">
        <f t="shared" si="50"/>
        <v>2.6950000000000002E-2</v>
      </c>
      <c r="O302" s="296">
        <f t="shared" si="45"/>
        <v>0.29200040913734043</v>
      </c>
      <c r="P302" s="8">
        <f t="shared" si="51"/>
        <v>0.28785040913734039</v>
      </c>
      <c r="Q302" s="8">
        <f t="shared" si="52"/>
        <v>7.6464343412678382E-2</v>
      </c>
      <c r="R302" s="8">
        <f t="shared" si="53"/>
        <v>2.8299999999999999E-2</v>
      </c>
      <c r="S302" s="296">
        <f t="shared" si="54"/>
        <v>4.8164343412678383E-2</v>
      </c>
      <c r="U302" s="297"/>
      <c r="V302" s="297"/>
      <c r="W302" s="297"/>
      <c r="X302" s="297"/>
      <c r="Y302" s="297"/>
      <c r="Z302" s="297"/>
      <c r="AA302" s="297"/>
      <c r="AB302" s="297"/>
      <c r="AC302" s="297"/>
      <c r="AE302" s="297"/>
      <c r="AF302" s="297"/>
      <c r="AG302" s="297"/>
      <c r="AH302" s="297"/>
      <c r="AI302" s="297"/>
      <c r="AJ302" s="297"/>
      <c r="AK302" s="297"/>
      <c r="AL302" s="297"/>
      <c r="AM302" s="297"/>
      <c r="AO302" s="297"/>
      <c r="AP302" s="297"/>
      <c r="AQ302" s="297"/>
      <c r="AR302" s="297"/>
      <c r="AS302" s="297"/>
      <c r="AT302" s="297"/>
      <c r="AU302" s="297"/>
      <c r="AV302" s="297"/>
      <c r="AW302" s="297"/>
    </row>
    <row r="303" spans="1:49" x14ac:dyDescent="0.45">
      <c r="A303" s="295">
        <v>18568</v>
      </c>
      <c r="B303" s="12">
        <v>1.6899999999999998E-2</v>
      </c>
      <c r="C303" s="5">
        <v>-1.7600000000000001E-2</v>
      </c>
      <c r="D303" s="5">
        <v>1.8E-3</v>
      </c>
      <c r="E303" s="5">
        <v>2.225E-3</v>
      </c>
      <c r="F303" s="5">
        <v>2.2666666666666668E-3</v>
      </c>
      <c r="G303" s="5">
        <v>2.2458333333333336E-3</v>
      </c>
      <c r="H303" s="5">
        <v>2.3833333333333332E-3</v>
      </c>
      <c r="I303" s="5">
        <f t="shared" si="44"/>
        <v>1.5099999999999999E-2</v>
      </c>
      <c r="J303" s="5">
        <f t="shared" si="48"/>
        <v>1.4654166666666664E-2</v>
      </c>
      <c r="K303" s="5">
        <f t="shared" si="49"/>
        <v>-1.9983333333333336E-2</v>
      </c>
      <c r="L303" s="8">
        <f t="shared" si="46"/>
        <v>0.31402509685676705</v>
      </c>
      <c r="M303" s="8">
        <f t="shared" si="47"/>
        <v>2.1600000000000001E-2</v>
      </c>
      <c r="N303" s="8">
        <f t="shared" si="50"/>
        <v>2.6950000000000002E-2</v>
      </c>
      <c r="O303" s="296">
        <f t="shared" si="45"/>
        <v>0.29242509685676704</v>
      </c>
      <c r="P303" s="8">
        <f t="shared" si="51"/>
        <v>0.28707509685676702</v>
      </c>
      <c r="Q303" s="8">
        <f t="shared" si="52"/>
        <v>4.0967192606176983E-2</v>
      </c>
      <c r="R303" s="8">
        <f t="shared" si="53"/>
        <v>2.86E-2</v>
      </c>
      <c r="S303" s="296">
        <f t="shared" si="54"/>
        <v>1.2367192606176983E-2</v>
      </c>
      <c r="U303" s="297"/>
      <c r="V303" s="297"/>
      <c r="W303" s="297"/>
      <c r="X303" s="297"/>
      <c r="Y303" s="297"/>
      <c r="Z303" s="297"/>
      <c r="AA303" s="297"/>
      <c r="AB303" s="297"/>
      <c r="AC303" s="297"/>
      <c r="AE303" s="297"/>
      <c r="AF303" s="297"/>
      <c r="AG303" s="297"/>
      <c r="AH303" s="297"/>
      <c r="AI303" s="297"/>
      <c r="AJ303" s="297"/>
      <c r="AK303" s="297"/>
      <c r="AL303" s="297"/>
      <c r="AM303" s="297"/>
      <c r="AO303" s="297"/>
      <c r="AP303" s="297"/>
      <c r="AQ303" s="297"/>
      <c r="AR303" s="297"/>
      <c r="AS303" s="297"/>
      <c r="AT303" s="297"/>
      <c r="AU303" s="297"/>
      <c r="AV303" s="297"/>
      <c r="AW303" s="297"/>
    </row>
    <row r="304" spans="1:49" x14ac:dyDescent="0.45">
      <c r="A304" s="295">
        <v>18598</v>
      </c>
      <c r="B304" s="12">
        <v>5.1299999999999998E-2</v>
      </c>
      <c r="C304" s="5">
        <v>3.1199999999999995E-2</v>
      </c>
      <c r="D304" s="5">
        <v>1.8E-3</v>
      </c>
      <c r="E304" s="5">
        <v>2.225E-3</v>
      </c>
      <c r="F304" s="5">
        <v>2.2666666666666668E-3</v>
      </c>
      <c r="G304" s="5">
        <v>2.2458333333333336E-3</v>
      </c>
      <c r="H304" s="5">
        <v>2.3833333333333332E-3</v>
      </c>
      <c r="I304" s="5">
        <f t="shared" si="44"/>
        <v>4.9499999999999995E-2</v>
      </c>
      <c r="J304" s="5">
        <f t="shared" si="48"/>
        <v>4.9054166666666663E-2</v>
      </c>
      <c r="K304" s="5">
        <f t="shared" si="49"/>
        <v>2.8816666666666661E-2</v>
      </c>
      <c r="L304" s="8">
        <f t="shared" si="46"/>
        <v>0.31740852977829448</v>
      </c>
      <c r="M304" s="8">
        <f t="shared" si="47"/>
        <v>2.1600000000000001E-2</v>
      </c>
      <c r="N304" s="8">
        <f t="shared" si="50"/>
        <v>2.6950000000000002E-2</v>
      </c>
      <c r="O304" s="296">
        <f t="shared" si="45"/>
        <v>0.29580852977829447</v>
      </c>
      <c r="P304" s="8">
        <f t="shared" si="51"/>
        <v>0.29045852977829445</v>
      </c>
      <c r="Q304" s="8">
        <f t="shared" si="52"/>
        <v>3.2556145647835155E-2</v>
      </c>
      <c r="R304" s="8">
        <f t="shared" si="53"/>
        <v>2.86E-2</v>
      </c>
      <c r="S304" s="296">
        <f t="shared" si="54"/>
        <v>3.9561456478351548E-3</v>
      </c>
      <c r="U304" s="297"/>
      <c r="V304" s="297"/>
      <c r="W304" s="297"/>
      <c r="X304" s="297"/>
      <c r="Y304" s="297"/>
      <c r="Z304" s="297"/>
      <c r="AA304" s="297"/>
      <c r="AB304" s="297"/>
      <c r="AC304" s="297"/>
      <c r="AE304" s="297"/>
      <c r="AF304" s="297"/>
      <c r="AG304" s="297"/>
      <c r="AH304" s="297"/>
      <c r="AI304" s="297"/>
      <c r="AJ304" s="297"/>
      <c r="AK304" s="297"/>
      <c r="AL304" s="297"/>
      <c r="AM304" s="297"/>
      <c r="AO304" s="297"/>
      <c r="AP304" s="297"/>
      <c r="AQ304" s="297"/>
      <c r="AR304" s="297"/>
      <c r="AS304" s="297"/>
      <c r="AT304" s="297"/>
      <c r="AU304" s="297"/>
      <c r="AV304" s="297"/>
      <c r="AW304" s="297"/>
    </row>
    <row r="305" spans="1:49" x14ac:dyDescent="0.45">
      <c r="A305" s="295">
        <v>18629</v>
      </c>
      <c r="B305" s="12">
        <v>6.3700000000000007E-2</v>
      </c>
      <c r="C305" s="5">
        <v>4.3800000000000006E-2</v>
      </c>
      <c r="D305" s="5">
        <v>2E-3</v>
      </c>
      <c r="E305" s="5">
        <v>2.2166666666666667E-3</v>
      </c>
      <c r="F305" s="5">
        <v>2.2583333333333331E-3</v>
      </c>
      <c r="G305" s="5">
        <v>2.2374999999999999E-3</v>
      </c>
      <c r="H305" s="5">
        <v>2.3583333333333334E-3</v>
      </c>
      <c r="I305" s="5">
        <f t="shared" si="44"/>
        <v>6.1700000000000005E-2</v>
      </c>
      <c r="J305" s="5">
        <f t="shared" si="48"/>
        <v>6.1462500000000003E-2</v>
      </c>
      <c r="K305" s="5">
        <f t="shared" si="49"/>
        <v>4.1441666666666675E-2</v>
      </c>
      <c r="L305" s="8">
        <f t="shared" si="46"/>
        <v>0.37425463678059434</v>
      </c>
      <c r="M305" s="8">
        <f t="shared" si="47"/>
        <v>2.4E-2</v>
      </c>
      <c r="N305" s="8">
        <f t="shared" si="50"/>
        <v>2.6849999999999999E-2</v>
      </c>
      <c r="O305" s="296">
        <f t="shared" si="45"/>
        <v>0.35025463678059432</v>
      </c>
      <c r="P305" s="8">
        <f t="shared" si="51"/>
        <v>0.34740463678059436</v>
      </c>
      <c r="Q305" s="8">
        <f t="shared" si="52"/>
        <v>4.1033618107997771E-2</v>
      </c>
      <c r="R305" s="8">
        <f t="shared" si="53"/>
        <v>2.8299999999999999E-2</v>
      </c>
      <c r="S305" s="296">
        <f t="shared" si="54"/>
        <v>1.2733618107997773E-2</v>
      </c>
      <c r="U305" s="297"/>
      <c r="V305" s="297"/>
      <c r="W305" s="297"/>
      <c r="X305" s="297"/>
      <c r="Y305" s="297"/>
      <c r="Z305" s="297"/>
      <c r="AA305" s="297"/>
      <c r="AB305" s="297"/>
      <c r="AC305" s="297"/>
      <c r="AE305" s="297"/>
      <c r="AF305" s="297"/>
      <c r="AG305" s="297"/>
      <c r="AH305" s="297"/>
      <c r="AI305" s="297"/>
      <c r="AJ305" s="297"/>
      <c r="AK305" s="297"/>
      <c r="AL305" s="297"/>
      <c r="AM305" s="297"/>
      <c r="AO305" s="297"/>
      <c r="AP305" s="297"/>
      <c r="AQ305" s="297"/>
      <c r="AR305" s="297"/>
      <c r="AS305" s="297"/>
      <c r="AT305" s="297"/>
      <c r="AU305" s="297"/>
      <c r="AV305" s="297"/>
      <c r="AW305" s="297"/>
    </row>
    <row r="306" spans="1:49" x14ac:dyDescent="0.45">
      <c r="A306" s="295">
        <v>18660</v>
      </c>
      <c r="B306" s="12">
        <v>1.5699999999999999E-2</v>
      </c>
      <c r="C306" s="5">
        <v>2.6800000000000001E-2</v>
      </c>
      <c r="D306" s="5">
        <v>1.6999999999999999E-3</v>
      </c>
      <c r="E306" s="5">
        <v>2.2166666666666667E-3</v>
      </c>
      <c r="F306" s="5">
        <v>2.2583333333333331E-3</v>
      </c>
      <c r="G306" s="5">
        <v>2.2374999999999999E-3</v>
      </c>
      <c r="H306" s="5">
        <v>2.3666666666666667E-3</v>
      </c>
      <c r="I306" s="5">
        <f t="shared" si="44"/>
        <v>1.3999999999999999E-2</v>
      </c>
      <c r="J306" s="5">
        <f t="shared" si="48"/>
        <v>1.3462499999999999E-2</v>
      </c>
      <c r="K306" s="5">
        <f t="shared" si="49"/>
        <v>2.4433333333333335E-2</v>
      </c>
      <c r="L306" s="8">
        <f t="shared" si="46"/>
        <v>0.36859538638891021</v>
      </c>
      <c r="M306" s="8">
        <f t="shared" si="47"/>
        <v>2.0399999999999998E-2</v>
      </c>
      <c r="N306" s="8">
        <f t="shared" si="50"/>
        <v>2.6849999999999999E-2</v>
      </c>
      <c r="O306" s="296">
        <f t="shared" si="45"/>
        <v>0.34819538638891023</v>
      </c>
      <c r="P306" s="8">
        <f t="shared" si="51"/>
        <v>0.34174538638891022</v>
      </c>
      <c r="Q306" s="8">
        <f t="shared" si="52"/>
        <v>5.8349820864646018E-2</v>
      </c>
      <c r="R306" s="8">
        <f t="shared" si="53"/>
        <v>2.8400000000000002E-2</v>
      </c>
      <c r="S306" s="296">
        <f t="shared" si="54"/>
        <v>2.9949820864646017E-2</v>
      </c>
      <c r="U306" s="297"/>
      <c r="V306" s="297"/>
      <c r="W306" s="297"/>
      <c r="X306" s="297"/>
      <c r="Y306" s="297"/>
      <c r="Z306" s="297"/>
      <c r="AA306" s="297"/>
      <c r="AB306" s="297"/>
      <c r="AC306" s="297"/>
      <c r="AE306" s="297"/>
      <c r="AF306" s="297"/>
      <c r="AG306" s="297"/>
      <c r="AH306" s="297"/>
      <c r="AI306" s="297"/>
      <c r="AJ306" s="297"/>
      <c r="AK306" s="297"/>
      <c r="AL306" s="297"/>
      <c r="AM306" s="297"/>
      <c r="AO306" s="297"/>
      <c r="AP306" s="297"/>
      <c r="AQ306" s="297"/>
      <c r="AR306" s="297"/>
      <c r="AS306" s="297"/>
      <c r="AT306" s="297"/>
      <c r="AU306" s="297"/>
      <c r="AV306" s="297"/>
      <c r="AW306" s="297"/>
    </row>
    <row r="307" spans="1:49" x14ac:dyDescent="0.45">
      <c r="A307" s="295">
        <v>18688</v>
      </c>
      <c r="B307" s="12">
        <v>-1.5599999999999999E-2</v>
      </c>
      <c r="C307" s="5">
        <v>-1.7399999999999999E-2</v>
      </c>
      <c r="D307" s="5">
        <v>1.9E-3</v>
      </c>
      <c r="E307" s="5">
        <v>2.3166666666666665E-3</v>
      </c>
      <c r="F307" s="5">
        <v>2.3499999999999997E-3</v>
      </c>
      <c r="G307" s="5">
        <v>2.3333333333333335E-3</v>
      </c>
      <c r="H307" s="5">
        <v>2.4583333333333336E-3</v>
      </c>
      <c r="I307" s="5">
        <f t="shared" si="44"/>
        <v>-1.7499999999999998E-2</v>
      </c>
      <c r="J307" s="5">
        <f t="shared" si="48"/>
        <v>-1.7933333333333332E-2</v>
      </c>
      <c r="K307" s="5">
        <f t="shared" si="49"/>
        <v>-1.9858333333333332E-2</v>
      </c>
      <c r="L307" s="8">
        <f t="shared" si="46"/>
        <v>0.33788013739944756</v>
      </c>
      <c r="M307" s="8">
        <f t="shared" si="47"/>
        <v>2.2800000000000001E-2</v>
      </c>
      <c r="N307" s="8">
        <f t="shared" si="50"/>
        <v>2.8000000000000004E-2</v>
      </c>
      <c r="O307" s="296">
        <f t="shared" si="45"/>
        <v>0.31508013739944757</v>
      </c>
      <c r="P307" s="8">
        <f t="shared" si="51"/>
        <v>0.30988013739944753</v>
      </c>
      <c r="Q307" s="8">
        <f t="shared" si="52"/>
        <v>3.1271850437922577E-2</v>
      </c>
      <c r="R307" s="8">
        <f t="shared" si="53"/>
        <v>2.9500000000000005E-2</v>
      </c>
      <c r="S307" s="296">
        <f t="shared" si="54"/>
        <v>1.7718504379225716E-3</v>
      </c>
      <c r="U307" s="297"/>
      <c r="V307" s="297"/>
      <c r="W307" s="297"/>
      <c r="X307" s="297"/>
      <c r="Y307" s="297"/>
      <c r="Z307" s="297"/>
      <c r="AA307" s="297"/>
      <c r="AB307" s="297"/>
      <c r="AC307" s="297"/>
      <c r="AE307" s="297"/>
      <c r="AF307" s="297"/>
      <c r="AG307" s="297"/>
      <c r="AH307" s="297"/>
      <c r="AI307" s="297"/>
      <c r="AJ307" s="297"/>
      <c r="AK307" s="297"/>
      <c r="AL307" s="297"/>
      <c r="AM307" s="297"/>
      <c r="AO307" s="297"/>
      <c r="AP307" s="297"/>
      <c r="AQ307" s="297"/>
      <c r="AR307" s="297"/>
      <c r="AS307" s="297"/>
      <c r="AT307" s="297"/>
      <c r="AU307" s="297"/>
      <c r="AV307" s="297"/>
      <c r="AW307" s="297"/>
    </row>
    <row r="308" spans="1:49" x14ac:dyDescent="0.45">
      <c r="A308" s="295">
        <v>18719</v>
      </c>
      <c r="B308" s="12">
        <v>5.0900000000000001E-2</v>
      </c>
      <c r="C308" s="5">
        <v>5.0000000000000044E-4</v>
      </c>
      <c r="D308" s="5">
        <v>2E-3</v>
      </c>
      <c r="E308" s="5">
        <v>2.3916666666666665E-3</v>
      </c>
      <c r="F308" s="5">
        <v>2.4416666666666666E-3</v>
      </c>
      <c r="G308" s="5">
        <v>2.4166666666666668E-3</v>
      </c>
      <c r="H308" s="5">
        <v>2.575E-3</v>
      </c>
      <c r="I308" s="5">
        <f t="shared" si="44"/>
        <v>4.8899999999999999E-2</v>
      </c>
      <c r="J308" s="5">
        <f t="shared" si="48"/>
        <v>4.8483333333333337E-2</v>
      </c>
      <c r="K308" s="5">
        <f t="shared" si="49"/>
        <v>-2.0749999999999996E-3</v>
      </c>
      <c r="L308" s="8">
        <f t="shared" si="46"/>
        <v>0.34081464466248246</v>
      </c>
      <c r="M308" s="8">
        <f t="shared" si="47"/>
        <v>2.4E-2</v>
      </c>
      <c r="N308" s="8">
        <f t="shared" si="50"/>
        <v>2.9000000000000001E-2</v>
      </c>
      <c r="O308" s="296">
        <f t="shared" si="45"/>
        <v>0.31681464466248244</v>
      </c>
      <c r="P308" s="8">
        <f t="shared" si="51"/>
        <v>0.31181464466248243</v>
      </c>
      <c r="Q308" s="8">
        <f t="shared" si="52"/>
        <v>1.3046132904409813E-2</v>
      </c>
      <c r="R308" s="8">
        <f t="shared" si="53"/>
        <v>3.09E-2</v>
      </c>
      <c r="S308" s="296">
        <f t="shared" si="54"/>
        <v>-1.7853867095590188E-2</v>
      </c>
      <c r="U308" s="297"/>
      <c r="V308" s="297"/>
      <c r="W308" s="297"/>
      <c r="X308" s="297"/>
      <c r="Y308" s="297"/>
      <c r="Z308" s="297"/>
      <c r="AA308" s="297"/>
      <c r="AB308" s="297"/>
      <c r="AC308" s="297"/>
      <c r="AE308" s="297"/>
      <c r="AF308" s="297"/>
      <c r="AG308" s="297"/>
      <c r="AH308" s="297"/>
      <c r="AI308" s="297"/>
      <c r="AJ308" s="297"/>
      <c r="AK308" s="297"/>
      <c r="AL308" s="297"/>
      <c r="AM308" s="297"/>
      <c r="AO308" s="297"/>
      <c r="AP308" s="297"/>
      <c r="AQ308" s="297"/>
      <c r="AR308" s="297"/>
      <c r="AS308" s="297"/>
      <c r="AT308" s="297"/>
      <c r="AU308" s="297"/>
      <c r="AV308" s="297"/>
      <c r="AW308" s="297"/>
    </row>
    <row r="309" spans="1:49" x14ac:dyDescent="0.45">
      <c r="A309" s="295">
        <v>18749</v>
      </c>
      <c r="B309" s="12">
        <v>-2.9899999999999999E-2</v>
      </c>
      <c r="C309" s="5">
        <v>6.6E-3</v>
      </c>
      <c r="D309" s="5">
        <v>2.0999999999999999E-3</v>
      </c>
      <c r="E309" s="5">
        <v>2.4083333333333335E-3</v>
      </c>
      <c r="F309" s="5">
        <v>2.4416666666666666E-3</v>
      </c>
      <c r="G309" s="5">
        <v>2.4250000000000001E-3</v>
      </c>
      <c r="H309" s="5">
        <v>2.6083333333333332E-3</v>
      </c>
      <c r="I309" s="5">
        <f t="shared" si="44"/>
        <v>-3.2000000000000001E-2</v>
      </c>
      <c r="J309" s="5">
        <f t="shared" si="48"/>
        <v>-3.2325E-2</v>
      </c>
      <c r="K309" s="5">
        <f t="shared" si="49"/>
        <v>3.9916666666666668E-3</v>
      </c>
      <c r="L309" s="8">
        <f t="shared" si="46"/>
        <v>0.2377241286393319</v>
      </c>
      <c r="M309" s="8">
        <f t="shared" si="47"/>
        <v>2.52E-2</v>
      </c>
      <c r="N309" s="8">
        <f t="shared" si="50"/>
        <v>2.9100000000000001E-2</v>
      </c>
      <c r="O309" s="296">
        <f t="shared" si="45"/>
        <v>0.2125241286393319</v>
      </c>
      <c r="P309" s="8">
        <f t="shared" si="51"/>
        <v>0.20862412863933189</v>
      </c>
      <c r="Q309" s="8">
        <f t="shared" si="52"/>
        <v>5.222109316902479E-4</v>
      </c>
      <c r="R309" s="8">
        <f t="shared" si="53"/>
        <v>3.1299999999999994E-2</v>
      </c>
      <c r="S309" s="296">
        <f t="shared" si="54"/>
        <v>-3.0777789068309747E-2</v>
      </c>
      <c r="U309" s="297"/>
      <c r="V309" s="297"/>
      <c r="W309" s="297"/>
      <c r="X309" s="297"/>
      <c r="Y309" s="297"/>
      <c r="Z309" s="297"/>
      <c r="AA309" s="297"/>
      <c r="AB309" s="297"/>
      <c r="AC309" s="297"/>
      <c r="AE309" s="297"/>
      <c r="AF309" s="297"/>
      <c r="AG309" s="297"/>
      <c r="AH309" s="297"/>
      <c r="AI309" s="297"/>
      <c r="AJ309" s="297"/>
      <c r="AK309" s="297"/>
      <c r="AL309" s="297"/>
      <c r="AM309" s="297"/>
      <c r="AO309" s="297"/>
      <c r="AP309" s="297"/>
      <c r="AQ309" s="297"/>
      <c r="AR309" s="297"/>
      <c r="AS309" s="297"/>
      <c r="AT309" s="297"/>
      <c r="AU309" s="297"/>
      <c r="AV309" s="297"/>
      <c r="AW309" s="297"/>
    </row>
    <row r="310" spans="1:49" x14ac:dyDescent="0.45">
      <c r="A310" s="295">
        <v>18780</v>
      </c>
      <c r="B310" s="12">
        <v>-2.2800000000000001E-2</v>
      </c>
      <c r="C310" s="5">
        <v>-3.9999999999999992E-3</v>
      </c>
      <c r="D310" s="5">
        <v>2E-3</v>
      </c>
      <c r="E310" s="5">
        <v>2.4499999999999999E-3</v>
      </c>
      <c r="F310" s="5">
        <v>2.4916666666666668E-3</v>
      </c>
      <c r="G310" s="5">
        <v>2.4708333333333331E-3</v>
      </c>
      <c r="H310" s="5">
        <v>2.6750000000000003E-3</v>
      </c>
      <c r="I310" s="5">
        <f t="shared" si="44"/>
        <v>-2.4800000000000003E-2</v>
      </c>
      <c r="J310" s="5">
        <f t="shared" si="48"/>
        <v>-2.5270833333333333E-2</v>
      </c>
      <c r="K310" s="5">
        <f t="shared" si="49"/>
        <v>-6.6749999999999995E-3</v>
      </c>
      <c r="L310" s="8">
        <f t="shared" si="46"/>
        <v>0.27962761162331251</v>
      </c>
      <c r="M310" s="8">
        <f t="shared" si="47"/>
        <v>2.4E-2</v>
      </c>
      <c r="N310" s="8">
        <f t="shared" si="50"/>
        <v>2.9649999999999996E-2</v>
      </c>
      <c r="O310" s="296">
        <f t="shared" si="45"/>
        <v>0.25562761162331249</v>
      </c>
      <c r="P310" s="8">
        <f t="shared" si="51"/>
        <v>0.2499776116233125</v>
      </c>
      <c r="Q310" s="8">
        <f t="shared" si="52"/>
        <v>7.9770421592765706E-2</v>
      </c>
      <c r="R310" s="8">
        <f t="shared" si="53"/>
        <v>3.2100000000000004E-2</v>
      </c>
      <c r="S310" s="296">
        <f t="shared" si="54"/>
        <v>4.7670421592765702E-2</v>
      </c>
      <c r="U310" s="297"/>
      <c r="V310" s="297"/>
      <c r="W310" s="297"/>
      <c r="X310" s="297"/>
      <c r="Y310" s="297"/>
      <c r="Z310" s="297"/>
      <c r="AA310" s="297"/>
      <c r="AB310" s="297"/>
      <c r="AC310" s="297"/>
      <c r="AE310" s="297"/>
      <c r="AF310" s="297"/>
      <c r="AG310" s="297"/>
      <c r="AH310" s="297"/>
      <c r="AI310" s="297"/>
      <c r="AJ310" s="297"/>
      <c r="AK310" s="297"/>
      <c r="AL310" s="297"/>
      <c r="AM310" s="297"/>
      <c r="AO310" s="297"/>
      <c r="AP310" s="297"/>
      <c r="AQ310" s="297"/>
      <c r="AR310" s="297"/>
      <c r="AS310" s="297"/>
      <c r="AT310" s="297"/>
      <c r="AU310" s="297"/>
      <c r="AV310" s="297"/>
      <c r="AW310" s="297"/>
    </row>
    <row r="311" spans="1:49" x14ac:dyDescent="0.45">
      <c r="A311" s="295">
        <v>18810</v>
      </c>
      <c r="B311" s="12">
        <v>7.1099999999999997E-2</v>
      </c>
      <c r="C311" s="5">
        <v>4.3899999999999995E-2</v>
      </c>
      <c r="D311" s="5">
        <v>2.3E-3</v>
      </c>
      <c r="E311" s="5">
        <v>2.4499999999999999E-3</v>
      </c>
      <c r="F311" s="5">
        <v>2.4916666666666668E-3</v>
      </c>
      <c r="G311" s="5">
        <v>2.4708333333333331E-3</v>
      </c>
      <c r="H311" s="5">
        <v>2.7166666666666667E-3</v>
      </c>
      <c r="I311" s="5">
        <f t="shared" si="44"/>
        <v>6.88E-2</v>
      </c>
      <c r="J311" s="5">
        <f t="shared" si="48"/>
        <v>6.8629166666666658E-2</v>
      </c>
      <c r="K311" s="5">
        <f t="shared" si="49"/>
        <v>4.1183333333333329E-2</v>
      </c>
      <c r="L311" s="8">
        <f t="shared" si="46"/>
        <v>0.35449069553288881</v>
      </c>
      <c r="M311" s="8">
        <f t="shared" si="47"/>
        <v>2.76E-2</v>
      </c>
      <c r="N311" s="8">
        <f t="shared" si="50"/>
        <v>2.9649999999999996E-2</v>
      </c>
      <c r="O311" s="296">
        <f t="shared" si="45"/>
        <v>0.3268906955328888</v>
      </c>
      <c r="P311" s="8">
        <f t="shared" si="51"/>
        <v>0.3248406955328888</v>
      </c>
      <c r="Q311" s="8">
        <f t="shared" si="52"/>
        <v>0.17855744782589755</v>
      </c>
      <c r="R311" s="8">
        <f t="shared" si="53"/>
        <v>3.2600000000000004E-2</v>
      </c>
      <c r="S311" s="296">
        <f t="shared" si="54"/>
        <v>0.14595744782589753</v>
      </c>
      <c r="U311" s="297"/>
      <c r="V311" s="297"/>
      <c r="W311" s="297"/>
      <c r="X311" s="297"/>
      <c r="Y311" s="297"/>
      <c r="Z311" s="297"/>
      <c r="AA311" s="297"/>
      <c r="AB311" s="297"/>
      <c r="AC311" s="297"/>
      <c r="AE311" s="297"/>
      <c r="AF311" s="297"/>
      <c r="AG311" s="297"/>
      <c r="AH311" s="297"/>
      <c r="AI311" s="297"/>
      <c r="AJ311" s="297"/>
      <c r="AK311" s="297"/>
      <c r="AL311" s="297"/>
      <c r="AM311" s="297"/>
      <c r="AO311" s="297"/>
      <c r="AP311" s="297"/>
      <c r="AQ311" s="297"/>
      <c r="AR311" s="297"/>
      <c r="AS311" s="297"/>
      <c r="AT311" s="297"/>
      <c r="AU311" s="297"/>
      <c r="AV311" s="297"/>
      <c r="AW311" s="297"/>
    </row>
    <row r="312" spans="1:49" x14ac:dyDescent="0.45">
      <c r="A312" s="295">
        <v>18841</v>
      </c>
      <c r="B312" s="12">
        <v>4.7800000000000002E-2</v>
      </c>
      <c r="C312" s="5">
        <v>1.5200000000000002E-2</v>
      </c>
      <c r="D312" s="5">
        <v>2.0999999999999999E-3</v>
      </c>
      <c r="E312" s="5">
        <v>2.3999999999999998E-3</v>
      </c>
      <c r="F312" s="5">
        <v>2.4333333333333334E-3</v>
      </c>
      <c r="G312" s="5">
        <v>2.4166666666666664E-3</v>
      </c>
      <c r="H312" s="5">
        <v>2.6583333333333333E-3</v>
      </c>
      <c r="I312" s="5">
        <f t="shared" si="44"/>
        <v>4.5700000000000005E-2</v>
      </c>
      <c r="J312" s="5">
        <f t="shared" si="48"/>
        <v>4.5383333333333338E-2</v>
      </c>
      <c r="K312" s="5">
        <f t="shared" si="49"/>
        <v>1.2541666666666668E-2</v>
      </c>
      <c r="L312" s="8">
        <f t="shared" si="46"/>
        <v>0.35903030812923586</v>
      </c>
      <c r="M312" s="8">
        <f t="shared" si="47"/>
        <v>2.52E-2</v>
      </c>
      <c r="N312" s="8">
        <f t="shared" si="50"/>
        <v>2.8999999999999998E-2</v>
      </c>
      <c r="O312" s="296">
        <f t="shared" si="45"/>
        <v>0.33383030812923586</v>
      </c>
      <c r="P312" s="8">
        <f t="shared" si="51"/>
        <v>0.33003030812923584</v>
      </c>
      <c r="Q312" s="8">
        <f t="shared" si="52"/>
        <v>0.1783253112397587</v>
      </c>
      <c r="R312" s="8">
        <f t="shared" si="53"/>
        <v>3.1899999999999998E-2</v>
      </c>
      <c r="S312" s="296">
        <f t="shared" si="54"/>
        <v>0.14642531123975872</v>
      </c>
      <c r="U312" s="297"/>
      <c r="V312" s="297"/>
      <c r="W312" s="297"/>
      <c r="X312" s="297"/>
      <c r="Y312" s="297"/>
      <c r="Z312" s="297"/>
      <c r="AA312" s="297"/>
      <c r="AB312" s="297"/>
      <c r="AC312" s="297"/>
      <c r="AE312" s="297"/>
      <c r="AF312" s="297"/>
      <c r="AG312" s="297"/>
      <c r="AH312" s="297"/>
      <c r="AI312" s="297"/>
      <c r="AJ312" s="297"/>
      <c r="AK312" s="297"/>
      <c r="AL312" s="297"/>
      <c r="AM312" s="297"/>
      <c r="AO312" s="297"/>
      <c r="AP312" s="297"/>
      <c r="AQ312" s="297"/>
      <c r="AR312" s="297"/>
      <c r="AS312" s="297"/>
      <c r="AT312" s="297"/>
      <c r="AU312" s="297"/>
      <c r="AV312" s="297"/>
      <c r="AW312" s="297"/>
    </row>
    <row r="313" spans="1:49" x14ac:dyDescent="0.45">
      <c r="A313" s="295">
        <v>18872</v>
      </c>
      <c r="B313" s="12">
        <v>1.2999999999999999E-3</v>
      </c>
      <c r="C313" s="5">
        <v>8.6E-3</v>
      </c>
      <c r="D313" s="5">
        <v>1.9E-3</v>
      </c>
      <c r="E313" s="5">
        <v>2.3666666666666667E-3</v>
      </c>
      <c r="F313" s="5">
        <v>2.3999999999999998E-3</v>
      </c>
      <c r="G313" s="5">
        <v>2.3833333333333332E-3</v>
      </c>
      <c r="H313" s="5">
        <v>2.6166666666666664E-3</v>
      </c>
      <c r="I313" s="5">
        <f t="shared" si="44"/>
        <v>-6.0000000000000006E-4</v>
      </c>
      <c r="J313" s="5">
        <f t="shared" si="48"/>
        <v>-1.0833333333333333E-3</v>
      </c>
      <c r="K313" s="5">
        <f t="shared" si="49"/>
        <v>5.9833333333333336E-3</v>
      </c>
      <c r="L313" s="8">
        <f t="shared" si="46"/>
        <v>0.28474041496393943</v>
      </c>
      <c r="M313" s="8">
        <f t="shared" si="47"/>
        <v>2.2800000000000001E-2</v>
      </c>
      <c r="N313" s="8">
        <f t="shared" si="50"/>
        <v>2.86E-2</v>
      </c>
      <c r="O313" s="296">
        <f t="shared" si="45"/>
        <v>0.26194041496393944</v>
      </c>
      <c r="P313" s="8">
        <f t="shared" si="51"/>
        <v>0.25614041496393941</v>
      </c>
      <c r="Q313" s="8">
        <f t="shared" si="52"/>
        <v>0.14077453341948565</v>
      </c>
      <c r="R313" s="8">
        <f t="shared" si="53"/>
        <v>3.1399999999999997E-2</v>
      </c>
      <c r="S313" s="296">
        <f t="shared" si="54"/>
        <v>0.10937453341948565</v>
      </c>
      <c r="U313" s="297"/>
      <c r="V313" s="297"/>
      <c r="W313" s="297"/>
      <c r="X313" s="297"/>
      <c r="Y313" s="297"/>
      <c r="Z313" s="297"/>
      <c r="AA313" s="297"/>
      <c r="AB313" s="297"/>
      <c r="AC313" s="297"/>
      <c r="AE313" s="297"/>
      <c r="AF313" s="297"/>
      <c r="AG313" s="297"/>
      <c r="AH313" s="297"/>
      <c r="AI313" s="297"/>
      <c r="AJ313" s="297"/>
      <c r="AK313" s="297"/>
      <c r="AL313" s="297"/>
      <c r="AM313" s="297"/>
      <c r="AO313" s="297"/>
      <c r="AP313" s="297"/>
      <c r="AQ313" s="297"/>
      <c r="AR313" s="297"/>
      <c r="AS313" s="297"/>
      <c r="AT313" s="297"/>
      <c r="AU313" s="297"/>
      <c r="AV313" s="297"/>
      <c r="AW313" s="297"/>
    </row>
    <row r="314" spans="1:49" x14ac:dyDescent="0.45">
      <c r="A314" s="295">
        <v>18902</v>
      </c>
      <c r="B314" s="12">
        <v>-1.03E-2</v>
      </c>
      <c r="C314" s="5">
        <v>2.8999999999999998E-3</v>
      </c>
      <c r="D314" s="5">
        <v>2.3E-3</v>
      </c>
      <c r="E314" s="5">
        <v>2.4083333333333335E-3</v>
      </c>
      <c r="F314" s="5">
        <v>2.4416666666666666E-3</v>
      </c>
      <c r="G314" s="5">
        <v>2.4250000000000001E-3</v>
      </c>
      <c r="H314" s="5">
        <v>2.6416666666666667E-3</v>
      </c>
      <c r="I314" s="5">
        <f t="shared" si="44"/>
        <v>-1.26E-2</v>
      </c>
      <c r="J314" s="5">
        <f t="shared" si="48"/>
        <v>-1.2725E-2</v>
      </c>
      <c r="K314" s="5">
        <f t="shared" si="49"/>
        <v>2.5833333333333307E-4</v>
      </c>
      <c r="L314" s="8">
        <f t="shared" si="46"/>
        <v>0.25979152748420731</v>
      </c>
      <c r="M314" s="8">
        <f t="shared" si="47"/>
        <v>2.76E-2</v>
      </c>
      <c r="N314" s="8">
        <f t="shared" si="50"/>
        <v>2.9100000000000001E-2</v>
      </c>
      <c r="O314" s="296">
        <f t="shared" si="45"/>
        <v>0.23219152748420729</v>
      </c>
      <c r="P314" s="8">
        <f t="shared" si="51"/>
        <v>0.23069152748420729</v>
      </c>
      <c r="Q314" s="8">
        <f t="shared" si="52"/>
        <v>0.14718016601464234</v>
      </c>
      <c r="R314" s="8">
        <f t="shared" si="53"/>
        <v>3.1699999999999999E-2</v>
      </c>
      <c r="S314" s="296">
        <f t="shared" si="54"/>
        <v>0.11548016601464234</v>
      </c>
      <c r="U314" s="297"/>
      <c r="V314" s="297"/>
      <c r="W314" s="297"/>
      <c r="X314" s="297"/>
      <c r="Y314" s="297"/>
      <c r="Z314" s="297"/>
      <c r="AA314" s="297"/>
      <c r="AB314" s="297"/>
      <c r="AC314" s="297"/>
      <c r="AE314" s="297"/>
      <c r="AF314" s="297"/>
      <c r="AG314" s="297"/>
      <c r="AH314" s="297"/>
      <c r="AI314" s="297"/>
      <c r="AJ314" s="297"/>
      <c r="AK314" s="297"/>
      <c r="AL314" s="297"/>
      <c r="AM314" s="297"/>
      <c r="AO314" s="297"/>
      <c r="AP314" s="297"/>
      <c r="AQ314" s="297"/>
      <c r="AR314" s="297"/>
      <c r="AS314" s="297"/>
      <c r="AT314" s="297"/>
      <c r="AU314" s="297"/>
      <c r="AV314" s="297"/>
      <c r="AW314" s="297"/>
    </row>
    <row r="315" spans="1:49" x14ac:dyDescent="0.45">
      <c r="A315" s="295">
        <v>18933</v>
      </c>
      <c r="B315" s="12">
        <v>9.5999999999999992E-3</v>
      </c>
      <c r="C315" s="5">
        <v>1.2E-2</v>
      </c>
      <c r="D315" s="5">
        <v>2.0999999999999999E-3</v>
      </c>
      <c r="E315" s="5">
        <v>2.4666666666666669E-3</v>
      </c>
      <c r="F315" s="5">
        <v>2.5166666666666666E-3</v>
      </c>
      <c r="G315" s="5">
        <v>2.4916666666666663E-3</v>
      </c>
      <c r="H315" s="5">
        <v>2.7000000000000001E-3</v>
      </c>
      <c r="I315" s="5">
        <f t="shared" si="44"/>
        <v>7.4999999999999997E-3</v>
      </c>
      <c r="J315" s="5">
        <f t="shared" si="48"/>
        <v>7.1083333333333328E-3</v>
      </c>
      <c r="K315" s="5">
        <f t="shared" si="49"/>
        <v>9.2999999999999992E-3</v>
      </c>
      <c r="L315" s="8">
        <f t="shared" si="46"/>
        <v>0.25074788686011962</v>
      </c>
      <c r="M315" s="8">
        <f t="shared" si="47"/>
        <v>2.52E-2</v>
      </c>
      <c r="N315" s="8">
        <f t="shared" si="50"/>
        <v>2.9899999999999996E-2</v>
      </c>
      <c r="O315" s="296">
        <f t="shared" si="45"/>
        <v>0.22554788686011962</v>
      </c>
      <c r="P315" s="8">
        <f t="shared" si="51"/>
        <v>0.22084788686011964</v>
      </c>
      <c r="Q315" s="8">
        <f t="shared" si="52"/>
        <v>0.18174504072355191</v>
      </c>
      <c r="R315" s="8">
        <f t="shared" si="53"/>
        <v>3.2399999999999998E-2</v>
      </c>
      <c r="S315" s="296">
        <f t="shared" si="54"/>
        <v>0.14934504072355193</v>
      </c>
      <c r="U315" s="297"/>
      <c r="V315" s="297"/>
      <c r="W315" s="297"/>
      <c r="X315" s="297"/>
      <c r="Y315" s="297"/>
      <c r="Z315" s="297"/>
      <c r="AA315" s="297"/>
      <c r="AB315" s="297"/>
      <c r="AC315" s="297"/>
      <c r="AE315" s="297"/>
      <c r="AF315" s="297"/>
      <c r="AG315" s="297"/>
      <c r="AH315" s="297"/>
      <c r="AI315" s="297"/>
      <c r="AJ315" s="297"/>
      <c r="AK315" s="297"/>
      <c r="AL315" s="297"/>
      <c r="AM315" s="297"/>
      <c r="AO315" s="297"/>
      <c r="AP315" s="297"/>
      <c r="AQ315" s="297"/>
      <c r="AR315" s="297"/>
      <c r="AS315" s="297"/>
      <c r="AT315" s="297"/>
      <c r="AU315" s="297"/>
      <c r="AV315" s="297"/>
      <c r="AW315" s="297"/>
    </row>
    <row r="316" spans="1:49" x14ac:dyDescent="0.45">
      <c r="A316" s="295">
        <v>18963</v>
      </c>
      <c r="B316" s="12">
        <v>4.24E-2</v>
      </c>
      <c r="C316" s="5">
        <v>3.5200000000000002E-2</v>
      </c>
      <c r="D316" s="5">
        <v>2.2000000000000001E-3</v>
      </c>
      <c r="E316" s="5">
        <v>2.5083333333333329E-3</v>
      </c>
      <c r="F316" s="5">
        <v>2.5500000000000002E-3</v>
      </c>
      <c r="G316" s="5">
        <v>2.529166666666667E-3</v>
      </c>
      <c r="H316" s="5">
        <v>2.7416666666666666E-3</v>
      </c>
      <c r="I316" s="5">
        <f t="shared" si="44"/>
        <v>4.02E-2</v>
      </c>
      <c r="J316" s="5">
        <f t="shared" si="48"/>
        <v>3.9870833333333335E-2</v>
      </c>
      <c r="K316" s="5">
        <f t="shared" si="49"/>
        <v>3.2458333333333339E-2</v>
      </c>
      <c r="L316" s="8">
        <f t="shared" si="46"/>
        <v>0.24015941906495653</v>
      </c>
      <c r="M316" s="8">
        <f t="shared" si="47"/>
        <v>2.64E-2</v>
      </c>
      <c r="N316" s="8">
        <f t="shared" si="50"/>
        <v>3.0350000000000002E-2</v>
      </c>
      <c r="O316" s="296">
        <f t="shared" si="45"/>
        <v>0.21375941906495652</v>
      </c>
      <c r="P316" s="8">
        <f t="shared" si="51"/>
        <v>0.20980941906495654</v>
      </c>
      <c r="Q316" s="8">
        <f t="shared" si="52"/>
        <v>0.18632900131596331</v>
      </c>
      <c r="R316" s="8">
        <f t="shared" si="53"/>
        <v>3.2899999999999999E-2</v>
      </c>
      <c r="S316" s="296">
        <f t="shared" si="54"/>
        <v>0.15342900131596332</v>
      </c>
      <c r="U316" s="297"/>
      <c r="V316" s="297"/>
      <c r="W316" s="297"/>
      <c r="X316" s="297"/>
      <c r="Y316" s="297"/>
      <c r="Z316" s="297"/>
      <c r="AA316" s="297"/>
      <c r="AB316" s="297"/>
      <c r="AC316" s="297"/>
      <c r="AE316" s="297"/>
      <c r="AF316" s="297"/>
      <c r="AG316" s="297"/>
      <c r="AH316" s="297"/>
      <c r="AI316" s="297"/>
      <c r="AJ316" s="297"/>
      <c r="AK316" s="297"/>
      <c r="AL316" s="297"/>
      <c r="AM316" s="297"/>
      <c r="AO316" s="297"/>
      <c r="AP316" s="297"/>
      <c r="AQ316" s="297"/>
      <c r="AR316" s="297"/>
      <c r="AS316" s="297"/>
      <c r="AT316" s="297"/>
      <c r="AU316" s="297"/>
      <c r="AV316" s="297"/>
      <c r="AW316" s="297"/>
    </row>
    <row r="317" spans="1:49" x14ac:dyDescent="0.45">
      <c r="A317" s="295">
        <v>18994</v>
      </c>
      <c r="B317" s="12">
        <v>1.8100000000000002E-2</v>
      </c>
      <c r="C317" s="5">
        <v>3.0499999999999999E-2</v>
      </c>
      <c r="D317" s="5">
        <v>2.3E-3</v>
      </c>
      <c r="E317" s="5">
        <v>2.4833333333333331E-3</v>
      </c>
      <c r="F317" s="5">
        <v>2.5416666666666665E-3</v>
      </c>
      <c r="G317" s="5">
        <v>2.5124999999999995E-3</v>
      </c>
      <c r="H317" s="5">
        <v>2.7416666666666666E-3</v>
      </c>
      <c r="I317" s="5">
        <f t="shared" si="44"/>
        <v>1.5800000000000002E-2</v>
      </c>
      <c r="J317" s="5">
        <f t="shared" si="48"/>
        <v>1.5587500000000002E-2</v>
      </c>
      <c r="K317" s="5">
        <f t="shared" si="49"/>
        <v>2.7758333333333333E-2</v>
      </c>
      <c r="L317" s="8">
        <f t="shared" si="46"/>
        <v>0.18699473963526625</v>
      </c>
      <c r="M317" s="8">
        <f t="shared" si="47"/>
        <v>2.76E-2</v>
      </c>
      <c r="N317" s="8">
        <f t="shared" si="50"/>
        <v>3.0149999999999996E-2</v>
      </c>
      <c r="O317" s="296">
        <f t="shared" si="45"/>
        <v>0.15939473963526624</v>
      </c>
      <c r="P317" s="8">
        <f t="shared" si="51"/>
        <v>0.15684473963526624</v>
      </c>
      <c r="Q317" s="8">
        <f t="shared" si="52"/>
        <v>0.17121291038139463</v>
      </c>
      <c r="R317" s="8">
        <f t="shared" si="53"/>
        <v>3.2899999999999999E-2</v>
      </c>
      <c r="S317" s="296">
        <f t="shared" si="54"/>
        <v>0.13831291038139465</v>
      </c>
      <c r="U317" s="297"/>
      <c r="V317" s="297"/>
      <c r="W317" s="297"/>
      <c r="X317" s="297"/>
      <c r="Y317" s="297"/>
      <c r="Z317" s="297"/>
      <c r="AA317" s="297"/>
      <c r="AB317" s="297"/>
      <c r="AC317" s="297"/>
      <c r="AE317" s="297"/>
      <c r="AF317" s="297"/>
      <c r="AG317" s="297"/>
      <c r="AH317" s="297"/>
      <c r="AI317" s="297"/>
      <c r="AJ317" s="297"/>
      <c r="AK317" s="297"/>
      <c r="AL317" s="297"/>
      <c r="AM317" s="297"/>
      <c r="AO317" s="297"/>
      <c r="AP317" s="297"/>
      <c r="AQ317" s="297"/>
      <c r="AR317" s="297"/>
      <c r="AS317" s="297"/>
      <c r="AT317" s="297"/>
      <c r="AU317" s="297"/>
      <c r="AV317" s="297"/>
      <c r="AW317" s="297"/>
    </row>
    <row r="318" spans="1:49" x14ac:dyDescent="0.45">
      <c r="A318" s="295">
        <v>19025</v>
      </c>
      <c r="B318" s="12">
        <v>-2.8199999999999999E-2</v>
      </c>
      <c r="C318" s="5">
        <v>5.8999999999999999E-3</v>
      </c>
      <c r="D318" s="5">
        <v>2.0999999999999999E-3</v>
      </c>
      <c r="E318" s="5">
        <v>2.4416666666666666E-3</v>
      </c>
      <c r="F318" s="5">
        <v>2.5083333333333329E-3</v>
      </c>
      <c r="G318" s="5">
        <v>2.4749999999999998E-3</v>
      </c>
      <c r="H318" s="5">
        <v>2.6916666666666669E-3</v>
      </c>
      <c r="I318" s="5">
        <f t="shared" si="44"/>
        <v>-3.0300000000000001E-2</v>
      </c>
      <c r="J318" s="5">
        <f t="shared" si="48"/>
        <v>-3.0675000000000001E-2</v>
      </c>
      <c r="K318" s="5">
        <f t="shared" si="49"/>
        <v>3.208333333333333E-3</v>
      </c>
      <c r="L318" s="8">
        <f t="shared" si="46"/>
        <v>0.13569113712469338</v>
      </c>
      <c r="M318" s="8">
        <f t="shared" si="47"/>
        <v>2.52E-2</v>
      </c>
      <c r="N318" s="8">
        <f t="shared" si="50"/>
        <v>2.9699999999999997E-2</v>
      </c>
      <c r="O318" s="296">
        <f t="shared" si="45"/>
        <v>0.11049113712469338</v>
      </c>
      <c r="P318" s="8">
        <f t="shared" si="51"/>
        <v>0.10599113712469338</v>
      </c>
      <c r="Q318" s="8">
        <f t="shared" si="52"/>
        <v>0.14737345788142298</v>
      </c>
      <c r="R318" s="8">
        <f t="shared" si="53"/>
        <v>3.2300000000000002E-2</v>
      </c>
      <c r="S318" s="296">
        <f t="shared" si="54"/>
        <v>0.11507345788142298</v>
      </c>
      <c r="U318" s="297"/>
      <c r="V318" s="297"/>
      <c r="W318" s="297"/>
      <c r="X318" s="297"/>
      <c r="Y318" s="297"/>
      <c r="Z318" s="297"/>
      <c r="AA318" s="297"/>
      <c r="AB318" s="297"/>
      <c r="AC318" s="297"/>
      <c r="AE318" s="297"/>
      <c r="AF318" s="297"/>
      <c r="AG318" s="297"/>
      <c r="AH318" s="297"/>
      <c r="AI318" s="297"/>
      <c r="AJ318" s="297"/>
      <c r="AK318" s="297"/>
      <c r="AL318" s="297"/>
      <c r="AM318" s="297"/>
      <c r="AO318" s="297"/>
      <c r="AP318" s="297"/>
      <c r="AQ318" s="297"/>
      <c r="AR318" s="297"/>
      <c r="AS318" s="297"/>
      <c r="AT318" s="297"/>
      <c r="AU318" s="297"/>
      <c r="AV318" s="297"/>
      <c r="AW318" s="297"/>
    </row>
    <row r="319" spans="1:49" x14ac:dyDescent="0.45">
      <c r="A319" s="295">
        <v>19054</v>
      </c>
      <c r="B319" s="12">
        <v>5.0299999999999997E-2</v>
      </c>
      <c r="C319" s="5">
        <v>1.7599999999999998E-2</v>
      </c>
      <c r="D319" s="5">
        <v>2.3E-3</v>
      </c>
      <c r="E319" s="5">
        <v>2.4666666666666669E-3</v>
      </c>
      <c r="F319" s="5">
        <v>2.5249999999999999E-3</v>
      </c>
      <c r="G319" s="5">
        <v>2.4958333333333334E-3</v>
      </c>
      <c r="H319" s="5">
        <v>2.708333333333333E-3</v>
      </c>
      <c r="I319" s="5">
        <f t="shared" si="44"/>
        <v>4.8000000000000001E-2</v>
      </c>
      <c r="J319" s="5">
        <f t="shared" si="48"/>
        <v>4.7804166666666661E-2</v>
      </c>
      <c r="K319" s="5">
        <f t="shared" si="49"/>
        <v>1.4891666666666664E-2</v>
      </c>
      <c r="L319" s="8">
        <f t="shared" si="46"/>
        <v>0.2117192211723542</v>
      </c>
      <c r="M319" s="8">
        <f t="shared" si="47"/>
        <v>2.76E-2</v>
      </c>
      <c r="N319" s="8">
        <f t="shared" si="50"/>
        <v>2.9950000000000001E-2</v>
      </c>
      <c r="O319" s="296">
        <f t="shared" si="45"/>
        <v>0.18411922117235419</v>
      </c>
      <c r="P319" s="8">
        <f t="shared" si="51"/>
        <v>0.1817692211723542</v>
      </c>
      <c r="Q319" s="8">
        <f t="shared" si="52"/>
        <v>0.18824265290060693</v>
      </c>
      <c r="R319" s="8">
        <f t="shared" si="53"/>
        <v>3.2499999999999994E-2</v>
      </c>
      <c r="S319" s="296">
        <f t="shared" si="54"/>
        <v>0.15574265290060693</v>
      </c>
      <c r="U319" s="297"/>
      <c r="V319" s="297"/>
      <c r="W319" s="297"/>
      <c r="X319" s="297"/>
      <c r="Y319" s="297"/>
      <c r="Z319" s="297"/>
      <c r="AA319" s="297"/>
      <c r="AB319" s="297"/>
      <c r="AC319" s="297"/>
      <c r="AE319" s="297"/>
      <c r="AF319" s="297"/>
      <c r="AG319" s="297"/>
      <c r="AH319" s="297"/>
      <c r="AI319" s="297"/>
      <c r="AJ319" s="297"/>
      <c r="AK319" s="297"/>
      <c r="AL319" s="297"/>
      <c r="AM319" s="297"/>
      <c r="AO319" s="297"/>
      <c r="AP319" s="297"/>
      <c r="AQ319" s="297"/>
      <c r="AR319" s="297"/>
      <c r="AS319" s="297"/>
      <c r="AT319" s="297"/>
      <c r="AU319" s="297"/>
      <c r="AV319" s="297"/>
      <c r="AW319" s="297"/>
    </row>
    <row r="320" spans="1:49" x14ac:dyDescent="0.45">
      <c r="A320" s="295">
        <v>19085</v>
      </c>
      <c r="B320" s="12">
        <v>-4.02E-2</v>
      </c>
      <c r="C320" s="5">
        <v>-1.54E-2</v>
      </c>
      <c r="D320" s="5">
        <v>2.2000000000000001E-3</v>
      </c>
      <c r="E320" s="5">
        <v>2.4416666666666666E-3</v>
      </c>
      <c r="F320" s="5">
        <v>2.5083333333333329E-3</v>
      </c>
      <c r="G320" s="5">
        <v>2.4749999999999998E-3</v>
      </c>
      <c r="H320" s="5">
        <v>2.6916666666666669E-3</v>
      </c>
      <c r="I320" s="5">
        <f t="shared" si="44"/>
        <v>-4.24E-2</v>
      </c>
      <c r="J320" s="5">
        <f t="shared" si="48"/>
        <v>-4.2674999999999998E-2</v>
      </c>
      <c r="K320" s="5">
        <f t="shared" si="49"/>
        <v>-1.8091666666666666E-2</v>
      </c>
      <c r="L320" s="8">
        <f t="shared" si="46"/>
        <v>0.10667818867753875</v>
      </c>
      <c r="M320" s="8">
        <f t="shared" si="47"/>
        <v>2.64E-2</v>
      </c>
      <c r="N320" s="8">
        <f t="shared" si="50"/>
        <v>2.9699999999999997E-2</v>
      </c>
      <c r="O320" s="296">
        <f t="shared" si="45"/>
        <v>8.0278188677538748E-2</v>
      </c>
      <c r="P320" s="8">
        <f t="shared" si="51"/>
        <v>7.697818867753875E-2</v>
      </c>
      <c r="Q320" s="8">
        <f t="shared" si="52"/>
        <v>0.16935903652767359</v>
      </c>
      <c r="R320" s="8">
        <f t="shared" si="53"/>
        <v>3.2300000000000002E-2</v>
      </c>
      <c r="S320" s="296">
        <f t="shared" si="54"/>
        <v>0.13705903652767359</v>
      </c>
      <c r="U320" s="297"/>
      <c r="V320" s="297"/>
      <c r="W320" s="297"/>
      <c r="X320" s="297"/>
      <c r="Y320" s="297"/>
      <c r="Z320" s="297"/>
      <c r="AA320" s="297"/>
      <c r="AB320" s="297"/>
      <c r="AC320" s="297"/>
      <c r="AE320" s="297"/>
      <c r="AF320" s="297"/>
      <c r="AG320" s="297"/>
      <c r="AH320" s="297"/>
      <c r="AI320" s="297"/>
      <c r="AJ320" s="297"/>
      <c r="AK320" s="297"/>
      <c r="AL320" s="297"/>
      <c r="AM320" s="297"/>
      <c r="AO320" s="297"/>
      <c r="AP320" s="297"/>
      <c r="AQ320" s="297"/>
      <c r="AR320" s="297"/>
      <c r="AS320" s="297"/>
      <c r="AT320" s="297"/>
      <c r="AU320" s="297"/>
      <c r="AV320" s="297"/>
      <c r="AW320" s="297"/>
    </row>
    <row r="321" spans="1:49" x14ac:dyDescent="0.45">
      <c r="A321" s="295">
        <v>19115</v>
      </c>
      <c r="B321" s="12">
        <v>3.4299999999999997E-2</v>
      </c>
      <c r="C321" s="5">
        <v>1.9E-2</v>
      </c>
      <c r="D321" s="5">
        <v>2E-3</v>
      </c>
      <c r="E321" s="5">
        <v>2.4416666666666666E-3</v>
      </c>
      <c r="F321" s="5">
        <v>2.5000000000000001E-3</v>
      </c>
      <c r="G321" s="5">
        <v>2.4708333333333331E-3</v>
      </c>
      <c r="H321" s="5">
        <v>2.6833333333333336E-3</v>
      </c>
      <c r="I321" s="5">
        <f t="shared" si="44"/>
        <v>3.2299999999999995E-2</v>
      </c>
      <c r="J321" s="5">
        <f t="shared" si="48"/>
        <v>3.1829166666666665E-2</v>
      </c>
      <c r="K321" s="5">
        <f t="shared" si="49"/>
        <v>1.6316666666666667E-2</v>
      </c>
      <c r="L321" s="8">
        <f t="shared" si="46"/>
        <v>0.17991676172474858</v>
      </c>
      <c r="M321" s="8">
        <f t="shared" si="47"/>
        <v>2.4E-2</v>
      </c>
      <c r="N321" s="8">
        <f t="shared" si="50"/>
        <v>2.9649999999999996E-2</v>
      </c>
      <c r="O321" s="296">
        <f t="shared" si="45"/>
        <v>0.15591676172474858</v>
      </c>
      <c r="P321" s="8">
        <f t="shared" si="51"/>
        <v>0.15026676172474857</v>
      </c>
      <c r="Q321" s="8">
        <f t="shared" si="52"/>
        <v>0.18376401571796053</v>
      </c>
      <c r="R321" s="8">
        <f t="shared" si="53"/>
        <v>3.2200000000000006E-2</v>
      </c>
      <c r="S321" s="296">
        <f t="shared" si="54"/>
        <v>0.15156401571796052</v>
      </c>
      <c r="U321" s="297"/>
      <c r="V321" s="297"/>
      <c r="W321" s="297"/>
      <c r="X321" s="297"/>
      <c r="Y321" s="297"/>
      <c r="Z321" s="297"/>
      <c r="AA321" s="297"/>
      <c r="AB321" s="297"/>
      <c r="AC321" s="297"/>
      <c r="AE321" s="297"/>
      <c r="AF321" s="297"/>
      <c r="AG321" s="297"/>
      <c r="AH321" s="297"/>
      <c r="AI321" s="297"/>
      <c r="AJ321" s="297"/>
      <c r="AK321" s="297"/>
      <c r="AL321" s="297"/>
      <c r="AM321" s="297"/>
      <c r="AO321" s="297"/>
      <c r="AP321" s="297"/>
      <c r="AQ321" s="297"/>
      <c r="AR321" s="297"/>
      <c r="AS321" s="297"/>
      <c r="AT321" s="297"/>
      <c r="AU321" s="297"/>
      <c r="AV321" s="297"/>
      <c r="AW321" s="297"/>
    </row>
    <row r="322" spans="1:49" x14ac:dyDescent="0.45">
      <c r="A322" s="295">
        <v>19146</v>
      </c>
      <c r="B322" s="12">
        <v>4.9000000000000002E-2</v>
      </c>
      <c r="C322" s="5">
        <v>4.8999999999999998E-3</v>
      </c>
      <c r="D322" s="5">
        <v>2.2000000000000001E-3</v>
      </c>
      <c r="E322" s="5">
        <v>2.4499999999999999E-3</v>
      </c>
      <c r="F322" s="5">
        <v>2.5249999999999999E-3</v>
      </c>
      <c r="G322" s="5">
        <v>2.4875000000000001E-3</v>
      </c>
      <c r="H322" s="5">
        <v>2.6833333333333336E-3</v>
      </c>
      <c r="I322" s="5">
        <f t="shared" si="44"/>
        <v>4.6800000000000001E-2</v>
      </c>
      <c r="J322" s="5">
        <f t="shared" si="48"/>
        <v>4.6512499999999998E-2</v>
      </c>
      <c r="K322" s="5">
        <f t="shared" si="49"/>
        <v>2.2166666666666663E-3</v>
      </c>
      <c r="L322" s="8">
        <f t="shared" si="46"/>
        <v>0.26661142350517952</v>
      </c>
      <c r="M322" s="8">
        <f t="shared" si="47"/>
        <v>2.64E-2</v>
      </c>
      <c r="N322" s="8">
        <f t="shared" si="50"/>
        <v>2.9850000000000002E-2</v>
      </c>
      <c r="O322" s="296">
        <f t="shared" si="45"/>
        <v>0.24021142350517952</v>
      </c>
      <c r="P322" s="8">
        <f t="shared" si="51"/>
        <v>0.23676142350517954</v>
      </c>
      <c r="Q322" s="8">
        <f t="shared" si="52"/>
        <v>0.19434182670178579</v>
      </c>
      <c r="R322" s="8">
        <f t="shared" si="53"/>
        <v>3.2200000000000006E-2</v>
      </c>
      <c r="S322" s="296">
        <f t="shared" si="54"/>
        <v>0.16214182670178579</v>
      </c>
      <c r="U322" s="297"/>
      <c r="V322" s="297"/>
      <c r="W322" s="297"/>
      <c r="X322" s="297"/>
      <c r="Y322" s="297"/>
      <c r="Z322" s="297"/>
      <c r="AA322" s="297"/>
      <c r="AB322" s="297"/>
      <c r="AC322" s="297"/>
      <c r="AE322" s="297"/>
      <c r="AF322" s="297"/>
      <c r="AG322" s="297"/>
      <c r="AH322" s="297"/>
      <c r="AI322" s="297"/>
      <c r="AJ322" s="297"/>
      <c r="AK322" s="297"/>
      <c r="AL322" s="297"/>
      <c r="AM322" s="297"/>
      <c r="AO322" s="297"/>
      <c r="AP322" s="297"/>
      <c r="AQ322" s="297"/>
      <c r="AR322" s="297"/>
      <c r="AS322" s="297"/>
      <c r="AT322" s="297"/>
      <c r="AU322" s="297"/>
      <c r="AV322" s="297"/>
      <c r="AW322" s="297"/>
    </row>
    <row r="323" spans="1:49" x14ac:dyDescent="0.45">
      <c r="A323" s="295">
        <v>19176</v>
      </c>
      <c r="B323" s="12">
        <v>1.9599999999999999E-2</v>
      </c>
      <c r="C323" s="5">
        <v>2.06E-2</v>
      </c>
      <c r="D323" s="5">
        <v>2.2000000000000001E-3</v>
      </c>
      <c r="E323" s="5">
        <v>2.4583333333333336E-3</v>
      </c>
      <c r="F323" s="5">
        <v>2.5333333333333336E-3</v>
      </c>
      <c r="G323" s="5">
        <v>2.4958333333333334E-3</v>
      </c>
      <c r="H323" s="5">
        <v>2.6833333333333336E-3</v>
      </c>
      <c r="I323" s="5">
        <f t="shared" si="44"/>
        <v>1.7399999999999999E-2</v>
      </c>
      <c r="J323" s="5">
        <f t="shared" si="48"/>
        <v>1.7104166666666667E-2</v>
      </c>
      <c r="K323" s="5">
        <f t="shared" si="49"/>
        <v>1.7916666666666668E-2</v>
      </c>
      <c r="L323" s="8">
        <f t="shared" si="46"/>
        <v>0.20571095827269215</v>
      </c>
      <c r="M323" s="8">
        <f t="shared" si="47"/>
        <v>2.64E-2</v>
      </c>
      <c r="N323" s="8">
        <f t="shared" si="50"/>
        <v>2.9950000000000001E-2</v>
      </c>
      <c r="O323" s="296">
        <f t="shared" si="45"/>
        <v>0.17931095827269214</v>
      </c>
      <c r="P323" s="8">
        <f t="shared" si="51"/>
        <v>0.17576095827269214</v>
      </c>
      <c r="Q323" s="8">
        <f t="shared" si="52"/>
        <v>0.16768394322429581</v>
      </c>
      <c r="R323" s="8">
        <f t="shared" si="53"/>
        <v>3.2200000000000006E-2</v>
      </c>
      <c r="S323" s="296">
        <f t="shared" si="54"/>
        <v>0.1354839432242958</v>
      </c>
      <c r="U323" s="297"/>
      <c r="V323" s="297"/>
      <c r="W323" s="297"/>
      <c r="X323" s="297"/>
      <c r="Y323" s="297"/>
      <c r="Z323" s="297"/>
      <c r="AA323" s="297"/>
      <c r="AB323" s="297"/>
      <c r="AC323" s="297"/>
      <c r="AE323" s="297"/>
      <c r="AF323" s="297"/>
      <c r="AG323" s="297"/>
      <c r="AH323" s="297"/>
      <c r="AI323" s="297"/>
      <c r="AJ323" s="297"/>
      <c r="AK323" s="297"/>
      <c r="AL323" s="297"/>
      <c r="AM323" s="297"/>
      <c r="AO323" s="297"/>
      <c r="AP323" s="297"/>
      <c r="AQ323" s="297"/>
      <c r="AR323" s="297"/>
      <c r="AS323" s="297"/>
      <c r="AT323" s="297"/>
      <c r="AU323" s="297"/>
      <c r="AV323" s="297"/>
      <c r="AW323" s="297"/>
    </row>
    <row r="324" spans="1:49" x14ac:dyDescent="0.45">
      <c r="A324" s="295">
        <v>19207</v>
      </c>
      <c r="B324" s="12">
        <v>-7.1000000000000004E-3</v>
      </c>
      <c r="C324" s="5">
        <v>2.0300000000000002E-2</v>
      </c>
      <c r="D324" s="5">
        <v>2.0999999999999999E-3</v>
      </c>
      <c r="E324" s="5">
        <v>2.4499999999999999E-3</v>
      </c>
      <c r="F324" s="5">
        <v>2.5500000000000002E-3</v>
      </c>
      <c r="G324" s="5">
        <v>2.5000000000000001E-3</v>
      </c>
      <c r="H324" s="5">
        <v>2.7000000000000001E-3</v>
      </c>
      <c r="I324" s="5">
        <f t="shared" si="44"/>
        <v>-9.1999999999999998E-3</v>
      </c>
      <c r="J324" s="5">
        <f t="shared" si="48"/>
        <v>-9.6000000000000009E-3</v>
      </c>
      <c r="K324" s="5">
        <f t="shared" si="49"/>
        <v>1.7600000000000001E-2</v>
      </c>
      <c r="L324" s="8">
        <f t="shared" si="46"/>
        <v>0.14253713539698043</v>
      </c>
      <c r="M324" s="8">
        <f t="shared" si="47"/>
        <v>2.52E-2</v>
      </c>
      <c r="N324" s="8">
        <f t="shared" si="50"/>
        <v>0.03</v>
      </c>
      <c r="O324" s="296">
        <f t="shared" si="45"/>
        <v>0.11733713539698043</v>
      </c>
      <c r="P324" s="8">
        <f t="shared" si="51"/>
        <v>0.11253713539698043</v>
      </c>
      <c r="Q324" s="8">
        <f t="shared" si="52"/>
        <v>0.17354996776177001</v>
      </c>
      <c r="R324" s="8">
        <f t="shared" si="53"/>
        <v>3.2399999999999998E-2</v>
      </c>
      <c r="S324" s="296">
        <f t="shared" si="54"/>
        <v>0.14114996776177002</v>
      </c>
      <c r="U324" s="297"/>
      <c r="V324" s="297"/>
      <c r="W324" s="297"/>
      <c r="X324" s="297"/>
      <c r="Y324" s="297"/>
      <c r="Z324" s="297"/>
      <c r="AA324" s="297"/>
      <c r="AB324" s="297"/>
      <c r="AC324" s="297"/>
      <c r="AE324" s="297"/>
      <c r="AF324" s="297"/>
      <c r="AG324" s="297"/>
      <c r="AH324" s="297"/>
      <c r="AI324" s="297"/>
      <c r="AJ324" s="297"/>
      <c r="AK324" s="297"/>
      <c r="AL324" s="297"/>
      <c r="AM324" s="297"/>
      <c r="AO324" s="297"/>
      <c r="AP324" s="297"/>
      <c r="AQ324" s="297"/>
      <c r="AR324" s="297"/>
      <c r="AS324" s="297"/>
      <c r="AT324" s="297"/>
      <c r="AU324" s="297"/>
      <c r="AV324" s="297"/>
      <c r="AW324" s="297"/>
    </row>
    <row r="325" spans="1:49" x14ac:dyDescent="0.45">
      <c r="A325" s="295">
        <v>19238</v>
      </c>
      <c r="B325" s="12">
        <v>-1.7600000000000001E-2</v>
      </c>
      <c r="C325" s="5">
        <v>1.4999999999999996E-3</v>
      </c>
      <c r="D325" s="5">
        <v>2.3E-3</v>
      </c>
      <c r="E325" s="5">
        <v>2.4583333333333336E-3</v>
      </c>
      <c r="F325" s="5">
        <v>2.558333333333333E-3</v>
      </c>
      <c r="G325" s="5">
        <v>2.5083333333333333E-3</v>
      </c>
      <c r="H325" s="5">
        <v>2.7000000000000001E-3</v>
      </c>
      <c r="I325" s="5">
        <f t="shared" si="44"/>
        <v>-1.9900000000000001E-2</v>
      </c>
      <c r="J325" s="5">
        <f t="shared" si="48"/>
        <v>-2.0108333333333336E-2</v>
      </c>
      <c r="K325" s="5">
        <f t="shared" si="49"/>
        <v>-1.2000000000000005E-3</v>
      </c>
      <c r="L325" s="8">
        <f t="shared" si="46"/>
        <v>0.12097121922899645</v>
      </c>
      <c r="M325" s="8">
        <f t="shared" si="47"/>
        <v>2.76E-2</v>
      </c>
      <c r="N325" s="8">
        <f t="shared" si="50"/>
        <v>3.0100000000000002E-2</v>
      </c>
      <c r="O325" s="296">
        <f t="shared" si="45"/>
        <v>9.3371219228996452E-2</v>
      </c>
      <c r="P325" s="8">
        <f t="shared" si="51"/>
        <v>9.087121922899645E-2</v>
      </c>
      <c r="Q325" s="8">
        <f t="shared" si="52"/>
        <v>0.16528880895638776</v>
      </c>
      <c r="R325" s="8">
        <f t="shared" si="53"/>
        <v>3.2399999999999998E-2</v>
      </c>
      <c r="S325" s="296">
        <f t="shared" si="54"/>
        <v>0.13288880895638777</v>
      </c>
      <c r="U325" s="297"/>
      <c r="V325" s="297"/>
      <c r="W325" s="297"/>
      <c r="X325" s="297"/>
      <c r="Y325" s="297"/>
      <c r="Z325" s="297"/>
      <c r="AA325" s="297"/>
      <c r="AB325" s="297"/>
      <c r="AC325" s="297"/>
      <c r="AE325" s="297"/>
      <c r="AF325" s="297"/>
      <c r="AG325" s="297"/>
      <c r="AH325" s="297"/>
      <c r="AI325" s="297"/>
      <c r="AJ325" s="297"/>
      <c r="AK325" s="297"/>
      <c r="AL325" s="297"/>
      <c r="AM325" s="297"/>
      <c r="AO325" s="297"/>
      <c r="AP325" s="297"/>
      <c r="AQ325" s="297"/>
      <c r="AR325" s="297"/>
      <c r="AS325" s="297"/>
      <c r="AT325" s="297"/>
      <c r="AU325" s="297"/>
      <c r="AV325" s="297"/>
      <c r="AW325" s="297"/>
    </row>
    <row r="326" spans="1:49" x14ac:dyDescent="0.45">
      <c r="A326" s="295">
        <v>19268</v>
      </c>
      <c r="B326" s="12">
        <v>2E-3</v>
      </c>
      <c r="C326" s="5">
        <v>1.01E-2</v>
      </c>
      <c r="D326" s="5">
        <v>2.3E-3</v>
      </c>
      <c r="E326" s="5">
        <v>2.5083333333333329E-3</v>
      </c>
      <c r="F326" s="5">
        <v>2.5666666666666667E-3</v>
      </c>
      <c r="G326" s="5">
        <v>2.5374999999999998E-3</v>
      </c>
      <c r="H326" s="5">
        <v>2.7166666666666667E-3</v>
      </c>
      <c r="I326" s="5">
        <f t="shared" ref="I326:I389" si="55">B326-D326</f>
        <v>-2.9999999999999992E-4</v>
      </c>
      <c r="J326" s="5">
        <f t="shared" si="48"/>
        <v>-5.3749999999999978E-4</v>
      </c>
      <c r="K326" s="5">
        <f t="shared" si="49"/>
        <v>7.3833333333333329E-3</v>
      </c>
      <c r="L326" s="8">
        <f t="shared" si="46"/>
        <v>0.13490265905572785</v>
      </c>
      <c r="M326" s="8">
        <f t="shared" si="47"/>
        <v>2.76E-2</v>
      </c>
      <c r="N326" s="8">
        <f t="shared" si="50"/>
        <v>3.0449999999999998E-2</v>
      </c>
      <c r="O326" s="296">
        <f t="shared" si="45"/>
        <v>0.10730265905572785</v>
      </c>
      <c r="P326" s="8">
        <f t="shared" si="51"/>
        <v>0.10445265905572784</v>
      </c>
      <c r="Q326" s="8">
        <f t="shared" si="52"/>
        <v>0.17365462750707694</v>
      </c>
      <c r="R326" s="8">
        <f t="shared" si="53"/>
        <v>3.2600000000000004E-2</v>
      </c>
      <c r="S326" s="296">
        <f t="shared" si="54"/>
        <v>0.14105462750707692</v>
      </c>
      <c r="U326" s="297"/>
      <c r="V326" s="297"/>
      <c r="W326" s="297"/>
      <c r="X326" s="297"/>
      <c r="Y326" s="297"/>
      <c r="Z326" s="297"/>
      <c r="AA326" s="297"/>
      <c r="AB326" s="297"/>
      <c r="AC326" s="297"/>
      <c r="AE326" s="297"/>
      <c r="AF326" s="297"/>
      <c r="AG326" s="297"/>
      <c r="AH326" s="297"/>
      <c r="AI326" s="297"/>
      <c r="AJ326" s="297"/>
      <c r="AK326" s="297"/>
      <c r="AL326" s="297"/>
      <c r="AM326" s="297"/>
      <c r="AO326" s="297"/>
      <c r="AP326" s="297"/>
      <c r="AQ326" s="297"/>
      <c r="AR326" s="297"/>
      <c r="AS326" s="297"/>
      <c r="AT326" s="297"/>
      <c r="AU326" s="297"/>
      <c r="AV326" s="297"/>
      <c r="AW326" s="297"/>
    </row>
    <row r="327" spans="1:49" x14ac:dyDescent="0.45">
      <c r="A327" s="295">
        <v>19299</v>
      </c>
      <c r="B327" s="12">
        <v>5.7099999999999998E-2</v>
      </c>
      <c r="C327" s="5">
        <v>4.2299999999999997E-2</v>
      </c>
      <c r="D327" s="5">
        <v>2.0999999999999999E-3</v>
      </c>
      <c r="E327" s="5">
        <v>2.4833333333333331E-3</v>
      </c>
      <c r="F327" s="5">
        <v>2.5500000000000002E-3</v>
      </c>
      <c r="G327" s="5">
        <v>2.5166666666666666E-3</v>
      </c>
      <c r="H327" s="5">
        <v>2.7000000000000001E-3</v>
      </c>
      <c r="I327" s="5">
        <f t="shared" si="55"/>
        <v>5.5E-2</v>
      </c>
      <c r="J327" s="5">
        <f t="shared" si="48"/>
        <v>5.4583333333333331E-2</v>
      </c>
      <c r="K327" s="5">
        <f t="shared" si="49"/>
        <v>3.9599999999999996E-2</v>
      </c>
      <c r="L327" s="8">
        <f t="shared" si="46"/>
        <v>0.18829794065749828</v>
      </c>
      <c r="M327" s="8">
        <f t="shared" si="47"/>
        <v>2.52E-2</v>
      </c>
      <c r="N327" s="8">
        <f t="shared" si="50"/>
        <v>3.0199999999999998E-2</v>
      </c>
      <c r="O327" s="296">
        <f t="shared" si="45"/>
        <v>0.16309794065749827</v>
      </c>
      <c r="P327" s="8">
        <f t="shared" si="51"/>
        <v>0.15809794065749827</v>
      </c>
      <c r="Q327" s="8">
        <f t="shared" si="52"/>
        <v>0.20879468206583618</v>
      </c>
      <c r="R327" s="8">
        <f t="shared" si="53"/>
        <v>3.2399999999999998E-2</v>
      </c>
      <c r="S327" s="296">
        <f t="shared" si="54"/>
        <v>0.17639468206583619</v>
      </c>
      <c r="U327" s="297"/>
      <c r="V327" s="297"/>
      <c r="W327" s="297"/>
      <c r="X327" s="297"/>
      <c r="Y327" s="297"/>
      <c r="Z327" s="297"/>
      <c r="AA327" s="297"/>
      <c r="AB327" s="297"/>
      <c r="AC327" s="297"/>
      <c r="AE327" s="297"/>
      <c r="AF327" s="297"/>
      <c r="AG327" s="297"/>
      <c r="AH327" s="297"/>
      <c r="AI327" s="297"/>
      <c r="AJ327" s="297"/>
      <c r="AK327" s="297"/>
      <c r="AL327" s="297"/>
      <c r="AM327" s="297"/>
      <c r="AO327" s="297"/>
      <c r="AP327" s="297"/>
      <c r="AQ327" s="297"/>
      <c r="AR327" s="297"/>
      <c r="AS327" s="297"/>
      <c r="AT327" s="297"/>
      <c r="AU327" s="297"/>
      <c r="AV327" s="297"/>
      <c r="AW327" s="297"/>
    </row>
    <row r="328" spans="1:49" x14ac:dyDescent="0.45">
      <c r="A328" s="295">
        <v>19329</v>
      </c>
      <c r="B328" s="12">
        <v>3.8199999999999998E-2</v>
      </c>
      <c r="C328" s="5">
        <v>2.1299999999999999E-2</v>
      </c>
      <c r="D328" s="5">
        <v>2.3999999999999998E-3</v>
      </c>
      <c r="E328" s="5">
        <v>2.4750000000000002E-3</v>
      </c>
      <c r="F328" s="5">
        <v>2.5416666666666665E-3</v>
      </c>
      <c r="G328" s="5">
        <v>2.5083333333333333E-3</v>
      </c>
      <c r="H328" s="5">
        <v>2.6833333333333336E-3</v>
      </c>
      <c r="I328" s="5">
        <f t="shared" si="55"/>
        <v>3.5799999999999998E-2</v>
      </c>
      <c r="J328" s="5">
        <f t="shared" si="48"/>
        <v>3.5691666666666663E-2</v>
      </c>
      <c r="K328" s="5">
        <f t="shared" si="49"/>
        <v>1.8616666666666667E-2</v>
      </c>
      <c r="L328" s="8">
        <f t="shared" si="46"/>
        <v>0.18351009400481066</v>
      </c>
      <c r="M328" s="8">
        <f t="shared" si="47"/>
        <v>2.8799999999999999E-2</v>
      </c>
      <c r="N328" s="8">
        <f t="shared" si="50"/>
        <v>3.0100000000000002E-2</v>
      </c>
      <c r="O328" s="296">
        <f t="shared" si="45"/>
        <v>0.15471009400481067</v>
      </c>
      <c r="P328" s="8">
        <f t="shared" si="51"/>
        <v>0.15341009400481065</v>
      </c>
      <c r="Q328" s="8">
        <f t="shared" si="52"/>
        <v>0.19256376429080269</v>
      </c>
      <c r="R328" s="8">
        <f t="shared" si="53"/>
        <v>3.2200000000000006E-2</v>
      </c>
      <c r="S328" s="296">
        <f t="shared" si="54"/>
        <v>0.16036376429080268</v>
      </c>
      <c r="U328" s="297"/>
      <c r="V328" s="297"/>
      <c r="W328" s="297"/>
      <c r="X328" s="297"/>
      <c r="Y328" s="297"/>
      <c r="Z328" s="297"/>
      <c r="AA328" s="297"/>
      <c r="AB328" s="297"/>
      <c r="AC328" s="297"/>
      <c r="AE328" s="297"/>
      <c r="AF328" s="297"/>
      <c r="AG328" s="297"/>
      <c r="AH328" s="297"/>
      <c r="AI328" s="297"/>
      <c r="AJ328" s="297"/>
      <c r="AK328" s="297"/>
      <c r="AL328" s="297"/>
      <c r="AM328" s="297"/>
      <c r="AO328" s="297"/>
      <c r="AP328" s="297"/>
      <c r="AQ328" s="297"/>
      <c r="AR328" s="297"/>
      <c r="AS328" s="297"/>
      <c r="AT328" s="297"/>
      <c r="AU328" s="297"/>
      <c r="AV328" s="297"/>
      <c r="AW328" s="297"/>
    </row>
    <row r="329" spans="1:49" x14ac:dyDescent="0.45">
      <c r="A329" s="295">
        <v>19360</v>
      </c>
      <c r="B329" s="12">
        <v>-4.8999999999999998E-3</v>
      </c>
      <c r="C329" s="5">
        <v>1.03E-2</v>
      </c>
      <c r="D329" s="5">
        <v>2.3E-3</v>
      </c>
      <c r="E329" s="5">
        <v>2.5166666666666666E-3</v>
      </c>
      <c r="F329" s="5">
        <v>2.575E-3</v>
      </c>
      <c r="G329" s="5">
        <v>2.5458333333333331E-3</v>
      </c>
      <c r="H329" s="5">
        <v>2.708333333333333E-3</v>
      </c>
      <c r="I329" s="5">
        <f t="shared" si="55"/>
        <v>-7.1999999999999998E-3</v>
      </c>
      <c r="J329" s="5">
        <f t="shared" si="48"/>
        <v>-7.4458333333333329E-3</v>
      </c>
      <c r="K329" s="5">
        <f t="shared" si="49"/>
        <v>7.5916666666666667E-3</v>
      </c>
      <c r="L329" s="8">
        <f t="shared" si="46"/>
        <v>0.15677329785304694</v>
      </c>
      <c r="M329" s="8">
        <f t="shared" si="47"/>
        <v>2.76E-2</v>
      </c>
      <c r="N329" s="8">
        <f t="shared" si="50"/>
        <v>3.0549999999999997E-2</v>
      </c>
      <c r="O329" s="296">
        <f t="shared" si="45"/>
        <v>0.12917329785304693</v>
      </c>
      <c r="P329" s="8">
        <f t="shared" si="51"/>
        <v>0.12622329785304695</v>
      </c>
      <c r="Q329" s="8">
        <f t="shared" si="52"/>
        <v>0.16918696852304516</v>
      </c>
      <c r="R329" s="8">
        <f t="shared" si="53"/>
        <v>3.2499999999999994E-2</v>
      </c>
      <c r="S329" s="296">
        <f t="shared" si="54"/>
        <v>0.13668696852304515</v>
      </c>
      <c r="U329" s="297"/>
      <c r="V329" s="297"/>
      <c r="W329" s="297"/>
      <c r="X329" s="297"/>
      <c r="Y329" s="297"/>
      <c r="Z329" s="297"/>
      <c r="AA329" s="297"/>
      <c r="AB329" s="297"/>
      <c r="AC329" s="297"/>
      <c r="AE329" s="297"/>
      <c r="AF329" s="297"/>
      <c r="AG329" s="297"/>
      <c r="AH329" s="297"/>
      <c r="AI329" s="297"/>
      <c r="AJ329" s="297"/>
      <c r="AK329" s="297"/>
      <c r="AL329" s="297"/>
      <c r="AM329" s="297"/>
      <c r="AO329" s="297"/>
      <c r="AP329" s="297"/>
      <c r="AQ329" s="297"/>
      <c r="AR329" s="297"/>
      <c r="AS329" s="297"/>
      <c r="AT329" s="297"/>
      <c r="AU329" s="297"/>
      <c r="AV329" s="297"/>
      <c r="AW329" s="297"/>
    </row>
    <row r="330" spans="1:49" x14ac:dyDescent="0.45">
      <c r="A330" s="295">
        <v>19391</v>
      </c>
      <c r="B330" s="12">
        <v>-1.06E-2</v>
      </c>
      <c r="C330" s="5">
        <v>-6.7000000000000002E-3</v>
      </c>
      <c r="D330" s="5">
        <v>2.0999999999999999E-3</v>
      </c>
      <c r="E330" s="5">
        <v>2.558333333333333E-3</v>
      </c>
      <c r="F330" s="5">
        <v>2.6166666666666664E-3</v>
      </c>
      <c r="G330" s="5">
        <v>2.5875E-3</v>
      </c>
      <c r="H330" s="5">
        <v>2.7500000000000003E-3</v>
      </c>
      <c r="I330" s="5">
        <f t="shared" si="55"/>
        <v>-1.2699999999999999E-2</v>
      </c>
      <c r="J330" s="5">
        <f t="shared" si="48"/>
        <v>-1.31875E-2</v>
      </c>
      <c r="K330" s="5">
        <f t="shared" si="49"/>
        <v>-9.4500000000000001E-3</v>
      </c>
      <c r="L330" s="8">
        <f t="shared" si="46"/>
        <v>0.17772329789648489</v>
      </c>
      <c r="M330" s="8">
        <f t="shared" si="47"/>
        <v>2.52E-2</v>
      </c>
      <c r="N330" s="8">
        <f t="shared" si="50"/>
        <v>3.1050000000000001E-2</v>
      </c>
      <c r="O330" s="296">
        <f t="shared" si="45"/>
        <v>0.15252329789648489</v>
      </c>
      <c r="P330" s="8">
        <f t="shared" si="51"/>
        <v>0.14667329789648489</v>
      </c>
      <c r="Q330" s="8">
        <f t="shared" si="52"/>
        <v>0.15454162027432217</v>
      </c>
      <c r="R330" s="8">
        <f t="shared" si="53"/>
        <v>3.3000000000000002E-2</v>
      </c>
      <c r="S330" s="296">
        <f t="shared" si="54"/>
        <v>0.12154162027432217</v>
      </c>
      <c r="U330" s="297"/>
      <c r="V330" s="297"/>
      <c r="W330" s="297"/>
      <c r="X330" s="297"/>
      <c r="Y330" s="297"/>
      <c r="Z330" s="297"/>
      <c r="AA330" s="297"/>
      <c r="AB330" s="297"/>
      <c r="AC330" s="297"/>
      <c r="AE330" s="297"/>
      <c r="AF330" s="297"/>
      <c r="AG330" s="297"/>
      <c r="AH330" s="297"/>
      <c r="AI330" s="297"/>
      <c r="AJ330" s="297"/>
      <c r="AK330" s="297"/>
      <c r="AL330" s="297"/>
      <c r="AM330" s="297"/>
      <c r="AO330" s="297"/>
      <c r="AP330" s="297"/>
      <c r="AQ330" s="297"/>
      <c r="AR330" s="297"/>
      <c r="AS330" s="297"/>
      <c r="AT330" s="297"/>
      <c r="AU330" s="297"/>
      <c r="AV330" s="297"/>
      <c r="AW330" s="297"/>
    </row>
    <row r="331" spans="1:49" x14ac:dyDescent="0.45">
      <c r="A331" s="295">
        <v>19419</v>
      </c>
      <c r="B331" s="12">
        <v>-2.12E-2</v>
      </c>
      <c r="C331" s="5">
        <v>-4.3E-3</v>
      </c>
      <c r="D331" s="5">
        <v>2.5000000000000001E-3</v>
      </c>
      <c r="E331" s="5">
        <v>2.5999999999999999E-3</v>
      </c>
      <c r="F331" s="5">
        <v>2.65E-3</v>
      </c>
      <c r="G331" s="5">
        <v>2.6250000000000002E-3</v>
      </c>
      <c r="H331" s="5">
        <v>2.7999999999999995E-3</v>
      </c>
      <c r="I331" s="5">
        <f t="shared" si="55"/>
        <v>-2.3699999999999999E-2</v>
      </c>
      <c r="J331" s="5">
        <f t="shared" si="48"/>
        <v>-2.3824999999999999E-2</v>
      </c>
      <c r="K331" s="5">
        <f t="shared" si="49"/>
        <v>-7.0999999999999995E-3</v>
      </c>
      <c r="L331" s="8">
        <f t="shared" si="46"/>
        <v>9.7548856499171777E-2</v>
      </c>
      <c r="M331" s="8">
        <f t="shared" si="47"/>
        <v>0.03</v>
      </c>
      <c r="N331" s="8">
        <f t="shared" si="50"/>
        <v>3.15E-2</v>
      </c>
      <c r="O331" s="296">
        <f t="shared" si="45"/>
        <v>6.7548856499171778E-2</v>
      </c>
      <c r="P331" s="8">
        <f t="shared" si="51"/>
        <v>6.6048856499171776E-2</v>
      </c>
      <c r="Q331" s="8">
        <f t="shared" si="52"/>
        <v>0.12969446865874845</v>
      </c>
      <c r="R331" s="8">
        <f t="shared" si="53"/>
        <v>3.3599999999999991E-2</v>
      </c>
      <c r="S331" s="296">
        <f t="shared" si="54"/>
        <v>9.6094468658748461E-2</v>
      </c>
      <c r="U331" s="297"/>
      <c r="V331" s="297"/>
      <c r="W331" s="297"/>
      <c r="X331" s="297"/>
      <c r="Y331" s="297"/>
      <c r="Z331" s="297"/>
      <c r="AA331" s="297"/>
      <c r="AB331" s="297"/>
      <c r="AC331" s="297"/>
      <c r="AE331" s="297"/>
      <c r="AF331" s="297"/>
      <c r="AG331" s="297"/>
      <c r="AH331" s="297"/>
      <c r="AI331" s="297"/>
      <c r="AJ331" s="297"/>
      <c r="AK331" s="297"/>
      <c r="AL331" s="297"/>
      <c r="AM331" s="297"/>
      <c r="AO331" s="297"/>
      <c r="AP331" s="297"/>
      <c r="AQ331" s="297"/>
      <c r="AR331" s="297"/>
      <c r="AS331" s="297"/>
      <c r="AT331" s="297"/>
      <c r="AU331" s="297"/>
      <c r="AV331" s="297"/>
      <c r="AW331" s="297"/>
    </row>
    <row r="332" spans="1:49" x14ac:dyDescent="0.45">
      <c r="A332" s="295">
        <v>19450</v>
      </c>
      <c r="B332" s="12">
        <v>-2.3699999999999999E-2</v>
      </c>
      <c r="C332" s="5">
        <v>-1.9200000000000002E-2</v>
      </c>
      <c r="D332" s="5">
        <v>2.3999999999999998E-3</v>
      </c>
      <c r="E332" s="5">
        <v>2.6916666666666669E-3</v>
      </c>
      <c r="F332" s="5">
        <v>2.7416666666666666E-3</v>
      </c>
      <c r="G332" s="5">
        <v>2.7166666666666667E-3</v>
      </c>
      <c r="H332" s="5">
        <v>2.891666666666667E-3</v>
      </c>
      <c r="I332" s="5">
        <f t="shared" si="55"/>
        <v>-2.6099999999999998E-2</v>
      </c>
      <c r="J332" s="5">
        <f t="shared" si="48"/>
        <v>-2.6416666666666665E-2</v>
      </c>
      <c r="K332" s="5">
        <f t="shared" si="49"/>
        <v>-2.2091666666666669E-2</v>
      </c>
      <c r="L332" s="8">
        <f t="shared" si="46"/>
        <v>0.11641690831437868</v>
      </c>
      <c r="M332" s="8">
        <f t="shared" si="47"/>
        <v>2.8799999999999999E-2</v>
      </c>
      <c r="N332" s="8">
        <f t="shared" si="50"/>
        <v>3.2600000000000004E-2</v>
      </c>
      <c r="O332" s="296">
        <f t="shared" si="45"/>
        <v>8.7616908314378683E-2</v>
      </c>
      <c r="P332" s="8">
        <f t="shared" si="51"/>
        <v>8.3816908314378671E-2</v>
      </c>
      <c r="Q332" s="8">
        <f t="shared" si="52"/>
        <v>0.12533448594403906</v>
      </c>
      <c r="R332" s="8">
        <f t="shared" si="53"/>
        <v>3.4700000000000002E-2</v>
      </c>
      <c r="S332" s="296">
        <f t="shared" si="54"/>
        <v>9.0634485944039056E-2</v>
      </c>
      <c r="U332" s="297"/>
      <c r="V332" s="297"/>
      <c r="W332" s="297"/>
      <c r="X332" s="297"/>
      <c r="Y332" s="297"/>
      <c r="Z332" s="297"/>
      <c r="AA332" s="297"/>
      <c r="AB332" s="297"/>
      <c r="AC332" s="297"/>
      <c r="AE332" s="297"/>
      <c r="AF332" s="297"/>
      <c r="AG332" s="297"/>
      <c r="AH332" s="297"/>
      <c r="AI332" s="297"/>
      <c r="AJ332" s="297"/>
      <c r="AK332" s="297"/>
      <c r="AL332" s="297"/>
      <c r="AM332" s="297"/>
      <c r="AO332" s="297"/>
      <c r="AP332" s="297"/>
      <c r="AQ332" s="297"/>
      <c r="AR332" s="297"/>
      <c r="AS332" s="297"/>
      <c r="AT332" s="297"/>
      <c r="AU332" s="297"/>
      <c r="AV332" s="297"/>
      <c r="AW332" s="297"/>
    </row>
    <row r="333" spans="1:49" x14ac:dyDescent="0.45">
      <c r="A333" s="295">
        <v>19480</v>
      </c>
      <c r="B333" s="12">
        <v>7.7000000000000002E-3</v>
      </c>
      <c r="C333" s="5">
        <v>2.3999999999999998E-3</v>
      </c>
      <c r="D333" s="5">
        <v>2.3999999999999998E-3</v>
      </c>
      <c r="E333" s="5">
        <v>2.7833333333333334E-3</v>
      </c>
      <c r="F333" s="5">
        <v>2.8416666666666668E-3</v>
      </c>
      <c r="G333" s="5">
        <v>2.8124999999999999E-3</v>
      </c>
      <c r="H333" s="5">
        <v>3.0249999999999999E-3</v>
      </c>
      <c r="I333" s="5">
        <f t="shared" si="55"/>
        <v>5.3000000000000009E-3</v>
      </c>
      <c r="J333" s="5">
        <f t="shared" si="48"/>
        <v>4.8875000000000004E-3</v>
      </c>
      <c r="K333" s="5">
        <f t="shared" si="49"/>
        <v>-6.2500000000000012E-4</v>
      </c>
      <c r="L333" s="8">
        <f t="shared" si="46"/>
        <v>8.7705035781107998E-2</v>
      </c>
      <c r="M333" s="8">
        <f t="shared" si="47"/>
        <v>2.8799999999999999E-2</v>
      </c>
      <c r="N333" s="8">
        <f t="shared" si="50"/>
        <v>3.3750000000000002E-2</v>
      </c>
      <c r="O333" s="296">
        <f t="shared" si="45"/>
        <v>5.8905035781107999E-2</v>
      </c>
      <c r="P333" s="8">
        <f t="shared" si="51"/>
        <v>5.3955035781107996E-2</v>
      </c>
      <c r="Q333" s="8">
        <f t="shared" si="52"/>
        <v>0.10700224603562769</v>
      </c>
      <c r="R333" s="8">
        <f t="shared" si="53"/>
        <v>3.6299999999999999E-2</v>
      </c>
      <c r="S333" s="296">
        <f t="shared" si="54"/>
        <v>7.0702246035627692E-2</v>
      </c>
      <c r="U333" s="297"/>
      <c r="V333" s="297"/>
      <c r="W333" s="297"/>
      <c r="X333" s="297"/>
      <c r="Y333" s="297"/>
      <c r="Z333" s="297"/>
      <c r="AA333" s="297"/>
      <c r="AB333" s="297"/>
      <c r="AC333" s="297"/>
      <c r="AE333" s="297"/>
      <c r="AF333" s="297"/>
      <c r="AG333" s="297"/>
      <c r="AH333" s="297"/>
      <c r="AI333" s="297"/>
      <c r="AJ333" s="297"/>
      <c r="AK333" s="297"/>
      <c r="AL333" s="297"/>
      <c r="AM333" s="297"/>
      <c r="AO333" s="297"/>
      <c r="AP333" s="297"/>
      <c r="AQ333" s="297"/>
      <c r="AR333" s="297"/>
      <c r="AS333" s="297"/>
      <c r="AT333" s="297"/>
      <c r="AU333" s="297"/>
      <c r="AV333" s="297"/>
      <c r="AW333" s="297"/>
    </row>
    <row r="334" spans="1:49" x14ac:dyDescent="0.45">
      <c r="A334" s="295">
        <v>19511</v>
      </c>
      <c r="B334" s="12">
        <v>-1.34E-2</v>
      </c>
      <c r="C334" s="5">
        <v>-2.7300000000000001E-2</v>
      </c>
      <c r="D334" s="5">
        <v>2.7000000000000001E-3</v>
      </c>
      <c r="E334" s="5">
        <v>2.8333333333333331E-3</v>
      </c>
      <c r="F334" s="5">
        <v>2.9166666666666668E-3</v>
      </c>
      <c r="G334" s="5">
        <v>2.875E-3</v>
      </c>
      <c r="H334" s="5">
        <v>3.0916666666666666E-3</v>
      </c>
      <c r="I334" s="5">
        <f t="shared" si="55"/>
        <v>-1.61E-2</v>
      </c>
      <c r="J334" s="5">
        <f t="shared" si="48"/>
        <v>-1.6275000000000001E-2</v>
      </c>
      <c r="K334" s="5">
        <f t="shared" si="49"/>
        <v>-3.0391666666666668E-2</v>
      </c>
      <c r="L334" s="8">
        <f t="shared" si="46"/>
        <v>2.3002658056855418E-2</v>
      </c>
      <c r="M334" s="8">
        <f t="shared" si="47"/>
        <v>3.2399999999999998E-2</v>
      </c>
      <c r="N334" s="8">
        <f t="shared" si="50"/>
        <v>3.4500000000000003E-2</v>
      </c>
      <c r="O334" s="296">
        <f t="shared" si="45"/>
        <v>-9.3973419431445798E-3</v>
      </c>
      <c r="P334" s="8">
        <f t="shared" si="51"/>
        <v>-1.1497341943144584E-2</v>
      </c>
      <c r="Q334" s="8">
        <f t="shared" si="52"/>
        <v>7.1530584853074952E-2</v>
      </c>
      <c r="R334" s="8">
        <f t="shared" si="53"/>
        <v>3.7100000000000001E-2</v>
      </c>
      <c r="S334" s="296">
        <f t="shared" si="54"/>
        <v>3.4430584853074951E-2</v>
      </c>
      <c r="U334" s="297"/>
      <c r="V334" s="297"/>
      <c r="W334" s="297"/>
      <c r="X334" s="297"/>
      <c r="Y334" s="297"/>
      <c r="Z334" s="297"/>
      <c r="AA334" s="297"/>
      <c r="AB334" s="297"/>
      <c r="AC334" s="297"/>
      <c r="AE334" s="297"/>
      <c r="AF334" s="297"/>
      <c r="AG334" s="297"/>
      <c r="AH334" s="297"/>
      <c r="AI334" s="297"/>
      <c r="AJ334" s="297"/>
      <c r="AK334" s="297"/>
      <c r="AL334" s="297"/>
      <c r="AM334" s="297"/>
      <c r="AO334" s="297"/>
      <c r="AP334" s="297"/>
      <c r="AQ334" s="297"/>
      <c r="AR334" s="297"/>
      <c r="AS334" s="297"/>
      <c r="AT334" s="297"/>
      <c r="AU334" s="297"/>
      <c r="AV334" s="297"/>
      <c r="AW334" s="297"/>
    </row>
    <row r="335" spans="1:49" x14ac:dyDescent="0.45">
      <c r="A335" s="295">
        <v>19541</v>
      </c>
      <c r="B335" s="12">
        <v>2.7300000000000001E-2</v>
      </c>
      <c r="C335" s="5">
        <v>3.4500000000000003E-2</v>
      </c>
      <c r="D335" s="5">
        <v>2.5000000000000001E-3</v>
      </c>
      <c r="E335" s="5">
        <v>2.7333333333333333E-3</v>
      </c>
      <c r="F335" s="5">
        <v>2.8499999999999997E-3</v>
      </c>
      <c r="G335" s="5">
        <v>2.7916666666666667E-3</v>
      </c>
      <c r="H335" s="5">
        <v>3.0499999999999998E-3</v>
      </c>
      <c r="I335" s="5">
        <f t="shared" si="55"/>
        <v>2.4800000000000003E-2</v>
      </c>
      <c r="J335" s="5">
        <f t="shared" si="48"/>
        <v>2.4508333333333333E-2</v>
      </c>
      <c r="K335" s="5">
        <f t="shared" si="49"/>
        <v>3.1450000000000006E-2</v>
      </c>
      <c r="L335" s="8">
        <f t="shared" si="46"/>
        <v>3.0728354866425223E-2</v>
      </c>
      <c r="M335" s="8">
        <f t="shared" si="47"/>
        <v>0.03</v>
      </c>
      <c r="N335" s="8">
        <f t="shared" si="50"/>
        <v>3.3500000000000002E-2</v>
      </c>
      <c r="O335" s="296">
        <f t="shared" si="45"/>
        <v>7.2835486642522373E-4</v>
      </c>
      <c r="P335" s="8">
        <f t="shared" si="51"/>
        <v>-2.7716451335747794E-3</v>
      </c>
      <c r="Q335" s="8">
        <f t="shared" si="52"/>
        <v>8.6124230874491614E-2</v>
      </c>
      <c r="R335" s="8">
        <f t="shared" si="53"/>
        <v>3.6599999999999994E-2</v>
      </c>
      <c r="S335" s="296">
        <f t="shared" si="54"/>
        <v>4.952423087449162E-2</v>
      </c>
      <c r="U335" s="297"/>
      <c r="V335" s="297"/>
      <c r="W335" s="297"/>
      <c r="X335" s="297"/>
      <c r="Y335" s="297"/>
      <c r="Z335" s="297"/>
      <c r="AA335" s="297"/>
      <c r="AB335" s="297"/>
      <c r="AC335" s="297"/>
      <c r="AE335" s="297"/>
      <c r="AF335" s="297"/>
      <c r="AG335" s="297"/>
      <c r="AH335" s="297"/>
      <c r="AI335" s="297"/>
      <c r="AJ335" s="297"/>
      <c r="AK335" s="297"/>
      <c r="AL335" s="297"/>
      <c r="AM335" s="297"/>
      <c r="AO335" s="297"/>
      <c r="AP335" s="297"/>
      <c r="AQ335" s="297"/>
      <c r="AR335" s="297"/>
      <c r="AS335" s="297"/>
      <c r="AT335" s="297"/>
      <c r="AU335" s="297"/>
      <c r="AV335" s="297"/>
      <c r="AW335" s="297"/>
    </row>
    <row r="336" spans="1:49" x14ac:dyDescent="0.45">
      <c r="A336" s="295">
        <v>19572</v>
      </c>
      <c r="B336" s="12">
        <v>-5.0099999999999999E-2</v>
      </c>
      <c r="C336" s="5">
        <v>1.5999999999999999E-3</v>
      </c>
      <c r="D336" s="5">
        <v>2.5000000000000001E-3</v>
      </c>
      <c r="E336" s="5">
        <v>2.7000000000000001E-3</v>
      </c>
      <c r="F336" s="5">
        <v>2.8250000000000003E-3</v>
      </c>
      <c r="G336" s="5">
        <v>2.7624999999999998E-3</v>
      </c>
      <c r="H336" s="5">
        <v>3.0083333333333333E-3</v>
      </c>
      <c r="I336" s="5">
        <f t="shared" si="55"/>
        <v>-5.2600000000000001E-2</v>
      </c>
      <c r="J336" s="5">
        <f t="shared" si="48"/>
        <v>-5.28625E-2</v>
      </c>
      <c r="K336" s="5">
        <f t="shared" si="49"/>
        <v>-1.4083333333333335E-3</v>
      </c>
      <c r="L336" s="8">
        <f t="shared" si="46"/>
        <v>-1.3909895973796549E-2</v>
      </c>
      <c r="M336" s="8">
        <f t="shared" si="47"/>
        <v>0.03</v>
      </c>
      <c r="N336" s="8">
        <f t="shared" si="50"/>
        <v>3.3149999999999999E-2</v>
      </c>
      <c r="O336" s="296">
        <f t="shared" ref="O336:O399" si="56">L336-M336</f>
        <v>-4.3909895973796548E-2</v>
      </c>
      <c r="P336" s="8">
        <f t="shared" si="51"/>
        <v>-4.7059895973796548E-2</v>
      </c>
      <c r="Q336" s="8">
        <f t="shared" si="52"/>
        <v>6.6217808138675283E-2</v>
      </c>
      <c r="R336" s="8">
        <f t="shared" si="53"/>
        <v>3.61E-2</v>
      </c>
      <c r="S336" s="296">
        <f t="shared" si="54"/>
        <v>3.0117808138675282E-2</v>
      </c>
      <c r="U336" s="297"/>
      <c r="V336" s="297"/>
      <c r="W336" s="297"/>
      <c r="X336" s="297"/>
      <c r="Y336" s="297"/>
      <c r="Z336" s="297"/>
      <c r="AA336" s="297"/>
      <c r="AB336" s="297"/>
      <c r="AC336" s="297"/>
      <c r="AE336" s="297"/>
      <c r="AF336" s="297"/>
      <c r="AG336" s="297"/>
      <c r="AH336" s="297"/>
      <c r="AI336" s="297"/>
      <c r="AJ336" s="297"/>
      <c r="AK336" s="297"/>
      <c r="AL336" s="297"/>
      <c r="AM336" s="297"/>
      <c r="AO336" s="297"/>
      <c r="AP336" s="297"/>
      <c r="AQ336" s="297"/>
      <c r="AR336" s="297"/>
      <c r="AS336" s="297"/>
      <c r="AT336" s="297"/>
      <c r="AU336" s="297"/>
      <c r="AV336" s="297"/>
      <c r="AW336" s="297"/>
    </row>
    <row r="337" spans="1:49" x14ac:dyDescent="0.45">
      <c r="A337" s="295">
        <v>19603</v>
      </c>
      <c r="B337" s="12">
        <v>3.3999999999999998E-3</v>
      </c>
      <c r="C337" s="5">
        <v>1.1900000000000001E-2</v>
      </c>
      <c r="D337" s="5">
        <v>2.5000000000000001E-3</v>
      </c>
      <c r="E337" s="5">
        <v>2.7416666666666666E-3</v>
      </c>
      <c r="F337" s="5">
        <v>2.8583333333333334E-3</v>
      </c>
      <c r="G337" s="5">
        <v>2.8000000000000004E-3</v>
      </c>
      <c r="H337" s="5">
        <v>3.0166666666666671E-3</v>
      </c>
      <c r="I337" s="5">
        <f t="shared" si="55"/>
        <v>8.9999999999999976E-4</v>
      </c>
      <c r="J337" s="5">
        <f t="shared" si="48"/>
        <v>5.9999999999999941E-4</v>
      </c>
      <c r="K337" s="5">
        <f t="shared" si="49"/>
        <v>8.8833333333333334E-3</v>
      </c>
      <c r="L337" s="8">
        <f t="shared" ref="L337:L400" si="57">((1+B326)*(1+B327)*(1+B328)*(1+B329)*(1+B330)*(1+B331)*(1+B332)*(1+B333)*(1+B334)*(1+B335)*(1+B336)*(1+B337))-1</f>
        <v>7.1689845072198111E-3</v>
      </c>
      <c r="M337" s="8">
        <f t="shared" ref="M337:M400" si="58">D337*12</f>
        <v>0.03</v>
      </c>
      <c r="N337" s="8">
        <f t="shared" si="50"/>
        <v>3.3600000000000005E-2</v>
      </c>
      <c r="O337" s="296">
        <f t="shared" si="56"/>
        <v>-2.2831015492780188E-2</v>
      </c>
      <c r="P337" s="8">
        <f t="shared" si="51"/>
        <v>-2.6431015492780194E-2</v>
      </c>
      <c r="Q337" s="8">
        <f t="shared" si="52"/>
        <v>7.7289865257639256E-2</v>
      </c>
      <c r="R337" s="8">
        <f t="shared" si="53"/>
        <v>3.6200000000000003E-2</v>
      </c>
      <c r="S337" s="296">
        <f t="shared" si="54"/>
        <v>4.1089865257639253E-2</v>
      </c>
      <c r="U337" s="297"/>
      <c r="V337" s="297"/>
      <c r="W337" s="297"/>
      <c r="X337" s="297"/>
      <c r="Y337" s="297"/>
      <c r="Z337" s="297"/>
      <c r="AA337" s="297"/>
      <c r="AB337" s="297"/>
      <c r="AC337" s="297"/>
      <c r="AE337" s="297"/>
      <c r="AF337" s="297"/>
      <c r="AG337" s="297"/>
      <c r="AH337" s="297"/>
      <c r="AI337" s="297"/>
      <c r="AJ337" s="297"/>
      <c r="AK337" s="297"/>
      <c r="AL337" s="297"/>
      <c r="AM337" s="297"/>
      <c r="AO337" s="297"/>
      <c r="AP337" s="297"/>
      <c r="AQ337" s="297"/>
      <c r="AR337" s="297"/>
      <c r="AS337" s="297"/>
      <c r="AT337" s="297"/>
      <c r="AU337" s="297"/>
      <c r="AV337" s="297"/>
      <c r="AW337" s="297"/>
    </row>
    <row r="338" spans="1:49" x14ac:dyDescent="0.45">
      <c r="A338" s="295">
        <v>19633</v>
      </c>
      <c r="B338" s="12">
        <v>5.3999999999999999E-2</v>
      </c>
      <c r="C338" s="5">
        <v>4.1100000000000005E-2</v>
      </c>
      <c r="D338" s="5">
        <v>2.3E-3</v>
      </c>
      <c r="E338" s="5">
        <v>2.6333333333333334E-3</v>
      </c>
      <c r="F338" s="5">
        <v>2.7750000000000001E-3</v>
      </c>
      <c r="G338" s="5">
        <v>2.7041666666666668E-3</v>
      </c>
      <c r="H338" s="5">
        <v>2.9083333333333335E-3</v>
      </c>
      <c r="I338" s="5">
        <f t="shared" si="55"/>
        <v>5.1699999999999996E-2</v>
      </c>
      <c r="J338" s="5">
        <f t="shared" si="48"/>
        <v>5.1295833333333332E-2</v>
      </c>
      <c r="K338" s="5">
        <f t="shared" si="49"/>
        <v>3.8191666666666672E-2</v>
      </c>
      <c r="L338" s="8">
        <f t="shared" si="57"/>
        <v>5.9437235200209271E-2</v>
      </c>
      <c r="M338" s="8">
        <f t="shared" si="58"/>
        <v>2.76E-2</v>
      </c>
      <c r="N338" s="8">
        <f t="shared" si="50"/>
        <v>3.245E-2</v>
      </c>
      <c r="O338" s="296">
        <f t="shared" si="56"/>
        <v>3.1837235200209271E-2</v>
      </c>
      <c r="P338" s="8">
        <f t="shared" si="51"/>
        <v>2.6987235200209271E-2</v>
      </c>
      <c r="Q338" s="8">
        <f t="shared" si="52"/>
        <v>0.11035192428445528</v>
      </c>
      <c r="R338" s="8">
        <f t="shared" si="53"/>
        <v>3.49E-2</v>
      </c>
      <c r="S338" s="296">
        <f t="shared" si="54"/>
        <v>7.5451924284455282E-2</v>
      </c>
      <c r="U338" s="297"/>
      <c r="V338" s="297"/>
      <c r="W338" s="297"/>
      <c r="X338" s="297"/>
      <c r="Y338" s="297"/>
      <c r="Z338" s="297"/>
      <c r="AA338" s="297"/>
      <c r="AB338" s="297"/>
      <c r="AC338" s="297"/>
      <c r="AE338" s="297"/>
      <c r="AF338" s="297"/>
      <c r="AG338" s="297"/>
      <c r="AH338" s="297"/>
      <c r="AI338" s="297"/>
      <c r="AJ338" s="297"/>
      <c r="AK338" s="297"/>
      <c r="AL338" s="297"/>
      <c r="AM338" s="297"/>
      <c r="AO338" s="297"/>
      <c r="AP338" s="297"/>
      <c r="AQ338" s="297"/>
      <c r="AR338" s="297"/>
      <c r="AS338" s="297"/>
      <c r="AT338" s="297"/>
      <c r="AU338" s="297"/>
      <c r="AV338" s="297"/>
      <c r="AW338" s="297"/>
    </row>
    <row r="339" spans="1:49" x14ac:dyDescent="0.45">
      <c r="A339" s="295">
        <v>19664</v>
      </c>
      <c r="B339" s="12">
        <v>2.0400000000000001E-2</v>
      </c>
      <c r="C339" s="5">
        <v>2.7400000000000001E-2</v>
      </c>
      <c r="D339" s="5">
        <v>2.3999999999999998E-3</v>
      </c>
      <c r="E339" s="5">
        <v>2.5916666666666666E-3</v>
      </c>
      <c r="F339" s="5">
        <v>2.725E-3</v>
      </c>
      <c r="G339" s="5">
        <v>2.6583333333333337E-3</v>
      </c>
      <c r="H339" s="5">
        <v>2.8333333333333331E-3</v>
      </c>
      <c r="I339" s="5">
        <f t="shared" si="55"/>
        <v>1.8000000000000002E-2</v>
      </c>
      <c r="J339" s="5">
        <f t="shared" si="48"/>
        <v>1.7741666666666669E-2</v>
      </c>
      <c r="K339" s="5">
        <f t="shared" si="49"/>
        <v>2.4566666666666667E-2</v>
      </c>
      <c r="L339" s="8">
        <f t="shared" si="57"/>
        <v>2.2656091948059176E-2</v>
      </c>
      <c r="M339" s="8">
        <f t="shared" si="58"/>
        <v>2.8799999999999999E-2</v>
      </c>
      <c r="N339" s="8">
        <f t="shared" si="50"/>
        <v>3.1900000000000005E-2</v>
      </c>
      <c r="O339" s="296">
        <f t="shared" si="56"/>
        <v>-6.1439080519408232E-3</v>
      </c>
      <c r="P339" s="8">
        <f t="shared" si="51"/>
        <v>-9.2439080519408287E-3</v>
      </c>
      <c r="Q339" s="8">
        <f t="shared" si="52"/>
        <v>9.4479101036026192E-2</v>
      </c>
      <c r="R339" s="8">
        <f t="shared" si="53"/>
        <v>3.3999999999999996E-2</v>
      </c>
      <c r="S339" s="296">
        <f t="shared" si="54"/>
        <v>6.0479101036026196E-2</v>
      </c>
      <c r="U339" s="297"/>
      <c r="V339" s="297"/>
      <c r="W339" s="297"/>
      <c r="X339" s="297"/>
      <c r="Y339" s="297"/>
      <c r="Z339" s="297"/>
      <c r="AA339" s="297"/>
      <c r="AB339" s="297"/>
      <c r="AC339" s="297"/>
      <c r="AE339" s="297"/>
      <c r="AF339" s="297"/>
      <c r="AG339" s="297"/>
      <c r="AH339" s="297"/>
      <c r="AI339" s="297"/>
      <c r="AJ339" s="297"/>
      <c r="AK339" s="297"/>
      <c r="AL339" s="297"/>
      <c r="AM339" s="297"/>
      <c r="AO339" s="297"/>
      <c r="AP339" s="297"/>
      <c r="AQ339" s="297"/>
      <c r="AR339" s="297"/>
      <c r="AS339" s="297"/>
      <c r="AT339" s="297"/>
      <c r="AU339" s="297"/>
      <c r="AV339" s="297"/>
      <c r="AW339" s="297"/>
    </row>
    <row r="340" spans="1:49" x14ac:dyDescent="0.45">
      <c r="A340" s="295">
        <v>19694</v>
      </c>
      <c r="B340" s="12">
        <v>5.3E-3</v>
      </c>
      <c r="C340" s="5">
        <v>6.4000000000000003E-3</v>
      </c>
      <c r="D340" s="5">
        <v>2.3999999999999998E-3</v>
      </c>
      <c r="E340" s="5">
        <v>2.6083333333333332E-3</v>
      </c>
      <c r="F340" s="5">
        <v>2.7333333333333333E-3</v>
      </c>
      <c r="G340" s="5">
        <v>2.6708333333333332E-3</v>
      </c>
      <c r="H340" s="5">
        <v>2.816666666666667E-3</v>
      </c>
      <c r="I340" s="5">
        <f t="shared" si="55"/>
        <v>2.9000000000000002E-3</v>
      </c>
      <c r="J340" s="5">
        <f t="shared" si="48"/>
        <v>2.6291666666666668E-3</v>
      </c>
      <c r="K340" s="5">
        <f t="shared" si="49"/>
        <v>3.5833333333333333E-3</v>
      </c>
      <c r="L340" s="8">
        <f t="shared" si="57"/>
        <v>-9.7513299601387216E-3</v>
      </c>
      <c r="M340" s="8">
        <f t="shared" si="58"/>
        <v>2.8799999999999999E-2</v>
      </c>
      <c r="N340" s="8">
        <f t="shared" si="50"/>
        <v>3.2049999999999995E-2</v>
      </c>
      <c r="O340" s="296">
        <f t="shared" si="56"/>
        <v>-3.8551329960138721E-2</v>
      </c>
      <c r="P340" s="8">
        <f t="shared" si="51"/>
        <v>-4.1801329960138717E-2</v>
      </c>
      <c r="Q340" s="8">
        <f t="shared" si="52"/>
        <v>7.8511472909679858E-2</v>
      </c>
      <c r="R340" s="8">
        <f t="shared" si="53"/>
        <v>3.3800000000000004E-2</v>
      </c>
      <c r="S340" s="296">
        <f t="shared" si="54"/>
        <v>4.4711472909679854E-2</v>
      </c>
      <c r="U340" s="297"/>
      <c r="V340" s="297"/>
      <c r="W340" s="297"/>
      <c r="X340" s="297"/>
      <c r="Y340" s="297"/>
      <c r="Z340" s="297"/>
      <c r="AA340" s="297"/>
      <c r="AB340" s="297"/>
      <c r="AC340" s="297"/>
      <c r="AE340" s="297"/>
      <c r="AF340" s="297"/>
      <c r="AG340" s="297"/>
      <c r="AH340" s="297"/>
      <c r="AI340" s="297"/>
      <c r="AJ340" s="297"/>
      <c r="AK340" s="297"/>
      <c r="AL340" s="297"/>
      <c r="AM340" s="297"/>
      <c r="AO340" s="297"/>
      <c r="AP340" s="297"/>
      <c r="AQ340" s="297"/>
      <c r="AR340" s="297"/>
      <c r="AS340" s="297"/>
      <c r="AT340" s="297"/>
      <c r="AU340" s="297"/>
      <c r="AV340" s="297"/>
      <c r="AW340" s="297"/>
    </row>
    <row r="341" spans="1:49" x14ac:dyDescent="0.45">
      <c r="A341" s="295">
        <v>19725</v>
      </c>
      <c r="B341" s="12">
        <v>5.3600000000000002E-2</v>
      </c>
      <c r="C341" s="5">
        <v>3.27E-2</v>
      </c>
      <c r="D341" s="5">
        <v>2.3E-3</v>
      </c>
      <c r="E341" s="5">
        <v>2.5500000000000002E-3</v>
      </c>
      <c r="F341" s="5">
        <v>2.6833333333333336E-3</v>
      </c>
      <c r="G341" s="5">
        <v>2.6166666666666673E-3</v>
      </c>
      <c r="H341" s="5">
        <v>2.7666666666666668E-3</v>
      </c>
      <c r="I341" s="5">
        <f t="shared" si="55"/>
        <v>5.1299999999999998E-2</v>
      </c>
      <c r="J341" s="5">
        <f t="shared" si="48"/>
        <v>5.0983333333333332E-2</v>
      </c>
      <c r="K341" s="5">
        <f t="shared" si="49"/>
        <v>2.9933333333333333E-2</v>
      </c>
      <c r="L341" s="8">
        <f t="shared" si="57"/>
        <v>4.8463469755801292E-2</v>
      </c>
      <c r="M341" s="8">
        <f t="shared" si="58"/>
        <v>2.76E-2</v>
      </c>
      <c r="N341" s="8">
        <f t="shared" si="50"/>
        <v>3.1400000000000011E-2</v>
      </c>
      <c r="O341" s="296">
        <f t="shared" si="56"/>
        <v>2.0863469755801292E-2</v>
      </c>
      <c r="P341" s="8">
        <f t="shared" si="51"/>
        <v>1.706346975580128E-2</v>
      </c>
      <c r="Q341" s="8">
        <f t="shared" si="52"/>
        <v>0.1024238325980662</v>
      </c>
      <c r="R341" s="8">
        <f t="shared" si="53"/>
        <v>3.32E-2</v>
      </c>
      <c r="S341" s="296">
        <f t="shared" si="54"/>
        <v>6.9223832598066193E-2</v>
      </c>
      <c r="U341" s="297"/>
      <c r="V341" s="297"/>
      <c r="W341" s="297"/>
      <c r="X341" s="297"/>
      <c r="Y341" s="297"/>
      <c r="Z341" s="297"/>
      <c r="AA341" s="297"/>
      <c r="AB341" s="297"/>
      <c r="AC341" s="297"/>
      <c r="AE341" s="297"/>
      <c r="AF341" s="297"/>
      <c r="AG341" s="297"/>
      <c r="AH341" s="297"/>
      <c r="AI341" s="297"/>
      <c r="AJ341" s="297"/>
      <c r="AK341" s="297"/>
      <c r="AL341" s="297"/>
      <c r="AM341" s="297"/>
      <c r="AO341" s="297"/>
      <c r="AP341" s="297"/>
      <c r="AQ341" s="297"/>
      <c r="AR341" s="297"/>
      <c r="AS341" s="297"/>
      <c r="AT341" s="297"/>
      <c r="AU341" s="297"/>
      <c r="AV341" s="297"/>
      <c r="AW341" s="297"/>
    </row>
    <row r="342" spans="1:49" x14ac:dyDescent="0.45">
      <c r="A342" s="295">
        <v>19756</v>
      </c>
      <c r="B342" s="12">
        <v>1.11E-2</v>
      </c>
      <c r="C342" s="5">
        <v>1.1699999999999999E-2</v>
      </c>
      <c r="D342" s="5">
        <v>2.2000000000000001E-3</v>
      </c>
      <c r="E342" s="5">
        <v>2.4583333333333336E-3</v>
      </c>
      <c r="F342" s="5">
        <v>2.5999999999999999E-3</v>
      </c>
      <c r="G342" s="5">
        <v>2.529166666666667E-3</v>
      </c>
      <c r="H342" s="5">
        <v>2.6916666666666669E-3</v>
      </c>
      <c r="I342" s="5">
        <f t="shared" si="55"/>
        <v>8.8999999999999999E-3</v>
      </c>
      <c r="J342" s="5">
        <f t="shared" si="48"/>
        <v>8.5708333333333331E-3</v>
      </c>
      <c r="K342" s="5">
        <f t="shared" si="49"/>
        <v>9.0083333333333317E-3</v>
      </c>
      <c r="L342" s="8">
        <f t="shared" si="57"/>
        <v>7.1458878380929125E-2</v>
      </c>
      <c r="M342" s="8">
        <f t="shared" si="58"/>
        <v>2.64E-2</v>
      </c>
      <c r="N342" s="8">
        <f t="shared" si="50"/>
        <v>3.0350000000000002E-2</v>
      </c>
      <c r="O342" s="296">
        <f t="shared" si="56"/>
        <v>4.5058878380929125E-2</v>
      </c>
      <c r="P342" s="8">
        <f t="shared" si="51"/>
        <v>4.1108878380929123E-2</v>
      </c>
      <c r="Q342" s="8">
        <f t="shared" si="52"/>
        <v>0.12284525464558915</v>
      </c>
      <c r="R342" s="8">
        <f t="shared" si="53"/>
        <v>3.2300000000000002E-2</v>
      </c>
      <c r="S342" s="296">
        <f t="shared" si="54"/>
        <v>9.0545254645589157E-2</v>
      </c>
      <c r="U342" s="297"/>
      <c r="V342" s="297"/>
      <c r="W342" s="297"/>
      <c r="X342" s="297"/>
      <c r="Y342" s="297"/>
      <c r="Z342" s="297"/>
      <c r="AA342" s="297"/>
      <c r="AB342" s="297"/>
      <c r="AC342" s="297"/>
      <c r="AE342" s="297"/>
      <c r="AF342" s="297"/>
      <c r="AG342" s="297"/>
      <c r="AH342" s="297"/>
      <c r="AI342" s="297"/>
      <c r="AJ342" s="297"/>
      <c r="AK342" s="297"/>
      <c r="AL342" s="297"/>
      <c r="AM342" s="297"/>
      <c r="AO342" s="297"/>
      <c r="AP342" s="297"/>
      <c r="AQ342" s="297"/>
      <c r="AR342" s="297"/>
      <c r="AS342" s="297"/>
      <c r="AT342" s="297"/>
      <c r="AU342" s="297"/>
      <c r="AV342" s="297"/>
      <c r="AW342" s="297"/>
    </row>
    <row r="343" spans="1:49" x14ac:dyDescent="0.45">
      <c r="A343" s="295">
        <v>19784</v>
      </c>
      <c r="B343" s="12">
        <v>3.2500000000000001E-2</v>
      </c>
      <c r="C343" s="5">
        <v>2.7000000000000003E-2</v>
      </c>
      <c r="D343" s="5">
        <v>2.5000000000000001E-3</v>
      </c>
      <c r="E343" s="5">
        <v>2.3833333333333332E-3</v>
      </c>
      <c r="F343" s="5">
        <v>2.5249999999999999E-3</v>
      </c>
      <c r="G343" s="5">
        <v>2.4541666666666666E-3</v>
      </c>
      <c r="H343" s="5">
        <v>2.6333333333333334E-3</v>
      </c>
      <c r="I343" s="5">
        <f t="shared" si="55"/>
        <v>3.0000000000000002E-2</v>
      </c>
      <c r="J343" s="5">
        <f t="shared" si="48"/>
        <v>3.0045833333333334E-2</v>
      </c>
      <c r="K343" s="5">
        <f t="shared" si="49"/>
        <v>2.4366666666666668E-2</v>
      </c>
      <c r="L343" s="8">
        <f t="shared" si="57"/>
        <v>0.13024243147559145</v>
      </c>
      <c r="M343" s="8">
        <f t="shared" si="58"/>
        <v>0.03</v>
      </c>
      <c r="N343" s="8">
        <f t="shared" si="50"/>
        <v>2.9449999999999997E-2</v>
      </c>
      <c r="O343" s="296">
        <f t="shared" si="56"/>
        <v>0.10024243147559145</v>
      </c>
      <c r="P343" s="8">
        <f t="shared" si="51"/>
        <v>0.10079243147559144</v>
      </c>
      <c r="Q343" s="8">
        <f t="shared" si="52"/>
        <v>0.15814208749725833</v>
      </c>
      <c r="R343" s="8">
        <f t="shared" si="53"/>
        <v>3.1600000000000003E-2</v>
      </c>
      <c r="S343" s="296">
        <f t="shared" si="54"/>
        <v>0.12654208749725832</v>
      </c>
      <c r="U343" s="297"/>
      <c r="V343" s="297"/>
      <c r="W343" s="297"/>
      <c r="X343" s="297"/>
      <c r="Y343" s="297"/>
      <c r="Z343" s="297"/>
      <c r="AA343" s="297"/>
      <c r="AB343" s="297"/>
      <c r="AC343" s="297"/>
      <c r="AE343" s="297"/>
      <c r="AF343" s="297"/>
      <c r="AG343" s="297"/>
      <c r="AH343" s="297"/>
      <c r="AI343" s="297"/>
      <c r="AJ343" s="297"/>
      <c r="AK343" s="297"/>
      <c r="AL343" s="297"/>
      <c r="AM343" s="297"/>
      <c r="AO343" s="297"/>
      <c r="AP343" s="297"/>
      <c r="AQ343" s="297"/>
      <c r="AR343" s="297"/>
      <c r="AS343" s="297"/>
      <c r="AT343" s="297"/>
      <c r="AU343" s="297"/>
      <c r="AV343" s="297"/>
      <c r="AW343" s="297"/>
    </row>
    <row r="344" spans="1:49" x14ac:dyDescent="0.45">
      <c r="A344" s="295">
        <v>19815</v>
      </c>
      <c r="B344" s="12">
        <v>5.16E-2</v>
      </c>
      <c r="C344" s="5">
        <v>1.21E-2</v>
      </c>
      <c r="D344" s="5">
        <v>2.2000000000000001E-3</v>
      </c>
      <c r="E344" s="5">
        <v>2.3750000000000004E-3</v>
      </c>
      <c r="F344" s="5">
        <v>2.5000000000000001E-3</v>
      </c>
      <c r="G344" s="5">
        <v>2.4375000000000004E-3</v>
      </c>
      <c r="H344" s="5">
        <v>2.6333333333333334E-3</v>
      </c>
      <c r="I344" s="5">
        <f t="shared" si="55"/>
        <v>4.9399999999999999E-2</v>
      </c>
      <c r="J344" s="5">
        <f t="shared" si="48"/>
        <v>4.9162499999999998E-2</v>
      </c>
      <c r="K344" s="5">
        <f t="shared" si="49"/>
        <v>9.4666666666666666E-3</v>
      </c>
      <c r="L344" s="8">
        <f t="shared" si="57"/>
        <v>0.21741569286052709</v>
      </c>
      <c r="M344" s="8">
        <f t="shared" si="58"/>
        <v>2.64E-2</v>
      </c>
      <c r="N344" s="8">
        <f t="shared" si="50"/>
        <v>2.9250000000000005E-2</v>
      </c>
      <c r="O344" s="296">
        <f t="shared" si="56"/>
        <v>0.19101569286052708</v>
      </c>
      <c r="P344" s="8">
        <f t="shared" si="51"/>
        <v>0.18816569286052709</v>
      </c>
      <c r="Q344" s="8">
        <f t="shared" si="52"/>
        <v>0.19510155664353124</v>
      </c>
      <c r="R344" s="8">
        <f t="shared" si="53"/>
        <v>3.1600000000000003E-2</v>
      </c>
      <c r="S344" s="296">
        <f t="shared" si="54"/>
        <v>0.16350155664353122</v>
      </c>
      <c r="U344" s="297"/>
      <c r="V344" s="297"/>
      <c r="W344" s="297"/>
      <c r="X344" s="297"/>
      <c r="Y344" s="297"/>
      <c r="Z344" s="297"/>
      <c r="AA344" s="297"/>
      <c r="AB344" s="297"/>
      <c r="AC344" s="297"/>
      <c r="AE344" s="297"/>
      <c r="AF344" s="297"/>
      <c r="AG344" s="297"/>
      <c r="AH344" s="297"/>
      <c r="AI344" s="297"/>
      <c r="AJ344" s="297"/>
      <c r="AK344" s="297"/>
      <c r="AL344" s="297"/>
      <c r="AM344" s="297"/>
      <c r="AO344" s="297"/>
      <c r="AP344" s="297"/>
      <c r="AQ344" s="297"/>
      <c r="AR344" s="297"/>
      <c r="AS344" s="297"/>
      <c r="AT344" s="297"/>
      <c r="AU344" s="297"/>
      <c r="AV344" s="297"/>
      <c r="AW344" s="297"/>
    </row>
    <row r="345" spans="1:49" x14ac:dyDescent="0.45">
      <c r="A345" s="295">
        <v>19845</v>
      </c>
      <c r="B345" s="12">
        <v>4.1799999999999997E-2</v>
      </c>
      <c r="C345" s="5">
        <v>2.5700000000000004E-2</v>
      </c>
      <c r="D345" s="5">
        <v>2E-3</v>
      </c>
      <c r="E345" s="5">
        <v>2.3999999999999998E-3</v>
      </c>
      <c r="F345" s="5">
        <v>2.5249999999999999E-3</v>
      </c>
      <c r="G345" s="5">
        <v>2.4624999999999998E-3</v>
      </c>
      <c r="H345" s="5">
        <v>2.6166666666666664E-3</v>
      </c>
      <c r="I345" s="5">
        <f t="shared" si="55"/>
        <v>3.9799999999999995E-2</v>
      </c>
      <c r="J345" s="5">
        <f t="shared" si="48"/>
        <v>3.9337499999999997E-2</v>
      </c>
      <c r="K345" s="5">
        <f t="shared" si="49"/>
        <v>2.3083333333333338E-2</v>
      </c>
      <c r="L345" s="8">
        <f t="shared" si="57"/>
        <v>0.25861235369861779</v>
      </c>
      <c r="M345" s="8">
        <f t="shared" si="58"/>
        <v>2.4E-2</v>
      </c>
      <c r="N345" s="8">
        <f t="shared" si="50"/>
        <v>2.955E-2</v>
      </c>
      <c r="O345" s="296">
        <f t="shared" si="56"/>
        <v>0.2346123536986178</v>
      </c>
      <c r="P345" s="8">
        <f t="shared" si="51"/>
        <v>0.2290623536986178</v>
      </c>
      <c r="Q345" s="8">
        <f t="shared" si="52"/>
        <v>0.2228807528424479</v>
      </c>
      <c r="R345" s="8">
        <f t="shared" si="53"/>
        <v>3.1399999999999997E-2</v>
      </c>
      <c r="S345" s="296">
        <f t="shared" si="54"/>
        <v>0.19148075284244792</v>
      </c>
      <c r="U345" s="297"/>
      <c r="V345" s="297"/>
      <c r="W345" s="297"/>
      <c r="X345" s="297"/>
      <c r="Y345" s="297"/>
      <c r="Z345" s="297"/>
      <c r="AA345" s="297"/>
      <c r="AB345" s="297"/>
      <c r="AC345" s="297"/>
      <c r="AE345" s="297"/>
      <c r="AF345" s="297"/>
      <c r="AG345" s="297"/>
      <c r="AH345" s="297"/>
      <c r="AI345" s="297"/>
      <c r="AJ345" s="297"/>
      <c r="AK345" s="297"/>
      <c r="AL345" s="297"/>
      <c r="AM345" s="297"/>
      <c r="AO345" s="297"/>
      <c r="AP345" s="297"/>
      <c r="AQ345" s="297"/>
      <c r="AR345" s="297"/>
      <c r="AS345" s="297"/>
      <c r="AT345" s="297"/>
      <c r="AU345" s="297"/>
      <c r="AV345" s="297"/>
      <c r="AW345" s="297"/>
    </row>
    <row r="346" spans="1:49" x14ac:dyDescent="0.45">
      <c r="A346" s="295">
        <v>19876</v>
      </c>
      <c r="B346" s="12">
        <v>3.0999999999999999E-3</v>
      </c>
      <c r="C346" s="5">
        <v>9.6000000000000009E-3</v>
      </c>
      <c r="D346" s="5">
        <v>2.5000000000000001E-3</v>
      </c>
      <c r="E346" s="5">
        <v>2.4166666666666668E-3</v>
      </c>
      <c r="F346" s="5">
        <v>2.5500000000000002E-3</v>
      </c>
      <c r="G346" s="5">
        <v>2.4833333333333335E-3</v>
      </c>
      <c r="H346" s="5">
        <v>2.6333333333333334E-3</v>
      </c>
      <c r="I346" s="5">
        <f t="shared" si="55"/>
        <v>5.9999999999999984E-4</v>
      </c>
      <c r="J346" s="5">
        <f t="shared" si="48"/>
        <v>6.166666666666664E-4</v>
      </c>
      <c r="K346" s="5">
        <f t="shared" si="49"/>
        <v>6.9666666666666679E-3</v>
      </c>
      <c r="L346" s="8">
        <f t="shared" si="57"/>
        <v>0.27966151631368641</v>
      </c>
      <c r="M346" s="8">
        <f t="shared" si="58"/>
        <v>0.03</v>
      </c>
      <c r="N346" s="8">
        <f t="shared" si="50"/>
        <v>2.98E-2</v>
      </c>
      <c r="O346" s="296">
        <f t="shared" si="56"/>
        <v>0.24966151631368641</v>
      </c>
      <c r="P346" s="8">
        <f t="shared" si="51"/>
        <v>0.24986151631368642</v>
      </c>
      <c r="Q346" s="8">
        <f t="shared" si="52"/>
        <v>0.26927152058161319</v>
      </c>
      <c r="R346" s="8">
        <f t="shared" si="53"/>
        <v>3.1600000000000003E-2</v>
      </c>
      <c r="S346" s="296">
        <f t="shared" si="54"/>
        <v>0.23767152058161317</v>
      </c>
      <c r="U346" s="297"/>
      <c r="V346" s="297"/>
      <c r="W346" s="297"/>
      <c r="X346" s="297"/>
      <c r="Y346" s="297"/>
      <c r="Z346" s="297"/>
      <c r="AA346" s="297"/>
      <c r="AB346" s="297"/>
      <c r="AC346" s="297"/>
      <c r="AE346" s="297"/>
      <c r="AF346" s="297"/>
      <c r="AG346" s="297"/>
      <c r="AH346" s="297"/>
      <c r="AI346" s="297"/>
      <c r="AJ346" s="297"/>
      <c r="AK346" s="297"/>
      <c r="AL346" s="297"/>
      <c r="AM346" s="297"/>
      <c r="AO346" s="297"/>
      <c r="AP346" s="297"/>
      <c r="AQ346" s="297"/>
      <c r="AR346" s="297"/>
      <c r="AS346" s="297"/>
      <c r="AT346" s="297"/>
      <c r="AU346" s="297"/>
      <c r="AV346" s="297"/>
      <c r="AW346" s="297"/>
    </row>
    <row r="347" spans="1:49" x14ac:dyDescent="0.45">
      <c r="A347" s="295">
        <v>19906</v>
      </c>
      <c r="B347" s="12">
        <v>5.8900000000000001E-2</v>
      </c>
      <c r="C347" s="5">
        <v>4.9500000000000002E-2</v>
      </c>
      <c r="D347" s="5">
        <v>2.2000000000000001E-3</v>
      </c>
      <c r="E347" s="5">
        <v>2.4083333333333335E-3</v>
      </c>
      <c r="F347" s="5">
        <v>2.5333333333333336E-3</v>
      </c>
      <c r="G347" s="5">
        <v>2.4708333333333336E-3</v>
      </c>
      <c r="H347" s="5">
        <v>2.6166666666666664E-3</v>
      </c>
      <c r="I347" s="5">
        <f t="shared" si="55"/>
        <v>5.67E-2</v>
      </c>
      <c r="J347" s="5">
        <f t="shared" si="48"/>
        <v>5.6429166666666669E-2</v>
      </c>
      <c r="K347" s="5">
        <f t="shared" si="49"/>
        <v>4.6883333333333332E-2</v>
      </c>
      <c r="L347" s="8">
        <f t="shared" si="57"/>
        <v>0.31902421846058826</v>
      </c>
      <c r="M347" s="8">
        <f t="shared" si="58"/>
        <v>2.64E-2</v>
      </c>
      <c r="N347" s="8">
        <f t="shared" si="50"/>
        <v>2.9650000000000003E-2</v>
      </c>
      <c r="O347" s="296">
        <f t="shared" si="56"/>
        <v>0.29262421846058828</v>
      </c>
      <c r="P347" s="8">
        <f t="shared" si="51"/>
        <v>0.28937421846058825</v>
      </c>
      <c r="Q347" s="8">
        <f t="shared" si="52"/>
        <v>0.28767565089454172</v>
      </c>
      <c r="R347" s="8">
        <f t="shared" si="53"/>
        <v>3.1399999999999997E-2</v>
      </c>
      <c r="S347" s="296">
        <f t="shared" si="54"/>
        <v>0.25627565089454174</v>
      </c>
      <c r="U347" s="297"/>
      <c r="V347" s="297"/>
      <c r="W347" s="297"/>
      <c r="X347" s="297"/>
      <c r="Y347" s="297"/>
      <c r="Z347" s="297"/>
      <c r="AA347" s="297"/>
      <c r="AB347" s="297"/>
      <c r="AC347" s="297"/>
      <c r="AE347" s="297"/>
      <c r="AF347" s="297"/>
      <c r="AG347" s="297"/>
      <c r="AH347" s="297"/>
      <c r="AI347" s="297"/>
      <c r="AJ347" s="297"/>
      <c r="AK347" s="297"/>
      <c r="AL347" s="297"/>
      <c r="AM347" s="297"/>
      <c r="AO347" s="297"/>
      <c r="AP347" s="297"/>
      <c r="AQ347" s="297"/>
      <c r="AR347" s="297"/>
      <c r="AS347" s="297"/>
      <c r="AT347" s="297"/>
      <c r="AU347" s="297"/>
      <c r="AV347" s="297"/>
      <c r="AW347" s="297"/>
    </row>
    <row r="348" spans="1:49" x14ac:dyDescent="0.45">
      <c r="A348" s="295">
        <v>19937</v>
      </c>
      <c r="B348" s="12">
        <v>-2.75E-2</v>
      </c>
      <c r="C348" s="5">
        <v>-1.3100000000000001E-2</v>
      </c>
      <c r="D348" s="5">
        <v>2.3E-3</v>
      </c>
      <c r="E348" s="5">
        <v>2.3916666666666665E-3</v>
      </c>
      <c r="F348" s="5">
        <v>2.5249999999999999E-3</v>
      </c>
      <c r="G348" s="5">
        <v>2.4583333333333336E-3</v>
      </c>
      <c r="H348" s="5">
        <v>2.6083333333333332E-3</v>
      </c>
      <c r="I348" s="5">
        <f t="shared" si="55"/>
        <v>-2.98E-2</v>
      </c>
      <c r="J348" s="5">
        <f t="shared" si="48"/>
        <v>-2.9958333333333333E-2</v>
      </c>
      <c r="K348" s="5">
        <f t="shared" si="49"/>
        <v>-1.5708333333333335E-2</v>
      </c>
      <c r="L348" s="8">
        <f t="shared" si="57"/>
        <v>0.35040641378347459</v>
      </c>
      <c r="M348" s="8">
        <f t="shared" si="58"/>
        <v>2.76E-2</v>
      </c>
      <c r="N348" s="8">
        <f t="shared" si="50"/>
        <v>2.9500000000000005E-2</v>
      </c>
      <c r="O348" s="296">
        <f t="shared" si="56"/>
        <v>0.32280641378347458</v>
      </c>
      <c r="P348" s="8">
        <f t="shared" si="51"/>
        <v>0.32090641378347456</v>
      </c>
      <c r="Q348" s="8">
        <f t="shared" si="52"/>
        <v>0.26877705657729956</v>
      </c>
      <c r="R348" s="8">
        <f t="shared" si="53"/>
        <v>3.1299999999999994E-2</v>
      </c>
      <c r="S348" s="296">
        <f t="shared" si="54"/>
        <v>0.23747705657729956</v>
      </c>
      <c r="U348" s="297"/>
      <c r="V348" s="297"/>
      <c r="W348" s="297"/>
      <c r="X348" s="297"/>
      <c r="Y348" s="297"/>
      <c r="Z348" s="297"/>
      <c r="AA348" s="297"/>
      <c r="AB348" s="297"/>
      <c r="AC348" s="297"/>
      <c r="AE348" s="297"/>
      <c r="AF348" s="297"/>
      <c r="AG348" s="297"/>
      <c r="AH348" s="297"/>
      <c r="AI348" s="297"/>
      <c r="AJ348" s="297"/>
      <c r="AK348" s="297"/>
      <c r="AL348" s="297"/>
      <c r="AM348" s="297"/>
      <c r="AO348" s="297"/>
      <c r="AP348" s="297"/>
      <c r="AQ348" s="297"/>
      <c r="AR348" s="297"/>
      <c r="AS348" s="297"/>
      <c r="AT348" s="297"/>
      <c r="AU348" s="297"/>
      <c r="AV348" s="297"/>
      <c r="AW348" s="297"/>
    </row>
    <row r="349" spans="1:49" x14ac:dyDescent="0.45">
      <c r="A349" s="295">
        <v>19968</v>
      </c>
      <c r="B349" s="12">
        <v>8.5099999999999995E-2</v>
      </c>
      <c r="C349" s="5">
        <v>1.78E-2</v>
      </c>
      <c r="D349" s="5">
        <v>2.2000000000000001E-3</v>
      </c>
      <c r="E349" s="5">
        <v>2.4083333333333335E-3</v>
      </c>
      <c r="F349" s="5">
        <v>2.5333333333333336E-3</v>
      </c>
      <c r="G349" s="5">
        <v>2.4708333333333336E-3</v>
      </c>
      <c r="H349" s="5">
        <v>2.5999999999999999E-3</v>
      </c>
      <c r="I349" s="5">
        <f t="shared" si="55"/>
        <v>8.2900000000000001E-2</v>
      </c>
      <c r="J349" s="5">
        <f t="shared" ref="J349:J412" si="59">B349-G349</f>
        <v>8.2629166666666656E-2</v>
      </c>
      <c r="K349" s="5">
        <f t="shared" ref="K349:K412" si="60">$C349-H349</f>
        <v>1.52E-2</v>
      </c>
      <c r="L349" s="8">
        <f t="shared" si="57"/>
        <v>0.46036077296835498</v>
      </c>
      <c r="M349" s="8">
        <f t="shared" si="58"/>
        <v>2.64E-2</v>
      </c>
      <c r="N349" s="8">
        <f t="shared" si="50"/>
        <v>2.9650000000000003E-2</v>
      </c>
      <c r="O349" s="296">
        <f t="shared" si="56"/>
        <v>0.433960772968355</v>
      </c>
      <c r="P349" s="8">
        <f t="shared" si="51"/>
        <v>0.43071077296835497</v>
      </c>
      <c r="Q349" s="8">
        <f t="shared" si="52"/>
        <v>0.27617480796953764</v>
      </c>
      <c r="R349" s="8">
        <f t="shared" si="53"/>
        <v>3.1199999999999999E-2</v>
      </c>
      <c r="S349" s="296">
        <f t="shared" si="54"/>
        <v>0.24497480796953763</v>
      </c>
      <c r="U349" s="297"/>
      <c r="V349" s="297"/>
      <c r="W349" s="297"/>
      <c r="X349" s="297"/>
      <c r="Y349" s="297"/>
      <c r="Z349" s="297"/>
      <c r="AA349" s="297"/>
      <c r="AB349" s="297"/>
      <c r="AC349" s="297"/>
      <c r="AE349" s="297"/>
      <c r="AF349" s="297"/>
      <c r="AG349" s="297"/>
      <c r="AH349" s="297"/>
      <c r="AI349" s="297"/>
      <c r="AJ349" s="297"/>
      <c r="AK349" s="297"/>
      <c r="AL349" s="297"/>
      <c r="AM349" s="297"/>
      <c r="AO349" s="297"/>
      <c r="AP349" s="297"/>
      <c r="AQ349" s="297"/>
      <c r="AR349" s="297"/>
      <c r="AS349" s="297"/>
      <c r="AT349" s="297"/>
      <c r="AU349" s="297"/>
      <c r="AV349" s="297"/>
      <c r="AW349" s="297"/>
    </row>
    <row r="350" spans="1:49" x14ac:dyDescent="0.45">
      <c r="A350" s="295">
        <v>19998</v>
      </c>
      <c r="B350" s="12">
        <v>-1.67E-2</v>
      </c>
      <c r="C350" s="5">
        <v>-3.6799999999999999E-2</v>
      </c>
      <c r="D350" s="5">
        <v>2.0999999999999999E-3</v>
      </c>
      <c r="E350" s="5">
        <v>2.3916666666666665E-3</v>
      </c>
      <c r="F350" s="5">
        <v>2.5333333333333336E-3</v>
      </c>
      <c r="G350" s="5">
        <v>2.4625000000000003E-3</v>
      </c>
      <c r="H350" s="5">
        <v>2.5999999999999999E-3</v>
      </c>
      <c r="I350" s="5">
        <f t="shared" si="55"/>
        <v>-1.8800000000000001E-2</v>
      </c>
      <c r="J350" s="5">
        <f t="shared" si="59"/>
        <v>-1.9162499999999999E-2</v>
      </c>
      <c r="K350" s="5">
        <f t="shared" si="60"/>
        <v>-3.9399999999999998E-2</v>
      </c>
      <c r="L350" s="8">
        <f t="shared" si="57"/>
        <v>0.36240298677398908</v>
      </c>
      <c r="M350" s="8">
        <f t="shared" si="58"/>
        <v>2.52E-2</v>
      </c>
      <c r="N350" s="8">
        <f t="shared" si="50"/>
        <v>2.9550000000000003E-2</v>
      </c>
      <c r="O350" s="296">
        <f t="shared" si="56"/>
        <v>0.33720298677398908</v>
      </c>
      <c r="P350" s="8">
        <f t="shared" si="51"/>
        <v>0.33285298677398906</v>
      </c>
      <c r="Q350" s="8">
        <f t="shared" si="52"/>
        <v>0.1806854048950719</v>
      </c>
      <c r="R350" s="8">
        <f t="shared" si="53"/>
        <v>3.1199999999999999E-2</v>
      </c>
      <c r="S350" s="296">
        <f t="shared" si="54"/>
        <v>0.14948540489507189</v>
      </c>
      <c r="U350" s="297"/>
      <c r="V350" s="297"/>
      <c r="W350" s="297"/>
      <c r="X350" s="297"/>
      <c r="Y350" s="297"/>
      <c r="Z350" s="297"/>
      <c r="AA350" s="297"/>
      <c r="AB350" s="297"/>
      <c r="AC350" s="297"/>
      <c r="AE350" s="297"/>
      <c r="AF350" s="297"/>
      <c r="AG350" s="297"/>
      <c r="AH350" s="297"/>
      <c r="AI350" s="297"/>
      <c r="AJ350" s="297"/>
      <c r="AK350" s="297"/>
      <c r="AL350" s="297"/>
      <c r="AM350" s="297"/>
      <c r="AO350" s="297"/>
      <c r="AP350" s="297"/>
      <c r="AQ350" s="297"/>
      <c r="AR350" s="297"/>
      <c r="AS350" s="297"/>
      <c r="AT350" s="297"/>
      <c r="AU350" s="297"/>
      <c r="AV350" s="297"/>
      <c r="AW350" s="297"/>
    </row>
    <row r="351" spans="1:49" x14ac:dyDescent="0.45">
      <c r="A351" s="295">
        <v>20029</v>
      </c>
      <c r="B351" s="12">
        <v>9.0899999999999995E-2</v>
      </c>
      <c r="C351" s="5">
        <v>5.6500000000000002E-2</v>
      </c>
      <c r="D351" s="5">
        <v>2.3E-3</v>
      </c>
      <c r="E351" s="5">
        <v>2.4083333333333335E-3</v>
      </c>
      <c r="F351" s="5">
        <v>2.5333333333333336E-3</v>
      </c>
      <c r="G351" s="5">
        <v>2.4708333333333336E-3</v>
      </c>
      <c r="H351" s="5">
        <v>2.5916666666666666E-3</v>
      </c>
      <c r="I351" s="5">
        <f t="shared" si="55"/>
        <v>8.8599999999999998E-2</v>
      </c>
      <c r="J351" s="5">
        <f t="shared" si="59"/>
        <v>8.8429166666666656E-2</v>
      </c>
      <c r="K351" s="5">
        <f t="shared" si="60"/>
        <v>5.3908333333333336E-2</v>
      </c>
      <c r="L351" s="8">
        <f t="shared" si="57"/>
        <v>0.45653216216360626</v>
      </c>
      <c r="M351" s="8">
        <f t="shared" si="58"/>
        <v>2.76E-2</v>
      </c>
      <c r="N351" s="8">
        <f t="shared" si="50"/>
        <v>2.9650000000000003E-2</v>
      </c>
      <c r="O351" s="296">
        <f t="shared" si="56"/>
        <v>0.42893216216360625</v>
      </c>
      <c r="P351" s="8">
        <f t="shared" si="51"/>
        <v>0.42688216216360625</v>
      </c>
      <c r="Q351" s="8">
        <f t="shared" si="52"/>
        <v>0.21412704912560154</v>
      </c>
      <c r="R351" s="8">
        <f t="shared" si="53"/>
        <v>3.1099999999999999E-2</v>
      </c>
      <c r="S351" s="296">
        <f t="shared" si="54"/>
        <v>0.18302704912560155</v>
      </c>
      <c r="U351" s="297"/>
      <c r="V351" s="297"/>
      <c r="W351" s="297"/>
      <c r="X351" s="297"/>
      <c r="Y351" s="297"/>
      <c r="Z351" s="297"/>
      <c r="AA351" s="297"/>
      <c r="AB351" s="297"/>
      <c r="AC351" s="297"/>
      <c r="AE351" s="297"/>
      <c r="AF351" s="297"/>
      <c r="AG351" s="297"/>
      <c r="AH351" s="297"/>
      <c r="AI351" s="297"/>
      <c r="AJ351" s="297"/>
      <c r="AK351" s="297"/>
      <c r="AL351" s="297"/>
      <c r="AM351" s="297"/>
      <c r="AO351" s="297"/>
      <c r="AP351" s="297"/>
      <c r="AQ351" s="297"/>
      <c r="AR351" s="297"/>
      <c r="AS351" s="297"/>
      <c r="AT351" s="297"/>
      <c r="AU351" s="297"/>
      <c r="AV351" s="297"/>
      <c r="AW351" s="297"/>
    </row>
    <row r="352" spans="1:49" x14ac:dyDescent="0.45">
      <c r="A352" s="295">
        <v>20059</v>
      </c>
      <c r="B352" s="12">
        <v>5.3400000000000003E-2</v>
      </c>
      <c r="C352" s="5">
        <v>3.4099999999999998E-2</v>
      </c>
      <c r="D352" s="5">
        <v>2.3E-3</v>
      </c>
      <c r="E352" s="5">
        <v>2.4166666666666668E-3</v>
      </c>
      <c r="F352" s="5">
        <v>2.5333333333333336E-3</v>
      </c>
      <c r="G352" s="5">
        <v>2.4749999999999998E-3</v>
      </c>
      <c r="H352" s="5">
        <v>2.5916666666666666E-3</v>
      </c>
      <c r="I352" s="5">
        <f t="shared" si="55"/>
        <v>5.1100000000000007E-2</v>
      </c>
      <c r="J352" s="5">
        <f t="shared" si="59"/>
        <v>5.0925000000000005E-2</v>
      </c>
      <c r="K352" s="5">
        <f t="shared" si="60"/>
        <v>3.1508333333333333E-2</v>
      </c>
      <c r="L352" s="8">
        <f t="shared" si="57"/>
        <v>0.52622200300720445</v>
      </c>
      <c r="M352" s="8">
        <f t="shared" si="58"/>
        <v>2.76E-2</v>
      </c>
      <c r="N352" s="8">
        <f t="shared" si="50"/>
        <v>2.9699999999999997E-2</v>
      </c>
      <c r="O352" s="296">
        <f t="shared" si="56"/>
        <v>0.49862200300720444</v>
      </c>
      <c r="P352" s="8">
        <f t="shared" si="51"/>
        <v>0.49652200300720445</v>
      </c>
      <c r="Q352" s="8">
        <f t="shared" si="52"/>
        <v>0.24754449672176548</v>
      </c>
      <c r="R352" s="8">
        <f t="shared" si="53"/>
        <v>3.1099999999999999E-2</v>
      </c>
      <c r="S352" s="296">
        <f t="shared" si="54"/>
        <v>0.21644449672176549</v>
      </c>
      <c r="U352" s="297"/>
      <c r="V352" s="297"/>
      <c r="W352" s="297"/>
      <c r="X352" s="297"/>
      <c r="Y352" s="297"/>
      <c r="Z352" s="297"/>
      <c r="AA352" s="297"/>
      <c r="AB352" s="297"/>
      <c r="AC352" s="297"/>
      <c r="AE352" s="297"/>
      <c r="AF352" s="297"/>
      <c r="AG352" s="297"/>
      <c r="AH352" s="297"/>
      <c r="AI352" s="297"/>
      <c r="AJ352" s="297"/>
      <c r="AK352" s="297"/>
      <c r="AL352" s="297"/>
      <c r="AM352" s="297"/>
      <c r="AO352" s="297"/>
      <c r="AP352" s="297"/>
      <c r="AQ352" s="297"/>
      <c r="AR352" s="297"/>
      <c r="AS352" s="297"/>
      <c r="AT352" s="297"/>
      <c r="AU352" s="297"/>
      <c r="AV352" s="297"/>
      <c r="AW352" s="297"/>
    </row>
    <row r="353" spans="1:49" x14ac:dyDescent="0.45">
      <c r="A353" s="295">
        <v>20090</v>
      </c>
      <c r="B353" s="12">
        <v>1.9699999999999999E-2</v>
      </c>
      <c r="C353" s="5">
        <v>1.43E-2</v>
      </c>
      <c r="D353" s="5">
        <v>2.2000000000000001E-3</v>
      </c>
      <c r="E353" s="5">
        <v>2.4416666666666666E-3</v>
      </c>
      <c r="F353" s="5">
        <v>2.5500000000000002E-3</v>
      </c>
      <c r="G353" s="5">
        <v>2.4958333333333334E-3</v>
      </c>
      <c r="H353" s="5">
        <v>2.6083333333333332E-3</v>
      </c>
      <c r="I353" s="5">
        <f t="shared" si="55"/>
        <v>1.7499999999999998E-2</v>
      </c>
      <c r="J353" s="5">
        <f t="shared" si="59"/>
        <v>1.7204166666666666E-2</v>
      </c>
      <c r="K353" s="5">
        <f t="shared" si="60"/>
        <v>1.1691666666666666E-2</v>
      </c>
      <c r="L353" s="8">
        <f t="shared" si="57"/>
        <v>0.47711520165759946</v>
      </c>
      <c r="M353" s="8">
        <f t="shared" si="58"/>
        <v>2.64E-2</v>
      </c>
      <c r="N353" s="8">
        <f t="shared" si="50"/>
        <v>2.9950000000000001E-2</v>
      </c>
      <c r="O353" s="296">
        <f t="shared" si="56"/>
        <v>0.45071520165759948</v>
      </c>
      <c r="P353" s="8">
        <f t="shared" si="51"/>
        <v>0.44716520165759949</v>
      </c>
      <c r="Q353" s="8">
        <f t="shared" si="52"/>
        <v>0.22531653241491845</v>
      </c>
      <c r="R353" s="8">
        <f t="shared" si="53"/>
        <v>3.1299999999999994E-2</v>
      </c>
      <c r="S353" s="296">
        <f t="shared" si="54"/>
        <v>0.19401653241491845</v>
      </c>
      <c r="U353" s="297"/>
      <c r="V353" s="297"/>
      <c r="W353" s="297"/>
      <c r="X353" s="297"/>
      <c r="Y353" s="297"/>
      <c r="Z353" s="297"/>
      <c r="AA353" s="297"/>
      <c r="AB353" s="297"/>
      <c r="AC353" s="297"/>
      <c r="AE353" s="297"/>
      <c r="AF353" s="297"/>
      <c r="AG353" s="297"/>
      <c r="AH353" s="297"/>
      <c r="AI353" s="297"/>
      <c r="AJ353" s="297"/>
      <c r="AK353" s="297"/>
      <c r="AL353" s="297"/>
      <c r="AM353" s="297"/>
      <c r="AO353" s="297"/>
      <c r="AP353" s="297"/>
      <c r="AQ353" s="297"/>
      <c r="AR353" s="297"/>
      <c r="AS353" s="297"/>
      <c r="AT353" s="297"/>
      <c r="AU353" s="297"/>
      <c r="AV353" s="297"/>
      <c r="AW353" s="297"/>
    </row>
    <row r="354" spans="1:49" x14ac:dyDescent="0.45">
      <c r="A354" s="295">
        <v>20121</v>
      </c>
      <c r="B354" s="12">
        <v>9.7999999999999997E-3</v>
      </c>
      <c r="C354" s="5">
        <v>3.44E-2</v>
      </c>
      <c r="D354" s="5">
        <v>2.2000000000000001E-3</v>
      </c>
      <c r="E354" s="5">
        <v>2.4416666666666666E-3</v>
      </c>
      <c r="F354" s="5">
        <v>2.5833333333333337E-3</v>
      </c>
      <c r="G354" s="5">
        <v>2.5125000000000004E-3</v>
      </c>
      <c r="H354" s="5">
        <v>2.6166666666666664E-3</v>
      </c>
      <c r="I354" s="5">
        <f t="shared" si="55"/>
        <v>7.5999999999999991E-3</v>
      </c>
      <c r="J354" s="5">
        <f t="shared" si="59"/>
        <v>7.2874999999999988E-3</v>
      </c>
      <c r="K354" s="5">
        <f t="shared" si="60"/>
        <v>3.178333333333333E-2</v>
      </c>
      <c r="L354" s="8">
        <f t="shared" si="57"/>
        <v>0.47521603267119339</v>
      </c>
      <c r="M354" s="8">
        <f t="shared" si="58"/>
        <v>2.64E-2</v>
      </c>
      <c r="N354" s="8">
        <f t="shared" si="50"/>
        <v>3.0150000000000003E-2</v>
      </c>
      <c r="O354" s="296">
        <f t="shared" si="56"/>
        <v>0.44881603267119341</v>
      </c>
      <c r="P354" s="8">
        <f t="shared" si="51"/>
        <v>0.44506603267119338</v>
      </c>
      <c r="Q354" s="8">
        <f t="shared" si="52"/>
        <v>0.25280954940198885</v>
      </c>
      <c r="R354" s="8">
        <f t="shared" si="53"/>
        <v>3.1399999999999997E-2</v>
      </c>
      <c r="S354" s="296">
        <f t="shared" si="54"/>
        <v>0.22140954940198887</v>
      </c>
      <c r="U354" s="297"/>
      <c r="V354" s="297"/>
      <c r="W354" s="297"/>
      <c r="X354" s="297"/>
      <c r="Y354" s="297"/>
      <c r="Z354" s="297"/>
      <c r="AA354" s="297"/>
      <c r="AB354" s="297"/>
      <c r="AC354" s="297"/>
      <c r="AE354" s="297"/>
      <c r="AF354" s="297"/>
      <c r="AG354" s="297"/>
      <c r="AH354" s="297"/>
      <c r="AI354" s="297"/>
      <c r="AJ354" s="297"/>
      <c r="AK354" s="297"/>
      <c r="AL354" s="297"/>
      <c r="AM354" s="297"/>
      <c r="AO354" s="297"/>
      <c r="AP354" s="297"/>
      <c r="AQ354" s="297"/>
      <c r="AR354" s="297"/>
      <c r="AS354" s="297"/>
      <c r="AT354" s="297"/>
      <c r="AU354" s="297"/>
      <c r="AV354" s="297"/>
      <c r="AW354" s="297"/>
    </row>
    <row r="355" spans="1:49" x14ac:dyDescent="0.45">
      <c r="A355" s="295">
        <v>20149</v>
      </c>
      <c r="B355" s="12">
        <v>-3.0000000000000001E-3</v>
      </c>
      <c r="C355" s="5">
        <v>-1.1000000000000001E-2</v>
      </c>
      <c r="D355" s="5">
        <v>2.3999999999999998E-3</v>
      </c>
      <c r="E355" s="5">
        <v>2.5166666666666666E-3</v>
      </c>
      <c r="F355" s="5">
        <v>2.6083333333333332E-3</v>
      </c>
      <c r="G355" s="5">
        <v>2.5624999999999997E-3</v>
      </c>
      <c r="H355" s="5">
        <v>2.6250000000000002E-3</v>
      </c>
      <c r="I355" s="5">
        <f t="shared" si="55"/>
        <v>-5.4000000000000003E-3</v>
      </c>
      <c r="J355" s="5">
        <f t="shared" si="59"/>
        <v>-5.5624999999999997E-3</v>
      </c>
      <c r="K355" s="5">
        <f t="shared" si="60"/>
        <v>-1.3625000000000002E-2</v>
      </c>
      <c r="L355" s="8">
        <f t="shared" si="57"/>
        <v>0.4244943191992061</v>
      </c>
      <c r="M355" s="8">
        <f t="shared" si="58"/>
        <v>2.8799999999999999E-2</v>
      </c>
      <c r="N355" s="8">
        <f t="shared" si="50"/>
        <v>3.0749999999999996E-2</v>
      </c>
      <c r="O355" s="296">
        <f t="shared" si="56"/>
        <v>0.39569431919920611</v>
      </c>
      <c r="P355" s="8">
        <f t="shared" si="51"/>
        <v>0.39374431919920611</v>
      </c>
      <c r="Q355" s="8">
        <f t="shared" si="52"/>
        <v>0.20645437620113594</v>
      </c>
      <c r="R355" s="8">
        <f t="shared" si="53"/>
        <v>3.15E-2</v>
      </c>
      <c r="S355" s="296">
        <f t="shared" si="54"/>
        <v>0.17495437620113594</v>
      </c>
      <c r="U355" s="297"/>
      <c r="V355" s="297"/>
      <c r="W355" s="297"/>
      <c r="X355" s="297"/>
      <c r="Y355" s="297"/>
      <c r="Z355" s="297"/>
      <c r="AA355" s="297"/>
      <c r="AB355" s="297"/>
      <c r="AC355" s="297"/>
      <c r="AE355" s="297"/>
      <c r="AF355" s="297"/>
      <c r="AG355" s="297"/>
      <c r="AH355" s="297"/>
      <c r="AI355" s="297"/>
      <c r="AJ355" s="297"/>
      <c r="AK355" s="297"/>
      <c r="AL355" s="297"/>
      <c r="AM355" s="297"/>
      <c r="AO355" s="297"/>
      <c r="AP355" s="297"/>
      <c r="AQ355" s="297"/>
      <c r="AR355" s="297"/>
      <c r="AS355" s="297"/>
      <c r="AT355" s="297"/>
      <c r="AU355" s="297"/>
      <c r="AV355" s="297"/>
      <c r="AW355" s="297"/>
    </row>
    <row r="356" spans="1:49" x14ac:dyDescent="0.45">
      <c r="A356" s="295">
        <v>20180</v>
      </c>
      <c r="B356" s="12">
        <v>3.9600000000000003E-2</v>
      </c>
      <c r="C356" s="5">
        <v>2.0199999999999999E-2</v>
      </c>
      <c r="D356" s="5">
        <v>2.2000000000000001E-3</v>
      </c>
      <c r="E356" s="5">
        <v>2.5083333333333329E-3</v>
      </c>
      <c r="F356" s="5">
        <v>2.6083333333333332E-3</v>
      </c>
      <c r="G356" s="5">
        <v>2.558333333333333E-3</v>
      </c>
      <c r="H356" s="5">
        <v>2.6250000000000002E-3</v>
      </c>
      <c r="I356" s="5">
        <f t="shared" si="55"/>
        <v>3.7400000000000003E-2</v>
      </c>
      <c r="J356" s="5">
        <f t="shared" si="59"/>
        <v>3.7041666666666667E-2</v>
      </c>
      <c r="K356" s="5">
        <f t="shared" si="60"/>
        <v>1.7575E-2</v>
      </c>
      <c r="L356" s="8">
        <f t="shared" si="57"/>
        <v>0.40823915389834009</v>
      </c>
      <c r="M356" s="8">
        <f t="shared" si="58"/>
        <v>2.64E-2</v>
      </c>
      <c r="N356" s="8">
        <f t="shared" si="50"/>
        <v>3.0699999999999998E-2</v>
      </c>
      <c r="O356" s="296">
        <f t="shared" si="56"/>
        <v>0.38183915389834011</v>
      </c>
      <c r="P356" s="8">
        <f t="shared" si="51"/>
        <v>0.37753915389834009</v>
      </c>
      <c r="Q356" s="8">
        <f t="shared" si="52"/>
        <v>0.21610982570931636</v>
      </c>
      <c r="R356" s="8">
        <f t="shared" si="53"/>
        <v>3.15E-2</v>
      </c>
      <c r="S356" s="296">
        <f t="shared" si="54"/>
        <v>0.18460982570931636</v>
      </c>
      <c r="U356" s="297"/>
      <c r="V356" s="297"/>
      <c r="W356" s="297"/>
      <c r="X356" s="297"/>
      <c r="Y356" s="297"/>
      <c r="Z356" s="297"/>
      <c r="AA356" s="297"/>
      <c r="AB356" s="297"/>
      <c r="AC356" s="297"/>
      <c r="AE356" s="297"/>
      <c r="AF356" s="297"/>
      <c r="AG356" s="297"/>
      <c r="AH356" s="297"/>
      <c r="AI356" s="297"/>
      <c r="AJ356" s="297"/>
      <c r="AK356" s="297"/>
      <c r="AL356" s="297"/>
      <c r="AM356" s="297"/>
      <c r="AO356" s="297"/>
      <c r="AP356" s="297"/>
      <c r="AQ356" s="297"/>
      <c r="AR356" s="297"/>
      <c r="AS356" s="297"/>
      <c r="AT356" s="297"/>
      <c r="AU356" s="297"/>
      <c r="AV356" s="297"/>
      <c r="AW356" s="297"/>
    </row>
    <row r="357" spans="1:49" x14ac:dyDescent="0.45">
      <c r="A357" s="295">
        <v>20210</v>
      </c>
      <c r="B357" s="12">
        <v>5.4999999999999997E-3</v>
      </c>
      <c r="C357" s="5">
        <v>-5.7999999999999996E-3</v>
      </c>
      <c r="D357" s="5">
        <v>2.5000000000000001E-3</v>
      </c>
      <c r="E357" s="5">
        <v>2.5333333333333336E-3</v>
      </c>
      <c r="F357" s="5">
        <v>2.6250000000000002E-3</v>
      </c>
      <c r="G357" s="5">
        <v>2.5791666666666667E-3</v>
      </c>
      <c r="H357" s="5">
        <v>2.6583333333333333E-3</v>
      </c>
      <c r="I357" s="5">
        <f t="shared" si="55"/>
        <v>2.9999999999999996E-3</v>
      </c>
      <c r="J357" s="5">
        <f t="shared" si="59"/>
        <v>2.920833333333333E-3</v>
      </c>
      <c r="K357" s="5">
        <f t="shared" si="60"/>
        <v>-8.4583333333333333E-3</v>
      </c>
      <c r="L357" s="8">
        <f t="shared" si="57"/>
        <v>0.35917111657206857</v>
      </c>
      <c r="M357" s="8">
        <f t="shared" si="58"/>
        <v>0.03</v>
      </c>
      <c r="N357" s="8">
        <f t="shared" si="50"/>
        <v>3.0949999999999998E-2</v>
      </c>
      <c r="O357" s="296">
        <f t="shared" si="56"/>
        <v>0.32917111657206855</v>
      </c>
      <c r="P357" s="8">
        <f t="shared" si="51"/>
        <v>0.32822111657206859</v>
      </c>
      <c r="Q357" s="8">
        <f t="shared" si="52"/>
        <v>0.17876220017568745</v>
      </c>
      <c r="R357" s="8">
        <f t="shared" si="53"/>
        <v>3.1899999999999998E-2</v>
      </c>
      <c r="S357" s="296">
        <f t="shared" si="54"/>
        <v>0.14686220017568746</v>
      </c>
      <c r="U357" s="297"/>
      <c r="V357" s="297"/>
      <c r="W357" s="297"/>
      <c r="X357" s="297"/>
      <c r="Y357" s="297"/>
      <c r="Z357" s="297"/>
      <c r="AA357" s="297"/>
      <c r="AB357" s="297"/>
      <c r="AC357" s="297"/>
      <c r="AE357" s="297"/>
      <c r="AF357" s="297"/>
      <c r="AG357" s="297"/>
      <c r="AH357" s="297"/>
      <c r="AI357" s="297"/>
      <c r="AJ357" s="297"/>
      <c r="AK357" s="297"/>
      <c r="AL357" s="297"/>
      <c r="AM357" s="297"/>
      <c r="AO357" s="297"/>
      <c r="AP357" s="297"/>
      <c r="AQ357" s="297"/>
      <c r="AR357" s="297"/>
      <c r="AS357" s="297"/>
      <c r="AT357" s="297"/>
      <c r="AU357" s="297"/>
      <c r="AV357" s="297"/>
      <c r="AW357" s="297"/>
    </row>
    <row r="358" spans="1:49" x14ac:dyDescent="0.45">
      <c r="A358" s="295">
        <v>20241</v>
      </c>
      <c r="B358" s="12">
        <v>8.4099999999999994E-2</v>
      </c>
      <c r="C358" s="5">
        <v>2.1099999999999997E-2</v>
      </c>
      <c r="D358" s="5">
        <v>2.3E-3</v>
      </c>
      <c r="E358" s="5">
        <v>2.5416666666666665E-3</v>
      </c>
      <c r="F358" s="5">
        <v>2.6166666666666664E-3</v>
      </c>
      <c r="G358" s="5">
        <v>2.5791666666666667E-3</v>
      </c>
      <c r="H358" s="5">
        <v>2.6750000000000003E-3</v>
      </c>
      <c r="I358" s="5">
        <f t="shared" si="55"/>
        <v>8.1799999999999998E-2</v>
      </c>
      <c r="J358" s="5">
        <f t="shared" si="59"/>
        <v>8.1520833333333334E-2</v>
      </c>
      <c r="K358" s="5">
        <f t="shared" si="60"/>
        <v>1.8424999999999997E-2</v>
      </c>
      <c r="L358" s="8">
        <f t="shared" si="57"/>
        <v>0.46892374386978264</v>
      </c>
      <c r="M358" s="8">
        <f t="shared" si="58"/>
        <v>2.76E-2</v>
      </c>
      <c r="N358" s="8">
        <f t="shared" si="50"/>
        <v>3.0949999999999998E-2</v>
      </c>
      <c r="O358" s="296">
        <f t="shared" si="56"/>
        <v>0.44132374386978263</v>
      </c>
      <c r="P358" s="8">
        <f t="shared" si="51"/>
        <v>0.43797374386978266</v>
      </c>
      <c r="Q358" s="8">
        <f t="shared" si="52"/>
        <v>0.19218906755090526</v>
      </c>
      <c r="R358" s="8">
        <f t="shared" si="53"/>
        <v>3.2100000000000004E-2</v>
      </c>
      <c r="S358" s="296">
        <f t="shared" si="54"/>
        <v>0.16008906755090524</v>
      </c>
      <c r="U358" s="297"/>
      <c r="V358" s="297"/>
      <c r="W358" s="297"/>
      <c r="X358" s="297"/>
      <c r="Y358" s="297"/>
      <c r="Z358" s="297"/>
      <c r="AA358" s="297"/>
      <c r="AB358" s="297"/>
      <c r="AC358" s="297"/>
      <c r="AE358" s="297"/>
      <c r="AF358" s="297"/>
      <c r="AG358" s="297"/>
      <c r="AH358" s="297"/>
      <c r="AI358" s="297"/>
      <c r="AJ358" s="297"/>
      <c r="AK358" s="297"/>
      <c r="AL358" s="297"/>
      <c r="AM358" s="297"/>
      <c r="AO358" s="297"/>
      <c r="AP358" s="297"/>
      <c r="AQ358" s="297"/>
      <c r="AR358" s="297"/>
      <c r="AS358" s="297"/>
      <c r="AT358" s="297"/>
      <c r="AU358" s="297"/>
      <c r="AV358" s="297"/>
      <c r="AW358" s="297"/>
    </row>
    <row r="359" spans="1:49" x14ac:dyDescent="0.45">
      <c r="A359" s="295">
        <v>20271</v>
      </c>
      <c r="B359" s="12">
        <v>6.2199999999999998E-2</v>
      </c>
      <c r="C359" s="5">
        <v>4.6599999999999996E-2</v>
      </c>
      <c r="D359" s="5">
        <v>2.3E-3</v>
      </c>
      <c r="E359" s="5">
        <v>2.5500000000000002E-3</v>
      </c>
      <c r="F359" s="5">
        <v>2.6166666666666664E-3</v>
      </c>
      <c r="G359" s="5">
        <v>2.5833333333333329E-3</v>
      </c>
      <c r="H359" s="5">
        <v>2.6750000000000003E-3</v>
      </c>
      <c r="I359" s="5">
        <f t="shared" si="55"/>
        <v>5.9899999999999995E-2</v>
      </c>
      <c r="J359" s="5">
        <f t="shared" si="59"/>
        <v>5.9616666666666665E-2</v>
      </c>
      <c r="K359" s="5">
        <f t="shared" si="60"/>
        <v>4.3924999999999992E-2</v>
      </c>
      <c r="L359" s="8">
        <f t="shared" si="57"/>
        <v>0.47350155891820123</v>
      </c>
      <c r="M359" s="8">
        <f t="shared" si="58"/>
        <v>2.76E-2</v>
      </c>
      <c r="N359" s="8">
        <f t="shared" si="50"/>
        <v>3.0999999999999993E-2</v>
      </c>
      <c r="O359" s="296">
        <f t="shared" si="56"/>
        <v>0.44590155891820121</v>
      </c>
      <c r="P359" s="8">
        <f t="shared" si="51"/>
        <v>0.44250155891820125</v>
      </c>
      <c r="Q359" s="8">
        <f t="shared" si="52"/>
        <v>0.18889478618273237</v>
      </c>
      <c r="R359" s="8">
        <f t="shared" si="53"/>
        <v>3.2100000000000004E-2</v>
      </c>
      <c r="S359" s="296">
        <f t="shared" si="54"/>
        <v>0.15679478618273235</v>
      </c>
      <c r="U359" s="297"/>
      <c r="V359" s="297"/>
      <c r="W359" s="297"/>
      <c r="X359" s="297"/>
      <c r="Y359" s="297"/>
      <c r="Z359" s="297"/>
      <c r="AA359" s="297"/>
      <c r="AB359" s="297"/>
      <c r="AC359" s="297"/>
      <c r="AE359" s="297"/>
      <c r="AF359" s="297"/>
      <c r="AG359" s="297"/>
      <c r="AH359" s="297"/>
      <c r="AI359" s="297"/>
      <c r="AJ359" s="297"/>
      <c r="AK359" s="297"/>
      <c r="AL359" s="297"/>
      <c r="AM359" s="297"/>
      <c r="AO359" s="297"/>
      <c r="AP359" s="297"/>
      <c r="AQ359" s="297"/>
      <c r="AR359" s="297"/>
      <c r="AS359" s="297"/>
      <c r="AT359" s="297"/>
      <c r="AU359" s="297"/>
      <c r="AV359" s="297"/>
      <c r="AW359" s="297"/>
    </row>
    <row r="360" spans="1:49" x14ac:dyDescent="0.45">
      <c r="A360" s="295">
        <v>20302</v>
      </c>
      <c r="B360" s="12">
        <v>-2.5000000000000001E-3</v>
      </c>
      <c r="C360" s="5">
        <v>5.1999999999999998E-3</v>
      </c>
      <c r="D360" s="5">
        <v>2.7000000000000001E-3</v>
      </c>
      <c r="E360" s="5">
        <v>2.5916666666666666E-3</v>
      </c>
      <c r="F360" s="5">
        <v>2.6666666666666666E-3</v>
      </c>
      <c r="G360" s="5">
        <v>2.6291666666666668E-3</v>
      </c>
      <c r="H360" s="5">
        <v>2.7000000000000001E-3</v>
      </c>
      <c r="I360" s="5">
        <f t="shared" si="55"/>
        <v>-5.1999999999999998E-3</v>
      </c>
      <c r="J360" s="5">
        <f t="shared" si="59"/>
        <v>-5.1291666666666673E-3</v>
      </c>
      <c r="K360" s="5">
        <f t="shared" si="60"/>
        <v>2.4999999999999996E-3</v>
      </c>
      <c r="L360" s="8">
        <f t="shared" si="57"/>
        <v>0.51138077637111135</v>
      </c>
      <c r="M360" s="8">
        <f t="shared" si="58"/>
        <v>3.2399999999999998E-2</v>
      </c>
      <c r="N360" s="8">
        <f t="shared" ref="N360:N423" si="61">G360*12</f>
        <v>3.1550000000000002E-2</v>
      </c>
      <c r="O360" s="296">
        <f t="shared" si="56"/>
        <v>0.47898077637111136</v>
      </c>
      <c r="P360" s="8">
        <f t="shared" ref="P360:P423" si="62">L360-N360</f>
        <v>0.47983077637111132</v>
      </c>
      <c r="Q360" s="8">
        <f t="shared" ref="Q360:Q423" si="63">((1+C349)*(1+C350)*(1+C351)*(1+C352)*(1+C353)*(1+C354)*(1+C355)*(1+C356)*(1+C357)*(1+C358)*(1+C359)*(1+C360))-1</f>
        <v>0.21094035775750575</v>
      </c>
      <c r="R360" s="8">
        <f t="shared" ref="R360:R423" si="64">H360*12</f>
        <v>3.2399999999999998E-2</v>
      </c>
      <c r="S360" s="296">
        <f t="shared" ref="S360:S423" si="65">Q360-R360</f>
        <v>0.17854035775750576</v>
      </c>
      <c r="U360" s="297"/>
      <c r="V360" s="297"/>
      <c r="W360" s="297"/>
      <c r="X360" s="297"/>
      <c r="Y360" s="297"/>
      <c r="Z360" s="297"/>
      <c r="AA360" s="297"/>
      <c r="AB360" s="297"/>
      <c r="AC360" s="297"/>
      <c r="AE360" s="297"/>
      <c r="AF360" s="297"/>
      <c r="AG360" s="297"/>
      <c r="AH360" s="297"/>
      <c r="AI360" s="297"/>
      <c r="AJ360" s="297"/>
      <c r="AK360" s="297"/>
      <c r="AL360" s="297"/>
      <c r="AM360" s="297"/>
      <c r="AO360" s="297"/>
      <c r="AP360" s="297"/>
      <c r="AQ360" s="297"/>
      <c r="AR360" s="297"/>
      <c r="AS360" s="297"/>
      <c r="AT360" s="297"/>
      <c r="AU360" s="297"/>
      <c r="AV360" s="297"/>
      <c r="AW360" s="297"/>
    </row>
    <row r="361" spans="1:49" x14ac:dyDescent="0.45">
      <c r="A361" s="295">
        <v>20333</v>
      </c>
      <c r="B361" s="12">
        <v>1.2999999999999999E-2</v>
      </c>
      <c r="C361" s="5">
        <v>-2.8999999999999998E-2</v>
      </c>
      <c r="D361" s="5">
        <v>2.3999999999999998E-3</v>
      </c>
      <c r="E361" s="5">
        <v>2.6083333333333332E-3</v>
      </c>
      <c r="F361" s="5">
        <v>2.6833333333333336E-3</v>
      </c>
      <c r="G361" s="5">
        <v>2.6458333333333334E-3</v>
      </c>
      <c r="H361" s="5">
        <v>2.725E-3</v>
      </c>
      <c r="I361" s="5">
        <f t="shared" si="55"/>
        <v>1.06E-2</v>
      </c>
      <c r="J361" s="5">
        <f t="shared" si="59"/>
        <v>1.0354166666666666E-2</v>
      </c>
      <c r="K361" s="5">
        <f t="shared" si="60"/>
        <v>-3.1724999999999996E-2</v>
      </c>
      <c r="L361" s="8">
        <f t="shared" si="57"/>
        <v>0.41095634177857931</v>
      </c>
      <c r="M361" s="8">
        <f t="shared" si="58"/>
        <v>2.8799999999999999E-2</v>
      </c>
      <c r="N361" s="8">
        <f t="shared" si="61"/>
        <v>3.175E-2</v>
      </c>
      <c r="O361" s="296">
        <f t="shared" si="56"/>
        <v>0.38215634177857932</v>
      </c>
      <c r="P361" s="8">
        <f t="shared" si="62"/>
        <v>0.37920634177857931</v>
      </c>
      <c r="Q361" s="8">
        <f t="shared" si="63"/>
        <v>0.15525946883723485</v>
      </c>
      <c r="R361" s="8">
        <f t="shared" si="64"/>
        <v>3.27E-2</v>
      </c>
      <c r="S361" s="296">
        <f t="shared" si="65"/>
        <v>0.12255946883723484</v>
      </c>
      <c r="U361" s="297"/>
      <c r="V361" s="297"/>
      <c r="W361" s="297"/>
      <c r="X361" s="297"/>
      <c r="Y361" s="297"/>
      <c r="Z361" s="297"/>
      <c r="AA361" s="297"/>
      <c r="AB361" s="297"/>
      <c r="AC361" s="297"/>
      <c r="AE361" s="297"/>
      <c r="AF361" s="297"/>
      <c r="AG361" s="297"/>
      <c r="AH361" s="297"/>
      <c r="AI361" s="297"/>
      <c r="AJ361" s="297"/>
      <c r="AK361" s="297"/>
      <c r="AL361" s="297"/>
      <c r="AM361" s="297"/>
      <c r="AO361" s="297"/>
      <c r="AP361" s="297"/>
      <c r="AQ361" s="297"/>
      <c r="AR361" s="297"/>
      <c r="AS361" s="297"/>
      <c r="AT361" s="297"/>
      <c r="AU361" s="297"/>
      <c r="AV361" s="297"/>
      <c r="AW361" s="297"/>
    </row>
    <row r="362" spans="1:49" x14ac:dyDescent="0.45">
      <c r="A362" s="295">
        <v>20363</v>
      </c>
      <c r="B362" s="12">
        <v>-2.8400000000000002E-2</v>
      </c>
      <c r="C362" s="5">
        <v>-8.5000000000000006E-3</v>
      </c>
      <c r="D362" s="5">
        <v>2.5000000000000001E-3</v>
      </c>
      <c r="E362" s="5">
        <v>2.5833333333333337E-3</v>
      </c>
      <c r="F362" s="5">
        <v>2.6583333333333333E-3</v>
      </c>
      <c r="G362" s="5">
        <v>2.6208333333333335E-3</v>
      </c>
      <c r="H362" s="5">
        <v>2.7500000000000003E-3</v>
      </c>
      <c r="I362" s="5">
        <f t="shared" si="55"/>
        <v>-3.09E-2</v>
      </c>
      <c r="J362" s="5">
        <f t="shared" si="59"/>
        <v>-3.1020833333333334E-2</v>
      </c>
      <c r="K362" s="5">
        <f t="shared" si="60"/>
        <v>-1.1250000000000001E-2</v>
      </c>
      <c r="L362" s="8">
        <f t="shared" si="57"/>
        <v>0.39416778365917549</v>
      </c>
      <c r="M362" s="8">
        <f t="shared" si="58"/>
        <v>0.03</v>
      </c>
      <c r="N362" s="8">
        <f t="shared" si="61"/>
        <v>3.1450000000000006E-2</v>
      </c>
      <c r="O362" s="296">
        <f t="shared" si="56"/>
        <v>0.36416778365917546</v>
      </c>
      <c r="P362" s="8">
        <f t="shared" si="62"/>
        <v>0.36271778365917551</v>
      </c>
      <c r="Q362" s="8">
        <f t="shared" si="63"/>
        <v>0.18920241211806377</v>
      </c>
      <c r="R362" s="8">
        <f t="shared" si="64"/>
        <v>3.3000000000000002E-2</v>
      </c>
      <c r="S362" s="296">
        <f t="shared" si="65"/>
        <v>0.15620241211806377</v>
      </c>
      <c r="U362" s="297"/>
      <c r="V362" s="297"/>
      <c r="W362" s="297"/>
      <c r="X362" s="297"/>
      <c r="Y362" s="297"/>
      <c r="Z362" s="297"/>
      <c r="AA362" s="297"/>
      <c r="AB362" s="297"/>
      <c r="AC362" s="297"/>
      <c r="AE362" s="297"/>
      <c r="AF362" s="297"/>
      <c r="AG362" s="297"/>
      <c r="AH362" s="297"/>
      <c r="AI362" s="297"/>
      <c r="AJ362" s="297"/>
      <c r="AK362" s="297"/>
      <c r="AL362" s="297"/>
      <c r="AM362" s="297"/>
      <c r="AO362" s="297"/>
      <c r="AP362" s="297"/>
      <c r="AQ362" s="297"/>
      <c r="AR362" s="297"/>
      <c r="AS362" s="297"/>
      <c r="AT362" s="297"/>
      <c r="AU362" s="297"/>
      <c r="AV362" s="297"/>
      <c r="AW362" s="297"/>
    </row>
    <row r="363" spans="1:49" x14ac:dyDescent="0.45">
      <c r="A363" s="295">
        <v>20394</v>
      </c>
      <c r="B363" s="12">
        <v>8.2699999999999996E-2</v>
      </c>
      <c r="C363" s="5">
        <v>2.92E-2</v>
      </c>
      <c r="D363" s="5">
        <v>2.3999999999999998E-3</v>
      </c>
      <c r="E363" s="5">
        <v>2.5833333333333337E-3</v>
      </c>
      <c r="F363" s="5">
        <v>2.65E-3</v>
      </c>
      <c r="G363" s="5">
        <v>2.6166666666666673E-3</v>
      </c>
      <c r="H363" s="5">
        <v>2.7666666666666668E-3</v>
      </c>
      <c r="I363" s="5">
        <f t="shared" si="55"/>
        <v>8.0299999999999996E-2</v>
      </c>
      <c r="J363" s="5">
        <f t="shared" si="59"/>
        <v>8.0083333333333326E-2</v>
      </c>
      <c r="K363" s="5">
        <f t="shared" si="60"/>
        <v>2.6433333333333333E-2</v>
      </c>
      <c r="L363" s="8">
        <f t="shared" si="57"/>
        <v>0.38368820182215502</v>
      </c>
      <c r="M363" s="8">
        <f t="shared" si="58"/>
        <v>2.8799999999999999E-2</v>
      </c>
      <c r="N363" s="8">
        <f t="shared" si="61"/>
        <v>3.1400000000000011E-2</v>
      </c>
      <c r="O363" s="296">
        <f t="shared" si="56"/>
        <v>0.35488820182215502</v>
      </c>
      <c r="P363" s="8">
        <f t="shared" si="62"/>
        <v>0.35228820182215503</v>
      </c>
      <c r="Q363" s="8">
        <f t="shared" si="63"/>
        <v>0.15847337676470508</v>
      </c>
      <c r="R363" s="8">
        <f t="shared" si="64"/>
        <v>3.32E-2</v>
      </c>
      <c r="S363" s="296">
        <f t="shared" si="65"/>
        <v>0.12527337676470507</v>
      </c>
      <c r="U363" s="297"/>
      <c r="V363" s="297"/>
      <c r="W363" s="297"/>
      <c r="X363" s="297"/>
      <c r="Y363" s="297"/>
      <c r="Z363" s="297"/>
      <c r="AA363" s="297"/>
      <c r="AB363" s="297"/>
      <c r="AC363" s="297"/>
      <c r="AE363" s="297"/>
      <c r="AF363" s="297"/>
      <c r="AG363" s="297"/>
      <c r="AH363" s="297"/>
      <c r="AI363" s="297"/>
      <c r="AJ363" s="297"/>
      <c r="AK363" s="297"/>
      <c r="AL363" s="297"/>
      <c r="AM363" s="297"/>
      <c r="AO363" s="297"/>
      <c r="AP363" s="297"/>
      <c r="AQ363" s="297"/>
      <c r="AR363" s="297"/>
      <c r="AS363" s="297"/>
      <c r="AT363" s="297"/>
      <c r="AU363" s="297"/>
      <c r="AV363" s="297"/>
      <c r="AW363" s="297"/>
    </row>
    <row r="364" spans="1:49" x14ac:dyDescent="0.45">
      <c r="A364" s="295">
        <v>20424</v>
      </c>
      <c r="B364" s="12">
        <v>1.5E-3</v>
      </c>
      <c r="C364" s="5">
        <v>-6.7000000000000002E-3</v>
      </c>
      <c r="D364" s="5">
        <v>2.3999999999999998E-3</v>
      </c>
      <c r="E364" s="5">
        <v>2.6250000000000002E-3</v>
      </c>
      <c r="F364" s="5">
        <v>2.6833333333333336E-3</v>
      </c>
      <c r="G364" s="5">
        <v>2.6541666666666671E-3</v>
      </c>
      <c r="H364" s="5">
        <v>2.7916666666666667E-3</v>
      </c>
      <c r="I364" s="5">
        <f t="shared" si="55"/>
        <v>-8.9999999999999976E-4</v>
      </c>
      <c r="J364" s="5">
        <f t="shared" si="59"/>
        <v>-1.1541666666666671E-3</v>
      </c>
      <c r="K364" s="5">
        <f t="shared" si="60"/>
        <v>-9.4916666666666673E-3</v>
      </c>
      <c r="L364" s="8">
        <f t="shared" si="57"/>
        <v>0.31551522130709064</v>
      </c>
      <c r="M364" s="8">
        <f t="shared" si="58"/>
        <v>2.8799999999999999E-2</v>
      </c>
      <c r="N364" s="8">
        <f t="shared" si="61"/>
        <v>3.1850000000000003E-2</v>
      </c>
      <c r="O364" s="296">
        <f t="shared" si="56"/>
        <v>0.28671522130709065</v>
      </c>
      <c r="P364" s="8">
        <f t="shared" si="62"/>
        <v>0.28366522130709065</v>
      </c>
      <c r="Q364" s="8">
        <f t="shared" si="63"/>
        <v>0.11276627515751003</v>
      </c>
      <c r="R364" s="8">
        <f t="shared" si="64"/>
        <v>3.3500000000000002E-2</v>
      </c>
      <c r="S364" s="296">
        <f t="shared" si="65"/>
        <v>7.926627515751003E-2</v>
      </c>
      <c r="U364" s="297"/>
      <c r="V364" s="297"/>
      <c r="W364" s="297"/>
      <c r="X364" s="297"/>
      <c r="Y364" s="297"/>
      <c r="Z364" s="297"/>
      <c r="AA364" s="297"/>
      <c r="AB364" s="297"/>
      <c r="AC364" s="297"/>
      <c r="AE364" s="297"/>
      <c r="AF364" s="297"/>
      <c r="AG364" s="297"/>
      <c r="AH364" s="297"/>
      <c r="AI364" s="297"/>
      <c r="AJ364" s="297"/>
      <c r="AK364" s="297"/>
      <c r="AL364" s="297"/>
      <c r="AM364" s="297"/>
      <c r="AO364" s="297"/>
      <c r="AP364" s="297"/>
      <c r="AQ364" s="297"/>
      <c r="AR364" s="297"/>
      <c r="AS364" s="297"/>
      <c r="AT364" s="297"/>
      <c r="AU364" s="297"/>
      <c r="AV364" s="297"/>
      <c r="AW364" s="297"/>
    </row>
    <row r="365" spans="1:49" x14ac:dyDescent="0.45">
      <c r="A365" s="295">
        <v>20455</v>
      </c>
      <c r="B365" s="12">
        <v>-3.4700000000000002E-2</v>
      </c>
      <c r="C365" s="5">
        <v>3.0000000000000001E-3</v>
      </c>
      <c r="D365" s="5">
        <v>2.5000000000000001E-3</v>
      </c>
      <c r="E365" s="5">
        <v>2.5916666666666666E-3</v>
      </c>
      <c r="F365" s="5">
        <v>2.6583333333333333E-3</v>
      </c>
      <c r="G365" s="5">
        <v>2.6249999999999997E-3</v>
      </c>
      <c r="H365" s="5">
        <v>2.7583333333333331E-3</v>
      </c>
      <c r="I365" s="5">
        <f t="shared" si="55"/>
        <v>-3.7200000000000004E-2</v>
      </c>
      <c r="J365" s="5">
        <f t="shared" si="59"/>
        <v>-3.7325000000000004E-2</v>
      </c>
      <c r="K365" s="5">
        <f t="shared" si="60"/>
        <v>2.4166666666666694E-4</v>
      </c>
      <c r="L365" s="8">
        <f t="shared" si="57"/>
        <v>0.2453337679001022</v>
      </c>
      <c r="M365" s="8">
        <f t="shared" si="58"/>
        <v>0.03</v>
      </c>
      <c r="N365" s="8">
        <f t="shared" si="61"/>
        <v>3.15E-2</v>
      </c>
      <c r="O365" s="296">
        <f t="shared" si="56"/>
        <v>0.2153337679001022</v>
      </c>
      <c r="P365" s="8">
        <f t="shared" si="62"/>
        <v>0.2138337679001022</v>
      </c>
      <c r="Q365" s="8">
        <f t="shared" si="63"/>
        <v>0.10036929309177012</v>
      </c>
      <c r="R365" s="8">
        <f t="shared" si="64"/>
        <v>3.3099999999999997E-2</v>
      </c>
      <c r="S365" s="296">
        <f t="shared" si="65"/>
        <v>6.7269293091770127E-2</v>
      </c>
      <c r="U365" s="297"/>
      <c r="V365" s="297"/>
      <c r="W365" s="297"/>
      <c r="X365" s="297"/>
      <c r="Y365" s="297"/>
      <c r="Z365" s="297"/>
      <c r="AA365" s="297"/>
      <c r="AB365" s="297"/>
      <c r="AC365" s="297"/>
      <c r="AE365" s="297"/>
      <c r="AF365" s="297"/>
      <c r="AG365" s="297"/>
      <c r="AH365" s="297"/>
      <c r="AI365" s="297"/>
      <c r="AJ365" s="297"/>
      <c r="AK365" s="297"/>
      <c r="AL365" s="297"/>
      <c r="AM365" s="297"/>
      <c r="AO365" s="297"/>
      <c r="AP365" s="297"/>
      <c r="AQ365" s="297"/>
      <c r="AR365" s="297"/>
      <c r="AS365" s="297"/>
      <c r="AT365" s="297"/>
      <c r="AU365" s="297"/>
      <c r="AV365" s="297"/>
      <c r="AW365" s="297"/>
    </row>
    <row r="366" spans="1:49" x14ac:dyDescent="0.45">
      <c r="A366" s="295">
        <v>20486</v>
      </c>
      <c r="B366" s="12">
        <v>4.1300000000000003E-2</v>
      </c>
      <c r="C366" s="5">
        <v>1.78E-2</v>
      </c>
      <c r="D366" s="5">
        <v>2.3E-3</v>
      </c>
      <c r="E366" s="5">
        <v>2.5666666666666667E-3</v>
      </c>
      <c r="F366" s="5">
        <v>2.6333333333333334E-3</v>
      </c>
      <c r="G366" s="5">
        <v>2.5999999999999999E-3</v>
      </c>
      <c r="H366" s="5">
        <v>2.7416666666666666E-3</v>
      </c>
      <c r="I366" s="5">
        <f t="shared" si="55"/>
        <v>3.9000000000000007E-2</v>
      </c>
      <c r="J366" s="5">
        <f t="shared" si="59"/>
        <v>3.8700000000000005E-2</v>
      </c>
      <c r="K366" s="5">
        <f t="shared" si="60"/>
        <v>1.5058333333333333E-2</v>
      </c>
      <c r="L366" s="8">
        <f t="shared" si="57"/>
        <v>0.28418107795046166</v>
      </c>
      <c r="M366" s="8">
        <f t="shared" si="58"/>
        <v>2.76E-2</v>
      </c>
      <c r="N366" s="8">
        <f t="shared" si="61"/>
        <v>3.1199999999999999E-2</v>
      </c>
      <c r="O366" s="296">
        <f t="shared" si="56"/>
        <v>0.25658107795046164</v>
      </c>
      <c r="P366" s="8">
        <f t="shared" si="62"/>
        <v>0.25298107795046165</v>
      </c>
      <c r="Q366" s="8">
        <f t="shared" si="63"/>
        <v>8.2710621141534935E-2</v>
      </c>
      <c r="R366" s="8">
        <f t="shared" si="64"/>
        <v>3.2899999999999999E-2</v>
      </c>
      <c r="S366" s="296">
        <f t="shared" si="65"/>
        <v>4.9810621141534936E-2</v>
      </c>
      <c r="U366" s="297"/>
      <c r="V366" s="297"/>
      <c r="W366" s="297"/>
      <c r="X366" s="297"/>
      <c r="Y366" s="297"/>
      <c r="Z366" s="297"/>
      <c r="AA366" s="297"/>
      <c r="AB366" s="297"/>
      <c r="AC366" s="297"/>
      <c r="AE366" s="297"/>
      <c r="AF366" s="297"/>
      <c r="AG366" s="297"/>
      <c r="AH366" s="297"/>
      <c r="AI366" s="297"/>
      <c r="AJ366" s="297"/>
      <c r="AK366" s="297"/>
      <c r="AL366" s="297"/>
      <c r="AM366" s="297"/>
      <c r="AO366" s="297"/>
      <c r="AP366" s="297"/>
      <c r="AQ366" s="297"/>
      <c r="AR366" s="297"/>
      <c r="AS366" s="297"/>
      <c r="AT366" s="297"/>
      <c r="AU366" s="297"/>
      <c r="AV366" s="297"/>
      <c r="AW366" s="297"/>
    </row>
    <row r="367" spans="1:49" x14ac:dyDescent="0.45">
      <c r="A367" s="295">
        <v>20515</v>
      </c>
      <c r="B367" s="12">
        <v>7.0999999999999994E-2</v>
      </c>
      <c r="C367" s="5">
        <v>3.9399999999999998E-2</v>
      </c>
      <c r="D367" s="5">
        <v>2.3E-3</v>
      </c>
      <c r="E367" s="5">
        <v>2.5833333333333337E-3</v>
      </c>
      <c r="F367" s="5">
        <v>2.65E-3</v>
      </c>
      <c r="G367" s="5">
        <v>2.6166666666666673E-3</v>
      </c>
      <c r="H367" s="5">
        <v>2.7416666666666666E-3</v>
      </c>
      <c r="I367" s="5">
        <f t="shared" si="55"/>
        <v>6.8699999999999997E-2</v>
      </c>
      <c r="J367" s="5">
        <f t="shared" si="59"/>
        <v>6.8383333333333324E-2</v>
      </c>
      <c r="K367" s="5">
        <f t="shared" si="60"/>
        <v>3.6658333333333334E-2</v>
      </c>
      <c r="L367" s="8">
        <f t="shared" si="57"/>
        <v>0.37949642375621284</v>
      </c>
      <c r="M367" s="8">
        <f t="shared" si="58"/>
        <v>2.76E-2</v>
      </c>
      <c r="N367" s="8">
        <f t="shared" si="61"/>
        <v>3.1400000000000011E-2</v>
      </c>
      <c r="O367" s="296">
        <f t="shared" si="56"/>
        <v>0.35189642375621283</v>
      </c>
      <c r="P367" s="8">
        <f t="shared" si="62"/>
        <v>0.34809642375621286</v>
      </c>
      <c r="Q367" s="8">
        <f t="shared" si="63"/>
        <v>0.13788616745653348</v>
      </c>
      <c r="R367" s="8">
        <f t="shared" si="64"/>
        <v>3.2899999999999999E-2</v>
      </c>
      <c r="S367" s="296">
        <f t="shared" si="65"/>
        <v>0.10498616745653348</v>
      </c>
      <c r="U367" s="297"/>
      <c r="V367" s="297"/>
      <c r="W367" s="297"/>
      <c r="X367" s="297"/>
      <c r="Y367" s="297"/>
      <c r="Z367" s="297"/>
      <c r="AA367" s="297"/>
      <c r="AB367" s="297"/>
      <c r="AC367" s="297"/>
      <c r="AE367" s="297"/>
      <c r="AF367" s="297"/>
      <c r="AG367" s="297"/>
      <c r="AH367" s="297"/>
      <c r="AI367" s="297"/>
      <c r="AJ367" s="297"/>
      <c r="AK367" s="297"/>
      <c r="AL367" s="297"/>
      <c r="AM367" s="297"/>
      <c r="AO367" s="297"/>
      <c r="AP367" s="297"/>
      <c r="AQ367" s="297"/>
      <c r="AR367" s="297"/>
      <c r="AS367" s="297"/>
      <c r="AT367" s="297"/>
      <c r="AU367" s="297"/>
      <c r="AV367" s="297"/>
      <c r="AW367" s="297"/>
    </row>
    <row r="368" spans="1:49" x14ac:dyDescent="0.45">
      <c r="A368" s="295">
        <v>20546</v>
      </c>
      <c r="B368" s="12">
        <v>-4.0000000000000002E-4</v>
      </c>
      <c r="C368" s="5">
        <v>-2.87E-2</v>
      </c>
      <c r="D368" s="5">
        <v>2.5999999999999999E-3</v>
      </c>
      <c r="E368" s="5">
        <v>2.7000000000000001E-3</v>
      </c>
      <c r="F368" s="5">
        <v>2.7499999999999998E-3</v>
      </c>
      <c r="G368" s="5">
        <v>2.7249999999999996E-3</v>
      </c>
      <c r="H368" s="5">
        <v>2.8333333333333331E-3</v>
      </c>
      <c r="I368" s="5">
        <f t="shared" si="55"/>
        <v>-3.0000000000000001E-3</v>
      </c>
      <c r="J368" s="5">
        <f t="shared" si="59"/>
        <v>-3.1249999999999997E-3</v>
      </c>
      <c r="K368" s="5">
        <f t="shared" si="60"/>
        <v>-3.153333333333333E-2</v>
      </c>
      <c r="L368" s="8">
        <f t="shared" si="57"/>
        <v>0.3264184543927573</v>
      </c>
      <c r="M368" s="8">
        <f t="shared" si="58"/>
        <v>3.1199999999999999E-2</v>
      </c>
      <c r="N368" s="8">
        <f t="shared" si="61"/>
        <v>3.2699999999999993E-2</v>
      </c>
      <c r="O368" s="296">
        <f t="shared" si="56"/>
        <v>0.29521845439275729</v>
      </c>
      <c r="P368" s="8">
        <f t="shared" si="62"/>
        <v>0.29371845439275729</v>
      </c>
      <c r="Q368" s="8">
        <f t="shared" si="63"/>
        <v>8.3345260194600312E-2</v>
      </c>
      <c r="R368" s="8">
        <f t="shared" si="64"/>
        <v>3.3999999999999996E-2</v>
      </c>
      <c r="S368" s="296">
        <f t="shared" si="65"/>
        <v>4.9345260194600317E-2</v>
      </c>
      <c r="U368" s="297"/>
      <c r="V368" s="297"/>
      <c r="W368" s="297"/>
      <c r="X368" s="297"/>
      <c r="Y368" s="297"/>
      <c r="Z368" s="297"/>
      <c r="AA368" s="297"/>
      <c r="AB368" s="297"/>
      <c r="AC368" s="297"/>
      <c r="AE368" s="297"/>
      <c r="AF368" s="297"/>
      <c r="AG368" s="297"/>
      <c r="AH368" s="297"/>
      <c r="AI368" s="297"/>
      <c r="AJ368" s="297"/>
      <c r="AK368" s="297"/>
      <c r="AL368" s="297"/>
      <c r="AM368" s="297"/>
      <c r="AO368" s="297"/>
      <c r="AP368" s="297"/>
      <c r="AQ368" s="297"/>
      <c r="AR368" s="297"/>
      <c r="AS368" s="297"/>
      <c r="AT368" s="297"/>
      <c r="AU368" s="297"/>
      <c r="AV368" s="297"/>
      <c r="AW368" s="297"/>
    </row>
    <row r="369" spans="1:49" x14ac:dyDescent="0.45">
      <c r="A369" s="295">
        <v>20576</v>
      </c>
      <c r="B369" s="12">
        <v>-5.9299999999999999E-2</v>
      </c>
      <c r="C369" s="5">
        <v>-1.38E-2</v>
      </c>
      <c r="D369" s="5">
        <v>2.5999999999999999E-3</v>
      </c>
      <c r="E369" s="5">
        <v>2.7333333333333333E-3</v>
      </c>
      <c r="F369" s="5">
        <v>2.7833333333333334E-3</v>
      </c>
      <c r="G369" s="5">
        <v>2.7583333333333331E-3</v>
      </c>
      <c r="H369" s="5">
        <v>2.8999999999999998E-3</v>
      </c>
      <c r="I369" s="5">
        <f t="shared" si="55"/>
        <v>-6.1899999999999997E-2</v>
      </c>
      <c r="J369" s="5">
        <f t="shared" si="59"/>
        <v>-6.2058333333333333E-2</v>
      </c>
      <c r="K369" s="5">
        <f t="shared" si="60"/>
        <v>-1.67E-2</v>
      </c>
      <c r="L369" s="8">
        <f t="shared" si="57"/>
        <v>0.24093668826182668</v>
      </c>
      <c r="M369" s="8">
        <f t="shared" si="58"/>
        <v>3.1199999999999999E-2</v>
      </c>
      <c r="N369" s="8">
        <f t="shared" si="61"/>
        <v>3.3099999999999997E-2</v>
      </c>
      <c r="O369" s="296">
        <f t="shared" si="56"/>
        <v>0.20973668826182668</v>
      </c>
      <c r="P369" s="8">
        <f t="shared" si="62"/>
        <v>0.20783668826182669</v>
      </c>
      <c r="Q369" s="8">
        <f t="shared" si="63"/>
        <v>7.4627937642239184E-2</v>
      </c>
      <c r="R369" s="8">
        <f t="shared" si="64"/>
        <v>3.4799999999999998E-2</v>
      </c>
      <c r="S369" s="296">
        <f t="shared" si="65"/>
        <v>3.9827937642239186E-2</v>
      </c>
      <c r="U369" s="297"/>
      <c r="V369" s="297"/>
      <c r="W369" s="297"/>
      <c r="X369" s="297"/>
      <c r="Y369" s="297"/>
      <c r="Z369" s="297"/>
      <c r="AA369" s="297"/>
      <c r="AB369" s="297"/>
      <c r="AC369" s="297"/>
      <c r="AE369" s="297"/>
      <c r="AF369" s="297"/>
      <c r="AG369" s="297"/>
      <c r="AH369" s="297"/>
      <c r="AI369" s="297"/>
      <c r="AJ369" s="297"/>
      <c r="AK369" s="297"/>
      <c r="AL369" s="297"/>
      <c r="AM369" s="297"/>
      <c r="AO369" s="297"/>
      <c r="AP369" s="297"/>
      <c r="AQ369" s="297"/>
      <c r="AR369" s="297"/>
      <c r="AS369" s="297"/>
      <c r="AT369" s="297"/>
      <c r="AU369" s="297"/>
      <c r="AV369" s="297"/>
      <c r="AW369" s="297"/>
    </row>
    <row r="370" spans="1:49" x14ac:dyDescent="0.45">
      <c r="A370" s="295">
        <v>20607</v>
      </c>
      <c r="B370" s="12">
        <v>4.0899999999999999E-2</v>
      </c>
      <c r="C370" s="5">
        <v>2.1099999999999997E-2</v>
      </c>
      <c r="D370" s="5">
        <v>2.3E-3</v>
      </c>
      <c r="E370" s="5">
        <v>2.7166666666666667E-3</v>
      </c>
      <c r="F370" s="5">
        <v>2.7916666666666667E-3</v>
      </c>
      <c r="G370" s="5">
        <v>2.7541666666666665E-3</v>
      </c>
      <c r="H370" s="5">
        <v>2.9083333333333335E-3</v>
      </c>
      <c r="I370" s="5">
        <f t="shared" si="55"/>
        <v>3.8599999999999995E-2</v>
      </c>
      <c r="J370" s="5">
        <f t="shared" si="59"/>
        <v>3.814583333333333E-2</v>
      </c>
      <c r="K370" s="5">
        <f t="shared" si="60"/>
        <v>1.8191666666666665E-2</v>
      </c>
      <c r="L370" s="8">
        <f t="shared" si="57"/>
        <v>0.19148694660246757</v>
      </c>
      <c r="M370" s="8">
        <f t="shared" si="58"/>
        <v>2.76E-2</v>
      </c>
      <c r="N370" s="8">
        <f t="shared" si="61"/>
        <v>3.3049999999999996E-2</v>
      </c>
      <c r="O370" s="296">
        <f t="shared" si="56"/>
        <v>0.16388694660246755</v>
      </c>
      <c r="P370" s="8">
        <f t="shared" si="62"/>
        <v>0.15843694660246757</v>
      </c>
      <c r="Q370" s="8">
        <f t="shared" si="63"/>
        <v>7.4627937642239628E-2</v>
      </c>
      <c r="R370" s="8">
        <f t="shared" si="64"/>
        <v>3.49E-2</v>
      </c>
      <c r="S370" s="296">
        <f t="shared" si="65"/>
        <v>3.9727937642239627E-2</v>
      </c>
      <c r="U370" s="297"/>
      <c r="V370" s="297"/>
      <c r="W370" s="297"/>
      <c r="X370" s="297"/>
      <c r="Y370" s="297"/>
      <c r="Z370" s="297"/>
      <c r="AA370" s="297"/>
      <c r="AB370" s="297"/>
      <c r="AC370" s="297"/>
      <c r="AE370" s="297"/>
      <c r="AF370" s="297"/>
      <c r="AG370" s="297"/>
      <c r="AH370" s="297"/>
      <c r="AI370" s="297"/>
      <c r="AJ370" s="297"/>
      <c r="AK370" s="297"/>
      <c r="AL370" s="297"/>
      <c r="AM370" s="297"/>
      <c r="AO370" s="297"/>
      <c r="AP370" s="297"/>
      <c r="AQ370" s="297"/>
      <c r="AR370" s="297"/>
      <c r="AS370" s="297"/>
      <c r="AT370" s="297"/>
      <c r="AU370" s="297"/>
      <c r="AV370" s="297"/>
      <c r="AW370" s="297"/>
    </row>
    <row r="371" spans="1:49" x14ac:dyDescent="0.45">
      <c r="A371" s="295">
        <v>20637</v>
      </c>
      <c r="B371" s="12">
        <v>5.2999999999999999E-2</v>
      </c>
      <c r="C371" s="5">
        <v>5.2500000000000012E-2</v>
      </c>
      <c r="D371" s="5">
        <v>2.5999999999999999E-3</v>
      </c>
      <c r="E371" s="5">
        <v>2.7333333333333333E-3</v>
      </c>
      <c r="F371" s="5">
        <v>2.8250000000000003E-3</v>
      </c>
      <c r="G371" s="5">
        <v>2.7791666666666672E-3</v>
      </c>
      <c r="H371" s="5">
        <v>2.9583333333333332E-3</v>
      </c>
      <c r="I371" s="5">
        <f t="shared" si="55"/>
        <v>5.04E-2</v>
      </c>
      <c r="J371" s="5">
        <f t="shared" si="59"/>
        <v>5.0220833333333333E-2</v>
      </c>
      <c r="K371" s="5">
        <f t="shared" si="60"/>
        <v>4.9541666666666678E-2</v>
      </c>
      <c r="L371" s="8">
        <f t="shared" si="57"/>
        <v>0.18116715757145396</v>
      </c>
      <c r="M371" s="8">
        <f t="shared" si="58"/>
        <v>3.1199999999999999E-2</v>
      </c>
      <c r="N371" s="8">
        <f t="shared" si="61"/>
        <v>3.3350000000000005E-2</v>
      </c>
      <c r="O371" s="296">
        <f t="shared" si="56"/>
        <v>0.14996715757145396</v>
      </c>
      <c r="P371" s="8">
        <f t="shared" si="62"/>
        <v>0.14781715757145397</v>
      </c>
      <c r="Q371" s="8">
        <f t="shared" si="63"/>
        <v>8.0685939583849953E-2</v>
      </c>
      <c r="R371" s="8">
        <f t="shared" si="64"/>
        <v>3.5499999999999997E-2</v>
      </c>
      <c r="S371" s="296">
        <f t="shared" si="65"/>
        <v>4.5185939583849956E-2</v>
      </c>
      <c r="U371" s="297"/>
      <c r="V371" s="297"/>
      <c r="W371" s="297"/>
      <c r="X371" s="297"/>
      <c r="Y371" s="297"/>
      <c r="Z371" s="297"/>
      <c r="AA371" s="297"/>
      <c r="AB371" s="297"/>
      <c r="AC371" s="297"/>
      <c r="AE371" s="297"/>
      <c r="AF371" s="297"/>
      <c r="AG371" s="297"/>
      <c r="AH371" s="297"/>
      <c r="AI371" s="297"/>
      <c r="AJ371" s="297"/>
      <c r="AK371" s="297"/>
      <c r="AL371" s="297"/>
      <c r="AM371" s="297"/>
      <c r="AO371" s="297"/>
      <c r="AP371" s="297"/>
      <c r="AQ371" s="297"/>
      <c r="AR371" s="297"/>
      <c r="AS371" s="297"/>
      <c r="AT371" s="297"/>
      <c r="AU371" s="297"/>
      <c r="AV371" s="297"/>
      <c r="AW371" s="297"/>
    </row>
    <row r="372" spans="1:49" x14ac:dyDescent="0.45">
      <c r="A372" s="295">
        <v>20668</v>
      </c>
      <c r="B372" s="12">
        <v>-3.2800000000000003E-2</v>
      </c>
      <c r="C372" s="5">
        <v>-2.5899999999999999E-2</v>
      </c>
      <c r="D372" s="5">
        <v>2.5999999999999999E-3</v>
      </c>
      <c r="E372" s="5">
        <v>2.8583333333333334E-3</v>
      </c>
      <c r="F372" s="5">
        <v>2.9166666666666668E-3</v>
      </c>
      <c r="G372" s="5">
        <v>2.8874999999999999E-3</v>
      </c>
      <c r="H372" s="5">
        <v>3.0249999999999999E-3</v>
      </c>
      <c r="I372" s="5">
        <f t="shared" si="55"/>
        <v>-3.5400000000000001E-2</v>
      </c>
      <c r="J372" s="5">
        <f t="shared" si="59"/>
        <v>-3.5687500000000004E-2</v>
      </c>
      <c r="K372" s="5">
        <f t="shared" si="60"/>
        <v>-2.8924999999999999E-2</v>
      </c>
      <c r="L372" s="8">
        <f t="shared" si="57"/>
        <v>0.14528809504071249</v>
      </c>
      <c r="M372" s="8">
        <f t="shared" si="58"/>
        <v>3.1199999999999999E-2</v>
      </c>
      <c r="N372" s="8">
        <f t="shared" si="61"/>
        <v>3.465E-2</v>
      </c>
      <c r="O372" s="296">
        <f t="shared" si="56"/>
        <v>0.11408809504071249</v>
      </c>
      <c r="P372" s="8">
        <f t="shared" si="62"/>
        <v>0.11063809504071249</v>
      </c>
      <c r="Q372" s="8">
        <f t="shared" si="63"/>
        <v>4.725047129787896E-2</v>
      </c>
      <c r="R372" s="8">
        <f t="shared" si="64"/>
        <v>3.6299999999999999E-2</v>
      </c>
      <c r="S372" s="296">
        <f t="shared" si="65"/>
        <v>1.0950471297878961E-2</v>
      </c>
      <c r="U372" s="297"/>
      <c r="V372" s="297"/>
      <c r="W372" s="297"/>
      <c r="X372" s="297"/>
      <c r="Y372" s="297"/>
      <c r="Z372" s="297"/>
      <c r="AA372" s="297"/>
      <c r="AB372" s="297"/>
      <c r="AC372" s="297"/>
      <c r="AE372" s="297"/>
      <c r="AF372" s="297"/>
      <c r="AG372" s="297"/>
      <c r="AH372" s="297"/>
      <c r="AI372" s="297"/>
      <c r="AJ372" s="297"/>
      <c r="AK372" s="297"/>
      <c r="AL372" s="297"/>
      <c r="AM372" s="297"/>
      <c r="AO372" s="297"/>
      <c r="AP372" s="297"/>
      <c r="AQ372" s="297"/>
      <c r="AR372" s="297"/>
      <c r="AS372" s="297"/>
      <c r="AT372" s="297"/>
      <c r="AU372" s="297"/>
      <c r="AV372" s="297"/>
      <c r="AW372" s="297"/>
    </row>
    <row r="373" spans="1:49" x14ac:dyDescent="0.45">
      <c r="A373" s="295">
        <v>20699</v>
      </c>
      <c r="B373" s="12">
        <v>-4.3999999999999997E-2</v>
      </c>
      <c r="C373" s="5">
        <v>-3.1899999999999998E-2</v>
      </c>
      <c r="D373" s="5">
        <v>2.5000000000000001E-3</v>
      </c>
      <c r="E373" s="5">
        <v>2.9666666666666669E-3</v>
      </c>
      <c r="F373" s="5">
        <v>3.0249999999999999E-3</v>
      </c>
      <c r="G373" s="5">
        <v>2.995833333333333E-3</v>
      </c>
      <c r="H373" s="5">
        <v>3.0999999999999999E-3</v>
      </c>
      <c r="I373" s="5">
        <f t="shared" si="55"/>
        <v>-4.65E-2</v>
      </c>
      <c r="J373" s="5">
        <f t="shared" si="59"/>
        <v>-4.6995833333333334E-2</v>
      </c>
      <c r="K373" s="5">
        <f t="shared" si="60"/>
        <v>-3.4999999999999996E-2</v>
      </c>
      <c r="L373" s="8">
        <f t="shared" si="57"/>
        <v>8.0844441124304556E-2</v>
      </c>
      <c r="M373" s="8">
        <f t="shared" si="58"/>
        <v>0.03</v>
      </c>
      <c r="N373" s="8">
        <f t="shared" si="61"/>
        <v>3.5949999999999996E-2</v>
      </c>
      <c r="O373" s="296">
        <f t="shared" si="56"/>
        <v>5.0844441124304557E-2</v>
      </c>
      <c r="P373" s="8">
        <f t="shared" si="62"/>
        <v>4.489444112430456E-2</v>
      </c>
      <c r="Q373" s="8">
        <f t="shared" si="63"/>
        <v>4.4122740745084377E-2</v>
      </c>
      <c r="R373" s="8">
        <f t="shared" si="64"/>
        <v>3.7199999999999997E-2</v>
      </c>
      <c r="S373" s="296">
        <f t="shared" si="65"/>
        <v>6.9227407450843798E-3</v>
      </c>
      <c r="U373" s="297"/>
      <c r="V373" s="297"/>
      <c r="W373" s="297"/>
      <c r="X373" s="297"/>
      <c r="Y373" s="297"/>
      <c r="Z373" s="297"/>
      <c r="AA373" s="297"/>
      <c r="AB373" s="297"/>
      <c r="AC373" s="297"/>
      <c r="AE373" s="297"/>
      <c r="AF373" s="297"/>
      <c r="AG373" s="297"/>
      <c r="AH373" s="297"/>
      <c r="AI373" s="297"/>
      <c r="AJ373" s="297"/>
      <c r="AK373" s="297"/>
      <c r="AL373" s="297"/>
      <c r="AM373" s="297"/>
      <c r="AO373" s="297"/>
      <c r="AP373" s="297"/>
      <c r="AQ373" s="297"/>
      <c r="AR373" s="297"/>
      <c r="AS373" s="297"/>
      <c r="AT373" s="297"/>
      <c r="AU373" s="297"/>
      <c r="AV373" s="297"/>
      <c r="AW373" s="297"/>
    </row>
    <row r="374" spans="1:49" x14ac:dyDescent="0.45">
      <c r="A374" s="295">
        <v>20729</v>
      </c>
      <c r="B374" s="12">
        <v>6.6E-3</v>
      </c>
      <c r="C374" s="5">
        <v>6.3E-3</v>
      </c>
      <c r="D374" s="5">
        <v>2.8999999999999998E-3</v>
      </c>
      <c r="E374" s="5">
        <v>2.9916666666666663E-3</v>
      </c>
      <c r="F374" s="5">
        <v>3.075E-3</v>
      </c>
      <c r="G374" s="5">
        <v>3.0333333333333336E-3</v>
      </c>
      <c r="H374" s="5">
        <v>3.1583333333333337E-3</v>
      </c>
      <c r="I374" s="5">
        <f t="shared" si="55"/>
        <v>3.7000000000000002E-3</v>
      </c>
      <c r="J374" s="5">
        <f t="shared" si="59"/>
        <v>3.5666666666666663E-3</v>
      </c>
      <c r="K374" s="5">
        <f t="shared" si="60"/>
        <v>3.1416666666666663E-3</v>
      </c>
      <c r="L374" s="8">
        <f t="shared" si="57"/>
        <v>0.11977975960860987</v>
      </c>
      <c r="M374" s="8">
        <f t="shared" si="58"/>
        <v>3.4799999999999998E-2</v>
      </c>
      <c r="N374" s="8">
        <f t="shared" si="61"/>
        <v>3.6400000000000002E-2</v>
      </c>
      <c r="O374" s="296">
        <f t="shared" si="56"/>
        <v>8.4979759608609873E-2</v>
      </c>
      <c r="P374" s="8">
        <f t="shared" si="62"/>
        <v>8.3379759608609869E-2</v>
      </c>
      <c r="Q374" s="8">
        <f t="shared" si="63"/>
        <v>5.9708234000784621E-2</v>
      </c>
      <c r="R374" s="8">
        <f t="shared" si="64"/>
        <v>3.7900000000000003E-2</v>
      </c>
      <c r="S374" s="296">
        <f t="shared" si="65"/>
        <v>2.1808234000784618E-2</v>
      </c>
      <c r="U374" s="297"/>
      <c r="V374" s="297"/>
      <c r="W374" s="297"/>
      <c r="X374" s="297"/>
      <c r="Y374" s="297"/>
      <c r="Z374" s="297"/>
      <c r="AA374" s="297"/>
      <c r="AB374" s="297"/>
      <c r="AC374" s="297"/>
      <c r="AE374" s="297"/>
      <c r="AF374" s="297"/>
      <c r="AG374" s="297"/>
      <c r="AH374" s="297"/>
      <c r="AI374" s="297"/>
      <c r="AJ374" s="297"/>
      <c r="AK374" s="297"/>
      <c r="AL374" s="297"/>
      <c r="AM374" s="297"/>
      <c r="AO374" s="297"/>
      <c r="AP374" s="297"/>
      <c r="AQ374" s="297"/>
      <c r="AR374" s="297"/>
      <c r="AS374" s="297"/>
      <c r="AT374" s="297"/>
      <c r="AU374" s="297"/>
      <c r="AV374" s="297"/>
      <c r="AW374" s="297"/>
    </row>
    <row r="375" spans="1:49" x14ac:dyDescent="0.45">
      <c r="A375" s="295">
        <v>20760</v>
      </c>
      <c r="B375" s="12">
        <v>-5.0000000000000001E-3</v>
      </c>
      <c r="C375" s="5">
        <v>2.8000000000000004E-3</v>
      </c>
      <c r="D375" s="5">
        <v>2.7000000000000001E-3</v>
      </c>
      <c r="E375" s="5">
        <v>3.075E-3</v>
      </c>
      <c r="F375" s="5">
        <v>3.133333333333333E-3</v>
      </c>
      <c r="G375" s="5">
        <v>3.1041666666666665E-3</v>
      </c>
      <c r="H375" s="5">
        <v>3.1833333333333336E-3</v>
      </c>
      <c r="I375" s="5">
        <f t="shared" si="55"/>
        <v>-7.7000000000000002E-3</v>
      </c>
      <c r="J375" s="5">
        <f t="shared" si="59"/>
        <v>-8.1041666666666658E-3</v>
      </c>
      <c r="K375" s="5">
        <f t="shared" si="60"/>
        <v>-3.8333333333333318E-4</v>
      </c>
      <c r="L375" s="8">
        <f t="shared" si="57"/>
        <v>2.9076254558572545E-2</v>
      </c>
      <c r="M375" s="8">
        <f t="shared" si="58"/>
        <v>3.2399999999999998E-2</v>
      </c>
      <c r="N375" s="8">
        <f t="shared" si="61"/>
        <v>3.7249999999999998E-2</v>
      </c>
      <c r="O375" s="296">
        <f t="shared" si="56"/>
        <v>-3.3237454414274531E-3</v>
      </c>
      <c r="P375" s="8">
        <f t="shared" si="62"/>
        <v>-8.1737454414274532E-3</v>
      </c>
      <c r="Q375" s="8">
        <f t="shared" si="63"/>
        <v>3.2525667563143346E-2</v>
      </c>
      <c r="R375" s="8">
        <f t="shared" si="64"/>
        <v>3.8200000000000005E-2</v>
      </c>
      <c r="S375" s="296">
        <f t="shared" si="65"/>
        <v>-5.6743324368566592E-3</v>
      </c>
      <c r="U375" s="297"/>
      <c r="V375" s="297"/>
      <c r="W375" s="297"/>
      <c r="X375" s="297"/>
      <c r="Y375" s="297"/>
      <c r="Z375" s="297"/>
      <c r="AA375" s="297"/>
      <c r="AB375" s="297"/>
      <c r="AC375" s="297"/>
      <c r="AE375" s="297"/>
      <c r="AF375" s="297"/>
      <c r="AG375" s="297"/>
      <c r="AH375" s="297"/>
      <c r="AI375" s="297"/>
      <c r="AJ375" s="297"/>
      <c r="AK375" s="297"/>
      <c r="AL375" s="297"/>
      <c r="AM375" s="297"/>
      <c r="AO375" s="297"/>
      <c r="AP375" s="297"/>
      <c r="AQ375" s="297"/>
      <c r="AR375" s="297"/>
      <c r="AS375" s="297"/>
      <c r="AT375" s="297"/>
      <c r="AU375" s="297"/>
      <c r="AV375" s="297"/>
      <c r="AW375" s="297"/>
    </row>
    <row r="376" spans="1:49" x14ac:dyDescent="0.45">
      <c r="A376" s="295">
        <v>20790</v>
      </c>
      <c r="B376" s="12">
        <v>3.6999999999999998E-2</v>
      </c>
      <c r="C376" s="5">
        <v>1.04E-2</v>
      </c>
      <c r="D376" s="5">
        <v>2.7999999999999995E-3</v>
      </c>
      <c r="E376" s="5">
        <v>3.1250000000000002E-3</v>
      </c>
      <c r="F376" s="5">
        <v>3.2083333333333334E-3</v>
      </c>
      <c r="G376" s="5">
        <v>3.1666666666666666E-3</v>
      </c>
      <c r="H376" s="5">
        <v>3.2583333333333336E-3</v>
      </c>
      <c r="I376" s="5">
        <f t="shared" si="55"/>
        <v>3.4200000000000001E-2</v>
      </c>
      <c r="J376" s="5">
        <f t="shared" si="59"/>
        <v>3.3833333333333333E-2</v>
      </c>
      <c r="K376" s="5">
        <f t="shared" si="60"/>
        <v>7.141666666666666E-3</v>
      </c>
      <c r="L376" s="8">
        <f t="shared" si="57"/>
        <v>6.5553745359200777E-2</v>
      </c>
      <c r="M376" s="8">
        <f t="shared" si="58"/>
        <v>3.3599999999999991E-2</v>
      </c>
      <c r="N376" s="8">
        <f t="shared" si="61"/>
        <v>3.7999999999999999E-2</v>
      </c>
      <c r="O376" s="296">
        <f t="shared" si="56"/>
        <v>3.1953745359200786E-2</v>
      </c>
      <c r="P376" s="8">
        <f t="shared" si="62"/>
        <v>2.7553745359200778E-2</v>
      </c>
      <c r="Q376" s="8">
        <f t="shared" si="63"/>
        <v>5.0300950876673856E-2</v>
      </c>
      <c r="R376" s="8">
        <f t="shared" si="64"/>
        <v>3.9100000000000003E-2</v>
      </c>
      <c r="S376" s="296">
        <f t="shared" si="65"/>
        <v>1.1200950876673853E-2</v>
      </c>
      <c r="U376" s="297"/>
      <c r="V376" s="297"/>
      <c r="W376" s="297"/>
      <c r="X376" s="297"/>
      <c r="Y376" s="297"/>
      <c r="Z376" s="297"/>
      <c r="AA376" s="297"/>
      <c r="AB376" s="297"/>
      <c r="AC376" s="297"/>
      <c r="AE376" s="297"/>
      <c r="AF376" s="297"/>
      <c r="AG376" s="297"/>
      <c r="AH376" s="297"/>
      <c r="AI376" s="297"/>
      <c r="AJ376" s="297"/>
      <c r="AK376" s="297"/>
      <c r="AL376" s="297"/>
      <c r="AM376" s="297"/>
      <c r="AO376" s="297"/>
      <c r="AP376" s="297"/>
      <c r="AQ376" s="297"/>
      <c r="AR376" s="297"/>
      <c r="AS376" s="297"/>
      <c r="AT376" s="297"/>
      <c r="AU376" s="297"/>
      <c r="AV376" s="297"/>
      <c r="AW376" s="297"/>
    </row>
    <row r="377" spans="1:49" x14ac:dyDescent="0.45">
      <c r="A377" s="295">
        <v>20821</v>
      </c>
      <c r="B377" s="12">
        <v>-4.0099999999999997E-2</v>
      </c>
      <c r="C377" s="5">
        <v>3.2399999999999998E-2</v>
      </c>
      <c r="D377" s="5">
        <v>2.8999999999999998E-3</v>
      </c>
      <c r="E377" s="5">
        <v>3.1416666666666663E-3</v>
      </c>
      <c r="F377" s="5">
        <v>3.2416666666666666E-3</v>
      </c>
      <c r="G377" s="5">
        <v>3.1916666666666664E-3</v>
      </c>
      <c r="H377" s="5">
        <v>3.3E-3</v>
      </c>
      <c r="I377" s="5">
        <f t="shared" si="55"/>
        <v>-4.2999999999999997E-2</v>
      </c>
      <c r="J377" s="5">
        <f t="shared" si="59"/>
        <v>-4.3291666666666666E-2</v>
      </c>
      <c r="K377" s="5">
        <f t="shared" si="60"/>
        <v>2.9099999999999997E-2</v>
      </c>
      <c r="L377" s="8">
        <f t="shared" si="57"/>
        <v>5.9592914296381805E-2</v>
      </c>
      <c r="M377" s="8">
        <f t="shared" si="58"/>
        <v>3.4799999999999998E-2</v>
      </c>
      <c r="N377" s="8">
        <f t="shared" si="61"/>
        <v>3.8300000000000001E-2</v>
      </c>
      <c r="O377" s="296">
        <f t="shared" si="56"/>
        <v>2.4792914296381807E-2</v>
      </c>
      <c r="P377" s="8">
        <f t="shared" si="62"/>
        <v>2.1292914296381804E-2</v>
      </c>
      <c r="Q377" s="8">
        <f t="shared" si="63"/>
        <v>8.1087439366976932E-2</v>
      </c>
      <c r="R377" s="8">
        <f t="shared" si="64"/>
        <v>3.9599999999999996E-2</v>
      </c>
      <c r="S377" s="296">
        <f t="shared" si="65"/>
        <v>4.1487439366976936E-2</v>
      </c>
      <c r="U377" s="297"/>
      <c r="V377" s="297"/>
      <c r="W377" s="297"/>
      <c r="X377" s="297"/>
      <c r="Y377" s="297"/>
      <c r="Z377" s="297"/>
      <c r="AA377" s="297"/>
      <c r="AB377" s="297"/>
      <c r="AC377" s="297"/>
      <c r="AE377" s="297"/>
      <c r="AF377" s="297"/>
      <c r="AG377" s="297"/>
      <c r="AH377" s="297"/>
      <c r="AI377" s="297"/>
      <c r="AJ377" s="297"/>
      <c r="AK377" s="297"/>
      <c r="AL377" s="297"/>
      <c r="AM377" s="297"/>
      <c r="AO377" s="297"/>
      <c r="AP377" s="297"/>
      <c r="AQ377" s="297"/>
      <c r="AR377" s="297"/>
      <c r="AS377" s="297"/>
      <c r="AT377" s="297"/>
      <c r="AU377" s="297"/>
      <c r="AV377" s="297"/>
      <c r="AW377" s="297"/>
    </row>
    <row r="378" spans="1:49" x14ac:dyDescent="0.45">
      <c r="A378" s="295">
        <v>20852</v>
      </c>
      <c r="B378" s="12">
        <v>-2.64E-2</v>
      </c>
      <c r="C378" s="5">
        <v>-6.0999999999999995E-3</v>
      </c>
      <c r="D378" s="5">
        <v>2.5000000000000001E-3</v>
      </c>
      <c r="E378" s="5">
        <v>3.0583333333333335E-3</v>
      </c>
      <c r="F378" s="5">
        <v>3.1916666666666664E-3</v>
      </c>
      <c r="G378" s="5">
        <v>3.1250000000000002E-3</v>
      </c>
      <c r="H378" s="5">
        <v>3.3749999999999995E-3</v>
      </c>
      <c r="I378" s="5">
        <f t="shared" si="55"/>
        <v>-2.8899999999999999E-2</v>
      </c>
      <c r="J378" s="5">
        <f t="shared" si="59"/>
        <v>-2.9524999999999999E-2</v>
      </c>
      <c r="K378" s="5">
        <f t="shared" si="60"/>
        <v>-9.474999999999999E-3</v>
      </c>
      <c r="L378" s="8">
        <f t="shared" si="57"/>
        <v>-9.2963974272955996E-3</v>
      </c>
      <c r="M378" s="8">
        <f t="shared" si="58"/>
        <v>0.03</v>
      </c>
      <c r="N378" s="8">
        <f t="shared" si="61"/>
        <v>3.7500000000000006E-2</v>
      </c>
      <c r="O378" s="296">
        <f t="shared" si="56"/>
        <v>-3.9296397427295598E-2</v>
      </c>
      <c r="P378" s="8">
        <f t="shared" si="62"/>
        <v>-4.6796397427295605E-2</v>
      </c>
      <c r="Q378" s="8">
        <f t="shared" si="63"/>
        <v>5.5701322447276658E-2</v>
      </c>
      <c r="R378" s="8">
        <f t="shared" si="64"/>
        <v>4.0499999999999994E-2</v>
      </c>
      <c r="S378" s="296">
        <f t="shared" si="65"/>
        <v>1.5201322447276663E-2</v>
      </c>
      <c r="U378" s="297"/>
      <c r="V378" s="297"/>
      <c r="W378" s="297"/>
      <c r="X378" s="297"/>
      <c r="Y378" s="297"/>
      <c r="Z378" s="297"/>
      <c r="AA378" s="297"/>
      <c r="AB378" s="297"/>
      <c r="AC378" s="297"/>
      <c r="AE378" s="297"/>
      <c r="AF378" s="297"/>
      <c r="AG378" s="297"/>
      <c r="AH378" s="297"/>
      <c r="AI378" s="297"/>
      <c r="AJ378" s="297"/>
      <c r="AK378" s="297"/>
      <c r="AL378" s="297"/>
      <c r="AM378" s="297"/>
      <c r="AO378" s="297"/>
      <c r="AP378" s="297"/>
      <c r="AQ378" s="297"/>
      <c r="AR378" s="297"/>
      <c r="AS378" s="297"/>
      <c r="AT378" s="297"/>
      <c r="AU378" s="297"/>
      <c r="AV378" s="297"/>
      <c r="AW378" s="297"/>
    </row>
    <row r="379" spans="1:49" x14ac:dyDescent="0.45">
      <c r="A379" s="295">
        <v>20880</v>
      </c>
      <c r="B379" s="12">
        <v>2.1499999999999998E-2</v>
      </c>
      <c r="C379" s="5">
        <v>7.8000000000000005E-3</v>
      </c>
      <c r="D379" s="5">
        <v>2.5999999999999999E-3</v>
      </c>
      <c r="E379" s="5">
        <v>3.0499999999999998E-3</v>
      </c>
      <c r="F379" s="5">
        <v>3.1666666666666666E-3</v>
      </c>
      <c r="G379" s="5">
        <v>3.1083333333333327E-3</v>
      </c>
      <c r="H379" s="5">
        <v>3.3749999999999995E-3</v>
      </c>
      <c r="I379" s="5">
        <f t="shared" si="55"/>
        <v>1.89E-2</v>
      </c>
      <c r="J379" s="5">
        <f t="shared" si="59"/>
        <v>1.8391666666666667E-2</v>
      </c>
      <c r="K379" s="5">
        <f t="shared" si="60"/>
        <v>4.425000000000001E-3</v>
      </c>
      <c r="L379" s="8">
        <f t="shared" si="57"/>
        <v>-5.508521939494182E-2</v>
      </c>
      <c r="M379" s="8">
        <f t="shared" si="58"/>
        <v>3.1199999999999999E-2</v>
      </c>
      <c r="N379" s="8">
        <f t="shared" si="61"/>
        <v>3.7299999999999993E-2</v>
      </c>
      <c r="O379" s="296">
        <f t="shared" si="56"/>
        <v>-8.6285219394941826E-2</v>
      </c>
      <c r="P379" s="8">
        <f t="shared" si="62"/>
        <v>-9.238521939494182E-2</v>
      </c>
      <c r="Q379" s="8">
        <f t="shared" si="63"/>
        <v>2.3605727114071051E-2</v>
      </c>
      <c r="R379" s="8">
        <f t="shared" si="64"/>
        <v>4.0499999999999994E-2</v>
      </c>
      <c r="S379" s="296">
        <f t="shared" si="65"/>
        <v>-1.6894272885928943E-2</v>
      </c>
      <c r="U379" s="297"/>
      <c r="V379" s="297"/>
      <c r="W379" s="297"/>
      <c r="X379" s="297"/>
      <c r="Y379" s="297"/>
      <c r="Z379" s="297"/>
      <c r="AA379" s="297"/>
      <c r="AB379" s="297"/>
      <c r="AC379" s="297"/>
      <c r="AE379" s="297"/>
      <c r="AF379" s="297"/>
      <c r="AG379" s="297"/>
      <c r="AH379" s="297"/>
      <c r="AI379" s="297"/>
      <c r="AJ379" s="297"/>
      <c r="AK379" s="297"/>
      <c r="AL379" s="297"/>
      <c r="AM379" s="297"/>
      <c r="AO379" s="297"/>
      <c r="AP379" s="297"/>
      <c r="AQ379" s="297"/>
      <c r="AR379" s="297"/>
      <c r="AS379" s="297"/>
      <c r="AT379" s="297"/>
      <c r="AU379" s="297"/>
      <c r="AV379" s="297"/>
      <c r="AW379" s="297"/>
    </row>
    <row r="380" spans="1:49" x14ac:dyDescent="0.45">
      <c r="A380" s="295">
        <v>20911</v>
      </c>
      <c r="B380" s="12">
        <v>3.8800000000000001E-2</v>
      </c>
      <c r="C380" s="5">
        <v>4.0199999999999993E-2</v>
      </c>
      <c r="D380" s="5">
        <v>2.8999999999999998E-3</v>
      </c>
      <c r="E380" s="5">
        <v>3.0583333333333335E-3</v>
      </c>
      <c r="F380" s="5">
        <v>3.1583333333333337E-3</v>
      </c>
      <c r="G380" s="5">
        <v>3.1083333333333336E-3</v>
      </c>
      <c r="H380" s="5">
        <v>3.3416666666666668E-3</v>
      </c>
      <c r="I380" s="5">
        <f t="shared" si="55"/>
        <v>3.5900000000000001E-2</v>
      </c>
      <c r="J380" s="5">
        <f t="shared" si="59"/>
        <v>3.569166666666667E-2</v>
      </c>
      <c r="K380" s="5">
        <f t="shared" si="60"/>
        <v>3.6858333333333326E-2</v>
      </c>
      <c r="L380" s="8">
        <f t="shared" si="57"/>
        <v>-1.8029737802586543E-2</v>
      </c>
      <c r="M380" s="8">
        <f t="shared" si="58"/>
        <v>3.4799999999999998E-2</v>
      </c>
      <c r="N380" s="8">
        <f t="shared" si="61"/>
        <v>3.73E-2</v>
      </c>
      <c r="O380" s="296">
        <f t="shared" si="56"/>
        <v>-5.2829737802586541E-2</v>
      </c>
      <c r="P380" s="8">
        <f t="shared" si="62"/>
        <v>-5.5329737802586543E-2</v>
      </c>
      <c r="Q380" s="8">
        <f t="shared" si="63"/>
        <v>9.6216078805782868E-2</v>
      </c>
      <c r="R380" s="8">
        <f t="shared" si="64"/>
        <v>4.0100000000000004E-2</v>
      </c>
      <c r="S380" s="296">
        <f t="shared" si="65"/>
        <v>5.6116078805782864E-2</v>
      </c>
      <c r="U380" s="297"/>
      <c r="V380" s="297"/>
      <c r="W380" s="297"/>
      <c r="X380" s="297"/>
      <c r="Y380" s="297"/>
      <c r="Z380" s="297"/>
      <c r="AA380" s="297"/>
      <c r="AB380" s="297"/>
      <c r="AC380" s="297"/>
      <c r="AE380" s="297"/>
      <c r="AF380" s="297"/>
      <c r="AG380" s="297"/>
      <c r="AH380" s="297"/>
      <c r="AI380" s="297"/>
      <c r="AJ380" s="297"/>
      <c r="AK380" s="297"/>
      <c r="AL380" s="297"/>
      <c r="AM380" s="297"/>
      <c r="AO380" s="297"/>
      <c r="AP380" s="297"/>
      <c r="AQ380" s="297"/>
      <c r="AR380" s="297"/>
      <c r="AS380" s="297"/>
      <c r="AT380" s="297"/>
      <c r="AU380" s="297"/>
      <c r="AV380" s="297"/>
      <c r="AW380" s="297"/>
    </row>
    <row r="381" spans="1:49" x14ac:dyDescent="0.45">
      <c r="A381" s="295">
        <v>20941</v>
      </c>
      <c r="B381" s="12">
        <v>4.3700000000000003E-2</v>
      </c>
      <c r="C381" s="5">
        <v>1.8000000000000002E-2</v>
      </c>
      <c r="D381" s="5">
        <v>2.8999999999999998E-3</v>
      </c>
      <c r="E381" s="5">
        <v>3.1166666666666669E-3</v>
      </c>
      <c r="F381" s="5">
        <v>3.1916666666666664E-3</v>
      </c>
      <c r="G381" s="5">
        <v>3.1541666666666667E-3</v>
      </c>
      <c r="H381" s="5">
        <v>3.3416666666666668E-3</v>
      </c>
      <c r="I381" s="5">
        <f t="shared" si="55"/>
        <v>4.0800000000000003E-2</v>
      </c>
      <c r="J381" s="5">
        <f t="shared" si="59"/>
        <v>4.0545833333333337E-2</v>
      </c>
      <c r="K381" s="5">
        <f t="shared" si="60"/>
        <v>1.4658333333333336E-2</v>
      </c>
      <c r="L381" s="8">
        <f t="shared" si="57"/>
        <v>8.9489064160136689E-2</v>
      </c>
      <c r="M381" s="8">
        <f t="shared" si="58"/>
        <v>3.4799999999999998E-2</v>
      </c>
      <c r="N381" s="8">
        <f t="shared" si="61"/>
        <v>3.7850000000000002E-2</v>
      </c>
      <c r="O381" s="296">
        <f t="shared" si="56"/>
        <v>5.4689064160136691E-2</v>
      </c>
      <c r="P381" s="8">
        <f t="shared" si="62"/>
        <v>5.1639064160136687E-2</v>
      </c>
      <c r="Q381" s="8">
        <f t="shared" si="63"/>
        <v>0.13156354514731983</v>
      </c>
      <c r="R381" s="8">
        <f t="shared" si="64"/>
        <v>4.0100000000000004E-2</v>
      </c>
      <c r="S381" s="296">
        <f t="shared" si="65"/>
        <v>9.146354514731983E-2</v>
      </c>
      <c r="U381" s="297"/>
      <c r="V381" s="297"/>
      <c r="W381" s="297"/>
      <c r="X381" s="297"/>
      <c r="Y381" s="297"/>
      <c r="Z381" s="297"/>
      <c r="AA381" s="297"/>
      <c r="AB381" s="297"/>
      <c r="AC381" s="297"/>
      <c r="AE381" s="297"/>
      <c r="AF381" s="297"/>
      <c r="AG381" s="297"/>
      <c r="AH381" s="297"/>
      <c r="AI381" s="297"/>
      <c r="AJ381" s="297"/>
      <c r="AK381" s="297"/>
      <c r="AL381" s="297"/>
      <c r="AM381" s="297"/>
      <c r="AO381" s="297"/>
      <c r="AP381" s="297"/>
      <c r="AQ381" s="297"/>
      <c r="AR381" s="297"/>
      <c r="AS381" s="297"/>
      <c r="AT381" s="297"/>
      <c r="AU381" s="297"/>
      <c r="AV381" s="297"/>
      <c r="AW381" s="297"/>
    </row>
    <row r="382" spans="1:49" x14ac:dyDescent="0.45">
      <c r="A382" s="295">
        <v>20972</v>
      </c>
      <c r="B382" s="12">
        <v>4.0000000000000002E-4</v>
      </c>
      <c r="C382" s="5">
        <v>-4.1800000000000004E-2</v>
      </c>
      <c r="D382" s="5">
        <v>2.5000000000000001E-3</v>
      </c>
      <c r="E382" s="5">
        <v>3.2583333333333336E-3</v>
      </c>
      <c r="F382" s="5">
        <v>3.3166666666666665E-3</v>
      </c>
      <c r="G382" s="5">
        <v>3.2875000000000001E-3</v>
      </c>
      <c r="H382" s="5">
        <v>3.4083333333333331E-3</v>
      </c>
      <c r="I382" s="5">
        <f t="shared" si="55"/>
        <v>-2.0999999999999999E-3</v>
      </c>
      <c r="J382" s="5">
        <f t="shared" si="59"/>
        <v>-2.8874999999999999E-3</v>
      </c>
      <c r="K382" s="5">
        <f t="shared" si="60"/>
        <v>-4.5208333333333336E-2</v>
      </c>
      <c r="L382" s="8">
        <f t="shared" si="57"/>
        <v>4.7098529912384057E-2</v>
      </c>
      <c r="M382" s="8">
        <f t="shared" si="58"/>
        <v>0.03</v>
      </c>
      <c r="N382" s="8">
        <f t="shared" si="61"/>
        <v>3.9449999999999999E-2</v>
      </c>
      <c r="O382" s="296">
        <f t="shared" si="56"/>
        <v>1.7098529912384058E-2</v>
      </c>
      <c r="P382" s="8">
        <f t="shared" si="62"/>
        <v>7.6485299123840583E-3</v>
      </c>
      <c r="Q382" s="8">
        <f t="shared" si="63"/>
        <v>6.1858964802822491E-2</v>
      </c>
      <c r="R382" s="8">
        <f t="shared" si="64"/>
        <v>4.0899999999999999E-2</v>
      </c>
      <c r="S382" s="296">
        <f t="shared" si="65"/>
        <v>2.0958964802822493E-2</v>
      </c>
      <c r="U382" s="297"/>
      <c r="V382" s="297"/>
      <c r="W382" s="297"/>
      <c r="X382" s="297"/>
      <c r="Y382" s="297"/>
      <c r="Z382" s="297"/>
      <c r="AA382" s="297"/>
      <c r="AB382" s="297"/>
      <c r="AC382" s="297"/>
      <c r="AE382" s="297"/>
      <c r="AF382" s="297"/>
      <c r="AG382" s="297"/>
      <c r="AH382" s="297"/>
      <c r="AI382" s="297"/>
      <c r="AJ382" s="297"/>
      <c r="AK382" s="297"/>
      <c r="AL382" s="297"/>
      <c r="AM382" s="297"/>
      <c r="AO382" s="297"/>
      <c r="AP382" s="297"/>
      <c r="AQ382" s="297"/>
      <c r="AR382" s="297"/>
      <c r="AS382" s="297"/>
      <c r="AT382" s="297"/>
      <c r="AU382" s="297"/>
      <c r="AV382" s="297"/>
      <c r="AW382" s="297"/>
    </row>
    <row r="383" spans="1:49" x14ac:dyDescent="0.45">
      <c r="A383" s="295">
        <v>21002</v>
      </c>
      <c r="B383" s="12">
        <v>1.3100000000000001E-2</v>
      </c>
      <c r="C383" s="5">
        <v>3.5000000000000005E-3</v>
      </c>
      <c r="D383" s="5">
        <v>3.3E-3</v>
      </c>
      <c r="E383" s="5">
        <v>3.3250000000000003E-3</v>
      </c>
      <c r="F383" s="5">
        <v>3.4166666666666664E-3</v>
      </c>
      <c r="G383" s="5">
        <v>3.3708333333333329E-3</v>
      </c>
      <c r="H383" s="5">
        <v>3.5000000000000005E-3</v>
      </c>
      <c r="I383" s="5">
        <f t="shared" si="55"/>
        <v>9.7999999999999997E-3</v>
      </c>
      <c r="J383" s="5">
        <f t="shared" si="59"/>
        <v>9.7291666666666672E-3</v>
      </c>
      <c r="K383" s="5">
        <f t="shared" si="60"/>
        <v>0</v>
      </c>
      <c r="L383" s="8">
        <f t="shared" si="57"/>
        <v>7.4221468701201054E-3</v>
      </c>
      <c r="M383" s="8">
        <f t="shared" si="58"/>
        <v>3.9599999999999996E-2</v>
      </c>
      <c r="N383" s="8">
        <f t="shared" si="61"/>
        <v>4.0449999999999993E-2</v>
      </c>
      <c r="O383" s="296">
        <f t="shared" si="56"/>
        <v>-3.2177853129879891E-2</v>
      </c>
      <c r="P383" s="8">
        <f t="shared" si="62"/>
        <v>-3.3027853129879887E-2</v>
      </c>
      <c r="Q383" s="8">
        <f t="shared" si="63"/>
        <v>1.2423250526966578E-2</v>
      </c>
      <c r="R383" s="8">
        <f t="shared" si="64"/>
        <v>4.200000000000001E-2</v>
      </c>
      <c r="S383" s="296">
        <f t="shared" si="65"/>
        <v>-2.9576749473033431E-2</v>
      </c>
      <c r="U383" s="297"/>
      <c r="V383" s="297"/>
      <c r="W383" s="297"/>
      <c r="X383" s="297"/>
      <c r="Y383" s="297"/>
      <c r="Z383" s="297"/>
      <c r="AA383" s="297"/>
      <c r="AB383" s="297"/>
      <c r="AC383" s="297"/>
      <c r="AE383" s="297"/>
      <c r="AF383" s="297"/>
      <c r="AG383" s="297"/>
      <c r="AH383" s="297"/>
      <c r="AI383" s="297"/>
      <c r="AJ383" s="297"/>
      <c r="AK383" s="297"/>
      <c r="AL383" s="297"/>
      <c r="AM383" s="297"/>
      <c r="AO383" s="297"/>
      <c r="AP383" s="297"/>
      <c r="AQ383" s="297"/>
      <c r="AR383" s="297"/>
      <c r="AS383" s="297"/>
      <c r="AT383" s="297"/>
      <c r="AU383" s="297"/>
      <c r="AV383" s="297"/>
      <c r="AW383" s="297"/>
    </row>
    <row r="384" spans="1:49" x14ac:dyDescent="0.45">
      <c r="A384" s="295">
        <v>21033</v>
      </c>
      <c r="B384" s="12">
        <v>-5.0500000000000003E-2</v>
      </c>
      <c r="C384" s="5">
        <v>-2.9400000000000003E-2</v>
      </c>
      <c r="D384" s="5">
        <v>3.0000000000000001E-3</v>
      </c>
      <c r="E384" s="5">
        <v>3.4166666666666664E-3</v>
      </c>
      <c r="F384" s="5">
        <v>3.5083333333333334E-3</v>
      </c>
      <c r="G384" s="5">
        <v>3.4624999999999994E-3</v>
      </c>
      <c r="H384" s="5">
        <v>3.6416666666666667E-3</v>
      </c>
      <c r="I384" s="5">
        <f t="shared" si="55"/>
        <v>-5.3500000000000006E-2</v>
      </c>
      <c r="J384" s="5">
        <f t="shared" si="59"/>
        <v>-5.3962500000000004E-2</v>
      </c>
      <c r="K384" s="5">
        <f t="shared" si="60"/>
        <v>-3.3041666666666671E-2</v>
      </c>
      <c r="L384" s="8">
        <f t="shared" si="57"/>
        <v>-1.1013928398284745E-2</v>
      </c>
      <c r="M384" s="8">
        <f t="shared" si="58"/>
        <v>3.6000000000000004E-2</v>
      </c>
      <c r="N384" s="8">
        <f t="shared" si="61"/>
        <v>4.154999999999999E-2</v>
      </c>
      <c r="O384" s="296">
        <f t="shared" si="56"/>
        <v>-4.7013928398284749E-2</v>
      </c>
      <c r="P384" s="8">
        <f t="shared" si="62"/>
        <v>-5.2563928398284734E-2</v>
      </c>
      <c r="Q384" s="8">
        <f t="shared" si="63"/>
        <v>8.7855527784355125E-3</v>
      </c>
      <c r="R384" s="8">
        <f t="shared" si="64"/>
        <v>4.3700000000000003E-2</v>
      </c>
      <c r="S384" s="296">
        <f t="shared" si="65"/>
        <v>-3.491444722156449E-2</v>
      </c>
      <c r="U384" s="297"/>
      <c r="V384" s="297"/>
      <c r="W384" s="297"/>
      <c r="X384" s="297"/>
      <c r="Y384" s="297"/>
      <c r="Z384" s="297"/>
      <c r="AA384" s="297"/>
      <c r="AB384" s="297"/>
      <c r="AC384" s="297"/>
      <c r="AE384" s="297"/>
      <c r="AF384" s="297"/>
      <c r="AG384" s="297"/>
      <c r="AH384" s="297"/>
      <c r="AI384" s="297"/>
      <c r="AJ384" s="297"/>
      <c r="AK384" s="297"/>
      <c r="AL384" s="297"/>
      <c r="AM384" s="297"/>
      <c r="AO384" s="297"/>
      <c r="AP384" s="297"/>
      <c r="AQ384" s="297"/>
      <c r="AR384" s="297"/>
      <c r="AS384" s="297"/>
      <c r="AT384" s="297"/>
      <c r="AU384" s="297"/>
      <c r="AV384" s="297"/>
      <c r="AW384" s="297"/>
    </row>
    <row r="385" spans="1:49" x14ac:dyDescent="0.45">
      <c r="A385" s="295">
        <v>21064</v>
      </c>
      <c r="B385" s="12">
        <v>-6.0199999999999997E-2</v>
      </c>
      <c r="C385" s="5">
        <v>-1.3800000000000002E-2</v>
      </c>
      <c r="D385" s="5">
        <v>3.0999999999999999E-3</v>
      </c>
      <c r="E385" s="5">
        <v>3.4333333333333334E-3</v>
      </c>
      <c r="F385" s="5">
        <v>3.5499999999999998E-3</v>
      </c>
      <c r="G385" s="5">
        <v>3.4916666666666664E-3</v>
      </c>
      <c r="H385" s="5">
        <v>3.7916666666666667E-3</v>
      </c>
      <c r="I385" s="5">
        <f t="shared" si="55"/>
        <v>-6.3299999999999995E-2</v>
      </c>
      <c r="J385" s="5">
        <f t="shared" si="59"/>
        <v>-6.369166666666666E-2</v>
      </c>
      <c r="K385" s="5">
        <f t="shared" si="60"/>
        <v>-1.7591666666666669E-2</v>
      </c>
      <c r="L385" s="8">
        <f t="shared" si="57"/>
        <v>-2.777289739404587E-2</v>
      </c>
      <c r="M385" s="8">
        <f t="shared" si="58"/>
        <v>3.7199999999999997E-2</v>
      </c>
      <c r="N385" s="8">
        <f t="shared" si="61"/>
        <v>4.1899999999999993E-2</v>
      </c>
      <c r="O385" s="296">
        <f t="shared" si="56"/>
        <v>-6.4972897394045867E-2</v>
      </c>
      <c r="P385" s="8">
        <f t="shared" si="62"/>
        <v>-6.9672897394045863E-2</v>
      </c>
      <c r="Q385" s="8">
        <f t="shared" si="63"/>
        <v>2.7646226784519001E-2</v>
      </c>
      <c r="R385" s="8">
        <f t="shared" si="64"/>
        <v>4.5499999999999999E-2</v>
      </c>
      <c r="S385" s="296">
        <f t="shared" si="65"/>
        <v>-1.7853773215480997E-2</v>
      </c>
      <c r="U385" s="297"/>
      <c r="V385" s="297"/>
      <c r="W385" s="297"/>
      <c r="X385" s="297"/>
      <c r="Y385" s="297"/>
      <c r="Z385" s="297"/>
      <c r="AA385" s="297"/>
      <c r="AB385" s="297"/>
      <c r="AC385" s="297"/>
      <c r="AE385" s="297"/>
      <c r="AF385" s="297"/>
      <c r="AG385" s="297"/>
      <c r="AH385" s="297"/>
      <c r="AI385" s="297"/>
      <c r="AJ385" s="297"/>
      <c r="AK385" s="297"/>
      <c r="AL385" s="297"/>
      <c r="AM385" s="297"/>
      <c r="AO385" s="297"/>
      <c r="AP385" s="297"/>
      <c r="AQ385" s="297"/>
      <c r="AR385" s="297"/>
      <c r="AS385" s="297"/>
      <c r="AT385" s="297"/>
      <c r="AU385" s="297"/>
      <c r="AV385" s="297"/>
      <c r="AW385" s="297"/>
    </row>
    <row r="386" spans="1:49" x14ac:dyDescent="0.45">
      <c r="A386" s="295">
        <v>21094</v>
      </c>
      <c r="B386" s="12">
        <v>-3.0200000000000001E-2</v>
      </c>
      <c r="C386" s="5">
        <v>-7.4000000000000003E-3</v>
      </c>
      <c r="D386" s="5">
        <v>3.0999999999999999E-3</v>
      </c>
      <c r="E386" s="5">
        <v>3.4166666666666664E-3</v>
      </c>
      <c r="F386" s="5">
        <v>3.5666666666666668E-3</v>
      </c>
      <c r="G386" s="5">
        <v>3.4916666666666664E-3</v>
      </c>
      <c r="H386" s="5">
        <v>3.8416666666666673E-3</v>
      </c>
      <c r="I386" s="5">
        <f t="shared" si="55"/>
        <v>-3.3300000000000003E-2</v>
      </c>
      <c r="J386" s="5">
        <f t="shared" si="59"/>
        <v>-3.3691666666666668E-2</v>
      </c>
      <c r="K386" s="5">
        <f t="shared" si="60"/>
        <v>-1.1241666666666667E-2</v>
      </c>
      <c r="L386" s="8">
        <f t="shared" si="57"/>
        <v>-6.331626852051031E-2</v>
      </c>
      <c r="M386" s="8">
        <f t="shared" si="58"/>
        <v>3.7199999999999997E-2</v>
      </c>
      <c r="N386" s="8">
        <f t="shared" si="61"/>
        <v>4.1899999999999993E-2</v>
      </c>
      <c r="O386" s="296">
        <f t="shared" si="56"/>
        <v>-0.10051626852051031</v>
      </c>
      <c r="P386" s="8">
        <f t="shared" si="62"/>
        <v>-0.1052162685205103</v>
      </c>
      <c r="Q386" s="8">
        <f t="shared" si="63"/>
        <v>1.3655614335996935E-2</v>
      </c>
      <c r="R386" s="8">
        <f t="shared" si="64"/>
        <v>4.6100000000000009E-2</v>
      </c>
      <c r="S386" s="296">
        <f t="shared" si="65"/>
        <v>-3.2444385664003074E-2</v>
      </c>
      <c r="U386" s="297"/>
      <c r="V386" s="297"/>
      <c r="W386" s="297"/>
      <c r="X386" s="297"/>
      <c r="Y386" s="297"/>
      <c r="Z386" s="297"/>
      <c r="AA386" s="297"/>
      <c r="AB386" s="297"/>
      <c r="AC386" s="297"/>
      <c r="AE386" s="297"/>
      <c r="AF386" s="297"/>
      <c r="AG386" s="297"/>
      <c r="AH386" s="297"/>
      <c r="AI386" s="297"/>
      <c r="AJ386" s="297"/>
      <c r="AK386" s="297"/>
      <c r="AL386" s="297"/>
      <c r="AM386" s="297"/>
      <c r="AO386" s="297"/>
      <c r="AP386" s="297"/>
      <c r="AQ386" s="297"/>
      <c r="AR386" s="297"/>
      <c r="AS386" s="297"/>
      <c r="AT386" s="297"/>
      <c r="AU386" s="297"/>
      <c r="AV386" s="297"/>
      <c r="AW386" s="297"/>
    </row>
    <row r="387" spans="1:49" x14ac:dyDescent="0.45">
      <c r="A387" s="295">
        <v>21125</v>
      </c>
      <c r="B387" s="12">
        <v>2.3099999999999999E-2</v>
      </c>
      <c r="C387" s="5">
        <v>4.2799999999999991E-2</v>
      </c>
      <c r="D387" s="5">
        <v>2.8999999999999998E-3</v>
      </c>
      <c r="E387" s="5">
        <v>3.4000000000000002E-3</v>
      </c>
      <c r="F387" s="5">
        <v>3.5750000000000001E-3</v>
      </c>
      <c r="G387" s="5">
        <v>3.4875000000000001E-3</v>
      </c>
      <c r="H387" s="5">
        <v>3.8500000000000001E-3</v>
      </c>
      <c r="I387" s="5">
        <f t="shared" si="55"/>
        <v>2.0199999999999999E-2</v>
      </c>
      <c r="J387" s="5">
        <f t="shared" si="59"/>
        <v>1.9612499999999998E-2</v>
      </c>
      <c r="K387" s="5">
        <f t="shared" si="60"/>
        <v>3.8949999999999992E-2</v>
      </c>
      <c r="L387" s="8">
        <f t="shared" si="57"/>
        <v>-3.6863190274707747E-2</v>
      </c>
      <c r="M387" s="8">
        <f t="shared" si="58"/>
        <v>3.4799999999999998E-2</v>
      </c>
      <c r="N387" s="8">
        <f t="shared" si="61"/>
        <v>4.1849999999999998E-2</v>
      </c>
      <c r="O387" s="296">
        <f t="shared" si="56"/>
        <v>-7.1663190274707744E-2</v>
      </c>
      <c r="P387" s="8">
        <f t="shared" si="62"/>
        <v>-7.8713190274707745E-2</v>
      </c>
      <c r="Q387" s="8">
        <f t="shared" si="63"/>
        <v>5.4088626475446544E-2</v>
      </c>
      <c r="R387" s="8">
        <f t="shared" si="64"/>
        <v>4.6200000000000005E-2</v>
      </c>
      <c r="S387" s="296">
        <f t="shared" si="65"/>
        <v>7.8886264754465391E-3</v>
      </c>
      <c r="U387" s="297"/>
      <c r="V387" s="297"/>
      <c r="W387" s="297"/>
      <c r="X387" s="297"/>
      <c r="Y387" s="297"/>
      <c r="Z387" s="297"/>
      <c r="AA387" s="297"/>
      <c r="AB387" s="297"/>
      <c r="AC387" s="297"/>
      <c r="AE387" s="297"/>
      <c r="AF387" s="297"/>
      <c r="AG387" s="297"/>
      <c r="AH387" s="297"/>
      <c r="AI387" s="297"/>
      <c r="AJ387" s="297"/>
      <c r="AK387" s="297"/>
      <c r="AL387" s="297"/>
      <c r="AM387" s="297"/>
      <c r="AO387" s="297"/>
      <c r="AP387" s="297"/>
      <c r="AQ387" s="297"/>
      <c r="AR387" s="297"/>
      <c r="AS387" s="297"/>
      <c r="AT387" s="297"/>
      <c r="AU387" s="297"/>
      <c r="AV387" s="297"/>
      <c r="AW387" s="297"/>
    </row>
    <row r="388" spans="1:49" x14ac:dyDescent="0.45">
      <c r="A388" s="295">
        <v>21155</v>
      </c>
      <c r="B388" s="12">
        <v>-3.95E-2</v>
      </c>
      <c r="C388" s="5">
        <v>1.95E-2</v>
      </c>
      <c r="D388" s="5">
        <v>2.8999999999999998E-3</v>
      </c>
      <c r="E388" s="5">
        <v>3.1749999999999999E-3</v>
      </c>
      <c r="F388" s="5">
        <v>3.4000000000000002E-3</v>
      </c>
      <c r="G388" s="5">
        <v>3.2875000000000001E-3</v>
      </c>
      <c r="H388" s="5">
        <v>3.6333333333333335E-3</v>
      </c>
      <c r="I388" s="5">
        <f t="shared" si="55"/>
        <v>-4.24E-2</v>
      </c>
      <c r="J388" s="5">
        <f t="shared" si="59"/>
        <v>-4.2787499999999999E-2</v>
      </c>
      <c r="K388" s="5">
        <f t="shared" si="60"/>
        <v>1.5866666666666668E-2</v>
      </c>
      <c r="L388" s="8">
        <f t="shared" si="57"/>
        <v>-0.10791426640198343</v>
      </c>
      <c r="M388" s="8">
        <f t="shared" si="58"/>
        <v>3.4799999999999998E-2</v>
      </c>
      <c r="N388" s="8">
        <f t="shared" si="61"/>
        <v>3.9449999999999999E-2</v>
      </c>
      <c r="O388" s="296">
        <f t="shared" si="56"/>
        <v>-0.14271426640198343</v>
      </c>
      <c r="P388" s="8">
        <f t="shared" si="62"/>
        <v>-0.14736426640198341</v>
      </c>
      <c r="Q388" s="8">
        <f t="shared" si="63"/>
        <v>6.3582100842951128E-2</v>
      </c>
      <c r="R388" s="8">
        <f t="shared" si="64"/>
        <v>4.36E-2</v>
      </c>
      <c r="S388" s="296">
        <f t="shared" si="65"/>
        <v>1.9982100842951128E-2</v>
      </c>
      <c r="U388" s="297"/>
      <c r="V388" s="297"/>
      <c r="W388" s="297"/>
      <c r="X388" s="297"/>
      <c r="Y388" s="297"/>
      <c r="Z388" s="297"/>
      <c r="AA388" s="297"/>
      <c r="AB388" s="297"/>
      <c r="AC388" s="297"/>
      <c r="AE388" s="297"/>
      <c r="AF388" s="297"/>
      <c r="AG388" s="297"/>
      <c r="AH388" s="297"/>
      <c r="AI388" s="297"/>
      <c r="AJ388" s="297"/>
      <c r="AK388" s="297"/>
      <c r="AL388" s="297"/>
      <c r="AM388" s="297"/>
      <c r="AO388" s="297"/>
      <c r="AP388" s="297"/>
      <c r="AQ388" s="297"/>
      <c r="AR388" s="297"/>
      <c r="AS388" s="297"/>
      <c r="AT388" s="297"/>
      <c r="AU388" s="297"/>
      <c r="AV388" s="297"/>
      <c r="AW388" s="297"/>
    </row>
    <row r="389" spans="1:49" x14ac:dyDescent="0.45">
      <c r="A389" s="295">
        <v>21186</v>
      </c>
      <c r="B389" s="12">
        <v>4.4499999999999998E-2</v>
      </c>
      <c r="C389" s="5">
        <v>6.0200000000000004E-2</v>
      </c>
      <c r="D389" s="5">
        <v>2.7000000000000001E-3</v>
      </c>
      <c r="E389" s="5">
        <v>3.0000000000000001E-3</v>
      </c>
      <c r="F389" s="5">
        <v>3.1749999999999999E-3</v>
      </c>
      <c r="G389" s="5">
        <v>3.0874999999999995E-3</v>
      </c>
      <c r="H389" s="5">
        <v>3.2750000000000001E-3</v>
      </c>
      <c r="I389" s="5">
        <f t="shared" si="55"/>
        <v>4.1799999999999997E-2</v>
      </c>
      <c r="J389" s="5">
        <f t="shared" si="59"/>
        <v>4.1412499999999998E-2</v>
      </c>
      <c r="K389" s="5">
        <f t="shared" si="60"/>
        <v>5.6925000000000003E-2</v>
      </c>
      <c r="L389" s="8">
        <f t="shared" si="57"/>
        <v>-2.9291021207283552E-2</v>
      </c>
      <c r="M389" s="8">
        <f t="shared" si="58"/>
        <v>3.2399999999999998E-2</v>
      </c>
      <c r="N389" s="8">
        <f t="shared" si="61"/>
        <v>3.7049999999999993E-2</v>
      </c>
      <c r="O389" s="296">
        <f t="shared" si="56"/>
        <v>-6.169102120728355E-2</v>
      </c>
      <c r="P389" s="8">
        <f t="shared" si="62"/>
        <v>-6.6341021207283551E-2</v>
      </c>
      <c r="Q389" s="8">
        <f t="shared" si="63"/>
        <v>9.222175834337154E-2</v>
      </c>
      <c r="R389" s="8">
        <f t="shared" si="64"/>
        <v>3.9300000000000002E-2</v>
      </c>
      <c r="S389" s="296">
        <f t="shared" si="65"/>
        <v>5.2921758343371539E-2</v>
      </c>
      <c r="U389" s="297"/>
      <c r="V389" s="297"/>
      <c r="W389" s="297"/>
      <c r="X389" s="297"/>
      <c r="Y389" s="297"/>
      <c r="Z389" s="297"/>
      <c r="AA389" s="297"/>
      <c r="AB389" s="297"/>
      <c r="AC389" s="297"/>
      <c r="AE389" s="297"/>
      <c r="AF389" s="297"/>
      <c r="AG389" s="297"/>
      <c r="AH389" s="297"/>
      <c r="AI389" s="297"/>
      <c r="AJ389" s="297"/>
      <c r="AK389" s="297"/>
      <c r="AL389" s="297"/>
      <c r="AM389" s="297"/>
      <c r="AO389" s="297"/>
      <c r="AP389" s="297"/>
      <c r="AQ389" s="297"/>
      <c r="AR389" s="297"/>
      <c r="AS389" s="297"/>
      <c r="AT389" s="297"/>
      <c r="AU389" s="297"/>
      <c r="AV389" s="297"/>
      <c r="AW389" s="297"/>
    </row>
    <row r="390" spans="1:49" x14ac:dyDescent="0.45">
      <c r="A390" s="295">
        <v>21217</v>
      </c>
      <c r="B390" s="12">
        <v>-1.41E-2</v>
      </c>
      <c r="C390" s="5">
        <v>1.37E-2</v>
      </c>
      <c r="D390" s="5">
        <v>2.5000000000000001E-3</v>
      </c>
      <c r="E390" s="5">
        <v>2.9916666666666663E-3</v>
      </c>
      <c r="F390" s="5">
        <v>3.1416666666666663E-3</v>
      </c>
      <c r="G390" s="5">
        <v>3.0666666666666663E-3</v>
      </c>
      <c r="H390" s="5">
        <v>3.3E-3</v>
      </c>
      <c r="I390" s="5">
        <f t="shared" ref="I390:I453" si="66">B390-D390</f>
        <v>-1.66E-2</v>
      </c>
      <c r="J390" s="5">
        <f t="shared" si="59"/>
        <v>-1.7166666666666667E-2</v>
      </c>
      <c r="K390" s="5">
        <f t="shared" si="60"/>
        <v>1.04E-2</v>
      </c>
      <c r="L390" s="8">
        <f t="shared" si="57"/>
        <v>-1.7027544996159771E-2</v>
      </c>
      <c r="M390" s="8">
        <f t="shared" si="58"/>
        <v>0.03</v>
      </c>
      <c r="N390" s="8">
        <f t="shared" si="61"/>
        <v>3.6799999999999999E-2</v>
      </c>
      <c r="O390" s="296">
        <f t="shared" si="56"/>
        <v>-4.702754499615977E-2</v>
      </c>
      <c r="P390" s="8">
        <f t="shared" si="62"/>
        <v>-5.3827544996159771E-2</v>
      </c>
      <c r="Q390" s="8">
        <f t="shared" si="63"/>
        <v>0.11398047734447703</v>
      </c>
      <c r="R390" s="8">
        <f t="shared" si="64"/>
        <v>3.9599999999999996E-2</v>
      </c>
      <c r="S390" s="296">
        <f t="shared" si="65"/>
        <v>7.4380477344477031E-2</v>
      </c>
      <c r="U390" s="297"/>
      <c r="V390" s="297"/>
      <c r="W390" s="297"/>
      <c r="X390" s="297"/>
      <c r="Y390" s="297"/>
      <c r="Z390" s="297"/>
      <c r="AA390" s="297"/>
      <c r="AB390" s="297"/>
      <c r="AC390" s="297"/>
      <c r="AE390" s="297"/>
      <c r="AF390" s="297"/>
      <c r="AG390" s="297"/>
      <c r="AH390" s="297"/>
      <c r="AI390" s="297"/>
      <c r="AJ390" s="297"/>
      <c r="AK390" s="297"/>
      <c r="AL390" s="297"/>
      <c r="AM390" s="297"/>
      <c r="AO390" s="297"/>
      <c r="AP390" s="297"/>
      <c r="AQ390" s="297"/>
      <c r="AR390" s="297"/>
      <c r="AS390" s="297"/>
      <c r="AT390" s="297"/>
      <c r="AU390" s="297"/>
      <c r="AV390" s="297"/>
      <c r="AW390" s="297"/>
    </row>
    <row r="391" spans="1:49" x14ac:dyDescent="0.45">
      <c r="A391" s="295">
        <v>21245</v>
      </c>
      <c r="B391" s="12">
        <v>3.2800000000000003E-2</v>
      </c>
      <c r="C391" s="5">
        <v>0.02</v>
      </c>
      <c r="D391" s="5">
        <v>2.7000000000000001E-3</v>
      </c>
      <c r="E391" s="5">
        <v>3.0249999999999999E-3</v>
      </c>
      <c r="F391" s="5">
        <v>3.15E-3</v>
      </c>
      <c r="G391" s="5">
        <v>3.0874999999999995E-3</v>
      </c>
      <c r="H391" s="5">
        <v>3.4416666666666667E-3</v>
      </c>
      <c r="I391" s="5">
        <f t="shared" si="66"/>
        <v>3.0100000000000002E-2</v>
      </c>
      <c r="J391" s="5">
        <f t="shared" si="59"/>
        <v>2.9712500000000003E-2</v>
      </c>
      <c r="K391" s="5">
        <f t="shared" si="60"/>
        <v>1.6558333333333335E-2</v>
      </c>
      <c r="L391" s="8">
        <f t="shared" si="57"/>
        <v>-6.1537429975857538E-3</v>
      </c>
      <c r="M391" s="8">
        <f t="shared" si="58"/>
        <v>3.2399999999999998E-2</v>
      </c>
      <c r="N391" s="8">
        <f t="shared" si="61"/>
        <v>3.7049999999999993E-2</v>
      </c>
      <c r="O391" s="296">
        <f t="shared" si="56"/>
        <v>-3.8553742997585752E-2</v>
      </c>
      <c r="P391" s="8">
        <f t="shared" si="62"/>
        <v>-4.3203742997585746E-2</v>
      </c>
      <c r="Q391" s="8">
        <f t="shared" si="63"/>
        <v>0.12746585323612503</v>
      </c>
      <c r="R391" s="8">
        <f t="shared" si="64"/>
        <v>4.1300000000000003E-2</v>
      </c>
      <c r="S391" s="296">
        <f t="shared" si="65"/>
        <v>8.6165853236125023E-2</v>
      </c>
      <c r="U391" s="297"/>
      <c r="V391" s="297"/>
      <c r="W391" s="297"/>
      <c r="X391" s="297"/>
      <c r="Y391" s="297"/>
      <c r="Z391" s="297"/>
      <c r="AA391" s="297"/>
      <c r="AB391" s="297"/>
      <c r="AC391" s="297"/>
      <c r="AE391" s="297"/>
      <c r="AF391" s="297"/>
      <c r="AG391" s="297"/>
      <c r="AH391" s="297"/>
      <c r="AI391" s="297"/>
      <c r="AJ391" s="297"/>
      <c r="AK391" s="297"/>
      <c r="AL391" s="297"/>
      <c r="AM391" s="297"/>
      <c r="AO391" s="297"/>
      <c r="AP391" s="297"/>
      <c r="AQ391" s="297"/>
      <c r="AR391" s="297"/>
      <c r="AS391" s="297"/>
      <c r="AT391" s="297"/>
      <c r="AU391" s="297"/>
      <c r="AV391" s="297"/>
      <c r="AW391" s="297"/>
    </row>
    <row r="392" spans="1:49" x14ac:dyDescent="0.45">
      <c r="A392" s="295">
        <v>21276</v>
      </c>
      <c r="B392" s="12">
        <v>3.3700000000000001E-2</v>
      </c>
      <c r="C392" s="5">
        <v>5.16E-2</v>
      </c>
      <c r="D392" s="5">
        <v>2.5999999999999999E-3</v>
      </c>
      <c r="E392" s="5">
        <v>3.0000000000000001E-3</v>
      </c>
      <c r="F392" s="5">
        <v>3.15E-3</v>
      </c>
      <c r="G392" s="5">
        <v>3.075E-3</v>
      </c>
      <c r="H392" s="5">
        <v>3.2916666666666667E-3</v>
      </c>
      <c r="I392" s="5">
        <f t="shared" si="66"/>
        <v>3.1100000000000003E-2</v>
      </c>
      <c r="J392" s="5">
        <f t="shared" si="59"/>
        <v>3.0624999999999999E-2</v>
      </c>
      <c r="K392" s="5">
        <f t="shared" si="60"/>
        <v>4.8308333333333335E-2</v>
      </c>
      <c r="L392" s="8">
        <f t="shared" si="57"/>
        <v>-1.1033042103007262E-2</v>
      </c>
      <c r="M392" s="8">
        <f t="shared" si="58"/>
        <v>3.1199999999999999E-2</v>
      </c>
      <c r="N392" s="8">
        <f t="shared" si="61"/>
        <v>3.6900000000000002E-2</v>
      </c>
      <c r="O392" s="296">
        <f t="shared" si="56"/>
        <v>-4.2233042103007261E-2</v>
      </c>
      <c r="P392" s="8">
        <f t="shared" si="62"/>
        <v>-4.7933042103007265E-2</v>
      </c>
      <c r="Q392" s="8">
        <f t="shared" si="63"/>
        <v>0.13982223732273513</v>
      </c>
      <c r="R392" s="8">
        <f t="shared" si="64"/>
        <v>3.95E-2</v>
      </c>
      <c r="S392" s="296">
        <f t="shared" si="65"/>
        <v>0.10032223732273512</v>
      </c>
      <c r="U392" s="297"/>
      <c r="V392" s="297"/>
      <c r="W392" s="297"/>
      <c r="X392" s="297"/>
      <c r="Y392" s="297"/>
      <c r="Z392" s="297"/>
      <c r="AA392" s="297"/>
      <c r="AB392" s="297"/>
      <c r="AC392" s="297"/>
      <c r="AE392" s="297"/>
      <c r="AF392" s="297"/>
      <c r="AG392" s="297"/>
      <c r="AH392" s="297"/>
      <c r="AI392" s="297"/>
      <c r="AJ392" s="297"/>
      <c r="AK392" s="297"/>
      <c r="AL392" s="297"/>
      <c r="AM392" s="297"/>
      <c r="AO392" s="297"/>
      <c r="AP392" s="297"/>
      <c r="AQ392" s="297"/>
      <c r="AR392" s="297"/>
      <c r="AS392" s="297"/>
      <c r="AT392" s="297"/>
      <c r="AU392" s="297"/>
      <c r="AV392" s="297"/>
      <c r="AW392" s="297"/>
    </row>
    <row r="393" spans="1:49" x14ac:dyDescent="0.45">
      <c r="A393" s="295">
        <v>21306</v>
      </c>
      <c r="B393" s="12">
        <v>2.12E-2</v>
      </c>
      <c r="C393" s="5">
        <v>1.6400000000000001E-2</v>
      </c>
      <c r="D393" s="5">
        <v>2.3999999999999998E-3</v>
      </c>
      <c r="E393" s="5">
        <v>2.9749999999999998E-3</v>
      </c>
      <c r="F393" s="5">
        <v>3.15E-3</v>
      </c>
      <c r="G393" s="5">
        <v>3.0625000000000001E-3</v>
      </c>
      <c r="H393" s="5">
        <v>3.3416666666666668E-3</v>
      </c>
      <c r="I393" s="5">
        <f t="shared" si="66"/>
        <v>1.8800000000000001E-2</v>
      </c>
      <c r="J393" s="5">
        <f t="shared" si="59"/>
        <v>1.8137500000000001E-2</v>
      </c>
      <c r="K393" s="5">
        <f t="shared" si="60"/>
        <v>1.3058333333333335E-2</v>
      </c>
      <c r="L393" s="8">
        <f t="shared" si="57"/>
        <v>-3.2353111617889341E-2</v>
      </c>
      <c r="M393" s="8">
        <f t="shared" si="58"/>
        <v>2.8799999999999999E-2</v>
      </c>
      <c r="N393" s="8">
        <f t="shared" si="61"/>
        <v>3.6750000000000005E-2</v>
      </c>
      <c r="O393" s="296">
        <f t="shared" si="56"/>
        <v>-6.115311161788934E-2</v>
      </c>
      <c r="P393" s="8">
        <f t="shared" si="62"/>
        <v>-6.9103111617889346E-2</v>
      </c>
      <c r="Q393" s="8">
        <f t="shared" si="63"/>
        <v>0.13803076818745352</v>
      </c>
      <c r="R393" s="8">
        <f t="shared" si="64"/>
        <v>4.0100000000000004E-2</v>
      </c>
      <c r="S393" s="296">
        <f t="shared" si="65"/>
        <v>9.7930768187453526E-2</v>
      </c>
      <c r="U393" s="297"/>
      <c r="V393" s="297"/>
      <c r="W393" s="297"/>
      <c r="X393" s="297"/>
      <c r="Y393" s="297"/>
      <c r="Z393" s="297"/>
      <c r="AA393" s="297"/>
      <c r="AB393" s="297"/>
      <c r="AC393" s="297"/>
      <c r="AE393" s="297"/>
      <c r="AF393" s="297"/>
      <c r="AG393" s="297"/>
      <c r="AH393" s="297"/>
      <c r="AI393" s="297"/>
      <c r="AJ393" s="297"/>
      <c r="AK393" s="297"/>
      <c r="AL393" s="297"/>
      <c r="AM393" s="297"/>
      <c r="AO393" s="297"/>
      <c r="AP393" s="297"/>
      <c r="AQ393" s="297"/>
      <c r="AR393" s="297"/>
      <c r="AS393" s="297"/>
      <c r="AT393" s="297"/>
      <c r="AU393" s="297"/>
      <c r="AV393" s="297"/>
      <c r="AW393" s="297"/>
    </row>
    <row r="394" spans="1:49" x14ac:dyDescent="0.45">
      <c r="A394" s="295">
        <v>21337</v>
      </c>
      <c r="B394" s="12">
        <v>2.7900000000000001E-2</v>
      </c>
      <c r="C394" s="5">
        <v>1.72E-2</v>
      </c>
      <c r="D394" s="5">
        <v>2.7000000000000001E-3</v>
      </c>
      <c r="E394" s="5">
        <v>2.9749999999999998E-3</v>
      </c>
      <c r="F394" s="5">
        <v>3.15E-3</v>
      </c>
      <c r="G394" s="5">
        <v>3.0625000000000001E-3</v>
      </c>
      <c r="H394" s="5">
        <v>3.3250000000000003E-3</v>
      </c>
      <c r="I394" s="5">
        <f t="shared" si="66"/>
        <v>2.52E-2</v>
      </c>
      <c r="J394" s="5">
        <f t="shared" si="59"/>
        <v>2.4837500000000002E-2</v>
      </c>
      <c r="K394" s="5">
        <f t="shared" si="60"/>
        <v>1.3875E-2</v>
      </c>
      <c r="L394" s="8">
        <f t="shared" si="57"/>
        <v>-5.7534620472096121E-3</v>
      </c>
      <c r="M394" s="8">
        <f t="shared" si="58"/>
        <v>3.2399999999999998E-2</v>
      </c>
      <c r="N394" s="8">
        <f t="shared" si="61"/>
        <v>3.6750000000000005E-2</v>
      </c>
      <c r="O394" s="296">
        <f t="shared" si="56"/>
        <v>-3.815346204720961E-2</v>
      </c>
      <c r="P394" s="8">
        <f t="shared" si="62"/>
        <v>-4.2503462047209617E-2</v>
      </c>
      <c r="Q394" s="8">
        <f t="shared" si="63"/>
        <v>0.20810362909651192</v>
      </c>
      <c r="R394" s="8">
        <f t="shared" si="64"/>
        <v>3.9900000000000005E-2</v>
      </c>
      <c r="S394" s="296">
        <f t="shared" si="65"/>
        <v>0.16820362909651193</v>
      </c>
      <c r="U394" s="297"/>
      <c r="V394" s="297"/>
      <c r="W394" s="297"/>
      <c r="X394" s="297"/>
      <c r="Y394" s="297"/>
      <c r="Z394" s="297"/>
      <c r="AA394" s="297"/>
      <c r="AB394" s="297"/>
      <c r="AC394" s="297"/>
      <c r="AE394" s="297"/>
      <c r="AF394" s="297"/>
      <c r="AG394" s="297"/>
      <c r="AH394" s="297"/>
      <c r="AI394" s="297"/>
      <c r="AJ394" s="297"/>
      <c r="AK394" s="297"/>
      <c r="AL394" s="297"/>
      <c r="AM394" s="297"/>
      <c r="AO394" s="297"/>
      <c r="AP394" s="297"/>
      <c r="AQ394" s="297"/>
      <c r="AR394" s="297"/>
      <c r="AS394" s="297"/>
      <c r="AT394" s="297"/>
      <c r="AU394" s="297"/>
      <c r="AV394" s="297"/>
      <c r="AW394" s="297"/>
    </row>
    <row r="395" spans="1:49" x14ac:dyDescent="0.45">
      <c r="A395" s="295">
        <v>21367</v>
      </c>
      <c r="B395" s="12">
        <v>4.4900000000000002E-2</v>
      </c>
      <c r="C395" s="5">
        <v>1.09E-2</v>
      </c>
      <c r="D395" s="5">
        <v>2.7000000000000001E-3</v>
      </c>
      <c r="E395" s="5">
        <v>3.0583333333333335E-3</v>
      </c>
      <c r="F395" s="5">
        <v>3.1916666666666664E-3</v>
      </c>
      <c r="G395" s="5">
        <v>3.1250000000000002E-3</v>
      </c>
      <c r="H395" s="5">
        <v>3.3666666666666667E-3</v>
      </c>
      <c r="I395" s="5">
        <f t="shared" si="66"/>
        <v>4.2200000000000001E-2</v>
      </c>
      <c r="J395" s="5">
        <f t="shared" si="59"/>
        <v>4.1775E-2</v>
      </c>
      <c r="K395" s="5">
        <f t="shared" si="60"/>
        <v>7.5333333333333329E-3</v>
      </c>
      <c r="L395" s="8">
        <f t="shared" si="57"/>
        <v>2.5454750278225857E-2</v>
      </c>
      <c r="M395" s="8">
        <f t="shared" si="58"/>
        <v>3.2399999999999998E-2</v>
      </c>
      <c r="N395" s="8">
        <f t="shared" si="61"/>
        <v>3.7500000000000006E-2</v>
      </c>
      <c r="O395" s="296">
        <f t="shared" si="56"/>
        <v>-6.945249721774141E-3</v>
      </c>
      <c r="P395" s="8">
        <f t="shared" si="62"/>
        <v>-1.2045249721774148E-2</v>
      </c>
      <c r="Q395" s="8">
        <f t="shared" si="63"/>
        <v>0.21701241520046222</v>
      </c>
      <c r="R395" s="8">
        <f t="shared" si="64"/>
        <v>4.0399999999999998E-2</v>
      </c>
      <c r="S395" s="296">
        <f t="shared" si="65"/>
        <v>0.17661241520046222</v>
      </c>
      <c r="U395" s="297"/>
      <c r="V395" s="297"/>
      <c r="W395" s="297"/>
      <c r="X395" s="297"/>
      <c r="Y395" s="297"/>
      <c r="Z395" s="297"/>
      <c r="AA395" s="297"/>
      <c r="AB395" s="297"/>
      <c r="AC395" s="297"/>
      <c r="AE395" s="297"/>
      <c r="AF395" s="297"/>
      <c r="AG395" s="297"/>
      <c r="AH395" s="297"/>
      <c r="AI395" s="297"/>
      <c r="AJ395" s="297"/>
      <c r="AK395" s="297"/>
      <c r="AL395" s="297"/>
      <c r="AM395" s="297"/>
      <c r="AO395" s="297"/>
      <c r="AP395" s="297"/>
      <c r="AQ395" s="297"/>
      <c r="AR395" s="297"/>
      <c r="AS395" s="297"/>
      <c r="AT395" s="297"/>
      <c r="AU395" s="297"/>
      <c r="AV395" s="297"/>
      <c r="AW395" s="297"/>
    </row>
    <row r="396" spans="1:49" x14ac:dyDescent="0.45">
      <c r="A396" s="295">
        <v>21398</v>
      </c>
      <c r="B396" s="12">
        <v>1.7600000000000001E-2</v>
      </c>
      <c r="C396" s="5">
        <v>-6.7000000000000002E-3</v>
      </c>
      <c r="D396" s="5">
        <v>2.7000000000000001E-3</v>
      </c>
      <c r="E396" s="5">
        <v>3.2083333333333334E-3</v>
      </c>
      <c r="F396" s="5">
        <v>3.3166666666666665E-3</v>
      </c>
      <c r="G396" s="5">
        <v>3.2625000000000002E-3</v>
      </c>
      <c r="H396" s="5">
        <v>3.5750000000000001E-3</v>
      </c>
      <c r="I396" s="5">
        <f t="shared" si="66"/>
        <v>1.49E-2</v>
      </c>
      <c r="J396" s="5">
        <f t="shared" si="59"/>
        <v>1.4337500000000001E-2</v>
      </c>
      <c r="K396" s="5">
        <f t="shared" si="60"/>
        <v>-1.0274999999999999E-2</v>
      </c>
      <c r="L396" s="8">
        <f t="shared" si="57"/>
        <v>9.9002373757896223E-2</v>
      </c>
      <c r="M396" s="8">
        <f t="shared" si="58"/>
        <v>3.2399999999999998E-2</v>
      </c>
      <c r="N396" s="8">
        <f t="shared" si="61"/>
        <v>3.9150000000000004E-2</v>
      </c>
      <c r="O396" s="296">
        <f t="shared" si="56"/>
        <v>6.6602373757896224E-2</v>
      </c>
      <c r="P396" s="8">
        <f t="shared" si="62"/>
        <v>5.9852373757896218E-2</v>
      </c>
      <c r="Q396" s="8">
        <f t="shared" si="63"/>
        <v>0.24547540904452814</v>
      </c>
      <c r="R396" s="8">
        <f t="shared" si="64"/>
        <v>4.2900000000000001E-2</v>
      </c>
      <c r="S396" s="296">
        <f t="shared" si="65"/>
        <v>0.20257540904452814</v>
      </c>
      <c r="U396" s="297"/>
      <c r="V396" s="297"/>
      <c r="W396" s="297"/>
      <c r="X396" s="297"/>
      <c r="Y396" s="297"/>
      <c r="Z396" s="297"/>
      <c r="AA396" s="297"/>
      <c r="AB396" s="297"/>
      <c r="AC396" s="297"/>
      <c r="AE396" s="297"/>
      <c r="AF396" s="297"/>
      <c r="AG396" s="297"/>
      <c r="AH396" s="297"/>
      <c r="AI396" s="297"/>
      <c r="AJ396" s="297"/>
      <c r="AK396" s="297"/>
      <c r="AL396" s="297"/>
      <c r="AM396" s="297"/>
      <c r="AO396" s="297"/>
      <c r="AP396" s="297"/>
      <c r="AQ396" s="297"/>
      <c r="AR396" s="297"/>
      <c r="AS396" s="297"/>
      <c r="AT396" s="297"/>
      <c r="AU396" s="297"/>
      <c r="AV396" s="297"/>
      <c r="AW396" s="297"/>
    </row>
    <row r="397" spans="1:49" x14ac:dyDescent="0.45">
      <c r="A397" s="295">
        <v>21429</v>
      </c>
      <c r="B397" s="12">
        <v>5.0099999999999999E-2</v>
      </c>
      <c r="C397" s="5">
        <v>3.32E-2</v>
      </c>
      <c r="D397" s="5">
        <v>3.2000000000000002E-3</v>
      </c>
      <c r="E397" s="5">
        <v>3.4083333333333331E-3</v>
      </c>
      <c r="F397" s="5">
        <v>3.5000000000000005E-3</v>
      </c>
      <c r="G397" s="5">
        <v>3.454166666666667E-3</v>
      </c>
      <c r="H397" s="5">
        <v>3.7916666666666667E-3</v>
      </c>
      <c r="I397" s="5">
        <f t="shared" si="66"/>
        <v>4.6899999999999997E-2</v>
      </c>
      <c r="J397" s="5">
        <f t="shared" si="59"/>
        <v>4.6645833333333331E-2</v>
      </c>
      <c r="K397" s="5">
        <f t="shared" si="60"/>
        <v>2.9408333333333335E-2</v>
      </c>
      <c r="L397" s="8">
        <f t="shared" si="57"/>
        <v>0.22798722354029266</v>
      </c>
      <c r="M397" s="8">
        <f t="shared" si="58"/>
        <v>3.8400000000000004E-2</v>
      </c>
      <c r="N397" s="8">
        <f t="shared" si="61"/>
        <v>4.1450000000000001E-2</v>
      </c>
      <c r="O397" s="296">
        <f t="shared" si="56"/>
        <v>0.18958722354029267</v>
      </c>
      <c r="P397" s="8">
        <f t="shared" si="62"/>
        <v>0.18653722354029267</v>
      </c>
      <c r="Q397" s="8">
        <f t="shared" si="63"/>
        <v>0.30483187246482069</v>
      </c>
      <c r="R397" s="8">
        <f t="shared" si="64"/>
        <v>4.5499999999999999E-2</v>
      </c>
      <c r="S397" s="296">
        <f t="shared" si="65"/>
        <v>0.2593318724648207</v>
      </c>
      <c r="U397" s="297"/>
      <c r="V397" s="297"/>
      <c r="W397" s="297"/>
      <c r="X397" s="297"/>
      <c r="Y397" s="297"/>
      <c r="Z397" s="297"/>
      <c r="AA397" s="297"/>
      <c r="AB397" s="297"/>
      <c r="AC397" s="297"/>
      <c r="AE397" s="297"/>
      <c r="AF397" s="297"/>
      <c r="AG397" s="297"/>
      <c r="AH397" s="297"/>
      <c r="AI397" s="297"/>
      <c r="AJ397" s="297"/>
      <c r="AK397" s="297"/>
      <c r="AL397" s="297"/>
      <c r="AM397" s="297"/>
      <c r="AO397" s="297"/>
      <c r="AP397" s="297"/>
      <c r="AQ397" s="297"/>
      <c r="AR397" s="297"/>
      <c r="AS397" s="297"/>
      <c r="AT397" s="297"/>
      <c r="AU397" s="297"/>
      <c r="AV397" s="297"/>
      <c r="AW397" s="297"/>
    </row>
    <row r="398" spans="1:49" x14ac:dyDescent="0.45">
      <c r="A398" s="295">
        <v>21459</v>
      </c>
      <c r="B398" s="12">
        <v>2.7E-2</v>
      </c>
      <c r="C398" s="5">
        <v>4.0599999999999997E-2</v>
      </c>
      <c r="D398" s="5">
        <v>3.2000000000000002E-3</v>
      </c>
      <c r="E398" s="5">
        <v>3.4250000000000001E-3</v>
      </c>
      <c r="F398" s="5">
        <v>3.5083333333333334E-3</v>
      </c>
      <c r="G398" s="5">
        <v>3.4666666666666669E-3</v>
      </c>
      <c r="H398" s="5">
        <v>3.7999999999999996E-3</v>
      </c>
      <c r="I398" s="5">
        <f t="shared" si="66"/>
        <v>2.3799999999999998E-2</v>
      </c>
      <c r="J398" s="5">
        <f t="shared" si="59"/>
        <v>2.3533333333333333E-2</v>
      </c>
      <c r="K398" s="5">
        <f t="shared" si="60"/>
        <v>3.6799999999999999E-2</v>
      </c>
      <c r="L398" s="8">
        <f t="shared" si="57"/>
        <v>0.30041542439253544</v>
      </c>
      <c r="M398" s="8">
        <f t="shared" si="58"/>
        <v>3.8400000000000004E-2</v>
      </c>
      <c r="N398" s="8">
        <f t="shared" si="61"/>
        <v>4.1600000000000005E-2</v>
      </c>
      <c r="O398" s="296">
        <f t="shared" si="56"/>
        <v>0.26201542439253545</v>
      </c>
      <c r="P398" s="8">
        <f t="shared" si="62"/>
        <v>0.25881542439253541</v>
      </c>
      <c r="Q398" s="8">
        <f t="shared" si="63"/>
        <v>0.367930733917885</v>
      </c>
      <c r="R398" s="8">
        <f t="shared" si="64"/>
        <v>4.5599999999999995E-2</v>
      </c>
      <c r="S398" s="296">
        <f t="shared" si="65"/>
        <v>0.32233073391788503</v>
      </c>
      <c r="U398" s="297"/>
      <c r="V398" s="297"/>
      <c r="W398" s="297"/>
      <c r="X398" s="297"/>
      <c r="Y398" s="297"/>
      <c r="Z398" s="297"/>
      <c r="AA398" s="297"/>
      <c r="AB398" s="297"/>
      <c r="AC398" s="297"/>
      <c r="AE398" s="297"/>
      <c r="AF398" s="297"/>
      <c r="AG398" s="297"/>
      <c r="AH398" s="297"/>
      <c r="AI398" s="297"/>
      <c r="AJ398" s="297"/>
      <c r="AK398" s="297"/>
      <c r="AL398" s="297"/>
      <c r="AM398" s="297"/>
      <c r="AO398" s="297"/>
      <c r="AP398" s="297"/>
      <c r="AQ398" s="297"/>
      <c r="AR398" s="297"/>
      <c r="AS398" s="297"/>
      <c r="AT398" s="297"/>
      <c r="AU398" s="297"/>
      <c r="AV398" s="297"/>
      <c r="AW398" s="297"/>
    </row>
    <row r="399" spans="1:49" x14ac:dyDescent="0.45">
      <c r="A399" s="295">
        <v>21490</v>
      </c>
      <c r="B399" s="12">
        <v>2.8400000000000002E-2</v>
      </c>
      <c r="C399" s="5">
        <v>2.63E-2</v>
      </c>
      <c r="D399" s="5">
        <v>2.7999999999999995E-3</v>
      </c>
      <c r="E399" s="5">
        <v>3.4083333333333331E-3</v>
      </c>
      <c r="F399" s="5">
        <v>3.5083333333333334E-3</v>
      </c>
      <c r="G399" s="5">
        <v>3.4583333333333332E-3</v>
      </c>
      <c r="H399" s="5">
        <v>3.725E-3</v>
      </c>
      <c r="I399" s="5">
        <f t="shared" si="66"/>
        <v>2.5600000000000001E-2</v>
      </c>
      <c r="J399" s="5">
        <f t="shared" si="59"/>
        <v>2.4941666666666668E-2</v>
      </c>
      <c r="K399" s="5">
        <f t="shared" si="60"/>
        <v>2.2575000000000001E-2</v>
      </c>
      <c r="L399" s="8">
        <f t="shared" si="57"/>
        <v>0.30715201099138234</v>
      </c>
      <c r="M399" s="8">
        <f t="shared" si="58"/>
        <v>3.3599999999999991E-2</v>
      </c>
      <c r="N399" s="8">
        <f t="shared" si="61"/>
        <v>4.1499999999999995E-2</v>
      </c>
      <c r="O399" s="296">
        <f t="shared" si="56"/>
        <v>0.27355201099138238</v>
      </c>
      <c r="P399" s="8">
        <f t="shared" si="62"/>
        <v>0.26565201099138236</v>
      </c>
      <c r="Q399" s="8">
        <f t="shared" si="63"/>
        <v>0.34628626027994391</v>
      </c>
      <c r="R399" s="8">
        <f t="shared" si="64"/>
        <v>4.4700000000000004E-2</v>
      </c>
      <c r="S399" s="296">
        <f t="shared" si="65"/>
        <v>0.3015862602799439</v>
      </c>
      <c r="U399" s="297"/>
      <c r="V399" s="297"/>
      <c r="W399" s="297"/>
      <c r="X399" s="297"/>
      <c r="Y399" s="297"/>
      <c r="Z399" s="297"/>
      <c r="AA399" s="297"/>
      <c r="AB399" s="297"/>
      <c r="AC399" s="297"/>
      <c r="AE399" s="297"/>
      <c r="AF399" s="297"/>
      <c r="AG399" s="297"/>
      <c r="AH399" s="297"/>
      <c r="AI399" s="297"/>
      <c r="AJ399" s="297"/>
      <c r="AK399" s="297"/>
      <c r="AL399" s="297"/>
      <c r="AM399" s="297"/>
      <c r="AO399" s="297"/>
      <c r="AP399" s="297"/>
      <c r="AQ399" s="297"/>
      <c r="AR399" s="297"/>
      <c r="AS399" s="297"/>
      <c r="AT399" s="297"/>
      <c r="AU399" s="297"/>
      <c r="AV399" s="297"/>
      <c r="AW399" s="297"/>
    </row>
    <row r="400" spans="1:49" x14ac:dyDescent="0.45">
      <c r="A400" s="295">
        <v>21520</v>
      </c>
      <c r="B400" s="12">
        <v>5.3499999999999999E-2</v>
      </c>
      <c r="C400" s="5">
        <v>6.5500000000000003E-2</v>
      </c>
      <c r="D400" s="5">
        <v>3.3E-3</v>
      </c>
      <c r="E400" s="5">
        <v>3.4000000000000002E-3</v>
      </c>
      <c r="F400" s="5">
        <v>3.4833333333333331E-3</v>
      </c>
      <c r="G400" s="5">
        <v>3.4416666666666667E-3</v>
      </c>
      <c r="H400" s="5">
        <v>3.741666666666667E-3</v>
      </c>
      <c r="I400" s="5">
        <f t="shared" si="66"/>
        <v>5.0200000000000002E-2</v>
      </c>
      <c r="J400" s="5">
        <f t="shared" si="59"/>
        <v>5.005833333333333E-2</v>
      </c>
      <c r="K400" s="5">
        <f t="shared" si="60"/>
        <v>6.1758333333333339E-2</v>
      </c>
      <c r="L400" s="8">
        <f t="shared" si="57"/>
        <v>0.43371644308112556</v>
      </c>
      <c r="M400" s="8">
        <f t="shared" si="58"/>
        <v>3.9599999999999996E-2</v>
      </c>
      <c r="N400" s="8">
        <f t="shared" si="61"/>
        <v>4.1300000000000003E-2</v>
      </c>
      <c r="O400" s="296">
        <f t="shared" ref="O400:O463" si="67">L400-M400</f>
        <v>0.39411644308112559</v>
      </c>
      <c r="P400" s="8">
        <f t="shared" si="62"/>
        <v>0.39241644308112555</v>
      </c>
      <c r="Q400" s="8">
        <f t="shared" si="63"/>
        <v>0.40703090762950511</v>
      </c>
      <c r="R400" s="8">
        <f t="shared" si="64"/>
        <v>4.4900000000000002E-2</v>
      </c>
      <c r="S400" s="296">
        <f t="shared" si="65"/>
        <v>0.36213090762950512</v>
      </c>
      <c r="U400" s="297"/>
      <c r="V400" s="297"/>
      <c r="W400" s="297"/>
      <c r="X400" s="297"/>
      <c r="Y400" s="297"/>
      <c r="Z400" s="297"/>
      <c r="AA400" s="297"/>
      <c r="AB400" s="297"/>
      <c r="AC400" s="297"/>
      <c r="AE400" s="297"/>
      <c r="AF400" s="297"/>
      <c r="AG400" s="297"/>
      <c r="AH400" s="297"/>
      <c r="AI400" s="297"/>
      <c r="AJ400" s="297"/>
      <c r="AK400" s="297"/>
      <c r="AL400" s="297"/>
      <c r="AM400" s="297"/>
      <c r="AO400" s="297"/>
      <c r="AP400" s="297"/>
      <c r="AQ400" s="297"/>
      <c r="AR400" s="297"/>
      <c r="AS400" s="297"/>
      <c r="AT400" s="297"/>
      <c r="AU400" s="297"/>
      <c r="AV400" s="297"/>
      <c r="AW400" s="297"/>
    </row>
    <row r="401" spans="1:49" x14ac:dyDescent="0.45">
      <c r="A401" s="295">
        <v>21551</v>
      </c>
      <c r="B401" s="12">
        <v>5.3E-3</v>
      </c>
      <c r="C401" s="5">
        <v>1.34E-2</v>
      </c>
      <c r="D401" s="5">
        <v>3.0999999999999999E-3</v>
      </c>
      <c r="E401" s="5">
        <v>3.4333333333333334E-3</v>
      </c>
      <c r="F401" s="5">
        <v>3.5166666666666662E-3</v>
      </c>
      <c r="G401" s="5">
        <v>3.4749999999999998E-3</v>
      </c>
      <c r="H401" s="5">
        <v>3.7666666666666664E-3</v>
      </c>
      <c r="I401" s="5">
        <f t="shared" si="66"/>
        <v>2.2000000000000001E-3</v>
      </c>
      <c r="J401" s="5">
        <f t="shared" si="59"/>
        <v>1.8250000000000002E-3</v>
      </c>
      <c r="K401" s="5">
        <f t="shared" si="60"/>
        <v>9.633333333333334E-3</v>
      </c>
      <c r="L401" s="8">
        <f t="shared" ref="L401:L464" si="68">((1+B390)*(1+B391)*(1+B392)*(1+B393)*(1+B394)*(1+B395)*(1+B396)*(1+B397)*(1+B398)*(1+B399)*(1+B400)*(1+B401))-1</f>
        <v>0.37990918164620013</v>
      </c>
      <c r="M401" s="8">
        <f t="shared" ref="M401:M464" si="69">D401*12</f>
        <v>3.7199999999999997E-2</v>
      </c>
      <c r="N401" s="8">
        <f t="shared" si="61"/>
        <v>4.1700000000000001E-2</v>
      </c>
      <c r="O401" s="296">
        <f t="shared" si="67"/>
        <v>0.34270918164620012</v>
      </c>
      <c r="P401" s="8">
        <f t="shared" si="62"/>
        <v>0.33820918164620012</v>
      </c>
      <c r="Q401" s="8">
        <f t="shared" si="63"/>
        <v>0.34492088454229441</v>
      </c>
      <c r="R401" s="8">
        <f t="shared" si="64"/>
        <v>4.5199999999999997E-2</v>
      </c>
      <c r="S401" s="296">
        <f t="shared" si="65"/>
        <v>0.2997208845422944</v>
      </c>
      <c r="U401" s="297"/>
      <c r="V401" s="297"/>
      <c r="W401" s="297"/>
      <c r="X401" s="297"/>
      <c r="Y401" s="297"/>
      <c r="Z401" s="297"/>
      <c r="AA401" s="297"/>
      <c r="AB401" s="297"/>
      <c r="AC401" s="297"/>
      <c r="AE401" s="297"/>
      <c r="AF401" s="297"/>
      <c r="AG401" s="297"/>
      <c r="AH401" s="297"/>
      <c r="AI401" s="297"/>
      <c r="AJ401" s="297"/>
      <c r="AK401" s="297"/>
      <c r="AL401" s="297"/>
      <c r="AM401" s="297"/>
      <c r="AO401" s="297"/>
      <c r="AP401" s="297"/>
      <c r="AQ401" s="297"/>
      <c r="AR401" s="297"/>
      <c r="AS401" s="297"/>
      <c r="AT401" s="297"/>
      <c r="AU401" s="297"/>
      <c r="AV401" s="297"/>
      <c r="AW401" s="297"/>
    </row>
    <row r="402" spans="1:49" x14ac:dyDescent="0.45">
      <c r="A402" s="295">
        <v>21582</v>
      </c>
      <c r="B402" s="12">
        <v>4.8999999999999998E-3</v>
      </c>
      <c r="C402" s="5">
        <v>2.06E-2</v>
      </c>
      <c r="D402" s="5">
        <v>3.0999999999999999E-3</v>
      </c>
      <c r="E402" s="5">
        <v>3.4499999999999999E-3</v>
      </c>
      <c r="F402" s="5">
        <v>3.5333333333333332E-3</v>
      </c>
      <c r="G402" s="5">
        <v>3.4916666666666664E-3</v>
      </c>
      <c r="H402" s="5">
        <v>3.7499999999999999E-3</v>
      </c>
      <c r="I402" s="5">
        <f t="shared" si="66"/>
        <v>1.8E-3</v>
      </c>
      <c r="J402" s="5">
        <f t="shared" si="59"/>
        <v>1.4083333333333335E-3</v>
      </c>
      <c r="K402" s="5">
        <f t="shared" si="60"/>
        <v>1.685E-2</v>
      </c>
      <c r="L402" s="8">
        <f t="shared" si="68"/>
        <v>0.40650242076911036</v>
      </c>
      <c r="M402" s="8">
        <f t="shared" si="69"/>
        <v>3.7199999999999997E-2</v>
      </c>
      <c r="N402" s="8">
        <f t="shared" si="61"/>
        <v>4.1899999999999993E-2</v>
      </c>
      <c r="O402" s="296">
        <f t="shared" si="67"/>
        <v>0.36930242076911035</v>
      </c>
      <c r="P402" s="8">
        <f t="shared" si="62"/>
        <v>0.36460242076911037</v>
      </c>
      <c r="Q402" s="8">
        <f t="shared" si="63"/>
        <v>0.35407542148945992</v>
      </c>
      <c r="R402" s="8">
        <f t="shared" si="64"/>
        <v>4.4999999999999998E-2</v>
      </c>
      <c r="S402" s="296">
        <f t="shared" si="65"/>
        <v>0.30907542148945993</v>
      </c>
      <c r="U402" s="297"/>
      <c r="V402" s="297"/>
      <c r="W402" s="297"/>
      <c r="X402" s="297"/>
      <c r="Y402" s="297"/>
      <c r="Z402" s="297"/>
      <c r="AA402" s="297"/>
      <c r="AB402" s="297"/>
      <c r="AC402" s="297"/>
      <c r="AE402" s="297"/>
      <c r="AF402" s="297"/>
      <c r="AG402" s="297"/>
      <c r="AH402" s="297"/>
      <c r="AI402" s="297"/>
      <c r="AJ402" s="297"/>
      <c r="AK402" s="297"/>
      <c r="AL402" s="297"/>
      <c r="AM402" s="297"/>
      <c r="AO402" s="297"/>
      <c r="AP402" s="297"/>
      <c r="AQ402" s="297"/>
      <c r="AR402" s="297"/>
      <c r="AS402" s="297"/>
      <c r="AT402" s="297"/>
      <c r="AU402" s="297"/>
      <c r="AV402" s="297"/>
      <c r="AW402" s="297"/>
    </row>
    <row r="403" spans="1:49" x14ac:dyDescent="0.45">
      <c r="A403" s="295">
        <v>21610</v>
      </c>
      <c r="B403" s="12">
        <v>2E-3</v>
      </c>
      <c r="C403" s="5">
        <v>1.0200000000000001E-2</v>
      </c>
      <c r="D403" s="5">
        <v>3.5000000000000005E-3</v>
      </c>
      <c r="E403" s="5">
        <v>3.4416666666666667E-3</v>
      </c>
      <c r="F403" s="5">
        <v>3.5250000000000004E-3</v>
      </c>
      <c r="G403" s="5">
        <v>3.4833333333333339E-3</v>
      </c>
      <c r="H403" s="5">
        <v>3.725E-3</v>
      </c>
      <c r="I403" s="5">
        <f t="shared" si="66"/>
        <v>-1.5000000000000005E-3</v>
      </c>
      <c r="J403" s="5">
        <f t="shared" si="59"/>
        <v>-1.4833333333333339E-3</v>
      </c>
      <c r="K403" s="5">
        <f t="shared" si="60"/>
        <v>6.4750000000000007E-3</v>
      </c>
      <c r="L403" s="8">
        <f t="shared" si="68"/>
        <v>0.36455792564935052</v>
      </c>
      <c r="M403" s="8">
        <f t="shared" si="69"/>
        <v>4.200000000000001E-2</v>
      </c>
      <c r="N403" s="8">
        <f t="shared" si="61"/>
        <v>4.1800000000000004E-2</v>
      </c>
      <c r="O403" s="296">
        <f t="shared" si="67"/>
        <v>0.32255792564935049</v>
      </c>
      <c r="P403" s="8">
        <f t="shared" si="62"/>
        <v>0.32275792564935052</v>
      </c>
      <c r="Q403" s="8">
        <f t="shared" si="63"/>
        <v>0.34106567724377701</v>
      </c>
      <c r="R403" s="8">
        <f t="shared" si="64"/>
        <v>4.4700000000000004E-2</v>
      </c>
      <c r="S403" s="296">
        <f t="shared" si="65"/>
        <v>0.29636567724377699</v>
      </c>
      <c r="U403" s="297"/>
      <c r="V403" s="297"/>
      <c r="W403" s="297"/>
      <c r="X403" s="297"/>
      <c r="Y403" s="297"/>
      <c r="Z403" s="297"/>
      <c r="AA403" s="297"/>
      <c r="AB403" s="297"/>
      <c r="AC403" s="297"/>
      <c r="AE403" s="297"/>
      <c r="AF403" s="297"/>
      <c r="AG403" s="297"/>
      <c r="AH403" s="297"/>
      <c r="AI403" s="297"/>
      <c r="AJ403" s="297"/>
      <c r="AK403" s="297"/>
      <c r="AL403" s="297"/>
      <c r="AM403" s="297"/>
      <c r="AO403" s="297"/>
      <c r="AP403" s="297"/>
      <c r="AQ403" s="297"/>
      <c r="AR403" s="297"/>
      <c r="AS403" s="297"/>
      <c r="AT403" s="297"/>
      <c r="AU403" s="297"/>
      <c r="AV403" s="297"/>
      <c r="AW403" s="297"/>
    </row>
    <row r="404" spans="1:49" x14ac:dyDescent="0.45">
      <c r="A404" s="295">
        <v>21641</v>
      </c>
      <c r="B404" s="12">
        <v>4.02E-2</v>
      </c>
      <c r="C404" s="5">
        <v>-2.7999999999999995E-3</v>
      </c>
      <c r="D404" s="5">
        <v>3.3E-3</v>
      </c>
      <c r="E404" s="5">
        <v>3.5250000000000004E-3</v>
      </c>
      <c r="F404" s="5">
        <v>3.6000000000000003E-3</v>
      </c>
      <c r="G404" s="5">
        <v>3.5625000000000006E-3</v>
      </c>
      <c r="H404" s="5">
        <v>3.7999999999999996E-3</v>
      </c>
      <c r="I404" s="5">
        <f t="shared" si="66"/>
        <v>3.6900000000000002E-2</v>
      </c>
      <c r="J404" s="5">
        <f t="shared" si="59"/>
        <v>3.6637499999999996E-2</v>
      </c>
      <c r="K404" s="5">
        <f t="shared" si="60"/>
        <v>-6.5999999999999991E-3</v>
      </c>
      <c r="L404" s="8">
        <f t="shared" si="68"/>
        <v>0.37313839050058473</v>
      </c>
      <c r="M404" s="8">
        <f t="shared" si="69"/>
        <v>3.9599999999999996E-2</v>
      </c>
      <c r="N404" s="8">
        <f t="shared" si="61"/>
        <v>4.275000000000001E-2</v>
      </c>
      <c r="O404" s="296">
        <f t="shared" si="67"/>
        <v>0.33353839050058476</v>
      </c>
      <c r="P404" s="8">
        <f t="shared" si="62"/>
        <v>0.33038839050058472</v>
      </c>
      <c r="Q404" s="8">
        <f t="shared" si="63"/>
        <v>0.27169141626806215</v>
      </c>
      <c r="R404" s="8">
        <f t="shared" si="64"/>
        <v>4.5599999999999995E-2</v>
      </c>
      <c r="S404" s="296">
        <f t="shared" si="65"/>
        <v>0.22609141626806215</v>
      </c>
      <c r="U404" s="297"/>
      <c r="V404" s="297"/>
      <c r="W404" s="297"/>
      <c r="X404" s="297"/>
      <c r="Y404" s="297"/>
      <c r="Z404" s="297"/>
      <c r="AA404" s="297"/>
      <c r="AB404" s="297"/>
      <c r="AC404" s="297"/>
      <c r="AE404" s="297"/>
      <c r="AF404" s="297"/>
      <c r="AG404" s="297"/>
      <c r="AH404" s="297"/>
      <c r="AI404" s="297"/>
      <c r="AJ404" s="297"/>
      <c r="AK404" s="297"/>
      <c r="AL404" s="297"/>
      <c r="AM404" s="297"/>
      <c r="AO404" s="297"/>
      <c r="AP404" s="297"/>
      <c r="AQ404" s="297"/>
      <c r="AR404" s="297"/>
      <c r="AS404" s="297"/>
      <c r="AT404" s="297"/>
      <c r="AU404" s="297"/>
      <c r="AV404" s="297"/>
      <c r="AW404" s="297"/>
    </row>
    <row r="405" spans="1:49" x14ac:dyDescent="0.45">
      <c r="A405" s="295">
        <v>21671</v>
      </c>
      <c r="B405" s="12">
        <v>2.4E-2</v>
      </c>
      <c r="C405" s="5">
        <v>-1.2E-2</v>
      </c>
      <c r="D405" s="5">
        <v>3.3E-3</v>
      </c>
      <c r="E405" s="5">
        <v>3.6416666666666667E-3</v>
      </c>
      <c r="F405" s="5">
        <v>3.7166666666666663E-3</v>
      </c>
      <c r="G405" s="5">
        <v>3.6791666666666665E-3</v>
      </c>
      <c r="H405" s="5">
        <v>3.9749999999999994E-3</v>
      </c>
      <c r="I405" s="5">
        <f t="shared" si="66"/>
        <v>2.07E-2</v>
      </c>
      <c r="J405" s="5">
        <f t="shared" si="59"/>
        <v>2.0320833333333333E-2</v>
      </c>
      <c r="K405" s="5">
        <f t="shared" si="60"/>
        <v>-1.5975E-2</v>
      </c>
      <c r="L405" s="8">
        <f t="shared" si="68"/>
        <v>0.37690336062729934</v>
      </c>
      <c r="M405" s="8">
        <f t="shared" si="69"/>
        <v>3.9599999999999996E-2</v>
      </c>
      <c r="N405" s="8">
        <f t="shared" si="61"/>
        <v>4.4149999999999995E-2</v>
      </c>
      <c r="O405" s="296">
        <f t="shared" si="67"/>
        <v>0.33730336062729938</v>
      </c>
      <c r="P405" s="8">
        <f t="shared" si="62"/>
        <v>0.33275336062729932</v>
      </c>
      <c r="Q405" s="8">
        <f t="shared" si="63"/>
        <v>0.23615812600634101</v>
      </c>
      <c r="R405" s="8">
        <f t="shared" si="64"/>
        <v>4.7699999999999992E-2</v>
      </c>
      <c r="S405" s="296">
        <f t="shared" si="65"/>
        <v>0.18845812600634101</v>
      </c>
      <c r="U405" s="297"/>
      <c r="V405" s="297"/>
      <c r="W405" s="297"/>
      <c r="X405" s="297"/>
      <c r="Y405" s="297"/>
      <c r="Z405" s="297"/>
      <c r="AA405" s="297"/>
      <c r="AB405" s="297"/>
      <c r="AC405" s="297"/>
      <c r="AE405" s="297"/>
      <c r="AF405" s="297"/>
      <c r="AG405" s="297"/>
      <c r="AH405" s="297"/>
      <c r="AI405" s="297"/>
      <c r="AJ405" s="297"/>
      <c r="AK405" s="297"/>
      <c r="AL405" s="297"/>
      <c r="AM405" s="297"/>
      <c r="AO405" s="297"/>
      <c r="AP405" s="297"/>
      <c r="AQ405" s="297"/>
      <c r="AR405" s="297"/>
      <c r="AS405" s="297"/>
      <c r="AT405" s="297"/>
      <c r="AU405" s="297"/>
      <c r="AV405" s="297"/>
      <c r="AW405" s="297"/>
    </row>
    <row r="406" spans="1:49" x14ac:dyDescent="0.45">
      <c r="A406" s="295">
        <v>21702</v>
      </c>
      <c r="B406" s="12">
        <v>-2.2000000000000001E-3</v>
      </c>
      <c r="C406" s="5">
        <v>-8.7999999999999988E-3</v>
      </c>
      <c r="D406" s="5">
        <v>3.5999999999999999E-3</v>
      </c>
      <c r="E406" s="5">
        <v>3.7166666666666663E-3</v>
      </c>
      <c r="F406" s="5">
        <v>3.7999999999999996E-3</v>
      </c>
      <c r="G406" s="5">
        <v>3.7583333333333331E-3</v>
      </c>
      <c r="H406" s="5">
        <v>4.0500000000000006E-3</v>
      </c>
      <c r="I406" s="5">
        <f t="shared" si="66"/>
        <v>-5.7999999999999996E-3</v>
      </c>
      <c r="J406" s="5">
        <f t="shared" si="59"/>
        <v>-5.9583333333333328E-3</v>
      </c>
      <c r="K406" s="5">
        <f t="shared" si="60"/>
        <v>-1.285E-2</v>
      </c>
      <c r="L406" s="8">
        <f t="shared" si="68"/>
        <v>0.33658349375806895</v>
      </c>
      <c r="M406" s="8">
        <f t="shared" si="69"/>
        <v>4.3200000000000002E-2</v>
      </c>
      <c r="N406" s="8">
        <f t="shared" si="61"/>
        <v>4.5100000000000001E-2</v>
      </c>
      <c r="O406" s="296">
        <f t="shared" si="67"/>
        <v>0.29338349375806894</v>
      </c>
      <c r="P406" s="8">
        <f t="shared" si="62"/>
        <v>0.29148349375806892</v>
      </c>
      <c r="Q406" s="8">
        <f t="shared" si="63"/>
        <v>0.20456147709151118</v>
      </c>
      <c r="R406" s="8">
        <f t="shared" si="64"/>
        <v>4.8600000000000004E-2</v>
      </c>
      <c r="S406" s="296">
        <f t="shared" si="65"/>
        <v>0.15596147709151117</v>
      </c>
      <c r="U406" s="297"/>
      <c r="V406" s="297"/>
      <c r="W406" s="297"/>
      <c r="X406" s="297"/>
      <c r="Y406" s="297"/>
      <c r="Z406" s="297"/>
      <c r="AA406" s="297"/>
      <c r="AB406" s="297"/>
      <c r="AC406" s="297"/>
      <c r="AE406" s="297"/>
      <c r="AF406" s="297"/>
      <c r="AG406" s="297"/>
      <c r="AH406" s="297"/>
      <c r="AI406" s="297"/>
      <c r="AJ406" s="297"/>
      <c r="AK406" s="297"/>
      <c r="AL406" s="297"/>
      <c r="AM406" s="297"/>
      <c r="AO406" s="297"/>
      <c r="AP406" s="297"/>
      <c r="AQ406" s="297"/>
      <c r="AR406" s="297"/>
      <c r="AS406" s="297"/>
      <c r="AT406" s="297"/>
      <c r="AU406" s="297"/>
      <c r="AV406" s="297"/>
      <c r="AW406" s="297"/>
    </row>
    <row r="407" spans="1:49" x14ac:dyDescent="0.45">
      <c r="A407" s="295">
        <v>21732</v>
      </c>
      <c r="B407" s="12">
        <v>3.6299999999999999E-2</v>
      </c>
      <c r="C407" s="5">
        <v>3.7100000000000001E-2</v>
      </c>
      <c r="D407" s="5">
        <v>3.5000000000000005E-3</v>
      </c>
      <c r="E407" s="5">
        <v>3.725E-3</v>
      </c>
      <c r="F407" s="5">
        <v>3.8166666666666666E-3</v>
      </c>
      <c r="G407" s="5">
        <v>3.7708333333333331E-3</v>
      </c>
      <c r="H407" s="5">
        <v>4.0666666666666663E-3</v>
      </c>
      <c r="I407" s="5">
        <f t="shared" si="66"/>
        <v>3.2799999999999996E-2</v>
      </c>
      <c r="J407" s="5">
        <f t="shared" si="59"/>
        <v>3.2529166666666665E-2</v>
      </c>
      <c r="K407" s="5">
        <f t="shared" si="60"/>
        <v>3.3033333333333331E-2</v>
      </c>
      <c r="L407" s="8">
        <f t="shared" si="68"/>
        <v>0.32558280656664507</v>
      </c>
      <c r="M407" s="8">
        <f t="shared" si="69"/>
        <v>4.200000000000001E-2</v>
      </c>
      <c r="N407" s="8">
        <f t="shared" si="61"/>
        <v>4.5249999999999999E-2</v>
      </c>
      <c r="O407" s="296">
        <f t="shared" si="67"/>
        <v>0.28358280656664503</v>
      </c>
      <c r="P407" s="8">
        <f t="shared" si="62"/>
        <v>0.28033280656664505</v>
      </c>
      <c r="Q407" s="8">
        <f t="shared" si="63"/>
        <v>0.23578069828035031</v>
      </c>
      <c r="R407" s="8">
        <f t="shared" si="64"/>
        <v>4.8799999999999996E-2</v>
      </c>
      <c r="S407" s="296">
        <f t="shared" si="65"/>
        <v>0.1869806982803503</v>
      </c>
      <c r="U407" s="297"/>
      <c r="V407" s="297"/>
      <c r="W407" s="297"/>
      <c r="X407" s="297"/>
      <c r="Y407" s="297"/>
      <c r="Z407" s="297"/>
      <c r="AA407" s="297"/>
      <c r="AB407" s="297"/>
      <c r="AC407" s="297"/>
      <c r="AE407" s="297"/>
      <c r="AF407" s="297"/>
      <c r="AG407" s="297"/>
      <c r="AH407" s="297"/>
      <c r="AI407" s="297"/>
      <c r="AJ407" s="297"/>
      <c r="AK407" s="297"/>
      <c r="AL407" s="297"/>
      <c r="AM407" s="297"/>
      <c r="AO407" s="297"/>
      <c r="AP407" s="297"/>
      <c r="AQ407" s="297"/>
      <c r="AR407" s="297"/>
      <c r="AS407" s="297"/>
      <c r="AT407" s="297"/>
      <c r="AU407" s="297"/>
      <c r="AV407" s="297"/>
      <c r="AW407" s="297"/>
    </row>
    <row r="408" spans="1:49" x14ac:dyDescent="0.45">
      <c r="A408" s="295">
        <v>21763</v>
      </c>
      <c r="B408" s="12">
        <v>-1.0200000000000001E-2</v>
      </c>
      <c r="C408" s="5">
        <v>1.7500000000000002E-2</v>
      </c>
      <c r="D408" s="5">
        <v>3.5000000000000005E-3</v>
      </c>
      <c r="E408" s="5">
        <v>3.6916666666666664E-3</v>
      </c>
      <c r="F408" s="5">
        <v>3.8166666666666666E-3</v>
      </c>
      <c r="G408" s="5">
        <v>3.7541666666666661E-3</v>
      </c>
      <c r="H408" s="5">
        <v>4.0749999999999996E-3</v>
      </c>
      <c r="I408" s="5">
        <f t="shared" si="66"/>
        <v>-1.37E-2</v>
      </c>
      <c r="J408" s="5">
        <f t="shared" si="59"/>
        <v>-1.3954166666666667E-2</v>
      </c>
      <c r="K408" s="5">
        <f t="shared" si="60"/>
        <v>1.3425000000000003E-2</v>
      </c>
      <c r="L408" s="8">
        <f t="shared" si="68"/>
        <v>0.28936896810108603</v>
      </c>
      <c r="M408" s="8">
        <f t="shared" si="69"/>
        <v>4.200000000000001E-2</v>
      </c>
      <c r="N408" s="8">
        <f t="shared" si="61"/>
        <v>4.5049999999999993E-2</v>
      </c>
      <c r="O408" s="296">
        <f t="shared" si="67"/>
        <v>0.24736896810108602</v>
      </c>
      <c r="P408" s="8">
        <f t="shared" si="62"/>
        <v>0.24431896810108605</v>
      </c>
      <c r="Q408" s="8">
        <f t="shared" si="63"/>
        <v>0.26588831219194242</v>
      </c>
      <c r="R408" s="8">
        <f t="shared" si="64"/>
        <v>4.8899999999999999E-2</v>
      </c>
      <c r="S408" s="296">
        <f t="shared" si="65"/>
        <v>0.21698831219194242</v>
      </c>
      <c r="U408" s="297"/>
      <c r="V408" s="297"/>
      <c r="W408" s="297"/>
      <c r="X408" s="297"/>
      <c r="Y408" s="297"/>
      <c r="Z408" s="297"/>
      <c r="AA408" s="297"/>
      <c r="AB408" s="297"/>
      <c r="AC408" s="297"/>
      <c r="AE408" s="297"/>
      <c r="AF408" s="297"/>
      <c r="AG408" s="297"/>
      <c r="AH408" s="297"/>
      <c r="AI408" s="297"/>
      <c r="AJ408" s="297"/>
      <c r="AK408" s="297"/>
      <c r="AL408" s="297"/>
      <c r="AM408" s="297"/>
      <c r="AO408" s="297"/>
      <c r="AP408" s="297"/>
      <c r="AQ408" s="297"/>
      <c r="AR408" s="297"/>
      <c r="AS408" s="297"/>
      <c r="AT408" s="297"/>
      <c r="AU408" s="297"/>
      <c r="AV408" s="297"/>
      <c r="AW408" s="297"/>
    </row>
    <row r="409" spans="1:49" x14ac:dyDescent="0.45">
      <c r="A409" s="295">
        <v>21794</v>
      </c>
      <c r="B409" s="12">
        <v>-4.4299999999999999E-2</v>
      </c>
      <c r="C409" s="5">
        <v>-3.9300000000000002E-2</v>
      </c>
      <c r="D409" s="5">
        <v>3.3999999999999998E-3</v>
      </c>
      <c r="E409" s="5">
        <v>3.7666666666666664E-3</v>
      </c>
      <c r="F409" s="5">
        <v>3.908333333333334E-3</v>
      </c>
      <c r="G409" s="5">
        <v>3.8375000000000002E-3</v>
      </c>
      <c r="H409" s="5">
        <v>4.1916666666666665E-3</v>
      </c>
      <c r="I409" s="5">
        <f t="shared" si="66"/>
        <v>-4.7699999999999999E-2</v>
      </c>
      <c r="J409" s="5">
        <f t="shared" si="59"/>
        <v>-4.81375E-2</v>
      </c>
      <c r="K409" s="5">
        <f t="shared" si="60"/>
        <v>-4.3491666666666665E-2</v>
      </c>
      <c r="L409" s="8">
        <f t="shared" si="68"/>
        <v>0.17345959700429314</v>
      </c>
      <c r="M409" s="8">
        <f t="shared" si="69"/>
        <v>4.0799999999999996E-2</v>
      </c>
      <c r="N409" s="8">
        <f t="shared" si="61"/>
        <v>4.6050000000000001E-2</v>
      </c>
      <c r="O409" s="296">
        <f t="shared" si="67"/>
        <v>0.13265959700429314</v>
      </c>
      <c r="P409" s="8">
        <f t="shared" si="62"/>
        <v>0.12740959700429313</v>
      </c>
      <c r="Q409" s="8">
        <f t="shared" si="63"/>
        <v>0.17706049315021311</v>
      </c>
      <c r="R409" s="8">
        <f t="shared" si="64"/>
        <v>5.0299999999999997E-2</v>
      </c>
      <c r="S409" s="296">
        <f t="shared" si="65"/>
        <v>0.12676049315021309</v>
      </c>
      <c r="U409" s="297"/>
      <c r="V409" s="297"/>
      <c r="W409" s="297"/>
      <c r="X409" s="297"/>
      <c r="Y409" s="297"/>
      <c r="Z409" s="297"/>
      <c r="AA409" s="297"/>
      <c r="AB409" s="297"/>
      <c r="AC409" s="297"/>
      <c r="AE409" s="297"/>
      <c r="AF409" s="297"/>
      <c r="AG409" s="297"/>
      <c r="AH409" s="297"/>
      <c r="AI409" s="297"/>
      <c r="AJ409" s="297"/>
      <c r="AK409" s="297"/>
      <c r="AL409" s="297"/>
      <c r="AM409" s="297"/>
      <c r="AO409" s="297"/>
      <c r="AP409" s="297"/>
      <c r="AQ409" s="297"/>
      <c r="AR409" s="297"/>
      <c r="AS409" s="297"/>
      <c r="AT409" s="297"/>
      <c r="AU409" s="297"/>
      <c r="AV409" s="297"/>
      <c r="AW409" s="297"/>
    </row>
    <row r="410" spans="1:49" x14ac:dyDescent="0.45">
      <c r="A410" s="295">
        <v>21824</v>
      </c>
      <c r="B410" s="12">
        <v>1.2800000000000001E-2</v>
      </c>
      <c r="C410" s="5">
        <v>1.5699999999999999E-2</v>
      </c>
      <c r="D410" s="5">
        <v>3.5000000000000005E-3</v>
      </c>
      <c r="E410" s="5">
        <v>3.8083333333333337E-3</v>
      </c>
      <c r="F410" s="5">
        <v>3.966666666666667E-3</v>
      </c>
      <c r="G410" s="5">
        <v>3.8875000000000003E-3</v>
      </c>
      <c r="H410" s="5">
        <v>4.1333333333333335E-3</v>
      </c>
      <c r="I410" s="5">
        <f t="shared" si="66"/>
        <v>9.2999999999999992E-3</v>
      </c>
      <c r="J410" s="5">
        <f t="shared" si="59"/>
        <v>8.9125000000000003E-3</v>
      </c>
      <c r="K410" s="5">
        <f t="shared" si="60"/>
        <v>1.1566666666666666E-2</v>
      </c>
      <c r="L410" s="8">
        <f t="shared" si="68"/>
        <v>0.15723454707492479</v>
      </c>
      <c r="M410" s="8">
        <f t="shared" si="69"/>
        <v>4.200000000000001E-2</v>
      </c>
      <c r="N410" s="8">
        <f t="shared" si="61"/>
        <v>4.6650000000000004E-2</v>
      </c>
      <c r="O410" s="296">
        <f t="shared" si="67"/>
        <v>0.11523454707492478</v>
      </c>
      <c r="P410" s="8">
        <f t="shared" si="62"/>
        <v>0.11058454707492479</v>
      </c>
      <c r="Q410" s="8">
        <f t="shared" si="63"/>
        <v>0.14889519785957228</v>
      </c>
      <c r="R410" s="8">
        <f t="shared" si="64"/>
        <v>4.9600000000000005E-2</v>
      </c>
      <c r="S410" s="296">
        <f t="shared" si="65"/>
        <v>9.9295197859572276E-2</v>
      </c>
      <c r="U410" s="297"/>
      <c r="V410" s="297"/>
      <c r="W410" s="297"/>
      <c r="X410" s="297"/>
      <c r="Y410" s="297"/>
      <c r="Z410" s="297"/>
      <c r="AA410" s="297"/>
      <c r="AB410" s="297"/>
      <c r="AC410" s="297"/>
      <c r="AE410" s="297"/>
      <c r="AF410" s="297"/>
      <c r="AG410" s="297"/>
      <c r="AH410" s="297"/>
      <c r="AI410" s="297"/>
      <c r="AJ410" s="297"/>
      <c r="AK410" s="297"/>
      <c r="AL410" s="297"/>
      <c r="AM410" s="297"/>
      <c r="AO410" s="297"/>
      <c r="AP410" s="297"/>
      <c r="AQ410" s="297"/>
      <c r="AR410" s="297"/>
      <c r="AS410" s="297"/>
      <c r="AT410" s="297"/>
      <c r="AU410" s="297"/>
      <c r="AV410" s="297"/>
      <c r="AW410" s="297"/>
    </row>
    <row r="411" spans="1:49" x14ac:dyDescent="0.45">
      <c r="A411" s="295">
        <v>21855</v>
      </c>
      <c r="B411" s="12">
        <v>1.8599999999999998E-2</v>
      </c>
      <c r="C411" s="5">
        <v>9.9999999999999829E-5</v>
      </c>
      <c r="D411" s="5">
        <v>3.5000000000000005E-3</v>
      </c>
      <c r="E411" s="5">
        <v>3.7999999999999996E-3</v>
      </c>
      <c r="F411" s="5">
        <v>3.9166666666666664E-3</v>
      </c>
      <c r="G411" s="5">
        <v>3.858333333333333E-3</v>
      </c>
      <c r="H411" s="5">
        <v>4.0833333333333338E-3</v>
      </c>
      <c r="I411" s="5">
        <f t="shared" si="66"/>
        <v>1.5099999999999999E-2</v>
      </c>
      <c r="J411" s="5">
        <f t="shared" si="59"/>
        <v>1.4741666666666665E-2</v>
      </c>
      <c r="K411" s="5">
        <f t="shared" si="60"/>
        <v>-3.9833333333333335E-3</v>
      </c>
      <c r="L411" s="8">
        <f t="shared" si="68"/>
        <v>0.14620683552170211</v>
      </c>
      <c r="M411" s="8">
        <f t="shared" si="69"/>
        <v>4.200000000000001E-2</v>
      </c>
      <c r="N411" s="8">
        <f t="shared" si="61"/>
        <v>4.6299999999999994E-2</v>
      </c>
      <c r="O411" s="296">
        <f t="shared" si="67"/>
        <v>0.1042068355217021</v>
      </c>
      <c r="P411" s="8">
        <f t="shared" si="62"/>
        <v>9.9906835521702111E-2</v>
      </c>
      <c r="Q411" s="8">
        <f t="shared" si="63"/>
        <v>0.11956551435190343</v>
      </c>
      <c r="R411" s="8">
        <f t="shared" si="64"/>
        <v>4.9000000000000002E-2</v>
      </c>
      <c r="S411" s="296">
        <f t="shared" si="65"/>
        <v>7.0565514351903433E-2</v>
      </c>
      <c r="U411" s="297"/>
      <c r="V411" s="297"/>
      <c r="W411" s="297"/>
      <c r="X411" s="297"/>
      <c r="Y411" s="297"/>
      <c r="Z411" s="297"/>
      <c r="AA411" s="297"/>
      <c r="AB411" s="297"/>
      <c r="AC411" s="297"/>
      <c r="AE411" s="297"/>
      <c r="AF411" s="297"/>
      <c r="AG411" s="297"/>
      <c r="AH411" s="297"/>
      <c r="AI411" s="297"/>
      <c r="AJ411" s="297"/>
      <c r="AK411" s="297"/>
      <c r="AL411" s="297"/>
      <c r="AM411" s="297"/>
      <c r="AO411" s="297"/>
      <c r="AP411" s="297"/>
      <c r="AQ411" s="297"/>
      <c r="AR411" s="297"/>
      <c r="AS411" s="297"/>
      <c r="AT411" s="297"/>
      <c r="AU411" s="297"/>
      <c r="AV411" s="297"/>
      <c r="AW411" s="297"/>
    </row>
    <row r="412" spans="1:49" x14ac:dyDescent="0.45">
      <c r="A412" s="295">
        <v>21885</v>
      </c>
      <c r="B412" s="12">
        <v>2.92E-2</v>
      </c>
      <c r="C412" s="5">
        <v>2.3E-2</v>
      </c>
      <c r="D412" s="5">
        <v>3.5999999999999999E-3</v>
      </c>
      <c r="E412" s="5">
        <v>3.8166666666666666E-3</v>
      </c>
      <c r="F412" s="5">
        <v>3.9500000000000004E-3</v>
      </c>
      <c r="G412" s="5">
        <v>3.8833333333333333E-3</v>
      </c>
      <c r="H412" s="5">
        <v>4.1333333333333335E-3</v>
      </c>
      <c r="I412" s="5">
        <f t="shared" si="66"/>
        <v>2.5600000000000001E-2</v>
      </c>
      <c r="J412" s="5">
        <f t="shared" si="59"/>
        <v>2.5316666666666668E-2</v>
      </c>
      <c r="K412" s="5">
        <f t="shared" si="60"/>
        <v>1.8866666666666667E-2</v>
      </c>
      <c r="L412" s="8">
        <f t="shared" si="68"/>
        <v>0.11976846238152405</v>
      </c>
      <c r="M412" s="8">
        <f t="shared" si="69"/>
        <v>4.3200000000000002E-2</v>
      </c>
      <c r="N412" s="8">
        <f t="shared" si="61"/>
        <v>4.6600000000000003E-2</v>
      </c>
      <c r="O412" s="296">
        <f t="shared" si="67"/>
        <v>7.6568462381524052E-2</v>
      </c>
      <c r="P412" s="8">
        <f t="shared" si="62"/>
        <v>7.3168462381524052E-2</v>
      </c>
      <c r="Q412" s="8">
        <f t="shared" si="63"/>
        <v>7.490898280806868E-2</v>
      </c>
      <c r="R412" s="8">
        <f t="shared" si="64"/>
        <v>4.9600000000000005E-2</v>
      </c>
      <c r="S412" s="296">
        <f t="shared" si="65"/>
        <v>2.5308982808068675E-2</v>
      </c>
      <c r="U412" s="297"/>
      <c r="V412" s="297"/>
      <c r="W412" s="297"/>
      <c r="X412" s="297"/>
      <c r="Y412" s="297"/>
      <c r="Z412" s="297"/>
      <c r="AA412" s="297"/>
      <c r="AB412" s="297"/>
      <c r="AC412" s="297"/>
      <c r="AE412" s="297"/>
      <c r="AF412" s="297"/>
      <c r="AG412" s="297"/>
      <c r="AH412" s="297"/>
      <c r="AI412" s="297"/>
      <c r="AJ412" s="297"/>
      <c r="AK412" s="297"/>
      <c r="AL412" s="297"/>
      <c r="AM412" s="297"/>
      <c r="AO412" s="297"/>
      <c r="AP412" s="297"/>
      <c r="AQ412" s="297"/>
      <c r="AR412" s="297"/>
      <c r="AS412" s="297"/>
      <c r="AT412" s="297"/>
      <c r="AU412" s="297"/>
      <c r="AV412" s="297"/>
      <c r="AW412" s="297"/>
    </row>
    <row r="413" spans="1:49" x14ac:dyDescent="0.45">
      <c r="A413" s="295">
        <v>21916</v>
      </c>
      <c r="B413" s="12">
        <v>-7.0000000000000007E-2</v>
      </c>
      <c r="C413" s="5">
        <v>-1.0800000000000001E-2</v>
      </c>
      <c r="D413" s="5">
        <v>3.5000000000000005E-3</v>
      </c>
      <c r="E413" s="5">
        <v>3.8416666666666673E-3</v>
      </c>
      <c r="F413" s="5">
        <v>3.9749999999999994E-3</v>
      </c>
      <c r="G413" s="5">
        <v>3.908333333333334E-3</v>
      </c>
      <c r="H413" s="5">
        <v>4.1833333333333332E-3</v>
      </c>
      <c r="I413" s="5">
        <f t="shared" si="66"/>
        <v>-7.350000000000001E-2</v>
      </c>
      <c r="J413" s="5">
        <f t="shared" ref="J413:J476" si="70">B413-G413</f>
        <v>-7.390833333333334E-2</v>
      </c>
      <c r="K413" s="5">
        <f t="shared" ref="K413:K476" si="71">$C413-H413</f>
        <v>-1.4983333333333335E-2</v>
      </c>
      <c r="L413" s="8">
        <f t="shared" si="68"/>
        <v>3.5894429538264161E-2</v>
      </c>
      <c r="M413" s="8">
        <f t="shared" si="69"/>
        <v>4.200000000000001E-2</v>
      </c>
      <c r="N413" s="8">
        <f t="shared" si="61"/>
        <v>4.6900000000000011E-2</v>
      </c>
      <c r="O413" s="296">
        <f t="shared" si="67"/>
        <v>-6.1055704617358486E-3</v>
      </c>
      <c r="P413" s="8">
        <f t="shared" si="62"/>
        <v>-1.100557046173585E-2</v>
      </c>
      <c r="Q413" s="8">
        <f t="shared" si="63"/>
        <v>4.9240147813046198E-2</v>
      </c>
      <c r="R413" s="8">
        <f t="shared" si="64"/>
        <v>5.0199999999999995E-2</v>
      </c>
      <c r="S413" s="296">
        <f t="shared" si="65"/>
        <v>-9.5985218695379682E-4</v>
      </c>
      <c r="U413" s="297"/>
      <c r="V413" s="297"/>
      <c r="W413" s="297"/>
      <c r="X413" s="297"/>
      <c r="Y413" s="297"/>
      <c r="Z413" s="297"/>
      <c r="AA413" s="297"/>
      <c r="AB413" s="297"/>
      <c r="AC413" s="297"/>
      <c r="AE413" s="297"/>
      <c r="AF413" s="297"/>
      <c r="AG413" s="297"/>
      <c r="AH413" s="297"/>
      <c r="AI413" s="297"/>
      <c r="AJ413" s="297"/>
      <c r="AK413" s="297"/>
      <c r="AL413" s="297"/>
      <c r="AM413" s="297"/>
      <c r="AO413" s="297"/>
      <c r="AP413" s="297"/>
      <c r="AQ413" s="297"/>
      <c r="AR413" s="297"/>
      <c r="AS413" s="297"/>
      <c r="AT413" s="297"/>
      <c r="AU413" s="297"/>
      <c r="AV413" s="297"/>
      <c r="AW413" s="297"/>
    </row>
    <row r="414" spans="1:49" x14ac:dyDescent="0.45">
      <c r="A414" s="295">
        <v>21947</v>
      </c>
      <c r="B414" s="12">
        <v>1.47E-2</v>
      </c>
      <c r="C414" s="5">
        <v>1.8099999999999998E-2</v>
      </c>
      <c r="D414" s="5">
        <v>3.7000000000000002E-3</v>
      </c>
      <c r="E414" s="5">
        <v>3.7999999999999996E-3</v>
      </c>
      <c r="F414" s="5">
        <v>3.9250000000000005E-3</v>
      </c>
      <c r="G414" s="5">
        <v>3.8624999999999996E-3</v>
      </c>
      <c r="H414" s="5">
        <v>4.1666666666666666E-3</v>
      </c>
      <c r="I414" s="5">
        <f t="shared" si="66"/>
        <v>1.0999999999999999E-2</v>
      </c>
      <c r="J414" s="5">
        <f t="shared" si="70"/>
        <v>1.08375E-2</v>
      </c>
      <c r="K414" s="5">
        <f t="shared" si="71"/>
        <v>1.3933333333333332E-2</v>
      </c>
      <c r="L414" s="8">
        <f t="shared" si="68"/>
        <v>4.5996693852599302E-2</v>
      </c>
      <c r="M414" s="8">
        <f t="shared" si="69"/>
        <v>4.4400000000000002E-2</v>
      </c>
      <c r="N414" s="8">
        <f t="shared" si="61"/>
        <v>4.6349999999999995E-2</v>
      </c>
      <c r="O414" s="296">
        <f t="shared" si="67"/>
        <v>1.5966938525992999E-3</v>
      </c>
      <c r="P414" s="8">
        <f t="shared" si="62"/>
        <v>-3.5330614740069349E-4</v>
      </c>
      <c r="Q414" s="8">
        <f t="shared" si="63"/>
        <v>4.6669992640077096E-2</v>
      </c>
      <c r="R414" s="8">
        <f t="shared" si="64"/>
        <v>0.05</v>
      </c>
      <c r="S414" s="296">
        <f t="shared" si="65"/>
        <v>-3.3300073599229069E-3</v>
      </c>
      <c r="U414" s="297"/>
      <c r="V414" s="297"/>
      <c r="W414" s="297"/>
      <c r="X414" s="297"/>
      <c r="Y414" s="297"/>
      <c r="Z414" s="297"/>
      <c r="AA414" s="297"/>
      <c r="AB414" s="297"/>
      <c r="AC414" s="297"/>
      <c r="AE414" s="297"/>
      <c r="AF414" s="297"/>
      <c r="AG414" s="297"/>
      <c r="AH414" s="297"/>
      <c r="AI414" s="297"/>
      <c r="AJ414" s="297"/>
      <c r="AK414" s="297"/>
      <c r="AL414" s="297"/>
      <c r="AM414" s="297"/>
      <c r="AO414" s="297"/>
      <c r="AP414" s="297"/>
      <c r="AQ414" s="297"/>
      <c r="AR414" s="297"/>
      <c r="AS414" s="297"/>
      <c r="AT414" s="297"/>
      <c r="AU414" s="297"/>
      <c r="AV414" s="297"/>
      <c r="AW414" s="297"/>
    </row>
    <row r="415" spans="1:49" x14ac:dyDescent="0.45">
      <c r="A415" s="295">
        <v>21976</v>
      </c>
      <c r="B415" s="12">
        <v>-1.23E-2</v>
      </c>
      <c r="C415" s="5">
        <v>1.41E-2</v>
      </c>
      <c r="D415" s="5">
        <v>3.5999999999999999E-3</v>
      </c>
      <c r="E415" s="5">
        <v>3.741666666666667E-3</v>
      </c>
      <c r="F415" s="5">
        <v>3.8500000000000001E-3</v>
      </c>
      <c r="G415" s="5">
        <v>3.7958333333333338E-3</v>
      </c>
      <c r="H415" s="5">
        <v>4.0916666666666671E-3</v>
      </c>
      <c r="I415" s="5">
        <f t="shared" si="66"/>
        <v>-1.5900000000000001E-2</v>
      </c>
      <c r="J415" s="5">
        <f t="shared" si="70"/>
        <v>-1.6095833333333334E-2</v>
      </c>
      <c r="K415" s="5">
        <f t="shared" si="71"/>
        <v>1.0008333333333333E-2</v>
      </c>
      <c r="L415" s="8">
        <f t="shared" si="68"/>
        <v>3.1068796924363706E-2</v>
      </c>
      <c r="M415" s="8">
        <f t="shared" si="69"/>
        <v>4.3200000000000002E-2</v>
      </c>
      <c r="N415" s="8">
        <f t="shared" si="61"/>
        <v>4.5550000000000007E-2</v>
      </c>
      <c r="O415" s="296">
        <f t="shared" si="67"/>
        <v>-1.2131203075636296E-2</v>
      </c>
      <c r="P415" s="8">
        <f t="shared" si="62"/>
        <v>-1.4481203075636301E-2</v>
      </c>
      <c r="Q415" s="8">
        <f t="shared" si="63"/>
        <v>5.0710789483569663E-2</v>
      </c>
      <c r="R415" s="8">
        <f t="shared" si="64"/>
        <v>4.9100000000000005E-2</v>
      </c>
      <c r="S415" s="296">
        <f t="shared" si="65"/>
        <v>1.6107894835696579E-3</v>
      </c>
      <c r="U415" s="297"/>
      <c r="V415" s="297"/>
      <c r="W415" s="297"/>
      <c r="X415" s="297"/>
      <c r="Y415" s="297"/>
      <c r="Z415" s="297"/>
      <c r="AA415" s="297"/>
      <c r="AB415" s="297"/>
      <c r="AC415" s="297"/>
      <c r="AE415" s="297"/>
      <c r="AF415" s="297"/>
      <c r="AG415" s="297"/>
      <c r="AH415" s="297"/>
      <c r="AI415" s="297"/>
      <c r="AJ415" s="297"/>
      <c r="AK415" s="297"/>
      <c r="AL415" s="297"/>
      <c r="AM415" s="297"/>
      <c r="AO415" s="297"/>
      <c r="AP415" s="297"/>
      <c r="AQ415" s="297"/>
      <c r="AR415" s="297"/>
      <c r="AS415" s="297"/>
      <c r="AT415" s="297"/>
      <c r="AU415" s="297"/>
      <c r="AV415" s="297"/>
      <c r="AW415" s="297"/>
    </row>
    <row r="416" spans="1:49" x14ac:dyDescent="0.45">
      <c r="A416" s="295">
        <v>22007</v>
      </c>
      <c r="B416" s="12">
        <v>-1.61E-2</v>
      </c>
      <c r="C416" s="5">
        <v>7.4999999999999997E-3</v>
      </c>
      <c r="D416" s="5">
        <v>3.2000000000000002E-3</v>
      </c>
      <c r="E416" s="5">
        <v>3.7083333333333334E-3</v>
      </c>
      <c r="F416" s="5">
        <v>3.8166666666666666E-3</v>
      </c>
      <c r="G416" s="5">
        <v>3.7624999999999998E-3</v>
      </c>
      <c r="H416" s="5">
        <v>3.9916666666666668E-3</v>
      </c>
      <c r="I416" s="5">
        <f t="shared" si="66"/>
        <v>-1.9300000000000001E-2</v>
      </c>
      <c r="J416" s="5">
        <f t="shared" si="70"/>
        <v>-1.9862499999999998E-2</v>
      </c>
      <c r="K416" s="5">
        <f t="shared" si="71"/>
        <v>3.5083333333333329E-3</v>
      </c>
      <c r="L416" s="8">
        <f t="shared" si="68"/>
        <v>-2.4736983951277214E-2</v>
      </c>
      <c r="M416" s="8">
        <f t="shared" si="69"/>
        <v>3.8400000000000004E-2</v>
      </c>
      <c r="N416" s="8">
        <f t="shared" si="61"/>
        <v>4.5149999999999996E-2</v>
      </c>
      <c r="O416" s="296">
        <f t="shared" si="67"/>
        <v>-6.3136983951277217E-2</v>
      </c>
      <c r="P416" s="8">
        <f t="shared" si="62"/>
        <v>-6.988698395127721E-2</v>
      </c>
      <c r="Q416" s="8">
        <f t="shared" si="63"/>
        <v>6.1563498199655342E-2</v>
      </c>
      <c r="R416" s="8">
        <f t="shared" si="64"/>
        <v>4.7899999999999998E-2</v>
      </c>
      <c r="S416" s="296">
        <f t="shared" si="65"/>
        <v>1.3663498199655344E-2</v>
      </c>
      <c r="U416" s="297"/>
      <c r="V416" s="297"/>
      <c r="W416" s="297"/>
      <c r="X416" s="297"/>
      <c r="Y416" s="297"/>
      <c r="Z416" s="297"/>
      <c r="AA416" s="297"/>
      <c r="AB416" s="297"/>
      <c r="AC416" s="297"/>
      <c r="AE416" s="297"/>
      <c r="AF416" s="297"/>
      <c r="AG416" s="297"/>
      <c r="AH416" s="297"/>
      <c r="AI416" s="297"/>
      <c r="AJ416" s="297"/>
      <c r="AK416" s="297"/>
      <c r="AL416" s="297"/>
      <c r="AM416" s="297"/>
      <c r="AO416" s="297"/>
      <c r="AP416" s="297"/>
      <c r="AQ416" s="297"/>
      <c r="AR416" s="297"/>
      <c r="AS416" s="297"/>
      <c r="AT416" s="297"/>
      <c r="AU416" s="297"/>
      <c r="AV416" s="297"/>
      <c r="AW416" s="297"/>
    </row>
    <row r="417" spans="1:49" x14ac:dyDescent="0.45">
      <c r="A417" s="295">
        <v>22037</v>
      </c>
      <c r="B417" s="12">
        <v>3.2599999999999997E-2</v>
      </c>
      <c r="C417" s="5">
        <v>2.3300000000000001E-2</v>
      </c>
      <c r="D417" s="5">
        <v>3.7000000000000002E-3</v>
      </c>
      <c r="E417" s="5">
        <v>3.7166666666666663E-3</v>
      </c>
      <c r="F417" s="5">
        <v>3.8416666666666673E-3</v>
      </c>
      <c r="G417" s="5">
        <v>3.7791666666666668E-3</v>
      </c>
      <c r="H417" s="5">
        <v>4.0500000000000006E-3</v>
      </c>
      <c r="I417" s="5">
        <f t="shared" si="66"/>
        <v>2.8899999999999995E-2</v>
      </c>
      <c r="J417" s="5">
        <f t="shared" si="70"/>
        <v>2.882083333333333E-2</v>
      </c>
      <c r="K417" s="5">
        <f t="shared" si="71"/>
        <v>1.925E-2</v>
      </c>
      <c r="L417" s="8">
        <f t="shared" si="68"/>
        <v>-1.6546298464931053E-2</v>
      </c>
      <c r="M417" s="8">
        <f t="shared" si="69"/>
        <v>4.4400000000000002E-2</v>
      </c>
      <c r="N417" s="8">
        <f t="shared" si="61"/>
        <v>4.5350000000000001E-2</v>
      </c>
      <c r="O417" s="296">
        <f t="shared" si="67"/>
        <v>-6.0946298464931055E-2</v>
      </c>
      <c r="P417" s="8">
        <f t="shared" si="62"/>
        <v>-6.1896298464931054E-2</v>
      </c>
      <c r="Q417" s="8">
        <f t="shared" si="63"/>
        <v>9.9491829663671538E-2</v>
      </c>
      <c r="R417" s="8">
        <f t="shared" si="64"/>
        <v>4.8600000000000004E-2</v>
      </c>
      <c r="S417" s="296">
        <f t="shared" si="65"/>
        <v>5.0891829663671534E-2</v>
      </c>
      <c r="U417" s="297"/>
      <c r="V417" s="297"/>
      <c r="W417" s="297"/>
      <c r="X417" s="297"/>
      <c r="Y417" s="297"/>
      <c r="Z417" s="297"/>
      <c r="AA417" s="297"/>
      <c r="AB417" s="297"/>
      <c r="AC417" s="297"/>
      <c r="AE417" s="297"/>
      <c r="AF417" s="297"/>
      <c r="AG417" s="297"/>
      <c r="AH417" s="297"/>
      <c r="AI417" s="297"/>
      <c r="AJ417" s="297"/>
      <c r="AK417" s="297"/>
      <c r="AL417" s="297"/>
      <c r="AM417" s="297"/>
      <c r="AO417" s="297"/>
      <c r="AP417" s="297"/>
      <c r="AQ417" s="297"/>
      <c r="AR417" s="297"/>
      <c r="AS417" s="297"/>
      <c r="AT417" s="297"/>
      <c r="AU417" s="297"/>
      <c r="AV417" s="297"/>
      <c r="AW417" s="297"/>
    </row>
    <row r="418" spans="1:49" x14ac:dyDescent="0.45">
      <c r="A418" s="295">
        <v>22068</v>
      </c>
      <c r="B418" s="12">
        <v>2.1100000000000001E-2</v>
      </c>
      <c r="C418" s="5">
        <v>4.0799999999999989E-2</v>
      </c>
      <c r="D418" s="5">
        <v>3.3999999999999998E-3</v>
      </c>
      <c r="E418" s="5">
        <v>3.7083333333333334E-3</v>
      </c>
      <c r="F418" s="5">
        <v>3.8333333333333331E-3</v>
      </c>
      <c r="G418" s="5">
        <v>3.7708333333333331E-3</v>
      </c>
      <c r="H418" s="5">
        <v>4.0333333333333332E-3</v>
      </c>
      <c r="I418" s="5">
        <f t="shared" si="66"/>
        <v>1.77E-2</v>
      </c>
      <c r="J418" s="5">
        <f t="shared" si="70"/>
        <v>1.7329166666666666E-2</v>
      </c>
      <c r="K418" s="5">
        <f t="shared" si="71"/>
        <v>3.6766666666666656E-2</v>
      </c>
      <c r="L418" s="8">
        <f t="shared" si="68"/>
        <v>6.4186957681489076E-3</v>
      </c>
      <c r="M418" s="8">
        <f t="shared" si="69"/>
        <v>4.0799999999999996E-2</v>
      </c>
      <c r="N418" s="8">
        <f t="shared" si="61"/>
        <v>4.5249999999999999E-2</v>
      </c>
      <c r="O418" s="296">
        <f t="shared" si="67"/>
        <v>-3.4381304231851088E-2</v>
      </c>
      <c r="P418" s="8">
        <f t="shared" si="62"/>
        <v>-3.8831304231851091E-2</v>
      </c>
      <c r="Q418" s="8">
        <f t="shared" si="63"/>
        <v>0.15451079127718859</v>
      </c>
      <c r="R418" s="8">
        <f t="shared" si="64"/>
        <v>4.8399999999999999E-2</v>
      </c>
      <c r="S418" s="296">
        <f t="shared" si="65"/>
        <v>0.10611079127718859</v>
      </c>
      <c r="U418" s="297"/>
      <c r="V418" s="297"/>
      <c r="W418" s="297"/>
      <c r="X418" s="297"/>
      <c r="Y418" s="297"/>
      <c r="Z418" s="297"/>
      <c r="AA418" s="297"/>
      <c r="AB418" s="297"/>
      <c r="AC418" s="297"/>
      <c r="AE418" s="297"/>
      <c r="AF418" s="297"/>
      <c r="AG418" s="297"/>
      <c r="AH418" s="297"/>
      <c r="AI418" s="297"/>
      <c r="AJ418" s="297"/>
      <c r="AK418" s="297"/>
      <c r="AL418" s="297"/>
      <c r="AM418" s="297"/>
      <c r="AO418" s="297"/>
      <c r="AP418" s="297"/>
      <c r="AQ418" s="297"/>
      <c r="AR418" s="297"/>
      <c r="AS418" s="297"/>
      <c r="AT418" s="297"/>
      <c r="AU418" s="297"/>
      <c r="AV418" s="297"/>
      <c r="AW418" s="297"/>
    </row>
    <row r="419" spans="1:49" x14ac:dyDescent="0.45">
      <c r="A419" s="295">
        <v>22098</v>
      </c>
      <c r="B419" s="12">
        <v>-2.3400000000000001E-2</v>
      </c>
      <c r="C419" s="5">
        <v>-0.01</v>
      </c>
      <c r="D419" s="5">
        <v>3.2000000000000002E-3</v>
      </c>
      <c r="E419" s="5">
        <v>3.6749999999999999E-3</v>
      </c>
      <c r="F419" s="5">
        <v>3.7999999999999996E-3</v>
      </c>
      <c r="G419" s="5">
        <v>3.7374999999999995E-3</v>
      </c>
      <c r="H419" s="5">
        <v>3.9916666666666668E-3</v>
      </c>
      <c r="I419" s="5">
        <f t="shared" si="66"/>
        <v>-2.6600000000000002E-2</v>
      </c>
      <c r="J419" s="5">
        <f t="shared" si="70"/>
        <v>-2.7137500000000002E-2</v>
      </c>
      <c r="K419" s="5">
        <f t="shared" si="71"/>
        <v>-1.3991666666666666E-2</v>
      </c>
      <c r="L419" s="8">
        <f t="shared" si="68"/>
        <v>-5.1559878136471782E-2</v>
      </c>
      <c r="M419" s="8">
        <f t="shared" si="69"/>
        <v>3.8400000000000004E-2</v>
      </c>
      <c r="N419" s="8">
        <f t="shared" si="61"/>
        <v>4.4849999999999994E-2</v>
      </c>
      <c r="O419" s="296">
        <f t="shared" si="67"/>
        <v>-8.9959878136471785E-2</v>
      </c>
      <c r="P419" s="8">
        <f t="shared" si="62"/>
        <v>-9.6409878136471783E-2</v>
      </c>
      <c r="Q419" s="8">
        <f t="shared" si="63"/>
        <v>0.10207856847403018</v>
      </c>
      <c r="R419" s="8">
        <f t="shared" si="64"/>
        <v>4.7899999999999998E-2</v>
      </c>
      <c r="S419" s="296">
        <f t="shared" si="65"/>
        <v>5.4178568474030186E-2</v>
      </c>
      <c r="U419" s="297"/>
      <c r="V419" s="297"/>
      <c r="W419" s="297"/>
      <c r="X419" s="297"/>
      <c r="Y419" s="297"/>
      <c r="Z419" s="297"/>
      <c r="AA419" s="297"/>
      <c r="AB419" s="297"/>
      <c r="AC419" s="297"/>
      <c r="AE419" s="297"/>
      <c r="AF419" s="297"/>
      <c r="AG419" s="297"/>
      <c r="AH419" s="297"/>
      <c r="AI419" s="297"/>
      <c r="AJ419" s="297"/>
      <c r="AK419" s="297"/>
      <c r="AL419" s="297"/>
      <c r="AM419" s="297"/>
      <c r="AO419" s="297"/>
      <c r="AP419" s="297"/>
      <c r="AQ419" s="297"/>
      <c r="AR419" s="297"/>
      <c r="AS419" s="297"/>
      <c r="AT419" s="297"/>
      <c r="AU419" s="297"/>
      <c r="AV419" s="297"/>
      <c r="AW419" s="297"/>
    </row>
    <row r="420" spans="1:49" x14ac:dyDescent="0.45">
      <c r="A420" s="295">
        <v>22129</v>
      </c>
      <c r="B420" s="12">
        <v>3.1699999999999999E-2</v>
      </c>
      <c r="C420" s="5">
        <v>5.0200000000000002E-2</v>
      </c>
      <c r="D420" s="5">
        <v>3.3999999999999998E-3</v>
      </c>
      <c r="E420" s="5">
        <v>3.5666666666666668E-3</v>
      </c>
      <c r="F420" s="5">
        <v>3.7000000000000006E-3</v>
      </c>
      <c r="G420" s="5">
        <v>3.6333333333333339E-3</v>
      </c>
      <c r="H420" s="5">
        <v>3.8666666666666667E-3</v>
      </c>
      <c r="I420" s="5">
        <f t="shared" si="66"/>
        <v>2.8299999999999999E-2</v>
      </c>
      <c r="J420" s="5">
        <f t="shared" si="70"/>
        <v>2.8066666666666663E-2</v>
      </c>
      <c r="K420" s="5">
        <f t="shared" si="71"/>
        <v>4.6333333333333337E-2</v>
      </c>
      <c r="L420" s="8">
        <f t="shared" si="68"/>
        <v>-1.141071557223472E-2</v>
      </c>
      <c r="M420" s="8">
        <f t="shared" si="69"/>
        <v>4.0799999999999996E-2</v>
      </c>
      <c r="N420" s="8">
        <f t="shared" si="61"/>
        <v>4.3600000000000007E-2</v>
      </c>
      <c r="O420" s="296">
        <f t="shared" si="67"/>
        <v>-5.2210715572234716E-2</v>
      </c>
      <c r="P420" s="8">
        <f t="shared" si="62"/>
        <v>-5.5010715572234727E-2</v>
      </c>
      <c r="Q420" s="8">
        <f t="shared" si="63"/>
        <v>0.13749672001123003</v>
      </c>
      <c r="R420" s="8">
        <f t="shared" si="64"/>
        <v>4.6399999999999997E-2</v>
      </c>
      <c r="S420" s="296">
        <f t="shared" si="65"/>
        <v>9.1096720011230037E-2</v>
      </c>
      <c r="U420" s="297"/>
      <c r="V420" s="297"/>
      <c r="W420" s="297"/>
      <c r="X420" s="297"/>
      <c r="Y420" s="297"/>
      <c r="Z420" s="297"/>
      <c r="AA420" s="297"/>
      <c r="AB420" s="297"/>
      <c r="AC420" s="297"/>
      <c r="AE420" s="297"/>
      <c r="AF420" s="297"/>
      <c r="AG420" s="297"/>
      <c r="AH420" s="297"/>
      <c r="AI420" s="297"/>
      <c r="AJ420" s="297"/>
      <c r="AK420" s="297"/>
      <c r="AL420" s="297"/>
      <c r="AM420" s="297"/>
      <c r="AO420" s="297"/>
      <c r="AP420" s="297"/>
      <c r="AQ420" s="297"/>
      <c r="AR420" s="297"/>
      <c r="AS420" s="297"/>
      <c r="AT420" s="297"/>
      <c r="AU420" s="297"/>
      <c r="AV420" s="297"/>
      <c r="AW420" s="297"/>
    </row>
    <row r="421" spans="1:49" x14ac:dyDescent="0.45">
      <c r="A421" s="295">
        <v>22160</v>
      </c>
      <c r="B421" s="12">
        <v>-5.8999999999999997E-2</v>
      </c>
      <c r="C421" s="5">
        <v>-5.1400000000000008E-2</v>
      </c>
      <c r="D421" s="5">
        <v>3.2000000000000002E-3</v>
      </c>
      <c r="E421" s="5">
        <v>3.5416666666666669E-3</v>
      </c>
      <c r="F421" s="5">
        <v>3.6749999999999999E-3</v>
      </c>
      <c r="G421" s="5">
        <v>3.6083333333333332E-3</v>
      </c>
      <c r="H421" s="5">
        <v>3.8083333333333337E-3</v>
      </c>
      <c r="I421" s="5">
        <f t="shared" si="66"/>
        <v>-6.2199999999999998E-2</v>
      </c>
      <c r="J421" s="5">
        <f t="shared" si="70"/>
        <v>-6.2608333333333335E-2</v>
      </c>
      <c r="K421" s="5">
        <f t="shared" si="71"/>
        <v>-5.5208333333333345E-2</v>
      </c>
      <c r="L421" s="8">
        <f t="shared" si="68"/>
        <v>-2.6616598674764846E-2</v>
      </c>
      <c r="M421" s="8">
        <f t="shared" si="69"/>
        <v>3.8400000000000004E-2</v>
      </c>
      <c r="N421" s="8">
        <f t="shared" si="61"/>
        <v>4.3299999999999998E-2</v>
      </c>
      <c r="O421" s="296">
        <f t="shared" si="67"/>
        <v>-6.501659867476485E-2</v>
      </c>
      <c r="P421" s="8">
        <f t="shared" si="62"/>
        <v>-6.9916598674764852E-2</v>
      </c>
      <c r="Q421" s="8">
        <f t="shared" si="63"/>
        <v>0.12316996835916827</v>
      </c>
      <c r="R421" s="8">
        <f t="shared" si="64"/>
        <v>4.5700000000000005E-2</v>
      </c>
      <c r="S421" s="296">
        <f t="shared" si="65"/>
        <v>7.7469968359168265E-2</v>
      </c>
      <c r="U421" s="297"/>
      <c r="V421" s="297"/>
      <c r="W421" s="297"/>
      <c r="X421" s="297"/>
      <c r="Y421" s="297"/>
      <c r="Z421" s="297"/>
      <c r="AA421" s="297"/>
      <c r="AB421" s="297"/>
      <c r="AC421" s="297"/>
      <c r="AE421" s="297"/>
      <c r="AF421" s="297"/>
      <c r="AG421" s="297"/>
      <c r="AH421" s="297"/>
      <c r="AI421" s="297"/>
      <c r="AJ421" s="297"/>
      <c r="AK421" s="297"/>
      <c r="AL421" s="297"/>
      <c r="AM421" s="297"/>
      <c r="AO421" s="297"/>
      <c r="AP421" s="297"/>
      <c r="AQ421" s="297"/>
      <c r="AR421" s="297"/>
      <c r="AS421" s="297"/>
      <c r="AT421" s="297"/>
      <c r="AU421" s="297"/>
      <c r="AV421" s="297"/>
      <c r="AW421" s="297"/>
    </row>
    <row r="422" spans="1:49" x14ac:dyDescent="0.45">
      <c r="A422" s="295">
        <v>22190</v>
      </c>
      <c r="B422" s="12">
        <v>-6.9999999999999999E-4</v>
      </c>
      <c r="C422" s="5">
        <v>-1.1999999999999997E-3</v>
      </c>
      <c r="D422" s="5">
        <v>3.3E-3</v>
      </c>
      <c r="E422" s="5">
        <v>3.5833333333333333E-3</v>
      </c>
      <c r="F422" s="5">
        <v>3.7000000000000006E-3</v>
      </c>
      <c r="G422" s="5">
        <v>3.6416666666666667E-3</v>
      </c>
      <c r="H422" s="5">
        <v>3.8416666666666673E-3</v>
      </c>
      <c r="I422" s="5">
        <f t="shared" si="66"/>
        <v>-4.0000000000000001E-3</v>
      </c>
      <c r="J422" s="5">
        <f t="shared" si="70"/>
        <v>-4.3416666666666664E-3</v>
      </c>
      <c r="K422" s="5">
        <f t="shared" si="71"/>
        <v>-5.0416666666666665E-3</v>
      </c>
      <c r="L422" s="8">
        <f t="shared" si="68"/>
        <v>-3.9591199699538504E-2</v>
      </c>
      <c r="M422" s="8">
        <f t="shared" si="69"/>
        <v>3.9599999999999996E-2</v>
      </c>
      <c r="N422" s="8">
        <f t="shared" si="61"/>
        <v>4.3700000000000003E-2</v>
      </c>
      <c r="O422" s="296">
        <f t="shared" si="67"/>
        <v>-7.91911996995385E-2</v>
      </c>
      <c r="P422" s="8">
        <f t="shared" si="62"/>
        <v>-8.3291199699538507E-2</v>
      </c>
      <c r="Q422" s="8">
        <f t="shared" si="63"/>
        <v>0.10448180013501696</v>
      </c>
      <c r="R422" s="8">
        <f t="shared" si="64"/>
        <v>4.6100000000000009E-2</v>
      </c>
      <c r="S422" s="296">
        <f t="shared" si="65"/>
        <v>5.8381800135016947E-2</v>
      </c>
      <c r="U422" s="297"/>
      <c r="V422" s="297"/>
      <c r="W422" s="297"/>
      <c r="X422" s="297"/>
      <c r="Y422" s="297"/>
      <c r="Z422" s="297"/>
      <c r="AA422" s="297"/>
      <c r="AB422" s="297"/>
      <c r="AC422" s="297"/>
      <c r="AE422" s="297"/>
      <c r="AF422" s="297"/>
      <c r="AG422" s="297"/>
      <c r="AH422" s="297"/>
      <c r="AI422" s="297"/>
      <c r="AJ422" s="297"/>
      <c r="AK422" s="297"/>
      <c r="AL422" s="297"/>
      <c r="AM422" s="297"/>
      <c r="AO422" s="297"/>
      <c r="AP422" s="297"/>
      <c r="AQ422" s="297"/>
      <c r="AR422" s="297"/>
      <c r="AS422" s="297"/>
      <c r="AT422" s="297"/>
      <c r="AU422" s="297"/>
      <c r="AV422" s="297"/>
      <c r="AW422" s="297"/>
    </row>
    <row r="423" spans="1:49" x14ac:dyDescent="0.45">
      <c r="A423" s="295">
        <v>22221</v>
      </c>
      <c r="B423" s="12">
        <v>4.65E-2</v>
      </c>
      <c r="C423" s="5">
        <v>3.8599999999999995E-2</v>
      </c>
      <c r="D423" s="5">
        <v>3.2000000000000002E-3</v>
      </c>
      <c r="E423" s="5">
        <v>3.5916666666666662E-3</v>
      </c>
      <c r="F423" s="5">
        <v>3.725E-3</v>
      </c>
      <c r="G423" s="5">
        <v>3.6583333333333333E-3</v>
      </c>
      <c r="H423" s="5">
        <v>3.8508333333333337E-3</v>
      </c>
      <c r="I423" s="5">
        <f t="shared" si="66"/>
        <v>4.3299999999999998E-2</v>
      </c>
      <c r="J423" s="5">
        <f t="shared" si="70"/>
        <v>4.2841666666666667E-2</v>
      </c>
      <c r="K423" s="5">
        <f t="shared" si="71"/>
        <v>3.4749166666666664E-2</v>
      </c>
      <c r="L423" s="8">
        <f t="shared" si="68"/>
        <v>-1.3285087851528599E-2</v>
      </c>
      <c r="M423" s="8">
        <f t="shared" si="69"/>
        <v>3.8400000000000004E-2</v>
      </c>
      <c r="N423" s="8">
        <f t="shared" si="61"/>
        <v>4.3900000000000002E-2</v>
      </c>
      <c r="O423" s="296">
        <f t="shared" si="67"/>
        <v>-5.1685087851528602E-2</v>
      </c>
      <c r="P423" s="8">
        <f t="shared" si="62"/>
        <v>-5.71850878515286E-2</v>
      </c>
      <c r="Q423" s="8">
        <f t="shared" si="63"/>
        <v>0.14700009761046773</v>
      </c>
      <c r="R423" s="8">
        <f t="shared" si="64"/>
        <v>4.6210000000000001E-2</v>
      </c>
      <c r="S423" s="296">
        <f t="shared" si="65"/>
        <v>0.10079009761046773</v>
      </c>
      <c r="U423" s="297"/>
      <c r="V423" s="297"/>
      <c r="W423" s="297"/>
      <c r="X423" s="297"/>
      <c r="Y423" s="297"/>
      <c r="Z423" s="297"/>
      <c r="AA423" s="297"/>
      <c r="AB423" s="297"/>
      <c r="AC423" s="297"/>
      <c r="AE423" s="297"/>
      <c r="AF423" s="297"/>
      <c r="AG423" s="297"/>
      <c r="AH423" s="297"/>
      <c r="AI423" s="297"/>
      <c r="AJ423" s="297"/>
      <c r="AK423" s="297"/>
      <c r="AL423" s="297"/>
      <c r="AM423" s="297"/>
      <c r="AO423" s="297"/>
      <c r="AP423" s="297"/>
      <c r="AQ423" s="297"/>
      <c r="AR423" s="297"/>
      <c r="AS423" s="297"/>
      <c r="AT423" s="297"/>
      <c r="AU423" s="297"/>
      <c r="AV423" s="297"/>
      <c r="AW423" s="297"/>
    </row>
    <row r="424" spans="1:49" x14ac:dyDescent="0.45">
      <c r="A424" s="295">
        <v>22251</v>
      </c>
      <c r="B424" s="12">
        <v>4.7899999999999998E-2</v>
      </c>
      <c r="C424" s="5">
        <v>7.2399999999999992E-2</v>
      </c>
      <c r="D424" s="5">
        <v>3.3E-3</v>
      </c>
      <c r="E424" s="5">
        <v>3.6249999999999998E-3</v>
      </c>
      <c r="F424" s="5">
        <v>3.7499999999999999E-3</v>
      </c>
      <c r="G424" s="5">
        <v>3.6875000000000002E-3</v>
      </c>
      <c r="H424" s="5">
        <v>3.875E-3</v>
      </c>
      <c r="I424" s="5">
        <f t="shared" si="66"/>
        <v>4.4600000000000001E-2</v>
      </c>
      <c r="J424" s="5">
        <f t="shared" si="70"/>
        <v>4.4212499999999995E-2</v>
      </c>
      <c r="K424" s="5">
        <f t="shared" si="71"/>
        <v>6.8524999999999989E-2</v>
      </c>
      <c r="L424" s="8">
        <f t="shared" si="68"/>
        <v>4.6429813839716783E-3</v>
      </c>
      <c r="M424" s="8">
        <f t="shared" si="69"/>
        <v>3.9599999999999996E-2</v>
      </c>
      <c r="N424" s="8">
        <f t="shared" ref="N424:N487" si="72">G424*12</f>
        <v>4.4250000000000005E-2</v>
      </c>
      <c r="O424" s="296">
        <f t="shared" si="67"/>
        <v>-3.4957018616028318E-2</v>
      </c>
      <c r="P424" s="8">
        <f t="shared" ref="P424:P487" si="73">L424-N424</f>
        <v>-3.9607018616028326E-2</v>
      </c>
      <c r="Q424" s="8">
        <f t="shared" ref="Q424:Q487" si="74">((1+C413)*(1+C414)*(1+C415)*(1+C416)*(1+C417)*(1+C418)*(1+C419)*(1+C420)*(1+C421)*(1+C422)*(1+C423)*(1+C424))-1</f>
        <v>0.20238798111189249</v>
      </c>
      <c r="R424" s="8">
        <f t="shared" ref="R424:R487" si="75">H424*12</f>
        <v>4.65E-2</v>
      </c>
      <c r="S424" s="296">
        <f t="shared" ref="S424:S487" si="76">Q424-R424</f>
        <v>0.1558879811118925</v>
      </c>
      <c r="U424" s="297"/>
      <c r="V424" s="297"/>
      <c r="W424" s="297"/>
      <c r="X424" s="297"/>
      <c r="Y424" s="297"/>
      <c r="Z424" s="297"/>
      <c r="AA424" s="297"/>
      <c r="AB424" s="297"/>
      <c r="AC424" s="297"/>
      <c r="AE424" s="297"/>
      <c r="AF424" s="297"/>
      <c r="AG424" s="297"/>
      <c r="AH424" s="297"/>
      <c r="AI424" s="297"/>
      <c r="AJ424" s="297"/>
      <c r="AK424" s="297"/>
      <c r="AL424" s="297"/>
      <c r="AM424" s="297"/>
      <c r="AO424" s="297"/>
      <c r="AP424" s="297"/>
      <c r="AQ424" s="297"/>
      <c r="AR424" s="297"/>
      <c r="AS424" s="297"/>
      <c r="AT424" s="297"/>
      <c r="AU424" s="297"/>
      <c r="AV424" s="297"/>
      <c r="AW424" s="297"/>
    </row>
    <row r="425" spans="1:49" x14ac:dyDescent="0.45">
      <c r="A425" s="295">
        <v>22282</v>
      </c>
      <c r="B425" s="12">
        <v>6.4500000000000002E-2</v>
      </c>
      <c r="C425" s="5">
        <v>6.1900000000000004E-2</v>
      </c>
      <c r="D425" s="5">
        <v>3.3E-3</v>
      </c>
      <c r="E425" s="5">
        <v>3.6000000000000003E-3</v>
      </c>
      <c r="F425" s="5">
        <v>3.7333333333333333E-3</v>
      </c>
      <c r="G425" s="5">
        <v>3.666666666666667E-3</v>
      </c>
      <c r="H425" s="5">
        <v>3.8666666666666667E-3</v>
      </c>
      <c r="I425" s="5">
        <f t="shared" si="66"/>
        <v>6.1200000000000004E-2</v>
      </c>
      <c r="J425" s="5">
        <f t="shared" si="70"/>
        <v>6.0833333333333336E-2</v>
      </c>
      <c r="K425" s="5">
        <f t="shared" si="71"/>
        <v>5.803333333333334E-2</v>
      </c>
      <c r="L425" s="8">
        <f t="shared" si="68"/>
        <v>0.14993812224004044</v>
      </c>
      <c r="M425" s="8">
        <f t="shared" si="69"/>
        <v>3.9599999999999996E-2</v>
      </c>
      <c r="N425" s="8">
        <f t="shared" si="72"/>
        <v>4.4000000000000004E-2</v>
      </c>
      <c r="O425" s="296">
        <f t="shared" si="67"/>
        <v>0.11033812224004044</v>
      </c>
      <c r="P425" s="8">
        <f t="shared" si="73"/>
        <v>0.10593812224004043</v>
      </c>
      <c r="Q425" s="8">
        <f t="shared" si="74"/>
        <v>0.29075596152721284</v>
      </c>
      <c r="R425" s="8">
        <f t="shared" si="75"/>
        <v>4.6399999999999997E-2</v>
      </c>
      <c r="S425" s="296">
        <f t="shared" si="76"/>
        <v>0.24435596152721284</v>
      </c>
      <c r="U425" s="297"/>
      <c r="V425" s="297"/>
      <c r="W425" s="297"/>
      <c r="X425" s="297"/>
      <c r="Y425" s="297"/>
      <c r="Z425" s="297"/>
      <c r="AA425" s="297"/>
      <c r="AB425" s="297"/>
      <c r="AC425" s="297"/>
      <c r="AE425" s="297"/>
      <c r="AF425" s="297"/>
      <c r="AG425" s="297"/>
      <c r="AH425" s="297"/>
      <c r="AI425" s="297"/>
      <c r="AJ425" s="297"/>
      <c r="AK425" s="297"/>
      <c r="AL425" s="297"/>
      <c r="AM425" s="297"/>
      <c r="AO425" s="297"/>
      <c r="AP425" s="297"/>
      <c r="AQ425" s="297"/>
      <c r="AR425" s="297"/>
      <c r="AS425" s="297"/>
      <c r="AT425" s="297"/>
      <c r="AU425" s="297"/>
      <c r="AV425" s="297"/>
      <c r="AW425" s="297"/>
    </row>
    <row r="426" spans="1:49" x14ac:dyDescent="0.45">
      <c r="A426" s="295">
        <v>22313</v>
      </c>
      <c r="B426" s="12">
        <v>3.1899999999999998E-2</v>
      </c>
      <c r="C426" s="5">
        <v>3.5700000000000003E-2</v>
      </c>
      <c r="D426" s="5">
        <v>3.0000000000000001E-3</v>
      </c>
      <c r="E426" s="5">
        <v>3.5583333333333326E-3</v>
      </c>
      <c r="F426" s="5">
        <v>3.666666666666667E-3</v>
      </c>
      <c r="G426" s="5">
        <v>3.6124999999999994E-3</v>
      </c>
      <c r="H426" s="5">
        <v>3.8250000000000003E-3</v>
      </c>
      <c r="I426" s="5">
        <f t="shared" si="66"/>
        <v>2.8899999999999999E-2</v>
      </c>
      <c r="J426" s="5">
        <f t="shared" si="70"/>
        <v>2.82875E-2</v>
      </c>
      <c r="K426" s="5">
        <f t="shared" si="71"/>
        <v>3.1875000000000001E-2</v>
      </c>
      <c r="L426" s="8">
        <f t="shared" si="68"/>
        <v>0.1694305196999093</v>
      </c>
      <c r="M426" s="8">
        <f t="shared" si="69"/>
        <v>3.6000000000000004E-2</v>
      </c>
      <c r="N426" s="8">
        <f t="shared" si="72"/>
        <v>4.3349999999999993E-2</v>
      </c>
      <c r="O426" s="296">
        <f t="shared" si="67"/>
        <v>0.13343051969990929</v>
      </c>
      <c r="P426" s="8">
        <f t="shared" si="73"/>
        <v>0.1260805196999093</v>
      </c>
      <c r="Q426" s="8">
        <f t="shared" si="74"/>
        <v>0.31306939333438177</v>
      </c>
      <c r="R426" s="8">
        <f t="shared" si="75"/>
        <v>4.5900000000000003E-2</v>
      </c>
      <c r="S426" s="296">
        <f t="shared" si="76"/>
        <v>0.26716939333438178</v>
      </c>
      <c r="U426" s="297"/>
      <c r="V426" s="297"/>
      <c r="W426" s="297"/>
      <c r="X426" s="297"/>
      <c r="Y426" s="297"/>
      <c r="Z426" s="297"/>
      <c r="AA426" s="297"/>
      <c r="AB426" s="297"/>
      <c r="AC426" s="297"/>
      <c r="AE426" s="297"/>
      <c r="AF426" s="297"/>
      <c r="AG426" s="297"/>
      <c r="AH426" s="297"/>
      <c r="AI426" s="297"/>
      <c r="AJ426" s="297"/>
      <c r="AK426" s="297"/>
      <c r="AL426" s="297"/>
      <c r="AM426" s="297"/>
      <c r="AO426" s="297"/>
      <c r="AP426" s="297"/>
      <c r="AQ426" s="297"/>
      <c r="AR426" s="297"/>
      <c r="AS426" s="297"/>
      <c r="AT426" s="297"/>
      <c r="AU426" s="297"/>
      <c r="AV426" s="297"/>
      <c r="AW426" s="297"/>
    </row>
    <row r="427" spans="1:49" x14ac:dyDescent="0.45">
      <c r="A427" s="295">
        <v>22341</v>
      </c>
      <c r="B427" s="12">
        <v>2.7E-2</v>
      </c>
      <c r="C427" s="5">
        <v>3.1899999999999998E-2</v>
      </c>
      <c r="D427" s="5">
        <v>3.0999999999999999E-3</v>
      </c>
      <c r="E427" s="5">
        <v>3.5166666666666662E-3</v>
      </c>
      <c r="F427" s="5">
        <v>3.6083333333333332E-3</v>
      </c>
      <c r="G427" s="5">
        <v>3.5624999999999997E-3</v>
      </c>
      <c r="H427" s="5">
        <v>3.7333333333333333E-3</v>
      </c>
      <c r="I427" s="5">
        <f t="shared" si="66"/>
        <v>2.3900000000000001E-2</v>
      </c>
      <c r="J427" s="5">
        <f t="shared" si="70"/>
        <v>2.34375E-2</v>
      </c>
      <c r="K427" s="5">
        <f t="shared" si="71"/>
        <v>2.8166666666666666E-2</v>
      </c>
      <c r="L427" s="8">
        <f t="shared" si="68"/>
        <v>0.21596146981047526</v>
      </c>
      <c r="M427" s="8">
        <f t="shared" si="69"/>
        <v>3.7199999999999997E-2</v>
      </c>
      <c r="N427" s="8">
        <f t="shared" si="72"/>
        <v>4.2749999999999996E-2</v>
      </c>
      <c r="O427" s="296">
        <f t="shared" si="67"/>
        <v>0.17876146981047525</v>
      </c>
      <c r="P427" s="8">
        <f t="shared" si="73"/>
        <v>0.17321146981047525</v>
      </c>
      <c r="Q427" s="8">
        <f t="shared" si="74"/>
        <v>0.33611705648530577</v>
      </c>
      <c r="R427" s="8">
        <f t="shared" si="75"/>
        <v>4.48E-2</v>
      </c>
      <c r="S427" s="296">
        <f t="shared" si="76"/>
        <v>0.29131705648530576</v>
      </c>
      <c r="U427" s="297"/>
      <c r="V427" s="297"/>
      <c r="W427" s="297"/>
      <c r="X427" s="297"/>
      <c r="Y427" s="297"/>
      <c r="Z427" s="297"/>
      <c r="AA427" s="297"/>
      <c r="AB427" s="297"/>
      <c r="AC427" s="297"/>
      <c r="AE427" s="297"/>
      <c r="AF427" s="297"/>
      <c r="AG427" s="297"/>
      <c r="AH427" s="297"/>
      <c r="AI427" s="297"/>
      <c r="AJ427" s="297"/>
      <c r="AK427" s="297"/>
      <c r="AL427" s="297"/>
      <c r="AM427" s="297"/>
      <c r="AO427" s="297"/>
      <c r="AP427" s="297"/>
      <c r="AQ427" s="297"/>
      <c r="AR427" s="297"/>
      <c r="AS427" s="297"/>
      <c r="AT427" s="297"/>
      <c r="AU427" s="297"/>
      <c r="AV427" s="297"/>
      <c r="AW427" s="297"/>
    </row>
    <row r="428" spans="1:49" x14ac:dyDescent="0.45">
      <c r="A428" s="295">
        <v>22372</v>
      </c>
      <c r="B428" s="12">
        <v>5.1000000000000004E-3</v>
      </c>
      <c r="C428" s="5">
        <v>1.09E-2</v>
      </c>
      <c r="D428" s="5">
        <v>3.0999999999999999E-3</v>
      </c>
      <c r="E428" s="5">
        <v>3.5416666666666669E-3</v>
      </c>
      <c r="F428" s="5">
        <v>3.6416666666666667E-3</v>
      </c>
      <c r="G428" s="5">
        <v>3.5916666666666671E-3</v>
      </c>
      <c r="H428" s="5">
        <v>3.7333333333333333E-3</v>
      </c>
      <c r="I428" s="5">
        <f t="shared" si="66"/>
        <v>2.0000000000000005E-3</v>
      </c>
      <c r="J428" s="5">
        <f t="shared" si="70"/>
        <v>1.5083333333333333E-3</v>
      </c>
      <c r="K428" s="5">
        <f t="shared" si="71"/>
        <v>7.1666666666666667E-3</v>
      </c>
      <c r="L428" s="8">
        <f t="shared" si="68"/>
        <v>0.24216167629485663</v>
      </c>
      <c r="M428" s="8">
        <f t="shared" si="69"/>
        <v>3.7199999999999997E-2</v>
      </c>
      <c r="N428" s="8">
        <f t="shared" si="72"/>
        <v>4.3100000000000006E-2</v>
      </c>
      <c r="O428" s="296">
        <f t="shared" si="67"/>
        <v>0.20496167629485662</v>
      </c>
      <c r="P428" s="8">
        <f t="shared" si="73"/>
        <v>0.19906167629485663</v>
      </c>
      <c r="Q428" s="8">
        <f t="shared" si="74"/>
        <v>0.34062603712257622</v>
      </c>
      <c r="R428" s="8">
        <f t="shared" si="75"/>
        <v>4.48E-2</v>
      </c>
      <c r="S428" s="296">
        <f t="shared" si="76"/>
        <v>0.29582603712257621</v>
      </c>
      <c r="U428" s="297"/>
      <c r="V428" s="297"/>
      <c r="W428" s="297"/>
      <c r="X428" s="297"/>
      <c r="Y428" s="297"/>
      <c r="Z428" s="297"/>
      <c r="AA428" s="297"/>
      <c r="AB428" s="297"/>
      <c r="AC428" s="297"/>
      <c r="AE428" s="297"/>
      <c r="AF428" s="297"/>
      <c r="AG428" s="297"/>
      <c r="AH428" s="297"/>
      <c r="AI428" s="297"/>
      <c r="AJ428" s="297"/>
      <c r="AK428" s="297"/>
      <c r="AL428" s="297"/>
      <c r="AM428" s="297"/>
      <c r="AO428" s="297"/>
      <c r="AP428" s="297"/>
      <c r="AQ428" s="297"/>
      <c r="AR428" s="297"/>
      <c r="AS428" s="297"/>
      <c r="AT428" s="297"/>
      <c r="AU428" s="297"/>
      <c r="AV428" s="297"/>
      <c r="AW428" s="297"/>
    </row>
    <row r="429" spans="1:49" x14ac:dyDescent="0.45">
      <c r="A429" s="295">
        <v>22402</v>
      </c>
      <c r="B429" s="12">
        <v>2.3900000000000001E-2</v>
      </c>
      <c r="C429" s="5">
        <v>1.3299999999999999E-2</v>
      </c>
      <c r="D429" s="5">
        <v>3.3999999999999998E-3</v>
      </c>
      <c r="E429" s="5">
        <v>3.5583333333333326E-3</v>
      </c>
      <c r="F429" s="5">
        <v>3.6749999999999999E-3</v>
      </c>
      <c r="G429" s="5">
        <v>3.6166666666666665E-3</v>
      </c>
      <c r="H429" s="5">
        <v>3.7666666666666664E-3</v>
      </c>
      <c r="I429" s="5">
        <f t="shared" si="66"/>
        <v>2.0500000000000001E-2</v>
      </c>
      <c r="J429" s="5">
        <f t="shared" si="70"/>
        <v>2.0283333333333334E-2</v>
      </c>
      <c r="K429" s="5">
        <f t="shared" si="71"/>
        <v>9.5333333333333329E-3</v>
      </c>
      <c r="L429" s="8">
        <f t="shared" si="68"/>
        <v>0.23169604915582331</v>
      </c>
      <c r="M429" s="8">
        <f t="shared" si="69"/>
        <v>4.0799999999999996E-2</v>
      </c>
      <c r="N429" s="8">
        <f t="shared" si="72"/>
        <v>4.3399999999999994E-2</v>
      </c>
      <c r="O429" s="296">
        <f t="shared" si="67"/>
        <v>0.19089604915582331</v>
      </c>
      <c r="P429" s="8">
        <f t="shared" si="73"/>
        <v>0.18829604915582332</v>
      </c>
      <c r="Q429" s="8">
        <f t="shared" si="74"/>
        <v>0.32752503021235846</v>
      </c>
      <c r="R429" s="8">
        <f t="shared" si="75"/>
        <v>4.5199999999999997E-2</v>
      </c>
      <c r="S429" s="296">
        <f t="shared" si="76"/>
        <v>0.28232503021235844</v>
      </c>
      <c r="U429" s="297"/>
      <c r="V429" s="297"/>
      <c r="W429" s="297"/>
      <c r="X429" s="297"/>
      <c r="Y429" s="297"/>
      <c r="Z429" s="297"/>
      <c r="AA429" s="297"/>
      <c r="AB429" s="297"/>
      <c r="AC429" s="297"/>
      <c r="AE429" s="297"/>
      <c r="AF429" s="297"/>
      <c r="AG429" s="297"/>
      <c r="AH429" s="297"/>
      <c r="AI429" s="297"/>
      <c r="AJ429" s="297"/>
      <c r="AK429" s="297"/>
      <c r="AL429" s="297"/>
      <c r="AM429" s="297"/>
      <c r="AO429" s="297"/>
      <c r="AP429" s="297"/>
      <c r="AQ429" s="297"/>
      <c r="AR429" s="297"/>
      <c r="AS429" s="297"/>
      <c r="AT429" s="297"/>
      <c r="AU429" s="297"/>
      <c r="AV429" s="297"/>
      <c r="AW429" s="297"/>
    </row>
    <row r="430" spans="1:49" x14ac:dyDescent="0.45">
      <c r="A430" s="295">
        <v>22433</v>
      </c>
      <c r="B430" s="12">
        <v>-2.75E-2</v>
      </c>
      <c r="C430" s="5">
        <v>-2.2699999999999994E-2</v>
      </c>
      <c r="D430" s="5">
        <v>3.2000000000000002E-3</v>
      </c>
      <c r="E430" s="5">
        <v>3.6083333333333332E-3</v>
      </c>
      <c r="F430" s="5">
        <v>3.7083333333333334E-3</v>
      </c>
      <c r="G430" s="5">
        <v>3.6583333333333333E-3</v>
      </c>
      <c r="H430" s="5">
        <v>3.8083333333333337E-3</v>
      </c>
      <c r="I430" s="5">
        <f t="shared" si="66"/>
        <v>-3.0700000000000002E-2</v>
      </c>
      <c r="J430" s="5">
        <f t="shared" si="70"/>
        <v>-3.1158333333333333E-2</v>
      </c>
      <c r="K430" s="5">
        <f t="shared" si="71"/>
        <v>-2.6508333333333328E-2</v>
      </c>
      <c r="L430" s="8">
        <f t="shared" si="68"/>
        <v>0.17307257644113117</v>
      </c>
      <c r="M430" s="8">
        <f t="shared" si="69"/>
        <v>3.8400000000000004E-2</v>
      </c>
      <c r="N430" s="8">
        <f t="shared" si="72"/>
        <v>4.3900000000000002E-2</v>
      </c>
      <c r="O430" s="296">
        <f t="shared" si="67"/>
        <v>0.13467257644113118</v>
      </c>
      <c r="P430" s="8">
        <f t="shared" si="73"/>
        <v>0.12917257644113117</v>
      </c>
      <c r="Q430" s="8">
        <f t="shared" si="74"/>
        <v>0.24653171793479833</v>
      </c>
      <c r="R430" s="8">
        <f t="shared" si="75"/>
        <v>4.5700000000000005E-2</v>
      </c>
      <c r="S430" s="296">
        <f t="shared" si="76"/>
        <v>0.20083171793479832</v>
      </c>
      <c r="U430" s="297"/>
      <c r="V430" s="297"/>
      <c r="W430" s="297"/>
      <c r="X430" s="297"/>
      <c r="Y430" s="297"/>
      <c r="Z430" s="297"/>
      <c r="AA430" s="297"/>
      <c r="AB430" s="297"/>
      <c r="AC430" s="297"/>
      <c r="AE430" s="297"/>
      <c r="AF430" s="297"/>
      <c r="AG430" s="297"/>
      <c r="AH430" s="297"/>
      <c r="AI430" s="297"/>
      <c r="AJ430" s="297"/>
      <c r="AK430" s="297"/>
      <c r="AL430" s="297"/>
      <c r="AM430" s="297"/>
      <c r="AO430" s="297"/>
      <c r="AP430" s="297"/>
      <c r="AQ430" s="297"/>
      <c r="AR430" s="297"/>
      <c r="AS430" s="297"/>
      <c r="AT430" s="297"/>
      <c r="AU430" s="297"/>
      <c r="AV430" s="297"/>
      <c r="AW430" s="297"/>
    </row>
    <row r="431" spans="1:49" x14ac:dyDescent="0.45">
      <c r="A431" s="295">
        <v>22463</v>
      </c>
      <c r="B431" s="12">
        <v>3.4200000000000001E-2</v>
      </c>
      <c r="C431" s="5">
        <v>4.24E-2</v>
      </c>
      <c r="D431" s="5">
        <v>3.3E-3</v>
      </c>
      <c r="E431" s="5">
        <v>3.6749999999999999E-3</v>
      </c>
      <c r="F431" s="5">
        <v>3.7750000000000001E-3</v>
      </c>
      <c r="G431" s="5">
        <v>3.725E-3</v>
      </c>
      <c r="H431" s="5">
        <v>3.875E-3</v>
      </c>
      <c r="I431" s="5">
        <f t="shared" si="66"/>
        <v>3.09E-2</v>
      </c>
      <c r="J431" s="5">
        <f t="shared" si="70"/>
        <v>3.0475000000000002E-2</v>
      </c>
      <c r="K431" s="5">
        <f t="shared" si="71"/>
        <v>3.8525000000000004E-2</v>
      </c>
      <c r="L431" s="8">
        <f t="shared" si="68"/>
        <v>0.24226055555541426</v>
      </c>
      <c r="M431" s="8">
        <f t="shared" si="69"/>
        <v>3.9599999999999996E-2</v>
      </c>
      <c r="N431" s="8">
        <f t="shared" si="72"/>
        <v>4.4700000000000004E-2</v>
      </c>
      <c r="O431" s="296">
        <f t="shared" si="67"/>
        <v>0.20266055555541426</v>
      </c>
      <c r="P431" s="8">
        <f t="shared" si="73"/>
        <v>0.19756055555541424</v>
      </c>
      <c r="Q431" s="8">
        <f t="shared" si="74"/>
        <v>0.31250976037902434</v>
      </c>
      <c r="R431" s="8">
        <f t="shared" si="75"/>
        <v>4.65E-2</v>
      </c>
      <c r="S431" s="296">
        <f t="shared" si="76"/>
        <v>0.26600976037902435</v>
      </c>
      <c r="U431" s="297"/>
      <c r="V431" s="297"/>
      <c r="W431" s="297"/>
      <c r="X431" s="297"/>
      <c r="Y431" s="297"/>
      <c r="Z431" s="297"/>
      <c r="AA431" s="297"/>
      <c r="AB431" s="297"/>
      <c r="AC431" s="297"/>
      <c r="AE431" s="297"/>
      <c r="AF431" s="297"/>
      <c r="AG431" s="297"/>
      <c r="AH431" s="297"/>
      <c r="AI431" s="297"/>
      <c r="AJ431" s="297"/>
      <c r="AK431" s="297"/>
      <c r="AL431" s="297"/>
      <c r="AM431" s="297"/>
      <c r="AO431" s="297"/>
      <c r="AP431" s="297"/>
      <c r="AQ431" s="297"/>
      <c r="AR431" s="297"/>
      <c r="AS431" s="297"/>
      <c r="AT431" s="297"/>
      <c r="AU431" s="297"/>
      <c r="AV431" s="297"/>
      <c r="AW431" s="297"/>
    </row>
    <row r="432" spans="1:49" x14ac:dyDescent="0.45">
      <c r="A432" s="295">
        <v>22494</v>
      </c>
      <c r="B432" s="12">
        <v>2.4299999999999999E-2</v>
      </c>
      <c r="C432" s="5">
        <v>4.5400000000000003E-2</v>
      </c>
      <c r="D432" s="5">
        <v>3.3E-3</v>
      </c>
      <c r="E432" s="5">
        <v>3.7083333333333334E-3</v>
      </c>
      <c r="F432" s="5">
        <v>3.8083333333333337E-3</v>
      </c>
      <c r="G432" s="5">
        <v>3.7583333333333336E-3</v>
      </c>
      <c r="H432" s="5">
        <v>3.9416666666666671E-3</v>
      </c>
      <c r="I432" s="5">
        <f t="shared" si="66"/>
        <v>2.0999999999999998E-2</v>
      </c>
      <c r="J432" s="5">
        <f t="shared" si="70"/>
        <v>2.0541666666666666E-2</v>
      </c>
      <c r="K432" s="5">
        <f t="shared" si="71"/>
        <v>4.1458333333333333E-2</v>
      </c>
      <c r="L432" s="8">
        <f t="shared" si="68"/>
        <v>0.23335028308171979</v>
      </c>
      <c r="M432" s="8">
        <f t="shared" si="69"/>
        <v>3.9599999999999996E-2</v>
      </c>
      <c r="N432" s="8">
        <f t="shared" si="72"/>
        <v>4.5100000000000001E-2</v>
      </c>
      <c r="O432" s="296">
        <f t="shared" si="67"/>
        <v>0.19375028308171979</v>
      </c>
      <c r="P432" s="8">
        <f t="shared" si="73"/>
        <v>0.18825028308171979</v>
      </c>
      <c r="Q432" s="8">
        <f t="shared" si="74"/>
        <v>0.30651085840814329</v>
      </c>
      <c r="R432" s="8">
        <f t="shared" si="75"/>
        <v>4.7300000000000009E-2</v>
      </c>
      <c r="S432" s="296">
        <f t="shared" si="76"/>
        <v>0.25921085840814329</v>
      </c>
      <c r="U432" s="297"/>
      <c r="V432" s="297"/>
      <c r="W432" s="297"/>
      <c r="X432" s="297"/>
      <c r="Y432" s="297"/>
      <c r="Z432" s="297"/>
      <c r="AA432" s="297"/>
      <c r="AB432" s="297"/>
      <c r="AC432" s="297"/>
      <c r="AE432" s="297"/>
      <c r="AF432" s="297"/>
      <c r="AG432" s="297"/>
      <c r="AH432" s="297"/>
      <c r="AI432" s="297"/>
      <c r="AJ432" s="297"/>
      <c r="AK432" s="297"/>
      <c r="AL432" s="297"/>
      <c r="AM432" s="297"/>
      <c r="AO432" s="297"/>
      <c r="AP432" s="297"/>
      <c r="AQ432" s="297"/>
      <c r="AR432" s="297"/>
      <c r="AS432" s="297"/>
      <c r="AT432" s="297"/>
      <c r="AU432" s="297"/>
      <c r="AV432" s="297"/>
      <c r="AW432" s="297"/>
    </row>
    <row r="433" spans="1:49" x14ac:dyDescent="0.45">
      <c r="A433" s="295">
        <v>22525</v>
      </c>
      <c r="B433" s="12">
        <v>-1.84E-2</v>
      </c>
      <c r="C433" s="5">
        <v>-6.6999999999999994E-3</v>
      </c>
      <c r="D433" s="5">
        <v>3.2000000000000002E-3</v>
      </c>
      <c r="E433" s="5">
        <v>3.7083333333333334E-3</v>
      </c>
      <c r="F433" s="5">
        <v>3.8250000000000003E-3</v>
      </c>
      <c r="G433" s="5">
        <v>3.7666666666666669E-3</v>
      </c>
      <c r="H433" s="5">
        <v>3.9416666666666671E-3</v>
      </c>
      <c r="I433" s="5">
        <f t="shared" si="66"/>
        <v>-2.1600000000000001E-2</v>
      </c>
      <c r="J433" s="5">
        <f t="shared" si="70"/>
        <v>-2.2166666666666668E-2</v>
      </c>
      <c r="K433" s="5">
        <f t="shared" si="71"/>
        <v>-1.0641666666666667E-2</v>
      </c>
      <c r="L433" s="8">
        <f t="shared" si="68"/>
        <v>0.28656390847291857</v>
      </c>
      <c r="M433" s="8">
        <f t="shared" si="69"/>
        <v>3.8400000000000004E-2</v>
      </c>
      <c r="N433" s="8">
        <f t="shared" si="72"/>
        <v>4.5200000000000004E-2</v>
      </c>
      <c r="O433" s="296">
        <f t="shared" si="67"/>
        <v>0.24816390847291858</v>
      </c>
      <c r="P433" s="8">
        <f t="shared" si="73"/>
        <v>0.24136390847291855</v>
      </c>
      <c r="Q433" s="8">
        <f t="shared" si="74"/>
        <v>0.36807636059119608</v>
      </c>
      <c r="R433" s="8">
        <f t="shared" si="75"/>
        <v>4.7300000000000009E-2</v>
      </c>
      <c r="S433" s="296">
        <f t="shared" si="76"/>
        <v>0.32077636059119607</v>
      </c>
      <c r="U433" s="297"/>
      <c r="V433" s="297"/>
      <c r="W433" s="297"/>
      <c r="X433" s="297"/>
      <c r="Y433" s="297"/>
      <c r="Z433" s="297"/>
      <c r="AA433" s="297"/>
      <c r="AB433" s="297"/>
      <c r="AC433" s="297"/>
      <c r="AE433" s="297"/>
      <c r="AF433" s="297"/>
      <c r="AG433" s="297"/>
      <c r="AH433" s="297"/>
      <c r="AI433" s="297"/>
      <c r="AJ433" s="297"/>
      <c r="AK433" s="297"/>
      <c r="AL433" s="297"/>
      <c r="AM433" s="297"/>
      <c r="AO433" s="297"/>
      <c r="AP433" s="297"/>
      <c r="AQ433" s="297"/>
      <c r="AR433" s="297"/>
      <c r="AS433" s="297"/>
      <c r="AT433" s="297"/>
      <c r="AU433" s="297"/>
      <c r="AV433" s="297"/>
      <c r="AW433" s="297"/>
    </row>
    <row r="434" spans="1:49" x14ac:dyDescent="0.45">
      <c r="A434" s="295">
        <v>22555</v>
      </c>
      <c r="B434" s="12">
        <v>2.98E-2</v>
      </c>
      <c r="C434" s="5">
        <v>4.8000000000000001E-2</v>
      </c>
      <c r="D434" s="5">
        <v>3.3999999999999998E-3</v>
      </c>
      <c r="E434" s="5">
        <v>3.6833333333333336E-3</v>
      </c>
      <c r="F434" s="5">
        <v>3.7999999999999996E-3</v>
      </c>
      <c r="G434" s="5">
        <v>3.7416666666666666E-3</v>
      </c>
      <c r="H434" s="5">
        <v>3.9250000000000005E-3</v>
      </c>
      <c r="I434" s="5">
        <f t="shared" si="66"/>
        <v>2.64E-2</v>
      </c>
      <c r="J434" s="5">
        <f t="shared" si="70"/>
        <v>2.6058333333333333E-2</v>
      </c>
      <c r="K434" s="5">
        <f t="shared" si="71"/>
        <v>4.4075000000000003E-2</v>
      </c>
      <c r="L434" s="8">
        <f t="shared" si="68"/>
        <v>0.32583159506195503</v>
      </c>
      <c r="M434" s="8">
        <f t="shared" si="69"/>
        <v>4.0799999999999996E-2</v>
      </c>
      <c r="N434" s="8">
        <f t="shared" si="72"/>
        <v>4.4899999999999995E-2</v>
      </c>
      <c r="O434" s="296">
        <f t="shared" si="67"/>
        <v>0.28503159506195502</v>
      </c>
      <c r="P434" s="8">
        <f t="shared" si="73"/>
        <v>0.28093159506195503</v>
      </c>
      <c r="Q434" s="8">
        <f t="shared" si="74"/>
        <v>0.43546658580253617</v>
      </c>
      <c r="R434" s="8">
        <f t="shared" si="75"/>
        <v>4.7100000000000003E-2</v>
      </c>
      <c r="S434" s="296">
        <f t="shared" si="76"/>
        <v>0.38836658580253614</v>
      </c>
      <c r="U434" s="297"/>
      <c r="V434" s="297"/>
      <c r="W434" s="297"/>
      <c r="X434" s="297"/>
      <c r="Y434" s="297"/>
      <c r="Z434" s="297"/>
      <c r="AA434" s="297"/>
      <c r="AB434" s="297"/>
      <c r="AC434" s="297"/>
      <c r="AE434" s="297"/>
      <c r="AF434" s="297"/>
      <c r="AG434" s="297"/>
      <c r="AH434" s="297"/>
      <c r="AI434" s="297"/>
      <c r="AJ434" s="297"/>
      <c r="AK434" s="297"/>
      <c r="AL434" s="297"/>
      <c r="AM434" s="297"/>
      <c r="AO434" s="297"/>
      <c r="AP434" s="297"/>
      <c r="AQ434" s="297"/>
      <c r="AR434" s="297"/>
      <c r="AS434" s="297"/>
      <c r="AT434" s="297"/>
      <c r="AU434" s="297"/>
      <c r="AV434" s="297"/>
      <c r="AW434" s="297"/>
    </row>
    <row r="435" spans="1:49" x14ac:dyDescent="0.45">
      <c r="A435" s="295">
        <v>22586</v>
      </c>
      <c r="B435" s="12">
        <v>4.4699999999999997E-2</v>
      </c>
      <c r="C435" s="5">
        <v>3.3500000000000002E-2</v>
      </c>
      <c r="D435" s="5">
        <v>3.2000000000000002E-3</v>
      </c>
      <c r="E435" s="5">
        <v>3.6583333333333329E-3</v>
      </c>
      <c r="F435" s="5">
        <v>3.7833333333333334E-3</v>
      </c>
      <c r="G435" s="5">
        <v>3.7208333333333334E-3</v>
      </c>
      <c r="H435" s="5">
        <v>3.8999999999999994E-3</v>
      </c>
      <c r="I435" s="5">
        <f t="shared" si="66"/>
        <v>4.1499999999999995E-2</v>
      </c>
      <c r="J435" s="5">
        <f t="shared" si="70"/>
        <v>4.0979166666666664E-2</v>
      </c>
      <c r="K435" s="5">
        <f t="shared" si="71"/>
        <v>2.9600000000000001E-2</v>
      </c>
      <c r="L435" s="8">
        <f t="shared" si="68"/>
        <v>0.32355113938005209</v>
      </c>
      <c r="M435" s="8">
        <f t="shared" si="69"/>
        <v>3.8400000000000004E-2</v>
      </c>
      <c r="N435" s="8">
        <f t="shared" si="72"/>
        <v>4.4650000000000002E-2</v>
      </c>
      <c r="O435" s="296">
        <f t="shared" si="67"/>
        <v>0.2851511393800521</v>
      </c>
      <c r="P435" s="8">
        <f t="shared" si="73"/>
        <v>0.27890113938005207</v>
      </c>
      <c r="Q435" s="8">
        <f t="shared" si="74"/>
        <v>0.42841778974284761</v>
      </c>
      <c r="R435" s="8">
        <f t="shared" si="75"/>
        <v>4.6799999999999994E-2</v>
      </c>
      <c r="S435" s="296">
        <f t="shared" si="76"/>
        <v>0.3816177897428476</v>
      </c>
      <c r="U435" s="297"/>
      <c r="V435" s="297"/>
      <c r="W435" s="297"/>
      <c r="X435" s="297"/>
      <c r="Y435" s="297"/>
      <c r="Z435" s="297"/>
      <c r="AA435" s="297"/>
      <c r="AB435" s="297"/>
      <c r="AC435" s="297"/>
      <c r="AE435" s="297"/>
      <c r="AF435" s="297"/>
      <c r="AG435" s="297"/>
      <c r="AH435" s="297"/>
      <c r="AI435" s="297"/>
      <c r="AJ435" s="297"/>
      <c r="AK435" s="297"/>
      <c r="AL435" s="297"/>
      <c r="AM435" s="297"/>
      <c r="AO435" s="297"/>
      <c r="AP435" s="297"/>
      <c r="AQ435" s="297"/>
      <c r="AR435" s="297"/>
      <c r="AS435" s="297"/>
      <c r="AT435" s="297"/>
      <c r="AU435" s="297"/>
      <c r="AV435" s="297"/>
      <c r="AW435" s="297"/>
    </row>
    <row r="436" spans="1:49" x14ac:dyDescent="0.45">
      <c r="A436" s="295">
        <v>22616</v>
      </c>
      <c r="B436" s="12">
        <v>4.5999999999999999E-3</v>
      </c>
      <c r="C436" s="5">
        <v>-2.92E-2</v>
      </c>
      <c r="D436" s="5">
        <v>3.0999999999999999E-3</v>
      </c>
      <c r="E436" s="5">
        <v>3.6833333333333336E-3</v>
      </c>
      <c r="F436" s="5">
        <v>3.7999999999999996E-3</v>
      </c>
      <c r="G436" s="5">
        <v>3.7416666666666666E-3</v>
      </c>
      <c r="H436" s="5">
        <v>3.875E-3</v>
      </c>
      <c r="I436" s="5">
        <f t="shared" si="66"/>
        <v>1.5E-3</v>
      </c>
      <c r="J436" s="5">
        <f t="shared" si="70"/>
        <v>8.5833333333333334E-4</v>
      </c>
      <c r="K436" s="5">
        <f t="shared" si="71"/>
        <v>-3.3075E-2</v>
      </c>
      <c r="L436" s="8">
        <f t="shared" si="68"/>
        <v>0.26886103122549865</v>
      </c>
      <c r="M436" s="8">
        <f t="shared" si="69"/>
        <v>3.7199999999999997E-2</v>
      </c>
      <c r="N436" s="8">
        <f t="shared" si="72"/>
        <v>4.4899999999999995E-2</v>
      </c>
      <c r="O436" s="296">
        <f t="shared" si="67"/>
        <v>0.23166103122549864</v>
      </c>
      <c r="P436" s="8">
        <f t="shared" si="73"/>
        <v>0.22396103122549865</v>
      </c>
      <c r="Q436" s="8">
        <f t="shared" si="74"/>
        <v>0.29308839078921767</v>
      </c>
      <c r="R436" s="8">
        <f t="shared" si="75"/>
        <v>4.65E-2</v>
      </c>
      <c r="S436" s="296">
        <f t="shared" si="76"/>
        <v>0.24658839078921768</v>
      </c>
      <c r="U436" s="297"/>
      <c r="V436" s="297"/>
      <c r="W436" s="297"/>
      <c r="X436" s="297"/>
      <c r="Y436" s="297"/>
      <c r="Z436" s="297"/>
      <c r="AA436" s="297"/>
      <c r="AB436" s="297"/>
      <c r="AC436" s="297"/>
      <c r="AE436" s="297"/>
      <c r="AF436" s="297"/>
      <c r="AG436" s="297"/>
      <c r="AH436" s="297"/>
      <c r="AI436" s="297"/>
      <c r="AJ436" s="297"/>
      <c r="AK436" s="297"/>
      <c r="AL436" s="297"/>
      <c r="AM436" s="297"/>
      <c r="AO436" s="297"/>
      <c r="AP436" s="297"/>
      <c r="AQ436" s="297"/>
      <c r="AR436" s="297"/>
      <c r="AS436" s="297"/>
      <c r="AT436" s="297"/>
      <c r="AU436" s="297"/>
      <c r="AV436" s="297"/>
      <c r="AW436" s="297"/>
    </row>
    <row r="437" spans="1:49" x14ac:dyDescent="0.45">
      <c r="A437" s="295">
        <v>22647</v>
      </c>
      <c r="B437" s="12">
        <v>-3.6600000000000001E-2</v>
      </c>
      <c r="C437" s="5">
        <v>-3.6600000000000001E-2</v>
      </c>
      <c r="D437" s="5">
        <v>3.7000000000000002E-3</v>
      </c>
      <c r="E437" s="5">
        <v>3.6833333333333336E-3</v>
      </c>
      <c r="F437" s="5">
        <v>3.7916666666666667E-3</v>
      </c>
      <c r="G437" s="5">
        <v>3.7375000000000004E-3</v>
      </c>
      <c r="H437" s="5">
        <v>3.875E-3</v>
      </c>
      <c r="I437" s="5">
        <f t="shared" si="66"/>
        <v>-4.0300000000000002E-2</v>
      </c>
      <c r="J437" s="5">
        <f t="shared" si="70"/>
        <v>-4.0337499999999998E-2</v>
      </c>
      <c r="K437" s="5">
        <f t="shared" si="71"/>
        <v>-4.0474999999999997E-2</v>
      </c>
      <c r="L437" s="8">
        <f t="shared" si="68"/>
        <v>0.14835201266570741</v>
      </c>
      <c r="M437" s="8">
        <f t="shared" si="69"/>
        <v>4.4400000000000002E-2</v>
      </c>
      <c r="N437" s="8">
        <f t="shared" si="72"/>
        <v>4.4850000000000001E-2</v>
      </c>
      <c r="O437" s="296">
        <f t="shared" si="67"/>
        <v>0.10395201266570742</v>
      </c>
      <c r="P437" s="8">
        <f t="shared" si="73"/>
        <v>0.10350201266570741</v>
      </c>
      <c r="Q437" s="8">
        <f t="shared" si="74"/>
        <v>0.17314375712056851</v>
      </c>
      <c r="R437" s="8">
        <f t="shared" si="75"/>
        <v>4.65E-2</v>
      </c>
      <c r="S437" s="296">
        <f t="shared" si="76"/>
        <v>0.12664375712056852</v>
      </c>
      <c r="U437" s="297"/>
      <c r="V437" s="297"/>
      <c r="W437" s="297"/>
      <c r="X437" s="297"/>
      <c r="Y437" s="297"/>
      <c r="Z437" s="297"/>
      <c r="AA437" s="297"/>
      <c r="AB437" s="297"/>
      <c r="AC437" s="297"/>
      <c r="AE437" s="297"/>
      <c r="AF437" s="297"/>
      <c r="AG437" s="297"/>
      <c r="AH437" s="297"/>
      <c r="AI437" s="297"/>
      <c r="AJ437" s="297"/>
      <c r="AK437" s="297"/>
      <c r="AL437" s="297"/>
      <c r="AM437" s="297"/>
      <c r="AO437" s="297"/>
      <c r="AP437" s="297"/>
      <c r="AQ437" s="297"/>
      <c r="AR437" s="297"/>
      <c r="AS437" s="297"/>
      <c r="AT437" s="297"/>
      <c r="AU437" s="297"/>
      <c r="AV437" s="297"/>
      <c r="AW437" s="297"/>
    </row>
    <row r="438" spans="1:49" x14ac:dyDescent="0.45">
      <c r="A438" s="295">
        <v>22678</v>
      </c>
      <c r="B438" s="12">
        <v>2.0899999999999998E-2</v>
      </c>
      <c r="C438" s="5">
        <v>3.0000000000000006E-2</v>
      </c>
      <c r="D438" s="5">
        <v>3.2000000000000002E-3</v>
      </c>
      <c r="E438" s="5">
        <v>3.6833333333333336E-3</v>
      </c>
      <c r="F438" s="5">
        <v>3.7999999999999996E-3</v>
      </c>
      <c r="G438" s="5">
        <v>3.7416666666666666E-3</v>
      </c>
      <c r="H438" s="5">
        <v>3.8833333333333337E-3</v>
      </c>
      <c r="I438" s="5">
        <f t="shared" si="66"/>
        <v>1.7699999999999997E-2</v>
      </c>
      <c r="J438" s="5">
        <f t="shared" si="70"/>
        <v>1.7158333333333331E-2</v>
      </c>
      <c r="K438" s="5">
        <f t="shared" si="71"/>
        <v>2.6116666666666673E-2</v>
      </c>
      <c r="L438" s="8">
        <f t="shared" si="68"/>
        <v>0.13611064030470077</v>
      </c>
      <c r="M438" s="8">
        <f t="shared" si="69"/>
        <v>3.8400000000000004E-2</v>
      </c>
      <c r="N438" s="8">
        <f t="shared" si="72"/>
        <v>4.4899999999999995E-2</v>
      </c>
      <c r="O438" s="296">
        <f t="shared" si="67"/>
        <v>9.7710640304700766E-2</v>
      </c>
      <c r="P438" s="8">
        <f t="shared" si="73"/>
        <v>9.1210640304700774E-2</v>
      </c>
      <c r="Q438" s="8">
        <f t="shared" si="74"/>
        <v>0.16668733207896658</v>
      </c>
      <c r="R438" s="8">
        <f t="shared" si="75"/>
        <v>4.6600000000000003E-2</v>
      </c>
      <c r="S438" s="296">
        <f t="shared" si="76"/>
        <v>0.12008733207896657</v>
      </c>
      <c r="U438" s="297"/>
      <c r="V438" s="297"/>
      <c r="W438" s="297"/>
      <c r="X438" s="297"/>
      <c r="Y438" s="297"/>
      <c r="Z438" s="297"/>
      <c r="AA438" s="297"/>
      <c r="AB438" s="297"/>
      <c r="AC438" s="297"/>
      <c r="AE438" s="297"/>
      <c r="AF438" s="297"/>
      <c r="AG438" s="297"/>
      <c r="AH438" s="297"/>
      <c r="AI438" s="297"/>
      <c r="AJ438" s="297"/>
      <c r="AK438" s="297"/>
      <c r="AL438" s="297"/>
      <c r="AM438" s="297"/>
      <c r="AO438" s="297"/>
      <c r="AP438" s="297"/>
      <c r="AQ438" s="297"/>
      <c r="AR438" s="297"/>
      <c r="AS438" s="297"/>
      <c r="AT438" s="297"/>
      <c r="AU438" s="297"/>
      <c r="AV438" s="297"/>
      <c r="AW438" s="297"/>
    </row>
    <row r="439" spans="1:49" x14ac:dyDescent="0.45">
      <c r="A439" s="295">
        <v>22706</v>
      </c>
      <c r="B439" s="12">
        <v>-4.5999999999999999E-3</v>
      </c>
      <c r="C439" s="5">
        <v>8.0999999999999996E-3</v>
      </c>
      <c r="D439" s="5">
        <v>3.3E-3</v>
      </c>
      <c r="E439" s="5">
        <v>3.6583333333333329E-3</v>
      </c>
      <c r="F439" s="5">
        <v>3.7750000000000001E-3</v>
      </c>
      <c r="G439" s="5">
        <v>3.7166666666666663E-3</v>
      </c>
      <c r="H439" s="5">
        <v>3.8666666666666667E-3</v>
      </c>
      <c r="I439" s="5">
        <f t="shared" si="66"/>
        <v>-7.9000000000000008E-3</v>
      </c>
      <c r="J439" s="5">
        <f t="shared" si="70"/>
        <v>-8.3166666666666667E-3</v>
      </c>
      <c r="K439" s="5">
        <f t="shared" si="71"/>
        <v>4.2333333333333329E-3</v>
      </c>
      <c r="L439" s="8">
        <f t="shared" si="68"/>
        <v>0.10115338983378663</v>
      </c>
      <c r="M439" s="8">
        <f t="shared" si="69"/>
        <v>3.9599999999999996E-2</v>
      </c>
      <c r="N439" s="8">
        <f t="shared" si="72"/>
        <v>4.4599999999999994E-2</v>
      </c>
      <c r="O439" s="296">
        <f t="shared" si="67"/>
        <v>6.1553389833786637E-2</v>
      </c>
      <c r="P439" s="8">
        <f t="shared" si="73"/>
        <v>5.6553389833786639E-2</v>
      </c>
      <c r="Q439" s="8">
        <f t="shared" si="74"/>
        <v>0.1397785632995503</v>
      </c>
      <c r="R439" s="8">
        <f t="shared" si="75"/>
        <v>4.6399999999999997E-2</v>
      </c>
      <c r="S439" s="296">
        <f t="shared" si="76"/>
        <v>9.3378563299550299E-2</v>
      </c>
      <c r="U439" s="297"/>
      <c r="V439" s="297"/>
      <c r="W439" s="297"/>
      <c r="X439" s="297"/>
      <c r="Y439" s="297"/>
      <c r="Z439" s="297"/>
      <c r="AA439" s="297"/>
      <c r="AB439" s="297"/>
      <c r="AC439" s="297"/>
      <c r="AE439" s="297"/>
      <c r="AF439" s="297"/>
      <c r="AG439" s="297"/>
      <c r="AH439" s="297"/>
      <c r="AI439" s="297"/>
      <c r="AJ439" s="297"/>
      <c r="AK439" s="297"/>
      <c r="AL439" s="297"/>
      <c r="AM439" s="297"/>
      <c r="AO439" s="297"/>
      <c r="AP439" s="297"/>
      <c r="AQ439" s="297"/>
      <c r="AR439" s="297"/>
      <c r="AS439" s="297"/>
      <c r="AT439" s="297"/>
      <c r="AU439" s="297"/>
      <c r="AV439" s="297"/>
      <c r="AW439" s="297"/>
    </row>
    <row r="440" spans="1:49" x14ac:dyDescent="0.45">
      <c r="A440" s="295">
        <v>22737</v>
      </c>
      <c r="B440" s="12">
        <v>-6.0699999999999997E-2</v>
      </c>
      <c r="C440" s="5">
        <v>-3.5300000000000005E-2</v>
      </c>
      <c r="D440" s="5">
        <v>3.3E-3</v>
      </c>
      <c r="E440" s="5">
        <v>3.6083333333333332E-3</v>
      </c>
      <c r="F440" s="5">
        <v>3.741666666666667E-3</v>
      </c>
      <c r="G440" s="5">
        <v>3.6750000000000003E-3</v>
      </c>
      <c r="H440" s="5">
        <v>3.8250000000000003E-3</v>
      </c>
      <c r="I440" s="5">
        <f t="shared" si="66"/>
        <v>-6.4000000000000001E-2</v>
      </c>
      <c r="J440" s="5">
        <f t="shared" si="70"/>
        <v>-6.4375000000000002E-2</v>
      </c>
      <c r="K440" s="5">
        <f t="shared" si="71"/>
        <v>-3.9125000000000007E-2</v>
      </c>
      <c r="L440" s="8">
        <f t="shared" si="68"/>
        <v>2.9065146822083276E-2</v>
      </c>
      <c r="M440" s="8">
        <f t="shared" si="69"/>
        <v>3.9599999999999996E-2</v>
      </c>
      <c r="N440" s="8">
        <f t="shared" si="72"/>
        <v>4.41E-2</v>
      </c>
      <c r="O440" s="296">
        <f t="shared" si="67"/>
        <v>-1.053485317791672E-2</v>
      </c>
      <c r="P440" s="8">
        <f t="shared" si="73"/>
        <v>-1.5034853177916724E-2</v>
      </c>
      <c r="Q440" s="8">
        <f t="shared" si="74"/>
        <v>8.7688574552454046E-2</v>
      </c>
      <c r="R440" s="8">
        <f t="shared" si="75"/>
        <v>4.5900000000000003E-2</v>
      </c>
      <c r="S440" s="296">
        <f t="shared" si="76"/>
        <v>4.1788574552454043E-2</v>
      </c>
      <c r="U440" s="297"/>
      <c r="V440" s="297"/>
      <c r="W440" s="297"/>
      <c r="X440" s="297"/>
      <c r="Y440" s="297"/>
      <c r="Z440" s="297"/>
      <c r="AA440" s="297"/>
      <c r="AB440" s="297"/>
      <c r="AC440" s="297"/>
      <c r="AE440" s="297"/>
      <c r="AF440" s="297"/>
      <c r="AG440" s="297"/>
      <c r="AH440" s="297"/>
      <c r="AI440" s="297"/>
      <c r="AJ440" s="297"/>
      <c r="AK440" s="297"/>
      <c r="AL440" s="297"/>
      <c r="AM440" s="297"/>
      <c r="AO440" s="297"/>
      <c r="AP440" s="297"/>
      <c r="AQ440" s="297"/>
      <c r="AR440" s="297"/>
      <c r="AS440" s="297"/>
      <c r="AT440" s="297"/>
      <c r="AU440" s="297"/>
      <c r="AV440" s="297"/>
      <c r="AW440" s="297"/>
    </row>
    <row r="441" spans="1:49" x14ac:dyDescent="0.45">
      <c r="A441" s="295">
        <v>22767</v>
      </c>
      <c r="B441" s="12">
        <v>-8.1100000000000005E-2</v>
      </c>
      <c r="C441" s="5">
        <v>-9.1200000000000003E-2</v>
      </c>
      <c r="D441" s="5">
        <v>3.2000000000000002E-3</v>
      </c>
      <c r="E441" s="5">
        <v>3.5666666666666668E-3</v>
      </c>
      <c r="F441" s="5">
        <v>3.6916666666666664E-3</v>
      </c>
      <c r="G441" s="5">
        <v>3.6291666666666668E-3</v>
      </c>
      <c r="H441" s="5">
        <v>3.7583333333333331E-3</v>
      </c>
      <c r="I441" s="5">
        <f t="shared" si="66"/>
        <v>-8.43E-2</v>
      </c>
      <c r="J441" s="5">
        <f t="shared" si="70"/>
        <v>-8.4729166666666675E-2</v>
      </c>
      <c r="K441" s="5">
        <f t="shared" si="71"/>
        <v>-9.4958333333333339E-2</v>
      </c>
      <c r="L441" s="8">
        <f t="shared" si="68"/>
        <v>-7.6464534217391855E-2</v>
      </c>
      <c r="M441" s="8">
        <f t="shared" si="69"/>
        <v>3.8400000000000004E-2</v>
      </c>
      <c r="N441" s="8">
        <f t="shared" si="72"/>
        <v>4.3550000000000005E-2</v>
      </c>
      <c r="O441" s="296">
        <f t="shared" si="67"/>
        <v>-0.11486453421739186</v>
      </c>
      <c r="P441" s="8">
        <f t="shared" si="73"/>
        <v>-0.12001453421739186</v>
      </c>
      <c r="Q441" s="8">
        <f t="shared" si="74"/>
        <v>-2.4482999552678741E-2</v>
      </c>
      <c r="R441" s="8">
        <f t="shared" si="75"/>
        <v>4.5100000000000001E-2</v>
      </c>
      <c r="S441" s="296">
        <f t="shared" si="76"/>
        <v>-6.9582999552678743E-2</v>
      </c>
      <c r="U441" s="297"/>
      <c r="V441" s="297"/>
      <c r="W441" s="297"/>
      <c r="X441" s="297"/>
      <c r="Y441" s="297"/>
      <c r="Z441" s="297"/>
      <c r="AA441" s="297"/>
      <c r="AB441" s="297"/>
      <c r="AC441" s="297"/>
      <c r="AE441" s="297"/>
      <c r="AF441" s="297"/>
      <c r="AG441" s="297"/>
      <c r="AH441" s="297"/>
      <c r="AI441" s="297"/>
      <c r="AJ441" s="297"/>
      <c r="AK441" s="297"/>
      <c r="AL441" s="297"/>
      <c r="AM441" s="297"/>
      <c r="AO441" s="297"/>
      <c r="AP441" s="297"/>
      <c r="AQ441" s="297"/>
      <c r="AR441" s="297"/>
      <c r="AS441" s="297"/>
      <c r="AT441" s="297"/>
      <c r="AU441" s="297"/>
      <c r="AV441" s="297"/>
      <c r="AW441" s="297"/>
    </row>
    <row r="442" spans="1:49" x14ac:dyDescent="0.45">
      <c r="A442" s="295">
        <v>22798</v>
      </c>
      <c r="B442" s="12">
        <v>-8.0299999999999996E-2</v>
      </c>
      <c r="C442" s="5">
        <v>-5.4799999999999995E-2</v>
      </c>
      <c r="D442" s="5">
        <v>3.0000000000000001E-3</v>
      </c>
      <c r="E442" s="5">
        <v>3.5666666666666668E-3</v>
      </c>
      <c r="F442" s="5">
        <v>3.7000000000000006E-3</v>
      </c>
      <c r="G442" s="5">
        <v>3.6333333333333339E-3</v>
      </c>
      <c r="H442" s="5">
        <v>3.7333333333333333E-3</v>
      </c>
      <c r="I442" s="5">
        <f t="shared" si="66"/>
        <v>-8.3299999999999999E-2</v>
      </c>
      <c r="J442" s="5">
        <f t="shared" si="70"/>
        <v>-8.3933333333333332E-2</v>
      </c>
      <c r="K442" s="5">
        <f t="shared" si="71"/>
        <v>-5.8533333333333326E-2</v>
      </c>
      <c r="L442" s="8">
        <f t="shared" si="68"/>
        <v>-0.12660609986605198</v>
      </c>
      <c r="M442" s="8">
        <f t="shared" si="69"/>
        <v>3.6000000000000004E-2</v>
      </c>
      <c r="N442" s="8">
        <f t="shared" si="72"/>
        <v>4.3600000000000007E-2</v>
      </c>
      <c r="O442" s="296">
        <f t="shared" si="67"/>
        <v>-0.16260609986605198</v>
      </c>
      <c r="P442" s="8">
        <f t="shared" si="73"/>
        <v>-0.17020609986605198</v>
      </c>
      <c r="Q442" s="8">
        <f t="shared" si="74"/>
        <v>-5.6524435871474488E-2</v>
      </c>
      <c r="R442" s="8">
        <f t="shared" si="75"/>
        <v>4.48E-2</v>
      </c>
      <c r="S442" s="296">
        <f t="shared" si="76"/>
        <v>-0.10132443587147449</v>
      </c>
      <c r="U442" s="297"/>
      <c r="V442" s="297"/>
      <c r="W442" s="297"/>
      <c r="X442" s="297"/>
      <c r="Y442" s="297"/>
      <c r="Z442" s="297"/>
      <c r="AA442" s="297"/>
      <c r="AB442" s="297"/>
      <c r="AC442" s="297"/>
      <c r="AE442" s="297"/>
      <c r="AF442" s="297"/>
      <c r="AG442" s="297"/>
      <c r="AH442" s="297"/>
      <c r="AI442" s="297"/>
      <c r="AJ442" s="297"/>
      <c r="AK442" s="297"/>
      <c r="AL442" s="297"/>
      <c r="AM442" s="297"/>
      <c r="AO442" s="297"/>
      <c r="AP442" s="297"/>
      <c r="AQ442" s="297"/>
      <c r="AR442" s="297"/>
      <c r="AS442" s="297"/>
      <c r="AT442" s="297"/>
      <c r="AU442" s="297"/>
      <c r="AV442" s="297"/>
      <c r="AW442" s="297"/>
    </row>
    <row r="443" spans="1:49" x14ac:dyDescent="0.45">
      <c r="A443" s="295">
        <v>22828</v>
      </c>
      <c r="B443" s="12">
        <v>6.5199999999999994E-2</v>
      </c>
      <c r="C443" s="5">
        <v>6.8899999999999989E-2</v>
      </c>
      <c r="D443" s="5">
        <v>3.3999999999999998E-3</v>
      </c>
      <c r="E443" s="5">
        <v>3.6166666666666665E-3</v>
      </c>
      <c r="F443" s="5">
        <v>3.741666666666667E-3</v>
      </c>
      <c r="G443" s="5">
        <v>3.6791666666666665E-3</v>
      </c>
      <c r="H443" s="5">
        <v>3.7499999999999999E-3</v>
      </c>
      <c r="I443" s="5">
        <f t="shared" si="66"/>
        <v>6.1799999999999994E-2</v>
      </c>
      <c r="J443" s="5">
        <f t="shared" si="70"/>
        <v>6.152083333333333E-2</v>
      </c>
      <c r="K443" s="5">
        <f t="shared" si="71"/>
        <v>6.5149999999999986E-2</v>
      </c>
      <c r="L443" s="8">
        <f t="shared" si="68"/>
        <v>-0.10042624016371937</v>
      </c>
      <c r="M443" s="8">
        <f t="shared" si="69"/>
        <v>4.0799999999999996E-2</v>
      </c>
      <c r="N443" s="8">
        <f t="shared" si="72"/>
        <v>4.4149999999999995E-2</v>
      </c>
      <c r="O443" s="296">
        <f t="shared" si="67"/>
        <v>-0.14122624016371937</v>
      </c>
      <c r="P443" s="8">
        <f t="shared" si="73"/>
        <v>-0.14457624016371937</v>
      </c>
      <c r="Q443" s="8">
        <f t="shared" si="74"/>
        <v>-3.2539303053548463E-2</v>
      </c>
      <c r="R443" s="8">
        <f t="shared" si="75"/>
        <v>4.4999999999999998E-2</v>
      </c>
      <c r="S443" s="296">
        <f t="shared" si="76"/>
        <v>-7.7539303053548461E-2</v>
      </c>
      <c r="U443" s="297"/>
      <c r="V443" s="297"/>
      <c r="W443" s="297"/>
      <c r="X443" s="297"/>
      <c r="Y443" s="297"/>
      <c r="Z443" s="297"/>
      <c r="AA443" s="297"/>
      <c r="AB443" s="297"/>
      <c r="AC443" s="297"/>
      <c r="AE443" s="297"/>
      <c r="AF443" s="297"/>
      <c r="AG443" s="297"/>
      <c r="AH443" s="297"/>
      <c r="AI443" s="297"/>
      <c r="AJ443" s="297"/>
      <c r="AK443" s="297"/>
      <c r="AL443" s="297"/>
      <c r="AM443" s="297"/>
      <c r="AO443" s="297"/>
      <c r="AP443" s="297"/>
      <c r="AQ443" s="297"/>
      <c r="AR443" s="297"/>
      <c r="AS443" s="297"/>
      <c r="AT443" s="297"/>
      <c r="AU443" s="297"/>
      <c r="AV443" s="297"/>
      <c r="AW443" s="297"/>
    </row>
    <row r="444" spans="1:49" x14ac:dyDescent="0.45">
      <c r="A444" s="295">
        <v>22859</v>
      </c>
      <c r="B444" s="12">
        <v>2.0799999999999999E-2</v>
      </c>
      <c r="C444" s="5">
        <v>2.7099999999999999E-2</v>
      </c>
      <c r="D444" s="5">
        <v>3.3999999999999998E-3</v>
      </c>
      <c r="E444" s="5">
        <v>3.6249999999999998E-3</v>
      </c>
      <c r="F444" s="5">
        <v>3.741666666666667E-3</v>
      </c>
      <c r="G444" s="5">
        <v>3.6833333333333336E-3</v>
      </c>
      <c r="H444" s="5">
        <v>3.7750000000000001E-3</v>
      </c>
      <c r="I444" s="5">
        <f t="shared" si="66"/>
        <v>1.7399999999999999E-2</v>
      </c>
      <c r="J444" s="5">
        <f t="shared" si="70"/>
        <v>1.7116666666666665E-2</v>
      </c>
      <c r="K444" s="5">
        <f t="shared" si="71"/>
        <v>2.3324999999999999E-2</v>
      </c>
      <c r="L444" s="8">
        <f t="shared" si="68"/>
        <v>-0.10350005463157785</v>
      </c>
      <c r="M444" s="8">
        <f t="shared" si="69"/>
        <v>4.0799999999999996E-2</v>
      </c>
      <c r="N444" s="8">
        <f t="shared" si="72"/>
        <v>4.4200000000000003E-2</v>
      </c>
      <c r="O444" s="296">
        <f t="shared" si="67"/>
        <v>-0.14430005463157786</v>
      </c>
      <c r="P444" s="8">
        <f t="shared" si="73"/>
        <v>-0.14770005463157787</v>
      </c>
      <c r="Q444" s="8">
        <f t="shared" si="74"/>
        <v>-4.9474955200210391E-2</v>
      </c>
      <c r="R444" s="8">
        <f t="shared" si="75"/>
        <v>4.53E-2</v>
      </c>
      <c r="S444" s="296">
        <f t="shared" si="76"/>
        <v>-9.4774955200210398E-2</v>
      </c>
      <c r="U444" s="297"/>
      <c r="V444" s="297"/>
      <c r="W444" s="297"/>
      <c r="X444" s="297"/>
      <c r="Y444" s="297"/>
      <c r="Z444" s="297"/>
      <c r="AA444" s="297"/>
      <c r="AB444" s="297"/>
      <c r="AC444" s="297"/>
      <c r="AE444" s="297"/>
      <c r="AF444" s="297"/>
      <c r="AG444" s="297"/>
      <c r="AH444" s="297"/>
      <c r="AI444" s="297"/>
      <c r="AJ444" s="297"/>
      <c r="AK444" s="297"/>
      <c r="AL444" s="297"/>
      <c r="AM444" s="297"/>
      <c r="AO444" s="297"/>
      <c r="AP444" s="297"/>
      <c r="AQ444" s="297"/>
      <c r="AR444" s="297"/>
      <c r="AS444" s="297"/>
      <c r="AT444" s="297"/>
      <c r="AU444" s="297"/>
      <c r="AV444" s="297"/>
      <c r="AW444" s="297"/>
    </row>
    <row r="445" spans="1:49" x14ac:dyDescent="0.45">
      <c r="A445" s="295">
        <v>22890</v>
      </c>
      <c r="B445" s="12">
        <v>-4.65E-2</v>
      </c>
      <c r="C445" s="5">
        <v>-3.3399999999999999E-2</v>
      </c>
      <c r="D445" s="5">
        <v>3.0000000000000001E-3</v>
      </c>
      <c r="E445" s="5">
        <v>3.6000000000000003E-3</v>
      </c>
      <c r="F445" s="5">
        <v>3.7166666666666663E-3</v>
      </c>
      <c r="G445" s="5">
        <v>3.6583333333333333E-3</v>
      </c>
      <c r="H445" s="5">
        <v>3.7583333333333331E-3</v>
      </c>
      <c r="I445" s="5">
        <f t="shared" si="66"/>
        <v>-4.9500000000000002E-2</v>
      </c>
      <c r="J445" s="5">
        <f t="shared" si="70"/>
        <v>-5.0158333333333333E-2</v>
      </c>
      <c r="K445" s="5">
        <f t="shared" si="71"/>
        <v>-3.7158333333333335E-2</v>
      </c>
      <c r="L445" s="8">
        <f t="shared" si="68"/>
        <v>-0.12916391818582873</v>
      </c>
      <c r="M445" s="8">
        <f t="shared" si="69"/>
        <v>3.6000000000000004E-2</v>
      </c>
      <c r="N445" s="8">
        <f t="shared" si="72"/>
        <v>4.3900000000000002E-2</v>
      </c>
      <c r="O445" s="296">
        <f t="shared" si="67"/>
        <v>-0.16516391818582873</v>
      </c>
      <c r="P445" s="8">
        <f t="shared" si="73"/>
        <v>-0.17306391818582872</v>
      </c>
      <c r="Q445" s="8">
        <f t="shared" si="74"/>
        <v>-7.5025160270334568E-2</v>
      </c>
      <c r="R445" s="8">
        <f t="shared" si="75"/>
        <v>4.5100000000000001E-2</v>
      </c>
      <c r="S445" s="296">
        <f t="shared" si="76"/>
        <v>-0.12012516027033457</v>
      </c>
      <c r="U445" s="297"/>
      <c r="V445" s="297"/>
      <c r="W445" s="297"/>
      <c r="X445" s="297"/>
      <c r="Y445" s="297"/>
      <c r="Z445" s="297"/>
      <c r="AA445" s="297"/>
      <c r="AB445" s="297"/>
      <c r="AC445" s="297"/>
      <c r="AE445" s="297"/>
      <c r="AF445" s="297"/>
      <c r="AG445" s="297"/>
      <c r="AH445" s="297"/>
      <c r="AI445" s="297"/>
      <c r="AJ445" s="297"/>
      <c r="AK445" s="297"/>
      <c r="AL445" s="297"/>
      <c r="AM445" s="297"/>
      <c r="AO445" s="297"/>
      <c r="AP445" s="297"/>
      <c r="AQ445" s="297"/>
      <c r="AR445" s="297"/>
      <c r="AS445" s="297"/>
      <c r="AT445" s="297"/>
      <c r="AU445" s="297"/>
      <c r="AV445" s="297"/>
      <c r="AW445" s="297"/>
    </row>
    <row r="446" spans="1:49" x14ac:dyDescent="0.45">
      <c r="A446" s="295">
        <v>22920</v>
      </c>
      <c r="B446" s="12">
        <v>6.4000000000000003E-3</v>
      </c>
      <c r="C446" s="5">
        <v>-1.3999999999999998E-3</v>
      </c>
      <c r="D446" s="5">
        <v>3.5000000000000005E-3</v>
      </c>
      <c r="E446" s="5">
        <v>3.5666666666666668E-3</v>
      </c>
      <c r="F446" s="5">
        <v>3.6749999999999999E-3</v>
      </c>
      <c r="G446" s="5">
        <v>3.6208333333333331E-3</v>
      </c>
      <c r="H446" s="5">
        <v>3.741666666666667E-3</v>
      </c>
      <c r="I446" s="5">
        <f t="shared" si="66"/>
        <v>2.8999999999999998E-3</v>
      </c>
      <c r="J446" s="5">
        <f t="shared" si="70"/>
        <v>2.7791666666666672E-3</v>
      </c>
      <c r="K446" s="5">
        <f t="shared" si="71"/>
        <v>-5.1416666666666668E-3</v>
      </c>
      <c r="L446" s="8">
        <f t="shared" si="68"/>
        <v>-0.14895180351739923</v>
      </c>
      <c r="M446" s="8">
        <f t="shared" si="69"/>
        <v>4.200000000000001E-2</v>
      </c>
      <c r="N446" s="8">
        <f t="shared" si="72"/>
        <v>4.3449999999999996E-2</v>
      </c>
      <c r="O446" s="296">
        <f t="shared" si="67"/>
        <v>-0.19095180351739924</v>
      </c>
      <c r="P446" s="8">
        <f t="shared" si="73"/>
        <v>-0.19240180351739922</v>
      </c>
      <c r="Q446" s="8">
        <f t="shared" si="74"/>
        <v>-0.11862607351713372</v>
      </c>
      <c r="R446" s="8">
        <f t="shared" si="75"/>
        <v>4.4900000000000002E-2</v>
      </c>
      <c r="S446" s="296">
        <f t="shared" si="76"/>
        <v>-0.16352607351713372</v>
      </c>
      <c r="U446" s="297"/>
      <c r="V446" s="297"/>
      <c r="W446" s="297"/>
      <c r="X446" s="297"/>
      <c r="Y446" s="297"/>
      <c r="Z446" s="297"/>
      <c r="AA446" s="297"/>
      <c r="AB446" s="297"/>
      <c r="AC446" s="297"/>
      <c r="AE446" s="297"/>
      <c r="AF446" s="297"/>
      <c r="AG446" s="297"/>
      <c r="AH446" s="297"/>
      <c r="AI446" s="297"/>
      <c r="AJ446" s="297"/>
      <c r="AK446" s="297"/>
      <c r="AL446" s="297"/>
      <c r="AM446" s="297"/>
      <c r="AO446" s="297"/>
      <c r="AP446" s="297"/>
      <c r="AQ446" s="297"/>
      <c r="AR446" s="297"/>
      <c r="AS446" s="297"/>
      <c r="AT446" s="297"/>
      <c r="AU446" s="297"/>
      <c r="AV446" s="297"/>
      <c r="AW446" s="297"/>
    </row>
    <row r="447" spans="1:49" x14ac:dyDescent="0.45">
      <c r="A447" s="295">
        <v>22951</v>
      </c>
      <c r="B447" s="12">
        <v>0.1086</v>
      </c>
      <c r="C447" s="5">
        <v>7.6800000000000007E-2</v>
      </c>
      <c r="D447" s="5">
        <v>3.0999999999999999E-3</v>
      </c>
      <c r="E447" s="5">
        <v>3.5416666666666669E-3</v>
      </c>
      <c r="F447" s="5">
        <v>3.666666666666667E-3</v>
      </c>
      <c r="G447" s="5">
        <v>3.604166666666667E-3</v>
      </c>
      <c r="H447" s="5">
        <v>3.7083333333333334E-3</v>
      </c>
      <c r="I447" s="5">
        <f t="shared" si="66"/>
        <v>0.1055</v>
      </c>
      <c r="J447" s="5">
        <f t="shared" si="70"/>
        <v>0.10499583333333333</v>
      </c>
      <c r="K447" s="5">
        <f t="shared" si="71"/>
        <v>7.309166666666668E-2</v>
      </c>
      <c r="L447" s="8">
        <f t="shared" si="68"/>
        <v>-9.6896687450357843E-2</v>
      </c>
      <c r="M447" s="8">
        <f t="shared" si="69"/>
        <v>3.7199999999999997E-2</v>
      </c>
      <c r="N447" s="8">
        <f t="shared" si="72"/>
        <v>4.3250000000000004E-2</v>
      </c>
      <c r="O447" s="296">
        <f t="shared" si="67"/>
        <v>-0.13409668745035785</v>
      </c>
      <c r="P447" s="8">
        <f t="shared" si="73"/>
        <v>-0.14014668745035785</v>
      </c>
      <c r="Q447" s="8">
        <f t="shared" si="74"/>
        <v>-8.1699618735606827E-2</v>
      </c>
      <c r="R447" s="8">
        <f t="shared" si="75"/>
        <v>4.4499999999999998E-2</v>
      </c>
      <c r="S447" s="296">
        <f t="shared" si="76"/>
        <v>-0.12619961873560681</v>
      </c>
      <c r="U447" s="297"/>
      <c r="V447" s="297"/>
      <c r="W447" s="297"/>
      <c r="X447" s="297"/>
      <c r="Y447" s="297"/>
      <c r="Z447" s="297"/>
      <c r="AA447" s="297"/>
      <c r="AB447" s="297"/>
      <c r="AC447" s="297"/>
      <c r="AE447" s="297"/>
      <c r="AF447" s="297"/>
      <c r="AG447" s="297"/>
      <c r="AH447" s="297"/>
      <c r="AI447" s="297"/>
      <c r="AJ447" s="297"/>
      <c r="AK447" s="297"/>
      <c r="AL447" s="297"/>
      <c r="AM447" s="297"/>
      <c r="AO447" s="297"/>
      <c r="AP447" s="297"/>
      <c r="AQ447" s="297"/>
      <c r="AR447" s="297"/>
      <c r="AS447" s="297"/>
      <c r="AT447" s="297"/>
      <c r="AU447" s="297"/>
      <c r="AV447" s="297"/>
      <c r="AW447" s="297"/>
    </row>
    <row r="448" spans="1:49" x14ac:dyDescent="0.45">
      <c r="A448" s="295">
        <v>22981</v>
      </c>
      <c r="B448" s="12">
        <v>1.5299999999999999E-2</v>
      </c>
      <c r="C448" s="5">
        <v>3.1199999999999995E-2</v>
      </c>
      <c r="D448" s="5">
        <v>3.2000000000000002E-3</v>
      </c>
      <c r="E448" s="5">
        <v>3.5333333333333332E-3</v>
      </c>
      <c r="F448" s="5">
        <v>3.65E-3</v>
      </c>
      <c r="G448" s="5">
        <v>3.5916666666666662E-3</v>
      </c>
      <c r="H448" s="5">
        <v>3.7000000000000006E-3</v>
      </c>
      <c r="I448" s="5">
        <f t="shared" si="66"/>
        <v>1.21E-2</v>
      </c>
      <c r="J448" s="5">
        <f t="shared" si="70"/>
        <v>1.1708333333333333E-2</v>
      </c>
      <c r="K448" s="5">
        <f t="shared" si="71"/>
        <v>2.7499999999999993E-2</v>
      </c>
      <c r="L448" s="8">
        <f t="shared" si="68"/>
        <v>-8.7277729213963928E-2</v>
      </c>
      <c r="M448" s="8">
        <f t="shared" si="69"/>
        <v>3.8400000000000004E-2</v>
      </c>
      <c r="N448" s="8">
        <f t="shared" si="72"/>
        <v>4.3099999999999992E-2</v>
      </c>
      <c r="O448" s="296">
        <f t="shared" si="67"/>
        <v>-0.12567772921396392</v>
      </c>
      <c r="P448" s="8">
        <f t="shared" si="73"/>
        <v>-0.13037772921396393</v>
      </c>
      <c r="Q448" s="8">
        <f t="shared" si="74"/>
        <v>-2.4565973259330187E-2</v>
      </c>
      <c r="R448" s="8">
        <f t="shared" si="75"/>
        <v>4.4400000000000009E-2</v>
      </c>
      <c r="S448" s="296">
        <f t="shared" si="76"/>
        <v>-6.8965973259330196E-2</v>
      </c>
      <c r="U448" s="297"/>
      <c r="V448" s="297"/>
      <c r="W448" s="297"/>
      <c r="X448" s="297"/>
      <c r="Y448" s="297"/>
      <c r="Z448" s="297"/>
      <c r="AA448" s="297"/>
      <c r="AB448" s="297"/>
      <c r="AC448" s="297"/>
      <c r="AE448" s="297"/>
      <c r="AF448" s="297"/>
      <c r="AG448" s="297"/>
      <c r="AH448" s="297"/>
      <c r="AI448" s="297"/>
      <c r="AJ448" s="297"/>
      <c r="AK448" s="297"/>
      <c r="AL448" s="297"/>
      <c r="AM448" s="297"/>
      <c r="AO448" s="297"/>
      <c r="AP448" s="297"/>
      <c r="AQ448" s="297"/>
      <c r="AR448" s="297"/>
      <c r="AS448" s="297"/>
      <c r="AT448" s="297"/>
      <c r="AU448" s="297"/>
      <c r="AV448" s="297"/>
      <c r="AW448" s="297"/>
    </row>
    <row r="449" spans="1:49" x14ac:dyDescent="0.45">
      <c r="A449" s="295">
        <v>23012</v>
      </c>
      <c r="B449" s="12">
        <v>5.0599999999999999E-2</v>
      </c>
      <c r="C449" s="5">
        <v>5.5800000000000002E-2</v>
      </c>
      <c r="D449" s="5">
        <v>3.2000000000000002E-3</v>
      </c>
      <c r="E449" s="5">
        <v>3.5083333333333334E-3</v>
      </c>
      <c r="F449" s="5">
        <v>3.6416666666666667E-3</v>
      </c>
      <c r="G449" s="5">
        <v>3.5750000000000005E-3</v>
      </c>
      <c r="H449" s="5">
        <v>3.6583333333333329E-3</v>
      </c>
      <c r="I449" s="5">
        <f t="shared" si="66"/>
        <v>4.7399999999999998E-2</v>
      </c>
      <c r="J449" s="5">
        <f t="shared" si="70"/>
        <v>4.7024999999999997E-2</v>
      </c>
      <c r="K449" s="5">
        <f t="shared" si="71"/>
        <v>5.2141666666666669E-2</v>
      </c>
      <c r="L449" s="8">
        <f t="shared" si="68"/>
        <v>-4.6647107247149711E-3</v>
      </c>
      <c r="M449" s="8">
        <f t="shared" si="69"/>
        <v>3.8400000000000004E-2</v>
      </c>
      <c r="N449" s="8">
        <f t="shared" si="72"/>
        <v>4.2900000000000008E-2</v>
      </c>
      <c r="O449" s="296">
        <f t="shared" si="67"/>
        <v>-4.3064710724714975E-2</v>
      </c>
      <c r="P449" s="8">
        <f t="shared" si="73"/>
        <v>-4.7564710724714979E-2</v>
      </c>
      <c r="Q449" s="8">
        <f t="shared" si="74"/>
        <v>6.8988214067676079E-2</v>
      </c>
      <c r="R449" s="8">
        <f t="shared" si="75"/>
        <v>4.3899999999999995E-2</v>
      </c>
      <c r="S449" s="296">
        <f t="shared" si="76"/>
        <v>2.5088214067676085E-2</v>
      </c>
      <c r="U449" s="297"/>
      <c r="V449" s="297"/>
      <c r="W449" s="297"/>
      <c r="X449" s="297"/>
      <c r="Y449" s="297"/>
      <c r="Z449" s="297"/>
      <c r="AA449" s="297"/>
      <c r="AB449" s="297"/>
      <c r="AC449" s="297"/>
      <c r="AE449" s="297"/>
      <c r="AF449" s="297"/>
      <c r="AG449" s="297"/>
      <c r="AH449" s="297"/>
      <c r="AI449" s="297"/>
      <c r="AJ449" s="297"/>
      <c r="AK449" s="297"/>
      <c r="AL449" s="297"/>
      <c r="AM449" s="297"/>
      <c r="AO449" s="297"/>
      <c r="AP449" s="297"/>
      <c r="AQ449" s="297"/>
      <c r="AR449" s="297"/>
      <c r="AS449" s="297"/>
      <c r="AT449" s="297"/>
      <c r="AU449" s="297"/>
      <c r="AV449" s="297"/>
      <c r="AW449" s="297"/>
    </row>
    <row r="450" spans="1:49" x14ac:dyDescent="0.45">
      <c r="A450" s="295">
        <v>23043</v>
      </c>
      <c r="B450" s="12">
        <v>-2.3900000000000001E-2</v>
      </c>
      <c r="C450" s="5">
        <v>-2.06E-2</v>
      </c>
      <c r="D450" s="5">
        <v>2.8999999999999998E-3</v>
      </c>
      <c r="E450" s="5">
        <v>3.4916666666666668E-3</v>
      </c>
      <c r="F450" s="5">
        <v>3.6333333333333335E-3</v>
      </c>
      <c r="G450" s="5">
        <v>3.5625000000000001E-3</v>
      </c>
      <c r="H450" s="5">
        <v>3.6416666666666667E-3</v>
      </c>
      <c r="I450" s="5">
        <f t="shared" si="66"/>
        <v>-2.6800000000000001E-2</v>
      </c>
      <c r="J450" s="5">
        <f t="shared" si="70"/>
        <v>-2.7462500000000001E-2</v>
      </c>
      <c r="K450" s="5">
        <f t="shared" si="71"/>
        <v>-2.4241666666666668E-2</v>
      </c>
      <c r="L450" s="8">
        <f t="shared" si="68"/>
        <v>-4.8342858397878663E-2</v>
      </c>
      <c r="M450" s="8">
        <f t="shared" si="69"/>
        <v>3.4799999999999998E-2</v>
      </c>
      <c r="N450" s="8">
        <f t="shared" si="72"/>
        <v>4.2750000000000003E-2</v>
      </c>
      <c r="O450" s="296">
        <f t="shared" si="67"/>
        <v>-8.3142858397878661E-2</v>
      </c>
      <c r="P450" s="8">
        <f t="shared" si="73"/>
        <v>-9.1092858397878673E-2</v>
      </c>
      <c r="Q450" s="8">
        <f t="shared" si="74"/>
        <v>1.6472870735807943E-2</v>
      </c>
      <c r="R450" s="8">
        <f t="shared" si="75"/>
        <v>4.3700000000000003E-2</v>
      </c>
      <c r="S450" s="296">
        <f t="shared" si="76"/>
        <v>-2.722712926419206E-2</v>
      </c>
      <c r="U450" s="297"/>
      <c r="V450" s="297"/>
      <c r="W450" s="297"/>
      <c r="X450" s="297"/>
      <c r="Y450" s="297"/>
      <c r="Z450" s="297"/>
      <c r="AA450" s="297"/>
      <c r="AB450" s="297"/>
      <c r="AC450" s="297"/>
      <c r="AE450" s="297"/>
      <c r="AF450" s="297"/>
      <c r="AG450" s="297"/>
      <c r="AH450" s="297"/>
      <c r="AI450" s="297"/>
      <c r="AJ450" s="297"/>
      <c r="AK450" s="297"/>
      <c r="AL450" s="297"/>
      <c r="AM450" s="297"/>
      <c r="AO450" s="297"/>
      <c r="AP450" s="297"/>
      <c r="AQ450" s="297"/>
      <c r="AR450" s="297"/>
      <c r="AS450" s="297"/>
      <c r="AT450" s="297"/>
      <c r="AU450" s="297"/>
      <c r="AV450" s="297"/>
      <c r="AW450" s="297"/>
    </row>
    <row r="451" spans="1:49" x14ac:dyDescent="0.45">
      <c r="A451" s="295">
        <v>23071</v>
      </c>
      <c r="B451" s="12">
        <v>3.6999999999999998E-2</v>
      </c>
      <c r="C451" s="5">
        <v>1.8600000000000002E-2</v>
      </c>
      <c r="D451" s="5">
        <v>3.0999999999999999E-3</v>
      </c>
      <c r="E451" s="5">
        <v>3.4916666666666668E-3</v>
      </c>
      <c r="F451" s="5">
        <v>3.6166666666666665E-3</v>
      </c>
      <c r="G451" s="5">
        <v>3.5541666666666664E-3</v>
      </c>
      <c r="H451" s="5">
        <v>3.6416666666666667E-3</v>
      </c>
      <c r="I451" s="5">
        <f t="shared" si="66"/>
        <v>3.39E-2</v>
      </c>
      <c r="J451" s="5">
        <f t="shared" si="70"/>
        <v>3.3445833333333334E-2</v>
      </c>
      <c r="K451" s="5">
        <f t="shared" si="71"/>
        <v>1.4958333333333336E-2</v>
      </c>
      <c r="L451" s="8">
        <f t="shared" si="68"/>
        <v>-8.5709706234683436E-3</v>
      </c>
      <c r="M451" s="8">
        <f t="shared" si="69"/>
        <v>3.7199999999999997E-2</v>
      </c>
      <c r="N451" s="8">
        <f t="shared" si="72"/>
        <v>4.2649999999999993E-2</v>
      </c>
      <c r="O451" s="296">
        <f t="shared" si="67"/>
        <v>-4.5770970623468341E-2</v>
      </c>
      <c r="P451" s="8">
        <f t="shared" si="73"/>
        <v>-5.1220970623468337E-2</v>
      </c>
      <c r="Q451" s="8">
        <f t="shared" si="74"/>
        <v>2.7060079487643884E-2</v>
      </c>
      <c r="R451" s="8">
        <f t="shared" si="75"/>
        <v>4.3700000000000003E-2</v>
      </c>
      <c r="S451" s="296">
        <f t="shared" si="76"/>
        <v>-1.6639920512356118E-2</v>
      </c>
      <c r="U451" s="297"/>
      <c r="V451" s="297"/>
      <c r="W451" s="297"/>
      <c r="X451" s="297"/>
      <c r="Y451" s="297"/>
      <c r="Z451" s="297"/>
      <c r="AA451" s="297"/>
      <c r="AB451" s="297"/>
      <c r="AC451" s="297"/>
      <c r="AE451" s="297"/>
      <c r="AF451" s="297"/>
      <c r="AG451" s="297"/>
      <c r="AH451" s="297"/>
      <c r="AI451" s="297"/>
      <c r="AJ451" s="297"/>
      <c r="AK451" s="297"/>
      <c r="AL451" s="297"/>
      <c r="AM451" s="297"/>
      <c r="AO451" s="297"/>
      <c r="AP451" s="297"/>
      <c r="AQ451" s="297"/>
      <c r="AR451" s="297"/>
      <c r="AS451" s="297"/>
      <c r="AT451" s="297"/>
      <c r="AU451" s="297"/>
      <c r="AV451" s="297"/>
      <c r="AW451" s="297"/>
    </row>
    <row r="452" spans="1:49" x14ac:dyDescent="0.45">
      <c r="A452" s="295">
        <v>23102</v>
      </c>
      <c r="B452" s="12">
        <v>0.05</v>
      </c>
      <c r="C452" s="5">
        <v>2.3200000000000002E-2</v>
      </c>
      <c r="D452" s="5">
        <v>3.3999999999999998E-3</v>
      </c>
      <c r="E452" s="5">
        <v>3.5083333333333334E-3</v>
      </c>
      <c r="F452" s="5">
        <v>3.6249999999999998E-3</v>
      </c>
      <c r="G452" s="5">
        <v>3.5666666666666668E-3</v>
      </c>
      <c r="H452" s="5">
        <v>3.6416666666666667E-3</v>
      </c>
      <c r="I452" s="5">
        <f t="shared" si="66"/>
        <v>4.6600000000000003E-2</v>
      </c>
      <c r="J452" s="5">
        <f t="shared" si="70"/>
        <v>4.6433333333333333E-2</v>
      </c>
      <c r="K452" s="5">
        <f t="shared" si="71"/>
        <v>1.9558333333333334E-2</v>
      </c>
      <c r="L452" s="8">
        <f t="shared" si="68"/>
        <v>0.10827262945316551</v>
      </c>
      <c r="M452" s="8">
        <f t="shared" si="69"/>
        <v>4.0799999999999996E-2</v>
      </c>
      <c r="N452" s="8">
        <f t="shared" si="72"/>
        <v>4.2800000000000005E-2</v>
      </c>
      <c r="O452" s="296">
        <f t="shared" si="67"/>
        <v>6.7472629453165511E-2</v>
      </c>
      <c r="P452" s="8">
        <f t="shared" si="73"/>
        <v>6.547262945316551E-2</v>
      </c>
      <c r="Q452" s="8">
        <f t="shared" si="74"/>
        <v>8.934163297580322E-2</v>
      </c>
      <c r="R452" s="8">
        <f t="shared" si="75"/>
        <v>4.3700000000000003E-2</v>
      </c>
      <c r="S452" s="296">
        <f t="shared" si="76"/>
        <v>4.5641632975803217E-2</v>
      </c>
      <c r="U452" s="297"/>
      <c r="V452" s="297"/>
      <c r="W452" s="297"/>
      <c r="X452" s="297"/>
      <c r="Y452" s="297"/>
      <c r="Z452" s="297"/>
      <c r="AA452" s="297"/>
      <c r="AB452" s="297"/>
      <c r="AC452" s="297"/>
      <c r="AE452" s="297"/>
      <c r="AF452" s="297"/>
      <c r="AG452" s="297"/>
      <c r="AH452" s="297"/>
      <c r="AI452" s="297"/>
      <c r="AJ452" s="297"/>
      <c r="AK452" s="297"/>
      <c r="AL452" s="297"/>
      <c r="AM452" s="297"/>
      <c r="AO452" s="297"/>
      <c r="AP452" s="297"/>
      <c r="AQ452" s="297"/>
      <c r="AR452" s="297"/>
      <c r="AS452" s="297"/>
      <c r="AT452" s="297"/>
      <c r="AU452" s="297"/>
      <c r="AV452" s="297"/>
      <c r="AW452" s="297"/>
    </row>
    <row r="453" spans="1:49" x14ac:dyDescent="0.45">
      <c r="A453" s="295">
        <v>23132</v>
      </c>
      <c r="B453" s="12">
        <v>1.9300000000000001E-2</v>
      </c>
      <c r="C453" s="5">
        <v>7.000000000000001E-3</v>
      </c>
      <c r="D453" s="5">
        <v>3.3E-3</v>
      </c>
      <c r="E453" s="5">
        <v>3.5166666666666662E-3</v>
      </c>
      <c r="F453" s="5">
        <v>3.6333333333333335E-3</v>
      </c>
      <c r="G453" s="5">
        <v>3.5750000000000001E-3</v>
      </c>
      <c r="H453" s="5">
        <v>3.6416666666666667E-3</v>
      </c>
      <c r="I453" s="5">
        <f t="shared" si="66"/>
        <v>1.6E-2</v>
      </c>
      <c r="J453" s="5">
        <f t="shared" si="70"/>
        <v>1.5725000000000003E-2</v>
      </c>
      <c r="K453" s="5">
        <f t="shared" si="71"/>
        <v>3.3583333333333343E-3</v>
      </c>
      <c r="L453" s="8">
        <f t="shared" si="68"/>
        <v>0.22936368614823333</v>
      </c>
      <c r="M453" s="8">
        <f t="shared" si="69"/>
        <v>3.9599999999999996E-2</v>
      </c>
      <c r="N453" s="8">
        <f t="shared" si="72"/>
        <v>4.2900000000000001E-2</v>
      </c>
      <c r="O453" s="296">
        <f t="shared" si="67"/>
        <v>0.18976368614823333</v>
      </c>
      <c r="P453" s="8">
        <f t="shared" si="73"/>
        <v>0.18646368614823333</v>
      </c>
      <c r="Q453" s="8">
        <f t="shared" si="74"/>
        <v>0.20704998284180642</v>
      </c>
      <c r="R453" s="8">
        <f t="shared" si="75"/>
        <v>4.3700000000000003E-2</v>
      </c>
      <c r="S453" s="296">
        <f t="shared" si="76"/>
        <v>0.16334998284180641</v>
      </c>
      <c r="U453" s="297"/>
      <c r="V453" s="297"/>
      <c r="W453" s="297"/>
      <c r="X453" s="297"/>
      <c r="Y453" s="297"/>
      <c r="Z453" s="297"/>
      <c r="AA453" s="297"/>
      <c r="AB453" s="297"/>
      <c r="AC453" s="297"/>
      <c r="AE453" s="297"/>
      <c r="AF453" s="297"/>
      <c r="AG453" s="297"/>
      <c r="AH453" s="297"/>
      <c r="AI453" s="297"/>
      <c r="AJ453" s="297"/>
      <c r="AK453" s="297"/>
      <c r="AL453" s="297"/>
      <c r="AM453" s="297"/>
      <c r="AO453" s="297"/>
      <c r="AP453" s="297"/>
      <c r="AQ453" s="297"/>
      <c r="AR453" s="297"/>
      <c r="AS453" s="297"/>
      <c r="AT453" s="297"/>
      <c r="AU453" s="297"/>
      <c r="AV453" s="297"/>
      <c r="AW453" s="297"/>
    </row>
    <row r="454" spans="1:49" x14ac:dyDescent="0.45">
      <c r="A454" s="295">
        <v>23163</v>
      </c>
      <c r="B454" s="12">
        <v>-1.8800000000000001E-2</v>
      </c>
      <c r="C454" s="5">
        <v>-1.2299999999999998E-2</v>
      </c>
      <c r="D454" s="5">
        <v>3.0000000000000001E-3</v>
      </c>
      <c r="E454" s="5">
        <v>3.5250000000000004E-3</v>
      </c>
      <c r="F454" s="5">
        <v>3.6333333333333335E-3</v>
      </c>
      <c r="G454" s="5">
        <v>3.5791666666666667E-3</v>
      </c>
      <c r="H454" s="5">
        <v>3.6416666666666667E-3</v>
      </c>
      <c r="I454" s="5">
        <f t="shared" ref="I454:I517" si="77">B454-D454</f>
        <v>-2.18E-2</v>
      </c>
      <c r="J454" s="5">
        <f t="shared" si="70"/>
        <v>-2.2379166666666669E-2</v>
      </c>
      <c r="K454" s="5">
        <f t="shared" si="71"/>
        <v>-1.5941666666666666E-2</v>
      </c>
      <c r="L454" s="8">
        <f t="shared" si="68"/>
        <v>0.31157078269940941</v>
      </c>
      <c r="M454" s="8">
        <f t="shared" si="69"/>
        <v>3.6000000000000004E-2</v>
      </c>
      <c r="N454" s="8">
        <f t="shared" si="72"/>
        <v>4.2950000000000002E-2</v>
      </c>
      <c r="O454" s="296">
        <f t="shared" si="67"/>
        <v>0.27557078269940938</v>
      </c>
      <c r="P454" s="8">
        <f t="shared" si="73"/>
        <v>0.26862078269940942</v>
      </c>
      <c r="Q454" s="8">
        <f t="shared" si="74"/>
        <v>0.26132381300555663</v>
      </c>
      <c r="R454" s="8">
        <f t="shared" si="75"/>
        <v>4.3700000000000003E-2</v>
      </c>
      <c r="S454" s="296">
        <f t="shared" si="76"/>
        <v>0.21762381300555661</v>
      </c>
      <c r="U454" s="297"/>
      <c r="V454" s="297"/>
      <c r="W454" s="297"/>
      <c r="X454" s="297"/>
      <c r="Y454" s="297"/>
      <c r="Z454" s="297"/>
      <c r="AA454" s="297"/>
      <c r="AB454" s="297"/>
      <c r="AC454" s="297"/>
      <c r="AE454" s="297"/>
      <c r="AF454" s="297"/>
      <c r="AG454" s="297"/>
      <c r="AH454" s="297"/>
      <c r="AI454" s="297"/>
      <c r="AJ454" s="297"/>
      <c r="AK454" s="297"/>
      <c r="AL454" s="297"/>
      <c r="AM454" s="297"/>
      <c r="AO454" s="297"/>
      <c r="AP454" s="297"/>
      <c r="AQ454" s="297"/>
      <c r="AR454" s="297"/>
      <c r="AS454" s="297"/>
      <c r="AT454" s="297"/>
      <c r="AU454" s="297"/>
      <c r="AV454" s="297"/>
      <c r="AW454" s="297"/>
    </row>
    <row r="455" spans="1:49" x14ac:dyDescent="0.45">
      <c r="A455" s="295">
        <v>23193</v>
      </c>
      <c r="B455" s="12">
        <v>-2.2000000000000001E-3</v>
      </c>
      <c r="C455" s="5">
        <v>1.23E-2</v>
      </c>
      <c r="D455" s="5">
        <v>3.5999999999999999E-3</v>
      </c>
      <c r="E455" s="5">
        <v>3.5499999999999998E-3</v>
      </c>
      <c r="F455" s="5">
        <v>3.6583333333333329E-3</v>
      </c>
      <c r="G455" s="5">
        <v>3.6041666666666661E-3</v>
      </c>
      <c r="H455" s="5">
        <v>3.6583333333333329E-3</v>
      </c>
      <c r="I455" s="5">
        <f t="shared" si="77"/>
        <v>-5.7999999999999996E-3</v>
      </c>
      <c r="J455" s="5">
        <f t="shared" si="70"/>
        <v>-5.8041666666666658E-3</v>
      </c>
      <c r="K455" s="5">
        <f t="shared" si="71"/>
        <v>8.6416666666666673E-3</v>
      </c>
      <c r="L455" s="8">
        <f t="shared" si="68"/>
        <v>0.2285817940081396</v>
      </c>
      <c r="M455" s="8">
        <f t="shared" si="69"/>
        <v>4.3200000000000002E-2</v>
      </c>
      <c r="N455" s="8">
        <f t="shared" si="72"/>
        <v>4.3249999999999997E-2</v>
      </c>
      <c r="O455" s="296">
        <f t="shared" si="67"/>
        <v>0.18538179400813959</v>
      </c>
      <c r="P455" s="8">
        <f t="shared" si="73"/>
        <v>0.18533179400813959</v>
      </c>
      <c r="Q455" s="8">
        <f t="shared" si="74"/>
        <v>0.19453465797130187</v>
      </c>
      <c r="R455" s="8">
        <f t="shared" si="75"/>
        <v>4.3899999999999995E-2</v>
      </c>
      <c r="S455" s="296">
        <f t="shared" si="76"/>
        <v>0.15063465797130188</v>
      </c>
      <c r="U455" s="297"/>
      <c r="V455" s="297"/>
      <c r="W455" s="297"/>
      <c r="X455" s="297"/>
      <c r="Y455" s="297"/>
      <c r="Z455" s="297"/>
      <c r="AA455" s="297"/>
      <c r="AB455" s="297"/>
      <c r="AC455" s="297"/>
      <c r="AE455" s="297"/>
      <c r="AF455" s="297"/>
      <c r="AG455" s="297"/>
      <c r="AH455" s="297"/>
      <c r="AI455" s="297"/>
      <c r="AJ455" s="297"/>
      <c r="AK455" s="297"/>
      <c r="AL455" s="297"/>
      <c r="AM455" s="297"/>
      <c r="AO455" s="297"/>
      <c r="AP455" s="297"/>
      <c r="AQ455" s="297"/>
      <c r="AR455" s="297"/>
      <c r="AS455" s="297"/>
      <c r="AT455" s="297"/>
      <c r="AU455" s="297"/>
      <c r="AV455" s="297"/>
      <c r="AW455" s="297"/>
    </row>
    <row r="456" spans="1:49" x14ac:dyDescent="0.45">
      <c r="A456" s="295">
        <v>23224</v>
      </c>
      <c r="B456" s="12">
        <v>5.3499999999999999E-2</v>
      </c>
      <c r="C456" s="5">
        <v>4.2500000000000003E-2</v>
      </c>
      <c r="D456" s="5">
        <v>3.3E-3</v>
      </c>
      <c r="E456" s="5">
        <v>3.5750000000000001E-3</v>
      </c>
      <c r="F456" s="5">
        <v>3.666666666666667E-3</v>
      </c>
      <c r="G456" s="5">
        <v>3.6208333333333331E-3</v>
      </c>
      <c r="H456" s="5">
        <v>3.65E-3</v>
      </c>
      <c r="I456" s="5">
        <f t="shared" si="77"/>
        <v>5.0200000000000002E-2</v>
      </c>
      <c r="J456" s="5">
        <f t="shared" si="70"/>
        <v>4.9879166666666669E-2</v>
      </c>
      <c r="K456" s="5">
        <f t="shared" si="71"/>
        <v>3.8850000000000003E-2</v>
      </c>
      <c r="L456" s="8">
        <f t="shared" si="68"/>
        <v>0.2679378134674526</v>
      </c>
      <c r="M456" s="8">
        <f t="shared" si="69"/>
        <v>3.9599999999999996E-2</v>
      </c>
      <c r="N456" s="8">
        <f t="shared" si="72"/>
        <v>4.3449999999999996E-2</v>
      </c>
      <c r="O456" s="296">
        <f t="shared" si="67"/>
        <v>0.2283378134674526</v>
      </c>
      <c r="P456" s="8">
        <f t="shared" si="73"/>
        <v>0.22448781346745261</v>
      </c>
      <c r="Q456" s="8">
        <f t="shared" si="74"/>
        <v>0.21244511823102186</v>
      </c>
      <c r="R456" s="8">
        <f t="shared" si="75"/>
        <v>4.3799999999999999E-2</v>
      </c>
      <c r="S456" s="296">
        <f t="shared" si="76"/>
        <v>0.16864511823102185</v>
      </c>
      <c r="U456" s="297"/>
      <c r="V456" s="297"/>
      <c r="W456" s="297"/>
      <c r="X456" s="297"/>
      <c r="Y456" s="297"/>
      <c r="Z456" s="297"/>
      <c r="AA456" s="297"/>
      <c r="AB456" s="297"/>
      <c r="AC456" s="297"/>
      <c r="AE456" s="297"/>
      <c r="AF456" s="297"/>
      <c r="AG456" s="297"/>
      <c r="AH456" s="297"/>
      <c r="AI456" s="297"/>
      <c r="AJ456" s="297"/>
      <c r="AK456" s="297"/>
      <c r="AL456" s="297"/>
      <c r="AM456" s="297"/>
      <c r="AO456" s="297"/>
      <c r="AP456" s="297"/>
      <c r="AQ456" s="297"/>
      <c r="AR456" s="297"/>
      <c r="AS456" s="297"/>
      <c r="AT456" s="297"/>
      <c r="AU456" s="297"/>
      <c r="AV456" s="297"/>
      <c r="AW456" s="297"/>
    </row>
    <row r="457" spans="1:49" x14ac:dyDescent="0.45">
      <c r="A457" s="295">
        <v>23255</v>
      </c>
      <c r="B457" s="12">
        <v>-9.7000000000000003E-3</v>
      </c>
      <c r="C457" s="5">
        <v>-2.58E-2</v>
      </c>
      <c r="D457" s="5">
        <v>3.3999999999999998E-3</v>
      </c>
      <c r="E457" s="5">
        <v>3.5916666666666662E-3</v>
      </c>
      <c r="F457" s="5">
        <v>3.6749999999999999E-3</v>
      </c>
      <c r="G457" s="5">
        <v>3.633333333333333E-3</v>
      </c>
      <c r="H457" s="5">
        <v>3.666666666666667E-3</v>
      </c>
      <c r="I457" s="5">
        <f t="shared" si="77"/>
        <v>-1.3100000000000001E-2</v>
      </c>
      <c r="J457" s="5">
        <f t="shared" si="70"/>
        <v>-1.3333333333333332E-2</v>
      </c>
      <c r="K457" s="5">
        <f t="shared" si="71"/>
        <v>-2.9466666666666669E-2</v>
      </c>
      <c r="L457" s="8">
        <f t="shared" si="68"/>
        <v>0.31687343122896494</v>
      </c>
      <c r="M457" s="8">
        <f t="shared" si="69"/>
        <v>4.0799999999999996E-2</v>
      </c>
      <c r="N457" s="8">
        <f t="shared" si="72"/>
        <v>4.36E-2</v>
      </c>
      <c r="O457" s="296">
        <f t="shared" si="67"/>
        <v>0.27607343122896494</v>
      </c>
      <c r="P457" s="8">
        <f t="shared" si="73"/>
        <v>0.27327343122896497</v>
      </c>
      <c r="Q457" s="8">
        <f t="shared" si="74"/>
        <v>0.22197810281467167</v>
      </c>
      <c r="R457" s="8">
        <f t="shared" si="75"/>
        <v>4.4000000000000004E-2</v>
      </c>
      <c r="S457" s="296">
        <f t="shared" si="76"/>
        <v>0.17797810281467166</v>
      </c>
      <c r="U457" s="297"/>
      <c r="V457" s="297"/>
      <c r="W457" s="297"/>
      <c r="X457" s="297"/>
      <c r="Y457" s="297"/>
      <c r="Z457" s="297"/>
      <c r="AA457" s="297"/>
      <c r="AB457" s="297"/>
      <c r="AC457" s="297"/>
      <c r="AE457" s="297"/>
      <c r="AF457" s="297"/>
      <c r="AG457" s="297"/>
      <c r="AH457" s="297"/>
      <c r="AI457" s="297"/>
      <c r="AJ457" s="297"/>
      <c r="AK457" s="297"/>
      <c r="AL457" s="297"/>
      <c r="AM457" s="297"/>
      <c r="AO457" s="297"/>
      <c r="AP457" s="297"/>
      <c r="AQ457" s="297"/>
      <c r="AR457" s="297"/>
      <c r="AS457" s="297"/>
      <c r="AT457" s="297"/>
      <c r="AU457" s="297"/>
      <c r="AV457" s="297"/>
      <c r="AW457" s="297"/>
    </row>
    <row r="458" spans="1:49" x14ac:dyDescent="0.45">
      <c r="A458" s="295">
        <v>23285</v>
      </c>
      <c r="B458" s="12">
        <v>3.39E-2</v>
      </c>
      <c r="C458" s="5">
        <v>-3.3E-3</v>
      </c>
      <c r="D458" s="5">
        <v>3.3999999999999998E-3</v>
      </c>
      <c r="E458" s="5">
        <v>3.6000000000000003E-3</v>
      </c>
      <c r="F458" s="5">
        <v>3.6916666666666664E-3</v>
      </c>
      <c r="G458" s="5">
        <v>3.6458333333333338E-3</v>
      </c>
      <c r="H458" s="5">
        <v>3.6749999999999999E-3</v>
      </c>
      <c r="I458" s="5">
        <f t="shared" si="77"/>
        <v>3.0499999999999999E-2</v>
      </c>
      <c r="J458" s="5">
        <f t="shared" si="70"/>
        <v>3.0254166666666665E-2</v>
      </c>
      <c r="K458" s="5">
        <f t="shared" si="71"/>
        <v>-6.9750000000000003E-3</v>
      </c>
      <c r="L458" s="8">
        <f t="shared" si="68"/>
        <v>0.35285715475718105</v>
      </c>
      <c r="M458" s="8">
        <f t="shared" si="69"/>
        <v>4.0799999999999996E-2</v>
      </c>
      <c r="N458" s="8">
        <f t="shared" si="72"/>
        <v>4.3750000000000004E-2</v>
      </c>
      <c r="O458" s="296">
        <f t="shared" si="67"/>
        <v>0.31205715475718104</v>
      </c>
      <c r="P458" s="8">
        <f t="shared" si="73"/>
        <v>0.30910715475718104</v>
      </c>
      <c r="Q458" s="8">
        <f t="shared" si="74"/>
        <v>0.21965308940054351</v>
      </c>
      <c r="R458" s="8">
        <f t="shared" si="75"/>
        <v>4.41E-2</v>
      </c>
      <c r="S458" s="296">
        <f t="shared" si="76"/>
        <v>0.17555308940054351</v>
      </c>
      <c r="U458" s="297"/>
      <c r="V458" s="297"/>
      <c r="W458" s="297"/>
      <c r="X458" s="297"/>
      <c r="Y458" s="297"/>
      <c r="Z458" s="297"/>
      <c r="AA458" s="297"/>
      <c r="AB458" s="297"/>
      <c r="AC458" s="297"/>
      <c r="AE458" s="297"/>
      <c r="AF458" s="297"/>
      <c r="AG458" s="297"/>
      <c r="AH458" s="297"/>
      <c r="AI458" s="297"/>
      <c r="AJ458" s="297"/>
      <c r="AK458" s="297"/>
      <c r="AL458" s="297"/>
      <c r="AM458" s="297"/>
      <c r="AO458" s="297"/>
      <c r="AP458" s="297"/>
      <c r="AQ458" s="297"/>
      <c r="AR458" s="297"/>
      <c r="AS458" s="297"/>
      <c r="AT458" s="297"/>
      <c r="AU458" s="297"/>
      <c r="AV458" s="297"/>
      <c r="AW458" s="297"/>
    </row>
    <row r="459" spans="1:49" x14ac:dyDescent="0.45">
      <c r="A459" s="295">
        <v>23316</v>
      </c>
      <c r="B459" s="12">
        <v>-4.5999999999999999E-3</v>
      </c>
      <c r="C459" s="5">
        <v>-8.199999999999999E-3</v>
      </c>
      <c r="D459" s="5">
        <v>3.2000000000000002E-3</v>
      </c>
      <c r="E459" s="5">
        <v>3.6083333333333332E-3</v>
      </c>
      <c r="F459" s="5">
        <v>3.7000000000000006E-3</v>
      </c>
      <c r="G459" s="5">
        <v>3.6541666666666671E-3</v>
      </c>
      <c r="H459" s="5">
        <v>3.6833333333333336E-3</v>
      </c>
      <c r="I459" s="5">
        <f t="shared" si="77"/>
        <v>-7.7999999999999996E-3</v>
      </c>
      <c r="J459" s="5">
        <f t="shared" si="70"/>
        <v>-8.2541666666666666E-3</v>
      </c>
      <c r="K459" s="5">
        <f t="shared" si="71"/>
        <v>-1.1883333333333333E-2</v>
      </c>
      <c r="L459" s="8">
        <f t="shared" si="68"/>
        <v>0.21471586852363189</v>
      </c>
      <c r="M459" s="8">
        <f t="shared" si="69"/>
        <v>3.8400000000000004E-2</v>
      </c>
      <c r="N459" s="8">
        <f t="shared" si="72"/>
        <v>4.3850000000000007E-2</v>
      </c>
      <c r="O459" s="296">
        <f t="shared" si="67"/>
        <v>0.1763158685236319</v>
      </c>
      <c r="P459" s="8">
        <f t="shared" si="73"/>
        <v>0.17086586852363189</v>
      </c>
      <c r="Q459" s="8">
        <f t="shared" si="74"/>
        <v>0.12337661038954262</v>
      </c>
      <c r="R459" s="8">
        <f t="shared" si="75"/>
        <v>4.4200000000000003E-2</v>
      </c>
      <c r="S459" s="296">
        <f t="shared" si="76"/>
        <v>7.9176610389542615E-2</v>
      </c>
      <c r="U459" s="297"/>
      <c r="V459" s="297"/>
      <c r="W459" s="297"/>
      <c r="X459" s="297"/>
      <c r="Y459" s="297"/>
      <c r="Z459" s="297"/>
      <c r="AA459" s="297"/>
      <c r="AB459" s="297"/>
      <c r="AC459" s="297"/>
      <c r="AE459" s="297"/>
      <c r="AF459" s="297"/>
      <c r="AG459" s="297"/>
      <c r="AH459" s="297"/>
      <c r="AI459" s="297"/>
      <c r="AJ459" s="297"/>
      <c r="AK459" s="297"/>
      <c r="AL459" s="297"/>
      <c r="AM459" s="297"/>
      <c r="AO459" s="297"/>
      <c r="AP459" s="297"/>
      <c r="AQ459" s="297"/>
      <c r="AR459" s="297"/>
      <c r="AS459" s="297"/>
      <c r="AT459" s="297"/>
      <c r="AU459" s="297"/>
      <c r="AV459" s="297"/>
      <c r="AW459" s="297"/>
    </row>
    <row r="460" spans="1:49" x14ac:dyDescent="0.45">
      <c r="A460" s="295">
        <v>23346</v>
      </c>
      <c r="B460" s="12">
        <v>2.6200000000000001E-2</v>
      </c>
      <c r="C460" s="5">
        <v>3.1699999999999999E-2</v>
      </c>
      <c r="D460" s="5">
        <v>3.5999999999999999E-3</v>
      </c>
      <c r="E460" s="5">
        <v>3.6249999999999998E-3</v>
      </c>
      <c r="F460" s="5">
        <v>3.7166666666666663E-3</v>
      </c>
      <c r="G460" s="5">
        <v>3.6708333333333332E-3</v>
      </c>
      <c r="H460" s="5">
        <v>3.7166666666666663E-3</v>
      </c>
      <c r="I460" s="5">
        <f t="shared" si="77"/>
        <v>2.2600000000000002E-2</v>
      </c>
      <c r="J460" s="5">
        <f t="shared" si="70"/>
        <v>2.252916666666667E-2</v>
      </c>
      <c r="K460" s="5">
        <f t="shared" si="71"/>
        <v>2.7983333333333332E-2</v>
      </c>
      <c r="L460" s="8">
        <f t="shared" si="68"/>
        <v>0.2277567460641694</v>
      </c>
      <c r="M460" s="8">
        <f t="shared" si="69"/>
        <v>4.3200000000000002E-2</v>
      </c>
      <c r="N460" s="8">
        <f t="shared" si="72"/>
        <v>4.4049999999999999E-2</v>
      </c>
      <c r="O460" s="296">
        <f t="shared" si="67"/>
        <v>0.18455674606416939</v>
      </c>
      <c r="P460" s="8">
        <f t="shared" si="73"/>
        <v>0.1837067460641694</v>
      </c>
      <c r="Q460" s="8">
        <f t="shared" si="74"/>
        <v>0.12392130424640335</v>
      </c>
      <c r="R460" s="8">
        <f t="shared" si="75"/>
        <v>4.4599999999999994E-2</v>
      </c>
      <c r="S460" s="296">
        <f t="shared" si="76"/>
        <v>7.9321304246403351E-2</v>
      </c>
      <c r="U460" s="297"/>
      <c r="V460" s="297"/>
      <c r="W460" s="297"/>
      <c r="X460" s="297"/>
      <c r="Y460" s="297"/>
      <c r="Z460" s="297"/>
      <c r="AA460" s="297"/>
      <c r="AB460" s="297"/>
      <c r="AC460" s="297"/>
      <c r="AE460" s="297"/>
      <c r="AF460" s="297"/>
      <c r="AG460" s="297"/>
      <c r="AH460" s="297"/>
      <c r="AI460" s="297"/>
      <c r="AJ460" s="297"/>
      <c r="AK460" s="297"/>
      <c r="AL460" s="297"/>
      <c r="AM460" s="297"/>
      <c r="AO460" s="297"/>
      <c r="AP460" s="297"/>
      <c r="AQ460" s="297"/>
      <c r="AR460" s="297"/>
      <c r="AS460" s="297"/>
      <c r="AT460" s="297"/>
      <c r="AU460" s="297"/>
      <c r="AV460" s="297"/>
      <c r="AW460" s="297"/>
    </row>
    <row r="461" spans="1:49" x14ac:dyDescent="0.45">
      <c r="A461" s="295">
        <v>23377</v>
      </c>
      <c r="B461" s="12">
        <v>2.8299999999999999E-2</v>
      </c>
      <c r="C461" s="5">
        <v>1.2699999999999999E-2</v>
      </c>
      <c r="D461" s="5">
        <v>3.5000000000000005E-3</v>
      </c>
      <c r="E461" s="5">
        <v>3.6416666666666667E-3</v>
      </c>
      <c r="F461" s="5">
        <v>3.741666666666667E-3</v>
      </c>
      <c r="G461" s="5">
        <v>3.6916666666666669E-3</v>
      </c>
      <c r="H461" s="5">
        <v>3.741666666666667E-3</v>
      </c>
      <c r="I461" s="5">
        <f t="shared" si="77"/>
        <v>2.4799999999999999E-2</v>
      </c>
      <c r="J461" s="5">
        <f t="shared" si="70"/>
        <v>2.4608333333333333E-2</v>
      </c>
      <c r="K461" s="5">
        <f t="shared" si="71"/>
        <v>8.958333333333332E-3</v>
      </c>
      <c r="L461" s="8">
        <f t="shared" si="68"/>
        <v>0.2016964229752376</v>
      </c>
      <c r="M461" s="8">
        <f t="shared" si="69"/>
        <v>4.200000000000001E-2</v>
      </c>
      <c r="N461" s="8">
        <f t="shared" si="72"/>
        <v>4.4300000000000006E-2</v>
      </c>
      <c r="O461" s="296">
        <f t="shared" si="67"/>
        <v>0.15969642297523759</v>
      </c>
      <c r="P461" s="8">
        <f t="shared" si="73"/>
        <v>0.15739642297523759</v>
      </c>
      <c r="Q461" s="8">
        <f t="shared" si="74"/>
        <v>7.8040447821872139E-2</v>
      </c>
      <c r="R461" s="8">
        <f t="shared" si="75"/>
        <v>4.4900000000000002E-2</v>
      </c>
      <c r="S461" s="296">
        <f t="shared" si="76"/>
        <v>3.3140447821872136E-2</v>
      </c>
      <c r="U461" s="297"/>
      <c r="V461" s="297"/>
      <c r="W461" s="297"/>
      <c r="X461" s="297"/>
      <c r="Y461" s="297"/>
      <c r="Z461" s="297"/>
      <c r="AA461" s="297"/>
      <c r="AB461" s="297"/>
      <c r="AC461" s="297"/>
      <c r="AE461" s="297"/>
      <c r="AF461" s="297"/>
      <c r="AG461" s="297"/>
      <c r="AH461" s="297"/>
      <c r="AI461" s="297"/>
      <c r="AJ461" s="297"/>
      <c r="AK461" s="297"/>
      <c r="AL461" s="297"/>
      <c r="AM461" s="297"/>
      <c r="AO461" s="297"/>
      <c r="AP461" s="297"/>
      <c r="AQ461" s="297"/>
      <c r="AR461" s="297"/>
      <c r="AS461" s="297"/>
      <c r="AT461" s="297"/>
      <c r="AU461" s="297"/>
      <c r="AV461" s="297"/>
      <c r="AW461" s="297"/>
    </row>
    <row r="462" spans="1:49" x14ac:dyDescent="0.45">
      <c r="A462" s="295">
        <v>23408</v>
      </c>
      <c r="B462" s="12">
        <v>1.47E-2</v>
      </c>
      <c r="C462" s="5">
        <v>3.2000000000000002E-3</v>
      </c>
      <c r="D462" s="5">
        <v>3.2000000000000002E-3</v>
      </c>
      <c r="E462" s="5">
        <v>3.6333333333333335E-3</v>
      </c>
      <c r="F462" s="5">
        <v>3.7166666666666663E-3</v>
      </c>
      <c r="G462" s="5">
        <v>3.6749999999999999E-3</v>
      </c>
      <c r="H462" s="5">
        <v>3.7499999999999999E-3</v>
      </c>
      <c r="I462" s="5">
        <f t="shared" si="77"/>
        <v>1.15E-2</v>
      </c>
      <c r="J462" s="5">
        <f t="shared" si="70"/>
        <v>1.1025E-2</v>
      </c>
      <c r="K462" s="5">
        <f t="shared" si="71"/>
        <v>-5.4999999999999971E-4</v>
      </c>
      <c r="L462" s="8">
        <f t="shared" si="68"/>
        <v>0.24921766252737787</v>
      </c>
      <c r="M462" s="8">
        <f t="shared" si="69"/>
        <v>3.8400000000000004E-2</v>
      </c>
      <c r="N462" s="8">
        <f t="shared" si="72"/>
        <v>4.41E-2</v>
      </c>
      <c r="O462" s="296">
        <f t="shared" si="67"/>
        <v>0.21081766252737788</v>
      </c>
      <c r="P462" s="8">
        <f t="shared" si="73"/>
        <v>0.20511766252737787</v>
      </c>
      <c r="Q462" s="8">
        <f t="shared" si="74"/>
        <v>0.10423746911874776</v>
      </c>
      <c r="R462" s="8">
        <f t="shared" si="75"/>
        <v>4.4999999999999998E-2</v>
      </c>
      <c r="S462" s="296">
        <f t="shared" si="76"/>
        <v>5.9237469118747763E-2</v>
      </c>
      <c r="U462" s="297"/>
      <c r="V462" s="297"/>
      <c r="W462" s="297"/>
      <c r="X462" s="297"/>
      <c r="Y462" s="297"/>
      <c r="Z462" s="297"/>
      <c r="AA462" s="297"/>
      <c r="AB462" s="297"/>
      <c r="AC462" s="297"/>
      <c r="AE462" s="297"/>
      <c r="AF462" s="297"/>
      <c r="AG462" s="297"/>
      <c r="AH462" s="297"/>
      <c r="AI462" s="297"/>
      <c r="AJ462" s="297"/>
      <c r="AK462" s="297"/>
      <c r="AL462" s="297"/>
      <c r="AM462" s="297"/>
      <c r="AO462" s="297"/>
      <c r="AP462" s="297"/>
      <c r="AQ462" s="297"/>
      <c r="AR462" s="297"/>
      <c r="AS462" s="297"/>
      <c r="AT462" s="297"/>
      <c r="AU462" s="297"/>
      <c r="AV462" s="297"/>
      <c r="AW462" s="297"/>
    </row>
    <row r="463" spans="1:49" x14ac:dyDescent="0.45">
      <c r="A463" s="295">
        <v>23437</v>
      </c>
      <c r="B463" s="12">
        <v>1.6500000000000001E-2</v>
      </c>
      <c r="C463" s="5">
        <v>-3.5000000000000005E-3</v>
      </c>
      <c r="D463" s="5">
        <v>3.7000000000000002E-3</v>
      </c>
      <c r="E463" s="5">
        <v>3.65E-3</v>
      </c>
      <c r="F463" s="5">
        <v>3.725E-3</v>
      </c>
      <c r="G463" s="5">
        <v>3.6875000000000002E-3</v>
      </c>
      <c r="H463" s="5">
        <v>3.7583333333333331E-3</v>
      </c>
      <c r="I463" s="5">
        <f t="shared" si="77"/>
        <v>1.2800000000000001E-2</v>
      </c>
      <c r="J463" s="5">
        <f t="shared" si="70"/>
        <v>1.2812500000000001E-2</v>
      </c>
      <c r="K463" s="5">
        <f t="shared" si="71"/>
        <v>-7.2583333333333337E-3</v>
      </c>
      <c r="L463" s="8">
        <f t="shared" si="68"/>
        <v>0.22452242426140834</v>
      </c>
      <c r="M463" s="8">
        <f t="shared" si="69"/>
        <v>4.4400000000000002E-2</v>
      </c>
      <c r="N463" s="8">
        <f t="shared" si="72"/>
        <v>4.4250000000000005E-2</v>
      </c>
      <c r="O463" s="296">
        <f t="shared" si="67"/>
        <v>0.18012242426140834</v>
      </c>
      <c r="P463" s="8">
        <f t="shared" si="73"/>
        <v>0.18027242426140833</v>
      </c>
      <c r="Q463" s="8">
        <f t="shared" si="74"/>
        <v>8.0279440385659706E-2</v>
      </c>
      <c r="R463" s="8">
        <f t="shared" si="75"/>
        <v>4.5100000000000001E-2</v>
      </c>
      <c r="S463" s="296">
        <f t="shared" si="76"/>
        <v>3.5179440385659705E-2</v>
      </c>
      <c r="U463" s="297"/>
      <c r="V463" s="297"/>
      <c r="W463" s="297"/>
      <c r="X463" s="297"/>
      <c r="Y463" s="297"/>
      <c r="Z463" s="297"/>
      <c r="AA463" s="297"/>
      <c r="AB463" s="297"/>
      <c r="AC463" s="297"/>
      <c r="AE463" s="297"/>
      <c r="AF463" s="297"/>
      <c r="AG463" s="297"/>
      <c r="AH463" s="297"/>
      <c r="AI463" s="297"/>
      <c r="AJ463" s="297"/>
      <c r="AK463" s="297"/>
      <c r="AL463" s="297"/>
      <c r="AM463" s="297"/>
      <c r="AO463" s="297"/>
      <c r="AP463" s="297"/>
      <c r="AQ463" s="297"/>
      <c r="AR463" s="297"/>
      <c r="AS463" s="297"/>
      <c r="AT463" s="297"/>
      <c r="AU463" s="297"/>
      <c r="AV463" s="297"/>
      <c r="AW463" s="297"/>
    </row>
    <row r="464" spans="1:49" x14ac:dyDescent="0.45">
      <c r="A464" s="295">
        <v>23468</v>
      </c>
      <c r="B464" s="12">
        <v>7.4999999999999997E-3</v>
      </c>
      <c r="C464" s="5">
        <v>6.6999999999999994E-3</v>
      </c>
      <c r="D464" s="5">
        <v>3.5000000000000005E-3</v>
      </c>
      <c r="E464" s="5">
        <v>3.666666666666667E-3</v>
      </c>
      <c r="F464" s="5">
        <v>3.741666666666667E-3</v>
      </c>
      <c r="G464" s="5">
        <v>3.7041666666666672E-3</v>
      </c>
      <c r="H464" s="5">
        <v>3.7666666666666664E-3</v>
      </c>
      <c r="I464" s="5">
        <f t="shared" si="77"/>
        <v>3.9999999999999992E-3</v>
      </c>
      <c r="J464" s="5">
        <f t="shared" si="70"/>
        <v>3.7958333333333325E-3</v>
      </c>
      <c r="K464" s="5">
        <f t="shared" si="71"/>
        <v>2.9333333333333329E-3</v>
      </c>
      <c r="L464" s="8">
        <f t="shared" si="68"/>
        <v>0.17495842137463646</v>
      </c>
      <c r="M464" s="8">
        <f t="shared" si="69"/>
        <v>4.200000000000001E-2</v>
      </c>
      <c r="N464" s="8">
        <f t="shared" si="72"/>
        <v>4.4450000000000003E-2</v>
      </c>
      <c r="O464" s="296">
        <f t="shared" ref="O464:O527" si="78">L464-M464</f>
        <v>0.13295842137463645</v>
      </c>
      <c r="P464" s="8">
        <f t="shared" si="73"/>
        <v>0.13050842137463647</v>
      </c>
      <c r="Q464" s="8">
        <f t="shared" si="74"/>
        <v>6.285898420273961E-2</v>
      </c>
      <c r="R464" s="8">
        <f t="shared" si="75"/>
        <v>4.5199999999999997E-2</v>
      </c>
      <c r="S464" s="296">
        <f t="shared" si="76"/>
        <v>1.7658984202739612E-2</v>
      </c>
      <c r="U464" s="297"/>
      <c r="V464" s="297"/>
      <c r="W464" s="297"/>
      <c r="X464" s="297"/>
      <c r="Y464" s="297"/>
      <c r="Z464" s="297"/>
      <c r="AA464" s="297"/>
      <c r="AB464" s="297"/>
      <c r="AC464" s="297"/>
      <c r="AE464" s="297"/>
      <c r="AF464" s="297"/>
      <c r="AG464" s="297"/>
      <c r="AH464" s="297"/>
      <c r="AI464" s="297"/>
      <c r="AJ464" s="297"/>
      <c r="AK464" s="297"/>
      <c r="AL464" s="297"/>
      <c r="AM464" s="297"/>
      <c r="AO464" s="297"/>
      <c r="AP464" s="297"/>
      <c r="AQ464" s="297"/>
      <c r="AR464" s="297"/>
      <c r="AS464" s="297"/>
      <c r="AT464" s="297"/>
      <c r="AU464" s="297"/>
      <c r="AV464" s="297"/>
      <c r="AW464" s="297"/>
    </row>
    <row r="465" spans="1:49" x14ac:dyDescent="0.45">
      <c r="A465" s="295">
        <v>23498</v>
      </c>
      <c r="B465" s="12">
        <v>1.6199999999999999E-2</v>
      </c>
      <c r="C465" s="5">
        <v>3.2000000000000002E-3</v>
      </c>
      <c r="D465" s="5">
        <v>3.2000000000000002E-3</v>
      </c>
      <c r="E465" s="5">
        <v>3.6749999999999999E-3</v>
      </c>
      <c r="F465" s="5">
        <v>3.7499999999999999E-3</v>
      </c>
      <c r="G465" s="5">
        <v>3.7124999999999997E-3</v>
      </c>
      <c r="H465" s="5">
        <v>3.7750000000000001E-3</v>
      </c>
      <c r="I465" s="5">
        <f t="shared" si="77"/>
        <v>1.2999999999999999E-2</v>
      </c>
      <c r="J465" s="5">
        <f t="shared" si="70"/>
        <v>1.2487499999999999E-2</v>
      </c>
      <c r="K465" s="5">
        <f t="shared" si="71"/>
        <v>-5.7499999999999999E-4</v>
      </c>
      <c r="L465" s="8">
        <f t="shared" ref="L465:L528" si="79">((1+B454)*(1+B455)*(1+B456)*(1+B457)*(1+B458)*(1+B459)*(1+B460)*(1+B461)*(1+B462)*(1+B463)*(1+B464)*(1+B465))-1</f>
        <v>0.1713850169733202</v>
      </c>
      <c r="M465" s="8">
        <f t="shared" ref="M465:M528" si="80">D465*12</f>
        <v>3.8400000000000004E-2</v>
      </c>
      <c r="N465" s="8">
        <f t="shared" si="72"/>
        <v>4.4549999999999992E-2</v>
      </c>
      <c r="O465" s="296">
        <f t="shared" si="78"/>
        <v>0.13298501697332021</v>
      </c>
      <c r="P465" s="8">
        <f t="shared" si="73"/>
        <v>0.12683501697332022</v>
      </c>
      <c r="Q465" s="8">
        <f t="shared" si="74"/>
        <v>5.8848195583106833E-2</v>
      </c>
      <c r="R465" s="8">
        <f t="shared" si="75"/>
        <v>4.53E-2</v>
      </c>
      <c r="S465" s="296">
        <f t="shared" si="76"/>
        <v>1.3548195583106833E-2</v>
      </c>
      <c r="U465" s="297"/>
      <c r="V465" s="297"/>
      <c r="W465" s="297"/>
      <c r="X465" s="297"/>
      <c r="Y465" s="297"/>
      <c r="Z465" s="297"/>
      <c r="AA465" s="297"/>
      <c r="AB465" s="297"/>
      <c r="AC465" s="297"/>
      <c r="AE465" s="297"/>
      <c r="AF465" s="297"/>
      <c r="AG465" s="297"/>
      <c r="AH465" s="297"/>
      <c r="AI465" s="297"/>
      <c r="AJ465" s="297"/>
      <c r="AK465" s="297"/>
      <c r="AL465" s="297"/>
      <c r="AM465" s="297"/>
      <c r="AO465" s="297"/>
      <c r="AP465" s="297"/>
      <c r="AQ465" s="297"/>
      <c r="AR465" s="297"/>
      <c r="AS465" s="297"/>
      <c r="AT465" s="297"/>
      <c r="AU465" s="297"/>
      <c r="AV465" s="297"/>
      <c r="AW465" s="297"/>
    </row>
    <row r="466" spans="1:49" x14ac:dyDescent="0.45">
      <c r="A466" s="295">
        <v>23529</v>
      </c>
      <c r="B466" s="12">
        <v>1.78E-2</v>
      </c>
      <c r="C466" s="5">
        <v>2.3399999999999997E-2</v>
      </c>
      <c r="D466" s="5">
        <v>3.8E-3</v>
      </c>
      <c r="E466" s="5">
        <v>3.6749999999999999E-3</v>
      </c>
      <c r="F466" s="5">
        <v>3.7583333333333331E-3</v>
      </c>
      <c r="G466" s="5">
        <v>3.7166666666666663E-3</v>
      </c>
      <c r="H466" s="5">
        <v>3.7916666666666667E-3</v>
      </c>
      <c r="I466" s="5">
        <f t="shared" si="77"/>
        <v>1.4E-2</v>
      </c>
      <c r="J466" s="5">
        <f t="shared" si="70"/>
        <v>1.4083333333333333E-2</v>
      </c>
      <c r="K466" s="5">
        <f t="shared" si="71"/>
        <v>1.9608333333333332E-2</v>
      </c>
      <c r="L466" s="8">
        <f t="shared" si="79"/>
        <v>0.2150791584543883</v>
      </c>
      <c r="M466" s="8">
        <f t="shared" si="80"/>
        <v>4.5600000000000002E-2</v>
      </c>
      <c r="N466" s="8">
        <f t="shared" si="72"/>
        <v>4.4599999999999994E-2</v>
      </c>
      <c r="O466" s="296">
        <f t="shared" si="78"/>
        <v>0.1694791584543883</v>
      </c>
      <c r="P466" s="8">
        <f t="shared" si="73"/>
        <v>0.1704791584543883</v>
      </c>
      <c r="Q466" s="8">
        <f t="shared" si="74"/>
        <v>9.7119817110207007E-2</v>
      </c>
      <c r="R466" s="8">
        <f t="shared" si="75"/>
        <v>4.5499999999999999E-2</v>
      </c>
      <c r="S466" s="296">
        <f t="shared" si="76"/>
        <v>5.1619817110207009E-2</v>
      </c>
      <c r="U466" s="297"/>
      <c r="V466" s="297"/>
      <c r="W466" s="297"/>
      <c r="X466" s="297"/>
      <c r="Y466" s="297"/>
      <c r="Z466" s="297"/>
      <c r="AA466" s="297"/>
      <c r="AB466" s="297"/>
      <c r="AC466" s="297"/>
      <c r="AE466" s="297"/>
      <c r="AF466" s="297"/>
      <c r="AG466" s="297"/>
      <c r="AH466" s="297"/>
      <c r="AI466" s="297"/>
      <c r="AJ466" s="297"/>
      <c r="AK466" s="297"/>
      <c r="AL466" s="297"/>
      <c r="AM466" s="297"/>
      <c r="AO466" s="297"/>
      <c r="AP466" s="297"/>
      <c r="AQ466" s="297"/>
      <c r="AR466" s="297"/>
      <c r="AS466" s="297"/>
      <c r="AT466" s="297"/>
      <c r="AU466" s="297"/>
      <c r="AV466" s="297"/>
      <c r="AW466" s="297"/>
    </row>
    <row r="467" spans="1:49" x14ac:dyDescent="0.45">
      <c r="A467" s="295">
        <v>23559</v>
      </c>
      <c r="B467" s="12">
        <v>1.95E-2</v>
      </c>
      <c r="C467" s="5">
        <v>4.7100000000000003E-2</v>
      </c>
      <c r="D467" s="5">
        <v>3.5000000000000005E-3</v>
      </c>
      <c r="E467" s="5">
        <v>3.666666666666667E-3</v>
      </c>
      <c r="F467" s="5">
        <v>3.7499999999999999E-3</v>
      </c>
      <c r="G467" s="5">
        <v>3.7083333333333334E-3</v>
      </c>
      <c r="H467" s="5">
        <v>3.7833333333333334E-3</v>
      </c>
      <c r="I467" s="5">
        <f t="shared" si="77"/>
        <v>1.6E-2</v>
      </c>
      <c r="J467" s="5">
        <f t="shared" si="70"/>
        <v>1.5791666666666666E-2</v>
      </c>
      <c r="K467" s="5">
        <f t="shared" si="71"/>
        <v>4.331666666666667E-2</v>
      </c>
      <c r="L467" s="8">
        <f t="shared" si="79"/>
        <v>0.24150451197058431</v>
      </c>
      <c r="M467" s="8">
        <f t="shared" si="80"/>
        <v>4.200000000000001E-2</v>
      </c>
      <c r="N467" s="8">
        <f t="shared" si="72"/>
        <v>4.4499999999999998E-2</v>
      </c>
      <c r="O467" s="296">
        <f t="shared" si="78"/>
        <v>0.1995045119705843</v>
      </c>
      <c r="P467" s="8">
        <f t="shared" si="73"/>
        <v>0.19700451197058433</v>
      </c>
      <c r="Q467" s="8">
        <f t="shared" si="74"/>
        <v>0.13483568161226711</v>
      </c>
      <c r="R467" s="8">
        <f t="shared" si="75"/>
        <v>4.5400000000000003E-2</v>
      </c>
      <c r="S467" s="296">
        <f t="shared" si="76"/>
        <v>8.9435681612267115E-2</v>
      </c>
      <c r="U467" s="297"/>
      <c r="V467" s="297"/>
      <c r="W467" s="297"/>
      <c r="X467" s="297"/>
      <c r="Y467" s="297"/>
      <c r="Z467" s="297"/>
      <c r="AA467" s="297"/>
      <c r="AB467" s="297"/>
      <c r="AC467" s="297"/>
      <c r="AE467" s="297"/>
      <c r="AF467" s="297"/>
      <c r="AG467" s="297"/>
      <c r="AH467" s="297"/>
      <c r="AI467" s="297"/>
      <c r="AJ467" s="297"/>
      <c r="AK467" s="297"/>
      <c r="AL467" s="297"/>
      <c r="AM467" s="297"/>
      <c r="AO467" s="297"/>
      <c r="AP467" s="297"/>
      <c r="AQ467" s="297"/>
      <c r="AR467" s="297"/>
      <c r="AS467" s="297"/>
      <c r="AT467" s="297"/>
      <c r="AU467" s="297"/>
      <c r="AV467" s="297"/>
      <c r="AW467" s="297"/>
    </row>
    <row r="468" spans="1:49" x14ac:dyDescent="0.45">
      <c r="A468" s="295">
        <v>23590</v>
      </c>
      <c r="B468" s="12">
        <v>-1.18E-2</v>
      </c>
      <c r="C468" s="5">
        <v>3.1000000000000003E-3</v>
      </c>
      <c r="D468" s="5">
        <v>3.5000000000000005E-3</v>
      </c>
      <c r="E468" s="5">
        <v>3.6749999999999999E-3</v>
      </c>
      <c r="F468" s="5">
        <v>3.741666666666667E-3</v>
      </c>
      <c r="G468" s="5">
        <v>3.7083333333333334E-3</v>
      </c>
      <c r="H468" s="5">
        <v>3.7833333333333334E-3</v>
      </c>
      <c r="I468" s="5">
        <f t="shared" si="77"/>
        <v>-1.5300000000000001E-2</v>
      </c>
      <c r="J468" s="5">
        <f t="shared" si="70"/>
        <v>-1.5508333333333332E-2</v>
      </c>
      <c r="K468" s="5">
        <f t="shared" si="71"/>
        <v>-6.833333333333331E-4</v>
      </c>
      <c r="L468" s="8">
        <f t="shared" si="79"/>
        <v>0.16455126599841585</v>
      </c>
      <c r="M468" s="8">
        <f t="shared" si="80"/>
        <v>4.200000000000001E-2</v>
      </c>
      <c r="N468" s="8">
        <f t="shared" si="72"/>
        <v>4.4499999999999998E-2</v>
      </c>
      <c r="O468" s="296">
        <f t="shared" si="78"/>
        <v>0.12255126599841584</v>
      </c>
      <c r="P468" s="8">
        <f t="shared" si="73"/>
        <v>0.12005126599841585</v>
      </c>
      <c r="Q468" s="8">
        <f t="shared" si="74"/>
        <v>9.1945968561405689E-2</v>
      </c>
      <c r="R468" s="8">
        <f t="shared" si="75"/>
        <v>4.5400000000000003E-2</v>
      </c>
      <c r="S468" s="296">
        <f t="shared" si="76"/>
        <v>4.6545968561405686E-2</v>
      </c>
      <c r="U468" s="297"/>
      <c r="V468" s="297"/>
      <c r="W468" s="297"/>
      <c r="X468" s="297"/>
      <c r="Y468" s="297"/>
      <c r="Z468" s="297"/>
      <c r="AA468" s="297"/>
      <c r="AB468" s="297"/>
      <c r="AC468" s="297"/>
      <c r="AE468" s="297"/>
      <c r="AF468" s="297"/>
      <c r="AG468" s="297"/>
      <c r="AH468" s="297"/>
      <c r="AI468" s="297"/>
      <c r="AJ468" s="297"/>
      <c r="AK468" s="297"/>
      <c r="AL468" s="297"/>
      <c r="AM468" s="297"/>
      <c r="AO468" s="297"/>
      <c r="AP468" s="297"/>
      <c r="AQ468" s="297"/>
      <c r="AR468" s="297"/>
      <c r="AS468" s="297"/>
      <c r="AT468" s="297"/>
      <c r="AU468" s="297"/>
      <c r="AV468" s="297"/>
      <c r="AW468" s="297"/>
    </row>
    <row r="469" spans="1:49" x14ac:dyDescent="0.45">
      <c r="A469" s="295">
        <v>23621</v>
      </c>
      <c r="B469" s="12">
        <v>3.0099999999999998E-2</v>
      </c>
      <c r="C469" s="5">
        <v>1.7000000000000001E-2</v>
      </c>
      <c r="D469" s="5">
        <v>3.3999999999999998E-3</v>
      </c>
      <c r="E469" s="5">
        <v>3.6833333333333336E-3</v>
      </c>
      <c r="F469" s="5">
        <v>3.7333333333333333E-3</v>
      </c>
      <c r="G469" s="5">
        <v>3.7083333333333334E-3</v>
      </c>
      <c r="H469" s="5">
        <v>3.7750000000000001E-3</v>
      </c>
      <c r="I469" s="5">
        <f t="shared" si="77"/>
        <v>2.6699999999999998E-2</v>
      </c>
      <c r="J469" s="5">
        <f t="shared" si="70"/>
        <v>2.6391666666666664E-2</v>
      </c>
      <c r="K469" s="5">
        <f t="shared" si="71"/>
        <v>1.3225000000000001E-2</v>
      </c>
      <c r="L469" s="8">
        <f t="shared" si="79"/>
        <v>0.21135439675347678</v>
      </c>
      <c r="M469" s="8">
        <f t="shared" si="80"/>
        <v>4.0799999999999996E-2</v>
      </c>
      <c r="N469" s="8">
        <f t="shared" si="72"/>
        <v>4.4499999999999998E-2</v>
      </c>
      <c r="O469" s="296">
        <f t="shared" si="78"/>
        <v>0.17055439675347678</v>
      </c>
      <c r="P469" s="8">
        <f t="shared" si="73"/>
        <v>0.1668543967534768</v>
      </c>
      <c r="Q469" s="8">
        <f t="shared" si="74"/>
        <v>0.1399189591736294</v>
      </c>
      <c r="R469" s="8">
        <f t="shared" si="75"/>
        <v>4.53E-2</v>
      </c>
      <c r="S469" s="296">
        <f t="shared" si="76"/>
        <v>9.4618959173629391E-2</v>
      </c>
      <c r="U469" s="297"/>
      <c r="V469" s="297"/>
      <c r="W469" s="297"/>
      <c r="X469" s="297"/>
      <c r="Y469" s="297"/>
      <c r="Z469" s="297"/>
      <c r="AA469" s="297"/>
      <c r="AB469" s="297"/>
      <c r="AC469" s="297"/>
      <c r="AE469" s="297"/>
      <c r="AF469" s="297"/>
      <c r="AG469" s="297"/>
      <c r="AH469" s="297"/>
      <c r="AI469" s="297"/>
      <c r="AJ469" s="297"/>
      <c r="AK469" s="297"/>
      <c r="AL469" s="297"/>
      <c r="AM469" s="297"/>
      <c r="AO469" s="297"/>
      <c r="AP469" s="297"/>
      <c r="AQ469" s="297"/>
      <c r="AR469" s="297"/>
      <c r="AS469" s="297"/>
      <c r="AT469" s="297"/>
      <c r="AU469" s="297"/>
      <c r="AV469" s="297"/>
      <c r="AW469" s="297"/>
    </row>
    <row r="470" spans="1:49" x14ac:dyDescent="0.45">
      <c r="A470" s="295">
        <v>23651</v>
      </c>
      <c r="B470" s="12">
        <v>9.5999999999999992E-3</v>
      </c>
      <c r="C470" s="5">
        <v>1.6500000000000001E-2</v>
      </c>
      <c r="D470" s="5">
        <v>3.3999999999999998E-3</v>
      </c>
      <c r="E470" s="5">
        <v>3.6833333333333336E-3</v>
      </c>
      <c r="F470" s="5">
        <v>3.741666666666667E-3</v>
      </c>
      <c r="G470" s="5">
        <v>3.7125000000000001E-3</v>
      </c>
      <c r="H470" s="5">
        <v>3.7583333333333331E-3</v>
      </c>
      <c r="I470" s="5">
        <f t="shared" si="77"/>
        <v>6.1999999999999989E-3</v>
      </c>
      <c r="J470" s="5">
        <f t="shared" si="70"/>
        <v>5.8874999999999986E-3</v>
      </c>
      <c r="K470" s="5">
        <f t="shared" si="71"/>
        <v>1.2741666666666669E-2</v>
      </c>
      <c r="L470" s="8">
        <f t="shared" si="79"/>
        <v>0.18288364344937658</v>
      </c>
      <c r="M470" s="8">
        <f t="shared" si="80"/>
        <v>4.0799999999999996E-2</v>
      </c>
      <c r="N470" s="8">
        <f t="shared" si="72"/>
        <v>4.4549999999999999E-2</v>
      </c>
      <c r="O470" s="296">
        <f t="shared" si="78"/>
        <v>0.14208364344937657</v>
      </c>
      <c r="P470" s="8">
        <f t="shared" si="73"/>
        <v>0.13833364344937657</v>
      </c>
      <c r="Q470" s="8">
        <f t="shared" si="74"/>
        <v>0.1625640834754627</v>
      </c>
      <c r="R470" s="8">
        <f t="shared" si="75"/>
        <v>4.5100000000000001E-2</v>
      </c>
      <c r="S470" s="296">
        <f t="shared" si="76"/>
        <v>0.11746408347546269</v>
      </c>
      <c r="U470" s="297"/>
      <c r="V470" s="297"/>
      <c r="W470" s="297"/>
      <c r="X470" s="297"/>
      <c r="Y470" s="297"/>
      <c r="Z470" s="297"/>
      <c r="AA470" s="297"/>
      <c r="AB470" s="297"/>
      <c r="AC470" s="297"/>
      <c r="AE470" s="297"/>
      <c r="AF470" s="297"/>
      <c r="AG470" s="297"/>
      <c r="AH470" s="297"/>
      <c r="AI470" s="297"/>
      <c r="AJ470" s="297"/>
      <c r="AK470" s="297"/>
      <c r="AL470" s="297"/>
      <c r="AM470" s="297"/>
      <c r="AO470" s="297"/>
      <c r="AP470" s="297"/>
      <c r="AQ470" s="297"/>
      <c r="AR470" s="297"/>
      <c r="AS470" s="297"/>
      <c r="AT470" s="297"/>
      <c r="AU470" s="297"/>
      <c r="AV470" s="297"/>
      <c r="AW470" s="297"/>
    </row>
    <row r="471" spans="1:49" x14ac:dyDescent="0.45">
      <c r="A471" s="295">
        <v>23682</v>
      </c>
      <c r="B471" s="12">
        <v>5.0000000000000001E-4</v>
      </c>
      <c r="C471" s="5">
        <v>1.14E-2</v>
      </c>
      <c r="D471" s="5">
        <v>3.5000000000000005E-3</v>
      </c>
      <c r="E471" s="5">
        <v>3.6916666666666664E-3</v>
      </c>
      <c r="F471" s="5">
        <v>3.741666666666667E-3</v>
      </c>
      <c r="G471" s="5">
        <v>3.7166666666666672E-3</v>
      </c>
      <c r="H471" s="5">
        <v>3.7750000000000001E-3</v>
      </c>
      <c r="I471" s="5">
        <f t="shared" si="77"/>
        <v>-3.0000000000000005E-3</v>
      </c>
      <c r="J471" s="5">
        <f t="shared" si="70"/>
        <v>-3.2166666666666672E-3</v>
      </c>
      <c r="K471" s="5">
        <f t="shared" si="71"/>
        <v>7.6249999999999998E-3</v>
      </c>
      <c r="L471" s="8">
        <f t="shared" si="79"/>
        <v>0.18894422872322814</v>
      </c>
      <c r="M471" s="8">
        <f t="shared" si="80"/>
        <v>4.200000000000001E-2</v>
      </c>
      <c r="N471" s="8">
        <f t="shared" si="72"/>
        <v>4.4600000000000008E-2</v>
      </c>
      <c r="O471" s="296">
        <f t="shared" si="78"/>
        <v>0.14694422872322813</v>
      </c>
      <c r="P471" s="8">
        <f t="shared" si="73"/>
        <v>0.14434422872322814</v>
      </c>
      <c r="Q471" s="8">
        <f t="shared" si="74"/>
        <v>0.18553873162642009</v>
      </c>
      <c r="R471" s="8">
        <f t="shared" si="75"/>
        <v>4.53E-2</v>
      </c>
      <c r="S471" s="296">
        <f t="shared" si="76"/>
        <v>0.14023873162642009</v>
      </c>
      <c r="U471" s="297"/>
      <c r="V471" s="297"/>
      <c r="W471" s="297"/>
      <c r="X471" s="297"/>
      <c r="Y471" s="297"/>
      <c r="Z471" s="297"/>
      <c r="AA471" s="297"/>
      <c r="AB471" s="297"/>
      <c r="AC471" s="297"/>
      <c r="AE471" s="297"/>
      <c r="AF471" s="297"/>
      <c r="AG471" s="297"/>
      <c r="AH471" s="297"/>
      <c r="AI471" s="297"/>
      <c r="AJ471" s="297"/>
      <c r="AK471" s="297"/>
      <c r="AL471" s="297"/>
      <c r="AM471" s="297"/>
      <c r="AO471" s="297"/>
      <c r="AP471" s="297"/>
      <c r="AQ471" s="297"/>
      <c r="AR471" s="297"/>
      <c r="AS471" s="297"/>
      <c r="AT471" s="297"/>
      <c r="AU471" s="297"/>
      <c r="AV471" s="297"/>
      <c r="AW471" s="297"/>
    </row>
    <row r="472" spans="1:49" x14ac:dyDescent="0.45">
      <c r="A472" s="295">
        <v>23712</v>
      </c>
      <c r="B472" s="12">
        <v>5.5999999999999999E-3</v>
      </c>
      <c r="C472" s="5">
        <v>8.6E-3</v>
      </c>
      <c r="D472" s="5">
        <v>3.5000000000000005E-3</v>
      </c>
      <c r="E472" s="5">
        <v>3.7000000000000006E-3</v>
      </c>
      <c r="F472" s="5">
        <v>3.7499999999999999E-3</v>
      </c>
      <c r="G472" s="5">
        <v>3.7250000000000004E-3</v>
      </c>
      <c r="H472" s="5">
        <v>3.7833333333333334E-3</v>
      </c>
      <c r="I472" s="5">
        <f t="shared" si="77"/>
        <v>2.0999999999999994E-3</v>
      </c>
      <c r="J472" s="5">
        <f t="shared" si="70"/>
        <v>1.8749999999999995E-3</v>
      </c>
      <c r="K472" s="5">
        <f t="shared" si="71"/>
        <v>4.816666666666667E-3</v>
      </c>
      <c r="L472" s="8">
        <f t="shared" si="79"/>
        <v>0.16507729137017924</v>
      </c>
      <c r="M472" s="8">
        <f t="shared" si="80"/>
        <v>4.200000000000001E-2</v>
      </c>
      <c r="N472" s="8">
        <f t="shared" si="72"/>
        <v>4.4700000000000004E-2</v>
      </c>
      <c r="O472" s="296">
        <f t="shared" si="78"/>
        <v>0.12307729137017923</v>
      </c>
      <c r="P472" s="8">
        <f t="shared" si="73"/>
        <v>0.12037729137017923</v>
      </c>
      <c r="Q472" s="8">
        <f t="shared" si="74"/>
        <v>0.15899424708578724</v>
      </c>
      <c r="R472" s="8">
        <f t="shared" si="75"/>
        <v>4.5400000000000003E-2</v>
      </c>
      <c r="S472" s="296">
        <f t="shared" si="76"/>
        <v>0.11359424708578725</v>
      </c>
      <c r="U472" s="297"/>
      <c r="V472" s="297"/>
      <c r="W472" s="297"/>
      <c r="X472" s="297"/>
      <c r="Y472" s="297"/>
      <c r="Z472" s="297"/>
      <c r="AA472" s="297"/>
      <c r="AB472" s="297"/>
      <c r="AC472" s="297"/>
      <c r="AE472" s="297"/>
      <c r="AF472" s="297"/>
      <c r="AG472" s="297"/>
      <c r="AH472" s="297"/>
      <c r="AI472" s="297"/>
      <c r="AJ472" s="297"/>
      <c r="AK472" s="297"/>
      <c r="AL472" s="297"/>
      <c r="AM472" s="297"/>
      <c r="AO472" s="297"/>
      <c r="AP472" s="297"/>
      <c r="AQ472" s="297"/>
      <c r="AR472" s="297"/>
      <c r="AS472" s="297"/>
      <c r="AT472" s="297"/>
      <c r="AU472" s="297"/>
      <c r="AV472" s="297"/>
      <c r="AW472" s="297"/>
    </row>
    <row r="473" spans="1:49" x14ac:dyDescent="0.45">
      <c r="A473" s="295">
        <v>23743</v>
      </c>
      <c r="B473" s="12">
        <v>3.4500000000000003E-2</v>
      </c>
      <c r="C473" s="5">
        <v>3.7100000000000001E-2</v>
      </c>
      <c r="D473" s="5">
        <v>3.3E-3</v>
      </c>
      <c r="E473" s="5">
        <v>3.6916666666666664E-3</v>
      </c>
      <c r="F473" s="5">
        <v>3.7333333333333333E-3</v>
      </c>
      <c r="G473" s="5">
        <v>3.7124999999999997E-3</v>
      </c>
      <c r="H473" s="5">
        <v>3.7750000000000001E-3</v>
      </c>
      <c r="I473" s="5">
        <f t="shared" si="77"/>
        <v>3.1200000000000002E-2</v>
      </c>
      <c r="J473" s="5">
        <f t="shared" si="70"/>
        <v>3.0787500000000002E-2</v>
      </c>
      <c r="K473" s="5">
        <f t="shared" si="71"/>
        <v>3.3325E-2</v>
      </c>
      <c r="L473" s="8">
        <f t="shared" si="79"/>
        <v>0.17210197211169009</v>
      </c>
      <c r="M473" s="8">
        <f t="shared" si="80"/>
        <v>3.9599999999999996E-2</v>
      </c>
      <c r="N473" s="8">
        <f t="shared" si="72"/>
        <v>4.4549999999999992E-2</v>
      </c>
      <c r="O473" s="296">
        <f t="shared" si="78"/>
        <v>0.1325019721116901</v>
      </c>
      <c r="P473" s="8">
        <f t="shared" si="73"/>
        <v>0.12755197211169012</v>
      </c>
      <c r="Q473" s="8">
        <f t="shared" si="74"/>
        <v>0.18691906157072191</v>
      </c>
      <c r="R473" s="8">
        <f t="shared" si="75"/>
        <v>4.53E-2</v>
      </c>
      <c r="S473" s="296">
        <f t="shared" si="76"/>
        <v>0.1416190615707219</v>
      </c>
      <c r="U473" s="297"/>
      <c r="V473" s="297"/>
      <c r="W473" s="297"/>
      <c r="X473" s="297"/>
      <c r="Y473" s="297"/>
      <c r="Z473" s="297"/>
      <c r="AA473" s="297"/>
      <c r="AB473" s="297"/>
      <c r="AC473" s="297"/>
      <c r="AE473" s="297"/>
      <c r="AF473" s="297"/>
      <c r="AG473" s="297"/>
      <c r="AH473" s="297"/>
      <c r="AI473" s="297"/>
      <c r="AJ473" s="297"/>
      <c r="AK473" s="297"/>
      <c r="AL473" s="297"/>
      <c r="AM473" s="297"/>
      <c r="AO473" s="297"/>
      <c r="AP473" s="297"/>
      <c r="AQ473" s="297"/>
      <c r="AR473" s="297"/>
      <c r="AS473" s="297"/>
      <c r="AT473" s="297"/>
      <c r="AU473" s="297"/>
      <c r="AV473" s="297"/>
      <c r="AW473" s="297"/>
    </row>
    <row r="474" spans="1:49" x14ac:dyDescent="0.45">
      <c r="A474" s="295">
        <v>23774</v>
      </c>
      <c r="B474" s="12">
        <v>3.0999999999999999E-3</v>
      </c>
      <c r="C474" s="5">
        <v>8.9999999999999998E-4</v>
      </c>
      <c r="D474" s="5">
        <v>3.2000000000000002E-3</v>
      </c>
      <c r="E474" s="5">
        <v>3.6749999999999999E-3</v>
      </c>
      <c r="F474" s="5">
        <v>3.7166666666666663E-3</v>
      </c>
      <c r="G474" s="5">
        <v>3.6958333333333331E-3</v>
      </c>
      <c r="H474" s="5">
        <v>3.7583333333333331E-3</v>
      </c>
      <c r="I474" s="5">
        <f t="shared" si="77"/>
        <v>-1.0000000000000026E-4</v>
      </c>
      <c r="J474" s="5">
        <f t="shared" si="70"/>
        <v>-5.958333333333332E-4</v>
      </c>
      <c r="K474" s="5">
        <f t="shared" si="71"/>
        <v>-2.8583333333333334E-3</v>
      </c>
      <c r="L474" s="8">
        <f t="shared" si="79"/>
        <v>0.15870256058464216</v>
      </c>
      <c r="M474" s="8">
        <f t="shared" si="80"/>
        <v>3.8400000000000004E-2</v>
      </c>
      <c r="N474" s="8">
        <f t="shared" si="72"/>
        <v>4.4350000000000001E-2</v>
      </c>
      <c r="O474" s="296">
        <f t="shared" si="78"/>
        <v>0.12030256058464216</v>
      </c>
      <c r="P474" s="8">
        <f t="shared" si="73"/>
        <v>0.11435256058464216</v>
      </c>
      <c r="Q474" s="8">
        <f t="shared" si="74"/>
        <v>0.1841978555882533</v>
      </c>
      <c r="R474" s="8">
        <f t="shared" si="75"/>
        <v>4.5100000000000001E-2</v>
      </c>
      <c r="S474" s="296">
        <f t="shared" si="76"/>
        <v>0.1390978555882533</v>
      </c>
      <c r="U474" s="297"/>
      <c r="V474" s="297"/>
      <c r="W474" s="297"/>
      <c r="X474" s="297"/>
      <c r="Y474" s="297"/>
      <c r="Z474" s="297"/>
      <c r="AA474" s="297"/>
      <c r="AB474" s="297"/>
      <c r="AC474" s="297"/>
      <c r="AE474" s="297"/>
      <c r="AF474" s="297"/>
      <c r="AG474" s="297"/>
      <c r="AH474" s="297"/>
      <c r="AI474" s="297"/>
      <c r="AJ474" s="297"/>
      <c r="AK474" s="297"/>
      <c r="AL474" s="297"/>
      <c r="AM474" s="297"/>
      <c r="AO474" s="297"/>
      <c r="AP474" s="297"/>
      <c r="AQ474" s="297"/>
      <c r="AR474" s="297"/>
      <c r="AS474" s="297"/>
      <c r="AT474" s="297"/>
      <c r="AU474" s="297"/>
      <c r="AV474" s="297"/>
      <c r="AW474" s="297"/>
    </row>
    <row r="475" spans="1:49" x14ac:dyDescent="0.45">
      <c r="A475" s="295">
        <v>23802</v>
      </c>
      <c r="B475" s="12">
        <v>-1.3299999999999999E-2</v>
      </c>
      <c r="C475" s="5">
        <v>6.9999999999999988E-4</v>
      </c>
      <c r="D475" s="5">
        <v>3.8E-3</v>
      </c>
      <c r="E475" s="5">
        <v>3.6833333333333336E-3</v>
      </c>
      <c r="F475" s="5">
        <v>3.7333333333333333E-3</v>
      </c>
      <c r="G475" s="5">
        <v>3.7083333333333334E-3</v>
      </c>
      <c r="H475" s="5">
        <v>3.7499999999999999E-3</v>
      </c>
      <c r="I475" s="5">
        <f t="shared" si="77"/>
        <v>-1.7100000000000001E-2</v>
      </c>
      <c r="J475" s="5">
        <f t="shared" si="70"/>
        <v>-1.7008333333333334E-2</v>
      </c>
      <c r="K475" s="5">
        <f t="shared" si="71"/>
        <v>-3.0499999999999998E-3</v>
      </c>
      <c r="L475" s="8">
        <f t="shared" si="79"/>
        <v>0.12473371030877178</v>
      </c>
      <c r="M475" s="8">
        <f t="shared" si="80"/>
        <v>4.5600000000000002E-2</v>
      </c>
      <c r="N475" s="8">
        <f t="shared" si="72"/>
        <v>4.4499999999999998E-2</v>
      </c>
      <c r="O475" s="296">
        <f t="shared" si="78"/>
        <v>7.9133710308771782E-2</v>
      </c>
      <c r="P475" s="8">
        <f t="shared" si="73"/>
        <v>8.0233710308771786E-2</v>
      </c>
      <c r="Q475" s="8">
        <f t="shared" si="74"/>
        <v>0.18918895543117387</v>
      </c>
      <c r="R475" s="8">
        <f t="shared" si="75"/>
        <v>4.4999999999999998E-2</v>
      </c>
      <c r="S475" s="296">
        <f t="shared" si="76"/>
        <v>0.14418895543117388</v>
      </c>
      <c r="U475" s="297"/>
      <c r="V475" s="297"/>
      <c r="W475" s="297"/>
      <c r="X475" s="297"/>
      <c r="Y475" s="297"/>
      <c r="Z475" s="297"/>
      <c r="AA475" s="297"/>
      <c r="AB475" s="297"/>
      <c r="AC475" s="297"/>
      <c r="AE475" s="297"/>
      <c r="AF475" s="297"/>
      <c r="AG475" s="297"/>
      <c r="AH475" s="297"/>
      <c r="AI475" s="297"/>
      <c r="AJ475" s="297"/>
      <c r="AK475" s="297"/>
      <c r="AL475" s="297"/>
      <c r="AM475" s="297"/>
      <c r="AO475" s="297"/>
      <c r="AP475" s="297"/>
      <c r="AQ475" s="297"/>
      <c r="AR475" s="297"/>
      <c r="AS475" s="297"/>
      <c r="AT475" s="297"/>
      <c r="AU475" s="297"/>
      <c r="AV475" s="297"/>
      <c r="AW475" s="297"/>
    </row>
    <row r="476" spans="1:49" x14ac:dyDescent="0.45">
      <c r="A476" s="295">
        <v>23833</v>
      </c>
      <c r="B476" s="12">
        <v>3.56E-2</v>
      </c>
      <c r="C476" s="5">
        <v>1.09E-2</v>
      </c>
      <c r="D476" s="5">
        <v>3.3E-3</v>
      </c>
      <c r="E476" s="5">
        <v>3.6916666666666664E-3</v>
      </c>
      <c r="F476" s="5">
        <v>3.7333333333333333E-3</v>
      </c>
      <c r="G476" s="5">
        <v>3.7124999999999997E-3</v>
      </c>
      <c r="H476" s="5">
        <v>3.741666666666667E-3</v>
      </c>
      <c r="I476" s="5">
        <f t="shared" si="77"/>
        <v>3.2300000000000002E-2</v>
      </c>
      <c r="J476" s="5">
        <f t="shared" si="70"/>
        <v>3.1887499999999999E-2</v>
      </c>
      <c r="K476" s="5">
        <f t="shared" si="71"/>
        <v>7.1583333333333325E-3</v>
      </c>
      <c r="L476" s="8">
        <f t="shared" si="79"/>
        <v>0.15610345448711049</v>
      </c>
      <c r="M476" s="8">
        <f t="shared" si="80"/>
        <v>3.9599999999999996E-2</v>
      </c>
      <c r="N476" s="8">
        <f t="shared" si="72"/>
        <v>4.4549999999999992E-2</v>
      </c>
      <c r="O476" s="296">
        <f t="shared" si="78"/>
        <v>0.1165034544871105</v>
      </c>
      <c r="P476" s="8">
        <f t="shared" si="73"/>
        <v>0.1115534544871105</v>
      </c>
      <c r="Q476" s="8">
        <f t="shared" si="74"/>
        <v>0.19415030798189514</v>
      </c>
      <c r="R476" s="8">
        <f t="shared" si="75"/>
        <v>4.4900000000000002E-2</v>
      </c>
      <c r="S476" s="296">
        <f t="shared" si="76"/>
        <v>0.14925030798189515</v>
      </c>
      <c r="U476" s="297"/>
      <c r="V476" s="297"/>
      <c r="W476" s="297"/>
      <c r="X476" s="297"/>
      <c r="Y476" s="297"/>
      <c r="Z476" s="297"/>
      <c r="AA476" s="297"/>
      <c r="AB476" s="297"/>
      <c r="AC476" s="297"/>
      <c r="AE476" s="297"/>
      <c r="AF476" s="297"/>
      <c r="AG476" s="297"/>
      <c r="AH476" s="297"/>
      <c r="AI476" s="297"/>
      <c r="AJ476" s="297"/>
      <c r="AK476" s="297"/>
      <c r="AL476" s="297"/>
      <c r="AM476" s="297"/>
      <c r="AO476" s="297"/>
      <c r="AP476" s="297"/>
      <c r="AQ476" s="297"/>
      <c r="AR476" s="297"/>
      <c r="AS476" s="297"/>
      <c r="AT476" s="297"/>
      <c r="AU476" s="297"/>
      <c r="AV476" s="297"/>
      <c r="AW476" s="297"/>
    </row>
    <row r="477" spans="1:49" x14ac:dyDescent="0.45">
      <c r="A477" s="295">
        <v>23863</v>
      </c>
      <c r="B477" s="12">
        <v>-3.0000000000000001E-3</v>
      </c>
      <c r="C477" s="5">
        <v>-8.3999999999999995E-3</v>
      </c>
      <c r="D477" s="5">
        <v>3.3E-3</v>
      </c>
      <c r="E477" s="5">
        <v>3.7000000000000006E-3</v>
      </c>
      <c r="F477" s="5">
        <v>3.741666666666667E-3</v>
      </c>
      <c r="G477" s="5">
        <v>3.7208333333333338E-3</v>
      </c>
      <c r="H477" s="5">
        <v>3.7499999999999999E-3</v>
      </c>
      <c r="I477" s="5">
        <f t="shared" si="77"/>
        <v>-6.3E-3</v>
      </c>
      <c r="J477" s="5">
        <f t="shared" ref="J477:J540" si="81">B477-G477</f>
        <v>-6.7208333333333339E-3</v>
      </c>
      <c r="K477" s="5">
        <f t="shared" ref="K477:K540" si="82">$C477-H477</f>
        <v>-1.2149999999999999E-2</v>
      </c>
      <c r="L477" s="8">
        <f t="shared" si="79"/>
        <v>0.13426013001736781</v>
      </c>
      <c r="M477" s="8">
        <f t="shared" si="80"/>
        <v>3.9599999999999996E-2</v>
      </c>
      <c r="N477" s="8">
        <f t="shared" si="72"/>
        <v>4.4650000000000009E-2</v>
      </c>
      <c r="O477" s="296">
        <f t="shared" si="78"/>
        <v>9.4660130017367811E-2</v>
      </c>
      <c r="P477" s="8">
        <f t="shared" si="73"/>
        <v>8.9610130017367798E-2</v>
      </c>
      <c r="Q477" s="8">
        <f t="shared" si="74"/>
        <v>0.18034234987524611</v>
      </c>
      <c r="R477" s="8">
        <f t="shared" si="75"/>
        <v>4.4999999999999998E-2</v>
      </c>
      <c r="S477" s="296">
        <f t="shared" si="76"/>
        <v>0.13534234987524613</v>
      </c>
      <c r="U477" s="297"/>
      <c r="V477" s="297"/>
      <c r="W477" s="297"/>
      <c r="X477" s="297"/>
      <c r="Y477" s="297"/>
      <c r="Z477" s="297"/>
      <c r="AA477" s="297"/>
      <c r="AB477" s="297"/>
      <c r="AC477" s="297"/>
      <c r="AE477" s="297"/>
      <c r="AF477" s="297"/>
      <c r="AG477" s="297"/>
      <c r="AH477" s="297"/>
      <c r="AI477" s="297"/>
      <c r="AJ477" s="297"/>
      <c r="AK477" s="297"/>
      <c r="AL477" s="297"/>
      <c r="AM477" s="297"/>
      <c r="AO477" s="297"/>
      <c r="AP477" s="297"/>
      <c r="AQ477" s="297"/>
      <c r="AR477" s="297"/>
      <c r="AS477" s="297"/>
      <c r="AT477" s="297"/>
      <c r="AU477" s="297"/>
      <c r="AV477" s="297"/>
      <c r="AW477" s="297"/>
    </row>
    <row r="478" spans="1:49" x14ac:dyDescent="0.45">
      <c r="A478" s="295">
        <v>23894</v>
      </c>
      <c r="B478" s="12">
        <v>-4.7300000000000002E-2</v>
      </c>
      <c r="C478" s="5">
        <v>-3.4000000000000002E-2</v>
      </c>
      <c r="D478" s="5">
        <v>3.8E-3</v>
      </c>
      <c r="E478" s="5">
        <v>3.7166666666666663E-3</v>
      </c>
      <c r="F478" s="5">
        <v>3.7666666666666664E-3</v>
      </c>
      <c r="G478" s="5">
        <v>3.7416666666666666E-3</v>
      </c>
      <c r="H478" s="5">
        <v>3.7666666666666664E-3</v>
      </c>
      <c r="I478" s="5">
        <f t="shared" si="77"/>
        <v>-5.11E-2</v>
      </c>
      <c r="J478" s="5">
        <f t="shared" si="81"/>
        <v>-5.1041666666666666E-2</v>
      </c>
      <c r="K478" s="5">
        <f t="shared" si="82"/>
        <v>-3.7766666666666671E-2</v>
      </c>
      <c r="L478" s="8">
        <f t="shared" si="79"/>
        <v>6.1711167093285724E-2</v>
      </c>
      <c r="M478" s="8">
        <f t="shared" si="80"/>
        <v>4.5600000000000002E-2</v>
      </c>
      <c r="N478" s="8">
        <f t="shared" si="72"/>
        <v>4.4899999999999995E-2</v>
      </c>
      <c r="O478" s="296">
        <f t="shared" si="78"/>
        <v>1.6111167093285722E-2</v>
      </c>
      <c r="P478" s="8">
        <f t="shared" si="73"/>
        <v>1.6811167093285728E-2</v>
      </c>
      <c r="Q478" s="8">
        <f t="shared" si="74"/>
        <v>0.11413983777553982</v>
      </c>
      <c r="R478" s="8">
        <f t="shared" si="75"/>
        <v>4.5199999999999997E-2</v>
      </c>
      <c r="S478" s="296">
        <f t="shared" si="76"/>
        <v>6.8939837775539831E-2</v>
      </c>
      <c r="U478" s="297"/>
      <c r="V478" s="297"/>
      <c r="W478" s="297"/>
      <c r="X478" s="297"/>
      <c r="Y478" s="297"/>
      <c r="Z478" s="297"/>
      <c r="AA478" s="297"/>
      <c r="AB478" s="297"/>
      <c r="AC478" s="297"/>
      <c r="AE478" s="297"/>
      <c r="AF478" s="297"/>
      <c r="AG478" s="297"/>
      <c r="AH478" s="297"/>
      <c r="AI478" s="297"/>
      <c r="AJ478" s="297"/>
      <c r="AK478" s="297"/>
      <c r="AL478" s="297"/>
      <c r="AM478" s="297"/>
      <c r="AO478" s="297"/>
      <c r="AP478" s="297"/>
      <c r="AQ478" s="297"/>
      <c r="AR478" s="297"/>
      <c r="AS478" s="297"/>
      <c r="AT478" s="297"/>
      <c r="AU478" s="297"/>
      <c r="AV478" s="297"/>
      <c r="AW478" s="297"/>
    </row>
    <row r="479" spans="1:49" x14ac:dyDescent="0.45">
      <c r="A479" s="295">
        <v>23924</v>
      </c>
      <c r="B479" s="12">
        <v>1.47E-2</v>
      </c>
      <c r="C479" s="5">
        <v>1.0500000000000001E-2</v>
      </c>
      <c r="D479" s="5">
        <v>3.3999999999999998E-3</v>
      </c>
      <c r="E479" s="5">
        <v>3.7333333333333333E-3</v>
      </c>
      <c r="F479" s="5">
        <v>3.7999999999999996E-3</v>
      </c>
      <c r="G479" s="5">
        <v>3.7666666666666664E-3</v>
      </c>
      <c r="H479" s="5">
        <v>3.7833333333333334E-3</v>
      </c>
      <c r="I479" s="5">
        <f t="shared" si="77"/>
        <v>1.1299999999999999E-2</v>
      </c>
      <c r="J479" s="5">
        <f t="shared" si="81"/>
        <v>1.0933333333333333E-2</v>
      </c>
      <c r="K479" s="5">
        <f t="shared" si="82"/>
        <v>6.7166666666666677E-3</v>
      </c>
      <c r="L479" s="8">
        <f t="shared" si="79"/>
        <v>5.6712428886274591E-2</v>
      </c>
      <c r="M479" s="8">
        <f t="shared" si="80"/>
        <v>4.0799999999999996E-2</v>
      </c>
      <c r="N479" s="8">
        <f t="shared" si="72"/>
        <v>4.5199999999999997E-2</v>
      </c>
      <c r="O479" s="296">
        <f t="shared" si="78"/>
        <v>1.5912428886274595E-2</v>
      </c>
      <c r="P479" s="8">
        <f t="shared" si="73"/>
        <v>1.1512428886274594E-2</v>
      </c>
      <c r="Q479" s="8">
        <f t="shared" si="74"/>
        <v>7.5196548631633719E-2</v>
      </c>
      <c r="R479" s="8">
        <f t="shared" si="75"/>
        <v>4.5400000000000003E-2</v>
      </c>
      <c r="S479" s="296">
        <f t="shared" si="76"/>
        <v>2.9796548631633717E-2</v>
      </c>
      <c r="U479" s="297"/>
      <c r="V479" s="297"/>
      <c r="W479" s="297"/>
      <c r="X479" s="297"/>
      <c r="Y479" s="297"/>
      <c r="Z479" s="297"/>
      <c r="AA479" s="297"/>
      <c r="AB479" s="297"/>
      <c r="AC479" s="297"/>
      <c r="AE479" s="297"/>
      <c r="AF479" s="297"/>
      <c r="AG479" s="297"/>
      <c r="AH479" s="297"/>
      <c r="AI479" s="297"/>
      <c r="AJ479" s="297"/>
      <c r="AK479" s="297"/>
      <c r="AL479" s="297"/>
      <c r="AM479" s="297"/>
      <c r="AO479" s="297"/>
      <c r="AP479" s="297"/>
      <c r="AQ479" s="297"/>
      <c r="AR479" s="297"/>
      <c r="AS479" s="297"/>
      <c r="AT479" s="297"/>
      <c r="AU479" s="297"/>
      <c r="AV479" s="297"/>
      <c r="AW479" s="297"/>
    </row>
    <row r="480" spans="1:49" x14ac:dyDescent="0.45">
      <c r="A480" s="295">
        <v>23955</v>
      </c>
      <c r="B480" s="12">
        <v>2.7199999999999998E-2</v>
      </c>
      <c r="C480" s="5">
        <v>9.7000000000000003E-3</v>
      </c>
      <c r="D480" s="5">
        <v>3.7000000000000002E-3</v>
      </c>
      <c r="E480" s="5">
        <v>3.741666666666667E-3</v>
      </c>
      <c r="F480" s="5">
        <v>3.8250000000000003E-3</v>
      </c>
      <c r="G480" s="5">
        <v>3.7833333333333334E-3</v>
      </c>
      <c r="H480" s="5">
        <v>3.8166666666666666E-3</v>
      </c>
      <c r="I480" s="5">
        <f t="shared" si="77"/>
        <v>2.35E-2</v>
      </c>
      <c r="J480" s="5">
        <f t="shared" si="81"/>
        <v>2.3416666666666665E-2</v>
      </c>
      <c r="K480" s="5">
        <f t="shared" si="82"/>
        <v>5.8833333333333342E-3</v>
      </c>
      <c r="L480" s="8">
        <f t="shared" si="79"/>
        <v>9.841631952234442E-2</v>
      </c>
      <c r="M480" s="8">
        <f t="shared" si="80"/>
        <v>4.4400000000000002E-2</v>
      </c>
      <c r="N480" s="8">
        <f t="shared" si="72"/>
        <v>4.5400000000000003E-2</v>
      </c>
      <c r="O480" s="296">
        <f t="shared" si="78"/>
        <v>5.4016319522344418E-2</v>
      </c>
      <c r="P480" s="8">
        <f t="shared" si="73"/>
        <v>5.3016319522344417E-2</v>
      </c>
      <c r="Q480" s="8">
        <f t="shared" si="74"/>
        <v>8.227091531588071E-2</v>
      </c>
      <c r="R480" s="8">
        <f t="shared" si="75"/>
        <v>4.58E-2</v>
      </c>
      <c r="S480" s="296">
        <f t="shared" si="76"/>
        <v>3.647091531588071E-2</v>
      </c>
      <c r="U480" s="297"/>
      <c r="V480" s="297"/>
      <c r="W480" s="297"/>
      <c r="X480" s="297"/>
      <c r="Y480" s="297"/>
      <c r="Z480" s="297"/>
      <c r="AA480" s="297"/>
      <c r="AB480" s="297"/>
      <c r="AC480" s="297"/>
      <c r="AE480" s="297"/>
      <c r="AF480" s="297"/>
      <c r="AG480" s="297"/>
      <c r="AH480" s="297"/>
      <c r="AI480" s="297"/>
      <c r="AJ480" s="297"/>
      <c r="AK480" s="297"/>
      <c r="AL480" s="297"/>
      <c r="AM480" s="297"/>
      <c r="AO480" s="297"/>
      <c r="AP480" s="297"/>
      <c r="AQ480" s="297"/>
      <c r="AR480" s="297"/>
      <c r="AS480" s="297"/>
      <c r="AT480" s="297"/>
      <c r="AU480" s="297"/>
      <c r="AV480" s="297"/>
      <c r="AW480" s="297"/>
    </row>
    <row r="481" spans="1:49" x14ac:dyDescent="0.45">
      <c r="A481" s="295">
        <v>23986</v>
      </c>
      <c r="B481" s="12">
        <v>3.3399999999999999E-2</v>
      </c>
      <c r="C481" s="5">
        <v>1.9400000000000001E-2</v>
      </c>
      <c r="D481" s="5">
        <v>3.5000000000000005E-3</v>
      </c>
      <c r="E481" s="5">
        <v>3.7666666666666664E-3</v>
      </c>
      <c r="F481" s="5">
        <v>3.858333333333333E-3</v>
      </c>
      <c r="G481" s="5">
        <v>3.8124999999999999E-3</v>
      </c>
      <c r="H481" s="5">
        <v>3.858333333333333E-3</v>
      </c>
      <c r="I481" s="5">
        <f t="shared" si="77"/>
        <v>2.9899999999999999E-2</v>
      </c>
      <c r="J481" s="5">
        <f t="shared" si="81"/>
        <v>2.9587499999999999E-2</v>
      </c>
      <c r="K481" s="5">
        <f t="shared" si="82"/>
        <v>1.5541666666666667E-2</v>
      </c>
      <c r="L481" s="8">
        <f t="shared" si="79"/>
        <v>0.10193517580272937</v>
      </c>
      <c r="M481" s="8">
        <f t="shared" si="80"/>
        <v>4.200000000000001E-2</v>
      </c>
      <c r="N481" s="8">
        <f t="shared" si="72"/>
        <v>4.5749999999999999E-2</v>
      </c>
      <c r="O481" s="296">
        <f t="shared" si="78"/>
        <v>5.9935175802729362E-2</v>
      </c>
      <c r="P481" s="8">
        <f t="shared" si="73"/>
        <v>5.6185175802729373E-2</v>
      </c>
      <c r="Q481" s="8">
        <f t="shared" si="74"/>
        <v>8.4824946974443538E-2</v>
      </c>
      <c r="R481" s="8">
        <f t="shared" si="75"/>
        <v>4.6299999999999994E-2</v>
      </c>
      <c r="S481" s="296">
        <f t="shared" si="76"/>
        <v>3.8524946974443544E-2</v>
      </c>
      <c r="U481" s="297"/>
      <c r="V481" s="297"/>
      <c r="W481" s="297"/>
      <c r="X481" s="297"/>
      <c r="Y481" s="297"/>
      <c r="Z481" s="297"/>
      <c r="AA481" s="297"/>
      <c r="AB481" s="297"/>
      <c r="AC481" s="297"/>
      <c r="AE481" s="297"/>
      <c r="AF481" s="297"/>
      <c r="AG481" s="297"/>
      <c r="AH481" s="297"/>
      <c r="AI481" s="297"/>
      <c r="AJ481" s="297"/>
      <c r="AK481" s="297"/>
      <c r="AL481" s="297"/>
      <c r="AM481" s="297"/>
      <c r="AO481" s="297"/>
      <c r="AP481" s="297"/>
      <c r="AQ481" s="297"/>
      <c r="AR481" s="297"/>
      <c r="AS481" s="297"/>
      <c r="AT481" s="297"/>
      <c r="AU481" s="297"/>
      <c r="AV481" s="297"/>
      <c r="AW481" s="297"/>
    </row>
    <row r="482" spans="1:49" x14ac:dyDescent="0.45">
      <c r="A482" s="295">
        <v>24016</v>
      </c>
      <c r="B482" s="12">
        <v>2.8899999999999999E-2</v>
      </c>
      <c r="C482" s="5">
        <v>1.2900000000000002E-2</v>
      </c>
      <c r="D482" s="5">
        <v>3.3999999999999998E-3</v>
      </c>
      <c r="E482" s="5">
        <v>3.7999999999999996E-3</v>
      </c>
      <c r="F482" s="5">
        <v>3.8833333333333337E-3</v>
      </c>
      <c r="G482" s="5">
        <v>3.8416666666666664E-3</v>
      </c>
      <c r="H482" s="5">
        <v>3.8833333333333337E-3</v>
      </c>
      <c r="I482" s="5">
        <f t="shared" si="77"/>
        <v>2.5499999999999998E-2</v>
      </c>
      <c r="J482" s="5">
        <f t="shared" si="81"/>
        <v>2.5058333333333332E-2</v>
      </c>
      <c r="K482" s="5">
        <f t="shared" si="82"/>
        <v>9.0166666666666676E-3</v>
      </c>
      <c r="L482" s="8">
        <f t="shared" si="79"/>
        <v>0.12300029950814961</v>
      </c>
      <c r="M482" s="8">
        <f t="shared" si="80"/>
        <v>4.0799999999999996E-2</v>
      </c>
      <c r="N482" s="8">
        <f t="shared" si="72"/>
        <v>4.6099999999999995E-2</v>
      </c>
      <c r="O482" s="296">
        <f t="shared" si="78"/>
        <v>8.220029950814961E-2</v>
      </c>
      <c r="P482" s="8">
        <f t="shared" si="73"/>
        <v>7.6900299508149611E-2</v>
      </c>
      <c r="Q482" s="8">
        <f t="shared" si="74"/>
        <v>8.0982969788897075E-2</v>
      </c>
      <c r="R482" s="8">
        <f t="shared" si="75"/>
        <v>4.6600000000000003E-2</v>
      </c>
      <c r="S482" s="296">
        <f t="shared" si="76"/>
        <v>3.4382969788897072E-2</v>
      </c>
      <c r="U482" s="297"/>
      <c r="V482" s="297"/>
      <c r="W482" s="297"/>
      <c r="X482" s="297"/>
      <c r="Y482" s="297"/>
      <c r="Z482" s="297"/>
      <c r="AA482" s="297"/>
      <c r="AB482" s="297"/>
      <c r="AC482" s="297"/>
      <c r="AE482" s="297"/>
      <c r="AF482" s="297"/>
      <c r="AG482" s="297"/>
      <c r="AH482" s="297"/>
      <c r="AI482" s="297"/>
      <c r="AJ482" s="297"/>
      <c r="AK482" s="297"/>
      <c r="AL482" s="297"/>
      <c r="AM482" s="297"/>
      <c r="AO482" s="297"/>
      <c r="AP482" s="297"/>
      <c r="AQ482" s="297"/>
      <c r="AR482" s="297"/>
      <c r="AS482" s="297"/>
      <c r="AT482" s="297"/>
      <c r="AU482" s="297"/>
      <c r="AV482" s="297"/>
      <c r="AW482" s="297"/>
    </row>
    <row r="483" spans="1:49" x14ac:dyDescent="0.45">
      <c r="A483" s="295">
        <v>24047</v>
      </c>
      <c r="B483" s="12">
        <v>-3.0999999999999999E-3</v>
      </c>
      <c r="C483" s="5">
        <v>-1.1599999999999999E-2</v>
      </c>
      <c r="D483" s="5">
        <v>3.7000000000000002E-3</v>
      </c>
      <c r="E483" s="5">
        <v>3.8333333333333331E-3</v>
      </c>
      <c r="F483" s="5">
        <v>3.908333333333334E-3</v>
      </c>
      <c r="G483" s="5">
        <v>3.8708333333333333E-3</v>
      </c>
      <c r="H483" s="5">
        <v>3.9250000000000005E-3</v>
      </c>
      <c r="I483" s="5">
        <f t="shared" si="77"/>
        <v>-6.8000000000000005E-3</v>
      </c>
      <c r="J483" s="5">
        <f t="shared" si="81"/>
        <v>-6.9708333333333332E-3</v>
      </c>
      <c r="K483" s="5">
        <f t="shared" si="82"/>
        <v>-1.5525000000000001E-2</v>
      </c>
      <c r="L483" s="8">
        <f t="shared" si="79"/>
        <v>0.11895951882026434</v>
      </c>
      <c r="M483" s="8">
        <f t="shared" si="80"/>
        <v>4.4400000000000002E-2</v>
      </c>
      <c r="N483" s="8">
        <f t="shared" si="72"/>
        <v>4.6449999999999998E-2</v>
      </c>
      <c r="O483" s="296">
        <f t="shared" si="78"/>
        <v>7.4559518820264348E-2</v>
      </c>
      <c r="P483" s="8">
        <f t="shared" si="73"/>
        <v>7.2509518820264351E-2</v>
      </c>
      <c r="Q483" s="8">
        <f t="shared" si="74"/>
        <v>5.6400600493716979E-2</v>
      </c>
      <c r="R483" s="8">
        <f t="shared" si="75"/>
        <v>4.7100000000000003E-2</v>
      </c>
      <c r="S483" s="296">
        <f t="shared" si="76"/>
        <v>9.3006004937169762E-3</v>
      </c>
      <c r="U483" s="297"/>
      <c r="V483" s="297"/>
      <c r="W483" s="297"/>
      <c r="X483" s="297"/>
      <c r="Y483" s="297"/>
      <c r="Z483" s="297"/>
      <c r="AA483" s="297"/>
      <c r="AB483" s="297"/>
      <c r="AC483" s="297"/>
      <c r="AE483" s="297"/>
      <c r="AF483" s="297"/>
      <c r="AG483" s="297"/>
      <c r="AH483" s="297"/>
      <c r="AI483" s="297"/>
      <c r="AJ483" s="297"/>
      <c r="AK483" s="297"/>
      <c r="AL483" s="297"/>
      <c r="AM483" s="297"/>
      <c r="AO483" s="297"/>
      <c r="AP483" s="297"/>
      <c r="AQ483" s="297"/>
      <c r="AR483" s="297"/>
      <c r="AS483" s="297"/>
      <c r="AT483" s="297"/>
      <c r="AU483" s="297"/>
      <c r="AV483" s="297"/>
      <c r="AW483" s="297"/>
    </row>
    <row r="484" spans="1:49" x14ac:dyDescent="0.45">
      <c r="A484" s="295">
        <v>24077</v>
      </c>
      <c r="B484" s="12">
        <v>1.06E-2</v>
      </c>
      <c r="C484" s="5">
        <v>-7.9999999999999993E-4</v>
      </c>
      <c r="D484" s="5">
        <v>3.7000000000000002E-3</v>
      </c>
      <c r="E484" s="5">
        <v>3.8999999999999994E-3</v>
      </c>
      <c r="F484" s="5">
        <v>4.0000000000000001E-3</v>
      </c>
      <c r="G484" s="5">
        <v>3.9499999999999995E-3</v>
      </c>
      <c r="H484" s="5">
        <v>4.0249999999999999E-3</v>
      </c>
      <c r="I484" s="5">
        <f t="shared" si="77"/>
        <v>6.8999999999999999E-3</v>
      </c>
      <c r="J484" s="5">
        <f t="shared" si="81"/>
        <v>6.6500000000000005E-3</v>
      </c>
      <c r="K484" s="5">
        <f t="shared" si="82"/>
        <v>-4.8249999999999994E-3</v>
      </c>
      <c r="L484" s="8">
        <f t="shared" si="79"/>
        <v>0.12452316002362673</v>
      </c>
      <c r="M484" s="8">
        <f t="shared" si="80"/>
        <v>4.4400000000000002E-2</v>
      </c>
      <c r="N484" s="8">
        <f t="shared" si="72"/>
        <v>4.7399999999999998E-2</v>
      </c>
      <c r="O484" s="296">
        <f t="shared" si="78"/>
        <v>8.0123160023626738E-2</v>
      </c>
      <c r="P484" s="8">
        <f t="shared" si="73"/>
        <v>7.7123160023626736E-2</v>
      </c>
      <c r="Q484" s="8">
        <f t="shared" si="74"/>
        <v>4.6555106100854671E-2</v>
      </c>
      <c r="R484" s="8">
        <f t="shared" si="75"/>
        <v>4.8299999999999996E-2</v>
      </c>
      <c r="S484" s="296">
        <f t="shared" si="76"/>
        <v>-1.744893899145325E-3</v>
      </c>
      <c r="U484" s="297"/>
      <c r="V484" s="297"/>
      <c r="W484" s="297"/>
      <c r="X484" s="297"/>
      <c r="Y484" s="297"/>
      <c r="Z484" s="297"/>
      <c r="AA484" s="297"/>
      <c r="AB484" s="297"/>
      <c r="AC484" s="297"/>
      <c r="AE484" s="297"/>
      <c r="AF484" s="297"/>
      <c r="AG484" s="297"/>
      <c r="AH484" s="297"/>
      <c r="AI484" s="297"/>
      <c r="AJ484" s="297"/>
      <c r="AK484" s="297"/>
      <c r="AL484" s="297"/>
      <c r="AM484" s="297"/>
      <c r="AO484" s="297"/>
      <c r="AP484" s="297"/>
      <c r="AQ484" s="297"/>
      <c r="AR484" s="297"/>
      <c r="AS484" s="297"/>
      <c r="AT484" s="297"/>
      <c r="AU484" s="297"/>
      <c r="AV484" s="297"/>
      <c r="AW484" s="297"/>
    </row>
    <row r="485" spans="1:49" x14ac:dyDescent="0.45">
      <c r="A485" s="295">
        <v>24108</v>
      </c>
      <c r="B485" s="12">
        <v>6.1999999999999998E-3</v>
      </c>
      <c r="C485" s="5">
        <v>-2.9699999999999997E-2</v>
      </c>
      <c r="D485" s="5">
        <v>3.8E-3</v>
      </c>
      <c r="E485" s="5">
        <v>3.9500000000000004E-3</v>
      </c>
      <c r="F485" s="5">
        <v>4.0249999999999999E-3</v>
      </c>
      <c r="G485" s="5">
        <v>3.9875000000000006E-3</v>
      </c>
      <c r="H485" s="5">
        <v>4.0500000000000006E-3</v>
      </c>
      <c r="I485" s="5">
        <f t="shared" si="77"/>
        <v>2.3999999999999998E-3</v>
      </c>
      <c r="J485" s="5">
        <f t="shared" si="81"/>
        <v>2.2124999999999992E-3</v>
      </c>
      <c r="K485" s="5">
        <f t="shared" si="82"/>
        <v>-3.3749999999999995E-2</v>
      </c>
      <c r="L485" s="8">
        <f t="shared" si="79"/>
        <v>9.3760467487455701E-2</v>
      </c>
      <c r="M485" s="8">
        <f t="shared" si="80"/>
        <v>4.5600000000000002E-2</v>
      </c>
      <c r="N485" s="8">
        <f t="shared" si="72"/>
        <v>4.7850000000000004E-2</v>
      </c>
      <c r="O485" s="296">
        <f t="shared" si="78"/>
        <v>4.8160467487455699E-2</v>
      </c>
      <c r="P485" s="8">
        <f t="shared" si="73"/>
        <v>4.5910467487455697E-2</v>
      </c>
      <c r="Q485" s="8">
        <f t="shared" si="74"/>
        <v>-2.0853900829563288E-2</v>
      </c>
      <c r="R485" s="8">
        <f t="shared" si="75"/>
        <v>4.8600000000000004E-2</v>
      </c>
      <c r="S485" s="296">
        <f t="shared" si="76"/>
        <v>-6.9453900829563292E-2</v>
      </c>
      <c r="U485" s="297"/>
      <c r="V485" s="297"/>
      <c r="W485" s="297"/>
      <c r="X485" s="297"/>
      <c r="Y485" s="297"/>
      <c r="Z485" s="297"/>
      <c r="AA485" s="297"/>
      <c r="AB485" s="297"/>
      <c r="AC485" s="297"/>
      <c r="AE485" s="297"/>
      <c r="AF485" s="297"/>
      <c r="AG485" s="297"/>
      <c r="AH485" s="297"/>
      <c r="AI485" s="297"/>
      <c r="AJ485" s="297"/>
      <c r="AK485" s="297"/>
      <c r="AL485" s="297"/>
      <c r="AM485" s="297"/>
      <c r="AO485" s="297"/>
      <c r="AP485" s="297"/>
      <c r="AQ485" s="297"/>
      <c r="AR485" s="297"/>
      <c r="AS485" s="297"/>
      <c r="AT485" s="297"/>
      <c r="AU485" s="297"/>
      <c r="AV485" s="297"/>
      <c r="AW485" s="297"/>
    </row>
    <row r="486" spans="1:49" x14ac:dyDescent="0.45">
      <c r="A486" s="295">
        <v>24139</v>
      </c>
      <c r="B486" s="12">
        <v>-1.3100000000000001E-2</v>
      </c>
      <c r="C486" s="5">
        <v>-4.1399999999999999E-2</v>
      </c>
      <c r="D486" s="5">
        <v>3.3999999999999998E-3</v>
      </c>
      <c r="E486" s="5">
        <v>3.9833333333333335E-3</v>
      </c>
      <c r="F486" s="5">
        <v>4.0833333333333338E-3</v>
      </c>
      <c r="G486" s="5">
        <v>4.0333333333333341E-3</v>
      </c>
      <c r="H486" s="5">
        <v>4.0999999999999995E-3</v>
      </c>
      <c r="I486" s="5">
        <f t="shared" si="77"/>
        <v>-1.6500000000000001E-2</v>
      </c>
      <c r="J486" s="5">
        <f t="shared" si="81"/>
        <v>-1.7133333333333334E-2</v>
      </c>
      <c r="K486" s="5">
        <f t="shared" si="82"/>
        <v>-4.5499999999999999E-2</v>
      </c>
      <c r="L486" s="8">
        <f t="shared" si="79"/>
        <v>7.6096306812252212E-2</v>
      </c>
      <c r="M486" s="8">
        <f t="shared" si="80"/>
        <v>4.0799999999999996E-2</v>
      </c>
      <c r="N486" s="8">
        <f t="shared" si="72"/>
        <v>4.8400000000000012E-2</v>
      </c>
      <c r="O486" s="296">
        <f t="shared" si="78"/>
        <v>3.5296306812252216E-2</v>
      </c>
      <c r="P486" s="8">
        <f t="shared" si="73"/>
        <v>2.76963068122522E-2</v>
      </c>
      <c r="Q486" s="8">
        <f t="shared" si="74"/>
        <v>-6.2234538250793392E-2</v>
      </c>
      <c r="R486" s="8">
        <f t="shared" si="75"/>
        <v>4.9199999999999994E-2</v>
      </c>
      <c r="S486" s="296">
        <f t="shared" si="76"/>
        <v>-0.11143453825079339</v>
      </c>
      <c r="U486" s="297"/>
      <c r="V486" s="297"/>
      <c r="W486" s="297"/>
      <c r="X486" s="297"/>
      <c r="Y486" s="297"/>
      <c r="Z486" s="297"/>
      <c r="AA486" s="297"/>
      <c r="AB486" s="297"/>
      <c r="AC486" s="297"/>
      <c r="AE486" s="297"/>
      <c r="AF486" s="297"/>
      <c r="AG486" s="297"/>
      <c r="AH486" s="297"/>
      <c r="AI486" s="297"/>
      <c r="AJ486" s="297"/>
      <c r="AK486" s="297"/>
      <c r="AL486" s="297"/>
      <c r="AM486" s="297"/>
      <c r="AO486" s="297"/>
      <c r="AP486" s="297"/>
      <c r="AQ486" s="297"/>
      <c r="AR486" s="297"/>
      <c r="AS486" s="297"/>
      <c r="AT486" s="297"/>
      <c r="AU486" s="297"/>
      <c r="AV486" s="297"/>
      <c r="AW486" s="297"/>
    </row>
    <row r="487" spans="1:49" x14ac:dyDescent="0.45">
      <c r="A487" s="295">
        <v>24167</v>
      </c>
      <c r="B487" s="12">
        <v>-2.0500000000000001E-2</v>
      </c>
      <c r="C487" s="5">
        <v>-4.5000000000000005E-3</v>
      </c>
      <c r="D487" s="5">
        <v>4.0000000000000001E-3</v>
      </c>
      <c r="E487" s="5">
        <v>4.0999999999999995E-3</v>
      </c>
      <c r="F487" s="5">
        <v>4.208333333333333E-3</v>
      </c>
      <c r="G487" s="5">
        <v>4.1541666666666663E-3</v>
      </c>
      <c r="H487" s="5">
        <v>4.2833333333333326E-3</v>
      </c>
      <c r="I487" s="5">
        <f t="shared" si="77"/>
        <v>-2.4500000000000001E-2</v>
      </c>
      <c r="J487" s="5">
        <f t="shared" si="81"/>
        <v>-2.4654166666666668E-2</v>
      </c>
      <c r="K487" s="5">
        <f t="shared" si="82"/>
        <v>-8.783333333333334E-3</v>
      </c>
      <c r="L487" s="8">
        <f t="shared" si="79"/>
        <v>6.8243977422317803E-2</v>
      </c>
      <c r="M487" s="8">
        <f t="shared" si="80"/>
        <v>4.8000000000000001E-2</v>
      </c>
      <c r="N487" s="8">
        <f t="shared" si="72"/>
        <v>4.9849999999999992E-2</v>
      </c>
      <c r="O487" s="296">
        <f t="shared" si="78"/>
        <v>2.0243977422317802E-2</v>
      </c>
      <c r="P487" s="8">
        <f t="shared" si="73"/>
        <v>1.8393977422317812E-2</v>
      </c>
      <c r="Q487" s="8">
        <f t="shared" si="74"/>
        <v>-6.7107507573363478E-2</v>
      </c>
      <c r="R487" s="8">
        <f t="shared" si="75"/>
        <v>5.1399999999999987E-2</v>
      </c>
      <c r="S487" s="296">
        <f t="shared" si="76"/>
        <v>-0.11850750757336347</v>
      </c>
      <c r="U487" s="297"/>
      <c r="V487" s="297"/>
      <c r="W487" s="297"/>
      <c r="X487" s="297"/>
      <c r="Y487" s="297"/>
      <c r="Z487" s="297"/>
      <c r="AA487" s="297"/>
      <c r="AB487" s="297"/>
      <c r="AC487" s="297"/>
      <c r="AE487" s="297"/>
      <c r="AF487" s="297"/>
      <c r="AG487" s="297"/>
      <c r="AH487" s="297"/>
      <c r="AI487" s="297"/>
      <c r="AJ487" s="297"/>
      <c r="AK487" s="297"/>
      <c r="AL487" s="297"/>
      <c r="AM487" s="297"/>
      <c r="AO487" s="297"/>
      <c r="AP487" s="297"/>
      <c r="AQ487" s="297"/>
      <c r="AR487" s="297"/>
      <c r="AS487" s="297"/>
      <c r="AT487" s="297"/>
      <c r="AU487" s="297"/>
      <c r="AV487" s="297"/>
      <c r="AW487" s="297"/>
    </row>
    <row r="488" spans="1:49" x14ac:dyDescent="0.45">
      <c r="A488" s="295">
        <v>24198</v>
      </c>
      <c r="B488" s="12">
        <v>2.1999999999999999E-2</v>
      </c>
      <c r="C488" s="5">
        <v>1.72E-2</v>
      </c>
      <c r="D488" s="5">
        <v>3.5999999999999999E-3</v>
      </c>
      <c r="E488" s="5">
        <v>4.1083333333333336E-3</v>
      </c>
      <c r="F488" s="5">
        <v>4.2500000000000003E-3</v>
      </c>
      <c r="G488" s="5">
        <v>4.179166666666667E-3</v>
      </c>
      <c r="H488" s="5">
        <v>4.3750000000000004E-3</v>
      </c>
      <c r="I488" s="5">
        <f t="shared" si="77"/>
        <v>1.84E-2</v>
      </c>
      <c r="J488" s="5">
        <f t="shared" si="81"/>
        <v>1.7820833333333331E-2</v>
      </c>
      <c r="K488" s="5">
        <f t="shared" si="82"/>
        <v>1.2825E-2</v>
      </c>
      <c r="L488" s="8">
        <f t="shared" si="79"/>
        <v>5.4215280924689635E-2</v>
      </c>
      <c r="M488" s="8">
        <f t="shared" si="80"/>
        <v>4.3200000000000002E-2</v>
      </c>
      <c r="N488" s="8">
        <f t="shared" ref="N488:N551" si="83">G488*12</f>
        <v>5.015E-2</v>
      </c>
      <c r="O488" s="296">
        <f t="shared" si="78"/>
        <v>1.1015280924689633E-2</v>
      </c>
      <c r="P488" s="8">
        <f t="shared" ref="P488:P551" si="84">L488-N488</f>
        <v>4.0652809246896349E-3</v>
      </c>
      <c r="Q488" s="8">
        <f t="shared" ref="Q488:Q551" si="85">((1+C477)*(1+C478)*(1+C479)*(1+C480)*(1+C481)*(1+C482)*(1+C483)*(1+C484)*(1+C485)*(1+C486)*(1+C487)*(1+C488))-1</f>
        <v>-6.1293655854807949E-2</v>
      </c>
      <c r="R488" s="8">
        <f t="shared" ref="R488:R551" si="86">H488*12</f>
        <v>5.2500000000000005E-2</v>
      </c>
      <c r="S488" s="296">
        <f t="shared" ref="S488:S551" si="87">Q488-R488</f>
        <v>-0.11379365585480795</v>
      </c>
      <c r="U488" s="297"/>
      <c r="V488" s="297"/>
      <c r="W488" s="297"/>
      <c r="X488" s="297"/>
      <c r="Y488" s="297"/>
      <c r="Z488" s="297"/>
      <c r="AA488" s="297"/>
      <c r="AB488" s="297"/>
      <c r="AC488" s="297"/>
      <c r="AE488" s="297"/>
      <c r="AF488" s="297"/>
      <c r="AG488" s="297"/>
      <c r="AH488" s="297"/>
      <c r="AI488" s="297"/>
      <c r="AJ488" s="297"/>
      <c r="AK488" s="297"/>
      <c r="AL488" s="297"/>
      <c r="AM488" s="297"/>
      <c r="AO488" s="297"/>
      <c r="AP488" s="297"/>
      <c r="AQ488" s="297"/>
      <c r="AR488" s="297"/>
      <c r="AS488" s="297"/>
      <c r="AT488" s="297"/>
      <c r="AU488" s="297"/>
      <c r="AV488" s="297"/>
      <c r="AW488" s="297"/>
    </row>
    <row r="489" spans="1:49" x14ac:dyDescent="0.45">
      <c r="A489" s="295">
        <v>24228</v>
      </c>
      <c r="B489" s="12">
        <v>-4.9200000000000001E-2</v>
      </c>
      <c r="C489" s="5">
        <v>-2.9600000000000001E-2</v>
      </c>
      <c r="D489" s="5">
        <v>4.1000000000000003E-3</v>
      </c>
      <c r="E489" s="5">
        <v>4.15E-3</v>
      </c>
      <c r="F489" s="5">
        <v>4.2500000000000003E-3</v>
      </c>
      <c r="G489" s="5">
        <v>4.2000000000000006E-3</v>
      </c>
      <c r="H489" s="5">
        <v>4.3750000000000004E-3</v>
      </c>
      <c r="I489" s="5">
        <f t="shared" si="77"/>
        <v>-5.33E-2</v>
      </c>
      <c r="J489" s="5">
        <f t="shared" si="81"/>
        <v>-5.3400000000000003E-2</v>
      </c>
      <c r="K489" s="5">
        <f t="shared" si="82"/>
        <v>-3.3975000000000005E-2</v>
      </c>
      <c r="L489" s="8">
        <f t="shared" si="79"/>
        <v>5.3639810463337323E-3</v>
      </c>
      <c r="M489" s="8">
        <f t="shared" si="80"/>
        <v>4.9200000000000008E-2</v>
      </c>
      <c r="N489" s="8">
        <f t="shared" si="83"/>
        <v>5.0400000000000007E-2</v>
      </c>
      <c r="O489" s="296">
        <f t="shared" si="78"/>
        <v>-4.3836018953666275E-2</v>
      </c>
      <c r="P489" s="8">
        <f t="shared" si="84"/>
        <v>-4.5036018953666275E-2</v>
      </c>
      <c r="Q489" s="8">
        <f t="shared" si="85"/>
        <v>-8.1362811256056267E-2</v>
      </c>
      <c r="R489" s="8">
        <f t="shared" si="86"/>
        <v>5.2500000000000005E-2</v>
      </c>
      <c r="S489" s="296">
        <f t="shared" si="87"/>
        <v>-0.13386281125605626</v>
      </c>
      <c r="U489" s="297"/>
      <c r="V489" s="297"/>
      <c r="W489" s="297"/>
      <c r="X489" s="297"/>
      <c r="Y489" s="297"/>
      <c r="Z489" s="297"/>
      <c r="AA489" s="297"/>
      <c r="AB489" s="297"/>
      <c r="AC489" s="297"/>
      <c r="AE489" s="297"/>
      <c r="AF489" s="297"/>
      <c r="AG489" s="297"/>
      <c r="AH489" s="297"/>
      <c r="AI489" s="297"/>
      <c r="AJ489" s="297"/>
      <c r="AK489" s="297"/>
      <c r="AL489" s="297"/>
      <c r="AM489" s="297"/>
      <c r="AO489" s="297"/>
      <c r="AP489" s="297"/>
      <c r="AQ489" s="297"/>
      <c r="AR489" s="297"/>
      <c r="AS489" s="297"/>
      <c r="AT489" s="297"/>
      <c r="AU489" s="297"/>
      <c r="AV489" s="297"/>
      <c r="AW489" s="297"/>
    </row>
    <row r="490" spans="1:49" x14ac:dyDescent="0.45">
      <c r="A490" s="295">
        <v>24259</v>
      </c>
      <c r="B490" s="12">
        <v>-1.46E-2</v>
      </c>
      <c r="C490" s="5">
        <v>-1.8099999999999998E-2</v>
      </c>
      <c r="D490" s="5">
        <v>3.8999999999999994E-3</v>
      </c>
      <c r="E490" s="5">
        <v>4.2250000000000005E-3</v>
      </c>
      <c r="F490" s="5">
        <v>4.3E-3</v>
      </c>
      <c r="G490" s="5">
        <v>4.2624999999999998E-3</v>
      </c>
      <c r="H490" s="5">
        <v>4.5000000000000005E-3</v>
      </c>
      <c r="I490" s="5">
        <f t="shared" si="77"/>
        <v>-1.8499999999999999E-2</v>
      </c>
      <c r="J490" s="5">
        <f t="shared" si="81"/>
        <v>-1.8862500000000001E-2</v>
      </c>
      <c r="K490" s="5">
        <f t="shared" si="82"/>
        <v>-2.2599999999999999E-2</v>
      </c>
      <c r="L490" s="8">
        <f t="shared" si="79"/>
        <v>3.9871593285460083E-2</v>
      </c>
      <c r="M490" s="8">
        <f t="shared" si="80"/>
        <v>4.6799999999999994E-2</v>
      </c>
      <c r="N490" s="8">
        <f t="shared" si="83"/>
        <v>5.1150000000000001E-2</v>
      </c>
      <c r="O490" s="296">
        <f t="shared" si="78"/>
        <v>-6.9284067145399114E-3</v>
      </c>
      <c r="P490" s="8">
        <f t="shared" si="84"/>
        <v>-1.1278406714539918E-2</v>
      </c>
      <c r="Q490" s="8">
        <f t="shared" si="85"/>
        <v>-6.6242385478594068E-2</v>
      </c>
      <c r="R490" s="8">
        <f t="shared" si="86"/>
        <v>5.4000000000000006E-2</v>
      </c>
      <c r="S490" s="296">
        <f t="shared" si="87"/>
        <v>-0.12024238547859407</v>
      </c>
      <c r="U490" s="297"/>
      <c r="V490" s="297"/>
      <c r="W490" s="297"/>
      <c r="X490" s="297"/>
      <c r="Y490" s="297"/>
      <c r="Z490" s="297"/>
      <c r="AA490" s="297"/>
      <c r="AB490" s="297"/>
      <c r="AC490" s="297"/>
      <c r="AE490" s="297"/>
      <c r="AF490" s="297"/>
      <c r="AG490" s="297"/>
      <c r="AH490" s="297"/>
      <c r="AI490" s="297"/>
      <c r="AJ490" s="297"/>
      <c r="AK490" s="297"/>
      <c r="AL490" s="297"/>
      <c r="AM490" s="297"/>
      <c r="AO490" s="297"/>
      <c r="AP490" s="297"/>
      <c r="AQ490" s="297"/>
      <c r="AR490" s="297"/>
      <c r="AS490" s="297"/>
      <c r="AT490" s="297"/>
      <c r="AU490" s="297"/>
      <c r="AV490" s="297"/>
      <c r="AW490" s="297"/>
    </row>
    <row r="491" spans="1:49" x14ac:dyDescent="0.45">
      <c r="A491" s="295">
        <v>24289</v>
      </c>
      <c r="B491" s="12">
        <v>-1.2E-2</v>
      </c>
      <c r="C491" s="5">
        <v>9.0000000000000019E-4</v>
      </c>
      <c r="D491" s="5">
        <v>3.8E-3</v>
      </c>
      <c r="E491" s="5">
        <v>4.3E-3</v>
      </c>
      <c r="F491" s="5">
        <v>4.3750000000000004E-3</v>
      </c>
      <c r="G491" s="5">
        <v>4.3374999999999993E-3</v>
      </c>
      <c r="H491" s="5">
        <v>4.5416666666666669E-3</v>
      </c>
      <c r="I491" s="5">
        <f t="shared" si="77"/>
        <v>-1.5800000000000002E-2</v>
      </c>
      <c r="J491" s="5">
        <f t="shared" si="81"/>
        <v>-1.6337499999999998E-2</v>
      </c>
      <c r="K491" s="5">
        <f t="shared" si="82"/>
        <v>-3.6416666666666667E-3</v>
      </c>
      <c r="L491" s="8">
        <f t="shared" si="79"/>
        <v>1.2509248217241087E-2</v>
      </c>
      <c r="M491" s="8">
        <f t="shared" si="80"/>
        <v>4.5600000000000002E-2</v>
      </c>
      <c r="N491" s="8">
        <f t="shared" si="83"/>
        <v>5.2049999999999992E-2</v>
      </c>
      <c r="O491" s="296">
        <f t="shared" si="78"/>
        <v>-3.3090751782758915E-2</v>
      </c>
      <c r="P491" s="8">
        <f t="shared" si="84"/>
        <v>-3.9540751782758905E-2</v>
      </c>
      <c r="Q491" s="8">
        <f t="shared" si="85"/>
        <v>-7.5113313830306394E-2</v>
      </c>
      <c r="R491" s="8">
        <f t="shared" si="86"/>
        <v>5.4500000000000007E-2</v>
      </c>
      <c r="S491" s="296">
        <f t="shared" si="87"/>
        <v>-0.12961331383030639</v>
      </c>
      <c r="U491" s="297"/>
      <c r="V491" s="297"/>
      <c r="W491" s="297"/>
      <c r="X491" s="297"/>
      <c r="Y491" s="297"/>
      <c r="Z491" s="297"/>
      <c r="AA491" s="297"/>
      <c r="AB491" s="297"/>
      <c r="AC491" s="297"/>
      <c r="AE491" s="297"/>
      <c r="AF491" s="297"/>
      <c r="AG491" s="297"/>
      <c r="AH491" s="297"/>
      <c r="AI491" s="297"/>
      <c r="AJ491" s="297"/>
      <c r="AK491" s="297"/>
      <c r="AL491" s="297"/>
      <c r="AM491" s="297"/>
      <c r="AO491" s="297"/>
      <c r="AP491" s="297"/>
      <c r="AQ491" s="297"/>
      <c r="AR491" s="297"/>
      <c r="AS491" s="297"/>
      <c r="AT491" s="297"/>
      <c r="AU491" s="297"/>
      <c r="AV491" s="297"/>
      <c r="AW491" s="297"/>
    </row>
    <row r="492" spans="1:49" x14ac:dyDescent="0.45">
      <c r="A492" s="295">
        <v>24320</v>
      </c>
      <c r="B492" s="12">
        <v>-7.2499999999999995E-2</v>
      </c>
      <c r="C492" s="5">
        <v>-8.7499999999999994E-2</v>
      </c>
      <c r="D492" s="5">
        <v>4.3E-3</v>
      </c>
      <c r="E492" s="5">
        <v>4.4249999999999992E-3</v>
      </c>
      <c r="F492" s="5">
        <v>4.4833333333333331E-3</v>
      </c>
      <c r="G492" s="5">
        <v>4.4541666666666662E-3</v>
      </c>
      <c r="H492" s="5">
        <v>4.6500000000000005E-3</v>
      </c>
      <c r="I492" s="5">
        <f t="shared" si="77"/>
        <v>-7.6799999999999993E-2</v>
      </c>
      <c r="J492" s="5">
        <f t="shared" si="81"/>
        <v>-7.6954166666666657E-2</v>
      </c>
      <c r="K492" s="5">
        <f t="shared" si="82"/>
        <v>-9.2149999999999996E-2</v>
      </c>
      <c r="L492" s="8">
        <f t="shared" si="79"/>
        <v>-8.5764867872380024E-2</v>
      </c>
      <c r="M492" s="8">
        <f t="shared" si="80"/>
        <v>5.16E-2</v>
      </c>
      <c r="N492" s="8">
        <f t="shared" si="83"/>
        <v>5.3449999999999998E-2</v>
      </c>
      <c r="O492" s="296">
        <f t="shared" si="78"/>
        <v>-0.13736486787238003</v>
      </c>
      <c r="P492" s="8">
        <f t="shared" si="84"/>
        <v>-0.13921486787238002</v>
      </c>
      <c r="Q492" s="8">
        <f t="shared" si="85"/>
        <v>-0.16414865689824198</v>
      </c>
      <c r="R492" s="8">
        <f t="shared" si="86"/>
        <v>5.5800000000000002E-2</v>
      </c>
      <c r="S492" s="296">
        <f t="shared" si="87"/>
        <v>-0.219948656898242</v>
      </c>
      <c r="U492" s="297"/>
      <c r="V492" s="297"/>
      <c r="W492" s="297"/>
      <c r="X492" s="297"/>
      <c r="Y492" s="297"/>
      <c r="Z492" s="297"/>
      <c r="AA492" s="297"/>
      <c r="AB492" s="297"/>
      <c r="AC492" s="297"/>
      <c r="AE492" s="297"/>
      <c r="AF492" s="297"/>
      <c r="AG492" s="297"/>
      <c r="AH492" s="297"/>
      <c r="AI492" s="297"/>
      <c r="AJ492" s="297"/>
      <c r="AK492" s="297"/>
      <c r="AL492" s="297"/>
      <c r="AM492" s="297"/>
      <c r="AO492" s="297"/>
      <c r="AP492" s="297"/>
      <c r="AQ492" s="297"/>
      <c r="AR492" s="297"/>
      <c r="AS492" s="297"/>
      <c r="AT492" s="297"/>
      <c r="AU492" s="297"/>
      <c r="AV492" s="297"/>
      <c r="AW492" s="297"/>
    </row>
    <row r="493" spans="1:49" x14ac:dyDescent="0.45">
      <c r="A493" s="295">
        <v>24351</v>
      </c>
      <c r="B493" s="12">
        <v>-5.3E-3</v>
      </c>
      <c r="C493" s="5">
        <v>4.7500000000000001E-2</v>
      </c>
      <c r="D493" s="5">
        <v>4.1000000000000003E-3</v>
      </c>
      <c r="E493" s="5">
        <v>4.5750000000000001E-3</v>
      </c>
      <c r="F493" s="5">
        <v>4.6500000000000005E-3</v>
      </c>
      <c r="G493" s="5">
        <v>4.6125000000000003E-3</v>
      </c>
      <c r="H493" s="5">
        <v>4.8416666666666669E-3</v>
      </c>
      <c r="I493" s="5">
        <f t="shared" si="77"/>
        <v>-9.4000000000000004E-3</v>
      </c>
      <c r="J493" s="5">
        <f t="shared" si="81"/>
        <v>-9.9125000000000012E-3</v>
      </c>
      <c r="K493" s="5">
        <f t="shared" si="82"/>
        <v>4.2658333333333333E-2</v>
      </c>
      <c r="L493" s="8">
        <f t="shared" si="79"/>
        <v>-0.12000223928068188</v>
      </c>
      <c r="M493" s="8">
        <f t="shared" si="80"/>
        <v>4.9200000000000008E-2</v>
      </c>
      <c r="N493" s="8">
        <f t="shared" si="83"/>
        <v>5.5350000000000003E-2</v>
      </c>
      <c r="O493" s="296">
        <f t="shared" si="78"/>
        <v>-0.1692022392806819</v>
      </c>
      <c r="P493" s="8">
        <f t="shared" si="84"/>
        <v>-0.17535223928068189</v>
      </c>
      <c r="Q493" s="8">
        <f t="shared" si="85"/>
        <v>-0.1411082186589252</v>
      </c>
      <c r="R493" s="8">
        <f t="shared" si="86"/>
        <v>5.8099999999999999E-2</v>
      </c>
      <c r="S493" s="296">
        <f t="shared" si="87"/>
        <v>-0.19920821865892518</v>
      </c>
      <c r="U493" s="297"/>
      <c r="V493" s="297"/>
      <c r="W493" s="297"/>
      <c r="X493" s="297"/>
      <c r="Y493" s="297"/>
      <c r="Z493" s="297"/>
      <c r="AA493" s="297"/>
      <c r="AB493" s="297"/>
      <c r="AC493" s="297"/>
      <c r="AE493" s="297"/>
      <c r="AF493" s="297"/>
      <c r="AG493" s="297"/>
      <c r="AH493" s="297"/>
      <c r="AI493" s="297"/>
      <c r="AJ493" s="297"/>
      <c r="AK493" s="297"/>
      <c r="AL493" s="297"/>
      <c r="AM493" s="297"/>
      <c r="AO493" s="297"/>
      <c r="AP493" s="297"/>
      <c r="AQ493" s="297"/>
      <c r="AR493" s="297"/>
      <c r="AS493" s="297"/>
      <c r="AT493" s="297"/>
      <c r="AU493" s="297"/>
      <c r="AV493" s="297"/>
      <c r="AW493" s="297"/>
    </row>
    <row r="494" spans="1:49" x14ac:dyDescent="0.45">
      <c r="A494" s="295">
        <v>24381</v>
      </c>
      <c r="B494" s="12">
        <v>4.9399999999999999E-2</v>
      </c>
      <c r="C494" s="5">
        <v>9.7000000000000017E-2</v>
      </c>
      <c r="D494" s="5">
        <v>4.0000000000000001E-3</v>
      </c>
      <c r="E494" s="5">
        <v>4.5083333333333338E-3</v>
      </c>
      <c r="F494" s="5">
        <v>4.5833333333333334E-3</v>
      </c>
      <c r="G494" s="5">
        <v>4.5458333333333331E-3</v>
      </c>
      <c r="H494" s="5">
        <v>4.783333333333333E-3</v>
      </c>
      <c r="I494" s="5">
        <f t="shared" si="77"/>
        <v>4.5399999999999996E-2</v>
      </c>
      <c r="J494" s="5">
        <f t="shared" si="81"/>
        <v>4.4854166666666667E-2</v>
      </c>
      <c r="K494" s="5">
        <f t="shared" si="82"/>
        <v>9.2216666666666683E-2</v>
      </c>
      <c r="L494" s="8">
        <f t="shared" si="79"/>
        <v>-0.10246899591908598</v>
      </c>
      <c r="M494" s="8">
        <f t="shared" si="80"/>
        <v>4.8000000000000001E-2</v>
      </c>
      <c r="N494" s="8">
        <f t="shared" si="83"/>
        <v>5.4550000000000001E-2</v>
      </c>
      <c r="O494" s="296">
        <f t="shared" si="78"/>
        <v>-0.15046899591908597</v>
      </c>
      <c r="P494" s="8">
        <f t="shared" si="84"/>
        <v>-0.15701899591908597</v>
      </c>
      <c r="Q494" s="8">
        <f t="shared" si="85"/>
        <v>-6.9795355779288082E-2</v>
      </c>
      <c r="R494" s="8">
        <f t="shared" si="86"/>
        <v>5.7399999999999993E-2</v>
      </c>
      <c r="S494" s="296">
        <f t="shared" si="87"/>
        <v>-0.12719535577928809</v>
      </c>
      <c r="U494" s="297"/>
      <c r="V494" s="297"/>
      <c r="W494" s="297"/>
      <c r="X494" s="297"/>
      <c r="Y494" s="297"/>
      <c r="Z494" s="297"/>
      <c r="AA494" s="297"/>
      <c r="AB494" s="297"/>
      <c r="AC494" s="297"/>
      <c r="AE494" s="297"/>
      <c r="AF494" s="297"/>
      <c r="AG494" s="297"/>
      <c r="AH494" s="297"/>
      <c r="AI494" s="297"/>
      <c r="AJ494" s="297"/>
      <c r="AK494" s="297"/>
      <c r="AL494" s="297"/>
      <c r="AM494" s="297"/>
      <c r="AO494" s="297"/>
      <c r="AP494" s="297"/>
      <c r="AQ494" s="297"/>
      <c r="AR494" s="297"/>
      <c r="AS494" s="297"/>
      <c r="AT494" s="297"/>
      <c r="AU494" s="297"/>
      <c r="AV494" s="297"/>
      <c r="AW494" s="297"/>
    </row>
    <row r="495" spans="1:49" x14ac:dyDescent="0.45">
      <c r="A495" s="295">
        <v>24412</v>
      </c>
      <c r="B495" s="12">
        <v>9.4999999999999998E-3</v>
      </c>
      <c r="C495" s="5">
        <v>-7.6E-3</v>
      </c>
      <c r="D495" s="5">
        <v>3.8E-3</v>
      </c>
      <c r="E495" s="5">
        <v>4.4583333333333332E-3</v>
      </c>
      <c r="F495" s="5">
        <v>4.5500000000000002E-3</v>
      </c>
      <c r="G495" s="5">
        <v>4.5041666666666667E-3</v>
      </c>
      <c r="H495" s="5">
        <v>4.6916666666666669E-3</v>
      </c>
      <c r="I495" s="5">
        <f t="shared" si="77"/>
        <v>5.7000000000000002E-3</v>
      </c>
      <c r="J495" s="5">
        <f t="shared" si="81"/>
        <v>4.995833333333333E-3</v>
      </c>
      <c r="K495" s="5">
        <f t="shared" si="82"/>
        <v>-1.2291666666666666E-2</v>
      </c>
      <c r="L495" s="8">
        <f t="shared" si="79"/>
        <v>-9.1124938690257284E-2</v>
      </c>
      <c r="M495" s="8">
        <f t="shared" si="80"/>
        <v>4.5600000000000002E-2</v>
      </c>
      <c r="N495" s="8">
        <f t="shared" si="83"/>
        <v>5.4050000000000001E-2</v>
      </c>
      <c r="O495" s="296">
        <f t="shared" si="78"/>
        <v>-0.13672493869025729</v>
      </c>
      <c r="P495" s="8">
        <f t="shared" si="84"/>
        <v>-0.14517493869025727</v>
      </c>
      <c r="Q495" s="8">
        <f t="shared" si="85"/>
        <v>-6.6030869157593597E-2</v>
      </c>
      <c r="R495" s="8">
        <f t="shared" si="86"/>
        <v>5.6300000000000003E-2</v>
      </c>
      <c r="S495" s="296">
        <f t="shared" si="87"/>
        <v>-0.1223308691575936</v>
      </c>
      <c r="U495" s="297"/>
      <c r="V495" s="297"/>
      <c r="W495" s="297"/>
      <c r="X495" s="297"/>
      <c r="Y495" s="297"/>
      <c r="Z495" s="297"/>
      <c r="AA495" s="297"/>
      <c r="AB495" s="297"/>
      <c r="AC495" s="297"/>
      <c r="AE495" s="297"/>
      <c r="AF495" s="297"/>
      <c r="AG495" s="297"/>
      <c r="AH495" s="297"/>
      <c r="AI495" s="297"/>
      <c r="AJ495" s="297"/>
      <c r="AK495" s="297"/>
      <c r="AL495" s="297"/>
      <c r="AM495" s="297"/>
      <c r="AO495" s="297"/>
      <c r="AP495" s="297"/>
      <c r="AQ495" s="297"/>
      <c r="AR495" s="297"/>
      <c r="AS495" s="297"/>
      <c r="AT495" s="297"/>
      <c r="AU495" s="297"/>
      <c r="AV495" s="297"/>
      <c r="AW495" s="297"/>
    </row>
    <row r="496" spans="1:49" x14ac:dyDescent="0.45">
      <c r="A496" s="295">
        <v>24442</v>
      </c>
      <c r="B496" s="12">
        <v>2.0000000000000001E-4</v>
      </c>
      <c r="C496" s="5">
        <v>2.2099999999999998E-2</v>
      </c>
      <c r="D496" s="5">
        <v>3.8999999999999994E-3</v>
      </c>
      <c r="E496" s="5">
        <v>4.4916666666666664E-3</v>
      </c>
      <c r="F496" s="5">
        <v>4.5666666666666668E-3</v>
      </c>
      <c r="G496" s="5">
        <v>4.5291666666666666E-3</v>
      </c>
      <c r="H496" s="5">
        <v>4.725E-3</v>
      </c>
      <c r="I496" s="5">
        <f t="shared" si="77"/>
        <v>-3.6999999999999993E-3</v>
      </c>
      <c r="J496" s="5">
        <f t="shared" si="81"/>
        <v>-4.3291666666666669E-3</v>
      </c>
      <c r="K496" s="5">
        <f t="shared" si="82"/>
        <v>1.7374999999999998E-2</v>
      </c>
      <c r="L496" s="8">
        <f t="shared" si="79"/>
        <v>-0.10047809586185941</v>
      </c>
      <c r="M496" s="8">
        <f t="shared" si="80"/>
        <v>4.6799999999999994E-2</v>
      </c>
      <c r="N496" s="8">
        <f t="shared" si="83"/>
        <v>5.4349999999999996E-2</v>
      </c>
      <c r="O496" s="296">
        <f t="shared" si="78"/>
        <v>-0.14727809586185941</v>
      </c>
      <c r="P496" s="8">
        <f t="shared" si="84"/>
        <v>-0.15482809586185942</v>
      </c>
      <c r="Q496" s="8">
        <f t="shared" si="85"/>
        <v>-4.4625852047614489E-2</v>
      </c>
      <c r="R496" s="8">
        <f t="shared" si="86"/>
        <v>5.67E-2</v>
      </c>
      <c r="S496" s="296">
        <f t="shared" si="87"/>
        <v>-0.10132585204761449</v>
      </c>
      <c r="U496" s="297"/>
      <c r="V496" s="297"/>
      <c r="W496" s="297"/>
      <c r="X496" s="297"/>
      <c r="Y496" s="297"/>
      <c r="Z496" s="297"/>
      <c r="AA496" s="297"/>
      <c r="AB496" s="297"/>
      <c r="AC496" s="297"/>
      <c r="AE496" s="297"/>
      <c r="AF496" s="297"/>
      <c r="AG496" s="297"/>
      <c r="AH496" s="297"/>
      <c r="AI496" s="297"/>
      <c r="AJ496" s="297"/>
      <c r="AK496" s="297"/>
      <c r="AL496" s="297"/>
      <c r="AM496" s="297"/>
      <c r="AO496" s="297"/>
      <c r="AP496" s="297"/>
      <c r="AQ496" s="297"/>
      <c r="AR496" s="297"/>
      <c r="AS496" s="297"/>
      <c r="AT496" s="297"/>
      <c r="AU496" s="297"/>
      <c r="AV496" s="297"/>
      <c r="AW496" s="297"/>
    </row>
    <row r="497" spans="1:49" x14ac:dyDescent="0.45">
      <c r="A497" s="295">
        <v>24473</v>
      </c>
      <c r="B497" s="12">
        <v>7.9799999999999996E-2</v>
      </c>
      <c r="C497" s="5">
        <v>2.7100000000000003E-2</v>
      </c>
      <c r="D497" s="5">
        <v>4.0000000000000001E-3</v>
      </c>
      <c r="E497" s="5">
        <v>4.3333333333333331E-3</v>
      </c>
      <c r="F497" s="5">
        <v>4.4166666666666668E-3</v>
      </c>
      <c r="G497" s="5">
        <v>4.3750000000000004E-3</v>
      </c>
      <c r="H497" s="5">
        <v>4.5500000000000002E-3</v>
      </c>
      <c r="I497" s="5">
        <f t="shared" si="77"/>
        <v>7.5799999999999992E-2</v>
      </c>
      <c r="J497" s="5">
        <f t="shared" si="81"/>
        <v>7.5424999999999992E-2</v>
      </c>
      <c r="K497" s="5">
        <f t="shared" si="82"/>
        <v>2.2550000000000001E-2</v>
      </c>
      <c r="L497" s="8">
        <f t="shared" si="79"/>
        <v>-3.4681224320846304E-2</v>
      </c>
      <c r="M497" s="8">
        <f t="shared" si="80"/>
        <v>4.8000000000000001E-2</v>
      </c>
      <c r="N497" s="8">
        <f t="shared" si="83"/>
        <v>5.2500000000000005E-2</v>
      </c>
      <c r="O497" s="296">
        <f t="shared" si="78"/>
        <v>-8.2681224320846305E-2</v>
      </c>
      <c r="P497" s="8">
        <f t="shared" si="84"/>
        <v>-8.7181224320846309E-2</v>
      </c>
      <c r="Q497" s="8">
        <f t="shared" si="85"/>
        <v>1.1300409524781063E-2</v>
      </c>
      <c r="R497" s="8">
        <f t="shared" si="86"/>
        <v>5.4600000000000003E-2</v>
      </c>
      <c r="S497" s="296">
        <f t="shared" si="87"/>
        <v>-4.329959047521894E-2</v>
      </c>
      <c r="U497" s="297"/>
      <c r="V497" s="297"/>
      <c r="W497" s="297"/>
      <c r="X497" s="297"/>
      <c r="Y497" s="297"/>
      <c r="Z497" s="297"/>
      <c r="AA497" s="297"/>
      <c r="AB497" s="297"/>
      <c r="AC497" s="297"/>
      <c r="AE497" s="297"/>
      <c r="AF497" s="297"/>
      <c r="AG497" s="297"/>
      <c r="AH497" s="297"/>
      <c r="AI497" s="297"/>
      <c r="AJ497" s="297"/>
      <c r="AK497" s="297"/>
      <c r="AL497" s="297"/>
      <c r="AM497" s="297"/>
      <c r="AO497" s="297"/>
      <c r="AP497" s="297"/>
      <c r="AQ497" s="297"/>
      <c r="AR497" s="297"/>
      <c r="AS497" s="297"/>
      <c r="AT497" s="297"/>
      <c r="AU497" s="297"/>
      <c r="AV497" s="297"/>
      <c r="AW497" s="297"/>
    </row>
    <row r="498" spans="1:49" x14ac:dyDescent="0.45">
      <c r="A498" s="295">
        <v>24504</v>
      </c>
      <c r="B498" s="12">
        <v>7.1999999999999998E-3</v>
      </c>
      <c r="C498" s="5">
        <v>-1.5699999999999999E-2</v>
      </c>
      <c r="D498" s="5">
        <v>3.3999999999999998E-3</v>
      </c>
      <c r="E498" s="5">
        <v>4.1916666666666665E-3</v>
      </c>
      <c r="F498" s="5">
        <v>4.3166666666666666E-3</v>
      </c>
      <c r="G498" s="5">
        <v>4.2541666666666665E-3</v>
      </c>
      <c r="H498" s="5">
        <v>4.4000000000000003E-3</v>
      </c>
      <c r="I498" s="5">
        <f t="shared" si="77"/>
        <v>3.8E-3</v>
      </c>
      <c r="J498" s="5">
        <f t="shared" si="81"/>
        <v>2.9458333333333333E-3</v>
      </c>
      <c r="K498" s="5">
        <f t="shared" si="82"/>
        <v>-2.01E-2</v>
      </c>
      <c r="L498" s="8">
        <f t="shared" si="79"/>
        <v>-1.4825138449646724E-2</v>
      </c>
      <c r="M498" s="8">
        <f t="shared" si="80"/>
        <v>4.0799999999999996E-2</v>
      </c>
      <c r="N498" s="8">
        <f t="shared" si="83"/>
        <v>5.1049999999999998E-2</v>
      </c>
      <c r="O498" s="296">
        <f t="shared" si="78"/>
        <v>-5.562513844964672E-2</v>
      </c>
      <c r="P498" s="8">
        <f t="shared" si="84"/>
        <v>-6.5875138449646722E-2</v>
      </c>
      <c r="Q498" s="8">
        <f t="shared" si="85"/>
        <v>3.8413303875695748E-2</v>
      </c>
      <c r="R498" s="8">
        <f t="shared" si="86"/>
        <v>5.28E-2</v>
      </c>
      <c r="S498" s="296">
        <f t="shared" si="87"/>
        <v>-1.4386696124304252E-2</v>
      </c>
      <c r="U498" s="297"/>
      <c r="V498" s="297"/>
      <c r="W498" s="297"/>
      <c r="X498" s="297"/>
      <c r="Y498" s="297"/>
      <c r="Z498" s="297"/>
      <c r="AA498" s="297"/>
      <c r="AB498" s="297"/>
      <c r="AC498" s="297"/>
      <c r="AE498" s="297"/>
      <c r="AF498" s="297"/>
      <c r="AG498" s="297"/>
      <c r="AH498" s="297"/>
      <c r="AI498" s="297"/>
      <c r="AJ498" s="297"/>
      <c r="AK498" s="297"/>
      <c r="AL498" s="297"/>
      <c r="AM498" s="297"/>
      <c r="AO498" s="297"/>
      <c r="AP498" s="297"/>
      <c r="AQ498" s="297"/>
      <c r="AR498" s="297"/>
      <c r="AS498" s="297"/>
      <c r="AT498" s="297"/>
      <c r="AU498" s="297"/>
      <c r="AV498" s="297"/>
      <c r="AW498" s="297"/>
    </row>
    <row r="499" spans="1:49" x14ac:dyDescent="0.45">
      <c r="A499" s="295">
        <v>24532</v>
      </c>
      <c r="B499" s="12">
        <v>4.0899999999999999E-2</v>
      </c>
      <c r="C499" s="5">
        <v>1.9700000000000002E-2</v>
      </c>
      <c r="D499" s="5">
        <v>3.8999999999999994E-3</v>
      </c>
      <c r="E499" s="5">
        <v>4.2750000000000002E-3</v>
      </c>
      <c r="F499" s="5">
        <v>4.3583333333333339E-3</v>
      </c>
      <c r="G499" s="5">
        <v>4.3166666666666666E-3</v>
      </c>
      <c r="H499" s="5">
        <v>4.5333333333333337E-3</v>
      </c>
      <c r="I499" s="5">
        <f t="shared" si="77"/>
        <v>3.6999999999999998E-2</v>
      </c>
      <c r="J499" s="5">
        <f t="shared" si="81"/>
        <v>3.6583333333333329E-2</v>
      </c>
      <c r="K499" s="5">
        <f t="shared" si="82"/>
        <v>1.5166666666666669E-2</v>
      </c>
      <c r="L499" s="8">
        <f t="shared" si="79"/>
        <v>4.6930590492866076E-2</v>
      </c>
      <c r="M499" s="8">
        <f t="shared" si="80"/>
        <v>4.6799999999999994E-2</v>
      </c>
      <c r="N499" s="8">
        <f t="shared" si="83"/>
        <v>5.1799999999999999E-2</v>
      </c>
      <c r="O499" s="296">
        <f t="shared" si="78"/>
        <v>1.3059049286608115E-4</v>
      </c>
      <c r="P499" s="8">
        <f t="shared" si="84"/>
        <v>-4.8694095071339233E-3</v>
      </c>
      <c r="Q499" s="8">
        <f t="shared" si="85"/>
        <v>6.3656500213005396E-2</v>
      </c>
      <c r="R499" s="8">
        <f t="shared" si="86"/>
        <v>5.4400000000000004E-2</v>
      </c>
      <c r="S499" s="296">
        <f t="shared" si="87"/>
        <v>9.2565002130053919E-3</v>
      </c>
      <c r="U499" s="297"/>
      <c r="V499" s="297"/>
      <c r="W499" s="297"/>
      <c r="X499" s="297"/>
      <c r="Y499" s="297"/>
      <c r="Z499" s="297"/>
      <c r="AA499" s="297"/>
      <c r="AB499" s="297"/>
      <c r="AC499" s="297"/>
      <c r="AE499" s="297"/>
      <c r="AF499" s="297"/>
      <c r="AG499" s="297"/>
      <c r="AH499" s="297"/>
      <c r="AI499" s="297"/>
      <c r="AJ499" s="297"/>
      <c r="AK499" s="297"/>
      <c r="AL499" s="297"/>
      <c r="AM499" s="297"/>
      <c r="AO499" s="297"/>
      <c r="AP499" s="297"/>
      <c r="AQ499" s="297"/>
      <c r="AR499" s="297"/>
      <c r="AS499" s="297"/>
      <c r="AT499" s="297"/>
      <c r="AU499" s="297"/>
      <c r="AV499" s="297"/>
      <c r="AW499" s="297"/>
    </row>
    <row r="500" spans="1:49" x14ac:dyDescent="0.45">
      <c r="A500" s="295">
        <v>24563</v>
      </c>
      <c r="B500" s="12">
        <v>4.3700000000000003E-2</v>
      </c>
      <c r="C500" s="5">
        <v>2.0199999999999999E-2</v>
      </c>
      <c r="D500" s="5">
        <v>3.5000000000000005E-3</v>
      </c>
      <c r="E500" s="5">
        <v>4.2583333333333336E-3</v>
      </c>
      <c r="F500" s="5">
        <v>4.3833333333333328E-3</v>
      </c>
      <c r="G500" s="5">
        <v>4.3208333333333328E-3</v>
      </c>
      <c r="H500" s="5">
        <v>4.5166666666666662E-3</v>
      </c>
      <c r="I500" s="5">
        <f t="shared" si="77"/>
        <v>4.02E-2</v>
      </c>
      <c r="J500" s="5">
        <f t="shared" si="81"/>
        <v>3.9379166666666673E-2</v>
      </c>
      <c r="K500" s="5">
        <f t="shared" si="82"/>
        <v>1.5683333333333334E-2</v>
      </c>
      <c r="L500" s="8">
        <f t="shared" si="79"/>
        <v>6.9159938647167074E-2</v>
      </c>
      <c r="M500" s="8">
        <f t="shared" si="80"/>
        <v>4.200000000000001E-2</v>
      </c>
      <c r="N500" s="8">
        <f t="shared" si="83"/>
        <v>5.1849999999999993E-2</v>
      </c>
      <c r="O500" s="296">
        <f t="shared" si="78"/>
        <v>2.7159938647167065E-2</v>
      </c>
      <c r="P500" s="8">
        <f t="shared" si="84"/>
        <v>1.7309938647167081E-2</v>
      </c>
      <c r="Q500" s="8">
        <f t="shared" si="85"/>
        <v>6.6793513092123558E-2</v>
      </c>
      <c r="R500" s="8">
        <f t="shared" si="86"/>
        <v>5.4199999999999998E-2</v>
      </c>
      <c r="S500" s="296">
        <f t="shared" si="87"/>
        <v>1.2593513092123559E-2</v>
      </c>
      <c r="U500" s="297"/>
      <c r="V500" s="297"/>
      <c r="W500" s="297"/>
      <c r="X500" s="297"/>
      <c r="Y500" s="297"/>
      <c r="Z500" s="297"/>
      <c r="AA500" s="297"/>
      <c r="AB500" s="297"/>
      <c r="AC500" s="297"/>
      <c r="AE500" s="297"/>
      <c r="AF500" s="297"/>
      <c r="AG500" s="297"/>
      <c r="AH500" s="297"/>
      <c r="AI500" s="297"/>
      <c r="AJ500" s="297"/>
      <c r="AK500" s="297"/>
      <c r="AL500" s="297"/>
      <c r="AM500" s="297"/>
      <c r="AO500" s="297"/>
      <c r="AP500" s="297"/>
      <c r="AQ500" s="297"/>
      <c r="AR500" s="297"/>
      <c r="AS500" s="297"/>
      <c r="AT500" s="297"/>
      <c r="AU500" s="297"/>
      <c r="AV500" s="297"/>
      <c r="AW500" s="297"/>
    </row>
    <row r="501" spans="1:49" x14ac:dyDescent="0.45">
      <c r="A501" s="295">
        <v>24593</v>
      </c>
      <c r="B501" s="12">
        <v>-4.7699999999999999E-2</v>
      </c>
      <c r="C501" s="5">
        <v>-5.0600000000000006E-2</v>
      </c>
      <c r="D501" s="5">
        <v>4.3E-3</v>
      </c>
      <c r="E501" s="5">
        <v>4.3666666666666671E-3</v>
      </c>
      <c r="F501" s="5">
        <v>4.5166666666666662E-3</v>
      </c>
      <c r="G501" s="5">
        <v>4.4416666666666667E-3</v>
      </c>
      <c r="H501" s="5">
        <v>4.7166666666666668E-3</v>
      </c>
      <c r="I501" s="5">
        <f t="shared" si="77"/>
        <v>-5.1999999999999998E-2</v>
      </c>
      <c r="J501" s="5">
        <f t="shared" si="81"/>
        <v>-5.2141666666666669E-2</v>
      </c>
      <c r="K501" s="5">
        <f t="shared" si="82"/>
        <v>-5.5316666666666674E-2</v>
      </c>
      <c r="L501" s="8">
        <f t="shared" si="79"/>
        <v>7.0846665517140694E-2</v>
      </c>
      <c r="M501" s="8">
        <f t="shared" si="80"/>
        <v>5.16E-2</v>
      </c>
      <c r="N501" s="8">
        <f t="shared" si="83"/>
        <v>5.33E-2</v>
      </c>
      <c r="O501" s="296">
        <f t="shared" si="78"/>
        <v>1.9246665517140694E-2</v>
      </c>
      <c r="P501" s="8">
        <f t="shared" si="84"/>
        <v>1.7546665517140694E-2</v>
      </c>
      <c r="Q501" s="8">
        <f t="shared" si="85"/>
        <v>4.3707503431226424E-2</v>
      </c>
      <c r="R501" s="8">
        <f t="shared" si="86"/>
        <v>5.6599999999999998E-2</v>
      </c>
      <c r="S501" s="296">
        <f t="shared" si="87"/>
        <v>-1.2892496568773573E-2</v>
      </c>
      <c r="U501" s="297"/>
      <c r="V501" s="297"/>
      <c r="W501" s="297"/>
      <c r="X501" s="297"/>
      <c r="Y501" s="297"/>
      <c r="Z501" s="297"/>
      <c r="AA501" s="297"/>
      <c r="AB501" s="297"/>
      <c r="AC501" s="297"/>
      <c r="AE501" s="297"/>
      <c r="AF501" s="297"/>
      <c r="AG501" s="297"/>
      <c r="AH501" s="297"/>
      <c r="AI501" s="297"/>
      <c r="AJ501" s="297"/>
      <c r="AK501" s="297"/>
      <c r="AL501" s="297"/>
      <c r="AM501" s="297"/>
      <c r="AO501" s="297"/>
      <c r="AP501" s="297"/>
      <c r="AQ501" s="297"/>
      <c r="AR501" s="297"/>
      <c r="AS501" s="297"/>
      <c r="AT501" s="297"/>
      <c r="AU501" s="297"/>
      <c r="AV501" s="297"/>
      <c r="AW501" s="297"/>
    </row>
    <row r="502" spans="1:49" x14ac:dyDescent="0.45">
      <c r="A502" s="295">
        <v>24624</v>
      </c>
      <c r="B502" s="12">
        <v>1.9E-2</v>
      </c>
      <c r="C502" s="5">
        <v>-1.3100000000000001E-2</v>
      </c>
      <c r="D502" s="5">
        <v>3.8999999999999994E-3</v>
      </c>
      <c r="E502" s="5">
        <v>4.5333333333333337E-3</v>
      </c>
      <c r="F502" s="5">
        <v>4.6916666666666669E-3</v>
      </c>
      <c r="G502" s="5">
        <v>4.6125000000000003E-3</v>
      </c>
      <c r="H502" s="5">
        <v>4.8666666666666667E-3</v>
      </c>
      <c r="I502" s="5">
        <f t="shared" si="77"/>
        <v>1.5100000000000001E-2</v>
      </c>
      <c r="J502" s="5">
        <f t="shared" si="81"/>
        <v>1.4387499999999999E-2</v>
      </c>
      <c r="K502" s="5">
        <f t="shared" si="82"/>
        <v>-1.7966666666666666E-2</v>
      </c>
      <c r="L502" s="8">
        <f t="shared" si="79"/>
        <v>0.10736021124616002</v>
      </c>
      <c r="M502" s="8">
        <f t="shared" si="80"/>
        <v>4.6799999999999994E-2</v>
      </c>
      <c r="N502" s="8">
        <f t="shared" si="83"/>
        <v>5.5350000000000003E-2</v>
      </c>
      <c r="O502" s="296">
        <f t="shared" si="78"/>
        <v>6.0560211246160026E-2</v>
      </c>
      <c r="P502" s="8">
        <f t="shared" si="84"/>
        <v>5.2010211246160017E-2</v>
      </c>
      <c r="Q502" s="8">
        <f t="shared" si="85"/>
        <v>4.9022237637516675E-2</v>
      </c>
      <c r="R502" s="8">
        <f t="shared" si="86"/>
        <v>5.8400000000000001E-2</v>
      </c>
      <c r="S502" s="296">
        <f t="shared" si="87"/>
        <v>-9.3777623624833259E-3</v>
      </c>
      <c r="U502" s="297"/>
      <c r="V502" s="297"/>
      <c r="W502" s="297"/>
      <c r="X502" s="297"/>
      <c r="Y502" s="297"/>
      <c r="Z502" s="297"/>
      <c r="AA502" s="297"/>
      <c r="AB502" s="297"/>
      <c r="AC502" s="297"/>
      <c r="AE502" s="297"/>
      <c r="AF502" s="297"/>
      <c r="AG502" s="297"/>
      <c r="AH502" s="297"/>
      <c r="AI502" s="297"/>
      <c r="AJ502" s="297"/>
      <c r="AK502" s="297"/>
      <c r="AL502" s="297"/>
      <c r="AM502" s="297"/>
      <c r="AO502" s="297"/>
      <c r="AP502" s="297"/>
      <c r="AQ502" s="297"/>
      <c r="AR502" s="297"/>
      <c r="AS502" s="297"/>
      <c r="AT502" s="297"/>
      <c r="AU502" s="297"/>
      <c r="AV502" s="297"/>
      <c r="AW502" s="297"/>
    </row>
    <row r="503" spans="1:49" x14ac:dyDescent="0.45">
      <c r="A503" s="295">
        <v>24654</v>
      </c>
      <c r="B503" s="12">
        <v>4.6800000000000001E-2</v>
      </c>
      <c r="C503" s="5">
        <v>2.0399999999999995E-2</v>
      </c>
      <c r="D503" s="5">
        <v>4.3E-3</v>
      </c>
      <c r="E503" s="5">
        <v>4.6500000000000005E-3</v>
      </c>
      <c r="F503" s="5">
        <v>4.7666666666666664E-3</v>
      </c>
      <c r="G503" s="5">
        <v>4.7083333333333335E-3</v>
      </c>
      <c r="H503" s="5">
        <v>4.9500000000000004E-3</v>
      </c>
      <c r="I503" s="5">
        <f t="shared" si="77"/>
        <v>4.2500000000000003E-2</v>
      </c>
      <c r="J503" s="5">
        <f t="shared" si="81"/>
        <v>4.2091666666666666E-2</v>
      </c>
      <c r="K503" s="5">
        <f t="shared" si="82"/>
        <v>1.5449999999999995E-2</v>
      </c>
      <c r="L503" s="8">
        <f t="shared" si="79"/>
        <v>0.17326383515433186</v>
      </c>
      <c r="M503" s="8">
        <f t="shared" si="80"/>
        <v>5.16E-2</v>
      </c>
      <c r="N503" s="8">
        <f t="shared" si="83"/>
        <v>5.6500000000000002E-2</v>
      </c>
      <c r="O503" s="296">
        <f t="shared" si="78"/>
        <v>0.12166383515433185</v>
      </c>
      <c r="P503" s="8">
        <f t="shared" si="84"/>
        <v>0.11676383515433186</v>
      </c>
      <c r="Q503" s="8">
        <f t="shared" si="85"/>
        <v>6.9459777485584739E-2</v>
      </c>
      <c r="R503" s="8">
        <f t="shared" si="86"/>
        <v>5.9400000000000008E-2</v>
      </c>
      <c r="S503" s="296">
        <f t="shared" si="87"/>
        <v>1.0059777485584731E-2</v>
      </c>
      <c r="U503" s="297"/>
      <c r="V503" s="297"/>
      <c r="W503" s="297"/>
      <c r="X503" s="297"/>
      <c r="Y503" s="297"/>
      <c r="Z503" s="297"/>
      <c r="AA503" s="297"/>
      <c r="AB503" s="297"/>
      <c r="AC503" s="297"/>
      <c r="AE503" s="297"/>
      <c r="AF503" s="297"/>
      <c r="AG503" s="297"/>
      <c r="AH503" s="297"/>
      <c r="AI503" s="297"/>
      <c r="AJ503" s="297"/>
      <c r="AK503" s="297"/>
      <c r="AL503" s="297"/>
      <c r="AM503" s="297"/>
      <c r="AO503" s="297"/>
      <c r="AP503" s="297"/>
      <c r="AQ503" s="297"/>
      <c r="AR503" s="297"/>
      <c r="AS503" s="297"/>
      <c r="AT503" s="297"/>
      <c r="AU503" s="297"/>
      <c r="AV503" s="297"/>
      <c r="AW503" s="297"/>
    </row>
    <row r="504" spans="1:49" x14ac:dyDescent="0.45">
      <c r="A504" s="295">
        <v>24685</v>
      </c>
      <c r="B504" s="12">
        <v>-7.0000000000000001E-3</v>
      </c>
      <c r="C504" s="5">
        <v>-6.5000000000000006E-3</v>
      </c>
      <c r="D504" s="5">
        <v>4.1999999999999997E-3</v>
      </c>
      <c r="E504" s="5">
        <v>4.6833333333333336E-3</v>
      </c>
      <c r="F504" s="5">
        <v>4.7999999999999996E-3</v>
      </c>
      <c r="G504" s="5">
        <v>4.7416666666666666E-3</v>
      </c>
      <c r="H504" s="5">
        <v>4.9666666666666661E-3</v>
      </c>
      <c r="I504" s="5">
        <f t="shared" si="77"/>
        <v>-1.12E-2</v>
      </c>
      <c r="J504" s="5">
        <f t="shared" si="81"/>
        <v>-1.1741666666666668E-2</v>
      </c>
      <c r="K504" s="5">
        <f t="shared" si="82"/>
        <v>-1.1466666666666667E-2</v>
      </c>
      <c r="L504" s="8">
        <f t="shared" si="79"/>
        <v>0.25611966394420738</v>
      </c>
      <c r="M504" s="8">
        <f t="shared" si="80"/>
        <v>5.04E-2</v>
      </c>
      <c r="N504" s="8">
        <f t="shared" si="83"/>
        <v>5.6899999999999999E-2</v>
      </c>
      <c r="O504" s="296">
        <f t="shared" si="78"/>
        <v>0.20571966394420738</v>
      </c>
      <c r="P504" s="8">
        <f t="shared" si="84"/>
        <v>0.19921966394420737</v>
      </c>
      <c r="Q504" s="8">
        <f t="shared" si="85"/>
        <v>0.16439264540485321</v>
      </c>
      <c r="R504" s="8">
        <f t="shared" si="86"/>
        <v>5.9599999999999993E-2</v>
      </c>
      <c r="S504" s="296">
        <f t="shared" si="87"/>
        <v>0.10479264540485322</v>
      </c>
      <c r="U504" s="297"/>
      <c r="V504" s="297"/>
      <c r="W504" s="297"/>
      <c r="X504" s="297"/>
      <c r="Y504" s="297"/>
      <c r="Z504" s="297"/>
      <c r="AA504" s="297"/>
      <c r="AB504" s="297"/>
      <c r="AC504" s="297"/>
      <c r="AE504" s="297"/>
      <c r="AF504" s="297"/>
      <c r="AG504" s="297"/>
      <c r="AH504" s="297"/>
      <c r="AI504" s="297"/>
      <c r="AJ504" s="297"/>
      <c r="AK504" s="297"/>
      <c r="AL504" s="297"/>
      <c r="AM504" s="297"/>
      <c r="AO504" s="297"/>
      <c r="AP504" s="297"/>
      <c r="AQ504" s="297"/>
      <c r="AR504" s="297"/>
      <c r="AS504" s="297"/>
      <c r="AT504" s="297"/>
      <c r="AU504" s="297"/>
      <c r="AV504" s="297"/>
      <c r="AW504" s="297"/>
    </row>
    <row r="505" spans="1:49" x14ac:dyDescent="0.45">
      <c r="A505" s="295">
        <v>24716</v>
      </c>
      <c r="B505" s="12">
        <v>3.4200000000000001E-2</v>
      </c>
      <c r="C505" s="5">
        <v>-3.7000000000000002E-3</v>
      </c>
      <c r="D505" s="5">
        <v>4.0000000000000001E-3</v>
      </c>
      <c r="E505" s="5">
        <v>4.7083333333333335E-3</v>
      </c>
      <c r="F505" s="5">
        <v>4.8916666666666666E-3</v>
      </c>
      <c r="G505" s="5">
        <v>4.8000000000000004E-3</v>
      </c>
      <c r="H505" s="5">
        <v>5.0416666666666665E-3</v>
      </c>
      <c r="I505" s="5">
        <f t="shared" si="77"/>
        <v>3.0200000000000001E-2</v>
      </c>
      <c r="J505" s="5">
        <f t="shared" si="81"/>
        <v>2.9400000000000003E-2</v>
      </c>
      <c r="K505" s="5">
        <f t="shared" si="82"/>
        <v>-8.7416666666666667E-3</v>
      </c>
      <c r="L505" s="8">
        <f t="shared" si="79"/>
        <v>0.30600076048165148</v>
      </c>
      <c r="M505" s="8">
        <f t="shared" si="80"/>
        <v>4.8000000000000001E-2</v>
      </c>
      <c r="N505" s="8">
        <f t="shared" si="83"/>
        <v>5.7600000000000005E-2</v>
      </c>
      <c r="O505" s="296">
        <f t="shared" si="78"/>
        <v>0.25800076048165149</v>
      </c>
      <c r="P505" s="8">
        <f t="shared" si="84"/>
        <v>0.24840076048165147</v>
      </c>
      <c r="Q505" s="8">
        <f t="shared" si="85"/>
        <v>0.10747913376310758</v>
      </c>
      <c r="R505" s="8">
        <f t="shared" si="86"/>
        <v>6.0499999999999998E-2</v>
      </c>
      <c r="S505" s="296">
        <f t="shared" si="87"/>
        <v>4.6979133763107583E-2</v>
      </c>
      <c r="U505" s="297"/>
      <c r="V505" s="297"/>
      <c r="W505" s="297"/>
      <c r="X505" s="297"/>
      <c r="Y505" s="297"/>
      <c r="Z505" s="297"/>
      <c r="AA505" s="297"/>
      <c r="AB505" s="297"/>
      <c r="AC505" s="297"/>
      <c r="AE505" s="297"/>
      <c r="AF505" s="297"/>
      <c r="AG505" s="297"/>
      <c r="AH505" s="297"/>
      <c r="AI505" s="297"/>
      <c r="AJ505" s="297"/>
      <c r="AK505" s="297"/>
      <c r="AL505" s="297"/>
      <c r="AM505" s="297"/>
      <c r="AO505" s="297"/>
      <c r="AP505" s="297"/>
      <c r="AQ505" s="297"/>
      <c r="AR505" s="297"/>
      <c r="AS505" s="297"/>
      <c r="AT505" s="297"/>
      <c r="AU505" s="297"/>
      <c r="AV505" s="297"/>
      <c r="AW505" s="297"/>
    </row>
    <row r="506" spans="1:49" x14ac:dyDescent="0.45">
      <c r="A506" s="295">
        <v>24746</v>
      </c>
      <c r="B506" s="12">
        <v>-2.76E-2</v>
      </c>
      <c r="C506" s="5">
        <v>-5.7200000000000001E-2</v>
      </c>
      <c r="D506" s="5">
        <v>4.4999999999999997E-3</v>
      </c>
      <c r="E506" s="5">
        <v>4.8500000000000001E-3</v>
      </c>
      <c r="F506" s="5">
        <v>5.0083333333333334E-3</v>
      </c>
      <c r="G506" s="5">
        <v>4.9291666666666668E-3</v>
      </c>
      <c r="H506" s="5">
        <v>5.1500000000000001E-3</v>
      </c>
      <c r="I506" s="5">
        <f t="shared" si="77"/>
        <v>-3.2099999999999997E-2</v>
      </c>
      <c r="J506" s="5">
        <f t="shared" si="81"/>
        <v>-3.2529166666666665E-2</v>
      </c>
      <c r="K506" s="5">
        <f t="shared" si="82"/>
        <v>-6.2350000000000003E-2</v>
      </c>
      <c r="L506" s="8">
        <f t="shared" si="79"/>
        <v>0.21017261243792484</v>
      </c>
      <c r="M506" s="8">
        <f t="shared" si="80"/>
        <v>5.3999999999999992E-2</v>
      </c>
      <c r="N506" s="8">
        <f t="shared" si="83"/>
        <v>5.9150000000000001E-2</v>
      </c>
      <c r="O506" s="296">
        <f t="shared" si="78"/>
        <v>0.15617261243792485</v>
      </c>
      <c r="P506" s="8">
        <f t="shared" si="84"/>
        <v>0.15102261243792484</v>
      </c>
      <c r="Q506" s="8">
        <f t="shared" si="85"/>
        <v>-4.8193867537048352E-2</v>
      </c>
      <c r="R506" s="8">
        <f t="shared" si="86"/>
        <v>6.1800000000000001E-2</v>
      </c>
      <c r="S506" s="296">
        <f t="shared" si="87"/>
        <v>-0.10999386753704835</v>
      </c>
      <c r="U506" s="297"/>
      <c r="V506" s="297"/>
      <c r="W506" s="297"/>
      <c r="X506" s="297"/>
      <c r="Y506" s="297"/>
      <c r="Z506" s="297"/>
      <c r="AA506" s="297"/>
      <c r="AB506" s="297"/>
      <c r="AC506" s="297"/>
      <c r="AE506" s="297"/>
      <c r="AF506" s="297"/>
      <c r="AG506" s="297"/>
      <c r="AH506" s="297"/>
      <c r="AI506" s="297"/>
      <c r="AJ506" s="297"/>
      <c r="AK506" s="297"/>
      <c r="AL506" s="297"/>
      <c r="AM506" s="297"/>
      <c r="AO506" s="297"/>
      <c r="AP506" s="297"/>
      <c r="AQ506" s="297"/>
      <c r="AR506" s="297"/>
      <c r="AS506" s="297"/>
      <c r="AT506" s="297"/>
      <c r="AU506" s="297"/>
      <c r="AV506" s="297"/>
      <c r="AW506" s="297"/>
    </row>
    <row r="507" spans="1:49" x14ac:dyDescent="0.45">
      <c r="A507" s="295">
        <v>24777</v>
      </c>
      <c r="B507" s="12">
        <v>6.4999999999999997E-3</v>
      </c>
      <c r="C507" s="5">
        <v>2.9300000000000003E-2</v>
      </c>
      <c r="D507" s="5">
        <v>4.4999999999999997E-3</v>
      </c>
      <c r="E507" s="5">
        <v>5.058333333333334E-3</v>
      </c>
      <c r="F507" s="5">
        <v>5.1916666666666665E-3</v>
      </c>
      <c r="G507" s="5">
        <v>5.1249999999999993E-3</v>
      </c>
      <c r="H507" s="5">
        <v>5.4000000000000003E-3</v>
      </c>
      <c r="I507" s="5">
        <f t="shared" si="77"/>
        <v>2E-3</v>
      </c>
      <c r="J507" s="5">
        <f t="shared" si="81"/>
        <v>1.3750000000000004E-3</v>
      </c>
      <c r="K507" s="5">
        <f t="shared" si="82"/>
        <v>2.3900000000000005E-2</v>
      </c>
      <c r="L507" s="8">
        <f t="shared" si="79"/>
        <v>0.2065762599492531</v>
      </c>
      <c r="M507" s="8">
        <f t="shared" si="80"/>
        <v>5.3999999999999992E-2</v>
      </c>
      <c r="N507" s="8">
        <f t="shared" si="83"/>
        <v>6.1499999999999992E-2</v>
      </c>
      <c r="O507" s="296">
        <f t="shared" si="78"/>
        <v>0.15257625994925311</v>
      </c>
      <c r="P507" s="8">
        <f t="shared" si="84"/>
        <v>0.14507625994925311</v>
      </c>
      <c r="Q507" s="8">
        <f t="shared" si="85"/>
        <v>-1.2803252575457336E-2</v>
      </c>
      <c r="R507" s="8">
        <f t="shared" si="86"/>
        <v>6.4799999999999996E-2</v>
      </c>
      <c r="S507" s="296">
        <f t="shared" si="87"/>
        <v>-7.7603252575457332E-2</v>
      </c>
      <c r="U507" s="297"/>
      <c r="V507" s="297"/>
      <c r="W507" s="297"/>
      <c r="X507" s="297"/>
      <c r="Y507" s="297"/>
      <c r="Z507" s="297"/>
      <c r="AA507" s="297"/>
      <c r="AB507" s="297"/>
      <c r="AC507" s="297"/>
      <c r="AE507" s="297"/>
      <c r="AF507" s="297"/>
      <c r="AG507" s="297"/>
      <c r="AH507" s="297"/>
      <c r="AI507" s="297"/>
      <c r="AJ507" s="297"/>
      <c r="AK507" s="297"/>
      <c r="AL507" s="297"/>
      <c r="AM507" s="297"/>
      <c r="AO507" s="297"/>
      <c r="AP507" s="297"/>
      <c r="AQ507" s="297"/>
      <c r="AR507" s="297"/>
      <c r="AS507" s="297"/>
      <c r="AT507" s="297"/>
      <c r="AU507" s="297"/>
      <c r="AV507" s="297"/>
      <c r="AW507" s="297"/>
    </row>
    <row r="508" spans="1:49" x14ac:dyDescent="0.45">
      <c r="A508" s="295">
        <v>24807</v>
      </c>
      <c r="B508" s="12">
        <v>2.7799999999999998E-2</v>
      </c>
      <c r="C508" s="5">
        <v>2.86E-2</v>
      </c>
      <c r="D508" s="5">
        <v>4.4000000000000003E-3</v>
      </c>
      <c r="E508" s="5">
        <v>5.1583333333333333E-3</v>
      </c>
      <c r="F508" s="5">
        <v>5.2916666666666667E-3</v>
      </c>
      <c r="G508" s="5">
        <v>5.2249999999999996E-3</v>
      </c>
      <c r="H508" s="5">
        <v>5.5583333333333327E-3</v>
      </c>
      <c r="I508" s="5">
        <f t="shared" si="77"/>
        <v>2.3399999999999997E-2</v>
      </c>
      <c r="J508" s="5">
        <f t="shared" si="81"/>
        <v>2.2574999999999998E-2</v>
      </c>
      <c r="K508" s="5">
        <f t="shared" si="82"/>
        <v>2.3041666666666669E-2</v>
      </c>
      <c r="L508" s="8">
        <f t="shared" si="79"/>
        <v>0.23987110575469139</v>
      </c>
      <c r="M508" s="8">
        <f t="shared" si="80"/>
        <v>5.28E-2</v>
      </c>
      <c r="N508" s="8">
        <f t="shared" si="83"/>
        <v>6.2699999999999992E-2</v>
      </c>
      <c r="O508" s="296">
        <f t="shared" si="78"/>
        <v>0.18707110575469138</v>
      </c>
      <c r="P508" s="8">
        <f t="shared" si="84"/>
        <v>0.17717110575469142</v>
      </c>
      <c r="Q508" s="8">
        <f t="shared" si="85"/>
        <v>-6.5252182752328913E-3</v>
      </c>
      <c r="R508" s="8">
        <f t="shared" si="86"/>
        <v>6.6699999999999995E-2</v>
      </c>
      <c r="S508" s="296">
        <f t="shared" si="87"/>
        <v>-7.3225218275232887E-2</v>
      </c>
      <c r="U508" s="297"/>
      <c r="V508" s="297"/>
      <c r="W508" s="297"/>
      <c r="X508" s="297"/>
      <c r="Y508" s="297"/>
      <c r="Z508" s="297"/>
      <c r="AA508" s="297"/>
      <c r="AB508" s="297"/>
      <c r="AC508" s="297"/>
      <c r="AE508" s="297"/>
      <c r="AF508" s="297"/>
      <c r="AG508" s="297"/>
      <c r="AH508" s="297"/>
      <c r="AI508" s="297"/>
      <c r="AJ508" s="297"/>
      <c r="AK508" s="297"/>
      <c r="AL508" s="297"/>
      <c r="AM508" s="297"/>
      <c r="AO508" s="297"/>
      <c r="AP508" s="297"/>
      <c r="AQ508" s="297"/>
      <c r="AR508" s="297"/>
      <c r="AS508" s="297"/>
      <c r="AT508" s="297"/>
      <c r="AU508" s="297"/>
      <c r="AV508" s="297"/>
      <c r="AW508" s="297"/>
    </row>
    <row r="509" spans="1:49" x14ac:dyDescent="0.45">
      <c r="A509" s="295">
        <v>24838</v>
      </c>
      <c r="B509" s="12">
        <v>-4.2500000000000003E-2</v>
      </c>
      <c r="C509" s="5">
        <v>8.199999999999999E-3</v>
      </c>
      <c r="D509" s="5">
        <v>5.0000000000000001E-3</v>
      </c>
      <c r="E509" s="5">
        <v>5.1416666666666668E-3</v>
      </c>
      <c r="F509" s="5">
        <v>5.241666666666667E-3</v>
      </c>
      <c r="G509" s="5">
        <v>5.1916666666666665E-3</v>
      </c>
      <c r="H509" s="5">
        <v>5.45E-3</v>
      </c>
      <c r="I509" s="5">
        <f t="shared" si="77"/>
        <v>-4.7500000000000001E-2</v>
      </c>
      <c r="J509" s="5">
        <f t="shared" si="81"/>
        <v>-4.7691666666666667E-2</v>
      </c>
      <c r="K509" s="5">
        <f t="shared" si="82"/>
        <v>2.749999999999999E-3</v>
      </c>
      <c r="L509" s="8">
        <f t="shared" si="79"/>
        <v>9.9441177773770262E-2</v>
      </c>
      <c r="M509" s="8">
        <f t="shared" si="80"/>
        <v>0.06</v>
      </c>
      <c r="N509" s="8">
        <f t="shared" si="83"/>
        <v>6.2299999999999994E-2</v>
      </c>
      <c r="O509" s="296">
        <f t="shared" si="78"/>
        <v>3.9441177773770264E-2</v>
      </c>
      <c r="P509" s="8">
        <f t="shared" si="84"/>
        <v>3.7141177773770268E-2</v>
      </c>
      <c r="Q509" s="8">
        <f t="shared" si="85"/>
        <v>-2.4806469735264014E-2</v>
      </c>
      <c r="R509" s="8">
        <f t="shared" si="86"/>
        <v>6.54E-2</v>
      </c>
      <c r="S509" s="296">
        <f t="shared" si="87"/>
        <v>-9.0206469735264014E-2</v>
      </c>
      <c r="U509" s="297"/>
      <c r="V509" s="297"/>
      <c r="W509" s="297"/>
      <c r="X509" s="297"/>
      <c r="Y509" s="297"/>
      <c r="Z509" s="297"/>
      <c r="AA509" s="297"/>
      <c r="AB509" s="297"/>
      <c r="AC509" s="297"/>
      <c r="AE509" s="297"/>
      <c r="AF509" s="297"/>
      <c r="AG509" s="297"/>
      <c r="AH509" s="297"/>
      <c r="AI509" s="297"/>
      <c r="AJ509" s="297"/>
      <c r="AK509" s="297"/>
      <c r="AL509" s="297"/>
      <c r="AM509" s="297"/>
      <c r="AO509" s="297"/>
      <c r="AP509" s="297"/>
      <c r="AQ509" s="297"/>
      <c r="AR509" s="297"/>
      <c r="AS509" s="297"/>
      <c r="AT509" s="297"/>
      <c r="AU509" s="297"/>
      <c r="AV509" s="297"/>
      <c r="AW509" s="297"/>
    </row>
    <row r="510" spans="1:49" x14ac:dyDescent="0.45">
      <c r="A510" s="295">
        <v>24869</v>
      </c>
      <c r="B510" s="12">
        <v>-2.6100000000000002E-2</v>
      </c>
      <c r="C510" s="5">
        <v>-2.3300000000000001E-2</v>
      </c>
      <c r="D510" s="5">
        <v>4.1999999999999997E-3</v>
      </c>
      <c r="E510" s="5">
        <v>5.0833333333333329E-3</v>
      </c>
      <c r="F510" s="5">
        <v>5.2249999999999996E-3</v>
      </c>
      <c r="G510" s="5">
        <v>5.1541666666666663E-3</v>
      </c>
      <c r="H510" s="5">
        <v>5.3083333333333342E-3</v>
      </c>
      <c r="I510" s="5">
        <f t="shared" si="77"/>
        <v>-3.0300000000000001E-2</v>
      </c>
      <c r="J510" s="5">
        <f t="shared" si="81"/>
        <v>-3.1254166666666666E-2</v>
      </c>
      <c r="K510" s="5">
        <f t="shared" si="82"/>
        <v>-2.8608333333333336E-2</v>
      </c>
      <c r="L510" s="8">
        <f t="shared" si="79"/>
        <v>6.309150420360865E-2</v>
      </c>
      <c r="M510" s="8">
        <f t="shared" si="80"/>
        <v>5.04E-2</v>
      </c>
      <c r="N510" s="8">
        <f t="shared" si="83"/>
        <v>6.1849999999999995E-2</v>
      </c>
      <c r="O510" s="296">
        <f t="shared" si="78"/>
        <v>1.269150420360865E-2</v>
      </c>
      <c r="P510" s="8">
        <f t="shared" si="84"/>
        <v>1.2415042036086552E-3</v>
      </c>
      <c r="Q510" s="8">
        <f t="shared" si="85"/>
        <v>-3.233615664983458E-2</v>
      </c>
      <c r="R510" s="8">
        <f t="shared" si="86"/>
        <v>6.3700000000000007E-2</v>
      </c>
      <c r="S510" s="296">
        <f t="shared" si="87"/>
        <v>-9.6036156649834586E-2</v>
      </c>
      <c r="U510" s="297"/>
      <c r="V510" s="297"/>
      <c r="W510" s="297"/>
      <c r="X510" s="297"/>
      <c r="Y510" s="297"/>
      <c r="Z510" s="297"/>
      <c r="AA510" s="297"/>
      <c r="AB510" s="297"/>
      <c r="AC510" s="297"/>
      <c r="AE510" s="297"/>
      <c r="AF510" s="297"/>
      <c r="AG510" s="297"/>
      <c r="AH510" s="297"/>
      <c r="AI510" s="297"/>
      <c r="AJ510" s="297"/>
      <c r="AK510" s="297"/>
      <c r="AL510" s="297"/>
      <c r="AM510" s="297"/>
      <c r="AO510" s="297"/>
      <c r="AP510" s="297"/>
      <c r="AQ510" s="297"/>
      <c r="AR510" s="297"/>
      <c r="AS510" s="297"/>
      <c r="AT510" s="297"/>
      <c r="AU510" s="297"/>
      <c r="AV510" s="297"/>
      <c r="AW510" s="297"/>
    </row>
    <row r="511" spans="1:49" x14ac:dyDescent="0.45">
      <c r="A511" s="295">
        <v>24898</v>
      </c>
      <c r="B511" s="12">
        <v>1.0999999999999999E-2</v>
      </c>
      <c r="C511" s="5">
        <v>-3.9900000000000005E-2</v>
      </c>
      <c r="D511" s="5">
        <v>4.3E-3</v>
      </c>
      <c r="E511" s="5">
        <v>5.0916666666666662E-3</v>
      </c>
      <c r="F511" s="5">
        <v>5.2333333333333329E-3</v>
      </c>
      <c r="G511" s="5">
        <v>5.1624999999999996E-3</v>
      </c>
      <c r="H511" s="5">
        <v>5.3416666666666664E-3</v>
      </c>
      <c r="I511" s="5">
        <f t="shared" si="77"/>
        <v>6.6999999999999994E-3</v>
      </c>
      <c r="J511" s="5">
        <f t="shared" si="81"/>
        <v>5.8374999999999998E-3</v>
      </c>
      <c r="K511" s="5">
        <f t="shared" si="82"/>
        <v>-4.5241666666666673E-2</v>
      </c>
      <c r="L511" s="8">
        <f t="shared" si="79"/>
        <v>3.2554050100728871E-2</v>
      </c>
      <c r="M511" s="8">
        <f t="shared" si="80"/>
        <v>5.16E-2</v>
      </c>
      <c r="N511" s="8">
        <f t="shared" si="83"/>
        <v>6.1949999999999991E-2</v>
      </c>
      <c r="O511" s="296">
        <f t="shared" si="78"/>
        <v>-1.9045949899271129E-2</v>
      </c>
      <c r="P511" s="8">
        <f t="shared" si="84"/>
        <v>-2.939594989927112E-2</v>
      </c>
      <c r="Q511" s="8">
        <f t="shared" si="85"/>
        <v>-8.8894718053845856E-2</v>
      </c>
      <c r="R511" s="8">
        <f t="shared" si="86"/>
        <v>6.409999999999999E-2</v>
      </c>
      <c r="S511" s="296">
        <f t="shared" si="87"/>
        <v>-0.15299471805384585</v>
      </c>
      <c r="U511" s="297"/>
      <c r="V511" s="297"/>
      <c r="W511" s="297"/>
      <c r="X511" s="297"/>
      <c r="Y511" s="297"/>
      <c r="Z511" s="297"/>
      <c r="AA511" s="297"/>
      <c r="AB511" s="297"/>
      <c r="AC511" s="297"/>
      <c r="AE511" s="297"/>
      <c r="AF511" s="297"/>
      <c r="AG511" s="297"/>
      <c r="AH511" s="297"/>
      <c r="AI511" s="297"/>
      <c r="AJ511" s="297"/>
      <c r="AK511" s="297"/>
      <c r="AL511" s="297"/>
      <c r="AM511" s="297"/>
      <c r="AO511" s="297"/>
      <c r="AP511" s="297"/>
      <c r="AQ511" s="297"/>
      <c r="AR511" s="297"/>
      <c r="AS511" s="297"/>
      <c r="AT511" s="297"/>
      <c r="AU511" s="297"/>
      <c r="AV511" s="297"/>
      <c r="AW511" s="297"/>
    </row>
    <row r="512" spans="1:49" x14ac:dyDescent="0.45">
      <c r="A512" s="295">
        <v>24929</v>
      </c>
      <c r="B512" s="12">
        <v>8.3400000000000002E-2</v>
      </c>
      <c r="C512" s="5">
        <v>2.75E-2</v>
      </c>
      <c r="D512" s="5">
        <v>4.8999999999999998E-3</v>
      </c>
      <c r="E512" s="5">
        <v>5.1749999999999999E-3</v>
      </c>
      <c r="F512" s="5">
        <v>5.3166666666666666E-3</v>
      </c>
      <c r="G512" s="5">
        <v>5.2458333333333333E-3</v>
      </c>
      <c r="H512" s="5">
        <v>5.4833333333333331E-3</v>
      </c>
      <c r="I512" s="5">
        <f t="shared" si="77"/>
        <v>7.85E-2</v>
      </c>
      <c r="J512" s="5">
        <f t="shared" si="81"/>
        <v>7.8154166666666663E-2</v>
      </c>
      <c r="K512" s="5">
        <f t="shared" si="82"/>
        <v>2.2016666666666667E-2</v>
      </c>
      <c r="L512" s="8">
        <f t="shared" si="79"/>
        <v>7.1830083241476661E-2</v>
      </c>
      <c r="M512" s="8">
        <f t="shared" si="80"/>
        <v>5.8799999999999998E-2</v>
      </c>
      <c r="N512" s="8">
        <f t="shared" si="83"/>
        <v>6.2950000000000006E-2</v>
      </c>
      <c r="O512" s="296">
        <f t="shared" si="78"/>
        <v>1.3030083241476663E-2</v>
      </c>
      <c r="P512" s="8">
        <f t="shared" si="84"/>
        <v>8.8800832414766551E-3</v>
      </c>
      <c r="Q512" s="8">
        <f t="shared" si="85"/>
        <v>-8.2375340913866113E-2</v>
      </c>
      <c r="R512" s="8">
        <f t="shared" si="86"/>
        <v>6.5799999999999997E-2</v>
      </c>
      <c r="S512" s="296">
        <f t="shared" si="87"/>
        <v>-0.14817534091386611</v>
      </c>
      <c r="U512" s="297"/>
      <c r="V512" s="297"/>
      <c r="W512" s="297"/>
      <c r="X512" s="297"/>
      <c r="Y512" s="297"/>
      <c r="Z512" s="297"/>
      <c r="AA512" s="297"/>
      <c r="AB512" s="297"/>
      <c r="AC512" s="297"/>
      <c r="AE512" s="297"/>
      <c r="AF512" s="297"/>
      <c r="AG512" s="297"/>
      <c r="AH512" s="297"/>
      <c r="AI512" s="297"/>
      <c r="AJ512" s="297"/>
      <c r="AK512" s="297"/>
      <c r="AL512" s="297"/>
      <c r="AM512" s="297"/>
      <c r="AO512" s="297"/>
      <c r="AP512" s="297"/>
      <c r="AQ512" s="297"/>
      <c r="AR512" s="297"/>
      <c r="AS512" s="297"/>
      <c r="AT512" s="297"/>
      <c r="AU512" s="297"/>
      <c r="AV512" s="297"/>
      <c r="AW512" s="297"/>
    </row>
    <row r="513" spans="1:49" x14ac:dyDescent="0.45">
      <c r="A513" s="295">
        <v>24959</v>
      </c>
      <c r="B513" s="12">
        <v>1.61E-2</v>
      </c>
      <c r="C513" s="5">
        <v>-6.1999999999999998E-3</v>
      </c>
      <c r="D513" s="5">
        <v>4.5999999999999999E-3</v>
      </c>
      <c r="E513" s="5">
        <v>5.2249999999999996E-3</v>
      </c>
      <c r="F513" s="5">
        <v>5.4000000000000003E-3</v>
      </c>
      <c r="G513" s="5">
        <v>5.3125000000000004E-3</v>
      </c>
      <c r="H513" s="5">
        <v>5.5166666666666662E-3</v>
      </c>
      <c r="I513" s="5">
        <f t="shared" si="77"/>
        <v>1.15E-2</v>
      </c>
      <c r="J513" s="5">
        <f t="shared" si="81"/>
        <v>1.0787499999999998E-2</v>
      </c>
      <c r="K513" s="5">
        <f t="shared" si="82"/>
        <v>-1.1716666666666667E-2</v>
      </c>
      <c r="L513" s="8">
        <f t="shared" si="79"/>
        <v>0.14363808419790436</v>
      </c>
      <c r="M513" s="8">
        <f t="shared" si="80"/>
        <v>5.5199999999999999E-2</v>
      </c>
      <c r="N513" s="8">
        <f t="shared" si="83"/>
        <v>6.3750000000000001E-2</v>
      </c>
      <c r="O513" s="296">
        <f t="shared" si="78"/>
        <v>8.843808419790436E-2</v>
      </c>
      <c r="P513" s="8">
        <f t="shared" si="84"/>
        <v>7.9888084197904358E-2</v>
      </c>
      <c r="Q513" s="8">
        <f t="shared" si="85"/>
        <v>-3.9461358542448144E-2</v>
      </c>
      <c r="R513" s="8">
        <f t="shared" si="86"/>
        <v>6.6199999999999995E-2</v>
      </c>
      <c r="S513" s="296">
        <f t="shared" si="87"/>
        <v>-0.10566135854244814</v>
      </c>
      <c r="U513" s="297"/>
      <c r="V513" s="297"/>
      <c r="W513" s="297"/>
      <c r="X513" s="297"/>
      <c r="Y513" s="297"/>
      <c r="Z513" s="297"/>
      <c r="AA513" s="297"/>
      <c r="AB513" s="297"/>
      <c r="AC513" s="297"/>
      <c r="AE513" s="297"/>
      <c r="AF513" s="297"/>
      <c r="AG513" s="297"/>
      <c r="AH513" s="297"/>
      <c r="AI513" s="297"/>
      <c r="AJ513" s="297"/>
      <c r="AK513" s="297"/>
      <c r="AL513" s="297"/>
      <c r="AM513" s="297"/>
      <c r="AO513" s="297"/>
      <c r="AP513" s="297"/>
      <c r="AQ513" s="297"/>
      <c r="AR513" s="297"/>
      <c r="AS513" s="297"/>
      <c r="AT513" s="297"/>
      <c r="AU513" s="297"/>
      <c r="AV513" s="297"/>
      <c r="AW513" s="297"/>
    </row>
    <row r="514" spans="1:49" x14ac:dyDescent="0.45">
      <c r="A514" s="295">
        <v>24990</v>
      </c>
      <c r="B514" s="12">
        <v>1.0500000000000001E-2</v>
      </c>
      <c r="C514" s="5">
        <v>8.0700000000000008E-2</v>
      </c>
      <c r="D514" s="5">
        <v>4.1999999999999997E-3</v>
      </c>
      <c r="E514" s="5">
        <v>5.2333333333333329E-3</v>
      </c>
      <c r="F514" s="5">
        <v>5.416666666666666E-3</v>
      </c>
      <c r="G514" s="5">
        <v>5.3249999999999999E-3</v>
      </c>
      <c r="H514" s="5">
        <v>5.5166666666666662E-3</v>
      </c>
      <c r="I514" s="5">
        <f t="shared" si="77"/>
        <v>6.3000000000000009E-3</v>
      </c>
      <c r="J514" s="5">
        <f t="shared" si="81"/>
        <v>5.1750000000000008E-3</v>
      </c>
      <c r="K514" s="5">
        <f t="shared" si="82"/>
        <v>7.5183333333333338E-2</v>
      </c>
      <c r="L514" s="8">
        <f t="shared" si="79"/>
        <v>0.13409841421195567</v>
      </c>
      <c r="M514" s="8">
        <f t="shared" si="80"/>
        <v>5.04E-2</v>
      </c>
      <c r="N514" s="8">
        <f t="shared" si="83"/>
        <v>6.3899999999999998E-2</v>
      </c>
      <c r="O514" s="296">
        <f t="shared" si="78"/>
        <v>8.3698414211955674E-2</v>
      </c>
      <c r="P514" s="8">
        <f t="shared" si="84"/>
        <v>7.0198414211955676E-2</v>
      </c>
      <c r="Q514" s="8">
        <f t="shared" si="85"/>
        <v>5.1833123744225773E-2</v>
      </c>
      <c r="R514" s="8">
        <f t="shared" si="86"/>
        <v>6.6199999999999995E-2</v>
      </c>
      <c r="S514" s="296">
        <f t="shared" si="87"/>
        <v>-1.4366876255774222E-2</v>
      </c>
      <c r="U514" s="297"/>
      <c r="V514" s="297"/>
      <c r="W514" s="297"/>
      <c r="X514" s="297"/>
      <c r="Y514" s="297"/>
      <c r="Z514" s="297"/>
      <c r="AA514" s="297"/>
      <c r="AB514" s="297"/>
      <c r="AC514" s="297"/>
      <c r="AE514" s="297"/>
      <c r="AF514" s="297"/>
      <c r="AG514" s="297"/>
      <c r="AH514" s="297"/>
      <c r="AI514" s="297"/>
      <c r="AJ514" s="297"/>
      <c r="AK514" s="297"/>
      <c r="AL514" s="297"/>
      <c r="AM514" s="297"/>
      <c r="AO514" s="297"/>
      <c r="AP514" s="297"/>
      <c r="AQ514" s="297"/>
      <c r="AR514" s="297"/>
      <c r="AS514" s="297"/>
      <c r="AT514" s="297"/>
      <c r="AU514" s="297"/>
      <c r="AV514" s="297"/>
      <c r="AW514" s="297"/>
    </row>
    <row r="515" spans="1:49" x14ac:dyDescent="0.45">
      <c r="A515" s="295">
        <v>25020</v>
      </c>
      <c r="B515" s="12">
        <v>-1.72E-2</v>
      </c>
      <c r="C515" s="5">
        <v>-6.9999999999999993E-3</v>
      </c>
      <c r="D515" s="5">
        <v>4.7999999999999996E-3</v>
      </c>
      <c r="E515" s="5">
        <v>5.1999999999999998E-3</v>
      </c>
      <c r="F515" s="5">
        <v>5.3749999999999996E-3</v>
      </c>
      <c r="G515" s="5">
        <v>5.2875000000000005E-3</v>
      </c>
      <c r="H515" s="5">
        <v>5.4416666666666667E-3</v>
      </c>
      <c r="I515" s="5">
        <f t="shared" si="77"/>
        <v>-2.1999999999999999E-2</v>
      </c>
      <c r="J515" s="5">
        <f t="shared" si="81"/>
        <v>-2.2487500000000001E-2</v>
      </c>
      <c r="K515" s="5">
        <f t="shared" si="82"/>
        <v>-1.2441666666666667E-2</v>
      </c>
      <c r="L515" s="8">
        <f t="shared" si="79"/>
        <v>6.4761101917758301E-2</v>
      </c>
      <c r="M515" s="8">
        <f t="shared" si="80"/>
        <v>5.7599999999999998E-2</v>
      </c>
      <c r="N515" s="8">
        <f t="shared" si="83"/>
        <v>6.3450000000000006E-2</v>
      </c>
      <c r="O515" s="296">
        <f t="shared" si="78"/>
        <v>7.161101917758303E-3</v>
      </c>
      <c r="P515" s="8">
        <f t="shared" si="84"/>
        <v>1.311101917758295E-3</v>
      </c>
      <c r="Q515" s="8">
        <f t="shared" si="85"/>
        <v>2.3589074753053829E-2</v>
      </c>
      <c r="R515" s="8">
        <f t="shared" si="86"/>
        <v>6.5299999999999997E-2</v>
      </c>
      <c r="S515" s="296">
        <f t="shared" si="87"/>
        <v>-4.1710925246946168E-2</v>
      </c>
      <c r="U515" s="297"/>
      <c r="V515" s="297"/>
      <c r="W515" s="297"/>
      <c r="X515" s="297"/>
      <c r="Y515" s="297"/>
      <c r="Z515" s="297"/>
      <c r="AA515" s="297"/>
      <c r="AB515" s="297"/>
      <c r="AC515" s="297"/>
      <c r="AE515" s="297"/>
      <c r="AF515" s="297"/>
      <c r="AG515" s="297"/>
      <c r="AH515" s="297"/>
      <c r="AI515" s="297"/>
      <c r="AJ515" s="297"/>
      <c r="AK515" s="297"/>
      <c r="AL515" s="297"/>
      <c r="AM515" s="297"/>
      <c r="AO515" s="297"/>
      <c r="AP515" s="297"/>
      <c r="AQ515" s="297"/>
      <c r="AR515" s="297"/>
      <c r="AS515" s="297"/>
      <c r="AT515" s="297"/>
      <c r="AU515" s="297"/>
      <c r="AV515" s="297"/>
      <c r="AW515" s="297"/>
    </row>
    <row r="516" spans="1:49" x14ac:dyDescent="0.45">
      <c r="A516" s="295">
        <v>25051</v>
      </c>
      <c r="B516" s="12">
        <v>1.6400000000000001E-2</v>
      </c>
      <c r="C516" s="5">
        <v>4.0000000000000024E-4</v>
      </c>
      <c r="D516" s="5">
        <v>4.1999999999999997E-3</v>
      </c>
      <c r="E516" s="5">
        <v>5.0166666666666658E-3</v>
      </c>
      <c r="F516" s="5">
        <v>5.2083333333333339E-3</v>
      </c>
      <c r="G516" s="5">
        <v>5.1124999999999999E-3</v>
      </c>
      <c r="H516" s="5">
        <v>5.2250000000000005E-3</v>
      </c>
      <c r="I516" s="5">
        <f t="shared" si="77"/>
        <v>1.2200000000000003E-2</v>
      </c>
      <c r="J516" s="5">
        <f t="shared" si="81"/>
        <v>1.1287500000000002E-2</v>
      </c>
      <c r="K516" s="5">
        <f t="shared" si="82"/>
        <v>-4.8250000000000003E-3</v>
      </c>
      <c r="L516" s="8">
        <f t="shared" si="79"/>
        <v>8.9852149032436879E-2</v>
      </c>
      <c r="M516" s="8">
        <f t="shared" si="80"/>
        <v>5.04E-2</v>
      </c>
      <c r="N516" s="8">
        <f t="shared" si="83"/>
        <v>6.1350000000000002E-2</v>
      </c>
      <c r="O516" s="296">
        <f t="shared" si="78"/>
        <v>3.9452149032436878E-2</v>
      </c>
      <c r="P516" s="8">
        <f t="shared" si="84"/>
        <v>2.8502149032436877E-2</v>
      </c>
      <c r="Q516" s="8">
        <f t="shared" si="85"/>
        <v>3.069804769295903E-2</v>
      </c>
      <c r="R516" s="8">
        <f t="shared" si="86"/>
        <v>6.2700000000000006E-2</v>
      </c>
      <c r="S516" s="296">
        <f t="shared" si="87"/>
        <v>-3.2001952307040976E-2</v>
      </c>
      <c r="U516" s="297"/>
      <c r="V516" s="297"/>
      <c r="W516" s="297"/>
      <c r="X516" s="297"/>
      <c r="Y516" s="297"/>
      <c r="Z516" s="297"/>
      <c r="AA516" s="297"/>
      <c r="AB516" s="297"/>
      <c r="AC516" s="297"/>
      <c r="AE516" s="297"/>
      <c r="AF516" s="297"/>
      <c r="AG516" s="297"/>
      <c r="AH516" s="297"/>
      <c r="AI516" s="297"/>
      <c r="AJ516" s="297"/>
      <c r="AK516" s="297"/>
      <c r="AL516" s="297"/>
      <c r="AM516" s="297"/>
      <c r="AO516" s="297"/>
      <c r="AP516" s="297"/>
      <c r="AQ516" s="297"/>
      <c r="AR516" s="297"/>
      <c r="AS516" s="297"/>
      <c r="AT516" s="297"/>
      <c r="AU516" s="297"/>
      <c r="AV516" s="297"/>
      <c r="AW516" s="297"/>
    </row>
    <row r="517" spans="1:49" x14ac:dyDescent="0.45">
      <c r="A517" s="295">
        <v>25082</v>
      </c>
      <c r="B517" s="12">
        <v>0.04</v>
      </c>
      <c r="C517" s="5">
        <v>0.01</v>
      </c>
      <c r="D517" s="5">
        <v>4.4000000000000003E-3</v>
      </c>
      <c r="E517" s="5">
        <v>4.9750000000000003E-3</v>
      </c>
      <c r="F517" s="5">
        <v>5.1916666666666665E-3</v>
      </c>
      <c r="G517" s="5">
        <v>5.0833333333333329E-3</v>
      </c>
      <c r="H517" s="5">
        <v>5.2250000000000005E-3</v>
      </c>
      <c r="I517" s="5">
        <f t="shared" si="77"/>
        <v>3.56E-2</v>
      </c>
      <c r="J517" s="5">
        <f t="shared" si="81"/>
        <v>3.4916666666666665E-2</v>
      </c>
      <c r="K517" s="5">
        <f t="shared" si="82"/>
        <v>4.7749999999999997E-3</v>
      </c>
      <c r="L517" s="8">
        <f t="shared" si="79"/>
        <v>9.5964257390962926E-2</v>
      </c>
      <c r="M517" s="8">
        <f t="shared" si="80"/>
        <v>5.28E-2</v>
      </c>
      <c r="N517" s="8">
        <f t="shared" si="83"/>
        <v>6.0999999999999999E-2</v>
      </c>
      <c r="O517" s="296">
        <f t="shared" si="78"/>
        <v>4.3164257390962926E-2</v>
      </c>
      <c r="P517" s="8">
        <f t="shared" si="84"/>
        <v>3.4964257390962927E-2</v>
      </c>
      <c r="Q517" s="8">
        <f t="shared" si="85"/>
        <v>4.4871051058806399E-2</v>
      </c>
      <c r="R517" s="8">
        <f t="shared" si="86"/>
        <v>6.2700000000000006E-2</v>
      </c>
      <c r="S517" s="296">
        <f t="shared" si="87"/>
        <v>-1.7828948941193606E-2</v>
      </c>
      <c r="U517" s="297"/>
      <c r="V517" s="297"/>
      <c r="W517" s="297"/>
      <c r="X517" s="297"/>
      <c r="Y517" s="297"/>
      <c r="Z517" s="297"/>
      <c r="AA517" s="297"/>
      <c r="AB517" s="297"/>
      <c r="AC517" s="297"/>
      <c r="AE517" s="297"/>
      <c r="AF517" s="297"/>
      <c r="AG517" s="297"/>
      <c r="AH517" s="297"/>
      <c r="AI517" s="297"/>
      <c r="AJ517" s="297"/>
      <c r="AK517" s="297"/>
      <c r="AL517" s="297"/>
      <c r="AM517" s="297"/>
      <c r="AO517" s="297"/>
      <c r="AP517" s="297"/>
      <c r="AQ517" s="297"/>
      <c r="AR517" s="297"/>
      <c r="AS517" s="297"/>
      <c r="AT517" s="297"/>
      <c r="AU517" s="297"/>
      <c r="AV517" s="297"/>
      <c r="AW517" s="297"/>
    </row>
    <row r="518" spans="1:49" x14ac:dyDescent="0.45">
      <c r="A518" s="295">
        <v>25112</v>
      </c>
      <c r="B518" s="12">
        <v>8.6999999999999994E-3</v>
      </c>
      <c r="C518" s="5">
        <v>8.6E-3</v>
      </c>
      <c r="D518" s="5">
        <v>4.4999999999999997E-3</v>
      </c>
      <c r="E518" s="5">
        <v>5.0749999999999997E-3</v>
      </c>
      <c r="F518" s="5">
        <v>5.2666666666666669E-3</v>
      </c>
      <c r="G518" s="5">
        <v>5.1708333333333337E-3</v>
      </c>
      <c r="H518" s="5">
        <v>5.3333333333333332E-3</v>
      </c>
      <c r="I518" s="5">
        <f t="shared" ref="I518:I581" si="88">B518-D518</f>
        <v>4.1999999999999997E-3</v>
      </c>
      <c r="J518" s="5">
        <f t="shared" si="81"/>
        <v>3.5291666666666657E-3</v>
      </c>
      <c r="K518" s="5">
        <f t="shared" si="82"/>
        <v>3.2666666666666669E-3</v>
      </c>
      <c r="L518" s="8">
        <f t="shared" si="79"/>
        <v>0.1368769502573679</v>
      </c>
      <c r="M518" s="8">
        <f t="shared" si="80"/>
        <v>5.3999999999999992E-2</v>
      </c>
      <c r="N518" s="8">
        <f t="shared" si="83"/>
        <v>6.2050000000000008E-2</v>
      </c>
      <c r="O518" s="296">
        <f t="shared" si="78"/>
        <v>8.287695025736791E-2</v>
      </c>
      <c r="P518" s="8">
        <f t="shared" si="84"/>
        <v>7.4826950257367894E-2</v>
      </c>
      <c r="Q518" s="8">
        <f t="shared" si="85"/>
        <v>0.11779480494050931</v>
      </c>
      <c r="R518" s="8">
        <f t="shared" si="86"/>
        <v>6.4000000000000001E-2</v>
      </c>
      <c r="S518" s="296">
        <f t="shared" si="87"/>
        <v>5.3794804940509311E-2</v>
      </c>
      <c r="U518" s="297"/>
      <c r="V518" s="297"/>
      <c r="W518" s="297"/>
      <c r="X518" s="297"/>
      <c r="Y518" s="297"/>
      <c r="Z518" s="297"/>
      <c r="AA518" s="297"/>
      <c r="AB518" s="297"/>
      <c r="AC518" s="297"/>
      <c r="AE518" s="297"/>
      <c r="AF518" s="297"/>
      <c r="AG518" s="297"/>
      <c r="AH518" s="297"/>
      <c r="AI518" s="297"/>
      <c r="AJ518" s="297"/>
      <c r="AK518" s="297"/>
      <c r="AL518" s="297"/>
      <c r="AM518" s="297"/>
      <c r="AO518" s="297"/>
      <c r="AP518" s="297"/>
      <c r="AQ518" s="297"/>
      <c r="AR518" s="297"/>
      <c r="AS518" s="297"/>
      <c r="AT518" s="297"/>
      <c r="AU518" s="297"/>
      <c r="AV518" s="297"/>
      <c r="AW518" s="297"/>
    </row>
    <row r="519" spans="1:49" x14ac:dyDescent="0.45">
      <c r="A519" s="295">
        <v>25143</v>
      </c>
      <c r="B519" s="12">
        <v>5.3100000000000001E-2</v>
      </c>
      <c r="C519" s="5">
        <v>7.8099999999999989E-2</v>
      </c>
      <c r="D519" s="5">
        <v>4.3E-3</v>
      </c>
      <c r="E519" s="5">
        <v>5.1583333333333333E-3</v>
      </c>
      <c r="F519" s="5">
        <v>5.3749999999999996E-3</v>
      </c>
      <c r="G519" s="5">
        <v>5.266666666666666E-3</v>
      </c>
      <c r="H519" s="5">
        <v>5.4916666666666673E-3</v>
      </c>
      <c r="I519" s="5">
        <f t="shared" si="88"/>
        <v>4.8800000000000003E-2</v>
      </c>
      <c r="J519" s="5">
        <f t="shared" si="81"/>
        <v>4.7833333333333339E-2</v>
      </c>
      <c r="K519" s="5">
        <f t="shared" si="82"/>
        <v>7.2608333333333316E-2</v>
      </c>
      <c r="L519" s="8">
        <f t="shared" si="79"/>
        <v>0.18951327999605971</v>
      </c>
      <c r="M519" s="8">
        <f t="shared" si="80"/>
        <v>5.16E-2</v>
      </c>
      <c r="N519" s="8">
        <f t="shared" si="83"/>
        <v>6.3199999999999992E-2</v>
      </c>
      <c r="O519" s="296">
        <f t="shared" si="78"/>
        <v>0.13791327999605971</v>
      </c>
      <c r="P519" s="8">
        <f t="shared" si="84"/>
        <v>0.12631327999605974</v>
      </c>
      <c r="Q519" s="8">
        <f t="shared" si="85"/>
        <v>0.17079041990319954</v>
      </c>
      <c r="R519" s="8">
        <f t="shared" si="86"/>
        <v>6.5900000000000014E-2</v>
      </c>
      <c r="S519" s="296">
        <f t="shared" si="87"/>
        <v>0.10489041990319953</v>
      </c>
      <c r="U519" s="297"/>
      <c r="V519" s="297"/>
      <c r="W519" s="297"/>
      <c r="X519" s="297"/>
      <c r="Y519" s="297"/>
      <c r="Z519" s="297"/>
      <c r="AA519" s="297"/>
      <c r="AB519" s="297"/>
      <c r="AC519" s="297"/>
      <c r="AE519" s="297"/>
      <c r="AF519" s="297"/>
      <c r="AG519" s="297"/>
      <c r="AH519" s="297"/>
      <c r="AI519" s="297"/>
      <c r="AJ519" s="297"/>
      <c r="AK519" s="297"/>
      <c r="AL519" s="297"/>
      <c r="AM519" s="297"/>
      <c r="AO519" s="297"/>
      <c r="AP519" s="297"/>
      <c r="AQ519" s="297"/>
      <c r="AR519" s="297"/>
      <c r="AS519" s="297"/>
      <c r="AT519" s="297"/>
      <c r="AU519" s="297"/>
      <c r="AV519" s="297"/>
      <c r="AW519" s="297"/>
    </row>
    <row r="520" spans="1:49" x14ac:dyDescent="0.45">
      <c r="A520" s="295">
        <v>25173</v>
      </c>
      <c r="B520" s="12">
        <v>-4.02E-2</v>
      </c>
      <c r="C520" s="5">
        <v>-3.0899999999999997E-2</v>
      </c>
      <c r="D520" s="5">
        <v>4.8999999999999998E-3</v>
      </c>
      <c r="E520" s="5">
        <v>5.3749999999999996E-3</v>
      </c>
      <c r="F520" s="5">
        <v>5.5500000000000002E-3</v>
      </c>
      <c r="G520" s="5">
        <v>5.4625000000000003E-3</v>
      </c>
      <c r="H520" s="5">
        <v>5.7250000000000001E-3</v>
      </c>
      <c r="I520" s="5">
        <f t="shared" si="88"/>
        <v>-4.5100000000000001E-2</v>
      </c>
      <c r="J520" s="5">
        <f t="shared" si="81"/>
        <v>-4.5662500000000002E-2</v>
      </c>
      <c r="K520" s="5">
        <f t="shared" si="82"/>
        <v>-3.6624999999999998E-2</v>
      </c>
      <c r="L520" s="8">
        <f t="shared" si="79"/>
        <v>0.11081421107240508</v>
      </c>
      <c r="M520" s="8">
        <f t="shared" si="80"/>
        <v>5.8799999999999998E-2</v>
      </c>
      <c r="N520" s="8">
        <f t="shared" si="83"/>
        <v>6.5549999999999997E-2</v>
      </c>
      <c r="O520" s="296">
        <f t="shared" si="78"/>
        <v>5.201421107240508E-2</v>
      </c>
      <c r="P520" s="8">
        <f t="shared" si="84"/>
        <v>4.5264211072405081E-2</v>
      </c>
      <c r="Q520" s="8">
        <f t="shared" si="85"/>
        <v>0.10306532755997488</v>
      </c>
      <c r="R520" s="8">
        <f t="shared" si="86"/>
        <v>6.8699999999999997E-2</v>
      </c>
      <c r="S520" s="296">
        <f t="shared" si="87"/>
        <v>3.4365327559974887E-2</v>
      </c>
      <c r="U520" s="297"/>
      <c r="V520" s="297"/>
      <c r="W520" s="297"/>
      <c r="X520" s="297"/>
      <c r="Y520" s="297"/>
      <c r="Z520" s="297"/>
      <c r="AA520" s="297"/>
      <c r="AB520" s="297"/>
      <c r="AC520" s="297"/>
      <c r="AE520" s="297"/>
      <c r="AF520" s="297"/>
      <c r="AG520" s="297"/>
      <c r="AH520" s="297"/>
      <c r="AI520" s="297"/>
      <c r="AJ520" s="297"/>
      <c r="AK520" s="297"/>
      <c r="AL520" s="297"/>
      <c r="AM520" s="297"/>
      <c r="AO520" s="297"/>
      <c r="AP520" s="297"/>
      <c r="AQ520" s="297"/>
      <c r="AR520" s="297"/>
      <c r="AS520" s="297"/>
      <c r="AT520" s="297"/>
      <c r="AU520" s="297"/>
      <c r="AV520" s="297"/>
      <c r="AW520" s="297"/>
    </row>
    <row r="521" spans="1:49" x14ac:dyDescent="0.45">
      <c r="A521" s="295">
        <v>25204</v>
      </c>
      <c r="B521" s="12">
        <v>-6.7999999999999996E-3</v>
      </c>
      <c r="C521" s="5">
        <v>1.6899999999999998E-2</v>
      </c>
      <c r="D521" s="5">
        <v>5.0000000000000001E-3</v>
      </c>
      <c r="E521" s="5">
        <v>5.4916666666666673E-3</v>
      </c>
      <c r="F521" s="5">
        <v>5.6083333333333341E-3</v>
      </c>
      <c r="G521" s="5">
        <v>5.5500000000000002E-3</v>
      </c>
      <c r="H521" s="5">
        <v>5.8666666666666667E-3</v>
      </c>
      <c r="I521" s="5">
        <f t="shared" si="88"/>
        <v>-1.18E-2</v>
      </c>
      <c r="J521" s="5">
        <f t="shared" si="81"/>
        <v>-1.235E-2</v>
      </c>
      <c r="K521" s="5">
        <f t="shared" si="82"/>
        <v>1.1033333333333332E-2</v>
      </c>
      <c r="L521" s="8">
        <f t="shared" si="79"/>
        <v>0.15223046938601881</v>
      </c>
      <c r="M521" s="8">
        <f t="shared" si="80"/>
        <v>0.06</v>
      </c>
      <c r="N521" s="8">
        <f t="shared" si="83"/>
        <v>6.6600000000000006E-2</v>
      </c>
      <c r="O521" s="296">
        <f t="shared" si="78"/>
        <v>9.223046938601881E-2</v>
      </c>
      <c r="P521" s="8">
        <f t="shared" si="84"/>
        <v>8.5630469386018801E-2</v>
      </c>
      <c r="Q521" s="8">
        <f t="shared" si="85"/>
        <v>0.11258394326099808</v>
      </c>
      <c r="R521" s="8">
        <f t="shared" si="86"/>
        <v>7.0400000000000004E-2</v>
      </c>
      <c r="S521" s="296">
        <f t="shared" si="87"/>
        <v>4.2183943260998072E-2</v>
      </c>
      <c r="U521" s="297"/>
      <c r="V521" s="297"/>
      <c r="W521" s="297"/>
      <c r="X521" s="297"/>
      <c r="Y521" s="297"/>
      <c r="Z521" s="297"/>
      <c r="AA521" s="297"/>
      <c r="AB521" s="297"/>
      <c r="AC521" s="297"/>
      <c r="AE521" s="297"/>
      <c r="AF521" s="297"/>
      <c r="AG521" s="297"/>
      <c r="AH521" s="297"/>
      <c r="AI521" s="297"/>
      <c r="AJ521" s="297"/>
      <c r="AK521" s="297"/>
      <c r="AL521" s="297"/>
      <c r="AM521" s="297"/>
      <c r="AO521" s="297"/>
      <c r="AP521" s="297"/>
      <c r="AQ521" s="297"/>
      <c r="AR521" s="297"/>
      <c r="AS521" s="297"/>
      <c r="AT521" s="297"/>
      <c r="AU521" s="297"/>
      <c r="AV521" s="297"/>
      <c r="AW521" s="297"/>
    </row>
    <row r="522" spans="1:49" x14ac:dyDescent="0.45">
      <c r="A522" s="295">
        <v>25235</v>
      </c>
      <c r="B522" s="12">
        <v>-4.2599999999999999E-2</v>
      </c>
      <c r="C522" s="5">
        <v>-5.3200000000000004E-2</v>
      </c>
      <c r="D522" s="5">
        <v>4.5999999999999999E-3</v>
      </c>
      <c r="E522" s="5">
        <v>5.5500000000000002E-3</v>
      </c>
      <c r="F522" s="5">
        <v>5.6416666666666664E-3</v>
      </c>
      <c r="G522" s="5">
        <v>5.5958333333333329E-3</v>
      </c>
      <c r="H522" s="5">
        <v>5.9416666666666663E-3</v>
      </c>
      <c r="I522" s="5">
        <f t="shared" si="88"/>
        <v>-4.7199999999999999E-2</v>
      </c>
      <c r="J522" s="5">
        <f t="shared" si="81"/>
        <v>-4.8195833333333334E-2</v>
      </c>
      <c r="K522" s="5">
        <f t="shared" si="82"/>
        <v>-5.9141666666666669E-2</v>
      </c>
      <c r="L522" s="8">
        <f t="shared" si="79"/>
        <v>0.13270916047866765</v>
      </c>
      <c r="M522" s="8">
        <f t="shared" si="80"/>
        <v>5.5199999999999999E-2</v>
      </c>
      <c r="N522" s="8">
        <f t="shared" si="83"/>
        <v>6.7149999999999987E-2</v>
      </c>
      <c r="O522" s="296">
        <f t="shared" si="78"/>
        <v>7.7509160478667655E-2</v>
      </c>
      <c r="P522" s="8">
        <f t="shared" si="84"/>
        <v>6.5559160478667666E-2</v>
      </c>
      <c r="Q522" s="8">
        <f t="shared" si="85"/>
        <v>7.8524088747326193E-2</v>
      </c>
      <c r="R522" s="8">
        <f t="shared" si="86"/>
        <v>7.1300000000000002E-2</v>
      </c>
      <c r="S522" s="296">
        <f t="shared" si="87"/>
        <v>7.2240887473261906E-3</v>
      </c>
      <c r="U522" s="297"/>
      <c r="V522" s="297"/>
      <c r="W522" s="297"/>
      <c r="X522" s="297"/>
      <c r="Y522" s="297"/>
      <c r="Z522" s="297"/>
      <c r="AA522" s="297"/>
      <c r="AB522" s="297"/>
      <c r="AC522" s="297"/>
      <c r="AE522" s="297"/>
      <c r="AF522" s="297"/>
      <c r="AG522" s="297"/>
      <c r="AH522" s="297"/>
      <c r="AI522" s="297"/>
      <c r="AJ522" s="297"/>
      <c r="AK522" s="297"/>
      <c r="AL522" s="297"/>
      <c r="AM522" s="297"/>
      <c r="AO522" s="297"/>
      <c r="AP522" s="297"/>
      <c r="AQ522" s="297"/>
      <c r="AR522" s="297"/>
      <c r="AS522" s="297"/>
      <c r="AT522" s="297"/>
      <c r="AU522" s="297"/>
      <c r="AV522" s="297"/>
      <c r="AW522" s="297"/>
    </row>
    <row r="523" spans="1:49" x14ac:dyDescent="0.45">
      <c r="A523" s="295">
        <v>25263</v>
      </c>
      <c r="B523" s="12">
        <v>3.5900000000000001E-2</v>
      </c>
      <c r="C523" s="5">
        <v>-9.6000000000000009E-3</v>
      </c>
      <c r="D523" s="5">
        <v>4.7000000000000002E-3</v>
      </c>
      <c r="E523" s="5">
        <v>5.7083333333333326E-3</v>
      </c>
      <c r="F523" s="5">
        <v>5.7916666666666672E-3</v>
      </c>
      <c r="G523" s="5">
        <v>5.7499999999999999E-3</v>
      </c>
      <c r="H523" s="5">
        <v>6.0583333333333331E-3</v>
      </c>
      <c r="I523" s="5">
        <f t="shared" si="88"/>
        <v>3.1200000000000002E-2</v>
      </c>
      <c r="J523" s="5">
        <f t="shared" si="81"/>
        <v>3.0150000000000003E-2</v>
      </c>
      <c r="K523" s="5">
        <f t="shared" si="82"/>
        <v>-1.5658333333333333E-2</v>
      </c>
      <c r="L523" s="8">
        <f t="shared" si="79"/>
        <v>0.16060674514327555</v>
      </c>
      <c r="M523" s="8">
        <f t="shared" si="80"/>
        <v>5.6400000000000006E-2</v>
      </c>
      <c r="N523" s="8">
        <f t="shared" si="83"/>
        <v>6.9000000000000006E-2</v>
      </c>
      <c r="O523" s="296">
        <f t="shared" si="78"/>
        <v>0.10420674514327555</v>
      </c>
      <c r="P523" s="8">
        <f t="shared" si="84"/>
        <v>9.1606745143275548E-2</v>
      </c>
      <c r="Q523" s="8">
        <f t="shared" si="85"/>
        <v>0.11256145973893505</v>
      </c>
      <c r="R523" s="8">
        <f t="shared" si="86"/>
        <v>7.2700000000000001E-2</v>
      </c>
      <c r="S523" s="296">
        <f t="shared" si="87"/>
        <v>3.9861459738935054E-2</v>
      </c>
      <c r="U523" s="297"/>
      <c r="V523" s="297"/>
      <c r="W523" s="297"/>
      <c r="X523" s="297"/>
      <c r="Y523" s="297"/>
      <c r="Z523" s="297"/>
      <c r="AA523" s="297"/>
      <c r="AB523" s="297"/>
      <c r="AC523" s="297"/>
      <c r="AE523" s="297"/>
      <c r="AF523" s="297"/>
      <c r="AG523" s="297"/>
      <c r="AH523" s="297"/>
      <c r="AI523" s="297"/>
      <c r="AJ523" s="297"/>
      <c r="AK523" s="297"/>
      <c r="AL523" s="297"/>
      <c r="AM523" s="297"/>
      <c r="AO523" s="297"/>
      <c r="AP523" s="297"/>
      <c r="AQ523" s="297"/>
      <c r="AR523" s="297"/>
      <c r="AS523" s="297"/>
      <c r="AT523" s="297"/>
      <c r="AU523" s="297"/>
      <c r="AV523" s="297"/>
      <c r="AW523" s="297"/>
    </row>
    <row r="524" spans="1:49" x14ac:dyDescent="0.45">
      <c r="A524" s="295">
        <v>25294</v>
      </c>
      <c r="B524" s="12">
        <v>2.29E-2</v>
      </c>
      <c r="C524" s="5">
        <v>1.3899999999999999E-2</v>
      </c>
      <c r="D524" s="5">
        <v>5.4999999999999997E-3</v>
      </c>
      <c r="E524" s="5">
        <v>5.7416666666666658E-3</v>
      </c>
      <c r="F524" s="5">
        <v>5.8499999999999993E-3</v>
      </c>
      <c r="G524" s="5">
        <v>5.7958333333333334E-3</v>
      </c>
      <c r="H524" s="5">
        <v>6.083333333333333E-3</v>
      </c>
      <c r="I524" s="5">
        <f t="shared" si="88"/>
        <v>1.7399999999999999E-2</v>
      </c>
      <c r="J524" s="5">
        <f t="shared" si="81"/>
        <v>1.7104166666666667E-2</v>
      </c>
      <c r="K524" s="5">
        <f t="shared" si="82"/>
        <v>7.8166666666666662E-3</v>
      </c>
      <c r="L524" s="8">
        <f t="shared" si="79"/>
        <v>9.57953106950864E-2</v>
      </c>
      <c r="M524" s="8">
        <f t="shared" si="80"/>
        <v>6.6000000000000003E-2</v>
      </c>
      <c r="N524" s="8">
        <f t="shared" si="83"/>
        <v>6.9550000000000001E-2</v>
      </c>
      <c r="O524" s="296">
        <f t="shared" si="78"/>
        <v>2.9795310695086397E-2</v>
      </c>
      <c r="P524" s="8">
        <f t="shared" si="84"/>
        <v>2.6245310695086399E-2</v>
      </c>
      <c r="Q524" s="8">
        <f t="shared" si="85"/>
        <v>9.7835585429981942E-2</v>
      </c>
      <c r="R524" s="8">
        <f t="shared" si="86"/>
        <v>7.2999999999999995E-2</v>
      </c>
      <c r="S524" s="296">
        <f t="shared" si="87"/>
        <v>2.4835585429981946E-2</v>
      </c>
      <c r="U524" s="297"/>
      <c r="V524" s="297"/>
      <c r="W524" s="297"/>
      <c r="X524" s="297"/>
      <c r="Y524" s="297"/>
      <c r="Z524" s="297"/>
      <c r="AA524" s="297"/>
      <c r="AB524" s="297"/>
      <c r="AC524" s="297"/>
      <c r="AE524" s="297"/>
      <c r="AF524" s="297"/>
      <c r="AG524" s="297"/>
      <c r="AH524" s="297"/>
      <c r="AI524" s="297"/>
      <c r="AJ524" s="297"/>
      <c r="AK524" s="297"/>
      <c r="AL524" s="297"/>
      <c r="AM524" s="297"/>
      <c r="AO524" s="297"/>
      <c r="AP524" s="297"/>
      <c r="AQ524" s="297"/>
      <c r="AR524" s="297"/>
      <c r="AS524" s="297"/>
      <c r="AT524" s="297"/>
      <c r="AU524" s="297"/>
      <c r="AV524" s="297"/>
      <c r="AW524" s="297"/>
    </row>
    <row r="525" spans="1:49" x14ac:dyDescent="0.45">
      <c r="A525" s="295">
        <v>25324</v>
      </c>
      <c r="B525" s="12">
        <v>2.5999999999999999E-3</v>
      </c>
      <c r="C525" s="5">
        <v>-5.9999999999999984E-4</v>
      </c>
      <c r="D525" s="5">
        <v>4.7000000000000002E-3</v>
      </c>
      <c r="E525" s="5">
        <v>5.6583333333333329E-3</v>
      </c>
      <c r="F525" s="5">
        <v>5.7999999999999996E-3</v>
      </c>
      <c r="G525" s="5">
        <v>5.7291666666666663E-3</v>
      </c>
      <c r="H525" s="5">
        <v>5.966666666666667E-3</v>
      </c>
      <c r="I525" s="5">
        <f t="shared" si="88"/>
        <v>-2.1000000000000003E-3</v>
      </c>
      <c r="J525" s="5">
        <f t="shared" si="81"/>
        <v>-3.1291666666666664E-3</v>
      </c>
      <c r="K525" s="5">
        <f t="shared" si="82"/>
        <v>-6.5666666666666668E-3</v>
      </c>
      <c r="L525" s="8">
        <f t="shared" si="79"/>
        <v>8.1236471314726666E-2</v>
      </c>
      <c r="M525" s="8">
        <f t="shared" si="80"/>
        <v>5.6400000000000006E-2</v>
      </c>
      <c r="N525" s="8">
        <f t="shared" si="83"/>
        <v>6.8749999999999992E-2</v>
      </c>
      <c r="O525" s="296">
        <f t="shared" si="78"/>
        <v>2.483647131472666E-2</v>
      </c>
      <c r="P525" s="8">
        <f t="shared" si="84"/>
        <v>1.2486471314726674E-2</v>
      </c>
      <c r="Q525" s="8">
        <f t="shared" si="85"/>
        <v>0.1040218193587481</v>
      </c>
      <c r="R525" s="8">
        <f t="shared" si="86"/>
        <v>7.1599999999999997E-2</v>
      </c>
      <c r="S525" s="296">
        <f t="shared" si="87"/>
        <v>3.2421819358748105E-2</v>
      </c>
      <c r="U525" s="297"/>
      <c r="V525" s="297"/>
      <c r="W525" s="297"/>
      <c r="X525" s="297"/>
      <c r="Y525" s="297"/>
      <c r="Z525" s="297"/>
      <c r="AA525" s="297"/>
      <c r="AB525" s="297"/>
      <c r="AC525" s="297"/>
      <c r="AE525" s="297"/>
      <c r="AF525" s="297"/>
      <c r="AG525" s="297"/>
      <c r="AH525" s="297"/>
      <c r="AI525" s="297"/>
      <c r="AJ525" s="297"/>
      <c r="AK525" s="297"/>
      <c r="AL525" s="297"/>
      <c r="AM525" s="297"/>
      <c r="AO525" s="297"/>
      <c r="AP525" s="297"/>
      <c r="AQ525" s="297"/>
      <c r="AR525" s="297"/>
      <c r="AS525" s="297"/>
      <c r="AT525" s="297"/>
      <c r="AU525" s="297"/>
      <c r="AV525" s="297"/>
      <c r="AW525" s="297"/>
    </row>
    <row r="526" spans="1:49" x14ac:dyDescent="0.45">
      <c r="A526" s="295">
        <v>25355</v>
      </c>
      <c r="B526" s="12">
        <v>-5.4199999999999998E-2</v>
      </c>
      <c r="C526" s="5">
        <v>-5.16E-2</v>
      </c>
      <c r="D526" s="5">
        <v>5.4999999999999997E-3</v>
      </c>
      <c r="E526" s="5">
        <v>5.816666666666667E-3</v>
      </c>
      <c r="F526" s="5">
        <v>5.9333333333333339E-3</v>
      </c>
      <c r="G526" s="5">
        <v>5.875E-3</v>
      </c>
      <c r="H526" s="5">
        <v>6.1750000000000008E-3</v>
      </c>
      <c r="I526" s="5">
        <f t="shared" si="88"/>
        <v>-5.9699999999999996E-2</v>
      </c>
      <c r="J526" s="5">
        <f t="shared" si="81"/>
        <v>-6.0074999999999996E-2</v>
      </c>
      <c r="K526" s="5">
        <f t="shared" si="82"/>
        <v>-5.7775E-2</v>
      </c>
      <c r="L526" s="8">
        <f t="shared" si="79"/>
        <v>1.200737710981592E-2</v>
      </c>
      <c r="M526" s="8">
        <f t="shared" si="80"/>
        <v>6.6000000000000003E-2</v>
      </c>
      <c r="N526" s="8">
        <f t="shared" si="83"/>
        <v>7.0500000000000007E-2</v>
      </c>
      <c r="O526" s="296">
        <f t="shared" si="78"/>
        <v>-5.3992622890184083E-2</v>
      </c>
      <c r="P526" s="8">
        <f t="shared" si="84"/>
        <v>-5.8492622890184087E-2</v>
      </c>
      <c r="Q526" s="8">
        <f t="shared" si="85"/>
        <v>-3.1133253002834649E-2</v>
      </c>
      <c r="R526" s="8">
        <f t="shared" si="86"/>
        <v>7.4100000000000013E-2</v>
      </c>
      <c r="S526" s="296">
        <f t="shared" si="87"/>
        <v>-0.10523325300283466</v>
      </c>
      <c r="U526" s="297"/>
      <c r="V526" s="297"/>
      <c r="W526" s="297"/>
      <c r="X526" s="297"/>
      <c r="Y526" s="297"/>
      <c r="Z526" s="297"/>
      <c r="AA526" s="297"/>
      <c r="AB526" s="297"/>
      <c r="AC526" s="297"/>
      <c r="AE526" s="297"/>
      <c r="AF526" s="297"/>
      <c r="AG526" s="297"/>
      <c r="AH526" s="297"/>
      <c r="AI526" s="297"/>
      <c r="AJ526" s="297"/>
      <c r="AK526" s="297"/>
      <c r="AL526" s="297"/>
      <c r="AM526" s="297"/>
      <c r="AO526" s="297"/>
      <c r="AP526" s="297"/>
      <c r="AQ526" s="297"/>
      <c r="AR526" s="297"/>
      <c r="AS526" s="297"/>
      <c r="AT526" s="297"/>
      <c r="AU526" s="297"/>
      <c r="AV526" s="297"/>
      <c r="AW526" s="297"/>
    </row>
    <row r="527" spans="1:49" x14ac:dyDescent="0.45">
      <c r="A527" s="295">
        <v>25385</v>
      </c>
      <c r="B527" s="12">
        <v>-5.8700000000000002E-2</v>
      </c>
      <c r="C527" s="5">
        <v>-3.6299999999999999E-2</v>
      </c>
      <c r="D527" s="5">
        <v>5.1999999999999998E-3</v>
      </c>
      <c r="E527" s="5">
        <v>5.8999999999999999E-3</v>
      </c>
      <c r="F527" s="5">
        <v>6.0333333333333341E-3</v>
      </c>
      <c r="G527" s="5">
        <v>5.966666666666667E-3</v>
      </c>
      <c r="H527" s="5">
        <v>6.2666666666666669E-3</v>
      </c>
      <c r="I527" s="5">
        <f t="shared" si="88"/>
        <v>-6.3899999999999998E-2</v>
      </c>
      <c r="J527" s="5">
        <f t="shared" si="81"/>
        <v>-6.4666666666666664E-2</v>
      </c>
      <c r="K527" s="5">
        <f t="shared" si="82"/>
        <v>-4.2566666666666669E-2</v>
      </c>
      <c r="L527" s="8">
        <f t="shared" si="79"/>
        <v>-3.0725942131187289E-2</v>
      </c>
      <c r="M527" s="8">
        <f t="shared" si="80"/>
        <v>6.2399999999999997E-2</v>
      </c>
      <c r="N527" s="8">
        <f t="shared" si="83"/>
        <v>7.1599999999999997E-2</v>
      </c>
      <c r="O527" s="296">
        <f t="shared" si="78"/>
        <v>-9.3125942131187286E-2</v>
      </c>
      <c r="P527" s="8">
        <f t="shared" si="84"/>
        <v>-0.10232594213118729</v>
      </c>
      <c r="Q527" s="8">
        <f t="shared" si="85"/>
        <v>-5.9721164067303212E-2</v>
      </c>
      <c r="R527" s="8">
        <f t="shared" si="86"/>
        <v>7.5200000000000003E-2</v>
      </c>
      <c r="S527" s="296">
        <f t="shared" si="87"/>
        <v>-0.1349211640673032</v>
      </c>
      <c r="U527" s="297"/>
      <c r="V527" s="297"/>
      <c r="W527" s="297"/>
      <c r="X527" s="297"/>
      <c r="Y527" s="297"/>
      <c r="Z527" s="297"/>
      <c r="AA527" s="297"/>
      <c r="AB527" s="297"/>
      <c r="AC527" s="297"/>
      <c r="AE527" s="297"/>
      <c r="AF527" s="297"/>
      <c r="AG527" s="297"/>
      <c r="AH527" s="297"/>
      <c r="AI527" s="297"/>
      <c r="AJ527" s="297"/>
      <c r="AK527" s="297"/>
      <c r="AL527" s="297"/>
      <c r="AM527" s="297"/>
      <c r="AO527" s="297"/>
      <c r="AP527" s="297"/>
      <c r="AQ527" s="297"/>
      <c r="AR527" s="297"/>
      <c r="AS527" s="297"/>
      <c r="AT527" s="297"/>
      <c r="AU527" s="297"/>
      <c r="AV527" s="297"/>
      <c r="AW527" s="297"/>
    </row>
    <row r="528" spans="1:49" x14ac:dyDescent="0.45">
      <c r="A528" s="295">
        <v>25416</v>
      </c>
      <c r="B528" s="12">
        <v>4.5400000000000003E-2</v>
      </c>
      <c r="C528" s="5">
        <v>-1.1399999999999999E-2</v>
      </c>
      <c r="D528" s="5">
        <v>4.7999999999999996E-3</v>
      </c>
      <c r="E528" s="5">
        <v>5.8083333333333329E-3</v>
      </c>
      <c r="F528" s="5">
        <v>6.025E-3</v>
      </c>
      <c r="G528" s="5">
        <v>5.9166666666666664E-3</v>
      </c>
      <c r="H528" s="5">
        <v>6.1999999999999998E-3</v>
      </c>
      <c r="I528" s="5">
        <f t="shared" si="88"/>
        <v>4.0600000000000004E-2</v>
      </c>
      <c r="J528" s="5">
        <f t="shared" si="81"/>
        <v>3.9483333333333336E-2</v>
      </c>
      <c r="K528" s="5">
        <f t="shared" si="82"/>
        <v>-1.7599999999999998E-2</v>
      </c>
      <c r="L528" s="8">
        <f t="shared" si="79"/>
        <v>-3.0705429987629707E-3</v>
      </c>
      <c r="M528" s="8">
        <f t="shared" si="80"/>
        <v>5.7599999999999998E-2</v>
      </c>
      <c r="N528" s="8">
        <f t="shared" si="83"/>
        <v>7.0999999999999994E-2</v>
      </c>
      <c r="O528" s="296">
        <f t="shared" ref="O528:O591" si="89">L528-M528</f>
        <v>-6.0670542998762969E-2</v>
      </c>
      <c r="P528" s="8">
        <f t="shared" si="84"/>
        <v>-7.4070542998762964E-2</v>
      </c>
      <c r="Q528" s="8">
        <f t="shared" si="85"/>
        <v>-7.0812017989739906E-2</v>
      </c>
      <c r="R528" s="8">
        <f t="shared" si="86"/>
        <v>7.4399999999999994E-2</v>
      </c>
      <c r="S528" s="296">
        <f t="shared" si="87"/>
        <v>-0.1452120179897399</v>
      </c>
      <c r="U528" s="297"/>
      <c r="V528" s="297"/>
      <c r="W528" s="297"/>
      <c r="X528" s="297"/>
      <c r="Y528" s="297"/>
      <c r="Z528" s="297"/>
      <c r="AA528" s="297"/>
      <c r="AB528" s="297"/>
      <c r="AC528" s="297"/>
      <c r="AE528" s="297"/>
      <c r="AF528" s="297"/>
      <c r="AG528" s="297"/>
      <c r="AH528" s="297"/>
      <c r="AI528" s="297"/>
      <c r="AJ528" s="297"/>
      <c r="AK528" s="297"/>
      <c r="AL528" s="297"/>
      <c r="AM528" s="297"/>
      <c r="AO528" s="297"/>
      <c r="AP528" s="297"/>
      <c r="AQ528" s="297"/>
      <c r="AR528" s="297"/>
      <c r="AS528" s="297"/>
      <c r="AT528" s="297"/>
      <c r="AU528" s="297"/>
      <c r="AV528" s="297"/>
      <c r="AW528" s="297"/>
    </row>
    <row r="529" spans="1:49" x14ac:dyDescent="0.45">
      <c r="A529" s="295">
        <v>25447</v>
      </c>
      <c r="B529" s="12">
        <v>-2.3599999999999999E-2</v>
      </c>
      <c r="C529" s="5">
        <v>-3.7200000000000004E-2</v>
      </c>
      <c r="D529" s="5">
        <v>5.4999999999999997E-3</v>
      </c>
      <c r="E529" s="5">
        <v>5.9499999999999996E-3</v>
      </c>
      <c r="F529" s="5">
        <v>6.1333333333333344E-3</v>
      </c>
      <c r="G529" s="5">
        <v>6.0416666666666674E-3</v>
      </c>
      <c r="H529" s="5">
        <v>6.3583333333333339E-3</v>
      </c>
      <c r="I529" s="5">
        <f t="shared" si="88"/>
        <v>-2.9100000000000001E-2</v>
      </c>
      <c r="J529" s="5">
        <f t="shared" si="81"/>
        <v>-2.9641666666666667E-2</v>
      </c>
      <c r="K529" s="5">
        <f t="shared" si="82"/>
        <v>-4.3558333333333338E-2</v>
      </c>
      <c r="L529" s="8">
        <f t="shared" ref="L529:L592" si="90">((1+B518)*(1+B519)*(1+B520)*(1+B521)*(1+B522)*(1+B523)*(1+B524)*(1+B525)*(1+B526)*(1+B527)*(1+B528)*(1+B529))-1</f>
        <v>-6.4036613638454032E-2</v>
      </c>
      <c r="M529" s="8">
        <f t="shared" ref="M529:M592" si="91">D529*12</f>
        <v>6.6000000000000003E-2</v>
      </c>
      <c r="N529" s="8">
        <f t="shared" si="83"/>
        <v>7.2500000000000009E-2</v>
      </c>
      <c r="O529" s="296">
        <f t="shared" si="89"/>
        <v>-0.13003661363845403</v>
      </c>
      <c r="P529" s="8">
        <f t="shared" si="84"/>
        <v>-0.13653661363845404</v>
      </c>
      <c r="Q529" s="8">
        <f t="shared" si="85"/>
        <v>-0.11423545635695187</v>
      </c>
      <c r="R529" s="8">
        <f t="shared" si="86"/>
        <v>7.6300000000000007E-2</v>
      </c>
      <c r="S529" s="296">
        <f t="shared" si="87"/>
        <v>-0.19053545635695188</v>
      </c>
      <c r="U529" s="297"/>
      <c r="V529" s="297"/>
      <c r="W529" s="297"/>
      <c r="X529" s="297"/>
      <c r="Y529" s="297"/>
      <c r="Z529" s="297"/>
      <c r="AA529" s="297"/>
      <c r="AB529" s="297"/>
      <c r="AC529" s="297"/>
      <c r="AE529" s="297"/>
      <c r="AF529" s="297"/>
      <c r="AG529" s="297"/>
      <c r="AH529" s="297"/>
      <c r="AI529" s="297"/>
      <c r="AJ529" s="297"/>
      <c r="AK529" s="297"/>
      <c r="AL529" s="297"/>
      <c r="AM529" s="297"/>
      <c r="AO529" s="297"/>
      <c r="AP529" s="297"/>
      <c r="AQ529" s="297"/>
      <c r="AR529" s="297"/>
      <c r="AS529" s="297"/>
      <c r="AT529" s="297"/>
      <c r="AU529" s="297"/>
      <c r="AV529" s="297"/>
      <c r="AW529" s="297"/>
    </row>
    <row r="530" spans="1:49" x14ac:dyDescent="0.45">
      <c r="A530" s="295">
        <v>25477</v>
      </c>
      <c r="B530" s="12">
        <v>4.5900000000000003E-2</v>
      </c>
      <c r="C530" s="5">
        <v>7.980000000000001E-2</v>
      </c>
      <c r="D530" s="5">
        <v>5.7000000000000002E-3</v>
      </c>
      <c r="E530" s="5">
        <v>6.1083333333333337E-3</v>
      </c>
      <c r="F530" s="5">
        <v>6.2750000000000002E-3</v>
      </c>
      <c r="G530" s="5">
        <v>6.1916666666666665E-3</v>
      </c>
      <c r="H530" s="5">
        <v>6.6833333333333337E-3</v>
      </c>
      <c r="I530" s="5">
        <f t="shared" si="88"/>
        <v>4.02E-2</v>
      </c>
      <c r="J530" s="5">
        <f t="shared" si="81"/>
        <v>3.9708333333333339E-2</v>
      </c>
      <c r="K530" s="5">
        <f t="shared" si="82"/>
        <v>7.3116666666666677E-2</v>
      </c>
      <c r="L530" s="8">
        <f t="shared" si="90"/>
        <v>-2.9519078223911088E-2</v>
      </c>
      <c r="M530" s="8">
        <f t="shared" si="91"/>
        <v>6.8400000000000002E-2</v>
      </c>
      <c r="N530" s="8">
        <f t="shared" si="83"/>
        <v>7.4300000000000005E-2</v>
      </c>
      <c r="O530" s="296">
        <f t="shared" si="89"/>
        <v>-9.7919078223911091E-2</v>
      </c>
      <c r="P530" s="8">
        <f t="shared" si="84"/>
        <v>-0.10381907822391109</v>
      </c>
      <c r="Q530" s="8">
        <f t="shared" si="85"/>
        <v>-5.1706767573107881E-2</v>
      </c>
      <c r="R530" s="8">
        <f t="shared" si="86"/>
        <v>8.0200000000000007E-2</v>
      </c>
      <c r="S530" s="296">
        <f t="shared" si="87"/>
        <v>-0.13190676757310787</v>
      </c>
      <c r="U530" s="297"/>
      <c r="V530" s="297"/>
      <c r="W530" s="297"/>
      <c r="X530" s="297"/>
      <c r="Y530" s="297"/>
      <c r="Z530" s="297"/>
      <c r="AA530" s="297"/>
      <c r="AB530" s="297"/>
      <c r="AC530" s="297"/>
      <c r="AE530" s="297"/>
      <c r="AF530" s="297"/>
      <c r="AG530" s="297"/>
      <c r="AH530" s="297"/>
      <c r="AI530" s="297"/>
      <c r="AJ530" s="297"/>
      <c r="AK530" s="297"/>
      <c r="AL530" s="297"/>
      <c r="AM530" s="297"/>
      <c r="AO530" s="297"/>
      <c r="AP530" s="297"/>
      <c r="AQ530" s="297"/>
      <c r="AR530" s="297"/>
      <c r="AS530" s="297"/>
      <c r="AT530" s="297"/>
      <c r="AU530" s="297"/>
      <c r="AV530" s="297"/>
      <c r="AW530" s="297"/>
    </row>
    <row r="531" spans="1:49" x14ac:dyDescent="0.45">
      <c r="A531" s="295">
        <v>25508</v>
      </c>
      <c r="B531" s="12">
        <v>-2.9700000000000001E-2</v>
      </c>
      <c r="C531" s="5">
        <v>-5.8800000000000005E-2</v>
      </c>
      <c r="D531" s="5">
        <v>4.8999999999999998E-3</v>
      </c>
      <c r="E531" s="5">
        <v>6.1249999999999994E-3</v>
      </c>
      <c r="F531" s="5">
        <v>6.3166666666666675E-3</v>
      </c>
      <c r="G531" s="5">
        <v>6.2208333333333334E-3</v>
      </c>
      <c r="H531" s="5">
        <v>6.6666666666666662E-3</v>
      </c>
      <c r="I531" s="5">
        <f t="shared" si="88"/>
        <v>-3.4599999999999999E-2</v>
      </c>
      <c r="J531" s="5">
        <f t="shared" si="81"/>
        <v>-3.5920833333333332E-2</v>
      </c>
      <c r="K531" s="5">
        <f t="shared" si="82"/>
        <v>-6.5466666666666673E-2</v>
      </c>
      <c r="L531" s="8">
        <f t="shared" si="90"/>
        <v>-0.10582315221789074</v>
      </c>
      <c r="M531" s="8">
        <f t="shared" si="91"/>
        <v>5.8799999999999998E-2</v>
      </c>
      <c r="N531" s="8">
        <f t="shared" si="83"/>
        <v>7.4649999999999994E-2</v>
      </c>
      <c r="O531" s="296">
        <f t="shared" si="89"/>
        <v>-0.16462315221789073</v>
      </c>
      <c r="P531" s="8">
        <f t="shared" si="84"/>
        <v>-0.18047315221789073</v>
      </c>
      <c r="Q531" s="8">
        <f t="shared" si="85"/>
        <v>-0.17212355963251003</v>
      </c>
      <c r="R531" s="8">
        <f t="shared" si="86"/>
        <v>7.9999999999999988E-2</v>
      </c>
      <c r="S531" s="296">
        <f t="shared" si="87"/>
        <v>-0.25212355963250999</v>
      </c>
      <c r="U531" s="297"/>
      <c r="V531" s="297"/>
      <c r="W531" s="297"/>
      <c r="X531" s="297"/>
      <c r="Y531" s="297"/>
      <c r="Z531" s="297"/>
      <c r="AA531" s="297"/>
      <c r="AB531" s="297"/>
      <c r="AC531" s="297"/>
      <c r="AE531" s="297"/>
      <c r="AF531" s="297"/>
      <c r="AG531" s="297"/>
      <c r="AH531" s="297"/>
      <c r="AI531" s="297"/>
      <c r="AJ531" s="297"/>
      <c r="AK531" s="297"/>
      <c r="AL531" s="297"/>
      <c r="AM531" s="297"/>
      <c r="AO531" s="297"/>
      <c r="AP531" s="297"/>
      <c r="AQ531" s="297"/>
      <c r="AR531" s="297"/>
      <c r="AS531" s="297"/>
      <c r="AT531" s="297"/>
      <c r="AU531" s="297"/>
      <c r="AV531" s="297"/>
      <c r="AW531" s="297"/>
    </row>
    <row r="532" spans="1:49" x14ac:dyDescent="0.45">
      <c r="A532" s="295">
        <v>25538</v>
      </c>
      <c r="B532" s="12">
        <v>-1.77E-2</v>
      </c>
      <c r="C532" s="5">
        <v>-9.7000000000000003E-3</v>
      </c>
      <c r="D532" s="5">
        <v>6.0000000000000001E-3</v>
      </c>
      <c r="E532" s="5">
        <v>6.4333333333333334E-3</v>
      </c>
      <c r="F532" s="5">
        <v>6.6083333333333324E-3</v>
      </c>
      <c r="G532" s="5">
        <v>6.5208333333333333E-3</v>
      </c>
      <c r="H532" s="5">
        <v>7.1583333333333334E-3</v>
      </c>
      <c r="I532" s="5">
        <f t="shared" si="88"/>
        <v>-2.3699999999999999E-2</v>
      </c>
      <c r="J532" s="5">
        <f t="shared" si="81"/>
        <v>-2.4220833333333334E-2</v>
      </c>
      <c r="K532" s="5">
        <f t="shared" si="82"/>
        <v>-1.6858333333333333E-2</v>
      </c>
      <c r="L532" s="8">
        <f t="shared" si="90"/>
        <v>-8.4861515340314941E-2</v>
      </c>
      <c r="M532" s="8">
        <f t="shared" si="91"/>
        <v>7.2000000000000008E-2</v>
      </c>
      <c r="N532" s="8">
        <f t="shared" si="83"/>
        <v>7.825E-2</v>
      </c>
      <c r="O532" s="296">
        <f t="shared" si="89"/>
        <v>-0.15686151534031495</v>
      </c>
      <c r="P532" s="8">
        <f t="shared" si="84"/>
        <v>-0.16311151534031493</v>
      </c>
      <c r="Q532" s="8">
        <f t="shared" si="85"/>
        <v>-0.1540129616180731</v>
      </c>
      <c r="R532" s="8">
        <f t="shared" si="86"/>
        <v>8.5900000000000004E-2</v>
      </c>
      <c r="S532" s="296">
        <f t="shared" si="87"/>
        <v>-0.2399129616180731</v>
      </c>
      <c r="U532" s="297"/>
      <c r="V532" s="297"/>
      <c r="W532" s="297"/>
      <c r="X532" s="297"/>
      <c r="Y532" s="297"/>
      <c r="Z532" s="297"/>
      <c r="AA532" s="297"/>
      <c r="AB532" s="297"/>
      <c r="AC532" s="297"/>
      <c r="AE532" s="297"/>
      <c r="AF532" s="297"/>
      <c r="AG532" s="297"/>
      <c r="AH532" s="297"/>
      <c r="AI532" s="297"/>
      <c r="AJ532" s="297"/>
      <c r="AK532" s="297"/>
      <c r="AL532" s="297"/>
      <c r="AM532" s="297"/>
      <c r="AO532" s="297"/>
      <c r="AP532" s="297"/>
      <c r="AQ532" s="297"/>
      <c r="AR532" s="297"/>
      <c r="AS532" s="297"/>
      <c r="AT532" s="297"/>
      <c r="AU532" s="297"/>
      <c r="AV532" s="297"/>
      <c r="AW532" s="297"/>
    </row>
    <row r="533" spans="1:49" x14ac:dyDescent="0.45">
      <c r="A533" s="295">
        <v>25569</v>
      </c>
      <c r="B533" s="12">
        <v>-7.4300000000000005E-2</v>
      </c>
      <c r="C533" s="5">
        <v>-4.53E-2</v>
      </c>
      <c r="D533" s="5">
        <v>5.5999999999999991E-3</v>
      </c>
      <c r="E533" s="5">
        <v>6.5916666666666667E-3</v>
      </c>
      <c r="F533" s="5">
        <v>6.7916666666666672E-3</v>
      </c>
      <c r="G533" s="5">
        <v>6.6916666666666669E-3</v>
      </c>
      <c r="H533" s="5">
        <v>7.2416666666666662E-3</v>
      </c>
      <c r="I533" s="5">
        <f t="shared" si="88"/>
        <v>-7.9899999999999999E-2</v>
      </c>
      <c r="J533" s="5">
        <f t="shared" si="81"/>
        <v>-8.099166666666667E-2</v>
      </c>
      <c r="K533" s="5">
        <f t="shared" si="82"/>
        <v>-5.2541666666666667E-2</v>
      </c>
      <c r="L533" s="8">
        <f t="shared" si="90"/>
        <v>-0.14705628750556732</v>
      </c>
      <c r="M533" s="8">
        <f t="shared" si="91"/>
        <v>6.7199999999999982E-2</v>
      </c>
      <c r="N533" s="8">
        <f t="shared" si="83"/>
        <v>8.030000000000001E-2</v>
      </c>
      <c r="O533" s="296">
        <f t="shared" si="89"/>
        <v>-0.2142562875055673</v>
      </c>
      <c r="P533" s="8">
        <f t="shared" si="84"/>
        <v>-0.22735628750556733</v>
      </c>
      <c r="Q533" s="8">
        <f t="shared" si="85"/>
        <v>-0.20575884989357307</v>
      </c>
      <c r="R533" s="8">
        <f t="shared" si="86"/>
        <v>8.6899999999999991E-2</v>
      </c>
      <c r="S533" s="296">
        <f t="shared" si="87"/>
        <v>-0.29265884989357305</v>
      </c>
      <c r="U533" s="297"/>
      <c r="V533" s="297"/>
      <c r="W533" s="297"/>
      <c r="X533" s="297"/>
      <c r="Y533" s="297"/>
      <c r="Z533" s="297"/>
      <c r="AA533" s="297"/>
      <c r="AB533" s="297"/>
      <c r="AC533" s="297"/>
      <c r="AE533" s="297"/>
      <c r="AF533" s="297"/>
      <c r="AG533" s="297"/>
      <c r="AH533" s="297"/>
      <c r="AI533" s="297"/>
      <c r="AJ533" s="297"/>
      <c r="AK533" s="297"/>
      <c r="AL533" s="297"/>
      <c r="AM533" s="297"/>
      <c r="AO533" s="297"/>
      <c r="AP533" s="297"/>
      <c r="AQ533" s="297"/>
      <c r="AR533" s="297"/>
      <c r="AS533" s="297"/>
      <c r="AT533" s="297"/>
      <c r="AU533" s="297"/>
      <c r="AV533" s="297"/>
      <c r="AW533" s="297"/>
    </row>
    <row r="534" spans="1:49" x14ac:dyDescent="0.45">
      <c r="A534" s="295">
        <v>25600</v>
      </c>
      <c r="B534" s="12">
        <v>5.5800000000000002E-2</v>
      </c>
      <c r="C534" s="5">
        <v>0.1053</v>
      </c>
      <c r="D534" s="5">
        <v>5.1999999999999998E-3</v>
      </c>
      <c r="E534" s="5">
        <v>6.6083333333333324E-3</v>
      </c>
      <c r="F534" s="5">
        <v>6.7750000000000006E-3</v>
      </c>
      <c r="G534" s="5">
        <v>6.6916666666666669E-3</v>
      </c>
      <c r="H534" s="5">
        <v>7.0916666666666663E-3</v>
      </c>
      <c r="I534" s="5">
        <f t="shared" si="88"/>
        <v>5.0600000000000006E-2</v>
      </c>
      <c r="J534" s="5">
        <f t="shared" si="81"/>
        <v>4.9108333333333337E-2</v>
      </c>
      <c r="K534" s="5">
        <f t="shared" si="82"/>
        <v>9.8208333333333342E-2</v>
      </c>
      <c r="L534" s="8">
        <f t="shared" si="90"/>
        <v>-5.9392133223707955E-2</v>
      </c>
      <c r="M534" s="8">
        <f t="shared" si="91"/>
        <v>6.2399999999999997E-2</v>
      </c>
      <c r="N534" s="8">
        <f t="shared" si="83"/>
        <v>8.030000000000001E-2</v>
      </c>
      <c r="O534" s="296">
        <f t="shared" si="89"/>
        <v>-0.12179213322370795</v>
      </c>
      <c r="P534" s="8">
        <f t="shared" si="84"/>
        <v>-0.13969213322370796</v>
      </c>
      <c r="Q534" s="8">
        <f t="shared" si="85"/>
        <v>-7.2798116589951722E-2</v>
      </c>
      <c r="R534" s="8">
        <f t="shared" si="86"/>
        <v>8.5099999999999995E-2</v>
      </c>
      <c r="S534" s="296">
        <f t="shared" si="87"/>
        <v>-0.15789811658995173</v>
      </c>
      <c r="U534" s="297"/>
      <c r="V534" s="297"/>
      <c r="W534" s="297"/>
      <c r="X534" s="297"/>
      <c r="Y534" s="297"/>
      <c r="Z534" s="297"/>
      <c r="AA534" s="297"/>
      <c r="AB534" s="297"/>
      <c r="AC534" s="297"/>
      <c r="AE534" s="297"/>
      <c r="AF534" s="297"/>
      <c r="AG534" s="297"/>
      <c r="AH534" s="297"/>
      <c r="AI534" s="297"/>
      <c r="AJ534" s="297"/>
      <c r="AK534" s="297"/>
      <c r="AL534" s="297"/>
      <c r="AM534" s="297"/>
      <c r="AO534" s="297"/>
      <c r="AP534" s="297"/>
      <c r="AQ534" s="297"/>
      <c r="AR534" s="297"/>
      <c r="AS534" s="297"/>
      <c r="AT534" s="297"/>
      <c r="AU534" s="297"/>
      <c r="AV534" s="297"/>
      <c r="AW534" s="297"/>
    </row>
    <row r="535" spans="1:49" x14ac:dyDescent="0.45">
      <c r="A535" s="295">
        <v>25628</v>
      </c>
      <c r="B535" s="12">
        <v>4.4000000000000003E-3</v>
      </c>
      <c r="C535" s="5">
        <v>2.3200000000000002E-2</v>
      </c>
      <c r="D535" s="5">
        <v>5.5999999999999991E-3</v>
      </c>
      <c r="E535" s="5">
        <v>6.5333333333333328E-3</v>
      </c>
      <c r="F535" s="5">
        <v>6.7166666666666677E-3</v>
      </c>
      <c r="G535" s="5">
        <v>6.6250000000000007E-3</v>
      </c>
      <c r="H535" s="5">
        <v>6.9249999999999997E-3</v>
      </c>
      <c r="I535" s="5">
        <f t="shared" si="88"/>
        <v>-1.1999999999999988E-3</v>
      </c>
      <c r="J535" s="5">
        <f t="shared" si="81"/>
        <v>-2.2250000000000004E-3</v>
      </c>
      <c r="K535" s="5">
        <f t="shared" si="82"/>
        <v>1.6275000000000001E-2</v>
      </c>
      <c r="L535" s="8">
        <f t="shared" si="90"/>
        <v>-8.7994457582674102E-2</v>
      </c>
      <c r="M535" s="8">
        <f t="shared" si="91"/>
        <v>6.7199999999999982E-2</v>
      </c>
      <c r="N535" s="8">
        <f t="shared" si="83"/>
        <v>7.9500000000000015E-2</v>
      </c>
      <c r="O535" s="296">
        <f t="shared" si="89"/>
        <v>-0.15519445758267408</v>
      </c>
      <c r="P535" s="8">
        <f t="shared" si="84"/>
        <v>-0.16749445758267412</v>
      </c>
      <c r="Q535" s="8">
        <f t="shared" si="85"/>
        <v>-4.2091107527098437E-2</v>
      </c>
      <c r="R535" s="8">
        <f t="shared" si="86"/>
        <v>8.3099999999999993E-2</v>
      </c>
      <c r="S535" s="296">
        <f t="shared" si="87"/>
        <v>-0.12519110752709844</v>
      </c>
      <c r="U535" s="297"/>
      <c r="V535" s="297"/>
      <c r="W535" s="297"/>
      <c r="X535" s="297"/>
      <c r="Y535" s="297"/>
      <c r="Z535" s="297"/>
      <c r="AA535" s="297"/>
      <c r="AB535" s="297"/>
      <c r="AC535" s="297"/>
      <c r="AE535" s="297"/>
      <c r="AF535" s="297"/>
      <c r="AG535" s="297"/>
      <c r="AH535" s="297"/>
      <c r="AI535" s="297"/>
      <c r="AJ535" s="297"/>
      <c r="AK535" s="297"/>
      <c r="AL535" s="297"/>
      <c r="AM535" s="297"/>
      <c r="AO535" s="297"/>
      <c r="AP535" s="297"/>
      <c r="AQ535" s="297"/>
      <c r="AR535" s="297"/>
      <c r="AS535" s="297"/>
      <c r="AT535" s="297"/>
      <c r="AU535" s="297"/>
      <c r="AV535" s="297"/>
      <c r="AW535" s="297"/>
    </row>
    <row r="536" spans="1:49" x14ac:dyDescent="0.45">
      <c r="A536" s="295">
        <v>25659</v>
      </c>
      <c r="B536" s="12">
        <v>-8.7499999999999994E-2</v>
      </c>
      <c r="C536" s="5">
        <v>-9.2899999999999996E-2</v>
      </c>
      <c r="D536" s="5">
        <v>5.4000000000000003E-3</v>
      </c>
      <c r="E536" s="5">
        <v>6.5249999999999996E-3</v>
      </c>
      <c r="F536" s="5">
        <v>6.6916666666666661E-3</v>
      </c>
      <c r="G536" s="5">
        <v>6.6083333333333324E-3</v>
      </c>
      <c r="H536" s="5">
        <v>6.9249999999999997E-3</v>
      </c>
      <c r="I536" s="5">
        <f t="shared" si="88"/>
        <v>-9.2899999999999996E-2</v>
      </c>
      <c r="J536" s="5">
        <f t="shared" si="81"/>
        <v>-9.4108333333333322E-2</v>
      </c>
      <c r="K536" s="5">
        <f t="shared" si="82"/>
        <v>-9.9824999999999997E-2</v>
      </c>
      <c r="L536" s="8">
        <f t="shared" si="90"/>
        <v>-0.1864257919094634</v>
      </c>
      <c r="M536" s="8">
        <f t="shared" si="91"/>
        <v>6.4799999999999996E-2</v>
      </c>
      <c r="N536" s="8">
        <f t="shared" si="83"/>
        <v>7.9299999999999982E-2</v>
      </c>
      <c r="O536" s="296">
        <f t="shared" si="89"/>
        <v>-0.25122579190946337</v>
      </c>
      <c r="P536" s="8">
        <f t="shared" si="84"/>
        <v>-0.26572579190946338</v>
      </c>
      <c r="Q536" s="8">
        <f t="shared" si="85"/>
        <v>-0.14299323763470873</v>
      </c>
      <c r="R536" s="8">
        <f t="shared" si="86"/>
        <v>8.3099999999999993E-2</v>
      </c>
      <c r="S536" s="296">
        <f t="shared" si="87"/>
        <v>-0.22609323763470873</v>
      </c>
      <c r="U536" s="297"/>
      <c r="V536" s="297"/>
      <c r="W536" s="297"/>
      <c r="X536" s="297"/>
      <c r="Y536" s="297"/>
      <c r="Z536" s="297"/>
      <c r="AA536" s="297"/>
      <c r="AB536" s="297"/>
      <c r="AC536" s="297"/>
      <c r="AE536" s="297"/>
      <c r="AF536" s="297"/>
      <c r="AG536" s="297"/>
      <c r="AH536" s="297"/>
      <c r="AI536" s="297"/>
      <c r="AJ536" s="297"/>
      <c r="AK536" s="297"/>
      <c r="AL536" s="297"/>
      <c r="AM536" s="297"/>
      <c r="AO536" s="297"/>
      <c r="AP536" s="297"/>
      <c r="AQ536" s="297"/>
      <c r="AR536" s="297"/>
      <c r="AS536" s="297"/>
      <c r="AT536" s="297"/>
      <c r="AU536" s="297"/>
      <c r="AV536" s="297"/>
      <c r="AW536" s="297"/>
    </row>
    <row r="537" spans="1:49" x14ac:dyDescent="0.45">
      <c r="A537" s="295">
        <v>25689</v>
      </c>
      <c r="B537" s="12">
        <v>-5.7799999999999997E-2</v>
      </c>
      <c r="C537" s="5">
        <v>-5.1499999999999997E-2</v>
      </c>
      <c r="D537" s="5">
        <v>5.4999999999999997E-3</v>
      </c>
      <c r="E537" s="5">
        <v>6.7583333333333332E-3</v>
      </c>
      <c r="F537" s="5">
        <v>6.8666666666666668E-3</v>
      </c>
      <c r="G537" s="5">
        <v>6.8124999999999991E-3</v>
      </c>
      <c r="H537" s="5">
        <v>7.2250000000000005E-3</v>
      </c>
      <c r="I537" s="5">
        <f t="shared" si="88"/>
        <v>-6.3299999999999995E-2</v>
      </c>
      <c r="J537" s="5">
        <f t="shared" si="81"/>
        <v>-6.4612499999999989E-2</v>
      </c>
      <c r="K537" s="5">
        <f t="shared" si="82"/>
        <v>-5.8724999999999999E-2</v>
      </c>
      <c r="L537" s="8">
        <f t="shared" si="90"/>
        <v>-0.23543824170865391</v>
      </c>
      <c r="M537" s="8">
        <f t="shared" si="91"/>
        <v>6.6000000000000003E-2</v>
      </c>
      <c r="N537" s="8">
        <f t="shared" si="83"/>
        <v>8.1749999999999989E-2</v>
      </c>
      <c r="O537" s="296">
        <f t="shared" si="89"/>
        <v>-0.30143824170865391</v>
      </c>
      <c r="P537" s="8">
        <f t="shared" si="84"/>
        <v>-0.3171882417086539</v>
      </c>
      <c r="Q537" s="8">
        <f t="shared" si="85"/>
        <v>-0.1866410705388446</v>
      </c>
      <c r="R537" s="8">
        <f t="shared" si="86"/>
        <v>8.6699999999999999E-2</v>
      </c>
      <c r="S537" s="296">
        <f t="shared" si="87"/>
        <v>-0.2733410705388446</v>
      </c>
      <c r="U537" s="297"/>
      <c r="V537" s="297"/>
      <c r="W537" s="297"/>
      <c r="X537" s="297"/>
      <c r="Y537" s="297"/>
      <c r="Z537" s="297"/>
      <c r="AA537" s="297"/>
      <c r="AB537" s="297"/>
      <c r="AC537" s="297"/>
      <c r="AE537" s="297"/>
      <c r="AF537" s="297"/>
      <c r="AG537" s="297"/>
      <c r="AH537" s="297"/>
      <c r="AI537" s="297"/>
      <c r="AJ537" s="297"/>
      <c r="AK537" s="297"/>
      <c r="AL537" s="297"/>
      <c r="AM537" s="297"/>
      <c r="AO537" s="297"/>
      <c r="AP537" s="297"/>
      <c r="AQ537" s="297"/>
      <c r="AR537" s="297"/>
      <c r="AS537" s="297"/>
      <c r="AT537" s="297"/>
      <c r="AU537" s="297"/>
      <c r="AV537" s="297"/>
      <c r="AW537" s="297"/>
    </row>
    <row r="538" spans="1:49" x14ac:dyDescent="0.45">
      <c r="A538" s="295">
        <v>25720</v>
      </c>
      <c r="B538" s="12">
        <v>-4.6600000000000003E-2</v>
      </c>
      <c r="C538" s="5">
        <v>-5.8199999999999995E-2</v>
      </c>
      <c r="D538" s="5">
        <v>6.4000000000000003E-3</v>
      </c>
      <c r="E538" s="5">
        <v>7.0666666666666664E-3</v>
      </c>
      <c r="F538" s="5">
        <v>7.1500000000000001E-3</v>
      </c>
      <c r="G538" s="5">
        <v>7.1083333333333328E-3</v>
      </c>
      <c r="H538" s="5">
        <v>7.5333333333333329E-3</v>
      </c>
      <c r="I538" s="5">
        <f t="shared" si="88"/>
        <v>-5.3000000000000005E-2</v>
      </c>
      <c r="J538" s="5">
        <f t="shared" si="81"/>
        <v>-5.3708333333333337E-2</v>
      </c>
      <c r="K538" s="5">
        <f t="shared" si="82"/>
        <v>-6.5733333333333324E-2</v>
      </c>
      <c r="L538" s="8">
        <f t="shared" si="90"/>
        <v>-0.22929458621804877</v>
      </c>
      <c r="M538" s="8">
        <f t="shared" si="91"/>
        <v>7.6800000000000007E-2</v>
      </c>
      <c r="N538" s="8">
        <f t="shared" si="83"/>
        <v>8.5299999999999987E-2</v>
      </c>
      <c r="O538" s="296">
        <f t="shared" si="89"/>
        <v>-0.30609458621804875</v>
      </c>
      <c r="P538" s="8">
        <f t="shared" si="84"/>
        <v>-0.31459458621804876</v>
      </c>
      <c r="Q538" s="8">
        <f t="shared" si="85"/>
        <v>-0.19230130771139153</v>
      </c>
      <c r="R538" s="8">
        <f t="shared" si="86"/>
        <v>9.0399999999999994E-2</v>
      </c>
      <c r="S538" s="296">
        <f t="shared" si="87"/>
        <v>-0.28270130771139151</v>
      </c>
      <c r="U538" s="297"/>
      <c r="V538" s="297"/>
      <c r="W538" s="297"/>
      <c r="X538" s="297"/>
      <c r="Y538" s="297"/>
      <c r="Z538" s="297"/>
      <c r="AA538" s="297"/>
      <c r="AB538" s="297"/>
      <c r="AC538" s="297"/>
      <c r="AE538" s="297"/>
      <c r="AF538" s="297"/>
      <c r="AG538" s="297"/>
      <c r="AH538" s="297"/>
      <c r="AI538" s="297"/>
      <c r="AJ538" s="297"/>
      <c r="AK538" s="297"/>
      <c r="AL538" s="297"/>
      <c r="AM538" s="297"/>
      <c r="AO538" s="297"/>
      <c r="AP538" s="297"/>
      <c r="AQ538" s="297"/>
      <c r="AR538" s="297"/>
      <c r="AS538" s="297"/>
      <c r="AT538" s="297"/>
      <c r="AU538" s="297"/>
      <c r="AV538" s="297"/>
      <c r="AW538" s="297"/>
    </row>
    <row r="539" spans="1:49" x14ac:dyDescent="0.45">
      <c r="A539" s="295">
        <v>25750</v>
      </c>
      <c r="B539" s="12">
        <v>7.6899999999999996E-2</v>
      </c>
      <c r="C539" s="5">
        <v>9.7299999999999998E-2</v>
      </c>
      <c r="D539" s="5">
        <v>5.8999999999999999E-3</v>
      </c>
      <c r="E539" s="5">
        <v>7.0333333333333324E-3</v>
      </c>
      <c r="F539" s="5">
        <v>7.2000000000000007E-3</v>
      </c>
      <c r="G539" s="5">
        <v>7.116666666666667E-3</v>
      </c>
      <c r="H539" s="5">
        <v>7.5500000000000003E-3</v>
      </c>
      <c r="I539" s="5">
        <f t="shared" si="88"/>
        <v>7.0999999999999994E-2</v>
      </c>
      <c r="J539" s="5">
        <f t="shared" si="81"/>
        <v>6.9783333333333336E-2</v>
      </c>
      <c r="K539" s="5">
        <f t="shared" si="82"/>
        <v>8.9749999999999996E-2</v>
      </c>
      <c r="L539" s="8">
        <f t="shared" si="90"/>
        <v>-0.11826977573379016</v>
      </c>
      <c r="M539" s="8">
        <f t="shared" si="91"/>
        <v>7.0800000000000002E-2</v>
      </c>
      <c r="N539" s="8">
        <f t="shared" si="83"/>
        <v>8.5400000000000004E-2</v>
      </c>
      <c r="O539" s="296">
        <f t="shared" si="89"/>
        <v>-0.18906977573379016</v>
      </c>
      <c r="P539" s="8">
        <f t="shared" si="84"/>
        <v>-0.20366977573379016</v>
      </c>
      <c r="Q539" s="8">
        <f t="shared" si="85"/>
        <v>-8.0328136299377406E-2</v>
      </c>
      <c r="R539" s="8">
        <f t="shared" si="86"/>
        <v>9.06E-2</v>
      </c>
      <c r="S539" s="296">
        <f t="shared" si="87"/>
        <v>-0.17092813629937742</v>
      </c>
      <c r="U539" s="297"/>
      <c r="V539" s="297"/>
      <c r="W539" s="297"/>
      <c r="X539" s="297"/>
      <c r="Y539" s="297"/>
      <c r="Z539" s="297"/>
      <c r="AA539" s="297"/>
      <c r="AB539" s="297"/>
      <c r="AC539" s="297"/>
      <c r="AE539" s="297"/>
      <c r="AF539" s="297"/>
      <c r="AG539" s="297"/>
      <c r="AH539" s="297"/>
      <c r="AI539" s="297"/>
      <c r="AJ539" s="297"/>
      <c r="AK539" s="297"/>
      <c r="AL539" s="297"/>
      <c r="AM539" s="297"/>
      <c r="AO539" s="297"/>
      <c r="AP539" s="297"/>
      <c r="AQ539" s="297"/>
      <c r="AR539" s="297"/>
      <c r="AS539" s="297"/>
      <c r="AT539" s="297"/>
      <c r="AU539" s="297"/>
      <c r="AV539" s="297"/>
      <c r="AW539" s="297"/>
    </row>
    <row r="540" spans="1:49" x14ac:dyDescent="0.45">
      <c r="A540" s="295">
        <v>25781</v>
      </c>
      <c r="B540" s="12">
        <v>4.7800000000000002E-2</v>
      </c>
      <c r="C540" s="5">
        <v>5.8099999999999999E-2</v>
      </c>
      <c r="D540" s="5">
        <v>5.7000000000000002E-3</v>
      </c>
      <c r="E540" s="5">
        <v>6.7750000000000006E-3</v>
      </c>
      <c r="F540" s="5">
        <v>7.0750000000000006E-3</v>
      </c>
      <c r="G540" s="5">
        <v>6.9250000000000015E-3</v>
      </c>
      <c r="H540" s="5">
        <v>7.4000000000000012E-3</v>
      </c>
      <c r="I540" s="5">
        <f t="shared" si="88"/>
        <v>4.2099999999999999E-2</v>
      </c>
      <c r="J540" s="5">
        <f t="shared" si="81"/>
        <v>4.0875000000000002E-2</v>
      </c>
      <c r="K540" s="5">
        <f t="shared" si="82"/>
        <v>5.0699999999999995E-2</v>
      </c>
      <c r="L540" s="8">
        <f t="shared" si="90"/>
        <v>-0.11624552421452583</v>
      </c>
      <c r="M540" s="8">
        <f t="shared" si="91"/>
        <v>6.8400000000000002E-2</v>
      </c>
      <c r="N540" s="8">
        <f t="shared" si="83"/>
        <v>8.3100000000000021E-2</v>
      </c>
      <c r="O540" s="296">
        <f t="shared" si="89"/>
        <v>-0.18464552421452585</v>
      </c>
      <c r="P540" s="8">
        <f t="shared" si="84"/>
        <v>-0.19934552421452584</v>
      </c>
      <c r="Q540" s="8">
        <f t="shared" si="85"/>
        <v>-1.5673883287852686E-2</v>
      </c>
      <c r="R540" s="8">
        <f t="shared" si="86"/>
        <v>8.8800000000000018E-2</v>
      </c>
      <c r="S540" s="296">
        <f t="shared" si="87"/>
        <v>-0.1044738832878527</v>
      </c>
      <c r="U540" s="297"/>
      <c r="V540" s="297"/>
      <c r="W540" s="297"/>
      <c r="X540" s="297"/>
      <c r="Y540" s="297"/>
      <c r="Z540" s="297"/>
      <c r="AA540" s="297"/>
      <c r="AB540" s="297"/>
      <c r="AC540" s="297"/>
      <c r="AE540" s="297"/>
      <c r="AF540" s="297"/>
      <c r="AG540" s="297"/>
      <c r="AH540" s="297"/>
      <c r="AI540" s="297"/>
      <c r="AJ540" s="297"/>
      <c r="AK540" s="297"/>
      <c r="AL540" s="297"/>
      <c r="AM540" s="297"/>
      <c r="AO540" s="297"/>
      <c r="AP540" s="297"/>
      <c r="AQ540" s="297"/>
      <c r="AR540" s="297"/>
      <c r="AS540" s="297"/>
      <c r="AT540" s="297"/>
      <c r="AU540" s="297"/>
      <c r="AV540" s="297"/>
      <c r="AW540" s="297"/>
    </row>
    <row r="541" spans="1:49" x14ac:dyDescent="0.45">
      <c r="A541" s="295">
        <v>25812</v>
      </c>
      <c r="B541" s="12">
        <v>3.6200000000000003E-2</v>
      </c>
      <c r="C541" s="5">
        <v>-1.14E-2</v>
      </c>
      <c r="D541" s="5">
        <v>5.5999999999999991E-3</v>
      </c>
      <c r="E541" s="5">
        <v>6.7416666666666666E-3</v>
      </c>
      <c r="F541" s="5">
        <v>7.058333333333334E-3</v>
      </c>
      <c r="G541" s="5">
        <v>6.9000000000000008E-3</v>
      </c>
      <c r="H541" s="5">
        <v>7.3499999999999998E-3</v>
      </c>
      <c r="I541" s="5">
        <f t="shared" si="88"/>
        <v>3.0600000000000002E-2</v>
      </c>
      <c r="J541" s="5">
        <f t="shared" ref="J541:J604" si="92">B541-G541</f>
        <v>2.9300000000000003E-2</v>
      </c>
      <c r="K541" s="5">
        <f t="shared" ref="K541:K604" si="93">$C541-H541</f>
        <v>-1.8749999999999999E-2</v>
      </c>
      <c r="L541" s="8">
        <f t="shared" si="90"/>
        <v>-6.2119635591040612E-2</v>
      </c>
      <c r="M541" s="8">
        <f t="shared" si="91"/>
        <v>6.7199999999999982E-2</v>
      </c>
      <c r="N541" s="8">
        <f t="shared" si="83"/>
        <v>8.2800000000000012E-2</v>
      </c>
      <c r="O541" s="296">
        <f t="shared" si="89"/>
        <v>-0.12931963559104059</v>
      </c>
      <c r="P541" s="8">
        <f t="shared" si="84"/>
        <v>-0.14491963559104062</v>
      </c>
      <c r="Q541" s="8">
        <f t="shared" si="85"/>
        <v>1.070294867223609E-2</v>
      </c>
      <c r="R541" s="8">
        <f t="shared" si="86"/>
        <v>8.8200000000000001E-2</v>
      </c>
      <c r="S541" s="296">
        <f t="shared" si="87"/>
        <v>-7.7497051327763911E-2</v>
      </c>
      <c r="U541" s="297"/>
      <c r="V541" s="297"/>
      <c r="W541" s="297"/>
      <c r="X541" s="297"/>
      <c r="Y541" s="297"/>
      <c r="Z541" s="297"/>
      <c r="AA541" s="297"/>
      <c r="AB541" s="297"/>
      <c r="AC541" s="297"/>
      <c r="AE541" s="297"/>
      <c r="AF541" s="297"/>
      <c r="AG541" s="297"/>
      <c r="AH541" s="297"/>
      <c r="AI541" s="297"/>
      <c r="AJ541" s="297"/>
      <c r="AK541" s="297"/>
      <c r="AL541" s="297"/>
      <c r="AM541" s="297"/>
      <c r="AO541" s="297"/>
      <c r="AP541" s="297"/>
      <c r="AQ541" s="297"/>
      <c r="AR541" s="297"/>
      <c r="AS541" s="297"/>
      <c r="AT541" s="297"/>
      <c r="AU541" s="297"/>
      <c r="AV541" s="297"/>
      <c r="AW541" s="297"/>
    </row>
    <row r="542" spans="1:49" x14ac:dyDescent="0.45">
      <c r="A542" s="295">
        <v>25842</v>
      </c>
      <c r="B542" s="12">
        <v>-8.3000000000000001E-3</v>
      </c>
      <c r="C542" s="5">
        <v>-1.4900000000000002E-2</v>
      </c>
      <c r="D542" s="5">
        <v>5.4999999999999997E-3</v>
      </c>
      <c r="E542" s="5">
        <v>6.6916666666666661E-3</v>
      </c>
      <c r="F542" s="5">
        <v>7.0333333333333324E-3</v>
      </c>
      <c r="G542" s="5">
        <v>6.8624999999999988E-3</v>
      </c>
      <c r="H542" s="5">
        <v>7.3000000000000001E-3</v>
      </c>
      <c r="I542" s="5">
        <f t="shared" si="88"/>
        <v>-1.38E-2</v>
      </c>
      <c r="J542" s="5">
        <f t="shared" si="92"/>
        <v>-1.5162499999999999E-2</v>
      </c>
      <c r="K542" s="5">
        <f t="shared" si="93"/>
        <v>-2.2200000000000001E-2</v>
      </c>
      <c r="L542" s="8">
        <f t="shared" si="90"/>
        <v>-0.1107219070806339</v>
      </c>
      <c r="M542" s="8">
        <f t="shared" si="91"/>
        <v>6.6000000000000003E-2</v>
      </c>
      <c r="N542" s="8">
        <f t="shared" si="83"/>
        <v>8.2349999999999979E-2</v>
      </c>
      <c r="O542" s="296">
        <f t="shared" si="89"/>
        <v>-0.1767219070806339</v>
      </c>
      <c r="P542" s="8">
        <f t="shared" si="84"/>
        <v>-0.19307190708063388</v>
      </c>
      <c r="Q542" s="8">
        <f t="shared" si="85"/>
        <v>-7.7937141380792996E-2</v>
      </c>
      <c r="R542" s="8">
        <f t="shared" si="86"/>
        <v>8.7599999999999997E-2</v>
      </c>
      <c r="S542" s="296">
        <f t="shared" si="87"/>
        <v>-0.16553714138079301</v>
      </c>
      <c r="U542" s="297"/>
      <c r="V542" s="297"/>
      <c r="W542" s="297"/>
      <c r="X542" s="297"/>
      <c r="Y542" s="297"/>
      <c r="Z542" s="297"/>
      <c r="AA542" s="297"/>
      <c r="AB542" s="297"/>
      <c r="AC542" s="297"/>
      <c r="AE542" s="297"/>
      <c r="AF542" s="297"/>
      <c r="AG542" s="297"/>
      <c r="AH542" s="297"/>
      <c r="AI542" s="297"/>
      <c r="AJ542" s="297"/>
      <c r="AK542" s="297"/>
      <c r="AL542" s="297"/>
      <c r="AM542" s="297"/>
      <c r="AO542" s="297"/>
      <c r="AP542" s="297"/>
      <c r="AQ542" s="297"/>
      <c r="AR542" s="297"/>
      <c r="AS542" s="297"/>
      <c r="AT542" s="297"/>
      <c r="AU542" s="297"/>
      <c r="AV542" s="297"/>
      <c r="AW542" s="297"/>
    </row>
    <row r="543" spans="1:49" x14ac:dyDescent="0.45">
      <c r="A543" s="295">
        <v>25873</v>
      </c>
      <c r="B543" s="12">
        <v>5.0599999999999999E-2</v>
      </c>
      <c r="C543" s="5">
        <v>9.7500000000000003E-2</v>
      </c>
      <c r="D543" s="5">
        <v>5.7999999999999996E-3</v>
      </c>
      <c r="E543" s="5">
        <v>6.7083333333333335E-3</v>
      </c>
      <c r="F543" s="5">
        <v>7.0166666666666667E-3</v>
      </c>
      <c r="G543" s="5">
        <v>6.8625000000000005E-3</v>
      </c>
      <c r="H543" s="5">
        <v>7.324999999999999E-3</v>
      </c>
      <c r="I543" s="5">
        <f t="shared" si="88"/>
        <v>4.48E-2</v>
      </c>
      <c r="J543" s="5">
        <f t="shared" si="92"/>
        <v>4.3737499999999999E-2</v>
      </c>
      <c r="K543" s="5">
        <f t="shared" si="93"/>
        <v>9.0175000000000005E-2</v>
      </c>
      <c r="L543" s="8">
        <f t="shared" si="90"/>
        <v>-3.712711076874553E-2</v>
      </c>
      <c r="M543" s="8">
        <f t="shared" si="91"/>
        <v>6.9599999999999995E-2</v>
      </c>
      <c r="N543" s="8">
        <f t="shared" si="83"/>
        <v>8.2350000000000007E-2</v>
      </c>
      <c r="O543" s="296">
        <f t="shared" si="89"/>
        <v>-0.10672711076874553</v>
      </c>
      <c r="P543" s="8">
        <f t="shared" si="84"/>
        <v>-0.11947711076874554</v>
      </c>
      <c r="Q543" s="8">
        <f t="shared" si="85"/>
        <v>7.5184856921567622E-2</v>
      </c>
      <c r="R543" s="8">
        <f t="shared" si="86"/>
        <v>8.7899999999999992E-2</v>
      </c>
      <c r="S543" s="296">
        <f t="shared" si="87"/>
        <v>-1.271514307843237E-2</v>
      </c>
      <c r="U543" s="297"/>
      <c r="V543" s="297"/>
      <c r="W543" s="297"/>
      <c r="X543" s="297"/>
      <c r="Y543" s="297"/>
      <c r="Z543" s="297"/>
      <c r="AA543" s="297"/>
      <c r="AB543" s="297"/>
      <c r="AC543" s="297"/>
      <c r="AE543" s="297"/>
      <c r="AF543" s="297"/>
      <c r="AG543" s="297"/>
      <c r="AH543" s="297"/>
      <c r="AI543" s="297"/>
      <c r="AJ543" s="297"/>
      <c r="AK543" s="297"/>
      <c r="AL543" s="297"/>
      <c r="AM543" s="297"/>
      <c r="AO543" s="297"/>
      <c r="AP543" s="297"/>
      <c r="AQ543" s="297"/>
      <c r="AR543" s="297"/>
      <c r="AS543" s="297"/>
      <c r="AT543" s="297"/>
      <c r="AU543" s="297"/>
      <c r="AV543" s="297"/>
      <c r="AW543" s="297"/>
    </row>
    <row r="544" spans="1:49" x14ac:dyDescent="0.45">
      <c r="A544" s="295">
        <v>25903</v>
      </c>
      <c r="B544" s="12">
        <v>5.9700000000000003E-2</v>
      </c>
      <c r="C544" s="5">
        <v>7.350000000000001E-2</v>
      </c>
      <c r="D544" s="5">
        <v>5.3E-3</v>
      </c>
      <c r="E544" s="5">
        <v>6.3666666666666663E-3</v>
      </c>
      <c r="F544" s="5">
        <v>6.7750000000000006E-3</v>
      </c>
      <c r="G544" s="5">
        <v>6.5708333333333339E-3</v>
      </c>
      <c r="H544" s="5">
        <v>7.0666666666666664E-3</v>
      </c>
      <c r="I544" s="5">
        <f t="shared" si="88"/>
        <v>5.4400000000000004E-2</v>
      </c>
      <c r="J544" s="5">
        <f t="shared" si="92"/>
        <v>5.3129166666666672E-2</v>
      </c>
      <c r="K544" s="5">
        <f t="shared" si="93"/>
        <v>6.6433333333333344E-2</v>
      </c>
      <c r="L544" s="8">
        <f t="shared" si="90"/>
        <v>3.8742136535030225E-2</v>
      </c>
      <c r="M544" s="8">
        <f t="shared" si="91"/>
        <v>6.3600000000000004E-2</v>
      </c>
      <c r="N544" s="8">
        <f t="shared" si="83"/>
        <v>7.8850000000000003E-2</v>
      </c>
      <c r="O544" s="296">
        <f t="shared" si="89"/>
        <v>-2.4857863464969779E-2</v>
      </c>
      <c r="P544" s="8">
        <f t="shared" si="84"/>
        <v>-4.0107863464969778E-2</v>
      </c>
      <c r="Q544" s="8">
        <f t="shared" si="85"/>
        <v>0.16551645350429456</v>
      </c>
      <c r="R544" s="8">
        <f t="shared" si="86"/>
        <v>8.48E-2</v>
      </c>
      <c r="S544" s="296">
        <f t="shared" si="87"/>
        <v>8.0716453504294558E-2</v>
      </c>
      <c r="U544" s="297"/>
      <c r="V544" s="297"/>
      <c r="W544" s="297"/>
      <c r="X544" s="297"/>
      <c r="Y544" s="297"/>
      <c r="Z544" s="297"/>
      <c r="AA544" s="297"/>
      <c r="AB544" s="297"/>
      <c r="AC544" s="297"/>
      <c r="AE544" s="297"/>
      <c r="AF544" s="297"/>
      <c r="AG544" s="297"/>
      <c r="AH544" s="297"/>
      <c r="AI544" s="297"/>
      <c r="AJ544" s="297"/>
      <c r="AK544" s="297"/>
      <c r="AL544" s="297"/>
      <c r="AM544" s="297"/>
      <c r="AO544" s="297"/>
      <c r="AP544" s="297"/>
      <c r="AQ544" s="297"/>
      <c r="AR544" s="297"/>
      <c r="AS544" s="297"/>
      <c r="AT544" s="297"/>
      <c r="AU544" s="297"/>
      <c r="AV544" s="297"/>
      <c r="AW544" s="297"/>
    </row>
    <row r="545" spans="1:49" x14ac:dyDescent="0.45">
      <c r="A545" s="295">
        <v>25934</v>
      </c>
      <c r="B545" s="12">
        <v>4.3200000000000002E-2</v>
      </c>
      <c r="C545" s="5">
        <v>2.5700000000000004E-2</v>
      </c>
      <c r="D545" s="5">
        <v>5.1000000000000004E-3</v>
      </c>
      <c r="E545" s="5">
        <v>6.1333333333333344E-3</v>
      </c>
      <c r="F545" s="5">
        <v>6.5833333333333334E-3</v>
      </c>
      <c r="G545" s="5">
        <v>6.3583333333333339E-3</v>
      </c>
      <c r="H545" s="5">
        <v>6.7916666666666672E-3</v>
      </c>
      <c r="I545" s="5">
        <f t="shared" si="88"/>
        <v>3.8100000000000002E-2</v>
      </c>
      <c r="J545" s="5">
        <f t="shared" si="92"/>
        <v>3.6841666666666668E-2</v>
      </c>
      <c r="K545" s="5">
        <f t="shared" si="93"/>
        <v>1.8908333333333336E-2</v>
      </c>
      <c r="L545" s="8">
        <f t="shared" si="90"/>
        <v>0.1705906847070795</v>
      </c>
      <c r="M545" s="8">
        <f t="shared" si="91"/>
        <v>6.1200000000000004E-2</v>
      </c>
      <c r="N545" s="8">
        <f t="shared" si="83"/>
        <v>7.6300000000000007E-2</v>
      </c>
      <c r="O545" s="296">
        <f t="shared" si="89"/>
        <v>0.10939068470707949</v>
      </c>
      <c r="P545" s="8">
        <f t="shared" si="84"/>
        <v>9.4290684707079492E-2</v>
      </c>
      <c r="Q545" s="8">
        <f t="shared" si="85"/>
        <v>0.252194643719865</v>
      </c>
      <c r="R545" s="8">
        <f t="shared" si="86"/>
        <v>8.1500000000000003E-2</v>
      </c>
      <c r="S545" s="296">
        <f t="shared" si="87"/>
        <v>0.17069464371986498</v>
      </c>
      <c r="U545" s="297"/>
      <c r="V545" s="297"/>
      <c r="W545" s="297"/>
      <c r="X545" s="297"/>
      <c r="Y545" s="297"/>
      <c r="Z545" s="297"/>
      <c r="AA545" s="297"/>
      <c r="AB545" s="297"/>
      <c r="AC545" s="297"/>
      <c r="AE545" s="297"/>
      <c r="AF545" s="297"/>
      <c r="AG545" s="297"/>
      <c r="AH545" s="297"/>
      <c r="AI545" s="297"/>
      <c r="AJ545" s="297"/>
      <c r="AK545" s="297"/>
      <c r="AL545" s="297"/>
      <c r="AM545" s="297"/>
      <c r="AO545" s="297"/>
      <c r="AP545" s="297"/>
      <c r="AQ545" s="297"/>
      <c r="AR545" s="297"/>
      <c r="AS545" s="297"/>
      <c r="AT545" s="297"/>
      <c r="AU545" s="297"/>
      <c r="AV545" s="297"/>
      <c r="AW545" s="297"/>
    </row>
    <row r="546" spans="1:49" x14ac:dyDescent="0.45">
      <c r="A546" s="295">
        <v>25965</v>
      </c>
      <c r="B546" s="12">
        <v>1.17E-2</v>
      </c>
      <c r="C546" s="5">
        <v>-2.7699999999999999E-2</v>
      </c>
      <c r="D546" s="5">
        <v>4.5999999999999999E-3</v>
      </c>
      <c r="E546" s="5">
        <v>5.8999999999999999E-3</v>
      </c>
      <c r="F546" s="5">
        <v>6.391666666666667E-3</v>
      </c>
      <c r="G546" s="5">
        <v>6.145833333333333E-3</v>
      </c>
      <c r="H546" s="5">
        <v>6.575000000000001E-3</v>
      </c>
      <c r="I546" s="5">
        <f t="shared" si="88"/>
        <v>7.1000000000000004E-3</v>
      </c>
      <c r="J546" s="5">
        <f t="shared" si="92"/>
        <v>5.5541666666666673E-3</v>
      </c>
      <c r="K546" s="5">
        <f t="shared" si="93"/>
        <v>-3.4275E-2</v>
      </c>
      <c r="L546" s="8">
        <f t="shared" si="90"/>
        <v>0.1216959610893662</v>
      </c>
      <c r="M546" s="8">
        <f t="shared" si="91"/>
        <v>5.5199999999999999E-2</v>
      </c>
      <c r="N546" s="8">
        <f t="shared" si="83"/>
        <v>7.3749999999999996E-2</v>
      </c>
      <c r="O546" s="296">
        <f t="shared" si="89"/>
        <v>6.6495961089366201E-2</v>
      </c>
      <c r="P546" s="8">
        <f t="shared" si="84"/>
        <v>4.7945961089366204E-2</v>
      </c>
      <c r="Q546" s="8">
        <f t="shared" si="85"/>
        <v>0.10151891078333919</v>
      </c>
      <c r="R546" s="8">
        <f t="shared" si="86"/>
        <v>7.8900000000000012E-2</v>
      </c>
      <c r="S546" s="296">
        <f t="shared" si="87"/>
        <v>2.2618910783339177E-2</v>
      </c>
      <c r="U546" s="297"/>
      <c r="V546" s="297"/>
      <c r="W546" s="297"/>
      <c r="X546" s="297"/>
      <c r="Y546" s="297"/>
      <c r="Z546" s="297"/>
      <c r="AA546" s="297"/>
      <c r="AB546" s="297"/>
      <c r="AC546" s="297"/>
      <c r="AE546" s="297"/>
      <c r="AF546" s="297"/>
      <c r="AG546" s="297"/>
      <c r="AH546" s="297"/>
      <c r="AI546" s="297"/>
      <c r="AJ546" s="297"/>
      <c r="AK546" s="297"/>
      <c r="AL546" s="297"/>
      <c r="AM546" s="297"/>
      <c r="AO546" s="297"/>
      <c r="AP546" s="297"/>
      <c r="AQ546" s="297"/>
      <c r="AR546" s="297"/>
      <c r="AS546" s="297"/>
      <c r="AT546" s="297"/>
      <c r="AU546" s="297"/>
      <c r="AV546" s="297"/>
      <c r="AW546" s="297"/>
    </row>
    <row r="547" spans="1:49" x14ac:dyDescent="0.45">
      <c r="A547" s="295">
        <v>25993</v>
      </c>
      <c r="B547" s="12">
        <v>3.9399999999999998E-2</v>
      </c>
      <c r="C547" s="5">
        <v>3.3099999999999997E-2</v>
      </c>
      <c r="D547" s="5">
        <v>5.5999999999999991E-3</v>
      </c>
      <c r="E547" s="5">
        <v>6.0083333333333334E-3</v>
      </c>
      <c r="F547" s="5">
        <v>6.4416666666666667E-3</v>
      </c>
      <c r="G547" s="5">
        <v>6.2250000000000005E-3</v>
      </c>
      <c r="H547" s="5">
        <v>6.7083333333333335E-3</v>
      </c>
      <c r="I547" s="5">
        <f t="shared" si="88"/>
        <v>3.3799999999999997E-2</v>
      </c>
      <c r="J547" s="5">
        <f t="shared" si="92"/>
        <v>3.3174999999999996E-2</v>
      </c>
      <c r="K547" s="5">
        <f t="shared" si="93"/>
        <v>2.6391666666666664E-2</v>
      </c>
      <c r="L547" s="8">
        <f t="shared" si="90"/>
        <v>0.1607833352810506</v>
      </c>
      <c r="M547" s="8">
        <f t="shared" si="91"/>
        <v>6.7199999999999982E-2</v>
      </c>
      <c r="N547" s="8">
        <f t="shared" si="83"/>
        <v>7.4700000000000003E-2</v>
      </c>
      <c r="O547" s="296">
        <f t="shared" si="89"/>
        <v>9.3583335281050617E-2</v>
      </c>
      <c r="P547" s="8">
        <f t="shared" si="84"/>
        <v>8.6083335281050596E-2</v>
      </c>
      <c r="Q547" s="8">
        <f t="shared" si="85"/>
        <v>0.11217668757844756</v>
      </c>
      <c r="R547" s="8">
        <f t="shared" si="86"/>
        <v>8.0500000000000002E-2</v>
      </c>
      <c r="S547" s="296">
        <f t="shared" si="87"/>
        <v>3.1676687578447563E-2</v>
      </c>
      <c r="U547" s="297"/>
      <c r="V547" s="297"/>
      <c r="W547" s="297"/>
      <c r="X547" s="297"/>
      <c r="Y547" s="297"/>
      <c r="Z547" s="297"/>
      <c r="AA547" s="297"/>
      <c r="AB547" s="297"/>
      <c r="AC547" s="297"/>
      <c r="AE547" s="297"/>
      <c r="AF547" s="297"/>
      <c r="AG547" s="297"/>
      <c r="AH547" s="297"/>
      <c r="AI547" s="297"/>
      <c r="AJ547" s="297"/>
      <c r="AK547" s="297"/>
      <c r="AL547" s="297"/>
      <c r="AM547" s="297"/>
      <c r="AO547" s="297"/>
      <c r="AP547" s="297"/>
      <c r="AQ547" s="297"/>
      <c r="AR547" s="297"/>
      <c r="AS547" s="297"/>
      <c r="AT547" s="297"/>
      <c r="AU547" s="297"/>
      <c r="AV547" s="297"/>
      <c r="AW547" s="297"/>
    </row>
    <row r="548" spans="1:49" x14ac:dyDescent="0.45">
      <c r="A548" s="295">
        <v>26024</v>
      </c>
      <c r="B548" s="12">
        <v>3.8899999999999997E-2</v>
      </c>
      <c r="C548" s="5">
        <v>-3.49E-2</v>
      </c>
      <c r="D548" s="5">
        <v>4.7999999999999996E-3</v>
      </c>
      <c r="E548" s="5">
        <v>6.0416666666666665E-3</v>
      </c>
      <c r="F548" s="5">
        <v>6.45E-3</v>
      </c>
      <c r="G548" s="5">
        <v>6.2458333333333324E-3</v>
      </c>
      <c r="H548" s="5">
        <v>6.7250000000000001E-3</v>
      </c>
      <c r="I548" s="5">
        <f t="shared" si="88"/>
        <v>3.4099999999999998E-2</v>
      </c>
      <c r="J548" s="5">
        <f t="shared" si="92"/>
        <v>3.2654166666666665E-2</v>
      </c>
      <c r="K548" s="5">
        <f t="shared" si="93"/>
        <v>-4.1625000000000002E-2</v>
      </c>
      <c r="L548" s="8">
        <f t="shared" si="90"/>
        <v>0.32157567892984407</v>
      </c>
      <c r="M548" s="8">
        <f t="shared" si="91"/>
        <v>5.7599999999999998E-2</v>
      </c>
      <c r="N548" s="8">
        <f t="shared" si="83"/>
        <v>7.4949999999999989E-2</v>
      </c>
      <c r="O548" s="296">
        <f t="shared" si="89"/>
        <v>0.26397567892984408</v>
      </c>
      <c r="P548" s="8">
        <f t="shared" si="84"/>
        <v>0.24662567892984408</v>
      </c>
      <c r="Q548" s="8">
        <f t="shared" si="85"/>
        <v>0.18328929686027973</v>
      </c>
      <c r="R548" s="8">
        <f t="shared" si="86"/>
        <v>8.0699999999999994E-2</v>
      </c>
      <c r="S548" s="296">
        <f t="shared" si="87"/>
        <v>0.10258929686027973</v>
      </c>
      <c r="U548" s="297"/>
      <c r="V548" s="297"/>
      <c r="W548" s="297"/>
      <c r="X548" s="297"/>
      <c r="Y548" s="297"/>
      <c r="Z548" s="297"/>
      <c r="AA548" s="297"/>
      <c r="AB548" s="297"/>
      <c r="AC548" s="297"/>
      <c r="AE548" s="297"/>
      <c r="AF548" s="297"/>
      <c r="AG548" s="297"/>
      <c r="AH548" s="297"/>
      <c r="AI548" s="297"/>
      <c r="AJ548" s="297"/>
      <c r="AK548" s="297"/>
      <c r="AL548" s="297"/>
      <c r="AM548" s="297"/>
      <c r="AO548" s="297"/>
      <c r="AP548" s="297"/>
      <c r="AQ548" s="297"/>
      <c r="AR548" s="297"/>
      <c r="AS548" s="297"/>
      <c r="AT548" s="297"/>
      <c r="AU548" s="297"/>
      <c r="AV548" s="297"/>
      <c r="AW548" s="297"/>
    </row>
    <row r="549" spans="1:49" x14ac:dyDescent="0.45">
      <c r="A549" s="295">
        <v>26054</v>
      </c>
      <c r="B549" s="12">
        <v>-3.9100000000000003E-2</v>
      </c>
      <c r="C549" s="5">
        <v>-3.5100000000000006E-2</v>
      </c>
      <c r="D549" s="5">
        <v>4.7000000000000002E-3</v>
      </c>
      <c r="E549" s="5">
        <v>6.2750000000000002E-3</v>
      </c>
      <c r="F549" s="5">
        <v>6.5333333333333328E-3</v>
      </c>
      <c r="G549" s="5">
        <v>6.4041666666666665E-3</v>
      </c>
      <c r="H549" s="5">
        <v>6.9499999999999996E-3</v>
      </c>
      <c r="I549" s="5">
        <f t="shared" si="88"/>
        <v>-4.3800000000000006E-2</v>
      </c>
      <c r="J549" s="5">
        <f t="shared" si="92"/>
        <v>-4.5504166666666672E-2</v>
      </c>
      <c r="K549" s="5">
        <f t="shared" si="93"/>
        <v>-4.2050000000000004E-2</v>
      </c>
      <c r="L549" s="8">
        <f t="shared" si="90"/>
        <v>0.34780521108436369</v>
      </c>
      <c r="M549" s="8">
        <f t="shared" si="91"/>
        <v>5.6400000000000006E-2</v>
      </c>
      <c r="N549" s="8">
        <f t="shared" si="83"/>
        <v>7.6850000000000002E-2</v>
      </c>
      <c r="O549" s="296">
        <f t="shared" si="89"/>
        <v>0.29140521108436368</v>
      </c>
      <c r="P549" s="8">
        <f t="shared" si="84"/>
        <v>0.27095521108436371</v>
      </c>
      <c r="Q549" s="8">
        <f t="shared" si="85"/>
        <v>0.2037489114817963</v>
      </c>
      <c r="R549" s="8">
        <f t="shared" si="86"/>
        <v>8.3400000000000002E-2</v>
      </c>
      <c r="S549" s="296">
        <f t="shared" si="87"/>
        <v>0.1203489114817963</v>
      </c>
      <c r="U549" s="297"/>
      <c r="V549" s="297"/>
      <c r="W549" s="297"/>
      <c r="X549" s="297"/>
      <c r="Y549" s="297"/>
      <c r="Z549" s="297"/>
      <c r="AA549" s="297"/>
      <c r="AB549" s="297"/>
      <c r="AC549" s="297"/>
      <c r="AE549" s="297"/>
      <c r="AF549" s="297"/>
      <c r="AG549" s="297"/>
      <c r="AH549" s="297"/>
      <c r="AI549" s="297"/>
      <c r="AJ549" s="297"/>
      <c r="AK549" s="297"/>
      <c r="AL549" s="297"/>
      <c r="AM549" s="297"/>
      <c r="AO549" s="297"/>
      <c r="AP549" s="297"/>
      <c r="AQ549" s="297"/>
      <c r="AR549" s="297"/>
      <c r="AS549" s="297"/>
      <c r="AT549" s="297"/>
      <c r="AU549" s="297"/>
      <c r="AV549" s="297"/>
      <c r="AW549" s="297"/>
    </row>
    <row r="550" spans="1:49" x14ac:dyDescent="0.45">
      <c r="A550" s="295">
        <v>26085</v>
      </c>
      <c r="B550" s="12">
        <v>3.3E-3</v>
      </c>
      <c r="C550" s="5">
        <v>3.9800000000000002E-2</v>
      </c>
      <c r="D550" s="5">
        <v>5.5999999999999991E-3</v>
      </c>
      <c r="E550" s="5">
        <v>6.3666666666666663E-3</v>
      </c>
      <c r="F550" s="5">
        <v>6.6333333333333331E-3</v>
      </c>
      <c r="G550" s="5">
        <v>6.4999999999999988E-3</v>
      </c>
      <c r="H550" s="5">
        <v>7.0416666666666657E-3</v>
      </c>
      <c r="I550" s="5">
        <f t="shared" si="88"/>
        <v>-2.2999999999999991E-3</v>
      </c>
      <c r="J550" s="5">
        <f t="shared" si="92"/>
        <v>-3.1999999999999989E-3</v>
      </c>
      <c r="K550" s="5">
        <f t="shared" si="93"/>
        <v>3.2758333333333334E-2</v>
      </c>
      <c r="L550" s="8">
        <f t="shared" si="90"/>
        <v>0.41834798435173282</v>
      </c>
      <c r="M550" s="8">
        <f t="shared" si="91"/>
        <v>6.7199999999999982E-2</v>
      </c>
      <c r="N550" s="8">
        <f t="shared" si="83"/>
        <v>7.7999999999999986E-2</v>
      </c>
      <c r="O550" s="296">
        <f t="shared" si="89"/>
        <v>0.35114798435173283</v>
      </c>
      <c r="P550" s="8">
        <f t="shared" si="84"/>
        <v>0.34034798435173286</v>
      </c>
      <c r="Q550" s="8">
        <f t="shared" si="85"/>
        <v>0.32900628388062403</v>
      </c>
      <c r="R550" s="8">
        <f t="shared" si="86"/>
        <v>8.4499999999999992E-2</v>
      </c>
      <c r="S550" s="296">
        <f t="shared" si="87"/>
        <v>0.24450628388062404</v>
      </c>
      <c r="U550" s="297"/>
      <c r="V550" s="297"/>
      <c r="W550" s="297"/>
      <c r="X550" s="297"/>
      <c r="Y550" s="297"/>
      <c r="Z550" s="297"/>
      <c r="AA550" s="297"/>
      <c r="AB550" s="297"/>
      <c r="AC550" s="297"/>
      <c r="AE550" s="297"/>
      <c r="AF550" s="297"/>
      <c r="AG550" s="297"/>
      <c r="AH550" s="297"/>
      <c r="AI550" s="297"/>
      <c r="AJ550" s="297"/>
      <c r="AK550" s="297"/>
      <c r="AL550" s="297"/>
      <c r="AM550" s="297"/>
      <c r="AO550" s="297"/>
      <c r="AP550" s="297"/>
      <c r="AQ550" s="297"/>
      <c r="AR550" s="297"/>
      <c r="AS550" s="297"/>
      <c r="AT550" s="297"/>
      <c r="AU550" s="297"/>
      <c r="AV550" s="297"/>
      <c r="AW550" s="297"/>
    </row>
    <row r="551" spans="1:49" x14ac:dyDescent="0.45">
      <c r="A551" s="295">
        <v>26115</v>
      </c>
      <c r="B551" s="12">
        <v>-3.8699999999999998E-2</v>
      </c>
      <c r="C551" s="5">
        <v>-2.2499999999999999E-2</v>
      </c>
      <c r="D551" s="5">
        <v>5.1999999999999998E-3</v>
      </c>
      <c r="E551" s="5">
        <v>6.3666666666666663E-3</v>
      </c>
      <c r="F551" s="5">
        <v>6.6333333333333331E-3</v>
      </c>
      <c r="G551" s="5">
        <v>6.4999999999999988E-3</v>
      </c>
      <c r="H551" s="5">
        <v>7.0416666666666657E-3</v>
      </c>
      <c r="I551" s="5">
        <f t="shared" si="88"/>
        <v>-4.3899999999999995E-2</v>
      </c>
      <c r="J551" s="5">
        <f t="shared" si="92"/>
        <v>-4.5199999999999997E-2</v>
      </c>
      <c r="K551" s="5">
        <f t="shared" si="93"/>
        <v>-2.9541666666666664E-2</v>
      </c>
      <c r="L551" s="8">
        <f t="shared" si="90"/>
        <v>0.26609519672887072</v>
      </c>
      <c r="M551" s="8">
        <f t="shared" si="91"/>
        <v>6.2399999999999997E-2</v>
      </c>
      <c r="N551" s="8">
        <f t="shared" si="83"/>
        <v>7.7999999999999986E-2</v>
      </c>
      <c r="O551" s="296">
        <f t="shared" si="89"/>
        <v>0.20369519672887071</v>
      </c>
      <c r="P551" s="8">
        <f t="shared" si="84"/>
        <v>0.18809519672887073</v>
      </c>
      <c r="Q551" s="8">
        <f t="shared" si="85"/>
        <v>0.1839092704759957</v>
      </c>
      <c r="R551" s="8">
        <f t="shared" si="86"/>
        <v>8.4499999999999992E-2</v>
      </c>
      <c r="S551" s="296">
        <f t="shared" si="87"/>
        <v>9.9409270475995709E-2</v>
      </c>
      <c r="U551" s="297"/>
      <c r="V551" s="297"/>
      <c r="W551" s="297"/>
      <c r="X551" s="297"/>
      <c r="Y551" s="297"/>
      <c r="Z551" s="297"/>
      <c r="AA551" s="297"/>
      <c r="AB551" s="297"/>
      <c r="AC551" s="297"/>
      <c r="AE551" s="297"/>
      <c r="AF551" s="297"/>
      <c r="AG551" s="297"/>
      <c r="AH551" s="297"/>
      <c r="AI551" s="297"/>
      <c r="AJ551" s="297"/>
      <c r="AK551" s="297"/>
      <c r="AL551" s="297"/>
      <c r="AM551" s="297"/>
      <c r="AO551" s="297"/>
      <c r="AP551" s="297"/>
      <c r="AQ551" s="297"/>
      <c r="AR551" s="297"/>
      <c r="AS551" s="297"/>
      <c r="AT551" s="297"/>
      <c r="AU551" s="297"/>
      <c r="AV551" s="297"/>
      <c r="AW551" s="297"/>
    </row>
    <row r="552" spans="1:49" x14ac:dyDescent="0.45">
      <c r="A552" s="295">
        <v>26146</v>
      </c>
      <c r="B552" s="12">
        <v>3.8800000000000001E-2</v>
      </c>
      <c r="C552" s="5">
        <v>-2.4699999999999996E-2</v>
      </c>
      <c r="D552" s="5">
        <v>5.4999999999999997E-3</v>
      </c>
      <c r="E552" s="5">
        <v>6.3249999999999999E-3</v>
      </c>
      <c r="F552" s="5">
        <v>6.6083333333333324E-3</v>
      </c>
      <c r="G552" s="5">
        <v>6.4666666666666657E-3</v>
      </c>
      <c r="H552" s="5">
        <v>7.000000000000001E-3</v>
      </c>
      <c r="I552" s="5">
        <f t="shared" si="88"/>
        <v>3.3300000000000003E-2</v>
      </c>
      <c r="J552" s="5">
        <f t="shared" si="92"/>
        <v>3.2333333333333339E-2</v>
      </c>
      <c r="K552" s="5">
        <f t="shared" si="93"/>
        <v>-3.1699999999999999E-2</v>
      </c>
      <c r="L552" s="8">
        <f t="shared" si="90"/>
        <v>0.25522016640766476</v>
      </c>
      <c r="M552" s="8">
        <f t="shared" si="91"/>
        <v>6.6000000000000003E-2</v>
      </c>
      <c r="N552" s="8">
        <f t="shared" ref="N552:N615" si="94">G552*12</f>
        <v>7.7599999999999988E-2</v>
      </c>
      <c r="O552" s="296">
        <f t="shared" si="89"/>
        <v>0.18922016640766476</v>
      </c>
      <c r="P552" s="8">
        <f t="shared" ref="P552:P615" si="95">L552-N552</f>
        <v>0.17762016640766476</v>
      </c>
      <c r="Q552" s="8">
        <f t="shared" ref="Q552:Q615" si="96">((1+C541)*(1+C542)*(1+C543)*(1+C544)*(1+C545)*(1+C546)*(1+C547)*(1+C548)*(1+C549)*(1+C550)*(1+C551)*(1+C552))-1</f>
        <v>9.126425809964922E-2</v>
      </c>
      <c r="R552" s="8">
        <f t="shared" ref="R552:R615" si="97">H552*12</f>
        <v>8.4000000000000019E-2</v>
      </c>
      <c r="S552" s="296">
        <f t="shared" ref="S552:S615" si="98">Q552-R552</f>
        <v>7.2642580996492012E-3</v>
      </c>
      <c r="U552" s="297"/>
      <c r="V552" s="297"/>
      <c r="W552" s="297"/>
      <c r="X552" s="297"/>
      <c r="Y552" s="297"/>
      <c r="Z552" s="297"/>
      <c r="AA552" s="297"/>
      <c r="AB552" s="297"/>
      <c r="AC552" s="297"/>
      <c r="AE552" s="297"/>
      <c r="AF552" s="297"/>
      <c r="AG552" s="297"/>
      <c r="AH552" s="297"/>
      <c r="AI552" s="297"/>
      <c r="AJ552" s="297"/>
      <c r="AK552" s="297"/>
      <c r="AL552" s="297"/>
      <c r="AM552" s="297"/>
      <c r="AO552" s="297"/>
      <c r="AP552" s="297"/>
      <c r="AQ552" s="297"/>
      <c r="AR552" s="297"/>
      <c r="AS552" s="297"/>
      <c r="AT552" s="297"/>
      <c r="AU552" s="297"/>
      <c r="AV552" s="297"/>
      <c r="AW552" s="297"/>
    </row>
    <row r="553" spans="1:49" x14ac:dyDescent="0.45">
      <c r="A553" s="295">
        <v>26177</v>
      </c>
      <c r="B553" s="12">
        <v>-4.4000000000000003E-3</v>
      </c>
      <c r="C553" s="5">
        <v>-1.4600000000000002E-2</v>
      </c>
      <c r="D553" s="5">
        <v>5.0000000000000001E-3</v>
      </c>
      <c r="E553" s="5">
        <v>6.1999999999999998E-3</v>
      </c>
      <c r="F553" s="5">
        <v>6.508333333333333E-3</v>
      </c>
      <c r="G553" s="5">
        <v>6.3541666666666659E-3</v>
      </c>
      <c r="H553" s="5">
        <v>6.8166666666666662E-3</v>
      </c>
      <c r="I553" s="5">
        <f t="shared" si="88"/>
        <v>-9.4000000000000004E-3</v>
      </c>
      <c r="J553" s="5">
        <f t="shared" si="92"/>
        <v>-1.0754166666666665E-2</v>
      </c>
      <c r="K553" s="5">
        <f t="shared" si="93"/>
        <v>-2.1416666666666667E-2</v>
      </c>
      <c r="L553" s="8">
        <f t="shared" si="90"/>
        <v>0.20603860034305232</v>
      </c>
      <c r="M553" s="8">
        <f t="shared" si="91"/>
        <v>0.06</v>
      </c>
      <c r="N553" s="8">
        <f t="shared" si="94"/>
        <v>7.6249999999999984E-2</v>
      </c>
      <c r="O553" s="296">
        <f t="shared" si="89"/>
        <v>0.14603860034305233</v>
      </c>
      <c r="P553" s="8">
        <f t="shared" si="95"/>
        <v>0.12978860034305234</v>
      </c>
      <c r="Q553" s="8">
        <f t="shared" si="96"/>
        <v>8.7731944094066705E-2</v>
      </c>
      <c r="R553" s="8">
        <f t="shared" si="97"/>
        <v>8.1799999999999998E-2</v>
      </c>
      <c r="S553" s="296">
        <f t="shared" si="98"/>
        <v>5.9319440940667073E-3</v>
      </c>
      <c r="U553" s="297"/>
      <c r="V553" s="297"/>
      <c r="W553" s="297"/>
      <c r="X553" s="297"/>
      <c r="Y553" s="297"/>
      <c r="Z553" s="297"/>
      <c r="AA553" s="297"/>
      <c r="AB553" s="297"/>
      <c r="AC553" s="297"/>
      <c r="AE553" s="297"/>
      <c r="AF553" s="297"/>
      <c r="AG553" s="297"/>
      <c r="AH553" s="297"/>
      <c r="AI553" s="297"/>
      <c r="AJ553" s="297"/>
      <c r="AK553" s="297"/>
      <c r="AL553" s="297"/>
      <c r="AM553" s="297"/>
      <c r="AO553" s="297"/>
      <c r="AP553" s="297"/>
      <c r="AQ553" s="297"/>
      <c r="AR553" s="297"/>
      <c r="AS553" s="297"/>
      <c r="AT553" s="297"/>
      <c r="AU553" s="297"/>
      <c r="AV553" s="297"/>
      <c r="AW553" s="297"/>
    </row>
    <row r="554" spans="1:49" x14ac:dyDescent="0.45">
      <c r="A554" s="295">
        <v>26207</v>
      </c>
      <c r="B554" s="12">
        <v>-3.9199999999999999E-2</v>
      </c>
      <c r="C554" s="5">
        <v>1.7000000000000001E-2</v>
      </c>
      <c r="D554" s="5">
        <v>4.7000000000000002E-3</v>
      </c>
      <c r="E554" s="5">
        <v>6.1583333333333334E-3</v>
      </c>
      <c r="F554" s="5">
        <v>6.4083333333333336E-3</v>
      </c>
      <c r="G554" s="5">
        <v>6.2833333333333343E-3</v>
      </c>
      <c r="H554" s="5">
        <v>6.7499999999999991E-3</v>
      </c>
      <c r="I554" s="5">
        <f t="shared" si="88"/>
        <v>-4.3900000000000002E-2</v>
      </c>
      <c r="J554" s="5">
        <f t="shared" si="92"/>
        <v>-4.5483333333333334E-2</v>
      </c>
      <c r="K554" s="5">
        <f t="shared" si="93"/>
        <v>1.0250000000000002E-2</v>
      </c>
      <c r="L554" s="8">
        <f t="shared" si="90"/>
        <v>0.16846010609015272</v>
      </c>
      <c r="M554" s="8">
        <f t="shared" si="91"/>
        <v>5.6400000000000006E-2</v>
      </c>
      <c r="N554" s="8">
        <f t="shared" si="94"/>
        <v>7.5400000000000009E-2</v>
      </c>
      <c r="O554" s="296">
        <f t="shared" si="89"/>
        <v>0.11206010609015271</v>
      </c>
      <c r="P554" s="8">
        <f t="shared" si="95"/>
        <v>9.3060106090152708E-2</v>
      </c>
      <c r="Q554" s="8">
        <f t="shared" si="96"/>
        <v>0.12295542294555473</v>
      </c>
      <c r="R554" s="8">
        <f t="shared" si="97"/>
        <v>8.0999999999999989E-2</v>
      </c>
      <c r="S554" s="296">
        <f t="shared" si="98"/>
        <v>4.1955422945554738E-2</v>
      </c>
      <c r="U554" s="297"/>
      <c r="V554" s="297"/>
      <c r="W554" s="297"/>
      <c r="X554" s="297"/>
      <c r="Y554" s="297"/>
      <c r="Z554" s="297"/>
      <c r="AA554" s="297"/>
      <c r="AB554" s="297"/>
      <c r="AC554" s="297"/>
      <c r="AE554" s="297"/>
      <c r="AF554" s="297"/>
      <c r="AG554" s="297"/>
      <c r="AH554" s="297"/>
      <c r="AI554" s="297"/>
      <c r="AJ554" s="297"/>
      <c r="AK554" s="297"/>
      <c r="AL554" s="297"/>
      <c r="AM554" s="297"/>
      <c r="AO554" s="297"/>
      <c r="AP554" s="297"/>
      <c r="AQ554" s="297"/>
      <c r="AR554" s="297"/>
      <c r="AS554" s="297"/>
      <c r="AT554" s="297"/>
      <c r="AU554" s="297"/>
      <c r="AV554" s="297"/>
      <c r="AW554" s="297"/>
    </row>
    <row r="555" spans="1:49" x14ac:dyDescent="0.45">
      <c r="A555" s="295">
        <v>26238</v>
      </c>
      <c r="B555" s="12">
        <v>2.0000000000000001E-4</v>
      </c>
      <c r="C555" s="5">
        <v>-5.5000000000000005E-3</v>
      </c>
      <c r="D555" s="5">
        <v>5.1000000000000004E-3</v>
      </c>
      <c r="E555" s="5">
        <v>6.0499999999999998E-3</v>
      </c>
      <c r="F555" s="5">
        <v>6.3E-3</v>
      </c>
      <c r="G555" s="5">
        <v>6.1749999999999991E-3</v>
      </c>
      <c r="H555" s="5">
        <v>6.6333333333333331E-3</v>
      </c>
      <c r="I555" s="5">
        <f t="shared" si="88"/>
        <v>-4.9000000000000007E-3</v>
      </c>
      <c r="J555" s="5">
        <f t="shared" si="92"/>
        <v>-5.9749999999999994E-3</v>
      </c>
      <c r="K555" s="5">
        <f t="shared" si="93"/>
        <v>-1.2133333333333333E-2</v>
      </c>
      <c r="L555" s="8">
        <f t="shared" si="90"/>
        <v>0.11240605188594244</v>
      </c>
      <c r="M555" s="8">
        <f t="shared" si="91"/>
        <v>6.1200000000000004E-2</v>
      </c>
      <c r="N555" s="8">
        <f t="shared" si="94"/>
        <v>7.4099999999999985E-2</v>
      </c>
      <c r="O555" s="296">
        <f t="shared" si="89"/>
        <v>5.1206051885942433E-2</v>
      </c>
      <c r="P555" s="8">
        <f t="shared" si="95"/>
        <v>3.8306051885942452E-2</v>
      </c>
      <c r="Q555" s="8">
        <f t="shared" si="96"/>
        <v>1.7566440199867195E-2</v>
      </c>
      <c r="R555" s="8">
        <f t="shared" si="97"/>
        <v>7.9600000000000004E-2</v>
      </c>
      <c r="S555" s="296">
        <f t="shared" si="98"/>
        <v>-6.2033559800132809E-2</v>
      </c>
      <c r="U555" s="297"/>
      <c r="V555" s="297"/>
      <c r="W555" s="297"/>
      <c r="X555" s="297"/>
      <c r="Y555" s="297"/>
      <c r="Z555" s="297"/>
      <c r="AA555" s="297"/>
      <c r="AB555" s="297"/>
      <c r="AC555" s="297"/>
      <c r="AE555" s="297"/>
      <c r="AF555" s="297"/>
      <c r="AG555" s="297"/>
      <c r="AH555" s="297"/>
      <c r="AI555" s="297"/>
      <c r="AJ555" s="297"/>
      <c r="AK555" s="297"/>
      <c r="AL555" s="297"/>
      <c r="AM555" s="297"/>
      <c r="AO555" s="297"/>
      <c r="AP555" s="297"/>
      <c r="AQ555" s="297"/>
      <c r="AR555" s="297"/>
      <c r="AS555" s="297"/>
      <c r="AT555" s="297"/>
      <c r="AU555" s="297"/>
      <c r="AV555" s="297"/>
      <c r="AW555" s="297"/>
    </row>
    <row r="556" spans="1:49" x14ac:dyDescent="0.45">
      <c r="A556" s="295">
        <v>26268</v>
      </c>
      <c r="B556" s="12">
        <v>8.8800000000000004E-2</v>
      </c>
      <c r="C556" s="5">
        <v>8.0600000000000005E-2</v>
      </c>
      <c r="D556" s="5">
        <v>5.0000000000000001E-3</v>
      </c>
      <c r="E556" s="5">
        <v>6.0416666666666665E-3</v>
      </c>
      <c r="F556" s="5">
        <v>6.3083333333333333E-3</v>
      </c>
      <c r="G556" s="5">
        <v>6.1749999999999991E-3</v>
      </c>
      <c r="H556" s="5">
        <v>6.5833333333333334E-3</v>
      </c>
      <c r="I556" s="5">
        <f t="shared" si="88"/>
        <v>8.3799999999999999E-2</v>
      </c>
      <c r="J556" s="5">
        <f t="shared" si="92"/>
        <v>8.2625000000000004E-2</v>
      </c>
      <c r="K556" s="5">
        <f t="shared" si="93"/>
        <v>7.4016666666666675E-2</v>
      </c>
      <c r="L556" s="8">
        <f t="shared" si="90"/>
        <v>0.14295339180278721</v>
      </c>
      <c r="M556" s="8">
        <f t="shared" si="91"/>
        <v>0.06</v>
      </c>
      <c r="N556" s="8">
        <f t="shared" si="94"/>
        <v>7.4099999999999985E-2</v>
      </c>
      <c r="O556" s="296">
        <f t="shared" si="89"/>
        <v>8.2953391802787213E-2</v>
      </c>
      <c r="P556" s="8">
        <f t="shared" si="95"/>
        <v>6.8853391802787225E-2</v>
      </c>
      <c r="Q556" s="8">
        <f t="shared" si="96"/>
        <v>2.4296502356754734E-2</v>
      </c>
      <c r="R556" s="8">
        <f t="shared" si="97"/>
        <v>7.9000000000000001E-2</v>
      </c>
      <c r="S556" s="296">
        <f t="shared" si="98"/>
        <v>-5.4703497643245266E-2</v>
      </c>
      <c r="U556" s="297"/>
      <c r="V556" s="297"/>
      <c r="W556" s="297"/>
      <c r="X556" s="297"/>
      <c r="Y556" s="297"/>
      <c r="Z556" s="297"/>
      <c r="AA556" s="297"/>
      <c r="AB556" s="297"/>
      <c r="AC556" s="297"/>
      <c r="AE556" s="297"/>
      <c r="AF556" s="297"/>
      <c r="AG556" s="297"/>
      <c r="AH556" s="297"/>
      <c r="AI556" s="297"/>
      <c r="AJ556" s="297"/>
      <c r="AK556" s="297"/>
      <c r="AL556" s="297"/>
      <c r="AM556" s="297"/>
      <c r="AO556" s="297"/>
      <c r="AP556" s="297"/>
      <c r="AQ556" s="297"/>
      <c r="AR556" s="297"/>
      <c r="AS556" s="297"/>
      <c r="AT556" s="297"/>
      <c r="AU556" s="297"/>
      <c r="AV556" s="297"/>
      <c r="AW556" s="297"/>
    </row>
    <row r="557" spans="1:49" x14ac:dyDescent="0.45">
      <c r="A557" s="295">
        <v>26299</v>
      </c>
      <c r="B557" s="12">
        <v>2.06E-2</v>
      </c>
      <c r="C557" s="5">
        <v>-7.4000000000000012E-3</v>
      </c>
      <c r="D557" s="5">
        <v>5.0000000000000001E-3</v>
      </c>
      <c r="E557" s="5">
        <v>5.9916666666666677E-3</v>
      </c>
      <c r="F557" s="5">
        <v>6.266666666666666E-3</v>
      </c>
      <c r="G557" s="5">
        <v>6.1291666666666664E-3</v>
      </c>
      <c r="H557" s="5">
        <v>6.4916666666666664E-3</v>
      </c>
      <c r="I557" s="5">
        <f t="shared" si="88"/>
        <v>1.5599999999999999E-2</v>
      </c>
      <c r="J557" s="5">
        <f t="shared" si="92"/>
        <v>1.4470833333333334E-2</v>
      </c>
      <c r="K557" s="5">
        <f t="shared" si="93"/>
        <v>-1.3891666666666667E-2</v>
      </c>
      <c r="L557" s="8">
        <f t="shared" si="90"/>
        <v>0.11819232330705987</v>
      </c>
      <c r="M557" s="8">
        <f t="shared" si="91"/>
        <v>0.06</v>
      </c>
      <c r="N557" s="8">
        <f t="shared" si="94"/>
        <v>7.3550000000000004E-2</v>
      </c>
      <c r="O557" s="296">
        <f t="shared" si="89"/>
        <v>5.8192323307059868E-2</v>
      </c>
      <c r="P557" s="8">
        <f t="shared" si="95"/>
        <v>4.4642323307059861E-2</v>
      </c>
      <c r="Q557" s="8">
        <f t="shared" si="96"/>
        <v>-8.7582058698308929E-3</v>
      </c>
      <c r="R557" s="8">
        <f t="shared" si="97"/>
        <v>7.7899999999999997E-2</v>
      </c>
      <c r="S557" s="296">
        <f t="shared" si="98"/>
        <v>-8.665820586983089E-2</v>
      </c>
      <c r="U557" s="297"/>
      <c r="V557" s="297"/>
      <c r="W557" s="297"/>
      <c r="X557" s="297"/>
      <c r="Y557" s="297"/>
      <c r="Z557" s="297"/>
      <c r="AA557" s="297"/>
      <c r="AB557" s="297"/>
      <c r="AC557" s="297"/>
      <c r="AE557" s="297"/>
      <c r="AF557" s="297"/>
      <c r="AG557" s="297"/>
      <c r="AH557" s="297"/>
      <c r="AI557" s="297"/>
      <c r="AJ557" s="297"/>
      <c r="AK557" s="297"/>
      <c r="AL557" s="297"/>
      <c r="AM557" s="297"/>
      <c r="AO557" s="297"/>
      <c r="AP557" s="297"/>
      <c r="AQ557" s="297"/>
      <c r="AR557" s="297"/>
      <c r="AS557" s="297"/>
      <c r="AT557" s="297"/>
      <c r="AU557" s="297"/>
      <c r="AV557" s="297"/>
      <c r="AW557" s="297"/>
    </row>
    <row r="558" spans="1:49" x14ac:dyDescent="0.45">
      <c r="A558" s="295">
        <v>26330</v>
      </c>
      <c r="B558" s="12">
        <v>2.7699999999999999E-2</v>
      </c>
      <c r="C558" s="5">
        <v>-2.4E-2</v>
      </c>
      <c r="D558" s="5">
        <v>4.7000000000000002E-3</v>
      </c>
      <c r="E558" s="5">
        <v>6.0583333333333331E-3</v>
      </c>
      <c r="F558" s="5">
        <v>6.266666666666666E-3</v>
      </c>
      <c r="G558" s="5">
        <v>6.1624999999999996E-3</v>
      </c>
      <c r="H558" s="5">
        <v>6.4833333333333331E-3</v>
      </c>
      <c r="I558" s="5">
        <f t="shared" si="88"/>
        <v>2.3E-2</v>
      </c>
      <c r="J558" s="5">
        <f t="shared" si="92"/>
        <v>2.1537500000000001E-2</v>
      </c>
      <c r="K558" s="5">
        <f t="shared" si="93"/>
        <v>-3.0483333333333335E-2</v>
      </c>
      <c r="L558" s="8">
        <f t="shared" si="90"/>
        <v>0.13587649566340398</v>
      </c>
      <c r="M558" s="8">
        <f t="shared" si="91"/>
        <v>5.6400000000000006E-2</v>
      </c>
      <c r="N558" s="8">
        <f t="shared" si="94"/>
        <v>7.3949999999999988E-2</v>
      </c>
      <c r="O558" s="296">
        <f t="shared" si="89"/>
        <v>7.9476495663403979E-2</v>
      </c>
      <c r="P558" s="8">
        <f t="shared" si="95"/>
        <v>6.1926495663403996E-2</v>
      </c>
      <c r="Q558" s="8">
        <f t="shared" si="96"/>
        <v>-4.9861245798156206E-3</v>
      </c>
      <c r="R558" s="8">
        <f t="shared" si="97"/>
        <v>7.7799999999999994E-2</v>
      </c>
      <c r="S558" s="296">
        <f t="shared" si="98"/>
        <v>-8.2786124579815615E-2</v>
      </c>
      <c r="U558" s="297"/>
      <c r="V558" s="297"/>
      <c r="W558" s="297"/>
      <c r="X558" s="297"/>
      <c r="Y558" s="297"/>
      <c r="Z558" s="297"/>
      <c r="AA558" s="297"/>
      <c r="AB558" s="297"/>
      <c r="AC558" s="297"/>
      <c r="AE558" s="297"/>
      <c r="AF558" s="297"/>
      <c r="AG558" s="297"/>
      <c r="AH558" s="297"/>
      <c r="AI558" s="297"/>
      <c r="AJ558" s="297"/>
      <c r="AK558" s="297"/>
      <c r="AL558" s="297"/>
      <c r="AM558" s="297"/>
      <c r="AO558" s="297"/>
      <c r="AP558" s="297"/>
      <c r="AQ558" s="297"/>
      <c r="AR558" s="297"/>
      <c r="AS558" s="297"/>
      <c r="AT558" s="297"/>
      <c r="AU558" s="297"/>
      <c r="AV558" s="297"/>
      <c r="AW558" s="297"/>
    </row>
    <row r="559" spans="1:49" x14ac:dyDescent="0.45">
      <c r="A559" s="295">
        <v>26359</v>
      </c>
      <c r="B559" s="12">
        <v>8.3000000000000001E-3</v>
      </c>
      <c r="C559" s="5">
        <v>-3.5999999999999999E-3</v>
      </c>
      <c r="D559" s="5">
        <v>4.8999999999999998E-3</v>
      </c>
      <c r="E559" s="5">
        <v>6.0333333333333341E-3</v>
      </c>
      <c r="F559" s="5">
        <v>6.2750000000000002E-3</v>
      </c>
      <c r="G559" s="5">
        <v>6.1541666666666672E-3</v>
      </c>
      <c r="H559" s="5">
        <v>6.4750000000000007E-3</v>
      </c>
      <c r="I559" s="5">
        <f t="shared" si="88"/>
        <v>3.4000000000000002E-3</v>
      </c>
      <c r="J559" s="5">
        <f t="shared" si="92"/>
        <v>2.1458333333333329E-3</v>
      </c>
      <c r="K559" s="5">
        <f t="shared" si="93"/>
        <v>-1.0075000000000001E-2</v>
      </c>
      <c r="L559" s="8">
        <f t="shared" si="90"/>
        <v>0.1018898119851932</v>
      </c>
      <c r="M559" s="8">
        <f t="shared" si="91"/>
        <v>5.8799999999999998E-2</v>
      </c>
      <c r="N559" s="8">
        <f t="shared" si="94"/>
        <v>7.3849999999999999E-2</v>
      </c>
      <c r="O559" s="296">
        <f t="shared" si="89"/>
        <v>4.3089811985193203E-2</v>
      </c>
      <c r="P559" s="8">
        <f t="shared" si="95"/>
        <v>2.8039811985193203E-2</v>
      </c>
      <c r="Q559" s="8">
        <f t="shared" si="96"/>
        <v>-4.0333147353913801E-2</v>
      </c>
      <c r="R559" s="8">
        <f t="shared" si="97"/>
        <v>7.7700000000000005E-2</v>
      </c>
      <c r="S559" s="296">
        <f t="shared" si="98"/>
        <v>-0.11803314735391381</v>
      </c>
      <c r="U559" s="297"/>
      <c r="V559" s="297"/>
      <c r="W559" s="297"/>
      <c r="X559" s="297"/>
      <c r="Y559" s="297"/>
      <c r="Z559" s="297"/>
      <c r="AA559" s="297"/>
      <c r="AB559" s="297"/>
      <c r="AC559" s="297"/>
      <c r="AE559" s="297"/>
      <c r="AF559" s="297"/>
      <c r="AG559" s="297"/>
      <c r="AH559" s="297"/>
      <c r="AI559" s="297"/>
      <c r="AJ559" s="297"/>
      <c r="AK559" s="297"/>
      <c r="AL559" s="297"/>
      <c r="AM559" s="297"/>
      <c r="AO559" s="297"/>
      <c r="AP559" s="297"/>
      <c r="AQ559" s="297"/>
      <c r="AR559" s="297"/>
      <c r="AS559" s="297"/>
      <c r="AT559" s="297"/>
      <c r="AU559" s="297"/>
      <c r="AV559" s="297"/>
      <c r="AW559" s="297"/>
    </row>
    <row r="560" spans="1:49" x14ac:dyDescent="0.45">
      <c r="A560" s="295">
        <v>26390</v>
      </c>
      <c r="B560" s="12">
        <v>6.7999999999999996E-3</v>
      </c>
      <c r="C560" s="5">
        <v>-2.7700000000000006E-2</v>
      </c>
      <c r="D560" s="5">
        <v>4.7999999999999996E-3</v>
      </c>
      <c r="E560" s="5">
        <v>6.083333333333333E-3</v>
      </c>
      <c r="F560" s="5">
        <v>6.3083333333333333E-3</v>
      </c>
      <c r="G560" s="5">
        <v>6.1958333333333336E-3</v>
      </c>
      <c r="H560" s="5">
        <v>6.5166666666666671E-3</v>
      </c>
      <c r="I560" s="5">
        <f t="shared" si="88"/>
        <v>2E-3</v>
      </c>
      <c r="J560" s="5">
        <f t="shared" si="92"/>
        <v>6.0416666666666605E-4</v>
      </c>
      <c r="K560" s="5">
        <f t="shared" si="93"/>
        <v>-3.4216666666666673E-2</v>
      </c>
      <c r="L560" s="8">
        <f t="shared" si="90"/>
        <v>6.7843548663675257E-2</v>
      </c>
      <c r="M560" s="8">
        <f t="shared" si="91"/>
        <v>5.7599999999999998E-2</v>
      </c>
      <c r="N560" s="8">
        <f t="shared" si="94"/>
        <v>7.4349999999999999E-2</v>
      </c>
      <c r="O560" s="296">
        <f t="shared" si="89"/>
        <v>1.0243548663675259E-2</v>
      </c>
      <c r="P560" s="8">
        <f t="shared" si="95"/>
        <v>-6.5064513363247423E-3</v>
      </c>
      <c r="Q560" s="8">
        <f t="shared" si="96"/>
        <v>-3.3173680626060187E-2</v>
      </c>
      <c r="R560" s="8">
        <f t="shared" si="97"/>
        <v>7.8200000000000006E-2</v>
      </c>
      <c r="S560" s="296">
        <f t="shared" si="98"/>
        <v>-0.11137368062606019</v>
      </c>
      <c r="U560" s="297"/>
      <c r="V560" s="297"/>
      <c r="W560" s="297"/>
      <c r="X560" s="297"/>
      <c r="Y560" s="297"/>
      <c r="Z560" s="297"/>
      <c r="AA560" s="297"/>
      <c r="AB560" s="297"/>
      <c r="AC560" s="297"/>
      <c r="AE560" s="297"/>
      <c r="AF560" s="297"/>
      <c r="AG560" s="297"/>
      <c r="AH560" s="297"/>
      <c r="AI560" s="297"/>
      <c r="AJ560" s="297"/>
      <c r="AK560" s="297"/>
      <c r="AL560" s="297"/>
      <c r="AM560" s="297"/>
      <c r="AO560" s="297"/>
      <c r="AP560" s="297"/>
      <c r="AQ560" s="297"/>
      <c r="AR560" s="297"/>
      <c r="AS560" s="297"/>
      <c r="AT560" s="297"/>
      <c r="AU560" s="297"/>
      <c r="AV560" s="297"/>
      <c r="AW560" s="297"/>
    </row>
    <row r="561" spans="1:49" x14ac:dyDescent="0.45">
      <c r="A561" s="295">
        <v>26420</v>
      </c>
      <c r="B561" s="12">
        <v>1.9699999999999999E-2</v>
      </c>
      <c r="C561" s="5">
        <v>-1.7000000000000001E-3</v>
      </c>
      <c r="D561" s="5">
        <v>5.4999999999999997E-3</v>
      </c>
      <c r="E561" s="5">
        <v>6.083333333333333E-3</v>
      </c>
      <c r="F561" s="5">
        <v>6.3E-3</v>
      </c>
      <c r="G561" s="5">
        <v>6.1916666666666665E-3</v>
      </c>
      <c r="H561" s="5">
        <v>6.5333333333333328E-3</v>
      </c>
      <c r="I561" s="5">
        <f t="shared" si="88"/>
        <v>1.4199999999999999E-2</v>
      </c>
      <c r="J561" s="5">
        <f t="shared" si="92"/>
        <v>1.3508333333333332E-2</v>
      </c>
      <c r="K561" s="5">
        <f t="shared" si="93"/>
        <v>-8.2333333333333321E-3</v>
      </c>
      <c r="L561" s="8">
        <f t="shared" si="90"/>
        <v>0.13318770587194284</v>
      </c>
      <c r="M561" s="8">
        <f t="shared" si="91"/>
        <v>6.6000000000000003E-2</v>
      </c>
      <c r="N561" s="8">
        <f t="shared" si="94"/>
        <v>7.4300000000000005E-2</v>
      </c>
      <c r="O561" s="296">
        <f t="shared" si="89"/>
        <v>6.7187705871942838E-2</v>
      </c>
      <c r="P561" s="8">
        <f t="shared" si="95"/>
        <v>5.8887705871942836E-2</v>
      </c>
      <c r="Q561" s="8">
        <f t="shared" si="96"/>
        <v>2.9299889211786834E-4</v>
      </c>
      <c r="R561" s="8">
        <f t="shared" si="97"/>
        <v>7.8399999999999997E-2</v>
      </c>
      <c r="S561" s="296">
        <f t="shared" si="98"/>
        <v>-7.8107001107882129E-2</v>
      </c>
      <c r="U561" s="297"/>
      <c r="V561" s="297"/>
      <c r="W561" s="297"/>
      <c r="X561" s="297"/>
      <c r="Y561" s="297"/>
      <c r="Z561" s="297"/>
      <c r="AA561" s="297"/>
      <c r="AB561" s="297"/>
      <c r="AC561" s="297"/>
      <c r="AE561" s="297"/>
      <c r="AF561" s="297"/>
      <c r="AG561" s="297"/>
      <c r="AH561" s="297"/>
      <c r="AI561" s="297"/>
      <c r="AJ561" s="297"/>
      <c r="AK561" s="297"/>
      <c r="AL561" s="297"/>
      <c r="AM561" s="297"/>
      <c r="AO561" s="297"/>
      <c r="AP561" s="297"/>
      <c r="AQ561" s="297"/>
      <c r="AR561" s="297"/>
      <c r="AS561" s="297"/>
      <c r="AT561" s="297"/>
      <c r="AU561" s="297"/>
      <c r="AV561" s="297"/>
      <c r="AW561" s="297"/>
    </row>
    <row r="562" spans="1:49" x14ac:dyDescent="0.45">
      <c r="A562" s="295">
        <v>26451</v>
      </c>
      <c r="B562" s="12">
        <v>-1.9400000000000001E-2</v>
      </c>
      <c r="C562" s="5">
        <v>-2.1000000000000001E-2</v>
      </c>
      <c r="D562" s="5">
        <v>4.8999999999999998E-3</v>
      </c>
      <c r="E562" s="5">
        <v>6.025E-3</v>
      </c>
      <c r="F562" s="5">
        <v>6.2583333333333336E-3</v>
      </c>
      <c r="G562" s="5">
        <v>6.1416666666666677E-3</v>
      </c>
      <c r="H562" s="5">
        <v>6.4750000000000007E-3</v>
      </c>
      <c r="I562" s="5">
        <f t="shared" si="88"/>
        <v>-2.4300000000000002E-2</v>
      </c>
      <c r="J562" s="5">
        <f t="shared" si="92"/>
        <v>-2.5541666666666667E-2</v>
      </c>
      <c r="K562" s="5">
        <f t="shared" si="93"/>
        <v>-2.7475000000000003E-2</v>
      </c>
      <c r="L562" s="8">
        <f t="shared" si="90"/>
        <v>0.10754895283367594</v>
      </c>
      <c r="M562" s="8">
        <f t="shared" si="91"/>
        <v>5.8799999999999998E-2</v>
      </c>
      <c r="N562" s="8">
        <f t="shared" si="94"/>
        <v>7.3700000000000015E-2</v>
      </c>
      <c r="O562" s="296">
        <f t="shared" si="89"/>
        <v>4.8748952833675939E-2</v>
      </c>
      <c r="P562" s="8">
        <f t="shared" si="95"/>
        <v>3.3848952833675922E-2</v>
      </c>
      <c r="Q562" s="8">
        <f t="shared" si="96"/>
        <v>-5.8196916796130593E-2</v>
      </c>
      <c r="R562" s="8">
        <f t="shared" si="97"/>
        <v>7.7700000000000005E-2</v>
      </c>
      <c r="S562" s="296">
        <f t="shared" si="98"/>
        <v>-0.13589691679613058</v>
      </c>
      <c r="U562" s="297"/>
      <c r="V562" s="297"/>
      <c r="W562" s="297"/>
      <c r="X562" s="297"/>
      <c r="Y562" s="297"/>
      <c r="Z562" s="297"/>
      <c r="AA562" s="297"/>
      <c r="AB562" s="297"/>
      <c r="AC562" s="297"/>
      <c r="AE562" s="297"/>
      <c r="AF562" s="297"/>
      <c r="AG562" s="297"/>
      <c r="AH562" s="297"/>
      <c r="AI562" s="297"/>
      <c r="AJ562" s="297"/>
      <c r="AK562" s="297"/>
      <c r="AL562" s="297"/>
      <c r="AM562" s="297"/>
      <c r="AO562" s="297"/>
      <c r="AP562" s="297"/>
      <c r="AQ562" s="297"/>
      <c r="AR562" s="297"/>
      <c r="AS562" s="297"/>
      <c r="AT562" s="297"/>
      <c r="AU562" s="297"/>
      <c r="AV562" s="297"/>
      <c r="AW562" s="297"/>
    </row>
    <row r="563" spans="1:49" x14ac:dyDescent="0.45">
      <c r="A563" s="295">
        <v>26481</v>
      </c>
      <c r="B563" s="12">
        <v>4.7999999999999996E-3</v>
      </c>
      <c r="C563" s="5">
        <v>-1.4000000000000002E-3</v>
      </c>
      <c r="D563" s="5">
        <v>5.1000000000000004E-3</v>
      </c>
      <c r="E563" s="5">
        <v>6.0083333333333334E-3</v>
      </c>
      <c r="F563" s="5">
        <v>6.2500000000000003E-3</v>
      </c>
      <c r="G563" s="5">
        <v>6.1291666666666664E-3</v>
      </c>
      <c r="H563" s="5">
        <v>6.5166666666666671E-3</v>
      </c>
      <c r="I563" s="5">
        <f t="shared" si="88"/>
        <v>-3.0000000000000079E-4</v>
      </c>
      <c r="J563" s="5">
        <f t="shared" si="92"/>
        <v>-1.3291666666666669E-3</v>
      </c>
      <c r="K563" s="5">
        <f t="shared" si="93"/>
        <v>-7.9166666666666673E-3</v>
      </c>
      <c r="L563" s="8">
        <f t="shared" si="90"/>
        <v>0.1576668967099526</v>
      </c>
      <c r="M563" s="8">
        <f t="shared" si="91"/>
        <v>6.1200000000000004E-2</v>
      </c>
      <c r="N563" s="8">
        <f t="shared" si="94"/>
        <v>7.3550000000000004E-2</v>
      </c>
      <c r="O563" s="296">
        <f t="shared" si="89"/>
        <v>9.6466896709952593E-2</v>
      </c>
      <c r="P563" s="8">
        <f t="shared" si="95"/>
        <v>8.4116896709952593E-2</v>
      </c>
      <c r="Q563" s="8">
        <f t="shared" si="96"/>
        <v>-3.7867458938737664E-2</v>
      </c>
      <c r="R563" s="8">
        <f t="shared" si="97"/>
        <v>7.8200000000000006E-2</v>
      </c>
      <c r="S563" s="296">
        <f t="shared" si="98"/>
        <v>-0.11606745893873767</v>
      </c>
      <c r="U563" s="297"/>
      <c r="V563" s="297"/>
      <c r="W563" s="297"/>
      <c r="X563" s="297"/>
      <c r="Y563" s="297"/>
      <c r="Z563" s="297"/>
      <c r="AA563" s="297"/>
      <c r="AB563" s="297"/>
      <c r="AC563" s="297"/>
      <c r="AE563" s="297"/>
      <c r="AF563" s="297"/>
      <c r="AG563" s="297"/>
      <c r="AH563" s="297"/>
      <c r="AI563" s="297"/>
      <c r="AJ563" s="297"/>
      <c r="AK563" s="297"/>
      <c r="AL563" s="297"/>
      <c r="AM563" s="297"/>
      <c r="AO563" s="297"/>
      <c r="AP563" s="297"/>
      <c r="AQ563" s="297"/>
      <c r="AR563" s="297"/>
      <c r="AS563" s="297"/>
      <c r="AT563" s="297"/>
      <c r="AU563" s="297"/>
      <c r="AV563" s="297"/>
      <c r="AW563" s="297"/>
    </row>
    <row r="564" spans="1:49" x14ac:dyDescent="0.45">
      <c r="A564" s="295">
        <v>26512</v>
      </c>
      <c r="B564" s="12">
        <v>3.6900000000000002E-2</v>
      </c>
      <c r="C564" s="5">
        <v>5.74E-2</v>
      </c>
      <c r="D564" s="5">
        <v>4.8999999999999998E-3</v>
      </c>
      <c r="E564" s="5">
        <v>5.9916666666666677E-3</v>
      </c>
      <c r="F564" s="5">
        <v>6.1916666666666665E-3</v>
      </c>
      <c r="G564" s="5">
        <v>6.0916666666666662E-3</v>
      </c>
      <c r="H564" s="5">
        <v>6.3666666666666672E-3</v>
      </c>
      <c r="I564" s="5">
        <f t="shared" si="88"/>
        <v>3.2000000000000001E-2</v>
      </c>
      <c r="J564" s="5">
        <f t="shared" si="92"/>
        <v>3.0808333333333337E-2</v>
      </c>
      <c r="K564" s="5">
        <f t="shared" si="93"/>
        <v>5.1033333333333333E-2</v>
      </c>
      <c r="L564" s="8">
        <f t="shared" si="90"/>
        <v>0.1555494851738064</v>
      </c>
      <c r="M564" s="8">
        <f t="shared" si="91"/>
        <v>5.8799999999999998E-2</v>
      </c>
      <c r="N564" s="8">
        <f t="shared" si="94"/>
        <v>7.3099999999999998E-2</v>
      </c>
      <c r="O564" s="296">
        <f t="shared" si="89"/>
        <v>9.674948517380641E-2</v>
      </c>
      <c r="P564" s="8">
        <f t="shared" si="95"/>
        <v>8.2449485173806403E-2</v>
      </c>
      <c r="Q564" s="8">
        <f t="shared" si="96"/>
        <v>4.3124114547502312E-2</v>
      </c>
      <c r="R564" s="8">
        <f t="shared" si="97"/>
        <v>7.640000000000001E-2</v>
      </c>
      <c r="S564" s="296">
        <f t="shared" si="98"/>
        <v>-3.3275885452497697E-2</v>
      </c>
      <c r="U564" s="297"/>
      <c r="V564" s="297"/>
      <c r="W564" s="297"/>
      <c r="X564" s="297"/>
      <c r="Y564" s="297"/>
      <c r="Z564" s="297"/>
      <c r="AA564" s="297"/>
      <c r="AB564" s="297"/>
      <c r="AC564" s="297"/>
      <c r="AE564" s="297"/>
      <c r="AF564" s="297"/>
      <c r="AG564" s="297"/>
      <c r="AH564" s="297"/>
      <c r="AI564" s="297"/>
      <c r="AJ564" s="297"/>
      <c r="AK564" s="297"/>
      <c r="AL564" s="297"/>
      <c r="AM564" s="297"/>
      <c r="AO564" s="297"/>
      <c r="AP564" s="297"/>
      <c r="AQ564" s="297"/>
      <c r="AR564" s="297"/>
      <c r="AS564" s="297"/>
      <c r="AT564" s="297"/>
      <c r="AU564" s="297"/>
      <c r="AV564" s="297"/>
      <c r="AW564" s="297"/>
    </row>
    <row r="565" spans="1:49" x14ac:dyDescent="0.45">
      <c r="A565" s="295">
        <v>26543</v>
      </c>
      <c r="B565" s="12">
        <v>-2.5000000000000001E-3</v>
      </c>
      <c r="C565" s="5">
        <v>2.7000000000000001E-3</v>
      </c>
      <c r="D565" s="5">
        <v>4.7000000000000002E-3</v>
      </c>
      <c r="E565" s="5">
        <v>6.0166666666666667E-3</v>
      </c>
      <c r="F565" s="5">
        <v>6.1750000000000008E-3</v>
      </c>
      <c r="G565" s="5">
        <v>6.0958333333333333E-3</v>
      </c>
      <c r="H565" s="5">
        <v>6.3416666666666665E-3</v>
      </c>
      <c r="I565" s="5">
        <f t="shared" si="88"/>
        <v>-7.1999999999999998E-3</v>
      </c>
      <c r="J565" s="5">
        <f t="shared" si="92"/>
        <v>-8.5958333333333338E-3</v>
      </c>
      <c r="K565" s="5">
        <f t="shared" si="93"/>
        <v>-3.6416666666666663E-3</v>
      </c>
      <c r="L565" s="8">
        <f t="shared" si="90"/>
        <v>0.15775473228291648</v>
      </c>
      <c r="M565" s="8">
        <f t="shared" si="91"/>
        <v>5.6400000000000006E-2</v>
      </c>
      <c r="N565" s="8">
        <f t="shared" si="94"/>
        <v>7.3149999999999993E-2</v>
      </c>
      <c r="O565" s="296">
        <f t="shared" si="89"/>
        <v>0.10135473228291647</v>
      </c>
      <c r="P565" s="8">
        <f t="shared" si="95"/>
        <v>8.4604732282916484E-2</v>
      </c>
      <c r="Q565" s="8">
        <f t="shared" si="96"/>
        <v>6.1437537707306422E-2</v>
      </c>
      <c r="R565" s="8">
        <f t="shared" si="97"/>
        <v>7.6100000000000001E-2</v>
      </c>
      <c r="S565" s="296">
        <f t="shared" si="98"/>
        <v>-1.4662462292693579E-2</v>
      </c>
      <c r="U565" s="297"/>
      <c r="V565" s="297"/>
      <c r="W565" s="297"/>
      <c r="X565" s="297"/>
      <c r="Y565" s="297"/>
      <c r="Z565" s="297"/>
      <c r="AA565" s="297"/>
      <c r="AB565" s="297"/>
      <c r="AC565" s="297"/>
      <c r="AE565" s="297"/>
      <c r="AF565" s="297"/>
      <c r="AG565" s="297"/>
      <c r="AH565" s="297"/>
      <c r="AI565" s="297"/>
      <c r="AJ565" s="297"/>
      <c r="AK565" s="297"/>
      <c r="AL565" s="297"/>
      <c r="AM565" s="297"/>
      <c r="AO565" s="297"/>
      <c r="AP565" s="297"/>
      <c r="AQ565" s="297"/>
      <c r="AR565" s="297"/>
      <c r="AS565" s="297"/>
      <c r="AT565" s="297"/>
      <c r="AU565" s="297"/>
      <c r="AV565" s="297"/>
      <c r="AW565" s="297"/>
    </row>
    <row r="566" spans="1:49" x14ac:dyDescent="0.45">
      <c r="A566" s="295">
        <v>26573</v>
      </c>
      <c r="B566" s="12">
        <v>1.18E-2</v>
      </c>
      <c r="C566" s="5">
        <v>6.5100000000000005E-2</v>
      </c>
      <c r="D566" s="5">
        <v>5.1999999999999998E-3</v>
      </c>
      <c r="E566" s="5">
        <v>6.0083333333333334E-3</v>
      </c>
      <c r="F566" s="5">
        <v>6.2083333333333331E-3</v>
      </c>
      <c r="G566" s="5">
        <v>6.1083333333333337E-3</v>
      </c>
      <c r="H566" s="5">
        <v>6.3833333333333329E-3</v>
      </c>
      <c r="I566" s="5">
        <f t="shared" si="88"/>
        <v>6.6E-3</v>
      </c>
      <c r="J566" s="5">
        <f t="shared" si="92"/>
        <v>5.6916666666666661E-3</v>
      </c>
      <c r="K566" s="5">
        <f t="shared" si="93"/>
        <v>5.8716666666666674E-2</v>
      </c>
      <c r="L566" s="8">
        <f t="shared" si="90"/>
        <v>0.21920924034539446</v>
      </c>
      <c r="M566" s="8">
        <f t="shared" si="91"/>
        <v>6.2399999999999997E-2</v>
      </c>
      <c r="N566" s="8">
        <f t="shared" si="94"/>
        <v>7.3300000000000004E-2</v>
      </c>
      <c r="O566" s="296">
        <f t="shared" si="89"/>
        <v>0.15680924034539445</v>
      </c>
      <c r="P566" s="8">
        <f t="shared" si="95"/>
        <v>0.14590924034539446</v>
      </c>
      <c r="Q566" s="8">
        <f t="shared" si="96"/>
        <v>0.11163925409248021</v>
      </c>
      <c r="R566" s="8">
        <f t="shared" si="97"/>
        <v>7.6600000000000001E-2</v>
      </c>
      <c r="S566" s="296">
        <f t="shared" si="98"/>
        <v>3.503925409248021E-2</v>
      </c>
      <c r="U566" s="297"/>
      <c r="V566" s="297"/>
      <c r="W566" s="297"/>
      <c r="X566" s="297"/>
      <c r="Y566" s="297"/>
      <c r="Z566" s="297"/>
      <c r="AA566" s="297"/>
      <c r="AB566" s="297"/>
      <c r="AC566" s="297"/>
      <c r="AE566" s="297"/>
      <c r="AF566" s="297"/>
      <c r="AG566" s="297"/>
      <c r="AH566" s="297"/>
      <c r="AI566" s="297"/>
      <c r="AJ566" s="297"/>
      <c r="AK566" s="297"/>
      <c r="AL566" s="297"/>
      <c r="AM566" s="297"/>
      <c r="AO566" s="297"/>
      <c r="AP566" s="297"/>
      <c r="AQ566" s="297"/>
      <c r="AR566" s="297"/>
      <c r="AS566" s="297"/>
      <c r="AT566" s="297"/>
      <c r="AU566" s="297"/>
      <c r="AV566" s="297"/>
      <c r="AW566" s="297"/>
    </row>
    <row r="567" spans="1:49" x14ac:dyDescent="0.45">
      <c r="A567" s="295">
        <v>26604</v>
      </c>
      <c r="B567" s="12">
        <v>4.8099999999999997E-2</v>
      </c>
      <c r="C567" s="5">
        <v>6.3899999999999998E-2</v>
      </c>
      <c r="D567" s="5">
        <v>4.7999999999999996E-3</v>
      </c>
      <c r="E567" s="5">
        <v>5.9333333333333339E-3</v>
      </c>
      <c r="F567" s="5">
        <v>6.1583333333333334E-3</v>
      </c>
      <c r="G567" s="5">
        <v>6.0458333333333336E-3</v>
      </c>
      <c r="H567" s="5">
        <v>6.333333333333334E-3</v>
      </c>
      <c r="I567" s="5">
        <f t="shared" si="88"/>
        <v>4.3299999999999998E-2</v>
      </c>
      <c r="J567" s="5">
        <f t="shared" si="92"/>
        <v>4.2054166666666663E-2</v>
      </c>
      <c r="K567" s="5">
        <f t="shared" si="93"/>
        <v>5.7566666666666662E-2</v>
      </c>
      <c r="L567" s="8">
        <f t="shared" si="90"/>
        <v>0.2775976852689539</v>
      </c>
      <c r="M567" s="8">
        <f t="shared" si="91"/>
        <v>5.7599999999999998E-2</v>
      </c>
      <c r="N567" s="8">
        <f t="shared" si="94"/>
        <v>7.2550000000000003E-2</v>
      </c>
      <c r="O567" s="296">
        <f t="shared" si="89"/>
        <v>0.21999768526895391</v>
      </c>
      <c r="P567" s="8">
        <f t="shared" si="95"/>
        <v>0.20504768526895389</v>
      </c>
      <c r="Q567" s="8">
        <f t="shared" si="96"/>
        <v>0.18921367765609798</v>
      </c>
      <c r="R567" s="8">
        <f t="shared" si="97"/>
        <v>7.6000000000000012E-2</v>
      </c>
      <c r="S567" s="296">
        <f t="shared" si="98"/>
        <v>0.11321367765609797</v>
      </c>
      <c r="U567" s="297"/>
      <c r="V567" s="297"/>
      <c r="W567" s="297"/>
      <c r="X567" s="297"/>
      <c r="Y567" s="297"/>
      <c r="Z567" s="297"/>
      <c r="AA567" s="297"/>
      <c r="AB567" s="297"/>
      <c r="AC567" s="297"/>
      <c r="AE567" s="297"/>
      <c r="AF567" s="297"/>
      <c r="AG567" s="297"/>
      <c r="AH567" s="297"/>
      <c r="AI567" s="297"/>
      <c r="AJ567" s="297"/>
      <c r="AK567" s="297"/>
      <c r="AL567" s="297"/>
      <c r="AM567" s="297"/>
      <c r="AO567" s="297"/>
      <c r="AP567" s="297"/>
      <c r="AQ567" s="297"/>
      <c r="AR567" s="297"/>
      <c r="AS567" s="297"/>
      <c r="AT567" s="297"/>
      <c r="AU567" s="297"/>
      <c r="AV567" s="297"/>
      <c r="AW567" s="297"/>
    </row>
    <row r="568" spans="1:49" x14ac:dyDescent="0.45">
      <c r="A568" s="295">
        <v>26634</v>
      </c>
      <c r="B568" s="12">
        <v>1.4200000000000001E-2</v>
      </c>
      <c r="C568" s="5">
        <v>-1.7399999999999999E-2</v>
      </c>
      <c r="D568" s="5">
        <v>4.4999999999999997E-3</v>
      </c>
      <c r="E568" s="5">
        <v>5.8999999999999999E-3</v>
      </c>
      <c r="F568" s="5">
        <v>6.1333333333333344E-3</v>
      </c>
      <c r="G568" s="5">
        <v>6.0166666666666667E-3</v>
      </c>
      <c r="H568" s="5">
        <v>6.2333333333333338E-3</v>
      </c>
      <c r="I568" s="5">
        <f t="shared" si="88"/>
        <v>9.7000000000000003E-3</v>
      </c>
      <c r="J568" s="5">
        <f t="shared" si="92"/>
        <v>8.1833333333333341E-3</v>
      </c>
      <c r="K568" s="5">
        <f t="shared" si="93"/>
        <v>-2.3633333333333333E-2</v>
      </c>
      <c r="L568" s="8">
        <f t="shared" si="90"/>
        <v>0.1900620613517392</v>
      </c>
      <c r="M568" s="8">
        <f t="shared" si="91"/>
        <v>5.3999999999999992E-2</v>
      </c>
      <c r="N568" s="8">
        <f t="shared" si="94"/>
        <v>7.22E-2</v>
      </c>
      <c r="O568" s="296">
        <f t="shared" si="89"/>
        <v>0.13606206135173921</v>
      </c>
      <c r="P568" s="8">
        <f t="shared" si="95"/>
        <v>0.1178620613517392</v>
      </c>
      <c r="Q568" s="8">
        <f t="shared" si="96"/>
        <v>8.1363464431688071E-2</v>
      </c>
      <c r="R568" s="8">
        <f t="shared" si="97"/>
        <v>7.4800000000000005E-2</v>
      </c>
      <c r="S568" s="296">
        <f t="shared" si="98"/>
        <v>6.5634644316880653E-3</v>
      </c>
      <c r="U568" s="297"/>
      <c r="V568" s="297"/>
      <c r="W568" s="297"/>
      <c r="X568" s="297"/>
      <c r="Y568" s="297"/>
      <c r="Z568" s="297"/>
      <c r="AA568" s="297"/>
      <c r="AB568" s="297"/>
      <c r="AC568" s="297"/>
      <c r="AE568" s="297"/>
      <c r="AF568" s="297"/>
      <c r="AG568" s="297"/>
      <c r="AH568" s="297"/>
      <c r="AI568" s="297"/>
      <c r="AJ568" s="297"/>
      <c r="AK568" s="297"/>
      <c r="AL568" s="297"/>
      <c r="AM568" s="297"/>
      <c r="AO568" s="297"/>
      <c r="AP568" s="297"/>
      <c r="AQ568" s="297"/>
      <c r="AR568" s="297"/>
      <c r="AS568" s="297"/>
      <c r="AT568" s="297"/>
      <c r="AU568" s="297"/>
      <c r="AV568" s="297"/>
      <c r="AW568" s="297"/>
    </row>
    <row r="569" spans="1:49" x14ac:dyDescent="0.45">
      <c r="A569" s="295">
        <v>26665</v>
      </c>
      <c r="B569" s="12">
        <v>-1.49E-2</v>
      </c>
      <c r="C569" s="5">
        <v>-4.3900000000000008E-2</v>
      </c>
      <c r="D569" s="5">
        <v>5.4000000000000003E-3</v>
      </c>
      <c r="E569" s="5">
        <v>5.9583333333333328E-3</v>
      </c>
      <c r="F569" s="5">
        <v>6.1416666666666668E-3</v>
      </c>
      <c r="G569" s="5">
        <v>6.0499999999999998E-3</v>
      </c>
      <c r="H569" s="5">
        <v>6.2666666666666669E-3</v>
      </c>
      <c r="I569" s="5">
        <f t="shared" si="88"/>
        <v>-2.0299999999999999E-2</v>
      </c>
      <c r="J569" s="5">
        <f t="shared" si="92"/>
        <v>-2.095E-2</v>
      </c>
      <c r="K569" s="5">
        <f t="shared" si="93"/>
        <v>-5.0166666666666679E-2</v>
      </c>
      <c r="L569" s="8">
        <f t="shared" si="90"/>
        <v>0.14866758439897931</v>
      </c>
      <c r="M569" s="8">
        <f t="shared" si="91"/>
        <v>6.4799999999999996E-2</v>
      </c>
      <c r="N569" s="8">
        <f t="shared" si="94"/>
        <v>7.2599999999999998E-2</v>
      </c>
      <c r="O569" s="296">
        <f t="shared" si="89"/>
        <v>8.3867584398979317E-2</v>
      </c>
      <c r="P569" s="8">
        <f t="shared" si="95"/>
        <v>7.6067584398979315E-2</v>
      </c>
      <c r="Q569" s="8">
        <f t="shared" si="96"/>
        <v>4.1599444230442151E-2</v>
      </c>
      <c r="R569" s="8">
        <f t="shared" si="97"/>
        <v>7.5200000000000003E-2</v>
      </c>
      <c r="S569" s="296">
        <f t="shared" si="98"/>
        <v>-3.3600555769557852E-2</v>
      </c>
      <c r="U569" s="297"/>
      <c r="V569" s="297"/>
      <c r="W569" s="297"/>
      <c r="X569" s="297"/>
      <c r="Y569" s="297"/>
      <c r="Z569" s="297"/>
      <c r="AA569" s="297"/>
      <c r="AB569" s="297"/>
      <c r="AC569" s="297"/>
      <c r="AE569" s="297"/>
      <c r="AF569" s="297"/>
      <c r="AG569" s="297"/>
      <c r="AH569" s="297"/>
      <c r="AI569" s="297"/>
      <c r="AJ569" s="297"/>
      <c r="AK569" s="297"/>
      <c r="AL569" s="297"/>
      <c r="AM569" s="297"/>
      <c r="AO569" s="297"/>
      <c r="AP569" s="297"/>
      <c r="AQ569" s="297"/>
      <c r="AR569" s="297"/>
      <c r="AS569" s="297"/>
      <c r="AT569" s="297"/>
      <c r="AU569" s="297"/>
      <c r="AV569" s="297"/>
      <c r="AW569" s="297"/>
    </row>
    <row r="570" spans="1:49" x14ac:dyDescent="0.45">
      <c r="A570" s="295">
        <v>26696</v>
      </c>
      <c r="B570" s="12">
        <v>-3.5200000000000002E-2</v>
      </c>
      <c r="C570" s="5">
        <v>-2.3399999999999997E-2</v>
      </c>
      <c r="D570" s="5">
        <v>5.1000000000000004E-3</v>
      </c>
      <c r="E570" s="5">
        <v>6.0166666666666667E-3</v>
      </c>
      <c r="F570" s="5">
        <v>6.2249999999999996E-3</v>
      </c>
      <c r="G570" s="5">
        <v>6.1208333333333332E-3</v>
      </c>
      <c r="H570" s="5">
        <v>6.3499999999999997E-3</v>
      </c>
      <c r="I570" s="5">
        <f t="shared" si="88"/>
        <v>-4.0300000000000002E-2</v>
      </c>
      <c r="J570" s="5">
        <f t="shared" si="92"/>
        <v>-4.1320833333333334E-2</v>
      </c>
      <c r="K570" s="5">
        <f t="shared" si="93"/>
        <v>-2.9749999999999999E-2</v>
      </c>
      <c r="L570" s="8">
        <f t="shared" si="90"/>
        <v>7.8363807947976039E-2</v>
      </c>
      <c r="M570" s="8">
        <f t="shared" si="91"/>
        <v>6.1200000000000004E-2</v>
      </c>
      <c r="N570" s="8">
        <f t="shared" si="94"/>
        <v>7.3450000000000001E-2</v>
      </c>
      <c r="O570" s="296">
        <f t="shared" si="89"/>
        <v>1.7163807947976034E-2</v>
      </c>
      <c r="P570" s="8">
        <f t="shared" si="95"/>
        <v>4.9138079479760371E-3</v>
      </c>
      <c r="Q570" s="8">
        <f t="shared" si="96"/>
        <v>4.2239771757632827E-2</v>
      </c>
      <c r="R570" s="8">
        <f t="shared" si="97"/>
        <v>7.619999999999999E-2</v>
      </c>
      <c r="S570" s="296">
        <f t="shared" si="98"/>
        <v>-3.3960228242367163E-2</v>
      </c>
      <c r="U570" s="297"/>
      <c r="V570" s="297"/>
      <c r="W570" s="297"/>
      <c r="X570" s="297"/>
      <c r="Y570" s="297"/>
      <c r="Z570" s="297"/>
      <c r="AA570" s="297"/>
      <c r="AB570" s="297"/>
      <c r="AC570" s="297"/>
      <c r="AE570" s="297"/>
      <c r="AF570" s="297"/>
      <c r="AG570" s="297"/>
      <c r="AH570" s="297"/>
      <c r="AI570" s="297"/>
      <c r="AJ570" s="297"/>
      <c r="AK570" s="297"/>
      <c r="AL570" s="297"/>
      <c r="AM570" s="297"/>
      <c r="AO570" s="297"/>
      <c r="AP570" s="297"/>
      <c r="AQ570" s="297"/>
      <c r="AR570" s="297"/>
      <c r="AS570" s="297"/>
      <c r="AT570" s="297"/>
      <c r="AU570" s="297"/>
      <c r="AV570" s="297"/>
      <c r="AW570" s="297"/>
    </row>
    <row r="571" spans="1:49" x14ac:dyDescent="0.45">
      <c r="A571" s="295">
        <v>26724</v>
      </c>
      <c r="B571" s="12">
        <v>8.0000000000000004E-4</v>
      </c>
      <c r="C571" s="5">
        <v>-1.3500000000000002E-2</v>
      </c>
      <c r="D571" s="5">
        <v>5.5999999999999991E-3</v>
      </c>
      <c r="E571" s="5">
        <v>6.0750000000000005E-3</v>
      </c>
      <c r="F571" s="5">
        <v>6.2416666666666662E-3</v>
      </c>
      <c r="G571" s="5">
        <v>6.1583333333333334E-3</v>
      </c>
      <c r="H571" s="5">
        <v>6.3833333333333329E-3</v>
      </c>
      <c r="I571" s="5">
        <f t="shared" si="88"/>
        <v>-4.7999999999999987E-3</v>
      </c>
      <c r="J571" s="5">
        <f t="shared" si="92"/>
        <v>-5.358333333333333E-3</v>
      </c>
      <c r="K571" s="5">
        <f t="shared" si="93"/>
        <v>-1.9883333333333336E-2</v>
      </c>
      <c r="L571" s="8">
        <f t="shared" si="90"/>
        <v>7.0342654958181372E-2</v>
      </c>
      <c r="M571" s="8">
        <f t="shared" si="91"/>
        <v>6.7199999999999982E-2</v>
      </c>
      <c r="N571" s="8">
        <f t="shared" si="94"/>
        <v>7.3899999999999993E-2</v>
      </c>
      <c r="O571" s="296">
        <f t="shared" si="89"/>
        <v>3.1426549581813901E-3</v>
      </c>
      <c r="P571" s="8">
        <f t="shared" si="95"/>
        <v>-3.5573450418186214E-3</v>
      </c>
      <c r="Q571" s="8">
        <f t="shared" si="96"/>
        <v>3.1884318385091648E-2</v>
      </c>
      <c r="R571" s="8">
        <f t="shared" si="97"/>
        <v>7.6600000000000001E-2</v>
      </c>
      <c r="S571" s="296">
        <f t="shared" si="98"/>
        <v>-4.4715681614908354E-2</v>
      </c>
      <c r="U571" s="297"/>
      <c r="V571" s="297"/>
      <c r="W571" s="297"/>
      <c r="X571" s="297"/>
      <c r="Y571" s="297"/>
      <c r="Z571" s="297"/>
      <c r="AA571" s="297"/>
      <c r="AB571" s="297"/>
      <c r="AC571" s="297"/>
      <c r="AE571" s="297"/>
      <c r="AF571" s="297"/>
      <c r="AG571" s="297"/>
      <c r="AH571" s="297"/>
      <c r="AI571" s="297"/>
      <c r="AJ571" s="297"/>
      <c r="AK571" s="297"/>
      <c r="AL571" s="297"/>
      <c r="AM571" s="297"/>
      <c r="AO571" s="297"/>
      <c r="AP571" s="297"/>
      <c r="AQ571" s="297"/>
      <c r="AR571" s="297"/>
      <c r="AS571" s="297"/>
      <c r="AT571" s="297"/>
      <c r="AU571" s="297"/>
      <c r="AV571" s="297"/>
      <c r="AW571" s="297"/>
    </row>
    <row r="572" spans="1:49" x14ac:dyDescent="0.45">
      <c r="A572" s="295">
        <v>26755</v>
      </c>
      <c r="B572" s="12">
        <v>-3.8300000000000001E-2</v>
      </c>
      <c r="C572" s="5">
        <v>-4.9000000000000007E-3</v>
      </c>
      <c r="D572" s="5">
        <v>5.7000000000000002E-3</v>
      </c>
      <c r="E572" s="5">
        <v>6.0499999999999998E-3</v>
      </c>
      <c r="F572" s="5">
        <v>6.2416666666666662E-3</v>
      </c>
      <c r="G572" s="5">
        <v>6.145833333333333E-3</v>
      </c>
      <c r="H572" s="5">
        <v>6.3583333333333339E-3</v>
      </c>
      <c r="I572" s="5">
        <f t="shared" si="88"/>
        <v>-4.3999999999999997E-2</v>
      </c>
      <c r="J572" s="5">
        <f t="shared" si="92"/>
        <v>-4.4445833333333337E-2</v>
      </c>
      <c r="K572" s="5">
        <f t="shared" si="93"/>
        <v>-1.1258333333333335E-2</v>
      </c>
      <c r="L572" s="8">
        <f t="shared" si="90"/>
        <v>2.239623686261738E-2</v>
      </c>
      <c r="M572" s="8">
        <f t="shared" si="91"/>
        <v>6.8400000000000002E-2</v>
      </c>
      <c r="N572" s="8">
        <f t="shared" si="94"/>
        <v>7.3749999999999996E-2</v>
      </c>
      <c r="O572" s="296">
        <f t="shared" si="89"/>
        <v>-4.6003763137382622E-2</v>
      </c>
      <c r="P572" s="8">
        <f t="shared" si="95"/>
        <v>-5.1353763137382616E-2</v>
      </c>
      <c r="Q572" s="8">
        <f t="shared" si="96"/>
        <v>5.6081543993627969E-2</v>
      </c>
      <c r="R572" s="8">
        <f t="shared" si="97"/>
        <v>7.6300000000000007E-2</v>
      </c>
      <c r="S572" s="296">
        <f t="shared" si="98"/>
        <v>-2.0218456006372038E-2</v>
      </c>
      <c r="U572" s="297"/>
      <c r="V572" s="297"/>
      <c r="W572" s="297"/>
      <c r="X572" s="297"/>
      <c r="Y572" s="297"/>
      <c r="Z572" s="297"/>
      <c r="AA572" s="297"/>
      <c r="AB572" s="297"/>
      <c r="AC572" s="297"/>
      <c r="AE572" s="297"/>
      <c r="AF572" s="297"/>
      <c r="AG572" s="297"/>
      <c r="AH572" s="297"/>
      <c r="AI572" s="297"/>
      <c r="AJ572" s="297"/>
      <c r="AK572" s="297"/>
      <c r="AL572" s="297"/>
      <c r="AM572" s="297"/>
      <c r="AO572" s="297"/>
      <c r="AP572" s="297"/>
      <c r="AQ572" s="297"/>
      <c r="AR572" s="297"/>
      <c r="AS572" s="297"/>
      <c r="AT572" s="297"/>
      <c r="AU572" s="297"/>
      <c r="AV572" s="297"/>
      <c r="AW572" s="297"/>
    </row>
    <row r="573" spans="1:49" x14ac:dyDescent="0.45">
      <c r="A573" s="295">
        <v>26785</v>
      </c>
      <c r="B573" s="12">
        <v>-1.6299999999999999E-2</v>
      </c>
      <c r="C573" s="5">
        <v>6.7000000000000002E-3</v>
      </c>
      <c r="D573" s="5">
        <v>5.7999999999999996E-3</v>
      </c>
      <c r="E573" s="5">
        <v>6.0750000000000005E-3</v>
      </c>
      <c r="F573" s="5">
        <v>6.2416666666666662E-3</v>
      </c>
      <c r="G573" s="5">
        <v>6.1583333333333334E-3</v>
      </c>
      <c r="H573" s="5">
        <v>6.3583333333333339E-3</v>
      </c>
      <c r="I573" s="5">
        <f t="shared" si="88"/>
        <v>-2.2099999999999998E-2</v>
      </c>
      <c r="J573" s="5">
        <f t="shared" si="92"/>
        <v>-2.245833333333333E-2</v>
      </c>
      <c r="K573" s="5">
        <f t="shared" si="93"/>
        <v>3.4166666666666633E-4</v>
      </c>
      <c r="L573" s="8">
        <f t="shared" si="90"/>
        <v>-1.3698952435268419E-2</v>
      </c>
      <c r="M573" s="8">
        <f t="shared" si="91"/>
        <v>6.9599999999999995E-2</v>
      </c>
      <c r="N573" s="8">
        <f t="shared" si="94"/>
        <v>7.3899999999999993E-2</v>
      </c>
      <c r="O573" s="296">
        <f t="shared" si="89"/>
        <v>-8.3298952435268414E-2</v>
      </c>
      <c r="P573" s="8">
        <f t="shared" si="95"/>
        <v>-8.7598952435268412E-2</v>
      </c>
      <c r="Q573" s="8">
        <f t="shared" si="96"/>
        <v>6.496773548871615E-2</v>
      </c>
      <c r="R573" s="8">
        <f t="shared" si="97"/>
        <v>7.6300000000000007E-2</v>
      </c>
      <c r="S573" s="296">
        <f t="shared" si="98"/>
        <v>-1.1332264511283857E-2</v>
      </c>
      <c r="U573" s="297"/>
      <c r="V573" s="297"/>
      <c r="W573" s="297"/>
      <c r="X573" s="297"/>
      <c r="Y573" s="297"/>
      <c r="Z573" s="297"/>
      <c r="AA573" s="297"/>
      <c r="AB573" s="297"/>
      <c r="AC573" s="297"/>
      <c r="AE573" s="297"/>
      <c r="AF573" s="297"/>
      <c r="AG573" s="297"/>
      <c r="AH573" s="297"/>
      <c r="AI573" s="297"/>
      <c r="AJ573" s="297"/>
      <c r="AK573" s="297"/>
      <c r="AL573" s="297"/>
      <c r="AM573" s="297"/>
      <c r="AO573" s="297"/>
      <c r="AP573" s="297"/>
      <c r="AQ573" s="297"/>
      <c r="AR573" s="297"/>
      <c r="AS573" s="297"/>
      <c r="AT573" s="297"/>
      <c r="AU573" s="297"/>
      <c r="AV573" s="297"/>
      <c r="AW573" s="297"/>
    </row>
    <row r="574" spans="1:49" x14ac:dyDescent="0.45">
      <c r="A574" s="295">
        <v>26816</v>
      </c>
      <c r="B574" s="12">
        <v>-4.0000000000000001E-3</v>
      </c>
      <c r="C574" s="5">
        <v>-1.67E-2</v>
      </c>
      <c r="D574" s="5">
        <v>5.4999999999999997E-3</v>
      </c>
      <c r="E574" s="5">
        <v>6.1416666666666668E-3</v>
      </c>
      <c r="F574" s="5">
        <v>6.2916666666666668E-3</v>
      </c>
      <c r="G574" s="5">
        <v>6.2166666666666655E-3</v>
      </c>
      <c r="H574" s="5">
        <v>6.4249999999999993E-3</v>
      </c>
      <c r="I574" s="5">
        <f t="shared" si="88"/>
        <v>-9.4999999999999998E-3</v>
      </c>
      <c r="J574" s="5">
        <f t="shared" si="92"/>
        <v>-1.0216666666666666E-2</v>
      </c>
      <c r="K574" s="5">
        <f t="shared" si="93"/>
        <v>-2.3125E-2</v>
      </c>
      <c r="L574" s="8">
        <f t="shared" si="90"/>
        <v>1.7905806388665013E-3</v>
      </c>
      <c r="M574" s="8">
        <f t="shared" si="91"/>
        <v>6.6000000000000003E-2</v>
      </c>
      <c r="N574" s="8">
        <f t="shared" si="94"/>
        <v>7.4599999999999986E-2</v>
      </c>
      <c r="O574" s="296">
        <f t="shared" si="89"/>
        <v>-6.4209419361133502E-2</v>
      </c>
      <c r="P574" s="8">
        <f t="shared" si="95"/>
        <v>-7.2809419361133484E-2</v>
      </c>
      <c r="Q574" s="8">
        <f t="shared" si="96"/>
        <v>6.9645326155315823E-2</v>
      </c>
      <c r="R574" s="8">
        <f t="shared" si="97"/>
        <v>7.7099999999999988E-2</v>
      </c>
      <c r="S574" s="296">
        <f t="shared" si="98"/>
        <v>-7.4546738446841648E-3</v>
      </c>
      <c r="U574" s="297"/>
      <c r="V574" s="297"/>
      <c r="W574" s="297"/>
      <c r="X574" s="297"/>
      <c r="Y574" s="297"/>
      <c r="Z574" s="297"/>
      <c r="AA574" s="297"/>
      <c r="AB574" s="297"/>
      <c r="AC574" s="297"/>
      <c r="AE574" s="297"/>
      <c r="AF574" s="297"/>
      <c r="AG574" s="297"/>
      <c r="AH574" s="297"/>
      <c r="AI574" s="297"/>
      <c r="AJ574" s="297"/>
      <c r="AK574" s="297"/>
      <c r="AL574" s="297"/>
      <c r="AM574" s="297"/>
      <c r="AO574" s="297"/>
      <c r="AP574" s="297"/>
      <c r="AQ574" s="297"/>
      <c r="AR574" s="297"/>
      <c r="AS574" s="297"/>
      <c r="AT574" s="297"/>
      <c r="AU574" s="297"/>
      <c r="AV574" s="297"/>
      <c r="AW574" s="297"/>
    </row>
    <row r="575" spans="1:49" x14ac:dyDescent="0.45">
      <c r="A575" s="295">
        <v>26846</v>
      </c>
      <c r="B575" s="12">
        <v>4.07E-2</v>
      </c>
      <c r="C575" s="5">
        <v>-1.9900000000000001E-2</v>
      </c>
      <c r="D575" s="5">
        <v>6.0999999999999995E-3</v>
      </c>
      <c r="E575" s="5">
        <v>6.2083333333333331E-3</v>
      </c>
      <c r="F575" s="5">
        <v>6.3666666666666663E-3</v>
      </c>
      <c r="G575" s="5">
        <v>6.2874999999999988E-3</v>
      </c>
      <c r="H575" s="5">
        <v>6.5166666666666671E-3</v>
      </c>
      <c r="I575" s="5">
        <f t="shared" si="88"/>
        <v>3.4599999999999999E-2</v>
      </c>
      <c r="J575" s="5">
        <f t="shared" si="92"/>
        <v>3.4412499999999999E-2</v>
      </c>
      <c r="K575" s="5">
        <f t="shared" si="93"/>
        <v>-2.6416666666666668E-2</v>
      </c>
      <c r="L575" s="8">
        <f t="shared" si="90"/>
        <v>3.7583058589637952E-2</v>
      </c>
      <c r="M575" s="8">
        <f t="shared" si="91"/>
        <v>7.3199999999999987E-2</v>
      </c>
      <c r="N575" s="8">
        <f t="shared" si="94"/>
        <v>7.5449999999999989E-2</v>
      </c>
      <c r="O575" s="296">
        <f t="shared" si="89"/>
        <v>-3.5616941410362035E-2</v>
      </c>
      <c r="P575" s="8">
        <f t="shared" si="95"/>
        <v>-3.7866941410362037E-2</v>
      </c>
      <c r="Q575" s="8">
        <f t="shared" si="96"/>
        <v>4.9829144967780348E-2</v>
      </c>
      <c r="R575" s="8">
        <f t="shared" si="97"/>
        <v>7.8200000000000006E-2</v>
      </c>
      <c r="S575" s="296">
        <f t="shared" si="98"/>
        <v>-2.8370855032219658E-2</v>
      </c>
      <c r="U575" s="297"/>
      <c r="V575" s="297"/>
      <c r="W575" s="297"/>
      <c r="X575" s="297"/>
      <c r="Y575" s="297"/>
      <c r="Z575" s="297"/>
      <c r="AA575" s="297"/>
      <c r="AB575" s="297"/>
      <c r="AC575" s="297"/>
      <c r="AE575" s="297"/>
      <c r="AF575" s="297"/>
      <c r="AG575" s="297"/>
      <c r="AH575" s="297"/>
      <c r="AI575" s="297"/>
      <c r="AJ575" s="297"/>
      <c r="AK575" s="297"/>
      <c r="AL575" s="297"/>
      <c r="AM575" s="297"/>
      <c r="AO575" s="297"/>
      <c r="AP575" s="297"/>
      <c r="AQ575" s="297"/>
      <c r="AR575" s="297"/>
      <c r="AS575" s="297"/>
      <c r="AT575" s="297"/>
      <c r="AU575" s="297"/>
      <c r="AV575" s="297"/>
      <c r="AW575" s="297"/>
    </row>
    <row r="576" spans="1:49" x14ac:dyDescent="0.45">
      <c r="A576" s="295">
        <v>26877</v>
      </c>
      <c r="B576" s="12">
        <v>-3.4099999999999998E-2</v>
      </c>
      <c r="C576" s="5">
        <v>-2.8399999999999995E-2</v>
      </c>
      <c r="D576" s="5">
        <v>6.1999999999999998E-3</v>
      </c>
      <c r="E576" s="5">
        <v>6.4000000000000003E-3</v>
      </c>
      <c r="F576" s="5">
        <v>6.5333333333333328E-3</v>
      </c>
      <c r="G576" s="5">
        <v>6.4666666666666674E-3</v>
      </c>
      <c r="H576" s="5">
        <v>6.6999999999999994E-3</v>
      </c>
      <c r="I576" s="5">
        <f t="shared" si="88"/>
        <v>-4.0299999999999996E-2</v>
      </c>
      <c r="J576" s="5">
        <f t="shared" si="92"/>
        <v>-4.0566666666666668E-2</v>
      </c>
      <c r="K576" s="5">
        <f t="shared" si="93"/>
        <v>-3.5099999999999992E-2</v>
      </c>
      <c r="L576" s="8">
        <f t="shared" si="90"/>
        <v>-3.3463712709295379E-2</v>
      </c>
      <c r="M576" s="8">
        <f t="shared" si="91"/>
        <v>7.4399999999999994E-2</v>
      </c>
      <c r="N576" s="8">
        <f t="shared" si="94"/>
        <v>7.7600000000000002E-2</v>
      </c>
      <c r="O576" s="296">
        <f t="shared" si="89"/>
        <v>-0.10786371270929537</v>
      </c>
      <c r="P576" s="8">
        <f t="shared" si="95"/>
        <v>-0.11106371270929538</v>
      </c>
      <c r="Q576" s="8">
        <f t="shared" si="96"/>
        <v>-3.5356537496978313E-2</v>
      </c>
      <c r="R576" s="8">
        <f t="shared" si="97"/>
        <v>8.0399999999999999E-2</v>
      </c>
      <c r="S576" s="296">
        <f t="shared" si="98"/>
        <v>-0.11575653749697831</v>
      </c>
      <c r="U576" s="297"/>
      <c r="V576" s="297"/>
      <c r="W576" s="297"/>
      <c r="X576" s="297"/>
      <c r="Y576" s="297"/>
      <c r="Z576" s="297"/>
      <c r="AA576" s="297"/>
      <c r="AB576" s="297"/>
      <c r="AC576" s="297"/>
      <c r="AE576" s="297"/>
      <c r="AF576" s="297"/>
      <c r="AG576" s="297"/>
      <c r="AH576" s="297"/>
      <c r="AI576" s="297"/>
      <c r="AJ576" s="297"/>
      <c r="AK576" s="297"/>
      <c r="AL576" s="297"/>
      <c r="AM576" s="297"/>
      <c r="AO576" s="297"/>
      <c r="AP576" s="297"/>
      <c r="AQ576" s="297"/>
      <c r="AR576" s="297"/>
      <c r="AS576" s="297"/>
      <c r="AT576" s="297"/>
      <c r="AU576" s="297"/>
      <c r="AV576" s="297"/>
      <c r="AW576" s="297"/>
    </row>
    <row r="577" spans="1:49" x14ac:dyDescent="0.45">
      <c r="A577" s="295">
        <v>26908</v>
      </c>
      <c r="B577" s="12">
        <v>4.2700000000000002E-2</v>
      </c>
      <c r="C577" s="5">
        <v>7.7099999999999988E-2</v>
      </c>
      <c r="D577" s="5">
        <v>5.4999999999999997E-3</v>
      </c>
      <c r="E577" s="5">
        <v>6.3583333333333339E-3</v>
      </c>
      <c r="F577" s="5">
        <v>6.5500000000000003E-3</v>
      </c>
      <c r="G577" s="5">
        <v>6.4541666666666671E-3</v>
      </c>
      <c r="H577" s="5">
        <v>6.6999999999999994E-3</v>
      </c>
      <c r="I577" s="5">
        <f t="shared" si="88"/>
        <v>3.7200000000000004E-2</v>
      </c>
      <c r="J577" s="5">
        <f t="shared" si="92"/>
        <v>3.6245833333333338E-2</v>
      </c>
      <c r="K577" s="5">
        <f t="shared" si="93"/>
        <v>7.039999999999999E-2</v>
      </c>
      <c r="L577" s="8">
        <f t="shared" si="90"/>
        <v>1.0333219807536542E-2</v>
      </c>
      <c r="M577" s="8">
        <f t="shared" si="91"/>
        <v>6.6000000000000003E-2</v>
      </c>
      <c r="N577" s="8">
        <f t="shared" si="94"/>
        <v>7.7450000000000005E-2</v>
      </c>
      <c r="O577" s="296">
        <f t="shared" si="89"/>
        <v>-5.5666780192463461E-2</v>
      </c>
      <c r="P577" s="8">
        <f t="shared" si="95"/>
        <v>-6.7116780192463463E-2</v>
      </c>
      <c r="Q577" s="8">
        <f t="shared" si="96"/>
        <v>3.6219680325127124E-2</v>
      </c>
      <c r="R577" s="8">
        <f t="shared" si="97"/>
        <v>8.0399999999999999E-2</v>
      </c>
      <c r="S577" s="296">
        <f t="shared" si="98"/>
        <v>-4.4180319674872875E-2</v>
      </c>
      <c r="U577" s="297"/>
      <c r="V577" s="297"/>
      <c r="W577" s="297"/>
      <c r="X577" s="297"/>
      <c r="Y577" s="297"/>
      <c r="Z577" s="297"/>
      <c r="AA577" s="297"/>
      <c r="AB577" s="297"/>
      <c r="AC577" s="297"/>
      <c r="AE577" s="297"/>
      <c r="AF577" s="297"/>
      <c r="AG577" s="297"/>
      <c r="AH577" s="297"/>
      <c r="AI577" s="297"/>
      <c r="AJ577" s="297"/>
      <c r="AK577" s="297"/>
      <c r="AL577" s="297"/>
      <c r="AM577" s="297"/>
      <c r="AO577" s="297"/>
      <c r="AP577" s="297"/>
      <c r="AQ577" s="297"/>
      <c r="AR577" s="297"/>
      <c r="AS577" s="297"/>
      <c r="AT577" s="297"/>
      <c r="AU577" s="297"/>
      <c r="AV577" s="297"/>
      <c r="AW577" s="297"/>
    </row>
    <row r="578" spans="1:49" x14ac:dyDescent="0.45">
      <c r="A578" s="295">
        <v>26938</v>
      </c>
      <c r="B578" s="12">
        <v>1.6999999999999999E-3</v>
      </c>
      <c r="C578" s="5">
        <v>-3.8800000000000001E-2</v>
      </c>
      <c r="D578" s="5">
        <v>6.3E-3</v>
      </c>
      <c r="E578" s="5">
        <v>6.3333333333333332E-3</v>
      </c>
      <c r="F578" s="5">
        <v>6.5333333333333328E-3</v>
      </c>
      <c r="G578" s="5">
        <v>6.4333333333333334E-3</v>
      </c>
      <c r="H578" s="5">
        <v>6.6833333333333337E-3</v>
      </c>
      <c r="I578" s="5">
        <f t="shared" si="88"/>
        <v>-4.5999999999999999E-3</v>
      </c>
      <c r="J578" s="5">
        <f t="shared" si="92"/>
        <v>-4.7333333333333333E-3</v>
      </c>
      <c r="K578" s="5">
        <f t="shared" si="93"/>
        <v>-4.5483333333333334E-2</v>
      </c>
      <c r="L578" s="8">
        <f t="shared" si="90"/>
        <v>2.4786151532851797E-4</v>
      </c>
      <c r="M578" s="8">
        <f t="shared" si="91"/>
        <v>7.5600000000000001E-2</v>
      </c>
      <c r="N578" s="8">
        <f t="shared" si="94"/>
        <v>7.7200000000000005E-2</v>
      </c>
      <c r="O578" s="296">
        <f t="shared" si="89"/>
        <v>-7.5352138484671483E-2</v>
      </c>
      <c r="P578" s="8">
        <f t="shared" si="95"/>
        <v>-7.6952138484671487E-2</v>
      </c>
      <c r="Q578" s="8">
        <f t="shared" si="96"/>
        <v>-6.4863058183727174E-2</v>
      </c>
      <c r="R578" s="8">
        <f t="shared" si="97"/>
        <v>8.0200000000000007E-2</v>
      </c>
      <c r="S578" s="296">
        <f t="shared" si="98"/>
        <v>-0.14506305818372717</v>
      </c>
      <c r="U578" s="297"/>
      <c r="V578" s="297"/>
      <c r="W578" s="297"/>
      <c r="X578" s="297"/>
      <c r="Y578" s="297"/>
      <c r="Z578" s="297"/>
      <c r="AA578" s="297"/>
      <c r="AB578" s="297"/>
      <c r="AC578" s="297"/>
      <c r="AE578" s="297"/>
      <c r="AF578" s="297"/>
      <c r="AG578" s="297"/>
      <c r="AH578" s="297"/>
      <c r="AI578" s="297"/>
      <c r="AJ578" s="297"/>
      <c r="AK578" s="297"/>
      <c r="AL578" s="297"/>
      <c r="AM578" s="297"/>
      <c r="AO578" s="297"/>
      <c r="AP578" s="297"/>
      <c r="AQ578" s="297"/>
      <c r="AR578" s="297"/>
      <c r="AS578" s="297"/>
      <c r="AT578" s="297"/>
      <c r="AU578" s="297"/>
      <c r="AV578" s="297"/>
      <c r="AW578" s="297"/>
    </row>
    <row r="579" spans="1:49" x14ac:dyDescent="0.45">
      <c r="A579" s="295">
        <v>26969</v>
      </c>
      <c r="B579" s="12">
        <v>-0.1109</v>
      </c>
      <c r="C579" s="5">
        <v>-0.11720000000000001</v>
      </c>
      <c r="D579" s="5">
        <v>5.5999999999999991E-3</v>
      </c>
      <c r="E579" s="5">
        <v>6.391666666666667E-3</v>
      </c>
      <c r="F579" s="5">
        <v>6.5833333333333334E-3</v>
      </c>
      <c r="G579" s="5">
        <v>6.4874999999999993E-3</v>
      </c>
      <c r="H579" s="5">
        <v>6.7916666666666672E-3</v>
      </c>
      <c r="I579" s="5">
        <f t="shared" si="88"/>
        <v>-0.11649999999999999</v>
      </c>
      <c r="J579" s="5">
        <f t="shared" si="92"/>
        <v>-0.11738749999999999</v>
      </c>
      <c r="K579" s="5">
        <f t="shared" si="93"/>
        <v>-0.12399166666666668</v>
      </c>
      <c r="L579" s="8">
        <f t="shared" si="90"/>
        <v>-0.15149282160740518</v>
      </c>
      <c r="M579" s="8">
        <f t="shared" si="91"/>
        <v>6.7199999999999982E-2</v>
      </c>
      <c r="N579" s="8">
        <f t="shared" si="94"/>
        <v>7.7849999999999989E-2</v>
      </c>
      <c r="O579" s="296">
        <f t="shared" si="89"/>
        <v>-0.21869282160740516</v>
      </c>
      <c r="P579" s="8">
        <f t="shared" si="95"/>
        <v>-0.22934282160740516</v>
      </c>
      <c r="Q579" s="8">
        <f t="shared" si="96"/>
        <v>-0.22404465435153142</v>
      </c>
      <c r="R579" s="8">
        <f t="shared" si="97"/>
        <v>8.1500000000000003E-2</v>
      </c>
      <c r="S579" s="296">
        <f t="shared" si="98"/>
        <v>-0.30554465435153144</v>
      </c>
      <c r="U579" s="297"/>
      <c r="V579" s="297"/>
      <c r="W579" s="297"/>
      <c r="X579" s="297"/>
      <c r="Y579" s="297"/>
      <c r="Z579" s="297"/>
      <c r="AA579" s="297"/>
      <c r="AB579" s="297"/>
      <c r="AC579" s="297"/>
      <c r="AE579" s="297"/>
      <c r="AF579" s="297"/>
      <c r="AG579" s="297"/>
      <c r="AH579" s="297"/>
      <c r="AI579" s="297"/>
      <c r="AJ579" s="297"/>
      <c r="AK579" s="297"/>
      <c r="AL579" s="297"/>
      <c r="AM579" s="297"/>
      <c r="AO579" s="297"/>
      <c r="AP579" s="297"/>
      <c r="AQ579" s="297"/>
      <c r="AR579" s="297"/>
      <c r="AS579" s="297"/>
      <c r="AT579" s="297"/>
      <c r="AU579" s="297"/>
      <c r="AV579" s="297"/>
      <c r="AW579" s="297"/>
    </row>
    <row r="580" spans="1:49" x14ac:dyDescent="0.45">
      <c r="A580" s="295">
        <v>26999</v>
      </c>
      <c r="B580" s="12">
        <v>1.9800000000000002E-2</v>
      </c>
      <c r="C580" s="5">
        <v>3.7499999999999999E-2</v>
      </c>
      <c r="D580" s="5">
        <v>6.0000000000000001E-3</v>
      </c>
      <c r="E580" s="5">
        <v>6.4000000000000003E-3</v>
      </c>
      <c r="F580" s="5">
        <v>6.6E-3</v>
      </c>
      <c r="G580" s="5">
        <v>6.5000000000000006E-3</v>
      </c>
      <c r="H580" s="5">
        <v>6.8666666666666668E-3</v>
      </c>
      <c r="I580" s="5">
        <f t="shared" si="88"/>
        <v>1.3800000000000002E-2</v>
      </c>
      <c r="J580" s="5">
        <f t="shared" si="92"/>
        <v>1.3300000000000001E-2</v>
      </c>
      <c r="K580" s="5">
        <f t="shared" si="93"/>
        <v>3.0633333333333332E-2</v>
      </c>
      <c r="L580" s="8">
        <f t="shared" si="90"/>
        <v>-0.14680770999332649</v>
      </c>
      <c r="M580" s="8">
        <f t="shared" si="91"/>
        <v>7.2000000000000008E-2</v>
      </c>
      <c r="N580" s="8">
        <f t="shared" si="94"/>
        <v>7.8000000000000014E-2</v>
      </c>
      <c r="O580" s="296">
        <f t="shared" si="89"/>
        <v>-0.21880770999332649</v>
      </c>
      <c r="P580" s="8">
        <f t="shared" si="95"/>
        <v>-0.2248077099933265</v>
      </c>
      <c r="Q580" s="8">
        <f t="shared" si="96"/>
        <v>-0.18069034081998148</v>
      </c>
      <c r="R580" s="8">
        <f t="shared" si="97"/>
        <v>8.2400000000000001E-2</v>
      </c>
      <c r="S580" s="296">
        <f t="shared" si="98"/>
        <v>-0.26309034081998151</v>
      </c>
      <c r="U580" s="297"/>
      <c r="V580" s="297"/>
      <c r="W580" s="297"/>
      <c r="X580" s="297"/>
      <c r="Y580" s="297"/>
      <c r="Z580" s="297"/>
      <c r="AA580" s="297"/>
      <c r="AB580" s="297"/>
      <c r="AC580" s="297"/>
      <c r="AE580" s="297"/>
      <c r="AF580" s="297"/>
      <c r="AG580" s="297"/>
      <c r="AH580" s="297"/>
      <c r="AI580" s="297"/>
      <c r="AJ580" s="297"/>
      <c r="AK580" s="297"/>
      <c r="AL580" s="297"/>
      <c r="AM580" s="297"/>
      <c r="AO580" s="297"/>
      <c r="AP580" s="297"/>
      <c r="AQ580" s="297"/>
      <c r="AR580" s="297"/>
      <c r="AS580" s="297"/>
      <c r="AT580" s="297"/>
      <c r="AU580" s="297"/>
      <c r="AV580" s="297"/>
      <c r="AW580" s="297"/>
    </row>
    <row r="581" spans="1:49" x14ac:dyDescent="0.45">
      <c r="A581" s="295">
        <v>27030</v>
      </c>
      <c r="B581" s="12">
        <v>-7.1999999999999998E-3</v>
      </c>
      <c r="C581" s="5">
        <v>4.1799999999999997E-2</v>
      </c>
      <c r="D581" s="5">
        <v>6.0999999999999995E-3</v>
      </c>
      <c r="E581" s="5">
        <v>6.5249999999999996E-3</v>
      </c>
      <c r="F581" s="5">
        <v>6.6666666666666662E-3</v>
      </c>
      <c r="G581" s="5">
        <v>6.5958333333333329E-3</v>
      </c>
      <c r="H581" s="5">
        <v>6.9666666666666661E-3</v>
      </c>
      <c r="I581" s="5">
        <f t="shared" si="88"/>
        <v>-1.3299999999999999E-2</v>
      </c>
      <c r="J581" s="5">
        <f t="shared" si="92"/>
        <v>-1.3795833333333334E-2</v>
      </c>
      <c r="K581" s="5">
        <f t="shared" si="93"/>
        <v>3.4833333333333327E-2</v>
      </c>
      <c r="L581" s="8">
        <f t="shared" si="90"/>
        <v>-0.14013876203570674</v>
      </c>
      <c r="M581" s="8">
        <f t="shared" si="91"/>
        <v>7.3199999999999987E-2</v>
      </c>
      <c r="N581" s="8">
        <f t="shared" si="94"/>
        <v>7.9149999999999998E-2</v>
      </c>
      <c r="O581" s="296">
        <f t="shared" si="89"/>
        <v>-0.21333876203570673</v>
      </c>
      <c r="P581" s="8">
        <f t="shared" si="95"/>
        <v>-0.21928876203570674</v>
      </c>
      <c r="Q581" s="8">
        <f t="shared" si="96"/>
        <v>-0.10725153965720813</v>
      </c>
      <c r="R581" s="8">
        <f t="shared" si="97"/>
        <v>8.3599999999999994E-2</v>
      </c>
      <c r="S581" s="296">
        <f t="shared" si="98"/>
        <v>-0.19085153965720814</v>
      </c>
      <c r="U581" s="297"/>
      <c r="V581" s="297"/>
      <c r="W581" s="297"/>
      <c r="X581" s="297"/>
      <c r="Y581" s="297"/>
      <c r="Z581" s="297"/>
      <c r="AA581" s="297"/>
      <c r="AB581" s="297"/>
      <c r="AC581" s="297"/>
      <c r="AE581" s="297"/>
      <c r="AF581" s="297"/>
      <c r="AG581" s="297"/>
      <c r="AH581" s="297"/>
      <c r="AI581" s="297"/>
      <c r="AJ581" s="297"/>
      <c r="AK581" s="297"/>
      <c r="AL581" s="297"/>
      <c r="AM581" s="297"/>
      <c r="AO581" s="297"/>
      <c r="AP581" s="297"/>
      <c r="AQ581" s="297"/>
      <c r="AR581" s="297"/>
      <c r="AS581" s="297"/>
      <c r="AT581" s="297"/>
      <c r="AU581" s="297"/>
      <c r="AV581" s="297"/>
      <c r="AW581" s="297"/>
    </row>
    <row r="582" spans="1:49" x14ac:dyDescent="0.45">
      <c r="A582" s="295">
        <v>27061</v>
      </c>
      <c r="B582" s="12">
        <v>-6.9999999999999999E-4</v>
      </c>
      <c r="C582" s="5">
        <v>6.0000000000000001E-3</v>
      </c>
      <c r="D582" s="5">
        <v>5.4999999999999997E-3</v>
      </c>
      <c r="E582" s="5">
        <v>6.541666666666667E-3</v>
      </c>
      <c r="F582" s="5">
        <v>6.7083333333333335E-3</v>
      </c>
      <c r="G582" s="5">
        <v>6.6250000000000007E-3</v>
      </c>
      <c r="H582" s="5">
        <v>7.0166666666666667E-3</v>
      </c>
      <c r="I582" s="5">
        <f t="shared" ref="I582:I645" si="99">B582-D582</f>
        <v>-6.1999999999999998E-3</v>
      </c>
      <c r="J582" s="5">
        <f t="shared" si="92"/>
        <v>-7.3250000000000008E-3</v>
      </c>
      <c r="K582" s="5">
        <f t="shared" si="93"/>
        <v>-1.0166666666666666E-3</v>
      </c>
      <c r="L582" s="8">
        <f t="shared" si="90"/>
        <v>-0.10939123642442128</v>
      </c>
      <c r="M582" s="8">
        <f t="shared" si="91"/>
        <v>6.6000000000000003E-2</v>
      </c>
      <c r="N582" s="8">
        <f t="shared" si="94"/>
        <v>7.9500000000000015E-2</v>
      </c>
      <c r="O582" s="296">
        <f t="shared" si="89"/>
        <v>-0.17539123642442128</v>
      </c>
      <c r="P582" s="8">
        <f t="shared" si="95"/>
        <v>-0.18889123642442129</v>
      </c>
      <c r="Q582" s="8">
        <f t="shared" si="96"/>
        <v>-8.0375843636239175E-2</v>
      </c>
      <c r="R582" s="8">
        <f t="shared" si="97"/>
        <v>8.4199999999999997E-2</v>
      </c>
      <c r="S582" s="296">
        <f t="shared" si="98"/>
        <v>-0.16457584363623917</v>
      </c>
      <c r="U582" s="297"/>
      <c r="V582" s="297"/>
      <c r="W582" s="297"/>
      <c r="X582" s="297"/>
      <c r="Y582" s="297"/>
      <c r="Z582" s="297"/>
      <c r="AA582" s="297"/>
      <c r="AB582" s="297"/>
      <c r="AC582" s="297"/>
      <c r="AE582" s="297"/>
      <c r="AF582" s="297"/>
      <c r="AG582" s="297"/>
      <c r="AH582" s="297"/>
      <c r="AI582" s="297"/>
      <c r="AJ582" s="297"/>
      <c r="AK582" s="297"/>
      <c r="AL582" s="297"/>
      <c r="AM582" s="297"/>
      <c r="AO582" s="297"/>
      <c r="AP582" s="297"/>
      <c r="AQ582" s="297"/>
      <c r="AR582" s="297"/>
      <c r="AS582" s="297"/>
      <c r="AT582" s="297"/>
      <c r="AU582" s="297"/>
      <c r="AV582" s="297"/>
      <c r="AW582" s="297"/>
    </row>
    <row r="583" spans="1:49" x14ac:dyDescent="0.45">
      <c r="A583" s="295">
        <v>27089</v>
      </c>
      <c r="B583" s="12">
        <v>-2.0500000000000001E-2</v>
      </c>
      <c r="C583" s="5">
        <v>-3.8900000000000004E-2</v>
      </c>
      <c r="D583" s="5">
        <v>5.8999999999999999E-3</v>
      </c>
      <c r="E583" s="5">
        <v>6.6749999999999995E-3</v>
      </c>
      <c r="F583" s="5">
        <v>6.8166666666666662E-3</v>
      </c>
      <c r="G583" s="5">
        <v>6.7458333333333328E-3</v>
      </c>
      <c r="H583" s="5">
        <v>7.0500000000000007E-3</v>
      </c>
      <c r="I583" s="5">
        <f t="shared" si="99"/>
        <v>-2.64E-2</v>
      </c>
      <c r="J583" s="5">
        <f t="shared" si="92"/>
        <v>-2.7245833333333334E-2</v>
      </c>
      <c r="K583" s="5">
        <f t="shared" si="93"/>
        <v>-4.5950000000000005E-2</v>
      </c>
      <c r="L583" s="8">
        <f t="shared" si="90"/>
        <v>-0.1283460392463236</v>
      </c>
      <c r="M583" s="8">
        <f t="shared" si="91"/>
        <v>7.0800000000000002E-2</v>
      </c>
      <c r="N583" s="8">
        <f t="shared" si="94"/>
        <v>8.0949999999999994E-2</v>
      </c>
      <c r="O583" s="296">
        <f t="shared" si="89"/>
        <v>-0.1991460392463236</v>
      </c>
      <c r="P583" s="8">
        <f t="shared" si="95"/>
        <v>-0.20929603924632359</v>
      </c>
      <c r="Q583" s="8">
        <f t="shared" si="96"/>
        <v>-0.10405395166628439</v>
      </c>
      <c r="R583" s="8">
        <f t="shared" si="97"/>
        <v>8.4600000000000009E-2</v>
      </c>
      <c r="S583" s="296">
        <f t="shared" si="98"/>
        <v>-0.1886539516662844</v>
      </c>
      <c r="U583" s="297"/>
      <c r="V583" s="297"/>
      <c r="W583" s="297"/>
      <c r="X583" s="297"/>
      <c r="Y583" s="297"/>
      <c r="Z583" s="297"/>
      <c r="AA583" s="297"/>
      <c r="AB583" s="297"/>
      <c r="AC583" s="297"/>
      <c r="AE583" s="297"/>
      <c r="AF583" s="297"/>
      <c r="AG583" s="297"/>
      <c r="AH583" s="297"/>
      <c r="AI583" s="297"/>
      <c r="AJ583" s="297"/>
      <c r="AK583" s="297"/>
      <c r="AL583" s="297"/>
      <c r="AM583" s="297"/>
      <c r="AO583" s="297"/>
      <c r="AP583" s="297"/>
      <c r="AQ583" s="297"/>
      <c r="AR583" s="297"/>
      <c r="AS583" s="297"/>
      <c r="AT583" s="297"/>
      <c r="AU583" s="297"/>
      <c r="AV583" s="297"/>
      <c r="AW583" s="297"/>
    </row>
    <row r="584" spans="1:49" x14ac:dyDescent="0.45">
      <c r="A584" s="295">
        <v>27120</v>
      </c>
      <c r="B584" s="12">
        <v>-3.5900000000000001E-2</v>
      </c>
      <c r="C584" s="5">
        <v>-0.12959999999999999</v>
      </c>
      <c r="D584" s="5">
        <v>6.7999999999999996E-3</v>
      </c>
      <c r="E584" s="5">
        <v>6.875E-3</v>
      </c>
      <c r="F584" s="5">
        <v>7.025E-3</v>
      </c>
      <c r="G584" s="5">
        <v>6.9500000000000004E-3</v>
      </c>
      <c r="H584" s="5">
        <v>7.3083333333333333E-3</v>
      </c>
      <c r="I584" s="5">
        <f t="shared" si="99"/>
        <v>-4.2700000000000002E-2</v>
      </c>
      <c r="J584" s="5">
        <f t="shared" si="92"/>
        <v>-4.2849999999999999E-2</v>
      </c>
      <c r="K584" s="5">
        <f t="shared" si="93"/>
        <v>-0.13690833333333333</v>
      </c>
      <c r="L584" s="8">
        <f t="shared" si="90"/>
        <v>-0.12617075640779929</v>
      </c>
      <c r="M584" s="8">
        <f t="shared" si="91"/>
        <v>8.1599999999999992E-2</v>
      </c>
      <c r="N584" s="8">
        <f t="shared" si="94"/>
        <v>8.3400000000000002E-2</v>
      </c>
      <c r="O584" s="296">
        <f t="shared" si="89"/>
        <v>-0.2077707564077993</v>
      </c>
      <c r="P584" s="8">
        <f t="shared" si="95"/>
        <v>-0.20957075640779929</v>
      </c>
      <c r="Q584" s="8">
        <f t="shared" si="96"/>
        <v>-0.216328569520987</v>
      </c>
      <c r="R584" s="8">
        <f t="shared" si="97"/>
        <v>8.77E-2</v>
      </c>
      <c r="S584" s="296">
        <f t="shared" si="98"/>
        <v>-0.304028569520987</v>
      </c>
      <c r="U584" s="297"/>
      <c r="V584" s="297"/>
      <c r="W584" s="297"/>
      <c r="X584" s="297"/>
      <c r="Y584" s="297"/>
      <c r="Z584" s="297"/>
      <c r="AA584" s="297"/>
      <c r="AB584" s="297"/>
      <c r="AC584" s="297"/>
      <c r="AE584" s="297"/>
      <c r="AF584" s="297"/>
      <c r="AG584" s="297"/>
      <c r="AH584" s="297"/>
      <c r="AI584" s="297"/>
      <c r="AJ584" s="297"/>
      <c r="AK584" s="297"/>
      <c r="AL584" s="297"/>
      <c r="AM584" s="297"/>
      <c r="AO584" s="297"/>
      <c r="AP584" s="297"/>
      <c r="AQ584" s="297"/>
      <c r="AR584" s="297"/>
      <c r="AS584" s="297"/>
      <c r="AT584" s="297"/>
      <c r="AU584" s="297"/>
      <c r="AV584" s="297"/>
      <c r="AW584" s="297"/>
    </row>
    <row r="585" spans="1:49" x14ac:dyDescent="0.45">
      <c r="A585" s="295">
        <v>27150</v>
      </c>
      <c r="B585" s="12">
        <v>-3.0200000000000001E-2</v>
      </c>
      <c r="C585" s="5">
        <v>-4.8399999999999999E-2</v>
      </c>
      <c r="D585" s="5">
        <v>6.7999999999999996E-3</v>
      </c>
      <c r="E585" s="5">
        <v>6.9749999999999986E-3</v>
      </c>
      <c r="F585" s="5">
        <v>7.1500000000000001E-3</v>
      </c>
      <c r="G585" s="5">
        <v>7.0624999999999993E-3</v>
      </c>
      <c r="H585" s="5">
        <v>7.4999999999999997E-3</v>
      </c>
      <c r="I585" s="5">
        <f t="shared" si="99"/>
        <v>-3.6999999999999998E-2</v>
      </c>
      <c r="J585" s="5">
        <f t="shared" si="92"/>
        <v>-3.7262500000000004E-2</v>
      </c>
      <c r="K585" s="5">
        <f t="shared" si="93"/>
        <v>-5.5899999999999998E-2</v>
      </c>
      <c r="L585" s="8">
        <f t="shared" si="90"/>
        <v>-0.13851824699022453</v>
      </c>
      <c r="M585" s="8">
        <f t="shared" si="91"/>
        <v>8.1599999999999992E-2</v>
      </c>
      <c r="N585" s="8">
        <f t="shared" si="94"/>
        <v>8.4749999999999992E-2</v>
      </c>
      <c r="O585" s="296">
        <f t="shared" si="89"/>
        <v>-0.22011824699022453</v>
      </c>
      <c r="P585" s="8">
        <f t="shared" si="95"/>
        <v>-0.22326824699022452</v>
      </c>
      <c r="Q585" s="8">
        <f t="shared" si="96"/>
        <v>-0.25922148282126856</v>
      </c>
      <c r="R585" s="8">
        <f t="shared" si="97"/>
        <v>0.09</v>
      </c>
      <c r="S585" s="296">
        <f t="shared" si="98"/>
        <v>-0.34922148282126853</v>
      </c>
      <c r="U585" s="297"/>
      <c r="V585" s="297"/>
      <c r="W585" s="297"/>
      <c r="X585" s="297"/>
      <c r="Y585" s="297"/>
      <c r="Z585" s="297"/>
      <c r="AA585" s="297"/>
      <c r="AB585" s="297"/>
      <c r="AC585" s="297"/>
      <c r="AE585" s="297"/>
      <c r="AF585" s="297"/>
      <c r="AG585" s="297"/>
      <c r="AH585" s="297"/>
      <c r="AI585" s="297"/>
      <c r="AJ585" s="297"/>
      <c r="AK585" s="297"/>
      <c r="AL585" s="297"/>
      <c r="AM585" s="297"/>
      <c r="AO585" s="297"/>
      <c r="AP585" s="297"/>
      <c r="AQ585" s="297"/>
      <c r="AR585" s="297"/>
      <c r="AS585" s="297"/>
      <c r="AT585" s="297"/>
      <c r="AU585" s="297"/>
      <c r="AV585" s="297"/>
      <c r="AW585" s="297"/>
    </row>
    <row r="586" spans="1:49" x14ac:dyDescent="0.45">
      <c r="A586" s="295">
        <v>27181</v>
      </c>
      <c r="B586" s="12">
        <v>-1.1299999999999999E-2</v>
      </c>
      <c r="C586" s="5">
        <v>-5.6999999999999995E-2</v>
      </c>
      <c r="D586" s="5">
        <v>6.0999999999999995E-3</v>
      </c>
      <c r="E586" s="5">
        <v>7.058333333333334E-3</v>
      </c>
      <c r="F586" s="5">
        <v>7.2916666666666659E-3</v>
      </c>
      <c r="G586" s="5">
        <v>7.175E-3</v>
      </c>
      <c r="H586" s="5">
        <v>7.7666666666666674E-3</v>
      </c>
      <c r="I586" s="5">
        <f t="shared" si="99"/>
        <v>-1.7399999999999999E-2</v>
      </c>
      <c r="J586" s="5">
        <f t="shared" si="92"/>
        <v>-1.8474999999999998E-2</v>
      </c>
      <c r="K586" s="5">
        <f t="shared" si="93"/>
        <v>-6.4766666666666667E-2</v>
      </c>
      <c r="L586" s="8">
        <f t="shared" si="90"/>
        <v>-0.14483232007955305</v>
      </c>
      <c r="M586" s="8">
        <f t="shared" si="91"/>
        <v>7.3199999999999987E-2</v>
      </c>
      <c r="N586" s="8">
        <f t="shared" si="94"/>
        <v>8.6099999999999996E-2</v>
      </c>
      <c r="O586" s="296">
        <f t="shared" si="89"/>
        <v>-0.21803232007955303</v>
      </c>
      <c r="P586" s="8">
        <f t="shared" si="95"/>
        <v>-0.23093232007955306</v>
      </c>
      <c r="Q586" s="8">
        <f t="shared" si="96"/>
        <v>-0.28958187562336646</v>
      </c>
      <c r="R586" s="8">
        <f t="shared" si="97"/>
        <v>9.3200000000000005E-2</v>
      </c>
      <c r="S586" s="296">
        <f t="shared" si="98"/>
        <v>-0.38278187562336646</v>
      </c>
      <c r="U586" s="297"/>
      <c r="V586" s="297"/>
      <c r="W586" s="297"/>
      <c r="X586" s="297"/>
      <c r="Y586" s="297"/>
      <c r="Z586" s="297"/>
      <c r="AA586" s="297"/>
      <c r="AB586" s="297"/>
      <c r="AC586" s="297"/>
      <c r="AE586" s="297"/>
      <c r="AF586" s="297"/>
      <c r="AG586" s="297"/>
      <c r="AH586" s="297"/>
      <c r="AI586" s="297"/>
      <c r="AJ586" s="297"/>
      <c r="AK586" s="297"/>
      <c r="AL586" s="297"/>
      <c r="AM586" s="297"/>
      <c r="AO586" s="297"/>
      <c r="AP586" s="297"/>
      <c r="AQ586" s="297"/>
      <c r="AR586" s="297"/>
      <c r="AS586" s="297"/>
      <c r="AT586" s="297"/>
      <c r="AU586" s="297"/>
      <c r="AV586" s="297"/>
      <c r="AW586" s="297"/>
    </row>
    <row r="587" spans="1:49" x14ac:dyDescent="0.45">
      <c r="A587" s="295">
        <v>27211</v>
      </c>
      <c r="B587" s="12">
        <v>-7.4200000000000002E-2</v>
      </c>
      <c r="C587" s="5">
        <v>-8.8999999999999982E-3</v>
      </c>
      <c r="D587" s="5">
        <v>7.1999999999999998E-3</v>
      </c>
      <c r="E587" s="5">
        <v>7.2666666666666669E-3</v>
      </c>
      <c r="F587" s="5">
        <v>7.5083333333333339E-3</v>
      </c>
      <c r="G587" s="5">
        <v>7.3875E-3</v>
      </c>
      <c r="H587" s="5">
        <v>8.0499999999999999E-3</v>
      </c>
      <c r="I587" s="5">
        <f t="shared" si="99"/>
        <v>-8.14E-2</v>
      </c>
      <c r="J587" s="5">
        <f t="shared" si="92"/>
        <v>-8.1587500000000007E-2</v>
      </c>
      <c r="K587" s="5">
        <f t="shared" si="93"/>
        <v>-1.695E-2</v>
      </c>
      <c r="L587" s="8">
        <f t="shared" si="90"/>
        <v>-0.23924835392490651</v>
      </c>
      <c r="M587" s="8">
        <f t="shared" si="91"/>
        <v>8.6400000000000005E-2</v>
      </c>
      <c r="N587" s="8">
        <f t="shared" si="94"/>
        <v>8.8650000000000007E-2</v>
      </c>
      <c r="O587" s="296">
        <f t="shared" si="89"/>
        <v>-0.32564835392490654</v>
      </c>
      <c r="P587" s="8">
        <f t="shared" si="95"/>
        <v>-0.32789835392490652</v>
      </c>
      <c r="Q587" s="8">
        <f t="shared" si="96"/>
        <v>-0.28160860823417866</v>
      </c>
      <c r="R587" s="8">
        <f t="shared" si="97"/>
        <v>9.6599999999999991E-2</v>
      </c>
      <c r="S587" s="296">
        <f t="shared" si="98"/>
        <v>-0.37820860823417868</v>
      </c>
      <c r="U587" s="297"/>
      <c r="V587" s="297"/>
      <c r="W587" s="297"/>
      <c r="X587" s="297"/>
      <c r="Y587" s="297"/>
      <c r="Z587" s="297"/>
      <c r="AA587" s="297"/>
      <c r="AB587" s="297"/>
      <c r="AC587" s="297"/>
      <c r="AE587" s="297"/>
      <c r="AF587" s="297"/>
      <c r="AG587" s="297"/>
      <c r="AH587" s="297"/>
      <c r="AI587" s="297"/>
      <c r="AJ587" s="297"/>
      <c r="AK587" s="297"/>
      <c r="AL587" s="297"/>
      <c r="AM587" s="297"/>
      <c r="AO587" s="297"/>
      <c r="AP587" s="297"/>
      <c r="AQ587" s="297"/>
      <c r="AR587" s="297"/>
      <c r="AS587" s="297"/>
      <c r="AT587" s="297"/>
      <c r="AU587" s="297"/>
      <c r="AV587" s="297"/>
      <c r="AW587" s="297"/>
    </row>
    <row r="588" spans="1:49" x14ac:dyDescent="0.45">
      <c r="A588" s="295">
        <v>27242</v>
      </c>
      <c r="B588" s="12">
        <v>-8.6400000000000005E-2</v>
      </c>
      <c r="C588" s="5">
        <v>-8.7099999999999997E-2</v>
      </c>
      <c r="D588" s="5">
        <v>6.5000000000000006E-3</v>
      </c>
      <c r="E588" s="5">
        <v>7.4999999999999997E-3</v>
      </c>
      <c r="F588" s="5">
        <v>7.7333333333333334E-3</v>
      </c>
      <c r="G588" s="5">
        <v>7.6166666666666674E-3</v>
      </c>
      <c r="H588" s="5">
        <v>8.3583333333333339E-3</v>
      </c>
      <c r="I588" s="5">
        <f t="shared" si="99"/>
        <v>-9.290000000000001E-2</v>
      </c>
      <c r="J588" s="5">
        <f t="shared" si="92"/>
        <v>-9.4016666666666665E-2</v>
      </c>
      <c r="K588" s="5">
        <f t="shared" si="93"/>
        <v>-9.5458333333333326E-2</v>
      </c>
      <c r="L588" s="8">
        <f t="shared" si="90"/>
        <v>-0.2804403107421003</v>
      </c>
      <c r="M588" s="8">
        <f t="shared" si="91"/>
        <v>7.8000000000000014E-2</v>
      </c>
      <c r="N588" s="8">
        <f t="shared" si="94"/>
        <v>9.1400000000000009E-2</v>
      </c>
      <c r="O588" s="296">
        <f t="shared" si="89"/>
        <v>-0.35844031074210031</v>
      </c>
      <c r="P588" s="8">
        <f t="shared" si="95"/>
        <v>-0.37184031074210033</v>
      </c>
      <c r="Q588" s="8">
        <f t="shared" si="96"/>
        <v>-0.3250108053283054</v>
      </c>
      <c r="R588" s="8">
        <f t="shared" si="97"/>
        <v>0.1003</v>
      </c>
      <c r="S588" s="296">
        <f t="shared" si="98"/>
        <v>-0.4253108053283054</v>
      </c>
      <c r="U588" s="297"/>
      <c r="V588" s="297"/>
      <c r="W588" s="297"/>
      <c r="X588" s="297"/>
      <c r="Y588" s="297"/>
      <c r="Z588" s="297"/>
      <c r="AA588" s="297"/>
      <c r="AB588" s="297"/>
      <c r="AC588" s="297"/>
      <c r="AE588" s="297"/>
      <c r="AF588" s="297"/>
      <c r="AG588" s="297"/>
      <c r="AH588" s="297"/>
      <c r="AI588" s="297"/>
      <c r="AJ588" s="297"/>
      <c r="AK588" s="297"/>
      <c r="AL588" s="297"/>
      <c r="AM588" s="297"/>
      <c r="AO588" s="297"/>
      <c r="AP588" s="297"/>
      <c r="AQ588" s="297"/>
      <c r="AR588" s="297"/>
      <c r="AS588" s="297"/>
      <c r="AT588" s="297"/>
      <c r="AU588" s="297"/>
      <c r="AV588" s="297"/>
      <c r="AW588" s="297"/>
    </row>
    <row r="589" spans="1:49" x14ac:dyDescent="0.45">
      <c r="A589" s="295">
        <v>27273</v>
      </c>
      <c r="B589" s="12">
        <v>-0.1152</v>
      </c>
      <c r="C589" s="5">
        <v>-8.6E-3</v>
      </c>
      <c r="D589" s="5">
        <v>7.1000000000000004E-3</v>
      </c>
      <c r="E589" s="5">
        <v>7.7000000000000002E-3</v>
      </c>
      <c r="F589" s="5">
        <v>8.0499999999999999E-3</v>
      </c>
      <c r="G589" s="5">
        <v>7.8750000000000001E-3</v>
      </c>
      <c r="H589" s="5">
        <v>8.7083333333333353E-3</v>
      </c>
      <c r="I589" s="5">
        <f t="shared" si="99"/>
        <v>-0.12229999999999999</v>
      </c>
      <c r="J589" s="5">
        <f t="shared" si="92"/>
        <v>-0.12307499999999999</v>
      </c>
      <c r="K589" s="5">
        <f t="shared" si="93"/>
        <v>-1.7308333333333335E-2</v>
      </c>
      <c r="L589" s="8">
        <f t="shared" si="90"/>
        <v>-0.38940595276168621</v>
      </c>
      <c r="M589" s="8">
        <f t="shared" si="91"/>
        <v>8.5199999999999998E-2</v>
      </c>
      <c r="N589" s="8">
        <f t="shared" si="94"/>
        <v>9.4500000000000001E-2</v>
      </c>
      <c r="O589" s="296">
        <f t="shared" si="89"/>
        <v>-0.47460595276168621</v>
      </c>
      <c r="P589" s="8">
        <f t="shared" si="95"/>
        <v>-0.48390595276168624</v>
      </c>
      <c r="Q589" s="8">
        <f t="shared" si="96"/>
        <v>-0.37871665806562249</v>
      </c>
      <c r="R589" s="8">
        <f t="shared" si="97"/>
        <v>0.10450000000000002</v>
      </c>
      <c r="S589" s="296">
        <f t="shared" si="98"/>
        <v>-0.48321665806562253</v>
      </c>
      <c r="U589" s="297"/>
      <c r="V589" s="297"/>
      <c r="W589" s="297"/>
      <c r="X589" s="297"/>
      <c r="Y589" s="297"/>
      <c r="Z589" s="297"/>
      <c r="AA589" s="297"/>
      <c r="AB589" s="297"/>
      <c r="AC589" s="297"/>
      <c r="AE589" s="297"/>
      <c r="AF589" s="297"/>
      <c r="AG589" s="297"/>
      <c r="AH589" s="297"/>
      <c r="AI589" s="297"/>
      <c r="AJ589" s="297"/>
      <c r="AK589" s="297"/>
      <c r="AL589" s="297"/>
      <c r="AM589" s="297"/>
      <c r="AO589" s="297"/>
      <c r="AP589" s="297"/>
      <c r="AQ589" s="297"/>
      <c r="AR589" s="297"/>
      <c r="AS589" s="297"/>
      <c r="AT589" s="297"/>
      <c r="AU589" s="297"/>
      <c r="AV589" s="297"/>
      <c r="AW589" s="297"/>
    </row>
    <row r="590" spans="1:49" x14ac:dyDescent="0.45">
      <c r="A590" s="295">
        <v>27303</v>
      </c>
      <c r="B590" s="12">
        <v>0.1681</v>
      </c>
      <c r="C590" s="5">
        <v>0.11990000000000001</v>
      </c>
      <c r="D590" s="5">
        <v>7.000000000000001E-3</v>
      </c>
      <c r="E590" s="5">
        <v>7.7249999999999992E-3</v>
      </c>
      <c r="F590" s="5">
        <v>8.0333333333333333E-3</v>
      </c>
      <c r="G590" s="5">
        <v>7.8791666666666663E-3</v>
      </c>
      <c r="H590" s="5">
        <v>8.9833333333333328E-3</v>
      </c>
      <c r="I590" s="5">
        <f t="shared" si="99"/>
        <v>0.16109999999999999</v>
      </c>
      <c r="J590" s="5">
        <f t="shared" si="92"/>
        <v>0.16022083333333334</v>
      </c>
      <c r="K590" s="5">
        <f t="shared" si="93"/>
        <v>0.11091666666666668</v>
      </c>
      <c r="L590" s="8">
        <f t="shared" si="90"/>
        <v>-0.28797553501140638</v>
      </c>
      <c r="M590" s="8">
        <f t="shared" si="91"/>
        <v>8.4000000000000019E-2</v>
      </c>
      <c r="N590" s="8">
        <f t="shared" si="94"/>
        <v>9.4549999999999995E-2</v>
      </c>
      <c r="O590" s="296">
        <f t="shared" si="89"/>
        <v>-0.3719755350114064</v>
      </c>
      <c r="P590" s="8">
        <f t="shared" si="95"/>
        <v>-0.3825255350114064</v>
      </c>
      <c r="Q590" s="8">
        <f t="shared" si="96"/>
        <v>-0.27613897770254969</v>
      </c>
      <c r="R590" s="8">
        <f t="shared" si="97"/>
        <v>0.10779999999999999</v>
      </c>
      <c r="S590" s="296">
        <f t="shared" si="98"/>
        <v>-0.3839389777025497</v>
      </c>
      <c r="U590" s="297"/>
      <c r="V590" s="297"/>
      <c r="W590" s="297"/>
      <c r="X590" s="297"/>
      <c r="Y590" s="297"/>
      <c r="Z590" s="297"/>
      <c r="AA590" s="297"/>
      <c r="AB590" s="297"/>
      <c r="AC590" s="297"/>
      <c r="AE590" s="297"/>
      <c r="AF590" s="297"/>
      <c r="AG590" s="297"/>
      <c r="AH590" s="297"/>
      <c r="AI590" s="297"/>
      <c r="AJ590" s="297"/>
      <c r="AK590" s="297"/>
      <c r="AL590" s="297"/>
      <c r="AM590" s="297"/>
      <c r="AO590" s="297"/>
      <c r="AP590" s="297"/>
      <c r="AQ590" s="297"/>
      <c r="AR590" s="297"/>
      <c r="AS590" s="297"/>
      <c r="AT590" s="297"/>
      <c r="AU590" s="297"/>
      <c r="AV590" s="297"/>
      <c r="AW590" s="297"/>
    </row>
    <row r="591" spans="1:49" x14ac:dyDescent="0.45">
      <c r="A591" s="295">
        <v>27334</v>
      </c>
      <c r="B591" s="12">
        <v>-4.8899999999999999E-2</v>
      </c>
      <c r="C591" s="5">
        <v>-1.1900000000000001E-2</v>
      </c>
      <c r="D591" s="5">
        <v>6.1999999999999998E-3</v>
      </c>
      <c r="E591" s="5">
        <v>7.4083333333333336E-3</v>
      </c>
      <c r="F591" s="5">
        <v>7.7833333333333331E-3</v>
      </c>
      <c r="G591" s="5">
        <v>7.5958333333333329E-3</v>
      </c>
      <c r="H591" s="5">
        <v>8.7166666666666677E-3</v>
      </c>
      <c r="I591" s="5">
        <f t="shared" si="99"/>
        <v>-5.5099999999999996E-2</v>
      </c>
      <c r="J591" s="5">
        <f t="shared" si="92"/>
        <v>-5.6495833333333328E-2</v>
      </c>
      <c r="K591" s="5">
        <f t="shared" si="93"/>
        <v>-2.0616666666666669E-2</v>
      </c>
      <c r="L591" s="8">
        <f t="shared" si="90"/>
        <v>-0.23832362090805137</v>
      </c>
      <c r="M591" s="8">
        <f t="shared" si="91"/>
        <v>7.4399999999999994E-2</v>
      </c>
      <c r="N591" s="8">
        <f t="shared" si="94"/>
        <v>9.1149999999999995E-2</v>
      </c>
      <c r="O591" s="296">
        <f t="shared" si="89"/>
        <v>-0.31272362090805139</v>
      </c>
      <c r="P591" s="8">
        <f t="shared" si="95"/>
        <v>-0.32947362090805138</v>
      </c>
      <c r="Q591" s="8">
        <f t="shared" si="96"/>
        <v>-0.18979714982769536</v>
      </c>
      <c r="R591" s="8">
        <f t="shared" si="97"/>
        <v>0.10460000000000001</v>
      </c>
      <c r="S591" s="296">
        <f t="shared" si="98"/>
        <v>-0.29439714982769538</v>
      </c>
      <c r="U591" s="297"/>
      <c r="V591" s="297"/>
      <c r="W591" s="297"/>
      <c r="X591" s="297"/>
      <c r="Y591" s="297"/>
      <c r="Z591" s="297"/>
      <c r="AA591" s="297"/>
      <c r="AB591" s="297"/>
      <c r="AC591" s="297"/>
      <c r="AE591" s="297"/>
      <c r="AF591" s="297"/>
      <c r="AG591" s="297"/>
      <c r="AH591" s="297"/>
      <c r="AI591" s="297"/>
      <c r="AJ591" s="297"/>
      <c r="AK591" s="297"/>
      <c r="AL591" s="297"/>
      <c r="AM591" s="297"/>
      <c r="AO591" s="297"/>
      <c r="AP591" s="297"/>
      <c r="AQ591" s="297"/>
      <c r="AR591" s="297"/>
      <c r="AS591" s="297"/>
      <c r="AT591" s="297"/>
      <c r="AU591" s="297"/>
      <c r="AV591" s="297"/>
      <c r="AW591" s="297"/>
    </row>
    <row r="592" spans="1:49" x14ac:dyDescent="0.45">
      <c r="A592" s="295">
        <v>27364</v>
      </c>
      <c r="B592" s="12">
        <v>-1.5599999999999999E-2</v>
      </c>
      <c r="C592" s="5">
        <v>4.4000000000000003E-3</v>
      </c>
      <c r="D592" s="5">
        <v>6.7000000000000002E-3</v>
      </c>
      <c r="E592" s="5">
        <v>7.4083333333333336E-3</v>
      </c>
      <c r="F592" s="5">
        <v>7.6666666666666662E-3</v>
      </c>
      <c r="G592" s="5">
        <v>7.5374999999999991E-3</v>
      </c>
      <c r="H592" s="5">
        <v>8.5583333333333327E-3</v>
      </c>
      <c r="I592" s="5">
        <f t="shared" si="99"/>
        <v>-2.23E-2</v>
      </c>
      <c r="J592" s="5">
        <f t="shared" si="92"/>
        <v>-2.3137499999999998E-2</v>
      </c>
      <c r="K592" s="5">
        <f t="shared" si="93"/>
        <v>-4.1583333333333325E-3</v>
      </c>
      <c r="L592" s="8">
        <f t="shared" si="90"/>
        <v>-0.26476345599322015</v>
      </c>
      <c r="M592" s="8">
        <f t="shared" si="91"/>
        <v>8.0399999999999999E-2</v>
      </c>
      <c r="N592" s="8">
        <f t="shared" si="94"/>
        <v>9.0449999999999989E-2</v>
      </c>
      <c r="O592" s="296">
        <f t="shared" ref="O592:O655" si="100">L592-M592</f>
        <v>-0.34516345599322018</v>
      </c>
      <c r="P592" s="8">
        <f t="shared" si="95"/>
        <v>-0.35521345599322013</v>
      </c>
      <c r="Q592" s="8">
        <f t="shared" si="96"/>
        <v>-0.21564554919222856</v>
      </c>
      <c r="R592" s="8">
        <f t="shared" si="97"/>
        <v>0.10269999999999999</v>
      </c>
      <c r="S592" s="296">
        <f t="shared" si="98"/>
        <v>-0.31834554919222857</v>
      </c>
      <c r="U592" s="297"/>
      <c r="V592" s="297"/>
      <c r="W592" s="297"/>
      <c r="X592" s="297"/>
      <c r="Y592" s="297"/>
      <c r="Z592" s="297"/>
      <c r="AA592" s="297"/>
      <c r="AB592" s="297"/>
      <c r="AC592" s="297"/>
      <c r="AE592" s="297"/>
      <c r="AF592" s="297"/>
      <c r="AG592" s="297"/>
      <c r="AH592" s="297"/>
      <c r="AI592" s="297"/>
      <c r="AJ592" s="297"/>
      <c r="AK592" s="297"/>
      <c r="AL592" s="297"/>
      <c r="AM592" s="297"/>
      <c r="AO592" s="297"/>
      <c r="AP592" s="297"/>
      <c r="AQ592" s="297"/>
      <c r="AR592" s="297"/>
      <c r="AS592" s="297"/>
      <c r="AT592" s="297"/>
      <c r="AU592" s="297"/>
      <c r="AV592" s="297"/>
      <c r="AW592" s="297"/>
    </row>
    <row r="593" spans="1:49" x14ac:dyDescent="0.45">
      <c r="A593" s="295">
        <v>27395</v>
      </c>
      <c r="B593" s="12">
        <v>0.12720000000000001</v>
      </c>
      <c r="C593" s="5">
        <v>0.18969999999999998</v>
      </c>
      <c r="D593" s="5">
        <v>6.7999999999999996E-3</v>
      </c>
      <c r="E593" s="5">
        <v>7.358333333333333E-3</v>
      </c>
      <c r="F593" s="5">
        <v>7.6083333333333333E-3</v>
      </c>
      <c r="G593" s="5">
        <v>7.4833333333333332E-3</v>
      </c>
      <c r="H593" s="5">
        <v>8.6416666666666673E-3</v>
      </c>
      <c r="I593" s="5">
        <f t="shared" si="99"/>
        <v>0.12040000000000001</v>
      </c>
      <c r="J593" s="5">
        <f t="shared" si="92"/>
        <v>0.11971666666666668</v>
      </c>
      <c r="K593" s="5">
        <f t="shared" si="93"/>
        <v>0.18105833333333332</v>
      </c>
      <c r="L593" s="8">
        <f t="shared" ref="L593:L656" si="101">((1+B582)*(1+B583)*(1+B584)*(1+B585)*(1+B586)*(1+B587)*(1+B588)*(1+B589)*(1+B590)*(1+B591)*(1+B592)*(1+B593))-1</f>
        <v>-0.1652310310188938</v>
      </c>
      <c r="M593" s="8">
        <f t="shared" ref="M593:M656" si="102">D593*12</f>
        <v>8.1599999999999992E-2</v>
      </c>
      <c r="N593" s="8">
        <f t="shared" si="94"/>
        <v>8.9799999999999991E-2</v>
      </c>
      <c r="O593" s="296">
        <f t="shared" si="100"/>
        <v>-0.24683103101889381</v>
      </c>
      <c r="P593" s="8">
        <f t="shared" si="95"/>
        <v>-0.25503103101889379</v>
      </c>
      <c r="Q593" s="8">
        <f t="shared" si="96"/>
        <v>-0.10429401984449438</v>
      </c>
      <c r="R593" s="8">
        <f t="shared" si="97"/>
        <v>0.10370000000000001</v>
      </c>
      <c r="S593" s="296">
        <f t="shared" si="98"/>
        <v>-0.20799401984449439</v>
      </c>
      <c r="U593" s="297"/>
      <c r="V593" s="297"/>
      <c r="W593" s="297"/>
      <c r="X593" s="297"/>
      <c r="Y593" s="297"/>
      <c r="Z593" s="297"/>
      <c r="AA593" s="297"/>
      <c r="AB593" s="297"/>
      <c r="AC593" s="297"/>
      <c r="AE593" s="297"/>
      <c r="AF593" s="297"/>
      <c r="AG593" s="297"/>
      <c r="AH593" s="297"/>
      <c r="AI593" s="297"/>
      <c r="AJ593" s="297"/>
      <c r="AK593" s="297"/>
      <c r="AL593" s="297"/>
      <c r="AM593" s="297"/>
      <c r="AO593" s="297"/>
      <c r="AP593" s="297"/>
      <c r="AQ593" s="297"/>
      <c r="AR593" s="297"/>
      <c r="AS593" s="297"/>
      <c r="AT593" s="297"/>
      <c r="AU593" s="297"/>
      <c r="AV593" s="297"/>
      <c r="AW593" s="297"/>
    </row>
    <row r="594" spans="1:49" x14ac:dyDescent="0.45">
      <c r="A594" s="295">
        <v>27426</v>
      </c>
      <c r="B594" s="12">
        <v>6.3799999999999996E-2</v>
      </c>
      <c r="C594" s="5">
        <v>1.43E-2</v>
      </c>
      <c r="D594" s="5">
        <v>6.0000000000000001E-3</v>
      </c>
      <c r="E594" s="5">
        <v>7.1833333333333324E-3</v>
      </c>
      <c r="F594" s="5">
        <v>7.4250000000000002E-3</v>
      </c>
      <c r="G594" s="5">
        <v>7.3041666666666671E-3</v>
      </c>
      <c r="H594" s="5">
        <v>8.3250000000000008E-3</v>
      </c>
      <c r="I594" s="5">
        <f t="shared" si="99"/>
        <v>5.7799999999999997E-2</v>
      </c>
      <c r="J594" s="5">
        <f t="shared" si="92"/>
        <v>5.6495833333333328E-2</v>
      </c>
      <c r="K594" s="5">
        <f t="shared" si="93"/>
        <v>5.9749999999999994E-3</v>
      </c>
      <c r="L594" s="8">
        <f t="shared" si="101"/>
        <v>-0.11135071629930871</v>
      </c>
      <c r="M594" s="8">
        <f t="shared" si="102"/>
        <v>7.2000000000000008E-2</v>
      </c>
      <c r="N594" s="8">
        <f t="shared" si="94"/>
        <v>8.7650000000000006E-2</v>
      </c>
      <c r="O594" s="296">
        <f t="shared" si="100"/>
        <v>-0.18335071629930871</v>
      </c>
      <c r="P594" s="8">
        <f t="shared" si="95"/>
        <v>-0.19900071629930871</v>
      </c>
      <c r="Q594" s="8">
        <f t="shared" si="96"/>
        <v>-9.69040003263133E-2</v>
      </c>
      <c r="R594" s="8">
        <f t="shared" si="97"/>
        <v>9.9900000000000017E-2</v>
      </c>
      <c r="S594" s="296">
        <f t="shared" si="98"/>
        <v>-0.19680400032631332</v>
      </c>
      <c r="U594" s="297"/>
      <c r="V594" s="297"/>
      <c r="W594" s="297"/>
      <c r="X594" s="297"/>
      <c r="Y594" s="297"/>
      <c r="Z594" s="297"/>
      <c r="AA594" s="297"/>
      <c r="AB594" s="297"/>
      <c r="AC594" s="297"/>
      <c r="AE594" s="297"/>
      <c r="AF594" s="297"/>
      <c r="AG594" s="297"/>
      <c r="AH594" s="297"/>
      <c r="AI594" s="297"/>
      <c r="AJ594" s="297"/>
      <c r="AK594" s="297"/>
      <c r="AL594" s="297"/>
      <c r="AM594" s="297"/>
      <c r="AO594" s="297"/>
      <c r="AP594" s="297"/>
      <c r="AQ594" s="297"/>
      <c r="AR594" s="297"/>
      <c r="AS594" s="297"/>
      <c r="AT594" s="297"/>
      <c r="AU594" s="297"/>
      <c r="AV594" s="297"/>
      <c r="AW594" s="297"/>
    </row>
    <row r="595" spans="1:49" x14ac:dyDescent="0.45">
      <c r="A595" s="295">
        <v>27454</v>
      </c>
      <c r="B595" s="12">
        <v>2.5399999999999999E-2</v>
      </c>
      <c r="C595" s="5">
        <v>-2.1600000000000001E-2</v>
      </c>
      <c r="D595" s="5">
        <v>6.6E-3</v>
      </c>
      <c r="E595" s="5">
        <v>7.2250000000000005E-3</v>
      </c>
      <c r="F595" s="5">
        <v>7.4333333333333326E-3</v>
      </c>
      <c r="G595" s="5">
        <v>7.329166666666667E-3</v>
      </c>
      <c r="H595" s="5">
        <v>8.1000000000000013E-3</v>
      </c>
      <c r="I595" s="5">
        <f t="shared" si="99"/>
        <v>1.8799999999999997E-2</v>
      </c>
      <c r="J595" s="5">
        <f t="shared" si="92"/>
        <v>1.8070833333333331E-2</v>
      </c>
      <c r="K595" s="5">
        <f t="shared" si="93"/>
        <v>-2.9700000000000004E-2</v>
      </c>
      <c r="L595" s="8">
        <f t="shared" si="101"/>
        <v>-6.9708039298939206E-2</v>
      </c>
      <c r="M595" s="8">
        <f t="shared" si="102"/>
        <v>7.9199999999999993E-2</v>
      </c>
      <c r="N595" s="8">
        <f t="shared" si="94"/>
        <v>8.795E-2</v>
      </c>
      <c r="O595" s="296">
        <f t="shared" si="100"/>
        <v>-0.1489080392989392</v>
      </c>
      <c r="P595" s="8">
        <f t="shared" si="95"/>
        <v>-0.15765803929893921</v>
      </c>
      <c r="Q595" s="8">
        <f t="shared" si="96"/>
        <v>-8.0648084402522469E-2</v>
      </c>
      <c r="R595" s="8">
        <f t="shared" si="97"/>
        <v>9.7200000000000009E-2</v>
      </c>
      <c r="S595" s="296">
        <f t="shared" si="98"/>
        <v>-0.17784808440252248</v>
      </c>
      <c r="U595" s="297"/>
      <c r="V595" s="297"/>
      <c r="W595" s="297"/>
      <c r="X595" s="297"/>
      <c r="Y595" s="297"/>
      <c r="Z595" s="297"/>
      <c r="AA595" s="297"/>
      <c r="AB595" s="297"/>
      <c r="AC595" s="297"/>
      <c r="AE595" s="297"/>
      <c r="AF595" s="297"/>
      <c r="AG595" s="297"/>
      <c r="AH595" s="297"/>
      <c r="AI595" s="297"/>
      <c r="AJ595" s="297"/>
      <c r="AK595" s="297"/>
      <c r="AL595" s="297"/>
      <c r="AM595" s="297"/>
      <c r="AO595" s="297"/>
      <c r="AP595" s="297"/>
      <c r="AQ595" s="297"/>
      <c r="AR595" s="297"/>
      <c r="AS595" s="297"/>
      <c r="AT595" s="297"/>
      <c r="AU595" s="297"/>
      <c r="AV595" s="297"/>
      <c r="AW595" s="297"/>
    </row>
    <row r="596" spans="1:49" x14ac:dyDescent="0.45">
      <c r="A596" s="295">
        <v>27485</v>
      </c>
      <c r="B596" s="12">
        <v>5.0999999999999997E-2</v>
      </c>
      <c r="C596" s="5">
        <v>-1.4000000000000002E-2</v>
      </c>
      <c r="D596" s="5">
        <v>6.7000000000000002E-3</v>
      </c>
      <c r="E596" s="5">
        <v>7.4583333333333324E-3</v>
      </c>
      <c r="F596" s="5">
        <v>7.658333333333333E-3</v>
      </c>
      <c r="G596" s="5">
        <v>7.5583333333333327E-3</v>
      </c>
      <c r="H596" s="5">
        <v>8.3833333333333329E-3</v>
      </c>
      <c r="I596" s="5">
        <f t="shared" si="99"/>
        <v>4.4299999999999999E-2</v>
      </c>
      <c r="J596" s="5">
        <f t="shared" si="92"/>
        <v>4.3441666666666663E-2</v>
      </c>
      <c r="K596" s="5">
        <f t="shared" si="93"/>
        <v>-2.2383333333333335E-2</v>
      </c>
      <c r="L596" s="8">
        <f t="shared" si="101"/>
        <v>1.4144643394683909E-2</v>
      </c>
      <c r="M596" s="8">
        <f t="shared" si="102"/>
        <v>8.0399999999999999E-2</v>
      </c>
      <c r="N596" s="8">
        <f t="shared" si="94"/>
        <v>9.0699999999999989E-2</v>
      </c>
      <c r="O596" s="296">
        <f t="shared" si="100"/>
        <v>-6.625535660531609E-2</v>
      </c>
      <c r="P596" s="8">
        <f t="shared" si="95"/>
        <v>-7.655535660531608E-2</v>
      </c>
      <c r="Q596" s="8">
        <f t="shared" si="96"/>
        <v>4.1453341887767392E-2</v>
      </c>
      <c r="R596" s="8">
        <f t="shared" si="97"/>
        <v>0.10059999999999999</v>
      </c>
      <c r="S596" s="296">
        <f t="shared" si="98"/>
        <v>-5.9146658112232603E-2</v>
      </c>
      <c r="U596" s="297"/>
      <c r="V596" s="297"/>
      <c r="W596" s="297"/>
      <c r="X596" s="297"/>
      <c r="Y596" s="297"/>
      <c r="Z596" s="297"/>
      <c r="AA596" s="297"/>
      <c r="AB596" s="297"/>
      <c r="AC596" s="297"/>
      <c r="AE596" s="297"/>
      <c r="AF596" s="297"/>
      <c r="AG596" s="297"/>
      <c r="AH596" s="297"/>
      <c r="AI596" s="297"/>
      <c r="AJ596" s="297"/>
      <c r="AK596" s="297"/>
      <c r="AL596" s="297"/>
      <c r="AM596" s="297"/>
      <c r="AO596" s="297"/>
      <c r="AP596" s="297"/>
      <c r="AQ596" s="297"/>
      <c r="AR596" s="297"/>
      <c r="AS596" s="297"/>
      <c r="AT596" s="297"/>
      <c r="AU596" s="297"/>
      <c r="AV596" s="297"/>
      <c r="AW596" s="297"/>
    </row>
    <row r="597" spans="1:49" x14ac:dyDescent="0.45">
      <c r="A597" s="295">
        <v>27515</v>
      </c>
      <c r="B597" s="12">
        <v>4.7600000000000003E-2</v>
      </c>
      <c r="C597" s="5">
        <v>8.6599999999999996E-2</v>
      </c>
      <c r="D597" s="5">
        <v>6.7000000000000002E-3</v>
      </c>
      <c r="E597" s="5">
        <v>7.4166666666666669E-3</v>
      </c>
      <c r="F597" s="5">
        <v>7.7000000000000002E-3</v>
      </c>
      <c r="G597" s="5">
        <v>7.5583333333333336E-3</v>
      </c>
      <c r="H597" s="5">
        <v>8.5249999999999996E-3</v>
      </c>
      <c r="I597" s="5">
        <f t="shared" si="99"/>
        <v>4.0900000000000006E-2</v>
      </c>
      <c r="J597" s="5">
        <f t="shared" si="92"/>
        <v>4.004166666666667E-2</v>
      </c>
      <c r="K597" s="5">
        <f t="shared" si="93"/>
        <v>7.8074999999999992E-2</v>
      </c>
      <c r="L597" s="8">
        <f t="shared" si="101"/>
        <v>9.550209158617351E-2</v>
      </c>
      <c r="M597" s="8">
        <f t="shared" si="102"/>
        <v>8.0399999999999999E-2</v>
      </c>
      <c r="N597" s="8">
        <f t="shared" si="94"/>
        <v>9.0700000000000003E-2</v>
      </c>
      <c r="O597" s="296">
        <f t="shared" si="100"/>
        <v>1.5102091586173511E-2</v>
      </c>
      <c r="P597" s="8">
        <f t="shared" si="95"/>
        <v>4.802091586173507E-3</v>
      </c>
      <c r="Q597" s="8">
        <f t="shared" si="96"/>
        <v>0.18920050577474568</v>
      </c>
      <c r="R597" s="8">
        <f t="shared" si="97"/>
        <v>0.1023</v>
      </c>
      <c r="S597" s="296">
        <f t="shared" si="98"/>
        <v>8.6900505774745673E-2</v>
      </c>
      <c r="U597" s="297"/>
      <c r="V597" s="297"/>
      <c r="W597" s="297"/>
      <c r="X597" s="297"/>
      <c r="Y597" s="297"/>
      <c r="Z597" s="297"/>
      <c r="AA597" s="297"/>
      <c r="AB597" s="297"/>
      <c r="AC597" s="297"/>
      <c r="AE597" s="297"/>
      <c r="AF597" s="297"/>
      <c r="AG597" s="297"/>
      <c r="AH597" s="297"/>
      <c r="AI597" s="297"/>
      <c r="AJ597" s="297"/>
      <c r="AK597" s="297"/>
      <c r="AL597" s="297"/>
      <c r="AM597" s="297"/>
      <c r="AO597" s="297"/>
      <c r="AP597" s="297"/>
      <c r="AQ597" s="297"/>
      <c r="AR597" s="297"/>
      <c r="AS597" s="297"/>
      <c r="AT597" s="297"/>
      <c r="AU597" s="297"/>
      <c r="AV597" s="297"/>
      <c r="AW597" s="297"/>
    </row>
    <row r="598" spans="1:49" x14ac:dyDescent="0.45">
      <c r="A598" s="295">
        <v>27546</v>
      </c>
      <c r="B598" s="12">
        <v>4.7699999999999999E-2</v>
      </c>
      <c r="C598" s="5">
        <v>0.1067</v>
      </c>
      <c r="D598" s="5">
        <v>7.000000000000001E-3</v>
      </c>
      <c r="E598" s="5">
        <v>7.3083333333333333E-3</v>
      </c>
      <c r="F598" s="5">
        <v>7.6083333333333333E-3</v>
      </c>
      <c r="G598" s="5">
        <v>7.4583333333333333E-3</v>
      </c>
      <c r="H598" s="5">
        <v>8.416666666666666E-3</v>
      </c>
      <c r="I598" s="5">
        <f t="shared" si="99"/>
        <v>4.07E-2</v>
      </c>
      <c r="J598" s="5">
        <f t="shared" si="92"/>
        <v>4.0241666666666669E-2</v>
      </c>
      <c r="K598" s="5">
        <f t="shared" si="93"/>
        <v>9.8283333333333334E-2</v>
      </c>
      <c r="L598" s="8">
        <f t="shared" si="101"/>
        <v>0.16087543375627988</v>
      </c>
      <c r="M598" s="8">
        <f t="shared" si="102"/>
        <v>8.4000000000000019E-2</v>
      </c>
      <c r="N598" s="8">
        <f t="shared" si="94"/>
        <v>8.9499999999999996E-2</v>
      </c>
      <c r="O598" s="296">
        <f t="shared" si="100"/>
        <v>7.6875433756279865E-2</v>
      </c>
      <c r="P598" s="8">
        <f t="shared" si="95"/>
        <v>7.1375433756279888E-2</v>
      </c>
      <c r="Q598" s="8">
        <f t="shared" si="96"/>
        <v>0.39563966038272613</v>
      </c>
      <c r="R598" s="8">
        <f t="shared" si="97"/>
        <v>0.10099999999999999</v>
      </c>
      <c r="S598" s="296">
        <f t="shared" si="98"/>
        <v>0.29463966038272615</v>
      </c>
      <c r="U598" s="297"/>
      <c r="V598" s="297"/>
      <c r="W598" s="297"/>
      <c r="X598" s="297"/>
      <c r="Y598" s="297"/>
      <c r="Z598" s="297"/>
      <c r="AA598" s="297"/>
      <c r="AB598" s="297"/>
      <c r="AC598" s="297"/>
      <c r="AE598" s="297"/>
      <c r="AF598" s="297"/>
      <c r="AG598" s="297"/>
      <c r="AH598" s="297"/>
      <c r="AI598" s="297"/>
      <c r="AJ598" s="297"/>
      <c r="AK598" s="297"/>
      <c r="AL598" s="297"/>
      <c r="AM598" s="297"/>
      <c r="AO598" s="297"/>
      <c r="AP598" s="297"/>
      <c r="AQ598" s="297"/>
      <c r="AR598" s="297"/>
      <c r="AS598" s="297"/>
      <c r="AT598" s="297"/>
      <c r="AU598" s="297"/>
      <c r="AV598" s="297"/>
      <c r="AW598" s="297"/>
    </row>
    <row r="599" spans="1:49" x14ac:dyDescent="0.45">
      <c r="A599" s="295">
        <v>27576</v>
      </c>
      <c r="B599" s="12">
        <v>-6.4399999999999999E-2</v>
      </c>
      <c r="C599" s="5">
        <v>-5.1000000000000004E-2</v>
      </c>
      <c r="D599" s="5">
        <v>6.7999999999999996E-3</v>
      </c>
      <c r="E599" s="5">
        <v>7.3666666666666672E-3</v>
      </c>
      <c r="F599" s="5">
        <v>7.6083333333333333E-3</v>
      </c>
      <c r="G599" s="5">
        <v>7.4875000000000002E-3</v>
      </c>
      <c r="H599" s="5">
        <v>8.3416666666666656E-3</v>
      </c>
      <c r="I599" s="5">
        <f t="shared" si="99"/>
        <v>-7.1199999999999999E-2</v>
      </c>
      <c r="J599" s="5">
        <f t="shared" si="92"/>
        <v>-7.1887499999999993E-2</v>
      </c>
      <c r="K599" s="5">
        <f t="shared" si="93"/>
        <v>-5.9341666666666668E-2</v>
      </c>
      <c r="L599" s="8">
        <f t="shared" si="101"/>
        <v>0.17316381056640262</v>
      </c>
      <c r="M599" s="8">
        <f t="shared" si="102"/>
        <v>8.1599999999999992E-2</v>
      </c>
      <c r="N599" s="8">
        <f t="shared" si="94"/>
        <v>8.9849999999999999E-2</v>
      </c>
      <c r="O599" s="296">
        <f t="shared" si="100"/>
        <v>9.1563810566402629E-2</v>
      </c>
      <c r="P599" s="8">
        <f t="shared" si="95"/>
        <v>8.3313810566402621E-2</v>
      </c>
      <c r="Q599" s="8">
        <f t="shared" si="96"/>
        <v>0.33635560256604435</v>
      </c>
      <c r="R599" s="8">
        <f t="shared" si="97"/>
        <v>0.10009999999999999</v>
      </c>
      <c r="S599" s="296">
        <f t="shared" si="98"/>
        <v>0.23625560256604436</v>
      </c>
      <c r="U599" s="297"/>
      <c r="V599" s="297"/>
      <c r="W599" s="297"/>
      <c r="X599" s="297"/>
      <c r="Y599" s="297"/>
      <c r="Z599" s="297"/>
      <c r="AA599" s="297"/>
      <c r="AB599" s="297"/>
      <c r="AC599" s="297"/>
      <c r="AE599" s="297"/>
      <c r="AF599" s="297"/>
      <c r="AG599" s="297"/>
      <c r="AH599" s="297"/>
      <c r="AI599" s="297"/>
      <c r="AJ599" s="297"/>
      <c r="AK599" s="297"/>
      <c r="AL599" s="297"/>
      <c r="AM599" s="297"/>
      <c r="AO599" s="297"/>
      <c r="AP599" s="297"/>
      <c r="AQ599" s="297"/>
      <c r="AR599" s="297"/>
      <c r="AS599" s="297"/>
      <c r="AT599" s="297"/>
      <c r="AU599" s="297"/>
      <c r="AV599" s="297"/>
      <c r="AW599" s="297"/>
    </row>
    <row r="600" spans="1:49" x14ac:dyDescent="0.45">
      <c r="A600" s="295">
        <v>27607</v>
      </c>
      <c r="B600" s="12">
        <v>-1.7600000000000001E-2</v>
      </c>
      <c r="C600" s="5">
        <v>-2.1199999999999997E-2</v>
      </c>
      <c r="D600" s="5">
        <v>6.5000000000000006E-3</v>
      </c>
      <c r="E600" s="5">
        <v>7.4583333333333324E-3</v>
      </c>
      <c r="F600" s="5">
        <v>7.691666666666667E-3</v>
      </c>
      <c r="G600" s="5">
        <v>7.5749999999999993E-3</v>
      </c>
      <c r="H600" s="5">
        <v>8.4333333333333326E-3</v>
      </c>
      <c r="I600" s="5">
        <f t="shared" si="99"/>
        <v>-2.4100000000000003E-2</v>
      </c>
      <c r="J600" s="5">
        <f t="shared" si="92"/>
        <v>-2.5174999999999999E-2</v>
      </c>
      <c r="K600" s="5">
        <f t="shared" si="93"/>
        <v>-2.9633333333333331E-2</v>
      </c>
      <c r="L600" s="8">
        <f t="shared" si="101"/>
        <v>0.26151064743917929</v>
      </c>
      <c r="M600" s="8">
        <f t="shared" si="102"/>
        <v>7.8000000000000014E-2</v>
      </c>
      <c r="N600" s="8">
        <f t="shared" si="94"/>
        <v>9.0899999999999995E-2</v>
      </c>
      <c r="O600" s="296">
        <f t="shared" si="100"/>
        <v>0.18351064743917928</v>
      </c>
      <c r="P600" s="8">
        <f t="shared" si="95"/>
        <v>0.17061064743917931</v>
      </c>
      <c r="Q600" s="8">
        <f t="shared" si="96"/>
        <v>0.43282381837183115</v>
      </c>
      <c r="R600" s="8">
        <f t="shared" si="97"/>
        <v>0.10119999999999998</v>
      </c>
      <c r="S600" s="296">
        <f t="shared" si="98"/>
        <v>0.33162381837183119</v>
      </c>
      <c r="U600" s="297"/>
      <c r="V600" s="297"/>
      <c r="W600" s="297"/>
      <c r="X600" s="297"/>
      <c r="Y600" s="297"/>
      <c r="Z600" s="297"/>
      <c r="AA600" s="297"/>
      <c r="AB600" s="297"/>
      <c r="AC600" s="297"/>
      <c r="AE600" s="297"/>
      <c r="AF600" s="297"/>
      <c r="AG600" s="297"/>
      <c r="AH600" s="297"/>
      <c r="AI600" s="297"/>
      <c r="AJ600" s="297"/>
      <c r="AK600" s="297"/>
      <c r="AL600" s="297"/>
      <c r="AM600" s="297"/>
      <c r="AO600" s="297"/>
      <c r="AP600" s="297"/>
      <c r="AQ600" s="297"/>
      <c r="AR600" s="297"/>
      <c r="AS600" s="297"/>
      <c r="AT600" s="297"/>
      <c r="AU600" s="297"/>
      <c r="AV600" s="297"/>
      <c r="AW600" s="297"/>
    </row>
    <row r="601" spans="1:49" x14ac:dyDescent="0.45">
      <c r="A601" s="295">
        <v>27638</v>
      </c>
      <c r="B601" s="12">
        <v>-3.1199999999999999E-2</v>
      </c>
      <c r="C601" s="5">
        <v>-4.9000000000000007E-3</v>
      </c>
      <c r="D601" s="5">
        <v>7.3000000000000001E-3</v>
      </c>
      <c r="E601" s="5">
        <v>7.4583333333333324E-3</v>
      </c>
      <c r="F601" s="5">
        <v>7.7916666666666664E-3</v>
      </c>
      <c r="G601" s="5">
        <v>7.6249999999999998E-3</v>
      </c>
      <c r="H601" s="5">
        <v>8.4916666666666665E-3</v>
      </c>
      <c r="I601" s="5">
        <f t="shared" si="99"/>
        <v>-3.85E-2</v>
      </c>
      <c r="J601" s="5">
        <f t="shared" si="92"/>
        <v>-3.8824999999999998E-2</v>
      </c>
      <c r="K601" s="5">
        <f t="shared" si="93"/>
        <v>-1.3391666666666666E-2</v>
      </c>
      <c r="L601" s="8">
        <f t="shared" si="101"/>
        <v>0.38127431649986065</v>
      </c>
      <c r="M601" s="8">
        <f t="shared" si="102"/>
        <v>8.7599999999999997E-2</v>
      </c>
      <c r="N601" s="8">
        <f t="shared" si="94"/>
        <v>9.1499999999999998E-2</v>
      </c>
      <c r="O601" s="296">
        <f t="shared" si="100"/>
        <v>0.29367431649986064</v>
      </c>
      <c r="P601" s="8">
        <f t="shared" si="95"/>
        <v>0.28977431649986063</v>
      </c>
      <c r="Q601" s="8">
        <f t="shared" si="96"/>
        <v>0.43817125445007998</v>
      </c>
      <c r="R601" s="8">
        <f t="shared" si="97"/>
        <v>0.10189999999999999</v>
      </c>
      <c r="S601" s="296">
        <f t="shared" si="98"/>
        <v>0.33627125445007999</v>
      </c>
      <c r="U601" s="297"/>
      <c r="V601" s="297"/>
      <c r="W601" s="297"/>
      <c r="X601" s="297"/>
      <c r="Y601" s="297"/>
      <c r="Z601" s="297"/>
      <c r="AA601" s="297"/>
      <c r="AB601" s="297"/>
      <c r="AC601" s="297"/>
      <c r="AE601" s="297"/>
      <c r="AF601" s="297"/>
      <c r="AG601" s="297"/>
      <c r="AH601" s="297"/>
      <c r="AI601" s="297"/>
      <c r="AJ601" s="297"/>
      <c r="AK601" s="297"/>
      <c r="AL601" s="297"/>
      <c r="AM601" s="297"/>
      <c r="AO601" s="297"/>
      <c r="AP601" s="297"/>
      <c r="AQ601" s="297"/>
      <c r="AR601" s="297"/>
      <c r="AS601" s="297"/>
      <c r="AT601" s="297"/>
      <c r="AU601" s="297"/>
      <c r="AV601" s="297"/>
      <c r="AW601" s="297"/>
    </row>
    <row r="602" spans="1:49" x14ac:dyDescent="0.45">
      <c r="A602" s="295">
        <v>27668</v>
      </c>
      <c r="B602" s="12">
        <v>6.5299999999999997E-2</v>
      </c>
      <c r="C602" s="5">
        <v>7.0800000000000002E-2</v>
      </c>
      <c r="D602" s="5">
        <v>7.1999999999999998E-3</v>
      </c>
      <c r="E602" s="5">
        <v>7.3833333333333329E-3</v>
      </c>
      <c r="F602" s="5">
        <v>7.7666666666666674E-3</v>
      </c>
      <c r="G602" s="5">
        <v>7.575000000000001E-3</v>
      </c>
      <c r="H602" s="5">
        <v>8.4666666666666675E-3</v>
      </c>
      <c r="I602" s="5">
        <f t="shared" si="99"/>
        <v>5.8099999999999999E-2</v>
      </c>
      <c r="J602" s="5">
        <f t="shared" si="92"/>
        <v>5.7724999999999999E-2</v>
      </c>
      <c r="K602" s="5">
        <f t="shared" si="93"/>
        <v>6.2333333333333338E-2</v>
      </c>
      <c r="L602" s="8">
        <f t="shared" si="101"/>
        <v>0.25971366267211859</v>
      </c>
      <c r="M602" s="8">
        <f t="shared" si="102"/>
        <v>8.6400000000000005E-2</v>
      </c>
      <c r="N602" s="8">
        <f t="shared" si="94"/>
        <v>9.0900000000000009E-2</v>
      </c>
      <c r="O602" s="296">
        <f t="shared" si="100"/>
        <v>0.17331366267211859</v>
      </c>
      <c r="P602" s="8">
        <f t="shared" si="95"/>
        <v>0.16881366267211859</v>
      </c>
      <c r="Q602" s="8">
        <f t="shared" si="96"/>
        <v>0.37511722409603165</v>
      </c>
      <c r="R602" s="8">
        <f t="shared" si="97"/>
        <v>0.10160000000000001</v>
      </c>
      <c r="S602" s="296">
        <f t="shared" si="98"/>
        <v>0.27351722409603163</v>
      </c>
      <c r="U602" s="297"/>
      <c r="V602" s="297"/>
      <c r="W602" s="297"/>
      <c r="X602" s="297"/>
      <c r="Y602" s="297"/>
      <c r="Z602" s="297"/>
      <c r="AA602" s="297"/>
      <c r="AB602" s="297"/>
      <c r="AC602" s="297"/>
      <c r="AE602" s="297"/>
      <c r="AF602" s="297"/>
      <c r="AG602" s="297"/>
      <c r="AH602" s="297"/>
      <c r="AI602" s="297"/>
      <c r="AJ602" s="297"/>
      <c r="AK602" s="297"/>
      <c r="AL602" s="297"/>
      <c r="AM602" s="297"/>
      <c r="AO602" s="297"/>
      <c r="AP602" s="297"/>
      <c r="AQ602" s="297"/>
      <c r="AR602" s="297"/>
      <c r="AS602" s="297"/>
      <c r="AT602" s="297"/>
      <c r="AU602" s="297"/>
      <c r="AV602" s="297"/>
      <c r="AW602" s="297"/>
    </row>
    <row r="603" spans="1:49" x14ac:dyDescent="0.45">
      <c r="A603" s="295">
        <v>27699</v>
      </c>
      <c r="B603" s="12">
        <v>2.8199999999999999E-2</v>
      </c>
      <c r="C603" s="5">
        <v>3.5000000000000003E-2</v>
      </c>
      <c r="D603" s="5">
        <v>6.0999999999999995E-3</v>
      </c>
      <c r="E603" s="5">
        <v>7.3166666666666658E-3</v>
      </c>
      <c r="F603" s="5">
        <v>7.691666666666667E-3</v>
      </c>
      <c r="G603" s="5">
        <v>7.5041666666666659E-3</v>
      </c>
      <c r="H603" s="5">
        <v>8.3666666666666663E-3</v>
      </c>
      <c r="I603" s="5">
        <f t="shared" si="99"/>
        <v>2.2100000000000002E-2</v>
      </c>
      <c r="J603" s="5">
        <f t="shared" si="92"/>
        <v>2.0695833333333333E-2</v>
      </c>
      <c r="K603" s="5">
        <f t="shared" si="93"/>
        <v>2.6633333333333335E-2</v>
      </c>
      <c r="L603" s="8">
        <f t="shared" si="101"/>
        <v>0.36183113022760183</v>
      </c>
      <c r="M603" s="8">
        <f t="shared" si="102"/>
        <v>7.3199999999999987E-2</v>
      </c>
      <c r="N603" s="8">
        <f t="shared" si="94"/>
        <v>9.0049999999999991E-2</v>
      </c>
      <c r="O603" s="296">
        <f t="shared" si="100"/>
        <v>0.28863113022760184</v>
      </c>
      <c r="P603" s="8">
        <f t="shared" si="95"/>
        <v>0.27178113022760186</v>
      </c>
      <c r="Q603" s="8">
        <f t="shared" si="96"/>
        <v>0.44038693142333041</v>
      </c>
      <c r="R603" s="8">
        <f t="shared" si="97"/>
        <v>0.10039999999999999</v>
      </c>
      <c r="S603" s="296">
        <f t="shared" si="98"/>
        <v>0.33998693142333042</v>
      </c>
      <c r="U603" s="297"/>
      <c r="V603" s="297"/>
      <c r="W603" s="297"/>
      <c r="X603" s="297"/>
      <c r="Y603" s="297"/>
      <c r="Z603" s="297"/>
      <c r="AA603" s="297"/>
      <c r="AB603" s="297"/>
      <c r="AC603" s="297"/>
      <c r="AE603" s="297"/>
      <c r="AF603" s="297"/>
      <c r="AG603" s="297"/>
      <c r="AH603" s="297"/>
      <c r="AI603" s="297"/>
      <c r="AJ603" s="297"/>
      <c r="AK603" s="297"/>
      <c r="AL603" s="297"/>
      <c r="AM603" s="297"/>
      <c r="AO603" s="297"/>
      <c r="AP603" s="297"/>
      <c r="AQ603" s="297"/>
      <c r="AR603" s="297"/>
      <c r="AS603" s="297"/>
      <c r="AT603" s="297"/>
      <c r="AU603" s="297"/>
      <c r="AV603" s="297"/>
      <c r="AW603" s="297"/>
    </row>
    <row r="604" spans="1:49" x14ac:dyDescent="0.45">
      <c r="A604" s="295">
        <v>27729</v>
      </c>
      <c r="B604" s="12">
        <v>-8.0999999999999996E-3</v>
      </c>
      <c r="C604" s="5">
        <v>7.6999999999999994E-3</v>
      </c>
      <c r="D604" s="5">
        <v>7.4999999999999997E-3</v>
      </c>
      <c r="E604" s="5">
        <v>7.324999999999999E-3</v>
      </c>
      <c r="F604" s="5">
        <v>7.7125000000000006E-3</v>
      </c>
      <c r="G604" s="5">
        <v>7.5187500000000011E-3</v>
      </c>
      <c r="H604" s="5">
        <v>8.4249999999999985E-3</v>
      </c>
      <c r="I604" s="5">
        <f t="shared" si="99"/>
        <v>-1.5599999999999999E-2</v>
      </c>
      <c r="J604" s="5">
        <f t="shared" si="92"/>
        <v>-1.5618750000000001E-2</v>
      </c>
      <c r="K604" s="5">
        <f t="shared" si="93"/>
        <v>-7.2499999999999908E-4</v>
      </c>
      <c r="L604" s="8">
        <f t="shared" si="101"/>
        <v>0.37220672295079016</v>
      </c>
      <c r="M604" s="8">
        <f t="shared" si="102"/>
        <v>0.09</v>
      </c>
      <c r="N604" s="8">
        <f t="shared" si="94"/>
        <v>9.0225000000000014E-2</v>
      </c>
      <c r="O604" s="296">
        <f t="shared" si="100"/>
        <v>0.28220672295079019</v>
      </c>
      <c r="P604" s="8">
        <f t="shared" si="95"/>
        <v>0.28198172295079016</v>
      </c>
      <c r="Q604" s="8">
        <f t="shared" si="96"/>
        <v>0.44511938549909402</v>
      </c>
      <c r="R604" s="8">
        <f t="shared" si="97"/>
        <v>0.10109999999999998</v>
      </c>
      <c r="S604" s="296">
        <f t="shared" si="98"/>
        <v>0.34401938549909405</v>
      </c>
      <c r="U604" s="297"/>
      <c r="V604" s="297"/>
      <c r="W604" s="297"/>
      <c r="X604" s="297"/>
      <c r="Y604" s="297"/>
      <c r="Z604" s="297"/>
      <c r="AA604" s="297"/>
      <c r="AB604" s="297"/>
      <c r="AC604" s="297"/>
      <c r="AE604" s="297"/>
      <c r="AF604" s="297"/>
      <c r="AG604" s="297"/>
      <c r="AH604" s="297"/>
      <c r="AI604" s="297"/>
      <c r="AJ604" s="297"/>
      <c r="AK604" s="297"/>
      <c r="AL604" s="297"/>
      <c r="AM604" s="297"/>
      <c r="AO604" s="297"/>
      <c r="AP604" s="297"/>
      <c r="AQ604" s="297"/>
      <c r="AR604" s="297"/>
      <c r="AS604" s="297"/>
      <c r="AT604" s="297"/>
      <c r="AU604" s="297"/>
      <c r="AV604" s="297"/>
      <c r="AW604" s="297"/>
    </row>
    <row r="605" spans="1:49" x14ac:dyDescent="0.45">
      <c r="A605" s="295">
        <v>27760</v>
      </c>
      <c r="B605" s="12">
        <v>0.1217</v>
      </c>
      <c r="C605" s="5">
        <v>8.9400000000000007E-2</v>
      </c>
      <c r="D605" s="5">
        <v>6.5000000000000006E-3</v>
      </c>
      <c r="E605" s="5">
        <v>7.1666666666666667E-3</v>
      </c>
      <c r="F605" s="5">
        <v>7.6083333333333333E-3</v>
      </c>
      <c r="G605" s="5">
        <v>7.3875E-3</v>
      </c>
      <c r="H605" s="5">
        <v>8.2500000000000004E-3</v>
      </c>
      <c r="I605" s="5">
        <f t="shared" si="99"/>
        <v>0.1152</v>
      </c>
      <c r="J605" s="5">
        <f t="shared" ref="J605:J668" si="103">B605-G605</f>
        <v>0.1143125</v>
      </c>
      <c r="K605" s="5">
        <f t="shared" ref="K605:K668" si="104">$C605-H605</f>
        <v>8.115E-2</v>
      </c>
      <c r="L605" s="8">
        <f t="shared" si="101"/>
        <v>0.36551125011879138</v>
      </c>
      <c r="M605" s="8">
        <f t="shared" si="102"/>
        <v>7.8000000000000014E-2</v>
      </c>
      <c r="N605" s="8">
        <f t="shared" si="94"/>
        <v>8.8650000000000007E-2</v>
      </c>
      <c r="O605" s="296">
        <f t="shared" si="100"/>
        <v>0.28751125011879136</v>
      </c>
      <c r="P605" s="8">
        <f t="shared" si="95"/>
        <v>0.27686125011879137</v>
      </c>
      <c r="Q605" s="8">
        <f t="shared" si="96"/>
        <v>0.32328575150265881</v>
      </c>
      <c r="R605" s="8">
        <f t="shared" si="97"/>
        <v>9.9000000000000005E-2</v>
      </c>
      <c r="S605" s="296">
        <f t="shared" si="98"/>
        <v>0.22428575150265881</v>
      </c>
      <c r="U605" s="297"/>
      <c r="V605" s="297"/>
      <c r="W605" s="297"/>
      <c r="X605" s="297"/>
      <c r="Y605" s="297"/>
      <c r="Z605" s="297"/>
      <c r="AA605" s="297"/>
      <c r="AB605" s="297"/>
      <c r="AC605" s="297"/>
      <c r="AE605" s="297"/>
      <c r="AF605" s="297"/>
      <c r="AG605" s="297"/>
      <c r="AH605" s="297"/>
      <c r="AI605" s="297"/>
      <c r="AJ605" s="297"/>
      <c r="AK605" s="297"/>
      <c r="AL605" s="297"/>
      <c r="AM605" s="297"/>
      <c r="AO605" s="297"/>
      <c r="AP605" s="297"/>
      <c r="AQ605" s="297"/>
      <c r="AR605" s="297"/>
      <c r="AS605" s="297"/>
      <c r="AT605" s="297"/>
      <c r="AU605" s="297"/>
      <c r="AV605" s="297"/>
      <c r="AW605" s="297"/>
    </row>
    <row r="606" spans="1:49" x14ac:dyDescent="0.45">
      <c r="A606" s="295">
        <v>27791</v>
      </c>
      <c r="B606" s="12">
        <v>-8.3999999999999995E-3</v>
      </c>
      <c r="C606" s="5">
        <v>-3.56E-2</v>
      </c>
      <c r="D606" s="5">
        <v>6.1000000000000004E-3</v>
      </c>
      <c r="E606" s="5">
        <v>7.1250000000000003E-3</v>
      </c>
      <c r="F606" s="5">
        <v>7.5166666666666663E-3</v>
      </c>
      <c r="G606" s="5">
        <v>7.3208333333333328E-3</v>
      </c>
      <c r="H606" s="5">
        <v>8.0916666666666671E-3</v>
      </c>
      <c r="I606" s="5">
        <f t="shared" si="99"/>
        <v>-1.4499999999999999E-2</v>
      </c>
      <c r="J606" s="5">
        <f t="shared" si="103"/>
        <v>-1.5720833333333333E-2</v>
      </c>
      <c r="K606" s="5">
        <f t="shared" si="104"/>
        <v>-4.369166666666667E-2</v>
      </c>
      <c r="L606" s="8">
        <f t="shared" si="101"/>
        <v>0.27283413763658015</v>
      </c>
      <c r="M606" s="8">
        <f t="shared" si="102"/>
        <v>7.3200000000000001E-2</v>
      </c>
      <c r="N606" s="8">
        <f t="shared" si="94"/>
        <v>8.7849999999999998E-2</v>
      </c>
      <c r="O606" s="296">
        <f t="shared" si="100"/>
        <v>0.19963413763658017</v>
      </c>
      <c r="P606" s="8">
        <f t="shared" si="95"/>
        <v>0.18498413763658017</v>
      </c>
      <c r="Q606" s="8">
        <f t="shared" si="96"/>
        <v>0.25818473700992195</v>
      </c>
      <c r="R606" s="8">
        <f t="shared" si="97"/>
        <v>9.7100000000000006E-2</v>
      </c>
      <c r="S606" s="296">
        <f t="shared" si="98"/>
        <v>0.16108473700992193</v>
      </c>
      <c r="U606" s="297"/>
      <c r="V606" s="297"/>
      <c r="W606" s="297"/>
      <c r="X606" s="297"/>
      <c r="Y606" s="297"/>
      <c r="Z606" s="297"/>
      <c r="AA606" s="297"/>
      <c r="AB606" s="297"/>
      <c r="AC606" s="297"/>
      <c r="AE606" s="297"/>
      <c r="AF606" s="297"/>
      <c r="AG606" s="297"/>
      <c r="AH606" s="297"/>
      <c r="AI606" s="297"/>
      <c r="AJ606" s="297"/>
      <c r="AK606" s="297"/>
      <c r="AL606" s="297"/>
      <c r="AM606" s="297"/>
      <c r="AO606" s="297"/>
      <c r="AP606" s="297"/>
      <c r="AQ606" s="297"/>
      <c r="AR606" s="297"/>
      <c r="AS606" s="297"/>
      <c r="AT606" s="297"/>
      <c r="AU606" s="297"/>
      <c r="AV606" s="297"/>
      <c r="AW606" s="297"/>
    </row>
    <row r="607" spans="1:49" x14ac:dyDescent="0.45">
      <c r="A607" s="295">
        <v>27820</v>
      </c>
      <c r="B607" s="12">
        <v>3.3700000000000001E-2</v>
      </c>
      <c r="C607" s="5">
        <v>0.01</v>
      </c>
      <c r="D607" s="5">
        <v>7.1000000000000004E-3</v>
      </c>
      <c r="E607" s="5">
        <v>7.0999999999999995E-3</v>
      </c>
      <c r="F607" s="5">
        <v>7.5083333333333339E-3</v>
      </c>
      <c r="G607" s="5">
        <v>7.3041666666666671E-3</v>
      </c>
      <c r="H607" s="5">
        <v>8.0583333333333323E-3</v>
      </c>
      <c r="I607" s="5">
        <f t="shared" si="99"/>
        <v>2.6599999999999999E-2</v>
      </c>
      <c r="J607" s="5">
        <f t="shared" si="103"/>
        <v>2.6395833333333334E-2</v>
      </c>
      <c r="K607" s="5">
        <f t="shared" si="104"/>
        <v>1.9416666666666679E-3</v>
      </c>
      <c r="L607" s="8">
        <f t="shared" si="101"/>
        <v>0.28313696906078833</v>
      </c>
      <c r="M607" s="8">
        <f t="shared" si="102"/>
        <v>8.5199999999999998E-2</v>
      </c>
      <c r="N607" s="8">
        <f t="shared" si="94"/>
        <v>8.7650000000000006E-2</v>
      </c>
      <c r="O607" s="296">
        <f t="shared" si="100"/>
        <v>0.19793696906078834</v>
      </c>
      <c r="P607" s="8">
        <f t="shared" si="95"/>
        <v>0.19548696906078833</v>
      </c>
      <c r="Q607" s="8">
        <f t="shared" si="96"/>
        <v>0.29882112058464982</v>
      </c>
      <c r="R607" s="8">
        <f t="shared" si="97"/>
        <v>9.669999999999998E-2</v>
      </c>
      <c r="S607" s="296">
        <f t="shared" si="98"/>
        <v>0.20212112058464984</v>
      </c>
      <c r="U607" s="297"/>
      <c r="V607" s="297"/>
      <c r="W607" s="297"/>
      <c r="X607" s="297"/>
      <c r="Y607" s="297"/>
      <c r="Z607" s="297"/>
      <c r="AA607" s="297"/>
      <c r="AB607" s="297"/>
      <c r="AC607" s="297"/>
      <c r="AE607" s="297"/>
      <c r="AF607" s="297"/>
      <c r="AG607" s="297"/>
      <c r="AH607" s="297"/>
      <c r="AI607" s="297"/>
      <c r="AJ607" s="297"/>
      <c r="AK607" s="297"/>
      <c r="AL607" s="297"/>
      <c r="AM607" s="297"/>
      <c r="AO607" s="297"/>
      <c r="AP607" s="297"/>
      <c r="AQ607" s="297"/>
      <c r="AR607" s="297"/>
      <c r="AS607" s="297"/>
      <c r="AT607" s="297"/>
      <c r="AU607" s="297"/>
      <c r="AV607" s="297"/>
      <c r="AW607" s="297"/>
    </row>
    <row r="608" spans="1:49" x14ac:dyDescent="0.45">
      <c r="A608" s="295">
        <v>27851</v>
      </c>
      <c r="B608" s="12">
        <v>-7.7999999999999996E-3</v>
      </c>
      <c r="C608" s="5">
        <v>3.7000000000000002E-3</v>
      </c>
      <c r="D608" s="5">
        <v>6.4000000000000003E-3</v>
      </c>
      <c r="E608" s="5">
        <v>7.000000000000001E-3</v>
      </c>
      <c r="F608" s="5">
        <v>7.4083333333333336E-3</v>
      </c>
      <c r="G608" s="5">
        <v>7.2041666666666669E-3</v>
      </c>
      <c r="H608" s="5">
        <v>7.9416666666666663E-3</v>
      </c>
      <c r="I608" s="5">
        <f t="shared" si="99"/>
        <v>-1.4200000000000001E-2</v>
      </c>
      <c r="J608" s="5">
        <f t="shared" si="103"/>
        <v>-1.5004166666666666E-2</v>
      </c>
      <c r="K608" s="5">
        <f t="shared" si="104"/>
        <v>-4.2416666666666662E-3</v>
      </c>
      <c r="L608" s="8">
        <f t="shared" si="101"/>
        <v>0.21134966765186891</v>
      </c>
      <c r="M608" s="8">
        <f t="shared" si="102"/>
        <v>7.6800000000000007E-2</v>
      </c>
      <c r="N608" s="8">
        <f t="shared" si="94"/>
        <v>8.6449999999999999E-2</v>
      </c>
      <c r="O608" s="296">
        <f t="shared" si="100"/>
        <v>0.1345496676518689</v>
      </c>
      <c r="P608" s="8">
        <f t="shared" si="95"/>
        <v>0.12489966765186891</v>
      </c>
      <c r="Q608" s="8">
        <f t="shared" si="96"/>
        <v>0.3221366721407839</v>
      </c>
      <c r="R608" s="8">
        <f t="shared" si="97"/>
        <v>9.5299999999999996E-2</v>
      </c>
      <c r="S608" s="296">
        <f t="shared" si="98"/>
        <v>0.2268366721407839</v>
      </c>
      <c r="U608" s="297"/>
      <c r="V608" s="297"/>
      <c r="W608" s="297"/>
      <c r="X608" s="297"/>
      <c r="Y608" s="297"/>
      <c r="Z608" s="297"/>
      <c r="AA608" s="297"/>
      <c r="AB608" s="297"/>
      <c r="AC608" s="297"/>
      <c r="AE608" s="297"/>
      <c r="AF608" s="297"/>
      <c r="AG608" s="297"/>
      <c r="AH608" s="297"/>
      <c r="AI608" s="297"/>
      <c r="AJ608" s="297"/>
      <c r="AK608" s="297"/>
      <c r="AL608" s="297"/>
      <c r="AM608" s="297"/>
      <c r="AO608" s="297"/>
      <c r="AP608" s="297"/>
      <c r="AQ608" s="297"/>
      <c r="AR608" s="297"/>
      <c r="AS608" s="297"/>
      <c r="AT608" s="297"/>
      <c r="AU608" s="297"/>
      <c r="AV608" s="297"/>
      <c r="AW608" s="297"/>
    </row>
    <row r="609" spans="1:49" x14ac:dyDescent="0.45">
      <c r="A609" s="295">
        <v>27881</v>
      </c>
      <c r="B609" s="12">
        <v>-1.11E-2</v>
      </c>
      <c r="C609" s="5">
        <v>-1.3899999999999999E-2</v>
      </c>
      <c r="D609" s="5">
        <v>5.8999999999999999E-3</v>
      </c>
      <c r="E609" s="5">
        <v>7.1500000000000001E-3</v>
      </c>
      <c r="F609" s="5">
        <v>7.4333333333333326E-3</v>
      </c>
      <c r="G609" s="5">
        <v>7.2916666666666659E-3</v>
      </c>
      <c r="H609" s="5">
        <v>7.9583333333333346E-3</v>
      </c>
      <c r="I609" s="5">
        <f t="shared" si="99"/>
        <v>-1.7000000000000001E-2</v>
      </c>
      <c r="J609" s="5">
        <f t="shared" si="103"/>
        <v>-1.8391666666666667E-2</v>
      </c>
      <c r="K609" s="5">
        <f t="shared" si="104"/>
        <v>-2.1858333333333334E-2</v>
      </c>
      <c r="L609" s="8">
        <f t="shared" si="101"/>
        <v>0.14347430922196747</v>
      </c>
      <c r="M609" s="8">
        <f t="shared" si="102"/>
        <v>7.0800000000000002E-2</v>
      </c>
      <c r="N609" s="8">
        <f t="shared" si="94"/>
        <v>8.7499999999999994E-2</v>
      </c>
      <c r="O609" s="296">
        <f t="shared" si="100"/>
        <v>7.2674309221967465E-2</v>
      </c>
      <c r="P609" s="8">
        <f t="shared" si="95"/>
        <v>5.5974309221967472E-2</v>
      </c>
      <c r="Q609" s="8">
        <f t="shared" si="96"/>
        <v>0.19985180599855212</v>
      </c>
      <c r="R609" s="8">
        <f t="shared" si="97"/>
        <v>9.5500000000000015E-2</v>
      </c>
      <c r="S609" s="296">
        <f t="shared" si="98"/>
        <v>0.10435180599855211</v>
      </c>
      <c r="U609" s="297"/>
      <c r="V609" s="297"/>
      <c r="W609" s="297"/>
      <c r="X609" s="297"/>
      <c r="Y609" s="297"/>
      <c r="Z609" s="297"/>
      <c r="AA609" s="297"/>
      <c r="AB609" s="297"/>
      <c r="AC609" s="297"/>
      <c r="AE609" s="297"/>
      <c r="AF609" s="297"/>
      <c r="AG609" s="297"/>
      <c r="AH609" s="297"/>
      <c r="AI609" s="297"/>
      <c r="AJ609" s="297"/>
      <c r="AK609" s="297"/>
      <c r="AL609" s="297"/>
      <c r="AM609" s="297"/>
      <c r="AO609" s="297"/>
      <c r="AP609" s="297"/>
      <c r="AQ609" s="297"/>
      <c r="AR609" s="297"/>
      <c r="AS609" s="297"/>
      <c r="AT609" s="297"/>
      <c r="AU609" s="297"/>
      <c r="AV609" s="297"/>
      <c r="AW609" s="297"/>
    </row>
    <row r="610" spans="1:49" x14ac:dyDescent="0.45">
      <c r="A610" s="295">
        <v>27912</v>
      </c>
      <c r="B610" s="12">
        <v>4.4299999999999999E-2</v>
      </c>
      <c r="C610" s="5">
        <v>3.3700000000000001E-2</v>
      </c>
      <c r="D610" s="5">
        <v>7.3000000000000001E-3</v>
      </c>
      <c r="E610" s="5">
        <v>7.1833333333333324E-3</v>
      </c>
      <c r="F610" s="5">
        <v>7.4083333333333336E-3</v>
      </c>
      <c r="G610" s="5">
        <v>7.2958333333333321E-3</v>
      </c>
      <c r="H610" s="5">
        <v>7.9499999999999987E-3</v>
      </c>
      <c r="I610" s="5">
        <f t="shared" si="99"/>
        <v>3.6999999999999998E-2</v>
      </c>
      <c r="J610" s="5">
        <f t="shared" si="103"/>
        <v>3.7004166666666664E-2</v>
      </c>
      <c r="K610" s="5">
        <f t="shared" si="104"/>
        <v>2.5750000000000002E-2</v>
      </c>
      <c r="L610" s="8">
        <f t="shared" si="101"/>
        <v>0.1397635020716812</v>
      </c>
      <c r="M610" s="8">
        <f t="shared" si="102"/>
        <v>8.7599999999999997E-2</v>
      </c>
      <c r="N610" s="8">
        <f t="shared" si="94"/>
        <v>8.7549999999999989E-2</v>
      </c>
      <c r="O610" s="296">
        <f t="shared" si="100"/>
        <v>5.2163502071681203E-2</v>
      </c>
      <c r="P610" s="8">
        <f t="shared" si="95"/>
        <v>5.2213502071681211E-2</v>
      </c>
      <c r="Q610" s="8">
        <f t="shared" si="96"/>
        <v>0.12070733880970774</v>
      </c>
      <c r="R610" s="8">
        <f t="shared" si="97"/>
        <v>9.5399999999999985E-2</v>
      </c>
      <c r="S610" s="296">
        <f t="shared" si="98"/>
        <v>2.5307338809707758E-2</v>
      </c>
      <c r="U610" s="297"/>
      <c r="V610" s="297"/>
      <c r="W610" s="297"/>
      <c r="X610" s="297"/>
      <c r="Y610" s="297"/>
      <c r="Z610" s="297"/>
      <c r="AA610" s="297"/>
      <c r="AB610" s="297"/>
      <c r="AC610" s="297"/>
      <c r="AE610" s="297"/>
      <c r="AF610" s="297"/>
      <c r="AG610" s="297"/>
      <c r="AH610" s="297"/>
      <c r="AI610" s="297"/>
      <c r="AJ610" s="297"/>
      <c r="AK610" s="297"/>
      <c r="AL610" s="297"/>
      <c r="AM610" s="297"/>
      <c r="AO610" s="297"/>
      <c r="AP610" s="297"/>
      <c r="AQ610" s="297"/>
      <c r="AR610" s="297"/>
      <c r="AS610" s="297"/>
      <c r="AT610" s="297"/>
      <c r="AU610" s="297"/>
      <c r="AV610" s="297"/>
      <c r="AW610" s="297"/>
    </row>
    <row r="611" spans="1:49" x14ac:dyDescent="0.45">
      <c r="A611" s="295">
        <v>27942</v>
      </c>
      <c r="B611" s="12">
        <v>-4.7999999999999996E-3</v>
      </c>
      <c r="C611" s="5">
        <v>3.4099999999999998E-2</v>
      </c>
      <c r="D611" s="5">
        <v>6.5000000000000006E-3</v>
      </c>
      <c r="E611" s="5">
        <v>7.1333333333333335E-3</v>
      </c>
      <c r="F611" s="5">
        <v>7.3416666666666673E-3</v>
      </c>
      <c r="G611" s="5">
        <v>7.2375000000000009E-3</v>
      </c>
      <c r="H611" s="5">
        <v>7.8083333333333329E-3</v>
      </c>
      <c r="I611" s="5">
        <f t="shared" si="99"/>
        <v>-1.1300000000000001E-2</v>
      </c>
      <c r="J611" s="5">
        <f t="shared" si="103"/>
        <v>-1.20375E-2</v>
      </c>
      <c r="K611" s="5">
        <f t="shared" si="104"/>
        <v>2.6291666666666665E-2</v>
      </c>
      <c r="L611" s="8">
        <f t="shared" si="101"/>
        <v>0.21236921468762016</v>
      </c>
      <c r="M611" s="8">
        <f t="shared" si="102"/>
        <v>7.8000000000000014E-2</v>
      </c>
      <c r="N611" s="8">
        <f t="shared" si="94"/>
        <v>8.6850000000000011E-2</v>
      </c>
      <c r="O611" s="296">
        <f t="shared" si="100"/>
        <v>0.13436921468762014</v>
      </c>
      <c r="P611" s="8">
        <f t="shared" si="95"/>
        <v>0.12551921468762015</v>
      </c>
      <c r="Q611" s="8">
        <f t="shared" si="96"/>
        <v>0.22120490944480364</v>
      </c>
      <c r="R611" s="8">
        <f t="shared" si="97"/>
        <v>9.3699999999999992E-2</v>
      </c>
      <c r="S611" s="296">
        <f t="shared" si="98"/>
        <v>0.12750490944480364</v>
      </c>
      <c r="U611" s="297"/>
      <c r="V611" s="297"/>
      <c r="W611" s="297"/>
      <c r="X611" s="297"/>
      <c r="Y611" s="297"/>
      <c r="Z611" s="297"/>
      <c r="AA611" s="297"/>
      <c r="AB611" s="297"/>
      <c r="AC611" s="297"/>
      <c r="AE611" s="297"/>
      <c r="AF611" s="297"/>
      <c r="AG611" s="297"/>
      <c r="AH611" s="297"/>
      <c r="AI611" s="297"/>
      <c r="AJ611" s="297"/>
      <c r="AK611" s="297"/>
      <c r="AL611" s="297"/>
      <c r="AM611" s="297"/>
      <c r="AO611" s="297"/>
      <c r="AP611" s="297"/>
      <c r="AQ611" s="297"/>
      <c r="AR611" s="297"/>
      <c r="AS611" s="297"/>
      <c r="AT611" s="297"/>
      <c r="AU611" s="297"/>
      <c r="AV611" s="297"/>
      <c r="AW611" s="297"/>
    </row>
    <row r="612" spans="1:49" x14ac:dyDescent="0.45">
      <c r="A612" s="295">
        <v>27973</v>
      </c>
      <c r="B612" s="12">
        <v>-1.8E-3</v>
      </c>
      <c r="C612" s="5">
        <v>3.8300000000000001E-2</v>
      </c>
      <c r="D612" s="5">
        <v>6.8999999999999999E-3</v>
      </c>
      <c r="E612" s="5">
        <v>7.0416666666666657E-3</v>
      </c>
      <c r="F612" s="5">
        <v>7.2166666666666664E-3</v>
      </c>
      <c r="G612" s="5">
        <v>7.1291666666666665E-3</v>
      </c>
      <c r="H612" s="5">
        <v>7.6083333333333333E-3</v>
      </c>
      <c r="I612" s="5">
        <f t="shared" si="99"/>
        <v>-8.6999999999999994E-3</v>
      </c>
      <c r="J612" s="5">
        <f t="shared" si="103"/>
        <v>-8.9291666666666668E-3</v>
      </c>
      <c r="K612" s="5">
        <f t="shared" si="104"/>
        <v>3.0691666666666666E-2</v>
      </c>
      <c r="L612" s="8">
        <f t="shared" si="101"/>
        <v>0.23186782380006332</v>
      </c>
      <c r="M612" s="8">
        <f t="shared" si="102"/>
        <v>8.2799999999999999E-2</v>
      </c>
      <c r="N612" s="8">
        <f t="shared" si="94"/>
        <v>8.5550000000000001E-2</v>
      </c>
      <c r="O612" s="296">
        <f t="shared" si="100"/>
        <v>0.14906782380006334</v>
      </c>
      <c r="P612" s="8">
        <f t="shared" si="95"/>
        <v>0.14631782380006331</v>
      </c>
      <c r="Q612" s="8">
        <f t="shared" si="96"/>
        <v>0.29544039382564358</v>
      </c>
      <c r="R612" s="8">
        <f t="shared" si="97"/>
        <v>9.1299999999999992E-2</v>
      </c>
      <c r="S612" s="296">
        <f t="shared" si="98"/>
        <v>0.20414039382564358</v>
      </c>
      <c r="U612" s="297"/>
      <c r="V612" s="297"/>
      <c r="W612" s="297"/>
      <c r="X612" s="297"/>
      <c r="Y612" s="297"/>
      <c r="Z612" s="297"/>
      <c r="AA612" s="297"/>
      <c r="AB612" s="297"/>
      <c r="AC612" s="297"/>
      <c r="AE612" s="297"/>
      <c r="AF612" s="297"/>
      <c r="AG612" s="297"/>
      <c r="AH612" s="297"/>
      <c r="AI612" s="297"/>
      <c r="AJ612" s="297"/>
      <c r="AK612" s="297"/>
      <c r="AL612" s="297"/>
      <c r="AM612" s="297"/>
      <c r="AO612" s="297"/>
      <c r="AP612" s="297"/>
      <c r="AQ612" s="297"/>
      <c r="AR612" s="297"/>
      <c r="AS612" s="297"/>
      <c r="AT612" s="297"/>
      <c r="AU612" s="297"/>
      <c r="AV612" s="297"/>
      <c r="AW612" s="297"/>
    </row>
    <row r="613" spans="1:49" x14ac:dyDescent="0.45">
      <c r="A613" s="295">
        <v>28004</v>
      </c>
      <c r="B613" s="12">
        <v>2.58E-2</v>
      </c>
      <c r="C613" s="5">
        <v>3.8100000000000002E-2</v>
      </c>
      <c r="D613" s="5">
        <v>6.4000000000000003E-3</v>
      </c>
      <c r="E613" s="5">
        <v>6.9833333333333336E-3</v>
      </c>
      <c r="F613" s="5">
        <v>7.1166666666666652E-3</v>
      </c>
      <c r="G613" s="5">
        <v>7.0499999999999998E-3</v>
      </c>
      <c r="H613" s="5">
        <v>7.4166666666666669E-3</v>
      </c>
      <c r="I613" s="5">
        <f t="shared" si="99"/>
        <v>1.9400000000000001E-2</v>
      </c>
      <c r="J613" s="5">
        <f t="shared" si="103"/>
        <v>1.8749999999999999E-2</v>
      </c>
      <c r="K613" s="5">
        <f t="shared" si="104"/>
        <v>3.0683333333333333E-2</v>
      </c>
      <c r="L613" s="8">
        <f t="shared" si="101"/>
        <v>0.30434559625733382</v>
      </c>
      <c r="M613" s="8">
        <f t="shared" si="102"/>
        <v>7.6800000000000007E-2</v>
      </c>
      <c r="N613" s="8">
        <f t="shared" si="94"/>
        <v>8.4599999999999995E-2</v>
      </c>
      <c r="O613" s="296">
        <f t="shared" si="100"/>
        <v>0.22754559625733381</v>
      </c>
      <c r="P613" s="8">
        <f t="shared" si="95"/>
        <v>0.21974559625733381</v>
      </c>
      <c r="Q613" s="8">
        <f t="shared" si="96"/>
        <v>0.35141862408843405</v>
      </c>
      <c r="R613" s="8">
        <f t="shared" si="97"/>
        <v>8.8999999999999996E-2</v>
      </c>
      <c r="S613" s="296">
        <f t="shared" si="98"/>
        <v>0.26241862408843408</v>
      </c>
      <c r="U613" s="297"/>
      <c r="V613" s="297"/>
      <c r="W613" s="297"/>
      <c r="X613" s="297"/>
      <c r="Y613" s="297"/>
      <c r="Z613" s="297"/>
      <c r="AA613" s="297"/>
      <c r="AB613" s="297"/>
      <c r="AC613" s="297"/>
      <c r="AE613" s="297"/>
      <c r="AF613" s="297"/>
      <c r="AG613" s="297"/>
      <c r="AH613" s="297"/>
      <c r="AI613" s="297"/>
      <c r="AJ613" s="297"/>
      <c r="AK613" s="297"/>
      <c r="AL613" s="297"/>
      <c r="AM613" s="297"/>
      <c r="AO613" s="297"/>
      <c r="AP613" s="297"/>
      <c r="AQ613" s="297"/>
      <c r="AR613" s="297"/>
      <c r="AS613" s="297"/>
      <c r="AT613" s="297"/>
      <c r="AU613" s="297"/>
      <c r="AV613" s="297"/>
      <c r="AW613" s="297"/>
    </row>
    <row r="614" spans="1:49" x14ac:dyDescent="0.45">
      <c r="A614" s="295">
        <v>28034</v>
      </c>
      <c r="B614" s="12">
        <v>-1.8599999999999998E-2</v>
      </c>
      <c r="C614" s="5">
        <v>-2.1000000000000003E-3</v>
      </c>
      <c r="D614" s="5">
        <v>6.0999999999999995E-3</v>
      </c>
      <c r="E614" s="5">
        <v>6.9333333333333339E-3</v>
      </c>
      <c r="F614" s="5">
        <v>7.0666666666666664E-3</v>
      </c>
      <c r="G614" s="5">
        <v>6.9999999999999993E-3</v>
      </c>
      <c r="H614" s="5">
        <v>7.324999999999999E-3</v>
      </c>
      <c r="I614" s="5">
        <f t="shared" si="99"/>
        <v>-2.47E-2</v>
      </c>
      <c r="J614" s="5">
        <f t="shared" si="103"/>
        <v>-2.5599999999999998E-2</v>
      </c>
      <c r="K614" s="5">
        <f t="shared" si="104"/>
        <v>-9.4249999999999994E-3</v>
      </c>
      <c r="L614" s="8">
        <f t="shared" si="101"/>
        <v>0.20161904455735269</v>
      </c>
      <c r="M614" s="8">
        <f t="shared" si="102"/>
        <v>7.3199999999999987E-2</v>
      </c>
      <c r="N614" s="8">
        <f t="shared" si="94"/>
        <v>8.3999999999999991E-2</v>
      </c>
      <c r="O614" s="296">
        <f t="shared" si="100"/>
        <v>0.1284190445573527</v>
      </c>
      <c r="P614" s="8">
        <f t="shared" si="95"/>
        <v>0.1176190445573527</v>
      </c>
      <c r="Q614" s="8">
        <f t="shared" si="96"/>
        <v>0.25941412493261895</v>
      </c>
      <c r="R614" s="8">
        <f t="shared" si="97"/>
        <v>8.7899999999999992E-2</v>
      </c>
      <c r="S614" s="296">
        <f t="shared" si="98"/>
        <v>0.17151412493261897</v>
      </c>
      <c r="U614" s="297"/>
      <c r="V614" s="297"/>
      <c r="W614" s="297"/>
      <c r="X614" s="297"/>
      <c r="Y614" s="297"/>
      <c r="Z614" s="297"/>
      <c r="AA614" s="297"/>
      <c r="AB614" s="297"/>
      <c r="AC614" s="297"/>
      <c r="AE614" s="297"/>
      <c r="AF614" s="297"/>
      <c r="AG614" s="297"/>
      <c r="AH614" s="297"/>
      <c r="AI614" s="297"/>
      <c r="AJ614" s="297"/>
      <c r="AK614" s="297"/>
      <c r="AL614" s="297"/>
      <c r="AM614" s="297"/>
      <c r="AO614" s="297"/>
      <c r="AP614" s="297"/>
      <c r="AQ614" s="297"/>
      <c r="AR614" s="297"/>
      <c r="AS614" s="297"/>
      <c r="AT614" s="297"/>
      <c r="AU614" s="297"/>
      <c r="AV614" s="297"/>
      <c r="AW614" s="297"/>
    </row>
    <row r="615" spans="1:49" x14ac:dyDescent="0.45">
      <c r="A615" s="295">
        <v>28065</v>
      </c>
      <c r="B615" s="12">
        <v>-4.1000000000000003E-3</v>
      </c>
      <c r="C615" s="5">
        <v>2.6800000000000001E-2</v>
      </c>
      <c r="D615" s="5">
        <v>6.6E-3</v>
      </c>
      <c r="E615" s="5">
        <v>6.875E-3</v>
      </c>
      <c r="F615" s="5">
        <v>7.0500000000000007E-3</v>
      </c>
      <c r="G615" s="5">
        <v>6.9624999999999999E-3</v>
      </c>
      <c r="H615" s="5">
        <v>7.3000000000000001E-3</v>
      </c>
      <c r="I615" s="5">
        <f t="shared" si="99"/>
        <v>-1.0700000000000001E-2</v>
      </c>
      <c r="J615" s="5">
        <f t="shared" si="103"/>
        <v>-1.1062499999999999E-2</v>
      </c>
      <c r="K615" s="5">
        <f t="shared" si="104"/>
        <v>1.95E-2</v>
      </c>
      <c r="L615" s="8">
        <f t="shared" si="101"/>
        <v>0.16387123757505062</v>
      </c>
      <c r="M615" s="8">
        <f t="shared" si="102"/>
        <v>7.9199999999999993E-2</v>
      </c>
      <c r="N615" s="8">
        <f t="shared" si="94"/>
        <v>8.3549999999999999E-2</v>
      </c>
      <c r="O615" s="296">
        <f t="shared" si="100"/>
        <v>8.4671237575050629E-2</v>
      </c>
      <c r="P615" s="8">
        <f t="shared" si="95"/>
        <v>8.0321237575050622E-2</v>
      </c>
      <c r="Q615" s="8">
        <f t="shared" si="96"/>
        <v>0.24943615795247664</v>
      </c>
      <c r="R615" s="8">
        <f t="shared" si="97"/>
        <v>8.7599999999999997E-2</v>
      </c>
      <c r="S615" s="296">
        <f t="shared" si="98"/>
        <v>0.16183615795247663</v>
      </c>
      <c r="U615" s="297"/>
      <c r="V615" s="297"/>
      <c r="W615" s="297"/>
      <c r="X615" s="297"/>
      <c r="Y615" s="297"/>
      <c r="Z615" s="297"/>
      <c r="AA615" s="297"/>
      <c r="AB615" s="297"/>
      <c r="AC615" s="297"/>
      <c r="AE615" s="297"/>
      <c r="AF615" s="297"/>
      <c r="AG615" s="297"/>
      <c r="AH615" s="297"/>
      <c r="AI615" s="297"/>
      <c r="AJ615" s="297"/>
      <c r="AK615" s="297"/>
      <c r="AL615" s="297"/>
      <c r="AM615" s="297"/>
      <c r="AO615" s="297"/>
      <c r="AP615" s="297"/>
      <c r="AQ615" s="297"/>
      <c r="AR615" s="297"/>
      <c r="AS615" s="297"/>
      <c r="AT615" s="297"/>
      <c r="AU615" s="297"/>
      <c r="AV615" s="297"/>
      <c r="AW615" s="297"/>
    </row>
    <row r="616" spans="1:49" x14ac:dyDescent="0.45">
      <c r="A616" s="295">
        <v>28095</v>
      </c>
      <c r="B616" s="12">
        <v>5.6099999999999997E-2</v>
      </c>
      <c r="C616" s="5">
        <v>6.3100000000000003E-2</v>
      </c>
      <c r="D616" s="5">
        <v>6.3E-3</v>
      </c>
      <c r="E616" s="5">
        <v>6.6500000000000005E-3</v>
      </c>
      <c r="F616" s="5">
        <v>6.870833333333333E-3</v>
      </c>
      <c r="G616" s="5">
        <v>6.7604166666666663E-3</v>
      </c>
      <c r="H616" s="5">
        <v>7.1833333333333324E-3</v>
      </c>
      <c r="I616" s="5">
        <f t="shared" si="99"/>
        <v>4.9799999999999997E-2</v>
      </c>
      <c r="J616" s="5">
        <f t="shared" si="103"/>
        <v>4.9339583333333333E-2</v>
      </c>
      <c r="K616" s="5">
        <f t="shared" si="104"/>
        <v>5.591666666666667E-2</v>
      </c>
      <c r="L616" s="8">
        <f t="shared" si="101"/>
        <v>0.23920194979636178</v>
      </c>
      <c r="M616" s="8">
        <f t="shared" si="102"/>
        <v>7.5600000000000001E-2</v>
      </c>
      <c r="N616" s="8">
        <f t="shared" ref="N616:N679" si="105">G616*12</f>
        <v>8.1125000000000003E-2</v>
      </c>
      <c r="O616" s="296">
        <f t="shared" si="100"/>
        <v>0.16360194979636178</v>
      </c>
      <c r="P616" s="8">
        <f t="shared" ref="P616:P679" si="106">L616-N616</f>
        <v>0.15807694979636178</v>
      </c>
      <c r="Q616" s="8">
        <f t="shared" ref="Q616:Q679" si="107">((1+C605)*(1+C606)*(1+C607)*(1+C608)*(1+C609)*(1+C610)*(1+C611)*(1+C612)*(1+C613)*(1+C614)*(1+C615)*(1+C616))-1</f>
        <v>0.31812600924806733</v>
      </c>
      <c r="R616" s="8">
        <f t="shared" ref="R616:R679" si="108">H616*12</f>
        <v>8.6199999999999985E-2</v>
      </c>
      <c r="S616" s="296">
        <f t="shared" ref="S616:S679" si="109">Q616-R616</f>
        <v>0.23192600924806733</v>
      </c>
      <c r="U616" s="297"/>
      <c r="V616" s="297"/>
      <c r="W616" s="297"/>
      <c r="X616" s="297"/>
      <c r="Y616" s="297"/>
      <c r="Z616" s="297"/>
      <c r="AA616" s="297"/>
      <c r="AB616" s="297"/>
      <c r="AC616" s="297"/>
      <c r="AE616" s="297"/>
      <c r="AF616" s="297"/>
      <c r="AG616" s="297"/>
      <c r="AH616" s="297"/>
      <c r="AI616" s="297"/>
      <c r="AJ616" s="297"/>
      <c r="AK616" s="297"/>
      <c r="AL616" s="297"/>
      <c r="AM616" s="297"/>
      <c r="AO616" s="297"/>
      <c r="AP616" s="297"/>
      <c r="AQ616" s="297"/>
      <c r="AR616" s="297"/>
      <c r="AS616" s="297"/>
      <c r="AT616" s="297"/>
      <c r="AU616" s="297"/>
      <c r="AV616" s="297"/>
      <c r="AW616" s="297"/>
    </row>
    <row r="617" spans="1:49" x14ac:dyDescent="0.45">
      <c r="A617" s="295">
        <v>28126</v>
      </c>
      <c r="B617" s="12">
        <v>-4.7300000000000002E-2</v>
      </c>
      <c r="C617" s="5">
        <v>3.5000000000000005E-3</v>
      </c>
      <c r="D617" s="5">
        <v>5.8999999999999999E-3</v>
      </c>
      <c r="E617" s="5">
        <v>6.6333333333333331E-3</v>
      </c>
      <c r="F617" s="5">
        <v>6.8000000000000005E-3</v>
      </c>
      <c r="G617" s="5">
        <v>6.7166666666666659E-3</v>
      </c>
      <c r="H617" s="5">
        <v>7.1749999999999991E-3</v>
      </c>
      <c r="I617" s="5">
        <f t="shared" si="99"/>
        <v>-5.3200000000000004E-2</v>
      </c>
      <c r="J617" s="5">
        <f t="shared" si="103"/>
        <v>-5.4016666666666671E-2</v>
      </c>
      <c r="K617" s="5">
        <f t="shared" si="104"/>
        <v>-3.6749999999999986E-3</v>
      </c>
      <c r="L617" s="8">
        <f t="shared" si="101"/>
        <v>5.2498616003382459E-2</v>
      </c>
      <c r="M617" s="8">
        <f t="shared" si="102"/>
        <v>7.0800000000000002E-2</v>
      </c>
      <c r="N617" s="8">
        <f t="shared" si="105"/>
        <v>8.0599999999999991E-2</v>
      </c>
      <c r="O617" s="296">
        <f t="shared" si="100"/>
        <v>-1.8301383996617543E-2</v>
      </c>
      <c r="P617" s="8">
        <f t="shared" si="106"/>
        <v>-2.8101383996617532E-2</v>
      </c>
      <c r="Q617" s="8">
        <f t="shared" si="107"/>
        <v>0.21419079335454017</v>
      </c>
      <c r="R617" s="8">
        <f t="shared" si="108"/>
        <v>8.6099999999999982E-2</v>
      </c>
      <c r="S617" s="296">
        <f t="shared" si="109"/>
        <v>0.12809079335454018</v>
      </c>
      <c r="U617" s="297"/>
      <c r="V617" s="297"/>
      <c r="W617" s="297"/>
      <c r="X617" s="297"/>
      <c r="Y617" s="297"/>
      <c r="Z617" s="297"/>
      <c r="AA617" s="297"/>
      <c r="AB617" s="297"/>
      <c r="AC617" s="297"/>
      <c r="AE617" s="297"/>
      <c r="AF617" s="297"/>
      <c r="AG617" s="297"/>
      <c r="AH617" s="297"/>
      <c r="AI617" s="297"/>
      <c r="AJ617" s="297"/>
      <c r="AK617" s="297"/>
      <c r="AL617" s="297"/>
      <c r="AM617" s="297"/>
      <c r="AO617" s="297"/>
      <c r="AP617" s="297"/>
      <c r="AQ617" s="297"/>
      <c r="AR617" s="297"/>
      <c r="AS617" s="297"/>
      <c r="AT617" s="297"/>
      <c r="AU617" s="297"/>
      <c r="AV617" s="297"/>
      <c r="AW617" s="297"/>
    </row>
    <row r="618" spans="1:49" x14ac:dyDescent="0.45">
      <c r="A618" s="295">
        <v>28157</v>
      </c>
      <c r="B618" s="12">
        <v>-1.8200000000000001E-2</v>
      </c>
      <c r="C618" s="5">
        <v>-3.7200000000000004E-2</v>
      </c>
      <c r="D618" s="5">
        <v>5.7000000000000002E-3</v>
      </c>
      <c r="E618" s="5">
        <v>6.6999999999999994E-3</v>
      </c>
      <c r="F618" s="5">
        <v>6.8833333333333333E-3</v>
      </c>
      <c r="G618" s="5">
        <v>6.7916666666666672E-3</v>
      </c>
      <c r="H618" s="5">
        <v>7.2083333333333331E-3</v>
      </c>
      <c r="I618" s="5">
        <f t="shared" si="99"/>
        <v>-2.3900000000000001E-2</v>
      </c>
      <c r="J618" s="5">
        <f t="shared" si="103"/>
        <v>-2.4991666666666669E-2</v>
      </c>
      <c r="K618" s="5">
        <f t="shared" si="104"/>
        <v>-4.4408333333333334E-2</v>
      </c>
      <c r="L618" s="8">
        <f t="shared" si="101"/>
        <v>4.2096753925091157E-2</v>
      </c>
      <c r="M618" s="8">
        <f t="shared" si="102"/>
        <v>6.8400000000000002E-2</v>
      </c>
      <c r="N618" s="8">
        <f t="shared" si="105"/>
        <v>8.1500000000000003E-2</v>
      </c>
      <c r="O618" s="296">
        <f t="shared" si="100"/>
        <v>-2.6303246074908845E-2</v>
      </c>
      <c r="P618" s="8">
        <f t="shared" si="106"/>
        <v>-3.9403246074908846E-2</v>
      </c>
      <c r="Q618" s="8">
        <f t="shared" si="107"/>
        <v>0.21217637478406393</v>
      </c>
      <c r="R618" s="8">
        <f t="shared" si="108"/>
        <v>8.6499999999999994E-2</v>
      </c>
      <c r="S618" s="296">
        <f t="shared" si="109"/>
        <v>0.12567637478406393</v>
      </c>
      <c r="U618" s="297"/>
      <c r="V618" s="297"/>
      <c r="W618" s="297"/>
      <c r="X618" s="297"/>
      <c r="Y618" s="297"/>
      <c r="Z618" s="297"/>
      <c r="AA618" s="297"/>
      <c r="AB618" s="297"/>
      <c r="AC618" s="297"/>
      <c r="AE618" s="297"/>
      <c r="AF618" s="297"/>
      <c r="AG618" s="297"/>
      <c r="AH618" s="297"/>
      <c r="AI618" s="297"/>
      <c r="AJ618" s="297"/>
      <c r="AK618" s="297"/>
      <c r="AL618" s="297"/>
      <c r="AM618" s="297"/>
      <c r="AO618" s="297"/>
      <c r="AP618" s="297"/>
      <c r="AQ618" s="297"/>
      <c r="AR618" s="297"/>
      <c r="AS618" s="297"/>
      <c r="AT618" s="297"/>
      <c r="AU618" s="297"/>
      <c r="AV618" s="297"/>
      <c r="AW618" s="297"/>
    </row>
    <row r="619" spans="1:49" x14ac:dyDescent="0.45">
      <c r="A619" s="295">
        <v>28185</v>
      </c>
      <c r="B619" s="12">
        <v>-1.0500000000000001E-2</v>
      </c>
      <c r="C619" s="5">
        <v>1.0200000000000001E-2</v>
      </c>
      <c r="D619" s="5">
        <v>6.5000000000000006E-3</v>
      </c>
      <c r="E619" s="5">
        <v>6.7499999999999991E-3</v>
      </c>
      <c r="F619" s="5">
        <v>6.8999999999999999E-3</v>
      </c>
      <c r="G619" s="5">
        <v>6.8249999999999986E-3</v>
      </c>
      <c r="H619" s="5">
        <v>7.2499999999999995E-3</v>
      </c>
      <c r="I619" s="5">
        <f t="shared" si="99"/>
        <v>-1.7000000000000001E-2</v>
      </c>
      <c r="J619" s="5">
        <f t="shared" si="103"/>
        <v>-1.7325E-2</v>
      </c>
      <c r="K619" s="5">
        <f t="shared" si="104"/>
        <v>2.9500000000000012E-3</v>
      </c>
      <c r="L619" s="8">
        <f t="shared" si="101"/>
        <v>-2.4622830522609274E-3</v>
      </c>
      <c r="M619" s="8">
        <f t="shared" si="102"/>
        <v>7.8000000000000014E-2</v>
      </c>
      <c r="N619" s="8">
        <f t="shared" si="105"/>
        <v>8.1899999999999987E-2</v>
      </c>
      <c r="O619" s="296">
        <f t="shared" si="100"/>
        <v>-8.0462283052260941E-2</v>
      </c>
      <c r="P619" s="8">
        <f t="shared" si="106"/>
        <v>-8.4362283052260914E-2</v>
      </c>
      <c r="Q619" s="8">
        <f t="shared" si="107"/>
        <v>0.21241640970976294</v>
      </c>
      <c r="R619" s="8">
        <f t="shared" si="108"/>
        <v>8.6999999999999994E-2</v>
      </c>
      <c r="S619" s="296">
        <f t="shared" si="109"/>
        <v>0.12541640970976295</v>
      </c>
      <c r="U619" s="297"/>
      <c r="V619" s="297"/>
      <c r="W619" s="297"/>
      <c r="X619" s="297"/>
      <c r="Y619" s="297"/>
      <c r="Z619" s="297"/>
      <c r="AA619" s="297"/>
      <c r="AB619" s="297"/>
      <c r="AC619" s="297"/>
      <c r="AE619" s="297"/>
      <c r="AF619" s="297"/>
      <c r="AG619" s="297"/>
      <c r="AH619" s="297"/>
      <c r="AI619" s="297"/>
      <c r="AJ619" s="297"/>
      <c r="AK619" s="297"/>
      <c r="AL619" s="297"/>
      <c r="AM619" s="297"/>
      <c r="AO619" s="297"/>
      <c r="AP619" s="297"/>
      <c r="AQ619" s="297"/>
      <c r="AR619" s="297"/>
      <c r="AS619" s="297"/>
      <c r="AT619" s="297"/>
      <c r="AU619" s="297"/>
      <c r="AV619" s="297"/>
      <c r="AW619" s="297"/>
    </row>
    <row r="620" spans="1:49" x14ac:dyDescent="0.45">
      <c r="A620" s="295">
        <v>28216</v>
      </c>
      <c r="B620" s="12">
        <v>4.1999999999999997E-3</v>
      </c>
      <c r="C620" s="5">
        <v>2.0900000000000002E-2</v>
      </c>
      <c r="D620" s="5">
        <v>6.0999999999999995E-3</v>
      </c>
      <c r="E620" s="5">
        <v>6.6999999999999994E-3</v>
      </c>
      <c r="F620" s="5">
        <v>6.8999999999999999E-3</v>
      </c>
      <c r="G620" s="5">
        <v>6.7999999999999996E-3</v>
      </c>
      <c r="H620" s="5">
        <v>7.2583333333333345E-3</v>
      </c>
      <c r="I620" s="5">
        <f t="shared" si="99"/>
        <v>-1.8999999999999998E-3</v>
      </c>
      <c r="J620" s="5">
        <f t="shared" si="103"/>
        <v>-2.5999999999999999E-3</v>
      </c>
      <c r="K620" s="5">
        <f t="shared" si="104"/>
        <v>1.3641666666666667E-2</v>
      </c>
      <c r="L620" s="8">
        <f t="shared" si="101"/>
        <v>9.6022730890141794E-3</v>
      </c>
      <c r="M620" s="8">
        <f t="shared" si="102"/>
        <v>7.3199999999999987E-2</v>
      </c>
      <c r="N620" s="8">
        <f t="shared" si="105"/>
        <v>8.1599999999999992E-2</v>
      </c>
      <c r="O620" s="296">
        <f t="shared" si="100"/>
        <v>-6.3597726910985808E-2</v>
      </c>
      <c r="P620" s="8">
        <f t="shared" si="106"/>
        <v>-7.1997726910985813E-2</v>
      </c>
      <c r="Q620" s="8">
        <f t="shared" si="107"/>
        <v>0.23319309820932266</v>
      </c>
      <c r="R620" s="8">
        <f t="shared" si="108"/>
        <v>8.7100000000000011E-2</v>
      </c>
      <c r="S620" s="296">
        <f t="shared" si="109"/>
        <v>0.14609309820932265</v>
      </c>
      <c r="U620" s="297"/>
      <c r="V620" s="297"/>
      <c r="W620" s="297"/>
      <c r="X620" s="297"/>
      <c r="Y620" s="297"/>
      <c r="Z620" s="297"/>
      <c r="AA620" s="297"/>
      <c r="AB620" s="297"/>
      <c r="AC620" s="297"/>
      <c r="AE620" s="297"/>
      <c r="AF620" s="297"/>
      <c r="AG620" s="297"/>
      <c r="AH620" s="297"/>
      <c r="AI620" s="297"/>
      <c r="AJ620" s="297"/>
      <c r="AK620" s="297"/>
      <c r="AL620" s="297"/>
      <c r="AM620" s="297"/>
      <c r="AO620" s="297"/>
      <c r="AP620" s="297"/>
      <c r="AQ620" s="297"/>
      <c r="AR620" s="297"/>
      <c r="AS620" s="297"/>
      <c r="AT620" s="297"/>
      <c r="AU620" s="297"/>
      <c r="AV620" s="297"/>
      <c r="AW620" s="297"/>
    </row>
    <row r="621" spans="1:49" x14ac:dyDescent="0.45">
      <c r="A621" s="295">
        <v>28246</v>
      </c>
      <c r="B621" s="12">
        <v>-1.9599999999999999E-2</v>
      </c>
      <c r="C621" s="5">
        <v>2.1099999999999997E-2</v>
      </c>
      <c r="D621" s="5">
        <v>6.7000000000000002E-3</v>
      </c>
      <c r="E621" s="5">
        <v>6.7083333333333335E-3</v>
      </c>
      <c r="F621" s="5">
        <v>6.8999999999999999E-3</v>
      </c>
      <c r="G621" s="5">
        <v>6.8041666666666667E-3</v>
      </c>
      <c r="H621" s="5">
        <v>7.2583333333333345E-3</v>
      </c>
      <c r="I621" s="5">
        <f t="shared" si="99"/>
        <v>-2.63E-2</v>
      </c>
      <c r="J621" s="5">
        <f t="shared" si="103"/>
        <v>-2.6404166666666666E-2</v>
      </c>
      <c r="K621" s="5">
        <f t="shared" si="104"/>
        <v>1.3841666666666662E-2</v>
      </c>
      <c r="L621" s="8">
        <f t="shared" si="101"/>
        <v>9.2432858374880134E-4</v>
      </c>
      <c r="M621" s="8">
        <f t="shared" si="102"/>
        <v>8.0399999999999999E-2</v>
      </c>
      <c r="N621" s="8">
        <f t="shared" si="105"/>
        <v>8.165E-2</v>
      </c>
      <c r="O621" s="296">
        <f t="shared" si="100"/>
        <v>-7.9475671416251198E-2</v>
      </c>
      <c r="P621" s="8">
        <f t="shared" si="106"/>
        <v>-8.0725671416251199E-2</v>
      </c>
      <c r="Q621" s="8">
        <f t="shared" si="107"/>
        <v>0.27696326192225884</v>
      </c>
      <c r="R621" s="8">
        <f t="shared" si="108"/>
        <v>8.7100000000000011E-2</v>
      </c>
      <c r="S621" s="296">
        <f t="shared" si="109"/>
        <v>0.18986326192225883</v>
      </c>
      <c r="U621" s="297"/>
      <c r="V621" s="297"/>
      <c r="W621" s="297"/>
      <c r="X621" s="297"/>
      <c r="Y621" s="297"/>
      <c r="Z621" s="297"/>
      <c r="AA621" s="297"/>
      <c r="AB621" s="297"/>
      <c r="AC621" s="297"/>
      <c r="AE621" s="297"/>
      <c r="AF621" s="297"/>
      <c r="AG621" s="297"/>
      <c r="AH621" s="297"/>
      <c r="AI621" s="297"/>
      <c r="AJ621" s="297"/>
      <c r="AK621" s="297"/>
      <c r="AL621" s="297"/>
      <c r="AM621" s="297"/>
      <c r="AO621" s="297"/>
      <c r="AP621" s="297"/>
      <c r="AQ621" s="297"/>
      <c r="AR621" s="297"/>
      <c r="AS621" s="297"/>
      <c r="AT621" s="297"/>
      <c r="AU621" s="297"/>
      <c r="AV621" s="297"/>
      <c r="AW621" s="297"/>
    </row>
    <row r="622" spans="1:49" x14ac:dyDescent="0.45">
      <c r="A622" s="295">
        <v>28277</v>
      </c>
      <c r="B622" s="12">
        <v>4.9399999999999999E-2</v>
      </c>
      <c r="C622" s="5">
        <v>5.3099999999999994E-2</v>
      </c>
      <c r="D622" s="5">
        <v>6.1999999999999998E-3</v>
      </c>
      <c r="E622" s="5">
        <v>6.6249999999999998E-3</v>
      </c>
      <c r="F622" s="5">
        <v>6.8250000000000003E-3</v>
      </c>
      <c r="G622" s="5">
        <v>6.7250000000000001E-3</v>
      </c>
      <c r="H622" s="5">
        <v>7.1500000000000001E-3</v>
      </c>
      <c r="I622" s="5">
        <f t="shared" si="99"/>
        <v>4.3200000000000002E-2</v>
      </c>
      <c r="J622" s="5">
        <f t="shared" si="103"/>
        <v>4.2674999999999998E-2</v>
      </c>
      <c r="K622" s="5">
        <f t="shared" si="104"/>
        <v>4.5949999999999991E-2</v>
      </c>
      <c r="L622" s="8">
        <f t="shared" si="101"/>
        <v>5.8124968072261751E-3</v>
      </c>
      <c r="M622" s="8">
        <f t="shared" si="102"/>
        <v>7.4399999999999994E-2</v>
      </c>
      <c r="N622" s="8">
        <f t="shared" si="105"/>
        <v>8.0699999999999994E-2</v>
      </c>
      <c r="O622" s="296">
        <f t="shared" si="100"/>
        <v>-6.8587503192773819E-2</v>
      </c>
      <c r="P622" s="8">
        <f t="shared" si="106"/>
        <v>-7.4887503192773819E-2</v>
      </c>
      <c r="Q622" s="8">
        <f t="shared" si="107"/>
        <v>0.30092871348585692</v>
      </c>
      <c r="R622" s="8">
        <f t="shared" si="108"/>
        <v>8.5800000000000001E-2</v>
      </c>
      <c r="S622" s="296">
        <f t="shared" si="109"/>
        <v>0.21512871348585694</v>
      </c>
      <c r="U622" s="297"/>
      <c r="V622" s="297"/>
      <c r="W622" s="297"/>
      <c r="X622" s="297"/>
      <c r="Y622" s="297"/>
      <c r="Z622" s="297"/>
      <c r="AA622" s="297"/>
      <c r="AB622" s="297"/>
      <c r="AC622" s="297"/>
      <c r="AE622" s="297"/>
      <c r="AF622" s="297"/>
      <c r="AG622" s="297"/>
      <c r="AH622" s="297"/>
      <c r="AI622" s="297"/>
      <c r="AJ622" s="297"/>
      <c r="AK622" s="297"/>
      <c r="AL622" s="297"/>
      <c r="AM622" s="297"/>
      <c r="AO622" s="297"/>
      <c r="AP622" s="297"/>
      <c r="AQ622" s="297"/>
      <c r="AR622" s="297"/>
      <c r="AS622" s="297"/>
      <c r="AT622" s="297"/>
      <c r="AU622" s="297"/>
      <c r="AV622" s="297"/>
      <c r="AW622" s="297"/>
    </row>
    <row r="623" spans="1:49" x14ac:dyDescent="0.45">
      <c r="A623" s="295">
        <v>28307</v>
      </c>
      <c r="B623" s="12">
        <v>-1.24E-2</v>
      </c>
      <c r="C623" s="5">
        <v>1.6399999999999998E-2</v>
      </c>
      <c r="D623" s="5">
        <v>5.8999999999999999E-3</v>
      </c>
      <c r="E623" s="5">
        <v>6.6166666666666674E-3</v>
      </c>
      <c r="F623" s="5">
        <v>6.7666666666666665E-3</v>
      </c>
      <c r="G623" s="5">
        <v>6.6916666666666669E-3</v>
      </c>
      <c r="H623" s="5">
        <v>7.0916666666666663E-3</v>
      </c>
      <c r="I623" s="5">
        <f t="shared" si="99"/>
        <v>-1.83E-2</v>
      </c>
      <c r="J623" s="5">
        <f t="shared" si="103"/>
        <v>-1.9091666666666667E-2</v>
      </c>
      <c r="K623" s="5">
        <f t="shared" si="104"/>
        <v>9.3083333333333317E-3</v>
      </c>
      <c r="L623" s="8">
        <f t="shared" si="101"/>
        <v>-1.8685471796455744E-3</v>
      </c>
      <c r="M623" s="8">
        <f t="shared" si="102"/>
        <v>7.0800000000000002E-2</v>
      </c>
      <c r="N623" s="8">
        <f t="shared" si="105"/>
        <v>8.030000000000001E-2</v>
      </c>
      <c r="O623" s="296">
        <f t="shared" si="100"/>
        <v>-7.2668547179645576E-2</v>
      </c>
      <c r="P623" s="8">
        <f t="shared" si="106"/>
        <v>-8.2168547179645585E-2</v>
      </c>
      <c r="Q623" s="8">
        <f t="shared" si="107"/>
        <v>0.2786615843603375</v>
      </c>
      <c r="R623" s="8">
        <f t="shared" si="108"/>
        <v>8.5099999999999995E-2</v>
      </c>
      <c r="S623" s="296">
        <f t="shared" si="109"/>
        <v>0.19356158436033749</v>
      </c>
      <c r="U623" s="297"/>
      <c r="V623" s="297"/>
      <c r="W623" s="297"/>
      <c r="X623" s="297"/>
      <c r="Y623" s="297"/>
      <c r="Z623" s="297"/>
      <c r="AA623" s="297"/>
      <c r="AB623" s="297"/>
      <c r="AC623" s="297"/>
      <c r="AE623" s="297"/>
      <c r="AF623" s="297"/>
      <c r="AG623" s="297"/>
      <c r="AH623" s="297"/>
      <c r="AI623" s="297"/>
      <c r="AJ623" s="297"/>
      <c r="AK623" s="297"/>
      <c r="AL623" s="297"/>
      <c r="AM623" s="297"/>
      <c r="AO623" s="297"/>
      <c r="AP623" s="297"/>
      <c r="AQ623" s="297"/>
      <c r="AR623" s="297"/>
      <c r="AS623" s="297"/>
      <c r="AT623" s="297"/>
      <c r="AU623" s="297"/>
      <c r="AV623" s="297"/>
      <c r="AW623" s="297"/>
    </row>
    <row r="624" spans="1:49" x14ac:dyDescent="0.45">
      <c r="A624" s="295">
        <v>28338</v>
      </c>
      <c r="B624" s="12">
        <v>-1.72E-2</v>
      </c>
      <c r="C624" s="5">
        <v>-3.5300000000000005E-2</v>
      </c>
      <c r="D624" s="5">
        <v>6.7000000000000002E-3</v>
      </c>
      <c r="E624" s="5">
        <v>6.6500000000000005E-3</v>
      </c>
      <c r="F624" s="5">
        <v>6.8083333333333329E-3</v>
      </c>
      <c r="G624" s="5">
        <v>6.7291666666666663E-3</v>
      </c>
      <c r="H624" s="5">
        <v>7.0750000000000006E-3</v>
      </c>
      <c r="I624" s="5">
        <f t="shared" si="99"/>
        <v>-2.3900000000000001E-2</v>
      </c>
      <c r="J624" s="5">
        <f t="shared" si="103"/>
        <v>-2.3929166666666668E-2</v>
      </c>
      <c r="K624" s="5">
        <f t="shared" si="104"/>
        <v>-4.2375000000000003E-2</v>
      </c>
      <c r="L624" s="8">
        <f t="shared" si="101"/>
        <v>-1.7267489649525181E-2</v>
      </c>
      <c r="M624" s="8">
        <f t="shared" si="102"/>
        <v>8.0399999999999999E-2</v>
      </c>
      <c r="N624" s="8">
        <f t="shared" si="105"/>
        <v>8.0749999999999988E-2</v>
      </c>
      <c r="O624" s="296">
        <f t="shared" si="100"/>
        <v>-9.766748964952518E-2</v>
      </c>
      <c r="P624" s="8">
        <f t="shared" si="106"/>
        <v>-9.8017489649525169E-2</v>
      </c>
      <c r="Q624" s="8">
        <f t="shared" si="107"/>
        <v>0.18802352926169474</v>
      </c>
      <c r="R624" s="8">
        <f t="shared" si="108"/>
        <v>8.4900000000000003E-2</v>
      </c>
      <c r="S624" s="296">
        <f t="shared" si="109"/>
        <v>0.10312352926169474</v>
      </c>
      <c r="U624" s="297"/>
      <c r="V624" s="297"/>
      <c r="W624" s="297"/>
      <c r="X624" s="297"/>
      <c r="Y624" s="297"/>
      <c r="Z624" s="297"/>
      <c r="AA624" s="297"/>
      <c r="AB624" s="297"/>
      <c r="AC624" s="297"/>
      <c r="AE624" s="297"/>
      <c r="AF624" s="297"/>
      <c r="AG624" s="297"/>
      <c r="AH624" s="297"/>
      <c r="AI624" s="297"/>
      <c r="AJ624" s="297"/>
      <c r="AK624" s="297"/>
      <c r="AL624" s="297"/>
      <c r="AM624" s="297"/>
      <c r="AO624" s="297"/>
      <c r="AP624" s="297"/>
      <c r="AQ624" s="297"/>
      <c r="AR624" s="297"/>
      <c r="AS624" s="297"/>
      <c r="AT624" s="297"/>
      <c r="AU624" s="297"/>
      <c r="AV624" s="297"/>
      <c r="AW624" s="297"/>
    </row>
    <row r="625" spans="1:49" x14ac:dyDescent="0.45">
      <c r="A625" s="295">
        <v>28369</v>
      </c>
      <c r="B625" s="12">
        <v>1.6000000000000001E-3</v>
      </c>
      <c r="C625" s="5">
        <v>2.4699999999999996E-2</v>
      </c>
      <c r="D625" s="5">
        <v>6.0999999999999995E-3</v>
      </c>
      <c r="E625" s="5">
        <v>6.6E-3</v>
      </c>
      <c r="F625" s="5">
        <v>6.7916666666666672E-3</v>
      </c>
      <c r="G625" s="5">
        <v>6.695833333333334E-3</v>
      </c>
      <c r="H625" s="5">
        <v>7.0500000000000007E-3</v>
      </c>
      <c r="I625" s="5">
        <f t="shared" si="99"/>
        <v>-4.4999999999999997E-3</v>
      </c>
      <c r="J625" s="5">
        <f t="shared" si="103"/>
        <v>-5.0958333333333342E-3</v>
      </c>
      <c r="K625" s="5">
        <f t="shared" si="104"/>
        <v>1.7649999999999996E-2</v>
      </c>
      <c r="L625" s="8">
        <f t="shared" si="101"/>
        <v>-4.0451469714334554E-2</v>
      </c>
      <c r="M625" s="8">
        <f t="shared" si="102"/>
        <v>7.3199999999999987E-2</v>
      </c>
      <c r="N625" s="8">
        <f t="shared" si="105"/>
        <v>8.0350000000000005E-2</v>
      </c>
      <c r="O625" s="296">
        <f t="shared" si="100"/>
        <v>-0.11365146971433454</v>
      </c>
      <c r="P625" s="8">
        <f t="shared" si="106"/>
        <v>-0.12080146971433456</v>
      </c>
      <c r="Q625" s="8">
        <f t="shared" si="107"/>
        <v>0.17268828671077774</v>
      </c>
      <c r="R625" s="8">
        <f t="shared" si="108"/>
        <v>8.4600000000000009E-2</v>
      </c>
      <c r="S625" s="296">
        <f t="shared" si="109"/>
        <v>8.808828671077773E-2</v>
      </c>
      <c r="U625" s="297"/>
      <c r="V625" s="297"/>
      <c r="W625" s="297"/>
      <c r="X625" s="297"/>
      <c r="Y625" s="297"/>
      <c r="Z625" s="297"/>
      <c r="AA625" s="297"/>
      <c r="AB625" s="297"/>
      <c r="AC625" s="297"/>
      <c r="AE625" s="297"/>
      <c r="AF625" s="297"/>
      <c r="AG625" s="297"/>
      <c r="AH625" s="297"/>
      <c r="AI625" s="297"/>
      <c r="AJ625" s="297"/>
      <c r="AK625" s="297"/>
      <c r="AL625" s="297"/>
      <c r="AM625" s="297"/>
      <c r="AO625" s="297"/>
      <c r="AP625" s="297"/>
      <c r="AQ625" s="297"/>
      <c r="AR625" s="297"/>
      <c r="AS625" s="297"/>
      <c r="AT625" s="297"/>
      <c r="AU625" s="297"/>
      <c r="AV625" s="297"/>
      <c r="AW625" s="297"/>
    </row>
    <row r="626" spans="1:49" x14ac:dyDescent="0.45">
      <c r="A626" s="295">
        <v>28399</v>
      </c>
      <c r="B626" s="12">
        <v>-3.9E-2</v>
      </c>
      <c r="C626" s="5">
        <v>-2.9600000000000001E-2</v>
      </c>
      <c r="D626" s="5">
        <v>6.3E-3</v>
      </c>
      <c r="E626" s="5">
        <v>6.6999999999999994E-3</v>
      </c>
      <c r="F626" s="5">
        <v>6.8833333333333333E-3</v>
      </c>
      <c r="G626" s="5">
        <v>6.7916666666666672E-3</v>
      </c>
      <c r="H626" s="5">
        <v>7.1749999999999991E-3</v>
      </c>
      <c r="I626" s="5">
        <f t="shared" si="99"/>
        <v>-4.53E-2</v>
      </c>
      <c r="J626" s="5">
        <f t="shared" si="103"/>
        <v>-4.5791666666666668E-2</v>
      </c>
      <c r="K626" s="5">
        <f t="shared" si="104"/>
        <v>-3.6775000000000002E-2</v>
      </c>
      <c r="L626" s="8">
        <f t="shared" si="101"/>
        <v>-6.0397251269080132E-2</v>
      </c>
      <c r="M626" s="8">
        <f t="shared" si="102"/>
        <v>7.5600000000000001E-2</v>
      </c>
      <c r="N626" s="8">
        <f t="shared" si="105"/>
        <v>8.1500000000000003E-2</v>
      </c>
      <c r="O626" s="296">
        <f t="shared" si="100"/>
        <v>-0.13599725126908013</v>
      </c>
      <c r="P626" s="8">
        <f t="shared" si="106"/>
        <v>-0.14189725126908015</v>
      </c>
      <c r="Q626" s="8">
        <f t="shared" si="107"/>
        <v>0.14037149356061662</v>
      </c>
      <c r="R626" s="8">
        <f t="shared" si="108"/>
        <v>8.6099999999999982E-2</v>
      </c>
      <c r="S626" s="296">
        <f t="shared" si="109"/>
        <v>5.427149356061664E-2</v>
      </c>
      <c r="U626" s="297"/>
      <c r="V626" s="297"/>
      <c r="W626" s="297"/>
      <c r="X626" s="297"/>
      <c r="Y626" s="297"/>
      <c r="Z626" s="297"/>
      <c r="AA626" s="297"/>
      <c r="AB626" s="297"/>
      <c r="AC626" s="297"/>
      <c r="AE626" s="297"/>
      <c r="AF626" s="297"/>
      <c r="AG626" s="297"/>
      <c r="AH626" s="297"/>
      <c r="AI626" s="297"/>
      <c r="AJ626" s="297"/>
      <c r="AK626" s="297"/>
      <c r="AL626" s="297"/>
      <c r="AM626" s="297"/>
      <c r="AO626" s="297"/>
      <c r="AP626" s="297"/>
      <c r="AQ626" s="297"/>
      <c r="AR626" s="297"/>
      <c r="AS626" s="297"/>
      <c r="AT626" s="297"/>
      <c r="AU626" s="297"/>
      <c r="AV626" s="297"/>
      <c r="AW626" s="297"/>
    </row>
    <row r="627" spans="1:49" x14ac:dyDescent="0.45">
      <c r="A627" s="295">
        <v>28430</v>
      </c>
      <c r="B627" s="12">
        <v>3.1600000000000003E-2</v>
      </c>
      <c r="C627" s="5">
        <v>3.8100000000000002E-2</v>
      </c>
      <c r="D627" s="5">
        <v>6.3E-3</v>
      </c>
      <c r="E627" s="5">
        <v>6.7333333333333334E-3</v>
      </c>
      <c r="F627" s="5">
        <v>6.9499999999999996E-3</v>
      </c>
      <c r="G627" s="5">
        <v>6.841666666666666E-3</v>
      </c>
      <c r="H627" s="5">
        <v>7.2000000000000007E-3</v>
      </c>
      <c r="I627" s="5">
        <f t="shared" si="99"/>
        <v>2.5300000000000003E-2</v>
      </c>
      <c r="J627" s="5">
        <f t="shared" si="103"/>
        <v>2.4758333333333337E-2</v>
      </c>
      <c r="K627" s="5">
        <f t="shared" si="104"/>
        <v>3.09E-2</v>
      </c>
      <c r="L627" s="8">
        <f t="shared" si="101"/>
        <v>-2.6715337292080865E-2</v>
      </c>
      <c r="M627" s="8">
        <f t="shared" si="102"/>
        <v>7.5600000000000001E-2</v>
      </c>
      <c r="N627" s="8">
        <f t="shared" si="105"/>
        <v>8.2099999999999992E-2</v>
      </c>
      <c r="O627" s="296">
        <f t="shared" si="100"/>
        <v>-0.10231533729208087</v>
      </c>
      <c r="P627" s="8">
        <f t="shared" si="106"/>
        <v>-0.10881533729208086</v>
      </c>
      <c r="Q627" s="8">
        <f t="shared" si="107"/>
        <v>0.15292135514732741</v>
      </c>
      <c r="R627" s="8">
        <f t="shared" si="108"/>
        <v>8.6400000000000005E-2</v>
      </c>
      <c r="S627" s="296">
        <f t="shared" si="109"/>
        <v>6.6521355147327405E-2</v>
      </c>
      <c r="U627" s="297"/>
      <c r="V627" s="297"/>
      <c r="W627" s="297"/>
      <c r="X627" s="297"/>
      <c r="Y627" s="297"/>
      <c r="Z627" s="297"/>
      <c r="AA627" s="297"/>
      <c r="AB627" s="297"/>
      <c r="AC627" s="297"/>
      <c r="AE627" s="297"/>
      <c r="AF627" s="297"/>
      <c r="AG627" s="297"/>
      <c r="AH627" s="297"/>
      <c r="AI627" s="297"/>
      <c r="AJ627" s="297"/>
      <c r="AK627" s="297"/>
      <c r="AL627" s="297"/>
      <c r="AM627" s="297"/>
      <c r="AO627" s="297"/>
      <c r="AP627" s="297"/>
      <c r="AQ627" s="297"/>
      <c r="AR627" s="297"/>
      <c r="AS627" s="297"/>
      <c r="AT627" s="297"/>
      <c r="AU627" s="297"/>
      <c r="AV627" s="297"/>
      <c r="AW627" s="297"/>
    </row>
    <row r="628" spans="1:49" x14ac:dyDescent="0.45">
      <c r="A628" s="295">
        <v>28460</v>
      </c>
      <c r="B628" s="12">
        <v>7.4999999999999997E-3</v>
      </c>
      <c r="C628" s="5">
        <v>1.8999999999999998E-3</v>
      </c>
      <c r="D628" s="5">
        <v>6.1999999999999998E-3</v>
      </c>
      <c r="E628" s="5">
        <v>6.8250000000000003E-3</v>
      </c>
      <c r="F628" s="5">
        <v>7.0041666666666655E-3</v>
      </c>
      <c r="G628" s="5">
        <v>6.9145833333333325E-3</v>
      </c>
      <c r="H628" s="5">
        <v>7.2000000000000007E-3</v>
      </c>
      <c r="I628" s="5">
        <f t="shared" si="99"/>
        <v>1.2999999999999999E-3</v>
      </c>
      <c r="J628" s="5">
        <f t="shared" si="103"/>
        <v>5.8541666666666724E-4</v>
      </c>
      <c r="K628" s="5">
        <f t="shared" si="104"/>
        <v>-5.3000000000000009E-3</v>
      </c>
      <c r="L628" s="8">
        <f t="shared" si="101"/>
        <v>-7.1504310502576884E-2</v>
      </c>
      <c r="M628" s="8">
        <f t="shared" si="102"/>
        <v>7.4399999999999994E-2</v>
      </c>
      <c r="N628" s="8">
        <f t="shared" si="105"/>
        <v>8.2974999999999993E-2</v>
      </c>
      <c r="O628" s="296">
        <f t="shared" si="100"/>
        <v>-0.14590431050257688</v>
      </c>
      <c r="P628" s="8">
        <f t="shared" si="106"/>
        <v>-0.15447931050257688</v>
      </c>
      <c r="Q628" s="8">
        <f t="shared" si="107"/>
        <v>8.6550565066416452E-2</v>
      </c>
      <c r="R628" s="8">
        <f t="shared" si="108"/>
        <v>8.6400000000000005E-2</v>
      </c>
      <c r="S628" s="296">
        <f t="shared" si="109"/>
        <v>1.5056506641644707E-4</v>
      </c>
      <c r="U628" s="297"/>
      <c r="V628" s="297"/>
      <c r="W628" s="297"/>
      <c r="X628" s="297"/>
      <c r="Y628" s="297"/>
      <c r="Z628" s="297"/>
      <c r="AA628" s="297"/>
      <c r="AB628" s="297"/>
      <c r="AC628" s="297"/>
      <c r="AE628" s="297"/>
      <c r="AF628" s="297"/>
      <c r="AG628" s="297"/>
      <c r="AH628" s="297"/>
      <c r="AI628" s="297"/>
      <c r="AJ628" s="297"/>
      <c r="AK628" s="297"/>
      <c r="AL628" s="297"/>
      <c r="AM628" s="297"/>
      <c r="AO628" s="297"/>
      <c r="AP628" s="297"/>
      <c r="AQ628" s="297"/>
      <c r="AR628" s="297"/>
      <c r="AS628" s="297"/>
      <c r="AT628" s="297"/>
      <c r="AU628" s="297"/>
      <c r="AV628" s="297"/>
      <c r="AW628" s="297"/>
    </row>
    <row r="629" spans="1:49" x14ac:dyDescent="0.45">
      <c r="A629" s="295">
        <v>28491</v>
      </c>
      <c r="B629" s="12">
        <v>-5.74E-2</v>
      </c>
      <c r="C629" s="5">
        <v>-5.33E-2</v>
      </c>
      <c r="D629" s="5">
        <v>6.8999999999999999E-3</v>
      </c>
      <c r="E629" s="5">
        <v>7.0083333333333334E-3</v>
      </c>
      <c r="F629" s="5">
        <v>7.1583333333333334E-3</v>
      </c>
      <c r="G629" s="5">
        <v>7.083333333333333E-3</v>
      </c>
      <c r="H629" s="5">
        <v>7.4333333333333326E-3</v>
      </c>
      <c r="I629" s="5">
        <f t="shared" si="99"/>
        <v>-6.4299999999999996E-2</v>
      </c>
      <c r="J629" s="5">
        <f t="shared" si="103"/>
        <v>-6.4483333333333337E-2</v>
      </c>
      <c r="K629" s="5">
        <f t="shared" si="104"/>
        <v>-6.0733333333333334E-2</v>
      </c>
      <c r="L629" s="8">
        <f t="shared" si="101"/>
        <v>-8.1347709750949071E-2</v>
      </c>
      <c r="M629" s="8">
        <f t="shared" si="102"/>
        <v>8.2799999999999999E-2</v>
      </c>
      <c r="N629" s="8">
        <f t="shared" si="105"/>
        <v>8.4999999999999992E-2</v>
      </c>
      <c r="O629" s="296">
        <f t="shared" si="100"/>
        <v>-0.16414770975094906</v>
      </c>
      <c r="P629" s="8">
        <f t="shared" si="106"/>
        <v>-0.16634770975094906</v>
      </c>
      <c r="Q629" s="8">
        <f t="shared" si="107"/>
        <v>2.5049745837943949E-2</v>
      </c>
      <c r="R629" s="8">
        <f t="shared" si="108"/>
        <v>8.9199999999999988E-2</v>
      </c>
      <c r="S629" s="296">
        <f t="shared" si="109"/>
        <v>-6.4150254162056039E-2</v>
      </c>
      <c r="U629" s="297"/>
      <c r="V629" s="297"/>
      <c r="W629" s="297"/>
      <c r="X629" s="297"/>
      <c r="Y629" s="297"/>
      <c r="Z629" s="297"/>
      <c r="AA629" s="297"/>
      <c r="AB629" s="297"/>
      <c r="AC629" s="297"/>
      <c r="AE629" s="297"/>
      <c r="AF629" s="297"/>
      <c r="AG629" s="297"/>
      <c r="AH629" s="297"/>
      <c r="AI629" s="297"/>
      <c r="AJ629" s="297"/>
      <c r="AK629" s="297"/>
      <c r="AL629" s="297"/>
      <c r="AM629" s="297"/>
      <c r="AO629" s="297"/>
      <c r="AP629" s="297"/>
      <c r="AQ629" s="297"/>
      <c r="AR629" s="297"/>
      <c r="AS629" s="297"/>
      <c r="AT629" s="297"/>
      <c r="AU629" s="297"/>
      <c r="AV629" s="297"/>
      <c r="AW629" s="297"/>
    </row>
    <row r="630" spans="1:49" x14ac:dyDescent="0.45">
      <c r="A630" s="295">
        <v>28522</v>
      </c>
      <c r="B630" s="12">
        <v>-2.0299999999999999E-2</v>
      </c>
      <c r="C630" s="5">
        <v>-6.1999999999999998E-3</v>
      </c>
      <c r="D630" s="5">
        <v>6.0000000000000001E-3</v>
      </c>
      <c r="E630" s="5">
        <v>7.058333333333334E-3</v>
      </c>
      <c r="F630" s="5">
        <v>7.2083333333333331E-3</v>
      </c>
      <c r="G630" s="5">
        <v>7.1333333333333335E-3</v>
      </c>
      <c r="H630" s="5">
        <v>7.4750000000000007E-3</v>
      </c>
      <c r="I630" s="5">
        <f t="shared" si="99"/>
        <v>-2.6299999999999997E-2</v>
      </c>
      <c r="J630" s="5">
        <f t="shared" si="103"/>
        <v>-2.743333333333333E-2</v>
      </c>
      <c r="K630" s="5">
        <f t="shared" si="104"/>
        <v>-1.3675E-2</v>
      </c>
      <c r="L630" s="8">
        <f t="shared" si="101"/>
        <v>-8.3312641314936431E-2</v>
      </c>
      <c r="M630" s="8">
        <f t="shared" si="102"/>
        <v>7.2000000000000008E-2</v>
      </c>
      <c r="N630" s="8">
        <f t="shared" si="105"/>
        <v>8.5600000000000009E-2</v>
      </c>
      <c r="O630" s="296">
        <f t="shared" si="100"/>
        <v>-0.15531264131493644</v>
      </c>
      <c r="P630" s="8">
        <f t="shared" si="106"/>
        <v>-0.16891264131493644</v>
      </c>
      <c r="Q630" s="8">
        <f t="shared" si="107"/>
        <v>5.8054047999323233E-2</v>
      </c>
      <c r="R630" s="8">
        <f t="shared" si="108"/>
        <v>8.9700000000000002E-2</v>
      </c>
      <c r="S630" s="296">
        <f t="shared" si="109"/>
        <v>-3.1645952000676769E-2</v>
      </c>
      <c r="U630" s="297"/>
      <c r="V630" s="297"/>
      <c r="W630" s="297"/>
      <c r="X630" s="297"/>
      <c r="Y630" s="297"/>
      <c r="Z630" s="297"/>
      <c r="AA630" s="297"/>
      <c r="AB630" s="297"/>
      <c r="AC630" s="297"/>
      <c r="AE630" s="297"/>
      <c r="AF630" s="297"/>
      <c r="AG630" s="297"/>
      <c r="AH630" s="297"/>
      <c r="AI630" s="297"/>
      <c r="AJ630" s="297"/>
      <c r="AK630" s="297"/>
      <c r="AL630" s="297"/>
      <c r="AM630" s="297"/>
      <c r="AO630" s="297"/>
      <c r="AP630" s="297"/>
      <c r="AQ630" s="297"/>
      <c r="AR630" s="297"/>
      <c r="AS630" s="297"/>
      <c r="AT630" s="297"/>
      <c r="AU630" s="297"/>
      <c r="AV630" s="297"/>
      <c r="AW630" s="297"/>
    </row>
    <row r="631" spans="1:49" x14ac:dyDescent="0.45">
      <c r="A631" s="295">
        <v>28550</v>
      </c>
      <c r="B631" s="12">
        <v>2.9399999999999999E-2</v>
      </c>
      <c r="C631" s="5">
        <v>3.0899999999999997E-2</v>
      </c>
      <c r="D631" s="5">
        <v>6.8999999999999999E-3</v>
      </c>
      <c r="E631" s="5">
        <v>7.058333333333334E-3</v>
      </c>
      <c r="F631" s="5">
        <v>7.2166666666666664E-3</v>
      </c>
      <c r="G631" s="5">
        <v>7.1375000000000015E-3</v>
      </c>
      <c r="H631" s="5">
        <v>7.483333333333334E-3</v>
      </c>
      <c r="I631" s="5">
        <f t="shared" si="99"/>
        <v>2.2499999999999999E-2</v>
      </c>
      <c r="J631" s="5">
        <f t="shared" si="103"/>
        <v>2.2262499999999998E-2</v>
      </c>
      <c r="K631" s="5">
        <f t="shared" si="104"/>
        <v>2.3416666666666662E-2</v>
      </c>
      <c r="L631" s="8">
        <f t="shared" si="101"/>
        <v>-4.6348694259318313E-2</v>
      </c>
      <c r="M631" s="8">
        <f t="shared" si="102"/>
        <v>8.2799999999999999E-2</v>
      </c>
      <c r="N631" s="8">
        <f t="shared" si="105"/>
        <v>8.5650000000000018E-2</v>
      </c>
      <c r="O631" s="296">
        <f t="shared" si="100"/>
        <v>-0.1291486942593183</v>
      </c>
      <c r="P631" s="8">
        <f t="shared" si="106"/>
        <v>-0.13199869425931832</v>
      </c>
      <c r="Q631" s="8">
        <f t="shared" si="107"/>
        <v>7.973462490843608E-2</v>
      </c>
      <c r="R631" s="8">
        <f t="shared" si="108"/>
        <v>8.9800000000000005E-2</v>
      </c>
      <c r="S631" s="296">
        <f t="shared" si="109"/>
        <v>-1.0065375091563925E-2</v>
      </c>
      <c r="U631" s="297"/>
      <c r="V631" s="297"/>
      <c r="W631" s="297"/>
      <c r="X631" s="297"/>
      <c r="Y631" s="297"/>
      <c r="Z631" s="297"/>
      <c r="AA631" s="297"/>
      <c r="AB631" s="297"/>
      <c r="AC631" s="297"/>
      <c r="AE631" s="297"/>
      <c r="AF631" s="297"/>
      <c r="AG631" s="297"/>
      <c r="AH631" s="297"/>
      <c r="AI631" s="297"/>
      <c r="AJ631" s="297"/>
      <c r="AK631" s="297"/>
      <c r="AL631" s="297"/>
      <c r="AM631" s="297"/>
      <c r="AO631" s="297"/>
      <c r="AP631" s="297"/>
      <c r="AQ631" s="297"/>
      <c r="AR631" s="297"/>
      <c r="AS631" s="297"/>
      <c r="AT631" s="297"/>
      <c r="AU631" s="297"/>
      <c r="AV631" s="297"/>
      <c r="AW631" s="297"/>
    </row>
    <row r="632" spans="1:49" x14ac:dyDescent="0.45">
      <c r="A632" s="295">
        <v>28581</v>
      </c>
      <c r="B632" s="12">
        <v>9.0200000000000002E-2</v>
      </c>
      <c r="C632" s="5">
        <v>1.06E-2</v>
      </c>
      <c r="D632" s="5">
        <v>6.3E-3</v>
      </c>
      <c r="E632" s="5">
        <v>7.1333333333333335E-3</v>
      </c>
      <c r="F632" s="5">
        <v>7.2750000000000002E-3</v>
      </c>
      <c r="G632" s="5">
        <v>7.2041666666666669E-3</v>
      </c>
      <c r="H632" s="5">
        <v>7.5749999999999993E-3</v>
      </c>
      <c r="I632" s="5">
        <f t="shared" si="99"/>
        <v>8.3900000000000002E-2</v>
      </c>
      <c r="J632" s="5">
        <f t="shared" si="103"/>
        <v>8.2995833333333338E-2</v>
      </c>
      <c r="K632" s="5">
        <f t="shared" si="104"/>
        <v>3.0250000000000008E-3</v>
      </c>
      <c r="L632" s="8">
        <f t="shared" si="101"/>
        <v>3.5322299859083195E-2</v>
      </c>
      <c r="M632" s="8">
        <f t="shared" si="102"/>
        <v>7.5600000000000001E-2</v>
      </c>
      <c r="N632" s="8">
        <f t="shared" si="105"/>
        <v>8.6449999999999999E-2</v>
      </c>
      <c r="O632" s="296">
        <f t="shared" si="100"/>
        <v>-4.0277700140916806E-2</v>
      </c>
      <c r="P632" s="8">
        <f t="shared" si="106"/>
        <v>-5.1127700140916804E-2</v>
      </c>
      <c r="Q632" s="8">
        <f t="shared" si="107"/>
        <v>6.884103431527655E-2</v>
      </c>
      <c r="R632" s="8">
        <f t="shared" si="108"/>
        <v>9.0899999999999995E-2</v>
      </c>
      <c r="S632" s="296">
        <f t="shared" si="109"/>
        <v>-2.2058965684723444E-2</v>
      </c>
      <c r="U632" s="297"/>
      <c r="V632" s="297"/>
      <c r="W632" s="297"/>
      <c r="X632" s="297"/>
      <c r="Y632" s="297"/>
      <c r="Z632" s="297"/>
      <c r="AA632" s="297"/>
      <c r="AB632" s="297"/>
      <c r="AC632" s="297"/>
      <c r="AE632" s="297"/>
      <c r="AF632" s="297"/>
      <c r="AG632" s="297"/>
      <c r="AH632" s="297"/>
      <c r="AI632" s="297"/>
      <c r="AJ632" s="297"/>
      <c r="AK632" s="297"/>
      <c r="AL632" s="297"/>
      <c r="AM632" s="297"/>
      <c r="AO632" s="297"/>
      <c r="AP632" s="297"/>
      <c r="AQ632" s="297"/>
      <c r="AR632" s="297"/>
      <c r="AS632" s="297"/>
      <c r="AT632" s="297"/>
      <c r="AU632" s="297"/>
      <c r="AV632" s="297"/>
      <c r="AW632" s="297"/>
    </row>
    <row r="633" spans="1:49" x14ac:dyDescent="0.45">
      <c r="A633" s="295">
        <v>28611</v>
      </c>
      <c r="B633" s="12">
        <v>9.1999999999999998E-3</v>
      </c>
      <c r="C633" s="5">
        <v>4.3E-3</v>
      </c>
      <c r="D633" s="5">
        <v>7.4999999999999997E-3</v>
      </c>
      <c r="E633" s="5">
        <v>7.2416666666666662E-3</v>
      </c>
      <c r="F633" s="5">
        <v>7.3666666666666672E-3</v>
      </c>
      <c r="G633" s="5">
        <v>7.3041666666666671E-3</v>
      </c>
      <c r="H633" s="5">
        <v>7.6833333333333345E-3</v>
      </c>
      <c r="I633" s="5">
        <f t="shared" si="99"/>
        <v>1.7000000000000001E-3</v>
      </c>
      <c r="J633" s="5">
        <f t="shared" si="103"/>
        <v>1.8958333333333327E-3</v>
      </c>
      <c r="K633" s="5">
        <f t="shared" si="104"/>
        <v>-3.3833333333333345E-3</v>
      </c>
      <c r="L633" s="8">
        <f t="shared" si="101"/>
        <v>6.5735684432666863E-2</v>
      </c>
      <c r="M633" s="8">
        <f t="shared" si="102"/>
        <v>0.09</v>
      </c>
      <c r="N633" s="8">
        <f t="shared" si="105"/>
        <v>8.7650000000000006E-2</v>
      </c>
      <c r="O633" s="296">
        <f t="shared" si="100"/>
        <v>-2.4264315567333133E-2</v>
      </c>
      <c r="P633" s="8">
        <f t="shared" si="106"/>
        <v>-2.1914315567333142E-2</v>
      </c>
      <c r="Q633" s="8">
        <f t="shared" si="107"/>
        <v>5.125555847892671E-2</v>
      </c>
      <c r="R633" s="8">
        <f t="shared" si="108"/>
        <v>9.2200000000000018E-2</v>
      </c>
      <c r="S633" s="296">
        <f t="shared" si="109"/>
        <v>-4.0944441521073308E-2</v>
      </c>
      <c r="U633" s="297"/>
      <c r="V633" s="297"/>
      <c r="W633" s="297"/>
      <c r="X633" s="297"/>
      <c r="Y633" s="297"/>
      <c r="Z633" s="297"/>
      <c r="AA633" s="297"/>
      <c r="AB633" s="297"/>
      <c r="AC633" s="297"/>
      <c r="AE633" s="297"/>
      <c r="AF633" s="297"/>
      <c r="AG633" s="297"/>
      <c r="AH633" s="297"/>
      <c r="AI633" s="297"/>
      <c r="AJ633" s="297"/>
      <c r="AK633" s="297"/>
      <c r="AL633" s="297"/>
      <c r="AM633" s="297"/>
      <c r="AO633" s="297"/>
      <c r="AP633" s="297"/>
      <c r="AQ633" s="297"/>
      <c r="AR633" s="297"/>
      <c r="AS633" s="297"/>
      <c r="AT633" s="297"/>
      <c r="AU633" s="297"/>
      <c r="AV633" s="297"/>
      <c r="AW633" s="297"/>
    </row>
    <row r="634" spans="1:49" x14ac:dyDescent="0.45">
      <c r="A634" s="295">
        <v>28642</v>
      </c>
      <c r="B634" s="12">
        <v>-1.38E-2</v>
      </c>
      <c r="C634" s="5">
        <v>3.5999999999999999E-3</v>
      </c>
      <c r="D634" s="5">
        <v>6.8999999999999999E-3</v>
      </c>
      <c r="E634" s="5">
        <v>7.3000000000000001E-3</v>
      </c>
      <c r="F634" s="5">
        <v>7.4583333333333324E-3</v>
      </c>
      <c r="G634" s="5">
        <v>7.3791666666666658E-3</v>
      </c>
      <c r="H634" s="5">
        <v>7.8333333333333328E-3</v>
      </c>
      <c r="I634" s="5">
        <f t="shared" si="99"/>
        <v>-2.07E-2</v>
      </c>
      <c r="J634" s="5">
        <f t="shared" si="103"/>
        <v>-2.1179166666666666E-2</v>
      </c>
      <c r="K634" s="5">
        <f t="shared" si="104"/>
        <v>-4.2333333333333329E-3</v>
      </c>
      <c r="L634" s="8">
        <f t="shared" si="101"/>
        <v>1.551869627878899E-3</v>
      </c>
      <c r="M634" s="8">
        <f t="shared" si="102"/>
        <v>8.2799999999999999E-2</v>
      </c>
      <c r="N634" s="8">
        <f t="shared" si="105"/>
        <v>8.854999999999999E-2</v>
      </c>
      <c r="O634" s="296">
        <f t="shared" si="100"/>
        <v>-8.12481303721211E-2</v>
      </c>
      <c r="P634" s="8">
        <f t="shared" si="106"/>
        <v>-8.6998130372121091E-2</v>
      </c>
      <c r="Q634" s="8">
        <f t="shared" si="107"/>
        <v>1.8422547616097074E-3</v>
      </c>
      <c r="R634" s="8">
        <f t="shared" si="108"/>
        <v>9.4E-2</v>
      </c>
      <c r="S634" s="296">
        <f t="shared" si="109"/>
        <v>-9.2157745238390293E-2</v>
      </c>
      <c r="U634" s="297"/>
      <c r="V634" s="297"/>
      <c r="W634" s="297"/>
      <c r="X634" s="297"/>
      <c r="Y634" s="297"/>
      <c r="Z634" s="297"/>
      <c r="AA634" s="297"/>
      <c r="AB634" s="297"/>
      <c r="AC634" s="297"/>
      <c r="AE634" s="297"/>
      <c r="AF634" s="297"/>
      <c r="AG634" s="297"/>
      <c r="AH634" s="297"/>
      <c r="AI634" s="297"/>
      <c r="AJ634" s="297"/>
      <c r="AK634" s="297"/>
      <c r="AL634" s="297"/>
      <c r="AM634" s="297"/>
      <c r="AO634" s="297"/>
      <c r="AP634" s="297"/>
      <c r="AQ634" s="297"/>
      <c r="AR634" s="297"/>
      <c r="AS634" s="297"/>
      <c r="AT634" s="297"/>
      <c r="AU634" s="297"/>
      <c r="AV634" s="297"/>
      <c r="AW634" s="297"/>
    </row>
    <row r="635" spans="1:49" x14ac:dyDescent="0.45">
      <c r="A635" s="295">
        <v>28672</v>
      </c>
      <c r="B635" s="12">
        <v>5.8299999999999998E-2</v>
      </c>
      <c r="C635" s="5">
        <v>3.1600000000000003E-2</v>
      </c>
      <c r="D635" s="5">
        <v>7.3000000000000001E-3</v>
      </c>
      <c r="E635" s="5">
        <v>7.4000000000000012E-3</v>
      </c>
      <c r="F635" s="5">
        <v>7.5583333333333336E-3</v>
      </c>
      <c r="G635" s="5">
        <v>7.4791666666666678E-3</v>
      </c>
      <c r="H635" s="5">
        <v>7.9249999999999998E-3</v>
      </c>
      <c r="I635" s="5">
        <f t="shared" si="99"/>
        <v>5.0999999999999997E-2</v>
      </c>
      <c r="J635" s="5">
        <f t="shared" si="103"/>
        <v>5.0820833333333329E-2</v>
      </c>
      <c r="K635" s="5">
        <f t="shared" si="104"/>
        <v>2.3675000000000002E-2</v>
      </c>
      <c r="L635" s="8">
        <f t="shared" si="101"/>
        <v>7.3250651708368419E-2</v>
      </c>
      <c r="M635" s="8">
        <f t="shared" si="102"/>
        <v>8.7599999999999997E-2</v>
      </c>
      <c r="N635" s="8">
        <f t="shared" si="105"/>
        <v>8.975000000000001E-2</v>
      </c>
      <c r="O635" s="296">
        <f t="shared" si="100"/>
        <v>-1.4349348291631578E-2</v>
      </c>
      <c r="P635" s="8">
        <f t="shared" si="106"/>
        <v>-1.6499348291631591E-2</v>
      </c>
      <c r="Q635" s="8">
        <f t="shared" si="107"/>
        <v>1.6824547434156623E-2</v>
      </c>
      <c r="R635" s="8">
        <f t="shared" si="108"/>
        <v>9.509999999999999E-2</v>
      </c>
      <c r="S635" s="296">
        <f t="shared" si="109"/>
        <v>-7.8275452565843368E-2</v>
      </c>
      <c r="U635" s="297"/>
      <c r="V635" s="297"/>
      <c r="W635" s="297"/>
      <c r="X635" s="297"/>
      <c r="Y635" s="297"/>
      <c r="Z635" s="297"/>
      <c r="AA635" s="297"/>
      <c r="AB635" s="297"/>
      <c r="AC635" s="297"/>
      <c r="AE635" s="297"/>
      <c r="AF635" s="297"/>
      <c r="AG635" s="297"/>
      <c r="AH635" s="297"/>
      <c r="AI635" s="297"/>
      <c r="AJ635" s="297"/>
      <c r="AK635" s="297"/>
      <c r="AL635" s="297"/>
      <c r="AM635" s="297"/>
      <c r="AO635" s="297"/>
      <c r="AP635" s="297"/>
      <c r="AQ635" s="297"/>
      <c r="AR635" s="297"/>
      <c r="AS635" s="297"/>
      <c r="AT635" s="297"/>
      <c r="AU635" s="297"/>
      <c r="AV635" s="297"/>
      <c r="AW635" s="297"/>
    </row>
    <row r="636" spans="1:49" x14ac:dyDescent="0.45">
      <c r="A636" s="295">
        <v>28703</v>
      </c>
      <c r="B636" s="12">
        <v>3.0099999999999998E-2</v>
      </c>
      <c r="C636" s="5">
        <v>-3.0000000000000079E-4</v>
      </c>
      <c r="D636" s="5">
        <v>7.000000000000001E-3</v>
      </c>
      <c r="E636" s="5">
        <v>7.2416666666666662E-3</v>
      </c>
      <c r="F636" s="5">
        <v>7.4666666666666666E-3</v>
      </c>
      <c r="G636" s="5">
        <v>7.354166666666666E-3</v>
      </c>
      <c r="H636" s="5">
        <v>7.7666666666666674E-3</v>
      </c>
      <c r="I636" s="5">
        <f t="shared" si="99"/>
        <v>2.3099999999999996E-2</v>
      </c>
      <c r="J636" s="5">
        <f t="shared" si="103"/>
        <v>2.2745833333333333E-2</v>
      </c>
      <c r="K636" s="5">
        <f t="shared" si="104"/>
        <v>-8.0666666666666682E-3</v>
      </c>
      <c r="L636" s="8">
        <f t="shared" si="101"/>
        <v>0.12490384241431607</v>
      </c>
      <c r="M636" s="8">
        <f t="shared" si="102"/>
        <v>8.4000000000000019E-2</v>
      </c>
      <c r="N636" s="8">
        <f t="shared" si="105"/>
        <v>8.8249999999999995E-2</v>
      </c>
      <c r="O636" s="296">
        <f t="shared" si="100"/>
        <v>4.090384241431605E-2</v>
      </c>
      <c r="P636" s="8">
        <f t="shared" si="106"/>
        <v>3.6653842414316073E-2</v>
      </c>
      <c r="Q636" s="8">
        <f t="shared" si="107"/>
        <v>5.3715662972868339E-2</v>
      </c>
      <c r="R636" s="8">
        <f t="shared" si="108"/>
        <v>9.3200000000000005E-2</v>
      </c>
      <c r="S636" s="296">
        <f t="shared" si="109"/>
        <v>-3.9484337027131666E-2</v>
      </c>
      <c r="U636" s="297"/>
      <c r="V636" s="297"/>
      <c r="W636" s="297"/>
      <c r="X636" s="297"/>
      <c r="Y636" s="297"/>
      <c r="Z636" s="297"/>
      <c r="AA636" s="297"/>
      <c r="AB636" s="297"/>
      <c r="AC636" s="297"/>
      <c r="AE636" s="297"/>
      <c r="AF636" s="297"/>
      <c r="AG636" s="297"/>
      <c r="AH636" s="297"/>
      <c r="AI636" s="297"/>
      <c r="AJ636" s="297"/>
      <c r="AK636" s="297"/>
      <c r="AL636" s="297"/>
      <c r="AM636" s="297"/>
      <c r="AO636" s="297"/>
      <c r="AP636" s="297"/>
      <c r="AQ636" s="297"/>
      <c r="AR636" s="297"/>
      <c r="AS636" s="297"/>
      <c r="AT636" s="297"/>
      <c r="AU636" s="297"/>
      <c r="AV636" s="297"/>
      <c r="AW636" s="297"/>
    </row>
    <row r="637" spans="1:49" x14ac:dyDescent="0.45">
      <c r="A637" s="295">
        <v>28734</v>
      </c>
      <c r="B637" s="12">
        <v>-3.2000000000000002E-3</v>
      </c>
      <c r="C637" s="5">
        <v>-5.6000000000000008E-3</v>
      </c>
      <c r="D637" s="5">
        <v>6.5000000000000006E-3</v>
      </c>
      <c r="E637" s="5">
        <v>7.2416666666666662E-3</v>
      </c>
      <c r="F637" s="5">
        <v>7.4333333333333326E-3</v>
      </c>
      <c r="G637" s="5">
        <v>7.3374999999999994E-3</v>
      </c>
      <c r="H637" s="5">
        <v>7.7333333333333334E-3</v>
      </c>
      <c r="I637" s="5">
        <f t="shared" si="99"/>
        <v>-9.7000000000000003E-3</v>
      </c>
      <c r="J637" s="5">
        <f t="shared" si="103"/>
        <v>-1.05375E-2</v>
      </c>
      <c r="K637" s="5">
        <f t="shared" si="104"/>
        <v>-1.3333333333333334E-2</v>
      </c>
      <c r="L637" s="8">
        <f t="shared" si="101"/>
        <v>0.11951292943150005</v>
      </c>
      <c r="M637" s="8">
        <f t="shared" si="102"/>
        <v>7.8000000000000014E-2</v>
      </c>
      <c r="N637" s="8">
        <f t="shared" si="105"/>
        <v>8.8049999999999989E-2</v>
      </c>
      <c r="O637" s="296">
        <f t="shared" si="100"/>
        <v>4.1512929431500034E-2</v>
      </c>
      <c r="P637" s="8">
        <f t="shared" si="106"/>
        <v>3.1462929431500058E-2</v>
      </c>
      <c r="Q637" s="8">
        <f t="shared" si="107"/>
        <v>2.2557680550620018E-2</v>
      </c>
      <c r="R637" s="8">
        <f t="shared" si="108"/>
        <v>9.2799999999999994E-2</v>
      </c>
      <c r="S637" s="296">
        <f t="shared" si="109"/>
        <v>-7.0242319449379975E-2</v>
      </c>
      <c r="U637" s="297"/>
      <c r="V637" s="297"/>
      <c r="W637" s="297"/>
      <c r="X637" s="297"/>
      <c r="Y637" s="297"/>
      <c r="Z637" s="297"/>
      <c r="AA637" s="297"/>
      <c r="AB637" s="297"/>
      <c r="AC637" s="297"/>
      <c r="AE637" s="297"/>
      <c r="AF637" s="297"/>
      <c r="AG637" s="297"/>
      <c r="AH637" s="297"/>
      <c r="AI637" s="297"/>
      <c r="AJ637" s="297"/>
      <c r="AK637" s="297"/>
      <c r="AL637" s="297"/>
      <c r="AM637" s="297"/>
      <c r="AO637" s="297"/>
      <c r="AP637" s="297"/>
      <c r="AQ637" s="297"/>
      <c r="AR637" s="297"/>
      <c r="AS637" s="297"/>
      <c r="AT637" s="297"/>
      <c r="AU637" s="297"/>
      <c r="AV637" s="297"/>
      <c r="AW637" s="297"/>
    </row>
    <row r="638" spans="1:49" x14ac:dyDescent="0.45">
      <c r="A638" s="295">
        <v>28764</v>
      </c>
      <c r="B638" s="12">
        <v>-8.72E-2</v>
      </c>
      <c r="C638" s="5">
        <v>-6.8400000000000002E-2</v>
      </c>
      <c r="D638" s="5">
        <v>7.3000000000000001E-3</v>
      </c>
      <c r="E638" s="5">
        <v>7.4083333333333336E-3</v>
      </c>
      <c r="F638" s="5">
        <v>7.5583333333333336E-3</v>
      </c>
      <c r="G638" s="5">
        <v>7.4833333333333332E-3</v>
      </c>
      <c r="H638" s="5">
        <v>7.8833333333333342E-3</v>
      </c>
      <c r="I638" s="5">
        <f t="shared" si="99"/>
        <v>-9.4500000000000001E-2</v>
      </c>
      <c r="J638" s="5">
        <f t="shared" si="103"/>
        <v>-9.4683333333333328E-2</v>
      </c>
      <c r="K638" s="5">
        <f t="shared" si="104"/>
        <v>-7.6283333333333342E-2</v>
      </c>
      <c r="L638" s="8">
        <f t="shared" si="101"/>
        <v>6.3362541087485402E-2</v>
      </c>
      <c r="M638" s="8">
        <f t="shared" si="102"/>
        <v>8.7599999999999997E-2</v>
      </c>
      <c r="N638" s="8">
        <f t="shared" si="105"/>
        <v>8.9799999999999991E-2</v>
      </c>
      <c r="O638" s="296">
        <f t="shared" si="100"/>
        <v>-2.4237458912514595E-2</v>
      </c>
      <c r="P638" s="8">
        <f t="shared" si="106"/>
        <v>-2.6437458912514589E-2</v>
      </c>
      <c r="Q638" s="8">
        <f t="shared" si="107"/>
        <v>-1.8327766693160163E-2</v>
      </c>
      <c r="R638" s="8">
        <f t="shared" si="108"/>
        <v>9.4600000000000017E-2</v>
      </c>
      <c r="S638" s="296">
        <f t="shared" si="109"/>
        <v>-0.11292776669316018</v>
      </c>
      <c r="U638" s="297"/>
      <c r="V638" s="297"/>
      <c r="W638" s="297"/>
      <c r="X638" s="297"/>
      <c r="Y638" s="297"/>
      <c r="Z638" s="297"/>
      <c r="AA638" s="297"/>
      <c r="AB638" s="297"/>
      <c r="AC638" s="297"/>
      <c r="AE638" s="297"/>
      <c r="AF638" s="297"/>
      <c r="AG638" s="297"/>
      <c r="AH638" s="297"/>
      <c r="AI638" s="297"/>
      <c r="AJ638" s="297"/>
      <c r="AK638" s="297"/>
      <c r="AL638" s="297"/>
      <c r="AM638" s="297"/>
      <c r="AO638" s="297"/>
      <c r="AP638" s="297"/>
      <c r="AQ638" s="297"/>
      <c r="AR638" s="297"/>
      <c r="AS638" s="297"/>
      <c r="AT638" s="297"/>
      <c r="AU638" s="297"/>
      <c r="AV638" s="297"/>
      <c r="AW638" s="297"/>
    </row>
    <row r="639" spans="1:49" x14ac:dyDescent="0.45">
      <c r="A639" s="295">
        <v>28795</v>
      </c>
      <c r="B639" s="12">
        <v>2.1499999999999998E-2</v>
      </c>
      <c r="C639" s="5">
        <v>3.56E-2</v>
      </c>
      <c r="D639" s="5">
        <v>7.1000000000000004E-3</v>
      </c>
      <c r="E639" s="5">
        <v>7.5249999999999996E-3</v>
      </c>
      <c r="F639" s="5">
        <v>7.7000000000000002E-3</v>
      </c>
      <c r="G639" s="5">
        <v>7.6124999999999995E-3</v>
      </c>
      <c r="H639" s="5">
        <v>8.0666666666666664E-3</v>
      </c>
      <c r="I639" s="5">
        <f t="shared" si="99"/>
        <v>1.4399999999999998E-2</v>
      </c>
      <c r="J639" s="5">
        <f t="shared" si="103"/>
        <v>1.3887499999999999E-2</v>
      </c>
      <c r="K639" s="5">
        <f t="shared" si="104"/>
        <v>2.7533333333333333E-2</v>
      </c>
      <c r="L639" s="8">
        <f t="shared" si="101"/>
        <v>5.2951566228059743E-2</v>
      </c>
      <c r="M639" s="8">
        <f t="shared" si="102"/>
        <v>8.5199999999999998E-2</v>
      </c>
      <c r="N639" s="8">
        <f t="shared" si="105"/>
        <v>9.1349999999999987E-2</v>
      </c>
      <c r="O639" s="296">
        <f t="shared" si="100"/>
        <v>-3.2248433771940255E-2</v>
      </c>
      <c r="P639" s="8">
        <f t="shared" si="106"/>
        <v>-3.8398433771940244E-2</v>
      </c>
      <c r="Q639" s="8">
        <f t="shared" si="107"/>
        <v>-2.069187475911427E-2</v>
      </c>
      <c r="R639" s="8">
        <f t="shared" si="108"/>
        <v>9.6799999999999997E-2</v>
      </c>
      <c r="S639" s="296">
        <f t="shared" si="109"/>
        <v>-0.11749187475911427</v>
      </c>
      <c r="U639" s="297"/>
      <c r="V639" s="297"/>
      <c r="W639" s="297"/>
      <c r="X639" s="297"/>
      <c r="Y639" s="297"/>
      <c r="Z639" s="297"/>
      <c r="AA639" s="297"/>
      <c r="AB639" s="297"/>
      <c r="AC639" s="297"/>
      <c r="AE639" s="297"/>
      <c r="AF639" s="297"/>
      <c r="AG639" s="297"/>
      <c r="AH639" s="297"/>
      <c r="AI639" s="297"/>
      <c r="AJ639" s="297"/>
      <c r="AK639" s="297"/>
      <c r="AL639" s="297"/>
      <c r="AM639" s="297"/>
      <c r="AO639" s="297"/>
      <c r="AP639" s="297"/>
      <c r="AQ639" s="297"/>
      <c r="AR639" s="297"/>
      <c r="AS639" s="297"/>
      <c r="AT639" s="297"/>
      <c r="AU639" s="297"/>
      <c r="AV639" s="297"/>
      <c r="AW639" s="297"/>
    </row>
    <row r="640" spans="1:49" x14ac:dyDescent="0.45">
      <c r="A640" s="295">
        <v>28825</v>
      </c>
      <c r="B640" s="12">
        <v>1.9599999999999999E-2</v>
      </c>
      <c r="C640" s="5">
        <v>-1.49E-2</v>
      </c>
      <c r="D640" s="5">
        <v>6.7999999999999996E-3</v>
      </c>
      <c r="E640" s="5">
        <v>7.6333333333333331E-3</v>
      </c>
      <c r="F640" s="5">
        <v>7.7749999999999998E-3</v>
      </c>
      <c r="G640" s="5">
        <v>7.7041666666666665E-3</v>
      </c>
      <c r="H640" s="5">
        <v>8.083333333333333E-3</v>
      </c>
      <c r="I640" s="5">
        <f t="shared" si="99"/>
        <v>1.2799999999999999E-2</v>
      </c>
      <c r="J640" s="5">
        <f t="shared" si="103"/>
        <v>1.1895833333333333E-2</v>
      </c>
      <c r="K640" s="5">
        <f t="shared" si="104"/>
        <v>-2.2983333333333335E-2</v>
      </c>
      <c r="L640" s="8">
        <f t="shared" si="101"/>
        <v>6.5597436154967381E-2</v>
      </c>
      <c r="M640" s="8">
        <f t="shared" si="102"/>
        <v>8.1599999999999992E-2</v>
      </c>
      <c r="N640" s="8">
        <f t="shared" si="105"/>
        <v>9.2450000000000004E-2</v>
      </c>
      <c r="O640" s="296">
        <f t="shared" si="100"/>
        <v>-1.6002563845032611E-2</v>
      </c>
      <c r="P640" s="8">
        <f t="shared" si="106"/>
        <v>-2.6852563845032623E-2</v>
      </c>
      <c r="Q640" s="8">
        <f t="shared" si="107"/>
        <v>-3.7113051028249688E-2</v>
      </c>
      <c r="R640" s="8">
        <f t="shared" si="108"/>
        <v>9.7000000000000003E-2</v>
      </c>
      <c r="S640" s="296">
        <f t="shared" si="109"/>
        <v>-0.13411305102824969</v>
      </c>
      <c r="U640" s="297"/>
      <c r="V640" s="297"/>
      <c r="W640" s="297"/>
      <c r="X640" s="297"/>
      <c r="Y640" s="297"/>
      <c r="Z640" s="297"/>
      <c r="AA640" s="297"/>
      <c r="AB640" s="297"/>
      <c r="AC640" s="297"/>
      <c r="AE640" s="297"/>
      <c r="AF640" s="297"/>
      <c r="AG640" s="297"/>
      <c r="AH640" s="297"/>
      <c r="AI640" s="297"/>
      <c r="AJ640" s="297"/>
      <c r="AK640" s="297"/>
      <c r="AL640" s="297"/>
      <c r="AM640" s="297"/>
      <c r="AO640" s="297"/>
      <c r="AP640" s="297"/>
      <c r="AQ640" s="297"/>
      <c r="AR640" s="297"/>
      <c r="AS640" s="297"/>
      <c r="AT640" s="297"/>
      <c r="AU640" s="297"/>
      <c r="AV640" s="297"/>
      <c r="AW640" s="297"/>
    </row>
    <row r="641" spans="1:49" x14ac:dyDescent="0.45">
      <c r="A641" s="295">
        <v>28856</v>
      </c>
      <c r="B641" s="12">
        <v>4.4299999999999999E-2</v>
      </c>
      <c r="C641" s="5">
        <v>6.9199999999999998E-2</v>
      </c>
      <c r="D641" s="5">
        <v>7.9000000000000008E-3</v>
      </c>
      <c r="E641" s="5">
        <v>7.7083333333333335E-3</v>
      </c>
      <c r="F641" s="5">
        <v>7.9000000000000008E-3</v>
      </c>
      <c r="G641" s="5">
        <v>7.8041666666666676E-3</v>
      </c>
      <c r="H641" s="5">
        <v>8.2500000000000004E-3</v>
      </c>
      <c r="I641" s="5">
        <f t="shared" si="99"/>
        <v>3.6400000000000002E-2</v>
      </c>
      <c r="J641" s="5">
        <f t="shared" si="103"/>
        <v>3.6495833333333332E-2</v>
      </c>
      <c r="K641" s="5">
        <f t="shared" si="104"/>
        <v>6.0949999999999997E-2</v>
      </c>
      <c r="L641" s="8">
        <f t="shared" si="101"/>
        <v>0.18056800612840274</v>
      </c>
      <c r="M641" s="8">
        <f t="shared" si="102"/>
        <v>9.4800000000000009E-2</v>
      </c>
      <c r="N641" s="8">
        <f t="shared" si="105"/>
        <v>9.3650000000000011E-2</v>
      </c>
      <c r="O641" s="296">
        <f t="shared" si="100"/>
        <v>8.5768006128402727E-2</v>
      </c>
      <c r="P641" s="8">
        <f t="shared" si="106"/>
        <v>8.6918006128402725E-2</v>
      </c>
      <c r="Q641" s="8">
        <f t="shared" si="107"/>
        <v>8.748148921579757E-2</v>
      </c>
      <c r="R641" s="8">
        <f t="shared" si="108"/>
        <v>9.9000000000000005E-2</v>
      </c>
      <c r="S641" s="296">
        <f t="shared" si="109"/>
        <v>-1.1518510784202435E-2</v>
      </c>
      <c r="U641" s="297"/>
      <c r="V641" s="297"/>
      <c r="W641" s="297"/>
      <c r="X641" s="297"/>
      <c r="Y641" s="297"/>
      <c r="Z641" s="297"/>
      <c r="AA641" s="297"/>
      <c r="AB641" s="297"/>
      <c r="AC641" s="297"/>
      <c r="AE641" s="297"/>
      <c r="AF641" s="297"/>
      <c r="AG641" s="297"/>
      <c r="AH641" s="297"/>
      <c r="AI641" s="297"/>
      <c r="AJ641" s="297"/>
      <c r="AK641" s="297"/>
      <c r="AL641" s="297"/>
      <c r="AM641" s="297"/>
      <c r="AO641" s="297"/>
      <c r="AP641" s="297"/>
      <c r="AQ641" s="297"/>
      <c r="AR641" s="297"/>
      <c r="AS641" s="297"/>
      <c r="AT641" s="297"/>
      <c r="AU641" s="297"/>
      <c r="AV641" s="297"/>
      <c r="AW641" s="297"/>
    </row>
    <row r="642" spans="1:49" x14ac:dyDescent="0.45">
      <c r="A642" s="295">
        <v>28887</v>
      </c>
      <c r="B642" s="12">
        <v>-3.2099999999999997E-2</v>
      </c>
      <c r="C642" s="5">
        <v>-2.12E-2</v>
      </c>
      <c r="D642" s="5">
        <v>6.5000000000000006E-3</v>
      </c>
      <c r="E642" s="5">
        <v>7.7166666666666659E-3</v>
      </c>
      <c r="F642" s="5">
        <v>7.9166666666666656E-3</v>
      </c>
      <c r="G642" s="5">
        <v>7.8166666666666662E-3</v>
      </c>
      <c r="H642" s="5">
        <v>8.199999999999999E-3</v>
      </c>
      <c r="I642" s="5">
        <f t="shared" si="99"/>
        <v>-3.8599999999999995E-2</v>
      </c>
      <c r="J642" s="5">
        <f t="shared" si="103"/>
        <v>-3.9916666666666663E-2</v>
      </c>
      <c r="K642" s="5">
        <f t="shared" si="104"/>
        <v>-2.9399999999999999E-2</v>
      </c>
      <c r="L642" s="8">
        <f t="shared" si="101"/>
        <v>0.16634865074173799</v>
      </c>
      <c r="M642" s="8">
        <f t="shared" si="102"/>
        <v>7.8000000000000014E-2</v>
      </c>
      <c r="N642" s="8">
        <f t="shared" si="105"/>
        <v>9.3799999999999994E-2</v>
      </c>
      <c r="O642" s="296">
        <f t="shared" si="100"/>
        <v>8.8348650741737977E-2</v>
      </c>
      <c r="P642" s="8">
        <f t="shared" si="106"/>
        <v>7.2548650741737997E-2</v>
      </c>
      <c r="Q642" s="8">
        <f t="shared" si="107"/>
        <v>7.1067500145323814E-2</v>
      </c>
      <c r="R642" s="8">
        <f t="shared" si="108"/>
        <v>9.8399999999999987E-2</v>
      </c>
      <c r="S642" s="296">
        <f t="shared" si="109"/>
        <v>-2.7332499854676173E-2</v>
      </c>
      <c r="U642" s="297"/>
      <c r="V642" s="297"/>
      <c r="W642" s="297"/>
      <c r="X642" s="297"/>
      <c r="Y642" s="297"/>
      <c r="Z642" s="297"/>
      <c r="AA642" s="297"/>
      <c r="AB642" s="297"/>
      <c r="AC642" s="297"/>
      <c r="AE642" s="297"/>
      <c r="AF642" s="297"/>
      <c r="AG642" s="297"/>
      <c r="AH642" s="297"/>
      <c r="AI642" s="297"/>
      <c r="AJ642" s="297"/>
      <c r="AK642" s="297"/>
      <c r="AL642" s="297"/>
      <c r="AM642" s="297"/>
      <c r="AO642" s="297"/>
      <c r="AP642" s="297"/>
      <c r="AQ642" s="297"/>
      <c r="AR642" s="297"/>
      <c r="AS642" s="297"/>
      <c r="AT642" s="297"/>
      <c r="AU642" s="297"/>
      <c r="AV642" s="297"/>
      <c r="AW642" s="297"/>
    </row>
    <row r="643" spans="1:49" x14ac:dyDescent="0.45">
      <c r="A643" s="295">
        <v>28915</v>
      </c>
      <c r="B643" s="12">
        <v>5.96E-2</v>
      </c>
      <c r="C643" s="5">
        <v>1.9599999999999999E-2</v>
      </c>
      <c r="D643" s="5">
        <v>7.4000000000000003E-3</v>
      </c>
      <c r="E643" s="5">
        <v>7.8083333333333329E-3</v>
      </c>
      <c r="F643" s="5">
        <v>8.0083333333333326E-3</v>
      </c>
      <c r="G643" s="5">
        <v>7.9083333333333332E-3</v>
      </c>
      <c r="H643" s="5">
        <v>8.3666666666666663E-3</v>
      </c>
      <c r="I643" s="5">
        <f t="shared" si="99"/>
        <v>5.2199999999999996E-2</v>
      </c>
      <c r="J643" s="5">
        <f t="shared" si="103"/>
        <v>5.1691666666666664E-2</v>
      </c>
      <c r="K643" s="5">
        <f t="shared" si="104"/>
        <v>1.1233333333333333E-2</v>
      </c>
      <c r="L643" s="8">
        <f t="shared" si="101"/>
        <v>0.20056637878953332</v>
      </c>
      <c r="M643" s="8">
        <f t="shared" si="102"/>
        <v>8.8800000000000004E-2</v>
      </c>
      <c r="N643" s="8">
        <f t="shared" si="105"/>
        <v>9.4899999999999998E-2</v>
      </c>
      <c r="O643" s="296">
        <f t="shared" si="100"/>
        <v>0.11176637878953331</v>
      </c>
      <c r="P643" s="8">
        <f t="shared" si="106"/>
        <v>0.10566637878953332</v>
      </c>
      <c r="Q643" s="8">
        <f t="shared" si="107"/>
        <v>5.9327212288458941E-2</v>
      </c>
      <c r="R643" s="8">
        <f t="shared" si="108"/>
        <v>0.10039999999999999</v>
      </c>
      <c r="S643" s="296">
        <f t="shared" si="109"/>
        <v>-4.1072787711541048E-2</v>
      </c>
      <c r="U643" s="297"/>
      <c r="V643" s="297"/>
      <c r="W643" s="297"/>
      <c r="X643" s="297"/>
      <c r="Y643" s="297"/>
      <c r="Z643" s="297"/>
      <c r="AA643" s="297"/>
      <c r="AB643" s="297"/>
      <c r="AC643" s="297"/>
      <c r="AE643" s="297"/>
      <c r="AF643" s="297"/>
      <c r="AG643" s="297"/>
      <c r="AH643" s="297"/>
      <c r="AI643" s="297"/>
      <c r="AJ643" s="297"/>
      <c r="AK643" s="297"/>
      <c r="AL643" s="297"/>
      <c r="AM643" s="297"/>
      <c r="AO643" s="297"/>
      <c r="AP643" s="297"/>
      <c r="AQ643" s="297"/>
      <c r="AR643" s="297"/>
      <c r="AS643" s="297"/>
      <c r="AT643" s="297"/>
      <c r="AU643" s="297"/>
      <c r="AV643" s="297"/>
      <c r="AW643" s="297"/>
    </row>
    <row r="644" spans="1:49" x14ac:dyDescent="0.45">
      <c r="A644" s="295">
        <v>28946</v>
      </c>
      <c r="B644" s="12">
        <v>6.3E-3</v>
      </c>
      <c r="C644" s="5">
        <v>-2.4899999999999999E-2</v>
      </c>
      <c r="D644" s="5">
        <v>7.6E-3</v>
      </c>
      <c r="E644" s="5">
        <v>7.8166666666666679E-3</v>
      </c>
      <c r="F644" s="5">
        <v>8.0416666666666674E-3</v>
      </c>
      <c r="G644" s="5">
        <v>7.9291666666666677E-3</v>
      </c>
      <c r="H644" s="5">
        <v>8.416666666666666E-3</v>
      </c>
      <c r="I644" s="5">
        <f t="shared" si="99"/>
        <v>-1.2999999999999999E-3</v>
      </c>
      <c r="J644" s="5">
        <f t="shared" si="103"/>
        <v>-1.6291666666666677E-3</v>
      </c>
      <c r="K644" s="5">
        <f t="shared" si="104"/>
        <v>-3.3316666666666661E-2</v>
      </c>
      <c r="L644" s="8">
        <f t="shared" si="101"/>
        <v>0.10817276369098106</v>
      </c>
      <c r="M644" s="8">
        <f t="shared" si="102"/>
        <v>9.1200000000000003E-2</v>
      </c>
      <c r="N644" s="8">
        <f t="shared" si="105"/>
        <v>9.5150000000000012E-2</v>
      </c>
      <c r="O644" s="296">
        <f t="shared" si="100"/>
        <v>1.6972763690981052E-2</v>
      </c>
      <c r="P644" s="8">
        <f t="shared" si="106"/>
        <v>1.3022763690981043E-2</v>
      </c>
      <c r="Q644" s="8">
        <f t="shared" si="107"/>
        <v>2.2115539978702081E-2</v>
      </c>
      <c r="R644" s="8">
        <f t="shared" si="108"/>
        <v>0.10099999999999999</v>
      </c>
      <c r="S644" s="296">
        <f t="shared" si="109"/>
        <v>-7.8884460021297911E-2</v>
      </c>
      <c r="U644" s="297"/>
      <c r="V644" s="297"/>
      <c r="W644" s="297"/>
      <c r="X644" s="297"/>
      <c r="Y644" s="297"/>
      <c r="Z644" s="297"/>
      <c r="AA644" s="297"/>
      <c r="AB644" s="297"/>
      <c r="AC644" s="297"/>
      <c r="AE644" s="297"/>
      <c r="AF644" s="297"/>
      <c r="AG644" s="297"/>
      <c r="AH644" s="297"/>
      <c r="AI644" s="297"/>
      <c r="AJ644" s="297"/>
      <c r="AK644" s="297"/>
      <c r="AL644" s="297"/>
      <c r="AM644" s="297"/>
      <c r="AO644" s="297"/>
      <c r="AP644" s="297"/>
      <c r="AQ644" s="297"/>
      <c r="AR644" s="297"/>
      <c r="AS644" s="297"/>
      <c r="AT644" s="297"/>
      <c r="AU644" s="297"/>
      <c r="AV644" s="297"/>
      <c r="AW644" s="297"/>
    </row>
    <row r="645" spans="1:49" x14ac:dyDescent="0.45">
      <c r="A645" s="295">
        <v>28976</v>
      </c>
      <c r="B645" s="12">
        <v>-2.1700000000000001E-2</v>
      </c>
      <c r="C645" s="5">
        <v>1.4999999999999999E-2</v>
      </c>
      <c r="D645" s="5">
        <v>7.7000000000000002E-3</v>
      </c>
      <c r="E645" s="5">
        <v>7.9166666666666656E-3</v>
      </c>
      <c r="F645" s="5">
        <v>8.2166666666666673E-3</v>
      </c>
      <c r="G645" s="5">
        <v>8.0666666666666664E-3</v>
      </c>
      <c r="H645" s="5">
        <v>8.5833333333333334E-3</v>
      </c>
      <c r="I645" s="5">
        <f t="shared" si="99"/>
        <v>-2.9400000000000003E-2</v>
      </c>
      <c r="J645" s="5">
        <f t="shared" si="103"/>
        <v>-2.9766666666666667E-2</v>
      </c>
      <c r="K645" s="5">
        <f t="shared" si="104"/>
        <v>6.416666666666666E-3</v>
      </c>
      <c r="L645" s="8">
        <f t="shared" si="101"/>
        <v>7.4242384778920645E-2</v>
      </c>
      <c r="M645" s="8">
        <f t="shared" si="102"/>
        <v>9.240000000000001E-2</v>
      </c>
      <c r="N645" s="8">
        <f t="shared" si="105"/>
        <v>9.6799999999999997E-2</v>
      </c>
      <c r="O645" s="296">
        <f t="shared" si="100"/>
        <v>-1.8157615221079365E-2</v>
      </c>
      <c r="P645" s="8">
        <f t="shared" si="106"/>
        <v>-2.2557615221079352E-2</v>
      </c>
      <c r="Q645" s="8">
        <f t="shared" si="107"/>
        <v>3.3005350073068485E-2</v>
      </c>
      <c r="R645" s="8">
        <f t="shared" si="108"/>
        <v>0.10300000000000001</v>
      </c>
      <c r="S645" s="296">
        <f t="shared" si="109"/>
        <v>-6.9994649926931524E-2</v>
      </c>
      <c r="U645" s="297"/>
      <c r="V645" s="297"/>
      <c r="W645" s="297"/>
      <c r="X645" s="297"/>
      <c r="Y645" s="297"/>
      <c r="Z645" s="297"/>
      <c r="AA645" s="297"/>
      <c r="AB645" s="297"/>
      <c r="AC645" s="297"/>
      <c r="AE645" s="297"/>
      <c r="AF645" s="297"/>
      <c r="AG645" s="297"/>
      <c r="AH645" s="297"/>
      <c r="AI645" s="297"/>
      <c r="AJ645" s="297"/>
      <c r="AK645" s="297"/>
      <c r="AL645" s="297"/>
      <c r="AM645" s="297"/>
      <c r="AO645" s="297"/>
      <c r="AP645" s="297"/>
      <c r="AQ645" s="297"/>
      <c r="AR645" s="297"/>
      <c r="AS645" s="297"/>
      <c r="AT645" s="297"/>
      <c r="AU645" s="297"/>
      <c r="AV645" s="297"/>
      <c r="AW645" s="297"/>
    </row>
    <row r="646" spans="1:49" x14ac:dyDescent="0.45">
      <c r="A646" s="295">
        <v>29007</v>
      </c>
      <c r="B646" s="12">
        <v>4.3499999999999997E-2</v>
      </c>
      <c r="C646" s="5">
        <v>3.8600000000000002E-2</v>
      </c>
      <c r="D646" s="5">
        <v>7.1000000000000004E-3</v>
      </c>
      <c r="E646" s="5">
        <v>7.7416666666666658E-3</v>
      </c>
      <c r="F646" s="5">
        <v>8.0499999999999999E-3</v>
      </c>
      <c r="G646" s="5">
        <v>7.8958333333333328E-3</v>
      </c>
      <c r="H646" s="5">
        <v>8.4500000000000009E-3</v>
      </c>
      <c r="I646" s="5">
        <f t="shared" ref="I646:I709" si="110">B646-D646</f>
        <v>3.6399999999999995E-2</v>
      </c>
      <c r="J646" s="5">
        <f t="shared" si="103"/>
        <v>3.5604166666666666E-2</v>
      </c>
      <c r="K646" s="5">
        <f t="shared" si="104"/>
        <v>3.0150000000000003E-2</v>
      </c>
      <c r="L646" s="8">
        <f t="shared" si="101"/>
        <v>0.13665780624295598</v>
      </c>
      <c r="M646" s="8">
        <f t="shared" si="102"/>
        <v>8.5199999999999998E-2</v>
      </c>
      <c r="N646" s="8">
        <f t="shared" si="105"/>
        <v>9.4750000000000001E-2</v>
      </c>
      <c r="O646" s="296">
        <f t="shared" si="100"/>
        <v>5.1457806242955983E-2</v>
      </c>
      <c r="P646" s="8">
        <f t="shared" si="106"/>
        <v>4.1907806242955981E-2</v>
      </c>
      <c r="Q646" s="8">
        <f t="shared" si="107"/>
        <v>6.9030845541937724E-2</v>
      </c>
      <c r="R646" s="8">
        <f t="shared" si="108"/>
        <v>0.10140000000000002</v>
      </c>
      <c r="S646" s="296">
        <f t="shared" si="109"/>
        <v>-3.2369154458062294E-2</v>
      </c>
      <c r="U646" s="297"/>
      <c r="V646" s="297"/>
      <c r="W646" s="297"/>
      <c r="X646" s="297"/>
      <c r="Y646" s="297"/>
      <c r="Z646" s="297"/>
      <c r="AA646" s="297"/>
      <c r="AB646" s="297"/>
      <c r="AC646" s="297"/>
      <c r="AE646" s="297"/>
      <c r="AF646" s="297"/>
      <c r="AG646" s="297"/>
      <c r="AH646" s="297"/>
      <c r="AI646" s="297"/>
      <c r="AJ646" s="297"/>
      <c r="AK646" s="297"/>
      <c r="AL646" s="297"/>
      <c r="AM646" s="297"/>
      <c r="AO646" s="297"/>
      <c r="AP646" s="297"/>
      <c r="AQ646" s="297"/>
      <c r="AR646" s="297"/>
      <c r="AS646" s="297"/>
      <c r="AT646" s="297"/>
      <c r="AU646" s="297"/>
      <c r="AV646" s="297"/>
      <c r="AW646" s="297"/>
    </row>
    <row r="647" spans="1:49" x14ac:dyDescent="0.45">
      <c r="A647" s="295">
        <v>29037</v>
      </c>
      <c r="B647" s="12">
        <v>1.34E-2</v>
      </c>
      <c r="C647" s="5">
        <v>3.4200000000000001E-2</v>
      </c>
      <c r="D647" s="5">
        <v>7.6E-3</v>
      </c>
      <c r="E647" s="5">
        <v>7.6666666666666662E-3</v>
      </c>
      <c r="F647" s="5">
        <v>7.9083333333333332E-3</v>
      </c>
      <c r="G647" s="5">
        <v>7.7875000000000002E-3</v>
      </c>
      <c r="H647" s="5">
        <v>8.3166666666666667E-3</v>
      </c>
      <c r="I647" s="5">
        <f t="shared" si="110"/>
        <v>5.8000000000000005E-3</v>
      </c>
      <c r="J647" s="5">
        <f t="shared" si="103"/>
        <v>5.6125000000000003E-3</v>
      </c>
      <c r="K647" s="5">
        <f t="shared" si="104"/>
        <v>2.5883333333333335E-2</v>
      </c>
      <c r="L647" s="8">
        <f t="shared" si="101"/>
        <v>8.8433356181245371E-2</v>
      </c>
      <c r="M647" s="8">
        <f t="shared" si="102"/>
        <v>9.1200000000000003E-2</v>
      </c>
      <c r="N647" s="8">
        <f t="shared" si="105"/>
        <v>9.3450000000000005E-2</v>
      </c>
      <c r="O647" s="296">
        <f t="shared" si="100"/>
        <v>-2.7666438187546327E-3</v>
      </c>
      <c r="P647" s="8">
        <f t="shared" si="106"/>
        <v>-5.0166438187546347E-3</v>
      </c>
      <c r="Q647" s="8">
        <f t="shared" si="107"/>
        <v>7.1725184625311744E-2</v>
      </c>
      <c r="R647" s="8">
        <f t="shared" si="108"/>
        <v>9.98E-2</v>
      </c>
      <c r="S647" s="296">
        <f t="shared" si="109"/>
        <v>-2.8074815374688256E-2</v>
      </c>
      <c r="U647" s="297"/>
      <c r="V647" s="297"/>
      <c r="W647" s="297"/>
      <c r="X647" s="297"/>
      <c r="Y647" s="297"/>
      <c r="Z647" s="297"/>
      <c r="AA647" s="297"/>
      <c r="AB647" s="297"/>
      <c r="AC647" s="297"/>
      <c r="AE647" s="297"/>
      <c r="AF647" s="297"/>
      <c r="AG647" s="297"/>
      <c r="AH647" s="297"/>
      <c r="AI647" s="297"/>
      <c r="AJ647" s="297"/>
      <c r="AK647" s="297"/>
      <c r="AL647" s="297"/>
      <c r="AM647" s="297"/>
      <c r="AO647" s="297"/>
      <c r="AP647" s="297"/>
      <c r="AQ647" s="297"/>
      <c r="AR647" s="297"/>
      <c r="AS647" s="297"/>
      <c r="AT647" s="297"/>
      <c r="AU647" s="297"/>
      <c r="AV647" s="297"/>
      <c r="AW647" s="297"/>
    </row>
    <row r="648" spans="1:49" x14ac:dyDescent="0.45">
      <c r="A648" s="295">
        <v>29068</v>
      </c>
      <c r="B648" s="12">
        <v>5.7700000000000001E-2</v>
      </c>
      <c r="C648" s="5">
        <v>1.0200000000000001E-2</v>
      </c>
      <c r="D648" s="5">
        <v>7.3000000000000001E-3</v>
      </c>
      <c r="E648" s="5">
        <v>7.691666666666667E-3</v>
      </c>
      <c r="F648" s="5">
        <v>7.9416666666666663E-3</v>
      </c>
      <c r="G648" s="5">
        <v>7.8166666666666662E-3</v>
      </c>
      <c r="H648" s="5">
        <v>8.4500000000000009E-3</v>
      </c>
      <c r="I648" s="5">
        <f t="shared" si="110"/>
        <v>5.04E-2</v>
      </c>
      <c r="J648" s="5">
        <f t="shared" si="103"/>
        <v>4.9883333333333335E-2</v>
      </c>
      <c r="K648" s="5">
        <f t="shared" si="104"/>
        <v>1.7499999999999998E-3</v>
      </c>
      <c r="L648" s="8">
        <f t="shared" si="101"/>
        <v>0.11759631184632879</v>
      </c>
      <c r="M648" s="8">
        <f t="shared" si="102"/>
        <v>8.7599999999999997E-2</v>
      </c>
      <c r="N648" s="8">
        <f t="shared" si="105"/>
        <v>9.3799999999999994E-2</v>
      </c>
      <c r="O648" s="296">
        <f t="shared" si="100"/>
        <v>2.9996311846328796E-2</v>
      </c>
      <c r="P648" s="8">
        <f t="shared" si="106"/>
        <v>2.3796311846328799E-2</v>
      </c>
      <c r="Q648" s="8">
        <f t="shared" si="107"/>
        <v>8.2981676011293137E-2</v>
      </c>
      <c r="R648" s="8">
        <f t="shared" si="108"/>
        <v>0.10140000000000002</v>
      </c>
      <c r="S648" s="296">
        <f t="shared" si="109"/>
        <v>-1.8418323988706881E-2</v>
      </c>
      <c r="U648" s="297"/>
      <c r="V648" s="297"/>
      <c r="W648" s="297"/>
      <c r="X648" s="297"/>
      <c r="Y648" s="297"/>
      <c r="Z648" s="297"/>
      <c r="AA648" s="297"/>
      <c r="AB648" s="297"/>
      <c r="AC648" s="297"/>
      <c r="AE648" s="297"/>
      <c r="AF648" s="297"/>
      <c r="AG648" s="297"/>
      <c r="AH648" s="297"/>
      <c r="AI648" s="297"/>
      <c r="AJ648" s="297"/>
      <c r="AK648" s="297"/>
      <c r="AL648" s="297"/>
      <c r="AM648" s="297"/>
      <c r="AO648" s="297"/>
      <c r="AP648" s="297"/>
      <c r="AQ648" s="297"/>
      <c r="AR648" s="297"/>
      <c r="AS648" s="297"/>
      <c r="AT648" s="297"/>
      <c r="AU648" s="297"/>
      <c r="AV648" s="297"/>
      <c r="AW648" s="297"/>
    </row>
    <row r="649" spans="1:49" x14ac:dyDescent="0.45">
      <c r="A649" s="295">
        <v>29099</v>
      </c>
      <c r="B649" s="12">
        <v>4.3E-3</v>
      </c>
      <c r="C649" s="5">
        <v>-1.77E-2</v>
      </c>
      <c r="D649" s="5">
        <v>6.7999999999999996E-3</v>
      </c>
      <c r="E649" s="5">
        <v>7.8666666666666659E-3</v>
      </c>
      <c r="F649" s="5">
        <v>8.083333333333333E-3</v>
      </c>
      <c r="G649" s="5">
        <v>7.9749999999999995E-3</v>
      </c>
      <c r="H649" s="5">
        <v>8.6333333333333331E-3</v>
      </c>
      <c r="I649" s="5">
        <f t="shared" si="110"/>
        <v>-2.4999999999999996E-3</v>
      </c>
      <c r="J649" s="5">
        <f t="shared" si="103"/>
        <v>-3.6749999999999994E-3</v>
      </c>
      <c r="K649" s="5">
        <f t="shared" si="104"/>
        <v>-2.6333333333333334E-2</v>
      </c>
      <c r="L649" s="8">
        <f t="shared" si="101"/>
        <v>0.12600519260359921</v>
      </c>
      <c r="M649" s="8">
        <f t="shared" si="102"/>
        <v>8.1599999999999992E-2</v>
      </c>
      <c r="N649" s="8">
        <f t="shared" si="105"/>
        <v>9.5699999999999993E-2</v>
      </c>
      <c r="O649" s="296">
        <f t="shared" si="100"/>
        <v>4.4405192603599222E-2</v>
      </c>
      <c r="P649" s="8">
        <f t="shared" si="106"/>
        <v>3.0305192603599221E-2</v>
      </c>
      <c r="Q649" s="8">
        <f t="shared" si="107"/>
        <v>6.9803801635049734E-2</v>
      </c>
      <c r="R649" s="8">
        <f t="shared" si="108"/>
        <v>0.1036</v>
      </c>
      <c r="S649" s="296">
        <f t="shared" si="109"/>
        <v>-3.3796198364950264E-2</v>
      </c>
      <c r="U649" s="297"/>
      <c r="V649" s="297"/>
      <c r="W649" s="297"/>
      <c r="X649" s="297"/>
      <c r="Y649" s="297"/>
      <c r="Z649" s="297"/>
      <c r="AA649" s="297"/>
      <c r="AB649" s="297"/>
      <c r="AC649" s="297"/>
      <c r="AE649" s="297"/>
      <c r="AF649" s="297"/>
      <c r="AG649" s="297"/>
      <c r="AH649" s="297"/>
      <c r="AI649" s="297"/>
      <c r="AJ649" s="297"/>
      <c r="AK649" s="297"/>
      <c r="AL649" s="297"/>
      <c r="AM649" s="297"/>
      <c r="AO649" s="297"/>
      <c r="AP649" s="297"/>
      <c r="AQ649" s="297"/>
      <c r="AR649" s="297"/>
      <c r="AS649" s="297"/>
      <c r="AT649" s="297"/>
      <c r="AU649" s="297"/>
      <c r="AV649" s="297"/>
      <c r="AW649" s="297"/>
    </row>
    <row r="650" spans="1:49" x14ac:dyDescent="0.45">
      <c r="A650" s="295">
        <v>29129</v>
      </c>
      <c r="B650" s="12">
        <v>-6.4000000000000001E-2</v>
      </c>
      <c r="C650" s="5">
        <v>-5.0499999999999996E-2</v>
      </c>
      <c r="D650" s="5">
        <v>8.2000000000000007E-3</v>
      </c>
      <c r="E650" s="5">
        <v>8.4416666666666668E-3</v>
      </c>
      <c r="F650" s="5">
        <v>8.7166666666666677E-3</v>
      </c>
      <c r="G650" s="5">
        <v>8.5791666666666672E-3</v>
      </c>
      <c r="H650" s="5">
        <v>9.5000000000000015E-3</v>
      </c>
      <c r="I650" s="5">
        <f t="shared" si="110"/>
        <v>-7.22E-2</v>
      </c>
      <c r="J650" s="5">
        <f t="shared" si="103"/>
        <v>-7.2579166666666667E-2</v>
      </c>
      <c r="K650" s="5">
        <f t="shared" si="104"/>
        <v>-0.06</v>
      </c>
      <c r="L650" s="8">
        <f t="shared" si="101"/>
        <v>0.15462408005802919</v>
      </c>
      <c r="M650" s="8">
        <f t="shared" si="102"/>
        <v>9.8400000000000015E-2</v>
      </c>
      <c r="N650" s="8">
        <f t="shared" si="105"/>
        <v>0.10295000000000001</v>
      </c>
      <c r="O650" s="296">
        <f t="shared" si="100"/>
        <v>5.6224080058029174E-2</v>
      </c>
      <c r="P650" s="8">
        <f t="shared" si="106"/>
        <v>5.1674080058029176E-2</v>
      </c>
      <c r="Q650" s="8">
        <f t="shared" si="107"/>
        <v>9.0359284727865807E-2</v>
      </c>
      <c r="R650" s="8">
        <f t="shared" si="108"/>
        <v>0.11400000000000002</v>
      </c>
      <c r="S650" s="296">
        <f t="shared" si="109"/>
        <v>-2.3640715272134211E-2</v>
      </c>
      <c r="U650" s="297"/>
      <c r="V650" s="297"/>
      <c r="W650" s="297"/>
      <c r="X650" s="297"/>
      <c r="Y650" s="297"/>
      <c r="Z650" s="297"/>
      <c r="AA650" s="297"/>
      <c r="AB650" s="297"/>
      <c r="AC650" s="297"/>
      <c r="AE650" s="297"/>
      <c r="AF650" s="297"/>
      <c r="AG650" s="297"/>
      <c r="AH650" s="297"/>
      <c r="AI650" s="297"/>
      <c r="AJ650" s="297"/>
      <c r="AK650" s="297"/>
      <c r="AL650" s="297"/>
      <c r="AM650" s="297"/>
      <c r="AO650" s="297"/>
      <c r="AP650" s="297"/>
      <c r="AQ650" s="297"/>
      <c r="AR650" s="297"/>
      <c r="AS650" s="297"/>
      <c r="AT650" s="297"/>
      <c r="AU650" s="297"/>
      <c r="AV650" s="297"/>
      <c r="AW650" s="297"/>
    </row>
    <row r="651" spans="1:49" x14ac:dyDescent="0.45">
      <c r="A651" s="295">
        <v>29160</v>
      </c>
      <c r="B651" s="12">
        <v>4.7500000000000001E-2</v>
      </c>
      <c r="C651" s="5">
        <v>6.0699999999999997E-2</v>
      </c>
      <c r="D651" s="5">
        <v>8.3000000000000001E-3</v>
      </c>
      <c r="E651" s="5">
        <v>8.9666666666666662E-3</v>
      </c>
      <c r="F651" s="5">
        <v>9.3500000000000007E-3</v>
      </c>
      <c r="G651" s="5">
        <v>9.1583333333333326E-3</v>
      </c>
      <c r="H651" s="5">
        <v>9.9083333333333332E-3</v>
      </c>
      <c r="I651" s="5">
        <f t="shared" si="110"/>
        <v>3.9199999999999999E-2</v>
      </c>
      <c r="J651" s="5">
        <f t="shared" si="103"/>
        <v>3.834166666666667E-2</v>
      </c>
      <c r="K651" s="5">
        <f t="shared" si="104"/>
        <v>5.0791666666666666E-2</v>
      </c>
      <c r="L651" s="8">
        <f t="shared" si="101"/>
        <v>0.18401245605559025</v>
      </c>
      <c r="M651" s="8">
        <f t="shared" si="102"/>
        <v>9.9599999999999994E-2</v>
      </c>
      <c r="N651" s="8">
        <f t="shared" si="105"/>
        <v>0.1099</v>
      </c>
      <c r="O651" s="296">
        <f t="shared" si="100"/>
        <v>8.4412456055590251E-2</v>
      </c>
      <c r="P651" s="8">
        <f t="shared" si="106"/>
        <v>7.4112456055590248E-2</v>
      </c>
      <c r="Q651" s="8">
        <f t="shared" si="107"/>
        <v>0.11678649412016884</v>
      </c>
      <c r="R651" s="8">
        <f t="shared" si="108"/>
        <v>0.11890000000000001</v>
      </c>
      <c r="S651" s="296">
        <f t="shared" si="109"/>
        <v>-2.1135058798311679E-3</v>
      </c>
      <c r="U651" s="297"/>
      <c r="V651" s="297"/>
      <c r="W651" s="297"/>
      <c r="X651" s="297"/>
      <c r="Y651" s="297"/>
      <c r="Z651" s="297"/>
      <c r="AA651" s="297"/>
      <c r="AB651" s="297"/>
      <c r="AC651" s="297"/>
      <c r="AE651" s="297"/>
      <c r="AF651" s="297"/>
      <c r="AG651" s="297"/>
      <c r="AH651" s="297"/>
      <c r="AI651" s="297"/>
      <c r="AJ651" s="297"/>
      <c r="AK651" s="297"/>
      <c r="AL651" s="297"/>
      <c r="AM651" s="297"/>
      <c r="AO651" s="297"/>
      <c r="AP651" s="297"/>
      <c r="AQ651" s="297"/>
      <c r="AR651" s="297"/>
      <c r="AS651" s="297"/>
      <c r="AT651" s="297"/>
      <c r="AU651" s="297"/>
      <c r="AV651" s="297"/>
      <c r="AW651" s="297"/>
    </row>
    <row r="652" spans="1:49" x14ac:dyDescent="0.45">
      <c r="A652" s="295">
        <v>29190</v>
      </c>
      <c r="B652" s="12">
        <v>2.1399999999999999E-2</v>
      </c>
      <c r="C652" s="5">
        <v>2.2000000000000006E-3</v>
      </c>
      <c r="D652" s="5">
        <v>8.3000000000000001E-3</v>
      </c>
      <c r="E652" s="5">
        <v>8.9499999999999996E-3</v>
      </c>
      <c r="F652" s="5">
        <v>9.2916666666666668E-3</v>
      </c>
      <c r="G652" s="5">
        <v>9.1208333333333332E-3</v>
      </c>
      <c r="H652" s="5">
        <v>1.0125E-2</v>
      </c>
      <c r="I652" s="5">
        <f t="shared" si="110"/>
        <v>1.3099999999999999E-2</v>
      </c>
      <c r="J652" s="5">
        <f t="shared" si="103"/>
        <v>1.2279166666666666E-2</v>
      </c>
      <c r="K652" s="5">
        <f t="shared" si="104"/>
        <v>-7.9249999999999998E-3</v>
      </c>
      <c r="L652" s="8">
        <f t="shared" si="101"/>
        <v>0.18610270950880725</v>
      </c>
      <c r="M652" s="8">
        <f t="shared" si="102"/>
        <v>9.9599999999999994E-2</v>
      </c>
      <c r="N652" s="8">
        <f t="shared" si="105"/>
        <v>0.10944999999999999</v>
      </c>
      <c r="O652" s="296">
        <f t="shared" si="100"/>
        <v>8.6502709508807257E-2</v>
      </c>
      <c r="P652" s="8">
        <f t="shared" si="106"/>
        <v>7.665270950880726E-2</v>
      </c>
      <c r="Q652" s="8">
        <f t="shared" si="107"/>
        <v>0.1361723930638854</v>
      </c>
      <c r="R652" s="8">
        <f t="shared" si="108"/>
        <v>0.1215</v>
      </c>
      <c r="S652" s="296">
        <f t="shared" si="109"/>
        <v>1.4672393063885403E-2</v>
      </c>
      <c r="U652" s="297"/>
      <c r="V652" s="297"/>
      <c r="W652" s="297"/>
      <c r="X652" s="297"/>
      <c r="Y652" s="297"/>
      <c r="Z652" s="297"/>
      <c r="AA652" s="297"/>
      <c r="AB652" s="297"/>
      <c r="AC652" s="297"/>
      <c r="AE652" s="297"/>
      <c r="AF652" s="297"/>
      <c r="AG652" s="297"/>
      <c r="AH652" s="297"/>
      <c r="AI652" s="297"/>
      <c r="AJ652" s="297"/>
      <c r="AK652" s="297"/>
      <c r="AL652" s="297"/>
      <c r="AM652" s="297"/>
      <c r="AO652" s="297"/>
      <c r="AP652" s="297"/>
      <c r="AQ652" s="297"/>
      <c r="AR652" s="297"/>
      <c r="AS652" s="297"/>
      <c r="AT652" s="297"/>
      <c r="AU652" s="297"/>
      <c r="AV652" s="297"/>
      <c r="AW652" s="297"/>
    </row>
    <row r="653" spans="1:49" x14ac:dyDescent="0.45">
      <c r="A653" s="295">
        <v>29221</v>
      </c>
      <c r="B653" s="12">
        <v>6.2199999999999998E-2</v>
      </c>
      <c r="C653" s="5">
        <v>-2.3E-3</v>
      </c>
      <c r="D653" s="5">
        <v>8.3000000000000001E-3</v>
      </c>
      <c r="E653" s="5">
        <v>9.2416666666666671E-3</v>
      </c>
      <c r="F653" s="5">
        <v>9.633333333333334E-3</v>
      </c>
      <c r="G653" s="5">
        <v>9.4375000000000014E-3</v>
      </c>
      <c r="H653" s="5">
        <v>1.0177083333333335E-2</v>
      </c>
      <c r="I653" s="5">
        <f t="shared" si="110"/>
        <v>5.3899999999999997E-2</v>
      </c>
      <c r="J653" s="5">
        <f t="shared" si="103"/>
        <v>5.2762499999999997E-2</v>
      </c>
      <c r="K653" s="5">
        <f t="shared" si="104"/>
        <v>-1.2477083333333335E-2</v>
      </c>
      <c r="L653" s="8">
        <f t="shared" si="101"/>
        <v>0.20643330272934546</v>
      </c>
      <c r="M653" s="8">
        <f t="shared" si="102"/>
        <v>9.9599999999999994E-2</v>
      </c>
      <c r="N653" s="8">
        <f t="shared" si="105"/>
        <v>0.11325000000000002</v>
      </c>
      <c r="O653" s="296">
        <f t="shared" si="100"/>
        <v>0.10683330272934546</v>
      </c>
      <c r="P653" s="8">
        <f t="shared" si="106"/>
        <v>9.3183302729345441E-2</v>
      </c>
      <c r="Q653" s="8">
        <f t="shared" si="107"/>
        <v>6.0193786531835825E-2</v>
      </c>
      <c r="R653" s="8">
        <f t="shared" si="108"/>
        <v>0.12212500000000001</v>
      </c>
      <c r="S653" s="296">
        <f t="shared" si="109"/>
        <v>-6.1931213468164187E-2</v>
      </c>
      <c r="U653" s="297"/>
      <c r="V653" s="297"/>
      <c r="W653" s="297"/>
      <c r="X653" s="297"/>
      <c r="Y653" s="297"/>
      <c r="Z653" s="297"/>
      <c r="AA653" s="297"/>
      <c r="AB653" s="297"/>
      <c r="AC653" s="297"/>
      <c r="AE653" s="297"/>
      <c r="AF653" s="297"/>
      <c r="AG653" s="297"/>
      <c r="AH653" s="297"/>
      <c r="AI653" s="297"/>
      <c r="AJ653" s="297"/>
      <c r="AK653" s="297"/>
      <c r="AL653" s="297"/>
      <c r="AM653" s="297"/>
      <c r="AO653" s="297"/>
      <c r="AP653" s="297"/>
      <c r="AQ653" s="297"/>
      <c r="AR653" s="297"/>
      <c r="AS653" s="297"/>
      <c r="AT653" s="297"/>
      <c r="AU653" s="297"/>
      <c r="AV653" s="297"/>
      <c r="AW653" s="297"/>
    </row>
    <row r="654" spans="1:49" x14ac:dyDescent="0.45">
      <c r="A654" s="295">
        <v>29252</v>
      </c>
      <c r="B654" s="12">
        <v>-1E-4</v>
      </c>
      <c r="C654" s="5">
        <v>-2.4700000000000003E-2</v>
      </c>
      <c r="D654" s="5">
        <v>8.3999999999999995E-3</v>
      </c>
      <c r="E654" s="5">
        <v>1.0316666666666667E-2</v>
      </c>
      <c r="F654" s="5">
        <v>1.0608333333333332E-2</v>
      </c>
      <c r="G654" s="5">
        <v>1.0462500000000001E-2</v>
      </c>
      <c r="H654" s="5">
        <v>1.1028333333333333E-2</v>
      </c>
      <c r="I654" s="5">
        <f t="shared" si="110"/>
        <v>-8.4999999999999989E-3</v>
      </c>
      <c r="J654" s="5">
        <f t="shared" si="103"/>
        <v>-1.0562500000000001E-2</v>
      </c>
      <c r="K654" s="5">
        <f t="shared" si="104"/>
        <v>-3.5728333333333334E-2</v>
      </c>
      <c r="L654" s="8">
        <f t="shared" si="101"/>
        <v>0.24631951585811751</v>
      </c>
      <c r="M654" s="8">
        <f t="shared" si="102"/>
        <v>0.1008</v>
      </c>
      <c r="N654" s="8">
        <f t="shared" si="105"/>
        <v>0.12555000000000002</v>
      </c>
      <c r="O654" s="296">
        <f t="shared" si="100"/>
        <v>0.14551951585811751</v>
      </c>
      <c r="P654" s="8">
        <f t="shared" si="106"/>
        <v>0.12076951585811749</v>
      </c>
      <c r="Q654" s="8">
        <f t="shared" si="107"/>
        <v>5.6402738051183787E-2</v>
      </c>
      <c r="R654" s="8">
        <f t="shared" si="108"/>
        <v>0.13233999999999999</v>
      </c>
      <c r="S654" s="296">
        <f t="shared" si="109"/>
        <v>-7.5937261948816198E-2</v>
      </c>
      <c r="U654" s="297"/>
      <c r="V654" s="297"/>
      <c r="W654" s="297"/>
      <c r="X654" s="297"/>
      <c r="Y654" s="297"/>
      <c r="Z654" s="297"/>
      <c r="AA654" s="297"/>
      <c r="AB654" s="297"/>
      <c r="AC654" s="297"/>
      <c r="AE654" s="297"/>
      <c r="AF654" s="297"/>
      <c r="AG654" s="297"/>
      <c r="AH654" s="297"/>
      <c r="AI654" s="297"/>
      <c r="AJ654" s="297"/>
      <c r="AK654" s="297"/>
      <c r="AL654" s="297"/>
      <c r="AM654" s="297"/>
      <c r="AO654" s="297"/>
      <c r="AP654" s="297"/>
      <c r="AQ654" s="297"/>
      <c r="AR654" s="297"/>
      <c r="AS654" s="297"/>
      <c r="AT654" s="297"/>
      <c r="AU654" s="297"/>
      <c r="AV654" s="297"/>
      <c r="AW654" s="297"/>
    </row>
    <row r="655" spans="1:49" x14ac:dyDescent="0.45">
      <c r="A655" s="295">
        <v>29281</v>
      </c>
      <c r="B655" s="12">
        <v>-9.7199999999999995E-2</v>
      </c>
      <c r="C655" s="5">
        <v>-5.2900000000000003E-2</v>
      </c>
      <c r="D655" s="5">
        <v>9.9000000000000008E-3</v>
      </c>
      <c r="E655" s="5">
        <v>1.0800000000000001E-2</v>
      </c>
      <c r="F655" s="5">
        <v>1.1258333333333332E-2</v>
      </c>
      <c r="G655" s="5">
        <v>1.1029166666666668E-2</v>
      </c>
      <c r="H655" s="5">
        <v>1.2158333333333333E-2</v>
      </c>
      <c r="I655" s="5">
        <f t="shared" si="110"/>
        <v>-0.1071</v>
      </c>
      <c r="J655" s="5">
        <f t="shared" si="103"/>
        <v>-0.10822916666666667</v>
      </c>
      <c r="K655" s="5">
        <f t="shared" si="104"/>
        <v>-6.5058333333333329E-2</v>
      </c>
      <c r="L655" s="8">
        <f t="shared" si="101"/>
        <v>6.1888692824376035E-2</v>
      </c>
      <c r="M655" s="8">
        <f t="shared" si="102"/>
        <v>0.11880000000000002</v>
      </c>
      <c r="N655" s="8">
        <f t="shared" si="105"/>
        <v>0.13235000000000002</v>
      </c>
      <c r="O655" s="296">
        <f t="shared" si="100"/>
        <v>-5.6911307175623982E-2</v>
      </c>
      <c r="P655" s="8">
        <f t="shared" si="106"/>
        <v>-7.0461307175623988E-2</v>
      </c>
      <c r="Q655" s="8">
        <f t="shared" si="107"/>
        <v>-1.8714169077798659E-2</v>
      </c>
      <c r="R655" s="8">
        <f t="shared" si="108"/>
        <v>0.1459</v>
      </c>
      <c r="S655" s="296">
        <f t="shared" si="109"/>
        <v>-0.16461416907779866</v>
      </c>
      <c r="U655" s="297"/>
      <c r="V655" s="297"/>
      <c r="W655" s="297"/>
      <c r="X655" s="297"/>
      <c r="Y655" s="297"/>
      <c r="Z655" s="297"/>
      <c r="AA655" s="297"/>
      <c r="AB655" s="297"/>
      <c r="AC655" s="297"/>
      <c r="AE655" s="297"/>
      <c r="AF655" s="297"/>
      <c r="AG655" s="297"/>
      <c r="AH655" s="297"/>
      <c r="AI655" s="297"/>
      <c r="AJ655" s="297"/>
      <c r="AK655" s="297"/>
      <c r="AL655" s="297"/>
      <c r="AM655" s="297"/>
      <c r="AO655" s="297"/>
      <c r="AP655" s="297"/>
      <c r="AQ655" s="297"/>
      <c r="AR655" s="297"/>
      <c r="AS655" s="297"/>
      <c r="AT655" s="297"/>
      <c r="AU655" s="297"/>
      <c r="AV655" s="297"/>
      <c r="AW655" s="297"/>
    </row>
    <row r="656" spans="1:49" x14ac:dyDescent="0.45">
      <c r="A656" s="295">
        <v>29312</v>
      </c>
      <c r="B656" s="12">
        <v>4.6199999999999998E-2</v>
      </c>
      <c r="C656" s="5">
        <v>0.1186</v>
      </c>
      <c r="D656" s="5">
        <v>0.01</v>
      </c>
      <c r="E656" s="5">
        <v>1.0033333333333332E-2</v>
      </c>
      <c r="F656" s="5">
        <v>1.0883333333333333E-2</v>
      </c>
      <c r="G656" s="5">
        <v>1.0458333333333333E-2</v>
      </c>
      <c r="H656" s="5">
        <v>1.1908333333333333E-2</v>
      </c>
      <c r="I656" s="5">
        <f t="shared" si="110"/>
        <v>3.6199999999999996E-2</v>
      </c>
      <c r="J656" s="5">
        <f t="shared" si="103"/>
        <v>3.5741666666666665E-2</v>
      </c>
      <c r="K656" s="5">
        <f t="shared" si="104"/>
        <v>0.10669166666666666</v>
      </c>
      <c r="L656" s="8">
        <f t="shared" si="101"/>
        <v>0.10399279581920129</v>
      </c>
      <c r="M656" s="8">
        <f t="shared" si="102"/>
        <v>0.12</v>
      </c>
      <c r="N656" s="8">
        <f t="shared" si="105"/>
        <v>0.1255</v>
      </c>
      <c r="O656" s="296">
        <f t="shared" ref="O656:O719" si="111">L656-M656</f>
        <v>-1.6007204180798706E-2</v>
      </c>
      <c r="P656" s="8">
        <f t="shared" si="106"/>
        <v>-2.1507204180798711E-2</v>
      </c>
      <c r="Q656" s="8">
        <f t="shared" si="107"/>
        <v>0.12569616497751457</v>
      </c>
      <c r="R656" s="8">
        <f t="shared" si="108"/>
        <v>0.1429</v>
      </c>
      <c r="S656" s="296">
        <f t="shared" si="109"/>
        <v>-1.7203835022485431E-2</v>
      </c>
      <c r="U656" s="297"/>
      <c r="V656" s="297"/>
      <c r="W656" s="297"/>
      <c r="X656" s="297"/>
      <c r="Y656" s="297"/>
      <c r="Z656" s="297"/>
      <c r="AA656" s="297"/>
      <c r="AB656" s="297"/>
      <c r="AC656" s="297"/>
      <c r="AE656" s="297"/>
      <c r="AF656" s="297"/>
      <c r="AG656" s="297"/>
      <c r="AH656" s="297"/>
      <c r="AI656" s="297"/>
      <c r="AJ656" s="297"/>
      <c r="AK656" s="297"/>
      <c r="AL656" s="297"/>
      <c r="AM656" s="297"/>
      <c r="AO656" s="297"/>
      <c r="AP656" s="297"/>
      <c r="AQ656" s="297"/>
      <c r="AR656" s="297"/>
      <c r="AS656" s="297"/>
      <c r="AT656" s="297"/>
      <c r="AU656" s="297"/>
      <c r="AV656" s="297"/>
      <c r="AW656" s="297"/>
    </row>
    <row r="657" spans="1:49" x14ac:dyDescent="0.45">
      <c r="A657" s="295">
        <v>29342</v>
      </c>
      <c r="B657" s="12">
        <v>5.1499999999999997E-2</v>
      </c>
      <c r="C657" s="5">
        <v>3.2299999999999995E-2</v>
      </c>
      <c r="D657" s="5">
        <v>8.6999999999999994E-3</v>
      </c>
      <c r="E657" s="5">
        <v>9.1583333333333343E-3</v>
      </c>
      <c r="F657" s="5">
        <v>9.9249999999999998E-3</v>
      </c>
      <c r="G657" s="5">
        <v>9.541666666666667E-3</v>
      </c>
      <c r="H657" s="5">
        <v>1.0613333333333334E-2</v>
      </c>
      <c r="I657" s="5">
        <f t="shared" si="110"/>
        <v>4.2799999999999998E-2</v>
      </c>
      <c r="J657" s="5">
        <f t="shared" si="103"/>
        <v>4.1958333333333334E-2</v>
      </c>
      <c r="K657" s="5">
        <f t="shared" si="104"/>
        <v>2.168666666666666E-2</v>
      </c>
      <c r="L657" s="8">
        <f t="shared" ref="L657:L720" si="112">((1+B646)*(1+B647)*(1+B648)*(1+B649)*(1+B650)*(1+B651)*(1+B652)*(1+B653)*(1+B654)*(1+B655)*(1+B656)*(1+B657))-1</f>
        <v>0.18659759256249631</v>
      </c>
      <c r="M657" s="8">
        <f t="shared" ref="M657:M720" si="113">D657*12</f>
        <v>0.10439999999999999</v>
      </c>
      <c r="N657" s="8">
        <f t="shared" si="105"/>
        <v>0.1145</v>
      </c>
      <c r="O657" s="296">
        <f t="shared" si="111"/>
        <v>8.2197592562496313E-2</v>
      </c>
      <c r="P657" s="8">
        <f t="shared" si="106"/>
        <v>7.2097592562496302E-2</v>
      </c>
      <c r="Q657" s="8">
        <f t="shared" si="107"/>
        <v>0.14488290749388066</v>
      </c>
      <c r="R657" s="8">
        <f t="shared" si="108"/>
        <v>0.12736</v>
      </c>
      <c r="S657" s="296">
        <f t="shared" si="109"/>
        <v>1.7522907493880663E-2</v>
      </c>
      <c r="U657" s="297"/>
      <c r="V657" s="297"/>
      <c r="W657" s="297"/>
      <c r="X657" s="297"/>
      <c r="Y657" s="297"/>
      <c r="Z657" s="297"/>
      <c r="AA657" s="297"/>
      <c r="AB657" s="297"/>
      <c r="AC657" s="297"/>
      <c r="AE657" s="297"/>
      <c r="AF657" s="297"/>
      <c r="AG657" s="297"/>
      <c r="AH657" s="297"/>
      <c r="AI657" s="297"/>
      <c r="AJ657" s="297"/>
      <c r="AK657" s="297"/>
      <c r="AL657" s="297"/>
      <c r="AM657" s="297"/>
      <c r="AO657" s="297"/>
      <c r="AP657" s="297"/>
      <c r="AQ657" s="297"/>
      <c r="AR657" s="297"/>
      <c r="AS657" s="297"/>
      <c r="AT657" s="297"/>
      <c r="AU657" s="297"/>
      <c r="AV657" s="297"/>
      <c r="AW657" s="297"/>
    </row>
    <row r="658" spans="1:49" x14ac:dyDescent="0.45">
      <c r="A658" s="295">
        <v>29373</v>
      </c>
      <c r="B658" s="12">
        <v>3.1600000000000003E-2</v>
      </c>
      <c r="C658" s="5">
        <v>3.3700000000000001E-2</v>
      </c>
      <c r="D658" s="5">
        <v>8.6E-3</v>
      </c>
      <c r="E658" s="5">
        <v>8.8166666666666671E-3</v>
      </c>
      <c r="F658" s="5">
        <v>9.4916666666666673E-3</v>
      </c>
      <c r="G658" s="5">
        <v>9.1541666666666681E-3</v>
      </c>
      <c r="H658" s="5">
        <v>1.033125E-2</v>
      </c>
      <c r="I658" s="5">
        <f t="shared" si="110"/>
        <v>2.3000000000000003E-2</v>
      </c>
      <c r="J658" s="5">
        <f t="shared" si="103"/>
        <v>2.2445833333333335E-2</v>
      </c>
      <c r="K658" s="5">
        <f t="shared" si="104"/>
        <v>2.3368750000000001E-2</v>
      </c>
      <c r="L658" s="8">
        <f t="shared" si="112"/>
        <v>0.17306571776470658</v>
      </c>
      <c r="M658" s="8">
        <f t="shared" si="113"/>
        <v>0.1032</v>
      </c>
      <c r="N658" s="8">
        <f t="shared" si="105"/>
        <v>0.10985000000000002</v>
      </c>
      <c r="O658" s="296">
        <f t="shared" si="111"/>
        <v>6.9865717764706584E-2</v>
      </c>
      <c r="P658" s="8">
        <f t="shared" si="106"/>
        <v>6.3215717764706567E-2</v>
      </c>
      <c r="Q658" s="8">
        <f t="shared" si="107"/>
        <v>0.13948147648413611</v>
      </c>
      <c r="R658" s="8">
        <f t="shared" si="108"/>
        <v>0.123975</v>
      </c>
      <c r="S658" s="296">
        <f t="shared" si="109"/>
        <v>1.5506476484136111E-2</v>
      </c>
      <c r="U658" s="297"/>
      <c r="V658" s="297"/>
      <c r="W658" s="297"/>
      <c r="X658" s="297"/>
      <c r="Y658" s="297"/>
      <c r="Z658" s="297"/>
      <c r="AA658" s="297"/>
      <c r="AB658" s="297"/>
      <c r="AC658" s="297"/>
      <c r="AE658" s="297"/>
      <c r="AF658" s="297"/>
      <c r="AG658" s="297"/>
      <c r="AH658" s="297"/>
      <c r="AI658" s="297"/>
      <c r="AJ658" s="297"/>
      <c r="AK658" s="297"/>
      <c r="AL658" s="297"/>
      <c r="AM658" s="297"/>
      <c r="AO658" s="297"/>
      <c r="AP658" s="297"/>
      <c r="AQ658" s="297"/>
      <c r="AR658" s="297"/>
      <c r="AS658" s="297"/>
      <c r="AT658" s="297"/>
      <c r="AU658" s="297"/>
      <c r="AV658" s="297"/>
      <c r="AW658" s="297"/>
    </row>
    <row r="659" spans="1:49" x14ac:dyDescent="0.45">
      <c r="A659" s="295">
        <v>29403</v>
      </c>
      <c r="B659" s="12">
        <v>6.9599999999999995E-2</v>
      </c>
      <c r="C659" s="5">
        <v>-4.0999999999999995E-3</v>
      </c>
      <c r="D659" s="5">
        <v>8.3999999999999995E-3</v>
      </c>
      <c r="E659" s="5">
        <v>9.2250000000000006E-3</v>
      </c>
      <c r="F659" s="5">
        <v>9.5250000000000005E-3</v>
      </c>
      <c r="G659" s="5">
        <v>9.3749999999999997E-3</v>
      </c>
      <c r="H659" s="5">
        <v>1.0127083333333333E-2</v>
      </c>
      <c r="I659" s="5">
        <f t="shared" si="110"/>
        <v>6.1199999999999997E-2</v>
      </c>
      <c r="J659" s="5">
        <f t="shared" si="103"/>
        <v>6.0224999999999994E-2</v>
      </c>
      <c r="K659" s="5">
        <f t="shared" si="104"/>
        <v>-1.4227083333333333E-2</v>
      </c>
      <c r="L659" s="8">
        <f t="shared" si="112"/>
        <v>0.23812027996953811</v>
      </c>
      <c r="M659" s="8">
        <f t="shared" si="113"/>
        <v>0.1008</v>
      </c>
      <c r="N659" s="8">
        <f t="shared" si="105"/>
        <v>0.11249999999999999</v>
      </c>
      <c r="O659" s="296">
        <f t="shared" si="111"/>
        <v>0.13732027996953811</v>
      </c>
      <c r="P659" s="8">
        <f t="shared" si="106"/>
        <v>0.12562027996953812</v>
      </c>
      <c r="Q659" s="8">
        <f t="shared" si="107"/>
        <v>9.7282539577017602E-2</v>
      </c>
      <c r="R659" s="8">
        <f t="shared" si="108"/>
        <v>0.12152499999999999</v>
      </c>
      <c r="S659" s="296">
        <f t="shared" si="109"/>
        <v>-2.4242460422982393E-2</v>
      </c>
      <c r="U659" s="297"/>
      <c r="V659" s="297"/>
      <c r="W659" s="297"/>
      <c r="X659" s="297"/>
      <c r="Y659" s="297"/>
      <c r="Z659" s="297"/>
      <c r="AA659" s="297"/>
      <c r="AB659" s="297"/>
      <c r="AC659" s="297"/>
      <c r="AE659" s="297"/>
      <c r="AF659" s="297"/>
      <c r="AG659" s="297"/>
      <c r="AH659" s="297"/>
      <c r="AI659" s="297"/>
      <c r="AJ659" s="297"/>
      <c r="AK659" s="297"/>
      <c r="AL659" s="297"/>
      <c r="AM659" s="297"/>
      <c r="AO659" s="297"/>
      <c r="AP659" s="297"/>
      <c r="AQ659" s="297"/>
      <c r="AR659" s="297"/>
      <c r="AS659" s="297"/>
      <c r="AT659" s="297"/>
      <c r="AU659" s="297"/>
      <c r="AV659" s="297"/>
      <c r="AW659" s="297"/>
    </row>
    <row r="660" spans="1:49" x14ac:dyDescent="0.45">
      <c r="A660" s="295">
        <v>29434</v>
      </c>
      <c r="B660" s="12">
        <v>1.01E-2</v>
      </c>
      <c r="C660" s="5">
        <v>-1.3899999999999999E-2</v>
      </c>
      <c r="D660" s="5">
        <v>8.0999999999999996E-3</v>
      </c>
      <c r="E660" s="5">
        <v>9.7000000000000003E-3</v>
      </c>
      <c r="F660" s="5">
        <v>1.0075000000000001E-2</v>
      </c>
      <c r="G660" s="5">
        <v>9.8875000000000005E-3</v>
      </c>
      <c r="H660" s="5">
        <v>1.0549999999999999E-2</v>
      </c>
      <c r="I660" s="5">
        <f t="shared" si="110"/>
        <v>2E-3</v>
      </c>
      <c r="J660" s="5">
        <f t="shared" si="103"/>
        <v>2.1249999999999915E-4</v>
      </c>
      <c r="K660" s="5">
        <f t="shared" si="104"/>
        <v>-2.445E-2</v>
      </c>
      <c r="L660" s="8">
        <f t="shared" si="112"/>
        <v>0.18240077034814273</v>
      </c>
      <c r="M660" s="8">
        <f t="shared" si="113"/>
        <v>9.7199999999999995E-2</v>
      </c>
      <c r="N660" s="8">
        <f t="shared" si="105"/>
        <v>0.11865000000000001</v>
      </c>
      <c r="O660" s="296">
        <f t="shared" si="111"/>
        <v>8.5200770348142732E-2</v>
      </c>
      <c r="P660" s="8">
        <f t="shared" si="106"/>
        <v>6.3750770348142721E-2</v>
      </c>
      <c r="Q660" s="8">
        <f t="shared" si="107"/>
        <v>7.1105040860123703E-2</v>
      </c>
      <c r="R660" s="8">
        <f t="shared" si="108"/>
        <v>0.12659999999999999</v>
      </c>
      <c r="S660" s="296">
        <f t="shared" si="109"/>
        <v>-5.5494959139876288E-2</v>
      </c>
      <c r="U660" s="297"/>
      <c r="V660" s="297"/>
      <c r="W660" s="297"/>
      <c r="X660" s="297"/>
      <c r="Y660" s="297"/>
      <c r="Z660" s="297"/>
      <c r="AA660" s="297"/>
      <c r="AB660" s="297"/>
      <c r="AC660" s="297"/>
      <c r="AE660" s="297"/>
      <c r="AF660" s="297"/>
      <c r="AG660" s="297"/>
      <c r="AH660" s="297"/>
      <c r="AI660" s="297"/>
      <c r="AJ660" s="297"/>
      <c r="AK660" s="297"/>
      <c r="AL660" s="297"/>
      <c r="AM660" s="297"/>
      <c r="AO660" s="297"/>
      <c r="AP660" s="297"/>
      <c r="AQ660" s="297"/>
      <c r="AR660" s="297"/>
      <c r="AS660" s="297"/>
      <c r="AT660" s="297"/>
      <c r="AU660" s="297"/>
      <c r="AV660" s="297"/>
      <c r="AW660" s="297"/>
    </row>
    <row r="661" spans="1:49" x14ac:dyDescent="0.45">
      <c r="A661" s="295">
        <v>29465</v>
      </c>
      <c r="B661" s="12">
        <v>2.9399999999999999E-2</v>
      </c>
      <c r="C661" s="5">
        <v>-1.14E-2</v>
      </c>
      <c r="D661" s="5">
        <v>9.7000000000000003E-3</v>
      </c>
      <c r="E661" s="5">
        <v>1.0016666666666667E-2</v>
      </c>
      <c r="F661" s="5">
        <v>1.0433333333333333E-2</v>
      </c>
      <c r="G661" s="5">
        <v>1.0225E-2</v>
      </c>
      <c r="H661" s="5">
        <v>1.1077083333333333E-2</v>
      </c>
      <c r="I661" s="5">
        <f t="shared" si="110"/>
        <v>1.9699999999999999E-2</v>
      </c>
      <c r="J661" s="5">
        <f t="shared" si="103"/>
        <v>1.9174999999999998E-2</v>
      </c>
      <c r="K661" s="5">
        <f t="shared" si="104"/>
        <v>-2.2477083333333335E-2</v>
      </c>
      <c r="L661" s="8">
        <f t="shared" si="112"/>
        <v>0.21195195957022617</v>
      </c>
      <c r="M661" s="8">
        <f t="shared" si="113"/>
        <v>0.1164</v>
      </c>
      <c r="N661" s="8">
        <f t="shared" si="105"/>
        <v>0.1227</v>
      </c>
      <c r="O661" s="296">
        <f t="shared" si="111"/>
        <v>9.5551959570226164E-2</v>
      </c>
      <c r="P661" s="8">
        <f t="shared" si="106"/>
        <v>8.9251959570226164E-2</v>
      </c>
      <c r="Q661" s="8">
        <f t="shared" si="107"/>
        <v>7.7974593702858863E-2</v>
      </c>
      <c r="R661" s="8">
        <f t="shared" si="108"/>
        <v>0.13292499999999999</v>
      </c>
      <c r="S661" s="296">
        <f t="shared" si="109"/>
        <v>-5.4950406297141124E-2</v>
      </c>
      <c r="U661" s="297"/>
      <c r="V661" s="297"/>
      <c r="W661" s="297"/>
      <c r="X661" s="297"/>
      <c r="Y661" s="297"/>
      <c r="Z661" s="297"/>
      <c r="AA661" s="297"/>
      <c r="AB661" s="297"/>
      <c r="AC661" s="297"/>
      <c r="AE661" s="297"/>
      <c r="AF661" s="297"/>
      <c r="AG661" s="297"/>
      <c r="AH661" s="297"/>
      <c r="AI661" s="297"/>
      <c r="AJ661" s="297"/>
      <c r="AK661" s="297"/>
      <c r="AL661" s="297"/>
      <c r="AM661" s="297"/>
      <c r="AO661" s="297"/>
      <c r="AP661" s="297"/>
      <c r="AQ661" s="297"/>
      <c r="AR661" s="297"/>
      <c r="AS661" s="297"/>
      <c r="AT661" s="297"/>
      <c r="AU661" s="297"/>
      <c r="AV661" s="297"/>
      <c r="AW661" s="297"/>
    </row>
    <row r="662" spans="1:49" x14ac:dyDescent="0.45">
      <c r="A662" s="295">
        <v>29495</v>
      </c>
      <c r="B662" s="12">
        <v>2.0199999999999999E-2</v>
      </c>
      <c r="C662" s="5">
        <v>2.7400000000000001E-2</v>
      </c>
      <c r="D662" s="5">
        <v>9.7000000000000003E-3</v>
      </c>
      <c r="E662" s="5">
        <v>1.0258333333333335E-2</v>
      </c>
      <c r="F662" s="5">
        <v>1.0566666666666667E-2</v>
      </c>
      <c r="G662" s="5">
        <v>1.04125E-2</v>
      </c>
      <c r="H662" s="5">
        <v>1.1279999999999998E-2</v>
      </c>
      <c r="I662" s="5">
        <f t="shared" si="110"/>
        <v>1.0499999999999999E-2</v>
      </c>
      <c r="J662" s="5">
        <f t="shared" si="103"/>
        <v>9.7874999999999993E-3</v>
      </c>
      <c r="K662" s="5">
        <f t="shared" si="104"/>
        <v>1.6120000000000002E-2</v>
      </c>
      <c r="L662" s="8">
        <f t="shared" si="112"/>
        <v>0.32097584311276184</v>
      </c>
      <c r="M662" s="8">
        <f t="shared" si="113"/>
        <v>0.1164</v>
      </c>
      <c r="N662" s="8">
        <f t="shared" si="105"/>
        <v>0.12495000000000001</v>
      </c>
      <c r="O662" s="296">
        <f t="shared" si="111"/>
        <v>0.20457584311276183</v>
      </c>
      <c r="P662" s="8">
        <f t="shared" si="106"/>
        <v>0.19602584311276183</v>
      </c>
      <c r="Q662" s="8">
        <f t="shared" si="107"/>
        <v>0.16641505799928114</v>
      </c>
      <c r="R662" s="8">
        <f t="shared" si="108"/>
        <v>0.13535999999999998</v>
      </c>
      <c r="S662" s="296">
        <f t="shared" si="109"/>
        <v>3.1055057999281155E-2</v>
      </c>
      <c r="U662" s="297"/>
      <c r="V662" s="297"/>
      <c r="W662" s="297"/>
      <c r="X662" s="297"/>
      <c r="Y662" s="297"/>
      <c r="Z662" s="297"/>
      <c r="AA662" s="297"/>
      <c r="AB662" s="297"/>
      <c r="AC662" s="297"/>
      <c r="AE662" s="297"/>
      <c r="AF662" s="297"/>
      <c r="AG662" s="297"/>
      <c r="AH662" s="297"/>
      <c r="AI662" s="297"/>
      <c r="AJ662" s="297"/>
      <c r="AK662" s="297"/>
      <c r="AL662" s="297"/>
      <c r="AM662" s="297"/>
      <c r="AO662" s="297"/>
      <c r="AP662" s="297"/>
      <c r="AQ662" s="297"/>
      <c r="AR662" s="297"/>
      <c r="AS662" s="297"/>
      <c r="AT662" s="297"/>
      <c r="AU662" s="297"/>
      <c r="AV662" s="297"/>
      <c r="AW662" s="297"/>
    </row>
    <row r="663" spans="1:49" x14ac:dyDescent="0.45">
      <c r="A663" s="295">
        <v>29526</v>
      </c>
      <c r="B663" s="12">
        <v>0.1065</v>
      </c>
      <c r="C663" s="5">
        <v>5.0099999999999999E-2</v>
      </c>
      <c r="D663" s="5">
        <v>9.1000000000000004E-3</v>
      </c>
      <c r="E663" s="5">
        <v>1.0808333333333333E-2</v>
      </c>
      <c r="F663" s="5">
        <v>1.1116666666666665E-2</v>
      </c>
      <c r="G663" s="5">
        <v>1.09625E-2</v>
      </c>
      <c r="H663" s="5">
        <v>1.1677083333333333E-2</v>
      </c>
      <c r="I663" s="5">
        <f t="shared" si="110"/>
        <v>9.74E-2</v>
      </c>
      <c r="J663" s="5">
        <f t="shared" si="103"/>
        <v>9.5537499999999997E-2</v>
      </c>
      <c r="K663" s="5">
        <f t="shared" si="104"/>
        <v>3.8422916666666668E-2</v>
      </c>
      <c r="L663" s="8">
        <f t="shared" si="112"/>
        <v>0.39537925575586663</v>
      </c>
      <c r="M663" s="8">
        <f t="shared" si="113"/>
        <v>0.10920000000000001</v>
      </c>
      <c r="N663" s="8">
        <f t="shared" si="105"/>
        <v>0.13155</v>
      </c>
      <c r="O663" s="296">
        <f t="shared" si="111"/>
        <v>0.28617925575586661</v>
      </c>
      <c r="P663" s="8">
        <f t="shared" si="106"/>
        <v>0.26382925575586663</v>
      </c>
      <c r="Q663" s="8">
        <f t="shared" si="107"/>
        <v>0.15475860507687855</v>
      </c>
      <c r="R663" s="8">
        <f t="shared" si="108"/>
        <v>0.140125</v>
      </c>
      <c r="S663" s="296">
        <f t="shared" si="109"/>
        <v>1.4633605076878553E-2</v>
      </c>
      <c r="U663" s="297"/>
      <c r="V663" s="297"/>
      <c r="W663" s="297"/>
      <c r="X663" s="297"/>
      <c r="Y663" s="297"/>
      <c r="Z663" s="297"/>
      <c r="AA663" s="297"/>
      <c r="AB663" s="297"/>
      <c r="AC663" s="297"/>
      <c r="AE663" s="297"/>
      <c r="AF663" s="297"/>
      <c r="AG663" s="297"/>
      <c r="AH663" s="297"/>
      <c r="AI663" s="297"/>
      <c r="AJ663" s="297"/>
      <c r="AK663" s="297"/>
      <c r="AL663" s="297"/>
      <c r="AM663" s="297"/>
      <c r="AO663" s="297"/>
      <c r="AP663" s="297"/>
      <c r="AQ663" s="297"/>
      <c r="AR663" s="297"/>
      <c r="AS663" s="297"/>
      <c r="AT663" s="297"/>
      <c r="AU663" s="297"/>
      <c r="AV663" s="297"/>
      <c r="AW663" s="297"/>
    </row>
    <row r="664" spans="1:49" x14ac:dyDescent="0.45">
      <c r="A664" s="295">
        <v>29556</v>
      </c>
      <c r="B664" s="12">
        <v>-3.0200000000000001E-2</v>
      </c>
      <c r="C664" s="5">
        <v>-1.4000000000000002E-3</v>
      </c>
      <c r="D664" s="5">
        <v>1.0800000000000001E-2</v>
      </c>
      <c r="E664" s="5">
        <v>1.1008333333333334E-2</v>
      </c>
      <c r="F664" s="5">
        <v>1.1483333333333332E-2</v>
      </c>
      <c r="G664" s="5">
        <v>1.1245833333333333E-2</v>
      </c>
      <c r="H664" s="5">
        <v>1.2216666666666667E-2</v>
      </c>
      <c r="I664" s="5">
        <f t="shared" si="110"/>
        <v>-4.1000000000000002E-2</v>
      </c>
      <c r="J664" s="5">
        <f t="shared" si="103"/>
        <v>-4.1445833333333335E-2</v>
      </c>
      <c r="K664" s="5">
        <f t="shared" si="104"/>
        <v>-1.3616666666666668E-2</v>
      </c>
      <c r="L664" s="8">
        <f t="shared" si="112"/>
        <v>0.32488623676526296</v>
      </c>
      <c r="M664" s="8">
        <f t="shared" si="113"/>
        <v>0.12959999999999999</v>
      </c>
      <c r="N664" s="8">
        <f t="shared" si="105"/>
        <v>0.13495000000000001</v>
      </c>
      <c r="O664" s="296">
        <f t="shared" si="111"/>
        <v>0.19528623676526297</v>
      </c>
      <c r="P664" s="8">
        <f t="shared" si="106"/>
        <v>0.18993623676526294</v>
      </c>
      <c r="Q664" s="8">
        <f t="shared" si="107"/>
        <v>0.15061059971040835</v>
      </c>
      <c r="R664" s="8">
        <f t="shared" si="108"/>
        <v>0.14660000000000001</v>
      </c>
      <c r="S664" s="296">
        <f t="shared" si="109"/>
        <v>4.0105997104083468E-3</v>
      </c>
      <c r="U664" s="297"/>
      <c r="V664" s="297"/>
      <c r="W664" s="297"/>
      <c r="X664" s="297"/>
      <c r="Y664" s="297"/>
      <c r="Z664" s="297"/>
      <c r="AA664" s="297"/>
      <c r="AB664" s="297"/>
      <c r="AC664" s="297"/>
      <c r="AE664" s="297"/>
      <c r="AF664" s="297"/>
      <c r="AG664" s="297"/>
      <c r="AH664" s="297"/>
      <c r="AI664" s="297"/>
      <c r="AJ664" s="297"/>
      <c r="AK664" s="297"/>
      <c r="AL664" s="297"/>
      <c r="AM664" s="297"/>
      <c r="AO664" s="297"/>
      <c r="AP664" s="297"/>
      <c r="AQ664" s="297"/>
      <c r="AR664" s="297"/>
      <c r="AS664" s="297"/>
      <c r="AT664" s="297"/>
      <c r="AU664" s="297"/>
      <c r="AV664" s="297"/>
      <c r="AW664" s="297"/>
    </row>
    <row r="665" spans="1:49" x14ac:dyDescent="0.45">
      <c r="A665" s="295">
        <v>29587</v>
      </c>
      <c r="B665" s="12">
        <v>-4.1799999999999997E-2</v>
      </c>
      <c r="C665" s="5">
        <v>-1.8600000000000002E-2</v>
      </c>
      <c r="D665" s="5">
        <v>9.4000000000000004E-3</v>
      </c>
      <c r="E665" s="5">
        <v>1.0675E-2</v>
      </c>
      <c r="F665" s="5">
        <v>1.1266666666666668E-2</v>
      </c>
      <c r="G665" s="5">
        <v>1.0970833333333334E-2</v>
      </c>
      <c r="H665" s="5">
        <v>1.1894999999999999E-2</v>
      </c>
      <c r="I665" s="5">
        <f t="shared" si="110"/>
        <v>-5.1199999999999996E-2</v>
      </c>
      <c r="J665" s="5">
        <f t="shared" si="103"/>
        <v>-5.2770833333333329E-2</v>
      </c>
      <c r="K665" s="5">
        <f t="shared" si="104"/>
        <v>-3.0495000000000001E-2</v>
      </c>
      <c r="L665" s="8">
        <f t="shared" si="112"/>
        <v>0.19516662781818406</v>
      </c>
      <c r="M665" s="8">
        <f t="shared" si="113"/>
        <v>0.11280000000000001</v>
      </c>
      <c r="N665" s="8">
        <f t="shared" si="105"/>
        <v>0.13165000000000002</v>
      </c>
      <c r="O665" s="296">
        <f t="shared" si="111"/>
        <v>8.2366627818184046E-2</v>
      </c>
      <c r="P665" s="8">
        <f t="shared" si="106"/>
        <v>6.351662781818404E-2</v>
      </c>
      <c r="Q665" s="8">
        <f t="shared" si="107"/>
        <v>0.13181241110132769</v>
      </c>
      <c r="R665" s="8">
        <f t="shared" si="108"/>
        <v>0.14273999999999998</v>
      </c>
      <c r="S665" s="296">
        <f t="shared" si="109"/>
        <v>-1.0927588898672291E-2</v>
      </c>
      <c r="U665" s="297"/>
      <c r="V665" s="297"/>
      <c r="W665" s="297"/>
      <c r="X665" s="297"/>
      <c r="Y665" s="297"/>
      <c r="Z665" s="297"/>
      <c r="AA665" s="297"/>
      <c r="AB665" s="297"/>
      <c r="AC665" s="297"/>
      <c r="AE665" s="297"/>
      <c r="AF665" s="297"/>
      <c r="AG665" s="297"/>
      <c r="AH665" s="297"/>
      <c r="AI665" s="297"/>
      <c r="AJ665" s="297"/>
      <c r="AK665" s="297"/>
      <c r="AL665" s="297"/>
      <c r="AM665" s="297"/>
      <c r="AO665" s="297"/>
      <c r="AP665" s="297"/>
      <c r="AQ665" s="297"/>
      <c r="AR665" s="297"/>
      <c r="AS665" s="297"/>
      <c r="AT665" s="297"/>
      <c r="AU665" s="297"/>
      <c r="AV665" s="297"/>
      <c r="AW665" s="297"/>
    </row>
    <row r="666" spans="1:49" x14ac:dyDescent="0.45">
      <c r="A666" s="295">
        <v>29618</v>
      </c>
      <c r="B666" s="12">
        <v>1.7399999999999999E-2</v>
      </c>
      <c r="C666" s="5">
        <v>-2.2400000000000003E-2</v>
      </c>
      <c r="D666" s="5">
        <v>8.8000000000000005E-3</v>
      </c>
      <c r="E666" s="5">
        <v>1.1125000000000001E-2</v>
      </c>
      <c r="F666" s="5">
        <v>1.1575E-2</v>
      </c>
      <c r="G666" s="5">
        <v>1.1350000000000001E-2</v>
      </c>
      <c r="H666" s="5">
        <v>1.2233333333333334E-2</v>
      </c>
      <c r="I666" s="5">
        <f t="shared" si="110"/>
        <v>8.5999999999999983E-3</v>
      </c>
      <c r="J666" s="5">
        <f t="shared" si="103"/>
        <v>6.0499999999999981E-3</v>
      </c>
      <c r="K666" s="5">
        <f t="shared" si="104"/>
        <v>-3.4633333333333335E-2</v>
      </c>
      <c r="L666" s="8">
        <f t="shared" si="112"/>
        <v>0.21608413555577588</v>
      </c>
      <c r="M666" s="8">
        <f t="shared" si="113"/>
        <v>0.1056</v>
      </c>
      <c r="N666" s="8">
        <f t="shared" si="105"/>
        <v>0.13620000000000002</v>
      </c>
      <c r="O666" s="296">
        <f t="shared" si="111"/>
        <v>0.11048413555577588</v>
      </c>
      <c r="P666" s="8">
        <f t="shared" si="106"/>
        <v>7.9884135555775865E-2</v>
      </c>
      <c r="Q666" s="8">
        <f t="shared" si="107"/>
        <v>0.13448150629822408</v>
      </c>
      <c r="R666" s="8">
        <f t="shared" si="108"/>
        <v>0.14680000000000001</v>
      </c>
      <c r="S666" s="296">
        <f t="shared" si="109"/>
        <v>-1.2318493701775929E-2</v>
      </c>
      <c r="U666" s="297"/>
      <c r="V666" s="297"/>
      <c r="W666" s="297"/>
      <c r="X666" s="297"/>
      <c r="Y666" s="297"/>
      <c r="Z666" s="297"/>
      <c r="AA666" s="297"/>
      <c r="AB666" s="297"/>
      <c r="AC666" s="297"/>
      <c r="AE666" s="297"/>
      <c r="AF666" s="297"/>
      <c r="AG666" s="297"/>
      <c r="AH666" s="297"/>
      <c r="AI666" s="297"/>
      <c r="AJ666" s="297"/>
      <c r="AK666" s="297"/>
      <c r="AL666" s="297"/>
      <c r="AM666" s="297"/>
      <c r="AO666" s="297"/>
      <c r="AP666" s="297"/>
      <c r="AQ666" s="297"/>
      <c r="AR666" s="297"/>
      <c r="AS666" s="297"/>
      <c r="AT666" s="297"/>
      <c r="AU666" s="297"/>
      <c r="AV666" s="297"/>
      <c r="AW666" s="297"/>
    </row>
    <row r="667" spans="1:49" x14ac:dyDescent="0.45">
      <c r="A667" s="295">
        <v>29646</v>
      </c>
      <c r="B667" s="12">
        <v>0.04</v>
      </c>
      <c r="C667" s="5">
        <v>4.2000000000000003E-2</v>
      </c>
      <c r="D667" s="5">
        <v>1.11E-2</v>
      </c>
      <c r="E667" s="5">
        <v>1.1108333333333333E-2</v>
      </c>
      <c r="F667" s="5">
        <v>1.1583333333333334E-2</v>
      </c>
      <c r="G667" s="5">
        <v>1.1345833333333335E-2</v>
      </c>
      <c r="H667" s="5">
        <v>1.2604166666666668E-2</v>
      </c>
      <c r="I667" s="5">
        <f t="shared" si="110"/>
        <v>2.8900000000000002E-2</v>
      </c>
      <c r="J667" s="5">
        <f t="shared" si="103"/>
        <v>2.8654166666666668E-2</v>
      </c>
      <c r="K667" s="5">
        <f t="shared" si="104"/>
        <v>2.9395833333333336E-2</v>
      </c>
      <c r="L667" s="8">
        <f t="shared" si="112"/>
        <v>0.40089444060479296</v>
      </c>
      <c r="M667" s="8">
        <f t="shared" si="113"/>
        <v>0.13320000000000001</v>
      </c>
      <c r="N667" s="8">
        <f t="shared" si="105"/>
        <v>0.13615000000000002</v>
      </c>
      <c r="O667" s="296">
        <f t="shared" si="111"/>
        <v>0.26769444060479297</v>
      </c>
      <c r="P667" s="8">
        <f t="shared" si="106"/>
        <v>0.26474444060479296</v>
      </c>
      <c r="Q667" s="8">
        <f t="shared" si="107"/>
        <v>0.24815724798094108</v>
      </c>
      <c r="R667" s="8">
        <f t="shared" si="108"/>
        <v>0.15125000000000002</v>
      </c>
      <c r="S667" s="296">
        <f t="shared" si="109"/>
        <v>9.6907247980941053E-2</v>
      </c>
      <c r="U667" s="297"/>
      <c r="V667" s="297"/>
      <c r="W667" s="297"/>
      <c r="X667" s="297"/>
      <c r="Y667" s="297"/>
      <c r="Z667" s="297"/>
      <c r="AA667" s="297"/>
      <c r="AB667" s="297"/>
      <c r="AC667" s="297"/>
      <c r="AE667" s="297"/>
      <c r="AF667" s="297"/>
      <c r="AG667" s="297"/>
      <c r="AH667" s="297"/>
      <c r="AI667" s="297"/>
      <c r="AJ667" s="297"/>
      <c r="AK667" s="297"/>
      <c r="AL667" s="297"/>
      <c r="AM667" s="297"/>
      <c r="AO667" s="297"/>
      <c r="AP667" s="297"/>
      <c r="AQ667" s="297"/>
      <c r="AR667" s="297"/>
      <c r="AS667" s="297"/>
      <c r="AT667" s="297"/>
      <c r="AU667" s="297"/>
      <c r="AV667" s="297"/>
      <c r="AW667" s="297"/>
    </row>
    <row r="668" spans="1:49" x14ac:dyDescent="0.45">
      <c r="A668" s="295">
        <v>29677</v>
      </c>
      <c r="B668" s="12">
        <v>-1.9300000000000001E-2</v>
      </c>
      <c r="C668" s="5">
        <v>-9.5999999999999992E-3</v>
      </c>
      <c r="D668" s="5">
        <v>1.01E-2</v>
      </c>
      <c r="E668" s="5">
        <v>1.1566666666666668E-2</v>
      </c>
      <c r="F668" s="5">
        <v>1.1991666666666668E-2</v>
      </c>
      <c r="G668" s="5">
        <v>1.1779166666666667E-2</v>
      </c>
      <c r="H668" s="5">
        <v>1.2708333333333332E-2</v>
      </c>
      <c r="I668" s="5">
        <f t="shared" si="110"/>
        <v>-2.9400000000000003E-2</v>
      </c>
      <c r="J668" s="5">
        <f t="shared" si="103"/>
        <v>-3.1079166666666668E-2</v>
      </c>
      <c r="K668" s="5">
        <f t="shared" si="104"/>
        <v>-2.2308333333333333E-2</v>
      </c>
      <c r="L668" s="8">
        <f t="shared" si="112"/>
        <v>0.31318789705708339</v>
      </c>
      <c r="M668" s="8">
        <f t="shared" si="113"/>
        <v>0.1212</v>
      </c>
      <c r="N668" s="8">
        <f t="shared" si="105"/>
        <v>0.14135</v>
      </c>
      <c r="O668" s="296">
        <f t="shared" si="111"/>
        <v>0.19198789705708338</v>
      </c>
      <c r="P668" s="8">
        <f t="shared" si="106"/>
        <v>0.17183789705708338</v>
      </c>
      <c r="Q668" s="8">
        <f t="shared" si="107"/>
        <v>0.10510900983401039</v>
      </c>
      <c r="R668" s="8">
        <f t="shared" si="108"/>
        <v>0.15249999999999997</v>
      </c>
      <c r="S668" s="296">
        <f t="shared" si="109"/>
        <v>-4.7390990165989577E-2</v>
      </c>
      <c r="U668" s="297"/>
      <c r="V668" s="297"/>
      <c r="W668" s="297"/>
      <c r="X668" s="297"/>
      <c r="Y668" s="297"/>
      <c r="Z668" s="297"/>
      <c r="AA668" s="297"/>
      <c r="AB668" s="297"/>
      <c r="AC668" s="297"/>
      <c r="AE668" s="297"/>
      <c r="AF668" s="297"/>
      <c r="AG668" s="297"/>
      <c r="AH668" s="297"/>
      <c r="AI668" s="297"/>
      <c r="AJ668" s="297"/>
      <c r="AK668" s="297"/>
      <c r="AL668" s="297"/>
      <c r="AM668" s="297"/>
      <c r="AO668" s="297"/>
      <c r="AP668" s="297"/>
      <c r="AQ668" s="297"/>
      <c r="AR668" s="297"/>
      <c r="AS668" s="297"/>
      <c r="AT668" s="297"/>
      <c r="AU668" s="297"/>
      <c r="AV668" s="297"/>
      <c r="AW668" s="297"/>
    </row>
    <row r="669" spans="1:49" x14ac:dyDescent="0.45">
      <c r="A669" s="295">
        <v>29707</v>
      </c>
      <c r="B669" s="12">
        <v>2.5999999999999999E-3</v>
      </c>
      <c r="C669" s="5">
        <v>2.9100000000000001E-2</v>
      </c>
      <c r="D669" s="5">
        <v>1.04E-2</v>
      </c>
      <c r="E669" s="5">
        <v>1.1933333333333334E-2</v>
      </c>
      <c r="F669" s="5">
        <v>1.24E-2</v>
      </c>
      <c r="G669" s="5">
        <v>1.2166666666666668E-2</v>
      </c>
      <c r="H669" s="5">
        <v>1.3429999999999999E-2</v>
      </c>
      <c r="I669" s="5">
        <f t="shared" si="110"/>
        <v>-7.7999999999999996E-3</v>
      </c>
      <c r="J669" s="5">
        <f t="shared" ref="J669:J732" si="114">B669-G669</f>
        <v>-9.5666666666666678E-3</v>
      </c>
      <c r="K669" s="5">
        <f t="shared" ref="K669:K732" si="115">$C669-H669</f>
        <v>1.5670000000000003E-2</v>
      </c>
      <c r="L669" s="8">
        <f t="shared" si="112"/>
        <v>0.25211810327097628</v>
      </c>
      <c r="M669" s="8">
        <f t="shared" si="113"/>
        <v>0.12479999999999999</v>
      </c>
      <c r="N669" s="8">
        <f t="shared" si="105"/>
        <v>0.14600000000000002</v>
      </c>
      <c r="O669" s="296">
        <f t="shared" si="111"/>
        <v>0.12731810327097628</v>
      </c>
      <c r="P669" s="8">
        <f t="shared" si="106"/>
        <v>0.10611810327097626</v>
      </c>
      <c r="Q669" s="8">
        <f t="shared" si="107"/>
        <v>0.10168331107253747</v>
      </c>
      <c r="R669" s="8">
        <f t="shared" si="108"/>
        <v>0.16116</v>
      </c>
      <c r="S669" s="296">
        <f t="shared" si="109"/>
        <v>-5.9476688927462523E-2</v>
      </c>
      <c r="U669" s="297"/>
      <c r="V669" s="297"/>
      <c r="W669" s="297"/>
      <c r="X669" s="297"/>
      <c r="Y669" s="297"/>
      <c r="Z669" s="297"/>
      <c r="AA669" s="297"/>
      <c r="AB669" s="297"/>
      <c r="AC669" s="297"/>
      <c r="AE669" s="297"/>
      <c r="AF669" s="297"/>
      <c r="AG669" s="297"/>
      <c r="AH669" s="297"/>
      <c r="AI669" s="297"/>
      <c r="AJ669" s="297"/>
      <c r="AK669" s="297"/>
      <c r="AL669" s="297"/>
      <c r="AM669" s="297"/>
      <c r="AO669" s="297"/>
      <c r="AP669" s="297"/>
      <c r="AQ669" s="297"/>
      <c r="AR669" s="297"/>
      <c r="AS669" s="297"/>
      <c r="AT669" s="297"/>
      <c r="AU669" s="297"/>
      <c r="AV669" s="297"/>
      <c r="AW669" s="297"/>
    </row>
    <row r="670" spans="1:49" x14ac:dyDescent="0.45">
      <c r="A670" s="295">
        <v>29738</v>
      </c>
      <c r="B670" s="12">
        <v>-6.3E-3</v>
      </c>
      <c r="C670" s="5">
        <v>2.7200000000000002E-2</v>
      </c>
      <c r="D670" s="5">
        <v>1.09E-2</v>
      </c>
      <c r="E670" s="5">
        <v>1.1458333333333333E-2</v>
      </c>
      <c r="F670" s="5">
        <v>1.2008333333333334E-2</v>
      </c>
      <c r="G670" s="5">
        <v>1.1733333333333333E-2</v>
      </c>
      <c r="H670" s="5">
        <v>1.3160416666666667E-2</v>
      </c>
      <c r="I670" s="5">
        <f t="shared" si="110"/>
        <v>-1.72E-2</v>
      </c>
      <c r="J670" s="5">
        <f t="shared" si="114"/>
        <v>-1.8033333333333332E-2</v>
      </c>
      <c r="K670" s="5">
        <f t="shared" si="115"/>
        <v>1.4039583333333334E-2</v>
      </c>
      <c r="L670" s="8">
        <f t="shared" si="112"/>
        <v>0.20611647849977599</v>
      </c>
      <c r="M670" s="8">
        <f t="shared" si="113"/>
        <v>0.1308</v>
      </c>
      <c r="N670" s="8">
        <f t="shared" si="105"/>
        <v>0.14080000000000001</v>
      </c>
      <c r="O670" s="296">
        <f t="shared" si="111"/>
        <v>7.5316478499775991E-2</v>
      </c>
      <c r="P670" s="8">
        <f t="shared" si="106"/>
        <v>6.5316478499775982E-2</v>
      </c>
      <c r="Q670" s="8">
        <f t="shared" si="107"/>
        <v>9.4755825804111904E-2</v>
      </c>
      <c r="R670" s="8">
        <f t="shared" si="108"/>
        <v>0.15792500000000001</v>
      </c>
      <c r="S670" s="296">
        <f t="shared" si="109"/>
        <v>-6.3169174195888106E-2</v>
      </c>
      <c r="U670" s="297"/>
      <c r="V670" s="297"/>
      <c r="W670" s="297"/>
      <c r="X670" s="297"/>
      <c r="Y670" s="297"/>
      <c r="Z670" s="297"/>
      <c r="AA670" s="297"/>
      <c r="AB670" s="297"/>
      <c r="AC670" s="297"/>
      <c r="AE670" s="297"/>
      <c r="AF670" s="297"/>
      <c r="AG670" s="297"/>
      <c r="AH670" s="297"/>
      <c r="AI670" s="297"/>
      <c r="AJ670" s="297"/>
      <c r="AK670" s="297"/>
      <c r="AL670" s="297"/>
      <c r="AM670" s="297"/>
      <c r="AO670" s="297"/>
      <c r="AP670" s="297"/>
      <c r="AQ670" s="297"/>
      <c r="AR670" s="297"/>
      <c r="AS670" s="297"/>
      <c r="AT670" s="297"/>
      <c r="AU670" s="297"/>
      <c r="AV670" s="297"/>
      <c r="AW670" s="297"/>
    </row>
    <row r="671" spans="1:49" x14ac:dyDescent="0.45">
      <c r="A671" s="295">
        <v>29768</v>
      </c>
      <c r="B671" s="12">
        <v>2.0999999999999999E-3</v>
      </c>
      <c r="C671" s="5">
        <v>3.4099999999999998E-2</v>
      </c>
      <c r="D671" s="5">
        <v>1.09E-2</v>
      </c>
      <c r="E671" s="5">
        <v>1.1983333333333335E-2</v>
      </c>
      <c r="F671" s="5">
        <v>1.2324999999999999E-2</v>
      </c>
      <c r="G671" s="5">
        <v>1.2154166666666666E-2</v>
      </c>
      <c r="H671" s="5">
        <v>1.3393333333333333E-2</v>
      </c>
      <c r="I671" s="5">
        <f t="shared" si="110"/>
        <v>-8.8000000000000005E-3</v>
      </c>
      <c r="J671" s="5">
        <f t="shared" si="114"/>
        <v>-1.0054166666666666E-2</v>
      </c>
      <c r="K671" s="5">
        <f t="shared" si="115"/>
        <v>2.0706666666666665E-2</v>
      </c>
      <c r="L671" s="8">
        <f t="shared" si="112"/>
        <v>0.13000123700881239</v>
      </c>
      <c r="M671" s="8">
        <f t="shared" si="113"/>
        <v>0.1308</v>
      </c>
      <c r="N671" s="8">
        <f t="shared" si="105"/>
        <v>0.14584999999999998</v>
      </c>
      <c r="O671" s="296">
        <f t="shared" si="111"/>
        <v>-7.9876299118761263E-4</v>
      </c>
      <c r="P671" s="8">
        <f t="shared" si="106"/>
        <v>-1.5848762991187593E-2</v>
      </c>
      <c r="Q671" s="8">
        <f t="shared" si="107"/>
        <v>0.13674766489008139</v>
      </c>
      <c r="R671" s="8">
        <f t="shared" si="108"/>
        <v>0.16072</v>
      </c>
      <c r="S671" s="296">
        <f t="shared" si="109"/>
        <v>-2.3972335109918613E-2</v>
      </c>
      <c r="U671" s="297"/>
      <c r="V671" s="297"/>
      <c r="W671" s="297"/>
      <c r="X671" s="297"/>
      <c r="Y671" s="297"/>
      <c r="Z671" s="297"/>
      <c r="AA671" s="297"/>
      <c r="AB671" s="297"/>
      <c r="AC671" s="297"/>
      <c r="AE671" s="297"/>
      <c r="AF671" s="297"/>
      <c r="AG671" s="297"/>
      <c r="AH671" s="297"/>
      <c r="AI671" s="297"/>
      <c r="AJ671" s="297"/>
      <c r="AK671" s="297"/>
      <c r="AL671" s="297"/>
      <c r="AM671" s="297"/>
      <c r="AO671" s="297"/>
      <c r="AP671" s="297"/>
      <c r="AQ671" s="297"/>
      <c r="AR671" s="297"/>
      <c r="AS671" s="297"/>
      <c r="AT671" s="297"/>
      <c r="AU671" s="297"/>
      <c r="AV671" s="297"/>
      <c r="AW671" s="297"/>
    </row>
    <row r="672" spans="1:49" x14ac:dyDescent="0.45">
      <c r="A672" s="295">
        <v>29799</v>
      </c>
      <c r="B672" s="12">
        <v>-5.7700000000000001E-2</v>
      </c>
      <c r="C672" s="5">
        <v>-2.3999999999999994E-3</v>
      </c>
      <c r="D672" s="5">
        <v>1.0999999999999999E-2</v>
      </c>
      <c r="E672" s="5">
        <v>1.2408333333333334E-2</v>
      </c>
      <c r="F672" s="5">
        <v>1.2849999999999999E-2</v>
      </c>
      <c r="G672" s="5">
        <v>1.2629166666666667E-2</v>
      </c>
      <c r="H672" s="5">
        <v>1.3706250000000001E-2</v>
      </c>
      <c r="I672" s="5">
        <f t="shared" si="110"/>
        <v>-6.8699999999999997E-2</v>
      </c>
      <c r="J672" s="5">
        <f t="shared" si="114"/>
        <v>-7.0329166666666665E-2</v>
      </c>
      <c r="K672" s="5">
        <f t="shared" si="115"/>
        <v>-1.6106250000000003E-2</v>
      </c>
      <c r="L672" s="8">
        <f t="shared" si="112"/>
        <v>5.4153218130288172E-2</v>
      </c>
      <c r="M672" s="8">
        <f t="shared" si="113"/>
        <v>0.13200000000000001</v>
      </c>
      <c r="N672" s="8">
        <f t="shared" si="105"/>
        <v>0.15155000000000002</v>
      </c>
      <c r="O672" s="296">
        <f t="shared" si="111"/>
        <v>-7.7846781869711834E-2</v>
      </c>
      <c r="P672" s="8">
        <f t="shared" si="106"/>
        <v>-9.7396781869711846E-2</v>
      </c>
      <c r="Q672" s="8">
        <f t="shared" si="107"/>
        <v>0.15000453351013587</v>
      </c>
      <c r="R672" s="8">
        <f t="shared" si="108"/>
        <v>0.16447500000000001</v>
      </c>
      <c r="S672" s="296">
        <f t="shared" si="109"/>
        <v>-1.4470466489864137E-2</v>
      </c>
      <c r="U672" s="297"/>
      <c r="V672" s="297"/>
      <c r="W672" s="297"/>
      <c r="X672" s="297"/>
      <c r="Y672" s="297"/>
      <c r="Z672" s="297"/>
      <c r="AA672" s="297"/>
      <c r="AB672" s="297"/>
      <c r="AC672" s="297"/>
      <c r="AE672" s="297"/>
      <c r="AF672" s="297"/>
      <c r="AG672" s="297"/>
      <c r="AH672" s="297"/>
      <c r="AI672" s="297"/>
      <c r="AJ672" s="297"/>
      <c r="AK672" s="297"/>
      <c r="AL672" s="297"/>
      <c r="AM672" s="297"/>
      <c r="AO672" s="297"/>
      <c r="AP672" s="297"/>
      <c r="AQ672" s="297"/>
      <c r="AR672" s="297"/>
      <c r="AS672" s="297"/>
      <c r="AT672" s="297"/>
      <c r="AU672" s="297"/>
      <c r="AV672" s="297"/>
      <c r="AW672" s="297"/>
    </row>
    <row r="673" spans="1:49" x14ac:dyDescent="0.45">
      <c r="A673" s="295">
        <v>29830</v>
      </c>
      <c r="B673" s="12">
        <v>-4.9299999999999997E-2</v>
      </c>
      <c r="C673" s="5">
        <v>-4.0899999999999999E-2</v>
      </c>
      <c r="D673" s="5">
        <v>1.14E-2</v>
      </c>
      <c r="E673" s="5">
        <v>1.2908333333333332E-2</v>
      </c>
      <c r="F673" s="5">
        <v>1.3291666666666667E-2</v>
      </c>
      <c r="G673" s="5">
        <v>1.3100000000000001E-2</v>
      </c>
      <c r="H673" s="5">
        <v>1.4191666666666667E-2</v>
      </c>
      <c r="I673" s="5">
        <f t="shared" si="110"/>
        <v>-6.0699999999999997E-2</v>
      </c>
      <c r="J673" s="5">
        <f t="shared" si="114"/>
        <v>-6.2399999999999997E-2</v>
      </c>
      <c r="K673" s="5">
        <f t="shared" si="115"/>
        <v>-5.5091666666666664E-2</v>
      </c>
      <c r="L673" s="8">
        <f t="shared" si="112"/>
        <v>-2.6439222385404415E-2</v>
      </c>
      <c r="M673" s="8">
        <f t="shared" si="113"/>
        <v>0.1368</v>
      </c>
      <c r="N673" s="8">
        <f t="shared" si="105"/>
        <v>0.15720000000000001</v>
      </c>
      <c r="O673" s="296">
        <f t="shared" si="111"/>
        <v>-0.16323922238540442</v>
      </c>
      <c r="P673" s="8">
        <f t="shared" si="106"/>
        <v>-0.18363922238540442</v>
      </c>
      <c r="Q673" s="8">
        <f t="shared" si="107"/>
        <v>0.11568819349541881</v>
      </c>
      <c r="R673" s="8">
        <f t="shared" si="108"/>
        <v>0.17030000000000001</v>
      </c>
      <c r="S673" s="296">
        <f t="shared" si="109"/>
        <v>-5.4611806504581195E-2</v>
      </c>
      <c r="U673" s="297"/>
      <c r="V673" s="297"/>
      <c r="W673" s="297"/>
      <c r="X673" s="297"/>
      <c r="Y673" s="297"/>
      <c r="Z673" s="297"/>
      <c r="AA673" s="297"/>
      <c r="AB673" s="297"/>
      <c r="AC673" s="297"/>
      <c r="AE673" s="297"/>
      <c r="AF673" s="297"/>
      <c r="AG673" s="297"/>
      <c r="AH673" s="297"/>
      <c r="AI673" s="297"/>
      <c r="AJ673" s="297"/>
      <c r="AK673" s="297"/>
      <c r="AL673" s="297"/>
      <c r="AM673" s="297"/>
      <c r="AO673" s="297"/>
      <c r="AP673" s="297"/>
      <c r="AQ673" s="297"/>
      <c r="AR673" s="297"/>
      <c r="AS673" s="297"/>
      <c r="AT673" s="297"/>
      <c r="AU673" s="297"/>
      <c r="AV673" s="297"/>
      <c r="AW673" s="297"/>
    </row>
    <row r="674" spans="1:49" x14ac:dyDescent="0.45">
      <c r="A674" s="295">
        <v>29860</v>
      </c>
      <c r="B674" s="12">
        <v>5.3999999999999999E-2</v>
      </c>
      <c r="C674" s="5">
        <v>6.1699999999999998E-2</v>
      </c>
      <c r="D674" s="5">
        <v>1.1699999999999999E-2</v>
      </c>
      <c r="E674" s="5">
        <v>1.2833333333333334E-2</v>
      </c>
      <c r="F674" s="5">
        <v>1.3183333333333333E-2</v>
      </c>
      <c r="G674" s="5">
        <v>1.3008333333333334E-2</v>
      </c>
      <c r="H674" s="5">
        <v>1.4379166666666665E-2</v>
      </c>
      <c r="I674" s="5">
        <f t="shared" si="110"/>
        <v>4.2300000000000004E-2</v>
      </c>
      <c r="J674" s="5">
        <f t="shared" si="114"/>
        <v>4.0991666666666662E-2</v>
      </c>
      <c r="K674" s="5">
        <f t="shared" si="115"/>
        <v>4.7320833333333333E-2</v>
      </c>
      <c r="L674" s="8">
        <f t="shared" si="112"/>
        <v>5.8155847929657334E-3</v>
      </c>
      <c r="M674" s="8">
        <f t="shared" si="113"/>
        <v>0.14039999999999997</v>
      </c>
      <c r="N674" s="8">
        <f t="shared" si="105"/>
        <v>0.15610000000000002</v>
      </c>
      <c r="O674" s="296">
        <f t="shared" si="111"/>
        <v>-0.13458441520703424</v>
      </c>
      <c r="P674" s="8">
        <f t="shared" si="106"/>
        <v>-0.15028441520703428</v>
      </c>
      <c r="Q674" s="8">
        <f t="shared" si="107"/>
        <v>0.1529357164046008</v>
      </c>
      <c r="R674" s="8">
        <f t="shared" si="108"/>
        <v>0.17254999999999998</v>
      </c>
      <c r="S674" s="296">
        <f t="shared" si="109"/>
        <v>-1.9614283595399185E-2</v>
      </c>
      <c r="U674" s="297"/>
      <c r="V674" s="297"/>
      <c r="W674" s="297"/>
      <c r="X674" s="297"/>
      <c r="Y674" s="297"/>
      <c r="Z674" s="297"/>
      <c r="AA674" s="297"/>
      <c r="AB674" s="297"/>
      <c r="AC674" s="297"/>
      <c r="AE674" s="297"/>
      <c r="AF674" s="297"/>
      <c r="AG674" s="297"/>
      <c r="AH674" s="297"/>
      <c r="AI674" s="297"/>
      <c r="AJ674" s="297"/>
      <c r="AK674" s="297"/>
      <c r="AL674" s="297"/>
      <c r="AM674" s="297"/>
      <c r="AO674" s="297"/>
      <c r="AP674" s="297"/>
      <c r="AQ674" s="297"/>
      <c r="AR674" s="297"/>
      <c r="AS674" s="297"/>
      <c r="AT674" s="297"/>
      <c r="AU674" s="297"/>
      <c r="AV674" s="297"/>
      <c r="AW674" s="297"/>
    </row>
    <row r="675" spans="1:49" x14ac:dyDescent="0.45">
      <c r="A675" s="295">
        <v>29891</v>
      </c>
      <c r="B675" s="12">
        <v>4.1300000000000003E-2</v>
      </c>
      <c r="C675" s="5">
        <v>4.8100000000000004E-2</v>
      </c>
      <c r="D675" s="5">
        <v>1.1299999999999999E-2</v>
      </c>
      <c r="E675" s="5">
        <v>1.1850000000000001E-2</v>
      </c>
      <c r="F675" s="5">
        <v>1.2475E-2</v>
      </c>
      <c r="G675" s="5">
        <v>1.21625E-2</v>
      </c>
      <c r="H675" s="5">
        <v>1.3679166666666666E-2</v>
      </c>
      <c r="I675" s="5">
        <f t="shared" si="110"/>
        <v>3.0000000000000006E-2</v>
      </c>
      <c r="J675" s="5">
        <f t="shared" si="114"/>
        <v>2.9137500000000004E-2</v>
      </c>
      <c r="K675" s="5">
        <f t="shared" si="115"/>
        <v>3.4420833333333338E-2</v>
      </c>
      <c r="L675" s="8">
        <f t="shared" si="112"/>
        <v>-5.3451632675178051E-2</v>
      </c>
      <c r="M675" s="8">
        <f t="shared" si="113"/>
        <v>0.1356</v>
      </c>
      <c r="N675" s="8">
        <f t="shared" si="105"/>
        <v>0.14595</v>
      </c>
      <c r="O675" s="296">
        <f t="shared" si="111"/>
        <v>-0.18905163267517805</v>
      </c>
      <c r="P675" s="8">
        <f t="shared" si="106"/>
        <v>-0.19940163267517805</v>
      </c>
      <c r="Q675" s="8">
        <f t="shared" si="107"/>
        <v>0.15073985750277274</v>
      </c>
      <c r="R675" s="8">
        <f t="shared" si="108"/>
        <v>0.16414999999999999</v>
      </c>
      <c r="S675" s="296">
        <f t="shared" si="109"/>
        <v>-1.3410142497227245E-2</v>
      </c>
      <c r="U675" s="297"/>
      <c r="V675" s="297"/>
      <c r="W675" s="297"/>
      <c r="X675" s="297"/>
      <c r="Y675" s="297"/>
      <c r="Z675" s="297"/>
      <c r="AA675" s="297"/>
      <c r="AB675" s="297"/>
      <c r="AC675" s="297"/>
      <c r="AE675" s="297"/>
      <c r="AF675" s="297"/>
      <c r="AG675" s="297"/>
      <c r="AH675" s="297"/>
      <c r="AI675" s="297"/>
      <c r="AJ675" s="297"/>
      <c r="AK675" s="297"/>
      <c r="AL675" s="297"/>
      <c r="AM675" s="297"/>
      <c r="AO675" s="297"/>
      <c r="AP675" s="297"/>
      <c r="AQ675" s="297"/>
      <c r="AR675" s="297"/>
      <c r="AS675" s="297"/>
      <c r="AT675" s="297"/>
      <c r="AU675" s="297"/>
      <c r="AV675" s="297"/>
      <c r="AW675" s="297"/>
    </row>
    <row r="676" spans="1:49" x14ac:dyDescent="0.45">
      <c r="A676" s="295">
        <v>29921</v>
      </c>
      <c r="B676" s="12">
        <v>-2.5600000000000001E-2</v>
      </c>
      <c r="C676" s="5">
        <v>-3.0499999999999999E-2</v>
      </c>
      <c r="D676" s="5">
        <v>0.01</v>
      </c>
      <c r="E676" s="5">
        <v>1.1858333333333334E-2</v>
      </c>
      <c r="F676" s="5">
        <v>1.2500000000000001E-2</v>
      </c>
      <c r="G676" s="5">
        <v>1.2179166666666665E-2</v>
      </c>
      <c r="H676" s="5">
        <v>1.3468333333333334E-2</v>
      </c>
      <c r="I676" s="5">
        <f t="shared" si="110"/>
        <v>-3.56E-2</v>
      </c>
      <c r="J676" s="5">
        <f t="shared" si="114"/>
        <v>-3.7779166666666669E-2</v>
      </c>
      <c r="K676" s="5">
        <f t="shared" si="115"/>
        <v>-4.3968333333333331E-2</v>
      </c>
      <c r="L676" s="8">
        <f t="shared" si="112"/>
        <v>-4.8961920889558197E-2</v>
      </c>
      <c r="M676" s="8">
        <f t="shared" si="113"/>
        <v>0.12</v>
      </c>
      <c r="N676" s="8">
        <f t="shared" si="105"/>
        <v>0.14614999999999997</v>
      </c>
      <c r="O676" s="296">
        <f t="shared" si="111"/>
        <v>-0.16896192088955819</v>
      </c>
      <c r="P676" s="8">
        <f t="shared" si="106"/>
        <v>-0.19511192088955817</v>
      </c>
      <c r="Q676" s="8">
        <f t="shared" si="107"/>
        <v>0.11720638078203316</v>
      </c>
      <c r="R676" s="8">
        <f t="shared" si="108"/>
        <v>0.16162000000000001</v>
      </c>
      <c r="S676" s="296">
        <f t="shared" si="109"/>
        <v>-4.4413619217966854E-2</v>
      </c>
      <c r="U676" s="297"/>
      <c r="V676" s="297"/>
      <c r="W676" s="297"/>
      <c r="X676" s="297"/>
      <c r="Y676" s="297"/>
      <c r="Z676" s="297"/>
      <c r="AA676" s="297"/>
      <c r="AB676" s="297"/>
      <c r="AC676" s="297"/>
      <c r="AE676" s="297"/>
      <c r="AF676" s="297"/>
      <c r="AG676" s="297"/>
      <c r="AH676" s="297"/>
      <c r="AI676" s="297"/>
      <c r="AJ676" s="297"/>
      <c r="AK676" s="297"/>
      <c r="AL676" s="297"/>
      <c r="AM676" s="297"/>
      <c r="AO676" s="297"/>
      <c r="AP676" s="297"/>
      <c r="AQ676" s="297"/>
      <c r="AR676" s="297"/>
      <c r="AS676" s="297"/>
      <c r="AT676" s="297"/>
      <c r="AU676" s="297"/>
      <c r="AV676" s="297"/>
      <c r="AW676" s="297"/>
    </row>
    <row r="677" spans="1:49" x14ac:dyDescent="0.45">
      <c r="A677" s="295">
        <v>29952</v>
      </c>
      <c r="B677" s="12">
        <v>-1.3100000000000001E-2</v>
      </c>
      <c r="C677" s="5">
        <v>3.7000000000000002E-3</v>
      </c>
      <c r="D677" s="5">
        <v>1.0800000000000001E-2</v>
      </c>
      <c r="E677" s="5">
        <v>1.265E-2</v>
      </c>
      <c r="F677" s="5">
        <v>1.3125E-2</v>
      </c>
      <c r="G677" s="5">
        <v>1.2887499999999998E-2</v>
      </c>
      <c r="H677" s="5">
        <v>1.4000000000000002E-2</v>
      </c>
      <c r="I677" s="5">
        <f t="shared" si="110"/>
        <v>-2.3900000000000001E-2</v>
      </c>
      <c r="J677" s="5">
        <f t="shared" si="114"/>
        <v>-2.5987499999999997E-2</v>
      </c>
      <c r="K677" s="5">
        <f t="shared" si="115"/>
        <v>-1.0300000000000002E-2</v>
      </c>
      <c r="L677" s="8">
        <f t="shared" si="112"/>
        <v>-2.0476434696206747E-2</v>
      </c>
      <c r="M677" s="8">
        <f t="shared" si="113"/>
        <v>0.12959999999999999</v>
      </c>
      <c r="N677" s="8">
        <f t="shared" si="105"/>
        <v>0.15464999999999998</v>
      </c>
      <c r="O677" s="296">
        <f t="shared" si="111"/>
        <v>-0.15007643469620674</v>
      </c>
      <c r="P677" s="8">
        <f t="shared" si="106"/>
        <v>-0.17512643469620673</v>
      </c>
      <c r="Q677" s="8">
        <f t="shared" si="107"/>
        <v>0.14259226043501805</v>
      </c>
      <c r="R677" s="8">
        <f t="shared" si="108"/>
        <v>0.16800000000000004</v>
      </c>
      <c r="S677" s="296">
        <f t="shared" si="109"/>
        <v>-2.540773956498199E-2</v>
      </c>
      <c r="U677" s="297"/>
      <c r="V677" s="297"/>
      <c r="W677" s="297"/>
      <c r="X677" s="297"/>
      <c r="Y677" s="297"/>
      <c r="Z677" s="297"/>
      <c r="AA677" s="297"/>
      <c r="AB677" s="297"/>
      <c r="AC677" s="297"/>
      <c r="AE677" s="297"/>
      <c r="AF677" s="297"/>
      <c r="AG677" s="297"/>
      <c r="AH677" s="297"/>
      <c r="AI677" s="297"/>
      <c r="AJ677" s="297"/>
      <c r="AK677" s="297"/>
      <c r="AL677" s="297"/>
      <c r="AM677" s="297"/>
      <c r="AO677" s="297"/>
      <c r="AP677" s="297"/>
      <c r="AQ677" s="297"/>
      <c r="AR677" s="297"/>
      <c r="AS677" s="297"/>
      <c r="AT677" s="297"/>
      <c r="AU677" s="297"/>
      <c r="AV677" s="297"/>
      <c r="AW677" s="297"/>
    </row>
    <row r="678" spans="1:49" x14ac:dyDescent="0.45">
      <c r="A678" s="295">
        <v>29983</v>
      </c>
      <c r="B678" s="12">
        <v>-5.5899999999999998E-2</v>
      </c>
      <c r="C678" s="5">
        <v>-3.4999999999999996E-3</v>
      </c>
      <c r="D678" s="5">
        <v>1.03E-2</v>
      </c>
      <c r="E678" s="5">
        <v>1.2725E-2</v>
      </c>
      <c r="F678" s="5">
        <v>1.3100000000000001E-2</v>
      </c>
      <c r="G678" s="5">
        <v>1.29125E-2</v>
      </c>
      <c r="H678" s="5">
        <v>1.4095833333333332E-2</v>
      </c>
      <c r="I678" s="5">
        <f t="shared" si="110"/>
        <v>-6.6199999999999995E-2</v>
      </c>
      <c r="J678" s="5">
        <f t="shared" si="114"/>
        <v>-6.8812499999999999E-2</v>
      </c>
      <c r="K678" s="5">
        <f t="shared" si="115"/>
        <v>-1.7595833333333331E-2</v>
      </c>
      <c r="L678" s="8">
        <f t="shared" si="112"/>
        <v>-9.1047574205512904E-2</v>
      </c>
      <c r="M678" s="8">
        <f t="shared" si="113"/>
        <v>0.1236</v>
      </c>
      <c r="N678" s="8">
        <f t="shared" si="105"/>
        <v>0.15495</v>
      </c>
      <c r="O678" s="296">
        <f t="shared" si="111"/>
        <v>-0.21464757420551289</v>
      </c>
      <c r="P678" s="8">
        <f t="shared" si="106"/>
        <v>-0.24599757420551291</v>
      </c>
      <c r="Q678" s="8">
        <f t="shared" si="107"/>
        <v>0.16468206579735578</v>
      </c>
      <c r="R678" s="8">
        <f t="shared" si="108"/>
        <v>0.16914999999999997</v>
      </c>
      <c r="S678" s="296">
        <f t="shared" si="109"/>
        <v>-4.4679342026441859E-3</v>
      </c>
      <c r="U678" s="297"/>
      <c r="V678" s="297"/>
      <c r="W678" s="297"/>
      <c r="X678" s="297"/>
      <c r="Y678" s="297"/>
      <c r="Z678" s="297"/>
      <c r="AA678" s="297"/>
      <c r="AB678" s="297"/>
      <c r="AC678" s="297"/>
      <c r="AE678" s="297"/>
      <c r="AF678" s="297"/>
      <c r="AG678" s="297"/>
      <c r="AH678" s="297"/>
      <c r="AI678" s="297"/>
      <c r="AJ678" s="297"/>
      <c r="AK678" s="297"/>
      <c r="AL678" s="297"/>
      <c r="AM678" s="297"/>
      <c r="AO678" s="297"/>
      <c r="AP678" s="297"/>
      <c r="AQ678" s="297"/>
      <c r="AR678" s="297"/>
      <c r="AS678" s="297"/>
      <c r="AT678" s="297"/>
      <c r="AU678" s="297"/>
      <c r="AV678" s="297"/>
      <c r="AW678" s="297"/>
    </row>
    <row r="679" spans="1:49" x14ac:dyDescent="0.45">
      <c r="A679" s="295">
        <v>30011</v>
      </c>
      <c r="B679" s="12">
        <v>-5.1999999999999998E-3</v>
      </c>
      <c r="C679" s="5">
        <v>1.6800000000000002E-2</v>
      </c>
      <c r="D679" s="5">
        <v>1.24E-2</v>
      </c>
      <c r="E679" s="5">
        <v>1.2150000000000001E-2</v>
      </c>
      <c r="F679" s="5">
        <v>1.2675000000000001E-2</v>
      </c>
      <c r="G679" s="5">
        <v>1.24125E-2</v>
      </c>
      <c r="H679" s="5">
        <v>1.3739999999999999E-2</v>
      </c>
      <c r="I679" s="5">
        <f t="shared" si="110"/>
        <v>-1.7599999999999998E-2</v>
      </c>
      <c r="J679" s="5">
        <f t="shared" si="114"/>
        <v>-1.76125E-2</v>
      </c>
      <c r="K679" s="5">
        <f t="shared" si="115"/>
        <v>3.0600000000000037E-3</v>
      </c>
      <c r="L679" s="8">
        <f t="shared" si="112"/>
        <v>-0.13055204501888851</v>
      </c>
      <c r="M679" s="8">
        <f t="shared" si="113"/>
        <v>0.14879999999999999</v>
      </c>
      <c r="N679" s="8">
        <f t="shared" si="105"/>
        <v>0.14895</v>
      </c>
      <c r="O679" s="296">
        <f t="shared" si="111"/>
        <v>-0.2793520450188885</v>
      </c>
      <c r="P679" s="8">
        <f t="shared" si="106"/>
        <v>-0.27950204501888853</v>
      </c>
      <c r="Q679" s="8">
        <f t="shared" si="107"/>
        <v>0.13651509069361967</v>
      </c>
      <c r="R679" s="8">
        <f t="shared" si="108"/>
        <v>0.16487999999999997</v>
      </c>
      <c r="S679" s="296">
        <f t="shared" si="109"/>
        <v>-2.8364909306380304E-2</v>
      </c>
      <c r="U679" s="297"/>
      <c r="V679" s="297"/>
      <c r="W679" s="297"/>
      <c r="X679" s="297"/>
      <c r="Y679" s="297"/>
      <c r="Z679" s="297"/>
      <c r="AA679" s="297"/>
      <c r="AB679" s="297"/>
      <c r="AC679" s="297"/>
      <c r="AE679" s="297"/>
      <c r="AF679" s="297"/>
      <c r="AG679" s="297"/>
      <c r="AH679" s="297"/>
      <c r="AI679" s="297"/>
      <c r="AJ679" s="297"/>
      <c r="AK679" s="297"/>
      <c r="AL679" s="297"/>
      <c r="AM679" s="297"/>
      <c r="AO679" s="297"/>
      <c r="AP679" s="297"/>
      <c r="AQ679" s="297"/>
      <c r="AR679" s="297"/>
      <c r="AS679" s="297"/>
      <c r="AT679" s="297"/>
      <c r="AU679" s="297"/>
      <c r="AV679" s="297"/>
      <c r="AW679" s="297"/>
    </row>
    <row r="680" spans="1:49" x14ac:dyDescent="0.45">
      <c r="A680" s="295">
        <v>30042</v>
      </c>
      <c r="B680" s="12">
        <v>4.5199999999999997E-2</v>
      </c>
      <c r="C680" s="5">
        <v>5.4800000000000001E-2</v>
      </c>
      <c r="D680" s="5">
        <v>1.1199999999999998E-2</v>
      </c>
      <c r="E680" s="5">
        <v>1.205E-2</v>
      </c>
      <c r="F680" s="5">
        <v>1.2416666666666666E-2</v>
      </c>
      <c r="G680" s="5">
        <v>1.2233333333333334E-2</v>
      </c>
      <c r="H680" s="5">
        <v>1.3664583333333334E-2</v>
      </c>
      <c r="I680" s="5">
        <f t="shared" si="110"/>
        <v>3.4000000000000002E-2</v>
      </c>
      <c r="J680" s="5">
        <f t="shared" si="114"/>
        <v>3.2966666666666665E-2</v>
      </c>
      <c r="K680" s="5">
        <f t="shared" si="115"/>
        <v>4.1135416666666667E-2</v>
      </c>
      <c r="L680" s="8">
        <f t="shared" si="112"/>
        <v>-7.3369019530684643E-2</v>
      </c>
      <c r="M680" s="8">
        <f t="shared" si="113"/>
        <v>0.13439999999999996</v>
      </c>
      <c r="N680" s="8">
        <f t="shared" ref="N680:N743" si="116">G680*12</f>
        <v>0.14680000000000001</v>
      </c>
      <c r="O680" s="296">
        <f t="shared" si="111"/>
        <v>-0.20776901953068461</v>
      </c>
      <c r="P680" s="8">
        <f t="shared" ref="P680:P743" si="117">L680-N680</f>
        <v>-0.22016901953068466</v>
      </c>
      <c r="Q680" s="8">
        <f t="shared" ref="Q680:Q743" si="118">((1+C669)*(1+C670)*(1+C671)*(1+C672)*(1+C673)*(1+C674)*(1+C675)*(1+C676)*(1+C677)*(1+C678)*(1+C679)*(1+C680))-1</f>
        <v>0.21041611234211399</v>
      </c>
      <c r="R680" s="8">
        <f t="shared" ref="R680:R743" si="119">H680*12</f>
        <v>0.16397500000000001</v>
      </c>
      <c r="S680" s="296">
        <f t="shared" ref="S680:S743" si="120">Q680-R680</f>
        <v>4.6441112342113983E-2</v>
      </c>
      <c r="U680" s="297"/>
      <c r="V680" s="297"/>
      <c r="W680" s="297"/>
      <c r="X680" s="297"/>
      <c r="Y680" s="297"/>
      <c r="Z680" s="297"/>
      <c r="AA680" s="297"/>
      <c r="AB680" s="297"/>
      <c r="AC680" s="297"/>
      <c r="AE680" s="297"/>
      <c r="AF680" s="297"/>
      <c r="AG680" s="297"/>
      <c r="AH680" s="297"/>
      <c r="AI680" s="297"/>
      <c r="AJ680" s="297"/>
      <c r="AK680" s="297"/>
      <c r="AL680" s="297"/>
      <c r="AM680" s="297"/>
      <c r="AO680" s="297"/>
      <c r="AP680" s="297"/>
      <c r="AQ680" s="297"/>
      <c r="AR680" s="297"/>
      <c r="AS680" s="297"/>
      <c r="AT680" s="297"/>
      <c r="AU680" s="297"/>
      <c r="AV680" s="297"/>
      <c r="AW680" s="297"/>
    </row>
    <row r="681" spans="1:49" x14ac:dyDescent="0.45">
      <c r="A681" s="295">
        <v>30072</v>
      </c>
      <c r="B681" s="12">
        <v>-3.4099999999999998E-2</v>
      </c>
      <c r="C681" s="5">
        <v>-1.8700000000000001E-2</v>
      </c>
      <c r="D681" s="5">
        <v>1.01E-2</v>
      </c>
      <c r="E681" s="5">
        <v>1.1883333333333333E-2</v>
      </c>
      <c r="F681" s="5">
        <v>1.2308333333333333E-2</v>
      </c>
      <c r="G681" s="5">
        <v>1.2095833333333332E-2</v>
      </c>
      <c r="H681" s="5">
        <v>1.3399999999999999E-2</v>
      </c>
      <c r="I681" s="5">
        <f t="shared" si="110"/>
        <v>-4.4199999999999996E-2</v>
      </c>
      <c r="J681" s="5">
        <f t="shared" si="114"/>
        <v>-4.6195833333333332E-2</v>
      </c>
      <c r="K681" s="5">
        <f t="shared" si="115"/>
        <v>-3.2100000000000004E-2</v>
      </c>
      <c r="L681" s="8">
        <f t="shared" si="112"/>
        <v>-0.10728818667932183</v>
      </c>
      <c r="M681" s="8">
        <f t="shared" si="113"/>
        <v>0.1212</v>
      </c>
      <c r="N681" s="8">
        <f t="shared" si="116"/>
        <v>0.14514999999999997</v>
      </c>
      <c r="O681" s="296">
        <f t="shared" si="111"/>
        <v>-0.22848818667932183</v>
      </c>
      <c r="P681" s="8">
        <f t="shared" si="117"/>
        <v>-0.25243818667932183</v>
      </c>
      <c r="Q681" s="8">
        <f t="shared" si="118"/>
        <v>0.15419427756419846</v>
      </c>
      <c r="R681" s="8">
        <f t="shared" si="119"/>
        <v>0.1608</v>
      </c>
      <c r="S681" s="296">
        <f t="shared" si="120"/>
        <v>-6.6057224358015421E-3</v>
      </c>
      <c r="U681" s="297"/>
      <c r="V681" s="297"/>
      <c r="W681" s="297"/>
      <c r="X681" s="297"/>
      <c r="Y681" s="297"/>
      <c r="Z681" s="297"/>
      <c r="AA681" s="297"/>
      <c r="AB681" s="297"/>
      <c r="AC681" s="297"/>
      <c r="AE681" s="297"/>
      <c r="AF681" s="297"/>
      <c r="AG681" s="297"/>
      <c r="AH681" s="297"/>
      <c r="AI681" s="297"/>
      <c r="AJ681" s="297"/>
      <c r="AK681" s="297"/>
      <c r="AL681" s="297"/>
      <c r="AM681" s="297"/>
      <c r="AO681" s="297"/>
      <c r="AP681" s="297"/>
      <c r="AQ681" s="297"/>
      <c r="AR681" s="297"/>
      <c r="AS681" s="297"/>
      <c r="AT681" s="297"/>
      <c r="AU681" s="297"/>
      <c r="AV681" s="297"/>
      <c r="AW681" s="297"/>
    </row>
    <row r="682" spans="1:49" x14ac:dyDescent="0.45">
      <c r="A682" s="295">
        <v>30103</v>
      </c>
      <c r="B682" s="12">
        <v>-1.4999999999999999E-2</v>
      </c>
      <c r="C682" s="5">
        <v>-1.6099999999999996E-2</v>
      </c>
      <c r="D682" s="5">
        <v>1.2E-2</v>
      </c>
      <c r="E682" s="5">
        <v>1.2341666666666666E-2</v>
      </c>
      <c r="F682" s="5">
        <v>1.2716666666666668E-2</v>
      </c>
      <c r="G682" s="5">
        <v>1.2529166666666668E-2</v>
      </c>
      <c r="H682" s="5">
        <v>1.3616666666666666E-2</v>
      </c>
      <c r="I682" s="5">
        <f t="shared" si="110"/>
        <v>-2.7E-2</v>
      </c>
      <c r="J682" s="5">
        <f t="shared" si="114"/>
        <v>-2.7529166666666667E-2</v>
      </c>
      <c r="K682" s="5">
        <f t="shared" si="115"/>
        <v>-2.9716666666666662E-2</v>
      </c>
      <c r="L682" s="8">
        <f t="shared" si="112"/>
        <v>-0.11510401920009261</v>
      </c>
      <c r="M682" s="8">
        <f t="shared" si="113"/>
        <v>0.14400000000000002</v>
      </c>
      <c r="N682" s="8">
        <f t="shared" si="116"/>
        <v>0.15035000000000001</v>
      </c>
      <c r="O682" s="296">
        <f t="shared" si="111"/>
        <v>-0.25910401920009263</v>
      </c>
      <c r="P682" s="8">
        <f t="shared" si="117"/>
        <v>-0.26545401920009259</v>
      </c>
      <c r="Q682" s="8">
        <f t="shared" si="118"/>
        <v>0.10554103358198486</v>
      </c>
      <c r="R682" s="8">
        <f t="shared" si="119"/>
        <v>0.16339999999999999</v>
      </c>
      <c r="S682" s="296">
        <f t="shared" si="120"/>
        <v>-5.7858966418015134E-2</v>
      </c>
      <c r="U682" s="297"/>
      <c r="V682" s="297"/>
      <c r="W682" s="297"/>
      <c r="X682" s="297"/>
      <c r="Y682" s="297"/>
      <c r="Z682" s="297"/>
      <c r="AA682" s="297"/>
      <c r="AB682" s="297"/>
      <c r="AC682" s="297"/>
      <c r="AE682" s="297"/>
      <c r="AF682" s="297"/>
      <c r="AG682" s="297"/>
      <c r="AH682" s="297"/>
      <c r="AI682" s="297"/>
      <c r="AJ682" s="297"/>
      <c r="AK682" s="297"/>
      <c r="AL682" s="297"/>
      <c r="AM682" s="297"/>
      <c r="AO682" s="297"/>
      <c r="AP682" s="297"/>
      <c r="AQ682" s="297"/>
      <c r="AR682" s="297"/>
      <c r="AS682" s="297"/>
      <c r="AT682" s="297"/>
      <c r="AU682" s="297"/>
      <c r="AV682" s="297"/>
      <c r="AW682" s="297"/>
    </row>
    <row r="683" spans="1:49" x14ac:dyDescent="0.45">
      <c r="A683" s="295">
        <v>30133</v>
      </c>
      <c r="B683" s="12">
        <v>-1.78E-2</v>
      </c>
      <c r="C683" s="5">
        <v>-1.9800000000000002E-2</v>
      </c>
      <c r="D683" s="5">
        <v>1.14E-2</v>
      </c>
      <c r="E683" s="5">
        <v>1.2175E-2</v>
      </c>
      <c r="F683" s="5">
        <v>1.2675000000000001E-2</v>
      </c>
      <c r="G683" s="5">
        <v>1.2425000000000002E-2</v>
      </c>
      <c r="H683" s="5">
        <v>1.3716666666666669E-2</v>
      </c>
      <c r="I683" s="5">
        <f t="shared" si="110"/>
        <v>-2.92E-2</v>
      </c>
      <c r="J683" s="5">
        <f t="shared" si="114"/>
        <v>-3.0225000000000002E-2</v>
      </c>
      <c r="K683" s="5">
        <f t="shared" si="115"/>
        <v>-3.3516666666666667E-2</v>
      </c>
      <c r="L683" s="8">
        <f t="shared" si="112"/>
        <v>-0.13267654690982034</v>
      </c>
      <c r="M683" s="8">
        <f t="shared" si="113"/>
        <v>0.1368</v>
      </c>
      <c r="N683" s="8">
        <f t="shared" si="116"/>
        <v>0.14910000000000001</v>
      </c>
      <c r="O683" s="296">
        <f t="shared" si="111"/>
        <v>-0.26947654690982037</v>
      </c>
      <c r="P683" s="8">
        <f t="shared" si="117"/>
        <v>-0.28177654690982035</v>
      </c>
      <c r="Q683" s="8">
        <f t="shared" si="118"/>
        <v>4.7917339828896122E-2</v>
      </c>
      <c r="R683" s="8">
        <f t="shared" si="119"/>
        <v>0.16460000000000002</v>
      </c>
      <c r="S683" s="296">
        <f t="shared" si="120"/>
        <v>-0.1166826601711039</v>
      </c>
      <c r="U683" s="297"/>
      <c r="V683" s="297"/>
      <c r="W683" s="297"/>
      <c r="X683" s="297"/>
      <c r="Y683" s="297"/>
      <c r="Z683" s="297"/>
      <c r="AA683" s="297"/>
      <c r="AB683" s="297"/>
      <c r="AC683" s="297"/>
      <c r="AE683" s="297"/>
      <c r="AF683" s="297"/>
      <c r="AG683" s="297"/>
      <c r="AH683" s="297"/>
      <c r="AI683" s="297"/>
      <c r="AJ683" s="297"/>
      <c r="AK683" s="297"/>
      <c r="AL683" s="297"/>
      <c r="AM683" s="297"/>
      <c r="AO683" s="297"/>
      <c r="AP683" s="297"/>
      <c r="AQ683" s="297"/>
      <c r="AR683" s="297"/>
      <c r="AS683" s="297"/>
      <c r="AT683" s="297"/>
      <c r="AU683" s="297"/>
      <c r="AV683" s="297"/>
      <c r="AW683" s="297"/>
    </row>
    <row r="684" spans="1:49" x14ac:dyDescent="0.45">
      <c r="A684" s="295">
        <v>30164</v>
      </c>
      <c r="B684" s="12">
        <v>0.12139999999999999</v>
      </c>
      <c r="C684" s="5">
        <v>0.1211</v>
      </c>
      <c r="D684" s="5">
        <v>1.1199999999999998E-2</v>
      </c>
      <c r="E684" s="5">
        <v>1.1425000000000001E-2</v>
      </c>
      <c r="F684" s="5">
        <v>1.2066666666666668E-2</v>
      </c>
      <c r="G684" s="5">
        <v>1.1745833333333336E-2</v>
      </c>
      <c r="H684" s="5">
        <v>1.3266666666666666E-2</v>
      </c>
      <c r="I684" s="5">
        <f t="shared" si="110"/>
        <v>0.11019999999999999</v>
      </c>
      <c r="J684" s="5">
        <f t="shared" si="114"/>
        <v>0.10965416666666666</v>
      </c>
      <c r="K684" s="5">
        <f t="shared" si="115"/>
        <v>0.10783333333333334</v>
      </c>
      <c r="L684" s="8">
        <f t="shared" si="112"/>
        <v>3.2172896418685593E-2</v>
      </c>
      <c r="M684" s="8">
        <f t="shared" si="113"/>
        <v>0.13439999999999996</v>
      </c>
      <c r="N684" s="8">
        <f t="shared" si="116"/>
        <v>0.14095000000000002</v>
      </c>
      <c r="O684" s="296">
        <f t="shared" si="111"/>
        <v>-0.10222710358131437</v>
      </c>
      <c r="P684" s="8">
        <f t="shared" si="117"/>
        <v>-0.10877710358131443</v>
      </c>
      <c r="Q684" s="8">
        <f t="shared" si="118"/>
        <v>0.17764648123714455</v>
      </c>
      <c r="R684" s="8">
        <f t="shared" si="119"/>
        <v>0.15920000000000001</v>
      </c>
      <c r="S684" s="296">
        <f t="shared" si="120"/>
        <v>1.8446481237144541E-2</v>
      </c>
      <c r="U684" s="297"/>
      <c r="V684" s="297"/>
      <c r="W684" s="297"/>
      <c r="X684" s="297"/>
      <c r="Y684" s="297"/>
      <c r="Z684" s="297"/>
      <c r="AA684" s="297"/>
      <c r="AB684" s="297"/>
      <c r="AC684" s="297"/>
      <c r="AE684" s="297"/>
      <c r="AF684" s="297"/>
      <c r="AG684" s="297"/>
      <c r="AH684" s="297"/>
      <c r="AI684" s="297"/>
      <c r="AJ684" s="297"/>
      <c r="AK684" s="297"/>
      <c r="AL684" s="297"/>
      <c r="AM684" s="297"/>
      <c r="AO684" s="297"/>
      <c r="AP684" s="297"/>
      <c r="AQ684" s="297"/>
      <c r="AR684" s="297"/>
      <c r="AS684" s="297"/>
      <c r="AT684" s="297"/>
      <c r="AU684" s="297"/>
      <c r="AV684" s="297"/>
      <c r="AW684" s="297"/>
    </row>
    <row r="685" spans="1:49" x14ac:dyDescent="0.45">
      <c r="A685" s="295">
        <v>30195</v>
      </c>
      <c r="B685" s="12">
        <v>1.2500000000000001E-2</v>
      </c>
      <c r="C685" s="5">
        <v>5.1999999999999998E-3</v>
      </c>
      <c r="D685" s="5">
        <v>0.01</v>
      </c>
      <c r="E685" s="5">
        <v>1.0783333333333334E-2</v>
      </c>
      <c r="F685" s="5">
        <v>1.1433333333333334E-2</v>
      </c>
      <c r="G685" s="5">
        <v>1.1108333333333333E-2</v>
      </c>
      <c r="H685" s="5">
        <v>1.2875000000000001E-2</v>
      </c>
      <c r="I685" s="5">
        <f t="shared" si="110"/>
        <v>2.5000000000000005E-3</v>
      </c>
      <c r="J685" s="5">
        <f t="shared" si="114"/>
        <v>1.3916666666666678E-3</v>
      </c>
      <c r="K685" s="5">
        <f t="shared" si="115"/>
        <v>-7.6750000000000013E-3</v>
      </c>
      <c r="L685" s="8">
        <f t="shared" si="112"/>
        <v>9.9269020325990276E-2</v>
      </c>
      <c r="M685" s="8">
        <f t="shared" si="113"/>
        <v>0.12</v>
      </c>
      <c r="N685" s="8">
        <f t="shared" si="116"/>
        <v>0.1333</v>
      </c>
      <c r="O685" s="296">
        <f t="shared" si="111"/>
        <v>-2.073097967400972E-2</v>
      </c>
      <c r="P685" s="8">
        <f t="shared" si="117"/>
        <v>-3.4030979674009726E-2</v>
      </c>
      <c r="Q685" s="8">
        <f t="shared" si="118"/>
        <v>0.2342511134809484</v>
      </c>
      <c r="R685" s="8">
        <f t="shared" si="119"/>
        <v>0.15450000000000003</v>
      </c>
      <c r="S685" s="296">
        <f t="shared" si="120"/>
        <v>7.9751113480948377E-2</v>
      </c>
      <c r="U685" s="297"/>
      <c r="V685" s="297"/>
      <c r="W685" s="297"/>
      <c r="X685" s="297"/>
      <c r="Y685" s="297"/>
      <c r="Z685" s="297"/>
      <c r="AA685" s="297"/>
      <c r="AB685" s="297"/>
      <c r="AC685" s="297"/>
      <c r="AE685" s="297"/>
      <c r="AF685" s="297"/>
      <c r="AG685" s="297"/>
      <c r="AH685" s="297"/>
      <c r="AI685" s="297"/>
      <c r="AJ685" s="297"/>
      <c r="AK685" s="297"/>
      <c r="AL685" s="297"/>
      <c r="AM685" s="297"/>
      <c r="AO685" s="297"/>
      <c r="AP685" s="297"/>
      <c r="AQ685" s="297"/>
      <c r="AR685" s="297"/>
      <c r="AS685" s="297"/>
      <c r="AT685" s="297"/>
      <c r="AU685" s="297"/>
      <c r="AV685" s="297"/>
      <c r="AW685" s="297"/>
    </row>
    <row r="686" spans="1:49" x14ac:dyDescent="0.45">
      <c r="A686" s="295">
        <v>30225</v>
      </c>
      <c r="B686" s="12">
        <v>0.11509999999999999</v>
      </c>
      <c r="C686" s="5">
        <v>6.59E-2</v>
      </c>
      <c r="D686" s="5">
        <v>9.1000000000000004E-3</v>
      </c>
      <c r="E686" s="5">
        <v>1.01E-2</v>
      </c>
      <c r="F686" s="5">
        <v>1.0808333333333333E-2</v>
      </c>
      <c r="G686" s="5">
        <v>1.0454166666666667E-2</v>
      </c>
      <c r="H686" s="5">
        <v>1.2486666666666667E-2</v>
      </c>
      <c r="I686" s="5">
        <f t="shared" si="110"/>
        <v>0.106</v>
      </c>
      <c r="J686" s="5">
        <f t="shared" si="114"/>
        <v>0.10464583333333333</v>
      </c>
      <c r="K686" s="5">
        <f t="shared" si="115"/>
        <v>5.3413333333333333E-2</v>
      </c>
      <c r="L686" s="8">
        <f t="shared" si="112"/>
        <v>0.16299324911338875</v>
      </c>
      <c r="M686" s="8">
        <f t="shared" si="113"/>
        <v>0.10920000000000001</v>
      </c>
      <c r="N686" s="8">
        <f t="shared" si="116"/>
        <v>0.12545000000000001</v>
      </c>
      <c r="O686" s="296">
        <f t="shared" si="111"/>
        <v>5.3793249113388744E-2</v>
      </c>
      <c r="P686" s="8">
        <f t="shared" si="117"/>
        <v>3.7543249113388744E-2</v>
      </c>
      <c r="Q686" s="8">
        <f t="shared" si="118"/>
        <v>0.23913371183888388</v>
      </c>
      <c r="R686" s="8">
        <f t="shared" si="119"/>
        <v>0.14984</v>
      </c>
      <c r="S686" s="296">
        <f t="shared" si="120"/>
        <v>8.9293711838883877E-2</v>
      </c>
      <c r="U686" s="297"/>
      <c r="V686" s="297"/>
      <c r="W686" s="297"/>
      <c r="X686" s="297"/>
      <c r="Y686" s="297"/>
      <c r="Z686" s="297"/>
      <c r="AA686" s="297"/>
      <c r="AB686" s="297"/>
      <c r="AC686" s="297"/>
      <c r="AE686" s="297"/>
      <c r="AF686" s="297"/>
      <c r="AG686" s="297"/>
      <c r="AH686" s="297"/>
      <c r="AI686" s="297"/>
      <c r="AJ686" s="297"/>
      <c r="AK686" s="297"/>
      <c r="AL686" s="297"/>
      <c r="AM686" s="297"/>
      <c r="AO686" s="297"/>
      <c r="AP686" s="297"/>
      <c r="AQ686" s="297"/>
      <c r="AR686" s="297"/>
      <c r="AS686" s="297"/>
      <c r="AT686" s="297"/>
      <c r="AU686" s="297"/>
      <c r="AV686" s="297"/>
      <c r="AW686" s="297"/>
    </row>
    <row r="687" spans="1:49" x14ac:dyDescent="0.45">
      <c r="A687" s="295">
        <v>30256</v>
      </c>
      <c r="B687" s="12">
        <v>4.0399999999999998E-2</v>
      </c>
      <c r="C687" s="5">
        <v>1.6999999999999993E-3</v>
      </c>
      <c r="D687" s="5">
        <v>9.4999999999999998E-3</v>
      </c>
      <c r="E687" s="5">
        <v>9.7333333333333334E-3</v>
      </c>
      <c r="F687" s="5">
        <v>1.0425E-2</v>
      </c>
      <c r="G687" s="5">
        <v>1.0079166666666665E-2</v>
      </c>
      <c r="H687" s="5">
        <v>1.2052083333333335E-2</v>
      </c>
      <c r="I687" s="5">
        <f t="shared" si="110"/>
        <v>3.0899999999999997E-2</v>
      </c>
      <c r="J687" s="5">
        <f t="shared" si="114"/>
        <v>3.0320833333333332E-2</v>
      </c>
      <c r="K687" s="5">
        <f t="shared" si="115"/>
        <v>-1.0352083333333335E-2</v>
      </c>
      <c r="L687" s="8">
        <f t="shared" si="112"/>
        <v>0.16198806912279773</v>
      </c>
      <c r="M687" s="8">
        <f t="shared" si="113"/>
        <v>0.11399999999999999</v>
      </c>
      <c r="N687" s="8">
        <f t="shared" si="116"/>
        <v>0.12094999999999997</v>
      </c>
      <c r="O687" s="296">
        <f t="shared" si="111"/>
        <v>4.7988069122797739E-2</v>
      </c>
      <c r="P687" s="8">
        <f t="shared" si="117"/>
        <v>4.1038069122797755E-2</v>
      </c>
      <c r="Q687" s="8">
        <f t="shared" si="118"/>
        <v>0.18427653768629915</v>
      </c>
      <c r="R687" s="8">
        <f t="shared" si="119"/>
        <v>0.144625</v>
      </c>
      <c r="S687" s="296">
        <f t="shared" si="120"/>
        <v>3.9651537686299143E-2</v>
      </c>
      <c r="U687" s="297"/>
      <c r="V687" s="297"/>
      <c r="W687" s="297"/>
      <c r="X687" s="297"/>
      <c r="Y687" s="297"/>
      <c r="Z687" s="297"/>
      <c r="AA687" s="297"/>
      <c r="AB687" s="297"/>
      <c r="AC687" s="297"/>
      <c r="AE687" s="297"/>
      <c r="AF687" s="297"/>
      <c r="AG687" s="297"/>
      <c r="AH687" s="297"/>
      <c r="AI687" s="297"/>
      <c r="AJ687" s="297"/>
      <c r="AK687" s="297"/>
      <c r="AL687" s="297"/>
      <c r="AM687" s="297"/>
      <c r="AO687" s="297"/>
      <c r="AP687" s="297"/>
      <c r="AQ687" s="297"/>
      <c r="AR687" s="297"/>
      <c r="AS687" s="297"/>
      <c r="AT687" s="297"/>
      <c r="AU687" s="297"/>
      <c r="AV687" s="297"/>
      <c r="AW687" s="297"/>
    </row>
    <row r="688" spans="1:49" x14ac:dyDescent="0.45">
      <c r="A688" s="295">
        <v>30286</v>
      </c>
      <c r="B688" s="12">
        <v>1.9300000000000001E-2</v>
      </c>
      <c r="C688" s="5">
        <v>3.5999999999999997E-2</v>
      </c>
      <c r="D688" s="5">
        <v>9.2999999999999992E-3</v>
      </c>
      <c r="E688" s="5">
        <v>9.8583333333333335E-3</v>
      </c>
      <c r="F688" s="5">
        <v>1.0366666666666666E-2</v>
      </c>
      <c r="G688" s="5">
        <v>1.01125E-2</v>
      </c>
      <c r="H688" s="5">
        <v>1.2021333333333334E-2</v>
      </c>
      <c r="I688" s="5">
        <f t="shared" si="110"/>
        <v>1.0000000000000002E-2</v>
      </c>
      <c r="J688" s="5">
        <f t="shared" si="114"/>
        <v>9.1875000000000012E-3</v>
      </c>
      <c r="K688" s="5">
        <f t="shared" si="115"/>
        <v>2.3978666666666662E-2</v>
      </c>
      <c r="L688" s="8">
        <f t="shared" si="112"/>
        <v>0.21553205958217148</v>
      </c>
      <c r="M688" s="8">
        <f t="shared" si="113"/>
        <v>0.11159999999999999</v>
      </c>
      <c r="N688" s="8">
        <f t="shared" si="116"/>
        <v>0.12135</v>
      </c>
      <c r="O688" s="296">
        <f t="shared" si="111"/>
        <v>0.10393205958217148</v>
      </c>
      <c r="P688" s="8">
        <f t="shared" si="117"/>
        <v>9.4182059582171476E-2</v>
      </c>
      <c r="Q688" s="8">
        <f t="shared" si="118"/>
        <v>0.26550850236514245</v>
      </c>
      <c r="R688" s="8">
        <f t="shared" si="119"/>
        <v>0.144256</v>
      </c>
      <c r="S688" s="296">
        <f t="shared" si="120"/>
        <v>0.12125250236514246</v>
      </c>
      <c r="U688" s="297"/>
      <c r="V688" s="297"/>
      <c r="W688" s="297"/>
      <c r="X688" s="297"/>
      <c r="Y688" s="297"/>
      <c r="Z688" s="297"/>
      <c r="AA688" s="297"/>
      <c r="AB688" s="297"/>
      <c r="AC688" s="297"/>
      <c r="AE688" s="297"/>
      <c r="AF688" s="297"/>
      <c r="AG688" s="297"/>
      <c r="AH688" s="297"/>
      <c r="AI688" s="297"/>
      <c r="AJ688" s="297"/>
      <c r="AK688" s="297"/>
      <c r="AL688" s="297"/>
      <c r="AM688" s="297"/>
      <c r="AO688" s="297"/>
      <c r="AP688" s="297"/>
      <c r="AQ688" s="297"/>
      <c r="AR688" s="297"/>
      <c r="AS688" s="297"/>
      <c r="AT688" s="297"/>
      <c r="AU688" s="297"/>
      <c r="AV688" s="297"/>
      <c r="AW688" s="297"/>
    </row>
    <row r="689" spans="1:49" x14ac:dyDescent="0.45">
      <c r="A689" s="295">
        <v>30317</v>
      </c>
      <c r="B689" s="12">
        <v>3.7199999999999997E-2</v>
      </c>
      <c r="C689" s="5">
        <v>3.7199999999999997E-2</v>
      </c>
      <c r="D689" s="5">
        <v>8.6999999999999994E-3</v>
      </c>
      <c r="E689" s="5">
        <v>9.8249999999999987E-3</v>
      </c>
      <c r="F689" s="5">
        <v>1.0291666666666666E-2</v>
      </c>
      <c r="G689" s="5">
        <v>1.0058333333333334E-2</v>
      </c>
      <c r="H689" s="5">
        <v>1.18675E-2</v>
      </c>
      <c r="I689" s="5">
        <f t="shared" si="110"/>
        <v>2.8499999999999998E-2</v>
      </c>
      <c r="J689" s="5">
        <f t="shared" si="114"/>
        <v>2.7141666666666661E-2</v>
      </c>
      <c r="K689" s="5">
        <f t="shared" si="115"/>
        <v>2.5332499999999997E-2</v>
      </c>
      <c r="L689" s="8">
        <f t="shared" si="112"/>
        <v>0.27748490444688256</v>
      </c>
      <c r="M689" s="8">
        <f t="shared" si="113"/>
        <v>0.10439999999999999</v>
      </c>
      <c r="N689" s="8">
        <f t="shared" si="116"/>
        <v>0.1207</v>
      </c>
      <c r="O689" s="296">
        <f t="shared" si="111"/>
        <v>0.17308490444688257</v>
      </c>
      <c r="P689" s="8">
        <f t="shared" si="117"/>
        <v>0.15678490444688256</v>
      </c>
      <c r="Q689" s="8">
        <f t="shared" si="118"/>
        <v>0.30774675565719423</v>
      </c>
      <c r="R689" s="8">
        <f t="shared" si="119"/>
        <v>0.14240999999999998</v>
      </c>
      <c r="S689" s="296">
        <f t="shared" si="120"/>
        <v>0.16533675565719425</v>
      </c>
      <c r="U689" s="297"/>
      <c r="V689" s="297"/>
      <c r="W689" s="297"/>
      <c r="X689" s="297"/>
      <c r="Y689" s="297"/>
      <c r="Z689" s="297"/>
      <c r="AA689" s="297"/>
      <c r="AB689" s="297"/>
      <c r="AC689" s="297"/>
      <c r="AE689" s="297"/>
      <c r="AF689" s="297"/>
      <c r="AG689" s="297"/>
      <c r="AH689" s="297"/>
      <c r="AI689" s="297"/>
      <c r="AJ689" s="297"/>
      <c r="AK689" s="297"/>
      <c r="AL689" s="297"/>
      <c r="AM689" s="297"/>
      <c r="AO689" s="297"/>
      <c r="AP689" s="297"/>
      <c r="AQ689" s="297"/>
      <c r="AR689" s="297"/>
      <c r="AS689" s="297"/>
      <c r="AT689" s="297"/>
      <c r="AU689" s="297"/>
      <c r="AV689" s="297"/>
      <c r="AW689" s="297"/>
    </row>
    <row r="690" spans="1:49" x14ac:dyDescent="0.45">
      <c r="A690" s="295">
        <v>30348</v>
      </c>
      <c r="B690" s="12">
        <v>2.29E-2</v>
      </c>
      <c r="C690" s="5">
        <v>-4.9999999999999871E-4</v>
      </c>
      <c r="D690" s="5">
        <v>8.0999999999999996E-3</v>
      </c>
      <c r="E690" s="5">
        <v>1.0008333333333333E-2</v>
      </c>
      <c r="F690" s="5">
        <v>1.0483333333333334E-2</v>
      </c>
      <c r="G690" s="5">
        <v>1.0245833333333332E-2</v>
      </c>
      <c r="H690" s="5">
        <v>1.1898250000000001E-2</v>
      </c>
      <c r="I690" s="5">
        <f t="shared" si="110"/>
        <v>1.4800000000000001E-2</v>
      </c>
      <c r="J690" s="5">
        <f t="shared" si="114"/>
        <v>1.2654166666666668E-2</v>
      </c>
      <c r="K690" s="5">
        <f t="shared" si="115"/>
        <v>-1.239825E-2</v>
      </c>
      <c r="L690" s="8">
        <f t="shared" si="112"/>
        <v>0.38411112038842865</v>
      </c>
      <c r="M690" s="8">
        <f t="shared" si="113"/>
        <v>9.7199999999999995E-2</v>
      </c>
      <c r="N690" s="8">
        <f t="shared" si="116"/>
        <v>0.12294999999999999</v>
      </c>
      <c r="O690" s="296">
        <f t="shared" si="111"/>
        <v>0.28691112038842864</v>
      </c>
      <c r="P690" s="8">
        <f t="shared" si="117"/>
        <v>0.26116112038842865</v>
      </c>
      <c r="Q690" s="8">
        <f t="shared" si="118"/>
        <v>0.31168377549359283</v>
      </c>
      <c r="R690" s="8">
        <f t="shared" si="119"/>
        <v>0.14277900000000002</v>
      </c>
      <c r="S690" s="296">
        <f t="shared" si="120"/>
        <v>0.16890477549359281</v>
      </c>
      <c r="U690" s="297"/>
      <c r="V690" s="297"/>
      <c r="W690" s="297"/>
      <c r="X690" s="297"/>
      <c r="Y690" s="297"/>
      <c r="Z690" s="297"/>
      <c r="AA690" s="297"/>
      <c r="AB690" s="297"/>
      <c r="AC690" s="297"/>
      <c r="AE690" s="297"/>
      <c r="AF690" s="297"/>
      <c r="AG690" s="297"/>
      <c r="AH690" s="297"/>
      <c r="AI690" s="297"/>
      <c r="AJ690" s="297"/>
      <c r="AK690" s="297"/>
      <c r="AL690" s="297"/>
      <c r="AM690" s="297"/>
      <c r="AO690" s="297"/>
      <c r="AP690" s="297"/>
      <c r="AQ690" s="297"/>
      <c r="AR690" s="297"/>
      <c r="AS690" s="297"/>
      <c r="AT690" s="297"/>
      <c r="AU690" s="297"/>
      <c r="AV690" s="297"/>
      <c r="AW690" s="297"/>
    </row>
    <row r="691" spans="1:49" x14ac:dyDescent="0.45">
      <c r="A691" s="295">
        <v>30376</v>
      </c>
      <c r="B691" s="12">
        <v>3.6900000000000002E-2</v>
      </c>
      <c r="C691" s="5">
        <v>1.7000000000000001E-3</v>
      </c>
      <c r="D691" s="5">
        <v>8.8999999999999999E-3</v>
      </c>
      <c r="E691" s="5">
        <v>9.7750000000000007E-3</v>
      </c>
      <c r="F691" s="5">
        <v>1.0266666666666667E-2</v>
      </c>
      <c r="G691" s="5">
        <v>1.0020833333333333E-2</v>
      </c>
      <c r="H691" s="5">
        <v>1.1689499999999999E-2</v>
      </c>
      <c r="I691" s="5">
        <f t="shared" si="110"/>
        <v>2.8000000000000004E-2</v>
      </c>
      <c r="J691" s="5">
        <f t="shared" si="114"/>
        <v>2.6879166666666669E-2</v>
      </c>
      <c r="K691" s="5">
        <f t="shared" si="115"/>
        <v>-9.9894999999999984E-3</v>
      </c>
      <c r="L691" s="8">
        <f t="shared" si="112"/>
        <v>0.44268679204941863</v>
      </c>
      <c r="M691" s="8">
        <f t="shared" si="113"/>
        <v>0.10680000000000001</v>
      </c>
      <c r="N691" s="8">
        <f t="shared" si="116"/>
        <v>0.12025</v>
      </c>
      <c r="O691" s="296">
        <f t="shared" si="111"/>
        <v>0.33588679204941863</v>
      </c>
      <c r="P691" s="8">
        <f t="shared" si="117"/>
        <v>0.32243679204941866</v>
      </c>
      <c r="Q691" s="8">
        <f t="shared" si="118"/>
        <v>0.29220460062149134</v>
      </c>
      <c r="R691" s="8">
        <f t="shared" si="119"/>
        <v>0.14027399999999998</v>
      </c>
      <c r="S691" s="296">
        <f t="shared" si="120"/>
        <v>0.15193060062149136</v>
      </c>
      <c r="U691" s="297"/>
      <c r="V691" s="297"/>
      <c r="W691" s="297"/>
      <c r="X691" s="297"/>
      <c r="Y691" s="297"/>
      <c r="Z691" s="297"/>
      <c r="AA691" s="297"/>
      <c r="AB691" s="297"/>
      <c r="AC691" s="297"/>
      <c r="AE691" s="297"/>
      <c r="AF691" s="297"/>
      <c r="AG691" s="297"/>
      <c r="AH691" s="297"/>
      <c r="AI691" s="297"/>
      <c r="AJ691" s="297"/>
      <c r="AK691" s="297"/>
      <c r="AL691" s="297"/>
      <c r="AM691" s="297"/>
      <c r="AO691" s="297"/>
      <c r="AP691" s="297"/>
      <c r="AQ691" s="297"/>
      <c r="AR691" s="297"/>
      <c r="AS691" s="297"/>
      <c r="AT691" s="297"/>
      <c r="AU691" s="297"/>
      <c r="AV691" s="297"/>
      <c r="AW691" s="297"/>
    </row>
    <row r="692" spans="1:49" x14ac:dyDescent="0.45">
      <c r="A692" s="295">
        <v>30407</v>
      </c>
      <c r="B692" s="12">
        <v>7.8799999999999995E-2</v>
      </c>
      <c r="C692" s="5">
        <v>5.7099999999999998E-2</v>
      </c>
      <c r="D692" s="5">
        <v>8.5000000000000006E-3</v>
      </c>
      <c r="E692" s="5">
        <v>9.5916666666666667E-3</v>
      </c>
      <c r="F692" s="5">
        <v>1.0050000000000002E-2</v>
      </c>
      <c r="G692" s="5">
        <v>9.8208333333333342E-3</v>
      </c>
      <c r="H692" s="5">
        <v>1.1364583333333334E-2</v>
      </c>
      <c r="I692" s="5">
        <f t="shared" si="110"/>
        <v>7.0300000000000001E-2</v>
      </c>
      <c r="J692" s="5">
        <f t="shared" si="114"/>
        <v>6.8979166666666661E-2</v>
      </c>
      <c r="K692" s="5">
        <f t="shared" si="115"/>
        <v>4.5735416666666667E-2</v>
      </c>
      <c r="L692" s="8">
        <f t="shared" si="112"/>
        <v>0.48906478306822909</v>
      </c>
      <c r="M692" s="8">
        <f t="shared" si="113"/>
        <v>0.10200000000000001</v>
      </c>
      <c r="N692" s="8">
        <f t="shared" si="116"/>
        <v>0.11785000000000001</v>
      </c>
      <c r="O692" s="296">
        <f t="shared" si="111"/>
        <v>0.38706478306822911</v>
      </c>
      <c r="P692" s="8">
        <f t="shared" si="117"/>
        <v>0.37121478306822908</v>
      </c>
      <c r="Q692" s="8">
        <f t="shared" si="118"/>
        <v>0.29502226328875514</v>
      </c>
      <c r="R692" s="8">
        <f t="shared" si="119"/>
        <v>0.13637500000000002</v>
      </c>
      <c r="S692" s="296">
        <f t="shared" si="120"/>
        <v>0.15864726328875511</v>
      </c>
      <c r="U692" s="297"/>
      <c r="V692" s="297"/>
      <c r="W692" s="297"/>
      <c r="X692" s="297"/>
      <c r="Y692" s="297"/>
      <c r="Z692" s="297"/>
      <c r="AA692" s="297"/>
      <c r="AB692" s="297"/>
      <c r="AC692" s="297"/>
      <c r="AE692" s="297"/>
      <c r="AF692" s="297"/>
      <c r="AG692" s="297"/>
      <c r="AH692" s="297"/>
      <c r="AI692" s="297"/>
      <c r="AJ692" s="297"/>
      <c r="AK692" s="297"/>
      <c r="AL692" s="297"/>
      <c r="AM692" s="297"/>
      <c r="AO692" s="297"/>
      <c r="AP692" s="297"/>
      <c r="AQ692" s="297"/>
      <c r="AR692" s="297"/>
      <c r="AS692" s="297"/>
      <c r="AT692" s="297"/>
      <c r="AU692" s="297"/>
      <c r="AV692" s="297"/>
      <c r="AW692" s="297"/>
    </row>
    <row r="693" spans="1:49" x14ac:dyDescent="0.45">
      <c r="A693" s="295">
        <v>30437</v>
      </c>
      <c r="B693" s="12">
        <v>-8.6999999999999994E-3</v>
      </c>
      <c r="C693" s="5">
        <v>1.2400000000000001E-2</v>
      </c>
      <c r="D693" s="5">
        <v>9.1000000000000004E-3</v>
      </c>
      <c r="E693" s="5">
        <v>9.5500000000000012E-3</v>
      </c>
      <c r="F693" s="5">
        <v>9.9583333333333329E-3</v>
      </c>
      <c r="G693" s="5">
        <v>9.7541666666666662E-3</v>
      </c>
      <c r="H693" s="5">
        <v>1.1242833333333334E-2</v>
      </c>
      <c r="I693" s="5">
        <f t="shared" si="110"/>
        <v>-1.78E-2</v>
      </c>
      <c r="J693" s="5">
        <f t="shared" si="114"/>
        <v>-1.8454166666666667E-2</v>
      </c>
      <c r="K693" s="5">
        <f t="shared" si="115"/>
        <v>1.1571666666666675E-3</v>
      </c>
      <c r="L693" s="8">
        <f t="shared" si="112"/>
        <v>0.52822229988149449</v>
      </c>
      <c r="M693" s="8">
        <f t="shared" si="113"/>
        <v>0.10920000000000001</v>
      </c>
      <c r="N693" s="8">
        <f t="shared" si="116"/>
        <v>0.11704999999999999</v>
      </c>
      <c r="O693" s="296">
        <f t="shared" si="111"/>
        <v>0.41902229988149448</v>
      </c>
      <c r="P693" s="8">
        <f t="shared" si="117"/>
        <v>0.41117229988149451</v>
      </c>
      <c r="Q693" s="8">
        <f t="shared" si="118"/>
        <v>0.33606495399320813</v>
      </c>
      <c r="R693" s="8">
        <f t="shared" si="119"/>
        <v>0.13491400000000001</v>
      </c>
      <c r="S693" s="296">
        <f t="shared" si="120"/>
        <v>0.20115095399320812</v>
      </c>
      <c r="U693" s="297"/>
      <c r="V693" s="297"/>
      <c r="W693" s="297"/>
      <c r="X693" s="297"/>
      <c r="Y693" s="297"/>
      <c r="Z693" s="297"/>
      <c r="AA693" s="297"/>
      <c r="AB693" s="297"/>
      <c r="AC693" s="297"/>
      <c r="AE693" s="297"/>
      <c r="AF693" s="297"/>
      <c r="AG693" s="297"/>
      <c r="AH693" s="297"/>
      <c r="AI693" s="297"/>
      <c r="AJ693" s="297"/>
      <c r="AK693" s="297"/>
      <c r="AL693" s="297"/>
      <c r="AM693" s="297"/>
      <c r="AO693" s="297"/>
      <c r="AP693" s="297"/>
      <c r="AQ693" s="297"/>
      <c r="AR693" s="297"/>
      <c r="AS693" s="297"/>
      <c r="AT693" s="297"/>
      <c r="AU693" s="297"/>
      <c r="AV693" s="297"/>
      <c r="AW693" s="297"/>
    </row>
    <row r="694" spans="1:49" x14ac:dyDescent="0.45">
      <c r="A694" s="295">
        <v>30468</v>
      </c>
      <c r="B694" s="12">
        <v>3.8899999999999997E-2</v>
      </c>
      <c r="C694" s="5">
        <v>-1.23E-2</v>
      </c>
      <c r="D694" s="5">
        <v>8.9999999999999993E-3</v>
      </c>
      <c r="E694" s="5">
        <v>9.7833333333333331E-3</v>
      </c>
      <c r="F694" s="5">
        <v>1.0125E-2</v>
      </c>
      <c r="G694" s="5">
        <v>9.9541666666666667E-3</v>
      </c>
      <c r="H694" s="5">
        <v>1.1372750000000001E-2</v>
      </c>
      <c r="I694" s="5">
        <f t="shared" si="110"/>
        <v>2.9899999999999996E-2</v>
      </c>
      <c r="J694" s="5">
        <f t="shared" si="114"/>
        <v>2.894583333333333E-2</v>
      </c>
      <c r="K694" s="5">
        <f t="shared" si="115"/>
        <v>-2.3672749999999999E-2</v>
      </c>
      <c r="L694" s="8">
        <f t="shared" si="112"/>
        <v>0.6118478653267867</v>
      </c>
      <c r="M694" s="8">
        <f t="shared" si="113"/>
        <v>0.10799999999999998</v>
      </c>
      <c r="N694" s="8">
        <f t="shared" si="116"/>
        <v>0.11945</v>
      </c>
      <c r="O694" s="296">
        <f t="shared" si="111"/>
        <v>0.50384786532678671</v>
      </c>
      <c r="P694" s="8">
        <f t="shared" si="117"/>
        <v>0.4923978653267867</v>
      </c>
      <c r="Q694" s="8">
        <f t="shared" si="118"/>
        <v>0.3412250788282265</v>
      </c>
      <c r="R694" s="8">
        <f t="shared" si="119"/>
        <v>0.13647300000000001</v>
      </c>
      <c r="S694" s="296">
        <f t="shared" si="120"/>
        <v>0.20475207882822649</v>
      </c>
      <c r="U694" s="297"/>
      <c r="V694" s="297"/>
      <c r="W694" s="297"/>
      <c r="X694" s="297"/>
      <c r="Y694" s="297"/>
      <c r="Z694" s="297"/>
      <c r="AA694" s="297"/>
      <c r="AB694" s="297"/>
      <c r="AC694" s="297"/>
      <c r="AE694" s="297"/>
      <c r="AF694" s="297"/>
      <c r="AG694" s="297"/>
      <c r="AH694" s="297"/>
      <c r="AI694" s="297"/>
      <c r="AJ694" s="297"/>
      <c r="AK694" s="297"/>
      <c r="AL694" s="297"/>
      <c r="AM694" s="297"/>
      <c r="AO694" s="297"/>
      <c r="AP694" s="297"/>
      <c r="AQ694" s="297"/>
      <c r="AR694" s="297"/>
      <c r="AS694" s="297"/>
      <c r="AT694" s="297"/>
      <c r="AU694" s="297"/>
      <c r="AV694" s="297"/>
      <c r="AW694" s="297"/>
    </row>
    <row r="695" spans="1:49" x14ac:dyDescent="0.45">
      <c r="A695" s="295">
        <v>30498</v>
      </c>
      <c r="B695" s="12">
        <v>-2.9499999999999998E-2</v>
      </c>
      <c r="C695" s="5">
        <v>3.39E-2</v>
      </c>
      <c r="D695" s="5">
        <v>8.8000000000000005E-3</v>
      </c>
      <c r="E695" s="5">
        <v>1.0125E-2</v>
      </c>
      <c r="F695" s="5">
        <v>1.0324999999999999E-2</v>
      </c>
      <c r="G695" s="5">
        <v>1.0225E-2</v>
      </c>
      <c r="H695" s="5">
        <v>1.1310000000000001E-2</v>
      </c>
      <c r="I695" s="5">
        <f t="shared" si="110"/>
        <v>-3.8300000000000001E-2</v>
      </c>
      <c r="J695" s="5">
        <f t="shared" si="114"/>
        <v>-3.9724999999999996E-2</v>
      </c>
      <c r="K695" s="5">
        <f t="shared" si="115"/>
        <v>2.2589999999999999E-2</v>
      </c>
      <c r="L695" s="8">
        <f t="shared" si="112"/>
        <v>0.59264747841544163</v>
      </c>
      <c r="M695" s="8">
        <f t="shared" si="113"/>
        <v>0.1056</v>
      </c>
      <c r="N695" s="8">
        <f t="shared" si="116"/>
        <v>0.1227</v>
      </c>
      <c r="O695" s="296">
        <f t="shared" si="111"/>
        <v>0.4870474784154416</v>
      </c>
      <c r="P695" s="8">
        <f t="shared" si="117"/>
        <v>0.4699474784154416</v>
      </c>
      <c r="Q695" s="8">
        <f t="shared" si="118"/>
        <v>0.4147037431141638</v>
      </c>
      <c r="R695" s="8">
        <f t="shared" si="119"/>
        <v>0.13572000000000001</v>
      </c>
      <c r="S695" s="296">
        <f t="shared" si="120"/>
        <v>0.2789837431141638</v>
      </c>
      <c r="U695" s="297"/>
      <c r="V695" s="297"/>
      <c r="W695" s="297"/>
      <c r="X695" s="297"/>
      <c r="Y695" s="297"/>
      <c r="Z695" s="297"/>
      <c r="AA695" s="297"/>
      <c r="AB695" s="297"/>
      <c r="AC695" s="297"/>
      <c r="AE695" s="297"/>
      <c r="AF695" s="297"/>
      <c r="AG695" s="297"/>
      <c r="AH695" s="297"/>
      <c r="AI695" s="297"/>
      <c r="AJ695" s="297"/>
      <c r="AK695" s="297"/>
      <c r="AL695" s="297"/>
      <c r="AM695" s="297"/>
      <c r="AO695" s="297"/>
      <c r="AP695" s="297"/>
      <c r="AQ695" s="297"/>
      <c r="AR695" s="297"/>
      <c r="AS695" s="297"/>
      <c r="AT695" s="297"/>
      <c r="AU695" s="297"/>
      <c r="AV695" s="297"/>
      <c r="AW695" s="297"/>
    </row>
    <row r="696" spans="1:49" x14ac:dyDescent="0.45">
      <c r="A696" s="295">
        <v>30529</v>
      </c>
      <c r="B696" s="12">
        <v>1.4999999999999999E-2</v>
      </c>
      <c r="C696" s="5">
        <v>4.0000000000000001E-3</v>
      </c>
      <c r="D696" s="5">
        <v>1.03E-2</v>
      </c>
      <c r="E696" s="5">
        <v>1.0425E-2</v>
      </c>
      <c r="F696" s="5">
        <v>1.06E-2</v>
      </c>
      <c r="G696" s="5">
        <v>1.0512500000000001E-2</v>
      </c>
      <c r="H696" s="5">
        <v>1.1305833333333333E-2</v>
      </c>
      <c r="I696" s="5">
        <f t="shared" si="110"/>
        <v>4.6999999999999993E-3</v>
      </c>
      <c r="J696" s="5">
        <f t="shared" si="114"/>
        <v>4.4874999999999984E-3</v>
      </c>
      <c r="K696" s="5">
        <f t="shared" si="115"/>
        <v>-7.3058333333333326E-3</v>
      </c>
      <c r="L696" s="8">
        <f t="shared" si="112"/>
        <v>0.44153485874056764</v>
      </c>
      <c r="M696" s="8">
        <f t="shared" si="113"/>
        <v>0.1236</v>
      </c>
      <c r="N696" s="8">
        <f t="shared" si="116"/>
        <v>0.12615000000000001</v>
      </c>
      <c r="O696" s="296">
        <f t="shared" si="111"/>
        <v>0.31793485874056765</v>
      </c>
      <c r="P696" s="8">
        <f t="shared" si="117"/>
        <v>0.31538485874056765</v>
      </c>
      <c r="Q696" s="8">
        <f t="shared" si="118"/>
        <v>0.26693654275855905</v>
      </c>
      <c r="R696" s="8">
        <f t="shared" si="119"/>
        <v>0.13566999999999999</v>
      </c>
      <c r="S696" s="296">
        <f t="shared" si="120"/>
        <v>0.13126654275855906</v>
      </c>
      <c r="U696" s="297"/>
      <c r="V696" s="297"/>
      <c r="W696" s="297"/>
      <c r="X696" s="297"/>
      <c r="Y696" s="297"/>
      <c r="Z696" s="297"/>
      <c r="AA696" s="297"/>
      <c r="AB696" s="297"/>
      <c r="AC696" s="297"/>
      <c r="AE696" s="297"/>
      <c r="AF696" s="297"/>
      <c r="AG696" s="297"/>
      <c r="AH696" s="297"/>
      <c r="AI696" s="297"/>
      <c r="AJ696" s="297"/>
      <c r="AK696" s="297"/>
      <c r="AL696" s="297"/>
      <c r="AM696" s="297"/>
      <c r="AO696" s="297"/>
      <c r="AP696" s="297"/>
      <c r="AQ696" s="297"/>
      <c r="AR696" s="297"/>
      <c r="AS696" s="297"/>
      <c r="AT696" s="297"/>
      <c r="AU696" s="297"/>
      <c r="AV696" s="297"/>
      <c r="AW696" s="297"/>
    </row>
    <row r="697" spans="1:49" x14ac:dyDescent="0.45">
      <c r="A697" s="295">
        <v>30560</v>
      </c>
      <c r="B697" s="12">
        <v>1.38E-2</v>
      </c>
      <c r="C697" s="5">
        <v>4.4500000000000005E-2</v>
      </c>
      <c r="D697" s="5">
        <v>9.5999999999999992E-3</v>
      </c>
      <c r="E697" s="5">
        <v>1.0308333333333333E-2</v>
      </c>
      <c r="F697" s="5">
        <v>1.0516666666666665E-2</v>
      </c>
      <c r="G697" s="5">
        <v>1.0412499999999998E-2</v>
      </c>
      <c r="H697" s="5">
        <v>1.1197250000000001E-2</v>
      </c>
      <c r="I697" s="5">
        <f t="shared" si="110"/>
        <v>4.2000000000000006E-3</v>
      </c>
      <c r="J697" s="5">
        <f t="shared" si="114"/>
        <v>3.3875000000000016E-3</v>
      </c>
      <c r="K697" s="5">
        <f t="shared" si="115"/>
        <v>3.3302750000000006E-2</v>
      </c>
      <c r="L697" s="8">
        <f t="shared" si="112"/>
        <v>0.44338571831228424</v>
      </c>
      <c r="M697" s="8">
        <f t="shared" si="113"/>
        <v>0.1152</v>
      </c>
      <c r="N697" s="8">
        <f t="shared" si="116"/>
        <v>0.12494999999999998</v>
      </c>
      <c r="O697" s="296">
        <f t="shared" si="111"/>
        <v>0.32818571831228427</v>
      </c>
      <c r="P697" s="8">
        <f t="shared" si="117"/>
        <v>0.31843571831228423</v>
      </c>
      <c r="Q697" s="8">
        <f t="shared" si="118"/>
        <v>0.31646957711034052</v>
      </c>
      <c r="R697" s="8">
        <f t="shared" si="119"/>
        <v>0.13436700000000001</v>
      </c>
      <c r="S697" s="296">
        <f t="shared" si="120"/>
        <v>0.1821025771103405</v>
      </c>
      <c r="U697" s="297"/>
      <c r="V697" s="297"/>
      <c r="W697" s="297"/>
      <c r="X697" s="297"/>
      <c r="Y697" s="297"/>
      <c r="Z697" s="297"/>
      <c r="AA697" s="297"/>
      <c r="AB697" s="297"/>
      <c r="AC697" s="297"/>
      <c r="AE697" s="297"/>
      <c r="AF697" s="297"/>
      <c r="AG697" s="297"/>
      <c r="AH697" s="297"/>
      <c r="AI697" s="297"/>
      <c r="AJ697" s="297"/>
      <c r="AK697" s="297"/>
      <c r="AL697" s="297"/>
      <c r="AM697" s="297"/>
      <c r="AO697" s="297"/>
      <c r="AP697" s="297"/>
      <c r="AQ697" s="297"/>
      <c r="AR697" s="297"/>
      <c r="AS697" s="297"/>
      <c r="AT697" s="297"/>
      <c r="AU697" s="297"/>
      <c r="AV697" s="297"/>
      <c r="AW697" s="297"/>
    </row>
    <row r="698" spans="1:49" x14ac:dyDescent="0.45">
      <c r="A698" s="295">
        <v>30590</v>
      </c>
      <c r="B698" s="12">
        <v>-1.1599999999999999E-2</v>
      </c>
      <c r="C698" s="5">
        <v>5.3199999999999997E-2</v>
      </c>
      <c r="D698" s="5">
        <v>9.4999999999999998E-3</v>
      </c>
      <c r="E698" s="5">
        <v>1.0208333333333333E-2</v>
      </c>
      <c r="F698" s="5">
        <v>1.0408333333333332E-2</v>
      </c>
      <c r="G698" s="5">
        <v>1.0308333333333333E-2</v>
      </c>
      <c r="H698" s="5">
        <v>1.1043666666666667E-2</v>
      </c>
      <c r="I698" s="5">
        <f t="shared" si="110"/>
        <v>-2.1100000000000001E-2</v>
      </c>
      <c r="J698" s="5">
        <f t="shared" si="114"/>
        <v>-2.1908333333333332E-2</v>
      </c>
      <c r="K698" s="5">
        <f t="shared" si="115"/>
        <v>4.215633333333333E-2</v>
      </c>
      <c r="L698" s="8">
        <f t="shared" si="112"/>
        <v>0.27938520668985878</v>
      </c>
      <c r="M698" s="8">
        <f t="shared" si="113"/>
        <v>0.11399999999999999</v>
      </c>
      <c r="N698" s="8">
        <f t="shared" si="116"/>
        <v>0.12369999999999999</v>
      </c>
      <c r="O698" s="296">
        <f t="shared" si="111"/>
        <v>0.16538520668985879</v>
      </c>
      <c r="P698" s="8">
        <f t="shared" si="117"/>
        <v>0.1556852066898588</v>
      </c>
      <c r="Q698" s="8">
        <f t="shared" si="118"/>
        <v>0.3007840872620422</v>
      </c>
      <c r="R698" s="8">
        <f t="shared" si="119"/>
        <v>0.132524</v>
      </c>
      <c r="S698" s="296">
        <f t="shared" si="120"/>
        <v>0.1682600872620422</v>
      </c>
      <c r="U698" s="297"/>
      <c r="V698" s="297"/>
      <c r="W698" s="297"/>
      <c r="X698" s="297"/>
      <c r="Y698" s="297"/>
      <c r="Z698" s="297"/>
      <c r="AA698" s="297"/>
      <c r="AB698" s="297"/>
      <c r="AC698" s="297"/>
      <c r="AE698" s="297"/>
      <c r="AF698" s="297"/>
      <c r="AG698" s="297"/>
      <c r="AH698" s="297"/>
      <c r="AI698" s="297"/>
      <c r="AJ698" s="297"/>
      <c r="AK698" s="297"/>
      <c r="AL698" s="297"/>
      <c r="AM698" s="297"/>
      <c r="AO698" s="297"/>
      <c r="AP698" s="297"/>
      <c r="AQ698" s="297"/>
      <c r="AR698" s="297"/>
      <c r="AS698" s="297"/>
      <c r="AT698" s="297"/>
      <c r="AU698" s="297"/>
      <c r="AV698" s="297"/>
      <c r="AW698" s="297"/>
    </row>
    <row r="699" spans="1:49" x14ac:dyDescent="0.45">
      <c r="A699" s="295">
        <v>30621</v>
      </c>
      <c r="B699" s="12">
        <v>2.1100000000000001E-2</v>
      </c>
      <c r="C699" s="5">
        <v>-2.0400000000000001E-2</v>
      </c>
      <c r="D699" s="5">
        <v>9.4000000000000004E-3</v>
      </c>
      <c r="E699" s="5">
        <v>1.0341666666666667E-2</v>
      </c>
      <c r="F699" s="5">
        <v>1.0508333333333333E-2</v>
      </c>
      <c r="G699" s="5">
        <v>1.0425E-2</v>
      </c>
      <c r="H699" s="5">
        <v>1.1152749999999999E-2</v>
      </c>
      <c r="I699" s="5">
        <f t="shared" si="110"/>
        <v>1.17E-2</v>
      </c>
      <c r="J699" s="5">
        <f t="shared" si="114"/>
        <v>1.0675E-2</v>
      </c>
      <c r="K699" s="5">
        <f t="shared" si="115"/>
        <v>-3.1552750000000004E-2</v>
      </c>
      <c r="L699" s="8">
        <f t="shared" si="112"/>
        <v>0.25565189787679232</v>
      </c>
      <c r="M699" s="8">
        <f t="shared" si="113"/>
        <v>0.11280000000000001</v>
      </c>
      <c r="N699" s="8">
        <f t="shared" si="116"/>
        <v>0.12509999999999999</v>
      </c>
      <c r="O699" s="296">
        <f t="shared" si="111"/>
        <v>0.14285189787679231</v>
      </c>
      <c r="P699" s="8">
        <f t="shared" si="117"/>
        <v>0.13055189787679233</v>
      </c>
      <c r="Q699" s="8">
        <f t="shared" si="118"/>
        <v>0.27208554645292704</v>
      </c>
      <c r="R699" s="8">
        <f t="shared" si="119"/>
        <v>0.13383299999999998</v>
      </c>
      <c r="S699" s="296">
        <f t="shared" si="120"/>
        <v>0.13825254645292706</v>
      </c>
      <c r="U699" s="297"/>
      <c r="V699" s="297"/>
      <c r="W699" s="297"/>
      <c r="X699" s="297"/>
      <c r="Y699" s="297"/>
      <c r="Z699" s="297"/>
      <c r="AA699" s="297"/>
      <c r="AB699" s="297"/>
      <c r="AC699" s="297"/>
      <c r="AE699" s="297"/>
      <c r="AF699" s="297"/>
      <c r="AG699" s="297"/>
      <c r="AH699" s="297"/>
      <c r="AI699" s="297"/>
      <c r="AJ699" s="297"/>
      <c r="AK699" s="297"/>
      <c r="AL699" s="297"/>
      <c r="AM699" s="297"/>
      <c r="AO699" s="297"/>
      <c r="AP699" s="297"/>
      <c r="AQ699" s="297"/>
      <c r="AR699" s="297"/>
      <c r="AS699" s="297"/>
      <c r="AT699" s="297"/>
      <c r="AU699" s="297"/>
      <c r="AV699" s="297"/>
      <c r="AW699" s="297"/>
    </row>
    <row r="700" spans="1:49" x14ac:dyDescent="0.45">
      <c r="A700" s="295">
        <v>30651</v>
      </c>
      <c r="B700" s="12">
        <v>-5.1999999999999998E-3</v>
      </c>
      <c r="C700" s="5">
        <v>-2.2600000000000002E-2</v>
      </c>
      <c r="D700" s="5">
        <v>9.4000000000000004E-3</v>
      </c>
      <c r="E700" s="5">
        <v>1.0475000000000002E-2</v>
      </c>
      <c r="F700" s="5">
        <v>1.0633333333333333E-2</v>
      </c>
      <c r="G700" s="5">
        <v>1.0554166666666667E-2</v>
      </c>
      <c r="H700" s="5">
        <v>1.126425E-2</v>
      </c>
      <c r="I700" s="5">
        <f t="shared" si="110"/>
        <v>-1.46E-2</v>
      </c>
      <c r="J700" s="5">
        <f t="shared" si="114"/>
        <v>-1.5754166666666666E-2</v>
      </c>
      <c r="K700" s="5">
        <f t="shared" si="115"/>
        <v>-3.3864249999999999E-2</v>
      </c>
      <c r="L700" s="8">
        <f t="shared" si="112"/>
        <v>0.22547091926599894</v>
      </c>
      <c r="M700" s="8">
        <f t="shared" si="113"/>
        <v>0.11280000000000001</v>
      </c>
      <c r="N700" s="8">
        <f t="shared" si="116"/>
        <v>0.12664999999999998</v>
      </c>
      <c r="O700" s="296">
        <f t="shared" si="111"/>
        <v>0.11267091926599893</v>
      </c>
      <c r="P700" s="8">
        <f t="shared" si="117"/>
        <v>9.8820919265998952E-2</v>
      </c>
      <c r="Q700" s="8">
        <f t="shared" si="118"/>
        <v>0.2001316728794309</v>
      </c>
      <c r="R700" s="8">
        <f t="shared" si="119"/>
        <v>0.13517099999999999</v>
      </c>
      <c r="S700" s="296">
        <f t="shared" si="120"/>
        <v>6.4960672879430914E-2</v>
      </c>
      <c r="U700" s="297"/>
      <c r="V700" s="297"/>
      <c r="W700" s="297"/>
      <c r="X700" s="297"/>
      <c r="Y700" s="297"/>
      <c r="Z700" s="297"/>
      <c r="AA700" s="297"/>
      <c r="AB700" s="297"/>
      <c r="AC700" s="297"/>
      <c r="AE700" s="297"/>
      <c r="AF700" s="297"/>
      <c r="AG700" s="297"/>
      <c r="AH700" s="297"/>
      <c r="AI700" s="297"/>
      <c r="AJ700" s="297"/>
      <c r="AK700" s="297"/>
      <c r="AL700" s="297"/>
      <c r="AM700" s="297"/>
      <c r="AO700" s="297"/>
      <c r="AP700" s="297"/>
      <c r="AQ700" s="297"/>
      <c r="AR700" s="297"/>
      <c r="AS700" s="297"/>
      <c r="AT700" s="297"/>
      <c r="AU700" s="297"/>
      <c r="AV700" s="297"/>
      <c r="AW700" s="297"/>
    </row>
    <row r="701" spans="1:49" x14ac:dyDescent="0.45">
      <c r="A701" s="295">
        <v>30682</v>
      </c>
      <c r="B701" s="12">
        <v>-5.5999999999999999E-3</v>
      </c>
      <c r="C701" s="5">
        <v>4.82E-2</v>
      </c>
      <c r="D701" s="5">
        <v>1.03E-2</v>
      </c>
      <c r="E701" s="5">
        <v>1.0166666666666666E-2</v>
      </c>
      <c r="F701" s="5">
        <v>1.0591666666666668E-2</v>
      </c>
      <c r="G701" s="5">
        <v>1.0379166666666668E-2</v>
      </c>
      <c r="H701" s="5">
        <v>1.1167083333333333E-2</v>
      </c>
      <c r="I701" s="5">
        <f t="shared" si="110"/>
        <v>-1.5900000000000001E-2</v>
      </c>
      <c r="J701" s="5">
        <f t="shared" si="114"/>
        <v>-1.5979166666666669E-2</v>
      </c>
      <c r="K701" s="5">
        <f t="shared" si="115"/>
        <v>3.7032916666666665E-2</v>
      </c>
      <c r="L701" s="8">
        <f t="shared" si="112"/>
        <v>0.17490193031055679</v>
      </c>
      <c r="M701" s="8">
        <f t="shared" si="113"/>
        <v>0.1236</v>
      </c>
      <c r="N701" s="8">
        <f t="shared" si="116"/>
        <v>0.12455000000000002</v>
      </c>
      <c r="O701" s="296">
        <f t="shared" si="111"/>
        <v>5.1301930310556784E-2</v>
      </c>
      <c r="P701" s="8">
        <f t="shared" si="117"/>
        <v>5.0351930310556764E-2</v>
      </c>
      <c r="Q701" s="8">
        <f t="shared" si="118"/>
        <v>0.21285964087178932</v>
      </c>
      <c r="R701" s="8">
        <f t="shared" si="119"/>
        <v>0.13400499999999999</v>
      </c>
      <c r="S701" s="296">
        <f t="shared" si="120"/>
        <v>7.8854640871789339E-2</v>
      </c>
      <c r="U701" s="297"/>
      <c r="V701" s="297"/>
      <c r="W701" s="297"/>
      <c r="X701" s="297"/>
      <c r="Y701" s="297"/>
      <c r="Z701" s="297"/>
      <c r="AA701" s="297"/>
      <c r="AB701" s="297"/>
      <c r="AC701" s="297"/>
      <c r="AE701" s="297"/>
      <c r="AF701" s="297"/>
      <c r="AG701" s="297"/>
      <c r="AH701" s="297"/>
      <c r="AI701" s="297"/>
      <c r="AJ701" s="297"/>
      <c r="AK701" s="297"/>
      <c r="AL701" s="297"/>
      <c r="AM701" s="297"/>
      <c r="AO701" s="297"/>
      <c r="AP701" s="297"/>
      <c r="AQ701" s="297"/>
      <c r="AR701" s="297"/>
      <c r="AS701" s="297"/>
      <c r="AT701" s="297"/>
      <c r="AU701" s="297"/>
      <c r="AV701" s="297"/>
      <c r="AW701" s="297"/>
    </row>
    <row r="702" spans="1:49" x14ac:dyDescent="0.45">
      <c r="A702" s="295">
        <v>30713</v>
      </c>
      <c r="B702" s="12">
        <v>-3.5200000000000002E-2</v>
      </c>
      <c r="C702" s="5">
        <v>-4.1100000000000005E-2</v>
      </c>
      <c r="D702" s="5">
        <v>9.1999999999999998E-3</v>
      </c>
      <c r="E702" s="5">
        <v>1.0066666666666666E-2</v>
      </c>
      <c r="F702" s="5">
        <v>1.0583333333333333E-2</v>
      </c>
      <c r="G702" s="5">
        <v>1.0324999999999999E-2</v>
      </c>
      <c r="H702" s="5">
        <v>1.1164166666666666E-2</v>
      </c>
      <c r="I702" s="5">
        <f t="shared" si="110"/>
        <v>-4.4400000000000002E-2</v>
      </c>
      <c r="J702" s="5">
        <f t="shared" si="114"/>
        <v>-4.5525000000000003E-2</v>
      </c>
      <c r="K702" s="5">
        <f t="shared" si="115"/>
        <v>-5.2264166666666667E-2</v>
      </c>
      <c r="L702" s="8">
        <f t="shared" si="112"/>
        <v>0.10816832766020701</v>
      </c>
      <c r="M702" s="8">
        <f t="shared" si="113"/>
        <v>0.1104</v>
      </c>
      <c r="N702" s="8">
        <f t="shared" si="116"/>
        <v>0.12389999999999998</v>
      </c>
      <c r="O702" s="296">
        <f t="shared" si="111"/>
        <v>-2.2316723397929894E-3</v>
      </c>
      <c r="P702" s="8">
        <f t="shared" si="117"/>
        <v>-1.5731672339792974E-2</v>
      </c>
      <c r="Q702" s="8">
        <f t="shared" si="118"/>
        <v>0.16359290608500099</v>
      </c>
      <c r="R702" s="8">
        <f t="shared" si="119"/>
        <v>0.13396999999999998</v>
      </c>
      <c r="S702" s="296">
        <f t="shared" si="120"/>
        <v>2.9622906085001011E-2</v>
      </c>
      <c r="U702" s="297"/>
      <c r="V702" s="297"/>
      <c r="W702" s="297"/>
      <c r="X702" s="297"/>
      <c r="Y702" s="297"/>
      <c r="Z702" s="297"/>
      <c r="AA702" s="297"/>
      <c r="AB702" s="297"/>
      <c r="AC702" s="297"/>
      <c r="AE702" s="297"/>
      <c r="AF702" s="297"/>
      <c r="AG702" s="297"/>
      <c r="AH702" s="297"/>
      <c r="AI702" s="297"/>
      <c r="AJ702" s="297"/>
      <c r="AK702" s="297"/>
      <c r="AL702" s="297"/>
      <c r="AM702" s="297"/>
      <c r="AO702" s="297"/>
      <c r="AP702" s="297"/>
      <c r="AQ702" s="297"/>
      <c r="AR702" s="297"/>
      <c r="AS702" s="297"/>
      <c r="AT702" s="297"/>
      <c r="AU702" s="297"/>
      <c r="AV702" s="297"/>
      <c r="AW702" s="297"/>
    </row>
    <row r="703" spans="1:49" x14ac:dyDescent="0.45">
      <c r="A703" s="295">
        <v>30742</v>
      </c>
      <c r="B703" s="12">
        <v>1.7299999999999999E-2</v>
      </c>
      <c r="C703" s="5">
        <v>-5.4999999999999997E-3</v>
      </c>
      <c r="D703" s="5">
        <v>9.7999999999999997E-3</v>
      </c>
      <c r="E703" s="5">
        <v>1.0475000000000002E-2</v>
      </c>
      <c r="F703" s="5">
        <v>1.1016666666666668E-2</v>
      </c>
      <c r="G703" s="5">
        <v>1.0745833333333335E-2</v>
      </c>
      <c r="H703" s="5">
        <v>1.1476916666666665E-2</v>
      </c>
      <c r="I703" s="5">
        <f t="shared" si="110"/>
        <v>7.4999999999999997E-3</v>
      </c>
      <c r="J703" s="5">
        <f t="shared" si="114"/>
        <v>6.5541666666666647E-3</v>
      </c>
      <c r="K703" s="5">
        <f t="shared" si="115"/>
        <v>-1.6976916666666664E-2</v>
      </c>
      <c r="L703" s="8">
        <f t="shared" si="112"/>
        <v>8.7221178251257303E-2</v>
      </c>
      <c r="M703" s="8">
        <f t="shared" si="113"/>
        <v>0.1176</v>
      </c>
      <c r="N703" s="8">
        <f t="shared" si="116"/>
        <v>0.12895000000000001</v>
      </c>
      <c r="O703" s="296">
        <f t="shared" si="111"/>
        <v>-3.0378821748742693E-2</v>
      </c>
      <c r="P703" s="8">
        <f t="shared" si="117"/>
        <v>-4.1728821748742706E-2</v>
      </c>
      <c r="Q703" s="8">
        <f t="shared" si="118"/>
        <v>0.15522925536740884</v>
      </c>
      <c r="R703" s="8">
        <f t="shared" si="119"/>
        <v>0.13772299999999998</v>
      </c>
      <c r="S703" s="296">
        <f t="shared" si="120"/>
        <v>1.7506255367408852E-2</v>
      </c>
      <c r="U703" s="297"/>
      <c r="V703" s="297"/>
      <c r="W703" s="297"/>
      <c r="X703" s="297"/>
      <c r="Y703" s="297"/>
      <c r="Z703" s="297"/>
      <c r="AA703" s="297"/>
      <c r="AB703" s="297"/>
      <c r="AC703" s="297"/>
      <c r="AE703" s="297"/>
      <c r="AF703" s="297"/>
      <c r="AG703" s="297"/>
      <c r="AH703" s="297"/>
      <c r="AI703" s="297"/>
      <c r="AJ703" s="297"/>
      <c r="AK703" s="297"/>
      <c r="AL703" s="297"/>
      <c r="AM703" s="297"/>
      <c r="AO703" s="297"/>
      <c r="AP703" s="297"/>
      <c r="AQ703" s="297"/>
      <c r="AR703" s="297"/>
      <c r="AS703" s="297"/>
      <c r="AT703" s="297"/>
      <c r="AU703" s="297"/>
      <c r="AV703" s="297"/>
      <c r="AW703" s="297"/>
    </row>
    <row r="704" spans="1:49" x14ac:dyDescent="0.45">
      <c r="A704" s="295">
        <v>30773</v>
      </c>
      <c r="B704" s="12">
        <v>9.4999999999999998E-3</v>
      </c>
      <c r="C704" s="5">
        <v>1.5900000000000001E-2</v>
      </c>
      <c r="D704" s="5">
        <v>1.04E-2</v>
      </c>
      <c r="E704" s="5">
        <v>1.0675E-2</v>
      </c>
      <c r="F704" s="5">
        <v>1.1233333333333333E-2</v>
      </c>
      <c r="G704" s="5">
        <v>1.0954166666666668E-2</v>
      </c>
      <c r="H704" s="5">
        <v>1.1774166666666665E-2</v>
      </c>
      <c r="I704" s="5">
        <f t="shared" si="110"/>
        <v>-8.9999999999999976E-4</v>
      </c>
      <c r="J704" s="5">
        <f t="shared" si="114"/>
        <v>-1.4541666666666678E-3</v>
      </c>
      <c r="K704" s="5">
        <f t="shared" si="115"/>
        <v>4.1258333333333355E-3</v>
      </c>
      <c r="L704" s="8">
        <f t="shared" si="112"/>
        <v>1.7380218246796586E-2</v>
      </c>
      <c r="M704" s="8">
        <f t="shared" si="113"/>
        <v>0.12479999999999999</v>
      </c>
      <c r="N704" s="8">
        <f t="shared" si="116"/>
        <v>0.13145000000000001</v>
      </c>
      <c r="O704" s="296">
        <f t="shared" si="111"/>
        <v>-0.10741978175320341</v>
      </c>
      <c r="P704" s="8">
        <f t="shared" si="117"/>
        <v>-0.11406978175320343</v>
      </c>
      <c r="Q704" s="8">
        <f t="shared" si="118"/>
        <v>0.11020471150104139</v>
      </c>
      <c r="R704" s="8">
        <f t="shared" si="119"/>
        <v>0.14128999999999997</v>
      </c>
      <c r="S704" s="296">
        <f t="shared" si="120"/>
        <v>-3.1085288498958585E-2</v>
      </c>
      <c r="U704" s="297"/>
      <c r="V704" s="297"/>
      <c r="W704" s="297"/>
      <c r="X704" s="297"/>
      <c r="Y704" s="297"/>
      <c r="Z704" s="297"/>
      <c r="AA704" s="297"/>
      <c r="AB704" s="297"/>
      <c r="AC704" s="297"/>
      <c r="AE704" s="297"/>
      <c r="AF704" s="297"/>
      <c r="AG704" s="297"/>
      <c r="AH704" s="297"/>
      <c r="AI704" s="297"/>
      <c r="AJ704" s="297"/>
      <c r="AK704" s="297"/>
      <c r="AL704" s="297"/>
      <c r="AM704" s="297"/>
      <c r="AO704" s="297"/>
      <c r="AP704" s="297"/>
      <c r="AQ704" s="297"/>
      <c r="AR704" s="297"/>
      <c r="AS704" s="297"/>
      <c r="AT704" s="297"/>
      <c r="AU704" s="297"/>
      <c r="AV704" s="297"/>
      <c r="AW704" s="297"/>
    </row>
    <row r="705" spans="1:49" x14ac:dyDescent="0.45">
      <c r="A705" s="295">
        <v>30803</v>
      </c>
      <c r="B705" s="12">
        <v>-5.5399999999999998E-2</v>
      </c>
      <c r="C705" s="5">
        <v>-2.3E-2</v>
      </c>
      <c r="D705" s="5">
        <v>1.03E-2</v>
      </c>
      <c r="E705" s="5">
        <v>1.1066666666666667E-2</v>
      </c>
      <c r="F705" s="5">
        <v>1.175E-2</v>
      </c>
      <c r="G705" s="5">
        <v>1.1408333333333333E-2</v>
      </c>
      <c r="H705" s="5">
        <v>1.2399583333333332E-2</v>
      </c>
      <c r="I705" s="5">
        <f t="shared" si="110"/>
        <v>-6.5699999999999995E-2</v>
      </c>
      <c r="J705" s="5">
        <f t="shared" si="114"/>
        <v>-6.6808333333333331E-2</v>
      </c>
      <c r="K705" s="5">
        <f t="shared" si="115"/>
        <v>-3.5399583333333332E-2</v>
      </c>
      <c r="L705" s="8">
        <f t="shared" si="112"/>
        <v>-3.0548417072608025E-2</v>
      </c>
      <c r="M705" s="8">
        <f t="shared" si="113"/>
        <v>0.1236</v>
      </c>
      <c r="N705" s="8">
        <f t="shared" si="116"/>
        <v>0.13689999999999999</v>
      </c>
      <c r="O705" s="296">
        <f t="shared" si="111"/>
        <v>-0.15414841707260801</v>
      </c>
      <c r="P705" s="8">
        <f t="shared" si="117"/>
        <v>-0.16744841707260802</v>
      </c>
      <c r="Q705" s="8">
        <f t="shared" si="118"/>
        <v>7.1384831229274415E-2</v>
      </c>
      <c r="R705" s="8">
        <f t="shared" si="119"/>
        <v>0.14879499999999998</v>
      </c>
      <c r="S705" s="296">
        <f t="shared" si="120"/>
        <v>-7.7410168770725568E-2</v>
      </c>
      <c r="U705" s="297"/>
      <c r="V705" s="297"/>
      <c r="W705" s="297"/>
      <c r="X705" s="297"/>
      <c r="Y705" s="297"/>
      <c r="Z705" s="297"/>
      <c r="AA705" s="297"/>
      <c r="AB705" s="297"/>
      <c r="AC705" s="297"/>
      <c r="AE705" s="297"/>
      <c r="AF705" s="297"/>
      <c r="AG705" s="297"/>
      <c r="AH705" s="297"/>
      <c r="AI705" s="297"/>
      <c r="AJ705" s="297"/>
      <c r="AK705" s="297"/>
      <c r="AL705" s="297"/>
      <c r="AM705" s="297"/>
      <c r="AO705" s="297"/>
      <c r="AP705" s="297"/>
      <c r="AQ705" s="297"/>
      <c r="AR705" s="297"/>
      <c r="AS705" s="297"/>
      <c r="AT705" s="297"/>
      <c r="AU705" s="297"/>
      <c r="AV705" s="297"/>
      <c r="AW705" s="297"/>
    </row>
    <row r="706" spans="1:49" x14ac:dyDescent="0.45">
      <c r="A706" s="295">
        <v>30834</v>
      </c>
      <c r="B706" s="12">
        <v>2.1700000000000001E-2</v>
      </c>
      <c r="C706" s="5">
        <v>6.9000000000000008E-3</v>
      </c>
      <c r="D706" s="5">
        <v>1.06E-2</v>
      </c>
      <c r="E706" s="5">
        <v>1.1291666666666667E-2</v>
      </c>
      <c r="F706" s="5">
        <v>1.1941666666666666E-2</v>
      </c>
      <c r="G706" s="5">
        <v>1.1616666666666666E-2</v>
      </c>
      <c r="H706" s="5">
        <v>1.2580916666666666E-2</v>
      </c>
      <c r="I706" s="5">
        <f t="shared" si="110"/>
        <v>1.11E-2</v>
      </c>
      <c r="J706" s="5">
        <f t="shared" si="114"/>
        <v>1.0083333333333335E-2</v>
      </c>
      <c r="K706" s="5">
        <f t="shared" si="115"/>
        <v>-5.6809166666666648E-3</v>
      </c>
      <c r="L706" s="8">
        <f t="shared" si="112"/>
        <v>-4.6598630978037514E-2</v>
      </c>
      <c r="M706" s="8">
        <f t="shared" si="113"/>
        <v>0.12720000000000001</v>
      </c>
      <c r="N706" s="8">
        <f t="shared" si="116"/>
        <v>0.1394</v>
      </c>
      <c r="O706" s="296">
        <f t="shared" si="111"/>
        <v>-0.17379863097803752</v>
      </c>
      <c r="P706" s="8">
        <f t="shared" si="117"/>
        <v>-0.18599863097803751</v>
      </c>
      <c r="Q706" s="8">
        <f t="shared" si="118"/>
        <v>9.2211589110819059E-2</v>
      </c>
      <c r="R706" s="8">
        <f t="shared" si="119"/>
        <v>0.15097099999999999</v>
      </c>
      <c r="S706" s="296">
        <f t="shared" si="120"/>
        <v>-5.8759410889180935E-2</v>
      </c>
      <c r="U706" s="297"/>
      <c r="V706" s="297"/>
      <c r="W706" s="297"/>
      <c r="X706" s="297"/>
      <c r="Y706" s="297"/>
      <c r="Z706" s="297"/>
      <c r="AA706" s="297"/>
      <c r="AB706" s="297"/>
      <c r="AC706" s="297"/>
      <c r="AE706" s="297"/>
      <c r="AF706" s="297"/>
      <c r="AG706" s="297"/>
      <c r="AH706" s="297"/>
      <c r="AI706" s="297"/>
      <c r="AJ706" s="297"/>
      <c r="AK706" s="297"/>
      <c r="AL706" s="297"/>
      <c r="AM706" s="297"/>
      <c r="AO706" s="297"/>
      <c r="AP706" s="297"/>
      <c r="AQ706" s="297"/>
      <c r="AR706" s="297"/>
      <c r="AS706" s="297"/>
      <c r="AT706" s="297"/>
      <c r="AU706" s="297"/>
      <c r="AV706" s="297"/>
      <c r="AW706" s="297"/>
    </row>
    <row r="707" spans="1:49" x14ac:dyDescent="0.45">
      <c r="A707" s="295">
        <v>30864</v>
      </c>
      <c r="B707" s="12">
        <v>-1.24E-2</v>
      </c>
      <c r="C707" s="5">
        <v>4.3299999999999998E-2</v>
      </c>
      <c r="D707" s="5">
        <v>1.1599999999999999E-2</v>
      </c>
      <c r="E707" s="5">
        <v>1.1199999999999998E-2</v>
      </c>
      <c r="F707" s="5">
        <v>1.1766666666666665E-2</v>
      </c>
      <c r="G707" s="5">
        <v>1.1483333333333332E-2</v>
      </c>
      <c r="H707" s="5">
        <v>1.2383750000000001E-2</v>
      </c>
      <c r="I707" s="5">
        <f t="shared" si="110"/>
        <v>-2.4E-2</v>
      </c>
      <c r="J707" s="5">
        <f t="shared" si="114"/>
        <v>-2.3883333333333333E-2</v>
      </c>
      <c r="K707" s="5">
        <f t="shared" si="115"/>
        <v>3.0916249999999999E-2</v>
      </c>
      <c r="L707" s="8">
        <f t="shared" si="112"/>
        <v>-2.9799905156011941E-2</v>
      </c>
      <c r="M707" s="8">
        <f t="shared" si="113"/>
        <v>0.13919999999999999</v>
      </c>
      <c r="N707" s="8">
        <f t="shared" si="116"/>
        <v>0.13779999999999998</v>
      </c>
      <c r="O707" s="296">
        <f t="shared" si="111"/>
        <v>-0.16899990515601193</v>
      </c>
      <c r="P707" s="8">
        <f t="shared" si="117"/>
        <v>-0.16759990515601192</v>
      </c>
      <c r="Q707" s="8">
        <f t="shared" si="118"/>
        <v>0.10214174573877344</v>
      </c>
      <c r="R707" s="8">
        <f t="shared" si="119"/>
        <v>0.14860500000000001</v>
      </c>
      <c r="S707" s="296">
        <f t="shared" si="120"/>
        <v>-4.6463254261226578E-2</v>
      </c>
      <c r="U707" s="297"/>
      <c r="V707" s="297"/>
      <c r="W707" s="297"/>
      <c r="X707" s="297"/>
      <c r="Y707" s="297"/>
      <c r="Z707" s="297"/>
      <c r="AA707" s="297"/>
      <c r="AB707" s="297"/>
      <c r="AC707" s="297"/>
      <c r="AE707" s="297"/>
      <c r="AF707" s="297"/>
      <c r="AG707" s="297"/>
      <c r="AH707" s="297"/>
      <c r="AI707" s="297"/>
      <c r="AJ707" s="297"/>
      <c r="AK707" s="297"/>
      <c r="AL707" s="297"/>
      <c r="AM707" s="297"/>
      <c r="AO707" s="297"/>
      <c r="AP707" s="297"/>
      <c r="AQ707" s="297"/>
      <c r="AR707" s="297"/>
      <c r="AS707" s="297"/>
      <c r="AT707" s="297"/>
      <c r="AU707" s="297"/>
      <c r="AV707" s="297"/>
      <c r="AW707" s="297"/>
    </row>
    <row r="708" spans="1:49" x14ac:dyDescent="0.45">
      <c r="A708" s="295">
        <v>30895</v>
      </c>
      <c r="B708" s="12">
        <v>0.1104</v>
      </c>
      <c r="C708" s="5">
        <v>6.4600000000000005E-2</v>
      </c>
      <c r="D708" s="5">
        <v>1.06E-2</v>
      </c>
      <c r="E708" s="5">
        <v>1.0725E-2</v>
      </c>
      <c r="F708" s="5">
        <v>1.1225000000000001E-2</v>
      </c>
      <c r="G708" s="5">
        <v>1.0975000000000002E-2</v>
      </c>
      <c r="H708" s="5">
        <v>1.202425E-2</v>
      </c>
      <c r="I708" s="5">
        <f t="shared" si="110"/>
        <v>9.98E-2</v>
      </c>
      <c r="J708" s="5">
        <f t="shared" si="114"/>
        <v>9.9424999999999999E-2</v>
      </c>
      <c r="K708" s="5">
        <f t="shared" si="115"/>
        <v>5.2575750000000004E-2</v>
      </c>
      <c r="L708" s="8">
        <f t="shared" si="112"/>
        <v>6.1389345137698781E-2</v>
      </c>
      <c r="M708" s="8">
        <f t="shared" si="113"/>
        <v>0.12720000000000001</v>
      </c>
      <c r="N708" s="8">
        <f t="shared" si="116"/>
        <v>0.13170000000000004</v>
      </c>
      <c r="O708" s="296">
        <f t="shared" si="111"/>
        <v>-6.5810654862301227E-2</v>
      </c>
      <c r="P708" s="8">
        <f t="shared" si="117"/>
        <v>-7.0310654862301258E-2</v>
      </c>
      <c r="Q708" s="8">
        <f t="shared" si="118"/>
        <v>0.16866544075049617</v>
      </c>
      <c r="R708" s="8">
        <f t="shared" si="119"/>
        <v>0.144291</v>
      </c>
      <c r="S708" s="296">
        <f t="shared" si="120"/>
        <v>2.4374440750496162E-2</v>
      </c>
      <c r="U708" s="297"/>
      <c r="V708" s="297"/>
      <c r="W708" s="297"/>
      <c r="X708" s="297"/>
      <c r="Y708" s="297"/>
      <c r="Z708" s="297"/>
      <c r="AA708" s="297"/>
      <c r="AB708" s="297"/>
      <c r="AC708" s="297"/>
      <c r="AE708" s="297"/>
      <c r="AF708" s="297"/>
      <c r="AG708" s="297"/>
      <c r="AH708" s="297"/>
      <c r="AI708" s="297"/>
      <c r="AJ708" s="297"/>
      <c r="AK708" s="297"/>
      <c r="AL708" s="297"/>
      <c r="AM708" s="297"/>
      <c r="AO708" s="297"/>
      <c r="AP708" s="297"/>
      <c r="AQ708" s="297"/>
      <c r="AR708" s="297"/>
      <c r="AS708" s="297"/>
      <c r="AT708" s="297"/>
      <c r="AU708" s="297"/>
      <c r="AV708" s="297"/>
      <c r="AW708" s="297"/>
    </row>
    <row r="709" spans="1:49" x14ac:dyDescent="0.45">
      <c r="A709" s="295">
        <v>30926</v>
      </c>
      <c r="B709" s="12">
        <v>2.0000000000000001E-4</v>
      </c>
      <c r="C709" s="5">
        <v>4.3800000000000006E-2</v>
      </c>
      <c r="D709" s="5">
        <v>9.4000000000000004E-3</v>
      </c>
      <c r="E709" s="5">
        <v>1.0549999999999999E-2</v>
      </c>
      <c r="F709" s="5">
        <v>1.1058333333333331E-2</v>
      </c>
      <c r="G709" s="5">
        <v>1.0804166666666665E-2</v>
      </c>
      <c r="H709" s="5">
        <v>1.1822833333333333E-2</v>
      </c>
      <c r="I709" s="5">
        <f t="shared" si="110"/>
        <v>-9.1999999999999998E-3</v>
      </c>
      <c r="J709" s="5">
        <f t="shared" si="114"/>
        <v>-1.0604166666666665E-2</v>
      </c>
      <c r="K709" s="5">
        <f t="shared" si="115"/>
        <v>3.1977166666666675E-2</v>
      </c>
      <c r="L709" s="8">
        <f t="shared" si="112"/>
        <v>4.7150940034253352E-2</v>
      </c>
      <c r="M709" s="8">
        <f t="shared" si="113"/>
        <v>0.11280000000000001</v>
      </c>
      <c r="N709" s="8">
        <f t="shared" si="116"/>
        <v>0.12964999999999999</v>
      </c>
      <c r="O709" s="296">
        <f t="shared" si="111"/>
        <v>-6.5649059965746659E-2</v>
      </c>
      <c r="P709" s="8">
        <f t="shared" si="117"/>
        <v>-8.2499059965746635E-2</v>
      </c>
      <c r="Q709" s="8">
        <f t="shared" si="118"/>
        <v>0.1678822279132286</v>
      </c>
      <c r="R709" s="8">
        <f t="shared" si="119"/>
        <v>0.141874</v>
      </c>
      <c r="S709" s="296">
        <f t="shared" si="120"/>
        <v>2.6008227913228599E-2</v>
      </c>
      <c r="U709" s="297"/>
      <c r="V709" s="297"/>
      <c r="W709" s="297"/>
      <c r="X709" s="297"/>
      <c r="Y709" s="297"/>
      <c r="Z709" s="297"/>
      <c r="AA709" s="297"/>
      <c r="AB709" s="297"/>
      <c r="AC709" s="297"/>
      <c r="AE709" s="297"/>
      <c r="AF709" s="297"/>
      <c r="AG709" s="297"/>
      <c r="AH709" s="297"/>
      <c r="AI709" s="297"/>
      <c r="AJ709" s="297"/>
      <c r="AK709" s="297"/>
      <c r="AL709" s="297"/>
      <c r="AM709" s="297"/>
      <c r="AO709" s="297"/>
      <c r="AP709" s="297"/>
      <c r="AQ709" s="297"/>
      <c r="AR709" s="297"/>
      <c r="AS709" s="297"/>
      <c r="AT709" s="297"/>
      <c r="AU709" s="297"/>
      <c r="AV709" s="297"/>
      <c r="AW709" s="297"/>
    </row>
    <row r="710" spans="1:49" x14ac:dyDescent="0.45">
      <c r="A710" s="295">
        <v>30956</v>
      </c>
      <c r="B710" s="12">
        <v>3.8999999999999998E-3</v>
      </c>
      <c r="C710" s="5">
        <v>2.7199999999999998E-2</v>
      </c>
      <c r="D710" s="5">
        <v>1.0800000000000001E-2</v>
      </c>
      <c r="E710" s="5">
        <v>1.0525E-2</v>
      </c>
      <c r="F710" s="5">
        <v>1.0925000000000001E-2</v>
      </c>
      <c r="G710" s="5">
        <v>1.0725E-2</v>
      </c>
      <c r="H710" s="5">
        <v>1.1524666666666666E-2</v>
      </c>
      <c r="I710" s="5">
        <f t="shared" ref="I710:I773" si="121">B710-D710</f>
        <v>-6.9000000000000008E-3</v>
      </c>
      <c r="J710" s="5">
        <f t="shared" si="114"/>
        <v>-6.8250000000000003E-3</v>
      </c>
      <c r="K710" s="5">
        <f t="shared" si="115"/>
        <v>1.5675333333333333E-2</v>
      </c>
      <c r="L710" s="8">
        <f t="shared" si="112"/>
        <v>6.3572266997558691E-2</v>
      </c>
      <c r="M710" s="8">
        <f t="shared" si="113"/>
        <v>0.12959999999999999</v>
      </c>
      <c r="N710" s="8">
        <f t="shared" si="116"/>
        <v>0.12870000000000001</v>
      </c>
      <c r="O710" s="296">
        <f t="shared" si="111"/>
        <v>-6.6027733002441302E-2</v>
      </c>
      <c r="P710" s="8">
        <f t="shared" si="117"/>
        <v>-6.5127733002441318E-2</v>
      </c>
      <c r="Q710" s="8">
        <f t="shared" si="118"/>
        <v>0.13905110568977297</v>
      </c>
      <c r="R710" s="8">
        <f t="shared" si="119"/>
        <v>0.13829599999999997</v>
      </c>
      <c r="S710" s="296">
        <f t="shared" si="120"/>
        <v>7.5510568977299464E-4</v>
      </c>
      <c r="U710" s="297"/>
      <c r="V710" s="297"/>
      <c r="W710" s="297"/>
      <c r="X710" s="297"/>
      <c r="Y710" s="297"/>
      <c r="Z710" s="297"/>
      <c r="AA710" s="297"/>
      <c r="AB710" s="297"/>
      <c r="AC710" s="297"/>
      <c r="AE710" s="297"/>
      <c r="AF710" s="297"/>
      <c r="AG710" s="297"/>
      <c r="AH710" s="297"/>
      <c r="AI710" s="297"/>
      <c r="AJ710" s="297"/>
      <c r="AK710" s="297"/>
      <c r="AL710" s="297"/>
      <c r="AM710" s="297"/>
      <c r="AO710" s="297"/>
      <c r="AP710" s="297"/>
      <c r="AQ710" s="297"/>
      <c r="AR710" s="297"/>
      <c r="AS710" s="297"/>
      <c r="AT710" s="297"/>
      <c r="AU710" s="297"/>
      <c r="AV710" s="297"/>
      <c r="AW710" s="297"/>
    </row>
    <row r="711" spans="1:49" x14ac:dyDescent="0.45">
      <c r="A711" s="295">
        <v>30987</v>
      </c>
      <c r="B711" s="12">
        <v>-1.12E-2</v>
      </c>
      <c r="C711" s="5">
        <v>2.7000000000000003E-2</v>
      </c>
      <c r="D711" s="5">
        <v>9.1000000000000004E-3</v>
      </c>
      <c r="E711" s="5">
        <v>1.0241666666666666E-2</v>
      </c>
      <c r="F711" s="5">
        <v>1.0549999999999999E-2</v>
      </c>
      <c r="G711" s="5">
        <v>1.0395833333333333E-2</v>
      </c>
      <c r="H711" s="5">
        <v>1.1038916666666667E-2</v>
      </c>
      <c r="I711" s="5">
        <f t="shared" si="121"/>
        <v>-2.0299999999999999E-2</v>
      </c>
      <c r="J711" s="5">
        <f t="shared" si="114"/>
        <v>-2.1595833333333335E-2</v>
      </c>
      <c r="K711" s="5">
        <f t="shared" si="115"/>
        <v>1.5961083333333334E-2</v>
      </c>
      <c r="L711" s="8">
        <f t="shared" si="112"/>
        <v>2.9928760755250305E-2</v>
      </c>
      <c r="M711" s="8">
        <f t="shared" si="113"/>
        <v>0.10920000000000001</v>
      </c>
      <c r="N711" s="8">
        <f t="shared" si="116"/>
        <v>0.12475</v>
      </c>
      <c r="O711" s="296">
        <f t="shared" si="111"/>
        <v>-7.92712392447497E-2</v>
      </c>
      <c r="P711" s="8">
        <f t="shared" si="117"/>
        <v>-9.4821239244749694E-2</v>
      </c>
      <c r="Q711" s="8">
        <f t="shared" si="118"/>
        <v>0.19416648177153628</v>
      </c>
      <c r="R711" s="8">
        <f t="shared" si="119"/>
        <v>0.132467</v>
      </c>
      <c r="S711" s="296">
        <f t="shared" si="120"/>
        <v>6.169948177153628E-2</v>
      </c>
      <c r="U711" s="297"/>
      <c r="V711" s="297"/>
      <c r="W711" s="297"/>
      <c r="X711" s="297"/>
      <c r="Y711" s="297"/>
      <c r="Z711" s="297"/>
      <c r="AA711" s="297"/>
      <c r="AB711" s="297"/>
      <c r="AC711" s="297"/>
      <c r="AE711" s="297"/>
      <c r="AF711" s="297"/>
      <c r="AG711" s="297"/>
      <c r="AH711" s="297"/>
      <c r="AI711" s="297"/>
      <c r="AJ711" s="297"/>
      <c r="AK711" s="297"/>
      <c r="AL711" s="297"/>
      <c r="AM711" s="297"/>
      <c r="AO711" s="297"/>
      <c r="AP711" s="297"/>
      <c r="AQ711" s="297"/>
      <c r="AR711" s="297"/>
      <c r="AS711" s="297"/>
      <c r="AT711" s="297"/>
      <c r="AU711" s="297"/>
      <c r="AV711" s="297"/>
      <c r="AW711" s="297"/>
    </row>
    <row r="712" spans="1:49" x14ac:dyDescent="0.45">
      <c r="A712" s="295">
        <v>31017</v>
      </c>
      <c r="B712" s="12">
        <v>2.63E-2</v>
      </c>
      <c r="C712" s="5">
        <v>3.1599999999999996E-2</v>
      </c>
      <c r="D712" s="5">
        <v>9.7999999999999997E-3</v>
      </c>
      <c r="E712" s="5">
        <v>1.0108333333333335E-2</v>
      </c>
      <c r="F712" s="5">
        <v>1.0416666666666668E-2</v>
      </c>
      <c r="G712" s="5">
        <v>1.0262500000000001E-2</v>
      </c>
      <c r="H712" s="5">
        <v>1.0891249999999998E-2</v>
      </c>
      <c r="I712" s="5">
        <f t="shared" si="121"/>
        <v>1.6500000000000001E-2</v>
      </c>
      <c r="J712" s="5">
        <f t="shared" si="114"/>
        <v>1.60375E-2</v>
      </c>
      <c r="K712" s="5">
        <f t="shared" si="115"/>
        <v>2.0708749999999998E-2</v>
      </c>
      <c r="L712" s="8">
        <f t="shared" si="112"/>
        <v>6.2541100887729906E-2</v>
      </c>
      <c r="M712" s="8">
        <f t="shared" si="113"/>
        <v>0.1176</v>
      </c>
      <c r="N712" s="8">
        <f t="shared" si="116"/>
        <v>0.12315000000000001</v>
      </c>
      <c r="O712" s="296">
        <f t="shared" si="111"/>
        <v>-5.505889911227009E-2</v>
      </c>
      <c r="P712" s="8">
        <f t="shared" si="117"/>
        <v>-6.0608899112270104E-2</v>
      </c>
      <c r="Q712" s="8">
        <f t="shared" si="118"/>
        <v>0.26038688622418338</v>
      </c>
      <c r="R712" s="8">
        <f t="shared" si="119"/>
        <v>0.13069499999999998</v>
      </c>
      <c r="S712" s="296">
        <f t="shared" si="120"/>
        <v>0.1296918862241834</v>
      </c>
      <c r="U712" s="297"/>
      <c r="V712" s="297"/>
      <c r="W712" s="297"/>
      <c r="X712" s="297"/>
      <c r="Y712" s="297"/>
      <c r="Z712" s="297"/>
      <c r="AA712" s="297"/>
      <c r="AB712" s="297"/>
      <c r="AC712" s="297"/>
      <c r="AE712" s="297"/>
      <c r="AF712" s="297"/>
      <c r="AG712" s="297"/>
      <c r="AH712" s="297"/>
      <c r="AI712" s="297"/>
      <c r="AJ712" s="297"/>
      <c r="AK712" s="297"/>
      <c r="AL712" s="297"/>
      <c r="AM712" s="297"/>
      <c r="AO712" s="297"/>
      <c r="AP712" s="297"/>
      <c r="AQ712" s="297"/>
      <c r="AR712" s="297"/>
      <c r="AS712" s="297"/>
      <c r="AT712" s="297"/>
      <c r="AU712" s="297"/>
      <c r="AV712" s="297"/>
      <c r="AW712" s="297"/>
    </row>
    <row r="713" spans="1:49" x14ac:dyDescent="0.45">
      <c r="A713" s="295">
        <v>31048</v>
      </c>
      <c r="B713" s="12">
        <v>7.7899999999999997E-2</v>
      </c>
      <c r="C713" s="5">
        <v>2.35E-2</v>
      </c>
      <c r="D713" s="5">
        <v>9.5999999999999992E-3</v>
      </c>
      <c r="E713" s="5">
        <v>1.0066666666666666E-2</v>
      </c>
      <c r="F713" s="5">
        <v>1.0358333333333334E-2</v>
      </c>
      <c r="G713" s="5">
        <v>1.0212499999999999E-2</v>
      </c>
      <c r="H713" s="5">
        <v>1.0821583333333334E-2</v>
      </c>
      <c r="I713" s="5">
        <f t="shared" si="121"/>
        <v>6.83E-2</v>
      </c>
      <c r="J713" s="5">
        <f t="shared" si="114"/>
        <v>6.7687499999999998E-2</v>
      </c>
      <c r="K713" s="5">
        <f t="shared" si="115"/>
        <v>1.2678416666666666E-2</v>
      </c>
      <c r="L713" s="8">
        <f t="shared" si="112"/>
        <v>0.15176292502703559</v>
      </c>
      <c r="M713" s="8">
        <f t="shared" si="113"/>
        <v>0.1152</v>
      </c>
      <c r="N713" s="8">
        <f t="shared" si="116"/>
        <v>0.12254999999999999</v>
      </c>
      <c r="O713" s="296">
        <f t="shared" si="111"/>
        <v>3.6562925027035592E-2</v>
      </c>
      <c r="P713" s="8">
        <f t="shared" si="117"/>
        <v>2.9212925027035597E-2</v>
      </c>
      <c r="Q713" s="8">
        <f t="shared" si="118"/>
        <v>0.23068687087430995</v>
      </c>
      <c r="R713" s="8">
        <f t="shared" si="119"/>
        <v>0.129859</v>
      </c>
      <c r="S713" s="296">
        <f t="shared" si="120"/>
        <v>0.10082787087430994</v>
      </c>
      <c r="U713" s="297"/>
      <c r="V713" s="297"/>
      <c r="W713" s="297"/>
      <c r="X713" s="297"/>
      <c r="Y713" s="297"/>
      <c r="Z713" s="297"/>
      <c r="AA713" s="297"/>
      <c r="AB713" s="297"/>
      <c r="AC713" s="297"/>
      <c r="AE713" s="297"/>
      <c r="AF713" s="297"/>
      <c r="AG713" s="297"/>
      <c r="AH713" s="297"/>
      <c r="AI713" s="297"/>
      <c r="AJ713" s="297"/>
      <c r="AK713" s="297"/>
      <c r="AL713" s="297"/>
      <c r="AM713" s="297"/>
      <c r="AO713" s="297"/>
      <c r="AP713" s="297"/>
      <c r="AQ713" s="297"/>
      <c r="AR713" s="297"/>
      <c r="AS713" s="297"/>
      <c r="AT713" s="297"/>
      <c r="AU713" s="297"/>
      <c r="AV713" s="297"/>
      <c r="AW713" s="297"/>
    </row>
    <row r="714" spans="1:49" x14ac:dyDescent="0.45">
      <c r="A714" s="295">
        <v>31079</v>
      </c>
      <c r="B714" s="12">
        <v>1.2200000000000001E-2</v>
      </c>
      <c r="C714" s="5">
        <v>1.9300000000000001E-2</v>
      </c>
      <c r="D714" s="5">
        <v>8.2000000000000007E-3</v>
      </c>
      <c r="E714" s="5">
        <v>1.0108333333333335E-2</v>
      </c>
      <c r="F714" s="5">
        <v>1.0408333333333332E-2</v>
      </c>
      <c r="G714" s="5">
        <v>1.0258333333333335E-2</v>
      </c>
      <c r="H714" s="5">
        <v>1.0861833333333333E-2</v>
      </c>
      <c r="I714" s="5">
        <f t="shared" si="121"/>
        <v>4.0000000000000001E-3</v>
      </c>
      <c r="J714" s="5">
        <f t="shared" si="114"/>
        <v>1.9416666666666662E-3</v>
      </c>
      <c r="K714" s="5">
        <f t="shared" si="115"/>
        <v>8.4381666666666685E-3</v>
      </c>
      <c r="L714" s="8">
        <f t="shared" si="112"/>
        <v>0.2083482926123188</v>
      </c>
      <c r="M714" s="8">
        <f t="shared" si="113"/>
        <v>9.8400000000000015E-2</v>
      </c>
      <c r="N714" s="8">
        <f t="shared" si="116"/>
        <v>0.12310000000000001</v>
      </c>
      <c r="O714" s="296">
        <f t="shared" si="111"/>
        <v>0.10994829261231878</v>
      </c>
      <c r="P714" s="8">
        <f t="shared" si="117"/>
        <v>8.5248292612318782E-2</v>
      </c>
      <c r="Q714" s="8">
        <f t="shared" si="118"/>
        <v>0.30820641097318235</v>
      </c>
      <c r="R714" s="8">
        <f t="shared" si="119"/>
        <v>0.13034199999999999</v>
      </c>
      <c r="S714" s="296">
        <f t="shared" si="120"/>
        <v>0.17786441097318237</v>
      </c>
      <c r="U714" s="297"/>
      <c r="V714" s="297"/>
      <c r="W714" s="297"/>
      <c r="X714" s="297"/>
      <c r="Y714" s="297"/>
      <c r="Z714" s="297"/>
      <c r="AA714" s="297"/>
      <c r="AB714" s="297"/>
      <c r="AC714" s="297"/>
      <c r="AE714" s="297"/>
      <c r="AF714" s="297"/>
      <c r="AG714" s="297"/>
      <c r="AH714" s="297"/>
      <c r="AI714" s="297"/>
      <c r="AJ714" s="297"/>
      <c r="AK714" s="297"/>
      <c r="AL714" s="297"/>
      <c r="AM714" s="297"/>
      <c r="AO714" s="297"/>
      <c r="AP714" s="297"/>
      <c r="AQ714" s="297"/>
      <c r="AR714" s="297"/>
      <c r="AS714" s="297"/>
      <c r="AT714" s="297"/>
      <c r="AU714" s="297"/>
      <c r="AV714" s="297"/>
      <c r="AW714" s="297"/>
    </row>
    <row r="715" spans="1:49" x14ac:dyDescent="0.45">
      <c r="A715" s="295">
        <v>31107</v>
      </c>
      <c r="B715" s="12">
        <v>6.9999999999999999E-4</v>
      </c>
      <c r="C715" s="5">
        <v>3.6200000000000003E-2</v>
      </c>
      <c r="D715" s="5">
        <v>9.4000000000000004E-3</v>
      </c>
      <c r="E715" s="5">
        <v>1.0466666666666666E-2</v>
      </c>
      <c r="F715" s="5">
        <v>1.0758333333333335E-2</v>
      </c>
      <c r="G715" s="5">
        <v>1.06125E-2</v>
      </c>
      <c r="H715" s="5">
        <v>1.1501166666666666E-2</v>
      </c>
      <c r="I715" s="5">
        <f t="shared" si="121"/>
        <v>-8.7000000000000011E-3</v>
      </c>
      <c r="J715" s="5">
        <f t="shared" si="114"/>
        <v>-9.9125000000000012E-3</v>
      </c>
      <c r="K715" s="5">
        <f t="shared" si="115"/>
        <v>2.4698833333333337E-2</v>
      </c>
      <c r="L715" s="8">
        <f t="shared" si="112"/>
        <v>0.18863082317619906</v>
      </c>
      <c r="M715" s="8">
        <f t="shared" si="113"/>
        <v>0.11280000000000001</v>
      </c>
      <c r="N715" s="8">
        <f t="shared" si="116"/>
        <v>0.12735000000000002</v>
      </c>
      <c r="O715" s="296">
        <f t="shared" si="111"/>
        <v>7.5830823176199047E-2</v>
      </c>
      <c r="P715" s="8">
        <f t="shared" si="117"/>
        <v>6.128082317619904E-2</v>
      </c>
      <c r="Q715" s="8">
        <f t="shared" si="118"/>
        <v>0.36306031478171108</v>
      </c>
      <c r="R715" s="8">
        <f t="shared" si="119"/>
        <v>0.138014</v>
      </c>
      <c r="S715" s="296">
        <f t="shared" si="120"/>
        <v>0.22504631478171108</v>
      </c>
      <c r="U715" s="297"/>
      <c r="V715" s="297"/>
      <c r="W715" s="297"/>
      <c r="X715" s="297"/>
      <c r="Y715" s="297"/>
      <c r="Z715" s="297"/>
      <c r="AA715" s="297"/>
      <c r="AB715" s="297"/>
      <c r="AC715" s="297"/>
      <c r="AE715" s="297"/>
      <c r="AF715" s="297"/>
      <c r="AG715" s="297"/>
      <c r="AH715" s="297"/>
      <c r="AI715" s="297"/>
      <c r="AJ715" s="297"/>
      <c r="AK715" s="297"/>
      <c r="AL715" s="297"/>
      <c r="AM715" s="297"/>
      <c r="AO715" s="297"/>
      <c r="AP715" s="297"/>
      <c r="AQ715" s="297"/>
      <c r="AR715" s="297"/>
      <c r="AS715" s="297"/>
      <c r="AT715" s="297"/>
      <c r="AU715" s="297"/>
      <c r="AV715" s="297"/>
      <c r="AW715" s="297"/>
    </row>
    <row r="716" spans="1:49" x14ac:dyDescent="0.45">
      <c r="A716" s="295">
        <v>31138</v>
      </c>
      <c r="B716" s="12">
        <v>-8.9999999999999998E-4</v>
      </c>
      <c r="C716" s="5">
        <v>2.07E-2</v>
      </c>
      <c r="D716" s="5">
        <v>1.0200000000000001E-2</v>
      </c>
      <c r="E716" s="5">
        <v>1.0191666666666668E-2</v>
      </c>
      <c r="F716" s="5">
        <v>1.0574999999999999E-2</v>
      </c>
      <c r="G716" s="5">
        <v>1.0383333333333333E-2</v>
      </c>
      <c r="H716" s="5">
        <v>1.1322250000000001E-2</v>
      </c>
      <c r="I716" s="5">
        <f t="shared" si="121"/>
        <v>-1.11E-2</v>
      </c>
      <c r="J716" s="5">
        <f t="shared" si="114"/>
        <v>-1.1283333333333333E-2</v>
      </c>
      <c r="K716" s="5">
        <f t="shared" si="115"/>
        <v>9.3777499999999989E-3</v>
      </c>
      <c r="L716" s="8">
        <f t="shared" si="112"/>
        <v>0.17638539419053023</v>
      </c>
      <c r="M716" s="8">
        <f t="shared" si="113"/>
        <v>0.12240000000000001</v>
      </c>
      <c r="N716" s="8">
        <f t="shared" si="116"/>
        <v>0.12459999999999999</v>
      </c>
      <c r="O716" s="296">
        <f t="shared" si="111"/>
        <v>5.3985394190530223E-2</v>
      </c>
      <c r="P716" s="8">
        <f t="shared" si="117"/>
        <v>5.1785394190530243E-2</v>
      </c>
      <c r="Q716" s="8">
        <f t="shared" si="118"/>
        <v>0.36950060369888016</v>
      </c>
      <c r="R716" s="8">
        <f t="shared" si="119"/>
        <v>0.13586700000000002</v>
      </c>
      <c r="S716" s="296">
        <f t="shared" si="120"/>
        <v>0.23363360369888014</v>
      </c>
      <c r="U716" s="297"/>
      <c r="V716" s="297"/>
      <c r="W716" s="297"/>
      <c r="X716" s="297"/>
      <c r="Y716" s="297"/>
      <c r="Z716" s="297"/>
      <c r="AA716" s="297"/>
      <c r="AB716" s="297"/>
      <c r="AC716" s="297"/>
      <c r="AE716" s="297"/>
      <c r="AF716" s="297"/>
      <c r="AG716" s="297"/>
      <c r="AH716" s="297"/>
      <c r="AI716" s="297"/>
      <c r="AJ716" s="297"/>
      <c r="AK716" s="297"/>
      <c r="AL716" s="297"/>
      <c r="AM716" s="297"/>
      <c r="AO716" s="297"/>
      <c r="AP716" s="297"/>
      <c r="AQ716" s="297"/>
      <c r="AR716" s="297"/>
      <c r="AS716" s="297"/>
      <c r="AT716" s="297"/>
      <c r="AU716" s="297"/>
      <c r="AV716" s="297"/>
      <c r="AW716" s="297"/>
    </row>
    <row r="717" spans="1:49" x14ac:dyDescent="0.45">
      <c r="A717" s="295">
        <v>31168</v>
      </c>
      <c r="B717" s="12">
        <v>5.7799999999999997E-2</v>
      </c>
      <c r="C717" s="5">
        <v>6.0600000000000008E-2</v>
      </c>
      <c r="D717" s="5">
        <v>9.7000000000000003E-3</v>
      </c>
      <c r="E717" s="5">
        <v>9.7666666666666666E-3</v>
      </c>
      <c r="F717" s="5">
        <v>1.0250000000000002E-2</v>
      </c>
      <c r="G717" s="5">
        <v>1.0008333333333334E-2</v>
      </c>
      <c r="H717" s="5">
        <v>1.0978416666666666E-2</v>
      </c>
      <c r="I717" s="5">
        <f t="shared" si="121"/>
        <v>4.8099999999999997E-2</v>
      </c>
      <c r="J717" s="5">
        <f t="shared" si="114"/>
        <v>4.7791666666666663E-2</v>
      </c>
      <c r="K717" s="5">
        <f t="shared" si="115"/>
        <v>4.9621583333333344E-2</v>
      </c>
      <c r="L717" s="8">
        <f t="shared" si="112"/>
        <v>0.31736234382251016</v>
      </c>
      <c r="M717" s="8">
        <f t="shared" si="113"/>
        <v>0.1164</v>
      </c>
      <c r="N717" s="8">
        <f t="shared" si="116"/>
        <v>0.12010000000000001</v>
      </c>
      <c r="O717" s="296">
        <f t="shared" si="111"/>
        <v>0.20096234382251016</v>
      </c>
      <c r="P717" s="8">
        <f t="shared" si="117"/>
        <v>0.19726234382251015</v>
      </c>
      <c r="Q717" s="8">
        <f t="shared" si="118"/>
        <v>0.48668612106758635</v>
      </c>
      <c r="R717" s="8">
        <f t="shared" si="119"/>
        <v>0.131741</v>
      </c>
      <c r="S717" s="296">
        <f t="shared" si="120"/>
        <v>0.35494512106758636</v>
      </c>
      <c r="U717" s="297"/>
      <c r="V717" s="297"/>
      <c r="W717" s="297"/>
      <c r="X717" s="297"/>
      <c r="Y717" s="297"/>
      <c r="Z717" s="297"/>
      <c r="AA717" s="297"/>
      <c r="AB717" s="297"/>
      <c r="AC717" s="297"/>
      <c r="AE717" s="297"/>
      <c r="AF717" s="297"/>
      <c r="AG717" s="297"/>
      <c r="AH717" s="297"/>
      <c r="AI717" s="297"/>
      <c r="AJ717" s="297"/>
      <c r="AK717" s="297"/>
      <c r="AL717" s="297"/>
      <c r="AM717" s="297"/>
      <c r="AO717" s="297"/>
      <c r="AP717" s="297"/>
      <c r="AQ717" s="297"/>
      <c r="AR717" s="297"/>
      <c r="AS717" s="297"/>
      <c r="AT717" s="297"/>
      <c r="AU717" s="297"/>
      <c r="AV717" s="297"/>
      <c r="AW717" s="297"/>
    </row>
    <row r="718" spans="1:49" x14ac:dyDescent="0.45">
      <c r="A718" s="295">
        <v>31199</v>
      </c>
      <c r="B718" s="12">
        <v>1.5699999999999999E-2</v>
      </c>
      <c r="C718" s="5">
        <v>2.7900000000000001E-2</v>
      </c>
      <c r="D718" s="5">
        <v>8.0000000000000002E-3</v>
      </c>
      <c r="E718" s="5">
        <v>9.116666666666667E-3</v>
      </c>
      <c r="F718" s="5">
        <v>9.5500000000000012E-3</v>
      </c>
      <c r="G718" s="5">
        <v>9.3333333333333341E-3</v>
      </c>
      <c r="H718" s="5">
        <v>1.0119583333333333E-2</v>
      </c>
      <c r="I718" s="5">
        <f t="shared" si="121"/>
        <v>7.6999999999999985E-3</v>
      </c>
      <c r="J718" s="5">
        <f t="shared" si="114"/>
        <v>6.3666666666666646E-3</v>
      </c>
      <c r="K718" s="5">
        <f t="shared" si="115"/>
        <v>1.7780416666666667E-2</v>
      </c>
      <c r="L718" s="8">
        <f t="shared" si="112"/>
        <v>0.30962604739211508</v>
      </c>
      <c r="M718" s="8">
        <f t="shared" si="113"/>
        <v>9.6000000000000002E-2</v>
      </c>
      <c r="N718" s="8">
        <f t="shared" si="116"/>
        <v>0.11200000000000002</v>
      </c>
      <c r="O718" s="296">
        <f t="shared" si="111"/>
        <v>0.21362604739211508</v>
      </c>
      <c r="P718" s="8">
        <f t="shared" si="117"/>
        <v>0.19762604739211506</v>
      </c>
      <c r="Q718" s="8">
        <f t="shared" si="118"/>
        <v>0.51769258500881121</v>
      </c>
      <c r="R718" s="8">
        <f t="shared" si="119"/>
        <v>0.12143499999999999</v>
      </c>
      <c r="S718" s="296">
        <f t="shared" si="120"/>
        <v>0.39625758500881125</v>
      </c>
      <c r="U718" s="297"/>
      <c r="V718" s="297"/>
      <c r="W718" s="297"/>
      <c r="X718" s="297"/>
      <c r="Y718" s="297"/>
      <c r="Z718" s="297"/>
      <c r="AA718" s="297"/>
      <c r="AB718" s="297"/>
      <c r="AC718" s="297"/>
      <c r="AE718" s="297"/>
      <c r="AF718" s="297"/>
      <c r="AG718" s="297"/>
      <c r="AH718" s="297"/>
      <c r="AI718" s="297"/>
      <c r="AJ718" s="297"/>
      <c r="AK718" s="297"/>
      <c r="AL718" s="297"/>
      <c r="AM718" s="297"/>
      <c r="AO718" s="297"/>
      <c r="AP718" s="297"/>
      <c r="AQ718" s="297"/>
      <c r="AR718" s="297"/>
      <c r="AS718" s="297"/>
      <c r="AT718" s="297"/>
      <c r="AU718" s="297"/>
      <c r="AV718" s="297"/>
      <c r="AW718" s="297"/>
    </row>
    <row r="719" spans="1:49" x14ac:dyDescent="0.45">
      <c r="A719" s="295">
        <v>31229</v>
      </c>
      <c r="B719" s="12">
        <v>-1.5E-3</v>
      </c>
      <c r="C719" s="5">
        <v>-4.2700000000000002E-2</v>
      </c>
      <c r="D719" s="5">
        <v>9.4000000000000004E-3</v>
      </c>
      <c r="E719" s="5">
        <v>9.141666666666666E-3</v>
      </c>
      <c r="F719" s="5">
        <v>9.5166666666666663E-3</v>
      </c>
      <c r="G719" s="5">
        <v>9.3291666666666662E-3</v>
      </c>
      <c r="H719" s="5">
        <v>1.0053750000000002E-2</v>
      </c>
      <c r="I719" s="5">
        <f t="shared" si="121"/>
        <v>-1.09E-2</v>
      </c>
      <c r="J719" s="5">
        <f t="shared" si="114"/>
        <v>-1.0829166666666666E-2</v>
      </c>
      <c r="K719" s="5">
        <f t="shared" si="115"/>
        <v>-5.2753750000000002E-2</v>
      </c>
      <c r="L719" s="8">
        <f t="shared" si="112"/>
        <v>0.3240802028361951</v>
      </c>
      <c r="M719" s="8">
        <f t="shared" si="113"/>
        <v>0.11280000000000001</v>
      </c>
      <c r="N719" s="8">
        <f t="shared" si="116"/>
        <v>0.11194999999999999</v>
      </c>
      <c r="O719" s="296">
        <f t="shared" si="111"/>
        <v>0.21128020283619509</v>
      </c>
      <c r="P719" s="8">
        <f t="shared" si="117"/>
        <v>0.2121302028361951</v>
      </c>
      <c r="Q719" s="8">
        <f t="shared" si="118"/>
        <v>0.39258804910278511</v>
      </c>
      <c r="R719" s="8">
        <f t="shared" si="119"/>
        <v>0.12064500000000003</v>
      </c>
      <c r="S719" s="296">
        <f t="shared" si="120"/>
        <v>0.27194304910278511</v>
      </c>
      <c r="U719" s="297"/>
      <c r="V719" s="297"/>
      <c r="W719" s="297"/>
      <c r="X719" s="297"/>
      <c r="Y719" s="297"/>
      <c r="Z719" s="297"/>
      <c r="AA719" s="297"/>
      <c r="AB719" s="297"/>
      <c r="AC719" s="297"/>
      <c r="AE719" s="297"/>
      <c r="AF719" s="297"/>
      <c r="AG719" s="297"/>
      <c r="AH719" s="297"/>
      <c r="AI719" s="297"/>
      <c r="AJ719" s="297"/>
      <c r="AK719" s="297"/>
      <c r="AL719" s="297"/>
      <c r="AM719" s="297"/>
      <c r="AO719" s="297"/>
      <c r="AP719" s="297"/>
      <c r="AQ719" s="297"/>
      <c r="AR719" s="297"/>
      <c r="AS719" s="297"/>
      <c r="AT719" s="297"/>
      <c r="AU719" s="297"/>
      <c r="AV719" s="297"/>
      <c r="AW719" s="297"/>
    </row>
    <row r="720" spans="1:49" x14ac:dyDescent="0.45">
      <c r="A720" s="295">
        <v>31260</v>
      </c>
      <c r="B720" s="12">
        <v>-8.5000000000000006E-3</v>
      </c>
      <c r="C720" s="5">
        <v>1.8099999999999998E-2</v>
      </c>
      <c r="D720" s="5">
        <v>8.5000000000000006E-3</v>
      </c>
      <c r="E720" s="5">
        <v>9.208333333333334E-3</v>
      </c>
      <c r="F720" s="5">
        <v>9.5583333333333336E-3</v>
      </c>
      <c r="G720" s="5">
        <v>9.3833333333333338E-3</v>
      </c>
      <c r="H720" s="5">
        <v>1.0114416666666666E-2</v>
      </c>
      <c r="I720" s="5">
        <f t="shared" si="121"/>
        <v>-1.7000000000000001E-2</v>
      </c>
      <c r="J720" s="5">
        <f t="shared" si="114"/>
        <v>-1.7883333333333334E-2</v>
      </c>
      <c r="K720" s="5">
        <f t="shared" si="115"/>
        <v>7.9855833333333324E-3</v>
      </c>
      <c r="L720" s="8">
        <f t="shared" si="112"/>
        <v>0.18229964077097249</v>
      </c>
      <c r="M720" s="8">
        <f t="shared" si="113"/>
        <v>0.10200000000000001</v>
      </c>
      <c r="N720" s="8">
        <f t="shared" si="116"/>
        <v>0.11260000000000001</v>
      </c>
      <c r="O720" s="296">
        <f t="shared" ref="O720:O783" si="122">L720-M720</f>
        <v>8.0299640770972486E-2</v>
      </c>
      <c r="P720" s="8">
        <f t="shared" si="117"/>
        <v>6.9699640770972487E-2</v>
      </c>
      <c r="Q720" s="8">
        <f t="shared" si="118"/>
        <v>0.33176206349008575</v>
      </c>
      <c r="R720" s="8">
        <f t="shared" si="119"/>
        <v>0.12137299999999998</v>
      </c>
      <c r="S720" s="296">
        <f t="shared" si="120"/>
        <v>0.21038906349008576</v>
      </c>
      <c r="U720" s="297"/>
      <c r="V720" s="297"/>
      <c r="W720" s="297"/>
      <c r="X720" s="297"/>
      <c r="Y720" s="297"/>
      <c r="Z720" s="297"/>
      <c r="AA720" s="297"/>
      <c r="AB720" s="297"/>
      <c r="AC720" s="297"/>
      <c r="AE720" s="297"/>
      <c r="AF720" s="297"/>
      <c r="AG720" s="297"/>
      <c r="AH720" s="297"/>
      <c r="AI720" s="297"/>
      <c r="AJ720" s="297"/>
      <c r="AK720" s="297"/>
      <c r="AL720" s="297"/>
      <c r="AM720" s="297"/>
      <c r="AO720" s="297"/>
      <c r="AP720" s="297"/>
      <c r="AQ720" s="297"/>
      <c r="AR720" s="297"/>
      <c r="AS720" s="297"/>
      <c r="AT720" s="297"/>
      <c r="AU720" s="297"/>
      <c r="AV720" s="297"/>
      <c r="AW720" s="297"/>
    </row>
    <row r="721" spans="1:49" x14ac:dyDescent="0.45">
      <c r="A721" s="295">
        <v>31291</v>
      </c>
      <c r="B721" s="12">
        <v>-3.1300000000000001E-2</v>
      </c>
      <c r="C721" s="5">
        <v>-5.21E-2</v>
      </c>
      <c r="D721" s="5">
        <v>8.8000000000000005E-3</v>
      </c>
      <c r="E721" s="5">
        <v>9.2250000000000006E-3</v>
      </c>
      <c r="F721" s="5">
        <v>9.5500000000000012E-3</v>
      </c>
      <c r="G721" s="5">
        <v>9.3875E-3</v>
      </c>
      <c r="H721" s="5">
        <v>1.0110083333333332E-2</v>
      </c>
      <c r="I721" s="5">
        <f t="shared" si="121"/>
        <v>-4.0100000000000004E-2</v>
      </c>
      <c r="J721" s="5">
        <f t="shared" si="114"/>
        <v>-4.0687500000000001E-2</v>
      </c>
      <c r="K721" s="5">
        <f t="shared" si="115"/>
        <v>-6.2210083333333333E-2</v>
      </c>
      <c r="L721" s="8">
        <f t="shared" ref="L721:L784" si="123">((1+B710)*(1+B711)*(1+B712)*(1+B713)*(1+B714)*(1+B715)*(1+B716)*(1+B717)*(1+B718)*(1+B719)*(1+B720)*(1+B721))-1</f>
        <v>0.14506464908502381</v>
      </c>
      <c r="M721" s="8">
        <f t="shared" ref="M721:M784" si="124">D721*12</f>
        <v>0.1056</v>
      </c>
      <c r="N721" s="8">
        <f t="shared" si="116"/>
        <v>0.11265</v>
      </c>
      <c r="O721" s="296">
        <f t="shared" si="122"/>
        <v>3.9464649085023812E-2</v>
      </c>
      <c r="P721" s="8">
        <f t="shared" si="117"/>
        <v>3.2414649085023811E-2</v>
      </c>
      <c r="Q721" s="8">
        <f t="shared" si="118"/>
        <v>0.20940530751317499</v>
      </c>
      <c r="R721" s="8">
        <f t="shared" si="119"/>
        <v>0.12132099999999998</v>
      </c>
      <c r="S721" s="296">
        <f t="shared" si="120"/>
        <v>8.8084307513175003E-2</v>
      </c>
      <c r="U721" s="297"/>
      <c r="V721" s="297"/>
      <c r="W721" s="297"/>
      <c r="X721" s="297"/>
      <c r="Y721" s="297"/>
      <c r="Z721" s="297"/>
      <c r="AA721" s="297"/>
      <c r="AB721" s="297"/>
      <c r="AC721" s="297"/>
      <c r="AE721" s="297"/>
      <c r="AF721" s="297"/>
      <c r="AG721" s="297"/>
      <c r="AH721" s="297"/>
      <c r="AI721" s="297"/>
      <c r="AJ721" s="297"/>
      <c r="AK721" s="297"/>
      <c r="AL721" s="297"/>
      <c r="AM721" s="297"/>
      <c r="AO721" s="297"/>
      <c r="AP721" s="297"/>
      <c r="AQ721" s="297"/>
      <c r="AR721" s="297"/>
      <c r="AS721" s="297"/>
      <c r="AT721" s="297"/>
      <c r="AU721" s="297"/>
      <c r="AV721" s="297"/>
      <c r="AW721" s="297"/>
    </row>
    <row r="722" spans="1:49" x14ac:dyDescent="0.45">
      <c r="A722" s="295">
        <v>31321</v>
      </c>
      <c r="B722" s="12">
        <v>4.6199999999999998E-2</v>
      </c>
      <c r="C722" s="5">
        <v>6.3799999999999996E-2</v>
      </c>
      <c r="D722" s="5">
        <v>8.8999999999999999E-3</v>
      </c>
      <c r="E722" s="5">
        <v>9.1833333333333333E-3</v>
      </c>
      <c r="F722" s="5">
        <v>9.5416666666666653E-3</v>
      </c>
      <c r="G722" s="5">
        <v>9.362500000000001E-3</v>
      </c>
      <c r="H722" s="5">
        <v>1.0011583333333334E-2</v>
      </c>
      <c r="I722" s="5">
        <f t="shared" si="121"/>
        <v>3.73E-2</v>
      </c>
      <c r="J722" s="5">
        <f t="shared" si="114"/>
        <v>3.6837499999999995E-2</v>
      </c>
      <c r="K722" s="5">
        <f t="shared" si="115"/>
        <v>5.3788416666666658E-2</v>
      </c>
      <c r="L722" s="8">
        <f t="shared" si="123"/>
        <v>0.19331271627926272</v>
      </c>
      <c r="M722" s="8">
        <f t="shared" si="124"/>
        <v>0.10680000000000001</v>
      </c>
      <c r="N722" s="8">
        <f t="shared" si="116"/>
        <v>0.11235000000000001</v>
      </c>
      <c r="O722" s="296">
        <f t="shared" si="122"/>
        <v>8.6512716279262714E-2</v>
      </c>
      <c r="P722" s="8">
        <f t="shared" si="117"/>
        <v>8.0962716279262714E-2</v>
      </c>
      <c r="Q722" s="8">
        <f t="shared" si="118"/>
        <v>0.25249743587667028</v>
      </c>
      <c r="R722" s="8">
        <f t="shared" si="119"/>
        <v>0.12013900000000001</v>
      </c>
      <c r="S722" s="296">
        <f t="shared" si="120"/>
        <v>0.13235843587667029</v>
      </c>
      <c r="U722" s="297"/>
      <c r="V722" s="297"/>
      <c r="W722" s="297"/>
      <c r="X722" s="297"/>
      <c r="Y722" s="297"/>
      <c r="Z722" s="297"/>
      <c r="AA722" s="297"/>
      <c r="AB722" s="297"/>
      <c r="AC722" s="297"/>
      <c r="AE722" s="297"/>
      <c r="AF722" s="297"/>
      <c r="AG722" s="297"/>
      <c r="AH722" s="297"/>
      <c r="AI722" s="297"/>
      <c r="AJ722" s="297"/>
      <c r="AK722" s="297"/>
      <c r="AL722" s="297"/>
      <c r="AM722" s="297"/>
      <c r="AO722" s="297"/>
      <c r="AP722" s="297"/>
      <c r="AQ722" s="297"/>
      <c r="AR722" s="297"/>
      <c r="AS722" s="297"/>
      <c r="AT722" s="297"/>
      <c r="AU722" s="297"/>
      <c r="AV722" s="297"/>
      <c r="AW722" s="297"/>
    </row>
    <row r="723" spans="1:49" x14ac:dyDescent="0.45">
      <c r="A723" s="295">
        <v>31352</v>
      </c>
      <c r="B723" s="12">
        <v>6.8599999999999994E-2</v>
      </c>
      <c r="C723" s="5">
        <v>5.2200000000000003E-2</v>
      </c>
      <c r="D723" s="5">
        <v>8.0999999999999996E-3</v>
      </c>
      <c r="E723" s="5">
        <v>8.7916666666666681E-3</v>
      </c>
      <c r="F723" s="5">
        <v>9.2250000000000006E-3</v>
      </c>
      <c r="G723" s="5">
        <v>9.0083333333333335E-3</v>
      </c>
      <c r="H723" s="5">
        <v>9.5949999999999994E-3</v>
      </c>
      <c r="I723" s="5">
        <f t="shared" si="121"/>
        <v>6.0499999999999998E-2</v>
      </c>
      <c r="J723" s="5">
        <f t="shared" si="114"/>
        <v>5.9591666666666661E-2</v>
      </c>
      <c r="K723" s="5">
        <f t="shared" si="115"/>
        <v>4.2605000000000004E-2</v>
      </c>
      <c r="L723" s="8">
        <f t="shared" si="123"/>
        <v>0.2896176867071405</v>
      </c>
      <c r="M723" s="8">
        <f t="shared" si="124"/>
        <v>9.7199999999999995E-2</v>
      </c>
      <c r="N723" s="8">
        <f t="shared" si="116"/>
        <v>0.1081</v>
      </c>
      <c r="O723" s="296">
        <f t="shared" si="122"/>
        <v>0.19241768670714049</v>
      </c>
      <c r="P723" s="8">
        <f t="shared" si="117"/>
        <v>0.1815176867071405</v>
      </c>
      <c r="Q723" s="8">
        <f t="shared" si="118"/>
        <v>0.28323057646488103</v>
      </c>
      <c r="R723" s="8">
        <f t="shared" si="119"/>
        <v>0.11513999999999999</v>
      </c>
      <c r="S723" s="296">
        <f t="shared" si="120"/>
        <v>0.16809057646488104</v>
      </c>
      <c r="U723" s="297"/>
      <c r="V723" s="297"/>
      <c r="W723" s="297"/>
      <c r="X723" s="297"/>
      <c r="Y723" s="297"/>
      <c r="Z723" s="297"/>
      <c r="AA723" s="297"/>
      <c r="AB723" s="297"/>
      <c r="AC723" s="297"/>
      <c r="AE723" s="297"/>
      <c r="AF723" s="297"/>
      <c r="AG723" s="297"/>
      <c r="AH723" s="297"/>
      <c r="AI723" s="297"/>
      <c r="AJ723" s="297"/>
      <c r="AK723" s="297"/>
      <c r="AL723" s="297"/>
      <c r="AM723" s="297"/>
      <c r="AO723" s="297"/>
      <c r="AP723" s="297"/>
      <c r="AQ723" s="297"/>
      <c r="AR723" s="297"/>
      <c r="AS723" s="297"/>
      <c r="AT723" s="297"/>
      <c r="AU723" s="297"/>
      <c r="AV723" s="297"/>
      <c r="AW723" s="297"/>
    </row>
    <row r="724" spans="1:49" x14ac:dyDescent="0.45">
      <c r="A724" s="295">
        <v>31382</v>
      </c>
      <c r="B724" s="12">
        <v>4.8399999999999999E-2</v>
      </c>
      <c r="C724" s="5">
        <v>6.9400000000000003E-2</v>
      </c>
      <c r="D724" s="5">
        <v>8.6E-3</v>
      </c>
      <c r="E724" s="5">
        <v>8.4666666666666675E-3</v>
      </c>
      <c r="F724" s="5">
        <v>8.8583333333333344E-3</v>
      </c>
      <c r="G724" s="5">
        <v>8.6625000000000001E-3</v>
      </c>
      <c r="H724" s="5">
        <v>9.173333333333332E-3</v>
      </c>
      <c r="I724" s="5">
        <f t="shared" si="121"/>
        <v>3.9800000000000002E-2</v>
      </c>
      <c r="J724" s="5">
        <f t="shared" si="114"/>
        <v>3.9737499999999995E-2</v>
      </c>
      <c r="K724" s="5">
        <f t="shared" si="115"/>
        <v>6.0226666666666671E-2</v>
      </c>
      <c r="L724" s="8">
        <f t="shared" si="123"/>
        <v>0.31738788146133268</v>
      </c>
      <c r="M724" s="8">
        <f t="shared" si="124"/>
        <v>0.1032</v>
      </c>
      <c r="N724" s="8">
        <f t="shared" si="116"/>
        <v>0.10395</v>
      </c>
      <c r="O724" s="296">
        <f t="shared" si="122"/>
        <v>0.21418788146133266</v>
      </c>
      <c r="P724" s="8">
        <f t="shared" si="117"/>
        <v>0.21343788146133269</v>
      </c>
      <c r="Q724" s="8">
        <f t="shared" si="118"/>
        <v>0.33025085156217893</v>
      </c>
      <c r="R724" s="8">
        <f t="shared" si="119"/>
        <v>0.11007999999999998</v>
      </c>
      <c r="S724" s="296">
        <f t="shared" si="120"/>
        <v>0.22017085156217894</v>
      </c>
      <c r="U724" s="297"/>
      <c r="V724" s="297"/>
      <c r="W724" s="297"/>
      <c r="X724" s="297"/>
      <c r="Y724" s="297"/>
      <c r="Z724" s="297"/>
      <c r="AA724" s="297"/>
      <c r="AB724" s="297"/>
      <c r="AC724" s="297"/>
      <c r="AE724" s="297"/>
      <c r="AF724" s="297"/>
      <c r="AG724" s="297"/>
      <c r="AH724" s="297"/>
      <c r="AI724" s="297"/>
      <c r="AJ724" s="297"/>
      <c r="AK724" s="297"/>
      <c r="AL724" s="297"/>
      <c r="AM724" s="297"/>
      <c r="AO724" s="297"/>
      <c r="AP724" s="297"/>
      <c r="AQ724" s="297"/>
      <c r="AR724" s="297"/>
      <c r="AS724" s="297"/>
      <c r="AT724" s="297"/>
      <c r="AU724" s="297"/>
      <c r="AV724" s="297"/>
      <c r="AW724" s="297"/>
    </row>
    <row r="725" spans="1:49" x14ac:dyDescent="0.45">
      <c r="A725" s="295">
        <v>31413</v>
      </c>
      <c r="B725" s="12">
        <v>5.5999999999999999E-3</v>
      </c>
      <c r="C725" s="5">
        <v>2.9300000000000003E-2</v>
      </c>
      <c r="D725" s="5">
        <v>7.9000000000000008E-3</v>
      </c>
      <c r="E725" s="5">
        <v>8.3750000000000005E-3</v>
      </c>
      <c r="F725" s="5">
        <v>8.7166666666666677E-3</v>
      </c>
      <c r="G725" s="5">
        <v>8.5458333333333341E-3</v>
      </c>
      <c r="H725" s="5">
        <v>8.9988333333333344E-3</v>
      </c>
      <c r="I725" s="5">
        <f t="shared" si="121"/>
        <v>-2.3000000000000008E-3</v>
      </c>
      <c r="J725" s="5">
        <f t="shared" si="114"/>
        <v>-2.9458333333333342E-3</v>
      </c>
      <c r="K725" s="5">
        <f t="shared" si="115"/>
        <v>2.0301166666666669E-2</v>
      </c>
      <c r="L725" s="8">
        <f t="shared" si="123"/>
        <v>0.22902426347297222</v>
      </c>
      <c r="M725" s="8">
        <f t="shared" si="124"/>
        <v>9.4800000000000009E-2</v>
      </c>
      <c r="N725" s="8">
        <f t="shared" si="116"/>
        <v>0.10255</v>
      </c>
      <c r="O725" s="296">
        <f t="shared" si="122"/>
        <v>0.13422426347297223</v>
      </c>
      <c r="P725" s="8">
        <f t="shared" si="117"/>
        <v>0.12647426347297222</v>
      </c>
      <c r="Q725" s="8">
        <f t="shared" si="118"/>
        <v>0.33778915633898454</v>
      </c>
      <c r="R725" s="8">
        <f t="shared" si="119"/>
        <v>0.10798600000000001</v>
      </c>
      <c r="S725" s="296">
        <f t="shared" si="120"/>
        <v>0.22980315633898452</v>
      </c>
      <c r="U725" s="297"/>
      <c r="V725" s="297"/>
      <c r="W725" s="297"/>
      <c r="X725" s="297"/>
      <c r="Y725" s="297"/>
      <c r="Z725" s="297"/>
      <c r="AA725" s="297"/>
      <c r="AB725" s="297"/>
      <c r="AC725" s="297"/>
      <c r="AE725" s="297"/>
      <c r="AF725" s="297"/>
      <c r="AG725" s="297"/>
      <c r="AH725" s="297"/>
      <c r="AI725" s="297"/>
      <c r="AJ725" s="297"/>
      <c r="AK725" s="297"/>
      <c r="AL725" s="297"/>
      <c r="AM725" s="297"/>
      <c r="AO725" s="297"/>
      <c r="AP725" s="297"/>
      <c r="AQ725" s="297"/>
      <c r="AR725" s="297"/>
      <c r="AS725" s="297"/>
      <c r="AT725" s="297"/>
      <c r="AU725" s="297"/>
      <c r="AV725" s="297"/>
      <c r="AW725" s="297"/>
    </row>
    <row r="726" spans="1:49" x14ac:dyDescent="0.45">
      <c r="A726" s="295">
        <v>31444</v>
      </c>
      <c r="B726" s="12">
        <v>7.4700000000000003E-2</v>
      </c>
      <c r="C726" s="5">
        <v>6.2300000000000001E-2</v>
      </c>
      <c r="D726" s="5">
        <v>7.3000000000000001E-3</v>
      </c>
      <c r="E726" s="5">
        <v>8.0583333333333323E-3</v>
      </c>
      <c r="F726" s="5">
        <v>8.4416666666666668E-3</v>
      </c>
      <c r="G726" s="5">
        <v>8.2500000000000004E-3</v>
      </c>
      <c r="H726" s="5">
        <v>8.5969166666666659E-3</v>
      </c>
      <c r="I726" s="5">
        <f t="shared" si="121"/>
        <v>6.7400000000000002E-2</v>
      </c>
      <c r="J726" s="5">
        <f t="shared" si="114"/>
        <v>6.6450000000000009E-2</v>
      </c>
      <c r="K726" s="5">
        <f t="shared" si="115"/>
        <v>5.3703083333333332E-2</v>
      </c>
      <c r="L726" s="8">
        <f t="shared" si="123"/>
        <v>0.30491244413594454</v>
      </c>
      <c r="M726" s="8">
        <f t="shared" si="124"/>
        <v>8.7599999999999997E-2</v>
      </c>
      <c r="N726" s="8">
        <f t="shared" si="116"/>
        <v>9.9000000000000005E-2</v>
      </c>
      <c r="O726" s="296">
        <f t="shared" si="122"/>
        <v>0.21731244413594453</v>
      </c>
      <c r="P726" s="8">
        <f t="shared" si="117"/>
        <v>0.20591244413594453</v>
      </c>
      <c r="Q726" s="8">
        <f t="shared" si="118"/>
        <v>0.39422488058363925</v>
      </c>
      <c r="R726" s="8">
        <f t="shared" si="119"/>
        <v>0.10316299999999999</v>
      </c>
      <c r="S726" s="296">
        <f t="shared" si="120"/>
        <v>0.29106188058363924</v>
      </c>
      <c r="U726" s="297"/>
      <c r="V726" s="297"/>
      <c r="W726" s="297"/>
      <c r="X726" s="297"/>
      <c r="Y726" s="297"/>
      <c r="Z726" s="297"/>
      <c r="AA726" s="297"/>
      <c r="AB726" s="297"/>
      <c r="AC726" s="297"/>
      <c r="AE726" s="297"/>
      <c r="AF726" s="297"/>
      <c r="AG726" s="297"/>
      <c r="AH726" s="297"/>
      <c r="AI726" s="297"/>
      <c r="AJ726" s="297"/>
      <c r="AK726" s="297"/>
      <c r="AL726" s="297"/>
      <c r="AM726" s="297"/>
      <c r="AO726" s="297"/>
      <c r="AP726" s="297"/>
      <c r="AQ726" s="297"/>
      <c r="AR726" s="297"/>
      <c r="AS726" s="297"/>
      <c r="AT726" s="297"/>
      <c r="AU726" s="297"/>
      <c r="AV726" s="297"/>
      <c r="AW726" s="297"/>
    </row>
    <row r="727" spans="1:49" x14ac:dyDescent="0.45">
      <c r="A727" s="295">
        <v>31472</v>
      </c>
      <c r="B727" s="12">
        <v>5.5800000000000002E-2</v>
      </c>
      <c r="C727" s="5">
        <v>5.1400000000000008E-2</v>
      </c>
      <c r="D727" s="5">
        <v>7.1000000000000004E-3</v>
      </c>
      <c r="E727" s="5">
        <v>7.4999999999999997E-3</v>
      </c>
      <c r="F727" s="5">
        <v>7.9083333333333332E-3</v>
      </c>
      <c r="G727" s="5">
        <v>7.7041666666666673E-3</v>
      </c>
      <c r="H727" s="5">
        <v>7.9274999999999988E-3</v>
      </c>
      <c r="I727" s="5">
        <f t="shared" si="121"/>
        <v>4.87E-2</v>
      </c>
      <c r="J727" s="5">
        <f t="shared" si="114"/>
        <v>4.8095833333333338E-2</v>
      </c>
      <c r="K727" s="5">
        <f t="shared" si="115"/>
        <v>4.3472500000000011E-2</v>
      </c>
      <c r="L727" s="8">
        <f t="shared" si="123"/>
        <v>0.37676282454155108</v>
      </c>
      <c r="M727" s="8">
        <f t="shared" si="124"/>
        <v>8.5199999999999998E-2</v>
      </c>
      <c r="N727" s="8">
        <f t="shared" si="116"/>
        <v>9.2450000000000004E-2</v>
      </c>
      <c r="O727" s="296">
        <f t="shared" si="122"/>
        <v>0.29156282454155108</v>
      </c>
      <c r="P727" s="8">
        <f t="shared" si="117"/>
        <v>0.28431282454155105</v>
      </c>
      <c r="Q727" s="8">
        <f t="shared" si="118"/>
        <v>0.41467674140671495</v>
      </c>
      <c r="R727" s="8">
        <f t="shared" si="119"/>
        <v>9.5129999999999992E-2</v>
      </c>
      <c r="S727" s="296">
        <f t="shared" si="120"/>
        <v>0.31954674140671496</v>
      </c>
      <c r="U727" s="297"/>
      <c r="V727" s="297"/>
      <c r="W727" s="297"/>
      <c r="X727" s="297"/>
      <c r="Y727" s="297"/>
      <c r="Z727" s="297"/>
      <c r="AA727" s="297"/>
      <c r="AB727" s="297"/>
      <c r="AC727" s="297"/>
      <c r="AE727" s="297"/>
      <c r="AF727" s="297"/>
      <c r="AG727" s="297"/>
      <c r="AH727" s="297"/>
      <c r="AI727" s="297"/>
      <c r="AJ727" s="297"/>
      <c r="AK727" s="297"/>
      <c r="AL727" s="297"/>
      <c r="AM727" s="297"/>
      <c r="AO727" s="297"/>
      <c r="AP727" s="297"/>
      <c r="AQ727" s="297"/>
      <c r="AR727" s="297"/>
      <c r="AS727" s="297"/>
      <c r="AT727" s="297"/>
      <c r="AU727" s="297"/>
      <c r="AV727" s="297"/>
      <c r="AW727" s="297"/>
    </row>
    <row r="728" spans="1:49" x14ac:dyDescent="0.45">
      <c r="A728" s="295">
        <v>31503</v>
      </c>
      <c r="B728" s="12">
        <v>-1.1299999999999999E-2</v>
      </c>
      <c r="C728" s="5">
        <v>-3.3300000000000003E-2</v>
      </c>
      <c r="D728" s="5">
        <v>6.3E-3</v>
      </c>
      <c r="E728" s="5">
        <v>7.324999999999999E-3</v>
      </c>
      <c r="F728" s="5">
        <v>7.6750000000000004E-3</v>
      </c>
      <c r="G728" s="5">
        <v>7.4999999999999997E-3</v>
      </c>
      <c r="H728" s="5">
        <v>7.609083333333334E-3</v>
      </c>
      <c r="I728" s="5">
        <f t="shared" si="121"/>
        <v>-1.7599999999999998E-2</v>
      </c>
      <c r="J728" s="5">
        <f t="shared" si="114"/>
        <v>-1.8799999999999997E-2</v>
      </c>
      <c r="K728" s="5">
        <f t="shared" si="115"/>
        <v>-4.0909083333333339E-2</v>
      </c>
      <c r="L728" s="8">
        <f t="shared" si="123"/>
        <v>0.362431593057984</v>
      </c>
      <c r="M728" s="8">
        <f t="shared" si="124"/>
        <v>7.5600000000000001E-2</v>
      </c>
      <c r="N728" s="8">
        <f t="shared" si="116"/>
        <v>0.09</v>
      </c>
      <c r="O728" s="296">
        <f t="shared" si="122"/>
        <v>0.286831593057984</v>
      </c>
      <c r="P728" s="8">
        <f t="shared" si="117"/>
        <v>0.27243159305798403</v>
      </c>
      <c r="Q728" s="8">
        <f t="shared" si="118"/>
        <v>0.33983345343183236</v>
      </c>
      <c r="R728" s="8">
        <f t="shared" si="119"/>
        <v>9.1309000000000001E-2</v>
      </c>
      <c r="S728" s="296">
        <f t="shared" si="120"/>
        <v>0.24852445343183235</v>
      </c>
      <c r="U728" s="297"/>
      <c r="V728" s="297"/>
      <c r="W728" s="297"/>
      <c r="X728" s="297"/>
      <c r="Y728" s="297"/>
      <c r="Z728" s="297"/>
      <c r="AA728" s="297"/>
      <c r="AB728" s="297"/>
      <c r="AC728" s="297"/>
      <c r="AE728" s="297"/>
      <c r="AF728" s="297"/>
      <c r="AG728" s="297"/>
      <c r="AH728" s="297"/>
      <c r="AI728" s="297"/>
      <c r="AJ728" s="297"/>
      <c r="AK728" s="297"/>
      <c r="AL728" s="297"/>
      <c r="AM728" s="297"/>
      <c r="AO728" s="297"/>
      <c r="AP728" s="297"/>
      <c r="AQ728" s="297"/>
      <c r="AR728" s="297"/>
      <c r="AS728" s="297"/>
      <c r="AT728" s="297"/>
      <c r="AU728" s="297"/>
      <c r="AV728" s="297"/>
      <c r="AW728" s="297"/>
    </row>
    <row r="729" spans="1:49" x14ac:dyDescent="0.45">
      <c r="A729" s="295">
        <v>31533</v>
      </c>
      <c r="B729" s="12">
        <v>5.3199999999999997E-2</v>
      </c>
      <c r="C729" s="5">
        <v>5.2500000000000012E-2</v>
      </c>
      <c r="D729" s="5">
        <v>6.1999999999999998E-3</v>
      </c>
      <c r="E729" s="5">
        <v>7.5749999999999993E-3</v>
      </c>
      <c r="F729" s="5">
        <v>7.8583333333333335E-3</v>
      </c>
      <c r="G729" s="5">
        <v>7.7166666666666659E-3</v>
      </c>
      <c r="H729" s="5">
        <v>7.9722500000000002E-3</v>
      </c>
      <c r="I729" s="5">
        <f t="shared" si="121"/>
        <v>4.7E-2</v>
      </c>
      <c r="J729" s="5">
        <f t="shared" si="114"/>
        <v>4.5483333333333334E-2</v>
      </c>
      <c r="K729" s="5">
        <f t="shared" si="115"/>
        <v>4.4527750000000012E-2</v>
      </c>
      <c r="L729" s="8">
        <f t="shared" si="123"/>
        <v>0.35650685744816468</v>
      </c>
      <c r="M729" s="8">
        <f t="shared" si="124"/>
        <v>7.4399999999999994E-2</v>
      </c>
      <c r="N729" s="8">
        <f t="shared" si="116"/>
        <v>9.2599999999999988E-2</v>
      </c>
      <c r="O729" s="296">
        <f t="shared" si="122"/>
        <v>0.28210685744816466</v>
      </c>
      <c r="P729" s="8">
        <f t="shared" si="117"/>
        <v>0.26390685744816467</v>
      </c>
      <c r="Q729" s="8">
        <f t="shared" si="118"/>
        <v>0.3296008954714349</v>
      </c>
      <c r="R729" s="8">
        <f t="shared" si="119"/>
        <v>9.5667000000000002E-2</v>
      </c>
      <c r="S729" s="296">
        <f t="shared" si="120"/>
        <v>0.23393389547143489</v>
      </c>
      <c r="U729" s="297"/>
      <c r="V729" s="297"/>
      <c r="W729" s="297"/>
      <c r="X729" s="297"/>
      <c r="Y729" s="297"/>
      <c r="Z729" s="297"/>
      <c r="AA729" s="297"/>
      <c r="AB729" s="297"/>
      <c r="AC729" s="297"/>
      <c r="AE729" s="297"/>
      <c r="AF729" s="297"/>
      <c r="AG729" s="297"/>
      <c r="AH729" s="297"/>
      <c r="AI729" s="297"/>
      <c r="AJ729" s="297"/>
      <c r="AK729" s="297"/>
      <c r="AL729" s="297"/>
      <c r="AM729" s="297"/>
      <c r="AO729" s="297"/>
      <c r="AP729" s="297"/>
      <c r="AQ729" s="297"/>
      <c r="AR729" s="297"/>
      <c r="AS729" s="297"/>
      <c r="AT729" s="297"/>
      <c r="AU729" s="297"/>
      <c r="AV729" s="297"/>
      <c r="AW729" s="297"/>
    </row>
    <row r="730" spans="1:49" x14ac:dyDescent="0.45">
      <c r="A730" s="295">
        <v>31564</v>
      </c>
      <c r="B730" s="12">
        <v>1.6899999999999998E-2</v>
      </c>
      <c r="C730" s="5">
        <v>5.9699999999999996E-2</v>
      </c>
      <c r="D730" s="5">
        <v>7.000000000000001E-3</v>
      </c>
      <c r="E730" s="5">
        <v>7.6083333333333333E-3</v>
      </c>
      <c r="F730" s="5">
        <v>7.9083333333333332E-3</v>
      </c>
      <c r="G730" s="5">
        <v>7.7583333333333341E-3</v>
      </c>
      <c r="H730" s="5">
        <v>8.0456666666666662E-3</v>
      </c>
      <c r="I730" s="5">
        <f t="shared" si="121"/>
        <v>9.8999999999999973E-3</v>
      </c>
      <c r="J730" s="5">
        <f t="shared" si="114"/>
        <v>9.1416666666666643E-3</v>
      </c>
      <c r="K730" s="5">
        <f t="shared" si="115"/>
        <v>5.165433333333333E-2</v>
      </c>
      <c r="L730" s="8">
        <f t="shared" si="123"/>
        <v>0.35810950412428655</v>
      </c>
      <c r="M730" s="8">
        <f t="shared" si="124"/>
        <v>8.4000000000000019E-2</v>
      </c>
      <c r="N730" s="8">
        <f t="shared" si="116"/>
        <v>9.3100000000000016E-2</v>
      </c>
      <c r="O730" s="296">
        <f t="shared" si="122"/>
        <v>0.27410950412428653</v>
      </c>
      <c r="P730" s="8">
        <f t="shared" si="117"/>
        <v>0.26500950412428653</v>
      </c>
      <c r="Q730" s="8">
        <f t="shared" si="118"/>
        <v>0.37073457430788936</v>
      </c>
      <c r="R730" s="8">
        <f t="shared" si="119"/>
        <v>9.6547999999999995E-2</v>
      </c>
      <c r="S730" s="296">
        <f t="shared" si="120"/>
        <v>0.2741865743078894</v>
      </c>
      <c r="U730" s="297"/>
      <c r="V730" s="297"/>
      <c r="W730" s="297"/>
      <c r="X730" s="297"/>
      <c r="Y730" s="297"/>
      <c r="Z730" s="297"/>
      <c r="AA730" s="297"/>
      <c r="AB730" s="297"/>
      <c r="AC730" s="297"/>
      <c r="AE730" s="297"/>
      <c r="AF730" s="297"/>
      <c r="AG730" s="297"/>
      <c r="AH730" s="297"/>
      <c r="AI730" s="297"/>
      <c r="AJ730" s="297"/>
      <c r="AK730" s="297"/>
      <c r="AL730" s="297"/>
      <c r="AM730" s="297"/>
      <c r="AO730" s="297"/>
      <c r="AP730" s="297"/>
      <c r="AQ730" s="297"/>
      <c r="AR730" s="297"/>
      <c r="AS730" s="297"/>
      <c r="AT730" s="297"/>
      <c r="AU730" s="297"/>
      <c r="AV730" s="297"/>
      <c r="AW730" s="297"/>
    </row>
    <row r="731" spans="1:49" x14ac:dyDescent="0.45">
      <c r="A731" s="295">
        <v>31594</v>
      </c>
      <c r="B731" s="12">
        <v>-5.5899999999999998E-2</v>
      </c>
      <c r="C731" s="5">
        <v>2.8300000000000002E-2</v>
      </c>
      <c r="D731" s="5">
        <v>6.6E-3</v>
      </c>
      <c r="E731" s="5">
        <v>7.4000000000000012E-3</v>
      </c>
      <c r="F731" s="5">
        <v>7.7333333333333334E-3</v>
      </c>
      <c r="G731" s="5">
        <v>7.5666666666666669E-3</v>
      </c>
      <c r="H731" s="5">
        <v>7.7954166666666666E-3</v>
      </c>
      <c r="I731" s="5">
        <f t="shared" si="121"/>
        <v>-6.25E-2</v>
      </c>
      <c r="J731" s="5">
        <f t="shared" si="114"/>
        <v>-6.3466666666666671E-2</v>
      </c>
      <c r="K731" s="5">
        <f t="shared" si="115"/>
        <v>2.0504583333333336E-2</v>
      </c>
      <c r="L731" s="8">
        <f t="shared" si="123"/>
        <v>0.28411735888206291</v>
      </c>
      <c r="M731" s="8">
        <f t="shared" si="124"/>
        <v>7.9199999999999993E-2</v>
      </c>
      <c r="N731" s="8">
        <f t="shared" si="116"/>
        <v>9.0800000000000006E-2</v>
      </c>
      <c r="O731" s="296">
        <f t="shared" si="122"/>
        <v>0.20491735888206292</v>
      </c>
      <c r="P731" s="8">
        <f t="shared" si="117"/>
        <v>0.19331735888206292</v>
      </c>
      <c r="Q731" s="8">
        <f t="shared" si="118"/>
        <v>0.47239774653797428</v>
      </c>
      <c r="R731" s="8">
        <f t="shared" si="119"/>
        <v>9.3545000000000003E-2</v>
      </c>
      <c r="S731" s="296">
        <f t="shared" si="120"/>
        <v>0.37885274653797429</v>
      </c>
      <c r="U731" s="297"/>
      <c r="V731" s="297"/>
      <c r="W731" s="297"/>
      <c r="X731" s="297"/>
      <c r="Y731" s="297"/>
      <c r="Z731" s="297"/>
      <c r="AA731" s="297"/>
      <c r="AB731" s="297"/>
      <c r="AC731" s="297"/>
      <c r="AE731" s="297"/>
      <c r="AF731" s="297"/>
      <c r="AG731" s="297"/>
      <c r="AH731" s="297"/>
      <c r="AI731" s="297"/>
      <c r="AJ731" s="297"/>
      <c r="AK731" s="297"/>
      <c r="AL731" s="297"/>
      <c r="AM731" s="297"/>
      <c r="AO731" s="297"/>
      <c r="AP731" s="297"/>
      <c r="AQ731" s="297"/>
      <c r="AR731" s="297"/>
      <c r="AS731" s="297"/>
      <c r="AT731" s="297"/>
      <c r="AU731" s="297"/>
      <c r="AV731" s="297"/>
      <c r="AW731" s="297"/>
    </row>
    <row r="732" spans="1:49" x14ac:dyDescent="0.45">
      <c r="A732" s="295">
        <v>31625</v>
      </c>
      <c r="B732" s="12">
        <v>7.4200000000000002E-2</v>
      </c>
      <c r="C732" s="5">
        <v>8.8399999999999992E-2</v>
      </c>
      <c r="D732" s="5">
        <v>6.3E-3</v>
      </c>
      <c r="E732" s="5">
        <v>7.2666666666666669E-3</v>
      </c>
      <c r="F732" s="5">
        <v>7.6833333333333345E-3</v>
      </c>
      <c r="G732" s="5">
        <v>7.4750000000000007E-3</v>
      </c>
      <c r="H732" s="5">
        <v>7.7555833333333322E-3</v>
      </c>
      <c r="I732" s="5">
        <f t="shared" si="121"/>
        <v>6.7900000000000002E-2</v>
      </c>
      <c r="J732" s="5">
        <f t="shared" si="114"/>
        <v>6.6725000000000007E-2</v>
      </c>
      <c r="K732" s="5">
        <f t="shared" si="115"/>
        <v>8.0644416666666663E-2</v>
      </c>
      <c r="L732" s="8">
        <f t="shared" si="123"/>
        <v>0.3912242732335971</v>
      </c>
      <c r="M732" s="8">
        <f t="shared" si="124"/>
        <v>7.5600000000000001E-2</v>
      </c>
      <c r="N732" s="8">
        <f t="shared" si="116"/>
        <v>8.9700000000000002E-2</v>
      </c>
      <c r="O732" s="296">
        <f t="shared" si="122"/>
        <v>0.3156242732335971</v>
      </c>
      <c r="P732" s="8">
        <f t="shared" si="117"/>
        <v>0.3015242732335971</v>
      </c>
      <c r="Q732" s="8">
        <f t="shared" si="118"/>
        <v>0.57406709294954394</v>
      </c>
      <c r="R732" s="8">
        <f t="shared" si="119"/>
        <v>9.3066999999999983E-2</v>
      </c>
      <c r="S732" s="296">
        <f t="shared" si="120"/>
        <v>0.48100009294954393</v>
      </c>
      <c r="U732" s="297"/>
      <c r="V732" s="297"/>
      <c r="W732" s="297"/>
      <c r="X732" s="297"/>
      <c r="Y732" s="297"/>
      <c r="Z732" s="297"/>
      <c r="AA732" s="297"/>
      <c r="AB732" s="297"/>
      <c r="AC732" s="297"/>
      <c r="AE732" s="297"/>
      <c r="AF732" s="297"/>
      <c r="AG732" s="297"/>
      <c r="AH732" s="297"/>
      <c r="AI732" s="297"/>
      <c r="AJ732" s="297"/>
      <c r="AK732" s="297"/>
      <c r="AL732" s="297"/>
      <c r="AM732" s="297"/>
      <c r="AO732" s="297"/>
      <c r="AP732" s="297"/>
      <c r="AQ732" s="297"/>
      <c r="AR732" s="297"/>
      <c r="AS732" s="297"/>
      <c r="AT732" s="297"/>
      <c r="AU732" s="297"/>
      <c r="AV732" s="297"/>
      <c r="AW732" s="297"/>
    </row>
    <row r="733" spans="1:49" x14ac:dyDescent="0.45">
      <c r="A733" s="295">
        <v>31656</v>
      </c>
      <c r="B733" s="12">
        <v>-8.2699999999999996E-2</v>
      </c>
      <c r="C733" s="5">
        <v>-0.11370000000000001</v>
      </c>
      <c r="D733" s="5">
        <v>6.5000000000000006E-3</v>
      </c>
      <c r="E733" s="5">
        <v>7.4083333333333336E-3</v>
      </c>
      <c r="F733" s="5">
        <v>7.7999999999999988E-3</v>
      </c>
      <c r="G733" s="5">
        <v>7.6041666666666662E-3</v>
      </c>
      <c r="H733" s="5">
        <v>7.9194166666666666E-3</v>
      </c>
      <c r="I733" s="5">
        <f t="shared" si="121"/>
        <v>-8.9200000000000002E-2</v>
      </c>
      <c r="J733" s="5">
        <f t="shared" ref="J733:J796" si="125">B733-G733</f>
        <v>-9.0304166666666658E-2</v>
      </c>
      <c r="K733" s="5">
        <f t="shared" ref="K733:K796" si="126">$C733-H733</f>
        <v>-0.12161941666666667</v>
      </c>
      <c r="L733" s="8">
        <f t="shared" si="123"/>
        <v>0.31740479595042714</v>
      </c>
      <c r="M733" s="8">
        <f t="shared" si="124"/>
        <v>7.8000000000000014E-2</v>
      </c>
      <c r="N733" s="8">
        <f t="shared" si="116"/>
        <v>9.1249999999999998E-2</v>
      </c>
      <c r="O733" s="296">
        <f t="shared" si="122"/>
        <v>0.23940479595042713</v>
      </c>
      <c r="P733" s="8">
        <f t="shared" si="117"/>
        <v>0.22615479595042715</v>
      </c>
      <c r="Q733" s="8">
        <f t="shared" si="118"/>
        <v>0.47177514978497825</v>
      </c>
      <c r="R733" s="8">
        <f t="shared" si="119"/>
        <v>9.5033000000000006E-2</v>
      </c>
      <c r="S733" s="296">
        <f t="shared" si="120"/>
        <v>0.37674214978497822</v>
      </c>
      <c r="U733" s="297"/>
      <c r="V733" s="297"/>
      <c r="W733" s="297"/>
      <c r="X733" s="297"/>
      <c r="Y733" s="297"/>
      <c r="Z733" s="297"/>
      <c r="AA733" s="297"/>
      <c r="AB733" s="297"/>
      <c r="AC733" s="297"/>
      <c r="AE733" s="297"/>
      <c r="AF733" s="297"/>
      <c r="AG733" s="297"/>
      <c r="AH733" s="297"/>
      <c r="AI733" s="297"/>
      <c r="AJ733" s="297"/>
      <c r="AK733" s="297"/>
      <c r="AL733" s="297"/>
      <c r="AM733" s="297"/>
      <c r="AO733" s="297"/>
      <c r="AP733" s="297"/>
      <c r="AQ733" s="297"/>
      <c r="AR733" s="297"/>
      <c r="AS733" s="297"/>
      <c r="AT733" s="297"/>
      <c r="AU733" s="297"/>
      <c r="AV733" s="297"/>
      <c r="AW733" s="297"/>
    </row>
    <row r="734" spans="1:49" x14ac:dyDescent="0.45">
      <c r="A734" s="295">
        <v>31686</v>
      </c>
      <c r="B734" s="12">
        <v>5.7700000000000001E-2</v>
      </c>
      <c r="C734" s="5">
        <v>5.050000000000001E-2</v>
      </c>
      <c r="D734" s="5">
        <v>6.8999999999999999E-3</v>
      </c>
      <c r="E734" s="5">
        <v>7.3833333333333329E-3</v>
      </c>
      <c r="F734" s="5">
        <v>7.7749999999999998E-3</v>
      </c>
      <c r="G734" s="5">
        <v>7.5791666666666655E-3</v>
      </c>
      <c r="H734" s="5">
        <v>7.9395000000000004E-3</v>
      </c>
      <c r="I734" s="5">
        <f t="shared" si="121"/>
        <v>5.0799999999999998E-2</v>
      </c>
      <c r="J734" s="5">
        <f t="shared" si="125"/>
        <v>5.0120833333333337E-2</v>
      </c>
      <c r="K734" s="5">
        <f t="shared" si="126"/>
        <v>4.2560500000000008E-2</v>
      </c>
      <c r="L734" s="8">
        <f t="shared" si="123"/>
        <v>0.33188592303265807</v>
      </c>
      <c r="M734" s="8">
        <f t="shared" si="124"/>
        <v>8.2799999999999999E-2</v>
      </c>
      <c r="N734" s="8">
        <f t="shared" si="116"/>
        <v>9.0949999999999989E-2</v>
      </c>
      <c r="O734" s="296">
        <f t="shared" si="122"/>
        <v>0.24908592303265809</v>
      </c>
      <c r="P734" s="8">
        <f t="shared" si="117"/>
        <v>0.24093592303265809</v>
      </c>
      <c r="Q734" s="8">
        <f t="shared" si="118"/>
        <v>0.45337450164421833</v>
      </c>
      <c r="R734" s="8">
        <f t="shared" si="119"/>
        <v>9.5273999999999998E-2</v>
      </c>
      <c r="S734" s="296">
        <f t="shared" si="120"/>
        <v>0.35810050164421836</v>
      </c>
      <c r="U734" s="297"/>
      <c r="V734" s="297"/>
      <c r="W734" s="297"/>
      <c r="X734" s="297"/>
      <c r="Y734" s="297"/>
      <c r="Z734" s="297"/>
      <c r="AA734" s="297"/>
      <c r="AB734" s="297"/>
      <c r="AC734" s="297"/>
      <c r="AE734" s="297"/>
      <c r="AF734" s="297"/>
      <c r="AG734" s="297"/>
      <c r="AH734" s="297"/>
      <c r="AI734" s="297"/>
      <c r="AJ734" s="297"/>
      <c r="AK734" s="297"/>
      <c r="AL734" s="297"/>
      <c r="AM734" s="297"/>
      <c r="AO734" s="297"/>
      <c r="AP734" s="297"/>
      <c r="AQ734" s="297"/>
      <c r="AR734" s="297"/>
      <c r="AS734" s="297"/>
      <c r="AT734" s="297"/>
      <c r="AU734" s="297"/>
      <c r="AV734" s="297"/>
      <c r="AW734" s="297"/>
    </row>
    <row r="735" spans="1:49" x14ac:dyDescent="0.45">
      <c r="A735" s="295">
        <v>31717</v>
      </c>
      <c r="B735" s="12">
        <v>2.4299999999999999E-2</v>
      </c>
      <c r="C735" s="5">
        <v>2.1099999999999997E-2</v>
      </c>
      <c r="D735" s="5">
        <v>5.8999999999999999E-3</v>
      </c>
      <c r="E735" s="5">
        <v>7.2333333333333329E-3</v>
      </c>
      <c r="F735" s="5">
        <v>7.6666666666666662E-3</v>
      </c>
      <c r="G735" s="5">
        <v>7.4499999999999992E-3</v>
      </c>
      <c r="H735" s="5">
        <v>7.744749999999999E-3</v>
      </c>
      <c r="I735" s="5">
        <f t="shared" si="121"/>
        <v>1.84E-2</v>
      </c>
      <c r="J735" s="5">
        <f t="shared" si="125"/>
        <v>1.685E-2</v>
      </c>
      <c r="K735" s="5">
        <f t="shared" si="126"/>
        <v>1.3355249999999999E-2</v>
      </c>
      <c r="L735" s="8">
        <f t="shared" si="123"/>
        <v>0.27667111263555233</v>
      </c>
      <c r="M735" s="8">
        <f t="shared" si="124"/>
        <v>7.0800000000000002E-2</v>
      </c>
      <c r="N735" s="8">
        <f t="shared" si="116"/>
        <v>8.9399999999999993E-2</v>
      </c>
      <c r="O735" s="296">
        <f t="shared" si="122"/>
        <v>0.20587111263555233</v>
      </c>
      <c r="P735" s="8">
        <f t="shared" si="117"/>
        <v>0.18727111263555235</v>
      </c>
      <c r="Q735" s="8">
        <f t="shared" si="118"/>
        <v>0.41041693939261692</v>
      </c>
      <c r="R735" s="8">
        <f t="shared" si="119"/>
        <v>9.2936999999999992E-2</v>
      </c>
      <c r="S735" s="296">
        <f t="shared" si="120"/>
        <v>0.31747993939261693</v>
      </c>
      <c r="U735" s="297"/>
      <c r="V735" s="297"/>
      <c r="W735" s="297"/>
      <c r="X735" s="297"/>
      <c r="Y735" s="297"/>
      <c r="Z735" s="297"/>
      <c r="AA735" s="297"/>
      <c r="AB735" s="297"/>
      <c r="AC735" s="297"/>
      <c r="AE735" s="297"/>
      <c r="AF735" s="297"/>
      <c r="AG735" s="297"/>
      <c r="AH735" s="297"/>
      <c r="AI735" s="297"/>
      <c r="AJ735" s="297"/>
      <c r="AK735" s="297"/>
      <c r="AL735" s="297"/>
      <c r="AM735" s="297"/>
      <c r="AO735" s="297"/>
      <c r="AP735" s="297"/>
      <c r="AQ735" s="297"/>
      <c r="AR735" s="297"/>
      <c r="AS735" s="297"/>
      <c r="AT735" s="297"/>
      <c r="AU735" s="297"/>
      <c r="AV735" s="297"/>
      <c r="AW735" s="297"/>
    </row>
    <row r="736" spans="1:49" x14ac:dyDescent="0.45">
      <c r="A736" s="295">
        <v>31747</v>
      </c>
      <c r="B736" s="12">
        <v>-2.5499999999999998E-2</v>
      </c>
      <c r="C736" s="5">
        <v>-2.5399999999999999E-2</v>
      </c>
      <c r="D736" s="5">
        <v>7.000000000000001E-3</v>
      </c>
      <c r="E736" s="5">
        <v>7.0750000000000006E-3</v>
      </c>
      <c r="F736" s="5">
        <v>7.5166666666666663E-3</v>
      </c>
      <c r="G736" s="5">
        <v>7.2958333333333321E-3</v>
      </c>
      <c r="H736" s="5">
        <v>7.5995833333333341E-3</v>
      </c>
      <c r="I736" s="5">
        <f t="shared" si="121"/>
        <v>-3.2500000000000001E-2</v>
      </c>
      <c r="J736" s="5">
        <f t="shared" si="125"/>
        <v>-3.279583333333333E-2</v>
      </c>
      <c r="K736" s="5">
        <f t="shared" si="126"/>
        <v>-3.2999583333333332E-2</v>
      </c>
      <c r="L736" s="8">
        <f t="shared" si="123"/>
        <v>0.18668065553543101</v>
      </c>
      <c r="M736" s="8">
        <f t="shared" si="124"/>
        <v>8.4000000000000019E-2</v>
      </c>
      <c r="N736" s="8">
        <f t="shared" si="116"/>
        <v>8.7549999999999989E-2</v>
      </c>
      <c r="O736" s="296">
        <f t="shared" si="122"/>
        <v>0.10268065553543099</v>
      </c>
      <c r="P736" s="8">
        <f t="shared" si="117"/>
        <v>9.9130655535431017E-2</v>
      </c>
      <c r="Q736" s="8">
        <f t="shared" si="118"/>
        <v>0.28538652434266387</v>
      </c>
      <c r="R736" s="8">
        <f t="shared" si="119"/>
        <v>9.1195000000000012E-2</v>
      </c>
      <c r="S736" s="296">
        <f t="shared" si="120"/>
        <v>0.19419152434266385</v>
      </c>
      <c r="U736" s="297"/>
      <c r="V736" s="297"/>
      <c r="W736" s="297"/>
      <c r="X736" s="297"/>
      <c r="Y736" s="297"/>
      <c r="Z736" s="297"/>
      <c r="AA736" s="297"/>
      <c r="AB736" s="297"/>
      <c r="AC736" s="297"/>
      <c r="AE736" s="297"/>
      <c r="AF736" s="297"/>
      <c r="AG736" s="297"/>
      <c r="AH736" s="297"/>
      <c r="AI736" s="297"/>
      <c r="AJ736" s="297"/>
      <c r="AK736" s="297"/>
      <c r="AL736" s="297"/>
      <c r="AM736" s="297"/>
      <c r="AO736" s="297"/>
      <c r="AP736" s="297"/>
      <c r="AQ736" s="297"/>
      <c r="AR736" s="297"/>
      <c r="AS736" s="297"/>
      <c r="AT736" s="297"/>
      <c r="AU736" s="297"/>
      <c r="AV736" s="297"/>
      <c r="AW736" s="297"/>
    </row>
    <row r="737" spans="1:49" x14ac:dyDescent="0.45">
      <c r="A737" s="295">
        <v>31778</v>
      </c>
      <c r="B737" s="12">
        <v>0.13469999999999999</v>
      </c>
      <c r="C737" s="5">
        <v>9.8400000000000001E-2</v>
      </c>
      <c r="D737" s="5">
        <v>6.4000000000000003E-3</v>
      </c>
      <c r="E737" s="5">
        <v>6.9666666666666661E-3</v>
      </c>
      <c r="F737" s="5">
        <v>7.3833333333333329E-3</v>
      </c>
      <c r="G737" s="5">
        <v>7.175E-3</v>
      </c>
      <c r="H737" s="5">
        <v>7.4537500000000003E-3</v>
      </c>
      <c r="I737" s="5">
        <f t="shared" si="121"/>
        <v>0.1283</v>
      </c>
      <c r="J737" s="5">
        <f t="shared" si="125"/>
        <v>0.127525</v>
      </c>
      <c r="K737" s="5">
        <f t="shared" si="126"/>
        <v>9.0946250000000006E-2</v>
      </c>
      <c r="L737" s="8">
        <f t="shared" si="123"/>
        <v>0.33902798313052274</v>
      </c>
      <c r="M737" s="8">
        <f t="shared" si="124"/>
        <v>7.6800000000000007E-2</v>
      </c>
      <c r="N737" s="8">
        <f t="shared" si="116"/>
        <v>8.6099999999999996E-2</v>
      </c>
      <c r="O737" s="296">
        <f t="shared" si="122"/>
        <v>0.26222798313052276</v>
      </c>
      <c r="P737" s="8">
        <f t="shared" si="117"/>
        <v>0.25292798313052273</v>
      </c>
      <c r="Q737" s="8">
        <f t="shared" si="118"/>
        <v>0.37167838175262924</v>
      </c>
      <c r="R737" s="8">
        <f t="shared" si="119"/>
        <v>8.9444999999999997E-2</v>
      </c>
      <c r="S737" s="296">
        <f t="shared" si="120"/>
        <v>0.28223338175262924</v>
      </c>
      <c r="U737" s="297"/>
      <c r="V737" s="297"/>
      <c r="W737" s="297"/>
      <c r="X737" s="297"/>
      <c r="Y737" s="297"/>
      <c r="Z737" s="297"/>
      <c r="AA737" s="297"/>
      <c r="AB737" s="297"/>
      <c r="AC737" s="297"/>
      <c r="AE737" s="297"/>
      <c r="AF737" s="297"/>
      <c r="AG737" s="297"/>
      <c r="AH737" s="297"/>
      <c r="AI737" s="297"/>
      <c r="AJ737" s="297"/>
      <c r="AK737" s="297"/>
      <c r="AL737" s="297"/>
      <c r="AM737" s="297"/>
      <c r="AO737" s="297"/>
      <c r="AP737" s="297"/>
      <c r="AQ737" s="297"/>
      <c r="AR737" s="297"/>
      <c r="AS737" s="297"/>
      <c r="AT737" s="297"/>
      <c r="AU737" s="297"/>
      <c r="AV737" s="297"/>
      <c r="AW737" s="297"/>
    </row>
    <row r="738" spans="1:49" x14ac:dyDescent="0.45">
      <c r="A738" s="295">
        <v>31809</v>
      </c>
      <c r="B738" s="12">
        <v>3.95E-2</v>
      </c>
      <c r="C738" s="5">
        <v>-3.0100000000000002E-2</v>
      </c>
      <c r="D738" s="5">
        <v>5.8999999999999999E-3</v>
      </c>
      <c r="E738" s="5">
        <v>6.9833333333333336E-3</v>
      </c>
      <c r="F738" s="5">
        <v>7.4000000000000012E-3</v>
      </c>
      <c r="G738" s="5">
        <v>7.1916666666666674E-3</v>
      </c>
      <c r="H738" s="5">
        <v>7.5030833333333338E-3</v>
      </c>
      <c r="I738" s="5">
        <f t="shared" si="121"/>
        <v>3.3599999999999998E-2</v>
      </c>
      <c r="J738" s="5">
        <f t="shared" si="125"/>
        <v>3.2308333333333335E-2</v>
      </c>
      <c r="K738" s="5">
        <f t="shared" si="126"/>
        <v>-3.7603083333333336E-2</v>
      </c>
      <c r="L738" s="8">
        <f t="shared" si="123"/>
        <v>0.29517036239339212</v>
      </c>
      <c r="M738" s="8">
        <f t="shared" si="124"/>
        <v>7.0800000000000002E-2</v>
      </c>
      <c r="N738" s="8">
        <f t="shared" si="116"/>
        <v>8.6300000000000016E-2</v>
      </c>
      <c r="O738" s="296">
        <f t="shared" si="122"/>
        <v>0.22437036239339211</v>
      </c>
      <c r="P738" s="8">
        <f t="shared" si="117"/>
        <v>0.2088703623933921</v>
      </c>
      <c r="Q738" s="8">
        <f t="shared" si="118"/>
        <v>0.25236831635307855</v>
      </c>
      <c r="R738" s="8">
        <f t="shared" si="119"/>
        <v>9.0037000000000006E-2</v>
      </c>
      <c r="S738" s="296">
        <f t="shared" si="120"/>
        <v>0.16233131635307854</v>
      </c>
      <c r="U738" s="297"/>
      <c r="V738" s="297"/>
      <c r="W738" s="297"/>
      <c r="X738" s="297"/>
      <c r="Y738" s="297"/>
      <c r="Z738" s="297"/>
      <c r="AA738" s="297"/>
      <c r="AB738" s="297"/>
      <c r="AC738" s="297"/>
      <c r="AE738" s="297"/>
      <c r="AF738" s="297"/>
      <c r="AG738" s="297"/>
      <c r="AH738" s="297"/>
      <c r="AI738" s="297"/>
      <c r="AJ738" s="297"/>
      <c r="AK738" s="297"/>
      <c r="AL738" s="297"/>
      <c r="AM738" s="297"/>
      <c r="AO738" s="297"/>
      <c r="AP738" s="297"/>
      <c r="AQ738" s="297"/>
      <c r="AR738" s="297"/>
      <c r="AS738" s="297"/>
      <c r="AT738" s="297"/>
      <c r="AU738" s="297"/>
      <c r="AV738" s="297"/>
      <c r="AW738" s="297"/>
    </row>
    <row r="739" spans="1:49" x14ac:dyDescent="0.45">
      <c r="A739" s="295">
        <v>31837</v>
      </c>
      <c r="B739" s="12">
        <v>2.8899999999999999E-2</v>
      </c>
      <c r="C739" s="5">
        <v>-1.89E-2</v>
      </c>
      <c r="D739" s="5">
        <v>6.6E-3</v>
      </c>
      <c r="E739" s="5">
        <v>6.9666666666666661E-3</v>
      </c>
      <c r="F739" s="5">
        <v>7.3666666666666672E-3</v>
      </c>
      <c r="G739" s="5">
        <v>7.1666666666666667E-3</v>
      </c>
      <c r="H739" s="5">
        <v>7.4409166666666669E-3</v>
      </c>
      <c r="I739" s="5">
        <f t="shared" si="121"/>
        <v>2.23E-2</v>
      </c>
      <c r="J739" s="5">
        <f t="shared" si="125"/>
        <v>2.1733333333333334E-2</v>
      </c>
      <c r="K739" s="5">
        <f t="shared" si="126"/>
        <v>-2.6340916666666665E-2</v>
      </c>
      <c r="L739" s="8">
        <f t="shared" si="123"/>
        <v>0.26217161002705169</v>
      </c>
      <c r="M739" s="8">
        <f t="shared" si="124"/>
        <v>7.9199999999999993E-2</v>
      </c>
      <c r="N739" s="8">
        <f t="shared" si="116"/>
        <v>8.5999999999999993E-2</v>
      </c>
      <c r="O739" s="296">
        <f t="shared" si="122"/>
        <v>0.1829716100270517</v>
      </c>
      <c r="P739" s="8">
        <f t="shared" si="117"/>
        <v>0.1761716100270517</v>
      </c>
      <c r="Q739" s="8">
        <f t="shared" si="118"/>
        <v>0.16863092559825499</v>
      </c>
      <c r="R739" s="8">
        <f t="shared" si="119"/>
        <v>8.9291000000000009E-2</v>
      </c>
      <c r="S739" s="296">
        <f t="shared" si="120"/>
        <v>7.9339925598254979E-2</v>
      </c>
      <c r="U739" s="297"/>
      <c r="V739" s="297"/>
      <c r="W739" s="297"/>
      <c r="X739" s="297"/>
      <c r="Y739" s="297"/>
      <c r="Z739" s="297"/>
      <c r="AA739" s="297"/>
      <c r="AB739" s="297"/>
      <c r="AC739" s="297"/>
      <c r="AE739" s="297"/>
      <c r="AF739" s="297"/>
      <c r="AG739" s="297"/>
      <c r="AH739" s="297"/>
      <c r="AI739" s="297"/>
      <c r="AJ739" s="297"/>
      <c r="AK739" s="297"/>
      <c r="AL739" s="297"/>
      <c r="AM739" s="297"/>
      <c r="AO739" s="297"/>
      <c r="AP739" s="297"/>
      <c r="AQ739" s="297"/>
      <c r="AR739" s="297"/>
      <c r="AS739" s="297"/>
      <c r="AT739" s="297"/>
      <c r="AU739" s="297"/>
      <c r="AV739" s="297"/>
      <c r="AW739" s="297"/>
    </row>
    <row r="740" spans="1:49" x14ac:dyDescent="0.45">
      <c r="A740" s="295">
        <v>31868</v>
      </c>
      <c r="B740" s="12">
        <v>-8.8999999999999999E-3</v>
      </c>
      <c r="C740" s="5">
        <v>-4.1399999999999999E-2</v>
      </c>
      <c r="D740" s="5">
        <v>6.5000000000000006E-3</v>
      </c>
      <c r="E740" s="5">
        <v>7.3749999999999996E-3</v>
      </c>
      <c r="F740" s="5">
        <v>7.6250000000000007E-3</v>
      </c>
      <c r="G740" s="5">
        <v>7.4999999999999997E-3</v>
      </c>
      <c r="H740" s="5">
        <v>7.7940833333333334E-3</v>
      </c>
      <c r="I740" s="5">
        <f t="shared" si="121"/>
        <v>-1.54E-2</v>
      </c>
      <c r="J740" s="5">
        <f t="shared" si="125"/>
        <v>-1.6399999999999998E-2</v>
      </c>
      <c r="K740" s="5">
        <f t="shared" si="126"/>
        <v>-4.9194083333333333E-2</v>
      </c>
      <c r="L740" s="8">
        <f t="shared" si="123"/>
        <v>0.26523544320603887</v>
      </c>
      <c r="M740" s="8">
        <f t="shared" si="124"/>
        <v>7.8000000000000014E-2</v>
      </c>
      <c r="N740" s="8">
        <f t="shared" si="116"/>
        <v>0.09</v>
      </c>
      <c r="O740" s="296">
        <f t="shared" si="122"/>
        <v>0.18723544320603885</v>
      </c>
      <c r="P740" s="8">
        <f t="shared" si="117"/>
        <v>0.17523544320603887</v>
      </c>
      <c r="Q740" s="8">
        <f t="shared" si="118"/>
        <v>0.15883894204870885</v>
      </c>
      <c r="R740" s="8">
        <f t="shared" si="119"/>
        <v>9.3529000000000001E-2</v>
      </c>
      <c r="S740" s="296">
        <f t="shared" si="120"/>
        <v>6.5309942048708852E-2</v>
      </c>
      <c r="U740" s="297"/>
      <c r="V740" s="297"/>
      <c r="W740" s="297"/>
      <c r="X740" s="297"/>
      <c r="Y740" s="297"/>
      <c r="Z740" s="297"/>
      <c r="AA740" s="297"/>
      <c r="AB740" s="297"/>
      <c r="AC740" s="297"/>
      <c r="AE740" s="297"/>
      <c r="AF740" s="297"/>
      <c r="AG740" s="297"/>
      <c r="AH740" s="297"/>
      <c r="AI740" s="297"/>
      <c r="AJ740" s="297"/>
      <c r="AK740" s="297"/>
      <c r="AL740" s="297"/>
      <c r="AM740" s="297"/>
      <c r="AO740" s="297"/>
      <c r="AP740" s="297"/>
      <c r="AQ740" s="297"/>
      <c r="AR740" s="297"/>
      <c r="AS740" s="297"/>
      <c r="AT740" s="297"/>
      <c r="AU740" s="297"/>
      <c r="AV740" s="297"/>
      <c r="AW740" s="297"/>
    </row>
    <row r="741" spans="1:49" x14ac:dyDescent="0.45">
      <c r="A741" s="295">
        <v>31898</v>
      </c>
      <c r="B741" s="12">
        <v>8.6999999999999994E-3</v>
      </c>
      <c r="C741" s="5">
        <v>-6.4000000000000003E-3</v>
      </c>
      <c r="D741" s="5">
        <v>6.6E-3</v>
      </c>
      <c r="E741" s="5">
        <v>7.7749999999999998E-3</v>
      </c>
      <c r="F741" s="5">
        <v>7.9916666666666678E-3</v>
      </c>
      <c r="G741" s="5">
        <v>7.8833333333333325E-3</v>
      </c>
      <c r="H741" s="5">
        <v>8.2208333333333335E-3</v>
      </c>
      <c r="I741" s="5">
        <f t="shared" si="121"/>
        <v>2.0999999999999994E-3</v>
      </c>
      <c r="J741" s="5">
        <f t="shared" si="125"/>
        <v>8.1666666666666693E-4</v>
      </c>
      <c r="K741" s="5">
        <f t="shared" si="126"/>
        <v>-1.4620833333333333E-2</v>
      </c>
      <c r="L741" s="8">
        <f t="shared" si="123"/>
        <v>0.21177648268318627</v>
      </c>
      <c r="M741" s="8">
        <f t="shared" si="124"/>
        <v>7.9199999999999993E-2</v>
      </c>
      <c r="N741" s="8">
        <f t="shared" si="116"/>
        <v>9.459999999999999E-2</v>
      </c>
      <c r="O741" s="296">
        <f t="shared" si="122"/>
        <v>0.13257648268318628</v>
      </c>
      <c r="P741" s="8">
        <f t="shared" si="117"/>
        <v>0.11717648268318628</v>
      </c>
      <c r="Q741" s="8">
        <f t="shared" si="118"/>
        <v>9.3988002678952576E-2</v>
      </c>
      <c r="R741" s="8">
        <f t="shared" si="119"/>
        <v>9.8650000000000002E-2</v>
      </c>
      <c r="S741" s="296">
        <f t="shared" si="120"/>
        <v>-4.6619973210474258E-3</v>
      </c>
      <c r="U741" s="297"/>
      <c r="V741" s="297"/>
      <c r="W741" s="297"/>
      <c r="X741" s="297"/>
      <c r="Y741" s="297"/>
      <c r="Z741" s="297"/>
      <c r="AA741" s="297"/>
      <c r="AB741" s="297"/>
      <c r="AC741" s="297"/>
      <c r="AE741" s="297"/>
      <c r="AF741" s="297"/>
      <c r="AG741" s="297"/>
      <c r="AH741" s="297"/>
      <c r="AI741" s="297"/>
      <c r="AJ741" s="297"/>
      <c r="AK741" s="297"/>
      <c r="AL741" s="297"/>
      <c r="AM741" s="297"/>
      <c r="AO741" s="297"/>
      <c r="AP741" s="297"/>
      <c r="AQ741" s="297"/>
      <c r="AR741" s="297"/>
      <c r="AS741" s="297"/>
      <c r="AT741" s="297"/>
      <c r="AU741" s="297"/>
      <c r="AV741" s="297"/>
      <c r="AW741" s="297"/>
    </row>
    <row r="742" spans="1:49" x14ac:dyDescent="0.45">
      <c r="A742" s="295">
        <v>31929</v>
      </c>
      <c r="B742" s="12">
        <v>5.0500000000000003E-2</v>
      </c>
      <c r="C742" s="5">
        <v>4.3899999999999995E-2</v>
      </c>
      <c r="D742" s="5">
        <v>7.4999999999999997E-3</v>
      </c>
      <c r="E742" s="5">
        <v>7.7666666666666674E-3</v>
      </c>
      <c r="F742" s="5">
        <v>8.0416666666666674E-3</v>
      </c>
      <c r="G742" s="5">
        <v>7.904166666666667E-3</v>
      </c>
      <c r="H742" s="5">
        <v>8.3485E-3</v>
      </c>
      <c r="I742" s="5">
        <f t="shared" si="121"/>
        <v>4.3000000000000003E-2</v>
      </c>
      <c r="J742" s="5">
        <f t="shared" si="125"/>
        <v>4.2595833333333333E-2</v>
      </c>
      <c r="K742" s="5">
        <f t="shared" si="126"/>
        <v>3.5551499999999993E-2</v>
      </c>
      <c r="L742" s="8">
        <f t="shared" si="123"/>
        <v>0.25181551289083171</v>
      </c>
      <c r="M742" s="8">
        <f t="shared" si="124"/>
        <v>0.09</v>
      </c>
      <c r="N742" s="8">
        <f t="shared" si="116"/>
        <v>9.4850000000000004E-2</v>
      </c>
      <c r="O742" s="296">
        <f t="shared" si="122"/>
        <v>0.16181551289083171</v>
      </c>
      <c r="P742" s="8">
        <f t="shared" si="117"/>
        <v>0.15696551289083172</v>
      </c>
      <c r="Q742" s="8">
        <f t="shared" si="118"/>
        <v>7.7676772668263228E-2</v>
      </c>
      <c r="R742" s="8">
        <f t="shared" si="119"/>
        <v>0.10018199999999999</v>
      </c>
      <c r="S742" s="296">
        <f t="shared" si="120"/>
        <v>-2.2505227331736766E-2</v>
      </c>
      <c r="U742" s="297"/>
      <c r="V742" s="297"/>
      <c r="W742" s="297"/>
      <c r="X742" s="297"/>
      <c r="Y742" s="297"/>
      <c r="Z742" s="297"/>
      <c r="AA742" s="297"/>
      <c r="AB742" s="297"/>
      <c r="AC742" s="297"/>
      <c r="AE742" s="297"/>
      <c r="AF742" s="297"/>
      <c r="AG742" s="297"/>
      <c r="AH742" s="297"/>
      <c r="AI742" s="297"/>
      <c r="AJ742" s="297"/>
      <c r="AK742" s="297"/>
      <c r="AL742" s="297"/>
      <c r="AM742" s="297"/>
      <c r="AO742" s="297"/>
      <c r="AP742" s="297"/>
      <c r="AQ742" s="297"/>
      <c r="AR742" s="297"/>
      <c r="AS742" s="297"/>
      <c r="AT742" s="297"/>
      <c r="AU742" s="297"/>
      <c r="AV742" s="297"/>
      <c r="AW742" s="297"/>
    </row>
    <row r="743" spans="1:49" x14ac:dyDescent="0.45">
      <c r="A743" s="295">
        <v>31959</v>
      </c>
      <c r="B743" s="12">
        <v>5.0700000000000002E-2</v>
      </c>
      <c r="C743" s="5">
        <v>-2.5000000000000005E-3</v>
      </c>
      <c r="D743" s="5">
        <v>7.3000000000000001E-3</v>
      </c>
      <c r="E743" s="5">
        <v>7.8500000000000011E-3</v>
      </c>
      <c r="F743" s="5">
        <v>8.0416666666666674E-3</v>
      </c>
      <c r="G743" s="5">
        <v>7.9458333333333343E-3</v>
      </c>
      <c r="H743" s="5">
        <v>8.445833333333333E-3</v>
      </c>
      <c r="I743" s="5">
        <f t="shared" si="121"/>
        <v>4.3400000000000001E-2</v>
      </c>
      <c r="J743" s="5">
        <f t="shared" si="125"/>
        <v>4.2754166666666669E-2</v>
      </c>
      <c r="K743" s="5">
        <f t="shared" si="126"/>
        <v>-1.0945833333333333E-2</v>
      </c>
      <c r="L743" s="8">
        <f t="shared" si="123"/>
        <v>0.39316021543734481</v>
      </c>
      <c r="M743" s="8">
        <f t="shared" si="124"/>
        <v>8.7599999999999997E-2</v>
      </c>
      <c r="N743" s="8">
        <f t="shared" si="116"/>
        <v>9.5350000000000018E-2</v>
      </c>
      <c r="O743" s="296">
        <f t="shared" si="122"/>
        <v>0.3055602154373448</v>
      </c>
      <c r="P743" s="8">
        <f t="shared" si="117"/>
        <v>0.29781021543734476</v>
      </c>
      <c r="Q743" s="8">
        <f t="shared" si="118"/>
        <v>4.5397822363700158E-2</v>
      </c>
      <c r="R743" s="8">
        <f t="shared" si="119"/>
        <v>0.10135</v>
      </c>
      <c r="S743" s="296">
        <f t="shared" si="120"/>
        <v>-5.5952177636299838E-2</v>
      </c>
      <c r="U743" s="297"/>
      <c r="V743" s="297"/>
      <c r="W743" s="297"/>
      <c r="X743" s="297"/>
      <c r="Y743" s="297"/>
      <c r="Z743" s="297"/>
      <c r="AA743" s="297"/>
      <c r="AB743" s="297"/>
      <c r="AC743" s="297"/>
      <c r="AE743" s="297"/>
      <c r="AF743" s="297"/>
      <c r="AG743" s="297"/>
      <c r="AH743" s="297"/>
      <c r="AI743" s="297"/>
      <c r="AJ743" s="297"/>
      <c r="AK743" s="297"/>
      <c r="AL743" s="297"/>
      <c r="AM743" s="297"/>
      <c r="AO743" s="297"/>
      <c r="AP743" s="297"/>
      <c r="AQ743" s="297"/>
      <c r="AR743" s="297"/>
      <c r="AS743" s="297"/>
      <c r="AT743" s="297"/>
      <c r="AU743" s="297"/>
      <c r="AV743" s="297"/>
      <c r="AW743" s="297"/>
    </row>
    <row r="744" spans="1:49" x14ac:dyDescent="0.45">
      <c r="A744" s="295">
        <v>31990</v>
      </c>
      <c r="B744" s="12">
        <v>3.73E-2</v>
      </c>
      <c r="C744" s="5">
        <v>5.2699999999999997E-2</v>
      </c>
      <c r="D744" s="5">
        <v>7.4999999999999997E-3</v>
      </c>
      <c r="E744" s="5">
        <v>8.0583333333333323E-3</v>
      </c>
      <c r="F744" s="5">
        <v>8.2166666666666673E-3</v>
      </c>
      <c r="G744" s="5">
        <v>8.1374999999999989E-3</v>
      </c>
      <c r="H744" s="5">
        <v>8.7027500000000004E-3</v>
      </c>
      <c r="I744" s="5">
        <f t="shared" si="121"/>
        <v>2.98E-2</v>
      </c>
      <c r="J744" s="5">
        <f t="shared" si="125"/>
        <v>2.9162500000000001E-2</v>
      </c>
      <c r="K744" s="5">
        <f t="shared" si="126"/>
        <v>4.3997249999999995E-2</v>
      </c>
      <c r="L744" s="8">
        <f t="shared" si="123"/>
        <v>0.34530356681545116</v>
      </c>
      <c r="M744" s="8">
        <f t="shared" si="124"/>
        <v>0.09</v>
      </c>
      <c r="N744" s="8">
        <f t="shared" ref="N744:N807" si="127">G744*12</f>
        <v>9.7649999999999987E-2</v>
      </c>
      <c r="O744" s="296">
        <f t="shared" si="122"/>
        <v>0.25530356681545119</v>
      </c>
      <c r="P744" s="8">
        <f t="shared" ref="P744:P807" si="128">L744-N744</f>
        <v>0.24765356681545117</v>
      </c>
      <c r="Q744" s="8">
        <f t="shared" ref="Q744:Q807" si="129">((1+C733)*(1+C734)*(1+C735)*(1+C736)*(1+C737)*(1+C738)*(1+C739)*(1+C740)*(1+C741)*(1+C742)*(1+C743)*(1+C744))-1</f>
        <v>1.1108312754746663E-2</v>
      </c>
      <c r="R744" s="8">
        <f t="shared" ref="R744:R807" si="130">H744*12</f>
        <v>0.104433</v>
      </c>
      <c r="S744" s="296">
        <f t="shared" ref="S744:S807" si="131">Q744-R744</f>
        <v>-9.3324687245253335E-2</v>
      </c>
      <c r="U744" s="297"/>
      <c r="V744" s="297"/>
      <c r="W744" s="297"/>
      <c r="X744" s="297"/>
      <c r="Y744" s="297"/>
      <c r="Z744" s="297"/>
      <c r="AA744" s="297"/>
      <c r="AB744" s="297"/>
      <c r="AC744" s="297"/>
      <c r="AE744" s="297"/>
      <c r="AF744" s="297"/>
      <c r="AG744" s="297"/>
      <c r="AH744" s="297"/>
      <c r="AI744" s="297"/>
      <c r="AJ744" s="297"/>
      <c r="AK744" s="297"/>
      <c r="AL744" s="297"/>
      <c r="AM744" s="297"/>
      <c r="AO744" s="297"/>
      <c r="AP744" s="297"/>
      <c r="AQ744" s="297"/>
      <c r="AR744" s="297"/>
      <c r="AS744" s="297"/>
      <c r="AT744" s="297"/>
      <c r="AU744" s="297"/>
      <c r="AV744" s="297"/>
      <c r="AW744" s="297"/>
    </row>
    <row r="745" spans="1:49" x14ac:dyDescent="0.45">
      <c r="A745" s="295">
        <v>32021</v>
      </c>
      <c r="B745" s="12">
        <v>-2.1899999999999999E-2</v>
      </c>
      <c r="C745" s="5">
        <v>2.0999999999999999E-3</v>
      </c>
      <c r="D745" s="5">
        <v>7.4999999999999997E-3</v>
      </c>
      <c r="E745" s="5">
        <v>8.4833333333333323E-3</v>
      </c>
      <c r="F745" s="5">
        <v>8.624999999999999E-3</v>
      </c>
      <c r="G745" s="5">
        <v>8.5541666666666665E-3</v>
      </c>
      <c r="H745" s="5">
        <v>9.3135000000000006E-3</v>
      </c>
      <c r="I745" s="5">
        <f t="shared" si="121"/>
        <v>-2.9399999999999999E-2</v>
      </c>
      <c r="J745" s="5">
        <f t="shared" si="125"/>
        <v>-3.0454166666666664E-2</v>
      </c>
      <c r="K745" s="5">
        <f t="shared" si="126"/>
        <v>-7.2135000000000012E-3</v>
      </c>
      <c r="L745" s="8">
        <f t="shared" si="123"/>
        <v>0.43447227592084703</v>
      </c>
      <c r="M745" s="8">
        <f t="shared" si="124"/>
        <v>0.09</v>
      </c>
      <c r="N745" s="8">
        <f t="shared" si="127"/>
        <v>0.10264999999999999</v>
      </c>
      <c r="O745" s="296">
        <f t="shared" si="122"/>
        <v>0.34447227592084706</v>
      </c>
      <c r="P745" s="8">
        <f t="shared" si="128"/>
        <v>0.33182227592084701</v>
      </c>
      <c r="Q745" s="8">
        <f t="shared" si="129"/>
        <v>0.14321520953574685</v>
      </c>
      <c r="R745" s="8">
        <f t="shared" si="130"/>
        <v>0.111762</v>
      </c>
      <c r="S745" s="296">
        <f t="shared" si="131"/>
        <v>3.1453209535746846E-2</v>
      </c>
      <c r="U745" s="297"/>
      <c r="V745" s="297"/>
      <c r="W745" s="297"/>
      <c r="X745" s="297"/>
      <c r="Y745" s="297"/>
      <c r="Z745" s="297"/>
      <c r="AA745" s="297"/>
      <c r="AB745" s="297"/>
      <c r="AC745" s="297"/>
      <c r="AE745" s="297"/>
      <c r="AF745" s="297"/>
      <c r="AG745" s="297"/>
      <c r="AH745" s="297"/>
      <c r="AI745" s="297"/>
      <c r="AJ745" s="297"/>
      <c r="AK745" s="297"/>
      <c r="AL745" s="297"/>
      <c r="AM745" s="297"/>
      <c r="AO745" s="297"/>
      <c r="AP745" s="297"/>
      <c r="AQ745" s="297"/>
      <c r="AR745" s="297"/>
      <c r="AS745" s="297"/>
      <c r="AT745" s="297"/>
      <c r="AU745" s="297"/>
      <c r="AV745" s="297"/>
      <c r="AW745" s="297"/>
    </row>
    <row r="746" spans="1:49" x14ac:dyDescent="0.45">
      <c r="A746" s="295">
        <v>32051</v>
      </c>
      <c r="B746" s="12">
        <v>-0.21540000000000001</v>
      </c>
      <c r="C746" s="5">
        <v>-7.0500000000000007E-2</v>
      </c>
      <c r="D746" s="5">
        <v>7.9000000000000008E-3</v>
      </c>
      <c r="E746" s="5">
        <v>8.7666666666666657E-3</v>
      </c>
      <c r="F746" s="5">
        <v>8.9499999999999996E-3</v>
      </c>
      <c r="G746" s="5">
        <v>8.8583333333333326E-3</v>
      </c>
      <c r="H746" s="5">
        <v>9.4654999999999982E-3</v>
      </c>
      <c r="I746" s="5">
        <f t="shared" si="121"/>
        <v>-0.2233</v>
      </c>
      <c r="J746" s="5">
        <f t="shared" si="125"/>
        <v>-0.22425833333333334</v>
      </c>
      <c r="K746" s="5">
        <f t="shared" si="126"/>
        <v>-7.9965500000000009E-2</v>
      </c>
      <c r="L746" s="8">
        <f t="shared" si="123"/>
        <v>6.4089011711729427E-2</v>
      </c>
      <c r="M746" s="8">
        <f t="shared" si="124"/>
        <v>9.4800000000000009E-2</v>
      </c>
      <c r="N746" s="8">
        <f t="shared" si="127"/>
        <v>0.10629999999999999</v>
      </c>
      <c r="O746" s="296">
        <f t="shared" si="122"/>
        <v>-3.0710988288270583E-2</v>
      </c>
      <c r="P746" s="8">
        <f t="shared" si="128"/>
        <v>-4.2210988288270565E-2</v>
      </c>
      <c r="Q746" s="8">
        <f t="shared" si="129"/>
        <v>1.153597074105317E-2</v>
      </c>
      <c r="R746" s="8">
        <f t="shared" si="130"/>
        <v>0.11358599999999998</v>
      </c>
      <c r="S746" s="296">
        <f t="shared" si="131"/>
        <v>-0.10205002925894681</v>
      </c>
      <c r="U746" s="297"/>
      <c r="V746" s="297"/>
      <c r="W746" s="297"/>
      <c r="X746" s="297"/>
      <c r="Y746" s="297"/>
      <c r="Z746" s="297"/>
      <c r="AA746" s="297"/>
      <c r="AB746" s="297"/>
      <c r="AC746" s="297"/>
      <c r="AE746" s="297"/>
      <c r="AF746" s="297"/>
      <c r="AG746" s="297"/>
      <c r="AH746" s="297"/>
      <c r="AI746" s="297"/>
      <c r="AJ746" s="297"/>
      <c r="AK746" s="297"/>
      <c r="AL746" s="297"/>
      <c r="AM746" s="297"/>
      <c r="AO746" s="297"/>
      <c r="AP746" s="297"/>
      <c r="AQ746" s="297"/>
      <c r="AR746" s="297"/>
      <c r="AS746" s="297"/>
      <c r="AT746" s="297"/>
      <c r="AU746" s="297"/>
      <c r="AV746" s="297"/>
      <c r="AW746" s="297"/>
    </row>
    <row r="747" spans="1:49" x14ac:dyDescent="0.45">
      <c r="A747" s="295">
        <v>32082</v>
      </c>
      <c r="B747" s="12">
        <v>-8.2400000000000001E-2</v>
      </c>
      <c r="C747" s="5">
        <v>-5.5499999999999987E-2</v>
      </c>
      <c r="D747" s="5">
        <v>7.4999999999999997E-3</v>
      </c>
      <c r="E747" s="5">
        <v>8.3416666666666656E-3</v>
      </c>
      <c r="F747" s="5">
        <v>8.5583333333333327E-3</v>
      </c>
      <c r="G747" s="5">
        <v>8.4499999999999992E-3</v>
      </c>
      <c r="H747" s="5">
        <v>9.0204166666666679E-3</v>
      </c>
      <c r="I747" s="5">
        <f t="shared" si="121"/>
        <v>-8.9900000000000008E-2</v>
      </c>
      <c r="J747" s="5">
        <f t="shared" si="125"/>
        <v>-9.085E-2</v>
      </c>
      <c r="K747" s="5">
        <f t="shared" si="126"/>
        <v>-6.452041666666665E-2</v>
      </c>
      <c r="L747" s="8">
        <f t="shared" si="123"/>
        <v>-4.675575793548481E-2</v>
      </c>
      <c r="M747" s="8">
        <f t="shared" si="124"/>
        <v>0.09</v>
      </c>
      <c r="N747" s="8">
        <f t="shared" si="127"/>
        <v>0.10139999999999999</v>
      </c>
      <c r="O747" s="296">
        <f t="shared" si="122"/>
        <v>-0.13675575793548481</v>
      </c>
      <c r="P747" s="8">
        <f t="shared" si="128"/>
        <v>-0.1481557579354848</v>
      </c>
      <c r="Q747" s="8">
        <f t="shared" si="129"/>
        <v>-6.4346563152556269E-2</v>
      </c>
      <c r="R747" s="8">
        <f t="shared" si="130"/>
        <v>0.10824500000000001</v>
      </c>
      <c r="S747" s="296">
        <f t="shared" si="131"/>
        <v>-0.17259156315255628</v>
      </c>
      <c r="U747" s="297"/>
      <c r="V747" s="297"/>
      <c r="W747" s="297"/>
      <c r="X747" s="297"/>
      <c r="Y747" s="297"/>
      <c r="Z747" s="297"/>
      <c r="AA747" s="297"/>
      <c r="AB747" s="297"/>
      <c r="AC747" s="297"/>
      <c r="AE747" s="297"/>
      <c r="AF747" s="297"/>
      <c r="AG747" s="297"/>
      <c r="AH747" s="297"/>
      <c r="AI747" s="297"/>
      <c r="AJ747" s="297"/>
      <c r="AK747" s="297"/>
      <c r="AL747" s="297"/>
      <c r="AM747" s="297"/>
      <c r="AO747" s="297"/>
      <c r="AP747" s="297"/>
      <c r="AQ747" s="297"/>
      <c r="AR747" s="297"/>
      <c r="AS747" s="297"/>
      <c r="AT747" s="297"/>
      <c r="AU747" s="297"/>
      <c r="AV747" s="297"/>
      <c r="AW747" s="297"/>
    </row>
    <row r="748" spans="1:49" x14ac:dyDescent="0.45">
      <c r="A748" s="295">
        <v>32112</v>
      </c>
      <c r="B748" s="12">
        <v>7.6100000000000001E-2</v>
      </c>
      <c r="C748" s="5">
        <v>1.0800000000000001E-2</v>
      </c>
      <c r="D748" s="5">
        <v>7.7999999999999988E-3</v>
      </c>
      <c r="E748" s="5">
        <v>8.4249999999999985E-3</v>
      </c>
      <c r="F748" s="5">
        <v>8.6083333333333342E-3</v>
      </c>
      <c r="G748" s="5">
        <v>8.5166666666666654E-3</v>
      </c>
      <c r="H748" s="5">
        <v>9.1140000000000006E-3</v>
      </c>
      <c r="I748" s="5">
        <f t="shared" si="121"/>
        <v>6.83E-2</v>
      </c>
      <c r="J748" s="5">
        <f t="shared" si="125"/>
        <v>6.7583333333333329E-2</v>
      </c>
      <c r="K748" s="5">
        <f t="shared" si="126"/>
        <v>1.686E-3</v>
      </c>
      <c r="L748" s="8">
        <f t="shared" si="123"/>
        <v>5.262814662455062E-2</v>
      </c>
      <c r="M748" s="8">
        <f t="shared" si="124"/>
        <v>9.3599999999999989E-2</v>
      </c>
      <c r="N748" s="8">
        <f t="shared" si="127"/>
        <v>0.10219999999999999</v>
      </c>
      <c r="O748" s="296">
        <f t="shared" si="122"/>
        <v>-4.0971853375449369E-2</v>
      </c>
      <c r="P748" s="8">
        <f t="shared" si="128"/>
        <v>-4.9571853375449365E-2</v>
      </c>
      <c r="Q748" s="8">
        <f t="shared" si="129"/>
        <v>-2.959317261912997E-2</v>
      </c>
      <c r="R748" s="8">
        <f t="shared" si="130"/>
        <v>0.10936800000000001</v>
      </c>
      <c r="S748" s="296">
        <f t="shared" si="131"/>
        <v>-0.13896117261912999</v>
      </c>
      <c r="U748" s="297"/>
      <c r="V748" s="297"/>
      <c r="W748" s="297"/>
      <c r="X748" s="297"/>
      <c r="Y748" s="297"/>
      <c r="Z748" s="297"/>
      <c r="AA748" s="297"/>
      <c r="AB748" s="297"/>
      <c r="AC748" s="297"/>
      <c r="AE748" s="297"/>
      <c r="AF748" s="297"/>
      <c r="AG748" s="297"/>
      <c r="AH748" s="297"/>
      <c r="AI748" s="297"/>
      <c r="AJ748" s="297"/>
      <c r="AK748" s="297"/>
      <c r="AL748" s="297"/>
      <c r="AM748" s="297"/>
      <c r="AO748" s="297"/>
      <c r="AP748" s="297"/>
      <c r="AQ748" s="297"/>
      <c r="AR748" s="297"/>
      <c r="AS748" s="297"/>
      <c r="AT748" s="297"/>
      <c r="AU748" s="297"/>
      <c r="AV748" s="297"/>
      <c r="AW748" s="297"/>
    </row>
    <row r="749" spans="1:49" x14ac:dyDescent="0.45">
      <c r="A749" s="295">
        <v>32143</v>
      </c>
      <c r="B749" s="12">
        <v>4.2099999999999999E-2</v>
      </c>
      <c r="C749" s="5">
        <v>0.1153</v>
      </c>
      <c r="D749" s="5">
        <v>7.1999999999999998E-3</v>
      </c>
      <c r="E749" s="5">
        <v>8.2333333333333338E-3</v>
      </c>
      <c r="F749" s="5">
        <v>8.4083333333333336E-3</v>
      </c>
      <c r="G749" s="5">
        <v>8.3208333333333329E-3</v>
      </c>
      <c r="H749" s="5">
        <v>8.9983333333333339E-3</v>
      </c>
      <c r="I749" s="5">
        <f t="shared" si="121"/>
        <v>3.49E-2</v>
      </c>
      <c r="J749" s="5">
        <f t="shared" si="125"/>
        <v>3.3779166666666666E-2</v>
      </c>
      <c r="K749" s="5">
        <f t="shared" si="126"/>
        <v>0.10630166666666667</v>
      </c>
      <c r="L749" s="8">
        <f t="shared" si="123"/>
        <v>-3.3274176789067966E-2</v>
      </c>
      <c r="M749" s="8">
        <f t="shared" si="124"/>
        <v>8.6400000000000005E-2</v>
      </c>
      <c r="N749" s="8">
        <f t="shared" si="127"/>
        <v>9.9849999999999994E-2</v>
      </c>
      <c r="O749" s="296">
        <f t="shared" si="122"/>
        <v>-0.11967417678906797</v>
      </c>
      <c r="P749" s="8">
        <f t="shared" si="128"/>
        <v>-0.13312417678906796</v>
      </c>
      <c r="Q749" s="8">
        <f t="shared" si="129"/>
        <v>-1.4662477623921588E-2</v>
      </c>
      <c r="R749" s="8">
        <f t="shared" si="130"/>
        <v>0.10798000000000001</v>
      </c>
      <c r="S749" s="296">
        <f t="shared" si="131"/>
        <v>-0.12264247762392159</v>
      </c>
      <c r="U749" s="297"/>
      <c r="V749" s="297"/>
      <c r="W749" s="297"/>
      <c r="X749" s="297"/>
      <c r="Y749" s="297"/>
      <c r="Z749" s="297"/>
      <c r="AA749" s="297"/>
      <c r="AB749" s="297"/>
      <c r="AC749" s="297"/>
      <c r="AE749" s="297"/>
      <c r="AF749" s="297"/>
      <c r="AG749" s="297"/>
      <c r="AH749" s="297"/>
      <c r="AI749" s="297"/>
      <c r="AJ749" s="297"/>
      <c r="AK749" s="297"/>
      <c r="AL749" s="297"/>
      <c r="AM749" s="297"/>
      <c r="AO749" s="297"/>
      <c r="AP749" s="297"/>
      <c r="AQ749" s="297"/>
      <c r="AR749" s="297"/>
      <c r="AS749" s="297"/>
      <c r="AT749" s="297"/>
      <c r="AU749" s="297"/>
      <c r="AV749" s="297"/>
      <c r="AW749" s="297"/>
    </row>
    <row r="750" spans="1:49" x14ac:dyDescent="0.45">
      <c r="A750" s="295">
        <v>32174</v>
      </c>
      <c r="B750" s="12">
        <v>4.6600000000000003E-2</v>
      </c>
      <c r="C750" s="5">
        <v>-1.7500000000000002E-2</v>
      </c>
      <c r="D750" s="5">
        <v>7.1000000000000004E-3</v>
      </c>
      <c r="E750" s="5">
        <v>7.8333333333333328E-3</v>
      </c>
      <c r="F750" s="5">
        <v>8.0000000000000002E-3</v>
      </c>
      <c r="G750" s="5">
        <v>7.9166666666666656E-3</v>
      </c>
      <c r="H750" s="5">
        <v>8.4295833333333341E-3</v>
      </c>
      <c r="I750" s="5">
        <f t="shared" si="121"/>
        <v>3.95E-2</v>
      </c>
      <c r="J750" s="5">
        <f t="shared" si="125"/>
        <v>3.8683333333333333E-2</v>
      </c>
      <c r="K750" s="5">
        <f t="shared" si="126"/>
        <v>-2.5929583333333336E-2</v>
      </c>
      <c r="L750" s="8">
        <f t="shared" si="123"/>
        <v>-2.6671239468435526E-2</v>
      </c>
      <c r="M750" s="8">
        <f t="shared" si="124"/>
        <v>8.5199999999999998E-2</v>
      </c>
      <c r="N750" s="8">
        <f t="shared" si="127"/>
        <v>9.4999999999999987E-2</v>
      </c>
      <c r="O750" s="296">
        <f t="shared" si="122"/>
        <v>-0.11187123946843552</v>
      </c>
      <c r="P750" s="8">
        <f t="shared" si="128"/>
        <v>-0.12167123946843551</v>
      </c>
      <c r="Q750" s="8">
        <f t="shared" si="129"/>
        <v>-1.8619283075606008E-3</v>
      </c>
      <c r="R750" s="8">
        <f t="shared" si="130"/>
        <v>0.10115500000000001</v>
      </c>
      <c r="S750" s="296">
        <f t="shared" si="131"/>
        <v>-0.10301692830756061</v>
      </c>
      <c r="U750" s="297"/>
      <c r="V750" s="297"/>
      <c r="W750" s="297"/>
      <c r="X750" s="297"/>
      <c r="Y750" s="297"/>
      <c r="Z750" s="297"/>
      <c r="AA750" s="297"/>
      <c r="AB750" s="297"/>
      <c r="AC750" s="297"/>
      <c r="AE750" s="297"/>
      <c r="AF750" s="297"/>
      <c r="AG750" s="297"/>
      <c r="AH750" s="297"/>
      <c r="AI750" s="297"/>
      <c r="AJ750" s="297"/>
      <c r="AK750" s="297"/>
      <c r="AL750" s="297"/>
      <c r="AM750" s="297"/>
      <c r="AO750" s="297"/>
      <c r="AP750" s="297"/>
      <c r="AQ750" s="297"/>
      <c r="AR750" s="297"/>
      <c r="AS750" s="297"/>
      <c r="AT750" s="297"/>
      <c r="AU750" s="297"/>
      <c r="AV750" s="297"/>
      <c r="AW750" s="297"/>
    </row>
    <row r="751" spans="1:49" x14ac:dyDescent="0.45">
      <c r="A751" s="295">
        <v>32203</v>
      </c>
      <c r="B751" s="12">
        <v>-3.09E-2</v>
      </c>
      <c r="C751" s="5">
        <v>-5.2699999999999997E-2</v>
      </c>
      <c r="D751" s="5">
        <v>7.1999999999999998E-3</v>
      </c>
      <c r="E751" s="5">
        <v>7.8250000000000004E-3</v>
      </c>
      <c r="F751" s="5">
        <v>7.9916666666666678E-3</v>
      </c>
      <c r="G751" s="5">
        <v>7.9083333333333332E-3</v>
      </c>
      <c r="H751" s="5">
        <v>8.3956666666666676E-3</v>
      </c>
      <c r="I751" s="5">
        <f t="shared" si="121"/>
        <v>-3.8100000000000002E-2</v>
      </c>
      <c r="J751" s="5">
        <f t="shared" si="125"/>
        <v>-3.8808333333333334E-2</v>
      </c>
      <c r="K751" s="5">
        <f t="shared" si="126"/>
        <v>-6.1095666666666666E-2</v>
      </c>
      <c r="L751" s="8">
        <f t="shared" si="123"/>
        <v>-8.3241421099096824E-2</v>
      </c>
      <c r="M751" s="8">
        <f t="shared" si="124"/>
        <v>8.6400000000000005E-2</v>
      </c>
      <c r="N751" s="8">
        <f t="shared" si="127"/>
        <v>9.4899999999999998E-2</v>
      </c>
      <c r="O751" s="296">
        <f t="shared" si="122"/>
        <v>-0.16964142109909683</v>
      </c>
      <c r="P751" s="8">
        <f t="shared" si="128"/>
        <v>-0.17814142109909681</v>
      </c>
      <c r="Q751" s="8">
        <f t="shared" si="129"/>
        <v>-3.6248909067120749E-2</v>
      </c>
      <c r="R751" s="8">
        <f t="shared" si="130"/>
        <v>0.100748</v>
      </c>
      <c r="S751" s="296">
        <f t="shared" si="131"/>
        <v>-0.13699690906712075</v>
      </c>
      <c r="U751" s="297"/>
      <c r="V751" s="297"/>
      <c r="W751" s="297"/>
      <c r="X751" s="297"/>
      <c r="Y751" s="297"/>
      <c r="Z751" s="297"/>
      <c r="AA751" s="297"/>
      <c r="AB751" s="297"/>
      <c r="AC751" s="297"/>
      <c r="AE751" s="297"/>
      <c r="AF751" s="297"/>
      <c r="AG751" s="297"/>
      <c r="AH751" s="297"/>
      <c r="AI751" s="297"/>
      <c r="AJ751" s="297"/>
      <c r="AK751" s="297"/>
      <c r="AL751" s="297"/>
      <c r="AM751" s="297"/>
      <c r="AO751" s="297"/>
      <c r="AP751" s="297"/>
      <c r="AQ751" s="297"/>
      <c r="AR751" s="297"/>
      <c r="AS751" s="297"/>
      <c r="AT751" s="297"/>
      <c r="AU751" s="297"/>
      <c r="AV751" s="297"/>
      <c r="AW751" s="297"/>
    </row>
    <row r="752" spans="1:49" x14ac:dyDescent="0.45">
      <c r="A752" s="295">
        <v>32234</v>
      </c>
      <c r="B752" s="12">
        <v>1.11E-2</v>
      </c>
      <c r="C752" s="5">
        <v>1.9000000000000006E-3</v>
      </c>
      <c r="D752" s="5">
        <v>7.000000000000001E-3</v>
      </c>
      <c r="E752" s="5">
        <v>8.0583333333333323E-3</v>
      </c>
      <c r="F752" s="5">
        <v>8.2166666666666673E-3</v>
      </c>
      <c r="G752" s="5">
        <v>8.1374999999999989E-3</v>
      </c>
      <c r="H752" s="5">
        <v>8.7683333333333328E-3</v>
      </c>
      <c r="I752" s="5">
        <f t="shared" si="121"/>
        <v>4.0999999999999995E-3</v>
      </c>
      <c r="J752" s="5">
        <f t="shared" si="125"/>
        <v>2.9625000000000016E-3</v>
      </c>
      <c r="K752" s="5">
        <f t="shared" si="126"/>
        <v>-6.8683333333333322E-3</v>
      </c>
      <c r="L752" s="8">
        <f t="shared" si="123"/>
        <v>-6.4741601123294412E-2</v>
      </c>
      <c r="M752" s="8">
        <f t="shared" si="124"/>
        <v>8.4000000000000019E-2</v>
      </c>
      <c r="N752" s="8">
        <f t="shared" si="127"/>
        <v>9.7649999999999987E-2</v>
      </c>
      <c r="O752" s="296">
        <f t="shared" si="122"/>
        <v>-0.14874160112329443</v>
      </c>
      <c r="P752" s="8">
        <f t="shared" si="128"/>
        <v>-0.1623916011232944</v>
      </c>
      <c r="Q752" s="8">
        <f t="shared" si="129"/>
        <v>7.2837659145126299E-3</v>
      </c>
      <c r="R752" s="8">
        <f t="shared" si="130"/>
        <v>0.10521999999999999</v>
      </c>
      <c r="S752" s="296">
        <f t="shared" si="131"/>
        <v>-9.7936234085487364E-2</v>
      </c>
      <c r="U752" s="297"/>
      <c r="V752" s="297"/>
      <c r="W752" s="297"/>
      <c r="X752" s="297"/>
      <c r="Y752" s="297"/>
      <c r="Z752" s="297"/>
      <c r="AA752" s="297"/>
      <c r="AB752" s="297"/>
      <c r="AC752" s="297"/>
      <c r="AE752" s="297"/>
      <c r="AF752" s="297"/>
      <c r="AG752" s="297"/>
      <c r="AH752" s="297"/>
      <c r="AI752" s="297"/>
      <c r="AJ752" s="297"/>
      <c r="AK752" s="297"/>
      <c r="AL752" s="297"/>
      <c r="AM752" s="297"/>
      <c r="AO752" s="297"/>
      <c r="AP752" s="297"/>
      <c r="AQ752" s="297"/>
      <c r="AR752" s="297"/>
      <c r="AS752" s="297"/>
      <c r="AT752" s="297"/>
      <c r="AU752" s="297"/>
      <c r="AV752" s="297"/>
      <c r="AW752" s="297"/>
    </row>
    <row r="753" spans="1:49" x14ac:dyDescent="0.45">
      <c r="A753" s="295">
        <v>32264</v>
      </c>
      <c r="B753" s="12">
        <v>8.6E-3</v>
      </c>
      <c r="C753" s="5">
        <v>4.5999999999999999E-2</v>
      </c>
      <c r="D753" s="5">
        <v>7.7999999999999988E-3</v>
      </c>
      <c r="E753" s="5">
        <v>8.2500000000000004E-3</v>
      </c>
      <c r="F753" s="5">
        <v>8.416666666666666E-3</v>
      </c>
      <c r="G753" s="5">
        <v>8.3333333333333332E-3</v>
      </c>
      <c r="H753" s="5">
        <v>8.9932500000000012E-3</v>
      </c>
      <c r="I753" s="5">
        <f t="shared" si="121"/>
        <v>8.0000000000000123E-4</v>
      </c>
      <c r="J753" s="5">
        <f t="shared" si="125"/>
        <v>2.6666666666666679E-4</v>
      </c>
      <c r="K753" s="5">
        <f t="shared" si="126"/>
        <v>3.7006749999999998E-2</v>
      </c>
      <c r="L753" s="8">
        <f t="shared" si="123"/>
        <v>-6.4834320306289772E-2</v>
      </c>
      <c r="M753" s="8">
        <f t="shared" si="124"/>
        <v>9.3599999999999989E-2</v>
      </c>
      <c r="N753" s="8">
        <f t="shared" si="127"/>
        <v>0.1</v>
      </c>
      <c r="O753" s="296">
        <f t="shared" si="122"/>
        <v>-0.15843432030628976</v>
      </c>
      <c r="P753" s="8">
        <f t="shared" si="128"/>
        <v>-0.16483432030628978</v>
      </c>
      <c r="Q753" s="8">
        <f t="shared" si="129"/>
        <v>6.0405413794867302E-2</v>
      </c>
      <c r="R753" s="8">
        <f t="shared" si="130"/>
        <v>0.10791900000000001</v>
      </c>
      <c r="S753" s="296">
        <f t="shared" si="131"/>
        <v>-4.7513586205132713E-2</v>
      </c>
      <c r="U753" s="297"/>
      <c r="V753" s="297"/>
      <c r="W753" s="297"/>
      <c r="X753" s="297"/>
      <c r="Y753" s="297"/>
      <c r="Z753" s="297"/>
      <c r="AA753" s="297"/>
      <c r="AB753" s="297"/>
      <c r="AC753" s="297"/>
      <c r="AE753" s="297"/>
      <c r="AF753" s="297"/>
      <c r="AG753" s="297"/>
      <c r="AH753" s="297"/>
      <c r="AI753" s="297"/>
      <c r="AJ753" s="297"/>
      <c r="AK753" s="297"/>
      <c r="AL753" s="297"/>
      <c r="AM753" s="297"/>
      <c r="AO753" s="297"/>
      <c r="AP753" s="297"/>
      <c r="AQ753" s="297"/>
      <c r="AR753" s="297"/>
      <c r="AS753" s="297"/>
      <c r="AT753" s="297"/>
      <c r="AU753" s="297"/>
      <c r="AV753" s="297"/>
      <c r="AW753" s="297"/>
    </row>
    <row r="754" spans="1:49" x14ac:dyDescent="0.45">
      <c r="A754" s="295">
        <v>32295</v>
      </c>
      <c r="B754" s="12">
        <v>4.5900000000000003E-2</v>
      </c>
      <c r="C754" s="5">
        <v>3.15E-2</v>
      </c>
      <c r="D754" s="5">
        <v>7.6E-3</v>
      </c>
      <c r="E754" s="5">
        <v>8.2166666666666673E-3</v>
      </c>
      <c r="F754" s="5">
        <v>8.4416666666666668E-3</v>
      </c>
      <c r="G754" s="5">
        <v>8.329166666666667E-3</v>
      </c>
      <c r="H754" s="5">
        <v>9.0045833333333332E-3</v>
      </c>
      <c r="I754" s="5">
        <f t="shared" si="121"/>
        <v>3.8300000000000001E-2</v>
      </c>
      <c r="J754" s="5">
        <f t="shared" si="125"/>
        <v>3.7570833333333338E-2</v>
      </c>
      <c r="K754" s="5">
        <f t="shared" si="126"/>
        <v>2.2495416666666667E-2</v>
      </c>
      <c r="L754" s="8">
        <f t="shared" si="123"/>
        <v>-6.8929286633363507E-2</v>
      </c>
      <c r="M754" s="8">
        <f t="shared" si="124"/>
        <v>9.1200000000000003E-2</v>
      </c>
      <c r="N754" s="8">
        <f t="shared" si="127"/>
        <v>9.9950000000000011E-2</v>
      </c>
      <c r="O754" s="296">
        <f t="shared" si="122"/>
        <v>-0.16012928663336351</v>
      </c>
      <c r="P754" s="8">
        <f t="shared" si="128"/>
        <v>-0.16887928663336352</v>
      </c>
      <c r="Q754" s="8">
        <f t="shared" si="129"/>
        <v>4.7809353701892432E-2</v>
      </c>
      <c r="R754" s="8">
        <f t="shared" si="130"/>
        <v>0.108055</v>
      </c>
      <c r="S754" s="296">
        <f t="shared" si="131"/>
        <v>-6.0245646298107566E-2</v>
      </c>
      <c r="U754" s="297"/>
      <c r="V754" s="297"/>
      <c r="W754" s="297"/>
      <c r="X754" s="297"/>
      <c r="Y754" s="297"/>
      <c r="Z754" s="297"/>
      <c r="AA754" s="297"/>
      <c r="AB754" s="297"/>
      <c r="AC754" s="297"/>
      <c r="AE754" s="297"/>
      <c r="AF754" s="297"/>
      <c r="AG754" s="297"/>
      <c r="AH754" s="297"/>
      <c r="AI754" s="297"/>
      <c r="AJ754" s="297"/>
      <c r="AK754" s="297"/>
      <c r="AL754" s="297"/>
      <c r="AM754" s="297"/>
      <c r="AO754" s="297"/>
      <c r="AP754" s="297"/>
      <c r="AQ754" s="297"/>
      <c r="AR754" s="297"/>
      <c r="AS754" s="297"/>
      <c r="AT754" s="297"/>
      <c r="AU754" s="297"/>
      <c r="AV754" s="297"/>
      <c r="AW754" s="297"/>
    </row>
    <row r="755" spans="1:49" x14ac:dyDescent="0.45">
      <c r="A755" s="295">
        <v>32325</v>
      </c>
      <c r="B755" s="12">
        <v>-3.8E-3</v>
      </c>
      <c r="C755" s="5">
        <v>1.6999999999999993E-3</v>
      </c>
      <c r="D755" s="5">
        <v>7.1000000000000004E-3</v>
      </c>
      <c r="E755" s="5">
        <v>8.3000000000000001E-3</v>
      </c>
      <c r="F755" s="5">
        <v>8.5500000000000003E-3</v>
      </c>
      <c r="G755" s="5">
        <v>8.4250000000000002E-3</v>
      </c>
      <c r="H755" s="5">
        <v>9.1866666666666659E-3</v>
      </c>
      <c r="I755" s="5">
        <f t="shared" si="121"/>
        <v>-1.09E-2</v>
      </c>
      <c r="J755" s="5">
        <f t="shared" si="125"/>
        <v>-1.2225E-2</v>
      </c>
      <c r="K755" s="5">
        <f t="shared" si="126"/>
        <v>-7.4866666666666666E-3</v>
      </c>
      <c r="L755" s="8">
        <f t="shared" si="123"/>
        <v>-0.11722409378905185</v>
      </c>
      <c r="M755" s="8">
        <f t="shared" si="124"/>
        <v>8.5199999999999998E-2</v>
      </c>
      <c r="N755" s="8">
        <f t="shared" si="127"/>
        <v>0.1011</v>
      </c>
      <c r="O755" s="296">
        <f t="shared" si="122"/>
        <v>-0.20242409378905185</v>
      </c>
      <c r="P755" s="8">
        <f t="shared" si="128"/>
        <v>-0.21832409378905185</v>
      </c>
      <c r="Q755" s="8">
        <f t="shared" si="129"/>
        <v>5.2221182559584634E-2</v>
      </c>
      <c r="R755" s="8">
        <f t="shared" si="130"/>
        <v>0.11023999999999999</v>
      </c>
      <c r="S755" s="296">
        <f t="shared" si="131"/>
        <v>-5.8018817440415357E-2</v>
      </c>
      <c r="U755" s="297"/>
      <c r="V755" s="297"/>
      <c r="W755" s="297"/>
      <c r="X755" s="297"/>
      <c r="Y755" s="297"/>
      <c r="Z755" s="297"/>
      <c r="AA755" s="297"/>
      <c r="AB755" s="297"/>
      <c r="AC755" s="297"/>
      <c r="AE755" s="297"/>
      <c r="AF755" s="297"/>
      <c r="AG755" s="297"/>
      <c r="AH755" s="297"/>
      <c r="AI755" s="297"/>
      <c r="AJ755" s="297"/>
      <c r="AK755" s="297"/>
      <c r="AL755" s="297"/>
      <c r="AM755" s="297"/>
      <c r="AO755" s="297"/>
      <c r="AP755" s="297"/>
      <c r="AQ755" s="297"/>
      <c r="AR755" s="297"/>
      <c r="AS755" s="297"/>
      <c r="AT755" s="297"/>
      <c r="AU755" s="297"/>
      <c r="AV755" s="297"/>
      <c r="AW755" s="297"/>
    </row>
    <row r="756" spans="1:49" x14ac:dyDescent="0.45">
      <c r="A756" s="295">
        <v>32356</v>
      </c>
      <c r="B756" s="12">
        <v>-3.39E-2</v>
      </c>
      <c r="C756" s="5">
        <v>-1.37E-2</v>
      </c>
      <c r="D756" s="5">
        <v>8.3000000000000001E-3</v>
      </c>
      <c r="E756" s="5">
        <v>8.4249999999999985E-3</v>
      </c>
      <c r="F756" s="5">
        <v>8.6416666666666656E-3</v>
      </c>
      <c r="G756" s="5">
        <v>8.533333333333332E-3</v>
      </c>
      <c r="H756" s="5">
        <v>9.3080000000000003E-3</v>
      </c>
      <c r="I756" s="5">
        <f t="shared" si="121"/>
        <v>-4.2200000000000001E-2</v>
      </c>
      <c r="J756" s="5">
        <f t="shared" si="125"/>
        <v>-4.243333333333333E-2</v>
      </c>
      <c r="K756" s="5">
        <f t="shared" si="126"/>
        <v>-2.3008000000000001E-2</v>
      </c>
      <c r="L756" s="8">
        <f t="shared" si="123"/>
        <v>-0.17781760051055917</v>
      </c>
      <c r="M756" s="8">
        <f t="shared" si="124"/>
        <v>9.9599999999999994E-2</v>
      </c>
      <c r="N756" s="8">
        <f t="shared" si="127"/>
        <v>0.10239999999999999</v>
      </c>
      <c r="O756" s="296">
        <f t="shared" si="122"/>
        <v>-0.27741760051055919</v>
      </c>
      <c r="P756" s="8">
        <f t="shared" si="128"/>
        <v>-0.28021760051055916</v>
      </c>
      <c r="Q756" s="8">
        <f t="shared" si="129"/>
        <v>-1.414861559939351E-2</v>
      </c>
      <c r="R756" s="8">
        <f t="shared" si="130"/>
        <v>0.111696</v>
      </c>
      <c r="S756" s="296">
        <f t="shared" si="131"/>
        <v>-0.12584461559939353</v>
      </c>
      <c r="U756" s="297"/>
      <c r="V756" s="297"/>
      <c r="W756" s="297"/>
      <c r="X756" s="297"/>
      <c r="Y756" s="297"/>
      <c r="Z756" s="297"/>
      <c r="AA756" s="297"/>
      <c r="AB756" s="297"/>
      <c r="AC756" s="297"/>
      <c r="AE756" s="297"/>
      <c r="AF756" s="297"/>
      <c r="AG756" s="297"/>
      <c r="AH756" s="297"/>
      <c r="AI756" s="297"/>
      <c r="AJ756" s="297"/>
      <c r="AK756" s="297"/>
      <c r="AL756" s="297"/>
      <c r="AM756" s="297"/>
      <c r="AO756" s="297"/>
      <c r="AP756" s="297"/>
      <c r="AQ756" s="297"/>
      <c r="AR756" s="297"/>
      <c r="AS756" s="297"/>
      <c r="AT756" s="297"/>
      <c r="AU756" s="297"/>
      <c r="AV756" s="297"/>
      <c r="AW756" s="297"/>
    </row>
    <row r="757" spans="1:49" x14ac:dyDescent="0.45">
      <c r="A757" s="295">
        <v>32387</v>
      </c>
      <c r="B757" s="12">
        <v>4.2599999999999999E-2</v>
      </c>
      <c r="C757" s="5">
        <v>4.1299999999999996E-2</v>
      </c>
      <c r="D757" s="5">
        <v>7.6E-3</v>
      </c>
      <c r="E757" s="5">
        <v>8.1833333333333341E-3</v>
      </c>
      <c r="F757" s="5">
        <v>8.3833333333333329E-3</v>
      </c>
      <c r="G757" s="5">
        <v>8.2833333333333335E-3</v>
      </c>
      <c r="H757" s="5">
        <v>8.8885000000000006E-3</v>
      </c>
      <c r="I757" s="5">
        <f t="shared" si="121"/>
        <v>3.4999999999999996E-2</v>
      </c>
      <c r="J757" s="5">
        <f t="shared" si="125"/>
        <v>3.4316666666666662E-2</v>
      </c>
      <c r="K757" s="5">
        <f t="shared" si="126"/>
        <v>3.2411499999999996E-2</v>
      </c>
      <c r="L757" s="8">
        <f t="shared" si="123"/>
        <v>-0.12359945843196918</v>
      </c>
      <c r="M757" s="8">
        <f t="shared" si="124"/>
        <v>9.1200000000000003E-2</v>
      </c>
      <c r="N757" s="8">
        <f t="shared" si="127"/>
        <v>9.9400000000000002E-2</v>
      </c>
      <c r="O757" s="296">
        <f t="shared" si="122"/>
        <v>-0.21479945843196918</v>
      </c>
      <c r="P757" s="8">
        <f t="shared" si="128"/>
        <v>-0.22299945843196917</v>
      </c>
      <c r="Q757" s="8">
        <f t="shared" si="129"/>
        <v>2.4415773452101996E-2</v>
      </c>
      <c r="R757" s="8">
        <f t="shared" si="130"/>
        <v>0.10666200000000001</v>
      </c>
      <c r="S757" s="296">
        <f t="shared" si="131"/>
        <v>-8.224622654789801E-2</v>
      </c>
      <c r="U757" s="297"/>
      <c r="V757" s="297"/>
      <c r="W757" s="297"/>
      <c r="X757" s="297"/>
      <c r="Y757" s="297"/>
      <c r="Z757" s="297"/>
      <c r="AA757" s="297"/>
      <c r="AB757" s="297"/>
      <c r="AC757" s="297"/>
      <c r="AE757" s="297"/>
      <c r="AF757" s="297"/>
      <c r="AG757" s="297"/>
      <c r="AH757" s="297"/>
      <c r="AI757" s="297"/>
      <c r="AJ757" s="297"/>
      <c r="AK757" s="297"/>
      <c r="AL757" s="297"/>
      <c r="AM757" s="297"/>
      <c r="AO757" s="297"/>
      <c r="AP757" s="297"/>
      <c r="AQ757" s="297"/>
      <c r="AR757" s="297"/>
      <c r="AS757" s="297"/>
      <c r="AT757" s="297"/>
      <c r="AU757" s="297"/>
      <c r="AV757" s="297"/>
      <c r="AW757" s="297"/>
    </row>
    <row r="758" spans="1:49" x14ac:dyDescent="0.45">
      <c r="A758" s="295">
        <v>32417</v>
      </c>
      <c r="B758" s="12">
        <v>2.7799999999999998E-2</v>
      </c>
      <c r="C758" s="5">
        <v>2.6199999999999998E-2</v>
      </c>
      <c r="D758" s="5">
        <v>7.6E-3</v>
      </c>
      <c r="E758" s="5">
        <v>7.9166666666666656E-3</v>
      </c>
      <c r="F758" s="5">
        <v>8.083333333333333E-3</v>
      </c>
      <c r="G758" s="5">
        <v>8.0000000000000002E-3</v>
      </c>
      <c r="H758" s="5">
        <v>8.3178333333333351E-3</v>
      </c>
      <c r="I758" s="5">
        <f t="shared" si="121"/>
        <v>2.0199999999999999E-2</v>
      </c>
      <c r="J758" s="5">
        <f t="shared" si="125"/>
        <v>1.9799999999999998E-2</v>
      </c>
      <c r="K758" s="5">
        <f t="shared" si="126"/>
        <v>1.7882166666666664E-2</v>
      </c>
      <c r="L758" s="8">
        <f t="shared" si="123"/>
        <v>0.14805566737652609</v>
      </c>
      <c r="M758" s="8">
        <f t="shared" si="124"/>
        <v>9.1200000000000003E-2</v>
      </c>
      <c r="N758" s="8">
        <f t="shared" si="127"/>
        <v>9.6000000000000002E-2</v>
      </c>
      <c r="O758" s="296">
        <f t="shared" si="122"/>
        <v>5.6855667376526087E-2</v>
      </c>
      <c r="P758" s="8">
        <f t="shared" si="128"/>
        <v>5.2055667376526088E-2</v>
      </c>
      <c r="Q758" s="8">
        <f t="shared" si="129"/>
        <v>0.13099028156702208</v>
      </c>
      <c r="R758" s="8">
        <f t="shared" si="130"/>
        <v>9.9814000000000014E-2</v>
      </c>
      <c r="S758" s="296">
        <f t="shared" si="131"/>
        <v>3.1176281567022068E-2</v>
      </c>
      <c r="U758" s="297"/>
      <c r="V758" s="297"/>
      <c r="W758" s="297"/>
      <c r="X758" s="297"/>
      <c r="Y758" s="297"/>
      <c r="Z758" s="297"/>
      <c r="AA758" s="297"/>
      <c r="AB758" s="297"/>
      <c r="AC758" s="297"/>
      <c r="AE758" s="297"/>
      <c r="AF758" s="297"/>
      <c r="AG758" s="297"/>
      <c r="AH758" s="297"/>
      <c r="AI758" s="297"/>
      <c r="AJ758" s="297"/>
      <c r="AK758" s="297"/>
      <c r="AL758" s="297"/>
      <c r="AM758" s="297"/>
      <c r="AO758" s="297"/>
      <c r="AP758" s="297"/>
      <c r="AQ758" s="297"/>
      <c r="AR758" s="297"/>
      <c r="AS758" s="297"/>
      <c r="AT758" s="297"/>
      <c r="AU758" s="297"/>
      <c r="AV758" s="297"/>
      <c r="AW758" s="297"/>
    </row>
    <row r="759" spans="1:49" x14ac:dyDescent="0.45">
      <c r="A759" s="295">
        <v>32448</v>
      </c>
      <c r="B759" s="12">
        <v>-1.43E-2</v>
      </c>
      <c r="C759" s="5">
        <v>-7.899999999999999E-3</v>
      </c>
      <c r="D759" s="5">
        <v>7.000000000000001E-3</v>
      </c>
      <c r="E759" s="5">
        <v>7.8750000000000001E-3</v>
      </c>
      <c r="F759" s="5">
        <v>8.1000000000000013E-3</v>
      </c>
      <c r="G759" s="5">
        <v>7.9875000000000015E-3</v>
      </c>
      <c r="H759" s="5">
        <v>8.241666666666668E-3</v>
      </c>
      <c r="I759" s="5">
        <f t="shared" si="121"/>
        <v>-2.1299999999999999E-2</v>
      </c>
      <c r="J759" s="5">
        <f t="shared" si="125"/>
        <v>-2.2287500000000002E-2</v>
      </c>
      <c r="K759" s="5">
        <f t="shared" si="126"/>
        <v>-1.6141666666666665E-2</v>
      </c>
      <c r="L759" s="8">
        <f t="shared" si="123"/>
        <v>0.23325901409442218</v>
      </c>
      <c r="M759" s="8">
        <f t="shared" si="124"/>
        <v>8.4000000000000019E-2</v>
      </c>
      <c r="N759" s="8">
        <f t="shared" si="127"/>
        <v>9.5850000000000019E-2</v>
      </c>
      <c r="O759" s="296">
        <f t="shared" si="122"/>
        <v>0.14925901409442216</v>
      </c>
      <c r="P759" s="8">
        <f t="shared" si="128"/>
        <v>0.13740901409442216</v>
      </c>
      <c r="Q759" s="8">
        <f t="shared" si="129"/>
        <v>0.18798883890168594</v>
      </c>
      <c r="R759" s="8">
        <f t="shared" si="130"/>
        <v>9.8900000000000016E-2</v>
      </c>
      <c r="S759" s="296">
        <f t="shared" si="131"/>
        <v>8.9088838901685924E-2</v>
      </c>
      <c r="U759" s="297"/>
      <c r="V759" s="297"/>
      <c r="W759" s="297"/>
      <c r="X759" s="297"/>
      <c r="Y759" s="297"/>
      <c r="Z759" s="297"/>
      <c r="AA759" s="297"/>
      <c r="AB759" s="297"/>
      <c r="AC759" s="297"/>
      <c r="AE759" s="297"/>
      <c r="AF759" s="297"/>
      <c r="AG759" s="297"/>
      <c r="AH759" s="297"/>
      <c r="AI759" s="297"/>
      <c r="AJ759" s="297"/>
      <c r="AK759" s="297"/>
      <c r="AL759" s="297"/>
      <c r="AM759" s="297"/>
      <c r="AO759" s="297"/>
      <c r="AP759" s="297"/>
      <c r="AQ759" s="297"/>
      <c r="AR759" s="297"/>
      <c r="AS759" s="297"/>
      <c r="AT759" s="297"/>
      <c r="AU759" s="297"/>
      <c r="AV759" s="297"/>
      <c r="AW759" s="297"/>
    </row>
    <row r="760" spans="1:49" x14ac:dyDescent="0.45">
      <c r="A760" s="295">
        <v>32478</v>
      </c>
      <c r="B760" s="12">
        <v>1.7399999999999999E-2</v>
      </c>
      <c r="C760" s="5">
        <v>6.3E-3</v>
      </c>
      <c r="D760" s="5">
        <v>7.4999999999999997E-3</v>
      </c>
      <c r="E760" s="5">
        <v>7.9749999999999995E-3</v>
      </c>
      <c r="F760" s="5">
        <v>8.175E-3</v>
      </c>
      <c r="G760" s="5">
        <v>8.0750000000000006E-3</v>
      </c>
      <c r="H760" s="5">
        <v>8.3765833333333331E-3</v>
      </c>
      <c r="I760" s="5">
        <f t="shared" si="121"/>
        <v>9.8999999999999991E-3</v>
      </c>
      <c r="J760" s="5">
        <f t="shared" si="125"/>
        <v>9.3249999999999982E-3</v>
      </c>
      <c r="K760" s="5">
        <f t="shared" si="126"/>
        <v>-2.0765833333333331E-3</v>
      </c>
      <c r="L760" s="8">
        <f t="shared" si="123"/>
        <v>0.16598617316203401</v>
      </c>
      <c r="M760" s="8">
        <f t="shared" si="124"/>
        <v>0.09</v>
      </c>
      <c r="N760" s="8">
        <f t="shared" si="127"/>
        <v>9.6900000000000014E-2</v>
      </c>
      <c r="O760" s="296">
        <f t="shared" si="122"/>
        <v>7.5986173162034015E-2</v>
      </c>
      <c r="P760" s="8">
        <f t="shared" si="128"/>
        <v>6.9086173162033998E-2</v>
      </c>
      <c r="Q760" s="8">
        <f t="shared" si="129"/>
        <v>0.18270000849502033</v>
      </c>
      <c r="R760" s="8">
        <f t="shared" si="130"/>
        <v>0.100519</v>
      </c>
      <c r="S760" s="296">
        <f t="shared" si="131"/>
        <v>8.218100849502033E-2</v>
      </c>
      <c r="U760" s="297"/>
      <c r="V760" s="297"/>
      <c r="W760" s="297"/>
      <c r="X760" s="297"/>
      <c r="Y760" s="297"/>
      <c r="Z760" s="297"/>
      <c r="AA760" s="297"/>
      <c r="AB760" s="297"/>
      <c r="AC760" s="297"/>
      <c r="AE760" s="297"/>
      <c r="AF760" s="297"/>
      <c r="AG760" s="297"/>
      <c r="AH760" s="297"/>
      <c r="AI760" s="297"/>
      <c r="AJ760" s="297"/>
      <c r="AK760" s="297"/>
      <c r="AL760" s="297"/>
      <c r="AM760" s="297"/>
      <c r="AO760" s="297"/>
      <c r="AP760" s="297"/>
      <c r="AQ760" s="297"/>
      <c r="AR760" s="297"/>
      <c r="AS760" s="297"/>
      <c r="AT760" s="297"/>
      <c r="AU760" s="297"/>
      <c r="AV760" s="297"/>
      <c r="AW760" s="297"/>
    </row>
    <row r="761" spans="1:49" x14ac:dyDescent="0.45">
      <c r="A761" s="295">
        <v>32509</v>
      </c>
      <c r="B761" s="12">
        <v>7.3200000000000001E-2</v>
      </c>
      <c r="C761" s="5">
        <v>5.7100000000000012E-2</v>
      </c>
      <c r="D761" s="5">
        <v>8.0000000000000002E-3</v>
      </c>
      <c r="E761" s="5">
        <v>8.0166666666666667E-3</v>
      </c>
      <c r="F761" s="5">
        <v>8.175E-3</v>
      </c>
      <c r="G761" s="5">
        <v>8.0958333333333334E-3</v>
      </c>
      <c r="H761" s="5">
        <v>8.404E-3</v>
      </c>
      <c r="I761" s="5">
        <f t="shared" si="121"/>
        <v>6.5200000000000008E-2</v>
      </c>
      <c r="J761" s="5">
        <f t="shared" si="125"/>
        <v>6.5104166666666671E-2</v>
      </c>
      <c r="K761" s="5">
        <f t="shared" si="126"/>
        <v>4.869600000000001E-2</v>
      </c>
      <c r="L761" s="8">
        <f t="shared" si="123"/>
        <v>0.20078338070962021</v>
      </c>
      <c r="M761" s="8">
        <f t="shared" si="124"/>
        <v>9.6000000000000002E-2</v>
      </c>
      <c r="N761" s="8">
        <f t="shared" si="127"/>
        <v>9.715E-2</v>
      </c>
      <c r="O761" s="296">
        <f t="shared" si="122"/>
        <v>0.10478338070962021</v>
      </c>
      <c r="P761" s="8">
        <f t="shared" si="128"/>
        <v>0.10363338070962021</v>
      </c>
      <c r="Q761" s="8">
        <f t="shared" si="129"/>
        <v>0.12098285571602796</v>
      </c>
      <c r="R761" s="8">
        <f t="shared" si="130"/>
        <v>0.10084799999999999</v>
      </c>
      <c r="S761" s="296">
        <f t="shared" si="131"/>
        <v>2.0134855716027966E-2</v>
      </c>
      <c r="U761" s="297"/>
      <c r="V761" s="297"/>
      <c r="W761" s="297"/>
      <c r="X761" s="297"/>
      <c r="Y761" s="297"/>
      <c r="Z761" s="297"/>
      <c r="AA761" s="297"/>
      <c r="AB761" s="297"/>
      <c r="AC761" s="297"/>
      <c r="AE761" s="297"/>
      <c r="AF761" s="297"/>
      <c r="AG761" s="297"/>
      <c r="AH761" s="297"/>
      <c r="AI761" s="297"/>
      <c r="AJ761" s="297"/>
      <c r="AK761" s="297"/>
      <c r="AL761" s="297"/>
      <c r="AM761" s="297"/>
      <c r="AO761" s="297"/>
      <c r="AP761" s="297"/>
      <c r="AQ761" s="297"/>
      <c r="AR761" s="297"/>
      <c r="AS761" s="297"/>
      <c r="AT761" s="297"/>
      <c r="AU761" s="297"/>
      <c r="AV761" s="297"/>
      <c r="AW761" s="297"/>
    </row>
    <row r="762" spans="1:49" x14ac:dyDescent="0.45">
      <c r="A762" s="295">
        <v>32540</v>
      </c>
      <c r="B762" s="12">
        <v>-2.4899999999999999E-2</v>
      </c>
      <c r="C762" s="5">
        <v>-2.1499999999999998E-2</v>
      </c>
      <c r="D762" s="5">
        <v>6.8999999999999999E-3</v>
      </c>
      <c r="E762" s="5">
        <v>8.0333333333333333E-3</v>
      </c>
      <c r="F762" s="5">
        <v>8.1916666666666665E-3</v>
      </c>
      <c r="G762" s="5">
        <v>8.1124999999999999E-3</v>
      </c>
      <c r="H762" s="5">
        <v>8.382916666666667E-3</v>
      </c>
      <c r="I762" s="5">
        <f t="shared" si="121"/>
        <v>-3.1799999999999995E-2</v>
      </c>
      <c r="J762" s="5">
        <f t="shared" si="125"/>
        <v>-3.30125E-2</v>
      </c>
      <c r="K762" s="5">
        <f t="shared" si="126"/>
        <v>-2.9882916666666665E-2</v>
      </c>
      <c r="L762" s="8">
        <f t="shared" si="123"/>
        <v>0.11875011898523802</v>
      </c>
      <c r="M762" s="8">
        <f t="shared" si="124"/>
        <v>8.2799999999999999E-2</v>
      </c>
      <c r="N762" s="8">
        <f t="shared" si="127"/>
        <v>9.7349999999999992E-2</v>
      </c>
      <c r="O762" s="296">
        <f t="shared" si="122"/>
        <v>3.5950118985238019E-2</v>
      </c>
      <c r="P762" s="8">
        <f t="shared" si="128"/>
        <v>2.1400118985238026E-2</v>
      </c>
      <c r="Q762" s="8">
        <f t="shared" si="129"/>
        <v>0.1164190578301616</v>
      </c>
      <c r="R762" s="8">
        <f t="shared" si="130"/>
        <v>0.100595</v>
      </c>
      <c r="S762" s="296">
        <f t="shared" si="131"/>
        <v>1.5824057830161595E-2</v>
      </c>
      <c r="U762" s="297"/>
      <c r="V762" s="297"/>
      <c r="W762" s="297"/>
      <c r="X762" s="297"/>
      <c r="Y762" s="297"/>
      <c r="Z762" s="297"/>
      <c r="AA762" s="297"/>
      <c r="AB762" s="297"/>
      <c r="AC762" s="297"/>
      <c r="AE762" s="297"/>
      <c r="AF762" s="297"/>
      <c r="AG762" s="297"/>
      <c r="AH762" s="297"/>
      <c r="AI762" s="297"/>
      <c r="AJ762" s="297"/>
      <c r="AK762" s="297"/>
      <c r="AL762" s="297"/>
      <c r="AM762" s="297"/>
      <c r="AO762" s="297"/>
      <c r="AP762" s="297"/>
      <c r="AQ762" s="297"/>
      <c r="AR762" s="297"/>
      <c r="AS762" s="297"/>
      <c r="AT762" s="297"/>
      <c r="AU762" s="297"/>
      <c r="AV762" s="297"/>
      <c r="AW762" s="297"/>
    </row>
    <row r="763" spans="1:49" x14ac:dyDescent="0.45">
      <c r="A763" s="295">
        <v>32568</v>
      </c>
      <c r="B763" s="12">
        <v>2.3300000000000001E-2</v>
      </c>
      <c r="C763" s="5">
        <v>2.69E-2</v>
      </c>
      <c r="D763" s="5">
        <v>7.9000000000000008E-3</v>
      </c>
      <c r="E763" s="5">
        <v>8.1666666666666676E-3</v>
      </c>
      <c r="F763" s="5">
        <v>8.3166666666666667E-3</v>
      </c>
      <c r="G763" s="5">
        <v>8.241666666666668E-3</v>
      </c>
      <c r="H763" s="5">
        <v>8.5345000000000004E-3</v>
      </c>
      <c r="I763" s="5">
        <f t="shared" si="121"/>
        <v>1.54E-2</v>
      </c>
      <c r="J763" s="5">
        <f t="shared" si="125"/>
        <v>1.5058333333333333E-2</v>
      </c>
      <c r="K763" s="5">
        <f t="shared" si="126"/>
        <v>1.83655E-2</v>
      </c>
      <c r="L763" s="8">
        <f t="shared" si="123"/>
        <v>0.18131977789453591</v>
      </c>
      <c r="M763" s="8">
        <f t="shared" si="124"/>
        <v>9.4800000000000009E-2</v>
      </c>
      <c r="N763" s="8">
        <f t="shared" si="127"/>
        <v>9.8900000000000016E-2</v>
      </c>
      <c r="O763" s="296">
        <f t="shared" si="122"/>
        <v>8.6519777894535896E-2</v>
      </c>
      <c r="P763" s="8">
        <f t="shared" si="128"/>
        <v>8.2419777894535889E-2</v>
      </c>
      <c r="Q763" s="8">
        <f t="shared" si="129"/>
        <v>0.21022984322368043</v>
      </c>
      <c r="R763" s="8">
        <f t="shared" si="130"/>
        <v>0.10241400000000001</v>
      </c>
      <c r="S763" s="296">
        <f t="shared" si="131"/>
        <v>0.10781584322368043</v>
      </c>
      <c r="U763" s="297"/>
      <c r="V763" s="297"/>
      <c r="W763" s="297"/>
      <c r="X763" s="297"/>
      <c r="Y763" s="297"/>
      <c r="Z763" s="297"/>
      <c r="AA763" s="297"/>
      <c r="AB763" s="297"/>
      <c r="AC763" s="297"/>
      <c r="AE763" s="297"/>
      <c r="AF763" s="297"/>
      <c r="AG763" s="297"/>
      <c r="AH763" s="297"/>
      <c r="AI763" s="297"/>
      <c r="AJ763" s="297"/>
      <c r="AK763" s="297"/>
      <c r="AL763" s="297"/>
      <c r="AM763" s="297"/>
      <c r="AO763" s="297"/>
      <c r="AP763" s="297"/>
      <c r="AQ763" s="297"/>
      <c r="AR763" s="297"/>
      <c r="AS763" s="297"/>
      <c r="AT763" s="297"/>
      <c r="AU763" s="297"/>
      <c r="AV763" s="297"/>
      <c r="AW763" s="297"/>
    </row>
    <row r="764" spans="1:49" x14ac:dyDescent="0.45">
      <c r="A764" s="295">
        <v>32599</v>
      </c>
      <c r="B764" s="12">
        <v>5.1900000000000002E-2</v>
      </c>
      <c r="C764" s="5">
        <v>6.3399999999999998E-2</v>
      </c>
      <c r="D764" s="5">
        <v>7.000000000000001E-3</v>
      </c>
      <c r="E764" s="5">
        <v>8.1583333333333334E-3</v>
      </c>
      <c r="F764" s="5">
        <v>8.2833333333333318E-3</v>
      </c>
      <c r="G764" s="5">
        <v>8.2208333333333335E-3</v>
      </c>
      <c r="H764" s="5">
        <v>8.4920833333333341E-3</v>
      </c>
      <c r="I764" s="5">
        <f t="shared" si="121"/>
        <v>4.4900000000000002E-2</v>
      </c>
      <c r="J764" s="5">
        <f t="shared" si="125"/>
        <v>4.3679166666666672E-2</v>
      </c>
      <c r="K764" s="5">
        <f t="shared" si="126"/>
        <v>5.4907916666666667E-2</v>
      </c>
      <c r="L764" s="8">
        <f t="shared" si="123"/>
        <v>0.22898850199511567</v>
      </c>
      <c r="M764" s="8">
        <f t="shared" si="124"/>
        <v>8.4000000000000019E-2</v>
      </c>
      <c r="N764" s="8">
        <f t="shared" si="127"/>
        <v>9.8650000000000002E-2</v>
      </c>
      <c r="O764" s="296">
        <f t="shared" si="122"/>
        <v>0.14498850199511565</v>
      </c>
      <c r="P764" s="8">
        <f t="shared" si="128"/>
        <v>0.13033850199511565</v>
      </c>
      <c r="Q764" s="8">
        <f t="shared" si="129"/>
        <v>0.28451783140439302</v>
      </c>
      <c r="R764" s="8">
        <f t="shared" si="130"/>
        <v>0.10190500000000001</v>
      </c>
      <c r="S764" s="296">
        <f t="shared" si="131"/>
        <v>0.18261283140439299</v>
      </c>
      <c r="U764" s="297"/>
      <c r="V764" s="297"/>
      <c r="W764" s="297"/>
      <c r="X764" s="297"/>
      <c r="Y764" s="297"/>
      <c r="Z764" s="297"/>
      <c r="AA764" s="297"/>
      <c r="AB764" s="297"/>
      <c r="AC764" s="297"/>
      <c r="AE764" s="297"/>
      <c r="AF764" s="297"/>
      <c r="AG764" s="297"/>
      <c r="AH764" s="297"/>
      <c r="AI764" s="297"/>
      <c r="AJ764" s="297"/>
      <c r="AK764" s="297"/>
      <c r="AL764" s="297"/>
      <c r="AM764" s="297"/>
      <c r="AO764" s="297"/>
      <c r="AP764" s="297"/>
      <c r="AQ764" s="297"/>
      <c r="AR764" s="297"/>
      <c r="AS764" s="297"/>
      <c r="AT764" s="297"/>
      <c r="AU764" s="297"/>
      <c r="AV764" s="297"/>
      <c r="AW764" s="297"/>
    </row>
    <row r="765" spans="1:49" x14ac:dyDescent="0.45">
      <c r="A765" s="295">
        <v>32629</v>
      </c>
      <c r="B765" s="12">
        <v>4.0500000000000001E-2</v>
      </c>
      <c r="C765" s="5">
        <v>5.7999999999999996E-2</v>
      </c>
      <c r="D765" s="5">
        <v>8.0000000000000002E-3</v>
      </c>
      <c r="E765" s="5">
        <v>7.9749999999999995E-3</v>
      </c>
      <c r="F765" s="5">
        <v>8.1250000000000003E-3</v>
      </c>
      <c r="G765" s="5">
        <v>8.0499999999999999E-3</v>
      </c>
      <c r="H765" s="5">
        <v>8.3340833333333322E-3</v>
      </c>
      <c r="I765" s="5">
        <f t="shared" si="121"/>
        <v>3.2500000000000001E-2</v>
      </c>
      <c r="J765" s="5">
        <f t="shared" si="125"/>
        <v>3.245E-2</v>
      </c>
      <c r="K765" s="5">
        <f t="shared" si="126"/>
        <v>4.9665916666666664E-2</v>
      </c>
      <c r="L765" s="8">
        <f t="shared" si="123"/>
        <v>0.2678589493614103</v>
      </c>
      <c r="M765" s="8">
        <f t="shared" si="124"/>
        <v>9.6000000000000002E-2</v>
      </c>
      <c r="N765" s="8">
        <f t="shared" si="127"/>
        <v>9.6599999999999991E-2</v>
      </c>
      <c r="O765" s="296">
        <f t="shared" si="122"/>
        <v>0.1718589493614103</v>
      </c>
      <c r="P765" s="8">
        <f t="shared" si="128"/>
        <v>0.17125894936141031</v>
      </c>
      <c r="Q765" s="8">
        <f t="shared" si="129"/>
        <v>0.29925417363847839</v>
      </c>
      <c r="R765" s="8">
        <f t="shared" si="130"/>
        <v>0.10000899999999999</v>
      </c>
      <c r="S765" s="296">
        <f t="shared" si="131"/>
        <v>0.19924517363847841</v>
      </c>
      <c r="U765" s="297"/>
      <c r="V765" s="297"/>
      <c r="W765" s="297"/>
      <c r="X765" s="297"/>
      <c r="Y765" s="297"/>
      <c r="Z765" s="297"/>
      <c r="AA765" s="297"/>
      <c r="AB765" s="297"/>
      <c r="AC765" s="297"/>
      <c r="AE765" s="297"/>
      <c r="AF765" s="297"/>
      <c r="AG765" s="297"/>
      <c r="AH765" s="297"/>
      <c r="AI765" s="297"/>
      <c r="AJ765" s="297"/>
      <c r="AK765" s="297"/>
      <c r="AL765" s="297"/>
      <c r="AM765" s="297"/>
      <c r="AO765" s="297"/>
      <c r="AP765" s="297"/>
      <c r="AQ765" s="297"/>
      <c r="AR765" s="297"/>
      <c r="AS765" s="297"/>
      <c r="AT765" s="297"/>
      <c r="AU765" s="297"/>
      <c r="AV765" s="297"/>
      <c r="AW765" s="297"/>
    </row>
    <row r="766" spans="1:49" x14ac:dyDescent="0.45">
      <c r="A766" s="295">
        <v>32660</v>
      </c>
      <c r="B766" s="12">
        <v>-5.7000000000000002E-3</v>
      </c>
      <c r="C766" s="5">
        <v>1.61E-2</v>
      </c>
      <c r="D766" s="5">
        <v>7.000000000000001E-3</v>
      </c>
      <c r="E766" s="5">
        <v>7.5833333333333334E-3</v>
      </c>
      <c r="F766" s="5">
        <v>7.7416666666666658E-3</v>
      </c>
      <c r="G766" s="5">
        <v>7.6624999999999992E-3</v>
      </c>
      <c r="H766" s="5">
        <v>8.0485000000000001E-3</v>
      </c>
      <c r="I766" s="5">
        <f t="shared" si="121"/>
        <v>-1.2700000000000001E-2</v>
      </c>
      <c r="J766" s="5">
        <f t="shared" si="125"/>
        <v>-1.3362499999999999E-2</v>
      </c>
      <c r="K766" s="5">
        <f t="shared" si="126"/>
        <v>8.0514999999999996E-3</v>
      </c>
      <c r="L766" s="8">
        <f t="shared" si="123"/>
        <v>0.20530849349847058</v>
      </c>
      <c r="M766" s="8">
        <f t="shared" si="124"/>
        <v>8.4000000000000019E-2</v>
      </c>
      <c r="N766" s="8">
        <f t="shared" si="127"/>
        <v>9.194999999999999E-2</v>
      </c>
      <c r="O766" s="296">
        <f t="shared" si="122"/>
        <v>0.12130849349847056</v>
      </c>
      <c r="P766" s="8">
        <f t="shared" si="128"/>
        <v>0.11335849349847059</v>
      </c>
      <c r="Q766" s="8">
        <f t="shared" si="129"/>
        <v>0.27985668040141309</v>
      </c>
      <c r="R766" s="8">
        <f t="shared" si="130"/>
        <v>9.6582000000000001E-2</v>
      </c>
      <c r="S766" s="296">
        <f t="shared" si="131"/>
        <v>0.18327468040141309</v>
      </c>
      <c r="U766" s="297"/>
      <c r="V766" s="297"/>
      <c r="W766" s="297"/>
      <c r="X766" s="297"/>
      <c r="Y766" s="297"/>
      <c r="Z766" s="297"/>
      <c r="AA766" s="297"/>
      <c r="AB766" s="297"/>
      <c r="AC766" s="297"/>
      <c r="AE766" s="297"/>
      <c r="AF766" s="297"/>
      <c r="AG766" s="297"/>
      <c r="AH766" s="297"/>
      <c r="AI766" s="297"/>
      <c r="AJ766" s="297"/>
      <c r="AK766" s="297"/>
      <c r="AL766" s="297"/>
      <c r="AM766" s="297"/>
      <c r="AO766" s="297"/>
      <c r="AP766" s="297"/>
      <c r="AQ766" s="297"/>
      <c r="AR766" s="297"/>
      <c r="AS766" s="297"/>
      <c r="AT766" s="297"/>
      <c r="AU766" s="297"/>
      <c r="AV766" s="297"/>
      <c r="AW766" s="297"/>
    </row>
    <row r="767" spans="1:49" x14ac:dyDescent="0.45">
      <c r="A767" s="295">
        <v>32690</v>
      </c>
      <c r="B767" s="12">
        <v>9.0300000000000005E-2</v>
      </c>
      <c r="C767" s="5">
        <v>8.0399999999999985E-2</v>
      </c>
      <c r="D767" s="5">
        <v>6.7999999999999996E-3</v>
      </c>
      <c r="E767" s="5">
        <v>7.4416666666666667E-3</v>
      </c>
      <c r="F767" s="5">
        <v>7.6166666666666674E-3</v>
      </c>
      <c r="G767" s="5">
        <v>7.5291666666666666E-3</v>
      </c>
      <c r="H767" s="5">
        <v>7.9204166666666659E-3</v>
      </c>
      <c r="I767" s="5">
        <f t="shared" si="121"/>
        <v>8.3500000000000005E-2</v>
      </c>
      <c r="J767" s="5">
        <f t="shared" si="125"/>
        <v>8.2770833333333335E-2</v>
      </c>
      <c r="K767" s="5">
        <f t="shared" si="126"/>
        <v>7.2479583333333319E-2</v>
      </c>
      <c r="L767" s="8">
        <f t="shared" si="123"/>
        <v>0.31916066097307993</v>
      </c>
      <c r="M767" s="8">
        <f t="shared" si="124"/>
        <v>8.1599999999999992E-2</v>
      </c>
      <c r="N767" s="8">
        <f t="shared" si="127"/>
        <v>9.035E-2</v>
      </c>
      <c r="O767" s="296">
        <f t="shared" si="122"/>
        <v>0.23756066097307993</v>
      </c>
      <c r="P767" s="8">
        <f t="shared" si="128"/>
        <v>0.22881066097307995</v>
      </c>
      <c r="Q767" s="8">
        <f t="shared" si="129"/>
        <v>0.38041045972415577</v>
      </c>
      <c r="R767" s="8">
        <f t="shared" si="130"/>
        <v>9.5044999999999991E-2</v>
      </c>
      <c r="S767" s="296">
        <f t="shared" si="131"/>
        <v>0.28536545972415578</v>
      </c>
      <c r="U767" s="297"/>
      <c r="V767" s="297"/>
      <c r="W767" s="297"/>
      <c r="X767" s="297"/>
      <c r="Y767" s="297"/>
      <c r="Z767" s="297"/>
      <c r="AA767" s="297"/>
      <c r="AB767" s="297"/>
      <c r="AC767" s="297"/>
      <c r="AE767" s="297"/>
      <c r="AF767" s="297"/>
      <c r="AG767" s="297"/>
      <c r="AH767" s="297"/>
      <c r="AI767" s="297"/>
      <c r="AJ767" s="297"/>
      <c r="AK767" s="297"/>
      <c r="AL767" s="297"/>
      <c r="AM767" s="297"/>
      <c r="AO767" s="297"/>
      <c r="AP767" s="297"/>
      <c r="AQ767" s="297"/>
      <c r="AR767" s="297"/>
      <c r="AS767" s="297"/>
      <c r="AT767" s="297"/>
      <c r="AU767" s="297"/>
      <c r="AV767" s="297"/>
      <c r="AW767" s="297"/>
    </row>
    <row r="768" spans="1:49" x14ac:dyDescent="0.45">
      <c r="A768" s="295">
        <v>32721</v>
      </c>
      <c r="B768" s="12">
        <v>1.95E-2</v>
      </c>
      <c r="C768" s="5">
        <v>-5.6999999999999993E-3</v>
      </c>
      <c r="D768" s="5">
        <v>6.6E-3</v>
      </c>
      <c r="E768" s="5">
        <v>7.4666666666666666E-3</v>
      </c>
      <c r="F768" s="5">
        <v>7.6166666666666674E-3</v>
      </c>
      <c r="G768" s="5">
        <v>7.5416666666666661E-3</v>
      </c>
      <c r="H768" s="5">
        <v>7.9289999999999985E-3</v>
      </c>
      <c r="I768" s="5">
        <f t="shared" si="121"/>
        <v>1.29E-2</v>
      </c>
      <c r="J768" s="5">
        <f t="shared" si="125"/>
        <v>1.1958333333333335E-2</v>
      </c>
      <c r="K768" s="5">
        <f t="shared" si="126"/>
        <v>-1.3628999999999999E-2</v>
      </c>
      <c r="L768" s="8">
        <f t="shared" si="123"/>
        <v>0.3920756586917038</v>
      </c>
      <c r="M768" s="8">
        <f t="shared" si="124"/>
        <v>7.9199999999999993E-2</v>
      </c>
      <c r="N768" s="8">
        <f t="shared" si="127"/>
        <v>9.0499999999999997E-2</v>
      </c>
      <c r="O768" s="296">
        <f t="shared" si="122"/>
        <v>0.31287565869170381</v>
      </c>
      <c r="P768" s="8">
        <f t="shared" si="128"/>
        <v>0.30157565869170377</v>
      </c>
      <c r="Q768" s="8">
        <f t="shared" si="129"/>
        <v>0.3916071378928605</v>
      </c>
      <c r="R768" s="8">
        <f t="shared" si="130"/>
        <v>9.5147999999999983E-2</v>
      </c>
      <c r="S768" s="296">
        <f t="shared" si="131"/>
        <v>0.29645913789286049</v>
      </c>
      <c r="U768" s="297"/>
      <c r="V768" s="297"/>
      <c r="W768" s="297"/>
      <c r="X768" s="297"/>
      <c r="Y768" s="297"/>
      <c r="Z768" s="297"/>
      <c r="AA768" s="297"/>
      <c r="AB768" s="297"/>
      <c r="AC768" s="297"/>
      <c r="AE768" s="297"/>
      <c r="AF768" s="297"/>
      <c r="AG768" s="297"/>
      <c r="AH768" s="297"/>
      <c r="AI768" s="297"/>
      <c r="AJ768" s="297"/>
      <c r="AK768" s="297"/>
      <c r="AL768" s="297"/>
      <c r="AM768" s="297"/>
      <c r="AO768" s="297"/>
      <c r="AP768" s="297"/>
      <c r="AQ768" s="297"/>
      <c r="AR768" s="297"/>
      <c r="AS768" s="297"/>
      <c r="AT768" s="297"/>
      <c r="AU768" s="297"/>
      <c r="AV768" s="297"/>
      <c r="AW768" s="297"/>
    </row>
    <row r="769" spans="1:49" x14ac:dyDescent="0.45">
      <c r="A769" s="295">
        <v>32752</v>
      </c>
      <c r="B769" s="12">
        <v>-4.1000000000000003E-3</v>
      </c>
      <c r="C769" s="5">
        <v>1.7000000000000001E-2</v>
      </c>
      <c r="D769" s="5">
        <v>6.5000000000000006E-3</v>
      </c>
      <c r="E769" s="5">
        <v>7.5083333333333339E-3</v>
      </c>
      <c r="F769" s="5">
        <v>7.691666666666667E-3</v>
      </c>
      <c r="G769" s="5">
        <v>7.6E-3</v>
      </c>
      <c r="H769" s="5">
        <v>7.9866666666666662E-3</v>
      </c>
      <c r="I769" s="5">
        <f t="shared" si="121"/>
        <v>-1.0600000000000002E-2</v>
      </c>
      <c r="J769" s="5">
        <f t="shared" si="125"/>
        <v>-1.17E-2</v>
      </c>
      <c r="K769" s="5">
        <f t="shared" si="126"/>
        <v>9.013333333333335E-3</v>
      </c>
      <c r="L769" s="8">
        <f t="shared" si="123"/>
        <v>0.32972199164690941</v>
      </c>
      <c r="M769" s="8">
        <f t="shared" si="124"/>
        <v>7.8000000000000014E-2</v>
      </c>
      <c r="N769" s="8">
        <f t="shared" si="127"/>
        <v>9.1200000000000003E-2</v>
      </c>
      <c r="O769" s="296">
        <f t="shared" si="122"/>
        <v>0.25172199164690939</v>
      </c>
      <c r="P769" s="8">
        <f t="shared" si="128"/>
        <v>0.2385219916469094</v>
      </c>
      <c r="Q769" s="8">
        <f t="shared" si="129"/>
        <v>0.3591322954355507</v>
      </c>
      <c r="R769" s="8">
        <f t="shared" si="130"/>
        <v>9.5839999999999995E-2</v>
      </c>
      <c r="S769" s="296">
        <f t="shared" si="131"/>
        <v>0.26329229543555072</v>
      </c>
      <c r="U769" s="297"/>
      <c r="V769" s="297"/>
      <c r="W769" s="297"/>
      <c r="X769" s="297"/>
      <c r="Y769" s="297"/>
      <c r="Z769" s="297"/>
      <c r="AA769" s="297"/>
      <c r="AB769" s="297"/>
      <c r="AC769" s="297"/>
      <c r="AE769" s="297"/>
      <c r="AF769" s="297"/>
      <c r="AG769" s="297"/>
      <c r="AH769" s="297"/>
      <c r="AI769" s="297"/>
      <c r="AJ769" s="297"/>
      <c r="AK769" s="297"/>
      <c r="AL769" s="297"/>
      <c r="AM769" s="297"/>
      <c r="AO769" s="297"/>
      <c r="AP769" s="297"/>
      <c r="AQ769" s="297"/>
      <c r="AR769" s="297"/>
      <c r="AS769" s="297"/>
      <c r="AT769" s="297"/>
      <c r="AU769" s="297"/>
      <c r="AV769" s="297"/>
      <c r="AW769" s="297"/>
    </row>
    <row r="770" spans="1:49" x14ac:dyDescent="0.45">
      <c r="A770" s="295">
        <v>32782</v>
      </c>
      <c r="B770" s="12">
        <v>-2.3199999999999998E-2</v>
      </c>
      <c r="C770" s="5">
        <v>4.5000000000000005E-3</v>
      </c>
      <c r="D770" s="5">
        <v>7.1999999999999998E-3</v>
      </c>
      <c r="E770" s="5">
        <v>7.4333333333333326E-3</v>
      </c>
      <c r="F770" s="5">
        <v>7.658333333333333E-3</v>
      </c>
      <c r="G770" s="5">
        <v>7.5458333333333323E-3</v>
      </c>
      <c r="H770" s="5">
        <v>7.948499999999999E-3</v>
      </c>
      <c r="I770" s="5">
        <f t="shared" si="121"/>
        <v>-3.0399999999999996E-2</v>
      </c>
      <c r="J770" s="5">
        <f t="shared" si="125"/>
        <v>-3.074583333333333E-2</v>
      </c>
      <c r="K770" s="5">
        <f t="shared" si="126"/>
        <v>-3.4484999999999984E-3</v>
      </c>
      <c r="L770" s="8">
        <f t="shared" si="123"/>
        <v>0.26374045674323932</v>
      </c>
      <c r="M770" s="8">
        <f t="shared" si="124"/>
        <v>8.6400000000000005E-2</v>
      </c>
      <c r="N770" s="8">
        <f t="shared" si="127"/>
        <v>9.0549999999999992E-2</v>
      </c>
      <c r="O770" s="296">
        <f t="shared" si="122"/>
        <v>0.17734045674323931</v>
      </c>
      <c r="P770" s="8">
        <f t="shared" si="128"/>
        <v>0.17319045674323932</v>
      </c>
      <c r="Q770" s="8">
        <f t="shared" si="129"/>
        <v>0.33039211729196127</v>
      </c>
      <c r="R770" s="8">
        <f t="shared" si="130"/>
        <v>9.5381999999999995E-2</v>
      </c>
      <c r="S770" s="296">
        <f t="shared" si="131"/>
        <v>0.23501011729196128</v>
      </c>
      <c r="U770" s="297"/>
      <c r="V770" s="297"/>
      <c r="W770" s="297"/>
      <c r="X770" s="297"/>
      <c r="Y770" s="297"/>
      <c r="Z770" s="297"/>
      <c r="AA770" s="297"/>
      <c r="AB770" s="297"/>
      <c r="AC770" s="297"/>
      <c r="AE770" s="297"/>
      <c r="AF770" s="297"/>
      <c r="AG770" s="297"/>
      <c r="AH770" s="297"/>
      <c r="AI770" s="297"/>
      <c r="AJ770" s="297"/>
      <c r="AK770" s="297"/>
      <c r="AL770" s="297"/>
      <c r="AM770" s="297"/>
      <c r="AO770" s="297"/>
      <c r="AP770" s="297"/>
      <c r="AQ770" s="297"/>
      <c r="AR770" s="297"/>
      <c r="AS770" s="297"/>
      <c r="AT770" s="297"/>
      <c r="AU770" s="297"/>
      <c r="AV770" s="297"/>
      <c r="AW770" s="297"/>
    </row>
    <row r="771" spans="1:49" x14ac:dyDescent="0.45">
      <c r="A771" s="295">
        <v>32813</v>
      </c>
      <c r="B771" s="12">
        <v>2.0400000000000001E-2</v>
      </c>
      <c r="C771" s="5">
        <v>3.3599999999999998E-2</v>
      </c>
      <c r="D771" s="5">
        <v>6.4000000000000003E-3</v>
      </c>
      <c r="E771" s="5">
        <v>7.4083333333333336E-3</v>
      </c>
      <c r="F771" s="5">
        <v>7.6166666666666674E-3</v>
      </c>
      <c r="G771" s="5">
        <v>7.5125000000000001E-3</v>
      </c>
      <c r="H771" s="5">
        <v>7.929750000000001E-3</v>
      </c>
      <c r="I771" s="5">
        <f t="shared" si="121"/>
        <v>1.4000000000000002E-2</v>
      </c>
      <c r="J771" s="5">
        <f t="shared" si="125"/>
        <v>1.2887500000000001E-2</v>
      </c>
      <c r="K771" s="5">
        <f t="shared" si="126"/>
        <v>2.5670249999999999E-2</v>
      </c>
      <c r="L771" s="8">
        <f t="shared" si="123"/>
        <v>0.30822842858963306</v>
      </c>
      <c r="M771" s="8">
        <f t="shared" si="124"/>
        <v>7.6800000000000007E-2</v>
      </c>
      <c r="N771" s="8">
        <f t="shared" si="127"/>
        <v>9.0150000000000008E-2</v>
      </c>
      <c r="O771" s="296">
        <f t="shared" si="122"/>
        <v>0.23142842858963306</v>
      </c>
      <c r="P771" s="8">
        <f t="shared" si="128"/>
        <v>0.21807842858963306</v>
      </c>
      <c r="Q771" s="8">
        <f t="shared" si="129"/>
        <v>0.38604303238884374</v>
      </c>
      <c r="R771" s="8">
        <f t="shared" si="130"/>
        <v>9.5157000000000019E-2</v>
      </c>
      <c r="S771" s="296">
        <f t="shared" si="131"/>
        <v>0.2908860323888437</v>
      </c>
      <c r="U771" s="297"/>
      <c r="V771" s="297"/>
      <c r="W771" s="297"/>
      <c r="X771" s="297"/>
      <c r="Y771" s="297"/>
      <c r="Z771" s="297"/>
      <c r="AA771" s="297"/>
      <c r="AB771" s="297"/>
      <c r="AC771" s="297"/>
      <c r="AE771" s="297"/>
      <c r="AF771" s="297"/>
      <c r="AG771" s="297"/>
      <c r="AH771" s="297"/>
      <c r="AI771" s="297"/>
      <c r="AJ771" s="297"/>
      <c r="AK771" s="297"/>
      <c r="AL771" s="297"/>
      <c r="AM771" s="297"/>
      <c r="AO771" s="297"/>
      <c r="AP771" s="297"/>
      <c r="AQ771" s="297"/>
      <c r="AR771" s="297"/>
      <c r="AS771" s="297"/>
      <c r="AT771" s="297"/>
      <c r="AU771" s="297"/>
      <c r="AV771" s="297"/>
      <c r="AW771" s="297"/>
    </row>
    <row r="772" spans="1:49" x14ac:dyDescent="0.45">
      <c r="A772" s="295">
        <v>32843</v>
      </c>
      <c r="B772" s="12">
        <v>2.4E-2</v>
      </c>
      <c r="C772" s="5">
        <v>7.3099999999999998E-2</v>
      </c>
      <c r="D772" s="5">
        <v>6.4000000000000003E-3</v>
      </c>
      <c r="E772" s="5">
        <v>7.3833333333333329E-3</v>
      </c>
      <c r="F772" s="5">
        <v>7.5916666666666667E-3</v>
      </c>
      <c r="G772" s="5">
        <v>7.4875000000000002E-3</v>
      </c>
      <c r="H772" s="5">
        <v>7.8612500000000002E-3</v>
      </c>
      <c r="I772" s="5">
        <f t="shared" si="121"/>
        <v>1.7600000000000001E-2</v>
      </c>
      <c r="J772" s="5">
        <f t="shared" si="125"/>
        <v>1.6512499999999999E-2</v>
      </c>
      <c r="K772" s="5">
        <f t="shared" si="126"/>
        <v>6.5238749999999998E-2</v>
      </c>
      <c r="L772" s="8">
        <f t="shared" si="123"/>
        <v>0.31671506868073918</v>
      </c>
      <c r="M772" s="8">
        <f t="shared" si="124"/>
        <v>7.6800000000000007E-2</v>
      </c>
      <c r="N772" s="8">
        <f t="shared" si="127"/>
        <v>8.9849999999999999E-2</v>
      </c>
      <c r="O772" s="296">
        <f t="shared" si="122"/>
        <v>0.23991506868073917</v>
      </c>
      <c r="P772" s="8">
        <f t="shared" si="128"/>
        <v>0.22686506868073919</v>
      </c>
      <c r="Q772" s="8">
        <f t="shared" si="129"/>
        <v>0.47805105640114021</v>
      </c>
      <c r="R772" s="8">
        <f t="shared" si="130"/>
        <v>9.4335000000000002E-2</v>
      </c>
      <c r="S772" s="296">
        <f t="shared" si="131"/>
        <v>0.3837160564011402</v>
      </c>
      <c r="U772" s="297"/>
      <c r="V772" s="297"/>
      <c r="W772" s="297"/>
      <c r="X772" s="297"/>
      <c r="Y772" s="297"/>
      <c r="Z772" s="297"/>
      <c r="AA772" s="297"/>
      <c r="AB772" s="297"/>
      <c r="AC772" s="297"/>
      <c r="AE772" s="297"/>
      <c r="AF772" s="297"/>
      <c r="AG772" s="297"/>
      <c r="AH772" s="297"/>
      <c r="AI772" s="297"/>
      <c r="AJ772" s="297"/>
      <c r="AK772" s="297"/>
      <c r="AL772" s="297"/>
      <c r="AM772" s="297"/>
      <c r="AO772" s="297"/>
      <c r="AP772" s="297"/>
      <c r="AQ772" s="297"/>
      <c r="AR772" s="297"/>
      <c r="AS772" s="297"/>
      <c r="AT772" s="297"/>
      <c r="AU772" s="297"/>
      <c r="AV772" s="297"/>
      <c r="AW772" s="297"/>
    </row>
    <row r="773" spans="1:49" x14ac:dyDescent="0.45">
      <c r="A773" s="295">
        <v>32874</v>
      </c>
      <c r="B773" s="12">
        <v>-6.7100000000000007E-2</v>
      </c>
      <c r="C773" s="5">
        <v>-8.09E-2</v>
      </c>
      <c r="D773" s="5">
        <v>7.3000000000000001E-3</v>
      </c>
      <c r="E773" s="5">
        <v>7.4916666666666664E-3</v>
      </c>
      <c r="F773" s="5">
        <v>7.7249999999999992E-3</v>
      </c>
      <c r="G773" s="5">
        <v>7.6083333333333324E-3</v>
      </c>
      <c r="H773" s="5">
        <v>7.9564166666666672E-3</v>
      </c>
      <c r="I773" s="5">
        <f t="shared" si="121"/>
        <v>-7.4400000000000008E-2</v>
      </c>
      <c r="J773" s="5">
        <f t="shared" si="125"/>
        <v>-7.4708333333333335E-2</v>
      </c>
      <c r="K773" s="5">
        <f t="shared" si="126"/>
        <v>-8.885641666666666E-2</v>
      </c>
      <c r="L773" s="8">
        <f t="shared" si="123"/>
        <v>0.14458021577735902</v>
      </c>
      <c r="M773" s="8">
        <f t="shared" si="124"/>
        <v>8.7599999999999997E-2</v>
      </c>
      <c r="N773" s="8">
        <f t="shared" si="127"/>
        <v>9.1299999999999992E-2</v>
      </c>
      <c r="O773" s="296">
        <f t="shared" si="122"/>
        <v>5.6980215777359025E-2</v>
      </c>
      <c r="P773" s="8">
        <f t="shared" si="128"/>
        <v>5.328021577735903E-2</v>
      </c>
      <c r="Q773" s="8">
        <f t="shared" si="129"/>
        <v>0.28509765011662869</v>
      </c>
      <c r="R773" s="8">
        <f t="shared" si="130"/>
        <v>9.5477000000000006E-2</v>
      </c>
      <c r="S773" s="296">
        <f t="shared" si="131"/>
        <v>0.18962065011662868</v>
      </c>
      <c r="U773" s="297"/>
      <c r="V773" s="297"/>
      <c r="W773" s="297"/>
      <c r="X773" s="297"/>
      <c r="Y773" s="297"/>
      <c r="Z773" s="297"/>
      <c r="AA773" s="297"/>
      <c r="AB773" s="297"/>
      <c r="AC773" s="297"/>
      <c r="AE773" s="297"/>
      <c r="AF773" s="297"/>
      <c r="AG773" s="297"/>
      <c r="AH773" s="297"/>
      <c r="AI773" s="297"/>
      <c r="AJ773" s="297"/>
      <c r="AK773" s="297"/>
      <c r="AL773" s="297"/>
      <c r="AM773" s="297"/>
      <c r="AO773" s="297"/>
      <c r="AP773" s="297"/>
      <c r="AQ773" s="297"/>
      <c r="AR773" s="297"/>
      <c r="AS773" s="297"/>
      <c r="AT773" s="297"/>
      <c r="AU773" s="297"/>
      <c r="AV773" s="297"/>
      <c r="AW773" s="297"/>
    </row>
    <row r="774" spans="1:49" x14ac:dyDescent="0.45">
      <c r="A774" s="295">
        <v>32905</v>
      </c>
      <c r="B774" s="12">
        <v>1.29E-2</v>
      </c>
      <c r="C774" s="5">
        <v>-1.09E-2</v>
      </c>
      <c r="D774" s="5">
        <v>6.6E-3</v>
      </c>
      <c r="E774" s="5">
        <v>7.6833333333333345E-3</v>
      </c>
      <c r="F774" s="5">
        <v>7.8666666666666659E-3</v>
      </c>
      <c r="G774" s="5">
        <v>7.7750000000000007E-3</v>
      </c>
      <c r="H774" s="5">
        <v>8.1302500000000003E-3</v>
      </c>
      <c r="I774" s="5">
        <f t="shared" ref="I774:I837" si="132">B774-D774</f>
        <v>6.3E-3</v>
      </c>
      <c r="J774" s="5">
        <f t="shared" si="125"/>
        <v>5.1249999999999993E-3</v>
      </c>
      <c r="K774" s="5">
        <f t="shared" si="126"/>
        <v>-1.9030249999999999E-2</v>
      </c>
      <c r="L774" s="8">
        <f t="shared" si="123"/>
        <v>0.18895015953326499</v>
      </c>
      <c r="M774" s="8">
        <f t="shared" si="124"/>
        <v>7.9199999999999993E-2</v>
      </c>
      <c r="N774" s="8">
        <f t="shared" si="127"/>
        <v>9.3300000000000008E-2</v>
      </c>
      <c r="O774" s="296">
        <f t="shared" si="122"/>
        <v>0.109750159533265</v>
      </c>
      <c r="P774" s="8">
        <f t="shared" si="128"/>
        <v>9.5650159533264986E-2</v>
      </c>
      <c r="Q774" s="8">
        <f t="shared" si="129"/>
        <v>0.29901899410358435</v>
      </c>
      <c r="R774" s="8">
        <f t="shared" si="130"/>
        <v>9.7563000000000011E-2</v>
      </c>
      <c r="S774" s="296">
        <f t="shared" si="131"/>
        <v>0.20145599410358433</v>
      </c>
      <c r="U774" s="297"/>
      <c r="V774" s="297"/>
      <c r="W774" s="297"/>
      <c r="X774" s="297"/>
      <c r="Y774" s="297"/>
      <c r="Z774" s="297"/>
      <c r="AA774" s="297"/>
      <c r="AB774" s="297"/>
      <c r="AC774" s="297"/>
      <c r="AE774" s="297"/>
      <c r="AF774" s="297"/>
      <c r="AG774" s="297"/>
      <c r="AH774" s="297"/>
      <c r="AI774" s="297"/>
      <c r="AJ774" s="297"/>
      <c r="AK774" s="297"/>
      <c r="AL774" s="297"/>
      <c r="AM774" s="297"/>
      <c r="AO774" s="297"/>
      <c r="AP774" s="297"/>
      <c r="AQ774" s="297"/>
      <c r="AR774" s="297"/>
      <c r="AS774" s="297"/>
      <c r="AT774" s="297"/>
      <c r="AU774" s="297"/>
      <c r="AV774" s="297"/>
      <c r="AW774" s="297"/>
    </row>
    <row r="775" spans="1:49" x14ac:dyDescent="0.45">
      <c r="A775" s="295">
        <v>32933</v>
      </c>
      <c r="B775" s="12">
        <v>2.6499999999999999E-2</v>
      </c>
      <c r="C775" s="5">
        <v>1.8700000000000001E-2</v>
      </c>
      <c r="D775" s="5">
        <v>7.1000000000000004E-3</v>
      </c>
      <c r="E775" s="5">
        <v>7.8083333333333329E-3</v>
      </c>
      <c r="F775" s="5">
        <v>7.9249999999999998E-3</v>
      </c>
      <c r="G775" s="5">
        <v>7.8666666666666659E-3</v>
      </c>
      <c r="H775" s="5">
        <v>8.2053333333333318E-3</v>
      </c>
      <c r="I775" s="5">
        <f t="shared" si="132"/>
        <v>1.9400000000000001E-2</v>
      </c>
      <c r="J775" s="5">
        <f t="shared" si="125"/>
        <v>1.8633333333333335E-2</v>
      </c>
      <c r="K775" s="5">
        <f t="shared" si="126"/>
        <v>1.049466666666667E-2</v>
      </c>
      <c r="L775" s="8">
        <f t="shared" si="123"/>
        <v>0.19266817039079087</v>
      </c>
      <c r="M775" s="8">
        <f t="shared" si="124"/>
        <v>8.5199999999999998E-2</v>
      </c>
      <c r="N775" s="8">
        <f t="shared" si="127"/>
        <v>9.4399999999999984E-2</v>
      </c>
      <c r="O775" s="296">
        <f t="shared" si="122"/>
        <v>0.10746817039079087</v>
      </c>
      <c r="P775" s="8">
        <f t="shared" si="128"/>
        <v>9.8268170390790888E-2</v>
      </c>
      <c r="Q775" s="8">
        <f t="shared" si="129"/>
        <v>0.28864607001005127</v>
      </c>
      <c r="R775" s="8">
        <f t="shared" si="130"/>
        <v>9.8463999999999982E-2</v>
      </c>
      <c r="S775" s="296">
        <f t="shared" si="131"/>
        <v>0.19018207001005127</v>
      </c>
      <c r="U775" s="297"/>
      <c r="V775" s="297"/>
      <c r="W775" s="297"/>
      <c r="X775" s="297"/>
      <c r="Y775" s="297"/>
      <c r="Z775" s="297"/>
      <c r="AA775" s="297"/>
      <c r="AB775" s="297"/>
      <c r="AC775" s="297"/>
      <c r="AE775" s="297"/>
      <c r="AF775" s="297"/>
      <c r="AG775" s="297"/>
      <c r="AH775" s="297"/>
      <c r="AI775" s="297"/>
      <c r="AJ775" s="297"/>
      <c r="AK775" s="297"/>
      <c r="AL775" s="297"/>
      <c r="AM775" s="297"/>
      <c r="AO775" s="297"/>
      <c r="AP775" s="297"/>
      <c r="AQ775" s="297"/>
      <c r="AR775" s="297"/>
      <c r="AS775" s="297"/>
      <c r="AT775" s="297"/>
      <c r="AU775" s="297"/>
      <c r="AV775" s="297"/>
      <c r="AW775" s="297"/>
    </row>
    <row r="776" spans="1:49" x14ac:dyDescent="0.45">
      <c r="A776" s="295">
        <v>32964</v>
      </c>
      <c r="B776" s="12">
        <v>-2.4899999999999999E-2</v>
      </c>
      <c r="C776" s="5">
        <v>-3.85E-2</v>
      </c>
      <c r="D776" s="5">
        <v>7.4999999999999997E-3</v>
      </c>
      <c r="E776" s="5">
        <v>7.8833333333333342E-3</v>
      </c>
      <c r="F776" s="5">
        <v>8.0333333333333333E-3</v>
      </c>
      <c r="G776" s="5">
        <v>7.9583333333333346E-3</v>
      </c>
      <c r="H776" s="5">
        <v>8.2587500000000005E-3</v>
      </c>
      <c r="I776" s="5">
        <f t="shared" si="132"/>
        <v>-3.2399999999999998E-2</v>
      </c>
      <c r="J776" s="5">
        <f t="shared" si="125"/>
        <v>-3.2858333333333337E-2</v>
      </c>
      <c r="K776" s="5">
        <f t="shared" si="126"/>
        <v>-4.6758750000000002E-2</v>
      </c>
      <c r="L776" s="8">
        <f t="shared" si="123"/>
        <v>0.10559058175497715</v>
      </c>
      <c r="M776" s="8">
        <f t="shared" si="124"/>
        <v>0.09</v>
      </c>
      <c r="N776" s="8">
        <f t="shared" si="127"/>
        <v>9.5500000000000015E-2</v>
      </c>
      <c r="O776" s="296">
        <f t="shared" si="122"/>
        <v>1.5590581754977156E-2</v>
      </c>
      <c r="P776" s="8">
        <f t="shared" si="128"/>
        <v>1.0090581754977138E-2</v>
      </c>
      <c r="Q776" s="8">
        <f t="shared" si="129"/>
        <v>0.16516192995548651</v>
      </c>
      <c r="R776" s="8">
        <f t="shared" si="130"/>
        <v>9.9104999999999999E-2</v>
      </c>
      <c r="S776" s="296">
        <f t="shared" si="131"/>
        <v>6.605692995548651E-2</v>
      </c>
      <c r="U776" s="297"/>
      <c r="V776" s="297"/>
      <c r="W776" s="297"/>
      <c r="X776" s="297"/>
      <c r="Y776" s="297"/>
      <c r="Z776" s="297"/>
      <c r="AA776" s="297"/>
      <c r="AB776" s="297"/>
      <c r="AC776" s="297"/>
      <c r="AE776" s="297"/>
      <c r="AF776" s="297"/>
      <c r="AG776" s="297"/>
      <c r="AH776" s="297"/>
      <c r="AI776" s="297"/>
      <c r="AJ776" s="297"/>
      <c r="AK776" s="297"/>
      <c r="AL776" s="297"/>
      <c r="AM776" s="297"/>
      <c r="AO776" s="297"/>
      <c r="AP776" s="297"/>
      <c r="AQ776" s="297"/>
      <c r="AR776" s="297"/>
      <c r="AS776" s="297"/>
      <c r="AT776" s="297"/>
      <c r="AU776" s="297"/>
      <c r="AV776" s="297"/>
      <c r="AW776" s="297"/>
    </row>
    <row r="777" spans="1:49" x14ac:dyDescent="0.45">
      <c r="A777" s="295">
        <v>32994</v>
      </c>
      <c r="B777" s="12">
        <v>9.7500000000000003E-2</v>
      </c>
      <c r="C777" s="5">
        <v>6.8200000000000011E-2</v>
      </c>
      <c r="D777" s="5">
        <v>7.4999999999999997E-3</v>
      </c>
      <c r="E777" s="5">
        <v>7.8916666666666666E-3</v>
      </c>
      <c r="F777" s="5">
        <v>8.083333333333333E-3</v>
      </c>
      <c r="G777" s="5">
        <v>7.9874999999999998E-3</v>
      </c>
      <c r="H777" s="5">
        <v>8.3382500000000002E-3</v>
      </c>
      <c r="I777" s="5">
        <f t="shared" si="132"/>
        <v>0.09</v>
      </c>
      <c r="J777" s="5">
        <f t="shared" si="125"/>
        <v>8.9512500000000009E-2</v>
      </c>
      <c r="K777" s="5">
        <f t="shared" si="126"/>
        <v>5.9861750000000012E-2</v>
      </c>
      <c r="L777" s="8">
        <f t="shared" si="123"/>
        <v>0.16615633202891611</v>
      </c>
      <c r="M777" s="8">
        <f t="shared" si="124"/>
        <v>0.09</v>
      </c>
      <c r="N777" s="8">
        <f t="shared" si="127"/>
        <v>9.5849999999999991E-2</v>
      </c>
      <c r="O777" s="296">
        <f t="shared" si="122"/>
        <v>7.6156332028916113E-2</v>
      </c>
      <c r="P777" s="8">
        <f t="shared" si="128"/>
        <v>7.0306332028916119E-2</v>
      </c>
      <c r="Q777" s="8">
        <f t="shared" si="129"/>
        <v>0.17639506009305328</v>
      </c>
      <c r="R777" s="8">
        <f t="shared" si="130"/>
        <v>0.10005900000000001</v>
      </c>
      <c r="S777" s="296">
        <f t="shared" si="131"/>
        <v>7.6336060093053271E-2</v>
      </c>
      <c r="U777" s="297"/>
      <c r="V777" s="297"/>
      <c r="W777" s="297"/>
      <c r="X777" s="297"/>
      <c r="Y777" s="297"/>
      <c r="Z777" s="297"/>
      <c r="AA777" s="297"/>
      <c r="AB777" s="297"/>
      <c r="AC777" s="297"/>
      <c r="AE777" s="297"/>
      <c r="AF777" s="297"/>
      <c r="AG777" s="297"/>
      <c r="AH777" s="297"/>
      <c r="AI777" s="297"/>
      <c r="AJ777" s="297"/>
      <c r="AK777" s="297"/>
      <c r="AL777" s="297"/>
      <c r="AM777" s="297"/>
      <c r="AO777" s="297"/>
      <c r="AP777" s="297"/>
      <c r="AQ777" s="297"/>
      <c r="AR777" s="297"/>
      <c r="AS777" s="297"/>
      <c r="AT777" s="297"/>
      <c r="AU777" s="297"/>
      <c r="AV777" s="297"/>
      <c r="AW777" s="297"/>
    </row>
    <row r="778" spans="1:49" x14ac:dyDescent="0.45">
      <c r="A778" s="295">
        <v>33025</v>
      </c>
      <c r="B778" s="12">
        <v>-6.7000000000000002E-3</v>
      </c>
      <c r="C778" s="5">
        <v>-2.1099999999999997E-2</v>
      </c>
      <c r="D778" s="5">
        <v>6.7999999999999996E-3</v>
      </c>
      <c r="E778" s="5">
        <v>7.7166666666666659E-3</v>
      </c>
      <c r="F778" s="5">
        <v>7.9083333333333332E-3</v>
      </c>
      <c r="G778" s="5">
        <v>7.8125E-3</v>
      </c>
      <c r="H778" s="5">
        <v>8.175E-3</v>
      </c>
      <c r="I778" s="5">
        <f t="shared" si="132"/>
        <v>-1.35E-2</v>
      </c>
      <c r="J778" s="5">
        <f t="shared" si="125"/>
        <v>-1.4512500000000001E-2</v>
      </c>
      <c r="K778" s="5">
        <f t="shared" si="126"/>
        <v>-2.9274999999999995E-2</v>
      </c>
      <c r="L778" s="8">
        <f t="shared" si="123"/>
        <v>0.16498349050017347</v>
      </c>
      <c r="M778" s="8">
        <f t="shared" si="124"/>
        <v>8.1599999999999992E-2</v>
      </c>
      <c r="N778" s="8">
        <f t="shared" si="127"/>
        <v>9.375E-2</v>
      </c>
      <c r="O778" s="296">
        <f t="shared" si="122"/>
        <v>8.3383490500173477E-2</v>
      </c>
      <c r="P778" s="8">
        <f t="shared" si="128"/>
        <v>7.1233490500173469E-2</v>
      </c>
      <c r="Q778" s="8">
        <f t="shared" si="129"/>
        <v>0.13332656660278563</v>
      </c>
      <c r="R778" s="8">
        <f t="shared" si="130"/>
        <v>9.8099999999999993E-2</v>
      </c>
      <c r="S778" s="296">
        <f t="shared" si="131"/>
        <v>3.5226566602785642E-2</v>
      </c>
      <c r="U778" s="297"/>
      <c r="V778" s="297"/>
      <c r="W778" s="297"/>
      <c r="X778" s="297"/>
      <c r="Y778" s="297"/>
      <c r="Z778" s="297"/>
      <c r="AA778" s="297"/>
      <c r="AB778" s="297"/>
      <c r="AC778" s="297"/>
      <c r="AE778" s="297"/>
      <c r="AF778" s="297"/>
      <c r="AG778" s="297"/>
      <c r="AH778" s="297"/>
      <c r="AI778" s="297"/>
      <c r="AJ778" s="297"/>
      <c r="AK778" s="297"/>
      <c r="AL778" s="297"/>
      <c r="AM778" s="297"/>
      <c r="AO778" s="297"/>
      <c r="AP778" s="297"/>
      <c r="AQ778" s="297"/>
      <c r="AR778" s="297"/>
      <c r="AS778" s="297"/>
      <c r="AT778" s="297"/>
      <c r="AU778" s="297"/>
      <c r="AV778" s="297"/>
      <c r="AW778" s="297"/>
    </row>
    <row r="779" spans="1:49" x14ac:dyDescent="0.45">
      <c r="A779" s="295">
        <v>33055</v>
      </c>
      <c r="B779" s="12">
        <v>-3.2000000000000002E-3</v>
      </c>
      <c r="C779" s="5">
        <v>-3.1999999999999997E-3</v>
      </c>
      <c r="D779" s="5">
        <v>7.4000000000000003E-3</v>
      </c>
      <c r="E779" s="5">
        <v>7.7000000000000002E-3</v>
      </c>
      <c r="F779" s="5">
        <v>7.8916666666666666E-3</v>
      </c>
      <c r="G779" s="5">
        <v>7.7958333333333326E-3</v>
      </c>
      <c r="H779" s="5">
        <v>8.1317500000000001E-3</v>
      </c>
      <c r="I779" s="5">
        <f t="shared" si="132"/>
        <v>-1.06E-2</v>
      </c>
      <c r="J779" s="5">
        <f t="shared" si="125"/>
        <v>-1.0995833333333333E-2</v>
      </c>
      <c r="K779" s="5">
        <f t="shared" si="126"/>
        <v>-1.133175E-2</v>
      </c>
      <c r="L779" s="8">
        <f t="shared" si="123"/>
        <v>6.5078917115080959E-2</v>
      </c>
      <c r="M779" s="8">
        <f t="shared" si="124"/>
        <v>8.8800000000000004E-2</v>
      </c>
      <c r="N779" s="8">
        <f t="shared" si="127"/>
        <v>9.3549999999999994E-2</v>
      </c>
      <c r="O779" s="296">
        <f t="shared" si="122"/>
        <v>-2.3721082884919045E-2</v>
      </c>
      <c r="P779" s="8">
        <f t="shared" si="128"/>
        <v>-2.8471082884919036E-2</v>
      </c>
      <c r="Q779" s="8">
        <f t="shared" si="129"/>
        <v>4.5631175110752098E-2</v>
      </c>
      <c r="R779" s="8">
        <f t="shared" si="130"/>
        <v>9.7581000000000001E-2</v>
      </c>
      <c r="S779" s="296">
        <f t="shared" si="131"/>
        <v>-5.1949824889247903E-2</v>
      </c>
      <c r="U779" s="297"/>
      <c r="V779" s="297"/>
      <c r="W779" s="297"/>
      <c r="X779" s="297"/>
      <c r="Y779" s="297"/>
      <c r="Z779" s="297"/>
      <c r="AA779" s="297"/>
      <c r="AB779" s="297"/>
      <c r="AC779" s="297"/>
      <c r="AE779" s="297"/>
      <c r="AF779" s="297"/>
      <c r="AG779" s="297"/>
      <c r="AH779" s="297"/>
      <c r="AI779" s="297"/>
      <c r="AJ779" s="297"/>
      <c r="AK779" s="297"/>
      <c r="AL779" s="297"/>
      <c r="AM779" s="297"/>
      <c r="AO779" s="297"/>
      <c r="AP779" s="297"/>
      <c r="AQ779" s="297"/>
      <c r="AR779" s="297"/>
      <c r="AS779" s="297"/>
      <c r="AT779" s="297"/>
      <c r="AU779" s="297"/>
      <c r="AV779" s="297"/>
      <c r="AW779" s="297"/>
    </row>
    <row r="780" spans="1:49" x14ac:dyDescent="0.45">
      <c r="A780" s="295">
        <v>33086</v>
      </c>
      <c r="B780" s="12">
        <v>-9.0399999999999994E-2</v>
      </c>
      <c r="C780" s="5">
        <v>-7.9199999999999993E-2</v>
      </c>
      <c r="D780" s="5">
        <v>7.1000000000000004E-3</v>
      </c>
      <c r="E780" s="5">
        <v>7.8416666666666669E-3</v>
      </c>
      <c r="F780" s="5">
        <v>8.0250000000000009E-3</v>
      </c>
      <c r="G780" s="5">
        <v>7.9333333333333339E-3</v>
      </c>
      <c r="H780" s="5">
        <v>8.2464166666666658E-3</v>
      </c>
      <c r="I780" s="5">
        <f t="shared" si="132"/>
        <v>-9.7499999999999989E-2</v>
      </c>
      <c r="J780" s="5">
        <f t="shared" si="125"/>
        <v>-9.8333333333333328E-2</v>
      </c>
      <c r="K780" s="5">
        <f t="shared" si="126"/>
        <v>-8.7446416666666665E-2</v>
      </c>
      <c r="L780" s="8">
        <f t="shared" si="123"/>
        <v>-4.9734396264956016E-2</v>
      </c>
      <c r="M780" s="8">
        <f t="shared" si="124"/>
        <v>8.5199999999999998E-2</v>
      </c>
      <c r="N780" s="8">
        <f t="shared" si="127"/>
        <v>9.5200000000000007E-2</v>
      </c>
      <c r="O780" s="296">
        <f t="shared" si="122"/>
        <v>-0.13493439626495601</v>
      </c>
      <c r="P780" s="8">
        <f t="shared" si="128"/>
        <v>-0.14493439626495602</v>
      </c>
      <c r="Q780" s="8">
        <f t="shared" si="129"/>
        <v>-3.1663294738026315E-2</v>
      </c>
      <c r="R780" s="8">
        <f t="shared" si="130"/>
        <v>9.8956999999999989E-2</v>
      </c>
      <c r="S780" s="296">
        <f t="shared" si="131"/>
        <v>-0.1306202947380263</v>
      </c>
      <c r="U780" s="297"/>
      <c r="V780" s="297"/>
      <c r="W780" s="297"/>
      <c r="X780" s="297"/>
      <c r="Y780" s="297"/>
      <c r="Z780" s="297"/>
      <c r="AA780" s="297"/>
      <c r="AB780" s="297"/>
      <c r="AC780" s="297"/>
      <c r="AE780" s="297"/>
      <c r="AF780" s="297"/>
      <c r="AG780" s="297"/>
      <c r="AH780" s="297"/>
      <c r="AI780" s="297"/>
      <c r="AJ780" s="297"/>
      <c r="AK780" s="297"/>
      <c r="AL780" s="297"/>
      <c r="AM780" s="297"/>
      <c r="AO780" s="297"/>
      <c r="AP780" s="297"/>
      <c r="AQ780" s="297"/>
      <c r="AR780" s="297"/>
      <c r="AS780" s="297"/>
      <c r="AT780" s="297"/>
      <c r="AU780" s="297"/>
      <c r="AV780" s="297"/>
      <c r="AW780" s="297"/>
    </row>
    <row r="781" spans="1:49" x14ac:dyDescent="0.45">
      <c r="A781" s="295">
        <v>33117</v>
      </c>
      <c r="B781" s="12">
        <v>-4.87E-2</v>
      </c>
      <c r="C781" s="5">
        <v>4.1100000000000005E-2</v>
      </c>
      <c r="D781" s="5">
        <v>6.8999999999999999E-3</v>
      </c>
      <c r="E781" s="5">
        <v>7.966666666666667E-3</v>
      </c>
      <c r="F781" s="5">
        <v>8.1416666666666651E-3</v>
      </c>
      <c r="G781" s="5">
        <v>8.0541666666666661E-3</v>
      </c>
      <c r="H781" s="5">
        <v>8.4306666666666662E-3</v>
      </c>
      <c r="I781" s="5">
        <f t="shared" si="132"/>
        <v>-5.5599999999999997E-2</v>
      </c>
      <c r="J781" s="5">
        <f t="shared" si="125"/>
        <v>-5.6754166666666668E-2</v>
      </c>
      <c r="K781" s="5">
        <f t="shared" si="126"/>
        <v>3.2669333333333342E-2</v>
      </c>
      <c r="L781" s="8">
        <f t="shared" si="123"/>
        <v>-9.2290723131692509E-2</v>
      </c>
      <c r="M781" s="8">
        <f t="shared" si="124"/>
        <v>8.2799999999999999E-2</v>
      </c>
      <c r="N781" s="8">
        <f t="shared" si="127"/>
        <v>9.6649999999999986E-2</v>
      </c>
      <c r="O781" s="296">
        <f t="shared" si="122"/>
        <v>-0.17509072313169249</v>
      </c>
      <c r="P781" s="8">
        <f t="shared" si="128"/>
        <v>-0.1889407231316925</v>
      </c>
      <c r="Q781" s="8">
        <f t="shared" si="129"/>
        <v>-8.7164760587603585E-3</v>
      </c>
      <c r="R781" s="8">
        <f t="shared" si="130"/>
        <v>0.10116799999999999</v>
      </c>
      <c r="S781" s="296">
        <f t="shared" si="131"/>
        <v>-0.10988447605876035</v>
      </c>
      <c r="U781" s="297"/>
      <c r="V781" s="297"/>
      <c r="W781" s="297"/>
      <c r="X781" s="297"/>
      <c r="Y781" s="297"/>
      <c r="Z781" s="297"/>
      <c r="AA781" s="297"/>
      <c r="AB781" s="297"/>
      <c r="AC781" s="297"/>
      <c r="AE781" s="297"/>
      <c r="AF781" s="297"/>
      <c r="AG781" s="297"/>
      <c r="AH781" s="297"/>
      <c r="AI781" s="297"/>
      <c r="AJ781" s="297"/>
      <c r="AK781" s="297"/>
      <c r="AL781" s="297"/>
      <c r="AM781" s="297"/>
      <c r="AO781" s="297"/>
      <c r="AP781" s="297"/>
      <c r="AQ781" s="297"/>
      <c r="AR781" s="297"/>
      <c r="AS781" s="297"/>
      <c r="AT781" s="297"/>
      <c r="AU781" s="297"/>
      <c r="AV781" s="297"/>
      <c r="AW781" s="297"/>
    </row>
    <row r="782" spans="1:49" x14ac:dyDescent="0.45">
      <c r="A782" s="295">
        <v>33147</v>
      </c>
      <c r="B782" s="12">
        <v>-4.3E-3</v>
      </c>
      <c r="C782" s="5">
        <v>6.5299999999999997E-2</v>
      </c>
      <c r="D782" s="5">
        <v>8.0999999999999996E-3</v>
      </c>
      <c r="E782" s="5">
        <v>7.9416666666666663E-3</v>
      </c>
      <c r="F782" s="5">
        <v>8.1416666666666651E-3</v>
      </c>
      <c r="G782" s="5">
        <v>8.0416666666666657E-3</v>
      </c>
      <c r="H782" s="5">
        <v>8.3855000000000006E-3</v>
      </c>
      <c r="I782" s="5">
        <f t="shared" si="132"/>
        <v>-1.24E-2</v>
      </c>
      <c r="J782" s="5">
        <f t="shared" si="125"/>
        <v>-1.2341666666666666E-2</v>
      </c>
      <c r="K782" s="5">
        <f t="shared" si="126"/>
        <v>5.6914499999999993E-2</v>
      </c>
      <c r="L782" s="8">
        <f t="shared" si="123"/>
        <v>-7.4727552234056138E-2</v>
      </c>
      <c r="M782" s="8">
        <f t="shared" si="124"/>
        <v>9.7199999999999995E-2</v>
      </c>
      <c r="N782" s="8">
        <f t="shared" si="127"/>
        <v>9.6499999999999989E-2</v>
      </c>
      <c r="O782" s="296">
        <f t="shared" si="122"/>
        <v>-0.17192755223405615</v>
      </c>
      <c r="P782" s="8">
        <f t="shared" si="128"/>
        <v>-0.17122755223405611</v>
      </c>
      <c r="Q782" s="8">
        <f t="shared" si="129"/>
        <v>5.1283562025487894E-2</v>
      </c>
      <c r="R782" s="8">
        <f t="shared" si="130"/>
        <v>0.10062600000000001</v>
      </c>
      <c r="S782" s="296">
        <f t="shared" si="131"/>
        <v>-4.9342437974512113E-2</v>
      </c>
      <c r="U782" s="297"/>
      <c r="V782" s="297"/>
      <c r="W782" s="297"/>
      <c r="X782" s="297"/>
      <c r="Y782" s="297"/>
      <c r="Z782" s="297"/>
      <c r="AA782" s="297"/>
      <c r="AB782" s="297"/>
      <c r="AC782" s="297"/>
      <c r="AE782" s="297"/>
      <c r="AF782" s="297"/>
      <c r="AG782" s="297"/>
      <c r="AH782" s="297"/>
      <c r="AI782" s="297"/>
      <c r="AJ782" s="297"/>
      <c r="AK782" s="297"/>
      <c r="AL782" s="297"/>
      <c r="AM782" s="297"/>
      <c r="AO782" s="297"/>
      <c r="AP782" s="297"/>
      <c r="AQ782" s="297"/>
      <c r="AR782" s="297"/>
      <c r="AS782" s="297"/>
      <c r="AT782" s="297"/>
      <c r="AU782" s="297"/>
      <c r="AV782" s="297"/>
      <c r="AW782" s="297"/>
    </row>
    <row r="783" spans="1:49" x14ac:dyDescent="0.45">
      <c r="A783" s="295">
        <v>33178</v>
      </c>
      <c r="B783" s="12">
        <v>6.4600000000000005E-2</v>
      </c>
      <c r="C783" s="5">
        <v>1.9299999999999998E-2</v>
      </c>
      <c r="D783" s="5">
        <v>7.1000000000000004E-3</v>
      </c>
      <c r="E783" s="5">
        <v>7.7499999999999999E-3</v>
      </c>
      <c r="F783" s="5">
        <v>7.9916666666666678E-3</v>
      </c>
      <c r="G783" s="5">
        <v>7.8708333333333338E-3</v>
      </c>
      <c r="H783" s="5">
        <v>8.2603333333333331E-3</v>
      </c>
      <c r="I783" s="5">
        <f t="shared" si="132"/>
        <v>5.7500000000000002E-2</v>
      </c>
      <c r="J783" s="5">
        <f t="shared" si="125"/>
        <v>5.6729166666666671E-2</v>
      </c>
      <c r="K783" s="5">
        <f t="shared" si="126"/>
        <v>1.1039666666666665E-2</v>
      </c>
      <c r="L783" s="8">
        <f t="shared" si="123"/>
        <v>-3.4648130251250575E-2</v>
      </c>
      <c r="M783" s="8">
        <f t="shared" si="124"/>
        <v>8.5199999999999998E-2</v>
      </c>
      <c r="N783" s="8">
        <f t="shared" si="127"/>
        <v>9.4450000000000006E-2</v>
      </c>
      <c r="O783" s="296">
        <f t="shared" si="122"/>
        <v>-0.11984813025125057</v>
      </c>
      <c r="P783" s="8">
        <f t="shared" si="128"/>
        <v>-0.12909813025125058</v>
      </c>
      <c r="Q783" s="8">
        <f t="shared" si="129"/>
        <v>3.6738907481211225E-2</v>
      </c>
      <c r="R783" s="8">
        <f t="shared" si="130"/>
        <v>9.912399999999999E-2</v>
      </c>
      <c r="S783" s="296">
        <f t="shared" si="131"/>
        <v>-6.2385092518788765E-2</v>
      </c>
      <c r="U783" s="297"/>
      <c r="V783" s="297"/>
      <c r="W783" s="297"/>
      <c r="X783" s="297"/>
      <c r="Y783" s="297"/>
      <c r="Z783" s="297"/>
      <c r="AA783" s="297"/>
      <c r="AB783" s="297"/>
      <c r="AC783" s="297"/>
      <c r="AE783" s="297"/>
      <c r="AF783" s="297"/>
      <c r="AG783" s="297"/>
      <c r="AH783" s="297"/>
      <c r="AI783" s="297"/>
      <c r="AJ783" s="297"/>
      <c r="AK783" s="297"/>
      <c r="AL783" s="297"/>
      <c r="AM783" s="297"/>
      <c r="AO783" s="297"/>
      <c r="AP783" s="297"/>
      <c r="AQ783" s="297"/>
      <c r="AR783" s="297"/>
      <c r="AS783" s="297"/>
      <c r="AT783" s="297"/>
      <c r="AU783" s="297"/>
      <c r="AV783" s="297"/>
      <c r="AW783" s="297"/>
    </row>
    <row r="784" spans="1:49" x14ac:dyDescent="0.45">
      <c r="A784" s="295">
        <v>33208</v>
      </c>
      <c r="B784" s="12">
        <v>2.7900000000000001E-2</v>
      </c>
      <c r="C784" s="5">
        <v>8.6E-3</v>
      </c>
      <c r="D784" s="5">
        <v>7.1999999999999998E-3</v>
      </c>
      <c r="E784" s="5">
        <v>7.5416666666666679E-3</v>
      </c>
      <c r="F784" s="5">
        <v>7.8250000000000004E-3</v>
      </c>
      <c r="G784" s="5">
        <v>7.6833333333333345E-3</v>
      </c>
      <c r="H784" s="5">
        <v>8.1091666666666656E-3</v>
      </c>
      <c r="I784" s="5">
        <f t="shared" si="132"/>
        <v>2.0700000000000003E-2</v>
      </c>
      <c r="J784" s="5">
        <f t="shared" si="125"/>
        <v>2.0216666666666668E-2</v>
      </c>
      <c r="K784" s="5">
        <f t="shared" si="126"/>
        <v>4.9083333333333444E-4</v>
      </c>
      <c r="L784" s="8">
        <f t="shared" si="123"/>
        <v>-3.0971497153574834E-2</v>
      </c>
      <c r="M784" s="8">
        <f t="shared" si="124"/>
        <v>8.6400000000000005E-2</v>
      </c>
      <c r="N784" s="8">
        <f t="shared" si="127"/>
        <v>9.2200000000000018E-2</v>
      </c>
      <c r="O784" s="296">
        <f t="shared" ref="O784:O847" si="133">L784-M784</f>
        <v>-0.11737149715357484</v>
      </c>
      <c r="P784" s="8">
        <f t="shared" si="128"/>
        <v>-0.12317149715357485</v>
      </c>
      <c r="Q784" s="8">
        <f t="shared" si="129"/>
        <v>-2.5575564173376586E-2</v>
      </c>
      <c r="R784" s="8">
        <f t="shared" si="130"/>
        <v>9.730999999999998E-2</v>
      </c>
      <c r="S784" s="296">
        <f t="shared" si="131"/>
        <v>-0.12288556417337657</v>
      </c>
      <c r="U784" s="297"/>
      <c r="V784" s="297"/>
      <c r="W784" s="297"/>
      <c r="X784" s="297"/>
      <c r="Y784" s="297"/>
      <c r="Z784" s="297"/>
      <c r="AA784" s="297"/>
      <c r="AB784" s="297"/>
      <c r="AC784" s="297"/>
      <c r="AE784" s="297"/>
      <c r="AF784" s="297"/>
      <c r="AG784" s="297"/>
      <c r="AH784" s="297"/>
      <c r="AI784" s="297"/>
      <c r="AJ784" s="297"/>
      <c r="AK784" s="297"/>
      <c r="AL784" s="297"/>
      <c r="AM784" s="297"/>
      <c r="AO784" s="297"/>
      <c r="AP784" s="297"/>
      <c r="AQ784" s="297"/>
      <c r="AR784" s="297"/>
      <c r="AS784" s="297"/>
      <c r="AT784" s="297"/>
      <c r="AU784" s="297"/>
      <c r="AV784" s="297"/>
      <c r="AW784" s="297"/>
    </row>
    <row r="785" spans="1:49" x14ac:dyDescent="0.45">
      <c r="A785" s="295">
        <v>33239</v>
      </c>
      <c r="B785" s="12">
        <v>4.36E-2</v>
      </c>
      <c r="C785" s="5">
        <v>-3.0100000000000002E-2</v>
      </c>
      <c r="D785" s="5">
        <v>7.1000000000000004E-3</v>
      </c>
      <c r="E785" s="5">
        <v>7.5333333333333329E-3</v>
      </c>
      <c r="F785" s="5">
        <v>7.8083333333333329E-3</v>
      </c>
      <c r="G785" s="5">
        <v>7.6708333333333333E-3</v>
      </c>
      <c r="H785" s="5">
        <v>8.0939166666666659E-3</v>
      </c>
      <c r="I785" s="5">
        <f t="shared" si="132"/>
        <v>3.6499999999999998E-2</v>
      </c>
      <c r="J785" s="5">
        <f t="shared" si="125"/>
        <v>3.5929166666666665E-2</v>
      </c>
      <c r="K785" s="5">
        <f t="shared" si="126"/>
        <v>-3.8193916666666668E-2</v>
      </c>
      <c r="L785" s="8">
        <f t="shared" ref="L785:L848" si="134">((1+B774)*(1+B775)*(1+B776)*(1+B777)*(1+B778)*(1+B779)*(1+B780)*(1+B781)*(1+B782)*(1+B783)*(1+B784)*(1+B785))-1</f>
        <v>8.4015591778893617E-2</v>
      </c>
      <c r="M785" s="8">
        <f t="shared" ref="M785:M848" si="135">D785*12</f>
        <v>8.5199999999999998E-2</v>
      </c>
      <c r="N785" s="8">
        <f t="shared" si="127"/>
        <v>9.2049999999999993E-2</v>
      </c>
      <c r="O785" s="296">
        <f t="shared" si="133"/>
        <v>-1.1844082211063811E-3</v>
      </c>
      <c r="P785" s="8">
        <f t="shared" si="128"/>
        <v>-8.0344082211063761E-3</v>
      </c>
      <c r="Q785" s="8">
        <f t="shared" si="129"/>
        <v>2.8282298235493331E-2</v>
      </c>
      <c r="R785" s="8">
        <f t="shared" si="130"/>
        <v>9.7126999999999991E-2</v>
      </c>
      <c r="S785" s="296">
        <f t="shared" si="131"/>
        <v>-6.8844701764506661E-2</v>
      </c>
      <c r="U785" s="297"/>
      <c r="V785" s="297"/>
      <c r="W785" s="297"/>
      <c r="X785" s="297"/>
      <c r="Y785" s="297"/>
      <c r="Z785" s="297"/>
      <c r="AA785" s="297"/>
      <c r="AB785" s="297"/>
      <c r="AC785" s="297"/>
      <c r="AE785" s="297"/>
      <c r="AF785" s="297"/>
      <c r="AG785" s="297"/>
      <c r="AH785" s="297"/>
      <c r="AI785" s="297"/>
      <c r="AJ785" s="297"/>
      <c r="AK785" s="297"/>
      <c r="AL785" s="297"/>
      <c r="AM785" s="297"/>
      <c r="AO785" s="297"/>
      <c r="AP785" s="297"/>
      <c r="AQ785" s="297"/>
      <c r="AR785" s="297"/>
      <c r="AS785" s="297"/>
      <c r="AT785" s="297"/>
      <c r="AU785" s="297"/>
      <c r="AV785" s="297"/>
      <c r="AW785" s="297"/>
    </row>
    <row r="786" spans="1:49" x14ac:dyDescent="0.45">
      <c r="A786" s="295">
        <v>33270</v>
      </c>
      <c r="B786" s="12">
        <v>7.1499999999999994E-2</v>
      </c>
      <c r="C786" s="5">
        <v>3.49E-2</v>
      </c>
      <c r="D786" s="5">
        <v>6.4000000000000003E-3</v>
      </c>
      <c r="E786" s="5">
        <v>7.358333333333333E-3</v>
      </c>
      <c r="F786" s="5">
        <v>7.6333333333333331E-3</v>
      </c>
      <c r="G786" s="5">
        <v>7.4958333333333326E-3</v>
      </c>
      <c r="H786" s="5">
        <v>7.8978333333333331E-3</v>
      </c>
      <c r="I786" s="5">
        <f t="shared" si="132"/>
        <v>6.5099999999999991E-2</v>
      </c>
      <c r="J786" s="5">
        <f t="shared" si="125"/>
        <v>6.4004166666666668E-2</v>
      </c>
      <c r="K786" s="5">
        <f t="shared" si="126"/>
        <v>2.7002166666666667E-2</v>
      </c>
      <c r="L786" s="8">
        <f t="shared" si="134"/>
        <v>0.14672989099721989</v>
      </c>
      <c r="M786" s="8">
        <f t="shared" si="135"/>
        <v>7.6800000000000007E-2</v>
      </c>
      <c r="N786" s="8">
        <f t="shared" si="127"/>
        <v>8.9949999999999988E-2</v>
      </c>
      <c r="O786" s="296">
        <f t="shared" si="133"/>
        <v>6.9929890997219885E-2</v>
      </c>
      <c r="P786" s="8">
        <f t="shared" si="128"/>
        <v>5.6779890997219903E-2</v>
      </c>
      <c r="Q786" s="8">
        <f t="shared" si="129"/>
        <v>7.5896623641605654E-2</v>
      </c>
      <c r="R786" s="8">
        <f t="shared" si="130"/>
        <v>9.4773999999999997E-2</v>
      </c>
      <c r="S786" s="296">
        <f t="shared" si="131"/>
        <v>-1.8877376358394343E-2</v>
      </c>
      <c r="U786" s="297"/>
      <c r="V786" s="297"/>
      <c r="W786" s="297"/>
      <c r="X786" s="297"/>
      <c r="Y786" s="297"/>
      <c r="Z786" s="297"/>
      <c r="AA786" s="297"/>
      <c r="AB786" s="297"/>
      <c r="AC786" s="297"/>
      <c r="AE786" s="297"/>
      <c r="AF786" s="297"/>
      <c r="AG786" s="297"/>
      <c r="AH786" s="297"/>
      <c r="AI786" s="297"/>
      <c r="AJ786" s="297"/>
      <c r="AK786" s="297"/>
      <c r="AL786" s="297"/>
      <c r="AM786" s="297"/>
      <c r="AO786" s="297"/>
      <c r="AP786" s="297"/>
      <c r="AQ786" s="297"/>
      <c r="AR786" s="297"/>
      <c r="AS786" s="297"/>
      <c r="AT786" s="297"/>
      <c r="AU786" s="297"/>
      <c r="AV786" s="297"/>
      <c r="AW786" s="297"/>
    </row>
    <row r="787" spans="1:49" x14ac:dyDescent="0.45">
      <c r="A787" s="295">
        <v>33298</v>
      </c>
      <c r="B787" s="12">
        <v>2.4199999999999999E-2</v>
      </c>
      <c r="C787" s="5">
        <v>1.9799999999999998E-2</v>
      </c>
      <c r="D787" s="5">
        <v>6.4000000000000003E-3</v>
      </c>
      <c r="E787" s="5">
        <v>7.4416666666666667E-3</v>
      </c>
      <c r="F787" s="5">
        <v>7.6750000000000004E-3</v>
      </c>
      <c r="G787" s="5">
        <v>7.5583333333333336E-3</v>
      </c>
      <c r="H787" s="5">
        <v>7.9608333333333337E-3</v>
      </c>
      <c r="I787" s="5">
        <f t="shared" si="132"/>
        <v>1.78E-2</v>
      </c>
      <c r="J787" s="5">
        <f t="shared" si="125"/>
        <v>1.6641666666666666E-2</v>
      </c>
      <c r="K787" s="5">
        <f t="shared" si="126"/>
        <v>1.1839166666666665E-2</v>
      </c>
      <c r="L787" s="8">
        <f t="shared" si="134"/>
        <v>0.14416050108071388</v>
      </c>
      <c r="M787" s="8">
        <f t="shared" si="135"/>
        <v>7.6800000000000007E-2</v>
      </c>
      <c r="N787" s="8">
        <f t="shared" si="127"/>
        <v>9.0700000000000003E-2</v>
      </c>
      <c r="O787" s="296">
        <f t="shared" si="133"/>
        <v>6.7360501080713869E-2</v>
      </c>
      <c r="P787" s="8">
        <f t="shared" si="128"/>
        <v>5.3460501080713874E-2</v>
      </c>
      <c r="Q787" s="8">
        <f t="shared" si="129"/>
        <v>7.7058384990389195E-2</v>
      </c>
      <c r="R787" s="8">
        <f t="shared" si="130"/>
        <v>9.5530000000000004E-2</v>
      </c>
      <c r="S787" s="296">
        <f t="shared" si="131"/>
        <v>-1.8471615009610809E-2</v>
      </c>
      <c r="U787" s="297"/>
      <c r="V787" s="297"/>
      <c r="W787" s="297"/>
      <c r="X787" s="297"/>
      <c r="Y787" s="297"/>
      <c r="Z787" s="297"/>
      <c r="AA787" s="297"/>
      <c r="AB787" s="297"/>
      <c r="AC787" s="297"/>
      <c r="AE787" s="297"/>
      <c r="AF787" s="297"/>
      <c r="AG787" s="297"/>
      <c r="AH787" s="297"/>
      <c r="AI787" s="297"/>
      <c r="AJ787" s="297"/>
      <c r="AK787" s="297"/>
      <c r="AL787" s="297"/>
      <c r="AM787" s="297"/>
      <c r="AO787" s="297"/>
      <c r="AP787" s="297"/>
      <c r="AQ787" s="297"/>
      <c r="AR787" s="297"/>
      <c r="AS787" s="297"/>
      <c r="AT787" s="297"/>
      <c r="AU787" s="297"/>
      <c r="AV787" s="297"/>
      <c r="AW787" s="297"/>
    </row>
    <row r="788" spans="1:49" x14ac:dyDescent="0.45">
      <c r="A788" s="295">
        <v>33329</v>
      </c>
      <c r="B788" s="12">
        <v>2.3999999999999998E-3</v>
      </c>
      <c r="C788" s="5">
        <v>-1.6200000000000003E-2</v>
      </c>
      <c r="D788" s="5">
        <v>7.6E-3</v>
      </c>
      <c r="E788" s="5">
        <v>7.3833333333333329E-3</v>
      </c>
      <c r="F788" s="5">
        <v>7.5999999999999991E-3</v>
      </c>
      <c r="G788" s="5">
        <v>7.4916666666666656E-3</v>
      </c>
      <c r="H788" s="5">
        <v>7.8870833333333328E-3</v>
      </c>
      <c r="I788" s="5">
        <f t="shared" si="132"/>
        <v>-5.1999999999999998E-3</v>
      </c>
      <c r="J788" s="5">
        <f t="shared" si="125"/>
        <v>-5.0916666666666662E-3</v>
      </c>
      <c r="K788" s="5">
        <f t="shared" si="126"/>
        <v>-2.4087083333333335E-2</v>
      </c>
      <c r="L788" s="8">
        <f t="shared" si="134"/>
        <v>0.17619370965368431</v>
      </c>
      <c r="M788" s="8">
        <f t="shared" si="135"/>
        <v>9.1200000000000003E-2</v>
      </c>
      <c r="N788" s="8">
        <f t="shared" si="127"/>
        <v>8.989999999999998E-2</v>
      </c>
      <c r="O788" s="296">
        <f t="shared" si="133"/>
        <v>8.4993709653684302E-2</v>
      </c>
      <c r="P788" s="8">
        <f t="shared" si="128"/>
        <v>8.6293709653684325E-2</v>
      </c>
      <c r="Q788" s="8">
        <f t="shared" si="129"/>
        <v>0.1020385222605773</v>
      </c>
      <c r="R788" s="8">
        <f t="shared" si="130"/>
        <v>9.4644999999999993E-2</v>
      </c>
      <c r="S788" s="296">
        <f t="shared" si="131"/>
        <v>7.3935222605773093E-3</v>
      </c>
      <c r="U788" s="297"/>
      <c r="V788" s="297"/>
      <c r="W788" s="297"/>
      <c r="X788" s="297"/>
      <c r="Y788" s="297"/>
      <c r="Z788" s="297"/>
      <c r="AA788" s="297"/>
      <c r="AB788" s="297"/>
      <c r="AC788" s="297"/>
      <c r="AE788" s="297"/>
      <c r="AF788" s="297"/>
      <c r="AG788" s="297"/>
      <c r="AH788" s="297"/>
      <c r="AI788" s="297"/>
      <c r="AJ788" s="297"/>
      <c r="AK788" s="297"/>
      <c r="AL788" s="297"/>
      <c r="AM788" s="297"/>
      <c r="AO788" s="297"/>
      <c r="AP788" s="297"/>
      <c r="AQ788" s="297"/>
      <c r="AR788" s="297"/>
      <c r="AS788" s="297"/>
      <c r="AT788" s="297"/>
      <c r="AU788" s="297"/>
      <c r="AV788" s="297"/>
      <c r="AW788" s="297"/>
    </row>
    <row r="789" spans="1:49" x14ac:dyDescent="0.45">
      <c r="A789" s="295">
        <v>33359</v>
      </c>
      <c r="B789" s="12">
        <v>4.3099999999999999E-2</v>
      </c>
      <c r="C789" s="5">
        <v>-1.2999999999999998E-2</v>
      </c>
      <c r="D789" s="5">
        <v>6.7999999999999996E-3</v>
      </c>
      <c r="E789" s="5">
        <v>7.3833333333333329E-3</v>
      </c>
      <c r="F789" s="5">
        <v>7.6250000000000007E-3</v>
      </c>
      <c r="G789" s="5">
        <v>7.5041666666666677E-3</v>
      </c>
      <c r="H789" s="5">
        <v>7.8602499999999992E-3</v>
      </c>
      <c r="I789" s="5">
        <f t="shared" si="132"/>
        <v>3.6299999999999999E-2</v>
      </c>
      <c r="J789" s="5">
        <f t="shared" si="125"/>
        <v>3.5595833333333333E-2</v>
      </c>
      <c r="K789" s="5">
        <f t="shared" si="126"/>
        <v>-2.0860249999999997E-2</v>
      </c>
      <c r="L789" s="8">
        <f t="shared" si="134"/>
        <v>0.11789308295194334</v>
      </c>
      <c r="M789" s="8">
        <f t="shared" si="135"/>
        <v>8.1599999999999992E-2</v>
      </c>
      <c r="N789" s="8">
        <f t="shared" si="127"/>
        <v>9.0050000000000019E-2</v>
      </c>
      <c r="O789" s="296">
        <f t="shared" si="133"/>
        <v>3.6293082951943348E-2</v>
      </c>
      <c r="P789" s="8">
        <f t="shared" si="128"/>
        <v>2.7843082951943321E-2</v>
      </c>
      <c r="Q789" s="8">
        <f t="shared" si="129"/>
        <v>1.826626237707285E-2</v>
      </c>
      <c r="R789" s="8">
        <f t="shared" si="130"/>
        <v>9.432299999999999E-2</v>
      </c>
      <c r="S789" s="296">
        <f t="shared" si="131"/>
        <v>-7.605673762292714E-2</v>
      </c>
      <c r="U789" s="297"/>
      <c r="V789" s="297"/>
      <c r="W789" s="297"/>
      <c r="X789" s="297"/>
      <c r="Y789" s="297"/>
      <c r="Z789" s="297"/>
      <c r="AA789" s="297"/>
      <c r="AB789" s="297"/>
      <c r="AC789" s="297"/>
      <c r="AE789" s="297"/>
      <c r="AF789" s="297"/>
      <c r="AG789" s="297"/>
      <c r="AH789" s="297"/>
      <c r="AI789" s="297"/>
      <c r="AJ789" s="297"/>
      <c r="AK789" s="297"/>
      <c r="AL789" s="297"/>
      <c r="AM789" s="297"/>
      <c r="AO789" s="297"/>
      <c r="AP789" s="297"/>
      <c r="AQ789" s="297"/>
      <c r="AR789" s="297"/>
      <c r="AS789" s="297"/>
      <c r="AT789" s="297"/>
      <c r="AU789" s="297"/>
      <c r="AV789" s="297"/>
      <c r="AW789" s="297"/>
    </row>
    <row r="790" spans="1:49" x14ac:dyDescent="0.45">
      <c r="A790" s="295">
        <v>33390</v>
      </c>
      <c r="B790" s="12">
        <v>-4.58E-2</v>
      </c>
      <c r="C790" s="5">
        <v>-1.3899999999999999E-2</v>
      </c>
      <c r="D790" s="5">
        <v>6.3E-3</v>
      </c>
      <c r="E790" s="5">
        <v>7.5083333333333339E-3</v>
      </c>
      <c r="F790" s="5">
        <v>7.7333333333333334E-3</v>
      </c>
      <c r="G790" s="5">
        <v>7.6208333333333336E-3</v>
      </c>
      <c r="H790" s="5">
        <v>7.9862500000000003E-3</v>
      </c>
      <c r="I790" s="5">
        <f t="shared" si="132"/>
        <v>-5.21E-2</v>
      </c>
      <c r="J790" s="5">
        <f t="shared" si="125"/>
        <v>-5.3420833333333334E-2</v>
      </c>
      <c r="K790" s="5">
        <f t="shared" si="126"/>
        <v>-2.1886249999999999E-2</v>
      </c>
      <c r="L790" s="8">
        <f t="shared" si="134"/>
        <v>7.3888633597850362E-2</v>
      </c>
      <c r="M790" s="8">
        <f t="shared" si="135"/>
        <v>7.5600000000000001E-2</v>
      </c>
      <c r="N790" s="8">
        <f t="shared" si="127"/>
        <v>9.1450000000000004E-2</v>
      </c>
      <c r="O790" s="296">
        <f t="shared" si="133"/>
        <v>-1.7113664021496389E-3</v>
      </c>
      <c r="P790" s="8">
        <f t="shared" si="128"/>
        <v>-1.7561366402149642E-2</v>
      </c>
      <c r="Q790" s="8">
        <f t="shared" si="129"/>
        <v>2.5755808897774957E-2</v>
      </c>
      <c r="R790" s="8">
        <f t="shared" si="130"/>
        <v>9.5835000000000004E-2</v>
      </c>
      <c r="S790" s="296">
        <f t="shared" si="131"/>
        <v>-7.0079191102225047E-2</v>
      </c>
      <c r="U790" s="297"/>
      <c r="V790" s="297"/>
      <c r="W790" s="297"/>
      <c r="X790" s="297"/>
      <c r="Y790" s="297"/>
      <c r="Z790" s="297"/>
      <c r="AA790" s="297"/>
      <c r="AB790" s="297"/>
      <c r="AC790" s="297"/>
      <c r="AE790" s="297"/>
      <c r="AF790" s="297"/>
      <c r="AG790" s="297"/>
      <c r="AH790" s="297"/>
      <c r="AI790" s="297"/>
      <c r="AJ790" s="297"/>
      <c r="AK790" s="297"/>
      <c r="AL790" s="297"/>
      <c r="AM790" s="297"/>
      <c r="AO790" s="297"/>
      <c r="AP790" s="297"/>
      <c r="AQ790" s="297"/>
      <c r="AR790" s="297"/>
      <c r="AS790" s="297"/>
      <c r="AT790" s="297"/>
      <c r="AU790" s="297"/>
      <c r="AV790" s="297"/>
      <c r="AW790" s="297"/>
    </row>
    <row r="791" spans="1:49" x14ac:dyDescent="0.45">
      <c r="A791" s="295">
        <v>33420</v>
      </c>
      <c r="B791" s="12">
        <v>4.6600000000000003E-2</v>
      </c>
      <c r="C791" s="5">
        <v>3.0700000000000002E-2</v>
      </c>
      <c r="D791" s="5">
        <v>7.6E-3</v>
      </c>
      <c r="E791" s="5">
        <v>7.4999999999999997E-3</v>
      </c>
      <c r="F791" s="5">
        <v>7.7083333333333335E-3</v>
      </c>
      <c r="G791" s="5">
        <v>7.6041666666666671E-3</v>
      </c>
      <c r="H791" s="5">
        <v>7.9564166666666672E-3</v>
      </c>
      <c r="I791" s="5">
        <f t="shared" si="132"/>
        <v>3.9E-2</v>
      </c>
      <c r="J791" s="5">
        <f t="shared" si="125"/>
        <v>3.8995833333333334E-2</v>
      </c>
      <c r="K791" s="5">
        <f t="shared" si="126"/>
        <v>2.2743583333333334E-2</v>
      </c>
      <c r="L791" s="8">
        <f t="shared" si="134"/>
        <v>0.12753997183337673</v>
      </c>
      <c r="M791" s="8">
        <f t="shared" si="135"/>
        <v>9.1200000000000003E-2</v>
      </c>
      <c r="N791" s="8">
        <f t="shared" si="127"/>
        <v>9.1249999999999998E-2</v>
      </c>
      <c r="O791" s="296">
        <f t="shared" si="133"/>
        <v>3.6339971833376727E-2</v>
      </c>
      <c r="P791" s="8">
        <f t="shared" si="128"/>
        <v>3.6289971833376733E-2</v>
      </c>
      <c r="Q791" s="8">
        <f t="shared" si="129"/>
        <v>6.06405620294308E-2</v>
      </c>
      <c r="R791" s="8">
        <f t="shared" si="130"/>
        <v>9.5477000000000006E-2</v>
      </c>
      <c r="S791" s="296">
        <f t="shared" si="131"/>
        <v>-3.4836437970569206E-2</v>
      </c>
      <c r="U791" s="297"/>
      <c r="V791" s="297"/>
      <c r="W791" s="297"/>
      <c r="X791" s="297"/>
      <c r="Y791" s="297"/>
      <c r="Z791" s="297"/>
      <c r="AA791" s="297"/>
      <c r="AB791" s="297"/>
      <c r="AC791" s="297"/>
      <c r="AE791" s="297"/>
      <c r="AF791" s="297"/>
      <c r="AG791" s="297"/>
      <c r="AH791" s="297"/>
      <c r="AI791" s="297"/>
      <c r="AJ791" s="297"/>
      <c r="AK791" s="297"/>
      <c r="AL791" s="297"/>
      <c r="AM791" s="297"/>
      <c r="AO791" s="297"/>
      <c r="AP791" s="297"/>
      <c r="AQ791" s="297"/>
      <c r="AR791" s="297"/>
      <c r="AS791" s="297"/>
      <c r="AT791" s="297"/>
      <c r="AU791" s="297"/>
      <c r="AV791" s="297"/>
      <c r="AW791" s="297"/>
    </row>
    <row r="792" spans="1:49" x14ac:dyDescent="0.45">
      <c r="A792" s="295">
        <v>33451</v>
      </c>
      <c r="B792" s="12">
        <v>2.3699999999999999E-2</v>
      </c>
      <c r="C792" s="5">
        <v>2.58E-2</v>
      </c>
      <c r="D792" s="5">
        <v>6.7999999999999996E-3</v>
      </c>
      <c r="E792" s="5">
        <v>7.2916666666666659E-3</v>
      </c>
      <c r="F792" s="5">
        <v>7.4916666666666664E-3</v>
      </c>
      <c r="G792" s="5">
        <v>7.3916666666666662E-3</v>
      </c>
      <c r="H792" s="5">
        <v>7.7541666666666662E-3</v>
      </c>
      <c r="I792" s="5">
        <f t="shared" si="132"/>
        <v>1.6899999999999998E-2</v>
      </c>
      <c r="J792" s="5">
        <f t="shared" si="125"/>
        <v>1.6308333333333334E-2</v>
      </c>
      <c r="K792" s="5">
        <f t="shared" si="126"/>
        <v>1.8045833333333334E-2</v>
      </c>
      <c r="L792" s="8">
        <f t="shared" si="134"/>
        <v>0.26897830822980207</v>
      </c>
      <c r="M792" s="8">
        <f t="shared" si="135"/>
        <v>8.1599999999999992E-2</v>
      </c>
      <c r="N792" s="8">
        <f t="shared" si="127"/>
        <v>8.8700000000000001E-2</v>
      </c>
      <c r="O792" s="296">
        <f t="shared" si="133"/>
        <v>0.18737830822980206</v>
      </c>
      <c r="P792" s="8">
        <f t="shared" si="128"/>
        <v>0.18027830822980206</v>
      </c>
      <c r="Q792" s="8">
        <f t="shared" si="129"/>
        <v>0.18158675991506312</v>
      </c>
      <c r="R792" s="8">
        <f t="shared" si="130"/>
        <v>9.3049999999999994E-2</v>
      </c>
      <c r="S792" s="296">
        <f t="shared" si="131"/>
        <v>8.8536759915063129E-2</v>
      </c>
      <c r="U792" s="297"/>
      <c r="V792" s="297"/>
      <c r="W792" s="297"/>
      <c r="X792" s="297"/>
      <c r="Y792" s="297"/>
      <c r="Z792" s="297"/>
      <c r="AA792" s="297"/>
      <c r="AB792" s="297"/>
      <c r="AC792" s="297"/>
      <c r="AE792" s="297"/>
      <c r="AF792" s="297"/>
      <c r="AG792" s="297"/>
      <c r="AH792" s="297"/>
      <c r="AI792" s="297"/>
      <c r="AJ792" s="297"/>
      <c r="AK792" s="297"/>
      <c r="AL792" s="297"/>
      <c r="AM792" s="297"/>
      <c r="AO792" s="297"/>
      <c r="AP792" s="297"/>
      <c r="AQ792" s="297"/>
      <c r="AR792" s="297"/>
      <c r="AS792" s="297"/>
      <c r="AT792" s="297"/>
      <c r="AU792" s="297"/>
      <c r="AV792" s="297"/>
      <c r="AW792" s="297"/>
    </row>
    <row r="793" spans="1:49" x14ac:dyDescent="0.45">
      <c r="A793" s="295">
        <v>33482</v>
      </c>
      <c r="B793" s="12">
        <v>-1.67E-2</v>
      </c>
      <c r="C793" s="5">
        <v>2.0199999999999999E-2</v>
      </c>
      <c r="D793" s="5">
        <v>6.7999999999999996E-3</v>
      </c>
      <c r="E793" s="5">
        <v>7.1749999999999991E-3</v>
      </c>
      <c r="F793" s="5">
        <v>7.3833333333333329E-3</v>
      </c>
      <c r="G793" s="5">
        <v>7.2791666666666656E-3</v>
      </c>
      <c r="H793" s="5">
        <v>7.6383333333333338E-3</v>
      </c>
      <c r="I793" s="5">
        <f t="shared" si="132"/>
        <v>-2.35E-2</v>
      </c>
      <c r="J793" s="5">
        <f t="shared" si="125"/>
        <v>-2.3979166666666666E-2</v>
      </c>
      <c r="K793" s="5">
        <f t="shared" si="126"/>
        <v>1.2561666666666665E-2</v>
      </c>
      <c r="L793" s="8">
        <f t="shared" si="134"/>
        <v>0.31166442813241257</v>
      </c>
      <c r="M793" s="8">
        <f t="shared" si="135"/>
        <v>8.1599999999999992E-2</v>
      </c>
      <c r="N793" s="8">
        <f t="shared" si="127"/>
        <v>8.7349999999999983E-2</v>
      </c>
      <c r="O793" s="296">
        <f t="shared" si="133"/>
        <v>0.23006442813241257</v>
      </c>
      <c r="P793" s="8">
        <f t="shared" si="128"/>
        <v>0.22431442813241259</v>
      </c>
      <c r="Q793" s="8">
        <f t="shared" si="129"/>
        <v>0.15786649934237529</v>
      </c>
      <c r="R793" s="8">
        <f t="shared" si="130"/>
        <v>9.1660000000000005E-2</v>
      </c>
      <c r="S793" s="296">
        <f t="shared" si="131"/>
        <v>6.6206499342375283E-2</v>
      </c>
      <c r="U793" s="297"/>
      <c r="V793" s="297"/>
      <c r="W793" s="297"/>
      <c r="X793" s="297"/>
      <c r="Y793" s="297"/>
      <c r="Z793" s="297"/>
      <c r="AA793" s="297"/>
      <c r="AB793" s="297"/>
      <c r="AC793" s="297"/>
      <c r="AE793" s="297"/>
      <c r="AF793" s="297"/>
      <c r="AG793" s="297"/>
      <c r="AH793" s="297"/>
      <c r="AI793" s="297"/>
      <c r="AJ793" s="297"/>
      <c r="AK793" s="297"/>
      <c r="AL793" s="297"/>
      <c r="AM793" s="297"/>
      <c r="AO793" s="297"/>
      <c r="AP793" s="297"/>
      <c r="AQ793" s="297"/>
      <c r="AR793" s="297"/>
      <c r="AS793" s="297"/>
      <c r="AT793" s="297"/>
      <c r="AU793" s="297"/>
      <c r="AV793" s="297"/>
      <c r="AW793" s="297"/>
    </row>
    <row r="794" spans="1:49" x14ac:dyDescent="0.45">
      <c r="A794" s="295">
        <v>33512</v>
      </c>
      <c r="B794" s="12">
        <v>1.34E-2</v>
      </c>
      <c r="C794" s="5">
        <v>0.02</v>
      </c>
      <c r="D794" s="5">
        <v>6.5000000000000006E-3</v>
      </c>
      <c r="E794" s="5">
        <v>7.1250000000000003E-3</v>
      </c>
      <c r="F794" s="5">
        <v>7.358333333333333E-3</v>
      </c>
      <c r="G794" s="5">
        <v>7.2416666666666662E-3</v>
      </c>
      <c r="H794" s="5">
        <v>7.6007500000000007E-3</v>
      </c>
      <c r="I794" s="5">
        <f t="shared" si="132"/>
        <v>6.8999999999999999E-3</v>
      </c>
      <c r="J794" s="5">
        <f t="shared" si="125"/>
        <v>6.1583333333333342E-3</v>
      </c>
      <c r="K794" s="5">
        <f t="shared" si="126"/>
        <v>1.2399250000000001E-2</v>
      </c>
      <c r="L794" s="8">
        <f t="shared" si="134"/>
        <v>0.33498115041617682</v>
      </c>
      <c r="M794" s="8">
        <f t="shared" si="135"/>
        <v>7.8000000000000014E-2</v>
      </c>
      <c r="N794" s="8">
        <f t="shared" si="127"/>
        <v>8.6899999999999991E-2</v>
      </c>
      <c r="O794" s="296">
        <f t="shared" si="133"/>
        <v>0.25698115041617681</v>
      </c>
      <c r="P794" s="8">
        <f t="shared" si="128"/>
        <v>0.24808115041617684</v>
      </c>
      <c r="Q794" s="8">
        <f t="shared" si="129"/>
        <v>0.10863027253282964</v>
      </c>
      <c r="R794" s="8">
        <f t="shared" si="130"/>
        <v>9.1209000000000012E-2</v>
      </c>
      <c r="S794" s="296">
        <f t="shared" si="131"/>
        <v>1.7421272532829629E-2</v>
      </c>
      <c r="U794" s="297"/>
      <c r="V794" s="297"/>
      <c r="W794" s="297"/>
      <c r="X794" s="297"/>
      <c r="Y794" s="297"/>
      <c r="Z794" s="297"/>
      <c r="AA794" s="297"/>
      <c r="AB794" s="297"/>
      <c r="AC794" s="297"/>
      <c r="AE794" s="297"/>
      <c r="AF794" s="297"/>
      <c r="AG794" s="297"/>
      <c r="AH794" s="297"/>
      <c r="AI794" s="297"/>
      <c r="AJ794" s="297"/>
      <c r="AK794" s="297"/>
      <c r="AL794" s="297"/>
      <c r="AM794" s="297"/>
      <c r="AO794" s="297"/>
      <c r="AP794" s="297"/>
      <c r="AQ794" s="297"/>
      <c r="AR794" s="297"/>
      <c r="AS794" s="297"/>
      <c r="AT794" s="297"/>
      <c r="AU794" s="297"/>
      <c r="AV794" s="297"/>
      <c r="AW794" s="297"/>
    </row>
    <row r="795" spans="1:49" x14ac:dyDescent="0.45">
      <c r="A795" s="295">
        <v>33543</v>
      </c>
      <c r="B795" s="12">
        <v>-4.0300000000000002E-2</v>
      </c>
      <c r="C795" s="5">
        <v>-9.7999999999999997E-3</v>
      </c>
      <c r="D795" s="5">
        <v>6.0000000000000001E-3</v>
      </c>
      <c r="E795" s="5">
        <v>7.0666666666666664E-3</v>
      </c>
      <c r="F795" s="5">
        <v>7.3166666666666658E-3</v>
      </c>
      <c r="G795" s="5">
        <v>7.1916666666666665E-3</v>
      </c>
      <c r="H795" s="5">
        <v>7.5445833333333337E-3</v>
      </c>
      <c r="I795" s="5">
        <f t="shared" si="132"/>
        <v>-4.6300000000000001E-2</v>
      </c>
      <c r="J795" s="5">
        <f t="shared" si="125"/>
        <v>-4.7491666666666668E-2</v>
      </c>
      <c r="K795" s="5">
        <f t="shared" si="126"/>
        <v>-1.7344583333333333E-2</v>
      </c>
      <c r="L795" s="8">
        <f t="shared" si="134"/>
        <v>0.20343923544467857</v>
      </c>
      <c r="M795" s="8">
        <f t="shared" si="135"/>
        <v>7.2000000000000008E-2</v>
      </c>
      <c r="N795" s="8">
        <f t="shared" si="127"/>
        <v>8.6300000000000002E-2</v>
      </c>
      <c r="O795" s="296">
        <f t="shared" si="133"/>
        <v>0.13143923544467856</v>
      </c>
      <c r="P795" s="8">
        <f t="shared" si="128"/>
        <v>0.11713923544467857</v>
      </c>
      <c r="Q795" s="8">
        <f t="shared" si="129"/>
        <v>7.6979982205443109E-2</v>
      </c>
      <c r="R795" s="8">
        <f t="shared" si="130"/>
        <v>9.0535000000000004E-2</v>
      </c>
      <c r="S795" s="296">
        <f t="shared" si="131"/>
        <v>-1.3555017794556895E-2</v>
      </c>
      <c r="U795" s="297"/>
      <c r="V795" s="297"/>
      <c r="W795" s="297"/>
      <c r="X795" s="297"/>
      <c r="Y795" s="297"/>
      <c r="Z795" s="297"/>
      <c r="AA795" s="297"/>
      <c r="AB795" s="297"/>
      <c r="AC795" s="297"/>
      <c r="AE795" s="297"/>
      <c r="AF795" s="297"/>
      <c r="AG795" s="297"/>
      <c r="AH795" s="297"/>
      <c r="AI795" s="297"/>
      <c r="AJ795" s="297"/>
      <c r="AK795" s="297"/>
      <c r="AL795" s="297"/>
      <c r="AM795" s="297"/>
      <c r="AO795" s="297"/>
      <c r="AP795" s="297"/>
      <c r="AQ795" s="297"/>
      <c r="AR795" s="297"/>
      <c r="AS795" s="297"/>
      <c r="AT795" s="297"/>
      <c r="AU795" s="297"/>
      <c r="AV795" s="297"/>
      <c r="AW795" s="297"/>
    </row>
    <row r="796" spans="1:49" x14ac:dyDescent="0.45">
      <c r="A796" s="295">
        <v>33573</v>
      </c>
      <c r="B796" s="12">
        <v>0.1144</v>
      </c>
      <c r="C796" s="5">
        <v>7.3300000000000004E-2</v>
      </c>
      <c r="D796" s="5">
        <v>6.7999999999999996E-3</v>
      </c>
      <c r="E796" s="5">
        <v>6.9249999999999997E-3</v>
      </c>
      <c r="F796" s="5">
        <v>7.1749999999999991E-3</v>
      </c>
      <c r="G796" s="5">
        <v>7.0499999999999998E-3</v>
      </c>
      <c r="H796" s="5">
        <v>7.4162500000000001E-3</v>
      </c>
      <c r="I796" s="5">
        <f t="shared" si="132"/>
        <v>0.1076</v>
      </c>
      <c r="J796" s="5">
        <f t="shared" si="125"/>
        <v>0.10735</v>
      </c>
      <c r="K796" s="5">
        <f t="shared" si="126"/>
        <v>6.5883750000000005E-2</v>
      </c>
      <c r="L796" s="8">
        <f t="shared" si="134"/>
        <v>0.30471124037313913</v>
      </c>
      <c r="M796" s="8">
        <f t="shared" si="135"/>
        <v>8.1599999999999992E-2</v>
      </c>
      <c r="N796" s="8">
        <f t="shared" si="127"/>
        <v>8.4599999999999995E-2</v>
      </c>
      <c r="O796" s="296">
        <f t="shared" si="133"/>
        <v>0.22311124037313912</v>
      </c>
      <c r="P796" s="8">
        <f t="shared" si="128"/>
        <v>0.22011124037313912</v>
      </c>
      <c r="Q796" s="8">
        <f t="shared" si="129"/>
        <v>0.1460664434871124</v>
      </c>
      <c r="R796" s="8">
        <f t="shared" si="130"/>
        <v>8.8995000000000005E-2</v>
      </c>
      <c r="S796" s="296">
        <f t="shared" si="131"/>
        <v>5.7071443487112392E-2</v>
      </c>
      <c r="U796" s="297"/>
      <c r="V796" s="297"/>
      <c r="W796" s="297"/>
      <c r="X796" s="297"/>
      <c r="Y796" s="297"/>
      <c r="Z796" s="297"/>
      <c r="AA796" s="297"/>
      <c r="AB796" s="297"/>
      <c r="AC796" s="297"/>
      <c r="AE796" s="297"/>
      <c r="AF796" s="297"/>
      <c r="AG796" s="297"/>
      <c r="AH796" s="297"/>
      <c r="AI796" s="297"/>
      <c r="AJ796" s="297"/>
      <c r="AK796" s="297"/>
      <c r="AL796" s="297"/>
      <c r="AM796" s="297"/>
      <c r="AO796" s="297"/>
      <c r="AP796" s="297"/>
      <c r="AQ796" s="297"/>
      <c r="AR796" s="297"/>
      <c r="AS796" s="297"/>
      <c r="AT796" s="297"/>
      <c r="AU796" s="297"/>
      <c r="AV796" s="297"/>
      <c r="AW796" s="297"/>
    </row>
    <row r="797" spans="1:49" x14ac:dyDescent="0.45">
      <c r="A797" s="295">
        <v>33604</v>
      </c>
      <c r="B797" s="12">
        <v>-1.8599999999999998E-2</v>
      </c>
      <c r="C797" s="5">
        <v>-5.3600000000000002E-2</v>
      </c>
      <c r="D797" s="5">
        <v>6.0999999999999995E-3</v>
      </c>
      <c r="E797" s="5">
        <v>6.8333333333333328E-3</v>
      </c>
      <c r="F797" s="5">
        <v>7.0916666666666663E-3</v>
      </c>
      <c r="G797" s="5">
        <v>6.9624999999999991E-3</v>
      </c>
      <c r="H797" s="5">
        <v>7.3602500000000005E-3</v>
      </c>
      <c r="I797" s="5">
        <f t="shared" si="132"/>
        <v>-2.47E-2</v>
      </c>
      <c r="J797" s="5">
        <f t="shared" ref="J797:J860" si="136">B797-G797</f>
        <v>-2.5562499999999998E-2</v>
      </c>
      <c r="K797" s="5">
        <f t="shared" ref="K797:K860" si="137">$C797-H797</f>
        <v>-6.0960250000000001E-2</v>
      </c>
      <c r="L797" s="8">
        <f t="shared" si="134"/>
        <v>0.22694865015542232</v>
      </c>
      <c r="M797" s="8">
        <f t="shared" si="135"/>
        <v>7.3199999999999987E-2</v>
      </c>
      <c r="N797" s="8">
        <f t="shared" si="127"/>
        <v>8.3549999999999985E-2</v>
      </c>
      <c r="O797" s="296">
        <f t="shared" si="133"/>
        <v>0.15374865015542233</v>
      </c>
      <c r="P797" s="8">
        <f t="shared" si="128"/>
        <v>0.14339865015542233</v>
      </c>
      <c r="Q797" s="8">
        <f t="shared" si="129"/>
        <v>0.11829805352737721</v>
      </c>
      <c r="R797" s="8">
        <f t="shared" si="130"/>
        <v>8.8323000000000013E-2</v>
      </c>
      <c r="S797" s="296">
        <f t="shared" si="131"/>
        <v>2.9975053527377199E-2</v>
      </c>
      <c r="U797" s="297"/>
      <c r="V797" s="297"/>
      <c r="W797" s="297"/>
      <c r="X797" s="297"/>
      <c r="Y797" s="297"/>
      <c r="Z797" s="297"/>
      <c r="AA797" s="297"/>
      <c r="AB797" s="297"/>
      <c r="AC797" s="297"/>
      <c r="AE797" s="297"/>
      <c r="AF797" s="297"/>
      <c r="AG797" s="297"/>
      <c r="AH797" s="297"/>
      <c r="AI797" s="297"/>
      <c r="AJ797" s="297"/>
      <c r="AK797" s="297"/>
      <c r="AL797" s="297"/>
      <c r="AM797" s="297"/>
      <c r="AO797" s="297"/>
      <c r="AP797" s="297"/>
      <c r="AQ797" s="297"/>
      <c r="AR797" s="297"/>
      <c r="AS797" s="297"/>
      <c r="AT797" s="297"/>
      <c r="AU797" s="297"/>
      <c r="AV797" s="297"/>
      <c r="AW797" s="297"/>
    </row>
    <row r="798" spans="1:49" x14ac:dyDescent="0.45">
      <c r="A798" s="295">
        <v>33635</v>
      </c>
      <c r="B798" s="12">
        <v>1.2999999999999999E-2</v>
      </c>
      <c r="C798" s="5">
        <v>-2.7300000000000001E-2</v>
      </c>
      <c r="D798" s="5">
        <v>5.8999999999999999E-3</v>
      </c>
      <c r="E798" s="5">
        <v>6.9083333333333332E-3</v>
      </c>
      <c r="F798" s="5">
        <v>7.2250000000000005E-3</v>
      </c>
      <c r="G798" s="5">
        <v>7.0666666666666664E-3</v>
      </c>
      <c r="H798" s="5">
        <v>7.4420833333333335E-3</v>
      </c>
      <c r="I798" s="5">
        <f t="shared" si="132"/>
        <v>7.0999999999999995E-3</v>
      </c>
      <c r="J798" s="5">
        <f t="shared" si="136"/>
        <v>5.933333333333333E-3</v>
      </c>
      <c r="K798" s="5">
        <f t="shared" si="137"/>
        <v>-3.4742083333333333E-2</v>
      </c>
      <c r="L798" s="8">
        <f t="shared" si="134"/>
        <v>0.1599617196523031</v>
      </c>
      <c r="M798" s="8">
        <f t="shared" si="135"/>
        <v>7.0800000000000002E-2</v>
      </c>
      <c r="N798" s="8">
        <f t="shared" si="127"/>
        <v>8.48E-2</v>
      </c>
      <c r="O798" s="296">
        <f t="shared" si="133"/>
        <v>8.9161719652303101E-2</v>
      </c>
      <c r="P798" s="8">
        <f t="shared" si="128"/>
        <v>7.5161719652303102E-2</v>
      </c>
      <c r="Q798" s="8">
        <f t="shared" si="129"/>
        <v>5.1085628240486791E-2</v>
      </c>
      <c r="R798" s="8">
        <f t="shared" si="130"/>
        <v>8.9304999999999995E-2</v>
      </c>
      <c r="S798" s="296">
        <f t="shared" si="131"/>
        <v>-3.8219371759513204E-2</v>
      </c>
      <c r="U798" s="297"/>
      <c r="V798" s="297"/>
      <c r="W798" s="297"/>
      <c r="X798" s="297"/>
      <c r="Y798" s="297"/>
      <c r="Z798" s="297"/>
      <c r="AA798" s="297"/>
      <c r="AB798" s="297"/>
      <c r="AC798" s="297"/>
      <c r="AE798" s="297"/>
      <c r="AF798" s="297"/>
      <c r="AG798" s="297"/>
      <c r="AH798" s="297"/>
      <c r="AI798" s="297"/>
      <c r="AJ798" s="297"/>
      <c r="AK798" s="297"/>
      <c r="AL798" s="297"/>
      <c r="AM798" s="297"/>
      <c r="AO798" s="297"/>
      <c r="AP798" s="297"/>
      <c r="AQ798" s="297"/>
      <c r="AR798" s="297"/>
      <c r="AS798" s="297"/>
      <c r="AT798" s="297"/>
      <c r="AU798" s="297"/>
      <c r="AV798" s="297"/>
      <c r="AW798" s="297"/>
    </row>
    <row r="799" spans="1:49" x14ac:dyDescent="0.45">
      <c r="A799" s="295">
        <v>33664</v>
      </c>
      <c r="B799" s="12">
        <v>-1.9400000000000001E-2</v>
      </c>
      <c r="C799" s="5">
        <v>-1.43E-2</v>
      </c>
      <c r="D799" s="5">
        <v>6.7000000000000002E-3</v>
      </c>
      <c r="E799" s="5">
        <v>6.9583333333333329E-3</v>
      </c>
      <c r="F799" s="5">
        <v>7.2750000000000002E-3</v>
      </c>
      <c r="G799" s="5">
        <v>7.116666666666667E-3</v>
      </c>
      <c r="H799" s="5">
        <v>7.4727500000000002E-3</v>
      </c>
      <c r="I799" s="5">
        <f t="shared" si="132"/>
        <v>-2.6100000000000002E-2</v>
      </c>
      <c r="J799" s="5">
        <f t="shared" si="136"/>
        <v>-2.6516666666666668E-2</v>
      </c>
      <c r="K799" s="5">
        <f t="shared" si="137"/>
        <v>-2.177275E-2</v>
      </c>
      <c r="L799" s="8">
        <f t="shared" si="134"/>
        <v>0.11058236896216411</v>
      </c>
      <c r="M799" s="8">
        <f t="shared" si="135"/>
        <v>8.0399999999999999E-2</v>
      </c>
      <c r="N799" s="8">
        <f t="shared" si="127"/>
        <v>8.5400000000000004E-2</v>
      </c>
      <c r="O799" s="296">
        <f t="shared" si="133"/>
        <v>3.0182368962164113E-2</v>
      </c>
      <c r="P799" s="8">
        <f t="shared" si="128"/>
        <v>2.5182368962164109E-2</v>
      </c>
      <c r="Q799" s="8">
        <f t="shared" si="129"/>
        <v>1.5939501624482988E-2</v>
      </c>
      <c r="R799" s="8">
        <f t="shared" si="130"/>
        <v>8.9673000000000003E-2</v>
      </c>
      <c r="S799" s="296">
        <f t="shared" si="131"/>
        <v>-7.3733498375517015E-2</v>
      </c>
      <c r="U799" s="297"/>
      <c r="V799" s="297"/>
      <c r="W799" s="297"/>
      <c r="X799" s="297"/>
      <c r="Y799" s="297"/>
      <c r="Z799" s="297"/>
      <c r="AA799" s="297"/>
      <c r="AB799" s="297"/>
      <c r="AC799" s="297"/>
      <c r="AE799" s="297"/>
      <c r="AF799" s="297"/>
      <c r="AG799" s="297"/>
      <c r="AH799" s="297"/>
      <c r="AI799" s="297"/>
      <c r="AJ799" s="297"/>
      <c r="AK799" s="297"/>
      <c r="AL799" s="297"/>
      <c r="AM799" s="297"/>
      <c r="AO799" s="297"/>
      <c r="AP799" s="297"/>
      <c r="AQ799" s="297"/>
      <c r="AR799" s="297"/>
      <c r="AS799" s="297"/>
      <c r="AT799" s="297"/>
      <c r="AU799" s="297"/>
      <c r="AV799" s="297"/>
      <c r="AW799" s="297"/>
    </row>
    <row r="800" spans="1:49" x14ac:dyDescent="0.45">
      <c r="A800" s="295">
        <v>33695</v>
      </c>
      <c r="B800" s="12">
        <v>2.9399999999999999E-2</v>
      </c>
      <c r="C800" s="5">
        <v>6.4500000000000002E-2</v>
      </c>
      <c r="D800" s="5">
        <v>6.5000000000000006E-3</v>
      </c>
      <c r="E800" s="5">
        <v>6.9416666666666672E-3</v>
      </c>
      <c r="F800" s="5">
        <v>7.2416666666666662E-3</v>
      </c>
      <c r="G800" s="5">
        <v>7.0916666666666671E-3</v>
      </c>
      <c r="H800" s="5">
        <v>7.4380833333333339E-3</v>
      </c>
      <c r="I800" s="5">
        <f t="shared" si="132"/>
        <v>2.2899999999999997E-2</v>
      </c>
      <c r="J800" s="5">
        <f t="shared" si="136"/>
        <v>2.2308333333333333E-2</v>
      </c>
      <c r="K800" s="5">
        <f t="shared" si="137"/>
        <v>5.7061916666666671E-2</v>
      </c>
      <c r="L800" s="8">
        <f t="shared" si="134"/>
        <v>0.14049629949087361</v>
      </c>
      <c r="M800" s="8">
        <f t="shared" si="135"/>
        <v>7.8000000000000014E-2</v>
      </c>
      <c r="N800" s="8">
        <f t="shared" si="127"/>
        <v>8.5100000000000009E-2</v>
      </c>
      <c r="O800" s="296">
        <f t="shared" si="133"/>
        <v>6.2496299490873597E-2</v>
      </c>
      <c r="P800" s="8">
        <f t="shared" si="128"/>
        <v>5.5396299490873602E-2</v>
      </c>
      <c r="Q800" s="8">
        <f t="shared" si="129"/>
        <v>9.9275868549768775E-2</v>
      </c>
      <c r="R800" s="8">
        <f t="shared" si="130"/>
        <v>8.9257000000000003E-2</v>
      </c>
      <c r="S800" s="296">
        <f t="shared" si="131"/>
        <v>1.0018868549768772E-2</v>
      </c>
      <c r="U800" s="297"/>
      <c r="V800" s="297"/>
      <c r="W800" s="297"/>
      <c r="X800" s="297"/>
      <c r="Y800" s="297"/>
      <c r="Z800" s="297"/>
      <c r="AA800" s="297"/>
      <c r="AB800" s="297"/>
      <c r="AC800" s="297"/>
      <c r="AE800" s="297"/>
      <c r="AF800" s="297"/>
      <c r="AG800" s="297"/>
      <c r="AH800" s="297"/>
      <c r="AI800" s="297"/>
      <c r="AJ800" s="297"/>
      <c r="AK800" s="297"/>
      <c r="AL800" s="297"/>
      <c r="AM800" s="297"/>
      <c r="AO800" s="297"/>
      <c r="AP800" s="297"/>
      <c r="AQ800" s="297"/>
      <c r="AR800" s="297"/>
      <c r="AS800" s="297"/>
      <c r="AT800" s="297"/>
      <c r="AU800" s="297"/>
      <c r="AV800" s="297"/>
      <c r="AW800" s="297"/>
    </row>
    <row r="801" spans="1:49" x14ac:dyDescent="0.45">
      <c r="A801" s="295">
        <v>33725</v>
      </c>
      <c r="B801" s="12">
        <v>4.8999999999999998E-3</v>
      </c>
      <c r="C801" s="5">
        <v>-1.5000000000000005E-3</v>
      </c>
      <c r="D801" s="5">
        <v>6.0999999999999995E-3</v>
      </c>
      <c r="E801" s="5">
        <v>6.8999999999999999E-3</v>
      </c>
      <c r="F801" s="5">
        <v>7.1916666666666674E-3</v>
      </c>
      <c r="G801" s="5">
        <v>7.0458333333333336E-3</v>
      </c>
      <c r="H801" s="5">
        <v>7.3995833333333335E-3</v>
      </c>
      <c r="I801" s="5">
        <f t="shared" si="132"/>
        <v>-1.1999999999999997E-3</v>
      </c>
      <c r="J801" s="5">
        <f t="shared" si="136"/>
        <v>-2.1458333333333338E-3</v>
      </c>
      <c r="K801" s="5">
        <f t="shared" si="137"/>
        <v>-8.899583333333334E-3</v>
      </c>
      <c r="L801" s="8">
        <f t="shared" si="134"/>
        <v>9.872949032535594E-2</v>
      </c>
      <c r="M801" s="8">
        <f t="shared" si="135"/>
        <v>7.3199999999999987E-2</v>
      </c>
      <c r="N801" s="8">
        <f t="shared" si="127"/>
        <v>8.455E-2</v>
      </c>
      <c r="O801" s="296">
        <f t="shared" si="133"/>
        <v>2.5529490325355952E-2</v>
      </c>
      <c r="P801" s="8">
        <f t="shared" si="128"/>
        <v>1.417949032535594E-2</v>
      </c>
      <c r="Q801" s="8">
        <f t="shared" si="129"/>
        <v>0.11208404736265853</v>
      </c>
      <c r="R801" s="8">
        <f t="shared" si="130"/>
        <v>8.8794999999999999E-2</v>
      </c>
      <c r="S801" s="296">
        <f t="shared" si="131"/>
        <v>2.3289047362658535E-2</v>
      </c>
      <c r="U801" s="297"/>
      <c r="V801" s="297"/>
      <c r="W801" s="297"/>
      <c r="X801" s="297"/>
      <c r="Y801" s="297"/>
      <c r="Z801" s="297"/>
      <c r="AA801" s="297"/>
      <c r="AB801" s="297"/>
      <c r="AC801" s="297"/>
      <c r="AE801" s="297"/>
      <c r="AF801" s="297"/>
      <c r="AG801" s="297"/>
      <c r="AH801" s="297"/>
      <c r="AI801" s="297"/>
      <c r="AJ801" s="297"/>
      <c r="AK801" s="297"/>
      <c r="AL801" s="297"/>
      <c r="AM801" s="297"/>
      <c r="AO801" s="297"/>
      <c r="AP801" s="297"/>
      <c r="AQ801" s="297"/>
      <c r="AR801" s="297"/>
      <c r="AS801" s="297"/>
      <c r="AT801" s="297"/>
      <c r="AU801" s="297"/>
      <c r="AV801" s="297"/>
      <c r="AW801" s="297"/>
    </row>
    <row r="802" spans="1:49" x14ac:dyDescent="0.45">
      <c r="A802" s="295">
        <v>33756</v>
      </c>
      <c r="B802" s="12">
        <v>-1.49E-2</v>
      </c>
      <c r="C802" s="5">
        <v>1.41E-2</v>
      </c>
      <c r="D802" s="5">
        <v>6.7000000000000002E-3</v>
      </c>
      <c r="E802" s="5">
        <v>6.8500000000000002E-3</v>
      </c>
      <c r="F802" s="5">
        <v>7.1333333333333335E-3</v>
      </c>
      <c r="G802" s="5">
        <v>6.9916666666666669E-3</v>
      </c>
      <c r="H802" s="5">
        <v>7.3230833333333325E-3</v>
      </c>
      <c r="I802" s="5">
        <f t="shared" si="132"/>
        <v>-2.1600000000000001E-2</v>
      </c>
      <c r="J802" s="5">
        <f t="shared" si="136"/>
        <v>-2.1891666666666667E-2</v>
      </c>
      <c r="K802" s="5">
        <f t="shared" si="137"/>
        <v>6.7769166666666672E-3</v>
      </c>
      <c r="L802" s="8">
        <f t="shared" si="134"/>
        <v>0.13430981022794874</v>
      </c>
      <c r="M802" s="8">
        <f t="shared" si="135"/>
        <v>8.0399999999999999E-2</v>
      </c>
      <c r="N802" s="8">
        <f t="shared" si="127"/>
        <v>8.3900000000000002E-2</v>
      </c>
      <c r="O802" s="296">
        <f t="shared" si="133"/>
        <v>5.3909810227948746E-2</v>
      </c>
      <c r="P802" s="8">
        <f t="shared" si="128"/>
        <v>5.0409810227948743E-2</v>
      </c>
      <c r="Q802" s="8">
        <f t="shared" si="129"/>
        <v>0.14366132484582916</v>
      </c>
      <c r="R802" s="8">
        <f t="shared" si="130"/>
        <v>8.7876999999999983E-2</v>
      </c>
      <c r="S802" s="296">
        <f t="shared" si="131"/>
        <v>5.5784324845829181E-2</v>
      </c>
      <c r="U802" s="297"/>
      <c r="V802" s="297"/>
      <c r="W802" s="297"/>
      <c r="X802" s="297"/>
      <c r="Y802" s="297"/>
      <c r="Z802" s="297"/>
      <c r="AA802" s="297"/>
      <c r="AB802" s="297"/>
      <c r="AC802" s="297"/>
      <c r="AE802" s="297"/>
      <c r="AF802" s="297"/>
      <c r="AG802" s="297"/>
      <c r="AH802" s="297"/>
      <c r="AI802" s="297"/>
      <c r="AJ802" s="297"/>
      <c r="AK802" s="297"/>
      <c r="AL802" s="297"/>
      <c r="AM802" s="297"/>
      <c r="AO802" s="297"/>
      <c r="AP802" s="297"/>
      <c r="AQ802" s="297"/>
      <c r="AR802" s="297"/>
      <c r="AS802" s="297"/>
      <c r="AT802" s="297"/>
      <c r="AU802" s="297"/>
      <c r="AV802" s="297"/>
      <c r="AW802" s="297"/>
    </row>
    <row r="803" spans="1:49" x14ac:dyDescent="0.45">
      <c r="A803" s="295">
        <v>33786</v>
      </c>
      <c r="B803" s="12">
        <v>4.0899999999999999E-2</v>
      </c>
      <c r="C803" s="5">
        <v>7.9000000000000001E-2</v>
      </c>
      <c r="D803" s="5">
        <v>6.3E-3</v>
      </c>
      <c r="E803" s="5">
        <v>6.7250000000000001E-3</v>
      </c>
      <c r="F803" s="5">
        <v>6.9749999999999986E-3</v>
      </c>
      <c r="G803" s="5">
        <v>6.8499999999999993E-3</v>
      </c>
      <c r="H803" s="5">
        <v>7.1492500000000002E-3</v>
      </c>
      <c r="I803" s="5">
        <f t="shared" si="132"/>
        <v>3.4599999999999999E-2</v>
      </c>
      <c r="J803" s="5">
        <f t="shared" si="136"/>
        <v>3.4049999999999997E-2</v>
      </c>
      <c r="K803" s="5">
        <f t="shared" si="137"/>
        <v>7.1850750000000005E-2</v>
      </c>
      <c r="L803" s="8">
        <f t="shared" si="134"/>
        <v>0.12813212446614908</v>
      </c>
      <c r="M803" s="8">
        <f t="shared" si="135"/>
        <v>7.5600000000000001E-2</v>
      </c>
      <c r="N803" s="8">
        <f t="shared" si="127"/>
        <v>8.2199999999999995E-2</v>
      </c>
      <c r="O803" s="296">
        <f t="shared" si="133"/>
        <v>5.2532124466149077E-2</v>
      </c>
      <c r="P803" s="8">
        <f t="shared" si="128"/>
        <v>4.5932124466149082E-2</v>
      </c>
      <c r="Q803" s="8">
        <f t="shared" si="129"/>
        <v>0.19725484574429974</v>
      </c>
      <c r="R803" s="8">
        <f t="shared" si="130"/>
        <v>8.5791000000000006E-2</v>
      </c>
      <c r="S803" s="296">
        <f t="shared" si="131"/>
        <v>0.11146384574429974</v>
      </c>
      <c r="U803" s="297"/>
      <c r="V803" s="297"/>
      <c r="W803" s="297"/>
      <c r="X803" s="297"/>
      <c r="Y803" s="297"/>
      <c r="Z803" s="297"/>
      <c r="AA803" s="297"/>
      <c r="AB803" s="297"/>
      <c r="AC803" s="297"/>
      <c r="AE803" s="297"/>
      <c r="AF803" s="297"/>
      <c r="AG803" s="297"/>
      <c r="AH803" s="297"/>
      <c r="AI803" s="297"/>
      <c r="AJ803" s="297"/>
      <c r="AK803" s="297"/>
      <c r="AL803" s="297"/>
      <c r="AM803" s="297"/>
      <c r="AO803" s="297"/>
      <c r="AP803" s="297"/>
      <c r="AQ803" s="297"/>
      <c r="AR803" s="297"/>
      <c r="AS803" s="297"/>
      <c r="AT803" s="297"/>
      <c r="AU803" s="297"/>
      <c r="AV803" s="297"/>
      <c r="AW803" s="297"/>
    </row>
    <row r="804" spans="1:49" x14ac:dyDescent="0.45">
      <c r="A804" s="295">
        <v>33817</v>
      </c>
      <c r="B804" s="12">
        <v>-2.0500000000000001E-2</v>
      </c>
      <c r="C804" s="5">
        <v>-7.4000000000000012E-3</v>
      </c>
      <c r="D804" s="5">
        <v>6.0000000000000001E-3</v>
      </c>
      <c r="E804" s="5">
        <v>6.6249999999999998E-3</v>
      </c>
      <c r="F804" s="5">
        <v>6.8416666666666669E-3</v>
      </c>
      <c r="G804" s="5">
        <v>6.7333333333333334E-3</v>
      </c>
      <c r="H804" s="5">
        <v>7.031333333333333E-3</v>
      </c>
      <c r="I804" s="5">
        <f t="shared" si="132"/>
        <v>-2.6500000000000003E-2</v>
      </c>
      <c r="J804" s="5">
        <f t="shared" si="136"/>
        <v>-2.7233333333333335E-2</v>
      </c>
      <c r="K804" s="5">
        <f t="shared" si="137"/>
        <v>-1.4431333333333334E-2</v>
      </c>
      <c r="L804" s="8">
        <f t="shared" si="134"/>
        <v>7.9423088712115675E-2</v>
      </c>
      <c r="M804" s="8">
        <f t="shared" si="135"/>
        <v>7.2000000000000008E-2</v>
      </c>
      <c r="N804" s="8">
        <f t="shared" si="127"/>
        <v>8.0799999999999997E-2</v>
      </c>
      <c r="O804" s="296">
        <f t="shared" si="133"/>
        <v>7.4230887121156663E-3</v>
      </c>
      <c r="P804" s="8">
        <f t="shared" si="128"/>
        <v>-1.376911287884322E-3</v>
      </c>
      <c r="Q804" s="8">
        <f t="shared" si="129"/>
        <v>0.158505712503209</v>
      </c>
      <c r="R804" s="8">
        <f t="shared" si="130"/>
        <v>8.4375999999999993E-2</v>
      </c>
      <c r="S804" s="296">
        <f t="shared" si="131"/>
        <v>7.4129712503209003E-2</v>
      </c>
      <c r="U804" s="297"/>
      <c r="V804" s="297"/>
      <c r="W804" s="297"/>
      <c r="X804" s="297"/>
      <c r="Y804" s="297"/>
      <c r="Z804" s="297"/>
      <c r="AA804" s="297"/>
      <c r="AB804" s="297"/>
      <c r="AC804" s="297"/>
      <c r="AE804" s="297"/>
      <c r="AF804" s="297"/>
      <c r="AG804" s="297"/>
      <c r="AH804" s="297"/>
      <c r="AI804" s="297"/>
      <c r="AJ804" s="297"/>
      <c r="AK804" s="297"/>
      <c r="AL804" s="297"/>
      <c r="AM804" s="297"/>
      <c r="AO804" s="297"/>
      <c r="AP804" s="297"/>
      <c r="AQ804" s="297"/>
      <c r="AR804" s="297"/>
      <c r="AS804" s="297"/>
      <c r="AT804" s="297"/>
      <c r="AU804" s="297"/>
      <c r="AV804" s="297"/>
      <c r="AW804" s="297"/>
    </row>
    <row r="805" spans="1:49" x14ac:dyDescent="0.45">
      <c r="A805" s="295">
        <v>33848</v>
      </c>
      <c r="B805" s="12">
        <v>1.18E-2</v>
      </c>
      <c r="C805" s="5">
        <v>7.2999999999999983E-3</v>
      </c>
      <c r="D805" s="5">
        <v>5.7999999999999996E-3</v>
      </c>
      <c r="E805" s="5">
        <v>6.6E-3</v>
      </c>
      <c r="F805" s="5">
        <v>6.8083333333333329E-3</v>
      </c>
      <c r="G805" s="5">
        <v>6.7041666666666664E-3</v>
      </c>
      <c r="H805" s="5">
        <v>7.0059166666666664E-3</v>
      </c>
      <c r="I805" s="5">
        <f t="shared" si="132"/>
        <v>6.0000000000000001E-3</v>
      </c>
      <c r="J805" s="5">
        <f t="shared" si="136"/>
        <v>5.0958333333333333E-3</v>
      </c>
      <c r="K805" s="5">
        <f t="shared" si="137"/>
        <v>2.9408333333333196E-4</v>
      </c>
      <c r="L805" s="8">
        <f t="shared" si="134"/>
        <v>0.11070912352173168</v>
      </c>
      <c r="M805" s="8">
        <f t="shared" si="135"/>
        <v>6.9599999999999995E-2</v>
      </c>
      <c r="N805" s="8">
        <f t="shared" si="127"/>
        <v>8.0449999999999994E-2</v>
      </c>
      <c r="O805" s="296">
        <f t="shared" si="133"/>
        <v>4.1109123521731683E-2</v>
      </c>
      <c r="P805" s="8">
        <f t="shared" si="128"/>
        <v>3.0259123521731685E-2</v>
      </c>
      <c r="Q805" s="8">
        <f t="shared" si="129"/>
        <v>0.14385689492695786</v>
      </c>
      <c r="R805" s="8">
        <f t="shared" si="130"/>
        <v>8.4070999999999993E-2</v>
      </c>
      <c r="S805" s="296">
        <f t="shared" si="131"/>
        <v>5.9785894926957864E-2</v>
      </c>
      <c r="U805" s="297"/>
      <c r="V805" s="297"/>
      <c r="W805" s="297"/>
      <c r="X805" s="297"/>
      <c r="Y805" s="297"/>
      <c r="Z805" s="297"/>
      <c r="AA805" s="297"/>
      <c r="AB805" s="297"/>
      <c r="AC805" s="297"/>
      <c r="AE805" s="297"/>
      <c r="AF805" s="297"/>
      <c r="AG805" s="297"/>
      <c r="AH805" s="297"/>
      <c r="AI805" s="297"/>
      <c r="AJ805" s="297"/>
      <c r="AK805" s="297"/>
      <c r="AL805" s="297"/>
      <c r="AM805" s="297"/>
      <c r="AO805" s="297"/>
      <c r="AP805" s="297"/>
      <c r="AQ805" s="297"/>
      <c r="AR805" s="297"/>
      <c r="AS805" s="297"/>
      <c r="AT805" s="297"/>
      <c r="AU805" s="297"/>
      <c r="AV805" s="297"/>
      <c r="AW805" s="297"/>
    </row>
    <row r="806" spans="1:49" x14ac:dyDescent="0.45">
      <c r="A806" s="295">
        <v>33878</v>
      </c>
      <c r="B806" s="12">
        <v>3.5000000000000001E-3</v>
      </c>
      <c r="C806" s="5">
        <v>-9.3999999999999986E-3</v>
      </c>
      <c r="D806" s="5">
        <v>5.7000000000000002E-3</v>
      </c>
      <c r="E806" s="5">
        <v>6.6583333333333338E-3</v>
      </c>
      <c r="F806" s="5">
        <v>6.9333333333333339E-3</v>
      </c>
      <c r="G806" s="5">
        <v>6.7958333333333343E-3</v>
      </c>
      <c r="H806" s="5">
        <v>7.1056666666666664E-3</v>
      </c>
      <c r="I806" s="5">
        <f t="shared" si="132"/>
        <v>-2.2000000000000001E-3</v>
      </c>
      <c r="J806" s="5">
        <f t="shared" si="136"/>
        <v>-3.2958333333333342E-3</v>
      </c>
      <c r="K806" s="5">
        <f t="shared" si="137"/>
        <v>-1.6505666666666665E-2</v>
      </c>
      <c r="L806" s="8">
        <f t="shared" si="134"/>
        <v>9.9858501533508726E-2</v>
      </c>
      <c r="M806" s="8">
        <f t="shared" si="135"/>
        <v>6.8400000000000002E-2</v>
      </c>
      <c r="N806" s="8">
        <f t="shared" si="127"/>
        <v>8.1550000000000011E-2</v>
      </c>
      <c r="O806" s="296">
        <f t="shared" si="133"/>
        <v>3.1458501533508723E-2</v>
      </c>
      <c r="P806" s="8">
        <f t="shared" si="128"/>
        <v>1.8308501533508714E-2</v>
      </c>
      <c r="Q806" s="8">
        <f t="shared" si="129"/>
        <v>0.11088690207318086</v>
      </c>
      <c r="R806" s="8">
        <f t="shared" si="130"/>
        <v>8.5267999999999997E-2</v>
      </c>
      <c r="S806" s="296">
        <f t="shared" si="131"/>
        <v>2.5618902073180863E-2</v>
      </c>
      <c r="U806" s="297"/>
      <c r="V806" s="297"/>
      <c r="W806" s="297"/>
      <c r="X806" s="297"/>
      <c r="Y806" s="297"/>
      <c r="Z806" s="297"/>
      <c r="AA806" s="297"/>
      <c r="AB806" s="297"/>
      <c r="AC806" s="297"/>
      <c r="AE806" s="297"/>
      <c r="AF806" s="297"/>
      <c r="AG806" s="297"/>
      <c r="AH806" s="297"/>
      <c r="AI806" s="297"/>
      <c r="AJ806" s="297"/>
      <c r="AK806" s="297"/>
      <c r="AL806" s="297"/>
      <c r="AM806" s="297"/>
      <c r="AO806" s="297"/>
      <c r="AP806" s="297"/>
      <c r="AQ806" s="297"/>
      <c r="AR806" s="297"/>
      <c r="AS806" s="297"/>
      <c r="AT806" s="297"/>
      <c r="AU806" s="297"/>
      <c r="AV806" s="297"/>
      <c r="AW806" s="297"/>
    </row>
    <row r="807" spans="1:49" x14ac:dyDescent="0.45">
      <c r="A807" s="295">
        <v>33909</v>
      </c>
      <c r="B807" s="12">
        <v>3.4099999999999998E-2</v>
      </c>
      <c r="C807" s="5">
        <v>-1.5000000000000005E-3</v>
      </c>
      <c r="D807" s="5">
        <v>6.0999999999999995E-3</v>
      </c>
      <c r="E807" s="5">
        <v>6.7499999999999991E-3</v>
      </c>
      <c r="F807" s="5">
        <v>7.000000000000001E-3</v>
      </c>
      <c r="G807" s="5">
        <v>6.875E-3</v>
      </c>
      <c r="H807" s="5">
        <v>7.1925833333333329E-3</v>
      </c>
      <c r="I807" s="5">
        <f t="shared" si="132"/>
        <v>2.7999999999999997E-2</v>
      </c>
      <c r="J807" s="5">
        <f t="shared" si="136"/>
        <v>2.7224999999999999E-2</v>
      </c>
      <c r="K807" s="5">
        <f t="shared" si="137"/>
        <v>-8.6925833333333334E-3</v>
      </c>
      <c r="L807" s="8">
        <f t="shared" si="134"/>
        <v>0.18512418092716643</v>
      </c>
      <c r="M807" s="8">
        <f t="shared" si="135"/>
        <v>7.3199999999999987E-2</v>
      </c>
      <c r="N807" s="8">
        <f t="shared" si="127"/>
        <v>8.2500000000000004E-2</v>
      </c>
      <c r="O807" s="296">
        <f t="shared" si="133"/>
        <v>0.11192418092716644</v>
      </c>
      <c r="P807" s="8">
        <f t="shared" si="128"/>
        <v>0.10262418092716642</v>
      </c>
      <c r="Q807" s="8">
        <f t="shared" si="129"/>
        <v>0.12019851718851893</v>
      </c>
      <c r="R807" s="8">
        <f t="shared" si="130"/>
        <v>8.6310999999999999E-2</v>
      </c>
      <c r="S807" s="296">
        <f t="shared" si="131"/>
        <v>3.3887517188518929E-2</v>
      </c>
      <c r="U807" s="297"/>
      <c r="V807" s="297"/>
      <c r="W807" s="297"/>
      <c r="X807" s="297"/>
      <c r="Y807" s="297"/>
      <c r="Z807" s="297"/>
      <c r="AA807" s="297"/>
      <c r="AB807" s="297"/>
      <c r="AC807" s="297"/>
      <c r="AE807" s="297"/>
      <c r="AF807" s="297"/>
      <c r="AG807" s="297"/>
      <c r="AH807" s="297"/>
      <c r="AI807" s="297"/>
      <c r="AJ807" s="297"/>
      <c r="AK807" s="297"/>
      <c r="AL807" s="297"/>
      <c r="AM807" s="297"/>
      <c r="AO807" s="297"/>
      <c r="AP807" s="297"/>
      <c r="AQ807" s="297"/>
      <c r="AR807" s="297"/>
      <c r="AS807" s="297"/>
      <c r="AT807" s="297"/>
      <c r="AU807" s="297"/>
      <c r="AV807" s="297"/>
      <c r="AW807" s="297"/>
    </row>
    <row r="808" spans="1:49" x14ac:dyDescent="0.45">
      <c r="A808" s="295">
        <v>33939</v>
      </c>
      <c r="B808" s="12">
        <v>1.23E-2</v>
      </c>
      <c r="C808" s="5">
        <v>3.5799999999999998E-2</v>
      </c>
      <c r="D808" s="5">
        <v>6.3E-3</v>
      </c>
      <c r="E808" s="5">
        <v>6.6500000000000005E-3</v>
      </c>
      <c r="F808" s="5">
        <v>6.8666666666666668E-3</v>
      </c>
      <c r="G808" s="5">
        <v>6.7583333333333332E-3</v>
      </c>
      <c r="H808" s="5">
        <v>7.0420833333333334E-3</v>
      </c>
      <c r="I808" s="5">
        <f t="shared" si="132"/>
        <v>6.0000000000000001E-3</v>
      </c>
      <c r="J808" s="5">
        <f t="shared" si="136"/>
        <v>5.541666666666667E-3</v>
      </c>
      <c r="K808" s="5">
        <f t="shared" si="137"/>
        <v>2.8757916666666664E-2</v>
      </c>
      <c r="L808" s="8">
        <f t="shared" si="134"/>
        <v>7.6544515750690989E-2</v>
      </c>
      <c r="M808" s="8">
        <f t="shared" si="135"/>
        <v>7.5600000000000001E-2</v>
      </c>
      <c r="N808" s="8">
        <f t="shared" ref="N808:N871" si="138">G808*12</f>
        <v>8.1100000000000005E-2</v>
      </c>
      <c r="O808" s="296">
        <f t="shared" si="133"/>
        <v>9.4451575069098848E-4</v>
      </c>
      <c r="P808" s="8">
        <f t="shared" ref="P808:P871" si="139">L808-N808</f>
        <v>-4.5554842493090164E-3</v>
      </c>
      <c r="Q808" s="8">
        <f t="shared" ref="Q808:Q871" si="140">((1+C797)*(1+C798)*(1+C799)*(1+C800)*(1+C801)*(1+C802)*(1+C803)*(1+C804)*(1+C805)*(1+C806)*(1+C807)*(1+C808))-1</f>
        <v>8.1059931150533782E-2</v>
      </c>
      <c r="R808" s="8">
        <f t="shared" ref="R808:R871" si="141">H808*12</f>
        <v>8.4504999999999997E-2</v>
      </c>
      <c r="S808" s="296">
        <f t="shared" ref="S808:S871" si="142">Q808-R808</f>
        <v>-3.4450688494662152E-3</v>
      </c>
      <c r="U808" s="297"/>
      <c r="V808" s="297"/>
      <c r="W808" s="297"/>
      <c r="X808" s="297"/>
      <c r="Y808" s="297"/>
      <c r="Z808" s="297"/>
      <c r="AA808" s="297"/>
      <c r="AB808" s="297"/>
      <c r="AC808" s="297"/>
      <c r="AE808" s="297"/>
      <c r="AF808" s="297"/>
      <c r="AG808" s="297"/>
      <c r="AH808" s="297"/>
      <c r="AI808" s="297"/>
      <c r="AJ808" s="297"/>
      <c r="AK808" s="297"/>
      <c r="AL808" s="297"/>
      <c r="AM808" s="297"/>
      <c r="AO808" s="297"/>
      <c r="AP808" s="297"/>
      <c r="AQ808" s="297"/>
      <c r="AR808" s="297"/>
      <c r="AS808" s="297"/>
      <c r="AT808" s="297"/>
      <c r="AU808" s="297"/>
      <c r="AV808" s="297"/>
      <c r="AW808" s="297"/>
    </row>
    <row r="809" spans="1:49" x14ac:dyDescent="0.45">
      <c r="A809" s="295">
        <v>33970</v>
      </c>
      <c r="B809" s="12">
        <v>8.3999999999999995E-3</v>
      </c>
      <c r="C809" s="5">
        <v>1.5699999999999999E-2</v>
      </c>
      <c r="D809" s="5">
        <v>5.8999999999999999E-3</v>
      </c>
      <c r="E809" s="5">
        <v>6.5916666666666667E-3</v>
      </c>
      <c r="F809" s="5">
        <v>6.7583333333333332E-3</v>
      </c>
      <c r="G809" s="5">
        <v>6.6749999999999995E-3</v>
      </c>
      <c r="H809" s="5">
        <v>6.9009166666666663E-3</v>
      </c>
      <c r="I809" s="5">
        <f t="shared" si="132"/>
        <v>2.4999999999999996E-3</v>
      </c>
      <c r="J809" s="5">
        <f t="shared" si="136"/>
        <v>1.725E-3</v>
      </c>
      <c r="K809" s="5">
        <f t="shared" si="137"/>
        <v>8.7990833333333324E-3</v>
      </c>
      <c r="L809" s="8">
        <f t="shared" si="134"/>
        <v>0.10616210483288824</v>
      </c>
      <c r="M809" s="8">
        <f t="shared" si="135"/>
        <v>7.0800000000000002E-2</v>
      </c>
      <c r="N809" s="8">
        <f t="shared" si="138"/>
        <v>8.0099999999999991E-2</v>
      </c>
      <c r="O809" s="296">
        <f t="shared" si="133"/>
        <v>3.5362104832888236E-2</v>
      </c>
      <c r="P809" s="8">
        <f t="shared" si="139"/>
        <v>2.6062104832888247E-2</v>
      </c>
      <c r="Q809" s="8">
        <f t="shared" si="140"/>
        <v>0.16022038468892341</v>
      </c>
      <c r="R809" s="8">
        <f t="shared" si="141"/>
        <v>8.2810999999999996E-2</v>
      </c>
      <c r="S809" s="296">
        <f t="shared" si="142"/>
        <v>7.7409384688923416E-2</v>
      </c>
      <c r="U809" s="297"/>
      <c r="V809" s="297"/>
      <c r="W809" s="297"/>
      <c r="X809" s="297"/>
      <c r="Y809" s="297"/>
      <c r="Z809" s="297"/>
      <c r="AA809" s="297"/>
      <c r="AB809" s="297"/>
      <c r="AC809" s="297"/>
      <c r="AE809" s="297"/>
      <c r="AF809" s="297"/>
      <c r="AG809" s="297"/>
      <c r="AH809" s="297"/>
      <c r="AI809" s="297"/>
      <c r="AJ809" s="297"/>
      <c r="AK809" s="297"/>
      <c r="AL809" s="297"/>
      <c r="AM809" s="297"/>
      <c r="AO809" s="297"/>
      <c r="AP809" s="297"/>
      <c r="AQ809" s="297"/>
      <c r="AR809" s="297"/>
      <c r="AS809" s="297"/>
      <c r="AT809" s="297"/>
      <c r="AU809" s="297"/>
      <c r="AV809" s="297"/>
      <c r="AW809" s="297"/>
    </row>
    <row r="810" spans="1:49" x14ac:dyDescent="0.45">
      <c r="A810" s="295">
        <v>34001</v>
      </c>
      <c r="B810" s="12">
        <v>1.3599999999999999E-2</v>
      </c>
      <c r="C810" s="5">
        <v>7.2099999999999997E-2</v>
      </c>
      <c r="D810" s="5">
        <v>5.4999999999999997E-3</v>
      </c>
      <c r="E810" s="5">
        <v>6.4249999999999993E-3</v>
      </c>
      <c r="F810" s="5">
        <v>6.5833333333333334E-3</v>
      </c>
      <c r="G810" s="5">
        <v>6.5041666666666668E-3</v>
      </c>
      <c r="H810" s="5">
        <v>6.7039166666666671E-3</v>
      </c>
      <c r="I810" s="5">
        <f t="shared" si="132"/>
        <v>8.0999999999999996E-3</v>
      </c>
      <c r="J810" s="5">
        <f t="shared" si="136"/>
        <v>7.0958333333333325E-3</v>
      </c>
      <c r="K810" s="5">
        <f t="shared" si="137"/>
        <v>6.5396083333333327E-2</v>
      </c>
      <c r="L810" s="8">
        <f t="shared" si="134"/>
        <v>0.10681728475677787</v>
      </c>
      <c r="M810" s="8">
        <f t="shared" si="135"/>
        <v>6.6000000000000003E-2</v>
      </c>
      <c r="N810" s="8">
        <f t="shared" si="138"/>
        <v>7.8050000000000008E-2</v>
      </c>
      <c r="O810" s="296">
        <f t="shared" si="133"/>
        <v>4.0817284756777872E-2</v>
      </c>
      <c r="P810" s="8">
        <f t="shared" si="139"/>
        <v>2.8767284756777867E-2</v>
      </c>
      <c r="Q810" s="8">
        <f t="shared" si="140"/>
        <v>0.27878305173742657</v>
      </c>
      <c r="R810" s="8">
        <f t="shared" si="141"/>
        <v>8.0447000000000005E-2</v>
      </c>
      <c r="S810" s="296">
        <f t="shared" si="142"/>
        <v>0.19833605173742658</v>
      </c>
      <c r="U810" s="297"/>
      <c r="V810" s="297"/>
      <c r="W810" s="297"/>
      <c r="X810" s="297"/>
      <c r="Y810" s="297"/>
      <c r="Z810" s="297"/>
      <c r="AA810" s="297"/>
      <c r="AB810" s="297"/>
      <c r="AC810" s="297"/>
      <c r="AE810" s="297"/>
      <c r="AF810" s="297"/>
      <c r="AG810" s="297"/>
      <c r="AH810" s="297"/>
      <c r="AI810" s="297"/>
      <c r="AJ810" s="297"/>
      <c r="AK810" s="297"/>
      <c r="AL810" s="297"/>
      <c r="AM810" s="297"/>
      <c r="AO810" s="297"/>
      <c r="AP810" s="297"/>
      <c r="AQ810" s="297"/>
      <c r="AR810" s="297"/>
      <c r="AS810" s="297"/>
      <c r="AT810" s="297"/>
      <c r="AU810" s="297"/>
      <c r="AV810" s="297"/>
      <c r="AW810" s="297"/>
    </row>
    <row r="811" spans="1:49" x14ac:dyDescent="0.45">
      <c r="A811" s="295">
        <v>34029</v>
      </c>
      <c r="B811" s="12">
        <v>2.1100000000000001E-2</v>
      </c>
      <c r="C811" s="5">
        <v>1.7999999999999999E-2</v>
      </c>
      <c r="D811" s="5">
        <v>6.3E-3</v>
      </c>
      <c r="E811" s="5">
        <v>6.3166666666666675E-3</v>
      </c>
      <c r="F811" s="5">
        <v>6.4333333333333334E-3</v>
      </c>
      <c r="G811" s="5">
        <v>6.3749999999999996E-3</v>
      </c>
      <c r="H811" s="5">
        <v>6.5854999999999993E-3</v>
      </c>
      <c r="I811" s="5">
        <f t="shared" si="132"/>
        <v>1.4800000000000001E-2</v>
      </c>
      <c r="J811" s="5">
        <f t="shared" si="136"/>
        <v>1.4725000000000002E-2</v>
      </c>
      <c r="K811" s="5">
        <f t="shared" si="137"/>
        <v>1.1414499999999999E-2</v>
      </c>
      <c r="L811" s="8">
        <f t="shared" si="134"/>
        <v>0.15253021564873137</v>
      </c>
      <c r="M811" s="8">
        <f t="shared" si="135"/>
        <v>7.5600000000000001E-2</v>
      </c>
      <c r="N811" s="8">
        <f t="shared" si="138"/>
        <v>7.6499999999999999E-2</v>
      </c>
      <c r="O811" s="296">
        <f t="shared" si="133"/>
        <v>7.693021564873137E-2</v>
      </c>
      <c r="P811" s="8">
        <f t="shared" si="139"/>
        <v>7.6030215648731372E-2</v>
      </c>
      <c r="Q811" s="8">
        <f t="shared" si="140"/>
        <v>0.32068697034462867</v>
      </c>
      <c r="R811" s="8">
        <f t="shared" si="141"/>
        <v>7.9025999999999985E-2</v>
      </c>
      <c r="S811" s="296">
        <f t="shared" si="142"/>
        <v>0.24166097034462869</v>
      </c>
      <c r="U811" s="297"/>
      <c r="V811" s="297"/>
      <c r="W811" s="297"/>
      <c r="X811" s="297"/>
      <c r="Y811" s="297"/>
      <c r="Z811" s="297"/>
      <c r="AA811" s="297"/>
      <c r="AB811" s="297"/>
      <c r="AC811" s="297"/>
      <c r="AE811" s="297"/>
      <c r="AF811" s="297"/>
      <c r="AG811" s="297"/>
      <c r="AH811" s="297"/>
      <c r="AI811" s="297"/>
      <c r="AJ811" s="297"/>
      <c r="AK811" s="297"/>
      <c r="AL811" s="297"/>
      <c r="AM811" s="297"/>
      <c r="AO811" s="297"/>
      <c r="AP811" s="297"/>
      <c r="AQ811" s="297"/>
      <c r="AR811" s="297"/>
      <c r="AS811" s="297"/>
      <c r="AT811" s="297"/>
      <c r="AU811" s="297"/>
      <c r="AV811" s="297"/>
      <c r="AW811" s="297"/>
    </row>
    <row r="812" spans="1:49" x14ac:dyDescent="0.45">
      <c r="A812" s="295">
        <v>34060</v>
      </c>
      <c r="B812" s="12">
        <v>-2.4199999999999999E-2</v>
      </c>
      <c r="C812" s="5">
        <v>-2.6999999999999993E-3</v>
      </c>
      <c r="D812" s="5">
        <v>5.7000000000000002E-3</v>
      </c>
      <c r="E812" s="5">
        <v>6.2166666666666672E-3</v>
      </c>
      <c r="F812" s="5">
        <v>6.3499999999999997E-3</v>
      </c>
      <c r="G812" s="5">
        <v>6.2833333333333343E-3</v>
      </c>
      <c r="H812" s="5">
        <v>6.514666666666666E-3</v>
      </c>
      <c r="I812" s="5">
        <f t="shared" si="132"/>
        <v>-2.9899999999999999E-2</v>
      </c>
      <c r="J812" s="5">
        <f t="shared" si="136"/>
        <v>-3.0483333333333335E-2</v>
      </c>
      <c r="K812" s="5">
        <f t="shared" si="137"/>
        <v>-9.2146666666666661E-3</v>
      </c>
      <c r="L812" s="8">
        <f t="shared" si="134"/>
        <v>9.2518927948350482E-2</v>
      </c>
      <c r="M812" s="8">
        <f t="shared" si="135"/>
        <v>6.8400000000000002E-2</v>
      </c>
      <c r="N812" s="8">
        <f t="shared" si="138"/>
        <v>7.5400000000000009E-2</v>
      </c>
      <c r="O812" s="296">
        <f t="shared" si="133"/>
        <v>2.411892794835048E-2</v>
      </c>
      <c r="P812" s="8">
        <f t="shared" si="139"/>
        <v>1.7118927948350474E-2</v>
      </c>
      <c r="Q812" s="8">
        <f t="shared" si="140"/>
        <v>0.23731434055866418</v>
      </c>
      <c r="R812" s="8">
        <f t="shared" si="141"/>
        <v>7.8175999999999995E-2</v>
      </c>
      <c r="S812" s="296">
        <f t="shared" si="142"/>
        <v>0.15913834055866419</v>
      </c>
      <c r="U812" s="297"/>
      <c r="V812" s="297"/>
      <c r="W812" s="297"/>
      <c r="X812" s="297"/>
      <c r="Y812" s="297"/>
      <c r="Z812" s="297"/>
      <c r="AA812" s="297"/>
      <c r="AB812" s="297"/>
      <c r="AC812" s="297"/>
      <c r="AE812" s="297"/>
      <c r="AF812" s="297"/>
      <c r="AG812" s="297"/>
      <c r="AH812" s="297"/>
      <c r="AI812" s="297"/>
      <c r="AJ812" s="297"/>
      <c r="AK812" s="297"/>
      <c r="AL812" s="297"/>
      <c r="AM812" s="297"/>
      <c r="AO812" s="297"/>
      <c r="AP812" s="297"/>
      <c r="AQ812" s="297"/>
      <c r="AR812" s="297"/>
      <c r="AS812" s="297"/>
      <c r="AT812" s="297"/>
      <c r="AU812" s="297"/>
      <c r="AV812" s="297"/>
      <c r="AW812" s="297"/>
    </row>
    <row r="813" spans="1:49" x14ac:dyDescent="0.45">
      <c r="A813" s="295">
        <v>34090</v>
      </c>
      <c r="B813" s="12">
        <v>2.6800000000000001E-2</v>
      </c>
      <c r="C813" s="5">
        <v>-1.9099999999999999E-2</v>
      </c>
      <c r="D813" s="5">
        <v>5.1999999999999998E-3</v>
      </c>
      <c r="E813" s="5">
        <v>6.1916666666666665E-3</v>
      </c>
      <c r="F813" s="5">
        <v>6.3416666666666665E-3</v>
      </c>
      <c r="G813" s="5">
        <v>6.2666666666666669E-3</v>
      </c>
      <c r="H813" s="5">
        <v>6.5491666666666667E-3</v>
      </c>
      <c r="I813" s="5">
        <f t="shared" si="132"/>
        <v>2.1600000000000001E-2</v>
      </c>
      <c r="J813" s="5">
        <f t="shared" si="136"/>
        <v>2.0533333333333334E-2</v>
      </c>
      <c r="K813" s="5">
        <f t="shared" si="137"/>
        <v>-2.5649166666666667E-2</v>
      </c>
      <c r="L813" s="8">
        <f t="shared" si="134"/>
        <v>0.1163284259303079</v>
      </c>
      <c r="M813" s="8">
        <f t="shared" si="135"/>
        <v>6.2399999999999997E-2</v>
      </c>
      <c r="N813" s="8">
        <f t="shared" si="138"/>
        <v>7.5200000000000003E-2</v>
      </c>
      <c r="O813" s="296">
        <f t="shared" si="133"/>
        <v>5.3928425930307902E-2</v>
      </c>
      <c r="P813" s="8">
        <f t="shared" si="139"/>
        <v>4.1128425930307896E-2</v>
      </c>
      <c r="Q813" s="8">
        <f t="shared" si="140"/>
        <v>0.21550489399498574</v>
      </c>
      <c r="R813" s="8">
        <f t="shared" si="141"/>
        <v>7.8589999999999993E-2</v>
      </c>
      <c r="S813" s="296">
        <f t="shared" si="142"/>
        <v>0.13691489399498574</v>
      </c>
      <c r="U813" s="297"/>
      <c r="V813" s="297"/>
      <c r="W813" s="297"/>
      <c r="X813" s="297"/>
      <c r="Y813" s="297"/>
      <c r="Z813" s="297"/>
      <c r="AA813" s="297"/>
      <c r="AB813" s="297"/>
      <c r="AC813" s="297"/>
      <c r="AE813" s="297"/>
      <c r="AF813" s="297"/>
      <c r="AG813" s="297"/>
      <c r="AH813" s="297"/>
      <c r="AI813" s="297"/>
      <c r="AJ813" s="297"/>
      <c r="AK813" s="297"/>
      <c r="AL813" s="297"/>
      <c r="AM813" s="297"/>
      <c r="AO813" s="297"/>
      <c r="AP813" s="297"/>
      <c r="AQ813" s="297"/>
      <c r="AR813" s="297"/>
      <c r="AS813" s="297"/>
      <c r="AT813" s="297"/>
      <c r="AU813" s="297"/>
      <c r="AV813" s="297"/>
      <c r="AW813" s="297"/>
    </row>
    <row r="814" spans="1:49" x14ac:dyDescent="0.45">
      <c r="A814" s="295">
        <v>34121</v>
      </c>
      <c r="B814" s="12">
        <v>2.8999999999999998E-3</v>
      </c>
      <c r="C814" s="5">
        <v>4.6300000000000001E-2</v>
      </c>
      <c r="D814" s="5">
        <v>6.1999999999999998E-3</v>
      </c>
      <c r="E814" s="5">
        <v>6.1083333333333337E-3</v>
      </c>
      <c r="F814" s="5">
        <v>6.2583333333333336E-3</v>
      </c>
      <c r="G814" s="5">
        <v>6.1833333333333341E-3</v>
      </c>
      <c r="H814" s="5">
        <v>6.4693333333333339E-3</v>
      </c>
      <c r="I814" s="5">
        <f t="shared" si="132"/>
        <v>-3.3E-3</v>
      </c>
      <c r="J814" s="5">
        <f t="shared" si="136"/>
        <v>-3.2833333333333343E-3</v>
      </c>
      <c r="K814" s="5">
        <f t="shared" si="137"/>
        <v>3.9830666666666667E-2</v>
      </c>
      <c r="L814" s="8">
        <f t="shared" si="134"/>
        <v>0.13649962274439709</v>
      </c>
      <c r="M814" s="8">
        <f t="shared" si="135"/>
        <v>7.4399999999999994E-2</v>
      </c>
      <c r="N814" s="8">
        <f t="shared" si="138"/>
        <v>7.4200000000000016E-2</v>
      </c>
      <c r="O814" s="296">
        <f t="shared" si="133"/>
        <v>6.2099622744397093E-2</v>
      </c>
      <c r="P814" s="8">
        <f t="shared" si="139"/>
        <v>6.2299622744397071E-2</v>
      </c>
      <c r="Q814" s="8">
        <f t="shared" si="140"/>
        <v>0.25409996113495126</v>
      </c>
      <c r="R814" s="8">
        <f t="shared" si="141"/>
        <v>7.7632000000000007E-2</v>
      </c>
      <c r="S814" s="296">
        <f t="shared" si="142"/>
        <v>0.17646796113495125</v>
      </c>
      <c r="U814" s="297"/>
      <c r="V814" s="297"/>
      <c r="W814" s="297"/>
      <c r="X814" s="297"/>
      <c r="Y814" s="297"/>
      <c r="Z814" s="297"/>
      <c r="AA814" s="297"/>
      <c r="AB814" s="297"/>
      <c r="AC814" s="297"/>
      <c r="AE814" s="297"/>
      <c r="AF814" s="297"/>
      <c r="AG814" s="297"/>
      <c r="AH814" s="297"/>
      <c r="AI814" s="297"/>
      <c r="AJ814" s="297"/>
      <c r="AK814" s="297"/>
      <c r="AL814" s="297"/>
      <c r="AM814" s="297"/>
      <c r="AO814" s="297"/>
      <c r="AP814" s="297"/>
      <c r="AQ814" s="297"/>
      <c r="AR814" s="297"/>
      <c r="AS814" s="297"/>
      <c r="AT814" s="297"/>
      <c r="AU814" s="297"/>
      <c r="AV814" s="297"/>
      <c r="AW814" s="297"/>
    </row>
    <row r="815" spans="1:49" x14ac:dyDescent="0.45">
      <c r="A815" s="295">
        <v>34151</v>
      </c>
      <c r="B815" s="12">
        <v>-4.0000000000000001E-3</v>
      </c>
      <c r="C815" s="5">
        <v>2.2599999999999999E-2</v>
      </c>
      <c r="D815" s="5">
        <v>5.4000000000000003E-3</v>
      </c>
      <c r="E815" s="5">
        <v>5.9750000000000003E-3</v>
      </c>
      <c r="F815" s="5">
        <v>6.1249999999999994E-3</v>
      </c>
      <c r="G815" s="5">
        <v>6.0499999999999998E-3</v>
      </c>
      <c r="H815" s="5">
        <v>6.284500000000001E-3</v>
      </c>
      <c r="I815" s="5">
        <f t="shared" si="132"/>
        <v>-9.4000000000000004E-3</v>
      </c>
      <c r="J815" s="5">
        <f t="shared" si="136"/>
        <v>-1.005E-2</v>
      </c>
      <c r="K815" s="5">
        <f t="shared" si="137"/>
        <v>1.6315499999999997E-2</v>
      </c>
      <c r="L815" s="8">
        <f t="shared" si="134"/>
        <v>8.7475861517359199E-2</v>
      </c>
      <c r="M815" s="8">
        <f t="shared" si="135"/>
        <v>6.4799999999999996E-2</v>
      </c>
      <c r="N815" s="8">
        <f t="shared" si="138"/>
        <v>7.2599999999999998E-2</v>
      </c>
      <c r="O815" s="296">
        <f t="shared" si="133"/>
        <v>2.2675861517359203E-2</v>
      </c>
      <c r="P815" s="8">
        <f t="shared" si="139"/>
        <v>1.4875861517359201E-2</v>
      </c>
      <c r="Q815" s="8">
        <f t="shared" si="140"/>
        <v>0.18854737743892591</v>
      </c>
      <c r="R815" s="8">
        <f t="shared" si="141"/>
        <v>7.5414000000000009E-2</v>
      </c>
      <c r="S815" s="296">
        <f t="shared" si="142"/>
        <v>0.1131333774389259</v>
      </c>
      <c r="U815" s="297"/>
      <c r="V815" s="297"/>
      <c r="W815" s="297"/>
      <c r="X815" s="297"/>
      <c r="Y815" s="297"/>
      <c r="Z815" s="297"/>
      <c r="AA815" s="297"/>
      <c r="AB815" s="297"/>
      <c r="AC815" s="297"/>
      <c r="AE815" s="297"/>
      <c r="AF815" s="297"/>
      <c r="AG815" s="297"/>
      <c r="AH815" s="297"/>
      <c r="AI815" s="297"/>
      <c r="AJ815" s="297"/>
      <c r="AK815" s="297"/>
      <c r="AL815" s="297"/>
      <c r="AM815" s="297"/>
      <c r="AO815" s="297"/>
      <c r="AP815" s="297"/>
      <c r="AQ815" s="297"/>
      <c r="AR815" s="297"/>
      <c r="AS815" s="297"/>
      <c r="AT815" s="297"/>
      <c r="AU815" s="297"/>
      <c r="AV815" s="297"/>
      <c r="AW815" s="297"/>
    </row>
    <row r="816" spans="1:49" x14ac:dyDescent="0.45">
      <c r="A816" s="295">
        <v>34182</v>
      </c>
      <c r="B816" s="12">
        <v>3.7900000000000003E-2</v>
      </c>
      <c r="C816" s="5">
        <v>4.8399999999999999E-2</v>
      </c>
      <c r="D816" s="5">
        <v>5.5999999999999991E-3</v>
      </c>
      <c r="E816" s="5">
        <v>5.7083333333333326E-3</v>
      </c>
      <c r="F816" s="5">
        <v>5.8833333333333324E-3</v>
      </c>
      <c r="G816" s="5">
        <v>5.7958333333333334E-3</v>
      </c>
      <c r="H816" s="5">
        <v>6.0587500000000008E-3</v>
      </c>
      <c r="I816" s="5">
        <f t="shared" si="132"/>
        <v>3.2300000000000002E-2</v>
      </c>
      <c r="J816" s="5">
        <f t="shared" si="136"/>
        <v>3.210416666666667E-2</v>
      </c>
      <c r="K816" s="5">
        <f t="shared" si="137"/>
        <v>4.2341249999999997E-2</v>
      </c>
      <c r="L816" s="8">
        <f t="shared" si="134"/>
        <v>0.15231362600190623</v>
      </c>
      <c r="M816" s="8">
        <f t="shared" si="135"/>
        <v>6.7199999999999982E-2</v>
      </c>
      <c r="N816" s="8">
        <f t="shared" si="138"/>
        <v>6.9550000000000001E-2</v>
      </c>
      <c r="O816" s="296">
        <f t="shared" si="133"/>
        <v>8.5113626001906251E-2</v>
      </c>
      <c r="P816" s="8">
        <f t="shared" si="139"/>
        <v>8.2763626001906232E-2</v>
      </c>
      <c r="Q816" s="8">
        <f t="shared" si="140"/>
        <v>0.25536275489317961</v>
      </c>
      <c r="R816" s="8">
        <f t="shared" si="141"/>
        <v>7.2705000000000006E-2</v>
      </c>
      <c r="S816" s="296">
        <f t="shared" si="142"/>
        <v>0.18265775489317959</v>
      </c>
      <c r="U816" s="297"/>
      <c r="V816" s="297"/>
      <c r="W816" s="297"/>
      <c r="X816" s="297"/>
      <c r="Y816" s="297"/>
      <c r="Z816" s="297"/>
      <c r="AA816" s="297"/>
      <c r="AB816" s="297"/>
      <c r="AC816" s="297"/>
      <c r="AE816" s="297"/>
      <c r="AF816" s="297"/>
      <c r="AG816" s="297"/>
      <c r="AH816" s="297"/>
      <c r="AI816" s="297"/>
      <c r="AJ816" s="297"/>
      <c r="AK816" s="297"/>
      <c r="AL816" s="297"/>
      <c r="AM816" s="297"/>
      <c r="AO816" s="297"/>
      <c r="AP816" s="297"/>
      <c r="AQ816" s="297"/>
      <c r="AR816" s="297"/>
      <c r="AS816" s="297"/>
      <c r="AT816" s="297"/>
      <c r="AU816" s="297"/>
      <c r="AV816" s="297"/>
      <c r="AW816" s="297"/>
    </row>
    <row r="817" spans="1:49" x14ac:dyDescent="0.45">
      <c r="A817" s="295">
        <v>34213</v>
      </c>
      <c r="B817" s="12">
        <v>-7.7000000000000002E-3</v>
      </c>
      <c r="C817" s="5">
        <v>-2E-3</v>
      </c>
      <c r="D817" s="5">
        <v>5.0000000000000001E-3</v>
      </c>
      <c r="E817" s="5">
        <v>5.5500000000000002E-3</v>
      </c>
      <c r="F817" s="5">
        <v>5.7083333333333326E-3</v>
      </c>
      <c r="G817" s="5">
        <v>5.6291666666666677E-3</v>
      </c>
      <c r="H817" s="5">
        <v>5.8635000000000007E-3</v>
      </c>
      <c r="I817" s="5">
        <f t="shared" si="132"/>
        <v>-1.2699999999999999E-2</v>
      </c>
      <c r="J817" s="5">
        <f t="shared" si="136"/>
        <v>-1.3329166666666668E-2</v>
      </c>
      <c r="K817" s="5">
        <f t="shared" si="137"/>
        <v>-7.8635000000000007E-3</v>
      </c>
      <c r="L817" s="8">
        <f t="shared" si="134"/>
        <v>0.13010556540985507</v>
      </c>
      <c r="M817" s="8">
        <f t="shared" si="135"/>
        <v>0.06</v>
      </c>
      <c r="N817" s="8">
        <f t="shared" si="138"/>
        <v>6.7550000000000013E-2</v>
      </c>
      <c r="O817" s="296">
        <f t="shared" si="133"/>
        <v>7.0105565409855075E-2</v>
      </c>
      <c r="P817" s="8">
        <f t="shared" si="139"/>
        <v>6.255556540985506E-2</v>
      </c>
      <c r="Q817" s="8">
        <f t="shared" si="140"/>
        <v>0.24377249020489677</v>
      </c>
      <c r="R817" s="8">
        <f t="shared" si="141"/>
        <v>7.0362000000000008E-2</v>
      </c>
      <c r="S817" s="296">
        <f t="shared" si="142"/>
        <v>0.17341049020489677</v>
      </c>
      <c r="U817" s="297"/>
      <c r="V817" s="297"/>
      <c r="W817" s="297"/>
      <c r="X817" s="297"/>
      <c r="Y817" s="297"/>
      <c r="Z817" s="297"/>
      <c r="AA817" s="297"/>
      <c r="AB817" s="297"/>
      <c r="AC817" s="297"/>
      <c r="AE817" s="297"/>
      <c r="AF817" s="297"/>
      <c r="AG817" s="297"/>
      <c r="AH817" s="297"/>
      <c r="AI817" s="297"/>
      <c r="AJ817" s="297"/>
      <c r="AK817" s="297"/>
      <c r="AL817" s="297"/>
      <c r="AM817" s="297"/>
      <c r="AO817" s="297"/>
      <c r="AP817" s="297"/>
      <c r="AQ817" s="297"/>
      <c r="AR817" s="297"/>
      <c r="AS817" s="297"/>
      <c r="AT817" s="297"/>
      <c r="AU817" s="297"/>
      <c r="AV817" s="297"/>
      <c r="AW817" s="297"/>
    </row>
    <row r="818" spans="1:49" x14ac:dyDescent="0.45">
      <c r="A818" s="295">
        <v>34243</v>
      </c>
      <c r="B818" s="12">
        <v>2.07E-2</v>
      </c>
      <c r="C818" s="5">
        <v>-2.1000000000000003E-3</v>
      </c>
      <c r="D818" s="5">
        <v>4.8999999999999998E-3</v>
      </c>
      <c r="E818" s="5">
        <v>5.5583333333333327E-3</v>
      </c>
      <c r="F818" s="5">
        <v>5.7250000000000001E-3</v>
      </c>
      <c r="G818" s="5">
        <v>5.6416666666666672E-3</v>
      </c>
      <c r="H818" s="5">
        <v>5.8567500000000008E-3</v>
      </c>
      <c r="I818" s="5">
        <f t="shared" si="132"/>
        <v>1.5800000000000002E-2</v>
      </c>
      <c r="J818" s="5">
        <f t="shared" si="136"/>
        <v>1.5058333333333333E-2</v>
      </c>
      <c r="K818" s="5">
        <f t="shared" si="137"/>
        <v>-7.956750000000002E-3</v>
      </c>
      <c r="L818" s="8">
        <f t="shared" si="134"/>
        <v>0.14947558606261979</v>
      </c>
      <c r="M818" s="8">
        <f t="shared" si="135"/>
        <v>5.8799999999999998E-2</v>
      </c>
      <c r="N818" s="8">
        <f t="shared" si="138"/>
        <v>6.770000000000001E-2</v>
      </c>
      <c r="O818" s="296">
        <f t="shared" si="133"/>
        <v>9.0675586062619801E-2</v>
      </c>
      <c r="P818" s="8">
        <f t="shared" si="139"/>
        <v>8.1775586062619782E-2</v>
      </c>
      <c r="Q818" s="8">
        <f t="shared" si="140"/>
        <v>0.2529381869326337</v>
      </c>
      <c r="R818" s="8">
        <f t="shared" si="141"/>
        <v>7.028100000000001E-2</v>
      </c>
      <c r="S818" s="296">
        <f t="shared" si="142"/>
        <v>0.18265718693263369</v>
      </c>
      <c r="U818" s="297"/>
      <c r="V818" s="297"/>
      <c r="W818" s="297"/>
      <c r="X818" s="297"/>
      <c r="Y818" s="297"/>
      <c r="Z818" s="297"/>
      <c r="AA818" s="297"/>
      <c r="AB818" s="297"/>
      <c r="AC818" s="297"/>
      <c r="AE818" s="297"/>
      <c r="AF818" s="297"/>
      <c r="AG818" s="297"/>
      <c r="AH818" s="297"/>
      <c r="AI818" s="297"/>
      <c r="AJ818" s="297"/>
      <c r="AK818" s="297"/>
      <c r="AL818" s="297"/>
      <c r="AM818" s="297"/>
      <c r="AO818" s="297"/>
      <c r="AP818" s="297"/>
      <c r="AQ818" s="297"/>
      <c r="AR818" s="297"/>
      <c r="AS818" s="297"/>
      <c r="AT818" s="297"/>
      <c r="AU818" s="297"/>
      <c r="AV818" s="297"/>
      <c r="AW818" s="297"/>
    </row>
    <row r="819" spans="1:49" x14ac:dyDescent="0.45">
      <c r="A819" s="295">
        <v>34274</v>
      </c>
      <c r="B819" s="12">
        <v>-9.4999999999999998E-3</v>
      </c>
      <c r="C819" s="5">
        <v>-5.0700000000000002E-2</v>
      </c>
      <c r="D819" s="5">
        <v>5.3E-3</v>
      </c>
      <c r="E819" s="5">
        <v>5.7749999999999998E-3</v>
      </c>
      <c r="F819" s="5">
        <v>5.9333333333333339E-3</v>
      </c>
      <c r="G819" s="5">
        <v>5.8541666666666672E-3</v>
      </c>
      <c r="H819" s="5">
        <v>6.0670833333333332E-3</v>
      </c>
      <c r="I819" s="5">
        <f t="shared" si="132"/>
        <v>-1.4800000000000001E-2</v>
      </c>
      <c r="J819" s="5">
        <f t="shared" si="136"/>
        <v>-1.5354166666666667E-2</v>
      </c>
      <c r="K819" s="5">
        <f t="shared" si="137"/>
        <v>-5.6767083333333336E-2</v>
      </c>
      <c r="L819" s="8">
        <f t="shared" si="134"/>
        <v>0.10101108983176244</v>
      </c>
      <c r="M819" s="8">
        <f t="shared" si="135"/>
        <v>6.3600000000000004E-2</v>
      </c>
      <c r="N819" s="8">
        <f t="shared" si="138"/>
        <v>7.0250000000000007E-2</v>
      </c>
      <c r="O819" s="296">
        <f t="shared" si="133"/>
        <v>3.7411089831762431E-2</v>
      </c>
      <c r="P819" s="8">
        <f t="shared" si="139"/>
        <v>3.0761089831762428E-2</v>
      </c>
      <c r="Q819" s="8">
        <f t="shared" si="140"/>
        <v>0.19120102238873238</v>
      </c>
      <c r="R819" s="8">
        <f t="shared" si="141"/>
        <v>7.2804999999999995E-2</v>
      </c>
      <c r="S819" s="296">
        <f t="shared" si="142"/>
        <v>0.11839602238873238</v>
      </c>
      <c r="U819" s="297"/>
      <c r="V819" s="297"/>
      <c r="W819" s="297"/>
      <c r="X819" s="297"/>
      <c r="Y819" s="297"/>
      <c r="Z819" s="297"/>
      <c r="AA819" s="297"/>
      <c r="AB819" s="297"/>
      <c r="AC819" s="297"/>
      <c r="AE819" s="297"/>
      <c r="AF819" s="297"/>
      <c r="AG819" s="297"/>
      <c r="AH819" s="297"/>
      <c r="AI819" s="297"/>
      <c r="AJ819" s="297"/>
      <c r="AK819" s="297"/>
      <c r="AL819" s="297"/>
      <c r="AM819" s="297"/>
      <c r="AO819" s="297"/>
      <c r="AP819" s="297"/>
      <c r="AQ819" s="297"/>
      <c r="AR819" s="297"/>
      <c r="AS819" s="297"/>
      <c r="AT819" s="297"/>
      <c r="AU819" s="297"/>
      <c r="AV819" s="297"/>
      <c r="AW819" s="297"/>
    </row>
    <row r="820" spans="1:49" x14ac:dyDescent="0.45">
      <c r="A820" s="295">
        <v>34304</v>
      </c>
      <c r="B820" s="12">
        <v>1.21E-2</v>
      </c>
      <c r="C820" s="5">
        <v>-5.3E-3</v>
      </c>
      <c r="D820" s="5">
        <v>5.4999999999999997E-3</v>
      </c>
      <c r="E820" s="5">
        <v>5.7749999999999998E-3</v>
      </c>
      <c r="F820" s="5">
        <v>5.9333333333333339E-3</v>
      </c>
      <c r="G820" s="5">
        <v>5.8541666666666672E-3</v>
      </c>
      <c r="H820" s="5">
        <v>6.1131666666666661E-3</v>
      </c>
      <c r="I820" s="5">
        <f t="shared" si="132"/>
        <v>6.6E-3</v>
      </c>
      <c r="J820" s="5">
        <f t="shared" si="136"/>
        <v>6.2458333333333324E-3</v>
      </c>
      <c r="K820" s="5">
        <f t="shared" si="137"/>
        <v>-1.1413166666666665E-2</v>
      </c>
      <c r="L820" s="8">
        <f t="shared" si="134"/>
        <v>0.10079356319147137</v>
      </c>
      <c r="M820" s="8">
        <f t="shared" si="135"/>
        <v>6.6000000000000003E-2</v>
      </c>
      <c r="N820" s="8">
        <f t="shared" si="138"/>
        <v>7.0250000000000007E-2</v>
      </c>
      <c r="O820" s="296">
        <f t="shared" si="133"/>
        <v>3.4793563191471366E-2</v>
      </c>
      <c r="P820" s="8">
        <f t="shared" si="139"/>
        <v>3.0543563191471362E-2</v>
      </c>
      <c r="Q820" s="8">
        <f t="shared" si="140"/>
        <v>0.14393479143664001</v>
      </c>
      <c r="R820" s="8">
        <f t="shared" si="141"/>
        <v>7.3357999999999993E-2</v>
      </c>
      <c r="S820" s="296">
        <f t="shared" si="142"/>
        <v>7.0576791436640016E-2</v>
      </c>
      <c r="U820" s="297"/>
      <c r="V820" s="297"/>
      <c r="W820" s="297"/>
      <c r="X820" s="297"/>
      <c r="Y820" s="297"/>
      <c r="Z820" s="297"/>
      <c r="AA820" s="297"/>
      <c r="AB820" s="297"/>
      <c r="AC820" s="297"/>
      <c r="AE820" s="297"/>
      <c r="AF820" s="297"/>
      <c r="AG820" s="297"/>
      <c r="AH820" s="297"/>
      <c r="AI820" s="297"/>
      <c r="AJ820" s="297"/>
      <c r="AK820" s="297"/>
      <c r="AL820" s="297"/>
      <c r="AM820" s="297"/>
      <c r="AO820" s="297"/>
      <c r="AP820" s="297"/>
      <c r="AQ820" s="297"/>
      <c r="AR820" s="297"/>
      <c r="AS820" s="297"/>
      <c r="AT820" s="297"/>
      <c r="AU820" s="297"/>
      <c r="AV820" s="297"/>
      <c r="AW820" s="297"/>
    </row>
    <row r="821" spans="1:49" x14ac:dyDescent="0.45">
      <c r="A821" s="295">
        <v>34335</v>
      </c>
      <c r="B821" s="12">
        <v>3.4000000000000002E-2</v>
      </c>
      <c r="C821" s="5">
        <v>7.1999999999999998E-3</v>
      </c>
      <c r="D821" s="5">
        <v>5.4999999999999997E-3</v>
      </c>
      <c r="E821" s="5">
        <v>5.7666666666666665E-3</v>
      </c>
      <c r="F821" s="5">
        <v>5.9333333333333339E-3</v>
      </c>
      <c r="G821" s="5">
        <v>5.8499999999999993E-3</v>
      </c>
      <c r="H821" s="5">
        <v>6.1104166666666668E-3</v>
      </c>
      <c r="I821" s="5">
        <f t="shared" si="132"/>
        <v>2.8500000000000004E-2</v>
      </c>
      <c r="J821" s="5">
        <f t="shared" si="136"/>
        <v>2.8150000000000001E-2</v>
      </c>
      <c r="K821" s="5">
        <f t="shared" si="137"/>
        <v>1.089583333333333E-3</v>
      </c>
      <c r="L821" s="8">
        <f t="shared" si="134"/>
        <v>0.12873913560093353</v>
      </c>
      <c r="M821" s="8">
        <f t="shared" si="135"/>
        <v>6.6000000000000003E-2</v>
      </c>
      <c r="N821" s="8">
        <f t="shared" si="138"/>
        <v>7.0199999999999985E-2</v>
      </c>
      <c r="O821" s="296">
        <f t="shared" si="133"/>
        <v>6.2739135600933527E-2</v>
      </c>
      <c r="P821" s="8">
        <f t="shared" si="139"/>
        <v>5.8539135600933545E-2</v>
      </c>
      <c r="Q821" s="8">
        <f t="shared" si="140"/>
        <v>0.13436164412226459</v>
      </c>
      <c r="R821" s="8">
        <f t="shared" si="141"/>
        <v>7.3325000000000001E-2</v>
      </c>
      <c r="S821" s="296">
        <f t="shared" si="142"/>
        <v>6.1036644122264588E-2</v>
      </c>
      <c r="U821" s="297"/>
      <c r="V821" s="297"/>
      <c r="W821" s="297"/>
      <c r="X821" s="297"/>
      <c r="Y821" s="297"/>
      <c r="Z821" s="297"/>
      <c r="AA821" s="297"/>
      <c r="AB821" s="297"/>
      <c r="AC821" s="297"/>
      <c r="AE821" s="297"/>
      <c r="AF821" s="297"/>
      <c r="AG821" s="297"/>
      <c r="AH821" s="297"/>
      <c r="AI821" s="297"/>
      <c r="AJ821" s="297"/>
      <c r="AK821" s="297"/>
      <c r="AL821" s="297"/>
      <c r="AM821" s="297"/>
      <c r="AO821" s="297"/>
      <c r="AP821" s="297"/>
      <c r="AQ821" s="297"/>
      <c r="AR821" s="297"/>
      <c r="AS821" s="297"/>
      <c r="AT821" s="297"/>
      <c r="AU821" s="297"/>
      <c r="AV821" s="297"/>
      <c r="AW821" s="297"/>
    </row>
    <row r="822" spans="1:49" x14ac:dyDescent="0.45">
      <c r="A822" s="295">
        <v>34366</v>
      </c>
      <c r="B822" s="12">
        <v>-2.7099999999999999E-2</v>
      </c>
      <c r="C822" s="5">
        <v>-5.67E-2</v>
      </c>
      <c r="D822" s="5">
        <v>4.8999999999999998E-3</v>
      </c>
      <c r="E822" s="5">
        <v>5.8999999999999999E-3</v>
      </c>
      <c r="F822" s="5">
        <v>6.0750000000000005E-3</v>
      </c>
      <c r="G822" s="5">
        <v>5.9874999999999998E-3</v>
      </c>
      <c r="H822" s="5">
        <v>6.2052499999999998E-3</v>
      </c>
      <c r="I822" s="5">
        <f t="shared" si="132"/>
        <v>-3.2000000000000001E-2</v>
      </c>
      <c r="J822" s="5">
        <f t="shared" si="136"/>
        <v>-3.3087499999999999E-2</v>
      </c>
      <c r="K822" s="5">
        <f t="shared" si="137"/>
        <v>-6.2905249999999996E-2</v>
      </c>
      <c r="L822" s="8">
        <f t="shared" si="134"/>
        <v>8.3415849473311043E-2</v>
      </c>
      <c r="M822" s="8">
        <f t="shared" si="135"/>
        <v>5.8799999999999998E-2</v>
      </c>
      <c r="N822" s="8">
        <f t="shared" si="138"/>
        <v>7.1849999999999997E-2</v>
      </c>
      <c r="O822" s="296">
        <f t="shared" si="133"/>
        <v>2.4615849473311045E-2</v>
      </c>
      <c r="P822" s="8">
        <f t="shared" si="139"/>
        <v>1.1565849473311046E-2</v>
      </c>
      <c r="Q822" s="8">
        <f t="shared" si="140"/>
        <v>-1.9183481946347669E-3</v>
      </c>
      <c r="R822" s="8">
        <f t="shared" si="141"/>
        <v>7.4463000000000001E-2</v>
      </c>
      <c r="S822" s="296">
        <f t="shared" si="142"/>
        <v>-7.6381348194634768E-2</v>
      </c>
      <c r="U822" s="297"/>
      <c r="V822" s="297"/>
      <c r="W822" s="297"/>
      <c r="X822" s="297"/>
      <c r="Y822" s="297"/>
      <c r="Z822" s="297"/>
      <c r="AA822" s="297"/>
      <c r="AB822" s="297"/>
      <c r="AC822" s="297"/>
      <c r="AE822" s="297"/>
      <c r="AF822" s="297"/>
      <c r="AG822" s="297"/>
      <c r="AH822" s="297"/>
      <c r="AI822" s="297"/>
      <c r="AJ822" s="297"/>
      <c r="AK822" s="297"/>
      <c r="AL822" s="297"/>
      <c r="AM822" s="297"/>
      <c r="AO822" s="297"/>
      <c r="AP822" s="297"/>
      <c r="AQ822" s="297"/>
      <c r="AR822" s="297"/>
      <c r="AS822" s="297"/>
      <c r="AT822" s="297"/>
      <c r="AU822" s="297"/>
      <c r="AV822" s="297"/>
      <c r="AW822" s="297"/>
    </row>
    <row r="823" spans="1:49" x14ac:dyDescent="0.45">
      <c r="A823" s="295">
        <v>34394</v>
      </c>
      <c r="B823" s="12">
        <v>-4.36E-2</v>
      </c>
      <c r="C823" s="5">
        <v>-3.3800000000000004E-2</v>
      </c>
      <c r="D823" s="5">
        <v>5.7999999999999996E-3</v>
      </c>
      <c r="E823" s="5">
        <v>5.8999999999999999E-3</v>
      </c>
      <c r="F823" s="5">
        <v>6.0750000000000005E-3</v>
      </c>
      <c r="G823" s="5">
        <v>5.9874999999999998E-3</v>
      </c>
      <c r="H823" s="5">
        <v>6.527666666666666E-3</v>
      </c>
      <c r="I823" s="5">
        <f t="shared" si="132"/>
        <v>-4.9399999999999999E-2</v>
      </c>
      <c r="J823" s="5">
        <f t="shared" si="136"/>
        <v>-4.95875E-2</v>
      </c>
      <c r="K823" s="5">
        <f t="shared" si="137"/>
        <v>-4.0327666666666671E-2</v>
      </c>
      <c r="L823" s="8">
        <f t="shared" si="134"/>
        <v>1.4767327819287912E-2</v>
      </c>
      <c r="M823" s="8">
        <f t="shared" si="135"/>
        <v>6.9599999999999995E-2</v>
      </c>
      <c r="N823" s="8">
        <f t="shared" si="138"/>
        <v>7.1849999999999997E-2</v>
      </c>
      <c r="O823" s="296">
        <f t="shared" si="133"/>
        <v>-5.4832672180712083E-2</v>
      </c>
      <c r="P823" s="8">
        <f t="shared" si="139"/>
        <v>-5.7082672180712085E-2</v>
      </c>
      <c r="Q823" s="8">
        <f t="shared" si="140"/>
        <v>-5.2704821243277244E-2</v>
      </c>
      <c r="R823" s="8">
        <f t="shared" si="141"/>
        <v>7.8331999999999985E-2</v>
      </c>
      <c r="S823" s="296">
        <f t="shared" si="142"/>
        <v>-0.13103682124327723</v>
      </c>
      <c r="U823" s="297"/>
      <c r="V823" s="297"/>
      <c r="W823" s="297"/>
      <c r="X823" s="297"/>
      <c r="Y823" s="297"/>
      <c r="Z823" s="297"/>
      <c r="AA823" s="297"/>
      <c r="AB823" s="297"/>
      <c r="AC823" s="297"/>
      <c r="AE823" s="297"/>
      <c r="AF823" s="297"/>
      <c r="AG823" s="297"/>
      <c r="AH823" s="297"/>
      <c r="AI823" s="297"/>
      <c r="AJ823" s="297"/>
      <c r="AK823" s="297"/>
      <c r="AL823" s="297"/>
      <c r="AM823" s="297"/>
      <c r="AO823" s="297"/>
      <c r="AP823" s="297"/>
      <c r="AQ823" s="297"/>
      <c r="AR823" s="297"/>
      <c r="AS823" s="297"/>
      <c r="AT823" s="297"/>
      <c r="AU823" s="297"/>
      <c r="AV823" s="297"/>
      <c r="AW823" s="297"/>
    </row>
    <row r="824" spans="1:49" x14ac:dyDescent="0.45">
      <c r="A824" s="295">
        <v>34425</v>
      </c>
      <c r="B824" s="12">
        <v>1.2800000000000001E-2</v>
      </c>
      <c r="C824" s="5">
        <v>2.46E-2</v>
      </c>
      <c r="D824" s="5">
        <v>5.7000000000000002E-3</v>
      </c>
      <c r="E824" s="5">
        <v>6.2333333333333338E-3</v>
      </c>
      <c r="F824" s="5">
        <v>6.4083333333333336E-3</v>
      </c>
      <c r="G824" s="5">
        <v>6.3208333333333337E-3</v>
      </c>
      <c r="H824" s="5">
        <v>6.8514166666666662E-3</v>
      </c>
      <c r="I824" s="5">
        <f t="shared" si="132"/>
        <v>7.1000000000000004E-3</v>
      </c>
      <c r="J824" s="5">
        <f t="shared" si="136"/>
        <v>6.4791666666666669E-3</v>
      </c>
      <c r="K824" s="5">
        <f t="shared" si="137"/>
        <v>1.7748583333333335E-2</v>
      </c>
      <c r="L824" s="8">
        <f t="shared" si="134"/>
        <v>5.3244875605015896E-2</v>
      </c>
      <c r="M824" s="8">
        <f t="shared" si="135"/>
        <v>6.8400000000000002E-2</v>
      </c>
      <c r="N824" s="8">
        <f t="shared" si="138"/>
        <v>7.5850000000000001E-2</v>
      </c>
      <c r="O824" s="296">
        <f t="shared" si="133"/>
        <v>-1.5155124394984107E-2</v>
      </c>
      <c r="P824" s="8">
        <f t="shared" si="139"/>
        <v>-2.2605124394984105E-2</v>
      </c>
      <c r="Q824" s="8">
        <f t="shared" si="140"/>
        <v>-2.6773648697344554E-2</v>
      </c>
      <c r="R824" s="8">
        <f t="shared" si="141"/>
        <v>8.2216999999999998E-2</v>
      </c>
      <c r="S824" s="296">
        <f t="shared" si="142"/>
        <v>-0.10899064869734455</v>
      </c>
      <c r="U824" s="297"/>
      <c r="V824" s="297"/>
      <c r="W824" s="297"/>
      <c r="X824" s="297"/>
      <c r="Y824" s="297"/>
      <c r="Z824" s="297"/>
      <c r="AA824" s="297"/>
      <c r="AB824" s="297"/>
      <c r="AC824" s="297"/>
      <c r="AE824" s="297"/>
      <c r="AF824" s="297"/>
      <c r="AG824" s="297"/>
      <c r="AH824" s="297"/>
      <c r="AI824" s="297"/>
      <c r="AJ824" s="297"/>
      <c r="AK824" s="297"/>
      <c r="AL824" s="297"/>
      <c r="AM824" s="297"/>
      <c r="AO824" s="297"/>
      <c r="AP824" s="297"/>
      <c r="AQ824" s="297"/>
      <c r="AR824" s="297"/>
      <c r="AS824" s="297"/>
      <c r="AT824" s="297"/>
      <c r="AU824" s="297"/>
      <c r="AV824" s="297"/>
      <c r="AW824" s="297"/>
    </row>
    <row r="825" spans="1:49" x14ac:dyDescent="0.45">
      <c r="A825" s="295">
        <v>34455</v>
      </c>
      <c r="B825" s="12">
        <v>1.6400000000000001E-2</v>
      </c>
      <c r="C825" s="5">
        <v>-2.6800000000000001E-2</v>
      </c>
      <c r="D825" s="5">
        <v>6.3E-3</v>
      </c>
      <c r="E825" s="5">
        <v>6.6583333333333338E-3</v>
      </c>
      <c r="F825" s="5">
        <v>6.8250000000000003E-3</v>
      </c>
      <c r="G825" s="5">
        <v>6.7416666666666666E-3</v>
      </c>
      <c r="H825" s="5">
        <v>6.9384999999999994E-3</v>
      </c>
      <c r="I825" s="5">
        <f t="shared" si="132"/>
        <v>1.0100000000000001E-2</v>
      </c>
      <c r="J825" s="5">
        <f t="shared" si="136"/>
        <v>9.6583333333333347E-3</v>
      </c>
      <c r="K825" s="5">
        <f t="shared" si="137"/>
        <v>-3.3738499999999998E-2</v>
      </c>
      <c r="L825" s="8">
        <f t="shared" si="134"/>
        <v>4.2577027235039422E-2</v>
      </c>
      <c r="M825" s="8">
        <f t="shared" si="135"/>
        <v>7.5600000000000001E-2</v>
      </c>
      <c r="N825" s="8">
        <f t="shared" si="138"/>
        <v>8.09E-2</v>
      </c>
      <c r="O825" s="296">
        <f t="shared" si="133"/>
        <v>-3.3022972764960579E-2</v>
      </c>
      <c r="P825" s="8">
        <f t="shared" si="139"/>
        <v>-3.8322972764960578E-2</v>
      </c>
      <c r="Q825" s="8">
        <f t="shared" si="140"/>
        <v>-3.441341106357021E-2</v>
      </c>
      <c r="R825" s="8">
        <f t="shared" si="141"/>
        <v>8.3261999999999989E-2</v>
      </c>
      <c r="S825" s="296">
        <f t="shared" si="142"/>
        <v>-0.1176754110635702</v>
      </c>
      <c r="U825" s="297"/>
      <c r="V825" s="297"/>
      <c r="W825" s="297"/>
      <c r="X825" s="297"/>
      <c r="Y825" s="297"/>
      <c r="Z825" s="297"/>
      <c r="AA825" s="297"/>
      <c r="AB825" s="297"/>
      <c r="AC825" s="297"/>
      <c r="AE825" s="297"/>
      <c r="AF825" s="297"/>
      <c r="AG825" s="297"/>
      <c r="AH825" s="297"/>
      <c r="AI825" s="297"/>
      <c r="AJ825" s="297"/>
      <c r="AK825" s="297"/>
      <c r="AL825" s="297"/>
      <c r="AM825" s="297"/>
      <c r="AO825" s="297"/>
      <c r="AP825" s="297"/>
      <c r="AQ825" s="297"/>
      <c r="AR825" s="297"/>
      <c r="AS825" s="297"/>
      <c r="AT825" s="297"/>
      <c r="AU825" s="297"/>
      <c r="AV825" s="297"/>
      <c r="AW825" s="297"/>
    </row>
    <row r="826" spans="1:49" x14ac:dyDescent="0.45">
      <c r="A826" s="295">
        <v>34486</v>
      </c>
      <c r="B826" s="12">
        <v>-2.4500000000000001E-2</v>
      </c>
      <c r="C826" s="5">
        <v>2.0999999999999994E-3</v>
      </c>
      <c r="D826" s="5">
        <v>6.0999999999999995E-3</v>
      </c>
      <c r="E826" s="5">
        <v>6.6416666666666672E-3</v>
      </c>
      <c r="F826" s="5">
        <v>6.8083333333333329E-3</v>
      </c>
      <c r="G826" s="5">
        <v>6.7250000000000001E-3</v>
      </c>
      <c r="H826" s="5">
        <v>6.9234166666666663E-3</v>
      </c>
      <c r="I826" s="5">
        <f t="shared" si="132"/>
        <v>-3.0600000000000002E-2</v>
      </c>
      <c r="J826" s="5">
        <f t="shared" si="136"/>
        <v>-3.1225000000000003E-2</v>
      </c>
      <c r="K826" s="5">
        <f t="shared" si="137"/>
        <v>-4.8234166666666668E-3</v>
      </c>
      <c r="L826" s="8">
        <f t="shared" si="134"/>
        <v>1.4093020308885373E-2</v>
      </c>
      <c r="M826" s="8">
        <f t="shared" si="135"/>
        <v>7.3199999999999987E-2</v>
      </c>
      <c r="N826" s="8">
        <f t="shared" si="138"/>
        <v>8.0699999999999994E-2</v>
      </c>
      <c r="O826" s="296">
        <f t="shared" si="133"/>
        <v>-5.9106979691114614E-2</v>
      </c>
      <c r="P826" s="8">
        <f t="shared" si="139"/>
        <v>-6.6606979691114621E-2</v>
      </c>
      <c r="Q826" s="8">
        <f t="shared" si="140"/>
        <v>-7.5203745796428856E-2</v>
      </c>
      <c r="R826" s="8">
        <f t="shared" si="141"/>
        <v>8.3080999999999988E-2</v>
      </c>
      <c r="S826" s="296">
        <f t="shared" si="142"/>
        <v>-0.15828474579642884</v>
      </c>
      <c r="U826" s="297"/>
      <c r="V826" s="297"/>
      <c r="W826" s="297"/>
      <c r="X826" s="297"/>
      <c r="Y826" s="297"/>
      <c r="Z826" s="297"/>
      <c r="AA826" s="297"/>
      <c r="AB826" s="297"/>
      <c r="AC826" s="297"/>
      <c r="AE826" s="297"/>
      <c r="AF826" s="297"/>
      <c r="AG826" s="297"/>
      <c r="AH826" s="297"/>
      <c r="AI826" s="297"/>
      <c r="AJ826" s="297"/>
      <c r="AK826" s="297"/>
      <c r="AL826" s="297"/>
      <c r="AM826" s="297"/>
      <c r="AO826" s="297"/>
      <c r="AP826" s="297"/>
      <c r="AQ826" s="297"/>
      <c r="AR826" s="297"/>
      <c r="AS826" s="297"/>
      <c r="AT826" s="297"/>
      <c r="AU826" s="297"/>
      <c r="AV826" s="297"/>
      <c r="AW826" s="297"/>
    </row>
    <row r="827" spans="1:49" x14ac:dyDescent="0.45">
      <c r="A827" s="295">
        <v>34516</v>
      </c>
      <c r="B827" s="12">
        <v>3.2800000000000003E-2</v>
      </c>
      <c r="C827" s="5">
        <v>3.3599999999999998E-2</v>
      </c>
      <c r="D827" s="5">
        <v>6.0000000000000001E-3</v>
      </c>
      <c r="E827" s="5">
        <v>6.7583333333333332E-3</v>
      </c>
      <c r="F827" s="5">
        <v>6.9249999999999997E-3</v>
      </c>
      <c r="G827" s="5">
        <v>6.841666666666666E-3</v>
      </c>
      <c r="H827" s="5">
        <v>7.0627500000000013E-3</v>
      </c>
      <c r="I827" s="5">
        <f t="shared" si="132"/>
        <v>2.6800000000000004E-2</v>
      </c>
      <c r="J827" s="5">
        <f t="shared" si="136"/>
        <v>2.5958333333333337E-2</v>
      </c>
      <c r="K827" s="5">
        <f t="shared" si="137"/>
        <v>2.6537249999999998E-2</v>
      </c>
      <c r="L827" s="8">
        <f t="shared" si="134"/>
        <v>5.1561517444795646E-2</v>
      </c>
      <c r="M827" s="8">
        <f t="shared" si="135"/>
        <v>7.2000000000000008E-2</v>
      </c>
      <c r="N827" s="8">
        <f t="shared" si="138"/>
        <v>8.2099999999999992E-2</v>
      </c>
      <c r="O827" s="296">
        <f t="shared" si="133"/>
        <v>-2.0438482555204363E-2</v>
      </c>
      <c r="P827" s="8">
        <f t="shared" si="139"/>
        <v>-3.0538482555204347E-2</v>
      </c>
      <c r="Q827" s="8">
        <f t="shared" si="140"/>
        <v>-6.5255810341471543E-2</v>
      </c>
      <c r="R827" s="8">
        <f t="shared" si="141"/>
        <v>8.4753000000000023E-2</v>
      </c>
      <c r="S827" s="296">
        <f t="shared" si="142"/>
        <v>-0.15000881034147157</v>
      </c>
      <c r="U827" s="297"/>
      <c r="V827" s="297"/>
      <c r="W827" s="297"/>
      <c r="X827" s="297"/>
      <c r="Y827" s="297"/>
      <c r="Z827" s="297"/>
      <c r="AA827" s="297"/>
      <c r="AB827" s="297"/>
      <c r="AC827" s="297"/>
      <c r="AE827" s="297"/>
      <c r="AF827" s="297"/>
      <c r="AG827" s="297"/>
      <c r="AH827" s="297"/>
      <c r="AI827" s="297"/>
      <c r="AJ827" s="297"/>
      <c r="AK827" s="297"/>
      <c r="AL827" s="297"/>
      <c r="AM827" s="297"/>
      <c r="AO827" s="297"/>
      <c r="AP827" s="297"/>
      <c r="AQ827" s="297"/>
      <c r="AR827" s="297"/>
      <c r="AS827" s="297"/>
      <c r="AT827" s="297"/>
      <c r="AU827" s="297"/>
      <c r="AV827" s="297"/>
      <c r="AW827" s="297"/>
    </row>
    <row r="828" spans="1:49" x14ac:dyDescent="0.45">
      <c r="A828" s="295">
        <v>34547</v>
      </c>
      <c r="B828" s="12">
        <v>4.1000000000000002E-2</v>
      </c>
      <c r="C828" s="5">
        <v>-2.7999999999999995E-3</v>
      </c>
      <c r="D828" s="5">
        <v>6.6E-3</v>
      </c>
      <c r="E828" s="5">
        <v>6.7250000000000001E-3</v>
      </c>
      <c r="F828" s="5">
        <v>6.875E-3</v>
      </c>
      <c r="G828" s="5">
        <v>6.7999999999999996E-3</v>
      </c>
      <c r="H828" s="5">
        <v>7.0058333333333335E-3</v>
      </c>
      <c r="I828" s="5">
        <f t="shared" si="132"/>
        <v>3.44E-2</v>
      </c>
      <c r="J828" s="5">
        <f t="shared" si="136"/>
        <v>3.4200000000000001E-2</v>
      </c>
      <c r="K828" s="5">
        <f t="shared" si="137"/>
        <v>-9.8058333333333331E-3</v>
      </c>
      <c r="L828" s="8">
        <f t="shared" si="134"/>
        <v>5.470232166878497E-2</v>
      </c>
      <c r="M828" s="8">
        <f t="shared" si="135"/>
        <v>7.9199999999999993E-2</v>
      </c>
      <c r="N828" s="8">
        <f t="shared" si="138"/>
        <v>8.1599999999999992E-2</v>
      </c>
      <c r="O828" s="296">
        <f t="shared" si="133"/>
        <v>-2.4497678331215023E-2</v>
      </c>
      <c r="P828" s="8">
        <f t="shared" si="139"/>
        <v>-2.6897678331215022E-2</v>
      </c>
      <c r="Q828" s="8">
        <f t="shared" si="140"/>
        <v>-0.11090527858881671</v>
      </c>
      <c r="R828" s="8">
        <f t="shared" si="141"/>
        <v>8.4070000000000006E-2</v>
      </c>
      <c r="S828" s="296">
        <f t="shared" si="142"/>
        <v>-0.19497527858881672</v>
      </c>
      <c r="U828" s="297"/>
      <c r="V828" s="297"/>
      <c r="W828" s="297"/>
      <c r="X828" s="297"/>
      <c r="Y828" s="297"/>
      <c r="Z828" s="297"/>
      <c r="AA828" s="297"/>
      <c r="AB828" s="297"/>
      <c r="AC828" s="297"/>
      <c r="AE828" s="297"/>
      <c r="AF828" s="297"/>
      <c r="AG828" s="297"/>
      <c r="AH828" s="297"/>
      <c r="AI828" s="297"/>
      <c r="AJ828" s="297"/>
      <c r="AK828" s="297"/>
      <c r="AL828" s="297"/>
      <c r="AM828" s="297"/>
      <c r="AO828" s="297"/>
      <c r="AP828" s="297"/>
      <c r="AQ828" s="297"/>
      <c r="AR828" s="297"/>
      <c r="AS828" s="297"/>
      <c r="AT828" s="297"/>
      <c r="AU828" s="297"/>
      <c r="AV828" s="297"/>
      <c r="AW828" s="297"/>
    </row>
    <row r="829" spans="1:49" x14ac:dyDescent="0.45">
      <c r="A829" s="295">
        <v>34578</v>
      </c>
      <c r="B829" s="12">
        <v>-2.4500000000000001E-2</v>
      </c>
      <c r="C829" s="5">
        <v>-2.5399999999999999E-2</v>
      </c>
      <c r="D829" s="5">
        <v>6.0999999999999995E-3</v>
      </c>
      <c r="E829" s="5">
        <v>6.9499999999999996E-3</v>
      </c>
      <c r="F829" s="5">
        <v>7.0750000000000006E-3</v>
      </c>
      <c r="G829" s="5">
        <v>7.0124999999999996E-3</v>
      </c>
      <c r="H829" s="5">
        <v>7.1869166666666661E-3</v>
      </c>
      <c r="I829" s="5">
        <f t="shared" si="132"/>
        <v>-3.0600000000000002E-2</v>
      </c>
      <c r="J829" s="5">
        <f t="shared" si="136"/>
        <v>-3.1512499999999999E-2</v>
      </c>
      <c r="K829" s="5">
        <f t="shared" si="137"/>
        <v>-3.2586916666666667E-2</v>
      </c>
      <c r="L829" s="8">
        <f t="shared" si="134"/>
        <v>3.6845827660888952E-2</v>
      </c>
      <c r="M829" s="8">
        <f t="shared" si="135"/>
        <v>7.3199999999999987E-2</v>
      </c>
      <c r="N829" s="8">
        <f t="shared" si="138"/>
        <v>8.4150000000000003E-2</v>
      </c>
      <c r="O829" s="296">
        <f t="shared" si="133"/>
        <v>-3.6354172339111035E-2</v>
      </c>
      <c r="P829" s="8">
        <f t="shared" si="139"/>
        <v>-4.730417233911105E-2</v>
      </c>
      <c r="Q829" s="8">
        <f t="shared" si="140"/>
        <v>-0.13175178808883847</v>
      </c>
      <c r="R829" s="8">
        <f t="shared" si="141"/>
        <v>8.6242999999999986E-2</v>
      </c>
      <c r="S829" s="296">
        <f t="shared" si="142"/>
        <v>-0.21799478808883846</v>
      </c>
      <c r="U829" s="297"/>
      <c r="V829" s="297"/>
      <c r="W829" s="297"/>
      <c r="X829" s="297"/>
      <c r="Y829" s="297"/>
      <c r="Z829" s="297"/>
      <c r="AA829" s="297"/>
      <c r="AB829" s="297"/>
      <c r="AC829" s="297"/>
      <c r="AE829" s="297"/>
      <c r="AF829" s="297"/>
      <c r="AG829" s="297"/>
      <c r="AH829" s="297"/>
      <c r="AI829" s="297"/>
      <c r="AJ829" s="297"/>
      <c r="AK829" s="297"/>
      <c r="AL829" s="297"/>
      <c r="AM829" s="297"/>
      <c r="AO829" s="297"/>
      <c r="AP829" s="297"/>
      <c r="AQ829" s="297"/>
      <c r="AR829" s="297"/>
      <c r="AS829" s="297"/>
      <c r="AT829" s="297"/>
      <c r="AU829" s="297"/>
      <c r="AV829" s="297"/>
      <c r="AW829" s="297"/>
    </row>
    <row r="830" spans="1:49" x14ac:dyDescent="0.45">
      <c r="A830" s="295">
        <v>34608</v>
      </c>
      <c r="B830" s="12">
        <v>2.2499999999999999E-2</v>
      </c>
      <c r="C830" s="5">
        <v>8.6E-3</v>
      </c>
      <c r="D830" s="5">
        <v>6.6E-3</v>
      </c>
      <c r="E830" s="5">
        <v>7.1416666666666677E-3</v>
      </c>
      <c r="F830" s="5">
        <v>7.2583333333333345E-3</v>
      </c>
      <c r="G830" s="5">
        <v>7.2000000000000007E-3</v>
      </c>
      <c r="H830" s="5">
        <v>7.376999999999999E-3</v>
      </c>
      <c r="I830" s="5">
        <f t="shared" si="132"/>
        <v>1.5899999999999997E-2</v>
      </c>
      <c r="J830" s="5">
        <f t="shared" si="136"/>
        <v>1.5299999999999998E-2</v>
      </c>
      <c r="K830" s="5">
        <f t="shared" si="137"/>
        <v>1.223000000000001E-3</v>
      </c>
      <c r="L830" s="8">
        <f t="shared" si="134"/>
        <v>3.8674300757577162E-2</v>
      </c>
      <c r="M830" s="8">
        <f t="shared" si="135"/>
        <v>7.9199999999999993E-2</v>
      </c>
      <c r="N830" s="8">
        <f t="shared" si="138"/>
        <v>8.6400000000000005E-2</v>
      </c>
      <c r="O830" s="296">
        <f t="shared" si="133"/>
        <v>-4.052569924242283E-2</v>
      </c>
      <c r="P830" s="8">
        <f t="shared" si="139"/>
        <v>-4.7725699242422842E-2</v>
      </c>
      <c r="Q830" s="8">
        <f t="shared" si="140"/>
        <v>-0.12244198162782116</v>
      </c>
      <c r="R830" s="8">
        <f t="shared" si="141"/>
        <v>8.8523999999999992E-2</v>
      </c>
      <c r="S830" s="296">
        <f t="shared" si="142"/>
        <v>-0.21096598162782115</v>
      </c>
      <c r="U830" s="297"/>
      <c r="V830" s="297"/>
      <c r="W830" s="297"/>
      <c r="X830" s="297"/>
      <c r="Y830" s="297"/>
      <c r="Z830" s="297"/>
      <c r="AA830" s="297"/>
      <c r="AB830" s="297"/>
      <c r="AC830" s="297"/>
      <c r="AE830" s="297"/>
      <c r="AF830" s="297"/>
      <c r="AG830" s="297"/>
      <c r="AH830" s="297"/>
      <c r="AI830" s="297"/>
      <c r="AJ830" s="297"/>
      <c r="AK830" s="297"/>
      <c r="AL830" s="297"/>
      <c r="AM830" s="297"/>
      <c r="AO830" s="297"/>
      <c r="AP830" s="297"/>
      <c r="AQ830" s="297"/>
      <c r="AR830" s="297"/>
      <c r="AS830" s="297"/>
      <c r="AT830" s="297"/>
      <c r="AU830" s="297"/>
      <c r="AV830" s="297"/>
      <c r="AW830" s="297"/>
    </row>
    <row r="831" spans="1:49" x14ac:dyDescent="0.45">
      <c r="A831" s="295">
        <v>34639</v>
      </c>
      <c r="B831" s="12">
        <v>-3.6400000000000002E-2</v>
      </c>
      <c r="C831" s="5">
        <v>-1.46E-2</v>
      </c>
      <c r="D831" s="5">
        <v>6.4000000000000003E-3</v>
      </c>
      <c r="E831" s="5">
        <v>7.2333333333333329E-3</v>
      </c>
      <c r="F831" s="5">
        <v>7.358333333333333E-3</v>
      </c>
      <c r="G831" s="5">
        <v>7.2958333333333321E-3</v>
      </c>
      <c r="H831" s="5">
        <v>7.4862499999999998E-3</v>
      </c>
      <c r="I831" s="5">
        <f t="shared" si="132"/>
        <v>-4.2800000000000005E-2</v>
      </c>
      <c r="J831" s="5">
        <f t="shared" si="136"/>
        <v>-4.3695833333333337E-2</v>
      </c>
      <c r="K831" s="5">
        <f t="shared" si="137"/>
        <v>-2.2086250000000002E-2</v>
      </c>
      <c r="L831" s="8">
        <f t="shared" si="134"/>
        <v>1.0465983048966621E-2</v>
      </c>
      <c r="M831" s="8">
        <f t="shared" si="135"/>
        <v>7.6800000000000007E-2</v>
      </c>
      <c r="N831" s="8">
        <f t="shared" si="138"/>
        <v>8.7549999999999989E-2</v>
      </c>
      <c r="O831" s="296">
        <f t="shared" si="133"/>
        <v>-6.6334016951033387E-2</v>
      </c>
      <c r="P831" s="8">
        <f t="shared" si="139"/>
        <v>-7.7084016951033368E-2</v>
      </c>
      <c r="Q831" s="8">
        <f t="shared" si="140"/>
        <v>-8.907018718640547E-2</v>
      </c>
      <c r="R831" s="8">
        <f t="shared" si="141"/>
        <v>8.9834999999999998E-2</v>
      </c>
      <c r="S831" s="296">
        <f t="shared" si="142"/>
        <v>-0.17890518718640547</v>
      </c>
      <c r="U831" s="297"/>
      <c r="V831" s="297"/>
      <c r="W831" s="297"/>
      <c r="X831" s="297"/>
      <c r="Y831" s="297"/>
      <c r="Z831" s="297"/>
      <c r="AA831" s="297"/>
      <c r="AB831" s="297"/>
      <c r="AC831" s="297"/>
      <c r="AE831" s="297"/>
      <c r="AF831" s="297"/>
      <c r="AG831" s="297"/>
      <c r="AH831" s="297"/>
      <c r="AI831" s="297"/>
      <c r="AJ831" s="297"/>
      <c r="AK831" s="297"/>
      <c r="AL831" s="297"/>
      <c r="AM831" s="297"/>
      <c r="AO831" s="297"/>
      <c r="AP831" s="297"/>
      <c r="AQ831" s="297"/>
      <c r="AR831" s="297"/>
      <c r="AS831" s="297"/>
      <c r="AT831" s="297"/>
      <c r="AU831" s="297"/>
      <c r="AV831" s="297"/>
      <c r="AW831" s="297"/>
    </row>
    <row r="832" spans="1:49" x14ac:dyDescent="0.45">
      <c r="A832" s="295">
        <v>34669</v>
      </c>
      <c r="B832" s="12">
        <v>1.4800000000000001E-2</v>
      </c>
      <c r="C832" s="5">
        <v>5.1999999999999998E-3</v>
      </c>
      <c r="D832" s="5">
        <v>6.6E-3</v>
      </c>
      <c r="E832" s="5">
        <v>7.0500000000000007E-3</v>
      </c>
      <c r="F832" s="5">
        <v>7.1833333333333324E-3</v>
      </c>
      <c r="G832" s="5">
        <v>7.116666666666667E-3</v>
      </c>
      <c r="H832" s="5">
        <v>7.3067500000000007E-3</v>
      </c>
      <c r="I832" s="5">
        <f t="shared" si="132"/>
        <v>8.2000000000000007E-3</v>
      </c>
      <c r="J832" s="5">
        <f t="shared" si="136"/>
        <v>7.6833333333333337E-3</v>
      </c>
      <c r="K832" s="5">
        <f t="shared" si="137"/>
        <v>-2.106750000000001E-3</v>
      </c>
      <c r="L832" s="8">
        <f t="shared" si="134"/>
        <v>1.3161623948316548E-2</v>
      </c>
      <c r="M832" s="8">
        <f t="shared" si="135"/>
        <v>7.9199999999999993E-2</v>
      </c>
      <c r="N832" s="8">
        <f t="shared" si="138"/>
        <v>8.5400000000000004E-2</v>
      </c>
      <c r="O832" s="296">
        <f t="shared" si="133"/>
        <v>-6.6038376051683445E-2</v>
      </c>
      <c r="P832" s="8">
        <f t="shared" si="139"/>
        <v>-7.2238376051683456E-2</v>
      </c>
      <c r="Q832" s="8">
        <f t="shared" si="140"/>
        <v>-7.9454460802025451E-2</v>
      </c>
      <c r="R832" s="8">
        <f t="shared" si="141"/>
        <v>8.7681000000000009E-2</v>
      </c>
      <c r="S832" s="296">
        <f t="shared" si="142"/>
        <v>-0.16713546080202546</v>
      </c>
      <c r="U832" s="297"/>
      <c r="V832" s="297"/>
      <c r="W832" s="297"/>
      <c r="X832" s="297"/>
      <c r="Y832" s="297"/>
      <c r="Z832" s="297"/>
      <c r="AA832" s="297"/>
      <c r="AB832" s="297"/>
      <c r="AC832" s="297"/>
      <c r="AE832" s="297"/>
      <c r="AF832" s="297"/>
      <c r="AG832" s="297"/>
      <c r="AH832" s="297"/>
      <c r="AI832" s="297"/>
      <c r="AJ832" s="297"/>
      <c r="AK832" s="297"/>
      <c r="AL832" s="297"/>
      <c r="AM832" s="297"/>
      <c r="AO832" s="297"/>
      <c r="AP832" s="297"/>
      <c r="AQ832" s="297"/>
      <c r="AR832" s="297"/>
      <c r="AS832" s="297"/>
      <c r="AT832" s="297"/>
      <c r="AU832" s="297"/>
      <c r="AV832" s="297"/>
      <c r="AW832" s="297"/>
    </row>
    <row r="833" spans="1:49" x14ac:dyDescent="0.45">
      <c r="A833" s="295">
        <v>34700</v>
      </c>
      <c r="B833" s="12">
        <v>2.5899999999999999E-2</v>
      </c>
      <c r="C833" s="5">
        <v>7.7900000000000011E-2</v>
      </c>
      <c r="D833" s="5">
        <v>7.000000000000001E-3</v>
      </c>
      <c r="E833" s="5">
        <v>7.0500000000000007E-3</v>
      </c>
      <c r="F833" s="5">
        <v>7.1666666666666667E-3</v>
      </c>
      <c r="G833" s="5">
        <v>7.1083333333333346E-3</v>
      </c>
      <c r="H833" s="5">
        <v>7.2879166666666665E-3</v>
      </c>
      <c r="I833" s="5">
        <f t="shared" si="132"/>
        <v>1.89E-2</v>
      </c>
      <c r="J833" s="5">
        <f t="shared" si="136"/>
        <v>1.8791666666666665E-2</v>
      </c>
      <c r="K833" s="5">
        <f t="shared" si="137"/>
        <v>7.0612083333333339E-2</v>
      </c>
      <c r="L833" s="8">
        <f t="shared" si="134"/>
        <v>5.2248646117776243E-3</v>
      </c>
      <c r="M833" s="8">
        <f t="shared" si="135"/>
        <v>8.4000000000000019E-2</v>
      </c>
      <c r="N833" s="8">
        <f t="shared" si="138"/>
        <v>8.5300000000000015E-2</v>
      </c>
      <c r="O833" s="296">
        <f t="shared" si="133"/>
        <v>-7.8775135388222395E-2</v>
      </c>
      <c r="P833" s="8">
        <f t="shared" si="139"/>
        <v>-8.007513538822239E-2</v>
      </c>
      <c r="Q833" s="8">
        <f t="shared" si="140"/>
        <v>-1.4837135919880118E-2</v>
      </c>
      <c r="R833" s="8">
        <f t="shared" si="141"/>
        <v>8.7455000000000005E-2</v>
      </c>
      <c r="S833" s="296">
        <f t="shared" si="142"/>
        <v>-0.10229213591988012</v>
      </c>
      <c r="U833" s="297"/>
      <c r="V833" s="297"/>
      <c r="W833" s="297"/>
      <c r="X833" s="297"/>
      <c r="Y833" s="297"/>
      <c r="Z833" s="297"/>
      <c r="AA833" s="297"/>
      <c r="AB833" s="297"/>
      <c r="AC833" s="297"/>
      <c r="AE833" s="297"/>
      <c r="AF833" s="297"/>
      <c r="AG833" s="297"/>
      <c r="AH833" s="297"/>
      <c r="AI833" s="297"/>
      <c r="AJ833" s="297"/>
      <c r="AK833" s="297"/>
      <c r="AL833" s="297"/>
      <c r="AM833" s="297"/>
      <c r="AO833" s="297"/>
      <c r="AP833" s="297"/>
      <c r="AQ833" s="297"/>
      <c r="AR833" s="297"/>
      <c r="AS833" s="297"/>
      <c r="AT833" s="297"/>
      <c r="AU833" s="297"/>
      <c r="AV833" s="297"/>
      <c r="AW833" s="297"/>
    </row>
    <row r="834" spans="1:49" x14ac:dyDescent="0.45">
      <c r="A834" s="295">
        <v>34731</v>
      </c>
      <c r="B834" s="12">
        <v>3.9E-2</v>
      </c>
      <c r="C834" s="5">
        <v>-1.5000000000000005E-3</v>
      </c>
      <c r="D834" s="5">
        <v>5.8999999999999999E-3</v>
      </c>
      <c r="E834" s="5">
        <v>6.8833333333333333E-3</v>
      </c>
      <c r="F834" s="5">
        <v>6.9916666666666669E-3</v>
      </c>
      <c r="G834" s="5">
        <v>6.937500000000001E-3</v>
      </c>
      <c r="H834" s="5">
        <v>7.1083333333333328E-3</v>
      </c>
      <c r="I834" s="5">
        <f t="shared" si="132"/>
        <v>3.3099999999999997E-2</v>
      </c>
      <c r="J834" s="5">
        <f t="shared" si="136"/>
        <v>3.2062500000000001E-2</v>
      </c>
      <c r="K834" s="5">
        <f t="shared" si="137"/>
        <v>-8.6083333333333324E-3</v>
      </c>
      <c r="L834" s="8">
        <f t="shared" si="134"/>
        <v>7.3521054919968076E-2</v>
      </c>
      <c r="M834" s="8">
        <f t="shared" si="135"/>
        <v>7.0800000000000002E-2</v>
      </c>
      <c r="N834" s="8">
        <f t="shared" si="138"/>
        <v>8.3250000000000018E-2</v>
      </c>
      <c r="O834" s="296">
        <f t="shared" si="133"/>
        <v>2.7210549199680745E-3</v>
      </c>
      <c r="P834" s="8">
        <f t="shared" si="139"/>
        <v>-9.7289450800319421E-3</v>
      </c>
      <c r="Q834" s="8">
        <f t="shared" si="140"/>
        <v>4.2812593855612757E-2</v>
      </c>
      <c r="R834" s="8">
        <f t="shared" si="141"/>
        <v>8.5299999999999987E-2</v>
      </c>
      <c r="S834" s="296">
        <f t="shared" si="142"/>
        <v>-4.248740614438723E-2</v>
      </c>
      <c r="U834" s="297"/>
      <c r="V834" s="297"/>
      <c r="W834" s="297"/>
      <c r="X834" s="297"/>
      <c r="Y834" s="297"/>
      <c r="Z834" s="297"/>
      <c r="AA834" s="297"/>
      <c r="AB834" s="297"/>
      <c r="AC834" s="297"/>
      <c r="AE834" s="297"/>
      <c r="AF834" s="297"/>
      <c r="AG834" s="297"/>
      <c r="AH834" s="297"/>
      <c r="AI834" s="297"/>
      <c r="AJ834" s="297"/>
      <c r="AK834" s="297"/>
      <c r="AL834" s="297"/>
      <c r="AM834" s="297"/>
      <c r="AO834" s="297"/>
      <c r="AP834" s="297"/>
      <c r="AQ834" s="297"/>
      <c r="AR834" s="297"/>
      <c r="AS834" s="297"/>
      <c r="AT834" s="297"/>
      <c r="AU834" s="297"/>
      <c r="AV834" s="297"/>
      <c r="AW834" s="297"/>
    </row>
    <row r="835" spans="1:49" x14ac:dyDescent="0.45">
      <c r="A835" s="295">
        <v>34759</v>
      </c>
      <c r="B835" s="12">
        <v>2.9499999999999998E-2</v>
      </c>
      <c r="C835" s="5">
        <v>-6.0000000000000001E-3</v>
      </c>
      <c r="D835" s="5">
        <v>6.4000000000000003E-3</v>
      </c>
      <c r="E835" s="5">
        <v>6.7666666666666665E-3</v>
      </c>
      <c r="F835" s="5">
        <v>6.8666666666666668E-3</v>
      </c>
      <c r="G835" s="5">
        <v>6.8166666666666662E-3</v>
      </c>
      <c r="H835" s="5">
        <v>6.9785833333333332E-3</v>
      </c>
      <c r="I835" s="5">
        <f t="shared" si="132"/>
        <v>2.3099999999999999E-2</v>
      </c>
      <c r="J835" s="5">
        <f t="shared" si="136"/>
        <v>2.2683333333333333E-2</v>
      </c>
      <c r="K835" s="5">
        <f t="shared" si="137"/>
        <v>-1.2978583333333333E-2</v>
      </c>
      <c r="L835" s="8">
        <f t="shared" si="134"/>
        <v>0.15557290468434459</v>
      </c>
      <c r="M835" s="8">
        <f t="shared" si="135"/>
        <v>7.6800000000000007E-2</v>
      </c>
      <c r="N835" s="8">
        <f t="shared" si="138"/>
        <v>8.1799999999999998E-2</v>
      </c>
      <c r="O835" s="296">
        <f t="shared" si="133"/>
        <v>7.8772904684344586E-2</v>
      </c>
      <c r="P835" s="8">
        <f t="shared" si="139"/>
        <v>7.3772904684344595E-2</v>
      </c>
      <c r="Q835" s="8">
        <f t="shared" si="140"/>
        <v>7.2816930544896907E-2</v>
      </c>
      <c r="R835" s="8">
        <f t="shared" si="141"/>
        <v>8.3742999999999998E-2</v>
      </c>
      <c r="S835" s="296">
        <f t="shared" si="142"/>
        <v>-1.0926069455103091E-2</v>
      </c>
      <c r="U835" s="297"/>
      <c r="V835" s="297"/>
      <c r="W835" s="297"/>
      <c r="X835" s="297"/>
      <c r="Y835" s="297"/>
      <c r="Z835" s="297"/>
      <c r="AA835" s="297"/>
      <c r="AB835" s="297"/>
      <c r="AC835" s="297"/>
      <c r="AE835" s="297"/>
      <c r="AF835" s="297"/>
      <c r="AG835" s="297"/>
      <c r="AH835" s="297"/>
      <c r="AI835" s="297"/>
      <c r="AJ835" s="297"/>
      <c r="AK835" s="297"/>
      <c r="AL835" s="297"/>
      <c r="AM835" s="297"/>
      <c r="AO835" s="297"/>
      <c r="AP835" s="297"/>
      <c r="AQ835" s="297"/>
      <c r="AR835" s="297"/>
      <c r="AS835" s="297"/>
      <c r="AT835" s="297"/>
      <c r="AU835" s="297"/>
      <c r="AV835" s="297"/>
      <c r="AW835" s="297"/>
    </row>
    <row r="836" spans="1:49" x14ac:dyDescent="0.45">
      <c r="A836" s="295">
        <v>34790</v>
      </c>
      <c r="B836" s="12">
        <v>2.9399999999999999E-2</v>
      </c>
      <c r="C836" s="5">
        <v>3.6500000000000005E-2</v>
      </c>
      <c r="D836" s="5">
        <v>5.7999999999999996E-3</v>
      </c>
      <c r="E836" s="5">
        <v>6.6916666666666661E-3</v>
      </c>
      <c r="F836" s="5">
        <v>6.7666666666666665E-3</v>
      </c>
      <c r="G836" s="5">
        <v>6.7291666666666663E-3</v>
      </c>
      <c r="H836" s="5">
        <v>6.8982499999999999E-3</v>
      </c>
      <c r="I836" s="5">
        <f t="shared" si="132"/>
        <v>2.3599999999999999E-2</v>
      </c>
      <c r="J836" s="5">
        <f t="shared" si="136"/>
        <v>2.2670833333333335E-2</v>
      </c>
      <c r="K836" s="5">
        <f t="shared" si="137"/>
        <v>2.9601750000000003E-2</v>
      </c>
      <c r="L836" s="8">
        <f t="shared" si="134"/>
        <v>0.17451298191357112</v>
      </c>
      <c r="M836" s="8">
        <f t="shared" si="135"/>
        <v>6.9599999999999995E-2</v>
      </c>
      <c r="N836" s="8">
        <f t="shared" si="138"/>
        <v>8.0749999999999988E-2</v>
      </c>
      <c r="O836" s="296">
        <f t="shared" si="133"/>
        <v>0.10491298191357112</v>
      </c>
      <c r="P836" s="8">
        <f t="shared" si="139"/>
        <v>9.3762981913571131E-2</v>
      </c>
      <c r="Q836" s="8">
        <f t="shared" si="140"/>
        <v>8.527693588696672E-2</v>
      </c>
      <c r="R836" s="8">
        <f t="shared" si="141"/>
        <v>8.2778999999999991E-2</v>
      </c>
      <c r="S836" s="296">
        <f t="shared" si="142"/>
        <v>2.497935886966729E-3</v>
      </c>
      <c r="U836" s="297"/>
      <c r="V836" s="297"/>
      <c r="W836" s="297"/>
      <c r="X836" s="297"/>
      <c r="Y836" s="297"/>
      <c r="Z836" s="297"/>
      <c r="AA836" s="297"/>
      <c r="AB836" s="297"/>
      <c r="AC836" s="297"/>
      <c r="AE836" s="297"/>
      <c r="AF836" s="297"/>
      <c r="AG836" s="297"/>
      <c r="AH836" s="297"/>
      <c r="AI836" s="297"/>
      <c r="AJ836" s="297"/>
      <c r="AK836" s="297"/>
      <c r="AL836" s="297"/>
      <c r="AM836" s="297"/>
      <c r="AO836" s="297"/>
      <c r="AP836" s="297"/>
      <c r="AQ836" s="297"/>
      <c r="AR836" s="297"/>
      <c r="AS836" s="297"/>
      <c r="AT836" s="297"/>
      <c r="AU836" s="297"/>
      <c r="AV836" s="297"/>
      <c r="AW836" s="297"/>
    </row>
    <row r="837" spans="1:49" x14ac:dyDescent="0.45">
      <c r="A837" s="295">
        <v>34820</v>
      </c>
      <c r="B837" s="12">
        <v>0.04</v>
      </c>
      <c r="C837" s="5">
        <v>3.1600000000000003E-2</v>
      </c>
      <c r="D837" s="5">
        <v>6.5000000000000006E-3</v>
      </c>
      <c r="E837" s="5">
        <v>6.3750000000000005E-3</v>
      </c>
      <c r="F837" s="5">
        <v>6.45E-3</v>
      </c>
      <c r="G837" s="5">
        <v>6.4125000000000007E-3</v>
      </c>
      <c r="H837" s="5">
        <v>6.6102499999999998E-3</v>
      </c>
      <c r="I837" s="5">
        <f t="shared" si="132"/>
        <v>3.3500000000000002E-2</v>
      </c>
      <c r="J837" s="5">
        <f t="shared" si="136"/>
        <v>3.3587499999999999E-2</v>
      </c>
      <c r="K837" s="5">
        <f t="shared" si="137"/>
        <v>2.4989750000000005E-2</v>
      </c>
      <c r="L837" s="8">
        <f t="shared" si="134"/>
        <v>0.20178423965969428</v>
      </c>
      <c r="M837" s="8">
        <f t="shared" si="135"/>
        <v>7.8000000000000014E-2</v>
      </c>
      <c r="N837" s="8">
        <f t="shared" si="138"/>
        <v>7.6950000000000005E-2</v>
      </c>
      <c r="O837" s="296">
        <f t="shared" si="133"/>
        <v>0.12378423965969426</v>
      </c>
      <c r="P837" s="8">
        <f t="shared" si="139"/>
        <v>0.12483423965969427</v>
      </c>
      <c r="Q837" s="8">
        <f t="shared" si="140"/>
        <v>0.15040247334668555</v>
      </c>
      <c r="R837" s="8">
        <f t="shared" si="141"/>
        <v>7.9323000000000005E-2</v>
      </c>
      <c r="S837" s="296">
        <f t="shared" si="142"/>
        <v>7.1079473346685546E-2</v>
      </c>
      <c r="U837" s="297"/>
      <c r="V837" s="297"/>
      <c r="W837" s="297"/>
      <c r="X837" s="297"/>
      <c r="Y837" s="297"/>
      <c r="Z837" s="297"/>
      <c r="AA837" s="297"/>
      <c r="AB837" s="297"/>
      <c r="AC837" s="297"/>
      <c r="AE837" s="297"/>
      <c r="AF837" s="297"/>
      <c r="AG837" s="297"/>
      <c r="AH837" s="297"/>
      <c r="AI837" s="297"/>
      <c r="AJ837" s="297"/>
      <c r="AK837" s="297"/>
      <c r="AL837" s="297"/>
      <c r="AM837" s="297"/>
      <c r="AO837" s="297"/>
      <c r="AP837" s="297"/>
      <c r="AQ837" s="297"/>
      <c r="AR837" s="297"/>
      <c r="AS837" s="297"/>
      <c r="AT837" s="297"/>
      <c r="AU837" s="297"/>
      <c r="AV837" s="297"/>
      <c r="AW837" s="297"/>
    </row>
    <row r="838" spans="1:49" x14ac:dyDescent="0.45">
      <c r="A838" s="295">
        <v>34851</v>
      </c>
      <c r="B838" s="12">
        <v>2.3199999999999998E-2</v>
      </c>
      <c r="C838" s="5">
        <v>4.6999999999999993E-3</v>
      </c>
      <c r="D838" s="5">
        <v>5.4000000000000003E-3</v>
      </c>
      <c r="E838" s="5">
        <v>6.083333333333333E-3</v>
      </c>
      <c r="F838" s="5">
        <v>6.1916666666666665E-3</v>
      </c>
      <c r="G838" s="5">
        <v>6.1375000000000006E-3</v>
      </c>
      <c r="H838" s="5">
        <v>6.3360000000000005E-3</v>
      </c>
      <c r="I838" s="5">
        <f t="shared" ref="I838:I901" si="143">B838-D838</f>
        <v>1.7799999999999996E-2</v>
      </c>
      <c r="J838" s="5">
        <f t="shared" si="136"/>
        <v>1.7062499999999998E-2</v>
      </c>
      <c r="K838" s="5">
        <f t="shared" si="137"/>
        <v>-1.6360000000000012E-3</v>
      </c>
      <c r="L838" s="8">
        <f t="shared" si="134"/>
        <v>0.26054908664254173</v>
      </c>
      <c r="M838" s="8">
        <f t="shared" si="135"/>
        <v>6.4799999999999996E-2</v>
      </c>
      <c r="N838" s="8">
        <f t="shared" si="138"/>
        <v>7.3650000000000007E-2</v>
      </c>
      <c r="O838" s="296">
        <f t="shared" si="133"/>
        <v>0.19574908664254173</v>
      </c>
      <c r="P838" s="8">
        <f t="shared" si="139"/>
        <v>0.18689908664254173</v>
      </c>
      <c r="Q838" s="8">
        <f t="shared" si="140"/>
        <v>0.15338725174275525</v>
      </c>
      <c r="R838" s="8">
        <f t="shared" si="141"/>
        <v>7.6032000000000002E-2</v>
      </c>
      <c r="S838" s="296">
        <f t="shared" si="142"/>
        <v>7.7355251742755246E-2</v>
      </c>
      <c r="U838" s="297"/>
      <c r="V838" s="297"/>
      <c r="W838" s="297"/>
      <c r="X838" s="297"/>
      <c r="Y838" s="297"/>
      <c r="Z838" s="297"/>
      <c r="AA838" s="297"/>
      <c r="AB838" s="297"/>
      <c r="AC838" s="297"/>
      <c r="AE838" s="297"/>
      <c r="AF838" s="297"/>
      <c r="AG838" s="297"/>
      <c r="AH838" s="297"/>
      <c r="AI838" s="297"/>
      <c r="AJ838" s="297"/>
      <c r="AK838" s="297"/>
      <c r="AL838" s="297"/>
      <c r="AM838" s="297"/>
      <c r="AO838" s="297"/>
      <c r="AP838" s="297"/>
      <c r="AQ838" s="297"/>
      <c r="AR838" s="297"/>
      <c r="AS838" s="297"/>
      <c r="AT838" s="297"/>
      <c r="AU838" s="297"/>
      <c r="AV838" s="297"/>
      <c r="AW838" s="297"/>
    </row>
    <row r="839" spans="1:49" x14ac:dyDescent="0.45">
      <c r="A839" s="295">
        <v>34881</v>
      </c>
      <c r="B839" s="12">
        <v>3.32E-2</v>
      </c>
      <c r="C839" s="5">
        <v>2.5500000000000002E-2</v>
      </c>
      <c r="D839" s="5">
        <v>5.5999999999999991E-3</v>
      </c>
      <c r="E839" s="5">
        <v>6.1750000000000008E-3</v>
      </c>
      <c r="F839" s="5">
        <v>6.2833333333333326E-3</v>
      </c>
      <c r="G839" s="5">
        <v>6.2291666666666667E-3</v>
      </c>
      <c r="H839" s="5">
        <v>6.4079166666666668E-3</v>
      </c>
      <c r="I839" s="5">
        <f t="shared" si="143"/>
        <v>2.76E-2</v>
      </c>
      <c r="J839" s="5">
        <f t="shared" si="136"/>
        <v>2.6970833333333333E-2</v>
      </c>
      <c r="K839" s="5">
        <f t="shared" si="137"/>
        <v>1.9092083333333336E-2</v>
      </c>
      <c r="L839" s="8">
        <f t="shared" si="134"/>
        <v>0.26103729310522295</v>
      </c>
      <c r="M839" s="8">
        <f t="shared" si="135"/>
        <v>6.7199999999999982E-2</v>
      </c>
      <c r="N839" s="8">
        <f t="shared" si="138"/>
        <v>7.4749999999999997E-2</v>
      </c>
      <c r="O839" s="296">
        <f t="shared" si="133"/>
        <v>0.19383729310522296</v>
      </c>
      <c r="P839" s="8">
        <f t="shared" si="139"/>
        <v>0.18628729310522296</v>
      </c>
      <c r="Q839" s="8">
        <f t="shared" si="140"/>
        <v>0.14434851650754199</v>
      </c>
      <c r="R839" s="8">
        <f t="shared" si="141"/>
        <v>7.6895000000000005E-2</v>
      </c>
      <c r="S839" s="296">
        <f t="shared" si="142"/>
        <v>6.7453516507541986E-2</v>
      </c>
      <c r="U839" s="297"/>
      <c r="V839" s="297"/>
      <c r="W839" s="297"/>
      <c r="X839" s="297"/>
      <c r="Y839" s="297"/>
      <c r="Z839" s="297"/>
      <c r="AA839" s="297"/>
      <c r="AB839" s="297"/>
      <c r="AC839" s="297"/>
      <c r="AE839" s="297"/>
      <c r="AF839" s="297"/>
      <c r="AG839" s="297"/>
      <c r="AH839" s="297"/>
      <c r="AI839" s="297"/>
      <c r="AJ839" s="297"/>
      <c r="AK839" s="297"/>
      <c r="AL839" s="297"/>
      <c r="AM839" s="297"/>
      <c r="AO839" s="297"/>
      <c r="AP839" s="297"/>
      <c r="AQ839" s="297"/>
      <c r="AR839" s="297"/>
      <c r="AS839" s="297"/>
      <c r="AT839" s="297"/>
      <c r="AU839" s="297"/>
      <c r="AV839" s="297"/>
      <c r="AW839" s="297"/>
    </row>
    <row r="840" spans="1:49" x14ac:dyDescent="0.45">
      <c r="A840" s="295">
        <v>34912</v>
      </c>
      <c r="B840" s="12">
        <v>2.5000000000000001E-3</v>
      </c>
      <c r="C840" s="5">
        <v>2.0200000000000006E-2</v>
      </c>
      <c r="D840" s="5">
        <v>5.7000000000000002E-3</v>
      </c>
      <c r="E840" s="5">
        <v>6.3083333333333333E-3</v>
      </c>
      <c r="F840" s="5">
        <v>6.4083333333333336E-3</v>
      </c>
      <c r="G840" s="5">
        <v>6.3583333333333339E-3</v>
      </c>
      <c r="H840" s="5">
        <v>6.5322500000000007E-3</v>
      </c>
      <c r="I840" s="5">
        <f t="shared" si="143"/>
        <v>-3.2000000000000002E-3</v>
      </c>
      <c r="J840" s="5">
        <f t="shared" si="136"/>
        <v>-3.8583333333333338E-3</v>
      </c>
      <c r="K840" s="5">
        <f t="shared" si="137"/>
        <v>1.3667750000000006E-2</v>
      </c>
      <c r="L840" s="8">
        <f t="shared" si="134"/>
        <v>0.21439950656867057</v>
      </c>
      <c r="M840" s="8">
        <f t="shared" si="135"/>
        <v>6.8400000000000002E-2</v>
      </c>
      <c r="N840" s="8">
        <f t="shared" si="138"/>
        <v>7.6300000000000007E-2</v>
      </c>
      <c r="O840" s="296">
        <f t="shared" si="133"/>
        <v>0.14599950656867056</v>
      </c>
      <c r="P840" s="8">
        <f t="shared" si="139"/>
        <v>0.13809950656867057</v>
      </c>
      <c r="Q840" s="8">
        <f t="shared" si="140"/>
        <v>0.17074243536000222</v>
      </c>
      <c r="R840" s="8">
        <f t="shared" si="141"/>
        <v>7.8387000000000012E-2</v>
      </c>
      <c r="S840" s="296">
        <f t="shared" si="142"/>
        <v>9.2355435360002208E-2</v>
      </c>
      <c r="U840" s="297"/>
      <c r="V840" s="297"/>
      <c r="W840" s="297"/>
      <c r="X840" s="297"/>
      <c r="Y840" s="297"/>
      <c r="Z840" s="297"/>
      <c r="AA840" s="297"/>
      <c r="AB840" s="297"/>
      <c r="AC840" s="297"/>
      <c r="AE840" s="297"/>
      <c r="AF840" s="297"/>
      <c r="AG840" s="297"/>
      <c r="AH840" s="297"/>
      <c r="AI840" s="297"/>
      <c r="AJ840" s="297"/>
      <c r="AK840" s="297"/>
      <c r="AL840" s="297"/>
      <c r="AM840" s="297"/>
      <c r="AO840" s="297"/>
      <c r="AP840" s="297"/>
      <c r="AQ840" s="297"/>
      <c r="AR840" s="297"/>
      <c r="AS840" s="297"/>
      <c r="AT840" s="297"/>
      <c r="AU840" s="297"/>
      <c r="AV840" s="297"/>
      <c r="AW840" s="297"/>
    </row>
    <row r="841" spans="1:49" x14ac:dyDescent="0.45">
      <c r="A841" s="295">
        <v>34943</v>
      </c>
      <c r="B841" s="12">
        <v>4.2200000000000001E-2</v>
      </c>
      <c r="C841" s="5">
        <v>6.3799999999999996E-2</v>
      </c>
      <c r="D841" s="5">
        <v>5.1999999999999998E-3</v>
      </c>
      <c r="E841" s="5">
        <v>6.0999999999999995E-3</v>
      </c>
      <c r="F841" s="5">
        <v>6.2083333333333331E-3</v>
      </c>
      <c r="G841" s="5">
        <v>6.1541666666666672E-3</v>
      </c>
      <c r="H841" s="5">
        <v>6.3499999999999997E-3</v>
      </c>
      <c r="I841" s="5">
        <f t="shared" si="143"/>
        <v>3.7000000000000005E-2</v>
      </c>
      <c r="J841" s="5">
        <f t="shared" si="136"/>
        <v>3.6045833333333333E-2</v>
      </c>
      <c r="K841" s="5">
        <f t="shared" si="137"/>
        <v>5.7449999999999994E-2</v>
      </c>
      <c r="L841" s="8">
        <f t="shared" si="134"/>
        <v>0.29743430624896816</v>
      </c>
      <c r="M841" s="8">
        <f t="shared" si="135"/>
        <v>6.2399999999999997E-2</v>
      </c>
      <c r="N841" s="8">
        <f t="shared" si="138"/>
        <v>7.3849999999999999E-2</v>
      </c>
      <c r="O841" s="296">
        <f t="shared" si="133"/>
        <v>0.23503430624896815</v>
      </c>
      <c r="P841" s="8">
        <f t="shared" si="139"/>
        <v>0.22358430624896816</v>
      </c>
      <c r="Q841" s="8">
        <f t="shared" si="140"/>
        <v>0.27789431842393908</v>
      </c>
      <c r="R841" s="8">
        <f t="shared" si="141"/>
        <v>7.619999999999999E-2</v>
      </c>
      <c r="S841" s="296">
        <f t="shared" si="142"/>
        <v>0.20169431842393909</v>
      </c>
      <c r="U841" s="297"/>
      <c r="V841" s="297"/>
      <c r="W841" s="297"/>
      <c r="X841" s="297"/>
      <c r="Y841" s="297"/>
      <c r="Z841" s="297"/>
      <c r="AA841" s="297"/>
      <c r="AB841" s="297"/>
      <c r="AC841" s="297"/>
      <c r="AE841" s="297"/>
      <c r="AF841" s="297"/>
      <c r="AG841" s="297"/>
      <c r="AH841" s="297"/>
      <c r="AI841" s="297"/>
      <c r="AJ841" s="297"/>
      <c r="AK841" s="297"/>
      <c r="AL841" s="297"/>
      <c r="AM841" s="297"/>
      <c r="AO841" s="297"/>
      <c r="AP841" s="297"/>
      <c r="AQ841" s="297"/>
      <c r="AR841" s="297"/>
      <c r="AS841" s="297"/>
      <c r="AT841" s="297"/>
      <c r="AU841" s="297"/>
      <c r="AV841" s="297"/>
      <c r="AW841" s="297"/>
    </row>
    <row r="842" spans="1:49" x14ac:dyDescent="0.45">
      <c r="A842" s="295">
        <v>34973</v>
      </c>
      <c r="B842" s="12">
        <v>-3.5999999999999999E-3</v>
      </c>
      <c r="C842" s="5">
        <v>2.3799999999999998E-2</v>
      </c>
      <c r="D842" s="5">
        <v>5.7000000000000002E-3</v>
      </c>
      <c r="E842" s="5">
        <v>5.9333333333333339E-3</v>
      </c>
      <c r="F842" s="5">
        <v>6.0583333333333331E-3</v>
      </c>
      <c r="G842" s="5">
        <v>5.9958333333333339E-3</v>
      </c>
      <c r="H842" s="5">
        <v>6.2238333333333338E-3</v>
      </c>
      <c r="I842" s="5">
        <f t="shared" si="143"/>
        <v>-9.2999999999999992E-3</v>
      </c>
      <c r="J842" s="5">
        <f t="shared" si="136"/>
        <v>-9.5958333333333347E-3</v>
      </c>
      <c r="K842" s="5">
        <f t="shared" si="137"/>
        <v>1.7576166666666664E-2</v>
      </c>
      <c r="L842" s="8">
        <f t="shared" si="134"/>
        <v>0.26431642322393323</v>
      </c>
      <c r="M842" s="8">
        <f t="shared" si="135"/>
        <v>6.8400000000000002E-2</v>
      </c>
      <c r="N842" s="8">
        <f t="shared" si="138"/>
        <v>7.1950000000000014E-2</v>
      </c>
      <c r="O842" s="296">
        <f t="shared" si="133"/>
        <v>0.19591642322393321</v>
      </c>
      <c r="P842" s="8">
        <f t="shared" si="139"/>
        <v>0.19236642322393321</v>
      </c>
      <c r="Q842" s="8">
        <f t="shared" si="140"/>
        <v>0.29715269006784539</v>
      </c>
      <c r="R842" s="8">
        <f t="shared" si="141"/>
        <v>7.4686000000000002E-2</v>
      </c>
      <c r="S842" s="296">
        <f t="shared" si="142"/>
        <v>0.22246669006784539</v>
      </c>
      <c r="U842" s="297"/>
      <c r="V842" s="297"/>
      <c r="W842" s="297"/>
      <c r="X842" s="297"/>
      <c r="Y842" s="297"/>
      <c r="Z842" s="297"/>
      <c r="AA842" s="297"/>
      <c r="AB842" s="297"/>
      <c r="AC842" s="297"/>
      <c r="AE842" s="297"/>
      <c r="AF842" s="297"/>
      <c r="AG842" s="297"/>
      <c r="AH842" s="297"/>
      <c r="AI842" s="297"/>
      <c r="AJ842" s="297"/>
      <c r="AK842" s="297"/>
      <c r="AL842" s="297"/>
      <c r="AM842" s="297"/>
      <c r="AO842" s="297"/>
      <c r="AP842" s="297"/>
      <c r="AQ842" s="297"/>
      <c r="AR842" s="297"/>
      <c r="AS842" s="297"/>
      <c r="AT842" s="297"/>
      <c r="AU842" s="297"/>
      <c r="AV842" s="297"/>
      <c r="AW842" s="297"/>
    </row>
    <row r="843" spans="1:49" x14ac:dyDescent="0.45">
      <c r="A843" s="295">
        <v>35004</v>
      </c>
      <c r="B843" s="12">
        <v>4.3900000000000002E-2</v>
      </c>
      <c r="C843" s="5">
        <v>1.3599999999999999E-2</v>
      </c>
      <c r="D843" s="5">
        <v>5.1000000000000004E-3</v>
      </c>
      <c r="E843" s="5">
        <v>5.8499999999999993E-3</v>
      </c>
      <c r="F843" s="5">
        <v>5.9833333333333327E-3</v>
      </c>
      <c r="G843" s="5">
        <v>5.9166666666666656E-3</v>
      </c>
      <c r="H843" s="5">
        <v>6.1999999999999998E-3</v>
      </c>
      <c r="I843" s="5">
        <f t="shared" si="143"/>
        <v>3.8800000000000001E-2</v>
      </c>
      <c r="J843" s="5">
        <f t="shared" si="136"/>
        <v>3.7983333333333334E-2</v>
      </c>
      <c r="K843" s="5">
        <f t="shared" si="137"/>
        <v>7.3999999999999995E-3</v>
      </c>
      <c r="L843" s="8">
        <f t="shared" si="134"/>
        <v>0.36967612515926107</v>
      </c>
      <c r="M843" s="8">
        <f t="shared" si="135"/>
        <v>6.1200000000000004E-2</v>
      </c>
      <c r="N843" s="8">
        <f t="shared" si="138"/>
        <v>7.099999999999998E-2</v>
      </c>
      <c r="O843" s="296">
        <f t="shared" si="133"/>
        <v>0.30847612515926104</v>
      </c>
      <c r="P843" s="8">
        <f t="shared" si="139"/>
        <v>0.29867612515926112</v>
      </c>
      <c r="Q843" s="8">
        <f t="shared" si="140"/>
        <v>0.33427437249113856</v>
      </c>
      <c r="R843" s="8">
        <f t="shared" si="141"/>
        <v>7.4399999999999994E-2</v>
      </c>
      <c r="S843" s="296">
        <f t="shared" si="142"/>
        <v>0.25987437249113854</v>
      </c>
      <c r="U843" s="297"/>
      <c r="V843" s="297"/>
      <c r="W843" s="297"/>
      <c r="X843" s="297"/>
      <c r="Y843" s="297"/>
      <c r="Z843" s="297"/>
      <c r="AA843" s="297"/>
      <c r="AB843" s="297"/>
      <c r="AC843" s="297"/>
      <c r="AE843" s="297"/>
      <c r="AF843" s="297"/>
      <c r="AG843" s="297"/>
      <c r="AH843" s="297"/>
      <c r="AI843" s="297"/>
      <c r="AJ843" s="297"/>
      <c r="AK843" s="297"/>
      <c r="AL843" s="297"/>
      <c r="AM843" s="297"/>
      <c r="AO843" s="297"/>
      <c r="AP843" s="297"/>
      <c r="AQ843" s="297"/>
      <c r="AR843" s="297"/>
      <c r="AS843" s="297"/>
      <c r="AT843" s="297"/>
      <c r="AU843" s="297"/>
      <c r="AV843" s="297"/>
      <c r="AW843" s="297"/>
    </row>
    <row r="844" spans="1:49" x14ac:dyDescent="0.45">
      <c r="A844" s="295">
        <v>35034</v>
      </c>
      <c r="B844" s="12">
        <v>1.9300000000000001E-2</v>
      </c>
      <c r="C844" s="5">
        <v>7.0800000000000002E-2</v>
      </c>
      <c r="D844" s="5">
        <v>4.8999999999999998E-3</v>
      </c>
      <c r="E844" s="5">
        <v>5.6833333333333336E-3</v>
      </c>
      <c r="F844" s="5">
        <v>5.8250000000000003E-3</v>
      </c>
      <c r="G844" s="5">
        <v>5.754166666666667E-3</v>
      </c>
      <c r="H844" s="5">
        <v>6.0447499999999998E-3</v>
      </c>
      <c r="I844" s="5">
        <f t="shared" si="143"/>
        <v>1.4400000000000001E-2</v>
      </c>
      <c r="J844" s="5">
        <f t="shared" si="136"/>
        <v>1.3545833333333333E-2</v>
      </c>
      <c r="K844" s="5">
        <f t="shared" si="137"/>
        <v>6.475525E-2</v>
      </c>
      <c r="L844" s="8">
        <f t="shared" si="134"/>
        <v>0.37574977766538731</v>
      </c>
      <c r="M844" s="8">
        <f t="shared" si="135"/>
        <v>5.8799999999999998E-2</v>
      </c>
      <c r="N844" s="8">
        <f t="shared" si="138"/>
        <v>6.905E-2</v>
      </c>
      <c r="O844" s="296">
        <f t="shared" si="133"/>
        <v>0.31694977766538729</v>
      </c>
      <c r="P844" s="8">
        <f t="shared" si="139"/>
        <v>0.30669977766538731</v>
      </c>
      <c r="Q844" s="8">
        <f t="shared" si="140"/>
        <v>0.42134997817699094</v>
      </c>
      <c r="R844" s="8">
        <f t="shared" si="141"/>
        <v>7.253699999999999E-2</v>
      </c>
      <c r="S844" s="296">
        <f t="shared" si="142"/>
        <v>0.34881297817699097</v>
      </c>
      <c r="U844" s="297"/>
      <c r="V844" s="297"/>
      <c r="W844" s="297"/>
      <c r="X844" s="297"/>
      <c r="Y844" s="297"/>
      <c r="Z844" s="297"/>
      <c r="AA844" s="297"/>
      <c r="AB844" s="297"/>
      <c r="AC844" s="297"/>
      <c r="AE844" s="297"/>
      <c r="AF844" s="297"/>
      <c r="AG844" s="297"/>
      <c r="AH844" s="297"/>
      <c r="AI844" s="297"/>
      <c r="AJ844" s="297"/>
      <c r="AK844" s="297"/>
      <c r="AL844" s="297"/>
      <c r="AM844" s="297"/>
      <c r="AO844" s="297"/>
      <c r="AP844" s="297"/>
      <c r="AQ844" s="297"/>
      <c r="AR844" s="297"/>
      <c r="AS844" s="297"/>
      <c r="AT844" s="297"/>
      <c r="AU844" s="297"/>
      <c r="AV844" s="297"/>
      <c r="AW844" s="297"/>
    </row>
    <row r="845" spans="1:49" x14ac:dyDescent="0.45">
      <c r="A845" s="295">
        <v>35065</v>
      </c>
      <c r="B845" s="12">
        <v>3.4000000000000002E-2</v>
      </c>
      <c r="C845" s="5">
        <v>1.29E-2</v>
      </c>
      <c r="D845" s="5">
        <v>5.4000000000000003E-3</v>
      </c>
      <c r="E845" s="5">
        <v>5.6750000000000004E-3</v>
      </c>
      <c r="F845" s="5">
        <v>5.8250000000000003E-3</v>
      </c>
      <c r="G845" s="5">
        <v>5.7499999999999999E-3</v>
      </c>
      <c r="H845" s="5">
        <v>6.005666666666667E-3</v>
      </c>
      <c r="I845" s="5">
        <f t="shared" si="143"/>
        <v>2.86E-2</v>
      </c>
      <c r="J845" s="5">
        <f t="shared" si="136"/>
        <v>2.8250000000000004E-2</v>
      </c>
      <c r="K845" s="5">
        <f t="shared" si="137"/>
        <v>6.894333333333333E-3</v>
      </c>
      <c r="L845" s="8">
        <f t="shared" si="134"/>
        <v>0.38661201881860885</v>
      </c>
      <c r="M845" s="8">
        <f t="shared" si="135"/>
        <v>6.4799999999999996E-2</v>
      </c>
      <c r="N845" s="8">
        <f t="shared" si="138"/>
        <v>6.9000000000000006E-2</v>
      </c>
      <c r="O845" s="296">
        <f t="shared" si="133"/>
        <v>0.32181201881860888</v>
      </c>
      <c r="P845" s="8">
        <f t="shared" si="139"/>
        <v>0.31761201881860884</v>
      </c>
      <c r="Q845" s="8">
        <f t="shared" si="140"/>
        <v>0.33563910649918749</v>
      </c>
      <c r="R845" s="8">
        <f t="shared" si="141"/>
        <v>7.2068000000000007E-2</v>
      </c>
      <c r="S845" s="296">
        <f t="shared" si="142"/>
        <v>0.26357110649918747</v>
      </c>
      <c r="U845" s="297"/>
      <c r="V845" s="297"/>
      <c r="W845" s="297"/>
      <c r="X845" s="297"/>
      <c r="Y845" s="297"/>
      <c r="Z845" s="297"/>
      <c r="AA845" s="297"/>
      <c r="AB845" s="297"/>
      <c r="AC845" s="297"/>
      <c r="AE845" s="297"/>
      <c r="AF845" s="297"/>
      <c r="AG845" s="297"/>
      <c r="AH845" s="297"/>
      <c r="AI845" s="297"/>
      <c r="AJ845" s="297"/>
      <c r="AK845" s="297"/>
      <c r="AL845" s="297"/>
      <c r="AM845" s="297"/>
      <c r="AO845" s="297"/>
      <c r="AP845" s="297"/>
      <c r="AQ845" s="297"/>
      <c r="AR845" s="297"/>
      <c r="AS845" s="297"/>
      <c r="AT845" s="297"/>
      <c r="AU845" s="297"/>
      <c r="AV845" s="297"/>
      <c r="AW845" s="297"/>
    </row>
    <row r="846" spans="1:49" x14ac:dyDescent="0.45">
      <c r="A846" s="295">
        <v>35096</v>
      </c>
      <c r="B846" s="12">
        <v>9.2999999999999992E-3</v>
      </c>
      <c r="C846" s="5">
        <v>-3.95E-2</v>
      </c>
      <c r="D846" s="5">
        <v>4.7999999999999996E-3</v>
      </c>
      <c r="E846" s="5">
        <v>5.8250000000000003E-3</v>
      </c>
      <c r="F846" s="5">
        <v>5.966666666666667E-3</v>
      </c>
      <c r="G846" s="5">
        <v>5.8958333333333337E-3</v>
      </c>
      <c r="H846" s="5">
        <v>6.1250000000000002E-3</v>
      </c>
      <c r="I846" s="5">
        <f t="shared" si="143"/>
        <v>4.4999999999999997E-3</v>
      </c>
      <c r="J846" s="5">
        <f t="shared" si="136"/>
        <v>3.4041666666666656E-3</v>
      </c>
      <c r="K846" s="5">
        <f t="shared" si="137"/>
        <v>-4.5624999999999999E-2</v>
      </c>
      <c r="L846" s="8">
        <f t="shared" si="134"/>
        <v>0.34697546736633456</v>
      </c>
      <c r="M846" s="8">
        <f t="shared" si="135"/>
        <v>5.7599999999999998E-2</v>
      </c>
      <c r="N846" s="8">
        <f t="shared" si="138"/>
        <v>7.0750000000000007E-2</v>
      </c>
      <c r="O846" s="296">
        <f t="shared" si="133"/>
        <v>0.28937546736633457</v>
      </c>
      <c r="P846" s="8">
        <f t="shared" si="139"/>
        <v>0.27622546736633458</v>
      </c>
      <c r="Q846" s="8">
        <f t="shared" si="140"/>
        <v>0.28480857465445042</v>
      </c>
      <c r="R846" s="8">
        <f t="shared" si="141"/>
        <v>7.350000000000001E-2</v>
      </c>
      <c r="S846" s="296">
        <f t="shared" si="142"/>
        <v>0.21130857465445041</v>
      </c>
      <c r="U846" s="297"/>
      <c r="V846" s="297"/>
      <c r="W846" s="297"/>
      <c r="X846" s="297"/>
      <c r="Y846" s="297"/>
      <c r="Z846" s="297"/>
      <c r="AA846" s="297"/>
      <c r="AB846" s="297"/>
      <c r="AC846" s="297"/>
      <c r="AE846" s="297"/>
      <c r="AF846" s="297"/>
      <c r="AG846" s="297"/>
      <c r="AH846" s="297"/>
      <c r="AI846" s="297"/>
      <c r="AJ846" s="297"/>
      <c r="AK846" s="297"/>
      <c r="AL846" s="297"/>
      <c r="AM846" s="297"/>
      <c r="AO846" s="297"/>
      <c r="AP846" s="297"/>
      <c r="AQ846" s="297"/>
      <c r="AR846" s="297"/>
      <c r="AS846" s="297"/>
      <c r="AT846" s="297"/>
      <c r="AU846" s="297"/>
      <c r="AV846" s="297"/>
      <c r="AW846" s="297"/>
    </row>
    <row r="847" spans="1:49" x14ac:dyDescent="0.45">
      <c r="A847" s="295">
        <v>35125</v>
      </c>
      <c r="B847" s="12">
        <v>9.5999999999999992E-3</v>
      </c>
      <c r="C847" s="5">
        <v>-2.0299999999999999E-2</v>
      </c>
      <c r="D847" s="5">
        <v>5.1999999999999998E-3</v>
      </c>
      <c r="E847" s="5">
        <v>6.1249999999999994E-3</v>
      </c>
      <c r="F847" s="5">
        <v>6.266666666666666E-3</v>
      </c>
      <c r="G847" s="5">
        <v>6.1958333333333327E-3</v>
      </c>
      <c r="H847" s="5">
        <v>6.4353333333333337E-3</v>
      </c>
      <c r="I847" s="5">
        <f t="shared" si="143"/>
        <v>4.3999999999999994E-3</v>
      </c>
      <c r="J847" s="5">
        <f t="shared" si="136"/>
        <v>3.4041666666666665E-3</v>
      </c>
      <c r="K847" s="5">
        <f t="shared" si="137"/>
        <v>-2.6735333333333333E-2</v>
      </c>
      <c r="L847" s="8">
        <f t="shared" si="134"/>
        <v>0.32093873905104586</v>
      </c>
      <c r="M847" s="8">
        <f t="shared" si="135"/>
        <v>6.2399999999999997E-2</v>
      </c>
      <c r="N847" s="8">
        <f t="shared" si="138"/>
        <v>7.4349999999999999E-2</v>
      </c>
      <c r="O847" s="296">
        <f t="shared" si="133"/>
        <v>0.25853873905104585</v>
      </c>
      <c r="P847" s="8">
        <f t="shared" si="139"/>
        <v>0.24658873905104586</v>
      </c>
      <c r="Q847" s="8">
        <f t="shared" si="140"/>
        <v>0.26632491004926062</v>
      </c>
      <c r="R847" s="8">
        <f t="shared" si="141"/>
        <v>7.7224000000000001E-2</v>
      </c>
      <c r="S847" s="296">
        <f t="shared" si="142"/>
        <v>0.18910091004926061</v>
      </c>
      <c r="U847" s="297"/>
      <c r="V847" s="297"/>
      <c r="W847" s="297"/>
      <c r="X847" s="297"/>
      <c r="Y847" s="297"/>
      <c r="Z847" s="297"/>
      <c r="AA847" s="297"/>
      <c r="AB847" s="297"/>
      <c r="AC847" s="297"/>
      <c r="AE847" s="297"/>
      <c r="AF847" s="297"/>
      <c r="AG847" s="297"/>
      <c r="AH847" s="297"/>
      <c r="AI847" s="297"/>
      <c r="AJ847" s="297"/>
      <c r="AK847" s="297"/>
      <c r="AL847" s="297"/>
      <c r="AM847" s="297"/>
      <c r="AO847" s="297"/>
      <c r="AP847" s="297"/>
      <c r="AQ847" s="297"/>
      <c r="AR847" s="297"/>
      <c r="AS847" s="297"/>
      <c r="AT847" s="297"/>
      <c r="AU847" s="297"/>
      <c r="AV847" s="297"/>
      <c r="AW847" s="297"/>
    </row>
    <row r="848" spans="1:49" x14ac:dyDescent="0.45">
      <c r="A848" s="295">
        <v>35156</v>
      </c>
      <c r="B848" s="12">
        <v>1.47E-2</v>
      </c>
      <c r="C848" s="5">
        <v>1.0999999999999999E-2</v>
      </c>
      <c r="D848" s="5">
        <v>5.8999999999999999E-3</v>
      </c>
      <c r="E848" s="5">
        <v>6.2500000000000003E-3</v>
      </c>
      <c r="F848" s="5">
        <v>6.4000000000000003E-3</v>
      </c>
      <c r="G848" s="5">
        <v>6.3250000000000008E-3</v>
      </c>
      <c r="H848" s="5">
        <v>6.5698333333333338E-3</v>
      </c>
      <c r="I848" s="5">
        <f t="shared" si="143"/>
        <v>8.7999999999999988E-3</v>
      </c>
      <c r="J848" s="5">
        <f t="shared" si="136"/>
        <v>8.3749999999999988E-3</v>
      </c>
      <c r="K848" s="5">
        <f t="shared" si="137"/>
        <v>4.4301666666666656E-3</v>
      </c>
      <c r="L848" s="8">
        <f t="shared" si="134"/>
        <v>0.3020755182777306</v>
      </c>
      <c r="M848" s="8">
        <f t="shared" si="135"/>
        <v>7.0800000000000002E-2</v>
      </c>
      <c r="N848" s="8">
        <f t="shared" si="138"/>
        <v>7.5900000000000009E-2</v>
      </c>
      <c r="O848" s="296">
        <f t="shared" ref="O848:O911" si="144">L848-M848</f>
        <v>0.2312755182777306</v>
      </c>
      <c r="P848" s="8">
        <f t="shared" si="139"/>
        <v>0.22617551827773058</v>
      </c>
      <c r="Q848" s="8">
        <f t="shared" si="140"/>
        <v>0.23517075162547263</v>
      </c>
      <c r="R848" s="8">
        <f t="shared" si="141"/>
        <v>7.8838000000000005E-2</v>
      </c>
      <c r="S848" s="296">
        <f t="shared" si="142"/>
        <v>0.15633275162547261</v>
      </c>
      <c r="U848" s="297"/>
      <c r="V848" s="297"/>
      <c r="W848" s="297"/>
      <c r="X848" s="297"/>
      <c r="Y848" s="297"/>
      <c r="Z848" s="297"/>
      <c r="AA848" s="297"/>
      <c r="AB848" s="297"/>
      <c r="AC848" s="297"/>
      <c r="AE848" s="297"/>
      <c r="AF848" s="297"/>
      <c r="AG848" s="297"/>
      <c r="AH848" s="297"/>
      <c r="AI848" s="297"/>
      <c r="AJ848" s="297"/>
      <c r="AK848" s="297"/>
      <c r="AL848" s="297"/>
      <c r="AM848" s="297"/>
      <c r="AO848" s="297"/>
      <c r="AP848" s="297"/>
      <c r="AQ848" s="297"/>
      <c r="AR848" s="297"/>
      <c r="AS848" s="297"/>
      <c r="AT848" s="297"/>
      <c r="AU848" s="297"/>
      <c r="AV848" s="297"/>
      <c r="AW848" s="297"/>
    </row>
    <row r="849" spans="1:49" x14ac:dyDescent="0.45">
      <c r="A849" s="295">
        <v>35186</v>
      </c>
      <c r="B849" s="12">
        <v>2.58E-2</v>
      </c>
      <c r="C849" s="5">
        <v>-2.4999999999999996E-3</v>
      </c>
      <c r="D849" s="5">
        <v>5.7999999999999996E-3</v>
      </c>
      <c r="E849" s="5">
        <v>6.3499999999999997E-3</v>
      </c>
      <c r="F849" s="5">
        <v>6.4749999999999999E-3</v>
      </c>
      <c r="G849" s="5">
        <v>6.4124999999999998E-3</v>
      </c>
      <c r="H849" s="5">
        <v>6.6504166666666665E-3</v>
      </c>
      <c r="I849" s="5">
        <f t="shared" si="143"/>
        <v>0.02</v>
      </c>
      <c r="J849" s="5">
        <f t="shared" si="136"/>
        <v>1.9387500000000002E-2</v>
      </c>
      <c r="K849" s="5">
        <f t="shared" si="137"/>
        <v>-9.1504166666666661E-3</v>
      </c>
      <c r="L849" s="8">
        <f t="shared" ref="L849:L912" si="145">((1+B838)*(1+B839)*(1+B840)*(1+B841)*(1+B842)*(1+B843)*(1+B844)*(1+B845)*(1+B846)*(1+B847)*(1+B848)*(1+B849))-1</f>
        <v>0.28429717947047695</v>
      </c>
      <c r="M849" s="8">
        <f t="shared" ref="M849:M912" si="146">D849*12</f>
        <v>6.9599999999999995E-2</v>
      </c>
      <c r="N849" s="8">
        <f t="shared" si="138"/>
        <v>7.6949999999999991E-2</v>
      </c>
      <c r="O849" s="296">
        <f t="shared" si="144"/>
        <v>0.21469717947047695</v>
      </c>
      <c r="P849" s="8">
        <f t="shared" si="139"/>
        <v>0.20734717947047696</v>
      </c>
      <c r="Q849" s="8">
        <f t="shared" si="140"/>
        <v>0.19434162926173815</v>
      </c>
      <c r="R849" s="8">
        <f t="shared" si="141"/>
        <v>7.9805000000000001E-2</v>
      </c>
      <c r="S849" s="296">
        <f t="shared" si="142"/>
        <v>0.11453662926173815</v>
      </c>
      <c r="U849" s="297"/>
      <c r="V849" s="297"/>
      <c r="W849" s="297"/>
      <c r="X849" s="297"/>
      <c r="Y849" s="297"/>
      <c r="Z849" s="297"/>
      <c r="AA849" s="297"/>
      <c r="AB849" s="297"/>
      <c r="AC849" s="297"/>
      <c r="AE849" s="297"/>
      <c r="AF849" s="297"/>
      <c r="AG849" s="297"/>
      <c r="AH849" s="297"/>
      <c r="AI849" s="297"/>
      <c r="AJ849" s="297"/>
      <c r="AK849" s="297"/>
      <c r="AL849" s="297"/>
      <c r="AM849" s="297"/>
      <c r="AO849" s="297"/>
      <c r="AP849" s="297"/>
      <c r="AQ849" s="297"/>
      <c r="AR849" s="297"/>
      <c r="AS849" s="297"/>
      <c r="AT849" s="297"/>
      <c r="AU849" s="297"/>
      <c r="AV849" s="297"/>
      <c r="AW849" s="297"/>
    </row>
    <row r="850" spans="1:49" x14ac:dyDescent="0.45">
      <c r="A850" s="295">
        <v>35217</v>
      </c>
      <c r="B850" s="12">
        <v>3.8E-3</v>
      </c>
      <c r="C850" s="5">
        <v>4.1599999999999998E-2</v>
      </c>
      <c r="D850" s="5">
        <v>5.4000000000000003E-3</v>
      </c>
      <c r="E850" s="5">
        <v>6.4249999999999993E-3</v>
      </c>
      <c r="F850" s="5">
        <v>6.5583333333333335E-3</v>
      </c>
      <c r="G850" s="5">
        <v>6.4916666666666664E-3</v>
      </c>
      <c r="H850" s="5">
        <v>6.7200000000000003E-3</v>
      </c>
      <c r="I850" s="5">
        <f t="shared" si="143"/>
        <v>-1.6000000000000003E-3</v>
      </c>
      <c r="J850" s="5">
        <f t="shared" si="136"/>
        <v>-2.6916666666666664E-3</v>
      </c>
      <c r="K850" s="5">
        <f t="shared" si="137"/>
        <v>3.4879999999999994E-2</v>
      </c>
      <c r="L850" s="8">
        <f t="shared" si="145"/>
        <v>0.2599467442850516</v>
      </c>
      <c r="M850" s="8">
        <f t="shared" si="146"/>
        <v>6.4799999999999996E-2</v>
      </c>
      <c r="N850" s="8">
        <f t="shared" si="138"/>
        <v>7.7899999999999997E-2</v>
      </c>
      <c r="O850" s="296">
        <f t="shared" si="144"/>
        <v>0.1951467442850516</v>
      </c>
      <c r="P850" s="8">
        <f t="shared" si="139"/>
        <v>0.1820467442850516</v>
      </c>
      <c r="Q850" s="8">
        <f t="shared" si="140"/>
        <v>0.23820666969147686</v>
      </c>
      <c r="R850" s="8">
        <f t="shared" si="141"/>
        <v>8.0640000000000003E-2</v>
      </c>
      <c r="S850" s="296">
        <f t="shared" si="142"/>
        <v>0.15756666969147687</v>
      </c>
      <c r="U850" s="297"/>
      <c r="V850" s="297"/>
      <c r="W850" s="297"/>
      <c r="X850" s="297"/>
      <c r="Y850" s="297"/>
      <c r="Z850" s="297"/>
      <c r="AA850" s="297"/>
      <c r="AB850" s="297"/>
      <c r="AC850" s="297"/>
      <c r="AE850" s="297"/>
      <c r="AF850" s="297"/>
      <c r="AG850" s="297"/>
      <c r="AH850" s="297"/>
      <c r="AI850" s="297"/>
      <c r="AJ850" s="297"/>
      <c r="AK850" s="297"/>
      <c r="AL850" s="297"/>
      <c r="AM850" s="297"/>
      <c r="AO850" s="297"/>
      <c r="AP850" s="297"/>
      <c r="AQ850" s="297"/>
      <c r="AR850" s="297"/>
      <c r="AS850" s="297"/>
      <c r="AT850" s="297"/>
      <c r="AU850" s="297"/>
      <c r="AV850" s="297"/>
      <c r="AW850" s="297"/>
    </row>
    <row r="851" spans="1:49" x14ac:dyDescent="0.45">
      <c r="A851" s="295">
        <v>35247</v>
      </c>
      <c r="B851" s="12">
        <v>-4.4200000000000003E-2</v>
      </c>
      <c r="C851" s="5">
        <v>-6.2800000000000009E-2</v>
      </c>
      <c r="D851" s="5">
        <v>6.1999999999999998E-3</v>
      </c>
      <c r="E851" s="5">
        <v>6.3750000000000005E-3</v>
      </c>
      <c r="F851" s="5">
        <v>6.5166666666666671E-3</v>
      </c>
      <c r="G851" s="5">
        <v>6.4458333333333338E-3</v>
      </c>
      <c r="H851" s="5">
        <v>6.6876666666666664E-3</v>
      </c>
      <c r="I851" s="5">
        <f t="shared" si="143"/>
        <v>-5.04E-2</v>
      </c>
      <c r="J851" s="5">
        <f t="shared" si="136"/>
        <v>-5.0645833333333334E-2</v>
      </c>
      <c r="K851" s="5">
        <f t="shared" si="137"/>
        <v>-6.948766666666667E-2</v>
      </c>
      <c r="L851" s="8">
        <f t="shared" si="145"/>
        <v>0.16556048992223449</v>
      </c>
      <c r="M851" s="8">
        <f t="shared" si="146"/>
        <v>7.4399999999999994E-2</v>
      </c>
      <c r="N851" s="8">
        <f t="shared" si="138"/>
        <v>7.7350000000000002E-2</v>
      </c>
      <c r="O851" s="296">
        <f t="shared" si="144"/>
        <v>9.1160489922234494E-2</v>
      </c>
      <c r="P851" s="8">
        <f t="shared" si="139"/>
        <v>8.8210489922234486E-2</v>
      </c>
      <c r="Q851" s="8">
        <f t="shared" si="140"/>
        <v>0.13159170242306373</v>
      </c>
      <c r="R851" s="8">
        <f t="shared" si="141"/>
        <v>8.025199999999999E-2</v>
      </c>
      <c r="S851" s="296">
        <f t="shared" si="142"/>
        <v>5.1339702423063738E-2</v>
      </c>
      <c r="U851" s="297"/>
      <c r="V851" s="297"/>
      <c r="W851" s="297"/>
      <c r="X851" s="297"/>
      <c r="Y851" s="297"/>
      <c r="Z851" s="297"/>
      <c r="AA851" s="297"/>
      <c r="AB851" s="297"/>
      <c r="AC851" s="297"/>
      <c r="AE851" s="297"/>
      <c r="AF851" s="297"/>
      <c r="AG851" s="297"/>
      <c r="AH851" s="297"/>
      <c r="AI851" s="297"/>
      <c r="AJ851" s="297"/>
      <c r="AK851" s="297"/>
      <c r="AL851" s="297"/>
      <c r="AM851" s="297"/>
      <c r="AO851" s="297"/>
      <c r="AP851" s="297"/>
      <c r="AQ851" s="297"/>
      <c r="AR851" s="297"/>
      <c r="AS851" s="297"/>
      <c r="AT851" s="297"/>
      <c r="AU851" s="297"/>
      <c r="AV851" s="297"/>
      <c r="AW851" s="297"/>
    </row>
    <row r="852" spans="1:49" x14ac:dyDescent="0.45">
      <c r="A852" s="295">
        <v>35278</v>
      </c>
      <c r="B852" s="12">
        <v>2.1100000000000001E-2</v>
      </c>
      <c r="C852" s="5">
        <v>2.1299999999999999E-2</v>
      </c>
      <c r="D852" s="5">
        <v>5.7000000000000002E-3</v>
      </c>
      <c r="E852" s="5">
        <v>6.2166666666666672E-3</v>
      </c>
      <c r="F852" s="5">
        <v>6.3583333333333339E-3</v>
      </c>
      <c r="G852" s="5">
        <v>6.2875000000000006E-3</v>
      </c>
      <c r="H852" s="5">
        <v>6.5318333333333331E-3</v>
      </c>
      <c r="I852" s="5">
        <f t="shared" si="143"/>
        <v>1.54E-2</v>
      </c>
      <c r="J852" s="5">
        <f t="shared" si="136"/>
        <v>1.4812499999999999E-2</v>
      </c>
      <c r="K852" s="5">
        <f t="shared" si="137"/>
        <v>1.4768166666666666E-2</v>
      </c>
      <c r="L852" s="8">
        <f t="shared" si="145"/>
        <v>0.18718585163051671</v>
      </c>
      <c r="M852" s="8">
        <f t="shared" si="146"/>
        <v>6.8400000000000002E-2</v>
      </c>
      <c r="N852" s="8">
        <f t="shared" si="138"/>
        <v>7.5450000000000003E-2</v>
      </c>
      <c r="O852" s="296">
        <f t="shared" si="144"/>
        <v>0.11878585163051671</v>
      </c>
      <c r="P852" s="8">
        <f t="shared" si="139"/>
        <v>0.11173585163051671</v>
      </c>
      <c r="Q852" s="8">
        <f t="shared" si="140"/>
        <v>0.13281180717964625</v>
      </c>
      <c r="R852" s="8">
        <f t="shared" si="141"/>
        <v>7.8381999999999993E-2</v>
      </c>
      <c r="S852" s="296">
        <f t="shared" si="142"/>
        <v>5.4429807179646253E-2</v>
      </c>
      <c r="U852" s="297"/>
      <c r="V852" s="297"/>
      <c r="W852" s="297"/>
      <c r="X852" s="297"/>
      <c r="Y852" s="297"/>
      <c r="Z852" s="297"/>
      <c r="AA852" s="297"/>
      <c r="AB852" s="297"/>
      <c r="AC852" s="297"/>
      <c r="AE852" s="297"/>
      <c r="AF852" s="297"/>
      <c r="AG852" s="297"/>
      <c r="AH852" s="297"/>
      <c r="AI852" s="297"/>
      <c r="AJ852" s="297"/>
      <c r="AK852" s="297"/>
      <c r="AL852" s="297"/>
      <c r="AM852" s="297"/>
      <c r="AO852" s="297"/>
      <c r="AP852" s="297"/>
      <c r="AQ852" s="297"/>
      <c r="AR852" s="297"/>
      <c r="AS852" s="297"/>
      <c r="AT852" s="297"/>
      <c r="AU852" s="297"/>
      <c r="AV852" s="297"/>
      <c r="AW852" s="297"/>
    </row>
    <row r="853" spans="1:49" x14ac:dyDescent="0.45">
      <c r="A853" s="295">
        <v>35309</v>
      </c>
      <c r="B853" s="12">
        <v>5.6300000000000003E-2</v>
      </c>
      <c r="C853" s="5">
        <v>9.4999999999999998E-3</v>
      </c>
      <c r="D853" s="5">
        <v>6.0000000000000001E-3</v>
      </c>
      <c r="E853" s="5">
        <v>6.3833333333333329E-3</v>
      </c>
      <c r="F853" s="5">
        <v>6.5166666666666671E-3</v>
      </c>
      <c r="G853" s="5">
        <v>6.45E-3</v>
      </c>
      <c r="H853" s="5">
        <v>6.6812499999999997E-3</v>
      </c>
      <c r="I853" s="5">
        <f t="shared" si="143"/>
        <v>5.0300000000000004E-2</v>
      </c>
      <c r="J853" s="5">
        <f t="shared" si="136"/>
        <v>4.9850000000000005E-2</v>
      </c>
      <c r="K853" s="5">
        <f t="shared" si="137"/>
        <v>2.8187500000000001E-3</v>
      </c>
      <c r="L853" s="8">
        <f t="shared" si="145"/>
        <v>0.2032473758178035</v>
      </c>
      <c r="M853" s="8">
        <f t="shared" si="146"/>
        <v>7.2000000000000008E-2</v>
      </c>
      <c r="N853" s="8">
        <f t="shared" si="138"/>
        <v>7.7399999999999997E-2</v>
      </c>
      <c r="O853" s="296">
        <f t="shared" si="144"/>
        <v>0.13124737581780349</v>
      </c>
      <c r="P853" s="8">
        <f t="shared" si="139"/>
        <v>0.1258473758178035</v>
      </c>
      <c r="Q853" s="8">
        <f t="shared" si="140"/>
        <v>7.49892078848029E-2</v>
      </c>
      <c r="R853" s="8">
        <f t="shared" si="141"/>
        <v>8.0174999999999996E-2</v>
      </c>
      <c r="S853" s="296">
        <f t="shared" si="142"/>
        <v>-5.1857921151970965E-3</v>
      </c>
      <c r="U853" s="297"/>
      <c r="V853" s="297"/>
      <c r="W853" s="297"/>
      <c r="X853" s="297"/>
      <c r="Y853" s="297"/>
      <c r="Z853" s="297"/>
      <c r="AA853" s="297"/>
      <c r="AB853" s="297"/>
      <c r="AC853" s="297"/>
      <c r="AE853" s="297"/>
      <c r="AF853" s="297"/>
      <c r="AG853" s="297"/>
      <c r="AH853" s="297"/>
      <c r="AI853" s="297"/>
      <c r="AJ853" s="297"/>
      <c r="AK853" s="297"/>
      <c r="AL853" s="297"/>
      <c r="AM853" s="297"/>
      <c r="AO853" s="297"/>
      <c r="AP853" s="297"/>
      <c r="AQ853" s="297"/>
      <c r="AR853" s="297"/>
      <c r="AS853" s="297"/>
      <c r="AT853" s="297"/>
      <c r="AU853" s="297"/>
      <c r="AV853" s="297"/>
      <c r="AW853" s="297"/>
    </row>
    <row r="854" spans="1:49" x14ac:dyDescent="0.45">
      <c r="A854" s="295">
        <v>35339</v>
      </c>
      <c r="B854" s="12">
        <v>2.76E-2</v>
      </c>
      <c r="C854" s="5">
        <v>5.0799999999999998E-2</v>
      </c>
      <c r="D854" s="5">
        <v>5.7999999999999996E-3</v>
      </c>
      <c r="E854" s="5">
        <v>6.1583333333333334E-3</v>
      </c>
      <c r="F854" s="5">
        <v>6.3166666666666675E-3</v>
      </c>
      <c r="G854" s="5">
        <v>6.2375E-3</v>
      </c>
      <c r="H854" s="5">
        <v>6.4820833333333336E-3</v>
      </c>
      <c r="I854" s="5">
        <f t="shared" si="143"/>
        <v>2.18E-2</v>
      </c>
      <c r="J854" s="5">
        <f t="shared" si="136"/>
        <v>2.13625E-2</v>
      </c>
      <c r="K854" s="5">
        <f t="shared" si="137"/>
        <v>4.4317916666666665E-2</v>
      </c>
      <c r="L854" s="8">
        <f t="shared" si="145"/>
        <v>0.24092433098191024</v>
      </c>
      <c r="M854" s="8">
        <f t="shared" si="146"/>
        <v>6.9599999999999995E-2</v>
      </c>
      <c r="N854" s="8">
        <f t="shared" si="138"/>
        <v>7.485E-2</v>
      </c>
      <c r="O854" s="296">
        <f t="shared" si="144"/>
        <v>0.17132433098191024</v>
      </c>
      <c r="P854" s="8">
        <f t="shared" si="139"/>
        <v>0.16607433098191024</v>
      </c>
      <c r="Q854" s="8">
        <f t="shared" si="140"/>
        <v>0.10333918699487232</v>
      </c>
      <c r="R854" s="8">
        <f t="shared" si="141"/>
        <v>7.7785000000000007E-2</v>
      </c>
      <c r="S854" s="296">
        <f t="shared" si="142"/>
        <v>2.5554186994872316E-2</v>
      </c>
      <c r="U854" s="297"/>
      <c r="V854" s="297"/>
      <c r="W854" s="297"/>
      <c r="X854" s="297"/>
      <c r="Y854" s="297"/>
      <c r="Z854" s="297"/>
      <c r="AA854" s="297"/>
      <c r="AB854" s="297"/>
      <c r="AC854" s="297"/>
      <c r="AE854" s="297"/>
      <c r="AF854" s="297"/>
      <c r="AG854" s="297"/>
      <c r="AH854" s="297"/>
      <c r="AI854" s="297"/>
      <c r="AJ854" s="297"/>
      <c r="AK854" s="297"/>
      <c r="AL854" s="297"/>
      <c r="AM854" s="297"/>
      <c r="AO854" s="297"/>
      <c r="AP854" s="297"/>
      <c r="AQ854" s="297"/>
      <c r="AR854" s="297"/>
      <c r="AS854" s="297"/>
      <c r="AT854" s="297"/>
      <c r="AU854" s="297"/>
      <c r="AV854" s="297"/>
      <c r="AW854" s="297"/>
    </row>
    <row r="855" spans="1:49" x14ac:dyDescent="0.45">
      <c r="A855" s="295">
        <v>35370</v>
      </c>
      <c r="B855" s="12">
        <v>7.5600000000000001E-2</v>
      </c>
      <c r="C855" s="5">
        <v>2.1099999999999997E-2</v>
      </c>
      <c r="D855" s="5">
        <v>5.1999999999999998E-3</v>
      </c>
      <c r="E855" s="5">
        <v>5.9166666666666664E-3</v>
      </c>
      <c r="F855" s="5">
        <v>6.0916666666666662E-3</v>
      </c>
      <c r="G855" s="5">
        <v>6.0041666666666663E-3</v>
      </c>
      <c r="H855" s="5">
        <v>6.2527500000000005E-3</v>
      </c>
      <c r="I855" s="5">
        <f t="shared" si="143"/>
        <v>7.0400000000000004E-2</v>
      </c>
      <c r="J855" s="5">
        <f t="shared" si="136"/>
        <v>6.9595833333333329E-2</v>
      </c>
      <c r="K855" s="5">
        <f t="shared" si="137"/>
        <v>1.4847249999999996E-2</v>
      </c>
      <c r="L855" s="8">
        <f t="shared" si="145"/>
        <v>0.27860734783422014</v>
      </c>
      <c r="M855" s="8">
        <f t="shared" si="146"/>
        <v>6.2399999999999997E-2</v>
      </c>
      <c r="N855" s="8">
        <f t="shared" si="138"/>
        <v>7.2050000000000003E-2</v>
      </c>
      <c r="O855" s="296">
        <f t="shared" si="144"/>
        <v>0.21620734783422013</v>
      </c>
      <c r="P855" s="8">
        <f t="shared" si="139"/>
        <v>0.20655734783422014</v>
      </c>
      <c r="Q855" s="8">
        <f t="shared" si="140"/>
        <v>0.11150320031616445</v>
      </c>
      <c r="R855" s="8">
        <f t="shared" si="141"/>
        <v>7.5033000000000002E-2</v>
      </c>
      <c r="S855" s="296">
        <f t="shared" si="142"/>
        <v>3.647020031616445E-2</v>
      </c>
      <c r="U855" s="297"/>
      <c r="V855" s="297"/>
      <c r="W855" s="297"/>
      <c r="X855" s="297"/>
      <c r="Y855" s="297"/>
      <c r="Z855" s="297"/>
      <c r="AA855" s="297"/>
      <c r="AB855" s="297"/>
      <c r="AC855" s="297"/>
      <c r="AE855" s="297"/>
      <c r="AF855" s="297"/>
      <c r="AG855" s="297"/>
      <c r="AH855" s="297"/>
      <c r="AI855" s="297"/>
      <c r="AJ855" s="297"/>
      <c r="AK855" s="297"/>
      <c r="AL855" s="297"/>
      <c r="AM855" s="297"/>
      <c r="AO855" s="297"/>
      <c r="AP855" s="297"/>
      <c r="AQ855" s="297"/>
      <c r="AR855" s="297"/>
      <c r="AS855" s="297"/>
      <c r="AT855" s="297"/>
      <c r="AU855" s="297"/>
      <c r="AV855" s="297"/>
      <c r="AW855" s="297"/>
    </row>
    <row r="856" spans="1:49" x14ac:dyDescent="0.45">
      <c r="A856" s="295">
        <v>35400</v>
      </c>
      <c r="B856" s="12">
        <v>-1.9800000000000002E-2</v>
      </c>
      <c r="C856" s="5">
        <v>-6.000000000000001E-3</v>
      </c>
      <c r="D856" s="5">
        <v>5.5999999999999991E-3</v>
      </c>
      <c r="E856" s="5">
        <v>6.0000000000000001E-3</v>
      </c>
      <c r="F856" s="5">
        <v>6.1750000000000008E-3</v>
      </c>
      <c r="G856" s="5">
        <v>6.0875E-3</v>
      </c>
      <c r="H856" s="5">
        <v>6.3091666666666669E-3</v>
      </c>
      <c r="I856" s="5">
        <f t="shared" si="143"/>
        <v>-2.5399999999999999E-2</v>
      </c>
      <c r="J856" s="5">
        <f t="shared" si="136"/>
        <v>-2.5887500000000001E-2</v>
      </c>
      <c r="K856" s="5">
        <f t="shared" si="137"/>
        <v>-1.2309166666666668E-2</v>
      </c>
      <c r="L856" s="8">
        <f t="shared" si="145"/>
        <v>0.22956040650162168</v>
      </c>
      <c r="M856" s="8">
        <f t="shared" si="146"/>
        <v>6.7199999999999982E-2</v>
      </c>
      <c r="N856" s="8">
        <f t="shared" si="138"/>
        <v>7.3050000000000004E-2</v>
      </c>
      <c r="O856" s="296">
        <f t="shared" si="144"/>
        <v>0.1623604065016217</v>
      </c>
      <c r="P856" s="8">
        <f t="shared" si="139"/>
        <v>0.15651040650162168</v>
      </c>
      <c r="Q856" s="8">
        <f t="shared" si="140"/>
        <v>3.1783882250903339E-2</v>
      </c>
      <c r="R856" s="8">
        <f t="shared" si="141"/>
        <v>7.571E-2</v>
      </c>
      <c r="S856" s="296">
        <f t="shared" si="142"/>
        <v>-4.392611774909666E-2</v>
      </c>
      <c r="U856" s="297"/>
      <c r="V856" s="297"/>
      <c r="W856" s="297"/>
      <c r="X856" s="297"/>
      <c r="Y856" s="297"/>
      <c r="Z856" s="297"/>
      <c r="AA856" s="297"/>
      <c r="AB856" s="297"/>
      <c r="AC856" s="297"/>
      <c r="AE856" s="297"/>
      <c r="AF856" s="297"/>
      <c r="AG856" s="297"/>
      <c r="AH856" s="297"/>
      <c r="AI856" s="297"/>
      <c r="AJ856" s="297"/>
      <c r="AK856" s="297"/>
      <c r="AL856" s="297"/>
      <c r="AM856" s="297"/>
      <c r="AO856" s="297"/>
      <c r="AP856" s="297"/>
      <c r="AQ856" s="297"/>
      <c r="AR856" s="297"/>
      <c r="AS856" s="297"/>
      <c r="AT856" s="297"/>
      <c r="AU856" s="297"/>
      <c r="AV856" s="297"/>
      <c r="AW856" s="297"/>
    </row>
    <row r="857" spans="1:49" x14ac:dyDescent="0.45">
      <c r="A857" s="295">
        <v>35431</v>
      </c>
      <c r="B857" s="12">
        <v>6.25E-2</v>
      </c>
      <c r="C857" s="5">
        <v>6.6E-3</v>
      </c>
      <c r="D857" s="5">
        <v>5.5999999999999991E-3</v>
      </c>
      <c r="E857" s="5">
        <v>6.1833333333333332E-3</v>
      </c>
      <c r="F857" s="5">
        <v>6.3583333333333339E-3</v>
      </c>
      <c r="G857" s="5">
        <v>6.2708333333333331E-3</v>
      </c>
      <c r="H857" s="5">
        <v>6.4722500000000006E-3</v>
      </c>
      <c r="I857" s="5">
        <f t="shared" si="143"/>
        <v>5.6899999999999999E-2</v>
      </c>
      <c r="J857" s="5">
        <f t="shared" si="136"/>
        <v>5.6229166666666663E-2</v>
      </c>
      <c r="K857" s="5">
        <f t="shared" si="137"/>
        <v>1.2774999999999939E-4</v>
      </c>
      <c r="L857" s="8">
        <f t="shared" si="145"/>
        <v>0.26345061112956758</v>
      </c>
      <c r="M857" s="8">
        <f t="shared" si="146"/>
        <v>6.7199999999999982E-2</v>
      </c>
      <c r="N857" s="8">
        <f t="shared" si="138"/>
        <v>7.5249999999999997E-2</v>
      </c>
      <c r="O857" s="296">
        <f t="shared" si="144"/>
        <v>0.1962506111295676</v>
      </c>
      <c r="P857" s="8">
        <f t="shared" si="139"/>
        <v>0.1882006111295676</v>
      </c>
      <c r="Q857" s="8">
        <f t="shared" si="140"/>
        <v>2.5366428940428065E-2</v>
      </c>
      <c r="R857" s="8">
        <f t="shared" si="141"/>
        <v>7.7667000000000014E-2</v>
      </c>
      <c r="S857" s="296">
        <f t="shared" si="142"/>
        <v>-5.2300571059571949E-2</v>
      </c>
      <c r="U857" s="297"/>
      <c r="V857" s="297"/>
      <c r="W857" s="297"/>
      <c r="X857" s="297"/>
      <c r="Y857" s="297"/>
      <c r="Z857" s="297"/>
      <c r="AA857" s="297"/>
      <c r="AB857" s="297"/>
      <c r="AC857" s="297"/>
      <c r="AE857" s="297"/>
      <c r="AF857" s="297"/>
      <c r="AG857" s="297"/>
      <c r="AH857" s="297"/>
      <c r="AI857" s="297"/>
      <c r="AJ857" s="297"/>
      <c r="AK857" s="297"/>
      <c r="AL857" s="297"/>
      <c r="AM857" s="297"/>
      <c r="AO857" s="297"/>
      <c r="AP857" s="297"/>
      <c r="AQ857" s="297"/>
      <c r="AR857" s="297"/>
      <c r="AS857" s="297"/>
      <c r="AT857" s="297"/>
      <c r="AU857" s="297"/>
      <c r="AV857" s="297"/>
      <c r="AW857" s="297"/>
    </row>
    <row r="858" spans="1:49" x14ac:dyDescent="0.45">
      <c r="A858" s="295">
        <v>35462</v>
      </c>
      <c r="B858" s="12">
        <v>7.7999999999999996E-3</v>
      </c>
      <c r="C858" s="5">
        <v>-9.5000000000000015E-3</v>
      </c>
      <c r="D858" s="5">
        <v>5.1000000000000004E-3</v>
      </c>
      <c r="E858" s="5">
        <v>6.0916666666666662E-3</v>
      </c>
      <c r="F858" s="5">
        <v>6.2833333333333326E-3</v>
      </c>
      <c r="G858" s="5">
        <v>6.1874999999999994E-3</v>
      </c>
      <c r="H858" s="5">
        <v>6.368833333333334E-3</v>
      </c>
      <c r="I858" s="5">
        <f t="shared" si="143"/>
        <v>2.6999999999999993E-3</v>
      </c>
      <c r="J858" s="5">
        <f t="shared" si="136"/>
        <v>1.6125000000000002E-3</v>
      </c>
      <c r="K858" s="5">
        <f t="shared" si="137"/>
        <v>-1.5868833333333335E-2</v>
      </c>
      <c r="L858" s="8">
        <f t="shared" si="145"/>
        <v>0.26157289794548499</v>
      </c>
      <c r="M858" s="8">
        <f t="shared" si="146"/>
        <v>6.1200000000000004E-2</v>
      </c>
      <c r="N858" s="8">
        <f t="shared" si="138"/>
        <v>7.4249999999999997E-2</v>
      </c>
      <c r="O858" s="296">
        <f t="shared" si="144"/>
        <v>0.20037289794548499</v>
      </c>
      <c r="P858" s="8">
        <f t="shared" si="139"/>
        <v>0.18732289794548501</v>
      </c>
      <c r="Q858" s="8">
        <f t="shared" si="140"/>
        <v>5.7392449625709219E-2</v>
      </c>
      <c r="R858" s="8">
        <f t="shared" si="141"/>
        <v>7.6426000000000008E-2</v>
      </c>
      <c r="S858" s="296">
        <f t="shared" si="142"/>
        <v>-1.9033550374290789E-2</v>
      </c>
      <c r="U858" s="297"/>
      <c r="V858" s="297"/>
      <c r="W858" s="297"/>
      <c r="X858" s="297"/>
      <c r="Y858" s="297"/>
      <c r="Z858" s="297"/>
      <c r="AA858" s="297"/>
      <c r="AB858" s="297"/>
      <c r="AC858" s="297"/>
      <c r="AE858" s="297"/>
      <c r="AF858" s="297"/>
      <c r="AG858" s="297"/>
      <c r="AH858" s="297"/>
      <c r="AI858" s="297"/>
      <c r="AJ858" s="297"/>
      <c r="AK858" s="297"/>
      <c r="AL858" s="297"/>
      <c r="AM858" s="297"/>
      <c r="AO858" s="297"/>
      <c r="AP858" s="297"/>
      <c r="AQ858" s="297"/>
      <c r="AR858" s="297"/>
      <c r="AS858" s="297"/>
      <c r="AT858" s="297"/>
      <c r="AU858" s="297"/>
      <c r="AV858" s="297"/>
      <c r="AW858" s="297"/>
    </row>
    <row r="859" spans="1:49" x14ac:dyDescent="0.45">
      <c r="A859" s="295">
        <v>35490</v>
      </c>
      <c r="B859" s="12">
        <v>-4.1099999999999998E-2</v>
      </c>
      <c r="C859" s="5">
        <v>-3.0099999999999998E-2</v>
      </c>
      <c r="D859" s="5">
        <v>5.8999999999999999E-3</v>
      </c>
      <c r="E859" s="5">
        <v>6.2916666666666668E-3</v>
      </c>
      <c r="F859" s="5">
        <v>6.4749999999999999E-3</v>
      </c>
      <c r="G859" s="5">
        <v>6.3833333333333329E-3</v>
      </c>
      <c r="H859" s="5">
        <v>6.5545833333333333E-3</v>
      </c>
      <c r="I859" s="5">
        <f t="shared" si="143"/>
        <v>-4.7E-2</v>
      </c>
      <c r="J859" s="5">
        <f t="shared" si="136"/>
        <v>-4.7483333333333329E-2</v>
      </c>
      <c r="K859" s="5">
        <f t="shared" si="137"/>
        <v>-3.6654583333333331E-2</v>
      </c>
      <c r="L859" s="8">
        <f t="shared" si="145"/>
        <v>0.19821934611720016</v>
      </c>
      <c r="M859" s="8">
        <f t="shared" si="146"/>
        <v>7.0800000000000002E-2</v>
      </c>
      <c r="N859" s="8">
        <f t="shared" si="138"/>
        <v>7.6600000000000001E-2</v>
      </c>
      <c r="O859" s="296">
        <f t="shared" si="144"/>
        <v>0.12741934611720016</v>
      </c>
      <c r="P859" s="8">
        <f t="shared" si="139"/>
        <v>0.12161934611720016</v>
      </c>
      <c r="Q859" s="8">
        <f t="shared" si="140"/>
        <v>4.6815287222593982E-2</v>
      </c>
      <c r="R859" s="8">
        <f t="shared" si="141"/>
        <v>7.8655000000000003E-2</v>
      </c>
      <c r="S859" s="296">
        <f t="shared" si="142"/>
        <v>-3.1839712777406021E-2</v>
      </c>
      <c r="U859" s="297"/>
      <c r="V859" s="297"/>
      <c r="W859" s="297"/>
      <c r="X859" s="297"/>
      <c r="Y859" s="297"/>
      <c r="Z859" s="297"/>
      <c r="AA859" s="297"/>
      <c r="AB859" s="297"/>
      <c r="AC859" s="297"/>
      <c r="AE859" s="297"/>
      <c r="AF859" s="297"/>
      <c r="AG859" s="297"/>
      <c r="AH859" s="297"/>
      <c r="AI859" s="297"/>
      <c r="AJ859" s="297"/>
      <c r="AK859" s="297"/>
      <c r="AL859" s="297"/>
      <c r="AM859" s="297"/>
      <c r="AO859" s="297"/>
      <c r="AP859" s="297"/>
      <c r="AQ859" s="297"/>
      <c r="AR859" s="297"/>
      <c r="AS859" s="297"/>
      <c r="AT859" s="297"/>
      <c r="AU859" s="297"/>
      <c r="AV859" s="297"/>
      <c r="AW859" s="297"/>
    </row>
    <row r="860" spans="1:49" x14ac:dyDescent="0.45">
      <c r="A860" s="295">
        <v>35521</v>
      </c>
      <c r="B860" s="12">
        <v>5.9700000000000003E-2</v>
      </c>
      <c r="C860" s="5">
        <v>-1.4999999999999999E-2</v>
      </c>
      <c r="D860" s="5">
        <v>5.8999999999999999E-3</v>
      </c>
      <c r="E860" s="5">
        <v>6.4416666666666667E-3</v>
      </c>
      <c r="F860" s="5">
        <v>6.6083333333333324E-3</v>
      </c>
      <c r="G860" s="5">
        <v>6.5249999999999996E-3</v>
      </c>
      <c r="H860" s="5">
        <v>6.6973333333333329E-3</v>
      </c>
      <c r="I860" s="5">
        <f t="shared" si="143"/>
        <v>5.3800000000000001E-2</v>
      </c>
      <c r="J860" s="5">
        <f t="shared" si="136"/>
        <v>5.3175E-2</v>
      </c>
      <c r="K860" s="5">
        <f t="shared" si="137"/>
        <v>-2.1697333333333332E-2</v>
      </c>
      <c r="L860" s="8">
        <f t="shared" si="145"/>
        <v>0.25135807734344895</v>
      </c>
      <c r="M860" s="8">
        <f t="shared" si="146"/>
        <v>7.0800000000000002E-2</v>
      </c>
      <c r="N860" s="8">
        <f t="shared" si="138"/>
        <v>7.8299999999999995E-2</v>
      </c>
      <c r="O860" s="296">
        <f t="shared" si="144"/>
        <v>0.18055807734344895</v>
      </c>
      <c r="P860" s="8">
        <f t="shared" si="139"/>
        <v>0.17305807734344897</v>
      </c>
      <c r="Q860" s="8">
        <f t="shared" si="140"/>
        <v>1.9894221477997354E-2</v>
      </c>
      <c r="R860" s="8">
        <f t="shared" si="141"/>
        <v>8.0367999999999995E-2</v>
      </c>
      <c r="S860" s="296">
        <f t="shared" si="142"/>
        <v>-6.0473778522002641E-2</v>
      </c>
      <c r="U860" s="297"/>
      <c r="V860" s="297"/>
      <c r="W860" s="297"/>
      <c r="X860" s="297"/>
      <c r="Y860" s="297"/>
      <c r="Z860" s="297"/>
      <c r="AA860" s="297"/>
      <c r="AB860" s="297"/>
      <c r="AC860" s="297"/>
      <c r="AE860" s="297"/>
      <c r="AF860" s="297"/>
      <c r="AG860" s="297"/>
      <c r="AH860" s="297"/>
      <c r="AI860" s="297"/>
      <c r="AJ860" s="297"/>
      <c r="AK860" s="297"/>
      <c r="AL860" s="297"/>
      <c r="AM860" s="297"/>
      <c r="AO860" s="297"/>
      <c r="AP860" s="297"/>
      <c r="AQ860" s="297"/>
      <c r="AR860" s="297"/>
      <c r="AS860" s="297"/>
      <c r="AT860" s="297"/>
      <c r="AU860" s="297"/>
      <c r="AV860" s="297"/>
      <c r="AW860" s="297"/>
    </row>
    <row r="861" spans="1:49" x14ac:dyDescent="0.45">
      <c r="A861" s="295">
        <v>35551</v>
      </c>
      <c r="B861" s="12">
        <v>6.0900000000000003E-2</v>
      </c>
      <c r="C861" s="5">
        <v>4.2299999999999997E-2</v>
      </c>
      <c r="D861" s="5">
        <v>5.7999999999999996E-3</v>
      </c>
      <c r="E861" s="5">
        <v>6.3166666666666675E-3</v>
      </c>
      <c r="F861" s="5">
        <v>6.5000000000000006E-3</v>
      </c>
      <c r="G861" s="5">
        <v>6.4083333333333336E-3</v>
      </c>
      <c r="H861" s="5">
        <v>6.5754166666666669E-3</v>
      </c>
      <c r="I861" s="5">
        <f t="shared" si="143"/>
        <v>5.5100000000000003E-2</v>
      </c>
      <c r="J861" s="5">
        <f t="shared" ref="J861:J924" si="147">B861-G861</f>
        <v>5.4491666666666667E-2</v>
      </c>
      <c r="K861" s="5">
        <f t="shared" ref="K861:K924" si="148">$C861-H861</f>
        <v>3.572458333333333E-2</v>
      </c>
      <c r="L861" s="8">
        <f t="shared" si="145"/>
        <v>0.29417604236075712</v>
      </c>
      <c r="M861" s="8">
        <f t="shared" si="146"/>
        <v>6.9599999999999995E-2</v>
      </c>
      <c r="N861" s="8">
        <f t="shared" si="138"/>
        <v>7.6899999999999996E-2</v>
      </c>
      <c r="O861" s="296">
        <f t="shared" si="144"/>
        <v>0.22457604236075712</v>
      </c>
      <c r="P861" s="8">
        <f t="shared" si="139"/>
        <v>0.21727604236075712</v>
      </c>
      <c r="Q861" s="8">
        <f t="shared" si="140"/>
        <v>6.5699997039114555E-2</v>
      </c>
      <c r="R861" s="8">
        <f t="shared" si="141"/>
        <v>7.8905000000000003E-2</v>
      </c>
      <c r="S861" s="296">
        <f t="shared" si="142"/>
        <v>-1.3205002960885448E-2</v>
      </c>
      <c r="U861" s="297"/>
      <c r="V861" s="297"/>
      <c r="W861" s="297"/>
      <c r="X861" s="297"/>
      <c r="Y861" s="297"/>
      <c r="Z861" s="297"/>
      <c r="AA861" s="297"/>
      <c r="AB861" s="297"/>
      <c r="AC861" s="297"/>
      <c r="AE861" s="297"/>
      <c r="AF861" s="297"/>
      <c r="AG861" s="297"/>
      <c r="AH861" s="297"/>
      <c r="AI861" s="297"/>
      <c r="AJ861" s="297"/>
      <c r="AK861" s="297"/>
      <c r="AL861" s="297"/>
      <c r="AM861" s="297"/>
      <c r="AO861" s="297"/>
      <c r="AP861" s="297"/>
      <c r="AQ861" s="297"/>
      <c r="AR861" s="297"/>
      <c r="AS861" s="297"/>
      <c r="AT861" s="297"/>
      <c r="AU861" s="297"/>
      <c r="AV861" s="297"/>
      <c r="AW861" s="297"/>
    </row>
    <row r="862" spans="1:49" x14ac:dyDescent="0.45">
      <c r="A862" s="295">
        <v>35582</v>
      </c>
      <c r="B862" s="12">
        <v>4.48E-2</v>
      </c>
      <c r="C862" s="5">
        <v>3.1399999999999997E-2</v>
      </c>
      <c r="D862" s="5">
        <v>5.8999999999999999E-3</v>
      </c>
      <c r="E862" s="5">
        <v>6.1750000000000008E-3</v>
      </c>
      <c r="F862" s="5">
        <v>6.3499999999999997E-3</v>
      </c>
      <c r="G862" s="5">
        <v>6.2624999999999998E-3</v>
      </c>
      <c r="H862" s="5">
        <v>6.437333333333334E-3</v>
      </c>
      <c r="I862" s="5">
        <f t="shared" si="143"/>
        <v>3.8899999999999997E-2</v>
      </c>
      <c r="J862" s="5">
        <f t="shared" si="147"/>
        <v>3.8537500000000002E-2</v>
      </c>
      <c r="K862" s="5">
        <f t="shared" si="148"/>
        <v>2.4962666666666664E-2</v>
      </c>
      <c r="L862" s="8">
        <f t="shared" si="145"/>
        <v>0.34703639077357873</v>
      </c>
      <c r="M862" s="8">
        <f t="shared" si="146"/>
        <v>7.0800000000000002E-2</v>
      </c>
      <c r="N862" s="8">
        <f t="shared" si="138"/>
        <v>7.5149999999999995E-2</v>
      </c>
      <c r="O862" s="296">
        <f t="shared" si="144"/>
        <v>0.27623639077357875</v>
      </c>
      <c r="P862" s="8">
        <f t="shared" si="139"/>
        <v>0.27188639077357873</v>
      </c>
      <c r="Q862" s="8">
        <f t="shared" si="140"/>
        <v>5.5263994763961932E-2</v>
      </c>
      <c r="R862" s="8">
        <f t="shared" si="141"/>
        <v>7.7248000000000011E-2</v>
      </c>
      <c r="S862" s="296">
        <f t="shared" si="142"/>
        <v>-2.1984005236038079E-2</v>
      </c>
      <c r="U862" s="297"/>
      <c r="V862" s="297"/>
      <c r="W862" s="297"/>
      <c r="X862" s="297"/>
      <c r="Y862" s="297"/>
      <c r="Z862" s="297"/>
      <c r="AA862" s="297"/>
      <c r="AB862" s="297"/>
      <c r="AC862" s="297"/>
      <c r="AE862" s="297"/>
      <c r="AF862" s="297"/>
      <c r="AG862" s="297"/>
      <c r="AH862" s="297"/>
      <c r="AI862" s="297"/>
      <c r="AJ862" s="297"/>
      <c r="AK862" s="297"/>
      <c r="AL862" s="297"/>
      <c r="AM862" s="297"/>
      <c r="AO862" s="297"/>
      <c r="AP862" s="297"/>
      <c r="AQ862" s="297"/>
      <c r="AR862" s="297"/>
      <c r="AS862" s="297"/>
      <c r="AT862" s="297"/>
      <c r="AU862" s="297"/>
      <c r="AV862" s="297"/>
      <c r="AW862" s="297"/>
    </row>
    <row r="863" spans="1:49" x14ac:dyDescent="0.45">
      <c r="A863" s="295">
        <v>35612</v>
      </c>
      <c r="B863" s="12">
        <v>7.9600000000000004E-2</v>
      </c>
      <c r="C863" s="5">
        <v>2.3E-2</v>
      </c>
      <c r="D863" s="5">
        <v>5.7999999999999996E-3</v>
      </c>
      <c r="E863" s="5">
        <v>5.9499999999999996E-3</v>
      </c>
      <c r="F863" s="5">
        <v>6.1333333333333344E-3</v>
      </c>
      <c r="G863" s="5">
        <v>6.0416666666666674E-3</v>
      </c>
      <c r="H863" s="5">
        <v>6.2409166666666663E-3</v>
      </c>
      <c r="I863" s="5">
        <f t="shared" si="143"/>
        <v>7.3800000000000004E-2</v>
      </c>
      <c r="J863" s="5">
        <f t="shared" si="147"/>
        <v>7.3558333333333337E-2</v>
      </c>
      <c r="K863" s="5">
        <f t="shared" si="148"/>
        <v>1.6759083333333334E-2</v>
      </c>
      <c r="L863" s="8">
        <f t="shared" si="145"/>
        <v>0.52151128633517074</v>
      </c>
      <c r="M863" s="8">
        <f t="shared" si="146"/>
        <v>6.9599999999999995E-2</v>
      </c>
      <c r="N863" s="8">
        <f t="shared" si="138"/>
        <v>7.2500000000000009E-2</v>
      </c>
      <c r="O863" s="296">
        <f t="shared" si="144"/>
        <v>0.45191128633517075</v>
      </c>
      <c r="P863" s="8">
        <f t="shared" si="139"/>
        <v>0.44901128633517073</v>
      </c>
      <c r="Q863" s="8">
        <f t="shared" si="140"/>
        <v>0.15187267034094409</v>
      </c>
      <c r="R863" s="8">
        <f t="shared" si="141"/>
        <v>7.4890999999999999E-2</v>
      </c>
      <c r="S863" s="296">
        <f t="shared" si="142"/>
        <v>7.6981670340944094E-2</v>
      </c>
      <c r="U863" s="297"/>
      <c r="V863" s="297"/>
      <c r="W863" s="297"/>
      <c r="X863" s="297"/>
      <c r="Y863" s="297"/>
      <c r="Z863" s="297"/>
      <c r="AA863" s="297"/>
      <c r="AB863" s="297"/>
      <c r="AC863" s="297"/>
      <c r="AE863" s="297"/>
      <c r="AF863" s="297"/>
      <c r="AG863" s="297"/>
      <c r="AH863" s="297"/>
      <c r="AI863" s="297"/>
      <c r="AJ863" s="297"/>
      <c r="AK863" s="297"/>
      <c r="AL863" s="297"/>
      <c r="AM863" s="297"/>
      <c r="AO863" s="297"/>
      <c r="AP863" s="297"/>
      <c r="AQ863" s="297"/>
      <c r="AR863" s="297"/>
      <c r="AS863" s="297"/>
      <c r="AT863" s="297"/>
      <c r="AU863" s="297"/>
      <c r="AV863" s="297"/>
      <c r="AW863" s="297"/>
    </row>
    <row r="864" spans="1:49" x14ac:dyDescent="0.45">
      <c r="A864" s="295">
        <v>35643</v>
      </c>
      <c r="B864" s="12">
        <v>-5.6000000000000001E-2</v>
      </c>
      <c r="C864" s="5">
        <v>-1.83E-2</v>
      </c>
      <c r="D864" s="5">
        <v>4.8999999999999998E-3</v>
      </c>
      <c r="E864" s="5">
        <v>6.0166666666666667E-3</v>
      </c>
      <c r="F864" s="5">
        <v>6.1666666666666667E-3</v>
      </c>
      <c r="G864" s="5">
        <v>6.0916666666666662E-3</v>
      </c>
      <c r="H864" s="5">
        <v>6.2475833333333333E-3</v>
      </c>
      <c r="I864" s="5">
        <f t="shared" si="143"/>
        <v>-6.0900000000000003E-2</v>
      </c>
      <c r="J864" s="5">
        <f t="shared" si="147"/>
        <v>-6.209166666666667E-2</v>
      </c>
      <c r="K864" s="5">
        <f t="shared" si="148"/>
        <v>-2.4547583333333334E-2</v>
      </c>
      <c r="L864" s="8">
        <f t="shared" si="145"/>
        <v>0.40662682822485663</v>
      </c>
      <c r="M864" s="8">
        <f t="shared" si="146"/>
        <v>5.8799999999999998E-2</v>
      </c>
      <c r="N864" s="8">
        <f t="shared" si="138"/>
        <v>7.3099999999999998E-2</v>
      </c>
      <c r="O864" s="296">
        <f t="shared" si="144"/>
        <v>0.34782682822485661</v>
      </c>
      <c r="P864" s="8">
        <f t="shared" si="139"/>
        <v>0.33352682822485663</v>
      </c>
      <c r="Q864" s="8">
        <f t="shared" si="140"/>
        <v>0.10720983107187365</v>
      </c>
      <c r="R864" s="8">
        <f t="shared" si="141"/>
        <v>7.4970999999999996E-2</v>
      </c>
      <c r="S864" s="296">
        <f t="shared" si="142"/>
        <v>3.2238831071873655E-2</v>
      </c>
      <c r="U864" s="297"/>
      <c r="V864" s="297"/>
      <c r="W864" s="297"/>
      <c r="X864" s="297"/>
      <c r="Y864" s="297"/>
      <c r="Z864" s="297"/>
      <c r="AA864" s="297"/>
      <c r="AB864" s="297"/>
      <c r="AC864" s="297"/>
      <c r="AE864" s="297"/>
      <c r="AF864" s="297"/>
      <c r="AG864" s="297"/>
      <c r="AH864" s="297"/>
      <c r="AI864" s="297"/>
      <c r="AJ864" s="297"/>
      <c r="AK864" s="297"/>
      <c r="AL864" s="297"/>
      <c r="AM864" s="297"/>
      <c r="AO864" s="297"/>
      <c r="AP864" s="297"/>
      <c r="AQ864" s="297"/>
      <c r="AR864" s="297"/>
      <c r="AS864" s="297"/>
      <c r="AT864" s="297"/>
      <c r="AU864" s="297"/>
      <c r="AV864" s="297"/>
      <c r="AW864" s="297"/>
    </row>
    <row r="865" spans="1:49" x14ac:dyDescent="0.45">
      <c r="A865" s="295">
        <v>35674</v>
      </c>
      <c r="B865" s="12">
        <v>5.4800000000000001E-2</v>
      </c>
      <c r="C865" s="5">
        <v>4.3299999999999998E-2</v>
      </c>
      <c r="D865" s="5">
        <v>5.7999999999999996E-3</v>
      </c>
      <c r="E865" s="5">
        <v>5.9499999999999996E-3</v>
      </c>
      <c r="F865" s="5">
        <v>6.116666666666667E-3</v>
      </c>
      <c r="G865" s="5">
        <v>6.0333333333333324E-3</v>
      </c>
      <c r="H865" s="5">
        <v>6.2285833333333342E-3</v>
      </c>
      <c r="I865" s="5">
        <f t="shared" si="143"/>
        <v>4.9000000000000002E-2</v>
      </c>
      <c r="J865" s="5">
        <f t="shared" si="147"/>
        <v>4.8766666666666666E-2</v>
      </c>
      <c r="K865" s="5">
        <f t="shared" si="148"/>
        <v>3.7071416666666662E-2</v>
      </c>
      <c r="L865" s="8">
        <f t="shared" si="145"/>
        <v>0.40462934621942526</v>
      </c>
      <c r="M865" s="8">
        <f t="shared" si="146"/>
        <v>6.9599999999999995E-2</v>
      </c>
      <c r="N865" s="8">
        <f t="shared" si="138"/>
        <v>7.2399999999999992E-2</v>
      </c>
      <c r="O865" s="296">
        <f t="shared" si="144"/>
        <v>0.33502934621942526</v>
      </c>
      <c r="P865" s="8">
        <f t="shared" si="139"/>
        <v>0.33222934621942524</v>
      </c>
      <c r="Q865" s="8">
        <f t="shared" si="140"/>
        <v>0.14428134398938663</v>
      </c>
      <c r="R865" s="8">
        <f t="shared" si="141"/>
        <v>7.4743000000000004E-2</v>
      </c>
      <c r="S865" s="296">
        <f t="shared" si="142"/>
        <v>6.9538343989386631E-2</v>
      </c>
      <c r="U865" s="297"/>
      <c r="V865" s="297"/>
      <c r="W865" s="297"/>
      <c r="X865" s="297"/>
      <c r="Y865" s="297"/>
      <c r="Z865" s="297"/>
      <c r="AA865" s="297"/>
      <c r="AB865" s="297"/>
      <c r="AC865" s="297"/>
      <c r="AE865" s="297"/>
      <c r="AF865" s="297"/>
      <c r="AG865" s="297"/>
      <c r="AH865" s="297"/>
      <c r="AI865" s="297"/>
      <c r="AJ865" s="297"/>
      <c r="AK865" s="297"/>
      <c r="AL865" s="297"/>
      <c r="AM865" s="297"/>
      <c r="AO865" s="297"/>
      <c r="AP865" s="297"/>
      <c r="AQ865" s="297"/>
      <c r="AR865" s="297"/>
      <c r="AS865" s="297"/>
      <c r="AT865" s="297"/>
      <c r="AU865" s="297"/>
      <c r="AV865" s="297"/>
      <c r="AW865" s="297"/>
    </row>
    <row r="866" spans="1:49" x14ac:dyDescent="0.45">
      <c r="A866" s="295">
        <v>35704</v>
      </c>
      <c r="B866" s="12">
        <v>-3.3399999999999999E-2</v>
      </c>
      <c r="C866" s="5">
        <v>9.7999999999999997E-3</v>
      </c>
      <c r="D866" s="5">
        <v>5.4000000000000003E-3</v>
      </c>
      <c r="E866" s="5">
        <v>5.8333333333333336E-3</v>
      </c>
      <c r="F866" s="5">
        <v>6.0000000000000001E-3</v>
      </c>
      <c r="G866" s="5">
        <v>5.9166666666666664E-3</v>
      </c>
      <c r="H866" s="5">
        <v>6.130416666666666E-3</v>
      </c>
      <c r="I866" s="5">
        <f t="shared" si="143"/>
        <v>-3.8800000000000001E-2</v>
      </c>
      <c r="J866" s="5">
        <f t="shared" si="147"/>
        <v>-3.9316666666666666E-2</v>
      </c>
      <c r="K866" s="5">
        <f t="shared" si="148"/>
        <v>3.6695833333333337E-3</v>
      </c>
      <c r="L866" s="8">
        <f t="shared" si="145"/>
        <v>0.3212482737015343</v>
      </c>
      <c r="M866" s="8">
        <f t="shared" si="146"/>
        <v>6.4799999999999996E-2</v>
      </c>
      <c r="N866" s="8">
        <f t="shared" si="138"/>
        <v>7.0999999999999994E-2</v>
      </c>
      <c r="O866" s="296">
        <f t="shared" si="144"/>
        <v>0.25644827370153433</v>
      </c>
      <c r="P866" s="8">
        <f t="shared" si="139"/>
        <v>0.2502482737015343</v>
      </c>
      <c r="Q866" s="8">
        <f t="shared" si="140"/>
        <v>9.9633899086869704E-2</v>
      </c>
      <c r="R866" s="8">
        <f t="shared" si="141"/>
        <v>7.3564999999999992E-2</v>
      </c>
      <c r="S866" s="296">
        <f t="shared" si="142"/>
        <v>2.6068899086869712E-2</v>
      </c>
      <c r="U866" s="297"/>
      <c r="V866" s="297"/>
      <c r="W866" s="297"/>
      <c r="X866" s="297"/>
      <c r="Y866" s="297"/>
      <c r="Z866" s="297"/>
      <c r="AA866" s="297"/>
      <c r="AB866" s="297"/>
      <c r="AC866" s="297"/>
      <c r="AE866" s="297"/>
      <c r="AF866" s="297"/>
      <c r="AG866" s="297"/>
      <c r="AH866" s="297"/>
      <c r="AI866" s="297"/>
      <c r="AJ866" s="297"/>
      <c r="AK866" s="297"/>
      <c r="AL866" s="297"/>
      <c r="AM866" s="297"/>
      <c r="AO866" s="297"/>
      <c r="AP866" s="297"/>
      <c r="AQ866" s="297"/>
      <c r="AR866" s="297"/>
      <c r="AS866" s="297"/>
      <c r="AT866" s="297"/>
      <c r="AU866" s="297"/>
      <c r="AV866" s="297"/>
      <c r="AW866" s="297"/>
    </row>
    <row r="867" spans="1:49" x14ac:dyDescent="0.45">
      <c r="A867" s="295">
        <v>35735</v>
      </c>
      <c r="B867" s="12">
        <v>4.6300000000000001E-2</v>
      </c>
      <c r="C867" s="5">
        <v>7.0700000000000013E-2</v>
      </c>
      <c r="D867" s="5">
        <v>4.7000000000000002E-3</v>
      </c>
      <c r="E867" s="5">
        <v>5.7250000000000001E-3</v>
      </c>
      <c r="F867" s="5">
        <v>5.8916666666666674E-3</v>
      </c>
      <c r="G867" s="5">
        <v>5.8083333333333329E-3</v>
      </c>
      <c r="H867" s="5">
        <v>6.0390000000000001E-3</v>
      </c>
      <c r="I867" s="5">
        <f t="shared" si="143"/>
        <v>4.1599999999999998E-2</v>
      </c>
      <c r="J867" s="5">
        <f t="shared" si="147"/>
        <v>4.0491666666666669E-2</v>
      </c>
      <c r="K867" s="5">
        <f t="shared" si="148"/>
        <v>6.466100000000001E-2</v>
      </c>
      <c r="L867" s="8">
        <f t="shared" si="145"/>
        <v>0.28525666490694968</v>
      </c>
      <c r="M867" s="8">
        <f t="shared" si="146"/>
        <v>5.6400000000000006E-2</v>
      </c>
      <c r="N867" s="8">
        <f t="shared" si="138"/>
        <v>6.9699999999999998E-2</v>
      </c>
      <c r="O867" s="296">
        <f t="shared" si="144"/>
        <v>0.22885666490694967</v>
      </c>
      <c r="P867" s="8">
        <f t="shared" si="139"/>
        <v>0.21555666490694969</v>
      </c>
      <c r="Q867" s="8">
        <f t="shared" si="140"/>
        <v>0.15304868842651209</v>
      </c>
      <c r="R867" s="8">
        <f t="shared" si="141"/>
        <v>7.2468000000000005E-2</v>
      </c>
      <c r="S867" s="296">
        <f t="shared" si="142"/>
        <v>8.0580688426512087E-2</v>
      </c>
      <c r="U867" s="297"/>
      <c r="V867" s="297"/>
      <c r="W867" s="297"/>
      <c r="X867" s="297"/>
      <c r="Y867" s="297"/>
      <c r="Z867" s="297"/>
      <c r="AA867" s="297"/>
      <c r="AB867" s="297"/>
      <c r="AC867" s="297"/>
      <c r="AE867" s="297"/>
      <c r="AF867" s="297"/>
      <c r="AG867" s="297"/>
      <c r="AH867" s="297"/>
      <c r="AI867" s="297"/>
      <c r="AJ867" s="297"/>
      <c r="AK867" s="297"/>
      <c r="AL867" s="297"/>
      <c r="AM867" s="297"/>
      <c r="AO867" s="297"/>
      <c r="AP867" s="297"/>
      <c r="AQ867" s="297"/>
      <c r="AR867" s="297"/>
      <c r="AS867" s="297"/>
      <c r="AT867" s="297"/>
      <c r="AU867" s="297"/>
      <c r="AV867" s="297"/>
      <c r="AW867" s="297"/>
    </row>
    <row r="868" spans="1:49" x14ac:dyDescent="0.45">
      <c r="A868" s="295">
        <v>35765</v>
      </c>
      <c r="B868" s="12">
        <v>1.72E-2</v>
      </c>
      <c r="C868" s="5">
        <v>7.5200000000000003E-2</v>
      </c>
      <c r="D868" s="5">
        <v>5.4000000000000003E-3</v>
      </c>
      <c r="E868" s="5">
        <v>5.6333333333333339E-3</v>
      </c>
      <c r="F868" s="5">
        <v>5.8250000000000003E-3</v>
      </c>
      <c r="G868" s="5">
        <v>5.7291666666666671E-3</v>
      </c>
      <c r="H868" s="5">
        <v>5.9696666666666665E-3</v>
      </c>
      <c r="I868" s="5">
        <f t="shared" si="143"/>
        <v>1.18E-2</v>
      </c>
      <c r="J868" s="5">
        <f t="shared" si="147"/>
        <v>1.1470833333333333E-2</v>
      </c>
      <c r="K868" s="5">
        <f t="shared" si="148"/>
        <v>6.9230333333333338E-2</v>
      </c>
      <c r="L868" s="8">
        <f t="shared" si="145"/>
        <v>0.33377176039925405</v>
      </c>
      <c r="M868" s="8">
        <f t="shared" si="146"/>
        <v>6.4799999999999996E-2</v>
      </c>
      <c r="N868" s="8">
        <f t="shared" si="138"/>
        <v>6.8750000000000006E-2</v>
      </c>
      <c r="O868" s="296">
        <f t="shared" si="144"/>
        <v>0.26897176039925408</v>
      </c>
      <c r="P868" s="8">
        <f t="shared" si="139"/>
        <v>0.26502176039925407</v>
      </c>
      <c r="Q868" s="8">
        <f t="shared" si="140"/>
        <v>0.24724139818529722</v>
      </c>
      <c r="R868" s="8">
        <f t="shared" si="141"/>
        <v>7.1636000000000005E-2</v>
      </c>
      <c r="S868" s="296">
        <f t="shared" si="142"/>
        <v>0.17560539818529722</v>
      </c>
      <c r="U868" s="297"/>
      <c r="V868" s="297"/>
      <c r="W868" s="297"/>
      <c r="X868" s="297"/>
      <c r="Y868" s="297"/>
      <c r="Z868" s="297"/>
      <c r="AA868" s="297"/>
      <c r="AB868" s="297"/>
      <c r="AC868" s="297"/>
      <c r="AE868" s="297"/>
      <c r="AF868" s="297"/>
      <c r="AG868" s="297"/>
      <c r="AH868" s="297"/>
      <c r="AI868" s="297"/>
      <c r="AJ868" s="297"/>
      <c r="AK868" s="297"/>
      <c r="AL868" s="297"/>
      <c r="AM868" s="297"/>
      <c r="AO868" s="297"/>
      <c r="AP868" s="297"/>
      <c r="AQ868" s="297"/>
      <c r="AR868" s="297"/>
      <c r="AS868" s="297"/>
      <c r="AT868" s="297"/>
      <c r="AU868" s="297"/>
      <c r="AV868" s="297"/>
      <c r="AW868" s="297"/>
    </row>
    <row r="869" spans="1:49" x14ac:dyDescent="0.45">
      <c r="A869" s="295">
        <v>35796</v>
      </c>
      <c r="B869" s="12">
        <v>1.11E-2</v>
      </c>
      <c r="C869" s="5">
        <v>-3.95E-2</v>
      </c>
      <c r="D869" s="5">
        <v>4.7999999999999996E-3</v>
      </c>
      <c r="E869" s="5">
        <v>5.5083333333333338E-3</v>
      </c>
      <c r="F869" s="5">
        <v>5.6833333333333336E-3</v>
      </c>
      <c r="G869" s="5">
        <v>5.5958333333333329E-3</v>
      </c>
      <c r="H869" s="5">
        <v>5.8783333333333335E-3</v>
      </c>
      <c r="I869" s="5">
        <f t="shared" si="143"/>
        <v>6.3000000000000009E-3</v>
      </c>
      <c r="J869" s="5">
        <f t="shared" si="147"/>
        <v>5.5041666666666676E-3</v>
      </c>
      <c r="K869" s="5">
        <f t="shared" si="148"/>
        <v>-4.5378333333333333E-2</v>
      </c>
      <c r="L869" s="8">
        <f t="shared" si="145"/>
        <v>0.26924859006088098</v>
      </c>
      <c r="M869" s="8">
        <f t="shared" si="146"/>
        <v>5.7599999999999998E-2</v>
      </c>
      <c r="N869" s="8">
        <f t="shared" si="138"/>
        <v>6.7149999999999987E-2</v>
      </c>
      <c r="O869" s="296">
        <f t="shared" si="144"/>
        <v>0.21164859006088099</v>
      </c>
      <c r="P869" s="8">
        <f t="shared" si="139"/>
        <v>0.20209859006088099</v>
      </c>
      <c r="Q869" s="8">
        <f t="shared" si="140"/>
        <v>0.19012056721337034</v>
      </c>
      <c r="R869" s="8">
        <f t="shared" si="141"/>
        <v>7.0540000000000005E-2</v>
      </c>
      <c r="S869" s="296">
        <f t="shared" si="142"/>
        <v>0.11958056721337033</v>
      </c>
      <c r="U869" s="297"/>
      <c r="V869" s="297"/>
      <c r="W869" s="297"/>
      <c r="X869" s="297"/>
      <c r="Y869" s="297"/>
      <c r="Z869" s="297"/>
      <c r="AA869" s="297"/>
      <c r="AB869" s="297"/>
      <c r="AC869" s="297"/>
      <c r="AE869" s="297"/>
      <c r="AF869" s="297"/>
      <c r="AG869" s="297"/>
      <c r="AH869" s="297"/>
      <c r="AI869" s="297"/>
      <c r="AJ869" s="297"/>
      <c r="AK869" s="297"/>
      <c r="AL869" s="297"/>
      <c r="AM869" s="297"/>
      <c r="AO869" s="297"/>
      <c r="AP869" s="297"/>
      <c r="AQ869" s="297"/>
      <c r="AR869" s="297"/>
      <c r="AS869" s="297"/>
      <c r="AT869" s="297"/>
      <c r="AU869" s="297"/>
      <c r="AV869" s="297"/>
      <c r="AW869" s="297"/>
    </row>
    <row r="870" spans="1:49" x14ac:dyDescent="0.45">
      <c r="A870" s="295">
        <v>35827</v>
      </c>
      <c r="B870" s="12">
        <v>7.2099999999999997E-2</v>
      </c>
      <c r="C870" s="5">
        <v>3.4099999999999998E-2</v>
      </c>
      <c r="D870" s="5">
        <v>4.4000000000000003E-3</v>
      </c>
      <c r="E870" s="5">
        <v>5.5583333333333327E-3</v>
      </c>
      <c r="F870" s="5">
        <v>5.7333333333333333E-3</v>
      </c>
      <c r="G870" s="5">
        <v>5.6458333333333334E-3</v>
      </c>
      <c r="H870" s="5">
        <v>5.9315833333333338E-3</v>
      </c>
      <c r="I870" s="5">
        <f t="shared" si="143"/>
        <v>6.7699999999999996E-2</v>
      </c>
      <c r="J870" s="5">
        <f t="shared" si="147"/>
        <v>6.6454166666666661E-2</v>
      </c>
      <c r="K870" s="5">
        <f t="shared" si="148"/>
        <v>2.8168416666666665E-2</v>
      </c>
      <c r="L870" s="8">
        <f t="shared" si="145"/>
        <v>0.35022962234994104</v>
      </c>
      <c r="M870" s="8">
        <f t="shared" si="146"/>
        <v>5.28E-2</v>
      </c>
      <c r="N870" s="8">
        <f t="shared" si="138"/>
        <v>6.7750000000000005E-2</v>
      </c>
      <c r="O870" s="296">
        <f t="shared" si="144"/>
        <v>0.29742962234994103</v>
      </c>
      <c r="P870" s="8">
        <f t="shared" si="139"/>
        <v>0.28247962234994106</v>
      </c>
      <c r="Q870" s="8">
        <f t="shared" si="140"/>
        <v>0.2425074998034793</v>
      </c>
      <c r="R870" s="8">
        <f t="shared" si="141"/>
        <v>7.1179000000000006E-2</v>
      </c>
      <c r="S870" s="296">
        <f t="shared" si="142"/>
        <v>0.17132849980347931</v>
      </c>
      <c r="U870" s="297"/>
      <c r="V870" s="297"/>
      <c r="W870" s="297"/>
      <c r="X870" s="297"/>
      <c r="Y870" s="297"/>
      <c r="Z870" s="297"/>
      <c r="AA870" s="297"/>
      <c r="AB870" s="297"/>
      <c r="AC870" s="297"/>
      <c r="AE870" s="297"/>
      <c r="AF870" s="297"/>
      <c r="AG870" s="297"/>
      <c r="AH870" s="297"/>
      <c r="AI870" s="297"/>
      <c r="AJ870" s="297"/>
      <c r="AK870" s="297"/>
      <c r="AL870" s="297"/>
      <c r="AM870" s="297"/>
      <c r="AO870" s="297"/>
      <c r="AP870" s="297"/>
      <c r="AQ870" s="297"/>
      <c r="AR870" s="297"/>
      <c r="AS870" s="297"/>
      <c r="AT870" s="297"/>
      <c r="AU870" s="297"/>
      <c r="AV870" s="297"/>
      <c r="AW870" s="297"/>
    </row>
    <row r="871" spans="1:49" x14ac:dyDescent="0.45">
      <c r="A871" s="295">
        <v>35855</v>
      </c>
      <c r="B871" s="12">
        <v>5.1200000000000002E-2</v>
      </c>
      <c r="C871" s="5">
        <v>6.4199999999999993E-2</v>
      </c>
      <c r="D871" s="5">
        <v>5.1999999999999998E-3</v>
      </c>
      <c r="E871" s="5">
        <v>5.5916666666666667E-3</v>
      </c>
      <c r="F871" s="5">
        <v>5.7749999999999998E-3</v>
      </c>
      <c r="G871" s="5">
        <v>5.6833333333333336E-3</v>
      </c>
      <c r="H871" s="5">
        <v>5.9681666666666668E-3</v>
      </c>
      <c r="I871" s="5">
        <f t="shared" si="143"/>
        <v>4.5999999999999999E-2</v>
      </c>
      <c r="J871" s="5">
        <f t="shared" si="147"/>
        <v>4.5516666666666671E-2</v>
      </c>
      <c r="K871" s="5">
        <f t="shared" si="148"/>
        <v>5.823183333333333E-2</v>
      </c>
      <c r="L871" s="8">
        <f t="shared" si="145"/>
        <v>0.4801974961041382</v>
      </c>
      <c r="M871" s="8">
        <f t="shared" si="146"/>
        <v>6.2399999999999997E-2</v>
      </c>
      <c r="N871" s="8">
        <f t="shared" si="138"/>
        <v>6.8200000000000011E-2</v>
      </c>
      <c r="O871" s="296">
        <f t="shared" si="144"/>
        <v>0.41779749610413819</v>
      </c>
      <c r="P871" s="8">
        <f t="shared" si="139"/>
        <v>0.41199749610413816</v>
      </c>
      <c r="Q871" s="8">
        <f t="shared" si="140"/>
        <v>0.36331217784396586</v>
      </c>
      <c r="R871" s="8">
        <f t="shared" si="141"/>
        <v>7.1618000000000001E-2</v>
      </c>
      <c r="S871" s="296">
        <f t="shared" si="142"/>
        <v>0.29169417784396584</v>
      </c>
      <c r="U871" s="297"/>
      <c r="V871" s="297"/>
      <c r="W871" s="297"/>
      <c r="X871" s="297"/>
      <c r="Y871" s="297"/>
      <c r="Z871" s="297"/>
      <c r="AA871" s="297"/>
      <c r="AB871" s="297"/>
      <c r="AC871" s="297"/>
      <c r="AE871" s="297"/>
      <c r="AF871" s="297"/>
      <c r="AG871" s="297"/>
      <c r="AH871" s="297"/>
      <c r="AI871" s="297"/>
      <c r="AJ871" s="297"/>
      <c r="AK871" s="297"/>
      <c r="AL871" s="297"/>
      <c r="AM871" s="297"/>
      <c r="AO871" s="297"/>
      <c r="AP871" s="297"/>
      <c r="AQ871" s="297"/>
      <c r="AR871" s="297"/>
      <c r="AS871" s="297"/>
      <c r="AT871" s="297"/>
      <c r="AU871" s="297"/>
      <c r="AV871" s="297"/>
      <c r="AW871" s="297"/>
    </row>
    <row r="872" spans="1:49" x14ac:dyDescent="0.45">
      <c r="A872" s="295">
        <v>35886</v>
      </c>
      <c r="B872" s="12">
        <v>1.01E-2</v>
      </c>
      <c r="C872" s="5">
        <v>-1.9300000000000001E-2</v>
      </c>
      <c r="D872" s="5">
        <v>4.8999999999999998E-3</v>
      </c>
      <c r="E872" s="5">
        <v>5.5750000000000001E-3</v>
      </c>
      <c r="F872" s="5">
        <v>5.7500000000000008E-3</v>
      </c>
      <c r="G872" s="5">
        <v>5.6625E-3</v>
      </c>
      <c r="H872" s="5">
        <v>5.9682500000000005E-3</v>
      </c>
      <c r="I872" s="5">
        <f t="shared" si="143"/>
        <v>5.1999999999999998E-3</v>
      </c>
      <c r="J872" s="5">
        <f t="shared" si="147"/>
        <v>4.4374999999999996E-3</v>
      </c>
      <c r="K872" s="5">
        <f t="shared" si="148"/>
        <v>-2.5268250000000003E-2</v>
      </c>
      <c r="L872" s="8">
        <f t="shared" si="145"/>
        <v>0.41091581656581044</v>
      </c>
      <c r="M872" s="8">
        <f t="shared" si="146"/>
        <v>5.8799999999999998E-2</v>
      </c>
      <c r="N872" s="8">
        <f t="shared" ref="N872:N935" si="149">G872*12</f>
        <v>6.7949999999999997E-2</v>
      </c>
      <c r="O872" s="296">
        <f t="shared" si="144"/>
        <v>0.35211581656581042</v>
      </c>
      <c r="P872" s="8">
        <f t="shared" ref="P872:P935" si="150">L872-N872</f>
        <v>0.34296581656581043</v>
      </c>
      <c r="Q872" s="8">
        <f t="shared" ref="Q872:Q935" si="151">((1+C861)*(1+C862)*(1+C863)*(1+C864)*(1+C865)*(1+C866)*(1+C867)*(1+C868)*(1+C869)*(1+C870)*(1+C871)*(1+C872))-1</f>
        <v>0.35736066275287071</v>
      </c>
      <c r="R872" s="8">
        <f t="shared" ref="R872:R935" si="152">H872*12</f>
        <v>7.1619000000000002E-2</v>
      </c>
      <c r="S872" s="296">
        <f t="shared" ref="S872:S935" si="153">Q872-R872</f>
        <v>0.28574166275287072</v>
      </c>
      <c r="U872" s="297"/>
      <c r="V872" s="297"/>
      <c r="W872" s="297"/>
      <c r="X872" s="297"/>
      <c r="Y872" s="297"/>
      <c r="Z872" s="297"/>
      <c r="AA872" s="297"/>
      <c r="AB872" s="297"/>
      <c r="AC872" s="297"/>
      <c r="AE872" s="297"/>
      <c r="AF872" s="297"/>
      <c r="AG872" s="297"/>
      <c r="AH872" s="297"/>
      <c r="AI872" s="297"/>
      <c r="AJ872" s="297"/>
      <c r="AK872" s="297"/>
      <c r="AL872" s="297"/>
      <c r="AM872" s="297"/>
      <c r="AO872" s="297"/>
      <c r="AP872" s="297"/>
      <c r="AQ872" s="297"/>
      <c r="AR872" s="297"/>
      <c r="AS872" s="297"/>
      <c r="AT872" s="297"/>
      <c r="AU872" s="297"/>
      <c r="AV872" s="297"/>
      <c r="AW872" s="297"/>
    </row>
    <row r="873" spans="1:49" x14ac:dyDescent="0.45">
      <c r="A873" s="295">
        <v>35916</v>
      </c>
      <c r="B873" s="12">
        <v>-1.72E-2</v>
      </c>
      <c r="C873" s="5">
        <v>-5.0000000000000001E-3</v>
      </c>
      <c r="D873" s="5">
        <v>4.7999999999999996E-3</v>
      </c>
      <c r="E873" s="5">
        <v>5.5750000000000001E-3</v>
      </c>
      <c r="F873" s="5">
        <v>5.7583333333333332E-3</v>
      </c>
      <c r="G873" s="5">
        <v>5.6666666666666662E-3</v>
      </c>
      <c r="H873" s="5">
        <v>5.9691666666666669E-3</v>
      </c>
      <c r="I873" s="5">
        <f t="shared" si="143"/>
        <v>-2.1999999999999999E-2</v>
      </c>
      <c r="J873" s="5">
        <f t="shared" si="147"/>
        <v>-2.2866666666666667E-2</v>
      </c>
      <c r="K873" s="5">
        <f t="shared" si="148"/>
        <v>-1.0969166666666667E-2</v>
      </c>
      <c r="L873" s="8">
        <f t="shared" si="145"/>
        <v>0.30704879302561916</v>
      </c>
      <c r="M873" s="8">
        <f t="shared" si="146"/>
        <v>5.7599999999999998E-2</v>
      </c>
      <c r="N873" s="8">
        <f t="shared" si="149"/>
        <v>6.7999999999999991E-2</v>
      </c>
      <c r="O873" s="296">
        <f t="shared" si="144"/>
        <v>0.24944879302561918</v>
      </c>
      <c r="P873" s="8">
        <f t="shared" si="150"/>
        <v>0.23904879302561916</v>
      </c>
      <c r="Q873" s="8">
        <f t="shared" si="151"/>
        <v>0.29576308110822813</v>
      </c>
      <c r="R873" s="8">
        <f t="shared" si="152"/>
        <v>7.1629999999999999E-2</v>
      </c>
      <c r="S873" s="296">
        <f t="shared" si="153"/>
        <v>0.22413308110822813</v>
      </c>
      <c r="U873" s="297"/>
      <c r="V873" s="297"/>
      <c r="W873" s="297"/>
      <c r="X873" s="297"/>
      <c r="Y873" s="297"/>
      <c r="Z873" s="297"/>
      <c r="AA873" s="297"/>
      <c r="AB873" s="297"/>
      <c r="AC873" s="297"/>
      <c r="AE873" s="297"/>
      <c r="AF873" s="297"/>
      <c r="AG873" s="297"/>
      <c r="AH873" s="297"/>
      <c r="AI873" s="297"/>
      <c r="AJ873" s="297"/>
      <c r="AK873" s="297"/>
      <c r="AL873" s="297"/>
      <c r="AM873" s="297"/>
      <c r="AO873" s="297"/>
      <c r="AP873" s="297"/>
      <c r="AQ873" s="297"/>
      <c r="AR873" s="297"/>
      <c r="AS873" s="297"/>
      <c r="AT873" s="297"/>
      <c r="AU873" s="297"/>
      <c r="AV873" s="297"/>
      <c r="AW873" s="297"/>
    </row>
    <row r="874" spans="1:49" x14ac:dyDescent="0.45">
      <c r="A874" s="295">
        <v>35947</v>
      </c>
      <c r="B874" s="12">
        <v>4.0599999999999997E-2</v>
      </c>
      <c r="C874" s="5">
        <v>3.6900000000000002E-2</v>
      </c>
      <c r="D874" s="5">
        <v>5.1999999999999998E-3</v>
      </c>
      <c r="E874" s="5">
        <v>5.4416666666666667E-3</v>
      </c>
      <c r="F874" s="5">
        <v>5.6500000000000005E-3</v>
      </c>
      <c r="G874" s="5">
        <v>5.545833333333334E-3</v>
      </c>
      <c r="H874" s="5">
        <v>5.8636666666666672E-3</v>
      </c>
      <c r="I874" s="5">
        <f t="shared" si="143"/>
        <v>3.5400000000000001E-2</v>
      </c>
      <c r="J874" s="5">
        <f t="shared" si="147"/>
        <v>3.5054166666666664E-2</v>
      </c>
      <c r="K874" s="5">
        <f t="shared" si="148"/>
        <v>3.1036333333333336E-2</v>
      </c>
      <c r="L874" s="8">
        <f t="shared" si="145"/>
        <v>0.30179457697402223</v>
      </c>
      <c r="M874" s="8">
        <f t="shared" si="146"/>
        <v>6.2399999999999997E-2</v>
      </c>
      <c r="N874" s="8">
        <f t="shared" si="149"/>
        <v>6.6550000000000012E-2</v>
      </c>
      <c r="O874" s="296">
        <f t="shared" si="144"/>
        <v>0.23939457697402222</v>
      </c>
      <c r="P874" s="8">
        <f t="shared" si="150"/>
        <v>0.23524457697402223</v>
      </c>
      <c r="Q874" s="8">
        <f t="shared" si="151"/>
        <v>0.30267281248896793</v>
      </c>
      <c r="R874" s="8">
        <f t="shared" si="152"/>
        <v>7.036400000000001E-2</v>
      </c>
      <c r="S874" s="296">
        <f t="shared" si="153"/>
        <v>0.23230881248896793</v>
      </c>
      <c r="U874" s="297"/>
      <c r="V874" s="297"/>
      <c r="W874" s="297"/>
      <c r="X874" s="297"/>
      <c r="Y874" s="297"/>
      <c r="Z874" s="297"/>
      <c r="AA874" s="297"/>
      <c r="AB874" s="297"/>
      <c r="AC874" s="297"/>
      <c r="AE874" s="297"/>
      <c r="AF874" s="297"/>
      <c r="AG874" s="297"/>
      <c r="AH874" s="297"/>
      <c r="AI874" s="297"/>
      <c r="AJ874" s="297"/>
      <c r="AK874" s="297"/>
      <c r="AL874" s="297"/>
      <c r="AM874" s="297"/>
      <c r="AO874" s="297"/>
      <c r="AP874" s="297"/>
      <c r="AQ874" s="297"/>
      <c r="AR874" s="297"/>
      <c r="AS874" s="297"/>
      <c r="AT874" s="297"/>
      <c r="AU874" s="297"/>
      <c r="AV874" s="297"/>
      <c r="AW874" s="297"/>
    </row>
    <row r="875" spans="1:49" x14ac:dyDescent="0.45">
      <c r="A875" s="295">
        <v>35977</v>
      </c>
      <c r="B875" s="12">
        <v>-1.06E-2</v>
      </c>
      <c r="C875" s="5">
        <v>-4.9299999999999997E-2</v>
      </c>
      <c r="D875" s="5">
        <v>4.8999999999999998E-3</v>
      </c>
      <c r="E875" s="5">
        <v>5.4583333333333324E-3</v>
      </c>
      <c r="F875" s="5">
        <v>5.6500000000000005E-3</v>
      </c>
      <c r="G875" s="5">
        <v>5.5541666666666665E-3</v>
      </c>
      <c r="H875" s="5">
        <v>5.8534166666666665E-3</v>
      </c>
      <c r="I875" s="5">
        <f t="shared" si="143"/>
        <v>-1.55E-2</v>
      </c>
      <c r="J875" s="5">
        <f t="shared" si="147"/>
        <v>-1.6154166666666667E-2</v>
      </c>
      <c r="K875" s="5">
        <f t="shared" si="148"/>
        <v>-5.5153416666666663E-2</v>
      </c>
      <c r="L875" s="8">
        <f t="shared" si="145"/>
        <v>0.19303033943877201</v>
      </c>
      <c r="M875" s="8">
        <f t="shared" si="146"/>
        <v>5.8799999999999998E-2</v>
      </c>
      <c r="N875" s="8">
        <f t="shared" si="149"/>
        <v>6.6650000000000001E-2</v>
      </c>
      <c r="O875" s="296">
        <f t="shared" si="144"/>
        <v>0.13423033943877202</v>
      </c>
      <c r="P875" s="8">
        <f t="shared" si="150"/>
        <v>0.12638033943877203</v>
      </c>
      <c r="Q875" s="8">
        <f t="shared" si="151"/>
        <v>0.21060707999341299</v>
      </c>
      <c r="R875" s="8">
        <f t="shared" si="152"/>
        <v>7.0240999999999998E-2</v>
      </c>
      <c r="S875" s="296">
        <f t="shared" si="153"/>
        <v>0.140366079993413</v>
      </c>
      <c r="U875" s="297"/>
      <c r="V875" s="297"/>
      <c r="W875" s="297"/>
      <c r="X875" s="297"/>
      <c r="Y875" s="297"/>
      <c r="Z875" s="297"/>
      <c r="AA875" s="297"/>
      <c r="AB875" s="297"/>
      <c r="AC875" s="297"/>
      <c r="AE875" s="297"/>
      <c r="AF875" s="297"/>
      <c r="AG875" s="297"/>
      <c r="AH875" s="297"/>
      <c r="AI875" s="297"/>
      <c r="AJ875" s="297"/>
      <c r="AK875" s="297"/>
      <c r="AL875" s="297"/>
      <c r="AM875" s="297"/>
      <c r="AO875" s="297"/>
      <c r="AP875" s="297"/>
      <c r="AQ875" s="297"/>
      <c r="AR875" s="297"/>
      <c r="AS875" s="297"/>
      <c r="AT875" s="297"/>
      <c r="AU875" s="297"/>
      <c r="AV875" s="297"/>
      <c r="AW875" s="297"/>
    </row>
    <row r="876" spans="1:49" x14ac:dyDescent="0.45">
      <c r="A876" s="295">
        <v>36008</v>
      </c>
      <c r="B876" s="12">
        <v>-0.14460000000000001</v>
      </c>
      <c r="C876" s="5">
        <v>1.61E-2</v>
      </c>
      <c r="D876" s="5">
        <v>4.7999999999999996E-3</v>
      </c>
      <c r="E876" s="5">
        <v>5.4333333333333334E-3</v>
      </c>
      <c r="F876" s="5">
        <v>5.6416666666666664E-3</v>
      </c>
      <c r="G876" s="5">
        <v>5.5374999999999999E-3</v>
      </c>
      <c r="H876" s="5">
        <v>5.8349166666666662E-3</v>
      </c>
      <c r="I876" s="5">
        <f t="shared" si="143"/>
        <v>-0.14940000000000001</v>
      </c>
      <c r="J876" s="5">
        <f t="shared" si="147"/>
        <v>-0.15013750000000001</v>
      </c>
      <c r="K876" s="5">
        <f t="shared" si="148"/>
        <v>1.0265083333333334E-2</v>
      </c>
      <c r="L876" s="8">
        <f t="shared" si="145"/>
        <v>8.1057364783819308E-2</v>
      </c>
      <c r="M876" s="8">
        <f t="shared" si="146"/>
        <v>5.7599999999999998E-2</v>
      </c>
      <c r="N876" s="8">
        <f t="shared" si="149"/>
        <v>6.6449999999999995E-2</v>
      </c>
      <c r="O876" s="296">
        <f t="shared" si="144"/>
        <v>2.3457364783819309E-2</v>
      </c>
      <c r="P876" s="8">
        <f t="shared" si="150"/>
        <v>1.4607364783819313E-2</v>
      </c>
      <c r="Q876" s="8">
        <f t="shared" si="151"/>
        <v>0.25302827134695627</v>
      </c>
      <c r="R876" s="8">
        <f t="shared" si="152"/>
        <v>7.0018999999999998E-2</v>
      </c>
      <c r="S876" s="296">
        <f t="shared" si="153"/>
        <v>0.18300927134695627</v>
      </c>
      <c r="U876" s="297"/>
      <c r="V876" s="297"/>
      <c r="W876" s="297"/>
      <c r="X876" s="297"/>
      <c r="Y876" s="297"/>
      <c r="Z876" s="297"/>
      <c r="AA876" s="297"/>
      <c r="AB876" s="297"/>
      <c r="AC876" s="297"/>
      <c r="AE876" s="297"/>
      <c r="AF876" s="297"/>
      <c r="AG876" s="297"/>
      <c r="AH876" s="297"/>
      <c r="AI876" s="297"/>
      <c r="AJ876" s="297"/>
      <c r="AK876" s="297"/>
      <c r="AL876" s="297"/>
      <c r="AM876" s="297"/>
      <c r="AO876" s="297"/>
      <c r="AP876" s="297"/>
      <c r="AQ876" s="297"/>
      <c r="AR876" s="297"/>
      <c r="AS876" s="297"/>
      <c r="AT876" s="297"/>
      <c r="AU876" s="297"/>
      <c r="AV876" s="297"/>
      <c r="AW876" s="297"/>
    </row>
    <row r="877" spans="1:49" x14ac:dyDescent="0.45">
      <c r="A877" s="295">
        <v>36039</v>
      </c>
      <c r="B877" s="12">
        <v>6.4100000000000004E-2</v>
      </c>
      <c r="C877" s="5">
        <v>8.3499999999999991E-2</v>
      </c>
      <c r="D877" s="5">
        <v>4.4000000000000003E-3</v>
      </c>
      <c r="E877" s="5">
        <v>5.3333333333333332E-3</v>
      </c>
      <c r="F877" s="5">
        <v>5.5666666666666668E-3</v>
      </c>
      <c r="G877" s="5">
        <v>5.4499999999999991E-3</v>
      </c>
      <c r="H877" s="5">
        <v>5.780166666666667E-3</v>
      </c>
      <c r="I877" s="5">
        <f t="shared" si="143"/>
        <v>5.9700000000000003E-2</v>
      </c>
      <c r="J877" s="5">
        <f t="shared" si="147"/>
        <v>5.8650000000000008E-2</v>
      </c>
      <c r="K877" s="5">
        <f t="shared" si="148"/>
        <v>7.7719833333333321E-2</v>
      </c>
      <c r="L877" s="8">
        <f t="shared" si="145"/>
        <v>9.0588871697442341E-2</v>
      </c>
      <c r="M877" s="8">
        <f t="shared" si="146"/>
        <v>5.28E-2</v>
      </c>
      <c r="N877" s="8">
        <f t="shared" si="149"/>
        <v>6.5399999999999986E-2</v>
      </c>
      <c r="O877" s="296">
        <f t="shared" si="144"/>
        <v>3.7788871697442342E-2</v>
      </c>
      <c r="P877" s="8">
        <f t="shared" si="150"/>
        <v>2.5188871697442355E-2</v>
      </c>
      <c r="Q877" s="8">
        <f t="shared" si="151"/>
        <v>0.30130943353247108</v>
      </c>
      <c r="R877" s="8">
        <f t="shared" si="152"/>
        <v>6.9362000000000007E-2</v>
      </c>
      <c r="S877" s="296">
        <f t="shared" si="153"/>
        <v>0.23194743353247108</v>
      </c>
      <c r="U877" s="297"/>
      <c r="V877" s="297"/>
      <c r="W877" s="297"/>
      <c r="X877" s="297"/>
      <c r="Y877" s="297"/>
      <c r="Z877" s="297"/>
      <c r="AA877" s="297"/>
      <c r="AB877" s="297"/>
      <c r="AC877" s="297"/>
      <c r="AE877" s="297"/>
      <c r="AF877" s="297"/>
      <c r="AG877" s="297"/>
      <c r="AH877" s="297"/>
      <c r="AI877" s="297"/>
      <c r="AJ877" s="297"/>
      <c r="AK877" s="297"/>
      <c r="AL877" s="297"/>
      <c r="AM877" s="297"/>
      <c r="AO877" s="297"/>
      <c r="AP877" s="297"/>
      <c r="AQ877" s="297"/>
      <c r="AR877" s="297"/>
      <c r="AS877" s="297"/>
      <c r="AT877" s="297"/>
      <c r="AU877" s="297"/>
      <c r="AV877" s="297"/>
      <c r="AW877" s="297"/>
    </row>
    <row r="878" spans="1:49" x14ac:dyDescent="0.45">
      <c r="A878" s="295">
        <v>36069</v>
      </c>
      <c r="B878" s="12">
        <v>8.1299999999999997E-2</v>
      </c>
      <c r="C878" s="5">
        <v>-1.66E-2</v>
      </c>
      <c r="D878" s="5">
        <v>4.1999999999999997E-3</v>
      </c>
      <c r="E878" s="5">
        <v>5.3083333333333342E-3</v>
      </c>
      <c r="F878" s="5">
        <v>5.5833333333333334E-3</v>
      </c>
      <c r="G878" s="5">
        <v>5.4458333333333338E-3</v>
      </c>
      <c r="H878" s="5">
        <v>5.7962499999999993E-3</v>
      </c>
      <c r="I878" s="5">
        <f t="shared" si="143"/>
        <v>7.7100000000000002E-2</v>
      </c>
      <c r="J878" s="5">
        <f t="shared" si="147"/>
        <v>7.5854166666666667E-2</v>
      </c>
      <c r="K878" s="5">
        <f t="shared" si="148"/>
        <v>-2.2396249999999999E-2</v>
      </c>
      <c r="L878" s="8">
        <f t="shared" si="145"/>
        <v>0.22000180733130992</v>
      </c>
      <c r="M878" s="8">
        <f t="shared" si="146"/>
        <v>5.04E-2</v>
      </c>
      <c r="N878" s="8">
        <f t="shared" si="149"/>
        <v>6.5350000000000005E-2</v>
      </c>
      <c r="O878" s="296">
        <f t="shared" si="144"/>
        <v>0.16960180733130992</v>
      </c>
      <c r="P878" s="8">
        <f t="shared" si="150"/>
        <v>0.1546518073313099</v>
      </c>
      <c r="Q878" s="8">
        <f t="shared" si="151"/>
        <v>0.26728827187149151</v>
      </c>
      <c r="R878" s="8">
        <f t="shared" si="152"/>
        <v>6.9554999999999992E-2</v>
      </c>
      <c r="S878" s="296">
        <f t="shared" si="153"/>
        <v>0.19773327187149153</v>
      </c>
      <c r="U878" s="297"/>
      <c r="V878" s="297"/>
      <c r="W878" s="297"/>
      <c r="X878" s="297"/>
      <c r="Y878" s="297"/>
      <c r="Z878" s="297"/>
      <c r="AA878" s="297"/>
      <c r="AB878" s="297"/>
      <c r="AC878" s="297"/>
      <c r="AE878" s="297"/>
      <c r="AF878" s="297"/>
      <c r="AG878" s="297"/>
      <c r="AH878" s="297"/>
      <c r="AI878" s="297"/>
      <c r="AJ878" s="297"/>
      <c r="AK878" s="297"/>
      <c r="AL878" s="297"/>
      <c r="AM878" s="297"/>
      <c r="AO878" s="297"/>
      <c r="AP878" s="297"/>
      <c r="AQ878" s="297"/>
      <c r="AR878" s="297"/>
      <c r="AS878" s="297"/>
      <c r="AT878" s="297"/>
      <c r="AU878" s="297"/>
      <c r="AV878" s="297"/>
      <c r="AW878" s="297"/>
    </row>
    <row r="879" spans="1:49" x14ac:dyDescent="0.45">
      <c r="A879" s="295">
        <v>36100</v>
      </c>
      <c r="B879" s="12">
        <v>6.0600000000000001E-2</v>
      </c>
      <c r="C879" s="5">
        <v>1.3399999999999999E-2</v>
      </c>
      <c r="D879" s="5">
        <v>4.4999999999999997E-3</v>
      </c>
      <c r="E879" s="5">
        <v>5.3416666666666664E-3</v>
      </c>
      <c r="F879" s="5">
        <v>5.6583333333333329E-3</v>
      </c>
      <c r="G879" s="5">
        <v>5.5000000000000005E-3</v>
      </c>
      <c r="H879" s="5">
        <v>5.8635833333333335E-3</v>
      </c>
      <c r="I879" s="5">
        <f t="shared" si="143"/>
        <v>5.6100000000000004E-2</v>
      </c>
      <c r="J879" s="5">
        <f t="shared" si="147"/>
        <v>5.5100000000000003E-2</v>
      </c>
      <c r="K879" s="5">
        <f t="shared" si="148"/>
        <v>7.5364166666666652E-3</v>
      </c>
      <c r="L879" s="8">
        <f t="shared" si="145"/>
        <v>0.2366758261068409</v>
      </c>
      <c r="M879" s="8">
        <f t="shared" si="146"/>
        <v>5.3999999999999992E-2</v>
      </c>
      <c r="N879" s="8">
        <f t="shared" si="149"/>
        <v>6.6000000000000003E-2</v>
      </c>
      <c r="O879" s="296">
        <f t="shared" si="144"/>
        <v>0.18267582610684091</v>
      </c>
      <c r="P879" s="8">
        <f t="shared" si="150"/>
        <v>0.1706758261068409</v>
      </c>
      <c r="Q879" s="8">
        <f t="shared" si="151"/>
        <v>0.19946757701930484</v>
      </c>
      <c r="R879" s="8">
        <f t="shared" si="152"/>
        <v>7.0363000000000009E-2</v>
      </c>
      <c r="S879" s="296">
        <f t="shared" si="153"/>
        <v>0.12910457701930483</v>
      </c>
      <c r="U879" s="297"/>
      <c r="V879" s="297"/>
      <c r="W879" s="297"/>
      <c r="X879" s="297"/>
      <c r="Y879" s="297"/>
      <c r="Z879" s="297"/>
      <c r="AA879" s="297"/>
      <c r="AB879" s="297"/>
      <c r="AC879" s="297"/>
      <c r="AE879" s="297"/>
      <c r="AF879" s="297"/>
      <c r="AG879" s="297"/>
      <c r="AH879" s="297"/>
      <c r="AI879" s="297"/>
      <c r="AJ879" s="297"/>
      <c r="AK879" s="297"/>
      <c r="AL879" s="297"/>
      <c r="AM879" s="297"/>
      <c r="AO879" s="297"/>
      <c r="AP879" s="297"/>
      <c r="AQ879" s="297"/>
      <c r="AR879" s="297"/>
      <c r="AS879" s="297"/>
      <c r="AT879" s="297"/>
      <c r="AU879" s="297"/>
      <c r="AV879" s="297"/>
      <c r="AW879" s="297"/>
    </row>
    <row r="880" spans="1:49" x14ac:dyDescent="0.45">
      <c r="A880" s="295">
        <v>36130</v>
      </c>
      <c r="B880" s="12">
        <v>5.7599999999999998E-2</v>
      </c>
      <c r="C880" s="5">
        <v>2.9500000000000002E-2</v>
      </c>
      <c r="D880" s="5">
        <v>4.4999999999999997E-3</v>
      </c>
      <c r="E880" s="5">
        <v>5.1833333333333332E-3</v>
      </c>
      <c r="F880" s="5">
        <v>5.541666666666667E-3</v>
      </c>
      <c r="G880" s="5">
        <v>5.3625000000000001E-3</v>
      </c>
      <c r="H880" s="5">
        <v>5.7568333333333334E-3</v>
      </c>
      <c r="I880" s="5">
        <f t="shared" si="143"/>
        <v>5.3100000000000001E-2</v>
      </c>
      <c r="J880" s="5">
        <f t="shared" si="147"/>
        <v>5.2237499999999999E-2</v>
      </c>
      <c r="K880" s="5">
        <f t="shared" si="148"/>
        <v>2.3743166666666669E-2</v>
      </c>
      <c r="L880" s="8">
        <f t="shared" si="145"/>
        <v>0.28579271892508329</v>
      </c>
      <c r="M880" s="8">
        <f t="shared" si="146"/>
        <v>5.3999999999999992E-2</v>
      </c>
      <c r="N880" s="8">
        <f t="shared" si="149"/>
        <v>6.4350000000000004E-2</v>
      </c>
      <c r="O880" s="296">
        <f t="shared" si="144"/>
        <v>0.2317927189250833</v>
      </c>
      <c r="P880" s="8">
        <f t="shared" si="150"/>
        <v>0.22144271892508327</v>
      </c>
      <c r="Q880" s="8">
        <f t="shared" si="151"/>
        <v>0.14848574269101045</v>
      </c>
      <c r="R880" s="8">
        <f t="shared" si="152"/>
        <v>6.9082000000000005E-2</v>
      </c>
      <c r="S880" s="296">
        <f t="shared" si="153"/>
        <v>7.9403742691010443E-2</v>
      </c>
      <c r="U880" s="297"/>
      <c r="V880" s="297"/>
      <c r="W880" s="297"/>
      <c r="X880" s="297"/>
      <c r="Y880" s="297"/>
      <c r="Z880" s="297"/>
      <c r="AA880" s="297"/>
      <c r="AB880" s="297"/>
      <c r="AC880" s="297"/>
      <c r="AE880" s="297"/>
      <c r="AF880" s="297"/>
      <c r="AG880" s="297"/>
      <c r="AH880" s="297"/>
      <c r="AI880" s="297"/>
      <c r="AJ880" s="297"/>
      <c r="AK880" s="297"/>
      <c r="AL880" s="297"/>
      <c r="AM880" s="297"/>
      <c r="AO880" s="297"/>
      <c r="AP880" s="297"/>
      <c r="AQ880" s="297"/>
      <c r="AR880" s="297"/>
      <c r="AS880" s="297"/>
      <c r="AT880" s="297"/>
      <c r="AU880" s="297"/>
      <c r="AV880" s="297"/>
      <c r="AW880" s="297"/>
    </row>
    <row r="881" spans="1:49" x14ac:dyDescent="0.45">
      <c r="A881" s="295">
        <v>36161</v>
      </c>
      <c r="B881" s="12">
        <v>4.1799999999999997E-2</v>
      </c>
      <c r="C881" s="5">
        <v>-4.5100000000000001E-2</v>
      </c>
      <c r="D881" s="5">
        <v>4.1999999999999997E-3</v>
      </c>
      <c r="E881" s="5">
        <v>5.1999999999999998E-3</v>
      </c>
      <c r="F881" s="5">
        <v>5.5666666666666668E-3</v>
      </c>
      <c r="G881" s="5">
        <v>5.3833333333333337E-3</v>
      </c>
      <c r="H881" s="5">
        <v>5.8083333333333329E-3</v>
      </c>
      <c r="I881" s="5">
        <f t="shared" si="143"/>
        <v>3.7599999999999995E-2</v>
      </c>
      <c r="J881" s="5">
        <f t="shared" si="147"/>
        <v>3.6416666666666667E-2</v>
      </c>
      <c r="K881" s="5">
        <f t="shared" si="148"/>
        <v>-5.0908333333333333E-2</v>
      </c>
      <c r="L881" s="8">
        <f t="shared" si="145"/>
        <v>0.32483320598966614</v>
      </c>
      <c r="M881" s="8">
        <f t="shared" si="146"/>
        <v>5.04E-2</v>
      </c>
      <c r="N881" s="8">
        <f t="shared" si="149"/>
        <v>6.4600000000000005E-2</v>
      </c>
      <c r="O881" s="296">
        <f t="shared" si="144"/>
        <v>0.27443320598966614</v>
      </c>
      <c r="P881" s="8">
        <f t="shared" si="150"/>
        <v>0.26023320598966615</v>
      </c>
      <c r="Q881" s="8">
        <f t="shared" si="151"/>
        <v>0.1417897300319062</v>
      </c>
      <c r="R881" s="8">
        <f t="shared" si="152"/>
        <v>6.9699999999999998E-2</v>
      </c>
      <c r="S881" s="296">
        <f t="shared" si="153"/>
        <v>7.2089730031906205E-2</v>
      </c>
      <c r="U881" s="297"/>
      <c r="V881" s="297"/>
      <c r="W881" s="297"/>
      <c r="X881" s="297"/>
      <c r="Y881" s="297"/>
      <c r="Z881" s="297"/>
      <c r="AA881" s="297"/>
      <c r="AB881" s="297"/>
      <c r="AC881" s="297"/>
      <c r="AE881" s="297"/>
      <c r="AF881" s="297"/>
      <c r="AG881" s="297"/>
      <c r="AH881" s="297"/>
      <c r="AI881" s="297"/>
      <c r="AJ881" s="297"/>
      <c r="AK881" s="297"/>
      <c r="AL881" s="297"/>
      <c r="AM881" s="297"/>
      <c r="AO881" s="297"/>
      <c r="AP881" s="297"/>
      <c r="AQ881" s="297"/>
      <c r="AR881" s="297"/>
      <c r="AS881" s="297"/>
      <c r="AT881" s="297"/>
      <c r="AU881" s="297"/>
      <c r="AV881" s="297"/>
      <c r="AW881" s="297"/>
    </row>
    <row r="882" spans="1:49" x14ac:dyDescent="0.45">
      <c r="A882" s="295">
        <v>36192</v>
      </c>
      <c r="B882" s="12">
        <v>-3.1099999999999999E-2</v>
      </c>
      <c r="C882" s="5">
        <v>-3.6400000000000002E-2</v>
      </c>
      <c r="D882" s="5">
        <v>4.0000000000000001E-3</v>
      </c>
      <c r="E882" s="5">
        <v>5.3333333333333332E-3</v>
      </c>
      <c r="F882" s="5">
        <v>5.6583333333333329E-3</v>
      </c>
      <c r="G882" s="5">
        <v>5.4958333333333335E-3</v>
      </c>
      <c r="H882" s="5">
        <v>5.8964999999999998E-3</v>
      </c>
      <c r="I882" s="5">
        <f t="shared" si="143"/>
        <v>-3.5099999999999999E-2</v>
      </c>
      <c r="J882" s="5">
        <f t="shared" si="147"/>
        <v>-3.6595833333333334E-2</v>
      </c>
      <c r="K882" s="5">
        <f t="shared" si="148"/>
        <v>-4.2296500000000001E-2</v>
      </c>
      <c r="L882" s="8">
        <f t="shared" si="145"/>
        <v>0.19730518914596384</v>
      </c>
      <c r="M882" s="8">
        <f t="shared" si="146"/>
        <v>4.8000000000000001E-2</v>
      </c>
      <c r="N882" s="8">
        <f t="shared" si="149"/>
        <v>6.5950000000000009E-2</v>
      </c>
      <c r="O882" s="296">
        <f t="shared" si="144"/>
        <v>0.14930518914596386</v>
      </c>
      <c r="P882" s="8">
        <f t="shared" si="150"/>
        <v>0.13135518914596384</v>
      </c>
      <c r="Q882" s="8">
        <f t="shared" si="151"/>
        <v>6.3947958474755984E-2</v>
      </c>
      <c r="R882" s="8">
        <f t="shared" si="152"/>
        <v>7.0758000000000001E-2</v>
      </c>
      <c r="S882" s="296">
        <f t="shared" si="153"/>
        <v>-6.8100415252440177E-3</v>
      </c>
      <c r="U882" s="297"/>
      <c r="V882" s="297"/>
      <c r="W882" s="297"/>
      <c r="X882" s="297"/>
      <c r="Y882" s="297"/>
      <c r="Z882" s="297"/>
      <c r="AA882" s="297"/>
      <c r="AB882" s="297"/>
      <c r="AC882" s="297"/>
      <c r="AE882" s="297"/>
      <c r="AF882" s="297"/>
      <c r="AG882" s="297"/>
      <c r="AH882" s="297"/>
      <c r="AI882" s="297"/>
      <c r="AJ882" s="297"/>
      <c r="AK882" s="297"/>
      <c r="AL882" s="297"/>
      <c r="AM882" s="297"/>
      <c r="AO882" s="297"/>
      <c r="AP882" s="297"/>
      <c r="AQ882" s="297"/>
      <c r="AR882" s="297"/>
      <c r="AS882" s="297"/>
      <c r="AT882" s="297"/>
      <c r="AU882" s="297"/>
      <c r="AV882" s="297"/>
      <c r="AW882" s="297"/>
    </row>
    <row r="883" spans="1:49" x14ac:dyDescent="0.45">
      <c r="A883" s="295">
        <v>36220</v>
      </c>
      <c r="B883" s="12">
        <v>0.04</v>
      </c>
      <c r="C883" s="5">
        <v>-1.4800000000000001E-2</v>
      </c>
      <c r="D883" s="5">
        <v>5.3E-3</v>
      </c>
      <c r="E883" s="5">
        <v>5.5166666666666662E-3</v>
      </c>
      <c r="F883" s="5">
        <v>5.816666666666667E-3</v>
      </c>
      <c r="G883" s="5">
        <v>5.6666666666666662E-3</v>
      </c>
      <c r="H883" s="5">
        <v>6.0460000000000002E-3</v>
      </c>
      <c r="I883" s="5">
        <f t="shared" si="143"/>
        <v>3.4700000000000002E-2</v>
      </c>
      <c r="J883" s="5">
        <f t="shared" si="147"/>
        <v>3.4333333333333334E-2</v>
      </c>
      <c r="K883" s="5">
        <f t="shared" si="148"/>
        <v>-2.0846E-2</v>
      </c>
      <c r="L883" s="8">
        <f t="shared" si="145"/>
        <v>0.18454851285369367</v>
      </c>
      <c r="M883" s="8">
        <f t="shared" si="146"/>
        <v>6.3600000000000004E-2</v>
      </c>
      <c r="N883" s="8">
        <f t="shared" si="149"/>
        <v>6.7999999999999991E-2</v>
      </c>
      <c r="O883" s="296">
        <f t="shared" si="144"/>
        <v>0.12094851285369367</v>
      </c>
      <c r="P883" s="8">
        <f t="shared" si="150"/>
        <v>0.11654851285369368</v>
      </c>
      <c r="Q883" s="8">
        <f t="shared" si="151"/>
        <v>-1.5033331432691921E-2</v>
      </c>
      <c r="R883" s="8">
        <f t="shared" si="152"/>
        <v>7.2552000000000005E-2</v>
      </c>
      <c r="S883" s="296">
        <f t="shared" si="153"/>
        <v>-8.7585331432691926E-2</v>
      </c>
      <c r="U883" s="297"/>
      <c r="V883" s="297"/>
      <c r="W883" s="297"/>
      <c r="X883" s="297"/>
      <c r="Y883" s="297"/>
      <c r="Z883" s="297"/>
      <c r="AA883" s="297"/>
      <c r="AB883" s="297"/>
      <c r="AC883" s="297"/>
      <c r="AE883" s="297"/>
      <c r="AF883" s="297"/>
      <c r="AG883" s="297"/>
      <c r="AH883" s="297"/>
      <c r="AI883" s="297"/>
      <c r="AJ883" s="297"/>
      <c r="AK883" s="297"/>
      <c r="AL883" s="297"/>
      <c r="AM883" s="297"/>
      <c r="AO883" s="297"/>
      <c r="AP883" s="297"/>
      <c r="AQ883" s="297"/>
      <c r="AR883" s="297"/>
      <c r="AS883" s="297"/>
      <c r="AT883" s="297"/>
      <c r="AU883" s="297"/>
      <c r="AV883" s="297"/>
      <c r="AW883" s="297"/>
    </row>
    <row r="884" spans="1:49" x14ac:dyDescent="0.45">
      <c r="A884" s="295">
        <v>36251</v>
      </c>
      <c r="B884" s="12">
        <v>3.8699999999999998E-2</v>
      </c>
      <c r="C884" s="5">
        <v>8.8399999999999992E-2</v>
      </c>
      <c r="D884" s="5">
        <v>4.7999999999999996E-3</v>
      </c>
      <c r="E884" s="5">
        <v>5.5333333333333337E-3</v>
      </c>
      <c r="F884" s="5">
        <v>5.7999999999999996E-3</v>
      </c>
      <c r="G884" s="5">
        <v>5.6666666666666662E-3</v>
      </c>
      <c r="H884" s="5">
        <v>6.0119166666666671E-3</v>
      </c>
      <c r="I884" s="5">
        <f t="shared" si="143"/>
        <v>3.39E-2</v>
      </c>
      <c r="J884" s="5">
        <f t="shared" si="147"/>
        <v>3.3033333333333331E-2</v>
      </c>
      <c r="K884" s="5">
        <f t="shared" si="148"/>
        <v>8.238808333333332E-2</v>
      </c>
      <c r="L884" s="8">
        <f t="shared" si="145"/>
        <v>0.21808785298597266</v>
      </c>
      <c r="M884" s="8">
        <f t="shared" si="146"/>
        <v>5.7599999999999998E-2</v>
      </c>
      <c r="N884" s="8">
        <f t="shared" si="149"/>
        <v>6.7999999999999991E-2</v>
      </c>
      <c r="O884" s="296">
        <f t="shared" si="144"/>
        <v>0.16048785298597268</v>
      </c>
      <c r="P884" s="8">
        <f t="shared" si="150"/>
        <v>0.15008785298597266</v>
      </c>
      <c r="Q884" s="8">
        <f t="shared" si="151"/>
        <v>9.3135232047168781E-2</v>
      </c>
      <c r="R884" s="8">
        <f t="shared" si="152"/>
        <v>7.2143000000000013E-2</v>
      </c>
      <c r="S884" s="296">
        <f t="shared" si="153"/>
        <v>2.0992232047168768E-2</v>
      </c>
      <c r="U884" s="297"/>
      <c r="V884" s="297"/>
      <c r="W884" s="297"/>
      <c r="X884" s="297"/>
      <c r="Y884" s="297"/>
      <c r="Z884" s="297"/>
      <c r="AA884" s="297"/>
      <c r="AB884" s="297"/>
      <c r="AC884" s="297"/>
      <c r="AE884" s="297"/>
      <c r="AF884" s="297"/>
      <c r="AG884" s="297"/>
      <c r="AH884" s="297"/>
      <c r="AI884" s="297"/>
      <c r="AJ884" s="297"/>
      <c r="AK884" s="297"/>
      <c r="AL884" s="297"/>
      <c r="AM884" s="297"/>
      <c r="AO884" s="297"/>
      <c r="AP884" s="297"/>
      <c r="AQ884" s="297"/>
      <c r="AR884" s="297"/>
      <c r="AS884" s="297"/>
      <c r="AT884" s="297"/>
      <c r="AU884" s="297"/>
      <c r="AV884" s="297"/>
      <c r="AW884" s="297"/>
    </row>
    <row r="885" spans="1:49" x14ac:dyDescent="0.45">
      <c r="A885" s="295">
        <v>36281</v>
      </c>
      <c r="B885" s="12">
        <v>-2.3599999999999999E-2</v>
      </c>
      <c r="C885" s="5">
        <v>6.0899999999999996E-2</v>
      </c>
      <c r="D885" s="5">
        <v>4.4999999999999997E-3</v>
      </c>
      <c r="E885" s="5">
        <v>5.7749999999999998E-3</v>
      </c>
      <c r="F885" s="5">
        <v>6.025E-3</v>
      </c>
      <c r="G885" s="5">
        <v>5.9000000000000007E-3</v>
      </c>
      <c r="H885" s="5">
        <v>6.2141666666666664E-3</v>
      </c>
      <c r="I885" s="5">
        <f t="shared" si="143"/>
        <v>-2.81E-2</v>
      </c>
      <c r="J885" s="5">
        <f t="shared" si="147"/>
        <v>-2.9499999999999998E-2</v>
      </c>
      <c r="K885" s="5">
        <f t="shared" si="148"/>
        <v>5.4685833333333329E-2</v>
      </c>
      <c r="L885" s="8">
        <f t="shared" si="145"/>
        <v>0.21015565695513172</v>
      </c>
      <c r="M885" s="8">
        <f t="shared" si="146"/>
        <v>5.3999999999999992E-2</v>
      </c>
      <c r="N885" s="8">
        <f t="shared" si="149"/>
        <v>7.0800000000000002E-2</v>
      </c>
      <c r="O885" s="296">
        <f t="shared" si="144"/>
        <v>0.15615565695513173</v>
      </c>
      <c r="P885" s="8">
        <f t="shared" si="150"/>
        <v>0.13935565695513172</v>
      </c>
      <c r="Q885" s="8">
        <f t="shared" si="151"/>
        <v>0.16553484188828227</v>
      </c>
      <c r="R885" s="8">
        <f t="shared" si="152"/>
        <v>7.4569999999999997E-2</v>
      </c>
      <c r="S885" s="296">
        <f t="shared" si="153"/>
        <v>9.0964841888282272E-2</v>
      </c>
      <c r="U885" s="297"/>
      <c r="V885" s="297"/>
      <c r="W885" s="297"/>
      <c r="X885" s="297"/>
      <c r="Y885" s="297"/>
      <c r="Z885" s="297"/>
      <c r="AA885" s="297"/>
      <c r="AB885" s="297"/>
      <c r="AC885" s="297"/>
      <c r="AE885" s="297"/>
      <c r="AF885" s="297"/>
      <c r="AG885" s="297"/>
      <c r="AH885" s="297"/>
      <c r="AI885" s="297"/>
      <c r="AJ885" s="297"/>
      <c r="AK885" s="297"/>
      <c r="AL885" s="297"/>
      <c r="AM885" s="297"/>
      <c r="AO885" s="297"/>
      <c r="AP885" s="297"/>
      <c r="AQ885" s="297"/>
      <c r="AR885" s="297"/>
      <c r="AS885" s="297"/>
      <c r="AT885" s="297"/>
      <c r="AU885" s="297"/>
      <c r="AV885" s="297"/>
      <c r="AW885" s="297"/>
    </row>
    <row r="886" spans="1:49" x14ac:dyDescent="0.45">
      <c r="A886" s="295">
        <v>36312</v>
      </c>
      <c r="B886" s="12">
        <v>5.5500000000000001E-2</v>
      </c>
      <c r="C886" s="5">
        <v>-3.32E-2</v>
      </c>
      <c r="D886" s="5">
        <v>5.4999999999999997E-3</v>
      </c>
      <c r="E886" s="5">
        <v>6.025E-3</v>
      </c>
      <c r="F886" s="5">
        <v>6.266666666666666E-3</v>
      </c>
      <c r="G886" s="5">
        <v>6.145833333333333E-3</v>
      </c>
      <c r="H886" s="5">
        <v>6.445416666666667E-3</v>
      </c>
      <c r="I886" s="5">
        <f t="shared" si="143"/>
        <v>0.05</v>
      </c>
      <c r="J886" s="5">
        <f t="shared" si="147"/>
        <v>4.9354166666666671E-2</v>
      </c>
      <c r="K886" s="5">
        <f t="shared" si="148"/>
        <v>-3.9645416666666669E-2</v>
      </c>
      <c r="L886" s="8">
        <f t="shared" si="145"/>
        <v>0.22748346714985801</v>
      </c>
      <c r="M886" s="8">
        <f t="shared" si="146"/>
        <v>6.6000000000000003E-2</v>
      </c>
      <c r="N886" s="8">
        <f t="shared" si="149"/>
        <v>7.3749999999999996E-2</v>
      </c>
      <c r="O886" s="296">
        <f t="shared" si="144"/>
        <v>0.16148346714985801</v>
      </c>
      <c r="P886" s="8">
        <f t="shared" si="150"/>
        <v>0.15373346714985803</v>
      </c>
      <c r="Q886" s="8">
        <f t="shared" si="151"/>
        <v>8.6738436818971643E-2</v>
      </c>
      <c r="R886" s="8">
        <f t="shared" si="152"/>
        <v>7.7344999999999997E-2</v>
      </c>
      <c r="S886" s="296">
        <f t="shared" si="153"/>
        <v>9.3934368189716455E-3</v>
      </c>
      <c r="U886" s="297"/>
      <c r="V886" s="297"/>
      <c r="W886" s="297"/>
      <c r="X886" s="297"/>
      <c r="Y886" s="297"/>
      <c r="Z886" s="297"/>
      <c r="AA886" s="297"/>
      <c r="AB886" s="297"/>
      <c r="AC886" s="297"/>
      <c r="AE886" s="297"/>
      <c r="AF886" s="297"/>
      <c r="AG886" s="297"/>
      <c r="AH886" s="297"/>
      <c r="AI886" s="297"/>
      <c r="AJ886" s="297"/>
      <c r="AK886" s="297"/>
      <c r="AL886" s="297"/>
      <c r="AM886" s="297"/>
      <c r="AO886" s="297"/>
      <c r="AP886" s="297"/>
      <c r="AQ886" s="297"/>
      <c r="AR886" s="297"/>
      <c r="AS886" s="297"/>
      <c r="AT886" s="297"/>
      <c r="AU886" s="297"/>
      <c r="AV886" s="297"/>
      <c r="AW886" s="297"/>
    </row>
    <row r="887" spans="1:49" x14ac:dyDescent="0.45">
      <c r="A887" s="295">
        <v>36342</v>
      </c>
      <c r="B887" s="12">
        <v>-3.1199999999999999E-2</v>
      </c>
      <c r="C887" s="5">
        <v>-1.14E-2</v>
      </c>
      <c r="D887" s="5">
        <v>5.1000000000000004E-3</v>
      </c>
      <c r="E887" s="5">
        <v>5.9916666666666677E-3</v>
      </c>
      <c r="F887" s="5">
        <v>6.2333333333333338E-3</v>
      </c>
      <c r="G887" s="5">
        <v>6.1125000000000007E-3</v>
      </c>
      <c r="H887" s="5">
        <v>6.4182499999999995E-3</v>
      </c>
      <c r="I887" s="5">
        <f t="shared" si="143"/>
        <v>-3.6299999999999999E-2</v>
      </c>
      <c r="J887" s="5">
        <f t="shared" si="147"/>
        <v>-3.7312499999999998E-2</v>
      </c>
      <c r="K887" s="5">
        <f t="shared" si="148"/>
        <v>-1.7818250000000001E-2</v>
      </c>
      <c r="L887" s="8">
        <f t="shared" si="145"/>
        <v>0.20192640284493835</v>
      </c>
      <c r="M887" s="8">
        <f t="shared" si="146"/>
        <v>6.1200000000000004E-2</v>
      </c>
      <c r="N887" s="8">
        <f t="shared" si="149"/>
        <v>7.3350000000000012E-2</v>
      </c>
      <c r="O887" s="296">
        <f t="shared" si="144"/>
        <v>0.14072640284493834</v>
      </c>
      <c r="P887" s="8">
        <f t="shared" si="150"/>
        <v>0.12857640284493832</v>
      </c>
      <c r="Q887" s="8">
        <f t="shared" si="151"/>
        <v>0.13006165839827011</v>
      </c>
      <c r="R887" s="8">
        <f t="shared" si="152"/>
        <v>7.701899999999999E-2</v>
      </c>
      <c r="S887" s="296">
        <f t="shared" si="153"/>
        <v>5.3042658398270118E-2</v>
      </c>
      <c r="U887" s="297"/>
      <c r="V887" s="297"/>
      <c r="W887" s="297"/>
      <c r="X887" s="297"/>
      <c r="Y887" s="297"/>
      <c r="Z887" s="297"/>
      <c r="AA887" s="297"/>
      <c r="AB887" s="297"/>
      <c r="AC887" s="297"/>
      <c r="AE887" s="297"/>
      <c r="AF887" s="297"/>
      <c r="AG887" s="297"/>
      <c r="AH887" s="297"/>
      <c r="AI887" s="297"/>
      <c r="AJ887" s="297"/>
      <c r="AK887" s="297"/>
      <c r="AL887" s="297"/>
      <c r="AM887" s="297"/>
      <c r="AO887" s="297"/>
      <c r="AP887" s="297"/>
      <c r="AQ887" s="297"/>
      <c r="AR887" s="297"/>
      <c r="AS887" s="297"/>
      <c r="AT887" s="297"/>
      <c r="AU887" s="297"/>
      <c r="AV887" s="297"/>
      <c r="AW887" s="297"/>
    </row>
    <row r="888" spans="1:49" x14ac:dyDescent="0.45">
      <c r="A888" s="295">
        <v>36373</v>
      </c>
      <c r="B888" s="12">
        <v>-4.8999999999999998E-3</v>
      </c>
      <c r="C888" s="5">
        <v>1.1699999999999999E-2</v>
      </c>
      <c r="D888" s="5">
        <v>5.4000000000000003E-3</v>
      </c>
      <c r="E888" s="5">
        <v>6.1666666666666667E-3</v>
      </c>
      <c r="F888" s="5">
        <v>6.4000000000000003E-3</v>
      </c>
      <c r="G888" s="5">
        <v>6.2833333333333343E-3</v>
      </c>
      <c r="H888" s="5">
        <v>6.5894166666666662E-3</v>
      </c>
      <c r="I888" s="5">
        <f t="shared" si="143"/>
        <v>-1.03E-2</v>
      </c>
      <c r="J888" s="5">
        <f t="shared" si="147"/>
        <v>-1.1183333333333333E-2</v>
      </c>
      <c r="K888" s="5">
        <f t="shared" si="148"/>
        <v>5.1105833333333324E-3</v>
      </c>
      <c r="L888" s="8">
        <f t="shared" si="145"/>
        <v>0.39821950370703663</v>
      </c>
      <c r="M888" s="8">
        <f t="shared" si="146"/>
        <v>6.4799999999999996E-2</v>
      </c>
      <c r="N888" s="8">
        <f t="shared" si="149"/>
        <v>7.5400000000000009E-2</v>
      </c>
      <c r="O888" s="296">
        <f t="shared" si="144"/>
        <v>0.33341950370703666</v>
      </c>
      <c r="P888" s="8">
        <f t="shared" si="150"/>
        <v>0.3228195037070366</v>
      </c>
      <c r="Q888" s="8">
        <f t="shared" si="151"/>
        <v>0.12516817222864884</v>
      </c>
      <c r="R888" s="8">
        <f t="shared" si="152"/>
        <v>7.9072999999999991E-2</v>
      </c>
      <c r="S888" s="296">
        <f t="shared" si="153"/>
        <v>4.6095172228648854E-2</v>
      </c>
      <c r="U888" s="297"/>
      <c r="V888" s="297"/>
      <c r="W888" s="297"/>
      <c r="X888" s="297"/>
      <c r="Y888" s="297"/>
      <c r="Z888" s="297"/>
      <c r="AA888" s="297"/>
      <c r="AB888" s="297"/>
      <c r="AC888" s="297"/>
      <c r="AE888" s="297"/>
      <c r="AF888" s="297"/>
      <c r="AG888" s="297"/>
      <c r="AH888" s="297"/>
      <c r="AI888" s="297"/>
      <c r="AJ888" s="297"/>
      <c r="AK888" s="297"/>
      <c r="AL888" s="297"/>
      <c r="AM888" s="297"/>
      <c r="AO888" s="297"/>
      <c r="AP888" s="297"/>
      <c r="AQ888" s="297"/>
      <c r="AR888" s="297"/>
      <c r="AS888" s="297"/>
      <c r="AT888" s="297"/>
      <c r="AU888" s="297"/>
      <c r="AV888" s="297"/>
      <c r="AW888" s="297"/>
    </row>
    <row r="889" spans="1:49" x14ac:dyDescent="0.45">
      <c r="A889" s="295">
        <v>36404</v>
      </c>
      <c r="B889" s="12">
        <v>-2.7400000000000001E-2</v>
      </c>
      <c r="C889" s="5">
        <v>-4.8000000000000001E-2</v>
      </c>
      <c r="D889" s="5">
        <v>5.1999999999999998E-3</v>
      </c>
      <c r="E889" s="5">
        <v>6.1583333333333334E-3</v>
      </c>
      <c r="F889" s="5">
        <v>6.4000000000000003E-3</v>
      </c>
      <c r="G889" s="5">
        <v>6.2791666666666664E-3</v>
      </c>
      <c r="H889" s="5">
        <v>6.6099166666666667E-3</v>
      </c>
      <c r="I889" s="5">
        <f t="shared" si="143"/>
        <v>-3.2600000000000004E-2</v>
      </c>
      <c r="J889" s="5">
        <f t="shared" si="147"/>
        <v>-3.367916666666667E-2</v>
      </c>
      <c r="K889" s="5">
        <f t="shared" si="148"/>
        <v>-5.4609916666666668E-2</v>
      </c>
      <c r="L889" s="8">
        <f t="shared" si="145"/>
        <v>0.27798918269473072</v>
      </c>
      <c r="M889" s="8">
        <f t="shared" si="146"/>
        <v>6.2399999999999997E-2</v>
      </c>
      <c r="N889" s="8">
        <f t="shared" si="149"/>
        <v>7.535E-2</v>
      </c>
      <c r="O889" s="296">
        <f t="shared" si="144"/>
        <v>0.21558918269473071</v>
      </c>
      <c r="P889" s="8">
        <f t="shared" si="150"/>
        <v>0.20263918269473072</v>
      </c>
      <c r="Q889" s="8">
        <f t="shared" si="151"/>
        <v>-1.1388924816176038E-2</v>
      </c>
      <c r="R889" s="8">
        <f t="shared" si="152"/>
        <v>7.9319000000000001E-2</v>
      </c>
      <c r="S889" s="296">
        <f t="shared" si="153"/>
        <v>-9.0707924816176039E-2</v>
      </c>
      <c r="U889" s="297"/>
      <c r="V889" s="297"/>
      <c r="W889" s="297"/>
      <c r="X889" s="297"/>
      <c r="Y889" s="297"/>
      <c r="Z889" s="297"/>
      <c r="AA889" s="297"/>
      <c r="AB889" s="297"/>
      <c r="AC889" s="297"/>
      <c r="AE889" s="297"/>
      <c r="AF889" s="297"/>
      <c r="AG889" s="297"/>
      <c r="AH889" s="297"/>
      <c r="AI889" s="297"/>
      <c r="AJ889" s="297"/>
      <c r="AK889" s="297"/>
      <c r="AL889" s="297"/>
      <c r="AM889" s="297"/>
      <c r="AO889" s="297"/>
      <c r="AP889" s="297"/>
      <c r="AQ889" s="297"/>
      <c r="AR889" s="297"/>
      <c r="AS889" s="297"/>
      <c r="AT889" s="297"/>
      <c r="AU889" s="297"/>
      <c r="AV889" s="297"/>
      <c r="AW889" s="297"/>
    </row>
    <row r="890" spans="1:49" x14ac:dyDescent="0.45">
      <c r="A890" s="295">
        <v>36434</v>
      </c>
      <c r="B890" s="12">
        <v>6.3299999999999995E-2</v>
      </c>
      <c r="C890" s="5">
        <v>1.5699999999999999E-2</v>
      </c>
      <c r="D890" s="5">
        <v>5.0000000000000001E-3</v>
      </c>
      <c r="E890" s="5">
        <v>6.2916666666666668E-3</v>
      </c>
      <c r="F890" s="5">
        <v>6.4916666666666664E-3</v>
      </c>
      <c r="G890" s="5">
        <v>6.391666666666667E-3</v>
      </c>
      <c r="H890" s="5">
        <v>6.7205833333333327E-3</v>
      </c>
      <c r="I890" s="5">
        <f t="shared" si="143"/>
        <v>5.8299999999999998E-2</v>
      </c>
      <c r="J890" s="5">
        <f t="shared" si="147"/>
        <v>5.6908333333333325E-2</v>
      </c>
      <c r="K890" s="5">
        <f t="shared" si="148"/>
        <v>8.9794166666666668E-3</v>
      </c>
      <c r="L890" s="8">
        <f t="shared" si="145"/>
        <v>0.25671497083076611</v>
      </c>
      <c r="M890" s="8">
        <f t="shared" si="146"/>
        <v>0.06</v>
      </c>
      <c r="N890" s="8">
        <f t="shared" si="149"/>
        <v>7.6700000000000004E-2</v>
      </c>
      <c r="O890" s="296">
        <f t="shared" si="144"/>
        <v>0.19671497083076611</v>
      </c>
      <c r="P890" s="8">
        <f t="shared" si="150"/>
        <v>0.18001497083076612</v>
      </c>
      <c r="Q890" s="8">
        <f t="shared" si="151"/>
        <v>2.108223415111854E-2</v>
      </c>
      <c r="R890" s="8">
        <f t="shared" si="152"/>
        <v>8.0646999999999996E-2</v>
      </c>
      <c r="S890" s="296">
        <f t="shared" si="153"/>
        <v>-5.9564765848881457E-2</v>
      </c>
      <c r="U890" s="297"/>
      <c r="V890" s="297"/>
      <c r="W890" s="297"/>
      <c r="X890" s="297"/>
      <c r="Y890" s="297"/>
      <c r="Z890" s="297"/>
      <c r="AA890" s="297"/>
      <c r="AB890" s="297"/>
      <c r="AC890" s="297"/>
      <c r="AE890" s="297"/>
      <c r="AF890" s="297"/>
      <c r="AG890" s="297"/>
      <c r="AH890" s="297"/>
      <c r="AI890" s="297"/>
      <c r="AJ890" s="297"/>
      <c r="AK890" s="297"/>
      <c r="AL890" s="297"/>
      <c r="AM890" s="297"/>
      <c r="AO890" s="297"/>
      <c r="AP890" s="297"/>
      <c r="AQ890" s="297"/>
      <c r="AR890" s="297"/>
      <c r="AS890" s="297"/>
      <c r="AT890" s="297"/>
      <c r="AU890" s="297"/>
      <c r="AV890" s="297"/>
      <c r="AW890" s="297"/>
    </row>
    <row r="891" spans="1:49" x14ac:dyDescent="0.45">
      <c r="A891" s="295">
        <v>36465</v>
      </c>
      <c r="B891" s="12">
        <v>2.0299999999999999E-2</v>
      </c>
      <c r="C891" s="5">
        <v>-7.7300000000000008E-2</v>
      </c>
      <c r="D891" s="5">
        <v>5.5999999999999991E-3</v>
      </c>
      <c r="E891" s="5">
        <v>6.1333333333333344E-3</v>
      </c>
      <c r="F891" s="5">
        <v>6.3499999999999997E-3</v>
      </c>
      <c r="G891" s="5">
        <v>6.2416666666666679E-3</v>
      </c>
      <c r="H891" s="5">
        <v>6.6095833333333328E-3</v>
      </c>
      <c r="I891" s="5">
        <f t="shared" si="143"/>
        <v>1.47E-2</v>
      </c>
      <c r="J891" s="5">
        <f t="shared" si="147"/>
        <v>1.4058333333333331E-2</v>
      </c>
      <c r="K891" s="5">
        <f t="shared" si="148"/>
        <v>-8.3909583333333343E-2</v>
      </c>
      <c r="L891" s="8">
        <f t="shared" si="145"/>
        <v>0.20896311968567827</v>
      </c>
      <c r="M891" s="8">
        <f t="shared" si="146"/>
        <v>6.7199999999999982E-2</v>
      </c>
      <c r="N891" s="8">
        <f t="shared" si="149"/>
        <v>7.4900000000000022E-2</v>
      </c>
      <c r="O891" s="296">
        <f t="shared" si="144"/>
        <v>0.14176311968567828</v>
      </c>
      <c r="P891" s="8">
        <f t="shared" si="150"/>
        <v>0.13406311968567824</v>
      </c>
      <c r="Q891" s="8">
        <f t="shared" si="151"/>
        <v>-7.03053311118641E-2</v>
      </c>
      <c r="R891" s="8">
        <f t="shared" si="152"/>
        <v>7.9314999999999997E-2</v>
      </c>
      <c r="S891" s="296">
        <f t="shared" si="153"/>
        <v>-0.1496203311118641</v>
      </c>
      <c r="U891" s="297"/>
      <c r="V891" s="297"/>
      <c r="W891" s="297"/>
      <c r="X891" s="297"/>
      <c r="Y891" s="297"/>
      <c r="Z891" s="297"/>
      <c r="AA891" s="297"/>
      <c r="AB891" s="297"/>
      <c r="AC891" s="297"/>
      <c r="AE891" s="297"/>
      <c r="AF891" s="297"/>
      <c r="AG891" s="297"/>
      <c r="AH891" s="297"/>
      <c r="AI891" s="297"/>
      <c r="AJ891" s="297"/>
      <c r="AK891" s="297"/>
      <c r="AL891" s="297"/>
      <c r="AM891" s="297"/>
      <c r="AO891" s="297"/>
      <c r="AP891" s="297"/>
      <c r="AQ891" s="297"/>
      <c r="AR891" s="297"/>
      <c r="AS891" s="297"/>
      <c r="AT891" s="297"/>
      <c r="AU891" s="297"/>
      <c r="AV891" s="297"/>
      <c r="AW891" s="297"/>
    </row>
    <row r="892" spans="1:49" x14ac:dyDescent="0.45">
      <c r="A892" s="295">
        <v>36495</v>
      </c>
      <c r="B892" s="12">
        <v>5.8900000000000001E-2</v>
      </c>
      <c r="C892" s="5">
        <v>9.2999999999999992E-3</v>
      </c>
      <c r="D892" s="5">
        <v>5.4999999999999997E-3</v>
      </c>
      <c r="E892" s="5">
        <v>6.2916666666666668E-3</v>
      </c>
      <c r="F892" s="5">
        <v>6.4833333333333331E-3</v>
      </c>
      <c r="G892" s="5">
        <v>6.3874999999999991E-3</v>
      </c>
      <c r="H892" s="5">
        <v>6.7658333333333329E-3</v>
      </c>
      <c r="I892" s="5">
        <f t="shared" si="143"/>
        <v>5.3400000000000003E-2</v>
      </c>
      <c r="J892" s="5">
        <f t="shared" si="147"/>
        <v>5.2512500000000004E-2</v>
      </c>
      <c r="K892" s="5">
        <f t="shared" si="148"/>
        <v>2.5341666666666663E-3</v>
      </c>
      <c r="L892" s="8">
        <f t="shared" si="145"/>
        <v>0.21044917495760695</v>
      </c>
      <c r="M892" s="8">
        <f t="shared" si="146"/>
        <v>6.6000000000000003E-2</v>
      </c>
      <c r="N892" s="8">
        <f t="shared" si="149"/>
        <v>7.6649999999999996E-2</v>
      </c>
      <c r="O892" s="296">
        <f t="shared" si="144"/>
        <v>0.14444917495760695</v>
      </c>
      <c r="P892" s="8">
        <f t="shared" si="150"/>
        <v>0.13379917495760696</v>
      </c>
      <c r="Q892" s="8">
        <f t="shared" si="151"/>
        <v>-8.8547033211466175E-2</v>
      </c>
      <c r="R892" s="8">
        <f t="shared" si="152"/>
        <v>8.1189999999999998E-2</v>
      </c>
      <c r="S892" s="296">
        <f t="shared" si="153"/>
        <v>-0.16973703321146616</v>
      </c>
      <c r="U892" s="297"/>
      <c r="V892" s="297"/>
      <c r="W892" s="297"/>
      <c r="X892" s="297"/>
      <c r="Y892" s="297"/>
      <c r="Z892" s="297"/>
      <c r="AA892" s="297"/>
      <c r="AB892" s="297"/>
      <c r="AC892" s="297"/>
      <c r="AE892" s="297"/>
      <c r="AF892" s="297"/>
      <c r="AG892" s="297"/>
      <c r="AH892" s="297"/>
      <c r="AI892" s="297"/>
      <c r="AJ892" s="297"/>
      <c r="AK892" s="297"/>
      <c r="AL892" s="297"/>
      <c r="AM892" s="297"/>
      <c r="AO892" s="297"/>
      <c r="AP892" s="297"/>
      <c r="AQ892" s="297"/>
      <c r="AR892" s="297"/>
      <c r="AS892" s="297"/>
      <c r="AT892" s="297"/>
      <c r="AU892" s="297"/>
      <c r="AV892" s="297"/>
      <c r="AW892" s="297"/>
    </row>
    <row r="893" spans="1:49" x14ac:dyDescent="0.45">
      <c r="A893" s="295">
        <v>36526</v>
      </c>
      <c r="B893" s="12">
        <v>-5.0200000000000002E-2</v>
      </c>
      <c r="C893" s="5">
        <v>0.1085</v>
      </c>
      <c r="D893" s="5">
        <v>5.7000000000000002E-3</v>
      </c>
      <c r="E893" s="5">
        <v>6.4833333333333331E-3</v>
      </c>
      <c r="F893" s="5">
        <v>6.6333333333333331E-3</v>
      </c>
      <c r="G893" s="5">
        <v>6.5583333333333327E-3</v>
      </c>
      <c r="H893" s="5">
        <v>6.9562500000000006E-3</v>
      </c>
      <c r="I893" s="5">
        <f t="shared" si="143"/>
        <v>-5.5900000000000005E-2</v>
      </c>
      <c r="J893" s="5">
        <f t="shared" si="147"/>
        <v>-5.6758333333333334E-2</v>
      </c>
      <c r="K893" s="5">
        <f t="shared" si="148"/>
        <v>0.10154375</v>
      </c>
      <c r="L893" s="8">
        <f t="shared" si="145"/>
        <v>0.10355598615351802</v>
      </c>
      <c r="M893" s="8">
        <f t="shared" si="146"/>
        <v>6.8400000000000002E-2</v>
      </c>
      <c r="N893" s="8">
        <f t="shared" si="149"/>
        <v>7.8699999999999992E-2</v>
      </c>
      <c r="O893" s="296">
        <f t="shared" si="144"/>
        <v>3.5155986153518018E-2</v>
      </c>
      <c r="P893" s="8">
        <f t="shared" si="150"/>
        <v>2.4855986153518028E-2</v>
      </c>
      <c r="Q893" s="8">
        <f t="shared" si="151"/>
        <v>5.8064314258131855E-2</v>
      </c>
      <c r="R893" s="8">
        <f t="shared" si="152"/>
        <v>8.3475000000000008E-2</v>
      </c>
      <c r="S893" s="296">
        <f t="shared" si="153"/>
        <v>-2.5410685741868153E-2</v>
      </c>
      <c r="U893" s="297"/>
      <c r="V893" s="297"/>
      <c r="W893" s="297"/>
      <c r="X893" s="297"/>
      <c r="Y893" s="297"/>
      <c r="Z893" s="297"/>
      <c r="AA893" s="297"/>
      <c r="AB893" s="297"/>
      <c r="AC893" s="297"/>
      <c r="AE893" s="297"/>
      <c r="AF893" s="297"/>
      <c r="AG893" s="297"/>
      <c r="AH893" s="297"/>
      <c r="AI893" s="297"/>
      <c r="AJ893" s="297"/>
      <c r="AK893" s="297"/>
      <c r="AL893" s="297"/>
      <c r="AM893" s="297"/>
      <c r="AO893" s="297"/>
      <c r="AP893" s="297"/>
      <c r="AQ893" s="297"/>
      <c r="AR893" s="297"/>
      <c r="AS893" s="297"/>
      <c r="AT893" s="297"/>
      <c r="AU893" s="297"/>
      <c r="AV893" s="297"/>
      <c r="AW893" s="297"/>
    </row>
    <row r="894" spans="1:49" x14ac:dyDescent="0.45">
      <c r="A894" s="295">
        <v>36557</v>
      </c>
      <c r="B894" s="12">
        <v>-1.89E-2</v>
      </c>
      <c r="C894" s="5">
        <v>-5.7800000000000004E-2</v>
      </c>
      <c r="D894" s="5">
        <v>5.1000000000000004E-3</v>
      </c>
      <c r="E894" s="5">
        <v>6.4000000000000003E-3</v>
      </c>
      <c r="F894" s="5">
        <v>6.5166666666666671E-3</v>
      </c>
      <c r="G894" s="5">
        <v>6.4583333333333333E-3</v>
      </c>
      <c r="H894" s="5">
        <v>6.8737499999999997E-3</v>
      </c>
      <c r="I894" s="5">
        <f t="shared" si="143"/>
        <v>-2.4E-2</v>
      </c>
      <c r="J894" s="5">
        <f t="shared" si="147"/>
        <v>-2.5358333333333333E-2</v>
      </c>
      <c r="K894" s="5">
        <f t="shared" si="148"/>
        <v>-6.4673750000000002E-2</v>
      </c>
      <c r="L894" s="8">
        <f t="shared" si="145"/>
        <v>0.11745152029643569</v>
      </c>
      <c r="M894" s="8">
        <f t="shared" si="146"/>
        <v>6.1200000000000004E-2</v>
      </c>
      <c r="N894" s="8">
        <f t="shared" si="149"/>
        <v>7.7499999999999999E-2</v>
      </c>
      <c r="O894" s="296">
        <f t="shared" si="144"/>
        <v>5.6251520296435681E-2</v>
      </c>
      <c r="P894" s="8">
        <f t="shared" si="150"/>
        <v>3.9951520296435686E-2</v>
      </c>
      <c r="Q894" s="8">
        <f t="shared" si="151"/>
        <v>3.4566414377346977E-2</v>
      </c>
      <c r="R894" s="8">
        <f t="shared" si="152"/>
        <v>8.2485000000000003E-2</v>
      </c>
      <c r="S894" s="296">
        <f t="shared" si="153"/>
        <v>-4.7918585622653026E-2</v>
      </c>
      <c r="U894" s="297"/>
      <c r="V894" s="297"/>
      <c r="W894" s="297"/>
      <c r="X894" s="297"/>
      <c r="Y894" s="297"/>
      <c r="Z894" s="297"/>
      <c r="AA894" s="297"/>
      <c r="AB894" s="297"/>
      <c r="AC894" s="297"/>
      <c r="AE894" s="297"/>
      <c r="AF894" s="297"/>
      <c r="AG894" s="297"/>
      <c r="AH894" s="297"/>
      <c r="AI894" s="297"/>
      <c r="AJ894" s="297"/>
      <c r="AK894" s="297"/>
      <c r="AL894" s="297"/>
      <c r="AM894" s="297"/>
      <c r="AO894" s="297"/>
      <c r="AP894" s="297"/>
      <c r="AQ894" s="297"/>
      <c r="AR894" s="297"/>
      <c r="AS894" s="297"/>
      <c r="AT894" s="297"/>
      <c r="AU894" s="297"/>
      <c r="AV894" s="297"/>
      <c r="AW894" s="297"/>
    </row>
    <row r="895" spans="1:49" x14ac:dyDescent="0.45">
      <c r="A895" s="295">
        <v>36586</v>
      </c>
      <c r="B895" s="12">
        <v>9.7799999999999998E-2</v>
      </c>
      <c r="C895" s="5">
        <v>3.49E-2</v>
      </c>
      <c r="D895" s="5">
        <v>5.4000000000000003E-3</v>
      </c>
      <c r="E895" s="5">
        <v>6.4000000000000003E-3</v>
      </c>
      <c r="F895" s="5">
        <v>6.5249999999999996E-3</v>
      </c>
      <c r="G895" s="5">
        <v>6.4624999999999995E-3</v>
      </c>
      <c r="H895" s="5">
        <v>6.9058333333333341E-3</v>
      </c>
      <c r="I895" s="5">
        <f t="shared" si="143"/>
        <v>9.2399999999999996E-2</v>
      </c>
      <c r="J895" s="5">
        <f t="shared" si="147"/>
        <v>9.1337500000000002E-2</v>
      </c>
      <c r="K895" s="5">
        <f t="shared" si="148"/>
        <v>2.7994166666666667E-2</v>
      </c>
      <c r="L895" s="8">
        <f t="shared" si="145"/>
        <v>0.17955603748214122</v>
      </c>
      <c r="M895" s="8">
        <f t="shared" si="146"/>
        <v>6.4799999999999996E-2</v>
      </c>
      <c r="N895" s="8">
        <f t="shared" si="149"/>
        <v>7.7549999999999994E-2</v>
      </c>
      <c r="O895" s="296">
        <f t="shared" si="144"/>
        <v>0.11475603748214122</v>
      </c>
      <c r="P895" s="8">
        <f t="shared" si="150"/>
        <v>0.10200603748214122</v>
      </c>
      <c r="Q895" s="8">
        <f t="shared" si="151"/>
        <v>8.6756782621921102E-2</v>
      </c>
      <c r="R895" s="8">
        <f t="shared" si="152"/>
        <v>8.2870000000000013E-2</v>
      </c>
      <c r="S895" s="296">
        <f t="shared" si="153"/>
        <v>3.8867826219210894E-3</v>
      </c>
      <c r="U895" s="297"/>
      <c r="V895" s="297"/>
      <c r="W895" s="297"/>
      <c r="X895" s="297"/>
      <c r="Y895" s="297"/>
      <c r="Z895" s="297"/>
      <c r="AA895" s="297"/>
      <c r="AB895" s="297"/>
      <c r="AC895" s="297"/>
      <c r="AE895" s="297"/>
      <c r="AF895" s="297"/>
      <c r="AG895" s="297"/>
      <c r="AH895" s="297"/>
      <c r="AI895" s="297"/>
      <c r="AJ895" s="297"/>
      <c r="AK895" s="297"/>
      <c r="AL895" s="297"/>
      <c r="AM895" s="297"/>
      <c r="AO895" s="297"/>
      <c r="AP895" s="297"/>
      <c r="AQ895" s="297"/>
      <c r="AR895" s="297"/>
      <c r="AS895" s="297"/>
      <c r="AT895" s="297"/>
      <c r="AU895" s="297"/>
      <c r="AV895" s="297"/>
      <c r="AW895" s="297"/>
    </row>
    <row r="896" spans="1:49" x14ac:dyDescent="0.45">
      <c r="A896" s="295">
        <v>36617</v>
      </c>
      <c r="B896" s="12">
        <v>-3.0099999999999998E-2</v>
      </c>
      <c r="C896" s="5">
        <v>7.9399999999999998E-2</v>
      </c>
      <c r="D896" s="5">
        <v>4.7000000000000002E-3</v>
      </c>
      <c r="E896" s="5">
        <v>6.3666666666666663E-3</v>
      </c>
      <c r="F896" s="5">
        <v>6.5166666666666671E-3</v>
      </c>
      <c r="G896" s="5">
        <v>6.4416666666666667E-3</v>
      </c>
      <c r="H896" s="5">
        <v>6.8982499999999999E-3</v>
      </c>
      <c r="I896" s="5">
        <f t="shared" si="143"/>
        <v>-3.4799999999999998E-2</v>
      </c>
      <c r="J896" s="5">
        <f t="shared" si="147"/>
        <v>-3.6541666666666667E-2</v>
      </c>
      <c r="K896" s="5">
        <f t="shared" si="148"/>
        <v>7.2501750000000004E-2</v>
      </c>
      <c r="L896" s="8">
        <f t="shared" si="145"/>
        <v>0.10142620656005441</v>
      </c>
      <c r="M896" s="8">
        <f t="shared" si="146"/>
        <v>5.6400000000000006E-2</v>
      </c>
      <c r="N896" s="8">
        <f t="shared" si="149"/>
        <v>7.7300000000000008E-2</v>
      </c>
      <c r="O896" s="296">
        <f t="shared" si="144"/>
        <v>4.5026206560054405E-2</v>
      </c>
      <c r="P896" s="8">
        <f t="shared" si="150"/>
        <v>2.4126206560054403E-2</v>
      </c>
      <c r="Q896" s="8">
        <f t="shared" si="151"/>
        <v>7.7770370417219237E-2</v>
      </c>
      <c r="R896" s="8">
        <f t="shared" si="152"/>
        <v>8.2778999999999991E-2</v>
      </c>
      <c r="S896" s="296">
        <f t="shared" si="153"/>
        <v>-5.0086295827807548E-3</v>
      </c>
      <c r="U896" s="297"/>
      <c r="V896" s="297"/>
      <c r="W896" s="297"/>
      <c r="X896" s="297"/>
      <c r="Y896" s="297"/>
      <c r="Z896" s="297"/>
      <c r="AA896" s="297"/>
      <c r="AB896" s="297"/>
      <c r="AC896" s="297"/>
      <c r="AE896" s="297"/>
      <c r="AF896" s="297"/>
      <c r="AG896" s="297"/>
      <c r="AH896" s="297"/>
      <c r="AI896" s="297"/>
      <c r="AJ896" s="297"/>
      <c r="AK896" s="297"/>
      <c r="AL896" s="297"/>
      <c r="AM896" s="297"/>
      <c r="AO896" s="297"/>
      <c r="AP896" s="297"/>
      <c r="AQ896" s="297"/>
      <c r="AR896" s="297"/>
      <c r="AS896" s="297"/>
      <c r="AT896" s="297"/>
      <c r="AU896" s="297"/>
      <c r="AV896" s="297"/>
      <c r="AW896" s="297"/>
    </row>
    <row r="897" spans="1:49" x14ac:dyDescent="0.45">
      <c r="A897" s="295">
        <v>36647</v>
      </c>
      <c r="B897" s="12">
        <v>-2.0500000000000001E-2</v>
      </c>
      <c r="C897" s="5">
        <v>4.8599999999999997E-2</v>
      </c>
      <c r="D897" s="5">
        <v>5.5999999999999991E-3</v>
      </c>
      <c r="E897" s="5">
        <v>6.6583333333333338E-3</v>
      </c>
      <c r="F897" s="5">
        <v>6.8666666666666668E-3</v>
      </c>
      <c r="G897" s="5">
        <v>6.7625000000000003E-3</v>
      </c>
      <c r="H897" s="5">
        <v>7.2435833333333336E-3</v>
      </c>
      <c r="I897" s="5">
        <f t="shared" si="143"/>
        <v>-2.6099999999999998E-2</v>
      </c>
      <c r="J897" s="5">
        <f t="shared" si="147"/>
        <v>-2.7262500000000002E-2</v>
      </c>
      <c r="K897" s="5">
        <f t="shared" si="148"/>
        <v>4.1356416666666666E-2</v>
      </c>
      <c r="L897" s="8">
        <f t="shared" si="145"/>
        <v>0.10492315580251277</v>
      </c>
      <c r="M897" s="8">
        <f t="shared" si="146"/>
        <v>6.7199999999999982E-2</v>
      </c>
      <c r="N897" s="8">
        <f t="shared" si="149"/>
        <v>8.115E-2</v>
      </c>
      <c r="O897" s="296">
        <f t="shared" si="144"/>
        <v>3.7723155802512787E-2</v>
      </c>
      <c r="P897" s="8">
        <f t="shared" si="150"/>
        <v>2.3773155802512769E-2</v>
      </c>
      <c r="Q897" s="8">
        <f t="shared" si="151"/>
        <v>6.5274776528886802E-2</v>
      </c>
      <c r="R897" s="8">
        <f t="shared" si="152"/>
        <v>8.6923E-2</v>
      </c>
      <c r="S897" s="296">
        <f t="shared" si="153"/>
        <v>-2.1648223471113198E-2</v>
      </c>
      <c r="U897" s="297"/>
      <c r="V897" s="297"/>
      <c r="W897" s="297"/>
      <c r="X897" s="297"/>
      <c r="Y897" s="297"/>
      <c r="Z897" s="297"/>
      <c r="AA897" s="297"/>
      <c r="AB897" s="297"/>
      <c r="AC897" s="297"/>
      <c r="AE897" s="297"/>
      <c r="AF897" s="297"/>
      <c r="AG897" s="297"/>
      <c r="AH897" s="297"/>
      <c r="AI897" s="297"/>
      <c r="AJ897" s="297"/>
      <c r="AK897" s="297"/>
      <c r="AL897" s="297"/>
      <c r="AM897" s="297"/>
      <c r="AO897" s="297"/>
      <c r="AP897" s="297"/>
      <c r="AQ897" s="297"/>
      <c r="AR897" s="297"/>
      <c r="AS897" s="297"/>
      <c r="AT897" s="297"/>
      <c r="AU897" s="297"/>
      <c r="AV897" s="297"/>
      <c r="AW897" s="297"/>
    </row>
    <row r="898" spans="1:49" x14ac:dyDescent="0.45">
      <c r="A898" s="295">
        <v>36678</v>
      </c>
      <c r="B898" s="12">
        <v>2.47E-2</v>
      </c>
      <c r="C898" s="5">
        <v>-5.7500000000000002E-2</v>
      </c>
      <c r="D898" s="5">
        <v>5.1999999999999998E-3</v>
      </c>
      <c r="E898" s="5">
        <v>6.391666666666667E-3</v>
      </c>
      <c r="F898" s="5">
        <v>6.5583333333333335E-3</v>
      </c>
      <c r="G898" s="5">
        <v>6.4749999999999999E-3</v>
      </c>
      <c r="H898" s="5">
        <v>6.9795833333333333E-3</v>
      </c>
      <c r="I898" s="5">
        <f t="shared" si="143"/>
        <v>1.95E-2</v>
      </c>
      <c r="J898" s="5">
        <f t="shared" si="147"/>
        <v>1.8224999999999998E-2</v>
      </c>
      <c r="K898" s="5">
        <f t="shared" si="148"/>
        <v>-6.447958333333334E-2</v>
      </c>
      <c r="L898" s="8">
        <f t="shared" si="145"/>
        <v>7.2680964235750212E-2</v>
      </c>
      <c r="M898" s="8">
        <f t="shared" si="146"/>
        <v>6.2399999999999997E-2</v>
      </c>
      <c r="N898" s="8">
        <f t="shared" si="149"/>
        <v>7.7699999999999991E-2</v>
      </c>
      <c r="O898" s="296">
        <f t="shared" si="144"/>
        <v>1.0280964235750215E-2</v>
      </c>
      <c r="P898" s="8">
        <f t="shared" si="150"/>
        <v>-5.0190357642497796E-3</v>
      </c>
      <c r="Q898" s="8">
        <f t="shared" si="151"/>
        <v>3.849966578245323E-2</v>
      </c>
      <c r="R898" s="8">
        <f t="shared" si="152"/>
        <v>8.3754999999999996E-2</v>
      </c>
      <c r="S898" s="296">
        <f t="shared" si="153"/>
        <v>-4.5255334217546767E-2</v>
      </c>
      <c r="U898" s="297"/>
      <c r="V898" s="297"/>
      <c r="W898" s="297"/>
      <c r="X898" s="297"/>
      <c r="Y898" s="297"/>
      <c r="Z898" s="297"/>
      <c r="AA898" s="297"/>
      <c r="AB898" s="297"/>
      <c r="AC898" s="297"/>
      <c r="AE898" s="297"/>
      <c r="AF898" s="297"/>
      <c r="AG898" s="297"/>
      <c r="AH898" s="297"/>
      <c r="AI898" s="297"/>
      <c r="AJ898" s="297"/>
      <c r="AK898" s="297"/>
      <c r="AL898" s="297"/>
      <c r="AM898" s="297"/>
      <c r="AO898" s="297"/>
      <c r="AP898" s="297"/>
      <c r="AQ898" s="297"/>
      <c r="AR898" s="297"/>
      <c r="AS898" s="297"/>
      <c r="AT898" s="297"/>
      <c r="AU898" s="297"/>
      <c r="AV898" s="297"/>
      <c r="AW898" s="297"/>
    </row>
    <row r="899" spans="1:49" x14ac:dyDescent="0.45">
      <c r="A899" s="295">
        <v>36708</v>
      </c>
      <c r="B899" s="12">
        <v>-1.5599999999999999E-2</v>
      </c>
      <c r="C899" s="5">
        <v>6.7699999999999996E-2</v>
      </c>
      <c r="D899" s="5">
        <v>5.1999999999999998E-3</v>
      </c>
      <c r="E899" s="5">
        <v>6.3750000000000005E-3</v>
      </c>
      <c r="F899" s="5">
        <v>6.508333333333333E-3</v>
      </c>
      <c r="G899" s="5">
        <v>6.4416666666666667E-3</v>
      </c>
      <c r="H899" s="5">
        <v>6.8820000000000001E-3</v>
      </c>
      <c r="I899" s="5">
        <f t="shared" si="143"/>
        <v>-2.0799999999999999E-2</v>
      </c>
      <c r="J899" s="5">
        <f t="shared" si="147"/>
        <v>-2.2041666666666668E-2</v>
      </c>
      <c r="K899" s="5">
        <f t="shared" si="148"/>
        <v>6.0817999999999997E-2</v>
      </c>
      <c r="L899" s="8">
        <f t="shared" si="145"/>
        <v>8.9953696525261195E-2</v>
      </c>
      <c r="M899" s="8">
        <f t="shared" si="146"/>
        <v>6.2399999999999997E-2</v>
      </c>
      <c r="N899" s="8">
        <f t="shared" si="149"/>
        <v>7.7300000000000008E-2</v>
      </c>
      <c r="O899" s="296">
        <f t="shared" si="144"/>
        <v>2.7553696525261198E-2</v>
      </c>
      <c r="P899" s="8">
        <f t="shared" si="150"/>
        <v>1.2653696525261188E-2</v>
      </c>
      <c r="Q899" s="8">
        <f t="shared" si="151"/>
        <v>0.12159224474603048</v>
      </c>
      <c r="R899" s="8">
        <f t="shared" si="152"/>
        <v>8.2584000000000005E-2</v>
      </c>
      <c r="S899" s="296">
        <f t="shared" si="153"/>
        <v>3.9008244746030471E-2</v>
      </c>
      <c r="U899" s="297"/>
      <c r="V899" s="297"/>
      <c r="W899" s="297"/>
      <c r="X899" s="297"/>
      <c r="Y899" s="297"/>
      <c r="Z899" s="297"/>
      <c r="AA899" s="297"/>
      <c r="AB899" s="297"/>
      <c r="AC899" s="297"/>
      <c r="AE899" s="297"/>
      <c r="AF899" s="297"/>
      <c r="AG899" s="297"/>
      <c r="AH899" s="297"/>
      <c r="AI899" s="297"/>
      <c r="AJ899" s="297"/>
      <c r="AK899" s="297"/>
      <c r="AL899" s="297"/>
      <c r="AM899" s="297"/>
      <c r="AO899" s="297"/>
      <c r="AP899" s="297"/>
      <c r="AQ899" s="297"/>
      <c r="AR899" s="297"/>
      <c r="AS899" s="297"/>
      <c r="AT899" s="297"/>
      <c r="AU899" s="297"/>
      <c r="AV899" s="297"/>
      <c r="AW899" s="297"/>
    </row>
    <row r="900" spans="1:49" x14ac:dyDescent="0.45">
      <c r="A900" s="295">
        <v>36739</v>
      </c>
      <c r="B900" s="12">
        <v>6.2100000000000002E-2</v>
      </c>
      <c r="C900" s="5">
        <v>0.13720000000000002</v>
      </c>
      <c r="D900" s="5">
        <v>5.0000000000000001E-3</v>
      </c>
      <c r="E900" s="5">
        <v>6.2916666666666668E-3</v>
      </c>
      <c r="F900" s="5">
        <v>6.4166666666666669E-3</v>
      </c>
      <c r="G900" s="5">
        <v>6.3541666666666677E-3</v>
      </c>
      <c r="H900" s="5">
        <v>6.7739166666666677E-3</v>
      </c>
      <c r="I900" s="5">
        <f t="shared" si="143"/>
        <v>5.7100000000000005E-2</v>
      </c>
      <c r="J900" s="5">
        <f t="shared" si="147"/>
        <v>5.5745833333333335E-2</v>
      </c>
      <c r="K900" s="5">
        <f t="shared" si="148"/>
        <v>0.13042608333333336</v>
      </c>
      <c r="L900" s="8">
        <f t="shared" si="145"/>
        <v>0.16334018800068306</v>
      </c>
      <c r="M900" s="8">
        <f t="shared" si="146"/>
        <v>0.06</v>
      </c>
      <c r="N900" s="8">
        <f t="shared" si="149"/>
        <v>7.6250000000000012E-2</v>
      </c>
      <c r="O900" s="296">
        <f t="shared" si="144"/>
        <v>0.10334018800068306</v>
      </c>
      <c r="P900" s="8">
        <f t="shared" si="150"/>
        <v>8.709018800068305E-2</v>
      </c>
      <c r="Q900" s="8">
        <f t="shared" si="151"/>
        <v>0.26072422726617117</v>
      </c>
      <c r="R900" s="8">
        <f t="shared" si="152"/>
        <v>8.1287000000000012E-2</v>
      </c>
      <c r="S900" s="296">
        <f t="shared" si="153"/>
        <v>0.17943722726617117</v>
      </c>
      <c r="U900" s="297"/>
      <c r="V900" s="297"/>
      <c r="W900" s="297"/>
      <c r="X900" s="297"/>
      <c r="Y900" s="297"/>
      <c r="Z900" s="297"/>
      <c r="AA900" s="297"/>
      <c r="AB900" s="297"/>
      <c r="AC900" s="297"/>
      <c r="AE900" s="297"/>
      <c r="AF900" s="297"/>
      <c r="AG900" s="297"/>
      <c r="AH900" s="297"/>
      <c r="AI900" s="297"/>
      <c r="AJ900" s="297"/>
      <c r="AK900" s="297"/>
      <c r="AL900" s="297"/>
      <c r="AM900" s="297"/>
      <c r="AO900" s="297"/>
      <c r="AP900" s="297"/>
      <c r="AQ900" s="297"/>
      <c r="AR900" s="297"/>
      <c r="AS900" s="297"/>
      <c r="AT900" s="297"/>
      <c r="AU900" s="297"/>
      <c r="AV900" s="297"/>
      <c r="AW900" s="297"/>
    </row>
    <row r="901" spans="1:49" x14ac:dyDescent="0.45">
      <c r="A901" s="295">
        <v>36770</v>
      </c>
      <c r="B901" s="12">
        <v>-5.28E-2</v>
      </c>
      <c r="C901" s="5">
        <v>9.1499999999999998E-2</v>
      </c>
      <c r="D901" s="5">
        <v>4.5999999999999999E-3</v>
      </c>
      <c r="E901" s="5">
        <v>6.3499999999999997E-3</v>
      </c>
      <c r="F901" s="5">
        <v>6.5249999999999996E-3</v>
      </c>
      <c r="G901" s="5">
        <v>6.4375000000000005E-3</v>
      </c>
      <c r="H901" s="5">
        <v>6.8533333333333337E-3</v>
      </c>
      <c r="I901" s="5">
        <f t="shared" si="143"/>
        <v>-5.74E-2</v>
      </c>
      <c r="J901" s="5">
        <f t="shared" si="147"/>
        <v>-5.9237499999999998E-2</v>
      </c>
      <c r="K901" s="5">
        <f t="shared" si="148"/>
        <v>8.4646666666666662E-2</v>
      </c>
      <c r="L901" s="8">
        <f t="shared" si="145"/>
        <v>0.13295889993239474</v>
      </c>
      <c r="M901" s="8">
        <f t="shared" si="146"/>
        <v>5.5199999999999999E-2</v>
      </c>
      <c r="N901" s="8">
        <f t="shared" si="149"/>
        <v>7.7250000000000013E-2</v>
      </c>
      <c r="O901" s="296">
        <f t="shared" si="144"/>
        <v>7.7758899932394737E-2</v>
      </c>
      <c r="P901" s="8">
        <f t="shared" si="150"/>
        <v>5.5708899932394723E-2</v>
      </c>
      <c r="Q901" s="8">
        <f t="shared" si="151"/>
        <v>0.44546270384561582</v>
      </c>
      <c r="R901" s="8">
        <f t="shared" si="152"/>
        <v>8.2240000000000008E-2</v>
      </c>
      <c r="S901" s="296">
        <f t="shared" si="153"/>
        <v>0.36322270384561584</v>
      </c>
      <c r="U901" s="297"/>
      <c r="V901" s="297"/>
      <c r="W901" s="297"/>
      <c r="X901" s="297"/>
      <c r="Y901" s="297"/>
      <c r="Z901" s="297"/>
      <c r="AA901" s="297"/>
      <c r="AB901" s="297"/>
      <c r="AC901" s="297"/>
      <c r="AE901" s="297"/>
      <c r="AF901" s="297"/>
      <c r="AG901" s="297"/>
      <c r="AH901" s="297"/>
      <c r="AI901" s="297"/>
      <c r="AJ901" s="297"/>
      <c r="AK901" s="297"/>
      <c r="AL901" s="297"/>
      <c r="AM901" s="297"/>
      <c r="AO901" s="297"/>
      <c r="AP901" s="297"/>
      <c r="AQ901" s="297"/>
      <c r="AR901" s="297"/>
      <c r="AS901" s="297"/>
      <c r="AT901" s="297"/>
      <c r="AU901" s="297"/>
      <c r="AV901" s="297"/>
      <c r="AW901" s="297"/>
    </row>
    <row r="902" spans="1:49" x14ac:dyDescent="0.45">
      <c r="A902" s="295">
        <v>36800</v>
      </c>
      <c r="B902" s="12">
        <v>-4.1999999999999997E-3</v>
      </c>
      <c r="C902" s="5">
        <v>-3.5699999999999996E-2</v>
      </c>
      <c r="D902" s="5">
        <v>5.3E-3</v>
      </c>
      <c r="E902" s="5">
        <v>6.2916666666666668E-3</v>
      </c>
      <c r="F902" s="5">
        <v>6.508333333333333E-3</v>
      </c>
      <c r="G902" s="5">
        <v>6.3999999999999994E-3</v>
      </c>
      <c r="H902" s="5">
        <v>6.7868333333333331E-3</v>
      </c>
      <c r="I902" s="5">
        <f t="shared" ref="I902:I965" si="154">B902-D902</f>
        <v>-9.4999999999999998E-3</v>
      </c>
      <c r="J902" s="5">
        <f t="shared" si="147"/>
        <v>-1.0599999999999998E-2</v>
      </c>
      <c r="K902" s="5">
        <f t="shared" si="148"/>
        <v>-4.2486833333333328E-2</v>
      </c>
      <c r="L902" s="8">
        <f t="shared" si="145"/>
        <v>6.1036840546109694E-2</v>
      </c>
      <c r="M902" s="8">
        <f t="shared" si="146"/>
        <v>6.3600000000000004E-2</v>
      </c>
      <c r="N902" s="8">
        <f t="shared" si="149"/>
        <v>7.6799999999999993E-2</v>
      </c>
      <c r="O902" s="296">
        <f t="shared" si="144"/>
        <v>-2.5631594538903096E-3</v>
      </c>
      <c r="P902" s="8">
        <f t="shared" si="150"/>
        <v>-1.5763159453890299E-2</v>
      </c>
      <c r="Q902" s="8">
        <f t="shared" si="151"/>
        <v>0.37231435002296598</v>
      </c>
      <c r="R902" s="8">
        <f t="shared" si="152"/>
        <v>8.1442000000000001E-2</v>
      </c>
      <c r="S902" s="296">
        <f t="shared" si="153"/>
        <v>0.29087235002296596</v>
      </c>
      <c r="U902" s="297"/>
      <c r="V902" s="297"/>
      <c r="W902" s="297"/>
      <c r="X902" s="297"/>
      <c r="Y902" s="297"/>
      <c r="Z902" s="297"/>
      <c r="AA902" s="297"/>
      <c r="AB902" s="297"/>
      <c r="AC902" s="297"/>
      <c r="AE902" s="297"/>
      <c r="AF902" s="297"/>
      <c r="AG902" s="297"/>
      <c r="AH902" s="297"/>
      <c r="AI902" s="297"/>
      <c r="AJ902" s="297"/>
      <c r="AK902" s="297"/>
      <c r="AL902" s="297"/>
      <c r="AM902" s="297"/>
      <c r="AO902" s="297"/>
      <c r="AP902" s="297"/>
      <c r="AQ902" s="297"/>
      <c r="AR902" s="297"/>
      <c r="AS902" s="297"/>
      <c r="AT902" s="297"/>
      <c r="AU902" s="297"/>
      <c r="AV902" s="297"/>
      <c r="AW902" s="297"/>
    </row>
    <row r="903" spans="1:49" x14ac:dyDescent="0.45">
      <c r="A903" s="295">
        <v>36831</v>
      </c>
      <c r="B903" s="12">
        <v>-7.8799999999999995E-2</v>
      </c>
      <c r="C903" s="5">
        <v>-1.32E-2</v>
      </c>
      <c r="D903" s="5">
        <v>4.7999999999999996E-3</v>
      </c>
      <c r="E903" s="5">
        <v>6.2083333333333331E-3</v>
      </c>
      <c r="F903" s="5">
        <v>6.4583333333333333E-3</v>
      </c>
      <c r="G903" s="5">
        <v>6.3333333333333332E-3</v>
      </c>
      <c r="H903" s="5">
        <v>6.7716666666666654E-3</v>
      </c>
      <c r="I903" s="5">
        <f t="shared" si="154"/>
        <v>-8.3599999999999994E-2</v>
      </c>
      <c r="J903" s="5">
        <f t="shared" si="147"/>
        <v>-8.5133333333333325E-2</v>
      </c>
      <c r="K903" s="5">
        <f t="shared" si="148"/>
        <v>-1.9971666666666665E-2</v>
      </c>
      <c r="L903" s="8">
        <f t="shared" si="145"/>
        <v>-4.2019859344235244E-2</v>
      </c>
      <c r="M903" s="8">
        <f t="shared" si="146"/>
        <v>5.7599999999999998E-2</v>
      </c>
      <c r="N903" s="8">
        <f t="shared" si="149"/>
        <v>7.5999999999999998E-2</v>
      </c>
      <c r="O903" s="296">
        <f t="shared" si="144"/>
        <v>-9.9619859344235243E-2</v>
      </c>
      <c r="P903" s="8">
        <f t="shared" si="150"/>
        <v>-0.11801985934423524</v>
      </c>
      <c r="Q903" s="8">
        <f t="shared" si="151"/>
        <v>0.46764907402477873</v>
      </c>
      <c r="R903" s="8">
        <f t="shared" si="152"/>
        <v>8.1259999999999985E-2</v>
      </c>
      <c r="S903" s="296">
        <f t="shared" si="153"/>
        <v>0.38638907402477873</v>
      </c>
      <c r="U903" s="297"/>
      <c r="V903" s="297"/>
      <c r="W903" s="297"/>
      <c r="X903" s="297"/>
      <c r="Y903" s="297"/>
      <c r="Z903" s="297"/>
      <c r="AA903" s="297"/>
      <c r="AB903" s="297"/>
      <c r="AC903" s="297"/>
      <c r="AE903" s="297"/>
      <c r="AF903" s="297"/>
      <c r="AG903" s="297"/>
      <c r="AH903" s="297"/>
      <c r="AI903" s="297"/>
      <c r="AJ903" s="297"/>
      <c r="AK903" s="297"/>
      <c r="AL903" s="297"/>
      <c r="AM903" s="297"/>
      <c r="AO903" s="297"/>
      <c r="AP903" s="297"/>
      <c r="AQ903" s="297"/>
      <c r="AR903" s="297"/>
      <c r="AS903" s="297"/>
      <c r="AT903" s="297"/>
      <c r="AU903" s="297"/>
      <c r="AV903" s="297"/>
      <c r="AW903" s="297"/>
    </row>
    <row r="904" spans="1:49" x14ac:dyDescent="0.45">
      <c r="A904" s="295">
        <v>36861</v>
      </c>
      <c r="B904" s="12">
        <v>4.8999999999999998E-3</v>
      </c>
      <c r="C904" s="5">
        <v>9.820000000000001E-2</v>
      </c>
      <c r="D904" s="5">
        <v>4.4999999999999997E-3</v>
      </c>
      <c r="E904" s="5">
        <v>6.0083333333333334E-3</v>
      </c>
      <c r="F904" s="5">
        <v>6.2333333333333338E-3</v>
      </c>
      <c r="G904" s="5">
        <v>6.1208333333333332E-3</v>
      </c>
      <c r="H904" s="5">
        <v>6.5465000000000002E-3</v>
      </c>
      <c r="I904" s="5">
        <f t="shared" si="154"/>
        <v>4.0000000000000018E-4</v>
      </c>
      <c r="J904" s="5">
        <f t="shared" si="147"/>
        <v>-1.2208333333333333E-3</v>
      </c>
      <c r="K904" s="5">
        <f t="shared" si="148"/>
        <v>9.1653500000000013E-2</v>
      </c>
      <c r="L904" s="8">
        <f t="shared" si="145"/>
        <v>-9.08733182123167E-2</v>
      </c>
      <c r="M904" s="8">
        <f t="shared" si="146"/>
        <v>5.3999999999999992E-2</v>
      </c>
      <c r="N904" s="8">
        <f t="shared" si="149"/>
        <v>7.3450000000000001E-2</v>
      </c>
      <c r="O904" s="296">
        <f t="shared" si="144"/>
        <v>-0.14487331821231669</v>
      </c>
      <c r="P904" s="8">
        <f t="shared" si="150"/>
        <v>-0.16432331821231672</v>
      </c>
      <c r="Q904" s="8">
        <f t="shared" si="151"/>
        <v>0.5969208491964848</v>
      </c>
      <c r="R904" s="8">
        <f t="shared" si="152"/>
        <v>7.8558000000000003E-2</v>
      </c>
      <c r="S904" s="296">
        <f t="shared" si="153"/>
        <v>0.51836284919648479</v>
      </c>
      <c r="U904" s="297"/>
      <c r="V904" s="297"/>
      <c r="W904" s="297"/>
      <c r="X904" s="297"/>
      <c r="Y904" s="297"/>
      <c r="Z904" s="297"/>
      <c r="AA904" s="297"/>
      <c r="AB904" s="297"/>
      <c r="AC904" s="297"/>
      <c r="AE904" s="297"/>
      <c r="AF904" s="297"/>
      <c r="AG904" s="297"/>
      <c r="AH904" s="297"/>
      <c r="AI904" s="297"/>
      <c r="AJ904" s="297"/>
      <c r="AK904" s="297"/>
      <c r="AL904" s="297"/>
      <c r="AM904" s="297"/>
      <c r="AO904" s="297"/>
      <c r="AP904" s="297"/>
      <c r="AQ904" s="297"/>
      <c r="AR904" s="297"/>
      <c r="AS904" s="297"/>
      <c r="AT904" s="297"/>
      <c r="AU904" s="297"/>
      <c r="AV904" s="297"/>
      <c r="AW904" s="297"/>
    </row>
    <row r="905" spans="1:49" x14ac:dyDescent="0.45">
      <c r="A905" s="295">
        <v>36892</v>
      </c>
      <c r="B905" s="12">
        <v>3.5499999999999997E-2</v>
      </c>
      <c r="C905" s="5">
        <v>-9.6699999999999994E-2</v>
      </c>
      <c r="D905" s="5">
        <v>4.8999999999999998E-3</v>
      </c>
      <c r="E905" s="5">
        <v>5.9583333333333328E-3</v>
      </c>
      <c r="F905" s="5">
        <v>6.1500000000000001E-3</v>
      </c>
      <c r="G905" s="5">
        <v>6.0541666666666669E-3</v>
      </c>
      <c r="H905" s="5">
        <v>6.4988333333333339E-3</v>
      </c>
      <c r="I905" s="5">
        <f t="shared" si="154"/>
        <v>3.0599999999999995E-2</v>
      </c>
      <c r="J905" s="5">
        <f t="shared" si="147"/>
        <v>2.9445833333333331E-2</v>
      </c>
      <c r="K905" s="5">
        <f t="shared" si="148"/>
        <v>-0.10319883333333332</v>
      </c>
      <c r="L905" s="8">
        <f t="shared" si="145"/>
        <v>-8.8432522729566809E-3</v>
      </c>
      <c r="M905" s="8">
        <f t="shared" si="146"/>
        <v>5.8799999999999998E-2</v>
      </c>
      <c r="N905" s="8">
        <f t="shared" si="149"/>
        <v>7.2650000000000006E-2</v>
      </c>
      <c r="O905" s="296">
        <f t="shared" si="144"/>
        <v>-6.7643252272956672E-2</v>
      </c>
      <c r="P905" s="8">
        <f t="shared" si="150"/>
        <v>-8.1493252272956687E-2</v>
      </c>
      <c r="Q905" s="8">
        <f t="shared" si="151"/>
        <v>0.30130681378365787</v>
      </c>
      <c r="R905" s="8">
        <f t="shared" si="152"/>
        <v>7.7986E-2</v>
      </c>
      <c r="S905" s="296">
        <f t="shared" si="153"/>
        <v>0.22332081378365787</v>
      </c>
      <c r="U905" s="297"/>
      <c r="V905" s="297"/>
      <c r="W905" s="297"/>
      <c r="X905" s="297"/>
      <c r="Y905" s="297"/>
      <c r="Z905" s="297"/>
      <c r="AA905" s="297"/>
      <c r="AB905" s="297"/>
      <c r="AC905" s="297"/>
      <c r="AE905" s="297"/>
      <c r="AF905" s="297"/>
      <c r="AG905" s="297"/>
      <c r="AH905" s="297"/>
      <c r="AI905" s="297"/>
      <c r="AJ905" s="297"/>
      <c r="AK905" s="297"/>
      <c r="AL905" s="297"/>
      <c r="AM905" s="297"/>
      <c r="AO905" s="297"/>
      <c r="AP905" s="297"/>
      <c r="AQ905" s="297"/>
      <c r="AR905" s="297"/>
      <c r="AS905" s="297"/>
      <c r="AT905" s="297"/>
      <c r="AU905" s="297"/>
      <c r="AV905" s="297"/>
      <c r="AW905" s="297"/>
    </row>
    <row r="906" spans="1:49" x14ac:dyDescent="0.45">
      <c r="A906" s="295">
        <v>36923</v>
      </c>
      <c r="B906" s="12">
        <v>-9.1200000000000003E-2</v>
      </c>
      <c r="C906" s="5">
        <v>3.5299999999999998E-2</v>
      </c>
      <c r="D906" s="5">
        <v>4.1999999999999997E-3</v>
      </c>
      <c r="E906" s="5">
        <v>5.9166666666666664E-3</v>
      </c>
      <c r="F906" s="5">
        <v>6.0999999999999995E-3</v>
      </c>
      <c r="G906" s="5">
        <v>6.0083333333333334E-3</v>
      </c>
      <c r="H906" s="5">
        <v>6.4490833333333327E-3</v>
      </c>
      <c r="I906" s="5">
        <f t="shared" si="154"/>
        <v>-9.5399999999999999E-2</v>
      </c>
      <c r="J906" s="5">
        <f t="shared" si="147"/>
        <v>-9.7208333333333341E-2</v>
      </c>
      <c r="K906" s="5">
        <f t="shared" si="148"/>
        <v>2.8850916666666664E-2</v>
      </c>
      <c r="L906" s="8">
        <f t="shared" si="145"/>
        <v>-8.1884362109533093E-2</v>
      </c>
      <c r="M906" s="8">
        <f t="shared" si="146"/>
        <v>5.04E-2</v>
      </c>
      <c r="N906" s="8">
        <f t="shared" si="149"/>
        <v>7.2099999999999997E-2</v>
      </c>
      <c r="O906" s="296">
        <f t="shared" si="144"/>
        <v>-0.13228436210953309</v>
      </c>
      <c r="P906" s="8">
        <f t="shared" si="150"/>
        <v>-0.15398436210953309</v>
      </c>
      <c r="Q906" s="8">
        <f t="shared" si="151"/>
        <v>0.42989062227788222</v>
      </c>
      <c r="R906" s="8">
        <f t="shared" si="152"/>
        <v>7.7388999999999986E-2</v>
      </c>
      <c r="S906" s="296">
        <f t="shared" si="153"/>
        <v>0.35250162227788223</v>
      </c>
      <c r="U906" s="297"/>
      <c r="V906" s="297"/>
      <c r="W906" s="297"/>
      <c r="X906" s="297"/>
      <c r="Y906" s="297"/>
      <c r="Z906" s="297"/>
      <c r="AA906" s="297"/>
      <c r="AB906" s="297"/>
      <c r="AC906" s="297"/>
      <c r="AE906" s="297"/>
      <c r="AF906" s="297"/>
      <c r="AG906" s="297"/>
      <c r="AH906" s="297"/>
      <c r="AI906" s="297"/>
      <c r="AJ906" s="297"/>
      <c r="AK906" s="297"/>
      <c r="AL906" s="297"/>
      <c r="AM906" s="297"/>
      <c r="AO906" s="297"/>
      <c r="AP906" s="297"/>
      <c r="AQ906" s="297"/>
      <c r="AR906" s="297"/>
      <c r="AS906" s="297"/>
      <c r="AT906" s="297"/>
      <c r="AU906" s="297"/>
      <c r="AV906" s="297"/>
      <c r="AW906" s="297"/>
    </row>
    <row r="907" spans="1:49" x14ac:dyDescent="0.45">
      <c r="A907" s="295">
        <v>36951</v>
      </c>
      <c r="B907" s="12">
        <v>-6.3399999999999998E-2</v>
      </c>
      <c r="C907" s="5">
        <v>-6.3E-3</v>
      </c>
      <c r="D907" s="5">
        <v>4.4999999999999997E-3</v>
      </c>
      <c r="E907" s="5">
        <v>5.816666666666667E-3</v>
      </c>
      <c r="F907" s="5">
        <v>6.0166666666666667E-3</v>
      </c>
      <c r="G907" s="5">
        <v>5.9166666666666664E-3</v>
      </c>
      <c r="H907" s="5">
        <v>6.3935833333333336E-3</v>
      </c>
      <c r="I907" s="5">
        <f t="shared" si="154"/>
        <v>-6.7900000000000002E-2</v>
      </c>
      <c r="J907" s="5">
        <f t="shared" si="147"/>
        <v>-6.9316666666666665E-2</v>
      </c>
      <c r="K907" s="5">
        <f t="shared" si="148"/>
        <v>-1.2693583333333334E-2</v>
      </c>
      <c r="L907" s="8">
        <f t="shared" si="145"/>
        <v>-0.21669966619765779</v>
      </c>
      <c r="M907" s="8">
        <f t="shared" si="146"/>
        <v>5.3999999999999992E-2</v>
      </c>
      <c r="N907" s="8">
        <f t="shared" si="149"/>
        <v>7.0999999999999994E-2</v>
      </c>
      <c r="O907" s="296">
        <f t="shared" si="144"/>
        <v>-0.27069966619765778</v>
      </c>
      <c r="P907" s="8">
        <f t="shared" si="150"/>
        <v>-0.2876996661976578</v>
      </c>
      <c r="Q907" s="8">
        <f t="shared" si="151"/>
        <v>0.37296580477102292</v>
      </c>
      <c r="R907" s="8">
        <f t="shared" si="152"/>
        <v>7.6723E-2</v>
      </c>
      <c r="S907" s="296">
        <f t="shared" si="153"/>
        <v>0.29624280477102294</v>
      </c>
      <c r="U907" s="297"/>
      <c r="V907" s="297"/>
      <c r="W907" s="297"/>
      <c r="X907" s="297"/>
      <c r="Y907" s="297"/>
      <c r="Z907" s="297"/>
      <c r="AA907" s="297"/>
      <c r="AB907" s="297"/>
      <c r="AC907" s="297"/>
      <c r="AE907" s="297"/>
      <c r="AF907" s="297"/>
      <c r="AG907" s="297"/>
      <c r="AH907" s="297"/>
      <c r="AI907" s="297"/>
      <c r="AJ907" s="297"/>
      <c r="AK907" s="297"/>
      <c r="AL907" s="297"/>
      <c r="AM907" s="297"/>
      <c r="AO907" s="297"/>
      <c r="AP907" s="297"/>
      <c r="AQ907" s="297"/>
      <c r="AR907" s="297"/>
      <c r="AS907" s="297"/>
      <c r="AT907" s="297"/>
      <c r="AU907" s="297"/>
      <c r="AV907" s="297"/>
      <c r="AW907" s="297"/>
    </row>
    <row r="908" spans="1:49" x14ac:dyDescent="0.45">
      <c r="A908" s="295">
        <v>36982</v>
      </c>
      <c r="B908" s="12">
        <v>7.7700000000000005E-2</v>
      </c>
      <c r="C908" s="5">
        <v>6.0499999999999998E-2</v>
      </c>
      <c r="D908" s="5">
        <v>4.7000000000000002E-3</v>
      </c>
      <c r="E908" s="5">
        <v>6.0000000000000001E-3</v>
      </c>
      <c r="F908" s="5">
        <v>6.1916666666666665E-3</v>
      </c>
      <c r="G908" s="5">
        <v>6.0958333333333333E-3</v>
      </c>
      <c r="H908" s="5">
        <v>6.6033333333333335E-3</v>
      </c>
      <c r="I908" s="5">
        <f t="shared" si="154"/>
        <v>7.3000000000000009E-2</v>
      </c>
      <c r="J908" s="5">
        <f t="shared" si="147"/>
        <v>7.1604166666666677E-2</v>
      </c>
      <c r="K908" s="5">
        <f t="shared" si="148"/>
        <v>5.3896666666666662E-2</v>
      </c>
      <c r="L908" s="8">
        <f t="shared" si="145"/>
        <v>-0.12963937546264104</v>
      </c>
      <c r="M908" s="8">
        <f t="shared" si="146"/>
        <v>5.6400000000000006E-2</v>
      </c>
      <c r="N908" s="8">
        <f t="shared" si="149"/>
        <v>7.3149999999999993E-2</v>
      </c>
      <c r="O908" s="296">
        <f t="shared" si="144"/>
        <v>-0.18603937546264104</v>
      </c>
      <c r="P908" s="8">
        <f t="shared" si="150"/>
        <v>-0.20278937546264103</v>
      </c>
      <c r="Q908" s="8">
        <f t="shared" si="151"/>
        <v>0.34892554748904003</v>
      </c>
      <c r="R908" s="8">
        <f t="shared" si="152"/>
        <v>7.9240000000000005E-2</v>
      </c>
      <c r="S908" s="296">
        <f t="shared" si="153"/>
        <v>0.26968554748904006</v>
      </c>
      <c r="U908" s="297"/>
      <c r="V908" s="297"/>
      <c r="W908" s="297"/>
      <c r="X908" s="297"/>
      <c r="Y908" s="297"/>
      <c r="Z908" s="297"/>
      <c r="AA908" s="297"/>
      <c r="AB908" s="297"/>
      <c r="AC908" s="297"/>
      <c r="AE908" s="297"/>
      <c r="AF908" s="297"/>
      <c r="AG908" s="297"/>
      <c r="AH908" s="297"/>
      <c r="AI908" s="297"/>
      <c r="AJ908" s="297"/>
      <c r="AK908" s="297"/>
      <c r="AL908" s="297"/>
      <c r="AM908" s="297"/>
      <c r="AO908" s="297"/>
      <c r="AP908" s="297"/>
      <c r="AQ908" s="297"/>
      <c r="AR908" s="297"/>
      <c r="AS908" s="297"/>
      <c r="AT908" s="297"/>
      <c r="AU908" s="297"/>
      <c r="AV908" s="297"/>
      <c r="AW908" s="297"/>
    </row>
    <row r="909" spans="1:49" x14ac:dyDescent="0.45">
      <c r="A909" s="295">
        <v>37012</v>
      </c>
      <c r="B909" s="12">
        <v>6.7000000000000002E-3</v>
      </c>
      <c r="C909" s="5">
        <v>-3.4300000000000004E-2</v>
      </c>
      <c r="D909" s="5">
        <v>5.0000000000000001E-3</v>
      </c>
      <c r="E909" s="5">
        <v>6.0750000000000005E-3</v>
      </c>
      <c r="F909" s="5">
        <v>6.2500000000000003E-3</v>
      </c>
      <c r="G909" s="5">
        <v>6.1624999999999996E-3</v>
      </c>
      <c r="H909" s="5">
        <v>6.6629166666666659E-3</v>
      </c>
      <c r="I909" s="5">
        <f t="shared" si="154"/>
        <v>1.7000000000000001E-3</v>
      </c>
      <c r="J909" s="5">
        <f t="shared" si="147"/>
        <v>5.3750000000000065E-4</v>
      </c>
      <c r="K909" s="5">
        <f t="shared" si="148"/>
        <v>-4.0962916666666668E-2</v>
      </c>
      <c r="L909" s="8">
        <f t="shared" si="145"/>
        <v>-0.10547009625139425</v>
      </c>
      <c r="M909" s="8">
        <f t="shared" si="146"/>
        <v>0.06</v>
      </c>
      <c r="N909" s="8">
        <f t="shared" si="149"/>
        <v>7.3949999999999988E-2</v>
      </c>
      <c r="O909" s="296">
        <f t="shared" si="144"/>
        <v>-0.16547009625139425</v>
      </c>
      <c r="P909" s="8">
        <f t="shared" si="150"/>
        <v>-0.17942009625139424</v>
      </c>
      <c r="Q909" s="8">
        <f t="shared" si="151"/>
        <v>0.24228247302132999</v>
      </c>
      <c r="R909" s="8">
        <f t="shared" si="152"/>
        <v>7.9954999999999998E-2</v>
      </c>
      <c r="S909" s="296">
        <f t="shared" si="153"/>
        <v>0.16232747302132999</v>
      </c>
      <c r="U909" s="297"/>
      <c r="V909" s="297"/>
      <c r="W909" s="297"/>
      <c r="X909" s="297"/>
      <c r="Y909" s="297"/>
      <c r="Z909" s="297"/>
      <c r="AA909" s="297"/>
      <c r="AB909" s="297"/>
      <c r="AC909" s="297"/>
      <c r="AE909" s="297"/>
      <c r="AF909" s="297"/>
      <c r="AG909" s="297"/>
      <c r="AH909" s="297"/>
      <c r="AI909" s="297"/>
      <c r="AJ909" s="297"/>
      <c r="AK909" s="297"/>
      <c r="AL909" s="297"/>
      <c r="AM909" s="297"/>
      <c r="AO909" s="297"/>
      <c r="AP909" s="297"/>
      <c r="AQ909" s="297"/>
      <c r="AR909" s="297"/>
      <c r="AS909" s="297"/>
      <c r="AT909" s="297"/>
      <c r="AU909" s="297"/>
      <c r="AV909" s="297"/>
      <c r="AW909" s="297"/>
    </row>
    <row r="910" spans="1:49" x14ac:dyDescent="0.45">
      <c r="A910" s="295">
        <v>37043</v>
      </c>
      <c r="B910" s="12">
        <v>-2.4299999999999999E-2</v>
      </c>
      <c r="C910" s="5">
        <v>-7.9100000000000004E-2</v>
      </c>
      <c r="D910" s="5">
        <v>4.7000000000000002E-3</v>
      </c>
      <c r="E910" s="5">
        <v>5.9833333333333327E-3</v>
      </c>
      <c r="F910" s="5">
        <v>6.116666666666667E-3</v>
      </c>
      <c r="G910" s="5">
        <v>6.0499999999999998E-3</v>
      </c>
      <c r="H910" s="5">
        <v>6.5459999999999997E-3</v>
      </c>
      <c r="I910" s="5">
        <f t="shared" si="154"/>
        <v>-2.8999999999999998E-2</v>
      </c>
      <c r="J910" s="5">
        <f t="shared" si="147"/>
        <v>-3.0349999999999999E-2</v>
      </c>
      <c r="K910" s="5">
        <f t="shared" si="148"/>
        <v>-8.5646E-2</v>
      </c>
      <c r="L910" s="8">
        <f t="shared" si="145"/>
        <v>-0.14824550884403775</v>
      </c>
      <c r="M910" s="8">
        <f t="shared" si="146"/>
        <v>5.6400000000000006E-2</v>
      </c>
      <c r="N910" s="8">
        <f t="shared" si="149"/>
        <v>7.2599999999999998E-2</v>
      </c>
      <c r="O910" s="296">
        <f t="shared" si="144"/>
        <v>-0.20464550884403776</v>
      </c>
      <c r="P910" s="8">
        <f t="shared" si="150"/>
        <v>-0.22084550884403775</v>
      </c>
      <c r="Q910" s="8">
        <f t="shared" si="151"/>
        <v>0.21381212669001859</v>
      </c>
      <c r="R910" s="8">
        <f t="shared" si="152"/>
        <v>7.8551999999999997E-2</v>
      </c>
      <c r="S910" s="296">
        <f t="shared" si="153"/>
        <v>0.13526012669001858</v>
      </c>
      <c r="U910" s="297"/>
      <c r="V910" s="297"/>
      <c r="W910" s="297"/>
      <c r="X910" s="297"/>
      <c r="Y910" s="297"/>
      <c r="Z910" s="297"/>
      <c r="AA910" s="297"/>
      <c r="AB910" s="297"/>
      <c r="AC910" s="297"/>
      <c r="AE910" s="297"/>
      <c r="AF910" s="297"/>
      <c r="AG910" s="297"/>
      <c r="AH910" s="297"/>
      <c r="AI910" s="297"/>
      <c r="AJ910" s="297"/>
      <c r="AK910" s="297"/>
      <c r="AL910" s="297"/>
      <c r="AM910" s="297"/>
      <c r="AO910" s="297"/>
      <c r="AP910" s="297"/>
      <c r="AQ910" s="297"/>
      <c r="AR910" s="297"/>
      <c r="AS910" s="297"/>
      <c r="AT910" s="297"/>
      <c r="AU910" s="297"/>
      <c r="AV910" s="297"/>
      <c r="AW910" s="297"/>
    </row>
    <row r="911" spans="1:49" x14ac:dyDescent="0.45">
      <c r="A911" s="295">
        <v>37073</v>
      </c>
      <c r="B911" s="12">
        <v>-9.7999999999999997E-3</v>
      </c>
      <c r="C911" s="5">
        <v>-4.4799999999999993E-2</v>
      </c>
      <c r="D911" s="5">
        <v>5.1999999999999998E-3</v>
      </c>
      <c r="E911" s="5">
        <v>5.9416666666666663E-3</v>
      </c>
      <c r="F911" s="5">
        <v>6.0583333333333331E-3</v>
      </c>
      <c r="G911" s="5">
        <v>6.0000000000000001E-3</v>
      </c>
      <c r="H911" s="5">
        <v>6.4940833333333335E-3</v>
      </c>
      <c r="I911" s="5">
        <f t="shared" si="154"/>
        <v>-1.4999999999999999E-2</v>
      </c>
      <c r="J911" s="5">
        <f t="shared" si="147"/>
        <v>-1.5800000000000002E-2</v>
      </c>
      <c r="K911" s="5">
        <f t="shared" si="148"/>
        <v>-5.1294083333333323E-2</v>
      </c>
      <c r="L911" s="8">
        <f t="shared" si="145"/>
        <v>-0.1432270447555527</v>
      </c>
      <c r="M911" s="8">
        <f t="shared" si="146"/>
        <v>6.2399999999999997E-2</v>
      </c>
      <c r="N911" s="8">
        <f t="shared" si="149"/>
        <v>7.2000000000000008E-2</v>
      </c>
      <c r="O911" s="296">
        <f t="shared" si="144"/>
        <v>-0.20562704475555271</v>
      </c>
      <c r="P911" s="8">
        <f t="shared" si="150"/>
        <v>-0.21522704475555271</v>
      </c>
      <c r="Q911" s="8">
        <f t="shared" si="151"/>
        <v>8.5916777572637937E-2</v>
      </c>
      <c r="R911" s="8">
        <f t="shared" si="152"/>
        <v>7.7928999999999998E-2</v>
      </c>
      <c r="S911" s="296">
        <f t="shared" si="153"/>
        <v>7.9877775726379385E-3</v>
      </c>
      <c r="U911" s="297"/>
      <c r="V911" s="297"/>
      <c r="W911" s="297"/>
      <c r="X911" s="297"/>
      <c r="Y911" s="297"/>
      <c r="Z911" s="297"/>
      <c r="AA911" s="297"/>
      <c r="AB911" s="297"/>
      <c r="AC911" s="297"/>
      <c r="AE911" s="297"/>
      <c r="AF911" s="297"/>
      <c r="AG911" s="297"/>
      <c r="AH911" s="297"/>
      <c r="AI911" s="297"/>
      <c r="AJ911" s="297"/>
      <c r="AK911" s="297"/>
      <c r="AL911" s="297"/>
      <c r="AM911" s="297"/>
      <c r="AO911" s="297"/>
      <c r="AP911" s="297"/>
      <c r="AQ911" s="297"/>
      <c r="AR911" s="297"/>
      <c r="AS911" s="297"/>
      <c r="AT911" s="297"/>
      <c r="AU911" s="297"/>
      <c r="AV911" s="297"/>
      <c r="AW911" s="297"/>
    </row>
    <row r="912" spans="1:49" x14ac:dyDescent="0.45">
      <c r="A912" s="295">
        <v>37104</v>
      </c>
      <c r="B912" s="12">
        <v>-6.2600000000000003E-2</v>
      </c>
      <c r="C912" s="5">
        <v>-2.9000000000000005E-2</v>
      </c>
      <c r="D912" s="5">
        <v>4.5999999999999999E-3</v>
      </c>
      <c r="E912" s="5">
        <v>6.0000000000000001E-3</v>
      </c>
      <c r="F912" s="5">
        <v>5.9250000000000006E-3</v>
      </c>
      <c r="G912" s="5">
        <v>5.9624999999999991E-3</v>
      </c>
      <c r="H912" s="5">
        <v>6.3285833333333328E-3</v>
      </c>
      <c r="I912" s="5">
        <f t="shared" si="154"/>
        <v>-6.720000000000001E-2</v>
      </c>
      <c r="J912" s="5">
        <f t="shared" si="147"/>
        <v>-6.8562499999999998E-2</v>
      </c>
      <c r="K912" s="5">
        <f t="shared" si="148"/>
        <v>-3.5328583333333337E-2</v>
      </c>
      <c r="L912" s="8">
        <f t="shared" si="145"/>
        <v>-0.24381982087737064</v>
      </c>
      <c r="M912" s="8">
        <f t="shared" si="146"/>
        <v>5.5199999999999999E-2</v>
      </c>
      <c r="N912" s="8">
        <f t="shared" si="149"/>
        <v>7.1549999999999989E-2</v>
      </c>
      <c r="O912" s="296">
        <f t="shared" ref="O912:O975" si="155">L912-M912</f>
        <v>-0.29901982087737067</v>
      </c>
      <c r="P912" s="8">
        <f t="shared" si="150"/>
        <v>-0.31536982087737064</v>
      </c>
      <c r="Q912" s="8">
        <f t="shared" si="151"/>
        <v>-7.2788259740563466E-2</v>
      </c>
      <c r="R912" s="8">
        <f t="shared" si="152"/>
        <v>7.5942999999999997E-2</v>
      </c>
      <c r="S912" s="296">
        <f t="shared" si="153"/>
        <v>-0.14873125974056345</v>
      </c>
      <c r="U912" s="297"/>
      <c r="V912" s="297"/>
      <c r="W912" s="297"/>
      <c r="X912" s="297"/>
      <c r="Y912" s="297"/>
      <c r="Z912" s="297"/>
      <c r="AA912" s="297"/>
      <c r="AB912" s="297"/>
      <c r="AC912" s="297"/>
      <c r="AE912" s="297"/>
      <c r="AF912" s="297"/>
      <c r="AG912" s="297"/>
      <c r="AH912" s="297"/>
      <c r="AI912" s="297"/>
      <c r="AJ912" s="297"/>
      <c r="AK912" s="297"/>
      <c r="AL912" s="297"/>
      <c r="AM912" s="297"/>
      <c r="AO912" s="297"/>
      <c r="AP912" s="297"/>
      <c r="AQ912" s="297"/>
      <c r="AR912" s="297"/>
      <c r="AS912" s="297"/>
      <c r="AT912" s="297"/>
      <c r="AU912" s="297"/>
      <c r="AV912" s="297"/>
      <c r="AW912" s="297"/>
    </row>
    <row r="913" spans="1:49" x14ac:dyDescent="0.45">
      <c r="A913" s="295">
        <v>37135</v>
      </c>
      <c r="B913" s="12">
        <v>-8.0799999999999997E-2</v>
      </c>
      <c r="C913" s="5">
        <v>-0.1152</v>
      </c>
      <c r="D913" s="5">
        <v>4.1000000000000003E-3</v>
      </c>
      <c r="E913" s="5">
        <v>5.9750000000000003E-3</v>
      </c>
      <c r="F913" s="5">
        <v>6.0583333333333331E-3</v>
      </c>
      <c r="G913" s="5">
        <v>6.0166666666666667E-3</v>
      </c>
      <c r="H913" s="5">
        <v>6.4227500000000005E-3</v>
      </c>
      <c r="I913" s="5">
        <f t="shared" si="154"/>
        <v>-8.4900000000000003E-2</v>
      </c>
      <c r="J913" s="5">
        <f t="shared" si="147"/>
        <v>-8.6816666666666667E-2</v>
      </c>
      <c r="K913" s="5">
        <f t="shared" si="148"/>
        <v>-0.12162275</v>
      </c>
      <c r="L913" s="8">
        <f t="shared" ref="L913:L976" si="156">((1+B902)*(1+B903)*(1+B904)*(1+B905)*(1+B906)*(1+B907)*(1+B908)*(1+B909)*(1+B910)*(1+B911)*(1+B912)*(1+B913))-1</f>
        <v>-0.26617312009129956</v>
      </c>
      <c r="M913" s="8">
        <f t="shared" ref="M913:M976" si="157">D913*12</f>
        <v>4.9200000000000008E-2</v>
      </c>
      <c r="N913" s="8">
        <f t="shared" si="149"/>
        <v>7.22E-2</v>
      </c>
      <c r="O913" s="296">
        <f t="shared" si="155"/>
        <v>-0.31537312009129959</v>
      </c>
      <c r="P913" s="8">
        <f t="shared" si="150"/>
        <v>-0.33837312009129955</v>
      </c>
      <c r="Q913" s="8">
        <f t="shared" si="151"/>
        <v>-0.24837659387856181</v>
      </c>
      <c r="R913" s="8">
        <f t="shared" si="152"/>
        <v>7.7073000000000003E-2</v>
      </c>
      <c r="S913" s="296">
        <f t="shared" si="153"/>
        <v>-0.32544959387856182</v>
      </c>
      <c r="U913" s="297"/>
      <c r="V913" s="297"/>
      <c r="W913" s="297"/>
      <c r="X913" s="297"/>
      <c r="Y913" s="297"/>
      <c r="Z913" s="297"/>
      <c r="AA913" s="297"/>
      <c r="AB913" s="297"/>
      <c r="AC913" s="297"/>
      <c r="AE913" s="297"/>
      <c r="AF913" s="297"/>
      <c r="AG913" s="297"/>
      <c r="AH913" s="297"/>
      <c r="AI913" s="297"/>
      <c r="AJ913" s="297"/>
      <c r="AK913" s="297"/>
      <c r="AL913" s="297"/>
      <c r="AM913" s="297"/>
      <c r="AO913" s="297"/>
      <c r="AP913" s="297"/>
      <c r="AQ913" s="297"/>
      <c r="AR913" s="297"/>
      <c r="AS913" s="297"/>
      <c r="AT913" s="297"/>
      <c r="AU913" s="297"/>
      <c r="AV913" s="297"/>
      <c r="AW913" s="297"/>
    </row>
    <row r="914" spans="1:49" x14ac:dyDescent="0.45">
      <c r="A914" s="295">
        <v>37165</v>
      </c>
      <c r="B914" s="12">
        <v>1.9099999999999999E-2</v>
      </c>
      <c r="C914" s="5">
        <v>-1.7000000000000001E-3</v>
      </c>
      <c r="D914" s="5">
        <v>4.7999999999999996E-3</v>
      </c>
      <c r="E914" s="5">
        <v>5.8583333333333334E-3</v>
      </c>
      <c r="F914" s="5">
        <v>5.9416666666666663E-3</v>
      </c>
      <c r="G914" s="5">
        <v>5.8999999999999999E-3</v>
      </c>
      <c r="H914" s="5">
        <v>6.3725833333333334E-3</v>
      </c>
      <c r="I914" s="5">
        <f t="shared" si="154"/>
        <v>1.43E-2</v>
      </c>
      <c r="J914" s="5">
        <f t="shared" si="147"/>
        <v>1.32E-2</v>
      </c>
      <c r="K914" s="5">
        <f t="shared" si="148"/>
        <v>-8.0725833333333344E-3</v>
      </c>
      <c r="L914" s="8">
        <f t="shared" si="156"/>
        <v>-0.24900283860719374</v>
      </c>
      <c r="M914" s="8">
        <f t="shared" si="157"/>
        <v>5.7599999999999998E-2</v>
      </c>
      <c r="N914" s="8">
        <f t="shared" si="149"/>
        <v>7.0800000000000002E-2</v>
      </c>
      <c r="O914" s="296">
        <f t="shared" si="155"/>
        <v>-0.30660283860719373</v>
      </c>
      <c r="P914" s="8">
        <f t="shared" si="150"/>
        <v>-0.31980283860719372</v>
      </c>
      <c r="Q914" s="8">
        <f t="shared" si="151"/>
        <v>-0.22187530194853111</v>
      </c>
      <c r="R914" s="8">
        <f t="shared" si="152"/>
        <v>7.6470999999999997E-2</v>
      </c>
      <c r="S914" s="296">
        <f t="shared" si="153"/>
        <v>-0.29834630194853112</v>
      </c>
      <c r="U914" s="297"/>
      <c r="V914" s="297"/>
      <c r="W914" s="297"/>
      <c r="X914" s="297"/>
      <c r="Y914" s="297"/>
      <c r="Z914" s="297"/>
      <c r="AA914" s="297"/>
      <c r="AB914" s="297"/>
      <c r="AC914" s="297"/>
      <c r="AE914" s="297"/>
      <c r="AF914" s="297"/>
      <c r="AG914" s="297"/>
      <c r="AH914" s="297"/>
      <c r="AI914" s="297"/>
      <c r="AJ914" s="297"/>
      <c r="AK914" s="297"/>
      <c r="AL914" s="297"/>
      <c r="AM914" s="297"/>
      <c r="AO914" s="297"/>
      <c r="AP914" s="297"/>
      <c r="AQ914" s="297"/>
      <c r="AR914" s="297"/>
      <c r="AS914" s="297"/>
      <c r="AT914" s="297"/>
      <c r="AU914" s="297"/>
      <c r="AV914" s="297"/>
      <c r="AW914" s="297"/>
    </row>
    <row r="915" spans="1:49" x14ac:dyDescent="0.45">
      <c r="A915" s="295">
        <v>37196</v>
      </c>
      <c r="B915" s="12">
        <v>7.6700000000000004E-2</v>
      </c>
      <c r="C915" s="5">
        <v>-5.5199999999999999E-2</v>
      </c>
      <c r="D915" s="5">
        <v>4.1000000000000003E-3</v>
      </c>
      <c r="E915" s="5">
        <v>5.8083333333333329E-3</v>
      </c>
      <c r="F915" s="5">
        <v>5.841666666666666E-3</v>
      </c>
      <c r="G915" s="5">
        <v>5.8250000000000003E-3</v>
      </c>
      <c r="H915" s="5">
        <v>6.2872499999999994E-3</v>
      </c>
      <c r="I915" s="5">
        <f t="shared" si="154"/>
        <v>7.2599999999999998E-2</v>
      </c>
      <c r="J915" s="5">
        <f t="shared" si="147"/>
        <v>7.0875000000000007E-2</v>
      </c>
      <c r="K915" s="5">
        <f t="shared" si="148"/>
        <v>-6.148725E-2</v>
      </c>
      <c r="L915" s="8">
        <f t="shared" si="156"/>
        <v>-0.12223334382149964</v>
      </c>
      <c r="M915" s="8">
        <f t="shared" si="157"/>
        <v>4.9200000000000008E-2</v>
      </c>
      <c r="N915" s="8">
        <f t="shared" si="149"/>
        <v>6.9900000000000004E-2</v>
      </c>
      <c r="O915" s="296">
        <f t="shared" si="155"/>
        <v>-0.17143334382149966</v>
      </c>
      <c r="P915" s="8">
        <f t="shared" si="150"/>
        <v>-0.19213334382149966</v>
      </c>
      <c r="Q915" s="8">
        <f t="shared" si="151"/>
        <v>-0.25499370214934347</v>
      </c>
      <c r="R915" s="8">
        <f t="shared" si="152"/>
        <v>7.5446999999999986E-2</v>
      </c>
      <c r="S915" s="296">
        <f t="shared" si="153"/>
        <v>-0.33044070214934346</v>
      </c>
      <c r="U915" s="297"/>
      <c r="V915" s="297"/>
      <c r="W915" s="297"/>
      <c r="X915" s="297"/>
      <c r="Y915" s="297"/>
      <c r="Z915" s="297"/>
      <c r="AA915" s="297"/>
      <c r="AB915" s="297"/>
      <c r="AC915" s="297"/>
      <c r="AE915" s="297"/>
      <c r="AF915" s="297"/>
      <c r="AG915" s="297"/>
      <c r="AH915" s="297"/>
      <c r="AI915" s="297"/>
      <c r="AJ915" s="297"/>
      <c r="AK915" s="297"/>
      <c r="AL915" s="297"/>
      <c r="AM915" s="297"/>
      <c r="AO915" s="297"/>
      <c r="AP915" s="297"/>
      <c r="AQ915" s="297"/>
      <c r="AR915" s="297"/>
      <c r="AS915" s="297"/>
      <c r="AT915" s="297"/>
      <c r="AU915" s="297"/>
      <c r="AV915" s="297"/>
      <c r="AW915" s="297"/>
    </row>
    <row r="916" spans="1:49" x14ac:dyDescent="0.45">
      <c r="A916" s="295">
        <v>37226</v>
      </c>
      <c r="B916" s="12">
        <v>8.8000000000000005E-3</v>
      </c>
      <c r="C916" s="5">
        <v>2.6000000000000002E-2</v>
      </c>
      <c r="D916" s="5">
        <v>4.5999999999999999E-3</v>
      </c>
      <c r="E916" s="5">
        <v>5.6333333333333339E-3</v>
      </c>
      <c r="F916" s="5">
        <v>5.9916666666666677E-3</v>
      </c>
      <c r="G916" s="5">
        <v>5.8125000000000008E-3</v>
      </c>
      <c r="H916" s="5">
        <v>6.5259166666666668E-3</v>
      </c>
      <c r="I916" s="5">
        <f t="shared" si="154"/>
        <v>4.2000000000000006E-3</v>
      </c>
      <c r="J916" s="5">
        <f t="shared" si="147"/>
        <v>2.9874999999999997E-3</v>
      </c>
      <c r="K916" s="5">
        <f t="shared" si="148"/>
        <v>1.9474083333333336E-2</v>
      </c>
      <c r="L916" s="8">
        <f t="shared" si="156"/>
        <v>-0.11882674619079403</v>
      </c>
      <c r="M916" s="8">
        <f t="shared" si="157"/>
        <v>5.5199999999999999E-2</v>
      </c>
      <c r="N916" s="8">
        <f t="shared" si="149"/>
        <v>6.9750000000000006E-2</v>
      </c>
      <c r="O916" s="296">
        <f t="shared" si="155"/>
        <v>-0.17402674619079403</v>
      </c>
      <c r="P916" s="8">
        <f t="shared" si="150"/>
        <v>-0.18857674619079404</v>
      </c>
      <c r="Q916" s="8">
        <f t="shared" si="151"/>
        <v>-0.3039733549492134</v>
      </c>
      <c r="R916" s="8">
        <f t="shared" si="152"/>
        <v>7.8311000000000006E-2</v>
      </c>
      <c r="S916" s="296">
        <f t="shared" si="153"/>
        <v>-0.38228435494921342</v>
      </c>
      <c r="U916" s="297"/>
      <c r="V916" s="297"/>
      <c r="W916" s="297"/>
      <c r="X916" s="297"/>
      <c r="Y916" s="297"/>
      <c r="Z916" s="297"/>
      <c r="AA916" s="297"/>
      <c r="AB916" s="297"/>
      <c r="AC916" s="297"/>
      <c r="AE916" s="297"/>
      <c r="AF916" s="297"/>
      <c r="AG916" s="297"/>
      <c r="AH916" s="297"/>
      <c r="AI916" s="297"/>
      <c r="AJ916" s="297"/>
      <c r="AK916" s="297"/>
      <c r="AL916" s="297"/>
      <c r="AM916" s="297"/>
      <c r="AO916" s="297"/>
      <c r="AP916" s="297"/>
      <c r="AQ916" s="297"/>
      <c r="AR916" s="297"/>
      <c r="AS916" s="297"/>
      <c r="AT916" s="297"/>
      <c r="AU916" s="297"/>
      <c r="AV916" s="297"/>
      <c r="AW916" s="297"/>
    </row>
    <row r="917" spans="1:49" x14ac:dyDescent="0.45">
      <c r="A917" s="295">
        <v>37257</v>
      </c>
      <c r="B917" s="12">
        <v>-1.46E-2</v>
      </c>
      <c r="C917" s="5">
        <v>-5.6499999999999995E-2</v>
      </c>
      <c r="D917" s="5">
        <v>4.7999999999999996E-3</v>
      </c>
      <c r="E917" s="5">
        <v>5.4583333333333324E-3</v>
      </c>
      <c r="F917" s="5">
        <v>5.8583333333333334E-3</v>
      </c>
      <c r="G917" s="5">
        <v>5.6583333333333329E-3</v>
      </c>
      <c r="H917" s="5">
        <v>6.3869166666666666E-3</v>
      </c>
      <c r="I917" s="5">
        <f t="shared" si="154"/>
        <v>-1.9400000000000001E-2</v>
      </c>
      <c r="J917" s="5">
        <f t="shared" si="147"/>
        <v>-2.0258333333333333E-2</v>
      </c>
      <c r="K917" s="5">
        <f t="shared" si="148"/>
        <v>-6.2886916666666667E-2</v>
      </c>
      <c r="L917" s="8">
        <f t="shared" si="156"/>
        <v>-0.16146004412980031</v>
      </c>
      <c r="M917" s="8">
        <f t="shared" si="157"/>
        <v>5.7599999999999998E-2</v>
      </c>
      <c r="N917" s="8">
        <f t="shared" si="149"/>
        <v>6.7899999999999988E-2</v>
      </c>
      <c r="O917" s="296">
        <f t="shared" si="155"/>
        <v>-0.21906004412980029</v>
      </c>
      <c r="P917" s="8">
        <f t="shared" si="150"/>
        <v>-0.22936004412980029</v>
      </c>
      <c r="Q917" s="8">
        <f t="shared" si="151"/>
        <v>-0.27299774205090566</v>
      </c>
      <c r="R917" s="8">
        <f t="shared" si="152"/>
        <v>7.6643000000000003E-2</v>
      </c>
      <c r="S917" s="296">
        <f t="shared" si="153"/>
        <v>-0.34964074205090567</v>
      </c>
      <c r="U917" s="297"/>
      <c r="V917" s="297"/>
      <c r="W917" s="297"/>
      <c r="X917" s="297"/>
      <c r="Y917" s="297"/>
      <c r="Z917" s="297"/>
      <c r="AA917" s="297"/>
      <c r="AB917" s="297"/>
      <c r="AC917" s="297"/>
      <c r="AE917" s="297"/>
      <c r="AF917" s="297"/>
      <c r="AG917" s="297"/>
      <c r="AH917" s="297"/>
      <c r="AI917" s="297"/>
      <c r="AJ917" s="297"/>
      <c r="AK917" s="297"/>
      <c r="AL917" s="297"/>
      <c r="AM917" s="297"/>
      <c r="AO917" s="297"/>
      <c r="AP917" s="297"/>
      <c r="AQ917" s="297"/>
      <c r="AR917" s="297"/>
      <c r="AS917" s="297"/>
      <c r="AT917" s="297"/>
      <c r="AU917" s="297"/>
      <c r="AV917" s="297"/>
      <c r="AW917" s="297"/>
    </row>
    <row r="918" spans="1:49" x14ac:dyDescent="0.45">
      <c r="A918" s="295">
        <v>37288</v>
      </c>
      <c r="B918" s="12">
        <v>-1.9300000000000001E-2</v>
      </c>
      <c r="C918" s="5">
        <v>-2.35E-2</v>
      </c>
      <c r="D918" s="5">
        <v>4.3E-3</v>
      </c>
      <c r="E918" s="5">
        <v>5.4250000000000001E-3</v>
      </c>
      <c r="F918" s="5">
        <v>5.7916666666666672E-3</v>
      </c>
      <c r="G918" s="5">
        <v>5.6083333333333332E-3</v>
      </c>
      <c r="H918" s="5">
        <v>6.2833333333333326E-3</v>
      </c>
      <c r="I918" s="5">
        <f t="shared" si="154"/>
        <v>-2.3600000000000003E-2</v>
      </c>
      <c r="J918" s="5">
        <f t="shared" si="147"/>
        <v>-2.4908333333333334E-2</v>
      </c>
      <c r="K918" s="5">
        <f t="shared" si="148"/>
        <v>-2.9783333333333332E-2</v>
      </c>
      <c r="L918" s="8">
        <f t="shared" si="156"/>
        <v>-9.5118689786636734E-2</v>
      </c>
      <c r="M918" s="8">
        <f t="shared" si="157"/>
        <v>5.16E-2</v>
      </c>
      <c r="N918" s="8">
        <f t="shared" si="149"/>
        <v>6.7299999999999999E-2</v>
      </c>
      <c r="O918" s="296">
        <f t="shared" si="155"/>
        <v>-0.14671868978663674</v>
      </c>
      <c r="P918" s="8">
        <f t="shared" si="150"/>
        <v>-0.16241868978663673</v>
      </c>
      <c r="Q918" s="8">
        <f t="shared" si="151"/>
        <v>-0.31428793114334896</v>
      </c>
      <c r="R918" s="8">
        <f t="shared" si="152"/>
        <v>7.5399999999999995E-2</v>
      </c>
      <c r="S918" s="296">
        <f t="shared" si="153"/>
        <v>-0.38968793114334899</v>
      </c>
      <c r="U918" s="297"/>
      <c r="V918" s="297"/>
      <c r="W918" s="297"/>
      <c r="X918" s="297"/>
      <c r="Y918" s="297"/>
      <c r="Z918" s="297"/>
      <c r="AA918" s="297"/>
      <c r="AB918" s="297"/>
      <c r="AC918" s="297"/>
      <c r="AE918" s="297"/>
      <c r="AF918" s="297"/>
      <c r="AG918" s="297"/>
      <c r="AH918" s="297"/>
      <c r="AI918" s="297"/>
      <c r="AJ918" s="297"/>
      <c r="AK918" s="297"/>
      <c r="AL918" s="297"/>
      <c r="AM918" s="297"/>
      <c r="AO918" s="297"/>
      <c r="AP918" s="297"/>
      <c r="AQ918" s="297"/>
      <c r="AR918" s="297"/>
      <c r="AS918" s="297"/>
      <c r="AT918" s="297"/>
      <c r="AU918" s="297"/>
      <c r="AV918" s="297"/>
      <c r="AW918" s="297"/>
    </row>
    <row r="919" spans="1:49" x14ac:dyDescent="0.45">
      <c r="A919" s="295">
        <v>37316</v>
      </c>
      <c r="B919" s="12">
        <v>3.7600000000000001E-2</v>
      </c>
      <c r="C919" s="5">
        <v>0.12229999999999999</v>
      </c>
      <c r="D919" s="5">
        <v>4.3E-3</v>
      </c>
      <c r="E919" s="5">
        <v>5.6750000000000004E-3</v>
      </c>
      <c r="F919" s="5">
        <v>6.0166666666666667E-3</v>
      </c>
      <c r="G919" s="5">
        <v>5.8458333333333331E-3</v>
      </c>
      <c r="H919" s="5">
        <v>6.4529166666666667E-3</v>
      </c>
      <c r="I919" s="5">
        <f t="shared" si="154"/>
        <v>3.3300000000000003E-2</v>
      </c>
      <c r="J919" s="5">
        <f t="shared" si="147"/>
        <v>3.1754166666666667E-2</v>
      </c>
      <c r="K919" s="5">
        <f t="shared" si="148"/>
        <v>0.11584708333333332</v>
      </c>
      <c r="L919" s="8">
        <f t="shared" si="156"/>
        <v>2.4608664076297693E-3</v>
      </c>
      <c r="M919" s="8">
        <f t="shared" si="157"/>
        <v>5.16E-2</v>
      </c>
      <c r="N919" s="8">
        <f t="shared" si="149"/>
        <v>7.014999999999999E-2</v>
      </c>
      <c r="O919" s="296">
        <f t="shared" si="155"/>
        <v>-4.9139133592370231E-2</v>
      </c>
      <c r="P919" s="8">
        <f t="shared" si="150"/>
        <v>-6.7689133592370221E-2</v>
      </c>
      <c r="Q919" s="8">
        <f t="shared" si="151"/>
        <v>-0.22554628672857013</v>
      </c>
      <c r="R919" s="8">
        <f t="shared" si="152"/>
        <v>7.7435000000000004E-2</v>
      </c>
      <c r="S919" s="296">
        <f t="shared" si="153"/>
        <v>-0.30298128672857016</v>
      </c>
      <c r="U919" s="297"/>
      <c r="V919" s="297"/>
      <c r="W919" s="297"/>
      <c r="X919" s="297"/>
      <c r="Y919" s="297"/>
      <c r="Z919" s="297"/>
      <c r="AA919" s="297"/>
      <c r="AB919" s="297"/>
      <c r="AC919" s="297"/>
      <c r="AE919" s="297"/>
      <c r="AF919" s="297"/>
      <c r="AG919" s="297"/>
      <c r="AH919" s="297"/>
      <c r="AI919" s="297"/>
      <c r="AJ919" s="297"/>
      <c r="AK919" s="297"/>
      <c r="AL919" s="297"/>
      <c r="AM919" s="297"/>
      <c r="AO919" s="297"/>
      <c r="AP919" s="297"/>
      <c r="AQ919" s="297"/>
      <c r="AR919" s="297"/>
      <c r="AS919" s="297"/>
      <c r="AT919" s="297"/>
      <c r="AU919" s="297"/>
      <c r="AV919" s="297"/>
      <c r="AW919" s="297"/>
    </row>
    <row r="920" spans="1:49" x14ac:dyDescent="0.45">
      <c r="A920" s="295">
        <v>37347</v>
      </c>
      <c r="B920" s="12">
        <v>-6.0600000000000001E-2</v>
      </c>
      <c r="C920" s="5">
        <v>-1.7100000000000001E-2</v>
      </c>
      <c r="D920" s="5">
        <v>5.4000000000000003E-3</v>
      </c>
      <c r="E920" s="5">
        <v>5.6333333333333339E-3</v>
      </c>
      <c r="F920" s="5">
        <v>5.966666666666667E-3</v>
      </c>
      <c r="G920" s="5">
        <v>5.8000000000000005E-3</v>
      </c>
      <c r="H920" s="5">
        <v>6.3159166666666667E-3</v>
      </c>
      <c r="I920" s="5">
        <f t="shared" si="154"/>
        <v>-6.6000000000000003E-2</v>
      </c>
      <c r="J920" s="5">
        <f t="shared" si="147"/>
        <v>-6.6400000000000001E-2</v>
      </c>
      <c r="K920" s="5">
        <f t="shared" si="148"/>
        <v>-2.3415916666666668E-2</v>
      </c>
      <c r="L920" s="8">
        <f t="shared" si="156"/>
        <v>-0.12618378221831006</v>
      </c>
      <c r="M920" s="8">
        <f t="shared" si="157"/>
        <v>6.4799999999999996E-2</v>
      </c>
      <c r="N920" s="8">
        <f t="shared" si="149"/>
        <v>6.9600000000000009E-2</v>
      </c>
      <c r="O920" s="296">
        <f t="shared" si="155"/>
        <v>-0.19098378221831006</v>
      </c>
      <c r="P920" s="8">
        <f t="shared" si="150"/>
        <v>-0.19578378221831005</v>
      </c>
      <c r="Q920" s="8">
        <f t="shared" si="151"/>
        <v>-0.28221541275390094</v>
      </c>
      <c r="R920" s="8">
        <f t="shared" si="152"/>
        <v>7.5790999999999997E-2</v>
      </c>
      <c r="S920" s="296">
        <f t="shared" si="153"/>
        <v>-0.35800641275390094</v>
      </c>
      <c r="U920" s="297"/>
      <c r="V920" s="297"/>
      <c r="W920" s="297"/>
      <c r="X920" s="297"/>
      <c r="Y920" s="297"/>
      <c r="Z920" s="297"/>
      <c r="AA920" s="297"/>
      <c r="AB920" s="297"/>
      <c r="AC920" s="297"/>
      <c r="AE920" s="297"/>
      <c r="AF920" s="297"/>
      <c r="AG920" s="297"/>
      <c r="AH920" s="297"/>
      <c r="AI920" s="297"/>
      <c r="AJ920" s="297"/>
      <c r="AK920" s="297"/>
      <c r="AL920" s="297"/>
      <c r="AM920" s="297"/>
      <c r="AO920" s="297"/>
      <c r="AP920" s="297"/>
      <c r="AQ920" s="297"/>
      <c r="AR920" s="297"/>
      <c r="AS920" s="297"/>
      <c r="AT920" s="297"/>
      <c r="AU920" s="297"/>
      <c r="AV920" s="297"/>
      <c r="AW920" s="297"/>
    </row>
    <row r="921" spans="1:49" x14ac:dyDescent="0.45">
      <c r="A921" s="295">
        <v>37377</v>
      </c>
      <c r="B921" s="12">
        <v>-7.4000000000000003E-3</v>
      </c>
      <c r="C921" s="5">
        <v>-9.0200000000000002E-2</v>
      </c>
      <c r="D921" s="5">
        <v>4.8999999999999998E-3</v>
      </c>
      <c r="E921" s="5">
        <v>5.6249999999999998E-3</v>
      </c>
      <c r="F921" s="5">
        <v>6.0000000000000001E-3</v>
      </c>
      <c r="G921" s="5">
        <v>5.8125000000000008E-3</v>
      </c>
      <c r="H921" s="5">
        <v>6.2723333333333329E-3</v>
      </c>
      <c r="I921" s="5">
        <f t="shared" si="154"/>
        <v>-1.23E-2</v>
      </c>
      <c r="J921" s="5">
        <f t="shared" si="147"/>
        <v>-1.3212500000000002E-2</v>
      </c>
      <c r="K921" s="5">
        <f t="shared" si="148"/>
        <v>-9.647233333333334E-2</v>
      </c>
      <c r="L921" s="8">
        <f t="shared" si="156"/>
        <v>-0.13842259087105857</v>
      </c>
      <c r="M921" s="8">
        <f t="shared" si="157"/>
        <v>5.8799999999999998E-2</v>
      </c>
      <c r="N921" s="8">
        <f t="shared" si="149"/>
        <v>6.9750000000000006E-2</v>
      </c>
      <c r="O921" s="296">
        <f t="shared" si="155"/>
        <v>-0.19722259087105856</v>
      </c>
      <c r="P921" s="8">
        <f t="shared" si="150"/>
        <v>-0.20817259087105858</v>
      </c>
      <c r="Q921" s="8">
        <f t="shared" si="151"/>
        <v>-0.3237647121502526</v>
      </c>
      <c r="R921" s="8">
        <f t="shared" si="152"/>
        <v>7.5268000000000002E-2</v>
      </c>
      <c r="S921" s="296">
        <f t="shared" si="153"/>
        <v>-0.3990327121502526</v>
      </c>
      <c r="U921" s="297"/>
      <c r="V921" s="297"/>
      <c r="W921" s="297"/>
      <c r="X921" s="297"/>
      <c r="Y921" s="297"/>
      <c r="Z921" s="297"/>
      <c r="AA921" s="297"/>
      <c r="AB921" s="297"/>
      <c r="AC921" s="297"/>
      <c r="AE921" s="297"/>
      <c r="AF921" s="297"/>
      <c r="AG921" s="297"/>
      <c r="AH921" s="297"/>
      <c r="AI921" s="297"/>
      <c r="AJ921" s="297"/>
      <c r="AK921" s="297"/>
      <c r="AL921" s="297"/>
      <c r="AM921" s="297"/>
      <c r="AO921" s="297"/>
      <c r="AP921" s="297"/>
      <c r="AQ921" s="297"/>
      <c r="AR921" s="297"/>
      <c r="AS921" s="297"/>
      <c r="AT921" s="297"/>
      <c r="AU921" s="297"/>
      <c r="AV921" s="297"/>
      <c r="AW921" s="297"/>
    </row>
    <row r="922" spans="1:49" x14ac:dyDescent="0.45">
      <c r="A922" s="295">
        <v>37408</v>
      </c>
      <c r="B922" s="12">
        <v>-7.1199999999999999E-2</v>
      </c>
      <c r="C922" s="5">
        <v>-7.1000000000000008E-2</v>
      </c>
      <c r="D922" s="5">
        <v>4.4000000000000003E-3</v>
      </c>
      <c r="E922" s="5">
        <v>5.5333333333333337E-3</v>
      </c>
      <c r="F922" s="5">
        <v>5.8999999999999999E-3</v>
      </c>
      <c r="G922" s="5">
        <v>5.7166666666666668E-3</v>
      </c>
      <c r="H922" s="5">
        <v>6.1804166666666674E-3</v>
      </c>
      <c r="I922" s="5">
        <f t="shared" si="154"/>
        <v>-7.5600000000000001E-2</v>
      </c>
      <c r="J922" s="5">
        <f t="shared" si="147"/>
        <v>-7.6916666666666661E-2</v>
      </c>
      <c r="K922" s="5">
        <f t="shared" si="148"/>
        <v>-7.7180416666666668E-2</v>
      </c>
      <c r="L922" s="8">
        <f t="shared" si="156"/>
        <v>-0.1798369400441111</v>
      </c>
      <c r="M922" s="8">
        <f t="shared" si="157"/>
        <v>5.28E-2</v>
      </c>
      <c r="N922" s="8">
        <f t="shared" si="149"/>
        <v>6.8599999999999994E-2</v>
      </c>
      <c r="O922" s="296">
        <f t="shared" si="155"/>
        <v>-0.23263694004411112</v>
      </c>
      <c r="P922" s="8">
        <f t="shared" si="150"/>
        <v>-0.2484369400441111</v>
      </c>
      <c r="Q922" s="8">
        <f t="shared" si="151"/>
        <v>-0.31781672015157447</v>
      </c>
      <c r="R922" s="8">
        <f t="shared" si="152"/>
        <v>7.4165000000000009E-2</v>
      </c>
      <c r="S922" s="296">
        <f t="shared" si="153"/>
        <v>-0.39198172015157451</v>
      </c>
      <c r="U922" s="297"/>
      <c r="V922" s="297"/>
      <c r="W922" s="297"/>
      <c r="X922" s="297"/>
      <c r="Y922" s="297"/>
      <c r="Z922" s="297"/>
      <c r="AA922" s="297"/>
      <c r="AB922" s="297"/>
      <c r="AC922" s="297"/>
      <c r="AE922" s="297"/>
      <c r="AF922" s="297"/>
      <c r="AG922" s="297"/>
      <c r="AH922" s="297"/>
      <c r="AI922" s="297"/>
      <c r="AJ922" s="297"/>
      <c r="AK922" s="297"/>
      <c r="AL922" s="297"/>
      <c r="AM922" s="297"/>
      <c r="AO922" s="297"/>
      <c r="AP922" s="297"/>
      <c r="AQ922" s="297"/>
      <c r="AR922" s="297"/>
      <c r="AS922" s="297"/>
      <c r="AT922" s="297"/>
      <c r="AU922" s="297"/>
      <c r="AV922" s="297"/>
      <c r="AW922" s="297"/>
    </row>
    <row r="923" spans="1:49" x14ac:dyDescent="0.45">
      <c r="A923" s="295">
        <v>37438</v>
      </c>
      <c r="B923" s="12">
        <v>-7.8E-2</v>
      </c>
      <c r="C923" s="5">
        <v>-0.13799999999999998</v>
      </c>
      <c r="D923" s="5">
        <v>5.1000000000000004E-3</v>
      </c>
      <c r="E923" s="5">
        <v>5.4416666666666667E-3</v>
      </c>
      <c r="F923" s="5">
        <v>5.816666666666667E-3</v>
      </c>
      <c r="G923" s="5">
        <v>5.6291666666666677E-3</v>
      </c>
      <c r="H923" s="5">
        <v>6.1008333333333331E-3</v>
      </c>
      <c r="I923" s="5">
        <f t="shared" si="154"/>
        <v>-8.3100000000000007E-2</v>
      </c>
      <c r="J923" s="5">
        <f t="shared" si="147"/>
        <v>-8.3629166666666671E-2</v>
      </c>
      <c r="K923" s="5">
        <f t="shared" si="148"/>
        <v>-0.14410083333333332</v>
      </c>
      <c r="L923" s="8">
        <f t="shared" si="156"/>
        <v>-0.23632565009156781</v>
      </c>
      <c r="M923" s="8">
        <f t="shared" si="157"/>
        <v>6.1200000000000004E-2</v>
      </c>
      <c r="N923" s="8">
        <f t="shared" si="149"/>
        <v>6.7550000000000013E-2</v>
      </c>
      <c r="O923" s="296">
        <f t="shared" si="155"/>
        <v>-0.29752565009156784</v>
      </c>
      <c r="P923" s="8">
        <f t="shared" si="150"/>
        <v>-0.30387565009156781</v>
      </c>
      <c r="Q923" s="8">
        <f t="shared" si="151"/>
        <v>-0.38437815407313347</v>
      </c>
      <c r="R923" s="8">
        <f t="shared" si="152"/>
        <v>7.3209999999999997E-2</v>
      </c>
      <c r="S923" s="296">
        <f t="shared" si="153"/>
        <v>-0.45758815407313347</v>
      </c>
      <c r="U923" s="297"/>
      <c r="V923" s="297"/>
      <c r="W923" s="297"/>
      <c r="X923" s="297"/>
      <c r="Y923" s="297"/>
      <c r="Z923" s="297"/>
      <c r="AA923" s="297"/>
      <c r="AB923" s="297"/>
      <c r="AC923" s="297"/>
      <c r="AE923" s="297"/>
      <c r="AF923" s="297"/>
      <c r="AG923" s="297"/>
      <c r="AH923" s="297"/>
      <c r="AI923" s="297"/>
      <c r="AJ923" s="297"/>
      <c r="AK923" s="297"/>
      <c r="AL923" s="297"/>
      <c r="AM923" s="297"/>
      <c r="AO923" s="297"/>
      <c r="AP923" s="297"/>
      <c r="AQ923" s="297"/>
      <c r="AR923" s="297"/>
      <c r="AS923" s="297"/>
      <c r="AT923" s="297"/>
      <c r="AU923" s="297"/>
      <c r="AV923" s="297"/>
      <c r="AW923" s="297"/>
    </row>
    <row r="924" spans="1:49" x14ac:dyDescent="0.45">
      <c r="A924" s="295">
        <v>37469</v>
      </c>
      <c r="B924" s="12">
        <v>6.6E-3</v>
      </c>
      <c r="C924" s="5">
        <v>3.5000000000000003E-2</v>
      </c>
      <c r="D924" s="5">
        <v>4.4000000000000003E-3</v>
      </c>
      <c r="E924" s="5">
        <v>5.3083333333333342E-3</v>
      </c>
      <c r="F924" s="5">
        <v>5.6999999999999993E-3</v>
      </c>
      <c r="G924" s="5">
        <v>5.5041666666666668E-3</v>
      </c>
      <c r="H924" s="5">
        <v>5.9787500000000006E-3</v>
      </c>
      <c r="I924" s="5">
        <f t="shared" si="154"/>
        <v>2.1999999999999997E-3</v>
      </c>
      <c r="J924" s="5">
        <f t="shared" si="147"/>
        <v>1.0958333333333332E-3</v>
      </c>
      <c r="K924" s="5">
        <f t="shared" si="148"/>
        <v>2.9021250000000002E-2</v>
      </c>
      <c r="L924" s="8">
        <f t="shared" si="156"/>
        <v>-0.17995028737163654</v>
      </c>
      <c r="M924" s="8">
        <f t="shared" si="157"/>
        <v>5.28E-2</v>
      </c>
      <c r="N924" s="8">
        <f t="shared" si="149"/>
        <v>6.6049999999999998E-2</v>
      </c>
      <c r="O924" s="296">
        <f t="shared" si="155"/>
        <v>-0.23275028737163656</v>
      </c>
      <c r="P924" s="8">
        <f t="shared" si="150"/>
        <v>-0.24600028737163654</v>
      </c>
      <c r="Q924" s="8">
        <f t="shared" si="151"/>
        <v>-0.34380163693686228</v>
      </c>
      <c r="R924" s="8">
        <f t="shared" si="152"/>
        <v>7.1745000000000003E-2</v>
      </c>
      <c r="S924" s="296">
        <f t="shared" si="153"/>
        <v>-0.41554663693686228</v>
      </c>
      <c r="U924" s="297"/>
      <c r="V924" s="297"/>
      <c r="W924" s="297"/>
      <c r="X924" s="297"/>
      <c r="Y924" s="297"/>
      <c r="Z924" s="297"/>
      <c r="AA924" s="297"/>
      <c r="AB924" s="297"/>
      <c r="AC924" s="297"/>
      <c r="AE924" s="297"/>
      <c r="AF924" s="297"/>
      <c r="AG924" s="297"/>
      <c r="AH924" s="297"/>
      <c r="AI924" s="297"/>
      <c r="AJ924" s="297"/>
      <c r="AK924" s="297"/>
      <c r="AL924" s="297"/>
      <c r="AM924" s="297"/>
      <c r="AO924" s="297"/>
      <c r="AP924" s="297"/>
      <c r="AQ924" s="297"/>
      <c r="AR924" s="297"/>
      <c r="AS924" s="297"/>
      <c r="AT924" s="297"/>
      <c r="AU924" s="297"/>
      <c r="AV924" s="297"/>
      <c r="AW924" s="297"/>
    </row>
    <row r="925" spans="1:49" x14ac:dyDescent="0.45">
      <c r="A925" s="295">
        <v>37500</v>
      </c>
      <c r="B925" s="12">
        <v>-0.1087</v>
      </c>
      <c r="C925" s="5">
        <v>-0.12830000000000003</v>
      </c>
      <c r="D925" s="5">
        <v>4.1999999999999997E-3</v>
      </c>
      <c r="E925" s="5">
        <v>5.1250000000000011E-3</v>
      </c>
      <c r="F925" s="5">
        <v>5.5249999999999995E-3</v>
      </c>
      <c r="G925" s="5">
        <v>5.3249999999999999E-3</v>
      </c>
      <c r="H925" s="5">
        <v>5.9062500000000009E-3</v>
      </c>
      <c r="I925" s="5">
        <f t="shared" si="154"/>
        <v>-0.1129</v>
      </c>
      <c r="J925" s="5">
        <f t="shared" ref="J925:J988" si="158">B925-G925</f>
        <v>-0.114025</v>
      </c>
      <c r="K925" s="5">
        <f t="shared" ref="K925:K988" si="159">$C925-H925</f>
        <v>-0.13420625000000003</v>
      </c>
      <c r="L925" s="8">
        <f t="shared" si="156"/>
        <v>-0.20484083021577415</v>
      </c>
      <c r="M925" s="8">
        <f t="shared" si="157"/>
        <v>5.04E-2</v>
      </c>
      <c r="N925" s="8">
        <f t="shared" si="149"/>
        <v>6.3899999999999998E-2</v>
      </c>
      <c r="O925" s="296">
        <f t="shared" si="155"/>
        <v>-0.25524083021577415</v>
      </c>
      <c r="P925" s="8">
        <f t="shared" si="150"/>
        <v>-0.26874083021577416</v>
      </c>
      <c r="Q925" s="8">
        <f t="shared" si="151"/>
        <v>-0.35351705121819943</v>
      </c>
      <c r="R925" s="8">
        <f t="shared" si="152"/>
        <v>7.0875000000000007E-2</v>
      </c>
      <c r="S925" s="296">
        <f t="shared" si="153"/>
        <v>-0.42439205121819945</v>
      </c>
      <c r="U925" s="297"/>
      <c r="V925" s="297"/>
      <c r="W925" s="297"/>
      <c r="X925" s="297"/>
      <c r="Y925" s="297"/>
      <c r="Z925" s="297"/>
      <c r="AA925" s="297"/>
      <c r="AB925" s="297"/>
      <c r="AC925" s="297"/>
      <c r="AE925" s="297"/>
      <c r="AF925" s="297"/>
      <c r="AG925" s="297"/>
      <c r="AH925" s="297"/>
      <c r="AI925" s="297"/>
      <c r="AJ925" s="297"/>
      <c r="AK925" s="297"/>
      <c r="AL925" s="297"/>
      <c r="AM925" s="297"/>
      <c r="AO925" s="297"/>
      <c r="AP925" s="297"/>
      <c r="AQ925" s="297"/>
      <c r="AR925" s="297"/>
      <c r="AS925" s="297"/>
      <c r="AT925" s="297"/>
      <c r="AU925" s="297"/>
      <c r="AV925" s="297"/>
      <c r="AW925" s="297"/>
    </row>
    <row r="926" spans="1:49" x14ac:dyDescent="0.45">
      <c r="A926" s="295">
        <v>37530</v>
      </c>
      <c r="B926" s="12">
        <v>8.7999999999999995E-2</v>
      </c>
      <c r="C926" s="5">
        <v>-1.7299999999999999E-2</v>
      </c>
      <c r="D926" s="5">
        <v>4.0000000000000001E-3</v>
      </c>
      <c r="E926" s="5">
        <v>5.2749999999999993E-3</v>
      </c>
      <c r="F926" s="5">
        <v>5.6166666666666665E-3</v>
      </c>
      <c r="G926" s="5">
        <v>5.4458333333333329E-3</v>
      </c>
      <c r="H926" s="5">
        <v>6.0162499999999999E-3</v>
      </c>
      <c r="I926" s="5">
        <f t="shared" si="154"/>
        <v>8.3999999999999991E-2</v>
      </c>
      <c r="J926" s="5">
        <f t="shared" si="158"/>
        <v>8.2554166666666665E-2</v>
      </c>
      <c r="K926" s="5">
        <f t="shared" si="159"/>
        <v>-2.331625E-2</v>
      </c>
      <c r="L926" s="8">
        <f t="shared" si="156"/>
        <v>-0.15108117287289002</v>
      </c>
      <c r="M926" s="8">
        <f t="shared" si="157"/>
        <v>4.8000000000000001E-2</v>
      </c>
      <c r="N926" s="8">
        <f t="shared" si="149"/>
        <v>6.5349999999999991E-2</v>
      </c>
      <c r="O926" s="296">
        <f t="shared" si="155"/>
        <v>-0.19908117287289001</v>
      </c>
      <c r="P926" s="8">
        <f t="shared" si="150"/>
        <v>-0.21643117287289002</v>
      </c>
      <c r="Q926" s="8">
        <f t="shared" si="151"/>
        <v>-0.36361935914266708</v>
      </c>
      <c r="R926" s="8">
        <f t="shared" si="152"/>
        <v>7.2194999999999995E-2</v>
      </c>
      <c r="S926" s="296">
        <f t="shared" si="153"/>
        <v>-0.43581435914266708</v>
      </c>
      <c r="U926" s="297"/>
      <c r="V926" s="297"/>
      <c r="W926" s="297"/>
      <c r="X926" s="297"/>
      <c r="Y926" s="297"/>
      <c r="Z926" s="297"/>
      <c r="AA926" s="297"/>
      <c r="AB926" s="297"/>
      <c r="AC926" s="297"/>
      <c r="AE926" s="297"/>
      <c r="AF926" s="297"/>
      <c r="AG926" s="297"/>
      <c r="AH926" s="297"/>
      <c r="AI926" s="297"/>
      <c r="AJ926" s="297"/>
      <c r="AK926" s="297"/>
      <c r="AL926" s="297"/>
      <c r="AM926" s="297"/>
      <c r="AO926" s="297"/>
      <c r="AP926" s="297"/>
      <c r="AQ926" s="297"/>
      <c r="AR926" s="297"/>
      <c r="AS926" s="297"/>
      <c r="AT926" s="297"/>
      <c r="AU926" s="297"/>
      <c r="AV926" s="297"/>
      <c r="AW926" s="297"/>
    </row>
    <row r="927" spans="1:49" x14ac:dyDescent="0.45">
      <c r="A927" s="295">
        <v>37561</v>
      </c>
      <c r="B927" s="12">
        <v>5.8900000000000001E-2</v>
      </c>
      <c r="C927" s="5">
        <v>2.4900000000000002E-2</v>
      </c>
      <c r="D927" s="5">
        <v>4.0000000000000001E-3</v>
      </c>
      <c r="E927" s="5">
        <v>5.2583333333333327E-3</v>
      </c>
      <c r="F927" s="5">
        <v>5.5916666666666667E-3</v>
      </c>
      <c r="G927" s="5">
        <v>5.4250000000000001E-3</v>
      </c>
      <c r="H927" s="5">
        <v>5.9523333333333338E-3</v>
      </c>
      <c r="I927" s="5">
        <f t="shared" si="154"/>
        <v>5.4900000000000004E-2</v>
      </c>
      <c r="J927" s="5">
        <f t="shared" si="158"/>
        <v>5.3475000000000002E-2</v>
      </c>
      <c r="K927" s="5">
        <f t="shared" si="159"/>
        <v>1.8947666666666668E-2</v>
      </c>
      <c r="L927" s="8">
        <f t="shared" si="156"/>
        <v>-0.16511549545379689</v>
      </c>
      <c r="M927" s="8">
        <f t="shared" si="157"/>
        <v>4.8000000000000001E-2</v>
      </c>
      <c r="N927" s="8">
        <f t="shared" si="149"/>
        <v>6.5100000000000005E-2</v>
      </c>
      <c r="O927" s="296">
        <f t="shared" si="155"/>
        <v>-0.21311549545379688</v>
      </c>
      <c r="P927" s="8">
        <f t="shared" si="150"/>
        <v>-0.23021549545379688</v>
      </c>
      <c r="Q927" s="8">
        <f t="shared" si="151"/>
        <v>-0.3096671054035981</v>
      </c>
      <c r="R927" s="8">
        <f t="shared" si="152"/>
        <v>7.1428000000000005E-2</v>
      </c>
      <c r="S927" s="296">
        <f t="shared" si="153"/>
        <v>-0.38109510540359809</v>
      </c>
      <c r="U927" s="297"/>
      <c r="V927" s="297"/>
      <c r="W927" s="297"/>
      <c r="X927" s="297"/>
      <c r="Y927" s="297"/>
      <c r="Z927" s="297"/>
      <c r="AA927" s="297"/>
      <c r="AB927" s="297"/>
      <c r="AC927" s="297"/>
      <c r="AE927" s="297"/>
      <c r="AF927" s="297"/>
      <c r="AG927" s="297"/>
      <c r="AH927" s="297"/>
      <c r="AI927" s="297"/>
      <c r="AJ927" s="297"/>
      <c r="AK927" s="297"/>
      <c r="AL927" s="297"/>
      <c r="AM927" s="297"/>
      <c r="AO927" s="297"/>
      <c r="AP927" s="297"/>
      <c r="AQ927" s="297"/>
      <c r="AR927" s="297"/>
      <c r="AS927" s="297"/>
      <c r="AT927" s="297"/>
      <c r="AU927" s="297"/>
      <c r="AV927" s="297"/>
      <c r="AW927" s="297"/>
    </row>
    <row r="928" spans="1:49" x14ac:dyDescent="0.45">
      <c r="A928" s="295">
        <v>37591</v>
      </c>
      <c r="B928" s="12">
        <v>-5.8700000000000002E-2</v>
      </c>
      <c r="C928" s="5">
        <v>4.1599999999999998E-2</v>
      </c>
      <c r="D928" s="5">
        <v>4.4999999999999997E-3</v>
      </c>
      <c r="E928" s="5">
        <v>5.1749999999999999E-3</v>
      </c>
      <c r="F928" s="5">
        <v>5.5249999999999995E-3</v>
      </c>
      <c r="G928" s="5">
        <v>5.3499999999999989E-3</v>
      </c>
      <c r="H928" s="5">
        <v>5.896416666666667E-3</v>
      </c>
      <c r="I928" s="5">
        <f t="shared" si="154"/>
        <v>-6.3200000000000006E-2</v>
      </c>
      <c r="J928" s="5">
        <f t="shared" si="158"/>
        <v>-6.4049999999999996E-2</v>
      </c>
      <c r="K928" s="5">
        <f t="shared" si="159"/>
        <v>3.570358333333333E-2</v>
      </c>
      <c r="L928" s="8">
        <f t="shared" si="156"/>
        <v>-0.22097860415410286</v>
      </c>
      <c r="M928" s="8">
        <f t="shared" si="157"/>
        <v>5.3999999999999992E-2</v>
      </c>
      <c r="N928" s="8">
        <f t="shared" si="149"/>
        <v>6.4199999999999979E-2</v>
      </c>
      <c r="O928" s="296">
        <f t="shared" si="155"/>
        <v>-0.27497860415410286</v>
      </c>
      <c r="P928" s="8">
        <f t="shared" si="150"/>
        <v>-0.28517860415410284</v>
      </c>
      <c r="Q928" s="8">
        <f t="shared" si="151"/>
        <v>-0.29917081577815585</v>
      </c>
      <c r="R928" s="8">
        <f t="shared" si="152"/>
        <v>7.0757E-2</v>
      </c>
      <c r="S928" s="296">
        <f t="shared" si="153"/>
        <v>-0.36992781577815587</v>
      </c>
      <c r="U928" s="297"/>
      <c r="V928" s="297"/>
      <c r="W928" s="297"/>
      <c r="X928" s="297"/>
      <c r="Y928" s="297"/>
      <c r="Z928" s="297"/>
      <c r="AA928" s="297"/>
      <c r="AB928" s="297"/>
      <c r="AC928" s="297"/>
      <c r="AE928" s="297"/>
      <c r="AF928" s="297"/>
      <c r="AG928" s="297"/>
      <c r="AH928" s="297"/>
      <c r="AI928" s="297"/>
      <c r="AJ928" s="297"/>
      <c r="AK928" s="297"/>
      <c r="AL928" s="297"/>
      <c r="AM928" s="297"/>
      <c r="AO928" s="297"/>
      <c r="AP928" s="297"/>
      <c r="AQ928" s="297"/>
      <c r="AR928" s="297"/>
      <c r="AS928" s="297"/>
      <c r="AT928" s="297"/>
      <c r="AU928" s="297"/>
      <c r="AV928" s="297"/>
      <c r="AW928" s="297"/>
    </row>
    <row r="929" spans="1:49" x14ac:dyDescent="0.45">
      <c r="A929" s="295">
        <v>37622</v>
      </c>
      <c r="B929" s="12">
        <v>-2.6200000000000001E-2</v>
      </c>
      <c r="C929" s="5">
        <v>-2.9200000000000004E-2</v>
      </c>
      <c r="D929" s="5">
        <v>4.1000000000000003E-3</v>
      </c>
      <c r="E929" s="5">
        <v>5.1416666666666668E-3</v>
      </c>
      <c r="F929" s="5">
        <v>5.4916666666666673E-3</v>
      </c>
      <c r="G929" s="5">
        <v>5.3166666666666675E-3</v>
      </c>
      <c r="H929" s="5">
        <v>5.886916666666667E-3</v>
      </c>
      <c r="I929" s="5">
        <f t="shared" si="154"/>
        <v>-3.0300000000000001E-2</v>
      </c>
      <c r="J929" s="5">
        <f t="shared" si="158"/>
        <v>-3.1516666666666665E-2</v>
      </c>
      <c r="K929" s="5">
        <f t="shared" si="159"/>
        <v>-3.5086916666666669E-2</v>
      </c>
      <c r="L929" s="8">
        <f t="shared" si="156"/>
        <v>-0.23014914220140603</v>
      </c>
      <c r="M929" s="8">
        <f t="shared" si="157"/>
        <v>4.9200000000000008E-2</v>
      </c>
      <c r="N929" s="8">
        <f t="shared" si="149"/>
        <v>6.3800000000000009E-2</v>
      </c>
      <c r="O929" s="296">
        <f t="shared" si="155"/>
        <v>-0.27934914220140605</v>
      </c>
      <c r="P929" s="8">
        <f t="shared" si="150"/>
        <v>-0.29394914220140606</v>
      </c>
      <c r="Q929" s="8">
        <f t="shared" si="151"/>
        <v>-0.27889245146521846</v>
      </c>
      <c r="R929" s="8">
        <f t="shared" si="152"/>
        <v>7.0643000000000011E-2</v>
      </c>
      <c r="S929" s="296">
        <f t="shared" si="153"/>
        <v>-0.34953545146521847</v>
      </c>
      <c r="U929" s="297"/>
      <c r="V929" s="297"/>
      <c r="W929" s="297"/>
      <c r="X929" s="297"/>
      <c r="Y929" s="297"/>
      <c r="Z929" s="297"/>
      <c r="AA929" s="297"/>
      <c r="AB929" s="297"/>
      <c r="AC929" s="297"/>
      <c r="AE929" s="297"/>
      <c r="AF929" s="297"/>
      <c r="AG929" s="297"/>
      <c r="AH929" s="297"/>
      <c r="AI929" s="297"/>
      <c r="AJ929" s="297"/>
      <c r="AK929" s="297"/>
      <c r="AL929" s="297"/>
      <c r="AM929" s="297"/>
      <c r="AO929" s="297"/>
      <c r="AP929" s="297"/>
      <c r="AQ929" s="297"/>
      <c r="AR929" s="297"/>
      <c r="AS929" s="297"/>
      <c r="AT929" s="297"/>
      <c r="AU929" s="297"/>
      <c r="AV929" s="297"/>
      <c r="AW929" s="297"/>
    </row>
    <row r="930" spans="1:49" x14ac:dyDescent="0.45">
      <c r="A930" s="295">
        <v>37653</v>
      </c>
      <c r="B930" s="12">
        <v>-1.4999999999999999E-2</v>
      </c>
      <c r="C930" s="5">
        <v>-4.8999999999999995E-2</v>
      </c>
      <c r="D930" s="5">
        <v>3.8E-3</v>
      </c>
      <c r="E930" s="5">
        <v>4.9583333333333337E-3</v>
      </c>
      <c r="F930" s="5">
        <v>5.2833333333333335E-3</v>
      </c>
      <c r="G930" s="5">
        <v>5.1208333333333331E-3</v>
      </c>
      <c r="H930" s="5">
        <v>5.7775833333333325E-3</v>
      </c>
      <c r="I930" s="5">
        <f t="shared" si="154"/>
        <v>-1.8800000000000001E-2</v>
      </c>
      <c r="J930" s="5">
        <f t="shared" si="158"/>
        <v>-2.0120833333333331E-2</v>
      </c>
      <c r="K930" s="5">
        <f t="shared" si="159"/>
        <v>-5.4777583333333324E-2</v>
      </c>
      <c r="L930" s="8">
        <f t="shared" si="156"/>
        <v>-0.22677363624797076</v>
      </c>
      <c r="M930" s="8">
        <f t="shared" si="157"/>
        <v>4.5600000000000002E-2</v>
      </c>
      <c r="N930" s="8">
        <f t="shared" si="149"/>
        <v>6.1449999999999998E-2</v>
      </c>
      <c r="O930" s="296">
        <f t="shared" si="155"/>
        <v>-0.27237363624797073</v>
      </c>
      <c r="P930" s="8">
        <f t="shared" si="150"/>
        <v>-0.28822363624797076</v>
      </c>
      <c r="Q930" s="8">
        <f t="shared" si="151"/>
        <v>-0.29772321694154924</v>
      </c>
      <c r="R930" s="8">
        <f t="shared" si="152"/>
        <v>6.933099999999999E-2</v>
      </c>
      <c r="S930" s="296">
        <f t="shared" si="153"/>
        <v>-0.36705421694154922</v>
      </c>
      <c r="U930" s="297"/>
      <c r="V930" s="297"/>
      <c r="W930" s="297"/>
      <c r="X930" s="297"/>
      <c r="Y930" s="297"/>
      <c r="Z930" s="297"/>
      <c r="AA930" s="297"/>
      <c r="AB930" s="297"/>
      <c r="AC930" s="297"/>
      <c r="AE930" s="297"/>
      <c r="AF930" s="297"/>
      <c r="AG930" s="297"/>
      <c r="AH930" s="297"/>
      <c r="AI930" s="297"/>
      <c r="AJ930" s="297"/>
      <c r="AK930" s="297"/>
      <c r="AL930" s="297"/>
      <c r="AM930" s="297"/>
      <c r="AO930" s="297"/>
      <c r="AP930" s="297"/>
      <c r="AQ930" s="297"/>
      <c r="AR930" s="297"/>
      <c r="AS930" s="297"/>
      <c r="AT930" s="297"/>
      <c r="AU930" s="297"/>
      <c r="AV930" s="297"/>
      <c r="AW930" s="297"/>
    </row>
    <row r="931" spans="1:49" x14ac:dyDescent="0.45">
      <c r="A931" s="295">
        <v>37681</v>
      </c>
      <c r="B931" s="12">
        <v>9.7000000000000003E-3</v>
      </c>
      <c r="C931" s="5">
        <v>5.050000000000001E-2</v>
      </c>
      <c r="D931" s="5">
        <v>4.0000000000000001E-3</v>
      </c>
      <c r="E931" s="5">
        <v>4.9083333333333331E-3</v>
      </c>
      <c r="F931" s="5">
        <v>5.2333333333333329E-3</v>
      </c>
      <c r="G931" s="5">
        <v>5.0708333333333334E-3</v>
      </c>
      <c r="H931" s="5">
        <v>5.6626666666666665E-3</v>
      </c>
      <c r="I931" s="5">
        <f t="shared" si="154"/>
        <v>5.7000000000000002E-3</v>
      </c>
      <c r="J931" s="5">
        <f t="shared" si="158"/>
        <v>4.6291666666666668E-3</v>
      </c>
      <c r="K931" s="5">
        <f t="shared" si="159"/>
        <v>4.483733333333334E-2</v>
      </c>
      <c r="L931" s="8">
        <f t="shared" si="156"/>
        <v>-0.24756490026944489</v>
      </c>
      <c r="M931" s="8">
        <f t="shared" si="157"/>
        <v>4.8000000000000001E-2</v>
      </c>
      <c r="N931" s="8">
        <f t="shared" si="149"/>
        <v>6.0850000000000001E-2</v>
      </c>
      <c r="O931" s="296">
        <f t="shared" si="155"/>
        <v>-0.29556490026944487</v>
      </c>
      <c r="P931" s="8">
        <f t="shared" si="150"/>
        <v>-0.3084149002694449</v>
      </c>
      <c r="Q931" s="8">
        <f t="shared" si="151"/>
        <v>-0.34265191071647272</v>
      </c>
      <c r="R931" s="8">
        <f t="shared" si="152"/>
        <v>6.7951999999999999E-2</v>
      </c>
      <c r="S931" s="296">
        <f t="shared" si="153"/>
        <v>-0.41060391071647273</v>
      </c>
      <c r="U931" s="297"/>
      <c r="V931" s="297"/>
      <c r="W931" s="297"/>
      <c r="X931" s="297"/>
      <c r="Y931" s="297"/>
      <c r="Z931" s="297"/>
      <c r="AA931" s="297"/>
      <c r="AB931" s="297"/>
      <c r="AC931" s="297"/>
      <c r="AE931" s="297"/>
      <c r="AF931" s="297"/>
      <c r="AG931" s="297"/>
      <c r="AH931" s="297"/>
      <c r="AI931" s="297"/>
      <c r="AJ931" s="297"/>
      <c r="AK931" s="297"/>
      <c r="AL931" s="297"/>
      <c r="AM931" s="297"/>
      <c r="AO931" s="297"/>
      <c r="AP931" s="297"/>
      <c r="AQ931" s="297"/>
      <c r="AR931" s="297"/>
      <c r="AS931" s="297"/>
      <c r="AT931" s="297"/>
      <c r="AU931" s="297"/>
      <c r="AV931" s="297"/>
      <c r="AW931" s="297"/>
    </row>
    <row r="932" spans="1:49" x14ac:dyDescent="0.45">
      <c r="A932" s="295">
        <v>37712</v>
      </c>
      <c r="B932" s="12">
        <v>8.2400000000000001E-2</v>
      </c>
      <c r="C932" s="5">
        <v>8.8500000000000009E-2</v>
      </c>
      <c r="D932" s="5">
        <v>4.0000000000000001E-3</v>
      </c>
      <c r="E932" s="5">
        <v>4.783333333333333E-3</v>
      </c>
      <c r="F932" s="5">
        <v>5.1833333333333332E-3</v>
      </c>
      <c r="G932" s="5">
        <v>4.9833333333333327E-3</v>
      </c>
      <c r="H932" s="5">
        <v>5.5400833333333335E-3</v>
      </c>
      <c r="I932" s="5">
        <f t="shared" si="154"/>
        <v>7.8399999999999997E-2</v>
      </c>
      <c r="J932" s="5">
        <f t="shared" si="158"/>
        <v>7.7416666666666661E-2</v>
      </c>
      <c r="K932" s="5">
        <f t="shared" si="159"/>
        <v>8.2959916666666675E-2</v>
      </c>
      <c r="L932" s="8">
        <f t="shared" si="156"/>
        <v>-0.13302559937369318</v>
      </c>
      <c r="M932" s="8">
        <f t="shared" si="157"/>
        <v>4.8000000000000001E-2</v>
      </c>
      <c r="N932" s="8">
        <f t="shared" si="149"/>
        <v>5.9799999999999992E-2</v>
      </c>
      <c r="O932" s="296">
        <f t="shared" si="155"/>
        <v>-0.18102559937369317</v>
      </c>
      <c r="P932" s="8">
        <f t="shared" si="150"/>
        <v>-0.19282559937369317</v>
      </c>
      <c r="Q932" s="8">
        <f t="shared" si="151"/>
        <v>-0.2720282885490698</v>
      </c>
      <c r="R932" s="8">
        <f t="shared" si="152"/>
        <v>6.6480999999999998E-2</v>
      </c>
      <c r="S932" s="296">
        <f t="shared" si="153"/>
        <v>-0.33850928854906981</v>
      </c>
      <c r="U932" s="297"/>
      <c r="V932" s="297"/>
      <c r="W932" s="297"/>
      <c r="X932" s="297"/>
      <c r="Y932" s="297"/>
      <c r="Z932" s="297"/>
      <c r="AA932" s="297"/>
      <c r="AB932" s="297"/>
      <c r="AC932" s="297"/>
      <c r="AE932" s="297"/>
      <c r="AF932" s="297"/>
      <c r="AG932" s="297"/>
      <c r="AH932" s="297"/>
      <c r="AI932" s="297"/>
      <c r="AJ932" s="297"/>
      <c r="AK932" s="297"/>
      <c r="AL932" s="297"/>
      <c r="AM932" s="297"/>
      <c r="AO932" s="297"/>
      <c r="AP932" s="297"/>
      <c r="AQ932" s="297"/>
      <c r="AR932" s="297"/>
      <c r="AS932" s="297"/>
      <c r="AT932" s="297"/>
      <c r="AU932" s="297"/>
      <c r="AV932" s="297"/>
      <c r="AW932" s="297"/>
    </row>
    <row r="933" spans="1:49" x14ac:dyDescent="0.45">
      <c r="A933" s="295">
        <v>37742</v>
      </c>
      <c r="B933" s="12">
        <v>5.2699999999999997E-2</v>
      </c>
      <c r="C933" s="5">
        <v>0.1021</v>
      </c>
      <c r="D933" s="5">
        <v>3.8999999999999994E-3</v>
      </c>
      <c r="E933" s="5">
        <v>4.3499999999999997E-3</v>
      </c>
      <c r="F933" s="5">
        <v>4.875E-3</v>
      </c>
      <c r="G933" s="5">
        <v>4.6125000000000003E-3</v>
      </c>
      <c r="H933" s="5">
        <v>5.3103333333333336E-3</v>
      </c>
      <c r="I933" s="5">
        <f t="shared" si="154"/>
        <v>4.8799999999999996E-2</v>
      </c>
      <c r="J933" s="5">
        <f t="shared" si="158"/>
        <v>4.8087499999999998E-2</v>
      </c>
      <c r="K933" s="5">
        <f t="shared" si="159"/>
        <v>9.6789666666666663E-2</v>
      </c>
      <c r="L933" s="8">
        <f t="shared" si="156"/>
        <v>-8.0531985150802732E-2</v>
      </c>
      <c r="M933" s="8">
        <f t="shared" si="157"/>
        <v>4.6799999999999994E-2</v>
      </c>
      <c r="N933" s="8">
        <f t="shared" si="149"/>
        <v>5.5350000000000003E-2</v>
      </c>
      <c r="O933" s="296">
        <f t="shared" si="155"/>
        <v>-0.12733198515080274</v>
      </c>
      <c r="P933" s="8">
        <f t="shared" si="150"/>
        <v>-0.13588198515080274</v>
      </c>
      <c r="Q933" s="8">
        <f t="shared" si="151"/>
        <v>-0.11816044934043735</v>
      </c>
      <c r="R933" s="8">
        <f t="shared" si="152"/>
        <v>6.3724000000000003E-2</v>
      </c>
      <c r="S933" s="296">
        <f t="shared" si="153"/>
        <v>-0.18188444934043735</v>
      </c>
      <c r="U933" s="297"/>
      <c r="V933" s="297"/>
      <c r="W933" s="297"/>
      <c r="X933" s="297"/>
      <c r="Y933" s="297"/>
      <c r="Z933" s="297"/>
      <c r="AA933" s="297"/>
      <c r="AB933" s="297"/>
      <c r="AC933" s="297"/>
      <c r="AE933" s="297"/>
      <c r="AF933" s="297"/>
      <c r="AG933" s="297"/>
      <c r="AH933" s="297"/>
      <c r="AI933" s="297"/>
      <c r="AJ933" s="297"/>
      <c r="AK933" s="297"/>
      <c r="AL933" s="297"/>
      <c r="AM933" s="297"/>
      <c r="AO933" s="297"/>
      <c r="AP933" s="297"/>
      <c r="AQ933" s="297"/>
      <c r="AR933" s="297"/>
      <c r="AS933" s="297"/>
      <c r="AT933" s="297"/>
      <c r="AU933" s="297"/>
      <c r="AV933" s="297"/>
      <c r="AW933" s="297"/>
    </row>
    <row r="934" spans="1:49" x14ac:dyDescent="0.45">
      <c r="A934" s="295">
        <v>37773</v>
      </c>
      <c r="B934" s="12">
        <v>1.2800000000000001E-2</v>
      </c>
      <c r="C934" s="5">
        <v>1.1900000000000001E-2</v>
      </c>
      <c r="D934" s="5">
        <v>3.5999999999999999E-3</v>
      </c>
      <c r="E934" s="5">
        <v>4.1416666666666659E-3</v>
      </c>
      <c r="F934" s="5">
        <v>4.7666666666666664E-3</v>
      </c>
      <c r="G934" s="5">
        <v>4.4541666666666662E-3</v>
      </c>
      <c r="H934" s="5">
        <v>5.1729999999999996E-3</v>
      </c>
      <c r="I934" s="5">
        <f t="shared" si="154"/>
        <v>9.1999999999999998E-3</v>
      </c>
      <c r="J934" s="5">
        <f t="shared" si="158"/>
        <v>8.3458333333333336E-3</v>
      </c>
      <c r="K934" s="5">
        <f t="shared" si="159"/>
        <v>6.7270000000000012E-3</v>
      </c>
      <c r="L934" s="8">
        <f t="shared" si="156"/>
        <v>2.6240368639824929E-3</v>
      </c>
      <c r="M934" s="8">
        <f t="shared" si="157"/>
        <v>4.3200000000000002E-2</v>
      </c>
      <c r="N934" s="8">
        <f t="shared" si="149"/>
        <v>5.3449999999999998E-2</v>
      </c>
      <c r="O934" s="296">
        <f t="shared" si="155"/>
        <v>-4.0575963136017509E-2</v>
      </c>
      <c r="P934" s="8">
        <f t="shared" si="150"/>
        <v>-5.0825963136017505E-2</v>
      </c>
      <c r="Q934" s="8">
        <f t="shared" si="151"/>
        <v>-3.9468846811182234E-2</v>
      </c>
      <c r="R934" s="8">
        <f t="shared" si="152"/>
        <v>6.2075999999999992E-2</v>
      </c>
      <c r="S934" s="296">
        <f t="shared" si="153"/>
        <v>-0.10154484681118223</v>
      </c>
      <c r="U934" s="297"/>
      <c r="V934" s="297"/>
      <c r="W934" s="297"/>
      <c r="X934" s="297"/>
      <c r="Y934" s="297"/>
      <c r="Z934" s="297"/>
      <c r="AA934" s="297"/>
      <c r="AB934" s="297"/>
      <c r="AC934" s="297"/>
      <c r="AE934" s="297"/>
      <c r="AF934" s="297"/>
      <c r="AG934" s="297"/>
      <c r="AH934" s="297"/>
      <c r="AI934" s="297"/>
      <c r="AJ934" s="297"/>
      <c r="AK934" s="297"/>
      <c r="AL934" s="297"/>
      <c r="AM934" s="297"/>
      <c r="AO934" s="297"/>
      <c r="AP934" s="297"/>
      <c r="AQ934" s="297"/>
      <c r="AR934" s="297"/>
      <c r="AS934" s="297"/>
      <c r="AT934" s="297"/>
      <c r="AU934" s="297"/>
      <c r="AV934" s="297"/>
      <c r="AW934" s="297"/>
    </row>
    <row r="935" spans="1:49" x14ac:dyDescent="0.45">
      <c r="A935" s="295">
        <v>37803</v>
      </c>
      <c r="B935" s="12">
        <v>1.7600000000000001E-2</v>
      </c>
      <c r="C935" s="5">
        <v>-6.5000000000000002E-2</v>
      </c>
      <c r="D935" s="5">
        <v>3.8E-3</v>
      </c>
      <c r="E935" s="5">
        <v>4.5750000000000001E-3</v>
      </c>
      <c r="F935" s="5">
        <v>5.058333333333334E-3</v>
      </c>
      <c r="G935" s="5">
        <v>4.816666666666667E-3</v>
      </c>
      <c r="H935" s="5">
        <v>5.4568333333333326E-3</v>
      </c>
      <c r="I935" s="5">
        <f t="shared" si="154"/>
        <v>1.3800000000000002E-2</v>
      </c>
      <c r="J935" s="5">
        <f t="shared" si="158"/>
        <v>1.2783333333333334E-2</v>
      </c>
      <c r="K935" s="5">
        <f t="shared" si="159"/>
        <v>-7.045683333333333E-2</v>
      </c>
      <c r="L935" s="8">
        <f t="shared" si="156"/>
        <v>0.10658375261690756</v>
      </c>
      <c r="M935" s="8">
        <f t="shared" si="157"/>
        <v>4.5600000000000002E-2</v>
      </c>
      <c r="N935" s="8">
        <f t="shared" si="149"/>
        <v>5.7800000000000004E-2</v>
      </c>
      <c r="O935" s="296">
        <f t="shared" si="155"/>
        <v>6.0983752616907555E-2</v>
      </c>
      <c r="P935" s="8">
        <f t="shared" si="150"/>
        <v>4.8783752616907552E-2</v>
      </c>
      <c r="Q935" s="8">
        <f t="shared" si="151"/>
        <v>4.1875438783694374E-2</v>
      </c>
      <c r="R935" s="8">
        <f t="shared" si="152"/>
        <v>6.5481999999999985E-2</v>
      </c>
      <c r="S935" s="296">
        <f t="shared" si="153"/>
        <v>-2.360656121630561E-2</v>
      </c>
      <c r="U935" s="297"/>
      <c r="V935" s="297"/>
      <c r="W935" s="297"/>
      <c r="X935" s="297"/>
      <c r="Y935" s="297"/>
      <c r="Z935" s="297"/>
      <c r="AA935" s="297"/>
      <c r="AB935" s="297"/>
      <c r="AC935" s="297"/>
      <c r="AE935" s="297"/>
      <c r="AF935" s="297"/>
      <c r="AG935" s="297"/>
      <c r="AH935" s="297"/>
      <c r="AI935" s="297"/>
      <c r="AJ935" s="297"/>
      <c r="AK935" s="297"/>
      <c r="AL935" s="297"/>
      <c r="AM935" s="297"/>
      <c r="AO935" s="297"/>
      <c r="AP935" s="297"/>
      <c r="AQ935" s="297"/>
      <c r="AR935" s="297"/>
      <c r="AS935" s="297"/>
      <c r="AT935" s="297"/>
      <c r="AU935" s="297"/>
      <c r="AV935" s="297"/>
      <c r="AW935" s="297"/>
    </row>
    <row r="936" spans="1:49" x14ac:dyDescent="0.45">
      <c r="A936" s="295">
        <v>37834</v>
      </c>
      <c r="B936" s="12">
        <v>1.95E-2</v>
      </c>
      <c r="C936" s="5">
        <v>1.7499999999999998E-2</v>
      </c>
      <c r="D936" s="5">
        <v>4.1999999999999997E-3</v>
      </c>
      <c r="E936" s="5">
        <v>4.8916666666666666E-3</v>
      </c>
      <c r="F936" s="5">
        <v>5.2583333333333327E-3</v>
      </c>
      <c r="G936" s="5">
        <v>5.0749999999999997E-3</v>
      </c>
      <c r="H936" s="5">
        <v>5.6591666666666674E-3</v>
      </c>
      <c r="I936" s="5">
        <f t="shared" si="154"/>
        <v>1.5300000000000001E-2</v>
      </c>
      <c r="J936" s="5">
        <f t="shared" si="158"/>
        <v>1.4425E-2</v>
      </c>
      <c r="K936" s="5">
        <f t="shared" si="159"/>
        <v>1.1840833333333332E-2</v>
      </c>
      <c r="L936" s="8">
        <f t="shared" si="156"/>
        <v>0.12076508622385984</v>
      </c>
      <c r="M936" s="8">
        <f t="shared" si="157"/>
        <v>5.04E-2</v>
      </c>
      <c r="N936" s="8">
        <f t="shared" ref="N936:N999" si="160">G936*12</f>
        <v>6.0899999999999996E-2</v>
      </c>
      <c r="O936" s="296">
        <f t="shared" si="155"/>
        <v>7.0365086223859841E-2</v>
      </c>
      <c r="P936" s="8">
        <f t="shared" ref="P936:P999" si="161">L936-N936</f>
        <v>5.9865086223859845E-2</v>
      </c>
      <c r="Q936" s="8">
        <f t="shared" ref="Q936:Q999" si="162">((1+C925)*(1+C926)*(1+C927)*(1+C928)*(1+C929)*(1+C930)*(1+C931)*(1+C932)*(1+C933)*(1+C934)*(1+C935)*(1+C936))-1</f>
        <v>2.4259187403294025E-2</v>
      </c>
      <c r="R936" s="8">
        <f t="shared" ref="R936:R999" si="163">H936*12</f>
        <v>6.7910000000000012E-2</v>
      </c>
      <c r="S936" s="296">
        <f t="shared" ref="S936:S999" si="164">Q936-R936</f>
        <v>-4.3650812596705987E-2</v>
      </c>
      <c r="U936" s="297"/>
      <c r="V936" s="297"/>
      <c r="W936" s="297"/>
      <c r="X936" s="297"/>
      <c r="Y936" s="297"/>
      <c r="Z936" s="297"/>
      <c r="AA936" s="297"/>
      <c r="AB936" s="297"/>
      <c r="AC936" s="297"/>
      <c r="AE936" s="297"/>
      <c r="AF936" s="297"/>
      <c r="AG936" s="297"/>
      <c r="AH936" s="297"/>
      <c r="AI936" s="297"/>
      <c r="AJ936" s="297"/>
      <c r="AK936" s="297"/>
      <c r="AL936" s="297"/>
      <c r="AM936" s="297"/>
      <c r="AO936" s="297"/>
      <c r="AP936" s="297"/>
      <c r="AQ936" s="297"/>
      <c r="AR936" s="297"/>
      <c r="AS936" s="297"/>
      <c r="AT936" s="297"/>
      <c r="AU936" s="297"/>
      <c r="AV936" s="297"/>
      <c r="AW936" s="297"/>
    </row>
    <row r="937" spans="1:49" x14ac:dyDescent="0.45">
      <c r="A937" s="295">
        <v>37865</v>
      </c>
      <c r="B937" s="12">
        <v>-1.06E-2</v>
      </c>
      <c r="C937" s="5">
        <v>4.5699999999999991E-2</v>
      </c>
      <c r="D937" s="5">
        <v>4.5999999999999999E-3</v>
      </c>
      <c r="E937" s="5">
        <v>4.7666666666666664E-3</v>
      </c>
      <c r="F937" s="5">
        <v>5.1083333333333336E-3</v>
      </c>
      <c r="G937" s="5">
        <v>4.9375E-3</v>
      </c>
      <c r="H937" s="5">
        <v>5.4869166666666669E-3</v>
      </c>
      <c r="I937" s="5">
        <f t="shared" si="154"/>
        <v>-1.52E-2</v>
      </c>
      <c r="J937" s="5">
        <f t="shared" si="158"/>
        <v>-1.5537499999999999E-2</v>
      </c>
      <c r="K937" s="5">
        <f t="shared" si="159"/>
        <v>4.0213083333333323E-2</v>
      </c>
      <c r="L937" s="8">
        <f t="shared" si="156"/>
        <v>0.24412092035216748</v>
      </c>
      <c r="M937" s="8">
        <f t="shared" si="157"/>
        <v>5.5199999999999999E-2</v>
      </c>
      <c r="N937" s="8">
        <f t="shared" si="160"/>
        <v>5.9249999999999997E-2</v>
      </c>
      <c r="O937" s="296">
        <f t="shared" si="155"/>
        <v>0.18892092035216748</v>
      </c>
      <c r="P937" s="8">
        <f t="shared" si="161"/>
        <v>0.18487092035216748</v>
      </c>
      <c r="Q937" s="8">
        <f t="shared" si="162"/>
        <v>0.22871152032536957</v>
      </c>
      <c r="R937" s="8">
        <f t="shared" si="163"/>
        <v>6.5842999999999999E-2</v>
      </c>
      <c r="S937" s="296">
        <f t="shared" si="164"/>
        <v>0.16286852032536958</v>
      </c>
      <c r="U937" s="297"/>
      <c r="V937" s="297"/>
      <c r="W937" s="297"/>
      <c r="X937" s="297"/>
      <c r="Y937" s="297"/>
      <c r="Z937" s="297"/>
      <c r="AA937" s="297"/>
      <c r="AB937" s="297"/>
      <c r="AC937" s="297"/>
      <c r="AE937" s="297"/>
      <c r="AF937" s="297"/>
      <c r="AG937" s="297"/>
      <c r="AH937" s="297"/>
      <c r="AI937" s="297"/>
      <c r="AJ937" s="297"/>
      <c r="AK937" s="297"/>
      <c r="AL937" s="297"/>
      <c r="AM937" s="297"/>
      <c r="AO937" s="297"/>
      <c r="AP937" s="297"/>
      <c r="AQ937" s="297"/>
      <c r="AR937" s="297"/>
      <c r="AS937" s="297"/>
      <c r="AT937" s="297"/>
      <c r="AU937" s="297"/>
      <c r="AV937" s="297"/>
      <c r="AW937" s="297"/>
    </row>
    <row r="938" spans="1:49" x14ac:dyDescent="0.45">
      <c r="A938" s="295">
        <v>37895</v>
      </c>
      <c r="B938" s="12">
        <v>5.6599999999999998E-2</v>
      </c>
      <c r="C938" s="5">
        <v>1.1199999999999998E-2</v>
      </c>
      <c r="D938" s="5">
        <v>4.1000000000000003E-3</v>
      </c>
      <c r="E938" s="5">
        <v>4.7500000000000007E-3</v>
      </c>
      <c r="F938" s="5">
        <v>5.0916666666666662E-3</v>
      </c>
      <c r="G938" s="5">
        <v>4.9208333333333335E-3</v>
      </c>
      <c r="H938" s="5">
        <v>5.3500000000000006E-3</v>
      </c>
      <c r="I938" s="5">
        <f t="shared" si="154"/>
        <v>5.2499999999999998E-2</v>
      </c>
      <c r="J938" s="5">
        <f t="shared" si="158"/>
        <v>5.1679166666666665E-2</v>
      </c>
      <c r="K938" s="5">
        <f t="shared" si="159"/>
        <v>5.8499999999999976E-3</v>
      </c>
      <c r="L938" s="8">
        <f t="shared" si="156"/>
        <v>0.20821522467288611</v>
      </c>
      <c r="M938" s="8">
        <f t="shared" si="157"/>
        <v>4.9200000000000008E-2</v>
      </c>
      <c r="N938" s="8">
        <f t="shared" si="160"/>
        <v>5.9050000000000005E-2</v>
      </c>
      <c r="O938" s="296">
        <f t="shared" si="155"/>
        <v>0.15901522467288609</v>
      </c>
      <c r="P938" s="8">
        <f t="shared" si="161"/>
        <v>0.14916522467288612</v>
      </c>
      <c r="Q938" s="8">
        <f t="shared" si="162"/>
        <v>0.26434627999696136</v>
      </c>
      <c r="R938" s="8">
        <f t="shared" si="163"/>
        <v>6.4200000000000007E-2</v>
      </c>
      <c r="S938" s="296">
        <f t="shared" si="164"/>
        <v>0.20014627999696136</v>
      </c>
      <c r="U938" s="297"/>
      <c r="V938" s="297"/>
      <c r="W938" s="297"/>
      <c r="X938" s="297"/>
      <c r="Y938" s="297"/>
      <c r="Z938" s="297"/>
      <c r="AA938" s="297"/>
      <c r="AB938" s="297"/>
      <c r="AC938" s="297"/>
      <c r="AE938" s="297"/>
      <c r="AF938" s="297"/>
      <c r="AG938" s="297"/>
      <c r="AH938" s="297"/>
      <c r="AI938" s="297"/>
      <c r="AJ938" s="297"/>
      <c r="AK938" s="297"/>
      <c r="AL938" s="297"/>
      <c r="AM938" s="297"/>
      <c r="AO938" s="297"/>
      <c r="AP938" s="297"/>
      <c r="AQ938" s="297"/>
      <c r="AR938" s="297"/>
      <c r="AS938" s="297"/>
      <c r="AT938" s="297"/>
      <c r="AU938" s="297"/>
      <c r="AV938" s="297"/>
      <c r="AW938" s="297"/>
    </row>
    <row r="939" spans="1:49" x14ac:dyDescent="0.45">
      <c r="A939" s="295">
        <v>37926</v>
      </c>
      <c r="B939" s="12">
        <v>8.8000000000000005E-3</v>
      </c>
      <c r="C939" s="5">
        <v>-5.0000000000000001E-4</v>
      </c>
      <c r="D939" s="5">
        <v>3.8999999999999994E-3</v>
      </c>
      <c r="E939" s="5">
        <v>4.7083333333333335E-3</v>
      </c>
      <c r="F939" s="5">
        <v>5.0666666666666672E-3</v>
      </c>
      <c r="G939" s="5">
        <v>4.8875000000000004E-3</v>
      </c>
      <c r="H939" s="5">
        <v>5.3093333333333334E-3</v>
      </c>
      <c r="I939" s="5">
        <f t="shared" si="154"/>
        <v>4.9000000000000016E-3</v>
      </c>
      <c r="J939" s="5">
        <f t="shared" si="158"/>
        <v>3.9125000000000002E-3</v>
      </c>
      <c r="K939" s="5">
        <f t="shared" si="159"/>
        <v>-5.809333333333333E-3</v>
      </c>
      <c r="L939" s="8">
        <f t="shared" si="156"/>
        <v>0.15105063617906067</v>
      </c>
      <c r="M939" s="8">
        <f t="shared" si="157"/>
        <v>4.6799999999999994E-2</v>
      </c>
      <c r="N939" s="8">
        <f t="shared" si="160"/>
        <v>5.8650000000000008E-2</v>
      </c>
      <c r="O939" s="296">
        <f t="shared" si="155"/>
        <v>0.10425063617906068</v>
      </c>
      <c r="P939" s="8">
        <f t="shared" si="161"/>
        <v>9.2400636179060663E-2</v>
      </c>
      <c r="Q939" s="8">
        <f t="shared" si="162"/>
        <v>0.23301210543171358</v>
      </c>
      <c r="R939" s="8">
        <f t="shared" si="163"/>
        <v>6.3712000000000005E-2</v>
      </c>
      <c r="S939" s="296">
        <f t="shared" si="164"/>
        <v>0.16930010543171359</v>
      </c>
      <c r="U939" s="297"/>
      <c r="V939" s="297"/>
      <c r="W939" s="297"/>
      <c r="X939" s="297"/>
      <c r="Y939" s="297"/>
      <c r="Z939" s="297"/>
      <c r="AA939" s="297"/>
      <c r="AB939" s="297"/>
      <c r="AC939" s="297"/>
      <c r="AE939" s="297"/>
      <c r="AF939" s="297"/>
      <c r="AG939" s="297"/>
      <c r="AH939" s="297"/>
      <c r="AI939" s="297"/>
      <c r="AJ939" s="297"/>
      <c r="AK939" s="297"/>
      <c r="AL939" s="297"/>
      <c r="AM939" s="297"/>
      <c r="AO939" s="297"/>
      <c r="AP939" s="297"/>
      <c r="AQ939" s="297"/>
      <c r="AR939" s="297"/>
      <c r="AS939" s="297"/>
      <c r="AT939" s="297"/>
      <c r="AU939" s="297"/>
      <c r="AV939" s="297"/>
      <c r="AW939" s="297"/>
    </row>
    <row r="940" spans="1:49" x14ac:dyDescent="0.45">
      <c r="A940" s="295">
        <v>37956</v>
      </c>
      <c r="B940" s="12">
        <v>5.2400000000000002E-2</v>
      </c>
      <c r="C940" s="5">
        <v>6.7499999999999991E-2</v>
      </c>
      <c r="D940" s="5">
        <v>4.7000000000000002E-3</v>
      </c>
      <c r="E940" s="5">
        <v>4.7083333333333335E-3</v>
      </c>
      <c r="F940" s="5">
        <v>5.0166666666666658E-3</v>
      </c>
      <c r="G940" s="5">
        <v>4.8624999999999996E-3</v>
      </c>
      <c r="H940" s="5">
        <v>5.2325000000000002E-3</v>
      </c>
      <c r="I940" s="5">
        <f t="shared" si="154"/>
        <v>4.7699999999999999E-2</v>
      </c>
      <c r="J940" s="5">
        <f t="shared" si="158"/>
        <v>4.7537500000000003E-2</v>
      </c>
      <c r="K940" s="5">
        <f t="shared" si="159"/>
        <v>6.226749999999999E-2</v>
      </c>
      <c r="L940" s="8">
        <f t="shared" si="156"/>
        <v>0.28690713854758698</v>
      </c>
      <c r="M940" s="8">
        <f t="shared" si="157"/>
        <v>5.6400000000000006E-2</v>
      </c>
      <c r="N940" s="8">
        <f t="shared" si="160"/>
        <v>5.8349999999999999E-2</v>
      </c>
      <c r="O940" s="296">
        <f t="shared" si="155"/>
        <v>0.23050713854758698</v>
      </c>
      <c r="P940" s="8">
        <f t="shared" si="161"/>
        <v>0.22855713854758697</v>
      </c>
      <c r="Q940" s="8">
        <f t="shared" si="162"/>
        <v>0.26367168063398005</v>
      </c>
      <c r="R940" s="8">
        <f t="shared" si="163"/>
        <v>6.2789999999999999E-2</v>
      </c>
      <c r="S940" s="296">
        <f t="shared" si="164"/>
        <v>0.20088168063398004</v>
      </c>
      <c r="U940" s="297"/>
      <c r="V940" s="297"/>
      <c r="W940" s="297"/>
      <c r="X940" s="297"/>
      <c r="Y940" s="297"/>
      <c r="Z940" s="297"/>
      <c r="AA940" s="297"/>
      <c r="AB940" s="297"/>
      <c r="AC940" s="297"/>
      <c r="AE940" s="297"/>
      <c r="AF940" s="297"/>
      <c r="AG940" s="297"/>
      <c r="AH940" s="297"/>
      <c r="AI940" s="297"/>
      <c r="AJ940" s="297"/>
      <c r="AK940" s="297"/>
      <c r="AL940" s="297"/>
      <c r="AM940" s="297"/>
      <c r="AO940" s="297"/>
      <c r="AP940" s="297"/>
      <c r="AQ940" s="297"/>
      <c r="AR940" s="297"/>
      <c r="AS940" s="297"/>
      <c r="AT940" s="297"/>
      <c r="AU940" s="297"/>
      <c r="AV940" s="297"/>
      <c r="AW940" s="297"/>
    </row>
    <row r="941" spans="1:49" x14ac:dyDescent="0.45">
      <c r="A941" s="295">
        <v>37987</v>
      </c>
      <c r="B941" s="12">
        <v>1.84E-2</v>
      </c>
      <c r="C941" s="5">
        <v>2.1599999999999998E-2</v>
      </c>
      <c r="D941" s="5">
        <v>4.1999999999999997E-3</v>
      </c>
      <c r="E941" s="5">
        <v>4.6166666666666665E-3</v>
      </c>
      <c r="F941" s="5">
        <v>4.9249999999999997E-3</v>
      </c>
      <c r="G941" s="5">
        <v>4.7708333333333327E-3</v>
      </c>
      <c r="H941" s="5">
        <v>5.1280833333333335E-3</v>
      </c>
      <c r="I941" s="5">
        <f t="shared" si="154"/>
        <v>1.4200000000000001E-2</v>
      </c>
      <c r="J941" s="5">
        <f t="shared" si="158"/>
        <v>1.3629166666666668E-2</v>
      </c>
      <c r="K941" s="5">
        <f t="shared" si="159"/>
        <v>1.6471916666666662E-2</v>
      </c>
      <c r="L941" s="8">
        <f t="shared" si="156"/>
        <v>0.34584743263181572</v>
      </c>
      <c r="M941" s="8">
        <f t="shared" si="157"/>
        <v>5.04E-2</v>
      </c>
      <c r="N941" s="8">
        <f t="shared" si="160"/>
        <v>5.7249999999999995E-2</v>
      </c>
      <c r="O941" s="296">
        <f t="shared" si="155"/>
        <v>0.29544743263181572</v>
      </c>
      <c r="P941" s="8">
        <f t="shared" si="161"/>
        <v>0.2885974326318157</v>
      </c>
      <c r="Q941" s="8">
        <f t="shared" si="162"/>
        <v>0.32979706318054602</v>
      </c>
      <c r="R941" s="8">
        <f t="shared" si="163"/>
        <v>6.1537000000000001E-2</v>
      </c>
      <c r="S941" s="296">
        <f t="shared" si="164"/>
        <v>0.26826006318054602</v>
      </c>
      <c r="U941" s="297"/>
      <c r="V941" s="297"/>
      <c r="W941" s="297"/>
      <c r="X941" s="297"/>
      <c r="Y941" s="297"/>
      <c r="Z941" s="297"/>
      <c r="AA941" s="297"/>
      <c r="AB941" s="297"/>
      <c r="AC941" s="297"/>
      <c r="AE941" s="297"/>
      <c r="AF941" s="297"/>
      <c r="AG941" s="297"/>
      <c r="AH941" s="297"/>
      <c r="AI941" s="297"/>
      <c r="AJ941" s="297"/>
      <c r="AK941" s="297"/>
      <c r="AL941" s="297"/>
      <c r="AM941" s="297"/>
      <c r="AO941" s="297"/>
      <c r="AP941" s="297"/>
      <c r="AQ941" s="297"/>
      <c r="AR941" s="297"/>
      <c r="AS941" s="297"/>
      <c r="AT941" s="297"/>
      <c r="AU941" s="297"/>
      <c r="AV941" s="297"/>
      <c r="AW941" s="297"/>
    </row>
    <row r="942" spans="1:49" x14ac:dyDescent="0.45">
      <c r="A942" s="295">
        <v>38018</v>
      </c>
      <c r="B942" s="12">
        <v>1.3899999999999999E-2</v>
      </c>
      <c r="C942" s="5">
        <v>1.8100000000000002E-2</v>
      </c>
      <c r="D942" s="5">
        <v>3.8E-3</v>
      </c>
      <c r="E942" s="5">
        <v>4.5833333333333334E-3</v>
      </c>
      <c r="F942" s="5">
        <v>4.8916666666666666E-3</v>
      </c>
      <c r="G942" s="5">
        <v>4.7375000000000004E-3</v>
      </c>
      <c r="H942" s="5">
        <v>5.1250000000000011E-3</v>
      </c>
      <c r="I942" s="5">
        <f t="shared" si="154"/>
        <v>1.01E-2</v>
      </c>
      <c r="J942" s="5">
        <f t="shared" si="158"/>
        <v>9.1624999999999988E-3</v>
      </c>
      <c r="K942" s="5">
        <f t="shared" si="159"/>
        <v>1.2975E-2</v>
      </c>
      <c r="L942" s="8">
        <f t="shared" si="156"/>
        <v>0.38533473293949094</v>
      </c>
      <c r="M942" s="8">
        <f t="shared" si="157"/>
        <v>4.5600000000000002E-2</v>
      </c>
      <c r="N942" s="8">
        <f t="shared" si="160"/>
        <v>5.6850000000000005E-2</v>
      </c>
      <c r="O942" s="296">
        <f t="shared" si="155"/>
        <v>0.33973473293949097</v>
      </c>
      <c r="P942" s="8">
        <f t="shared" si="161"/>
        <v>0.32848473293949093</v>
      </c>
      <c r="Q942" s="8">
        <f t="shared" si="162"/>
        <v>0.42362396427351645</v>
      </c>
      <c r="R942" s="8">
        <f t="shared" si="163"/>
        <v>6.1500000000000013E-2</v>
      </c>
      <c r="S942" s="296">
        <f t="shared" si="164"/>
        <v>0.36212396427351645</v>
      </c>
      <c r="U942" s="297"/>
      <c r="V942" s="297"/>
      <c r="W942" s="297"/>
      <c r="X942" s="297"/>
      <c r="Y942" s="297"/>
      <c r="Z942" s="297"/>
      <c r="AA942" s="297"/>
      <c r="AB942" s="297"/>
      <c r="AC942" s="297"/>
      <c r="AE942" s="297"/>
      <c r="AF942" s="297"/>
      <c r="AG942" s="297"/>
      <c r="AH942" s="297"/>
      <c r="AI942" s="297"/>
      <c r="AJ942" s="297"/>
      <c r="AK942" s="297"/>
      <c r="AL942" s="297"/>
      <c r="AM942" s="297"/>
      <c r="AO942" s="297"/>
      <c r="AP942" s="297"/>
      <c r="AQ942" s="297"/>
      <c r="AR942" s="297"/>
      <c r="AS942" s="297"/>
      <c r="AT942" s="297"/>
      <c r="AU942" s="297"/>
      <c r="AV942" s="297"/>
      <c r="AW942" s="297"/>
    </row>
    <row r="943" spans="1:49" x14ac:dyDescent="0.45">
      <c r="A943" s="295">
        <v>38047</v>
      </c>
      <c r="B943" s="12">
        <v>-1.5100000000000001E-2</v>
      </c>
      <c r="C943" s="5">
        <v>1.04E-2</v>
      </c>
      <c r="D943" s="5">
        <v>4.3E-3</v>
      </c>
      <c r="E943" s="5">
        <v>4.4416666666666667E-3</v>
      </c>
      <c r="F943" s="5">
        <v>4.7500000000000007E-3</v>
      </c>
      <c r="G943" s="5">
        <v>4.5958333333333337E-3</v>
      </c>
      <c r="H943" s="5">
        <v>4.9753333333333333E-3</v>
      </c>
      <c r="I943" s="5">
        <f t="shared" si="154"/>
        <v>-1.9400000000000001E-2</v>
      </c>
      <c r="J943" s="5">
        <f t="shared" si="158"/>
        <v>-1.9695833333333336E-2</v>
      </c>
      <c r="K943" s="5">
        <f t="shared" si="159"/>
        <v>5.4246666666666662E-3</v>
      </c>
      <c r="L943" s="8">
        <f t="shared" si="156"/>
        <v>0.35130848615638732</v>
      </c>
      <c r="M943" s="8">
        <f t="shared" si="157"/>
        <v>5.16E-2</v>
      </c>
      <c r="N943" s="8">
        <f t="shared" si="160"/>
        <v>5.5150000000000005E-2</v>
      </c>
      <c r="O943" s="296">
        <f t="shared" si="155"/>
        <v>0.29970848615638734</v>
      </c>
      <c r="P943" s="8">
        <f t="shared" si="161"/>
        <v>0.29615848615638729</v>
      </c>
      <c r="Q943" s="8">
        <f t="shared" si="162"/>
        <v>0.36928096478054373</v>
      </c>
      <c r="R943" s="8">
        <f t="shared" si="163"/>
        <v>5.9704E-2</v>
      </c>
      <c r="S943" s="296">
        <f t="shared" si="164"/>
        <v>0.30957696478054375</v>
      </c>
      <c r="U943" s="297"/>
      <c r="V943" s="297"/>
      <c r="W943" s="297"/>
      <c r="X943" s="297"/>
      <c r="Y943" s="297"/>
      <c r="Z943" s="297"/>
      <c r="AA943" s="297"/>
      <c r="AB943" s="297"/>
      <c r="AC943" s="297"/>
      <c r="AE943" s="297"/>
      <c r="AF943" s="297"/>
      <c r="AG943" s="297"/>
      <c r="AH943" s="297"/>
      <c r="AI943" s="297"/>
      <c r="AJ943" s="297"/>
      <c r="AK943" s="297"/>
      <c r="AL943" s="297"/>
      <c r="AM943" s="297"/>
      <c r="AO943" s="297"/>
      <c r="AP943" s="297"/>
      <c r="AQ943" s="297"/>
      <c r="AR943" s="297"/>
      <c r="AS943" s="297"/>
      <c r="AT943" s="297"/>
      <c r="AU943" s="297"/>
      <c r="AV943" s="297"/>
      <c r="AW943" s="297"/>
    </row>
    <row r="944" spans="1:49" x14ac:dyDescent="0.45">
      <c r="A944" s="295">
        <v>38078</v>
      </c>
      <c r="B944" s="12">
        <v>-1.5699999999999999E-2</v>
      </c>
      <c r="C944" s="5">
        <v>-3.6199999999999996E-2</v>
      </c>
      <c r="D944" s="5">
        <v>3.8999999999999994E-3</v>
      </c>
      <c r="E944" s="5">
        <v>4.7750000000000006E-3</v>
      </c>
      <c r="F944" s="5">
        <v>5.0833333333333329E-3</v>
      </c>
      <c r="G944" s="5">
        <v>4.9291666666666668E-3</v>
      </c>
      <c r="H944" s="5">
        <v>5.2710000000000005E-3</v>
      </c>
      <c r="I944" s="5">
        <f t="shared" si="154"/>
        <v>-1.9599999999999999E-2</v>
      </c>
      <c r="J944" s="5">
        <f t="shared" si="158"/>
        <v>-2.0629166666666664E-2</v>
      </c>
      <c r="K944" s="5">
        <f t="shared" si="159"/>
        <v>-4.1470999999999994E-2</v>
      </c>
      <c r="L944" s="8">
        <f t="shared" si="156"/>
        <v>0.22883679131904278</v>
      </c>
      <c r="M944" s="8">
        <f t="shared" si="157"/>
        <v>4.6799999999999994E-2</v>
      </c>
      <c r="N944" s="8">
        <f t="shared" si="160"/>
        <v>5.9150000000000001E-2</v>
      </c>
      <c r="O944" s="296">
        <f t="shared" si="155"/>
        <v>0.18203679131904277</v>
      </c>
      <c r="P944" s="8">
        <f t="shared" si="161"/>
        <v>0.16968679131904277</v>
      </c>
      <c r="Q944" s="8">
        <f t="shared" si="162"/>
        <v>0.21241432600412247</v>
      </c>
      <c r="R944" s="8">
        <f t="shared" si="163"/>
        <v>6.3252000000000003E-2</v>
      </c>
      <c r="S944" s="296">
        <f t="shared" si="164"/>
        <v>0.14916232600412246</v>
      </c>
      <c r="U944" s="297"/>
      <c r="V944" s="297"/>
      <c r="W944" s="297"/>
      <c r="X944" s="297"/>
      <c r="Y944" s="297"/>
      <c r="Z944" s="297"/>
      <c r="AA944" s="297"/>
      <c r="AB944" s="297"/>
      <c r="AC944" s="297"/>
      <c r="AE944" s="297"/>
      <c r="AF944" s="297"/>
      <c r="AG944" s="297"/>
      <c r="AH944" s="297"/>
      <c r="AI944" s="297"/>
      <c r="AJ944" s="297"/>
      <c r="AK944" s="297"/>
      <c r="AL944" s="297"/>
      <c r="AM944" s="297"/>
      <c r="AO944" s="297"/>
      <c r="AP944" s="297"/>
      <c r="AQ944" s="297"/>
      <c r="AR944" s="297"/>
      <c r="AS944" s="297"/>
      <c r="AT944" s="297"/>
      <c r="AU944" s="297"/>
      <c r="AV944" s="297"/>
      <c r="AW944" s="297"/>
    </row>
    <row r="945" spans="1:49" x14ac:dyDescent="0.45">
      <c r="A945" s="295">
        <v>38108</v>
      </c>
      <c r="B945" s="12">
        <v>1.37E-2</v>
      </c>
      <c r="C945" s="5">
        <v>7.9000000000000008E-3</v>
      </c>
      <c r="D945" s="5">
        <v>4.0000000000000001E-3</v>
      </c>
      <c r="E945" s="5">
        <v>5.0333333333333332E-3</v>
      </c>
      <c r="F945" s="5">
        <v>5.3333333333333332E-3</v>
      </c>
      <c r="G945" s="5">
        <v>5.1833333333333332E-3</v>
      </c>
      <c r="H945" s="5">
        <v>5.5170833333333339E-3</v>
      </c>
      <c r="I945" s="5">
        <f t="shared" si="154"/>
        <v>9.7000000000000003E-3</v>
      </c>
      <c r="J945" s="5">
        <f t="shared" si="158"/>
        <v>8.5166666666666672E-3</v>
      </c>
      <c r="K945" s="5">
        <f t="shared" si="159"/>
        <v>2.3829166666666669E-3</v>
      </c>
      <c r="L945" s="8">
        <f t="shared" si="156"/>
        <v>0.18331134735453003</v>
      </c>
      <c r="M945" s="8">
        <f t="shared" si="157"/>
        <v>4.8000000000000001E-2</v>
      </c>
      <c r="N945" s="8">
        <f t="shared" si="160"/>
        <v>6.2199999999999998E-2</v>
      </c>
      <c r="O945" s="296">
        <f t="shared" si="155"/>
        <v>0.13531134735453004</v>
      </c>
      <c r="P945" s="8">
        <f t="shared" si="161"/>
        <v>0.12111134735453002</v>
      </c>
      <c r="Q945" s="8">
        <f t="shared" si="162"/>
        <v>0.10878540892800559</v>
      </c>
      <c r="R945" s="8">
        <f t="shared" si="163"/>
        <v>6.6205000000000014E-2</v>
      </c>
      <c r="S945" s="296">
        <f t="shared" si="164"/>
        <v>4.2580408928005575E-2</v>
      </c>
      <c r="U945" s="297"/>
      <c r="V945" s="297"/>
      <c r="W945" s="297"/>
      <c r="X945" s="297"/>
      <c r="Y945" s="297"/>
      <c r="Z945" s="297"/>
      <c r="AA945" s="297"/>
      <c r="AB945" s="297"/>
      <c r="AC945" s="297"/>
      <c r="AE945" s="297"/>
      <c r="AF945" s="297"/>
      <c r="AG945" s="297"/>
      <c r="AH945" s="297"/>
      <c r="AI945" s="297"/>
      <c r="AJ945" s="297"/>
      <c r="AK945" s="297"/>
      <c r="AL945" s="297"/>
      <c r="AM945" s="297"/>
      <c r="AO945" s="297"/>
      <c r="AP945" s="297"/>
      <c r="AQ945" s="297"/>
      <c r="AR945" s="297"/>
      <c r="AS945" s="297"/>
      <c r="AT945" s="297"/>
      <c r="AU945" s="297"/>
      <c r="AV945" s="297"/>
      <c r="AW945" s="297"/>
    </row>
    <row r="946" spans="1:49" x14ac:dyDescent="0.45">
      <c r="A946" s="295">
        <v>38139</v>
      </c>
      <c r="B946" s="12">
        <v>1.9400000000000001E-2</v>
      </c>
      <c r="C946" s="5">
        <v>1.55E-2</v>
      </c>
      <c r="D946" s="5">
        <v>4.7999999999999996E-3</v>
      </c>
      <c r="E946" s="5">
        <v>5.0083333333333334E-3</v>
      </c>
      <c r="F946" s="5">
        <v>5.1749999999999999E-3</v>
      </c>
      <c r="G946" s="5">
        <v>5.0916666666666662E-3</v>
      </c>
      <c r="H946" s="5">
        <v>5.3876666666666673E-3</v>
      </c>
      <c r="I946" s="5">
        <f t="shared" si="154"/>
        <v>1.4600000000000002E-2</v>
      </c>
      <c r="J946" s="5">
        <f t="shared" si="158"/>
        <v>1.4308333333333334E-2</v>
      </c>
      <c r="K946" s="5">
        <f t="shared" si="159"/>
        <v>1.0112333333333333E-2</v>
      </c>
      <c r="L946" s="8">
        <f t="shared" si="156"/>
        <v>0.19102249949961325</v>
      </c>
      <c r="M946" s="8">
        <f t="shared" si="157"/>
        <v>5.7599999999999998E-2</v>
      </c>
      <c r="N946" s="8">
        <f t="shared" si="160"/>
        <v>6.1099999999999995E-2</v>
      </c>
      <c r="O946" s="296">
        <f t="shared" si="155"/>
        <v>0.13342249949961327</v>
      </c>
      <c r="P946" s="8">
        <f t="shared" si="161"/>
        <v>0.12992249949961326</v>
      </c>
      <c r="Q946" s="8">
        <f t="shared" si="162"/>
        <v>0.11273009464017236</v>
      </c>
      <c r="R946" s="8">
        <f t="shared" si="163"/>
        <v>6.4652000000000015E-2</v>
      </c>
      <c r="S946" s="296">
        <f t="shared" si="164"/>
        <v>4.8078094640172347E-2</v>
      </c>
      <c r="U946" s="297"/>
      <c r="V946" s="297"/>
      <c r="W946" s="297"/>
      <c r="X946" s="297"/>
      <c r="Y946" s="297"/>
      <c r="Z946" s="297"/>
      <c r="AA946" s="297"/>
      <c r="AB946" s="297"/>
      <c r="AC946" s="297"/>
      <c r="AE946" s="297"/>
      <c r="AF946" s="297"/>
      <c r="AG946" s="297"/>
      <c r="AH946" s="297"/>
      <c r="AI946" s="297"/>
      <c r="AJ946" s="297"/>
      <c r="AK946" s="297"/>
      <c r="AL946" s="297"/>
      <c r="AM946" s="297"/>
      <c r="AO946" s="297"/>
      <c r="AP946" s="297"/>
      <c r="AQ946" s="297"/>
      <c r="AR946" s="297"/>
      <c r="AS946" s="297"/>
      <c r="AT946" s="297"/>
      <c r="AU946" s="297"/>
      <c r="AV946" s="297"/>
      <c r="AW946" s="297"/>
    </row>
    <row r="947" spans="1:49" x14ac:dyDescent="0.45">
      <c r="A947" s="295">
        <v>38169</v>
      </c>
      <c r="B947" s="12">
        <v>-3.3099999999999997E-2</v>
      </c>
      <c r="C947" s="5">
        <v>1.7299999999999999E-2</v>
      </c>
      <c r="D947" s="5">
        <v>4.3E-3</v>
      </c>
      <c r="E947" s="5">
        <v>4.8500000000000001E-3</v>
      </c>
      <c r="F947" s="5">
        <v>5.0166666666666658E-3</v>
      </c>
      <c r="G947" s="5">
        <v>4.933333333333333E-3</v>
      </c>
      <c r="H947" s="5">
        <v>5.2270000000000007E-3</v>
      </c>
      <c r="I947" s="5">
        <f t="shared" si="154"/>
        <v>-3.7399999999999996E-2</v>
      </c>
      <c r="J947" s="5">
        <f t="shared" si="158"/>
        <v>-3.8033333333333329E-2</v>
      </c>
      <c r="K947" s="5">
        <f t="shared" si="159"/>
        <v>1.2072999999999999E-2</v>
      </c>
      <c r="L947" s="8">
        <f t="shared" si="156"/>
        <v>0.13168205067430816</v>
      </c>
      <c r="M947" s="8">
        <f t="shared" si="157"/>
        <v>5.16E-2</v>
      </c>
      <c r="N947" s="8">
        <f t="shared" si="160"/>
        <v>5.9199999999999996E-2</v>
      </c>
      <c r="O947" s="296">
        <f t="shared" si="155"/>
        <v>8.0082050674308153E-2</v>
      </c>
      <c r="P947" s="8">
        <f t="shared" si="161"/>
        <v>7.2482050674308157E-2</v>
      </c>
      <c r="Q947" s="8">
        <f t="shared" si="162"/>
        <v>0.21067414468176149</v>
      </c>
      <c r="R947" s="8">
        <f t="shared" si="163"/>
        <v>6.2724000000000002E-2</v>
      </c>
      <c r="S947" s="296">
        <f t="shared" si="164"/>
        <v>0.14795014468176149</v>
      </c>
      <c r="U947" s="297"/>
      <c r="V947" s="297"/>
      <c r="W947" s="297"/>
      <c r="X947" s="297"/>
      <c r="Y947" s="297"/>
      <c r="Z947" s="297"/>
      <c r="AA947" s="297"/>
      <c r="AB947" s="297"/>
      <c r="AC947" s="297"/>
      <c r="AE947" s="297"/>
      <c r="AF947" s="297"/>
      <c r="AG947" s="297"/>
      <c r="AH947" s="297"/>
      <c r="AI947" s="297"/>
      <c r="AJ947" s="297"/>
      <c r="AK947" s="297"/>
      <c r="AL947" s="297"/>
      <c r="AM947" s="297"/>
      <c r="AO947" s="297"/>
      <c r="AP947" s="297"/>
      <c r="AQ947" s="297"/>
      <c r="AR947" s="297"/>
      <c r="AS947" s="297"/>
      <c r="AT947" s="297"/>
      <c r="AU947" s="297"/>
      <c r="AV947" s="297"/>
      <c r="AW947" s="297"/>
    </row>
    <row r="948" spans="1:49" x14ac:dyDescent="0.45">
      <c r="A948" s="295">
        <v>38200</v>
      </c>
      <c r="B948" s="12">
        <v>4.0000000000000001E-3</v>
      </c>
      <c r="C948" s="5">
        <v>3.9300000000000002E-2</v>
      </c>
      <c r="D948" s="5">
        <v>4.4999999999999997E-3</v>
      </c>
      <c r="E948" s="5">
        <v>4.7083333333333335E-3</v>
      </c>
      <c r="F948" s="5">
        <v>4.8916666666666666E-3</v>
      </c>
      <c r="G948" s="5">
        <v>4.8000000000000004E-3</v>
      </c>
      <c r="H948" s="5">
        <v>5.1234999999999996E-3</v>
      </c>
      <c r="I948" s="5">
        <f t="shared" si="154"/>
        <v>-4.9999999999999958E-4</v>
      </c>
      <c r="J948" s="5">
        <f t="shared" si="158"/>
        <v>-8.0000000000000036E-4</v>
      </c>
      <c r="K948" s="5">
        <f t="shared" si="159"/>
        <v>3.4176499999999999E-2</v>
      </c>
      <c r="L948" s="8">
        <f t="shared" si="156"/>
        <v>0.11447648737322713</v>
      </c>
      <c r="M948" s="8">
        <f t="shared" si="157"/>
        <v>5.3999999999999992E-2</v>
      </c>
      <c r="N948" s="8">
        <f t="shared" si="160"/>
        <v>5.7600000000000005E-2</v>
      </c>
      <c r="O948" s="296">
        <f t="shared" si="155"/>
        <v>6.0476487373227139E-2</v>
      </c>
      <c r="P948" s="8">
        <f t="shared" si="161"/>
        <v>5.6876487373227126E-2</v>
      </c>
      <c r="Q948" s="8">
        <f t="shared" si="162"/>
        <v>0.23661291259730199</v>
      </c>
      <c r="R948" s="8">
        <f t="shared" si="163"/>
        <v>6.1481999999999995E-2</v>
      </c>
      <c r="S948" s="296">
        <f t="shared" si="164"/>
        <v>0.17513091259730201</v>
      </c>
      <c r="U948" s="297"/>
      <c r="V948" s="297"/>
      <c r="W948" s="297"/>
      <c r="X948" s="297"/>
      <c r="Y948" s="297"/>
      <c r="Z948" s="297"/>
      <c r="AA948" s="297"/>
      <c r="AB948" s="297"/>
      <c r="AC948" s="297"/>
      <c r="AE948" s="297"/>
      <c r="AF948" s="297"/>
      <c r="AG948" s="297"/>
      <c r="AH948" s="297"/>
      <c r="AI948" s="297"/>
      <c r="AJ948" s="297"/>
      <c r="AK948" s="297"/>
      <c r="AL948" s="297"/>
      <c r="AM948" s="297"/>
      <c r="AO948" s="297"/>
      <c r="AP948" s="297"/>
      <c r="AQ948" s="297"/>
      <c r="AR948" s="297"/>
      <c r="AS948" s="297"/>
      <c r="AT948" s="297"/>
      <c r="AU948" s="297"/>
      <c r="AV948" s="297"/>
      <c r="AW948" s="297"/>
    </row>
    <row r="949" spans="1:49" x14ac:dyDescent="0.45">
      <c r="A949" s="295">
        <v>38231</v>
      </c>
      <c r="B949" s="12">
        <v>1.0800000000000001E-2</v>
      </c>
      <c r="C949" s="5">
        <v>9.1000000000000004E-3</v>
      </c>
      <c r="D949" s="5">
        <v>4.0000000000000001E-3</v>
      </c>
      <c r="E949" s="5">
        <v>4.5500000000000002E-3</v>
      </c>
      <c r="F949" s="5">
        <v>4.7750000000000006E-3</v>
      </c>
      <c r="G949" s="5">
        <v>4.6625000000000008E-3</v>
      </c>
      <c r="H949" s="5">
        <v>4.9853333333333329E-3</v>
      </c>
      <c r="I949" s="5">
        <f t="shared" si="154"/>
        <v>6.8000000000000005E-3</v>
      </c>
      <c r="J949" s="5">
        <f t="shared" si="158"/>
        <v>6.1374999999999997E-3</v>
      </c>
      <c r="K949" s="5">
        <f t="shared" si="159"/>
        <v>4.1146666666666675E-3</v>
      </c>
      <c r="L949" s="8">
        <f t="shared" si="156"/>
        <v>0.13858180052239555</v>
      </c>
      <c r="M949" s="8">
        <f t="shared" si="157"/>
        <v>4.8000000000000001E-2</v>
      </c>
      <c r="N949" s="8">
        <f t="shared" si="160"/>
        <v>5.5950000000000014E-2</v>
      </c>
      <c r="O949" s="296">
        <f t="shared" si="155"/>
        <v>9.0581800522395547E-2</v>
      </c>
      <c r="P949" s="8">
        <f t="shared" si="161"/>
        <v>8.2631800522395535E-2</v>
      </c>
      <c r="Q949" s="8">
        <f t="shared" si="162"/>
        <v>0.19333086937165311</v>
      </c>
      <c r="R949" s="8">
        <f t="shared" si="163"/>
        <v>5.9823999999999995E-2</v>
      </c>
      <c r="S949" s="296">
        <f t="shared" si="164"/>
        <v>0.13350686937165313</v>
      </c>
      <c r="U949" s="297"/>
      <c r="V949" s="297"/>
      <c r="W949" s="297"/>
      <c r="X949" s="297"/>
      <c r="Y949" s="297"/>
      <c r="Z949" s="297"/>
      <c r="AA949" s="297"/>
      <c r="AB949" s="297"/>
      <c r="AC949" s="297"/>
      <c r="AE949" s="297"/>
      <c r="AF949" s="297"/>
      <c r="AG949" s="297"/>
      <c r="AH949" s="297"/>
      <c r="AI949" s="297"/>
      <c r="AJ949" s="297"/>
      <c r="AK949" s="297"/>
      <c r="AL949" s="297"/>
      <c r="AM949" s="297"/>
      <c r="AO949" s="297"/>
      <c r="AP949" s="297"/>
      <c r="AQ949" s="297"/>
      <c r="AR949" s="297"/>
      <c r="AS949" s="297"/>
      <c r="AT949" s="297"/>
      <c r="AU949" s="297"/>
      <c r="AV949" s="297"/>
      <c r="AW949" s="297"/>
    </row>
    <row r="950" spans="1:49" x14ac:dyDescent="0.45">
      <c r="A950" s="295">
        <v>38261</v>
      </c>
      <c r="B950" s="12">
        <v>1.5299999999999999E-2</v>
      </c>
      <c r="C950" s="5">
        <v>4.9499999999999995E-2</v>
      </c>
      <c r="D950" s="5">
        <v>3.8E-3</v>
      </c>
      <c r="E950" s="5">
        <v>4.5583333333333335E-3</v>
      </c>
      <c r="F950" s="5">
        <v>4.7416666666666666E-3</v>
      </c>
      <c r="G950" s="5">
        <v>4.6499999999999996E-3</v>
      </c>
      <c r="H950" s="5">
        <v>4.9920833333333327E-3</v>
      </c>
      <c r="I950" s="5">
        <f t="shared" si="154"/>
        <v>1.15E-2</v>
      </c>
      <c r="J950" s="5">
        <f t="shared" si="158"/>
        <v>1.065E-2</v>
      </c>
      <c r="K950" s="5">
        <f t="shared" si="159"/>
        <v>4.4507916666666661E-2</v>
      </c>
      <c r="L950" s="8">
        <f t="shared" si="156"/>
        <v>9.4077325449922977E-2</v>
      </c>
      <c r="M950" s="8">
        <f t="shared" si="157"/>
        <v>4.5600000000000002E-2</v>
      </c>
      <c r="N950" s="8">
        <f t="shared" si="160"/>
        <v>5.5799999999999995E-2</v>
      </c>
      <c r="O950" s="296">
        <f t="shared" si="155"/>
        <v>4.8477325449922976E-2</v>
      </c>
      <c r="P950" s="8">
        <f t="shared" si="161"/>
        <v>3.8277325449922982E-2</v>
      </c>
      <c r="Q950" s="8">
        <f t="shared" si="162"/>
        <v>0.23852922013998135</v>
      </c>
      <c r="R950" s="8">
        <f t="shared" si="163"/>
        <v>5.9904999999999993E-2</v>
      </c>
      <c r="S950" s="296">
        <f t="shared" si="164"/>
        <v>0.17862422013998136</v>
      </c>
      <c r="U950" s="297"/>
      <c r="V950" s="297"/>
      <c r="W950" s="297"/>
      <c r="X950" s="297"/>
      <c r="Y950" s="297"/>
      <c r="Z950" s="297"/>
      <c r="AA950" s="297"/>
      <c r="AB950" s="297"/>
      <c r="AC950" s="297"/>
      <c r="AE950" s="297"/>
      <c r="AF950" s="297"/>
      <c r="AG950" s="297"/>
      <c r="AH950" s="297"/>
      <c r="AI950" s="297"/>
      <c r="AJ950" s="297"/>
      <c r="AK950" s="297"/>
      <c r="AL950" s="297"/>
      <c r="AM950" s="297"/>
      <c r="AO950" s="297"/>
      <c r="AP950" s="297"/>
      <c r="AQ950" s="297"/>
      <c r="AR950" s="297"/>
      <c r="AS950" s="297"/>
      <c r="AT950" s="297"/>
      <c r="AU950" s="297"/>
      <c r="AV950" s="297"/>
      <c r="AW950" s="297"/>
    </row>
    <row r="951" spans="1:49" x14ac:dyDescent="0.45">
      <c r="A951" s="295">
        <v>38292</v>
      </c>
      <c r="B951" s="12">
        <v>4.0500000000000001E-2</v>
      </c>
      <c r="C951" s="5">
        <v>4.07E-2</v>
      </c>
      <c r="D951" s="5">
        <v>4.1000000000000003E-3</v>
      </c>
      <c r="E951" s="5">
        <v>4.5999999999999999E-3</v>
      </c>
      <c r="F951" s="5">
        <v>4.7666666666666664E-3</v>
      </c>
      <c r="G951" s="5">
        <v>4.6833333333333328E-3</v>
      </c>
      <c r="H951" s="5">
        <v>4.9627500000000001E-3</v>
      </c>
      <c r="I951" s="5">
        <f t="shared" si="154"/>
        <v>3.6400000000000002E-2</v>
      </c>
      <c r="J951" s="5">
        <f t="shared" si="158"/>
        <v>3.581666666666667E-2</v>
      </c>
      <c r="K951" s="5">
        <f t="shared" si="159"/>
        <v>3.5737249999999998E-2</v>
      </c>
      <c r="L951" s="8">
        <f t="shared" si="156"/>
        <v>0.1284570352207024</v>
      </c>
      <c r="M951" s="8">
        <f t="shared" si="157"/>
        <v>4.9200000000000008E-2</v>
      </c>
      <c r="N951" s="8">
        <f t="shared" si="160"/>
        <v>5.6199999999999993E-2</v>
      </c>
      <c r="O951" s="296">
        <f t="shared" si="155"/>
        <v>7.925703522070239E-2</v>
      </c>
      <c r="P951" s="8">
        <f t="shared" si="161"/>
        <v>7.2257035220702398E-2</v>
      </c>
      <c r="Q951" s="8">
        <f t="shared" si="162"/>
        <v>0.28958215047491631</v>
      </c>
      <c r="R951" s="8">
        <f t="shared" si="163"/>
        <v>5.9553000000000002E-2</v>
      </c>
      <c r="S951" s="296">
        <f t="shared" si="164"/>
        <v>0.23002915047491632</v>
      </c>
      <c r="U951" s="297"/>
      <c r="V951" s="297"/>
      <c r="W951" s="297"/>
      <c r="X951" s="297"/>
      <c r="Y951" s="297"/>
      <c r="Z951" s="297"/>
      <c r="AA951" s="297"/>
      <c r="AB951" s="297"/>
      <c r="AC951" s="297"/>
      <c r="AE951" s="297"/>
      <c r="AF951" s="297"/>
      <c r="AG951" s="297"/>
      <c r="AH951" s="297"/>
      <c r="AI951" s="297"/>
      <c r="AJ951" s="297"/>
      <c r="AK951" s="297"/>
      <c r="AL951" s="297"/>
      <c r="AM951" s="297"/>
      <c r="AO951" s="297"/>
      <c r="AP951" s="297"/>
      <c r="AQ951" s="297"/>
      <c r="AR951" s="297"/>
      <c r="AS951" s="297"/>
      <c r="AT951" s="297"/>
      <c r="AU951" s="297"/>
      <c r="AV951" s="297"/>
      <c r="AW951" s="297"/>
    </row>
    <row r="952" spans="1:49" x14ac:dyDescent="0.45">
      <c r="A952" s="295">
        <v>38322</v>
      </c>
      <c r="B952" s="12">
        <v>3.4000000000000002E-2</v>
      </c>
      <c r="C952" s="5">
        <v>2.6499999999999999E-2</v>
      </c>
      <c r="D952" s="5">
        <v>4.3E-3</v>
      </c>
      <c r="E952" s="5">
        <v>4.5583333333333335E-3</v>
      </c>
      <c r="F952" s="5">
        <v>4.7416666666666666E-3</v>
      </c>
      <c r="G952" s="5">
        <v>4.6499999999999996E-3</v>
      </c>
      <c r="H952" s="5">
        <v>4.938916666666667E-3</v>
      </c>
      <c r="I952" s="5">
        <f t="shared" si="154"/>
        <v>2.9700000000000004E-2</v>
      </c>
      <c r="J952" s="5">
        <f t="shared" si="158"/>
        <v>2.9350000000000001E-2</v>
      </c>
      <c r="K952" s="5">
        <f t="shared" si="159"/>
        <v>2.1561083333333331E-2</v>
      </c>
      <c r="L952" s="8">
        <f t="shared" si="156"/>
        <v>0.10872726569574942</v>
      </c>
      <c r="M952" s="8">
        <f t="shared" si="157"/>
        <v>5.16E-2</v>
      </c>
      <c r="N952" s="8">
        <f t="shared" si="160"/>
        <v>5.5799999999999995E-2</v>
      </c>
      <c r="O952" s="296">
        <f t="shared" si="155"/>
        <v>5.712726569574942E-2</v>
      </c>
      <c r="P952" s="8">
        <f t="shared" si="161"/>
        <v>5.2927265695749424E-2</v>
      </c>
      <c r="Q952" s="8">
        <f t="shared" si="162"/>
        <v>0.24005253158079798</v>
      </c>
      <c r="R952" s="8">
        <f t="shared" si="163"/>
        <v>5.9267E-2</v>
      </c>
      <c r="S952" s="296">
        <f t="shared" si="164"/>
        <v>0.18078553158079796</v>
      </c>
      <c r="U952" s="297"/>
      <c r="V952" s="297"/>
      <c r="W952" s="297"/>
      <c r="X952" s="297"/>
      <c r="Y952" s="297"/>
      <c r="Z952" s="297"/>
      <c r="AA952" s="297"/>
      <c r="AB952" s="297"/>
      <c r="AC952" s="297"/>
      <c r="AE952" s="297"/>
      <c r="AF952" s="297"/>
      <c r="AG952" s="297"/>
      <c r="AH952" s="297"/>
      <c r="AI952" s="297"/>
      <c r="AJ952" s="297"/>
      <c r="AK952" s="297"/>
      <c r="AL952" s="297"/>
      <c r="AM952" s="297"/>
      <c r="AO952" s="297"/>
      <c r="AP952" s="297"/>
      <c r="AQ952" s="297"/>
      <c r="AR952" s="297"/>
      <c r="AS952" s="297"/>
      <c r="AT952" s="297"/>
      <c r="AU952" s="297"/>
      <c r="AV952" s="297"/>
      <c r="AW952" s="297"/>
    </row>
    <row r="953" spans="1:49" x14ac:dyDescent="0.45">
      <c r="A953" s="295">
        <v>38353</v>
      </c>
      <c r="B953" s="12">
        <v>-2.4400000000000002E-2</v>
      </c>
      <c r="C953" s="5">
        <v>2.2099999999999998E-2</v>
      </c>
      <c r="D953" s="5">
        <v>4.1000000000000003E-3</v>
      </c>
      <c r="E953" s="5">
        <v>4.4666666666666674E-3</v>
      </c>
      <c r="F953" s="5">
        <v>4.6500000000000005E-3</v>
      </c>
      <c r="G953" s="5">
        <v>4.5583333333333335E-3</v>
      </c>
      <c r="H953" s="5">
        <v>4.827916666666667E-3</v>
      </c>
      <c r="I953" s="5">
        <f t="shared" si="154"/>
        <v>-2.8500000000000001E-2</v>
      </c>
      <c r="J953" s="5">
        <f t="shared" si="158"/>
        <v>-2.8958333333333336E-2</v>
      </c>
      <c r="K953" s="5">
        <f t="shared" si="159"/>
        <v>1.727208333333333E-2</v>
      </c>
      <c r="L953" s="8">
        <f t="shared" si="156"/>
        <v>6.2131108025110571E-2</v>
      </c>
      <c r="M953" s="8">
        <f t="shared" si="157"/>
        <v>4.9200000000000008E-2</v>
      </c>
      <c r="N953" s="8">
        <f t="shared" si="160"/>
        <v>5.4699999999999999E-2</v>
      </c>
      <c r="O953" s="296">
        <f t="shared" si="155"/>
        <v>1.2931108025110563E-2</v>
      </c>
      <c r="P953" s="8">
        <f t="shared" si="161"/>
        <v>7.4311080251105721E-3</v>
      </c>
      <c r="Q953" s="8">
        <f t="shared" si="162"/>
        <v>0.2406594484423783</v>
      </c>
      <c r="R953" s="8">
        <f t="shared" si="163"/>
        <v>5.7935E-2</v>
      </c>
      <c r="S953" s="296">
        <f t="shared" si="164"/>
        <v>0.18272444844237828</v>
      </c>
      <c r="U953" s="297"/>
      <c r="V953" s="297"/>
      <c r="W953" s="297"/>
      <c r="X953" s="297"/>
      <c r="Y953" s="297"/>
      <c r="Z953" s="297"/>
      <c r="AA953" s="297"/>
      <c r="AB953" s="297"/>
      <c r="AC953" s="297"/>
      <c r="AE953" s="297"/>
      <c r="AF953" s="297"/>
      <c r="AG953" s="297"/>
      <c r="AH953" s="297"/>
      <c r="AI953" s="297"/>
      <c r="AJ953" s="297"/>
      <c r="AK953" s="297"/>
      <c r="AL953" s="297"/>
      <c r="AM953" s="297"/>
      <c r="AO953" s="297"/>
      <c r="AP953" s="297"/>
      <c r="AQ953" s="297"/>
      <c r="AR953" s="297"/>
      <c r="AS953" s="297"/>
      <c r="AT953" s="297"/>
      <c r="AU953" s="297"/>
      <c r="AV953" s="297"/>
      <c r="AW953" s="297"/>
    </row>
    <row r="954" spans="1:49" x14ac:dyDescent="0.45">
      <c r="A954" s="295">
        <v>38384</v>
      </c>
      <c r="B954" s="12">
        <v>2.1000000000000001E-2</v>
      </c>
      <c r="C954" s="5">
        <v>1.9699999999999999E-2</v>
      </c>
      <c r="D954" s="5">
        <v>3.5000000000000005E-3</v>
      </c>
      <c r="E954" s="5">
        <v>4.3333333333333331E-3</v>
      </c>
      <c r="F954" s="5">
        <v>4.5333333333333337E-3</v>
      </c>
      <c r="G954" s="5">
        <v>4.4333333333333334E-3</v>
      </c>
      <c r="H954" s="5">
        <v>4.6785000000000004E-3</v>
      </c>
      <c r="I954" s="5">
        <f t="shared" si="154"/>
        <v>1.7500000000000002E-2</v>
      </c>
      <c r="J954" s="5">
        <f t="shared" si="158"/>
        <v>1.6566666666666667E-2</v>
      </c>
      <c r="K954" s="5">
        <f t="shared" si="159"/>
        <v>1.5021499999999998E-2</v>
      </c>
      <c r="L954" s="8">
        <f t="shared" si="156"/>
        <v>6.9568854219980381E-2</v>
      </c>
      <c r="M954" s="8">
        <f t="shared" si="157"/>
        <v>4.200000000000001E-2</v>
      </c>
      <c r="N954" s="8">
        <f t="shared" si="160"/>
        <v>5.3199999999999997E-2</v>
      </c>
      <c r="O954" s="296">
        <f t="shared" si="155"/>
        <v>2.7568854219980371E-2</v>
      </c>
      <c r="P954" s="8">
        <f t="shared" si="161"/>
        <v>1.6368854219980383E-2</v>
      </c>
      <c r="Q954" s="8">
        <f t="shared" si="162"/>
        <v>0.24260921282456849</v>
      </c>
      <c r="R954" s="8">
        <f t="shared" si="163"/>
        <v>5.6142000000000004E-2</v>
      </c>
      <c r="S954" s="296">
        <f t="shared" si="164"/>
        <v>0.18646721282456849</v>
      </c>
      <c r="U954" s="297"/>
      <c r="V954" s="297"/>
      <c r="W954" s="297"/>
      <c r="X954" s="297"/>
      <c r="Y954" s="297"/>
      <c r="Z954" s="297"/>
      <c r="AA954" s="297"/>
      <c r="AB954" s="297"/>
      <c r="AC954" s="297"/>
      <c r="AE954" s="297"/>
      <c r="AF954" s="297"/>
      <c r="AG954" s="297"/>
      <c r="AH954" s="297"/>
      <c r="AI954" s="297"/>
      <c r="AJ954" s="297"/>
      <c r="AK954" s="297"/>
      <c r="AL954" s="297"/>
      <c r="AM954" s="297"/>
      <c r="AO954" s="297"/>
      <c r="AP954" s="297"/>
      <c r="AQ954" s="297"/>
      <c r="AR954" s="297"/>
      <c r="AS954" s="297"/>
      <c r="AT954" s="297"/>
      <c r="AU954" s="297"/>
      <c r="AV954" s="297"/>
      <c r="AW954" s="297"/>
    </row>
    <row r="955" spans="1:49" x14ac:dyDescent="0.45">
      <c r="A955" s="295">
        <v>38412</v>
      </c>
      <c r="B955" s="12">
        <v>-1.77E-2</v>
      </c>
      <c r="C955" s="5">
        <v>1.0800000000000001E-2</v>
      </c>
      <c r="D955" s="5">
        <v>4.1000000000000003E-3</v>
      </c>
      <c r="E955" s="5">
        <v>4.5000000000000005E-3</v>
      </c>
      <c r="F955" s="5">
        <v>4.6999999999999993E-3</v>
      </c>
      <c r="G955" s="5">
        <v>4.5999999999999999E-3</v>
      </c>
      <c r="H955" s="5">
        <v>4.855333333333333E-3</v>
      </c>
      <c r="I955" s="5">
        <f t="shared" si="154"/>
        <v>-2.18E-2</v>
      </c>
      <c r="J955" s="5">
        <f t="shared" si="158"/>
        <v>-2.23E-2</v>
      </c>
      <c r="K955" s="5">
        <f t="shared" si="159"/>
        <v>5.9446666666666675E-3</v>
      </c>
      <c r="L955" s="8">
        <f t="shared" si="156"/>
        <v>6.6745340136345588E-2</v>
      </c>
      <c r="M955" s="8">
        <f t="shared" si="157"/>
        <v>4.9200000000000008E-2</v>
      </c>
      <c r="N955" s="8">
        <f t="shared" si="160"/>
        <v>5.5199999999999999E-2</v>
      </c>
      <c r="O955" s="296">
        <f t="shared" si="155"/>
        <v>1.754534013634558E-2</v>
      </c>
      <c r="P955" s="8">
        <f t="shared" si="161"/>
        <v>1.1545340136345589E-2</v>
      </c>
      <c r="Q955" s="8">
        <f t="shared" si="162"/>
        <v>0.24310114046226605</v>
      </c>
      <c r="R955" s="8">
        <f t="shared" si="163"/>
        <v>5.8263999999999996E-2</v>
      </c>
      <c r="S955" s="296">
        <f t="shared" si="164"/>
        <v>0.18483714046226607</v>
      </c>
      <c r="U955" s="297"/>
      <c r="V955" s="297"/>
      <c r="W955" s="297"/>
      <c r="X955" s="297"/>
      <c r="Y955" s="297"/>
      <c r="Z955" s="297"/>
      <c r="AA955" s="297"/>
      <c r="AB955" s="297"/>
      <c r="AC955" s="297"/>
      <c r="AE955" s="297"/>
      <c r="AF955" s="297"/>
      <c r="AG955" s="297"/>
      <c r="AH955" s="297"/>
      <c r="AI955" s="297"/>
      <c r="AJ955" s="297"/>
      <c r="AK955" s="297"/>
      <c r="AL955" s="297"/>
      <c r="AM955" s="297"/>
      <c r="AO955" s="297"/>
      <c r="AP955" s="297"/>
      <c r="AQ955" s="297"/>
      <c r="AR955" s="297"/>
      <c r="AS955" s="297"/>
      <c r="AT955" s="297"/>
      <c r="AU955" s="297"/>
      <c r="AV955" s="297"/>
      <c r="AW955" s="297"/>
    </row>
    <row r="956" spans="1:49" x14ac:dyDescent="0.45">
      <c r="A956" s="295">
        <v>38443</v>
      </c>
      <c r="B956" s="12">
        <v>-1.9E-2</v>
      </c>
      <c r="C956" s="5">
        <v>3.2100000000000004E-2</v>
      </c>
      <c r="D956" s="5">
        <v>3.8999999999999994E-3</v>
      </c>
      <c r="E956" s="5">
        <v>4.4416666666666667E-3</v>
      </c>
      <c r="F956" s="5">
        <v>4.5333333333333337E-3</v>
      </c>
      <c r="G956" s="5">
        <v>4.4875000000000002E-3</v>
      </c>
      <c r="H956" s="5">
        <v>4.7079166666666667E-3</v>
      </c>
      <c r="I956" s="5">
        <f t="shared" si="154"/>
        <v>-2.29E-2</v>
      </c>
      <c r="J956" s="5">
        <f t="shared" si="158"/>
        <v>-2.3487500000000001E-2</v>
      </c>
      <c r="K956" s="5">
        <f t="shared" si="159"/>
        <v>2.7392083333333338E-2</v>
      </c>
      <c r="L956" s="8">
        <f t="shared" si="156"/>
        <v>6.3168930888707564E-2</v>
      </c>
      <c r="M956" s="8">
        <f t="shared" si="157"/>
        <v>4.6799999999999994E-2</v>
      </c>
      <c r="N956" s="8">
        <f t="shared" si="160"/>
        <v>5.3850000000000002E-2</v>
      </c>
      <c r="O956" s="296">
        <f t="shared" si="155"/>
        <v>1.636893088870757E-2</v>
      </c>
      <c r="P956" s="8">
        <f t="shared" si="161"/>
        <v>9.318930888707562E-3</v>
      </c>
      <c r="Q956" s="8">
        <f t="shared" si="162"/>
        <v>0.33119390648589442</v>
      </c>
      <c r="R956" s="8">
        <f t="shared" si="163"/>
        <v>5.6495000000000004E-2</v>
      </c>
      <c r="S956" s="296">
        <f t="shared" si="164"/>
        <v>0.2746989064858944</v>
      </c>
      <c r="U956" s="297"/>
      <c r="V956" s="297"/>
      <c r="W956" s="297"/>
      <c r="X956" s="297"/>
      <c r="Y956" s="297"/>
      <c r="Z956" s="297"/>
      <c r="AA956" s="297"/>
      <c r="AB956" s="297"/>
      <c r="AC956" s="297"/>
      <c r="AE956" s="297"/>
      <c r="AF956" s="297"/>
      <c r="AG956" s="297"/>
      <c r="AH956" s="297"/>
      <c r="AI956" s="297"/>
      <c r="AJ956" s="297"/>
      <c r="AK956" s="297"/>
      <c r="AL956" s="297"/>
      <c r="AM956" s="297"/>
      <c r="AO956" s="297"/>
      <c r="AP956" s="297"/>
      <c r="AQ956" s="297"/>
      <c r="AR956" s="297"/>
      <c r="AS956" s="297"/>
      <c r="AT956" s="297"/>
      <c r="AU956" s="297"/>
      <c r="AV956" s="297"/>
      <c r="AW956" s="297"/>
    </row>
    <row r="957" spans="1:49" x14ac:dyDescent="0.45">
      <c r="A957" s="295">
        <v>38473</v>
      </c>
      <c r="B957" s="12">
        <v>3.1800000000000002E-2</v>
      </c>
      <c r="C957" s="5">
        <v>7.9999999999999993E-4</v>
      </c>
      <c r="D957" s="5">
        <v>4.0000000000000001E-3</v>
      </c>
      <c r="E957" s="5">
        <v>4.2916666666666667E-3</v>
      </c>
      <c r="F957" s="5">
        <v>4.4083333333333335E-3</v>
      </c>
      <c r="G957" s="5">
        <v>4.3500000000000006E-3</v>
      </c>
      <c r="H957" s="5">
        <v>4.6162499999999997E-3</v>
      </c>
      <c r="I957" s="5">
        <f t="shared" si="154"/>
        <v>2.7800000000000002E-2</v>
      </c>
      <c r="J957" s="5">
        <f t="shared" si="158"/>
        <v>2.7450000000000002E-2</v>
      </c>
      <c r="K957" s="5">
        <f t="shared" si="159"/>
        <v>-3.8162499999999998E-3</v>
      </c>
      <c r="L957" s="8">
        <f t="shared" si="156"/>
        <v>8.2152217511066716E-2</v>
      </c>
      <c r="M957" s="8">
        <f t="shared" si="157"/>
        <v>4.8000000000000001E-2</v>
      </c>
      <c r="N957" s="8">
        <f t="shared" si="160"/>
        <v>5.220000000000001E-2</v>
      </c>
      <c r="O957" s="296">
        <f t="shared" si="155"/>
        <v>3.4152217511066715E-2</v>
      </c>
      <c r="P957" s="8">
        <f t="shared" si="161"/>
        <v>2.9952217511066706E-2</v>
      </c>
      <c r="Q957" s="8">
        <f t="shared" si="162"/>
        <v>0.32181651117281684</v>
      </c>
      <c r="R957" s="8">
        <f t="shared" si="163"/>
        <v>5.5395E-2</v>
      </c>
      <c r="S957" s="296">
        <f t="shared" si="164"/>
        <v>0.26642151117281687</v>
      </c>
      <c r="U957" s="297"/>
      <c r="V957" s="297"/>
      <c r="W957" s="297"/>
      <c r="X957" s="297"/>
      <c r="Y957" s="297"/>
      <c r="Z957" s="297"/>
      <c r="AA957" s="297"/>
      <c r="AB957" s="297"/>
      <c r="AC957" s="297"/>
      <c r="AE957" s="297"/>
      <c r="AF957" s="297"/>
      <c r="AG957" s="297"/>
      <c r="AH957" s="297"/>
      <c r="AI957" s="297"/>
      <c r="AJ957" s="297"/>
      <c r="AK957" s="297"/>
      <c r="AL957" s="297"/>
      <c r="AM957" s="297"/>
      <c r="AO957" s="297"/>
      <c r="AP957" s="297"/>
      <c r="AQ957" s="297"/>
      <c r="AR957" s="297"/>
      <c r="AS957" s="297"/>
      <c r="AT957" s="297"/>
      <c r="AU957" s="297"/>
      <c r="AV957" s="297"/>
      <c r="AW957" s="297"/>
    </row>
    <row r="958" spans="1:49" x14ac:dyDescent="0.45">
      <c r="A958" s="295">
        <v>38504</v>
      </c>
      <c r="B958" s="12">
        <v>1.4E-3</v>
      </c>
      <c r="C958" s="5">
        <v>5.7599999999999998E-2</v>
      </c>
      <c r="D958" s="5">
        <v>3.5999999999999999E-3</v>
      </c>
      <c r="E958" s="5">
        <v>4.1333333333333335E-3</v>
      </c>
      <c r="F958" s="5">
        <v>4.1833333333333332E-3</v>
      </c>
      <c r="G958" s="5">
        <v>4.1583333333333325E-3</v>
      </c>
      <c r="H958" s="5">
        <v>4.5019166666666671E-3</v>
      </c>
      <c r="I958" s="5">
        <f t="shared" si="154"/>
        <v>-2.1999999999999997E-3</v>
      </c>
      <c r="J958" s="5">
        <f t="shared" si="158"/>
        <v>-2.7583333333333323E-3</v>
      </c>
      <c r="K958" s="5">
        <f t="shared" si="159"/>
        <v>5.309808333333333E-2</v>
      </c>
      <c r="L958" s="8">
        <f t="shared" si="156"/>
        <v>6.3044173646833679E-2</v>
      </c>
      <c r="M958" s="8">
        <f t="shared" si="157"/>
        <v>4.3200000000000002E-2</v>
      </c>
      <c r="N958" s="8">
        <f t="shared" si="160"/>
        <v>4.9899999999999986E-2</v>
      </c>
      <c r="O958" s="296">
        <f t="shared" si="155"/>
        <v>1.9844173646833677E-2</v>
      </c>
      <c r="P958" s="8">
        <f t="shared" si="161"/>
        <v>1.3144173646833693E-2</v>
      </c>
      <c r="Q958" s="8">
        <f t="shared" si="162"/>
        <v>0.37661560041001652</v>
      </c>
      <c r="R958" s="8">
        <f t="shared" si="163"/>
        <v>5.4023000000000002E-2</v>
      </c>
      <c r="S958" s="296">
        <f t="shared" si="164"/>
        <v>0.32259260041001653</v>
      </c>
      <c r="U958" s="297"/>
      <c r="V958" s="297"/>
      <c r="W958" s="297"/>
      <c r="X958" s="297"/>
      <c r="Y958" s="297"/>
      <c r="Z958" s="297"/>
      <c r="AA958" s="297"/>
      <c r="AB958" s="297"/>
      <c r="AC958" s="297"/>
      <c r="AE958" s="297"/>
      <c r="AF958" s="297"/>
      <c r="AG958" s="297"/>
      <c r="AH958" s="297"/>
      <c r="AI958" s="297"/>
      <c r="AJ958" s="297"/>
      <c r="AK958" s="297"/>
      <c r="AL958" s="297"/>
      <c r="AM958" s="297"/>
      <c r="AO958" s="297"/>
      <c r="AP958" s="297"/>
      <c r="AQ958" s="297"/>
      <c r="AR958" s="297"/>
      <c r="AS958" s="297"/>
      <c r="AT958" s="297"/>
      <c r="AU958" s="297"/>
      <c r="AV958" s="297"/>
      <c r="AW958" s="297"/>
    </row>
    <row r="959" spans="1:49" x14ac:dyDescent="0.45">
      <c r="A959" s="295">
        <v>38534</v>
      </c>
      <c r="B959" s="12">
        <v>3.7199999999999997E-2</v>
      </c>
      <c r="C959" s="5">
        <v>2.3300000000000001E-2</v>
      </c>
      <c r="D959" s="5">
        <v>3.3999999999999998E-3</v>
      </c>
      <c r="E959" s="5">
        <v>4.2166666666666663E-3</v>
      </c>
      <c r="F959" s="5">
        <v>4.2833333333333326E-3</v>
      </c>
      <c r="G959" s="5">
        <v>4.2499999999999994E-3</v>
      </c>
      <c r="H959" s="5">
        <v>4.5829166666666674E-3</v>
      </c>
      <c r="I959" s="5">
        <f t="shared" si="154"/>
        <v>3.3799999999999997E-2</v>
      </c>
      <c r="J959" s="5">
        <f t="shared" si="158"/>
        <v>3.295E-2</v>
      </c>
      <c r="K959" s="5">
        <f t="shared" si="159"/>
        <v>1.8717083333333336E-2</v>
      </c>
      <c r="L959" s="8">
        <f t="shared" si="156"/>
        <v>0.14033448847501884</v>
      </c>
      <c r="M959" s="8">
        <f t="shared" si="157"/>
        <v>4.0799999999999996E-2</v>
      </c>
      <c r="N959" s="8">
        <f t="shared" si="160"/>
        <v>5.099999999999999E-2</v>
      </c>
      <c r="O959" s="296">
        <f t="shared" si="155"/>
        <v>9.9534488475018834E-2</v>
      </c>
      <c r="P959" s="8">
        <f t="shared" si="161"/>
        <v>8.9334488475018847E-2</v>
      </c>
      <c r="Q959" s="8">
        <f t="shared" si="162"/>
        <v>0.38473483131777297</v>
      </c>
      <c r="R959" s="8">
        <f t="shared" si="163"/>
        <v>5.4995000000000009E-2</v>
      </c>
      <c r="S959" s="296">
        <f t="shared" si="164"/>
        <v>0.32973983131777296</v>
      </c>
      <c r="U959" s="297"/>
      <c r="V959" s="297"/>
      <c r="W959" s="297"/>
      <c r="X959" s="297"/>
      <c r="Y959" s="297"/>
      <c r="Z959" s="297"/>
      <c r="AA959" s="297"/>
      <c r="AB959" s="297"/>
      <c r="AC959" s="297"/>
      <c r="AE959" s="297"/>
      <c r="AF959" s="297"/>
      <c r="AG959" s="297"/>
      <c r="AH959" s="297"/>
      <c r="AI959" s="297"/>
      <c r="AJ959" s="297"/>
      <c r="AK959" s="297"/>
      <c r="AL959" s="297"/>
      <c r="AM959" s="297"/>
      <c r="AO959" s="297"/>
      <c r="AP959" s="297"/>
      <c r="AQ959" s="297"/>
      <c r="AR959" s="297"/>
      <c r="AS959" s="297"/>
      <c r="AT959" s="297"/>
      <c r="AU959" s="297"/>
      <c r="AV959" s="297"/>
      <c r="AW959" s="297"/>
    </row>
    <row r="960" spans="1:49" x14ac:dyDescent="0.45">
      <c r="A960" s="295">
        <v>38565</v>
      </c>
      <c r="B960" s="12">
        <v>-9.1000000000000004E-3</v>
      </c>
      <c r="C960" s="5">
        <v>7.3000000000000001E-3</v>
      </c>
      <c r="D960" s="5">
        <v>4.0000000000000001E-3</v>
      </c>
      <c r="E960" s="5">
        <v>4.2416666666666662E-3</v>
      </c>
      <c r="F960" s="5">
        <v>4.3333333333333331E-3</v>
      </c>
      <c r="G960" s="5">
        <v>4.2874999999999996E-3</v>
      </c>
      <c r="H960" s="5">
        <v>4.5909166666666668E-3</v>
      </c>
      <c r="I960" s="5">
        <f t="shared" si="154"/>
        <v>-1.3100000000000001E-2</v>
      </c>
      <c r="J960" s="5">
        <f t="shared" si="158"/>
        <v>-1.33875E-2</v>
      </c>
      <c r="K960" s="5">
        <f t="shared" si="159"/>
        <v>2.7090833333333333E-3</v>
      </c>
      <c r="L960" s="8">
        <f t="shared" si="156"/>
        <v>0.12545562214133099</v>
      </c>
      <c r="M960" s="8">
        <f t="shared" si="157"/>
        <v>4.8000000000000001E-2</v>
      </c>
      <c r="N960" s="8">
        <f t="shared" si="160"/>
        <v>5.1449999999999996E-2</v>
      </c>
      <c r="O960" s="296">
        <f t="shared" si="155"/>
        <v>7.745562214133099E-2</v>
      </c>
      <c r="P960" s="8">
        <f t="shared" si="161"/>
        <v>7.4005622141330996E-2</v>
      </c>
      <c r="Q960" s="8">
        <f t="shared" si="162"/>
        <v>0.34209890848301061</v>
      </c>
      <c r="R960" s="8">
        <f t="shared" si="163"/>
        <v>5.5091000000000001E-2</v>
      </c>
      <c r="S960" s="296">
        <f t="shared" si="164"/>
        <v>0.28700790848301061</v>
      </c>
      <c r="U960" s="297"/>
      <c r="V960" s="297"/>
      <c r="W960" s="297"/>
      <c r="X960" s="297"/>
      <c r="Y960" s="297"/>
      <c r="Z960" s="297"/>
      <c r="AA960" s="297"/>
      <c r="AB960" s="297"/>
      <c r="AC960" s="297"/>
      <c r="AE960" s="297"/>
      <c r="AF960" s="297"/>
      <c r="AG960" s="297"/>
      <c r="AH960" s="297"/>
      <c r="AI960" s="297"/>
      <c r="AJ960" s="297"/>
      <c r="AK960" s="297"/>
      <c r="AL960" s="297"/>
      <c r="AM960" s="297"/>
      <c r="AO960" s="297"/>
      <c r="AP960" s="297"/>
      <c r="AQ960" s="297"/>
      <c r="AR960" s="297"/>
      <c r="AS960" s="297"/>
      <c r="AT960" s="297"/>
      <c r="AU960" s="297"/>
      <c r="AV960" s="297"/>
      <c r="AW960" s="297"/>
    </row>
    <row r="961" spans="1:49" x14ac:dyDescent="0.45">
      <c r="A961" s="295">
        <v>38596</v>
      </c>
      <c r="B961" s="12">
        <v>8.0999999999999996E-3</v>
      </c>
      <c r="C961" s="5">
        <v>4.0199999999999993E-2</v>
      </c>
      <c r="D961" s="5">
        <v>3.5000000000000005E-3</v>
      </c>
      <c r="E961" s="5">
        <v>4.2750000000000002E-3</v>
      </c>
      <c r="F961" s="5">
        <v>4.3666666666666671E-3</v>
      </c>
      <c r="G961" s="5">
        <v>4.3208333333333336E-3</v>
      </c>
      <c r="H961" s="5">
        <v>4.5853333333333328E-3</v>
      </c>
      <c r="I961" s="5">
        <f t="shared" si="154"/>
        <v>4.5999999999999991E-3</v>
      </c>
      <c r="J961" s="5">
        <f t="shared" si="158"/>
        <v>3.7791666666666659E-3</v>
      </c>
      <c r="K961" s="5">
        <f t="shared" si="159"/>
        <v>3.5614666666666663E-2</v>
      </c>
      <c r="L961" s="8">
        <f t="shared" si="156"/>
        <v>0.12244935959702796</v>
      </c>
      <c r="M961" s="8">
        <f t="shared" si="157"/>
        <v>4.200000000000001E-2</v>
      </c>
      <c r="N961" s="8">
        <f t="shared" si="160"/>
        <v>5.1850000000000007E-2</v>
      </c>
      <c r="O961" s="296">
        <f t="shared" si="155"/>
        <v>8.0449359597027953E-2</v>
      </c>
      <c r="P961" s="8">
        <f t="shared" si="161"/>
        <v>7.0599359597027955E-2</v>
      </c>
      <c r="Q961" s="8">
        <f t="shared" si="162"/>
        <v>0.38346178238433004</v>
      </c>
      <c r="R961" s="8">
        <f t="shared" si="163"/>
        <v>5.502399999999999E-2</v>
      </c>
      <c r="S961" s="296">
        <f t="shared" si="164"/>
        <v>0.32843778238433008</v>
      </c>
      <c r="U961" s="297"/>
      <c r="V961" s="297"/>
      <c r="W961" s="297"/>
      <c r="X961" s="297"/>
      <c r="Y961" s="297"/>
      <c r="Z961" s="297"/>
      <c r="AA961" s="297"/>
      <c r="AB961" s="297"/>
      <c r="AC961" s="297"/>
      <c r="AE961" s="297"/>
      <c r="AF961" s="297"/>
      <c r="AG961" s="297"/>
      <c r="AH961" s="297"/>
      <c r="AI961" s="297"/>
      <c r="AJ961" s="297"/>
      <c r="AK961" s="297"/>
      <c r="AL961" s="297"/>
      <c r="AM961" s="297"/>
      <c r="AO961" s="297"/>
      <c r="AP961" s="297"/>
      <c r="AQ961" s="297"/>
      <c r="AR961" s="297"/>
      <c r="AS961" s="297"/>
      <c r="AT961" s="297"/>
      <c r="AU961" s="297"/>
      <c r="AV961" s="297"/>
      <c r="AW961" s="297"/>
    </row>
    <row r="962" spans="1:49" x14ac:dyDescent="0.45">
      <c r="A962" s="295">
        <v>38626</v>
      </c>
      <c r="B962" s="12">
        <v>-1.67E-2</v>
      </c>
      <c r="C962" s="5">
        <v>-6.1699999999999998E-2</v>
      </c>
      <c r="D962" s="5">
        <v>3.8999999999999994E-3</v>
      </c>
      <c r="E962" s="5">
        <v>4.45E-3</v>
      </c>
      <c r="F962" s="5">
        <v>4.5500000000000002E-3</v>
      </c>
      <c r="G962" s="5">
        <v>4.5000000000000005E-3</v>
      </c>
      <c r="H962" s="5">
        <v>4.8123333333333334E-3</v>
      </c>
      <c r="I962" s="5">
        <f t="shared" si="154"/>
        <v>-2.06E-2</v>
      </c>
      <c r="J962" s="5">
        <f t="shared" si="158"/>
        <v>-2.12E-2</v>
      </c>
      <c r="K962" s="5">
        <f t="shared" si="159"/>
        <v>-6.6512333333333326E-2</v>
      </c>
      <c r="L962" s="8">
        <f t="shared" si="156"/>
        <v>8.707224986876505E-2</v>
      </c>
      <c r="M962" s="8">
        <f t="shared" si="157"/>
        <v>4.6799999999999994E-2</v>
      </c>
      <c r="N962" s="8">
        <f t="shared" si="160"/>
        <v>5.4000000000000006E-2</v>
      </c>
      <c r="O962" s="296">
        <f t="shared" si="155"/>
        <v>4.0272249868765056E-2</v>
      </c>
      <c r="P962" s="8">
        <f t="shared" si="161"/>
        <v>3.3072249868765044E-2</v>
      </c>
      <c r="Q962" s="8">
        <f t="shared" si="162"/>
        <v>0.2368767893389383</v>
      </c>
      <c r="R962" s="8">
        <f t="shared" si="163"/>
        <v>5.7748000000000001E-2</v>
      </c>
      <c r="S962" s="296">
        <f t="shared" si="164"/>
        <v>0.1791287893389383</v>
      </c>
      <c r="U962" s="297"/>
      <c r="V962" s="297"/>
      <c r="W962" s="297"/>
      <c r="X962" s="297"/>
      <c r="Y962" s="297"/>
      <c r="Z962" s="297"/>
      <c r="AA962" s="297"/>
      <c r="AB962" s="297"/>
      <c r="AC962" s="297"/>
      <c r="AE962" s="297"/>
      <c r="AF962" s="297"/>
      <c r="AG962" s="297"/>
      <c r="AH962" s="297"/>
      <c r="AI962" s="297"/>
      <c r="AJ962" s="297"/>
      <c r="AK962" s="297"/>
      <c r="AL962" s="297"/>
      <c r="AM962" s="297"/>
      <c r="AO962" s="297"/>
      <c r="AP962" s="297"/>
      <c r="AQ962" s="297"/>
      <c r="AR962" s="297"/>
      <c r="AS962" s="297"/>
      <c r="AT962" s="297"/>
      <c r="AU962" s="297"/>
      <c r="AV962" s="297"/>
      <c r="AW962" s="297"/>
    </row>
    <row r="963" spans="1:49" x14ac:dyDescent="0.45">
      <c r="A963" s="295">
        <v>38657</v>
      </c>
      <c r="B963" s="12">
        <v>3.78E-2</v>
      </c>
      <c r="C963" s="5">
        <v>-3.8999999999999994E-3</v>
      </c>
      <c r="D963" s="5">
        <v>3.8999999999999994E-3</v>
      </c>
      <c r="E963" s="5">
        <v>4.5208333333333333E-3</v>
      </c>
      <c r="F963" s="5">
        <v>4.6249999999999998E-3</v>
      </c>
      <c r="G963" s="5">
        <v>4.5729166666666661E-3</v>
      </c>
      <c r="H963" s="5">
        <v>4.8986666666666666E-3</v>
      </c>
      <c r="I963" s="5">
        <f t="shared" si="154"/>
        <v>3.39E-2</v>
      </c>
      <c r="J963" s="5">
        <f t="shared" si="158"/>
        <v>3.3227083333333338E-2</v>
      </c>
      <c r="K963" s="5">
        <f t="shared" si="159"/>
        <v>-8.7986666666666664E-3</v>
      </c>
      <c r="L963" s="8">
        <f t="shared" si="156"/>
        <v>8.4251399244406056E-2</v>
      </c>
      <c r="M963" s="8">
        <f t="shared" si="157"/>
        <v>4.6799999999999994E-2</v>
      </c>
      <c r="N963" s="8">
        <f t="shared" si="160"/>
        <v>5.4874999999999993E-2</v>
      </c>
      <c r="O963" s="296">
        <f t="shared" si="155"/>
        <v>3.7451399244406061E-2</v>
      </c>
      <c r="P963" s="8">
        <f t="shared" si="161"/>
        <v>2.9376399244406062E-2</v>
      </c>
      <c r="Q963" s="8">
        <f t="shared" si="162"/>
        <v>0.1838694819453417</v>
      </c>
      <c r="R963" s="8">
        <f t="shared" si="163"/>
        <v>5.8784000000000003E-2</v>
      </c>
      <c r="S963" s="296">
        <f t="shared" si="164"/>
        <v>0.12508548194534169</v>
      </c>
      <c r="U963" s="297"/>
      <c r="V963" s="297"/>
      <c r="W963" s="297"/>
      <c r="X963" s="297"/>
      <c r="Y963" s="297"/>
      <c r="Z963" s="297"/>
      <c r="AA963" s="297"/>
      <c r="AB963" s="297"/>
      <c r="AC963" s="297"/>
      <c r="AE963" s="297"/>
      <c r="AF963" s="297"/>
      <c r="AG963" s="297"/>
      <c r="AH963" s="297"/>
      <c r="AI963" s="297"/>
      <c r="AJ963" s="297"/>
      <c r="AK963" s="297"/>
      <c r="AL963" s="297"/>
      <c r="AM963" s="297"/>
      <c r="AO963" s="297"/>
      <c r="AP963" s="297"/>
      <c r="AQ963" s="297"/>
      <c r="AR963" s="297"/>
      <c r="AS963" s="297"/>
      <c r="AT963" s="297"/>
      <c r="AU963" s="297"/>
      <c r="AV963" s="297"/>
      <c r="AW963" s="297"/>
    </row>
    <row r="964" spans="1:49" x14ac:dyDescent="0.45">
      <c r="A964" s="295">
        <v>38687</v>
      </c>
      <c r="B964" s="12">
        <v>2.9999999999999997E-4</v>
      </c>
      <c r="C964" s="5">
        <v>1.0999999999999999E-2</v>
      </c>
      <c r="D964" s="5">
        <v>3.8999999999999994E-3</v>
      </c>
      <c r="E964" s="5">
        <v>4.4833333333333331E-3</v>
      </c>
      <c r="F964" s="5">
        <v>4.5916666666666666E-3</v>
      </c>
      <c r="G964" s="5">
        <v>4.5374999999999999E-3</v>
      </c>
      <c r="H964" s="5">
        <v>4.8481666666666664E-3</v>
      </c>
      <c r="I964" s="5">
        <f t="shared" si="154"/>
        <v>-3.5999999999999995E-3</v>
      </c>
      <c r="J964" s="5">
        <f t="shared" si="158"/>
        <v>-4.2374999999999999E-3</v>
      </c>
      <c r="K964" s="5">
        <f t="shared" si="159"/>
        <v>6.1518333333333329E-3</v>
      </c>
      <c r="L964" s="8">
        <f t="shared" si="156"/>
        <v>4.891361186090859E-2</v>
      </c>
      <c r="M964" s="8">
        <f t="shared" si="157"/>
        <v>4.6799999999999994E-2</v>
      </c>
      <c r="N964" s="8">
        <f t="shared" si="160"/>
        <v>5.4449999999999998E-2</v>
      </c>
      <c r="O964" s="296">
        <f t="shared" si="155"/>
        <v>2.1136118609085958E-3</v>
      </c>
      <c r="P964" s="8">
        <f t="shared" si="161"/>
        <v>-5.5363881390914083E-3</v>
      </c>
      <c r="Q964" s="8">
        <f t="shared" si="162"/>
        <v>0.16599322576399467</v>
      </c>
      <c r="R964" s="8">
        <f t="shared" si="163"/>
        <v>5.8177999999999994E-2</v>
      </c>
      <c r="S964" s="296">
        <f t="shared" si="164"/>
        <v>0.10781522576399467</v>
      </c>
      <c r="U964" s="297"/>
      <c r="V964" s="297"/>
      <c r="W964" s="297"/>
      <c r="X964" s="297"/>
      <c r="Y964" s="297"/>
      <c r="Z964" s="297"/>
      <c r="AA964" s="297"/>
      <c r="AB964" s="297"/>
      <c r="AC964" s="297"/>
      <c r="AE964" s="297"/>
      <c r="AF964" s="297"/>
      <c r="AG964" s="297"/>
      <c r="AH964" s="297"/>
      <c r="AI964" s="297"/>
      <c r="AJ964" s="297"/>
      <c r="AK964" s="297"/>
      <c r="AL964" s="297"/>
      <c r="AM964" s="297"/>
      <c r="AO964" s="297"/>
      <c r="AP964" s="297"/>
      <c r="AQ964" s="297"/>
      <c r="AR964" s="297"/>
      <c r="AS964" s="297"/>
      <c r="AT964" s="297"/>
      <c r="AU964" s="297"/>
      <c r="AV964" s="297"/>
      <c r="AW964" s="297"/>
    </row>
    <row r="965" spans="1:49" x14ac:dyDescent="0.45">
      <c r="A965" s="295">
        <v>38718</v>
      </c>
      <c r="B965" s="12">
        <v>2.6499999999999999E-2</v>
      </c>
      <c r="C965" s="5">
        <v>2.6347999999999996E-2</v>
      </c>
      <c r="D965" s="5">
        <v>4.0000000000000001E-3</v>
      </c>
      <c r="E965" s="5">
        <v>4.4083333333333335E-3</v>
      </c>
      <c r="F965" s="5">
        <v>4.5416666666666669E-3</v>
      </c>
      <c r="G965" s="5">
        <v>4.4749999999999998E-3</v>
      </c>
      <c r="H965" s="5">
        <v>4.7916666666666672E-3</v>
      </c>
      <c r="I965" s="5">
        <f t="shared" si="154"/>
        <v>2.2499999999999999E-2</v>
      </c>
      <c r="J965" s="5">
        <f t="shared" si="158"/>
        <v>2.2024999999999999E-2</v>
      </c>
      <c r="K965" s="5">
        <f t="shared" si="159"/>
        <v>2.155633333333333E-2</v>
      </c>
      <c r="L965" s="8">
        <f t="shared" si="156"/>
        <v>0.10363860452564855</v>
      </c>
      <c r="M965" s="8">
        <f t="shared" si="157"/>
        <v>4.8000000000000001E-2</v>
      </c>
      <c r="N965" s="8">
        <f t="shared" si="160"/>
        <v>5.3699999999999998E-2</v>
      </c>
      <c r="O965" s="296">
        <f t="shared" si="155"/>
        <v>5.5638604525648547E-2</v>
      </c>
      <c r="P965" s="8">
        <f t="shared" si="161"/>
        <v>4.993860452564855E-2</v>
      </c>
      <c r="Q965" s="8">
        <f t="shared" si="162"/>
        <v>0.1708392674654382</v>
      </c>
      <c r="R965" s="8">
        <f t="shared" si="163"/>
        <v>5.7500000000000009E-2</v>
      </c>
      <c r="S965" s="296">
        <f t="shared" si="164"/>
        <v>0.1133392674654382</v>
      </c>
      <c r="U965" s="297"/>
      <c r="V965" s="297"/>
      <c r="W965" s="297"/>
      <c r="X965" s="297"/>
      <c r="Y965" s="297"/>
      <c r="Z965" s="297"/>
      <c r="AA965" s="297"/>
      <c r="AB965" s="297"/>
      <c r="AC965" s="297"/>
      <c r="AE965" s="297"/>
      <c r="AF965" s="297"/>
      <c r="AG965" s="297"/>
      <c r="AH965" s="297"/>
      <c r="AI965" s="297"/>
      <c r="AJ965" s="297"/>
      <c r="AK965" s="297"/>
      <c r="AL965" s="297"/>
      <c r="AM965" s="297"/>
      <c r="AO965" s="297"/>
      <c r="AP965" s="297"/>
      <c r="AQ965" s="297"/>
      <c r="AR965" s="297"/>
      <c r="AS965" s="297"/>
      <c r="AT965" s="297"/>
      <c r="AU965" s="297"/>
      <c r="AV965" s="297"/>
      <c r="AW965" s="297"/>
    </row>
    <row r="966" spans="1:49" x14ac:dyDescent="0.45">
      <c r="A966" s="295">
        <v>38749</v>
      </c>
      <c r="B966" s="12">
        <v>2.7000000000000001E-3</v>
      </c>
      <c r="C966" s="5">
        <v>9.5270000000000007E-3</v>
      </c>
      <c r="D966" s="5">
        <v>3.5999999999999999E-3</v>
      </c>
      <c r="E966" s="5">
        <v>4.4583333333333332E-3</v>
      </c>
      <c r="F966" s="5">
        <v>4.5916666666666666E-3</v>
      </c>
      <c r="G966" s="5">
        <v>4.5250000000000004E-3</v>
      </c>
      <c r="H966" s="5">
        <v>4.8500000000000001E-3</v>
      </c>
      <c r="I966" s="5">
        <f t="shared" ref="I966:I1029" si="165">B966-D966</f>
        <v>-8.9999999999999976E-4</v>
      </c>
      <c r="J966" s="5">
        <f t="shared" si="158"/>
        <v>-1.8250000000000002E-3</v>
      </c>
      <c r="K966" s="5">
        <f t="shared" si="159"/>
        <v>4.6770000000000006E-3</v>
      </c>
      <c r="L966" s="8">
        <f t="shared" si="156"/>
        <v>8.3857422877441579E-2</v>
      </c>
      <c r="M966" s="8">
        <f t="shared" si="157"/>
        <v>4.3200000000000002E-2</v>
      </c>
      <c r="N966" s="8">
        <f t="shared" si="160"/>
        <v>5.4300000000000001E-2</v>
      </c>
      <c r="O966" s="296">
        <f t="shared" si="155"/>
        <v>4.0657422877441576E-2</v>
      </c>
      <c r="P966" s="8">
        <f t="shared" si="161"/>
        <v>2.9557422877441578E-2</v>
      </c>
      <c r="Q966" s="8">
        <f t="shared" si="162"/>
        <v>0.15915843205509606</v>
      </c>
      <c r="R966" s="8">
        <f t="shared" si="163"/>
        <v>5.8200000000000002E-2</v>
      </c>
      <c r="S966" s="296">
        <f t="shared" si="164"/>
        <v>0.10095843205509605</v>
      </c>
      <c r="U966" s="297"/>
      <c r="V966" s="297"/>
      <c r="W966" s="297"/>
      <c r="X966" s="297"/>
      <c r="Y966" s="297"/>
      <c r="Z966" s="297"/>
      <c r="AA966" s="297"/>
      <c r="AB966" s="297"/>
      <c r="AC966" s="297"/>
      <c r="AE966" s="297"/>
      <c r="AF966" s="297"/>
      <c r="AG966" s="297"/>
      <c r="AH966" s="297"/>
      <c r="AI966" s="297"/>
      <c r="AJ966" s="297"/>
      <c r="AK966" s="297"/>
      <c r="AL966" s="297"/>
      <c r="AM966" s="297"/>
      <c r="AO966" s="297"/>
      <c r="AP966" s="297"/>
      <c r="AQ966" s="297"/>
      <c r="AR966" s="297"/>
      <c r="AS966" s="297"/>
      <c r="AT966" s="297"/>
      <c r="AU966" s="297"/>
      <c r="AV966" s="297"/>
      <c r="AW966" s="297"/>
    </row>
    <row r="967" spans="1:49" x14ac:dyDescent="0.45">
      <c r="A967" s="295">
        <v>38777</v>
      </c>
      <c r="B967" s="12">
        <v>1.24E-2</v>
      </c>
      <c r="C967" s="5">
        <v>-4.6344999999999997E-2</v>
      </c>
      <c r="D967" s="5">
        <v>3.8999999999999994E-3</v>
      </c>
      <c r="E967" s="5">
        <v>4.5999999999999999E-3</v>
      </c>
      <c r="F967" s="5">
        <v>4.725E-3</v>
      </c>
      <c r="G967" s="5">
        <v>4.6624999999999991E-3</v>
      </c>
      <c r="H967" s="5">
        <v>4.9833333333333335E-3</v>
      </c>
      <c r="I967" s="5">
        <f t="shared" si="165"/>
        <v>8.5000000000000006E-3</v>
      </c>
      <c r="J967" s="5">
        <f t="shared" si="158"/>
        <v>7.7375000000000005E-3</v>
      </c>
      <c r="K967" s="5">
        <f t="shared" si="159"/>
        <v>-5.132833333333333E-2</v>
      </c>
      <c r="L967" s="8">
        <f t="shared" si="156"/>
        <v>0.11706938300022585</v>
      </c>
      <c r="M967" s="8">
        <f t="shared" si="157"/>
        <v>4.6799999999999994E-2</v>
      </c>
      <c r="N967" s="8">
        <f t="shared" si="160"/>
        <v>5.5949999999999986E-2</v>
      </c>
      <c r="O967" s="296">
        <f t="shared" si="155"/>
        <v>7.0269383000225852E-2</v>
      </c>
      <c r="P967" s="8">
        <f t="shared" si="161"/>
        <v>6.111938300022586E-2</v>
      </c>
      <c r="Q967" s="8">
        <f t="shared" si="162"/>
        <v>9.3626072933817417E-2</v>
      </c>
      <c r="R967" s="8">
        <f t="shared" si="163"/>
        <v>5.9800000000000006E-2</v>
      </c>
      <c r="S967" s="296">
        <f t="shared" si="164"/>
        <v>3.3826072933817411E-2</v>
      </c>
      <c r="U967" s="297"/>
      <c r="V967" s="297"/>
      <c r="W967" s="297"/>
      <c r="X967" s="297"/>
      <c r="Y967" s="297"/>
      <c r="Z967" s="297"/>
      <c r="AA967" s="297"/>
      <c r="AB967" s="297"/>
      <c r="AC967" s="297"/>
      <c r="AE967" s="297"/>
      <c r="AF967" s="297"/>
      <c r="AG967" s="297"/>
      <c r="AH967" s="297"/>
      <c r="AI967" s="297"/>
      <c r="AJ967" s="297"/>
      <c r="AK967" s="297"/>
      <c r="AL967" s="297"/>
      <c r="AM967" s="297"/>
      <c r="AO967" s="297"/>
      <c r="AP967" s="297"/>
      <c r="AQ967" s="297"/>
      <c r="AR967" s="297"/>
      <c r="AS967" s="297"/>
      <c r="AT967" s="297"/>
      <c r="AU967" s="297"/>
      <c r="AV967" s="297"/>
      <c r="AW967" s="297"/>
    </row>
    <row r="968" spans="1:49" x14ac:dyDescent="0.45">
      <c r="A968" s="295">
        <v>38808</v>
      </c>
      <c r="B968" s="12">
        <v>1.34E-2</v>
      </c>
      <c r="C968" s="5">
        <v>1.7167000000000002E-2</v>
      </c>
      <c r="D968" s="5">
        <v>3.8999999999999994E-3</v>
      </c>
      <c r="E968" s="5">
        <v>4.8666666666666667E-3</v>
      </c>
      <c r="F968" s="5">
        <v>5.0000000000000001E-3</v>
      </c>
      <c r="G968" s="5">
        <v>4.933333333333333E-3</v>
      </c>
      <c r="H968" s="5">
        <v>5.241666666666667E-3</v>
      </c>
      <c r="I968" s="5">
        <f t="shared" si="165"/>
        <v>9.5000000000000015E-3</v>
      </c>
      <c r="J968" s="5">
        <f t="shared" si="158"/>
        <v>8.4666666666666675E-3</v>
      </c>
      <c r="K968" s="5">
        <f t="shared" si="159"/>
        <v>1.1925333333333335E-2</v>
      </c>
      <c r="L968" s="8">
        <f t="shared" si="156"/>
        <v>0.15396341766812349</v>
      </c>
      <c r="M968" s="8">
        <f t="shared" si="157"/>
        <v>4.6799999999999994E-2</v>
      </c>
      <c r="N968" s="8">
        <f t="shared" si="160"/>
        <v>5.9199999999999996E-2</v>
      </c>
      <c r="O968" s="296">
        <f t="shared" si="155"/>
        <v>0.1071634176681235</v>
      </c>
      <c r="P968" s="8">
        <f t="shared" si="161"/>
        <v>9.476341766812349E-2</v>
      </c>
      <c r="Q968" s="8">
        <f t="shared" si="162"/>
        <v>7.7802879302269368E-2</v>
      </c>
      <c r="R968" s="8">
        <f t="shared" si="163"/>
        <v>6.2900000000000011E-2</v>
      </c>
      <c r="S968" s="296">
        <f t="shared" si="164"/>
        <v>1.4902879302269356E-2</v>
      </c>
      <c r="U968" s="297"/>
      <c r="V968" s="297"/>
      <c r="W968" s="297"/>
      <c r="X968" s="297"/>
      <c r="Y968" s="297"/>
      <c r="Z968" s="297"/>
      <c r="AA968" s="297"/>
      <c r="AB968" s="297"/>
      <c r="AC968" s="297"/>
      <c r="AE968" s="297"/>
      <c r="AF968" s="297"/>
      <c r="AG968" s="297"/>
      <c r="AH968" s="297"/>
      <c r="AI968" s="297"/>
      <c r="AJ968" s="297"/>
      <c r="AK968" s="297"/>
      <c r="AL968" s="297"/>
      <c r="AM968" s="297"/>
      <c r="AO968" s="297"/>
      <c r="AP968" s="297"/>
      <c r="AQ968" s="297"/>
      <c r="AR968" s="297"/>
      <c r="AS968" s="297"/>
      <c r="AT968" s="297"/>
      <c r="AU968" s="297"/>
      <c r="AV968" s="297"/>
      <c r="AW968" s="297"/>
    </row>
    <row r="969" spans="1:49" x14ac:dyDescent="0.45">
      <c r="A969" s="295">
        <v>38838</v>
      </c>
      <c r="B969" s="12">
        <v>-2.8799999999999999E-2</v>
      </c>
      <c r="C969" s="5">
        <v>1.4280999999999999E-2</v>
      </c>
      <c r="D969" s="5">
        <v>4.7999999999999996E-3</v>
      </c>
      <c r="E969" s="5">
        <v>4.9583333333333337E-3</v>
      </c>
      <c r="F969" s="5">
        <v>5.1083333333333336E-3</v>
      </c>
      <c r="G969" s="5">
        <v>5.0333333333333341E-3</v>
      </c>
      <c r="H969" s="5">
        <v>5.3500000000000006E-3</v>
      </c>
      <c r="I969" s="5">
        <f t="shared" si="165"/>
        <v>-3.3599999999999998E-2</v>
      </c>
      <c r="J969" s="5">
        <f t="shared" si="158"/>
        <v>-3.3833333333333333E-2</v>
      </c>
      <c r="K969" s="5">
        <f t="shared" si="159"/>
        <v>8.930999999999998E-3</v>
      </c>
      <c r="L969" s="8">
        <f t="shared" si="156"/>
        <v>8.6188477650010586E-2</v>
      </c>
      <c r="M969" s="8">
        <f t="shared" si="157"/>
        <v>5.7599999999999998E-2</v>
      </c>
      <c r="N969" s="8">
        <f t="shared" si="160"/>
        <v>6.0400000000000009E-2</v>
      </c>
      <c r="O969" s="296">
        <f t="shared" si="155"/>
        <v>2.8588477650010588E-2</v>
      </c>
      <c r="P969" s="8">
        <f t="shared" si="161"/>
        <v>2.5788477650010577E-2</v>
      </c>
      <c r="Q969" s="8">
        <f t="shared" si="162"/>
        <v>9.2321125321327857E-2</v>
      </c>
      <c r="R969" s="8">
        <f t="shared" si="163"/>
        <v>6.4200000000000007E-2</v>
      </c>
      <c r="S969" s="296">
        <f t="shared" si="164"/>
        <v>2.812112532132785E-2</v>
      </c>
      <c r="U969" s="297"/>
      <c r="V969" s="297"/>
      <c r="W969" s="297"/>
      <c r="X969" s="297"/>
      <c r="Y969" s="297"/>
      <c r="Z969" s="297"/>
      <c r="AA969" s="297"/>
      <c r="AB969" s="297"/>
      <c r="AC969" s="297"/>
      <c r="AE969" s="297"/>
      <c r="AF969" s="297"/>
      <c r="AG969" s="297"/>
      <c r="AH969" s="297"/>
      <c r="AI969" s="297"/>
      <c r="AJ969" s="297"/>
      <c r="AK969" s="297"/>
      <c r="AL969" s="297"/>
      <c r="AM969" s="297"/>
      <c r="AO969" s="297"/>
      <c r="AP969" s="297"/>
      <c r="AQ969" s="297"/>
      <c r="AR969" s="297"/>
      <c r="AS969" s="297"/>
      <c r="AT969" s="297"/>
      <c r="AU969" s="297"/>
      <c r="AV969" s="297"/>
      <c r="AW969" s="297"/>
    </row>
    <row r="970" spans="1:49" x14ac:dyDescent="0.45">
      <c r="A970" s="295">
        <v>38869</v>
      </c>
      <c r="B970" s="12">
        <v>1.4E-3</v>
      </c>
      <c r="C970" s="5">
        <v>2.4157999999999999E-2</v>
      </c>
      <c r="D970" s="5">
        <v>4.4000000000000003E-3</v>
      </c>
      <c r="E970" s="5">
        <v>4.9083333333333331E-3</v>
      </c>
      <c r="F970" s="5">
        <v>5.0916666666666662E-3</v>
      </c>
      <c r="G970" s="5">
        <v>5.0000000000000001E-3</v>
      </c>
      <c r="H970" s="5">
        <v>5.3333333333333332E-3</v>
      </c>
      <c r="I970" s="5">
        <f t="shared" si="165"/>
        <v>-3.0000000000000001E-3</v>
      </c>
      <c r="J970" s="5">
        <f t="shared" si="158"/>
        <v>-3.5999999999999999E-3</v>
      </c>
      <c r="K970" s="5">
        <f t="shared" si="159"/>
        <v>1.8824666666666667E-2</v>
      </c>
      <c r="L970" s="8">
        <f t="shared" si="156"/>
        <v>8.6188477650010586E-2</v>
      </c>
      <c r="M970" s="8">
        <f t="shared" si="157"/>
        <v>5.28E-2</v>
      </c>
      <c r="N970" s="8">
        <f t="shared" si="160"/>
        <v>0.06</v>
      </c>
      <c r="O970" s="296">
        <f t="shared" si="155"/>
        <v>3.3388477650010587E-2</v>
      </c>
      <c r="P970" s="8">
        <f t="shared" si="161"/>
        <v>2.6188477650010589E-2</v>
      </c>
      <c r="Q970" s="8">
        <f t="shared" si="162"/>
        <v>5.7781220751551121E-2</v>
      </c>
      <c r="R970" s="8">
        <f t="shared" si="163"/>
        <v>6.4000000000000001E-2</v>
      </c>
      <c r="S970" s="296">
        <f t="shared" si="164"/>
        <v>-6.2187792484488802E-3</v>
      </c>
      <c r="U970" s="297"/>
      <c r="V970" s="297"/>
      <c r="W970" s="297"/>
      <c r="X970" s="297"/>
      <c r="Y970" s="297"/>
      <c r="Z970" s="297"/>
      <c r="AA970" s="297"/>
      <c r="AB970" s="297"/>
      <c r="AC970" s="297"/>
      <c r="AE970" s="297"/>
      <c r="AF970" s="297"/>
      <c r="AG970" s="297"/>
      <c r="AH970" s="297"/>
      <c r="AI970" s="297"/>
      <c r="AJ970" s="297"/>
      <c r="AK970" s="297"/>
      <c r="AL970" s="297"/>
      <c r="AM970" s="297"/>
      <c r="AO970" s="297"/>
      <c r="AP970" s="297"/>
      <c r="AQ970" s="297"/>
      <c r="AR970" s="297"/>
      <c r="AS970" s="297"/>
      <c r="AT970" s="297"/>
      <c r="AU970" s="297"/>
      <c r="AV970" s="297"/>
      <c r="AW970" s="297"/>
    </row>
    <row r="971" spans="1:49" x14ac:dyDescent="0.45">
      <c r="A971" s="295">
        <v>38899</v>
      </c>
      <c r="B971" s="12">
        <v>6.1999999999999998E-3</v>
      </c>
      <c r="C971" s="5">
        <v>5.1109000000000002E-2</v>
      </c>
      <c r="D971" s="5">
        <v>4.4999999999999997E-3</v>
      </c>
      <c r="E971" s="5">
        <v>4.875E-3</v>
      </c>
      <c r="F971" s="5">
        <v>5.0666666666666672E-3</v>
      </c>
      <c r="G971" s="5">
        <v>4.9708333333333332E-3</v>
      </c>
      <c r="H971" s="5">
        <v>5.3083333333333342E-3</v>
      </c>
      <c r="I971" s="5">
        <f t="shared" si="165"/>
        <v>1.7000000000000001E-3</v>
      </c>
      <c r="J971" s="5">
        <f t="shared" si="158"/>
        <v>1.2291666666666666E-3</v>
      </c>
      <c r="K971" s="5">
        <f t="shared" si="159"/>
        <v>4.580066666666667E-2</v>
      </c>
      <c r="L971" s="8">
        <f t="shared" si="156"/>
        <v>5.372430217069124E-2</v>
      </c>
      <c r="M971" s="8">
        <f t="shared" si="157"/>
        <v>5.3999999999999992E-2</v>
      </c>
      <c r="N971" s="8">
        <f t="shared" si="160"/>
        <v>5.9649999999999995E-2</v>
      </c>
      <c r="O971" s="296">
        <f t="shared" si="155"/>
        <v>-2.7569782930875197E-4</v>
      </c>
      <c r="P971" s="8">
        <f t="shared" si="161"/>
        <v>-5.9256978293087542E-3</v>
      </c>
      <c r="Q971" s="8">
        <f t="shared" si="162"/>
        <v>8.6527275640517987E-2</v>
      </c>
      <c r="R971" s="8">
        <f t="shared" si="163"/>
        <v>6.3700000000000007E-2</v>
      </c>
      <c r="S971" s="296">
        <f t="shared" si="164"/>
        <v>2.282727564051798E-2</v>
      </c>
      <c r="U971" s="297"/>
      <c r="V971" s="297"/>
      <c r="W971" s="297"/>
      <c r="X971" s="297"/>
      <c r="Y971" s="297"/>
      <c r="Z971" s="297"/>
      <c r="AA971" s="297"/>
      <c r="AB971" s="297"/>
      <c r="AC971" s="297"/>
      <c r="AE971" s="297"/>
      <c r="AF971" s="297"/>
      <c r="AG971" s="297"/>
      <c r="AH971" s="297"/>
      <c r="AI971" s="297"/>
      <c r="AJ971" s="297"/>
      <c r="AK971" s="297"/>
      <c r="AL971" s="297"/>
      <c r="AM971" s="297"/>
      <c r="AO971" s="297"/>
      <c r="AP971" s="297"/>
      <c r="AQ971" s="297"/>
      <c r="AR971" s="297"/>
      <c r="AS971" s="297"/>
      <c r="AT971" s="297"/>
      <c r="AU971" s="297"/>
      <c r="AV971" s="297"/>
      <c r="AW971" s="297"/>
    </row>
    <row r="972" spans="1:49" x14ac:dyDescent="0.45">
      <c r="A972" s="295">
        <v>38930</v>
      </c>
      <c r="B972" s="12">
        <v>2.3800000000000002E-2</v>
      </c>
      <c r="C972" s="5">
        <v>2.7122E-2</v>
      </c>
      <c r="D972" s="5">
        <v>4.3E-3</v>
      </c>
      <c r="E972" s="5">
        <v>4.7333333333333333E-3</v>
      </c>
      <c r="F972" s="5">
        <v>4.9249999999999997E-3</v>
      </c>
      <c r="G972" s="5">
        <v>4.8291666666666665E-3</v>
      </c>
      <c r="H972" s="5">
        <v>5.1666666666666675E-3</v>
      </c>
      <c r="I972" s="5">
        <f t="shared" si="165"/>
        <v>1.9500000000000003E-2</v>
      </c>
      <c r="J972" s="5">
        <f t="shared" si="158"/>
        <v>1.8970833333333336E-2</v>
      </c>
      <c r="K972" s="5">
        <f t="shared" si="159"/>
        <v>2.1955333333333334E-2</v>
      </c>
      <c r="L972" s="8">
        <f t="shared" si="156"/>
        <v>8.8710203413415289E-2</v>
      </c>
      <c r="M972" s="8">
        <f t="shared" si="157"/>
        <v>5.16E-2</v>
      </c>
      <c r="N972" s="8">
        <f t="shared" si="160"/>
        <v>5.7950000000000002E-2</v>
      </c>
      <c r="O972" s="296">
        <f t="shared" si="155"/>
        <v>3.7110203413415289E-2</v>
      </c>
      <c r="P972" s="8">
        <f t="shared" si="161"/>
        <v>3.0760203413415288E-2</v>
      </c>
      <c r="Q972" s="8">
        <f t="shared" si="162"/>
        <v>0.1079083375463521</v>
      </c>
      <c r="R972" s="8">
        <f t="shared" si="163"/>
        <v>6.2000000000000013E-2</v>
      </c>
      <c r="S972" s="296">
        <f t="shared" si="164"/>
        <v>4.5908337546352082E-2</v>
      </c>
      <c r="U972" s="297"/>
      <c r="V972" s="297"/>
      <c r="W972" s="297"/>
      <c r="X972" s="297"/>
      <c r="Y972" s="297"/>
      <c r="Z972" s="297"/>
      <c r="AA972" s="297"/>
      <c r="AB972" s="297"/>
      <c r="AC972" s="297"/>
      <c r="AE972" s="297"/>
      <c r="AF972" s="297"/>
      <c r="AG972" s="297"/>
      <c r="AH972" s="297"/>
      <c r="AI972" s="297"/>
      <c r="AJ972" s="297"/>
      <c r="AK972" s="297"/>
      <c r="AL972" s="297"/>
      <c r="AM972" s="297"/>
      <c r="AO972" s="297"/>
      <c r="AP972" s="297"/>
      <c r="AQ972" s="297"/>
      <c r="AR972" s="297"/>
      <c r="AS972" s="297"/>
      <c r="AT972" s="297"/>
      <c r="AU972" s="297"/>
      <c r="AV972" s="297"/>
      <c r="AW972" s="297"/>
    </row>
    <row r="973" spans="1:49" x14ac:dyDescent="0.45">
      <c r="A973" s="295">
        <v>38961</v>
      </c>
      <c r="B973" s="12">
        <v>2.58E-2</v>
      </c>
      <c r="C973" s="5">
        <v>-1.7362000000000002E-2</v>
      </c>
      <c r="D973" s="5">
        <v>3.8999999999999994E-3</v>
      </c>
      <c r="E973" s="5">
        <v>4.5916666666666666E-3</v>
      </c>
      <c r="F973" s="5">
        <v>4.7916666666666672E-3</v>
      </c>
      <c r="G973" s="5">
        <v>4.6916666666666669E-3</v>
      </c>
      <c r="H973" s="5">
        <v>5.0000000000000001E-3</v>
      </c>
      <c r="I973" s="5">
        <f t="shared" si="165"/>
        <v>2.1899999999999999E-2</v>
      </c>
      <c r="J973" s="5">
        <f t="shared" si="158"/>
        <v>2.1108333333333333E-2</v>
      </c>
      <c r="K973" s="5">
        <f t="shared" si="159"/>
        <v>-2.2362000000000003E-2</v>
      </c>
      <c r="L973" s="8">
        <f t="shared" si="156"/>
        <v>0.10782553978919007</v>
      </c>
      <c r="M973" s="8">
        <f t="shared" si="157"/>
        <v>4.6799999999999994E-2</v>
      </c>
      <c r="N973" s="8">
        <f t="shared" si="160"/>
        <v>5.6300000000000003E-2</v>
      </c>
      <c r="O973" s="296">
        <f t="shared" si="155"/>
        <v>6.1025539789190078E-2</v>
      </c>
      <c r="P973" s="8">
        <f t="shared" si="161"/>
        <v>5.152553978919007E-2</v>
      </c>
      <c r="Q973" s="8">
        <f t="shared" si="162"/>
        <v>4.6599531811067019E-2</v>
      </c>
      <c r="R973" s="8">
        <f t="shared" si="163"/>
        <v>0.06</v>
      </c>
      <c r="S973" s="296">
        <f t="shared" si="164"/>
        <v>-1.3400468188932979E-2</v>
      </c>
      <c r="U973" s="297"/>
      <c r="V973" s="297"/>
      <c r="W973" s="297"/>
      <c r="X973" s="297"/>
      <c r="Y973" s="297"/>
      <c r="Z973" s="297"/>
      <c r="AA973" s="297"/>
      <c r="AB973" s="297"/>
      <c r="AC973" s="297"/>
      <c r="AE973" s="297"/>
      <c r="AF973" s="297"/>
      <c r="AG973" s="297"/>
      <c r="AH973" s="297"/>
      <c r="AI973" s="297"/>
      <c r="AJ973" s="297"/>
      <c r="AK973" s="297"/>
      <c r="AL973" s="297"/>
      <c r="AM973" s="297"/>
      <c r="AO973" s="297"/>
      <c r="AP973" s="297"/>
      <c r="AQ973" s="297"/>
      <c r="AR973" s="297"/>
      <c r="AS973" s="297"/>
      <c r="AT973" s="297"/>
      <c r="AU973" s="297"/>
      <c r="AV973" s="297"/>
      <c r="AW973" s="297"/>
    </row>
    <row r="974" spans="1:49" x14ac:dyDescent="0.45">
      <c r="A974" s="295">
        <v>38991</v>
      </c>
      <c r="B974" s="12">
        <v>3.2599999999999997E-2</v>
      </c>
      <c r="C974" s="5">
        <v>5.6025999999999999E-2</v>
      </c>
      <c r="D974" s="5">
        <v>4.1999999999999997E-3</v>
      </c>
      <c r="E974" s="5">
        <v>4.5916666666666666E-3</v>
      </c>
      <c r="F974" s="5">
        <v>4.783333333333333E-3</v>
      </c>
      <c r="G974" s="5">
        <v>4.6874999999999998E-3</v>
      </c>
      <c r="H974" s="5">
        <v>4.9833333333333335E-3</v>
      </c>
      <c r="I974" s="5">
        <f t="shared" si="165"/>
        <v>2.8399999999999998E-2</v>
      </c>
      <c r="J974" s="5">
        <f t="shared" si="158"/>
        <v>2.7912499999999996E-2</v>
      </c>
      <c r="K974" s="5">
        <f t="shared" si="159"/>
        <v>5.1042666666666667E-2</v>
      </c>
      <c r="L974" s="8">
        <f t="shared" si="156"/>
        <v>0.16336891323738167</v>
      </c>
      <c r="M974" s="8">
        <f t="shared" si="157"/>
        <v>5.04E-2</v>
      </c>
      <c r="N974" s="8">
        <f t="shared" si="160"/>
        <v>5.6249999999999994E-2</v>
      </c>
      <c r="O974" s="296">
        <f t="shared" si="155"/>
        <v>0.11296891323738167</v>
      </c>
      <c r="P974" s="8">
        <f t="shared" si="161"/>
        <v>0.10711891323738168</v>
      </c>
      <c r="Q974" s="8">
        <f t="shared" si="162"/>
        <v>0.17791358539946067</v>
      </c>
      <c r="R974" s="8">
        <f t="shared" si="163"/>
        <v>5.9800000000000006E-2</v>
      </c>
      <c r="S974" s="296">
        <f t="shared" si="164"/>
        <v>0.11811358539946067</v>
      </c>
      <c r="U974" s="297"/>
      <c r="V974" s="297"/>
      <c r="W974" s="297"/>
      <c r="X974" s="297"/>
      <c r="Y974" s="297"/>
      <c r="Z974" s="297"/>
      <c r="AA974" s="297"/>
      <c r="AB974" s="297"/>
      <c r="AC974" s="297"/>
      <c r="AE974" s="297"/>
      <c r="AF974" s="297"/>
      <c r="AG974" s="297"/>
      <c r="AH974" s="297"/>
      <c r="AI974" s="297"/>
      <c r="AJ974" s="297"/>
      <c r="AK974" s="297"/>
      <c r="AL974" s="297"/>
      <c r="AM974" s="297"/>
      <c r="AO974" s="297"/>
      <c r="AP974" s="297"/>
      <c r="AQ974" s="297"/>
      <c r="AR974" s="297"/>
      <c r="AS974" s="297"/>
      <c r="AT974" s="297"/>
      <c r="AU974" s="297"/>
      <c r="AV974" s="297"/>
      <c r="AW974" s="297"/>
    </row>
    <row r="975" spans="1:49" x14ac:dyDescent="0.45">
      <c r="A975" s="295">
        <v>39022</v>
      </c>
      <c r="B975" s="12">
        <v>1.9E-2</v>
      </c>
      <c r="C975" s="5">
        <v>2.1404999999999997E-2</v>
      </c>
      <c r="D975" s="5">
        <v>3.8999999999999994E-3</v>
      </c>
      <c r="E975" s="5">
        <v>4.4416666666666667E-3</v>
      </c>
      <c r="F975" s="5">
        <v>4.6416666666666663E-3</v>
      </c>
      <c r="G975" s="5">
        <v>4.5416666666666669E-3</v>
      </c>
      <c r="H975" s="5">
        <v>4.8333333333333336E-3</v>
      </c>
      <c r="I975" s="5">
        <f t="shared" si="165"/>
        <v>1.5100000000000001E-2</v>
      </c>
      <c r="J975" s="5">
        <f t="shared" si="158"/>
        <v>1.4458333333333333E-2</v>
      </c>
      <c r="K975" s="5">
        <f t="shared" si="159"/>
        <v>1.6571666666666665E-2</v>
      </c>
      <c r="L975" s="8">
        <f t="shared" si="156"/>
        <v>0.14229420176227814</v>
      </c>
      <c r="M975" s="8">
        <f t="shared" si="157"/>
        <v>4.6799999999999994E-2</v>
      </c>
      <c r="N975" s="8">
        <f t="shared" si="160"/>
        <v>5.4500000000000007E-2</v>
      </c>
      <c r="O975" s="296">
        <f t="shared" si="155"/>
        <v>9.5494201762278144E-2</v>
      </c>
      <c r="P975" s="8">
        <f t="shared" si="161"/>
        <v>8.7794201762278132E-2</v>
      </c>
      <c r="Q975" s="8">
        <f t="shared" si="162"/>
        <v>0.20783739152187164</v>
      </c>
      <c r="R975" s="8">
        <f t="shared" si="163"/>
        <v>5.8000000000000003E-2</v>
      </c>
      <c r="S975" s="296">
        <f t="shared" si="164"/>
        <v>0.14983739152187164</v>
      </c>
      <c r="U975" s="297"/>
      <c r="V975" s="297"/>
      <c r="W975" s="297"/>
      <c r="X975" s="297"/>
      <c r="Y975" s="297"/>
      <c r="Z975" s="297"/>
      <c r="AA975" s="297"/>
      <c r="AB975" s="297"/>
      <c r="AC975" s="297"/>
      <c r="AE975" s="297"/>
      <c r="AF975" s="297"/>
      <c r="AG975" s="297"/>
      <c r="AH975" s="297"/>
      <c r="AI975" s="297"/>
      <c r="AJ975" s="297"/>
      <c r="AK975" s="297"/>
      <c r="AL975" s="297"/>
      <c r="AM975" s="297"/>
      <c r="AO975" s="297"/>
      <c r="AP975" s="297"/>
      <c r="AQ975" s="297"/>
      <c r="AR975" s="297"/>
      <c r="AS975" s="297"/>
      <c r="AT975" s="297"/>
      <c r="AU975" s="297"/>
      <c r="AV975" s="297"/>
      <c r="AW975" s="297"/>
    </row>
    <row r="976" spans="1:49" x14ac:dyDescent="0.45">
      <c r="A976" s="295">
        <v>39052</v>
      </c>
      <c r="B976" s="12">
        <v>1.4E-2</v>
      </c>
      <c r="C976" s="5">
        <v>1.1817000000000001E-2</v>
      </c>
      <c r="D976" s="5">
        <v>3.5999999999999999E-3</v>
      </c>
      <c r="E976" s="5">
        <v>4.4083333333333335E-3</v>
      </c>
      <c r="F976" s="5">
        <v>4.6500000000000005E-3</v>
      </c>
      <c r="G976" s="5">
        <v>4.5291666666666666E-3</v>
      </c>
      <c r="H976" s="5">
        <v>4.8416666666666669E-3</v>
      </c>
      <c r="I976" s="5">
        <f t="shared" si="165"/>
        <v>1.04E-2</v>
      </c>
      <c r="J976" s="5">
        <f t="shared" si="158"/>
        <v>9.4708333333333346E-3</v>
      </c>
      <c r="K976" s="5">
        <f t="shared" si="159"/>
        <v>6.9753333333333343E-3</v>
      </c>
      <c r="L976" s="8">
        <f t="shared" si="156"/>
        <v>0.15793893890527766</v>
      </c>
      <c r="M976" s="8">
        <f t="shared" si="157"/>
        <v>4.3200000000000002E-2</v>
      </c>
      <c r="N976" s="8">
        <f t="shared" si="160"/>
        <v>5.4349999999999996E-2</v>
      </c>
      <c r="O976" s="296">
        <f t="shared" ref="O976:O1039" si="166">L976-M976</f>
        <v>0.11473893890527766</v>
      </c>
      <c r="P976" s="8">
        <f t="shared" si="161"/>
        <v>0.10358893890527766</v>
      </c>
      <c r="Q976" s="8">
        <f t="shared" si="162"/>
        <v>0.2088134579401435</v>
      </c>
      <c r="R976" s="8">
        <f t="shared" si="163"/>
        <v>5.8099999999999999E-2</v>
      </c>
      <c r="S976" s="296">
        <f t="shared" si="164"/>
        <v>0.15071345794014351</v>
      </c>
      <c r="U976" s="297"/>
      <c r="V976" s="297"/>
      <c r="W976" s="297"/>
      <c r="X976" s="297"/>
      <c r="Y976" s="297"/>
      <c r="Z976" s="297"/>
      <c r="AA976" s="297"/>
      <c r="AB976" s="297"/>
      <c r="AC976" s="297"/>
      <c r="AE976" s="297"/>
      <c r="AF976" s="297"/>
      <c r="AG976" s="297"/>
      <c r="AH976" s="297"/>
      <c r="AI976" s="297"/>
      <c r="AJ976" s="297"/>
      <c r="AK976" s="297"/>
      <c r="AL976" s="297"/>
      <c r="AM976" s="297"/>
      <c r="AO976" s="297"/>
      <c r="AP976" s="297"/>
      <c r="AQ976" s="297"/>
      <c r="AR976" s="297"/>
      <c r="AS976" s="297"/>
      <c r="AT976" s="297"/>
      <c r="AU976" s="297"/>
      <c r="AV976" s="297"/>
      <c r="AW976" s="297"/>
    </row>
    <row r="977" spans="1:49" x14ac:dyDescent="0.45">
      <c r="A977" s="295">
        <v>39083</v>
      </c>
      <c r="B977" s="12">
        <v>1.5100000000000001E-2</v>
      </c>
      <c r="C977" s="5">
        <v>-1.134E-3</v>
      </c>
      <c r="D977" s="5">
        <v>4.3E-3</v>
      </c>
      <c r="E977" s="5">
        <v>4.5000000000000005E-3</v>
      </c>
      <c r="F977" s="5">
        <v>4.7916666666666672E-3</v>
      </c>
      <c r="G977" s="5">
        <v>4.6458333333333334E-3</v>
      </c>
      <c r="H977" s="5">
        <v>4.9666666666666661E-3</v>
      </c>
      <c r="I977" s="5">
        <f t="shared" si="165"/>
        <v>1.0800000000000001E-2</v>
      </c>
      <c r="J977" s="5">
        <f t="shared" si="158"/>
        <v>1.0454166666666667E-2</v>
      </c>
      <c r="K977" s="5">
        <f t="shared" si="159"/>
        <v>-6.1006666666666657E-3</v>
      </c>
      <c r="L977" s="8">
        <f t="shared" ref="L977:L1040" si="167">((1+B966)*(1+B967)*(1+B968)*(1+B969)*(1+B970)*(1+B971)*(1+B972)*(1+B973)*(1+B974)*(1+B975)*(1+B976)*(1+B977))-1</f>
        <v>0.14507921761592502</v>
      </c>
      <c r="M977" s="8">
        <f t="shared" ref="M977:M1040" si="168">D977*12</f>
        <v>5.16E-2</v>
      </c>
      <c r="N977" s="8">
        <f t="shared" si="160"/>
        <v>5.5750000000000001E-2</v>
      </c>
      <c r="O977" s="296">
        <f t="shared" si="166"/>
        <v>9.3479217615925009E-2</v>
      </c>
      <c r="P977" s="8">
        <f t="shared" si="161"/>
        <v>8.9329217615925022E-2</v>
      </c>
      <c r="Q977" s="8">
        <f t="shared" si="162"/>
        <v>0.1764456728895456</v>
      </c>
      <c r="R977" s="8">
        <f t="shared" si="163"/>
        <v>5.9599999999999993E-2</v>
      </c>
      <c r="S977" s="296">
        <f t="shared" si="164"/>
        <v>0.11684567288954562</v>
      </c>
      <c r="U977" s="297"/>
      <c r="V977" s="297"/>
      <c r="W977" s="297"/>
      <c r="X977" s="297"/>
      <c r="Y977" s="297"/>
      <c r="Z977" s="297"/>
      <c r="AA977" s="297"/>
      <c r="AB977" s="297"/>
      <c r="AC977" s="297"/>
      <c r="AE977" s="297"/>
      <c r="AF977" s="297"/>
      <c r="AG977" s="297"/>
      <c r="AH977" s="297"/>
      <c r="AI977" s="297"/>
      <c r="AJ977" s="297"/>
      <c r="AK977" s="297"/>
      <c r="AL977" s="297"/>
      <c r="AM977" s="297"/>
      <c r="AO977" s="297"/>
      <c r="AP977" s="297"/>
      <c r="AQ977" s="297"/>
      <c r="AR977" s="297"/>
      <c r="AS977" s="297"/>
      <c r="AT977" s="297"/>
      <c r="AU977" s="297"/>
      <c r="AV977" s="297"/>
      <c r="AW977" s="297"/>
    </row>
    <row r="978" spans="1:49" x14ac:dyDescent="0.45">
      <c r="A978" s="295">
        <v>39114</v>
      </c>
      <c r="B978" s="12">
        <v>-1.9599999999999999E-2</v>
      </c>
      <c r="C978" s="5">
        <v>5.0340999999999997E-2</v>
      </c>
      <c r="D978" s="5">
        <v>3.8E-3</v>
      </c>
      <c r="E978" s="5">
        <v>4.4916666666666664E-3</v>
      </c>
      <c r="F978" s="5">
        <v>4.7666666666666664E-3</v>
      </c>
      <c r="G978" s="5">
        <v>4.6291666666666668E-3</v>
      </c>
      <c r="H978" s="5">
        <v>4.9166666666666673E-3</v>
      </c>
      <c r="I978" s="5">
        <f t="shared" si="165"/>
        <v>-2.3400000000000001E-2</v>
      </c>
      <c r="J978" s="5">
        <f t="shared" si="158"/>
        <v>-2.4229166666666666E-2</v>
      </c>
      <c r="K978" s="5">
        <f t="shared" si="159"/>
        <v>4.542433333333333E-2</v>
      </c>
      <c r="L978" s="8">
        <f t="shared" si="167"/>
        <v>0.11961271063194712</v>
      </c>
      <c r="M978" s="8">
        <f t="shared" si="168"/>
        <v>4.5600000000000002E-2</v>
      </c>
      <c r="N978" s="8">
        <f t="shared" si="160"/>
        <v>5.5550000000000002E-2</v>
      </c>
      <c r="O978" s="296">
        <f t="shared" si="166"/>
        <v>7.4012710631947115E-2</v>
      </c>
      <c r="P978" s="8">
        <f t="shared" si="161"/>
        <v>6.4062710631947115E-2</v>
      </c>
      <c r="Q978" s="8">
        <f t="shared" si="162"/>
        <v>0.22400800028971823</v>
      </c>
      <c r="R978" s="8">
        <f t="shared" si="163"/>
        <v>5.9000000000000011E-2</v>
      </c>
      <c r="S978" s="296">
        <f t="shared" si="164"/>
        <v>0.16500800028971824</v>
      </c>
      <c r="U978" s="297"/>
      <c r="V978" s="297"/>
      <c r="W978" s="297"/>
      <c r="X978" s="297"/>
      <c r="Y978" s="297"/>
      <c r="Z978" s="297"/>
      <c r="AA978" s="297"/>
      <c r="AB978" s="297"/>
      <c r="AC978" s="297"/>
      <c r="AE978" s="297"/>
      <c r="AF978" s="297"/>
      <c r="AG978" s="297"/>
      <c r="AH978" s="297"/>
      <c r="AI978" s="297"/>
      <c r="AJ978" s="297"/>
      <c r="AK978" s="297"/>
      <c r="AL978" s="297"/>
      <c r="AM978" s="297"/>
      <c r="AO978" s="297"/>
      <c r="AP978" s="297"/>
      <c r="AQ978" s="297"/>
      <c r="AR978" s="297"/>
      <c r="AS978" s="297"/>
      <c r="AT978" s="297"/>
      <c r="AU978" s="297"/>
      <c r="AV978" s="297"/>
      <c r="AW978" s="297"/>
    </row>
    <row r="979" spans="1:49" x14ac:dyDescent="0.45">
      <c r="A979" s="295">
        <v>39142</v>
      </c>
      <c r="B979" s="12">
        <v>1.12E-2</v>
      </c>
      <c r="C979" s="5">
        <v>4.1373E-2</v>
      </c>
      <c r="D979" s="5">
        <v>3.8999999999999994E-3</v>
      </c>
      <c r="E979" s="5">
        <v>4.4166666666666668E-3</v>
      </c>
      <c r="F979" s="5">
        <v>4.7166666666666668E-3</v>
      </c>
      <c r="G979" s="5">
        <v>4.5666666666666668E-3</v>
      </c>
      <c r="H979" s="5">
        <v>4.8750000000000009E-3</v>
      </c>
      <c r="I979" s="5">
        <f t="shared" si="165"/>
        <v>7.3000000000000009E-3</v>
      </c>
      <c r="J979" s="5">
        <f t="shared" si="158"/>
        <v>6.6333333333333331E-3</v>
      </c>
      <c r="K979" s="5">
        <f t="shared" si="159"/>
        <v>3.6498000000000003E-2</v>
      </c>
      <c r="L979" s="8">
        <f t="shared" si="167"/>
        <v>0.11828563116458413</v>
      </c>
      <c r="M979" s="8">
        <f t="shared" si="168"/>
        <v>4.6799999999999994E-2</v>
      </c>
      <c r="N979" s="8">
        <f t="shared" si="160"/>
        <v>5.4800000000000001E-2</v>
      </c>
      <c r="O979" s="296">
        <f t="shared" si="166"/>
        <v>7.1485631164584132E-2</v>
      </c>
      <c r="P979" s="8">
        <f t="shared" si="161"/>
        <v>6.3485631164584125E-2</v>
      </c>
      <c r="Q979" s="8">
        <f t="shared" si="162"/>
        <v>0.33659329976323193</v>
      </c>
      <c r="R979" s="8">
        <f t="shared" si="163"/>
        <v>5.850000000000001E-2</v>
      </c>
      <c r="S979" s="296">
        <f t="shared" si="164"/>
        <v>0.27809329976323194</v>
      </c>
      <c r="U979" s="297"/>
      <c r="V979" s="297"/>
      <c r="W979" s="297"/>
      <c r="X979" s="297"/>
      <c r="Y979" s="297"/>
      <c r="Z979" s="297"/>
      <c r="AA979" s="297"/>
      <c r="AB979" s="297"/>
      <c r="AC979" s="297"/>
      <c r="AE979" s="297"/>
      <c r="AF979" s="297"/>
      <c r="AG979" s="297"/>
      <c r="AH979" s="297"/>
      <c r="AI979" s="297"/>
      <c r="AJ979" s="297"/>
      <c r="AK979" s="297"/>
      <c r="AL979" s="297"/>
      <c r="AM979" s="297"/>
      <c r="AO979" s="297"/>
      <c r="AP979" s="297"/>
      <c r="AQ979" s="297"/>
      <c r="AR979" s="297"/>
      <c r="AS979" s="297"/>
      <c r="AT979" s="297"/>
      <c r="AU979" s="297"/>
      <c r="AV979" s="297"/>
      <c r="AW979" s="297"/>
    </row>
    <row r="980" spans="1:49" x14ac:dyDescent="0.45">
      <c r="A980" s="295">
        <v>39173</v>
      </c>
      <c r="B980" s="12">
        <v>4.4299999999999999E-2</v>
      </c>
      <c r="C980" s="5">
        <v>4.3758999999999999E-2</v>
      </c>
      <c r="D980" s="5">
        <v>4.1999999999999997E-3</v>
      </c>
      <c r="E980" s="5">
        <v>4.5583333333333335E-3</v>
      </c>
      <c r="F980" s="5">
        <v>4.8583333333333334E-3</v>
      </c>
      <c r="G980" s="5">
        <v>4.7083333333333335E-3</v>
      </c>
      <c r="H980" s="5">
        <v>4.9750000000000003E-3</v>
      </c>
      <c r="I980" s="5">
        <f t="shared" si="165"/>
        <v>4.0099999999999997E-2</v>
      </c>
      <c r="J980" s="5">
        <f t="shared" si="158"/>
        <v>3.9591666666666664E-2</v>
      </c>
      <c r="K980" s="5">
        <f t="shared" si="159"/>
        <v>3.8783999999999999E-2</v>
      </c>
      <c r="L980" s="8">
        <f t="shared" si="167"/>
        <v>0.15238374247599684</v>
      </c>
      <c r="M980" s="8">
        <f t="shared" si="168"/>
        <v>5.04E-2</v>
      </c>
      <c r="N980" s="8">
        <f t="shared" si="160"/>
        <v>5.6500000000000002E-2</v>
      </c>
      <c r="O980" s="296">
        <f t="shared" si="166"/>
        <v>0.10198374247599684</v>
      </c>
      <c r="P980" s="8">
        <f t="shared" si="161"/>
        <v>9.5883742475996847E-2</v>
      </c>
      <c r="Q980" s="8">
        <f t="shared" si="162"/>
        <v>0.37153612530446933</v>
      </c>
      <c r="R980" s="8">
        <f t="shared" si="163"/>
        <v>5.9700000000000003E-2</v>
      </c>
      <c r="S980" s="296">
        <f t="shared" si="164"/>
        <v>0.31183612530446936</v>
      </c>
      <c r="U980" s="297"/>
      <c r="V980" s="297"/>
      <c r="W980" s="297"/>
      <c r="X980" s="297"/>
      <c r="Y980" s="297"/>
      <c r="Z980" s="297"/>
      <c r="AA980" s="297"/>
      <c r="AB980" s="297"/>
      <c r="AC980" s="297"/>
      <c r="AE980" s="297"/>
      <c r="AF980" s="297"/>
      <c r="AG980" s="297"/>
      <c r="AH980" s="297"/>
      <c r="AI980" s="297"/>
      <c r="AJ980" s="297"/>
      <c r="AK980" s="297"/>
      <c r="AL980" s="297"/>
      <c r="AM980" s="297"/>
      <c r="AO980" s="297"/>
      <c r="AP980" s="297"/>
      <c r="AQ980" s="297"/>
      <c r="AR980" s="297"/>
      <c r="AS980" s="297"/>
      <c r="AT980" s="297"/>
      <c r="AU980" s="297"/>
      <c r="AV980" s="297"/>
      <c r="AW980" s="297"/>
    </row>
    <row r="981" spans="1:49" x14ac:dyDescent="0.45">
      <c r="A981" s="295">
        <v>39203</v>
      </c>
      <c r="B981" s="12">
        <v>3.49E-2</v>
      </c>
      <c r="C981" s="5">
        <v>5.1450000000000003E-3</v>
      </c>
      <c r="D981" s="5">
        <v>4.1000000000000003E-3</v>
      </c>
      <c r="E981" s="5">
        <v>4.5583333333333335E-3</v>
      </c>
      <c r="F981" s="5">
        <v>4.875E-3</v>
      </c>
      <c r="G981" s="5">
        <v>4.7166666666666668E-3</v>
      </c>
      <c r="H981" s="5">
        <v>4.9916666666666668E-3</v>
      </c>
      <c r="I981" s="5">
        <f t="shared" si="165"/>
        <v>3.0800000000000001E-2</v>
      </c>
      <c r="J981" s="5">
        <f t="shared" si="158"/>
        <v>3.0183333333333333E-2</v>
      </c>
      <c r="K981" s="5">
        <f t="shared" si="159"/>
        <v>1.5333333333333345E-4</v>
      </c>
      <c r="L981" s="8">
        <f t="shared" si="167"/>
        <v>0.22796739609597338</v>
      </c>
      <c r="M981" s="8">
        <f t="shared" si="168"/>
        <v>4.9200000000000008E-2</v>
      </c>
      <c r="N981" s="8">
        <f t="shared" si="160"/>
        <v>5.6599999999999998E-2</v>
      </c>
      <c r="O981" s="296">
        <f t="shared" si="166"/>
        <v>0.17876739609597336</v>
      </c>
      <c r="P981" s="8">
        <f t="shared" si="161"/>
        <v>0.1713673960959734</v>
      </c>
      <c r="Q981" s="8">
        <f t="shared" si="162"/>
        <v>0.35918219770375348</v>
      </c>
      <c r="R981" s="8">
        <f t="shared" si="163"/>
        <v>5.9900000000000002E-2</v>
      </c>
      <c r="S981" s="296">
        <f t="shared" si="164"/>
        <v>0.29928219770375347</v>
      </c>
      <c r="U981" s="297"/>
      <c r="V981" s="297"/>
      <c r="W981" s="297"/>
      <c r="X981" s="297"/>
      <c r="Y981" s="297"/>
      <c r="Z981" s="297"/>
      <c r="AA981" s="297"/>
      <c r="AB981" s="297"/>
      <c r="AC981" s="297"/>
      <c r="AE981" s="297"/>
      <c r="AF981" s="297"/>
      <c r="AG981" s="297"/>
      <c r="AH981" s="297"/>
      <c r="AI981" s="297"/>
      <c r="AJ981" s="297"/>
      <c r="AK981" s="297"/>
      <c r="AL981" s="297"/>
      <c r="AM981" s="297"/>
      <c r="AO981" s="297"/>
      <c r="AP981" s="297"/>
      <c r="AQ981" s="297"/>
      <c r="AR981" s="297"/>
      <c r="AS981" s="297"/>
      <c r="AT981" s="297"/>
      <c r="AU981" s="297"/>
      <c r="AV981" s="297"/>
      <c r="AW981" s="297"/>
    </row>
    <row r="982" spans="1:49" x14ac:dyDescent="0.45">
      <c r="A982" s="295">
        <v>39234</v>
      </c>
      <c r="B982" s="12">
        <v>-1.66E-2</v>
      </c>
      <c r="C982" s="5">
        <v>-5.0620999999999999E-2</v>
      </c>
      <c r="D982" s="5">
        <v>4.0000000000000001E-3</v>
      </c>
      <c r="E982" s="5">
        <v>4.8249999999999996E-4</v>
      </c>
      <c r="F982" s="5">
        <v>5.1416666666666668E-3</v>
      </c>
      <c r="G982" s="5">
        <v>2.8120833333333335E-3</v>
      </c>
      <c r="H982" s="5">
        <v>5.2500000000000003E-3</v>
      </c>
      <c r="I982" s="5">
        <f t="shared" si="165"/>
        <v>-2.06E-2</v>
      </c>
      <c r="J982" s="5">
        <f t="shared" si="158"/>
        <v>-1.9412083333333333E-2</v>
      </c>
      <c r="K982" s="5">
        <f t="shared" si="159"/>
        <v>-5.5870999999999997E-2</v>
      </c>
      <c r="L982" s="8">
        <f t="shared" si="167"/>
        <v>0.20589488448250481</v>
      </c>
      <c r="M982" s="8">
        <f t="shared" si="168"/>
        <v>4.8000000000000001E-2</v>
      </c>
      <c r="N982" s="8">
        <f t="shared" si="160"/>
        <v>3.3745000000000004E-2</v>
      </c>
      <c r="O982" s="296">
        <f t="shared" si="166"/>
        <v>0.15789488448250483</v>
      </c>
      <c r="P982" s="8">
        <f t="shared" si="161"/>
        <v>0.17214988448250482</v>
      </c>
      <c r="Q982" s="8">
        <f t="shared" si="162"/>
        <v>0.25994137200880307</v>
      </c>
      <c r="R982" s="8">
        <f t="shared" si="163"/>
        <v>6.3E-2</v>
      </c>
      <c r="S982" s="296">
        <f t="shared" si="164"/>
        <v>0.19694137200880307</v>
      </c>
      <c r="U982" s="297"/>
      <c r="V982" s="297"/>
      <c r="W982" s="297"/>
      <c r="X982" s="297"/>
      <c r="Y982" s="297"/>
      <c r="Z982" s="297"/>
      <c r="AA982" s="297"/>
      <c r="AB982" s="297"/>
      <c r="AC982" s="297"/>
      <c r="AE982" s="297"/>
      <c r="AF982" s="297"/>
      <c r="AG982" s="297"/>
      <c r="AH982" s="297"/>
      <c r="AI982" s="297"/>
      <c r="AJ982" s="297"/>
      <c r="AK982" s="297"/>
      <c r="AL982" s="297"/>
      <c r="AM982" s="297"/>
      <c r="AO982" s="297"/>
      <c r="AP982" s="297"/>
      <c r="AQ982" s="297"/>
      <c r="AR982" s="297"/>
      <c r="AS982" s="297"/>
      <c r="AT982" s="297"/>
      <c r="AU982" s="297"/>
      <c r="AV982" s="297"/>
      <c r="AW982" s="297"/>
    </row>
    <row r="983" spans="1:49" x14ac:dyDescent="0.45">
      <c r="A983" s="295">
        <v>39264</v>
      </c>
      <c r="B983" s="12">
        <v>-3.1E-2</v>
      </c>
      <c r="C983" s="5">
        <v>-3.5666000000000003E-2</v>
      </c>
      <c r="D983" s="5">
        <v>4.5999999999999999E-3</v>
      </c>
      <c r="E983" s="5">
        <v>4.7750000000000006E-3</v>
      </c>
      <c r="F983" s="5">
        <v>5.0749999999999997E-3</v>
      </c>
      <c r="G983" s="5">
        <v>4.9249999999999997E-3</v>
      </c>
      <c r="H983" s="5">
        <v>5.2083333333333339E-3</v>
      </c>
      <c r="I983" s="5">
        <f t="shared" si="165"/>
        <v>-3.56E-2</v>
      </c>
      <c r="J983" s="5">
        <f t="shared" si="158"/>
        <v>-3.5924999999999999E-2</v>
      </c>
      <c r="K983" s="5">
        <f t="shared" si="159"/>
        <v>-4.0874333333333339E-2</v>
      </c>
      <c r="L983" s="8">
        <f t="shared" si="167"/>
        <v>0.16131200861016359</v>
      </c>
      <c r="M983" s="8">
        <f t="shared" si="168"/>
        <v>5.5199999999999999E-2</v>
      </c>
      <c r="N983" s="8">
        <f t="shared" si="160"/>
        <v>5.91E-2</v>
      </c>
      <c r="O983" s="296">
        <f t="shared" si="166"/>
        <v>0.10611200861016359</v>
      </c>
      <c r="P983" s="8">
        <f t="shared" si="161"/>
        <v>0.10221200861016359</v>
      </c>
      <c r="Q983" s="8">
        <f t="shared" si="162"/>
        <v>0.15592607715730455</v>
      </c>
      <c r="R983" s="8">
        <f t="shared" si="163"/>
        <v>6.25E-2</v>
      </c>
      <c r="S983" s="296">
        <f t="shared" si="164"/>
        <v>9.3426077157304555E-2</v>
      </c>
      <c r="U983" s="297"/>
      <c r="V983" s="297"/>
      <c r="W983" s="297"/>
      <c r="X983" s="297"/>
      <c r="Y983" s="297"/>
      <c r="Z983" s="297"/>
      <c r="AA983" s="297"/>
      <c r="AB983" s="297"/>
      <c r="AC983" s="297"/>
      <c r="AE983" s="297"/>
      <c r="AF983" s="297"/>
      <c r="AG983" s="297"/>
      <c r="AH983" s="297"/>
      <c r="AI983" s="297"/>
      <c r="AJ983" s="297"/>
      <c r="AK983" s="297"/>
      <c r="AL983" s="297"/>
      <c r="AM983" s="297"/>
      <c r="AO983" s="297"/>
      <c r="AP983" s="297"/>
      <c r="AQ983" s="297"/>
      <c r="AR983" s="297"/>
      <c r="AS983" s="297"/>
      <c r="AT983" s="297"/>
      <c r="AU983" s="297"/>
      <c r="AV983" s="297"/>
      <c r="AW983" s="297"/>
    </row>
    <row r="984" spans="1:49" x14ac:dyDescent="0.45">
      <c r="A984" s="295">
        <v>39295</v>
      </c>
      <c r="B984" s="12">
        <v>1.4999999999999999E-2</v>
      </c>
      <c r="C984" s="5">
        <v>2.0955999999999995E-2</v>
      </c>
      <c r="D984" s="5">
        <v>4.1999999999999997E-3</v>
      </c>
      <c r="E984" s="5">
        <v>4.8249999999999994E-3</v>
      </c>
      <c r="F984" s="5">
        <v>5.0499999999999998E-3</v>
      </c>
      <c r="G984" s="5">
        <v>4.9375E-3</v>
      </c>
      <c r="H984" s="5">
        <v>5.1999999999999998E-3</v>
      </c>
      <c r="I984" s="5">
        <f t="shared" si="165"/>
        <v>1.0800000000000001E-2</v>
      </c>
      <c r="J984" s="5">
        <f t="shared" si="158"/>
        <v>1.0062499999999999E-2</v>
      </c>
      <c r="K984" s="5">
        <f t="shared" si="159"/>
        <v>1.5755999999999996E-2</v>
      </c>
      <c r="L984" s="8">
        <f t="shared" si="167"/>
        <v>0.15133003393174094</v>
      </c>
      <c r="M984" s="8">
        <f t="shared" si="168"/>
        <v>5.04E-2</v>
      </c>
      <c r="N984" s="8">
        <f t="shared" si="160"/>
        <v>5.9249999999999997E-2</v>
      </c>
      <c r="O984" s="296">
        <f t="shared" si="166"/>
        <v>0.10093003393174094</v>
      </c>
      <c r="P984" s="8">
        <f t="shared" si="161"/>
        <v>9.208003393174094E-2</v>
      </c>
      <c r="Q984" s="8">
        <f t="shared" si="162"/>
        <v>0.14898684287768416</v>
      </c>
      <c r="R984" s="8">
        <f t="shared" si="163"/>
        <v>6.2399999999999997E-2</v>
      </c>
      <c r="S984" s="296">
        <f t="shared" si="164"/>
        <v>8.6586842877684159E-2</v>
      </c>
      <c r="U984" s="297"/>
      <c r="V984" s="297"/>
      <c r="W984" s="297"/>
      <c r="X984" s="297"/>
      <c r="Y984" s="297"/>
      <c r="Z984" s="297"/>
      <c r="AA984" s="297"/>
      <c r="AB984" s="297"/>
      <c r="AC984" s="297"/>
      <c r="AE984" s="297"/>
      <c r="AF984" s="297"/>
      <c r="AG984" s="297"/>
      <c r="AH984" s="297"/>
      <c r="AI984" s="297"/>
      <c r="AJ984" s="297"/>
      <c r="AK984" s="297"/>
      <c r="AL984" s="297"/>
      <c r="AM984" s="297"/>
      <c r="AO984" s="297"/>
      <c r="AP984" s="297"/>
      <c r="AQ984" s="297"/>
      <c r="AR984" s="297"/>
      <c r="AS984" s="297"/>
      <c r="AT984" s="297"/>
      <c r="AU984" s="297"/>
      <c r="AV984" s="297"/>
      <c r="AW984" s="297"/>
    </row>
    <row r="985" spans="1:49" x14ac:dyDescent="0.45">
      <c r="A985" s="295">
        <v>39326</v>
      </c>
      <c r="B985" s="12">
        <v>3.7400000000000003E-2</v>
      </c>
      <c r="C985" s="5">
        <v>3.5427E-2</v>
      </c>
      <c r="D985" s="5">
        <v>3.7000000000000002E-3</v>
      </c>
      <c r="E985" s="5">
        <v>4.783333333333333E-3</v>
      </c>
      <c r="F985" s="5">
        <v>5.0166666666666658E-3</v>
      </c>
      <c r="G985" s="5">
        <v>4.8999999999999998E-3</v>
      </c>
      <c r="H985" s="5">
        <v>5.1500000000000001E-3</v>
      </c>
      <c r="I985" s="5">
        <f t="shared" si="165"/>
        <v>3.3700000000000001E-2</v>
      </c>
      <c r="J985" s="5">
        <f t="shared" si="158"/>
        <v>3.2500000000000001E-2</v>
      </c>
      <c r="K985" s="5">
        <f t="shared" si="159"/>
        <v>3.0276999999999998E-2</v>
      </c>
      <c r="L985" s="8">
        <f t="shared" si="167"/>
        <v>0.16434955858918698</v>
      </c>
      <c r="M985" s="8">
        <f t="shared" si="168"/>
        <v>4.4400000000000002E-2</v>
      </c>
      <c r="N985" s="8">
        <f t="shared" si="160"/>
        <v>5.8799999999999998E-2</v>
      </c>
      <c r="O985" s="296">
        <f t="shared" si="166"/>
        <v>0.11994955858918699</v>
      </c>
      <c r="P985" s="8">
        <f t="shared" si="161"/>
        <v>0.10554955858918699</v>
      </c>
      <c r="Q985" s="8">
        <f t="shared" si="162"/>
        <v>0.21071238824502192</v>
      </c>
      <c r="R985" s="8">
        <f t="shared" si="163"/>
        <v>6.1800000000000001E-2</v>
      </c>
      <c r="S985" s="296">
        <f t="shared" si="164"/>
        <v>0.14891238824502193</v>
      </c>
      <c r="U985" s="297"/>
      <c r="V985" s="297"/>
      <c r="W985" s="297"/>
      <c r="X985" s="297"/>
      <c r="Y985" s="297"/>
      <c r="Z985" s="297"/>
      <c r="AA985" s="297"/>
      <c r="AB985" s="297"/>
      <c r="AC985" s="297"/>
      <c r="AE985" s="297"/>
      <c r="AF985" s="297"/>
      <c r="AG985" s="297"/>
      <c r="AH985" s="297"/>
      <c r="AI985" s="297"/>
      <c r="AJ985" s="297"/>
      <c r="AK985" s="297"/>
      <c r="AL985" s="297"/>
      <c r="AM985" s="297"/>
      <c r="AO985" s="297"/>
      <c r="AP985" s="297"/>
      <c r="AQ985" s="297"/>
      <c r="AR985" s="297"/>
      <c r="AS985" s="297"/>
      <c r="AT985" s="297"/>
      <c r="AU985" s="297"/>
      <c r="AV985" s="297"/>
      <c r="AW985" s="297"/>
    </row>
    <row r="986" spans="1:49" x14ac:dyDescent="0.45">
      <c r="A986" s="295">
        <v>39356</v>
      </c>
      <c r="B986" s="12">
        <v>1.5900000000000001E-2</v>
      </c>
      <c r="C986" s="5">
        <v>6.8641000000000008E-2</v>
      </c>
      <c r="D986" s="5">
        <v>4.3E-3</v>
      </c>
      <c r="E986" s="5">
        <v>4.7166666666666668E-3</v>
      </c>
      <c r="F986" s="5">
        <v>4.9500000000000004E-3</v>
      </c>
      <c r="G986" s="5">
        <v>4.8333333333333336E-3</v>
      </c>
      <c r="H986" s="5">
        <v>5.0916666666666662E-3</v>
      </c>
      <c r="I986" s="5">
        <f t="shared" si="165"/>
        <v>1.1600000000000001E-2</v>
      </c>
      <c r="J986" s="5">
        <f t="shared" si="158"/>
        <v>1.1066666666666667E-2</v>
      </c>
      <c r="K986" s="5">
        <f t="shared" si="159"/>
        <v>6.3549333333333347E-2</v>
      </c>
      <c r="L986" s="8">
        <f t="shared" si="167"/>
        <v>0.14551880357423475</v>
      </c>
      <c r="M986" s="8">
        <f t="shared" si="168"/>
        <v>5.16E-2</v>
      </c>
      <c r="N986" s="8">
        <f t="shared" si="160"/>
        <v>5.8000000000000003E-2</v>
      </c>
      <c r="O986" s="296">
        <f t="shared" si="166"/>
        <v>9.3918803574234738E-2</v>
      </c>
      <c r="P986" s="8">
        <f t="shared" si="161"/>
        <v>8.7518803574234749E-2</v>
      </c>
      <c r="Q986" s="8">
        <f t="shared" si="162"/>
        <v>0.22517522985849681</v>
      </c>
      <c r="R986" s="8">
        <f t="shared" si="163"/>
        <v>6.1099999999999995E-2</v>
      </c>
      <c r="S986" s="296">
        <f t="shared" si="164"/>
        <v>0.16407522985849682</v>
      </c>
      <c r="U986" s="297"/>
      <c r="V986" s="297"/>
      <c r="W986" s="297"/>
      <c r="X986" s="297"/>
      <c r="Y986" s="297"/>
      <c r="Z986" s="297"/>
      <c r="AA986" s="297"/>
      <c r="AB986" s="297"/>
      <c r="AC986" s="297"/>
      <c r="AE986" s="297"/>
      <c r="AF986" s="297"/>
      <c r="AG986" s="297"/>
      <c r="AH986" s="297"/>
      <c r="AI986" s="297"/>
      <c r="AJ986" s="297"/>
      <c r="AK986" s="297"/>
      <c r="AL986" s="297"/>
      <c r="AM986" s="297"/>
      <c r="AO986" s="297"/>
      <c r="AP986" s="297"/>
      <c r="AQ986" s="297"/>
      <c r="AR986" s="297"/>
      <c r="AS986" s="297"/>
      <c r="AT986" s="297"/>
      <c r="AU986" s="297"/>
      <c r="AV986" s="297"/>
      <c r="AW986" s="297"/>
    </row>
    <row r="987" spans="1:49" x14ac:dyDescent="0.45">
      <c r="A987" s="295">
        <v>39387</v>
      </c>
      <c r="B987" s="12">
        <v>-4.1799999999999997E-2</v>
      </c>
      <c r="C987" s="5">
        <v>3.405E-3</v>
      </c>
      <c r="D987" s="5">
        <v>3.8999999999999994E-3</v>
      </c>
      <c r="E987" s="5">
        <v>4.5333333333333337E-3</v>
      </c>
      <c r="F987" s="5">
        <v>4.816666666666667E-3</v>
      </c>
      <c r="G987" s="5">
        <v>4.6750000000000003E-3</v>
      </c>
      <c r="H987" s="5">
        <v>4.9750000000000003E-3</v>
      </c>
      <c r="I987" s="5">
        <f t="shared" si="165"/>
        <v>-4.5699999999999998E-2</v>
      </c>
      <c r="J987" s="5">
        <f t="shared" si="158"/>
        <v>-4.6474999999999995E-2</v>
      </c>
      <c r="K987" s="5">
        <f t="shared" si="159"/>
        <v>-1.5700000000000002E-3</v>
      </c>
      <c r="L987" s="8">
        <f t="shared" si="167"/>
        <v>7.7169889680895443E-2</v>
      </c>
      <c r="M987" s="8">
        <f t="shared" si="168"/>
        <v>4.6799999999999994E-2</v>
      </c>
      <c r="N987" s="8">
        <f t="shared" si="160"/>
        <v>5.6100000000000004E-2</v>
      </c>
      <c r="O987" s="296">
        <f t="shared" si="166"/>
        <v>3.0369889680895448E-2</v>
      </c>
      <c r="P987" s="8">
        <f t="shared" si="161"/>
        <v>2.1069889680895439E-2</v>
      </c>
      <c r="Q987" s="8">
        <f t="shared" si="162"/>
        <v>0.2035842310505287</v>
      </c>
      <c r="R987" s="8">
        <f t="shared" si="163"/>
        <v>5.9700000000000003E-2</v>
      </c>
      <c r="S987" s="296">
        <f t="shared" si="164"/>
        <v>0.14388423105052869</v>
      </c>
      <c r="U987" s="297"/>
      <c r="V987" s="297"/>
      <c r="W987" s="297"/>
      <c r="X987" s="297"/>
      <c r="Y987" s="297"/>
      <c r="Z987" s="297"/>
      <c r="AA987" s="297"/>
      <c r="AB987" s="297"/>
      <c r="AC987" s="297"/>
      <c r="AE987" s="297"/>
      <c r="AF987" s="297"/>
      <c r="AG987" s="297"/>
      <c r="AH987" s="297"/>
      <c r="AI987" s="297"/>
      <c r="AJ987" s="297"/>
      <c r="AK987" s="297"/>
      <c r="AL987" s="297"/>
      <c r="AM987" s="297"/>
      <c r="AO987" s="297"/>
      <c r="AP987" s="297"/>
      <c r="AQ987" s="297"/>
      <c r="AR987" s="297"/>
      <c r="AS987" s="297"/>
      <c r="AT987" s="297"/>
      <c r="AU987" s="297"/>
      <c r="AV987" s="297"/>
      <c r="AW987" s="297"/>
    </row>
    <row r="988" spans="1:49" x14ac:dyDescent="0.45">
      <c r="A988" s="295">
        <v>39417</v>
      </c>
      <c r="B988" s="12">
        <v>-6.8999999999999999E-3</v>
      </c>
      <c r="C988" s="5">
        <v>2.7539999999999999E-3</v>
      </c>
      <c r="D988" s="5">
        <v>3.7000000000000002E-3</v>
      </c>
      <c r="E988" s="5">
        <v>4.5750000000000001E-3</v>
      </c>
      <c r="F988" s="5">
        <v>4.9249999999999997E-3</v>
      </c>
      <c r="G988" s="5">
        <v>4.7499999999999999E-3</v>
      </c>
      <c r="H988" s="5">
        <v>5.1333333333333335E-3</v>
      </c>
      <c r="I988" s="5">
        <f t="shared" si="165"/>
        <v>-1.06E-2</v>
      </c>
      <c r="J988" s="5">
        <f t="shared" si="158"/>
        <v>-1.1650000000000001E-2</v>
      </c>
      <c r="K988" s="5">
        <f t="shared" si="159"/>
        <v>-2.3793333333333336E-3</v>
      </c>
      <c r="L988" s="8">
        <f t="shared" si="167"/>
        <v>5.4967867299897888E-2</v>
      </c>
      <c r="M988" s="8">
        <f t="shared" si="168"/>
        <v>4.4400000000000002E-2</v>
      </c>
      <c r="N988" s="8">
        <f t="shared" si="160"/>
        <v>5.6999999999999995E-2</v>
      </c>
      <c r="O988" s="296">
        <f t="shared" si="166"/>
        <v>1.0567867299897886E-2</v>
      </c>
      <c r="P988" s="8">
        <f t="shared" si="161"/>
        <v>-2.0321327001021072E-3</v>
      </c>
      <c r="Q988" s="8">
        <f t="shared" si="162"/>
        <v>0.19280354256040533</v>
      </c>
      <c r="R988" s="8">
        <f t="shared" si="163"/>
        <v>6.1600000000000002E-2</v>
      </c>
      <c r="S988" s="296">
        <f t="shared" si="164"/>
        <v>0.13120354256040534</v>
      </c>
      <c r="U988" s="297"/>
      <c r="V988" s="297"/>
      <c r="W988" s="297"/>
      <c r="X988" s="297"/>
      <c r="Y988" s="297"/>
      <c r="Z988" s="297"/>
      <c r="AA988" s="297"/>
      <c r="AB988" s="297"/>
      <c r="AC988" s="297"/>
      <c r="AE988" s="297"/>
      <c r="AF988" s="297"/>
      <c r="AG988" s="297"/>
      <c r="AH988" s="297"/>
      <c r="AI988" s="297"/>
      <c r="AJ988" s="297"/>
      <c r="AK988" s="297"/>
      <c r="AL988" s="297"/>
      <c r="AM988" s="297"/>
      <c r="AO988" s="297"/>
      <c r="AP988" s="297"/>
      <c r="AQ988" s="297"/>
      <c r="AR988" s="297"/>
      <c r="AS988" s="297"/>
      <c r="AT988" s="297"/>
      <c r="AU988" s="297"/>
      <c r="AV988" s="297"/>
      <c r="AW988" s="297"/>
    </row>
    <row r="989" spans="1:49" x14ac:dyDescent="0.45">
      <c r="A989" s="295">
        <v>39448</v>
      </c>
      <c r="B989" s="12">
        <v>-0.06</v>
      </c>
      <c r="C989" s="5">
        <v>-6.8132999999999999E-2</v>
      </c>
      <c r="D989" s="5">
        <v>4.0000000000000001E-3</v>
      </c>
      <c r="E989" s="5">
        <v>4.4416666666666667E-3</v>
      </c>
      <c r="F989" s="5">
        <v>4.816666666666667E-3</v>
      </c>
      <c r="G989" s="5">
        <v>4.6291666666666668E-3</v>
      </c>
      <c r="H989" s="5">
        <v>5.0166666666666658E-3</v>
      </c>
      <c r="I989" s="5">
        <f t="shared" si="165"/>
        <v>-6.4000000000000001E-2</v>
      </c>
      <c r="J989" s="5">
        <f t="shared" ref="J989:J1052" si="169">B989-G989</f>
        <v>-6.4629166666666668E-2</v>
      </c>
      <c r="K989" s="5">
        <f t="shared" ref="K989:K1052" si="170">$C989-H989</f>
        <v>-7.3149666666666668E-2</v>
      </c>
      <c r="L989" s="8">
        <f t="shared" si="167"/>
        <v>-2.3081671498468737E-2</v>
      </c>
      <c r="M989" s="8">
        <f t="shared" si="168"/>
        <v>4.8000000000000001E-2</v>
      </c>
      <c r="N989" s="8">
        <f t="shared" si="160"/>
        <v>5.5550000000000002E-2</v>
      </c>
      <c r="O989" s="296">
        <f t="shared" si="166"/>
        <v>-7.1081671498468738E-2</v>
      </c>
      <c r="P989" s="8">
        <f t="shared" si="161"/>
        <v>-7.8631671498468739E-2</v>
      </c>
      <c r="Q989" s="8">
        <f t="shared" si="162"/>
        <v>0.11279616965152228</v>
      </c>
      <c r="R989" s="8">
        <f t="shared" si="163"/>
        <v>6.019999999999999E-2</v>
      </c>
      <c r="S989" s="296">
        <f t="shared" si="164"/>
        <v>5.2596169651522293E-2</v>
      </c>
      <c r="U989" s="297"/>
      <c r="V989" s="297"/>
      <c r="W989" s="297"/>
      <c r="X989" s="297"/>
      <c r="Y989" s="297"/>
      <c r="Z989" s="297"/>
      <c r="AA989" s="297"/>
      <c r="AB989" s="297"/>
      <c r="AC989" s="297"/>
      <c r="AE989" s="297"/>
      <c r="AF989" s="297"/>
      <c r="AG989" s="297"/>
      <c r="AH989" s="297"/>
      <c r="AI989" s="297"/>
      <c r="AJ989" s="297"/>
      <c r="AK989" s="297"/>
      <c r="AL989" s="297"/>
      <c r="AM989" s="297"/>
      <c r="AO989" s="297"/>
      <c r="AP989" s="297"/>
      <c r="AQ989" s="297"/>
      <c r="AR989" s="297"/>
      <c r="AS989" s="297"/>
      <c r="AT989" s="297"/>
      <c r="AU989" s="297"/>
      <c r="AV989" s="297"/>
      <c r="AW989" s="297"/>
    </row>
    <row r="990" spans="1:49" x14ac:dyDescent="0.45">
      <c r="A990" s="295">
        <v>39479</v>
      </c>
      <c r="B990" s="12">
        <v>-3.2500000000000001E-2</v>
      </c>
      <c r="C990" s="5">
        <v>-4.9955999999999993E-2</v>
      </c>
      <c r="D990" s="5">
        <v>3.3999999999999998E-3</v>
      </c>
      <c r="E990" s="5">
        <v>4.6083333333333341E-3</v>
      </c>
      <c r="F990" s="5">
        <v>4.9750000000000003E-3</v>
      </c>
      <c r="G990" s="5">
        <v>4.7916666666666672E-3</v>
      </c>
      <c r="H990" s="5">
        <v>5.1749999999999999E-3</v>
      </c>
      <c r="I990" s="5">
        <f t="shared" si="165"/>
        <v>-3.5900000000000001E-2</v>
      </c>
      <c r="J990" s="5">
        <f t="shared" si="169"/>
        <v>-3.7291666666666667E-2</v>
      </c>
      <c r="K990" s="5">
        <f t="shared" si="170"/>
        <v>-5.5130999999999993E-2</v>
      </c>
      <c r="L990" s="8">
        <f t="shared" si="167"/>
        <v>-3.5935860031383715E-2</v>
      </c>
      <c r="M990" s="8">
        <f t="shared" si="168"/>
        <v>4.0799999999999996E-2</v>
      </c>
      <c r="N990" s="8">
        <f t="shared" si="160"/>
        <v>5.7500000000000009E-2</v>
      </c>
      <c r="O990" s="296">
        <f t="shared" si="166"/>
        <v>-7.6735860031383718E-2</v>
      </c>
      <c r="P990" s="8">
        <f t="shared" si="161"/>
        <v>-9.3435860031383725E-2</v>
      </c>
      <c r="Q990" s="8">
        <f t="shared" si="162"/>
        <v>6.5353291934815427E-3</v>
      </c>
      <c r="R990" s="8">
        <f t="shared" si="163"/>
        <v>6.2100000000000002E-2</v>
      </c>
      <c r="S990" s="296">
        <f t="shared" si="164"/>
        <v>-5.556467080651846E-2</v>
      </c>
      <c r="U990" s="297"/>
      <c r="V990" s="297"/>
      <c r="W990" s="297"/>
      <c r="X990" s="297"/>
      <c r="Y990" s="297"/>
      <c r="Z990" s="297"/>
      <c r="AA990" s="297"/>
      <c r="AB990" s="297"/>
      <c r="AC990" s="297"/>
      <c r="AE990" s="297"/>
      <c r="AF990" s="297"/>
      <c r="AG990" s="297"/>
      <c r="AH990" s="297"/>
      <c r="AI990" s="297"/>
      <c r="AJ990" s="297"/>
      <c r="AK990" s="297"/>
      <c r="AL990" s="297"/>
      <c r="AM990" s="297"/>
      <c r="AO990" s="297"/>
      <c r="AP990" s="297"/>
      <c r="AQ990" s="297"/>
      <c r="AR990" s="297"/>
      <c r="AS990" s="297"/>
      <c r="AT990" s="297"/>
      <c r="AU990" s="297"/>
      <c r="AV990" s="297"/>
      <c r="AW990" s="297"/>
    </row>
    <row r="991" spans="1:49" x14ac:dyDescent="0.45">
      <c r="A991" s="295">
        <v>39508</v>
      </c>
      <c r="B991" s="12">
        <v>-4.3E-3</v>
      </c>
      <c r="C991" s="5">
        <v>1.7056000000000002E-2</v>
      </c>
      <c r="D991" s="5">
        <v>3.7000000000000002E-3</v>
      </c>
      <c r="E991" s="5">
        <v>4.5916666666666666E-3</v>
      </c>
      <c r="F991" s="5">
        <v>4.9166666666666673E-3</v>
      </c>
      <c r="G991" s="5">
        <v>4.754166666666667E-3</v>
      </c>
      <c r="H991" s="5">
        <v>5.1749999999999999E-3</v>
      </c>
      <c r="I991" s="5">
        <f t="shared" si="165"/>
        <v>-8.0000000000000002E-3</v>
      </c>
      <c r="J991" s="5">
        <f t="shared" si="169"/>
        <v>-9.054166666666667E-3</v>
      </c>
      <c r="K991" s="5">
        <f t="shared" si="170"/>
        <v>1.1881000000000003E-2</v>
      </c>
      <c r="L991" s="8">
        <f t="shared" si="167"/>
        <v>-5.0713346354082867E-2</v>
      </c>
      <c r="M991" s="8">
        <f t="shared" si="168"/>
        <v>4.4400000000000002E-2</v>
      </c>
      <c r="N991" s="8">
        <f t="shared" si="160"/>
        <v>5.7050000000000003E-2</v>
      </c>
      <c r="O991" s="296">
        <f t="shared" si="166"/>
        <v>-9.5113346354082862E-2</v>
      </c>
      <c r="P991" s="8">
        <f t="shared" si="161"/>
        <v>-0.10776334635408287</v>
      </c>
      <c r="Q991" s="8">
        <f t="shared" si="162"/>
        <v>-1.6968179731752575E-2</v>
      </c>
      <c r="R991" s="8">
        <f t="shared" si="163"/>
        <v>6.2100000000000002E-2</v>
      </c>
      <c r="S991" s="296">
        <f t="shared" si="164"/>
        <v>-7.9068179731752578E-2</v>
      </c>
      <c r="U991" s="297"/>
      <c r="V991" s="297"/>
      <c r="W991" s="297"/>
      <c r="X991" s="297"/>
      <c r="Y991" s="297"/>
      <c r="Z991" s="297"/>
      <c r="AA991" s="297"/>
      <c r="AB991" s="297"/>
      <c r="AC991" s="297"/>
      <c r="AE991" s="297"/>
      <c r="AF991" s="297"/>
      <c r="AG991" s="297"/>
      <c r="AH991" s="297"/>
      <c r="AI991" s="297"/>
      <c r="AJ991" s="297"/>
      <c r="AK991" s="297"/>
      <c r="AL991" s="297"/>
      <c r="AM991" s="297"/>
      <c r="AO991" s="297"/>
      <c r="AP991" s="297"/>
      <c r="AQ991" s="297"/>
      <c r="AR991" s="297"/>
      <c r="AS991" s="297"/>
      <c r="AT991" s="297"/>
      <c r="AU991" s="297"/>
      <c r="AV991" s="297"/>
      <c r="AW991" s="297"/>
    </row>
    <row r="992" spans="1:49" x14ac:dyDescent="0.45">
      <c r="A992" s="295">
        <v>39539</v>
      </c>
      <c r="B992" s="12">
        <v>4.87E-2</v>
      </c>
      <c r="C992" s="5">
        <v>5.5163000000000004E-2</v>
      </c>
      <c r="D992" s="5">
        <v>3.5000000000000005E-3</v>
      </c>
      <c r="E992" s="5">
        <v>4.6249999999999998E-3</v>
      </c>
      <c r="F992" s="5">
        <v>4.9416666666666663E-3</v>
      </c>
      <c r="G992" s="5">
        <v>4.783333333333333E-3</v>
      </c>
      <c r="H992" s="5">
        <v>5.241666666666667E-3</v>
      </c>
      <c r="I992" s="5">
        <f t="shared" si="165"/>
        <v>4.5199999999999997E-2</v>
      </c>
      <c r="J992" s="5">
        <f t="shared" si="169"/>
        <v>4.3916666666666666E-2</v>
      </c>
      <c r="K992" s="5">
        <f t="shared" si="170"/>
        <v>4.9921333333333338E-2</v>
      </c>
      <c r="L992" s="8">
        <f t="shared" si="167"/>
        <v>-4.6713670709113364E-2</v>
      </c>
      <c r="M992" s="8">
        <f t="shared" si="168"/>
        <v>4.200000000000001E-2</v>
      </c>
      <c r="N992" s="8">
        <f t="shared" si="160"/>
        <v>5.7399999999999993E-2</v>
      </c>
      <c r="O992" s="296">
        <f t="shared" si="166"/>
        <v>-8.8713670709113374E-2</v>
      </c>
      <c r="P992" s="8">
        <f t="shared" si="161"/>
        <v>-0.10411367070911336</v>
      </c>
      <c r="Q992" s="8">
        <f t="shared" si="162"/>
        <v>-6.2276784490435944E-3</v>
      </c>
      <c r="R992" s="8">
        <f t="shared" si="163"/>
        <v>6.2900000000000011E-2</v>
      </c>
      <c r="S992" s="296">
        <f t="shared" si="164"/>
        <v>-6.9127678449043606E-2</v>
      </c>
      <c r="U992" s="297"/>
      <c r="V992" s="297"/>
      <c r="W992" s="297"/>
      <c r="X992" s="297"/>
      <c r="Y992" s="297"/>
      <c r="Z992" s="297"/>
      <c r="AA992" s="297"/>
      <c r="AB992" s="297"/>
      <c r="AC992" s="297"/>
      <c r="AE992" s="297"/>
      <c r="AF992" s="297"/>
      <c r="AG992" s="297"/>
      <c r="AH992" s="297"/>
      <c r="AI992" s="297"/>
      <c r="AJ992" s="297"/>
      <c r="AK992" s="297"/>
      <c r="AL992" s="297"/>
      <c r="AM992" s="297"/>
      <c r="AO992" s="297"/>
      <c r="AP992" s="297"/>
      <c r="AQ992" s="297"/>
      <c r="AR992" s="297"/>
      <c r="AS992" s="297"/>
      <c r="AT992" s="297"/>
      <c r="AU992" s="297"/>
      <c r="AV992" s="297"/>
      <c r="AW992" s="297"/>
    </row>
    <row r="993" spans="1:49" x14ac:dyDescent="0.45">
      <c r="A993" s="295">
        <v>39569</v>
      </c>
      <c r="B993" s="12">
        <v>1.2999999999999999E-2</v>
      </c>
      <c r="C993" s="5">
        <v>3.1987000000000002E-2</v>
      </c>
      <c r="D993" s="5">
        <v>3.7000000000000002E-3</v>
      </c>
      <c r="E993" s="5">
        <v>4.6416666666666663E-3</v>
      </c>
      <c r="F993" s="5">
        <v>5.0000000000000001E-3</v>
      </c>
      <c r="G993" s="5">
        <v>4.8208333333333332E-3</v>
      </c>
      <c r="H993" s="5">
        <v>5.2249999999999996E-3</v>
      </c>
      <c r="I993" s="5">
        <f t="shared" si="165"/>
        <v>9.2999999999999992E-3</v>
      </c>
      <c r="J993" s="5">
        <f t="shared" si="169"/>
        <v>8.1791666666666662E-3</v>
      </c>
      <c r="K993" s="5">
        <f t="shared" si="170"/>
        <v>2.6762000000000001E-2</v>
      </c>
      <c r="L993" s="8">
        <f t="shared" si="167"/>
        <v>-6.6886605883014316E-2</v>
      </c>
      <c r="M993" s="8">
        <f t="shared" si="168"/>
        <v>4.4400000000000002E-2</v>
      </c>
      <c r="N993" s="8">
        <f t="shared" si="160"/>
        <v>5.7849999999999999E-2</v>
      </c>
      <c r="O993" s="296">
        <f t="shared" si="166"/>
        <v>-0.11128660588301431</v>
      </c>
      <c r="P993" s="8">
        <f t="shared" si="161"/>
        <v>-0.12473660588301431</v>
      </c>
      <c r="Q993" s="8">
        <f t="shared" si="162"/>
        <v>2.0310618667363167E-2</v>
      </c>
      <c r="R993" s="8">
        <f t="shared" si="163"/>
        <v>6.2699999999999992E-2</v>
      </c>
      <c r="S993" s="296">
        <f t="shared" si="164"/>
        <v>-4.2389381332636825E-2</v>
      </c>
      <c r="U993" s="297"/>
      <c r="V993" s="297"/>
      <c r="W993" s="297"/>
      <c r="X993" s="297"/>
      <c r="Y993" s="297"/>
      <c r="Z993" s="297"/>
      <c r="AA993" s="297"/>
      <c r="AB993" s="297"/>
      <c r="AC993" s="297"/>
      <c r="AE993" s="297"/>
      <c r="AF993" s="297"/>
      <c r="AG993" s="297"/>
      <c r="AH993" s="297"/>
      <c r="AI993" s="297"/>
      <c r="AJ993" s="297"/>
      <c r="AK993" s="297"/>
      <c r="AL993" s="297"/>
      <c r="AM993" s="297"/>
      <c r="AO993" s="297"/>
      <c r="AP993" s="297"/>
      <c r="AQ993" s="297"/>
      <c r="AR993" s="297"/>
      <c r="AS993" s="297"/>
      <c r="AT993" s="297"/>
      <c r="AU993" s="297"/>
      <c r="AV993" s="297"/>
      <c r="AW993" s="297"/>
    </row>
    <row r="994" spans="1:49" x14ac:dyDescent="0.45">
      <c r="A994" s="295">
        <v>39600</v>
      </c>
      <c r="B994" s="12">
        <v>-8.43E-2</v>
      </c>
      <c r="C994" s="5">
        <v>-8.6680000000000004E-3</v>
      </c>
      <c r="D994" s="5">
        <v>4.0000000000000001E-3</v>
      </c>
      <c r="E994" s="5">
        <v>4.7333333333333333E-3</v>
      </c>
      <c r="F994" s="5">
        <v>5.0916666666666662E-3</v>
      </c>
      <c r="G994" s="5">
        <v>4.9124999999999993E-3</v>
      </c>
      <c r="H994" s="5">
        <v>5.3166666666666666E-3</v>
      </c>
      <c r="I994" s="5">
        <f t="shared" si="165"/>
        <v>-8.8300000000000003E-2</v>
      </c>
      <c r="J994" s="5">
        <f t="shared" si="169"/>
        <v>-8.92125E-2</v>
      </c>
      <c r="K994" s="5">
        <f t="shared" si="170"/>
        <v>-1.3984666666666666E-2</v>
      </c>
      <c r="L994" s="8">
        <f t="shared" si="167"/>
        <v>-0.13112473561834059</v>
      </c>
      <c r="M994" s="8">
        <f t="shared" si="168"/>
        <v>4.8000000000000001E-2</v>
      </c>
      <c r="N994" s="8">
        <f t="shared" si="160"/>
        <v>5.8949999999999989E-2</v>
      </c>
      <c r="O994" s="296">
        <f t="shared" si="166"/>
        <v>-0.17912473561834058</v>
      </c>
      <c r="P994" s="8">
        <f t="shared" si="161"/>
        <v>-0.1900747356183406</v>
      </c>
      <c r="Q994" s="8">
        <f t="shared" si="162"/>
        <v>6.5398082562132309E-2</v>
      </c>
      <c r="R994" s="8">
        <f t="shared" si="163"/>
        <v>6.3799999999999996E-2</v>
      </c>
      <c r="S994" s="296">
        <f t="shared" si="164"/>
        <v>1.5980825621323136E-3</v>
      </c>
      <c r="U994" s="297"/>
      <c r="V994" s="297"/>
      <c r="W994" s="297"/>
      <c r="X994" s="297"/>
      <c r="Y994" s="297"/>
      <c r="Z994" s="297"/>
      <c r="AA994" s="297"/>
      <c r="AB994" s="297"/>
      <c r="AC994" s="297"/>
      <c r="AE994" s="297"/>
      <c r="AF994" s="297"/>
      <c r="AG994" s="297"/>
      <c r="AH994" s="297"/>
      <c r="AI994" s="297"/>
      <c r="AJ994" s="297"/>
      <c r="AK994" s="297"/>
      <c r="AL994" s="297"/>
      <c r="AM994" s="297"/>
      <c r="AO994" s="297"/>
      <c r="AP994" s="297"/>
      <c r="AQ994" s="297"/>
      <c r="AR994" s="297"/>
      <c r="AS994" s="297"/>
      <c r="AT994" s="297"/>
      <c r="AU994" s="297"/>
      <c r="AV994" s="297"/>
      <c r="AW994" s="297"/>
    </row>
    <row r="995" spans="1:49" x14ac:dyDescent="0.45">
      <c r="A995" s="295">
        <v>39630</v>
      </c>
      <c r="B995" s="12">
        <v>-8.3999999999999995E-3</v>
      </c>
      <c r="C995" s="5">
        <v>-6.1108000000000003E-2</v>
      </c>
      <c r="D995" s="5">
        <v>3.8999999999999994E-3</v>
      </c>
      <c r="E995" s="5">
        <v>4.725E-3</v>
      </c>
      <c r="F995" s="5">
        <v>5.0416666666666665E-3</v>
      </c>
      <c r="G995" s="5">
        <v>4.8833333333333333E-3</v>
      </c>
      <c r="H995" s="5">
        <v>5.3333333333333332E-3</v>
      </c>
      <c r="I995" s="5">
        <f t="shared" si="165"/>
        <v>-1.2299999999999998E-2</v>
      </c>
      <c r="J995" s="5">
        <f t="shared" si="169"/>
        <v>-1.3283333333333333E-2</v>
      </c>
      <c r="K995" s="5">
        <f t="shared" si="170"/>
        <v>-6.6441333333333338E-2</v>
      </c>
      <c r="L995" s="8">
        <f t="shared" si="167"/>
        <v>-0.11085994617043016</v>
      </c>
      <c r="M995" s="8">
        <f t="shared" si="168"/>
        <v>4.6799999999999994E-2</v>
      </c>
      <c r="N995" s="8">
        <f t="shared" si="160"/>
        <v>5.8599999999999999E-2</v>
      </c>
      <c r="O995" s="296">
        <f t="shared" si="166"/>
        <v>-0.15765994617043017</v>
      </c>
      <c r="P995" s="8">
        <f t="shared" si="161"/>
        <v>-0.16945994617043014</v>
      </c>
      <c r="Q995" s="8">
        <f t="shared" si="162"/>
        <v>3.7289711378967638E-2</v>
      </c>
      <c r="R995" s="8">
        <f t="shared" si="163"/>
        <v>6.4000000000000001E-2</v>
      </c>
      <c r="S995" s="296">
        <f t="shared" si="164"/>
        <v>-2.6710288621032363E-2</v>
      </c>
      <c r="U995" s="297"/>
      <c r="V995" s="297"/>
      <c r="W995" s="297"/>
      <c r="X995" s="297"/>
      <c r="Y995" s="297"/>
      <c r="Z995" s="297"/>
      <c r="AA995" s="297"/>
      <c r="AB995" s="297"/>
      <c r="AC995" s="297"/>
      <c r="AE995" s="297"/>
      <c r="AF995" s="297"/>
      <c r="AG995" s="297"/>
      <c r="AH995" s="297"/>
      <c r="AI995" s="297"/>
      <c r="AJ995" s="297"/>
      <c r="AK995" s="297"/>
      <c r="AL995" s="297"/>
      <c r="AM995" s="297"/>
      <c r="AO995" s="297"/>
      <c r="AP995" s="297"/>
      <c r="AQ995" s="297"/>
      <c r="AR995" s="297"/>
      <c r="AS995" s="297"/>
      <c r="AT995" s="297"/>
      <c r="AU995" s="297"/>
      <c r="AV995" s="297"/>
      <c r="AW995" s="297"/>
    </row>
    <row r="996" spans="1:49" x14ac:dyDescent="0.45">
      <c r="A996" s="295">
        <v>39661</v>
      </c>
      <c r="B996" s="12">
        <v>1.4500000000000001E-2</v>
      </c>
      <c r="C996" s="5">
        <v>-1.6601999999999999E-2</v>
      </c>
      <c r="D996" s="5">
        <v>3.5999999999999999E-3</v>
      </c>
      <c r="E996" s="5">
        <v>4.6999999999999993E-3</v>
      </c>
      <c r="F996" s="5">
        <v>5.0083333333333334E-3</v>
      </c>
      <c r="G996" s="5">
        <v>4.8541666666666664E-3</v>
      </c>
      <c r="H996" s="5">
        <v>5.3083333333333342E-3</v>
      </c>
      <c r="I996" s="5">
        <f t="shared" si="165"/>
        <v>1.09E-2</v>
      </c>
      <c r="J996" s="5">
        <f t="shared" si="169"/>
        <v>9.6458333333333344E-3</v>
      </c>
      <c r="K996" s="5">
        <f t="shared" si="170"/>
        <v>-2.1910333333333334E-2</v>
      </c>
      <c r="L996" s="8">
        <f t="shared" si="167"/>
        <v>-0.11129794619694688</v>
      </c>
      <c r="M996" s="8">
        <f t="shared" si="168"/>
        <v>4.3200000000000002E-2</v>
      </c>
      <c r="N996" s="8">
        <f t="shared" si="160"/>
        <v>5.8249999999999996E-2</v>
      </c>
      <c r="O996" s="296">
        <f t="shared" si="166"/>
        <v>-0.1544979461969469</v>
      </c>
      <c r="P996" s="8">
        <f t="shared" si="161"/>
        <v>-0.16954794619694688</v>
      </c>
      <c r="Q996" s="8">
        <f t="shared" si="162"/>
        <v>-8.6915832743617027E-4</v>
      </c>
      <c r="R996" s="8">
        <f t="shared" si="163"/>
        <v>6.3700000000000007E-2</v>
      </c>
      <c r="S996" s="296">
        <f t="shared" si="164"/>
        <v>-6.4569158327436177E-2</v>
      </c>
      <c r="U996" s="297"/>
      <c r="V996" s="297"/>
      <c r="W996" s="297"/>
      <c r="X996" s="297"/>
      <c r="Y996" s="297"/>
      <c r="Z996" s="297"/>
      <c r="AA996" s="297"/>
      <c r="AB996" s="297"/>
      <c r="AC996" s="297"/>
      <c r="AE996" s="297"/>
      <c r="AF996" s="297"/>
      <c r="AG996" s="297"/>
      <c r="AH996" s="297"/>
      <c r="AI996" s="297"/>
      <c r="AJ996" s="297"/>
      <c r="AK996" s="297"/>
      <c r="AL996" s="297"/>
      <c r="AM996" s="297"/>
      <c r="AO996" s="297"/>
      <c r="AP996" s="297"/>
      <c r="AQ996" s="297"/>
      <c r="AR996" s="297"/>
      <c r="AS996" s="297"/>
      <c r="AT996" s="297"/>
      <c r="AU996" s="297"/>
      <c r="AV996" s="297"/>
      <c r="AW996" s="297"/>
    </row>
    <row r="997" spans="1:49" x14ac:dyDescent="0.45">
      <c r="A997" s="295">
        <v>39692</v>
      </c>
      <c r="B997" s="12">
        <v>-8.9099999999999999E-2</v>
      </c>
      <c r="C997" s="5">
        <v>-0.11482300000000001</v>
      </c>
      <c r="D997" s="5">
        <v>3.8999999999999994E-3</v>
      </c>
      <c r="E997" s="5">
        <v>4.7083333333333335E-3</v>
      </c>
      <c r="F997" s="5">
        <v>5.0250000000000008E-3</v>
      </c>
      <c r="G997" s="5">
        <v>4.8666666666666667E-3</v>
      </c>
      <c r="H997" s="5">
        <v>5.4083333333333336E-3</v>
      </c>
      <c r="I997" s="5">
        <f t="shared" si="165"/>
        <v>-9.2999999999999999E-2</v>
      </c>
      <c r="J997" s="5">
        <f t="shared" si="169"/>
        <v>-9.3966666666666671E-2</v>
      </c>
      <c r="K997" s="5">
        <f t="shared" si="170"/>
        <v>-0.12023133333333334</v>
      </c>
      <c r="L997" s="8">
        <f t="shared" si="167"/>
        <v>-0.21966579833313959</v>
      </c>
      <c r="M997" s="8">
        <f t="shared" si="168"/>
        <v>4.6799999999999994E-2</v>
      </c>
      <c r="N997" s="8">
        <f t="shared" si="160"/>
        <v>5.8400000000000001E-2</v>
      </c>
      <c r="O997" s="296">
        <f t="shared" si="166"/>
        <v>-0.2664657983331396</v>
      </c>
      <c r="P997" s="8">
        <f t="shared" si="161"/>
        <v>-0.2780657983331396</v>
      </c>
      <c r="Q997" s="8">
        <f t="shared" si="162"/>
        <v>-0.14585225125557366</v>
      </c>
      <c r="R997" s="8">
        <f t="shared" si="163"/>
        <v>6.4899999999999999E-2</v>
      </c>
      <c r="S997" s="296">
        <f t="shared" si="164"/>
        <v>-0.21075225125557367</v>
      </c>
      <c r="U997" s="297"/>
      <c r="V997" s="297"/>
      <c r="W997" s="297"/>
      <c r="X997" s="297"/>
      <c r="Y997" s="297"/>
      <c r="Z997" s="297"/>
      <c r="AA997" s="297"/>
      <c r="AB997" s="297"/>
      <c r="AC997" s="297"/>
      <c r="AE997" s="297"/>
      <c r="AF997" s="297"/>
      <c r="AG997" s="297"/>
      <c r="AH997" s="297"/>
      <c r="AI997" s="297"/>
      <c r="AJ997" s="297"/>
      <c r="AK997" s="297"/>
      <c r="AL997" s="297"/>
      <c r="AM997" s="297"/>
      <c r="AO997" s="297"/>
      <c r="AP997" s="297"/>
      <c r="AQ997" s="297"/>
      <c r="AR997" s="297"/>
      <c r="AS997" s="297"/>
      <c r="AT997" s="297"/>
      <c r="AU997" s="297"/>
      <c r="AV997" s="297"/>
      <c r="AW997" s="297"/>
    </row>
    <row r="998" spans="1:49" x14ac:dyDescent="0.45">
      <c r="A998" s="295">
        <v>39722</v>
      </c>
      <c r="B998" s="12">
        <v>-0.16789999999999999</v>
      </c>
      <c r="C998" s="5">
        <v>-0.116128</v>
      </c>
      <c r="D998" s="5">
        <v>3.7000000000000002E-3</v>
      </c>
      <c r="E998" s="5">
        <v>5.2333333333333329E-3</v>
      </c>
      <c r="F998" s="5">
        <v>5.6583333333333329E-3</v>
      </c>
      <c r="G998" s="5">
        <v>5.4458333333333329E-3</v>
      </c>
      <c r="H998" s="5">
        <v>6.3E-3</v>
      </c>
      <c r="I998" s="5">
        <f t="shared" si="165"/>
        <v>-0.1716</v>
      </c>
      <c r="J998" s="5">
        <f t="shared" si="169"/>
        <v>-0.17334583333333334</v>
      </c>
      <c r="K998" s="5">
        <f t="shared" si="170"/>
        <v>-0.122428</v>
      </c>
      <c r="L998" s="8">
        <f t="shared" si="167"/>
        <v>-0.36084645220297829</v>
      </c>
      <c r="M998" s="8">
        <f t="shared" si="168"/>
        <v>4.4400000000000002E-2</v>
      </c>
      <c r="N998" s="8">
        <f t="shared" si="160"/>
        <v>6.5349999999999991E-2</v>
      </c>
      <c r="O998" s="296">
        <f t="shared" si="166"/>
        <v>-0.40524645220297828</v>
      </c>
      <c r="P998" s="8">
        <f t="shared" si="161"/>
        <v>-0.4261964522029783</v>
      </c>
      <c r="Q998" s="8">
        <f t="shared" si="162"/>
        <v>-0.29353517319826439</v>
      </c>
      <c r="R998" s="8">
        <f t="shared" si="163"/>
        <v>7.5600000000000001E-2</v>
      </c>
      <c r="S998" s="296">
        <f t="shared" si="164"/>
        <v>-0.36913517319826439</v>
      </c>
      <c r="U998" s="297"/>
      <c r="V998" s="297"/>
      <c r="W998" s="297"/>
      <c r="X998" s="297"/>
      <c r="Y998" s="297"/>
      <c r="Z998" s="297"/>
      <c r="AA998" s="297"/>
      <c r="AB998" s="297"/>
      <c r="AC998" s="297"/>
      <c r="AE998" s="297"/>
      <c r="AF998" s="297"/>
      <c r="AG998" s="297"/>
      <c r="AH998" s="297"/>
      <c r="AI998" s="297"/>
      <c r="AJ998" s="297"/>
      <c r="AK998" s="297"/>
      <c r="AL998" s="297"/>
      <c r="AM998" s="297"/>
      <c r="AO998" s="297"/>
      <c r="AP998" s="297"/>
      <c r="AQ998" s="297"/>
      <c r="AR998" s="297"/>
      <c r="AS998" s="297"/>
      <c r="AT998" s="297"/>
      <c r="AU998" s="297"/>
      <c r="AV998" s="297"/>
      <c r="AW998" s="297"/>
    </row>
    <row r="999" spans="1:49" x14ac:dyDescent="0.45">
      <c r="A999" s="295">
        <v>39753</v>
      </c>
      <c r="B999" s="12">
        <v>-7.1800000000000003E-2</v>
      </c>
      <c r="C999" s="5">
        <v>2.7894000000000002E-2</v>
      </c>
      <c r="D999" s="5">
        <v>3.5999999999999999E-3</v>
      </c>
      <c r="E999" s="5">
        <v>5.1000000000000004E-3</v>
      </c>
      <c r="F999" s="5">
        <v>5.6083333333333341E-3</v>
      </c>
      <c r="G999" s="5">
        <v>5.3541666666666668E-3</v>
      </c>
      <c r="H999" s="5">
        <v>6.3333333333333332E-3</v>
      </c>
      <c r="I999" s="5">
        <f t="shared" si="165"/>
        <v>-7.5400000000000009E-2</v>
      </c>
      <c r="J999" s="5">
        <f t="shared" si="169"/>
        <v>-7.7154166666666663E-2</v>
      </c>
      <c r="K999" s="5">
        <f t="shared" si="170"/>
        <v>2.1560666666666669E-2</v>
      </c>
      <c r="L999" s="8">
        <f t="shared" si="167"/>
        <v>-0.38085752132624129</v>
      </c>
      <c r="M999" s="8">
        <f t="shared" si="168"/>
        <v>4.3200000000000002E-2</v>
      </c>
      <c r="N999" s="8">
        <f t="shared" si="160"/>
        <v>6.4250000000000002E-2</v>
      </c>
      <c r="O999" s="296">
        <f t="shared" si="166"/>
        <v>-0.4240575213262413</v>
      </c>
      <c r="P999" s="8">
        <f t="shared" si="161"/>
        <v>-0.44510752132624132</v>
      </c>
      <c r="Q999" s="8">
        <f t="shared" si="162"/>
        <v>-0.27629326475297289</v>
      </c>
      <c r="R999" s="8">
        <f t="shared" si="163"/>
        <v>7.5999999999999998E-2</v>
      </c>
      <c r="S999" s="296">
        <f t="shared" si="164"/>
        <v>-0.3522932647529729</v>
      </c>
      <c r="U999" s="297"/>
      <c r="V999" s="297"/>
      <c r="W999" s="297"/>
      <c r="X999" s="297"/>
      <c r="Y999" s="297"/>
      <c r="Z999" s="297"/>
      <c r="AA999" s="297"/>
      <c r="AB999" s="297"/>
      <c r="AC999" s="297"/>
      <c r="AE999" s="297"/>
      <c r="AF999" s="297"/>
      <c r="AG999" s="297"/>
      <c r="AH999" s="297"/>
      <c r="AI999" s="297"/>
      <c r="AJ999" s="297"/>
      <c r="AK999" s="297"/>
      <c r="AL999" s="297"/>
      <c r="AM999" s="297"/>
      <c r="AO999" s="297"/>
      <c r="AP999" s="297"/>
      <c r="AQ999" s="297"/>
      <c r="AR999" s="297"/>
      <c r="AS999" s="297"/>
      <c r="AT999" s="297"/>
      <c r="AU999" s="297"/>
      <c r="AV999" s="297"/>
      <c r="AW999" s="297"/>
    </row>
    <row r="1000" spans="1:49" x14ac:dyDescent="0.45">
      <c r="A1000" s="295">
        <v>39783</v>
      </c>
      <c r="B1000" s="12">
        <v>1.06E-2</v>
      </c>
      <c r="C1000" s="5">
        <v>-1.6796999999999999E-2</v>
      </c>
      <c r="D1000" s="5">
        <v>3.3E-3</v>
      </c>
      <c r="E1000" s="5">
        <v>4.2166666666666663E-3</v>
      </c>
      <c r="F1000" s="5">
        <v>4.841666666666666E-3</v>
      </c>
      <c r="G1000" s="5">
        <v>4.5291666666666666E-3</v>
      </c>
      <c r="H1000" s="5">
        <v>5.45E-3</v>
      </c>
      <c r="I1000" s="5">
        <f t="shared" si="165"/>
        <v>7.3000000000000001E-3</v>
      </c>
      <c r="J1000" s="5">
        <f t="shared" si="169"/>
        <v>6.0708333333333335E-3</v>
      </c>
      <c r="K1000" s="5">
        <f t="shared" si="170"/>
        <v>-2.2246999999999999E-2</v>
      </c>
      <c r="L1000" s="8">
        <f t="shared" si="167"/>
        <v>-0.36994724705699267</v>
      </c>
      <c r="M1000" s="8">
        <f t="shared" si="168"/>
        <v>3.9599999999999996E-2</v>
      </c>
      <c r="N1000" s="8">
        <f t="shared" ref="N1000:N1063" si="171">G1000*12</f>
        <v>5.4349999999999996E-2</v>
      </c>
      <c r="O1000" s="296">
        <f t="shared" si="166"/>
        <v>-0.40954724705699264</v>
      </c>
      <c r="P1000" s="8">
        <f t="shared" ref="P1000:P1063" si="172">L1000-N1000</f>
        <v>-0.42429724705699268</v>
      </c>
      <c r="Q1000" s="8">
        <f t="shared" ref="Q1000:Q1063" si="173">((1+C989)*(1+C990)*(1+C991)*(1+C992)*(1+C993)*(1+C994)*(1+C995)*(1+C996)*(1+C997)*(1+C998)*(1+C999)*(1+C1000))-1</f>
        <v>-0.29040359528350634</v>
      </c>
      <c r="R1000" s="8">
        <f t="shared" ref="R1000:R1063" si="174">H1000*12</f>
        <v>6.54E-2</v>
      </c>
      <c r="S1000" s="296">
        <f t="shared" ref="S1000:S1063" si="175">Q1000-R1000</f>
        <v>-0.35580359528350636</v>
      </c>
      <c r="U1000" s="297"/>
      <c r="V1000" s="297"/>
      <c r="W1000" s="297"/>
      <c r="X1000" s="297"/>
      <c r="Y1000" s="297"/>
      <c r="Z1000" s="297"/>
      <c r="AA1000" s="297"/>
      <c r="AB1000" s="297"/>
      <c r="AC1000" s="297"/>
      <c r="AE1000" s="297"/>
      <c r="AF1000" s="297"/>
      <c r="AG1000" s="297"/>
      <c r="AH1000" s="297"/>
      <c r="AI1000" s="297"/>
      <c r="AJ1000" s="297"/>
      <c r="AK1000" s="297"/>
      <c r="AL1000" s="297"/>
      <c r="AM1000" s="297"/>
      <c r="AO1000" s="297"/>
      <c r="AP1000" s="297"/>
      <c r="AQ1000" s="297"/>
      <c r="AR1000" s="297"/>
      <c r="AS1000" s="297"/>
      <c r="AT1000" s="297"/>
      <c r="AU1000" s="297"/>
      <c r="AV1000" s="297"/>
      <c r="AW1000" s="297"/>
    </row>
    <row r="1001" spans="1:49" x14ac:dyDescent="0.45">
      <c r="A1001" s="295">
        <v>39814</v>
      </c>
      <c r="B1001" s="12">
        <v>-8.43E-2</v>
      </c>
      <c r="C1001" s="5">
        <v>-4.5409999999999999E-3</v>
      </c>
      <c r="D1001" s="5">
        <v>2.3999999999999998E-3</v>
      </c>
      <c r="E1001" s="5">
        <v>4.208333333333333E-3</v>
      </c>
      <c r="F1001" s="5">
        <v>4.8666666666666667E-3</v>
      </c>
      <c r="G1001" s="5">
        <v>4.5374999999999999E-3</v>
      </c>
      <c r="H1001" s="5">
        <v>5.3249999999999999E-3</v>
      </c>
      <c r="I1001" s="5">
        <f t="shared" si="165"/>
        <v>-8.6699999999999999E-2</v>
      </c>
      <c r="J1001" s="5">
        <f t="shared" si="169"/>
        <v>-8.88375E-2</v>
      </c>
      <c r="K1001" s="5">
        <f t="shared" si="170"/>
        <v>-9.8659999999999998E-3</v>
      </c>
      <c r="L1001" s="8">
        <f t="shared" si="167"/>
        <v>-0.38623478098945541</v>
      </c>
      <c r="M1001" s="8">
        <f t="shared" si="168"/>
        <v>2.8799999999999999E-2</v>
      </c>
      <c r="N1001" s="8">
        <f t="shared" si="171"/>
        <v>5.4449999999999998E-2</v>
      </c>
      <c r="O1001" s="296">
        <f t="shared" si="166"/>
        <v>-0.4150347809894554</v>
      </c>
      <c r="P1001" s="8">
        <f t="shared" si="172"/>
        <v>-0.4406847809894554</v>
      </c>
      <c r="Q1001" s="8">
        <f t="shared" si="173"/>
        <v>-0.24197967366300555</v>
      </c>
      <c r="R1001" s="8">
        <f t="shared" si="174"/>
        <v>6.3899999999999998E-2</v>
      </c>
      <c r="S1001" s="296">
        <f t="shared" si="175"/>
        <v>-0.30587967366300556</v>
      </c>
      <c r="U1001" s="297"/>
      <c r="V1001" s="297"/>
      <c r="W1001" s="297"/>
      <c r="X1001" s="297"/>
      <c r="Y1001" s="297"/>
      <c r="Z1001" s="297"/>
      <c r="AA1001" s="297"/>
      <c r="AB1001" s="297"/>
      <c r="AC1001" s="297"/>
      <c r="AE1001" s="297"/>
      <c r="AF1001" s="297"/>
      <c r="AG1001" s="297"/>
      <c r="AH1001" s="297"/>
      <c r="AI1001" s="297"/>
      <c r="AJ1001" s="297"/>
      <c r="AK1001" s="297"/>
      <c r="AL1001" s="297"/>
      <c r="AM1001" s="297"/>
      <c r="AO1001" s="297"/>
      <c r="AP1001" s="297"/>
      <c r="AQ1001" s="297"/>
      <c r="AR1001" s="297"/>
      <c r="AS1001" s="297"/>
      <c r="AT1001" s="297"/>
      <c r="AU1001" s="297"/>
      <c r="AV1001" s="297"/>
      <c r="AW1001" s="297"/>
    </row>
    <row r="1002" spans="1:49" x14ac:dyDescent="0.45">
      <c r="A1002" s="295">
        <v>39845</v>
      </c>
      <c r="B1002" s="12">
        <v>-0.1065</v>
      </c>
      <c r="C1002" s="5">
        <v>-0.12570800000000001</v>
      </c>
      <c r="D1002" s="5">
        <v>3.0000000000000001E-3</v>
      </c>
      <c r="E1002" s="5">
        <v>4.3916666666666661E-3</v>
      </c>
      <c r="F1002" s="5">
        <v>5.0166666666666658E-3</v>
      </c>
      <c r="G1002" s="5">
        <v>4.7041666666666655E-3</v>
      </c>
      <c r="H1002" s="5">
        <v>5.2500000000000003E-3</v>
      </c>
      <c r="I1002" s="5">
        <f t="shared" si="165"/>
        <v>-0.1095</v>
      </c>
      <c r="J1002" s="5">
        <f t="shared" si="169"/>
        <v>-0.11120416666666666</v>
      </c>
      <c r="K1002" s="5">
        <f t="shared" si="170"/>
        <v>-0.13095800000000002</v>
      </c>
      <c r="L1002" s="8">
        <f t="shared" si="167"/>
        <v>-0.43317909748225158</v>
      </c>
      <c r="M1002" s="8">
        <f t="shared" si="168"/>
        <v>3.6000000000000004E-2</v>
      </c>
      <c r="N1002" s="8">
        <f t="shared" si="171"/>
        <v>5.6449999999999986E-2</v>
      </c>
      <c r="O1002" s="296">
        <f t="shared" si="166"/>
        <v>-0.46917909748225162</v>
      </c>
      <c r="P1002" s="8">
        <f t="shared" si="172"/>
        <v>-0.48962909748225159</v>
      </c>
      <c r="Q1002" s="8">
        <f t="shared" si="173"/>
        <v>-0.30242061719896807</v>
      </c>
      <c r="R1002" s="8">
        <f t="shared" si="174"/>
        <v>6.3E-2</v>
      </c>
      <c r="S1002" s="296">
        <f t="shared" si="175"/>
        <v>-0.36542061719896807</v>
      </c>
      <c r="U1002" s="297"/>
      <c r="V1002" s="297"/>
      <c r="W1002" s="297"/>
      <c r="X1002" s="297"/>
      <c r="Y1002" s="297"/>
      <c r="Z1002" s="297"/>
      <c r="AA1002" s="297"/>
      <c r="AB1002" s="297"/>
      <c r="AC1002" s="297"/>
      <c r="AE1002" s="297"/>
      <c r="AF1002" s="297"/>
      <c r="AG1002" s="297"/>
      <c r="AH1002" s="297"/>
      <c r="AI1002" s="297"/>
      <c r="AJ1002" s="297"/>
      <c r="AK1002" s="297"/>
      <c r="AL1002" s="297"/>
      <c r="AM1002" s="297"/>
      <c r="AO1002" s="297"/>
      <c r="AP1002" s="297"/>
      <c r="AQ1002" s="297"/>
      <c r="AR1002" s="297"/>
      <c r="AS1002" s="297"/>
      <c r="AT1002" s="297"/>
      <c r="AU1002" s="297"/>
      <c r="AV1002" s="297"/>
      <c r="AW1002" s="297"/>
    </row>
    <row r="1003" spans="1:49" x14ac:dyDescent="0.45">
      <c r="A1003" s="295">
        <v>39873</v>
      </c>
      <c r="B1003" s="12">
        <v>8.7599999999999997E-2</v>
      </c>
      <c r="C1003" s="5">
        <v>2.5255E-2</v>
      </c>
      <c r="D1003" s="5">
        <v>3.5000000000000005E-3</v>
      </c>
      <c r="E1003" s="5">
        <v>4.5833333333333334E-3</v>
      </c>
      <c r="F1003" s="5">
        <v>5.0916666666666662E-3</v>
      </c>
      <c r="G1003" s="5">
        <v>4.8374999999999998E-3</v>
      </c>
      <c r="H1003" s="5">
        <v>5.3500000000000006E-3</v>
      </c>
      <c r="I1003" s="5">
        <f t="shared" si="165"/>
        <v>8.4099999999999994E-2</v>
      </c>
      <c r="J1003" s="5">
        <f t="shared" si="169"/>
        <v>8.2762500000000003E-2</v>
      </c>
      <c r="K1003" s="5">
        <f t="shared" si="170"/>
        <v>1.9904999999999999E-2</v>
      </c>
      <c r="L1003" s="8">
        <f t="shared" si="167"/>
        <v>-0.38086329860570167</v>
      </c>
      <c r="M1003" s="8">
        <f t="shared" si="168"/>
        <v>4.200000000000001E-2</v>
      </c>
      <c r="N1003" s="8">
        <f t="shared" si="171"/>
        <v>5.8049999999999997E-2</v>
      </c>
      <c r="O1003" s="296">
        <f t="shared" si="166"/>
        <v>-0.42286329860570171</v>
      </c>
      <c r="P1003" s="8">
        <f t="shared" si="172"/>
        <v>-0.43891329860570166</v>
      </c>
      <c r="Q1003" s="8">
        <f t="shared" si="173"/>
        <v>-0.29679707890846518</v>
      </c>
      <c r="R1003" s="8">
        <f t="shared" si="174"/>
        <v>6.4200000000000007E-2</v>
      </c>
      <c r="S1003" s="296">
        <f t="shared" si="175"/>
        <v>-0.36099707890846522</v>
      </c>
      <c r="U1003" s="297"/>
      <c r="V1003" s="297"/>
      <c r="W1003" s="297"/>
      <c r="X1003" s="297"/>
      <c r="Y1003" s="297"/>
      <c r="Z1003" s="297"/>
      <c r="AA1003" s="297"/>
      <c r="AB1003" s="297"/>
      <c r="AC1003" s="297"/>
      <c r="AE1003" s="297"/>
      <c r="AF1003" s="297"/>
      <c r="AG1003" s="297"/>
      <c r="AH1003" s="297"/>
      <c r="AI1003" s="297"/>
      <c r="AJ1003" s="297"/>
      <c r="AK1003" s="297"/>
      <c r="AL1003" s="297"/>
      <c r="AM1003" s="297"/>
      <c r="AO1003" s="297"/>
      <c r="AP1003" s="297"/>
      <c r="AQ1003" s="297"/>
      <c r="AR1003" s="297"/>
      <c r="AS1003" s="297"/>
      <c r="AT1003" s="297"/>
      <c r="AU1003" s="297"/>
      <c r="AV1003" s="297"/>
      <c r="AW1003" s="297"/>
    </row>
    <row r="1004" spans="1:49" x14ac:dyDescent="0.45">
      <c r="A1004" s="295">
        <v>39904</v>
      </c>
      <c r="B1004" s="12">
        <v>9.5699999999999993E-2</v>
      </c>
      <c r="C1004" s="5">
        <v>8.4620000000000008E-3</v>
      </c>
      <c r="D1004" s="5">
        <v>2.8999999999999998E-3</v>
      </c>
      <c r="E1004" s="5">
        <v>4.4916666666666664E-3</v>
      </c>
      <c r="F1004" s="5">
        <v>5.1416666666666668E-3</v>
      </c>
      <c r="G1004" s="5">
        <v>4.816666666666667E-3</v>
      </c>
      <c r="H1004" s="5">
        <v>5.4000000000000003E-3</v>
      </c>
      <c r="I1004" s="5">
        <f t="shared" si="165"/>
        <v>9.2799999999999994E-2</v>
      </c>
      <c r="J1004" s="5">
        <f t="shared" si="169"/>
        <v>9.088333333333333E-2</v>
      </c>
      <c r="K1004" s="5">
        <f t="shared" si="170"/>
        <v>3.0620000000000005E-3</v>
      </c>
      <c r="L1004" s="8">
        <f t="shared" si="167"/>
        <v>-0.35311520576167366</v>
      </c>
      <c r="M1004" s="8">
        <f t="shared" si="168"/>
        <v>3.4799999999999998E-2</v>
      </c>
      <c r="N1004" s="8">
        <f t="shared" si="171"/>
        <v>5.7800000000000004E-2</v>
      </c>
      <c r="O1004" s="296">
        <f t="shared" si="166"/>
        <v>-0.38791520576167365</v>
      </c>
      <c r="P1004" s="8">
        <f t="shared" si="172"/>
        <v>-0.41091520576167367</v>
      </c>
      <c r="Q1004" s="8">
        <f t="shared" si="173"/>
        <v>-0.32792049739252505</v>
      </c>
      <c r="R1004" s="8">
        <f t="shared" si="174"/>
        <v>6.4799999999999996E-2</v>
      </c>
      <c r="S1004" s="296">
        <f t="shared" si="175"/>
        <v>-0.39272049739252501</v>
      </c>
      <c r="U1004" s="297"/>
      <c r="V1004" s="297"/>
      <c r="W1004" s="297"/>
      <c r="X1004" s="297"/>
      <c r="Y1004" s="297"/>
      <c r="Z1004" s="297"/>
      <c r="AA1004" s="297"/>
      <c r="AB1004" s="297"/>
      <c r="AC1004" s="297"/>
      <c r="AE1004" s="297"/>
      <c r="AF1004" s="297"/>
      <c r="AG1004" s="297"/>
      <c r="AH1004" s="297"/>
      <c r="AI1004" s="297"/>
      <c r="AJ1004" s="297"/>
      <c r="AK1004" s="297"/>
      <c r="AL1004" s="297"/>
      <c r="AM1004" s="297"/>
      <c r="AO1004" s="297"/>
      <c r="AP1004" s="297"/>
      <c r="AQ1004" s="297"/>
      <c r="AR1004" s="297"/>
      <c r="AS1004" s="297"/>
      <c r="AT1004" s="297"/>
      <c r="AU1004" s="297"/>
      <c r="AV1004" s="297"/>
      <c r="AW1004" s="297"/>
    </row>
    <row r="1005" spans="1:49" x14ac:dyDescent="0.45">
      <c r="A1005" s="295">
        <v>39934</v>
      </c>
      <c r="B1005" s="12">
        <v>5.5899999999999998E-2</v>
      </c>
      <c r="C1005" s="5">
        <v>3.5286999999999999E-2</v>
      </c>
      <c r="D1005" s="5">
        <v>3.3E-3</v>
      </c>
      <c r="E1005" s="5">
        <v>4.6166666666666665E-3</v>
      </c>
      <c r="F1005" s="5">
        <v>5.1999999999999998E-3</v>
      </c>
      <c r="G1005" s="5">
        <v>4.9083333333333331E-3</v>
      </c>
      <c r="H1005" s="5">
        <v>5.4083333333333336E-3</v>
      </c>
      <c r="I1005" s="5">
        <f t="shared" si="165"/>
        <v>5.2600000000000001E-2</v>
      </c>
      <c r="J1005" s="5">
        <f t="shared" si="169"/>
        <v>5.0991666666666664E-2</v>
      </c>
      <c r="K1005" s="5">
        <f t="shared" si="170"/>
        <v>2.9878666666666664E-2</v>
      </c>
      <c r="L1005" s="8">
        <f t="shared" si="167"/>
        <v>-0.32571998594644724</v>
      </c>
      <c r="M1005" s="8">
        <f t="shared" si="168"/>
        <v>3.9599999999999996E-2</v>
      </c>
      <c r="N1005" s="8">
        <f t="shared" si="171"/>
        <v>5.8899999999999994E-2</v>
      </c>
      <c r="O1005" s="296">
        <f t="shared" si="166"/>
        <v>-0.36531998594644721</v>
      </c>
      <c r="P1005" s="8">
        <f t="shared" si="172"/>
        <v>-0.38461998594644725</v>
      </c>
      <c r="Q1005" s="8">
        <f t="shared" si="173"/>
        <v>-0.32577137888753915</v>
      </c>
      <c r="R1005" s="8">
        <f t="shared" si="174"/>
        <v>6.4899999999999999E-2</v>
      </c>
      <c r="S1005" s="296">
        <f t="shared" si="175"/>
        <v>-0.39067137888753917</v>
      </c>
      <c r="U1005" s="297"/>
      <c r="V1005" s="297"/>
      <c r="W1005" s="297"/>
      <c r="X1005" s="297"/>
      <c r="Y1005" s="297"/>
      <c r="Z1005" s="297"/>
      <c r="AA1005" s="297"/>
      <c r="AB1005" s="297"/>
      <c r="AC1005" s="297"/>
      <c r="AE1005" s="297"/>
      <c r="AF1005" s="297"/>
      <c r="AG1005" s="297"/>
      <c r="AH1005" s="297"/>
      <c r="AI1005" s="297"/>
      <c r="AJ1005" s="297"/>
      <c r="AK1005" s="297"/>
      <c r="AL1005" s="297"/>
      <c r="AM1005" s="297"/>
      <c r="AO1005" s="297"/>
      <c r="AP1005" s="297"/>
      <c r="AQ1005" s="297"/>
      <c r="AR1005" s="297"/>
      <c r="AS1005" s="297"/>
      <c r="AT1005" s="297"/>
      <c r="AU1005" s="297"/>
      <c r="AV1005" s="297"/>
      <c r="AW1005" s="297"/>
    </row>
    <row r="1006" spans="1:49" x14ac:dyDescent="0.45">
      <c r="A1006" s="295">
        <v>39965</v>
      </c>
      <c r="B1006" s="12">
        <v>2E-3</v>
      </c>
      <c r="C1006" s="5">
        <v>5.5202000000000001E-2</v>
      </c>
      <c r="D1006" s="5">
        <v>3.8E-3</v>
      </c>
      <c r="E1006" s="5">
        <v>4.6750000000000003E-3</v>
      </c>
      <c r="F1006" s="5">
        <v>5.1000000000000004E-3</v>
      </c>
      <c r="G1006" s="5">
        <v>4.8875000000000004E-3</v>
      </c>
      <c r="H1006" s="5">
        <v>5.1666666666666675E-3</v>
      </c>
      <c r="I1006" s="5">
        <f t="shared" si="165"/>
        <v>-1.8E-3</v>
      </c>
      <c r="J1006" s="5">
        <f t="shared" si="169"/>
        <v>-2.8875000000000003E-3</v>
      </c>
      <c r="K1006" s="5">
        <f t="shared" si="170"/>
        <v>5.0035333333333334E-2</v>
      </c>
      <c r="L1006" s="8">
        <f t="shared" si="167"/>
        <v>-0.26217257389793625</v>
      </c>
      <c r="M1006" s="8">
        <f t="shared" si="168"/>
        <v>4.5600000000000002E-2</v>
      </c>
      <c r="N1006" s="8">
        <f t="shared" si="171"/>
        <v>5.8650000000000008E-2</v>
      </c>
      <c r="O1006" s="296">
        <f t="shared" si="166"/>
        <v>-0.30777257389793622</v>
      </c>
      <c r="P1006" s="8">
        <f t="shared" si="172"/>
        <v>-0.32082257389793623</v>
      </c>
      <c r="Q1006" s="8">
        <f t="shared" si="173"/>
        <v>-0.28233186313453951</v>
      </c>
      <c r="R1006" s="8">
        <f t="shared" si="174"/>
        <v>6.2000000000000013E-2</v>
      </c>
      <c r="S1006" s="296">
        <f t="shared" si="175"/>
        <v>-0.34433186313453951</v>
      </c>
      <c r="U1006" s="297"/>
      <c r="V1006" s="297"/>
      <c r="W1006" s="297"/>
      <c r="X1006" s="297"/>
      <c r="Y1006" s="297"/>
      <c r="Z1006" s="297"/>
      <c r="AA1006" s="297"/>
      <c r="AB1006" s="297"/>
      <c r="AC1006" s="297"/>
      <c r="AE1006" s="297"/>
      <c r="AF1006" s="297"/>
      <c r="AG1006" s="297"/>
      <c r="AH1006" s="297"/>
      <c r="AI1006" s="297"/>
      <c r="AJ1006" s="297"/>
      <c r="AK1006" s="297"/>
      <c r="AL1006" s="297"/>
      <c r="AM1006" s="297"/>
      <c r="AO1006" s="297"/>
      <c r="AP1006" s="297"/>
      <c r="AQ1006" s="297"/>
      <c r="AR1006" s="297"/>
      <c r="AS1006" s="297"/>
      <c r="AT1006" s="297"/>
      <c r="AU1006" s="297"/>
      <c r="AV1006" s="297"/>
      <c r="AW1006" s="297"/>
    </row>
    <row r="1007" spans="1:49" x14ac:dyDescent="0.45">
      <c r="A1007" s="295">
        <v>39995</v>
      </c>
      <c r="B1007" s="12">
        <v>7.5600000000000001E-2</v>
      </c>
      <c r="C1007" s="5">
        <v>4.0755E-2</v>
      </c>
      <c r="D1007" s="5">
        <v>3.5999999999999999E-3</v>
      </c>
      <c r="E1007" s="5">
        <v>4.5083333333333338E-3</v>
      </c>
      <c r="F1007" s="5">
        <v>4.7583333333333332E-3</v>
      </c>
      <c r="G1007" s="5">
        <v>4.6333333333333339E-3</v>
      </c>
      <c r="H1007" s="5">
        <v>4.9750000000000003E-3</v>
      </c>
      <c r="I1007" s="5">
        <f t="shared" si="165"/>
        <v>7.1999999999999995E-2</v>
      </c>
      <c r="J1007" s="5">
        <f t="shared" si="169"/>
        <v>7.0966666666666664E-2</v>
      </c>
      <c r="K1007" s="5">
        <f t="shared" si="170"/>
        <v>3.5779999999999999E-2</v>
      </c>
      <c r="L1007" s="8">
        <f t="shared" si="167"/>
        <v>-0.19967004889534123</v>
      </c>
      <c r="M1007" s="8">
        <f t="shared" si="168"/>
        <v>4.3200000000000002E-2</v>
      </c>
      <c r="N1007" s="8">
        <f t="shared" si="171"/>
        <v>5.5600000000000011E-2</v>
      </c>
      <c r="O1007" s="296">
        <f t="shared" si="166"/>
        <v>-0.24287004889534125</v>
      </c>
      <c r="P1007" s="8">
        <f t="shared" si="172"/>
        <v>-0.25527004889534122</v>
      </c>
      <c r="Q1007" s="8">
        <f t="shared" si="173"/>
        <v>-0.20447005429441045</v>
      </c>
      <c r="R1007" s="8">
        <f t="shared" si="174"/>
        <v>5.9700000000000003E-2</v>
      </c>
      <c r="S1007" s="296">
        <f t="shared" si="175"/>
        <v>-0.26417005429441043</v>
      </c>
      <c r="U1007" s="297"/>
      <c r="V1007" s="297"/>
      <c r="W1007" s="297"/>
      <c r="X1007" s="297"/>
      <c r="Y1007" s="297"/>
      <c r="Z1007" s="297"/>
      <c r="AA1007" s="297"/>
      <c r="AB1007" s="297"/>
      <c r="AC1007" s="297"/>
      <c r="AE1007" s="297"/>
      <c r="AF1007" s="297"/>
      <c r="AG1007" s="297"/>
      <c r="AH1007" s="297"/>
      <c r="AI1007" s="297"/>
      <c r="AJ1007" s="297"/>
      <c r="AK1007" s="297"/>
      <c r="AL1007" s="297"/>
      <c r="AM1007" s="297"/>
      <c r="AO1007" s="297"/>
      <c r="AP1007" s="297"/>
      <c r="AQ1007" s="297"/>
      <c r="AR1007" s="297"/>
      <c r="AS1007" s="297"/>
      <c r="AT1007" s="297"/>
      <c r="AU1007" s="297"/>
      <c r="AV1007" s="297"/>
      <c r="AW1007" s="297"/>
    </row>
    <row r="1008" spans="1:49" x14ac:dyDescent="0.45">
      <c r="A1008" s="295">
        <v>40026</v>
      </c>
      <c r="B1008" s="12">
        <v>3.61E-2</v>
      </c>
      <c r="C1008" s="5">
        <v>5.4599999999999996E-3</v>
      </c>
      <c r="D1008" s="5">
        <v>3.5999999999999999E-3</v>
      </c>
      <c r="E1008" s="5">
        <v>4.3833333333333328E-3</v>
      </c>
      <c r="F1008" s="5">
        <v>4.5416666666666669E-3</v>
      </c>
      <c r="G1008" s="5">
        <v>4.4624999999999995E-3</v>
      </c>
      <c r="H1008" s="5">
        <v>4.7583333333333332E-3</v>
      </c>
      <c r="I1008" s="5">
        <f t="shared" si="165"/>
        <v>3.2500000000000001E-2</v>
      </c>
      <c r="J1008" s="5">
        <f t="shared" si="169"/>
        <v>3.1637499999999999E-2</v>
      </c>
      <c r="K1008" s="5">
        <f t="shared" si="170"/>
        <v>7.0166666666666641E-4</v>
      </c>
      <c r="L1008" s="8">
        <f t="shared" si="167"/>
        <v>-0.18263000262243756</v>
      </c>
      <c r="M1008" s="8">
        <f t="shared" si="168"/>
        <v>4.3200000000000002E-2</v>
      </c>
      <c r="N1008" s="8">
        <f t="shared" si="171"/>
        <v>5.3549999999999993E-2</v>
      </c>
      <c r="O1008" s="296">
        <f t="shared" si="166"/>
        <v>-0.22583000262243758</v>
      </c>
      <c r="P1008" s="8">
        <f t="shared" si="172"/>
        <v>-0.23618000262243755</v>
      </c>
      <c r="Q1008" s="8">
        <f t="shared" si="173"/>
        <v>-0.18662277205247291</v>
      </c>
      <c r="R1008" s="8">
        <f t="shared" si="174"/>
        <v>5.7099999999999998E-2</v>
      </c>
      <c r="S1008" s="296">
        <f t="shared" si="175"/>
        <v>-0.24372277205247289</v>
      </c>
      <c r="U1008" s="297"/>
      <c r="V1008" s="297"/>
      <c r="W1008" s="297"/>
      <c r="X1008" s="297"/>
      <c r="Y1008" s="297"/>
      <c r="Z1008" s="297"/>
      <c r="AA1008" s="297"/>
      <c r="AB1008" s="297"/>
      <c r="AC1008" s="297"/>
      <c r="AE1008" s="297"/>
      <c r="AF1008" s="297"/>
      <c r="AG1008" s="297"/>
      <c r="AH1008" s="297"/>
      <c r="AI1008" s="297"/>
      <c r="AJ1008" s="297"/>
      <c r="AK1008" s="297"/>
      <c r="AL1008" s="297"/>
      <c r="AM1008" s="297"/>
      <c r="AO1008" s="297"/>
      <c r="AP1008" s="297"/>
      <c r="AQ1008" s="297"/>
      <c r="AR1008" s="297"/>
      <c r="AS1008" s="297"/>
      <c r="AT1008" s="297"/>
      <c r="AU1008" s="297"/>
      <c r="AV1008" s="297"/>
      <c r="AW1008" s="297"/>
    </row>
    <row r="1009" spans="1:49" x14ac:dyDescent="0.45">
      <c r="A1009" s="295">
        <v>40057</v>
      </c>
      <c r="B1009" s="12">
        <v>3.73E-2</v>
      </c>
      <c r="C1009" s="5">
        <v>1.4283999999999998E-2</v>
      </c>
      <c r="D1009" s="5">
        <v>3.3999999999999998E-3</v>
      </c>
      <c r="E1009" s="5">
        <v>4.2750000000000002E-3</v>
      </c>
      <c r="F1009" s="5">
        <v>4.3416666666666664E-3</v>
      </c>
      <c r="G1009" s="5">
        <v>4.3083333333333333E-3</v>
      </c>
      <c r="H1009" s="5">
        <v>4.6083333333333341E-3</v>
      </c>
      <c r="I1009" s="5">
        <f t="shared" si="165"/>
        <v>3.39E-2</v>
      </c>
      <c r="J1009" s="5">
        <f t="shared" si="169"/>
        <v>3.2991666666666669E-2</v>
      </c>
      <c r="K1009" s="5">
        <f t="shared" si="170"/>
        <v>9.675666666666664E-3</v>
      </c>
      <c r="L1009" s="8">
        <f t="shared" si="167"/>
        <v>-6.9208586804538674E-2</v>
      </c>
      <c r="M1009" s="8">
        <f t="shared" si="168"/>
        <v>4.0799999999999996E-2</v>
      </c>
      <c r="N1009" s="8">
        <f t="shared" si="171"/>
        <v>5.1699999999999996E-2</v>
      </c>
      <c r="O1009" s="296">
        <f t="shared" si="166"/>
        <v>-0.11000858680453868</v>
      </c>
      <c r="P1009" s="8">
        <f t="shared" si="172"/>
        <v>-0.12090858680453867</v>
      </c>
      <c r="Q1009" s="8">
        <f t="shared" si="173"/>
        <v>-6.7988087951302956E-2</v>
      </c>
      <c r="R1009" s="8">
        <f t="shared" si="174"/>
        <v>5.5300000000000009E-2</v>
      </c>
      <c r="S1009" s="296">
        <f t="shared" si="175"/>
        <v>-0.12328808795130297</v>
      </c>
      <c r="U1009" s="297"/>
      <c r="V1009" s="297"/>
      <c r="W1009" s="297"/>
      <c r="X1009" s="297"/>
      <c r="Y1009" s="297"/>
      <c r="Z1009" s="297"/>
      <c r="AA1009" s="297"/>
      <c r="AB1009" s="297"/>
      <c r="AC1009" s="297"/>
      <c r="AE1009" s="297"/>
      <c r="AF1009" s="297"/>
      <c r="AG1009" s="297"/>
      <c r="AH1009" s="297"/>
      <c r="AI1009" s="297"/>
      <c r="AJ1009" s="297"/>
      <c r="AK1009" s="297"/>
      <c r="AL1009" s="297"/>
      <c r="AM1009" s="297"/>
      <c r="AO1009" s="297"/>
      <c r="AP1009" s="297"/>
      <c r="AQ1009" s="297"/>
      <c r="AR1009" s="297"/>
      <c r="AS1009" s="297"/>
      <c r="AT1009" s="297"/>
      <c r="AU1009" s="297"/>
      <c r="AV1009" s="297"/>
      <c r="AW1009" s="297"/>
    </row>
    <row r="1010" spans="1:49" x14ac:dyDescent="0.45">
      <c r="A1010" s="295">
        <v>40087</v>
      </c>
      <c r="B1010" s="12">
        <v>-1.8599999999999998E-2</v>
      </c>
      <c r="C1010" s="5">
        <v>-2.8427000000000001E-2</v>
      </c>
      <c r="D1010" s="5">
        <v>3.3E-3</v>
      </c>
      <c r="E1010" s="5">
        <v>4.2916666666666667E-3</v>
      </c>
      <c r="F1010" s="5">
        <v>4.3666666666666671E-3</v>
      </c>
      <c r="G1010" s="5">
        <v>4.3291666666666669E-3</v>
      </c>
      <c r="H1010" s="5">
        <v>4.6249999999999998E-3</v>
      </c>
      <c r="I1010" s="5">
        <f t="shared" si="165"/>
        <v>-2.1899999999999999E-2</v>
      </c>
      <c r="J1010" s="5">
        <f t="shared" si="169"/>
        <v>-2.2929166666666667E-2</v>
      </c>
      <c r="K1010" s="5">
        <f t="shared" si="170"/>
        <v>-3.3051999999999998E-2</v>
      </c>
      <c r="L1010" s="8">
        <f t="shared" si="167"/>
        <v>9.779917426995044E-2</v>
      </c>
      <c r="M1010" s="8">
        <f t="shared" si="168"/>
        <v>3.9599999999999996E-2</v>
      </c>
      <c r="N1010" s="8">
        <f t="shared" si="171"/>
        <v>5.1950000000000003E-2</v>
      </c>
      <c r="O1010" s="296">
        <f t="shared" si="166"/>
        <v>5.8199174269950443E-2</v>
      </c>
      <c r="P1010" s="8">
        <f t="shared" si="172"/>
        <v>4.5849174269950436E-2</v>
      </c>
      <c r="Q1010" s="8">
        <f t="shared" si="173"/>
        <v>2.4489529507540464E-2</v>
      </c>
      <c r="R1010" s="8">
        <f t="shared" si="174"/>
        <v>5.5499999999999994E-2</v>
      </c>
      <c r="S1010" s="296">
        <f t="shared" si="175"/>
        <v>-3.101047049245953E-2</v>
      </c>
      <c r="U1010" s="297"/>
      <c r="V1010" s="297"/>
      <c r="W1010" s="297"/>
      <c r="X1010" s="297"/>
      <c r="Y1010" s="297"/>
      <c r="Z1010" s="297"/>
      <c r="AA1010" s="297"/>
      <c r="AB1010" s="297"/>
      <c r="AC1010" s="297"/>
      <c r="AE1010" s="297"/>
      <c r="AF1010" s="297"/>
      <c r="AG1010" s="297"/>
      <c r="AH1010" s="297"/>
      <c r="AI1010" s="297"/>
      <c r="AJ1010" s="297"/>
      <c r="AK1010" s="297"/>
      <c r="AL1010" s="297"/>
      <c r="AM1010" s="297"/>
      <c r="AO1010" s="297"/>
      <c r="AP1010" s="297"/>
      <c r="AQ1010" s="297"/>
      <c r="AR1010" s="297"/>
      <c r="AS1010" s="297"/>
      <c r="AT1010" s="297"/>
      <c r="AU1010" s="297"/>
      <c r="AV1010" s="297"/>
      <c r="AW1010" s="297"/>
    </row>
    <row r="1011" spans="1:49" x14ac:dyDescent="0.45">
      <c r="A1011" s="295">
        <v>40118</v>
      </c>
      <c r="B1011" s="12">
        <v>0.06</v>
      </c>
      <c r="C1011" s="5">
        <v>4.5586000000000002E-2</v>
      </c>
      <c r="D1011" s="5">
        <v>3.5000000000000005E-3</v>
      </c>
      <c r="E1011" s="5">
        <v>4.3250000000000007E-3</v>
      </c>
      <c r="F1011" s="5">
        <v>4.4083333333333335E-3</v>
      </c>
      <c r="G1011" s="5">
        <v>4.3666666666666671E-3</v>
      </c>
      <c r="H1011" s="5">
        <v>4.6999999999999993E-3</v>
      </c>
      <c r="I1011" s="5">
        <f t="shared" si="165"/>
        <v>5.6499999999999995E-2</v>
      </c>
      <c r="J1011" s="5">
        <f t="shared" si="169"/>
        <v>5.5633333333333333E-2</v>
      </c>
      <c r="K1011" s="5">
        <f t="shared" si="170"/>
        <v>4.0886000000000006E-2</v>
      </c>
      <c r="L1011" s="8">
        <f t="shared" si="167"/>
        <v>0.25368145305553491</v>
      </c>
      <c r="M1011" s="8">
        <f t="shared" si="168"/>
        <v>4.200000000000001E-2</v>
      </c>
      <c r="N1011" s="8">
        <f t="shared" si="171"/>
        <v>5.2400000000000002E-2</v>
      </c>
      <c r="O1011" s="296">
        <f t="shared" si="166"/>
        <v>0.2116814530555349</v>
      </c>
      <c r="P1011" s="8">
        <f t="shared" si="172"/>
        <v>0.20128145305553491</v>
      </c>
      <c r="Q1011" s="8">
        <f t="shared" si="173"/>
        <v>4.2122932130814084E-2</v>
      </c>
      <c r="R1011" s="8">
        <f t="shared" si="174"/>
        <v>5.6399999999999992E-2</v>
      </c>
      <c r="S1011" s="296">
        <f t="shared" si="175"/>
        <v>-1.4277067869185908E-2</v>
      </c>
      <c r="U1011" s="297"/>
      <c r="V1011" s="297"/>
      <c r="W1011" s="297"/>
      <c r="X1011" s="297"/>
      <c r="Y1011" s="297"/>
      <c r="Z1011" s="297"/>
      <c r="AA1011" s="297"/>
      <c r="AB1011" s="297"/>
      <c r="AC1011" s="297"/>
      <c r="AE1011" s="297"/>
      <c r="AF1011" s="297"/>
      <c r="AG1011" s="297"/>
      <c r="AH1011" s="297"/>
      <c r="AI1011" s="297"/>
      <c r="AJ1011" s="297"/>
      <c r="AK1011" s="297"/>
      <c r="AL1011" s="297"/>
      <c r="AM1011" s="297"/>
      <c r="AO1011" s="297"/>
      <c r="AP1011" s="297"/>
      <c r="AQ1011" s="297"/>
      <c r="AR1011" s="297"/>
      <c r="AS1011" s="297"/>
      <c r="AT1011" s="297"/>
      <c r="AU1011" s="297"/>
      <c r="AV1011" s="297"/>
      <c r="AW1011" s="297"/>
    </row>
    <row r="1012" spans="1:49" x14ac:dyDescent="0.45">
      <c r="A1012" s="295">
        <v>40148</v>
      </c>
      <c r="B1012" s="12">
        <v>1.9300000000000001E-2</v>
      </c>
      <c r="C1012" s="5">
        <v>5.5813000000000008E-2</v>
      </c>
      <c r="D1012" s="5">
        <v>3.3999999999999998E-3</v>
      </c>
      <c r="E1012" s="5">
        <v>4.3833333333333328E-3</v>
      </c>
      <c r="F1012" s="5">
        <v>4.5333333333333337E-3</v>
      </c>
      <c r="G1012" s="5">
        <v>4.4583333333333332E-3</v>
      </c>
      <c r="H1012" s="5">
        <v>4.8249999999999994E-3</v>
      </c>
      <c r="I1012" s="5">
        <f t="shared" si="165"/>
        <v>1.5900000000000001E-2</v>
      </c>
      <c r="J1012" s="5">
        <f t="shared" si="169"/>
        <v>1.4841666666666668E-2</v>
      </c>
      <c r="K1012" s="5">
        <f t="shared" si="170"/>
        <v>5.0988000000000006E-2</v>
      </c>
      <c r="L1012" s="8">
        <f t="shared" si="167"/>
        <v>0.26447407985306426</v>
      </c>
      <c r="M1012" s="8">
        <f t="shared" si="168"/>
        <v>4.0799999999999996E-2</v>
      </c>
      <c r="N1012" s="8">
        <f t="shared" si="171"/>
        <v>5.3499999999999999E-2</v>
      </c>
      <c r="O1012" s="296">
        <f t="shared" si="166"/>
        <v>0.22367407985306426</v>
      </c>
      <c r="P1012" s="8">
        <f t="shared" si="172"/>
        <v>0.21097407985306427</v>
      </c>
      <c r="Q1012" s="8">
        <f t="shared" si="173"/>
        <v>0.11908419659198688</v>
      </c>
      <c r="R1012" s="8">
        <f t="shared" si="174"/>
        <v>5.7899999999999993E-2</v>
      </c>
      <c r="S1012" s="296">
        <f t="shared" si="175"/>
        <v>6.1184196591986886E-2</v>
      </c>
      <c r="U1012" s="297"/>
      <c r="V1012" s="297"/>
      <c r="W1012" s="297"/>
      <c r="X1012" s="297"/>
      <c r="Y1012" s="297"/>
      <c r="Z1012" s="297"/>
      <c r="AA1012" s="297"/>
      <c r="AB1012" s="297"/>
      <c r="AC1012" s="297"/>
      <c r="AE1012" s="297"/>
      <c r="AF1012" s="297"/>
      <c r="AG1012" s="297"/>
      <c r="AH1012" s="297"/>
      <c r="AI1012" s="297"/>
      <c r="AJ1012" s="297"/>
      <c r="AK1012" s="297"/>
      <c r="AL1012" s="297"/>
      <c r="AM1012" s="297"/>
      <c r="AO1012" s="297"/>
      <c r="AP1012" s="297"/>
      <c r="AQ1012" s="297"/>
      <c r="AR1012" s="297"/>
      <c r="AS1012" s="297"/>
      <c r="AT1012" s="297"/>
      <c r="AU1012" s="297"/>
      <c r="AV1012" s="297"/>
      <c r="AW1012" s="297"/>
    </row>
    <row r="1013" spans="1:49" x14ac:dyDescent="0.45">
      <c r="A1013" s="295">
        <v>40179</v>
      </c>
      <c r="B1013" s="12">
        <v>-3.5999999999999997E-2</v>
      </c>
      <c r="C1013" s="5">
        <v>-4.7493E-2</v>
      </c>
      <c r="D1013" s="5">
        <v>3.5999999999999999E-3</v>
      </c>
      <c r="E1013" s="5">
        <v>4.3833333333333328E-3</v>
      </c>
      <c r="F1013" s="5">
        <v>4.5833333333333334E-3</v>
      </c>
      <c r="G1013" s="5">
        <v>4.4833333333333331E-3</v>
      </c>
      <c r="H1013" s="5">
        <v>4.8083333333333329E-3</v>
      </c>
      <c r="I1013" s="5">
        <f t="shared" si="165"/>
        <v>-3.9599999999999996E-2</v>
      </c>
      <c r="J1013" s="5">
        <f t="shared" si="169"/>
        <v>-4.048333333333333E-2</v>
      </c>
      <c r="K1013" s="5">
        <f t="shared" si="170"/>
        <v>-5.2301333333333332E-2</v>
      </c>
      <c r="L1013" s="8">
        <f t="shared" si="167"/>
        <v>0.33117070326346387</v>
      </c>
      <c r="M1013" s="8">
        <f t="shared" si="168"/>
        <v>4.3200000000000002E-2</v>
      </c>
      <c r="N1013" s="8">
        <f t="shared" si="171"/>
        <v>5.3800000000000001E-2</v>
      </c>
      <c r="O1013" s="296">
        <f t="shared" si="166"/>
        <v>0.28797070326346386</v>
      </c>
      <c r="P1013" s="8">
        <f t="shared" si="172"/>
        <v>0.27737070326346386</v>
      </c>
      <c r="Q1013" s="8">
        <f t="shared" si="173"/>
        <v>7.0798024673284665E-2</v>
      </c>
      <c r="R1013" s="8">
        <f t="shared" si="174"/>
        <v>5.7699999999999994E-2</v>
      </c>
      <c r="S1013" s="296">
        <f t="shared" si="175"/>
        <v>1.3098024673284671E-2</v>
      </c>
      <c r="U1013" s="297"/>
      <c r="V1013" s="297"/>
      <c r="W1013" s="297"/>
      <c r="X1013" s="297"/>
      <c r="Y1013" s="297"/>
      <c r="Z1013" s="297"/>
      <c r="AA1013" s="297"/>
      <c r="AB1013" s="297"/>
      <c r="AC1013" s="297"/>
      <c r="AE1013" s="297"/>
      <c r="AF1013" s="297"/>
      <c r="AG1013" s="297"/>
      <c r="AH1013" s="297"/>
      <c r="AI1013" s="297"/>
      <c r="AJ1013" s="297"/>
      <c r="AK1013" s="297"/>
      <c r="AL1013" s="297"/>
      <c r="AM1013" s="297"/>
      <c r="AO1013" s="297"/>
      <c r="AP1013" s="297"/>
      <c r="AQ1013" s="297"/>
      <c r="AR1013" s="297"/>
      <c r="AS1013" s="297"/>
      <c r="AT1013" s="297"/>
      <c r="AU1013" s="297"/>
      <c r="AV1013" s="297"/>
      <c r="AW1013" s="297"/>
    </row>
    <row r="1014" spans="1:49" x14ac:dyDescent="0.45">
      <c r="A1014" s="295">
        <v>40210</v>
      </c>
      <c r="B1014" s="12">
        <v>3.1E-2</v>
      </c>
      <c r="C1014" s="5">
        <v>-1.4896E-2</v>
      </c>
      <c r="D1014" s="5">
        <v>3.3E-3</v>
      </c>
      <c r="E1014" s="5">
        <v>4.4583333333333332E-3</v>
      </c>
      <c r="F1014" s="5">
        <v>4.6833333333333336E-3</v>
      </c>
      <c r="G1014" s="5">
        <v>4.570833333333333E-3</v>
      </c>
      <c r="H1014" s="5">
        <v>4.8916666666666666E-3</v>
      </c>
      <c r="I1014" s="5">
        <f t="shared" si="165"/>
        <v>2.7699999999999999E-2</v>
      </c>
      <c r="J1014" s="5">
        <f t="shared" si="169"/>
        <v>2.6429166666666667E-2</v>
      </c>
      <c r="K1014" s="5">
        <f t="shared" si="170"/>
        <v>-1.9787666666666665E-2</v>
      </c>
      <c r="L1014" s="8">
        <f t="shared" si="167"/>
        <v>0.53602349755414846</v>
      </c>
      <c r="M1014" s="8">
        <f t="shared" si="168"/>
        <v>3.9599999999999996E-2</v>
      </c>
      <c r="N1014" s="8">
        <f t="shared" si="171"/>
        <v>5.4849999999999996E-2</v>
      </c>
      <c r="O1014" s="296">
        <f t="shared" si="166"/>
        <v>0.4964234975541485</v>
      </c>
      <c r="P1014" s="8">
        <f t="shared" si="172"/>
        <v>0.48117349755414845</v>
      </c>
      <c r="Q1014" s="8">
        <f t="shared" si="173"/>
        <v>0.20651614940746565</v>
      </c>
      <c r="R1014" s="8">
        <f t="shared" si="174"/>
        <v>5.8700000000000002E-2</v>
      </c>
      <c r="S1014" s="296">
        <f t="shared" si="175"/>
        <v>0.14781614940746565</v>
      </c>
      <c r="U1014" s="297"/>
      <c r="V1014" s="297"/>
      <c r="W1014" s="297"/>
      <c r="X1014" s="297"/>
      <c r="Y1014" s="297"/>
      <c r="Z1014" s="297"/>
      <c r="AA1014" s="297"/>
      <c r="AB1014" s="297"/>
      <c r="AC1014" s="297"/>
      <c r="AE1014" s="297"/>
      <c r="AF1014" s="297"/>
      <c r="AG1014" s="297"/>
      <c r="AH1014" s="297"/>
      <c r="AI1014" s="297"/>
      <c r="AJ1014" s="297"/>
      <c r="AK1014" s="297"/>
      <c r="AL1014" s="297"/>
      <c r="AM1014" s="297"/>
      <c r="AO1014" s="297"/>
      <c r="AP1014" s="297"/>
      <c r="AQ1014" s="297"/>
      <c r="AR1014" s="297"/>
      <c r="AS1014" s="297"/>
      <c r="AT1014" s="297"/>
      <c r="AU1014" s="297"/>
      <c r="AV1014" s="297"/>
      <c r="AW1014" s="297"/>
    </row>
    <row r="1015" spans="1:49" x14ac:dyDescent="0.45">
      <c r="A1015" s="295">
        <v>40238</v>
      </c>
      <c r="B1015" s="12">
        <v>6.0299999999999999E-2</v>
      </c>
      <c r="C1015" s="5">
        <v>2.7978000000000006E-2</v>
      </c>
      <c r="D1015" s="5">
        <v>4.0000000000000001E-3</v>
      </c>
      <c r="E1015" s="5">
        <v>4.3916666666666661E-3</v>
      </c>
      <c r="F1015" s="5">
        <v>4.6416666666666663E-3</v>
      </c>
      <c r="G1015" s="5">
        <v>4.5166666666666662E-3</v>
      </c>
      <c r="H1015" s="5">
        <v>4.8666666666666667E-3</v>
      </c>
      <c r="I1015" s="5">
        <f t="shared" si="165"/>
        <v>5.6300000000000003E-2</v>
      </c>
      <c r="J1015" s="5">
        <f t="shared" si="169"/>
        <v>5.5783333333333331E-2</v>
      </c>
      <c r="K1015" s="5">
        <f t="shared" si="170"/>
        <v>2.3111333333333338E-2</v>
      </c>
      <c r="L1015" s="8">
        <f t="shared" si="167"/>
        <v>0.4974675565066784</v>
      </c>
      <c r="M1015" s="8">
        <f t="shared" si="168"/>
        <v>4.8000000000000001E-2</v>
      </c>
      <c r="N1015" s="8">
        <f t="shared" si="171"/>
        <v>5.4199999999999998E-2</v>
      </c>
      <c r="O1015" s="296">
        <f t="shared" si="166"/>
        <v>0.44946755650667841</v>
      </c>
      <c r="P1015" s="8">
        <f t="shared" si="172"/>
        <v>0.44326755650667837</v>
      </c>
      <c r="Q1015" s="8">
        <f t="shared" si="173"/>
        <v>0.20972056535748429</v>
      </c>
      <c r="R1015" s="8">
        <f t="shared" si="174"/>
        <v>5.8400000000000001E-2</v>
      </c>
      <c r="S1015" s="296">
        <f t="shared" si="175"/>
        <v>0.15132056535748428</v>
      </c>
      <c r="U1015" s="297"/>
      <c r="V1015" s="297"/>
      <c r="W1015" s="297"/>
      <c r="X1015" s="297"/>
      <c r="Y1015" s="297"/>
      <c r="Z1015" s="297"/>
      <c r="AA1015" s="297"/>
      <c r="AB1015" s="297"/>
      <c r="AC1015" s="297"/>
      <c r="AE1015" s="297"/>
      <c r="AF1015" s="297"/>
      <c r="AG1015" s="297"/>
      <c r="AH1015" s="297"/>
      <c r="AI1015" s="297"/>
      <c r="AJ1015" s="297"/>
      <c r="AK1015" s="297"/>
      <c r="AL1015" s="297"/>
      <c r="AM1015" s="297"/>
      <c r="AO1015" s="297"/>
      <c r="AP1015" s="297"/>
      <c r="AQ1015" s="297"/>
      <c r="AR1015" s="297"/>
      <c r="AS1015" s="297"/>
      <c r="AT1015" s="297"/>
      <c r="AU1015" s="297"/>
      <c r="AV1015" s="297"/>
      <c r="AW1015" s="297"/>
    </row>
    <row r="1016" spans="1:49" x14ac:dyDescent="0.45">
      <c r="A1016" s="295">
        <v>40269</v>
      </c>
      <c r="B1016" s="12">
        <v>1.5800000000000002E-2</v>
      </c>
      <c r="C1016" s="5">
        <v>2.8058E-2</v>
      </c>
      <c r="D1016" s="5">
        <v>3.8E-3</v>
      </c>
      <c r="E1016" s="5">
        <v>4.4083333333333335E-3</v>
      </c>
      <c r="F1016" s="5">
        <v>4.6416666666666663E-3</v>
      </c>
      <c r="G1016" s="5">
        <v>4.5250000000000004E-3</v>
      </c>
      <c r="H1016" s="5">
        <v>4.841666666666666E-3</v>
      </c>
      <c r="I1016" s="5">
        <f t="shared" si="165"/>
        <v>1.2000000000000002E-2</v>
      </c>
      <c r="J1016" s="5">
        <f t="shared" si="169"/>
        <v>1.1275E-2</v>
      </c>
      <c r="K1016" s="5">
        <f t="shared" si="170"/>
        <v>2.3216333333333332E-2</v>
      </c>
      <c r="L1016" s="8">
        <f t="shared" si="167"/>
        <v>0.38827009573741367</v>
      </c>
      <c r="M1016" s="8">
        <f t="shared" si="168"/>
        <v>4.5600000000000002E-2</v>
      </c>
      <c r="N1016" s="8">
        <f t="shared" si="171"/>
        <v>5.4300000000000001E-2</v>
      </c>
      <c r="O1016" s="296">
        <f t="shared" si="166"/>
        <v>0.34267009573741369</v>
      </c>
      <c r="P1016" s="8">
        <f t="shared" si="172"/>
        <v>0.33397009573741365</v>
      </c>
      <c r="Q1016" s="8">
        <f t="shared" si="173"/>
        <v>0.23322733526923689</v>
      </c>
      <c r="R1016" s="8">
        <f t="shared" si="174"/>
        <v>5.8099999999999992E-2</v>
      </c>
      <c r="S1016" s="296">
        <f t="shared" si="175"/>
        <v>0.17512733526923691</v>
      </c>
      <c r="U1016" s="297"/>
      <c r="V1016" s="297"/>
      <c r="W1016" s="297"/>
      <c r="X1016" s="297"/>
      <c r="Y1016" s="297"/>
      <c r="Z1016" s="297"/>
      <c r="AA1016" s="297"/>
      <c r="AB1016" s="297"/>
      <c r="AC1016" s="297"/>
      <c r="AE1016" s="297"/>
      <c r="AF1016" s="297"/>
      <c r="AG1016" s="297"/>
      <c r="AH1016" s="297"/>
      <c r="AI1016" s="297"/>
      <c r="AJ1016" s="297"/>
      <c r="AK1016" s="297"/>
      <c r="AL1016" s="297"/>
      <c r="AM1016" s="297"/>
      <c r="AO1016" s="297"/>
      <c r="AP1016" s="297"/>
      <c r="AQ1016" s="297"/>
      <c r="AR1016" s="297"/>
      <c r="AS1016" s="297"/>
      <c r="AT1016" s="297"/>
      <c r="AU1016" s="297"/>
      <c r="AV1016" s="297"/>
      <c r="AW1016" s="297"/>
    </row>
    <row r="1017" spans="1:49" x14ac:dyDescent="0.45">
      <c r="A1017" s="295">
        <v>40299</v>
      </c>
      <c r="B1017" s="12">
        <v>-7.9899999999999999E-2</v>
      </c>
      <c r="C1017" s="5">
        <v>-5.7599999999999998E-2</v>
      </c>
      <c r="D1017" s="5">
        <v>3.3999999999999998E-3</v>
      </c>
      <c r="E1017" s="5">
        <v>4.1333333333333335E-3</v>
      </c>
      <c r="F1017" s="5">
        <v>4.3750000000000004E-3</v>
      </c>
      <c r="G1017" s="5">
        <v>4.2541666666666665E-3</v>
      </c>
      <c r="H1017" s="5">
        <v>4.5833333333333334E-3</v>
      </c>
      <c r="I1017" s="5">
        <f t="shared" si="165"/>
        <v>-8.3299999999999999E-2</v>
      </c>
      <c r="J1017" s="5">
        <f t="shared" si="169"/>
        <v>-8.4154166666666669E-2</v>
      </c>
      <c r="K1017" s="5">
        <f t="shared" si="170"/>
        <v>-6.2183333333333334E-2</v>
      </c>
      <c r="L1017" s="8">
        <f t="shared" si="167"/>
        <v>0.20972375706789848</v>
      </c>
      <c r="M1017" s="8">
        <f t="shared" si="168"/>
        <v>4.0799999999999996E-2</v>
      </c>
      <c r="N1017" s="8">
        <f t="shared" si="171"/>
        <v>5.1049999999999998E-2</v>
      </c>
      <c r="O1017" s="296">
        <f t="shared" si="166"/>
        <v>0.16892375706789847</v>
      </c>
      <c r="P1017" s="8">
        <f t="shared" si="172"/>
        <v>0.15867375706789849</v>
      </c>
      <c r="Q1017" s="8">
        <f t="shared" si="173"/>
        <v>0.12258092756668293</v>
      </c>
      <c r="R1017" s="8">
        <f t="shared" si="174"/>
        <v>5.5E-2</v>
      </c>
      <c r="S1017" s="296">
        <f t="shared" si="175"/>
        <v>6.7580927566682936E-2</v>
      </c>
      <c r="U1017" s="297"/>
      <c r="V1017" s="297"/>
      <c r="W1017" s="297"/>
      <c r="X1017" s="297"/>
      <c r="Y1017" s="297"/>
      <c r="Z1017" s="297"/>
      <c r="AA1017" s="297"/>
      <c r="AB1017" s="297"/>
      <c r="AC1017" s="297"/>
      <c r="AE1017" s="297"/>
      <c r="AF1017" s="297"/>
      <c r="AG1017" s="297"/>
      <c r="AH1017" s="297"/>
      <c r="AI1017" s="297"/>
      <c r="AJ1017" s="297"/>
      <c r="AK1017" s="297"/>
      <c r="AL1017" s="297"/>
      <c r="AM1017" s="297"/>
      <c r="AO1017" s="297"/>
      <c r="AP1017" s="297"/>
      <c r="AQ1017" s="297"/>
      <c r="AR1017" s="297"/>
      <c r="AS1017" s="297"/>
      <c r="AT1017" s="297"/>
      <c r="AU1017" s="297"/>
      <c r="AV1017" s="297"/>
      <c r="AW1017" s="297"/>
    </row>
    <row r="1018" spans="1:49" x14ac:dyDescent="0.45">
      <c r="A1018" s="295">
        <v>40330</v>
      </c>
      <c r="B1018" s="12">
        <v>-5.2299999999999999E-2</v>
      </c>
      <c r="C1018" s="5">
        <v>-6.3599999999999993E-3</v>
      </c>
      <c r="D1018" s="5">
        <v>3.7000000000000002E-3</v>
      </c>
      <c r="E1018" s="5">
        <v>4.0666666666666663E-3</v>
      </c>
      <c r="F1018" s="5">
        <v>4.3E-3</v>
      </c>
      <c r="G1018" s="5">
        <v>4.1833333333333332E-3</v>
      </c>
      <c r="H1018" s="5">
        <v>4.5500000000000002E-3</v>
      </c>
      <c r="I1018" s="5">
        <f t="shared" si="165"/>
        <v>-5.6000000000000001E-2</v>
      </c>
      <c r="J1018" s="5">
        <f t="shared" si="169"/>
        <v>-5.648333333333333E-2</v>
      </c>
      <c r="K1018" s="5">
        <f t="shared" si="170"/>
        <v>-1.091E-2</v>
      </c>
      <c r="L1018" s="8">
        <f t="shared" si="167"/>
        <v>0.14416687083158441</v>
      </c>
      <c r="M1018" s="8">
        <f t="shared" si="168"/>
        <v>4.4400000000000002E-2</v>
      </c>
      <c r="N1018" s="8">
        <f t="shared" si="171"/>
        <v>5.0199999999999995E-2</v>
      </c>
      <c r="O1018" s="296">
        <f t="shared" si="166"/>
        <v>9.976687083158442E-2</v>
      </c>
      <c r="P1018" s="8">
        <f t="shared" si="172"/>
        <v>9.396687083158442E-2</v>
      </c>
      <c r="Q1018" s="8">
        <f t="shared" si="173"/>
        <v>5.7087944173114469E-2</v>
      </c>
      <c r="R1018" s="8">
        <f t="shared" si="174"/>
        <v>5.4600000000000003E-2</v>
      </c>
      <c r="S1018" s="296">
        <f t="shared" si="175"/>
        <v>2.4879441731144661E-3</v>
      </c>
      <c r="U1018" s="297"/>
      <c r="V1018" s="297"/>
      <c r="W1018" s="297"/>
      <c r="X1018" s="297"/>
      <c r="Y1018" s="297"/>
      <c r="Z1018" s="297"/>
      <c r="AA1018" s="297"/>
      <c r="AB1018" s="297"/>
      <c r="AC1018" s="297"/>
      <c r="AE1018" s="297"/>
      <c r="AF1018" s="297"/>
      <c r="AG1018" s="297"/>
      <c r="AH1018" s="297"/>
      <c r="AI1018" s="297"/>
      <c r="AJ1018" s="297"/>
      <c r="AK1018" s="297"/>
      <c r="AL1018" s="297"/>
      <c r="AM1018" s="297"/>
      <c r="AO1018" s="297"/>
      <c r="AP1018" s="297"/>
      <c r="AQ1018" s="297"/>
      <c r="AR1018" s="297"/>
      <c r="AS1018" s="297"/>
      <c r="AT1018" s="297"/>
      <c r="AU1018" s="297"/>
      <c r="AV1018" s="297"/>
      <c r="AW1018" s="297"/>
    </row>
    <row r="1019" spans="1:49" x14ac:dyDescent="0.45">
      <c r="A1019" s="295">
        <v>40360</v>
      </c>
      <c r="B1019" s="12">
        <v>7.0099999999999996E-2</v>
      </c>
      <c r="C1019" s="5">
        <v>7.741300000000001E-2</v>
      </c>
      <c r="D1019" s="5">
        <v>3.0999999999999999E-3</v>
      </c>
      <c r="E1019" s="5">
        <v>3.933333333333333E-3</v>
      </c>
      <c r="F1019" s="5">
        <v>4.1333333333333335E-3</v>
      </c>
      <c r="G1019" s="5">
        <v>4.0333333333333332E-3</v>
      </c>
      <c r="H1019" s="5">
        <v>4.3833333333333328E-3</v>
      </c>
      <c r="I1019" s="5">
        <f t="shared" si="165"/>
        <v>6.699999999999999E-2</v>
      </c>
      <c r="J1019" s="5">
        <f t="shared" si="169"/>
        <v>6.6066666666666662E-2</v>
      </c>
      <c r="K1019" s="5">
        <f t="shared" si="170"/>
        <v>7.3029666666666673E-2</v>
      </c>
      <c r="L1019" s="8">
        <f t="shared" si="167"/>
        <v>0.13831625927564017</v>
      </c>
      <c r="M1019" s="8">
        <f t="shared" si="168"/>
        <v>3.7199999999999997E-2</v>
      </c>
      <c r="N1019" s="8">
        <f t="shared" si="171"/>
        <v>4.8399999999999999E-2</v>
      </c>
      <c r="O1019" s="296">
        <f t="shared" si="166"/>
        <v>0.10111625927564018</v>
      </c>
      <c r="P1019" s="8">
        <f t="shared" si="172"/>
        <v>8.9916259275640176E-2</v>
      </c>
      <c r="Q1019" s="8">
        <f t="shared" si="173"/>
        <v>9.4321231409301376E-2</v>
      </c>
      <c r="R1019" s="8">
        <f t="shared" si="174"/>
        <v>5.2599999999999994E-2</v>
      </c>
      <c r="S1019" s="296">
        <f t="shared" si="175"/>
        <v>4.1721231409301382E-2</v>
      </c>
      <c r="U1019" s="297"/>
      <c r="V1019" s="297"/>
      <c r="W1019" s="297"/>
      <c r="X1019" s="297"/>
      <c r="Y1019" s="297"/>
      <c r="Z1019" s="297"/>
      <c r="AA1019" s="297"/>
      <c r="AB1019" s="297"/>
      <c r="AC1019" s="297"/>
      <c r="AE1019" s="297"/>
      <c r="AF1019" s="297"/>
      <c r="AG1019" s="297"/>
      <c r="AH1019" s="297"/>
      <c r="AI1019" s="297"/>
      <c r="AJ1019" s="297"/>
      <c r="AK1019" s="297"/>
      <c r="AL1019" s="297"/>
      <c r="AM1019" s="297"/>
      <c r="AO1019" s="297"/>
      <c r="AP1019" s="297"/>
      <c r="AQ1019" s="297"/>
      <c r="AR1019" s="297"/>
      <c r="AS1019" s="297"/>
      <c r="AT1019" s="297"/>
      <c r="AU1019" s="297"/>
      <c r="AV1019" s="297"/>
      <c r="AW1019" s="297"/>
    </row>
    <row r="1020" spans="1:49" x14ac:dyDescent="0.45">
      <c r="A1020" s="295">
        <v>40391</v>
      </c>
      <c r="B1020" s="12">
        <v>-4.5100000000000001E-2</v>
      </c>
      <c r="C1020" s="5">
        <v>1.2496E-2</v>
      </c>
      <c r="D1020" s="5">
        <v>3.2000000000000002E-3</v>
      </c>
      <c r="E1020" s="5">
        <v>3.741666666666667E-3</v>
      </c>
      <c r="F1020" s="5">
        <v>3.933333333333333E-3</v>
      </c>
      <c r="G1020" s="5">
        <v>3.8375000000000002E-3</v>
      </c>
      <c r="H1020" s="5">
        <v>4.1749999999999999E-3</v>
      </c>
      <c r="I1020" s="5">
        <f t="shared" si="165"/>
        <v>-4.8300000000000003E-2</v>
      </c>
      <c r="J1020" s="5">
        <f t="shared" si="169"/>
        <v>-4.8937500000000002E-2</v>
      </c>
      <c r="K1020" s="5">
        <f t="shared" si="170"/>
        <v>8.3210000000000003E-3</v>
      </c>
      <c r="L1020" s="8">
        <f t="shared" si="167"/>
        <v>4.9105487870195086E-2</v>
      </c>
      <c r="M1020" s="8">
        <f t="shared" si="168"/>
        <v>3.8400000000000004E-2</v>
      </c>
      <c r="N1020" s="8">
        <f t="shared" si="171"/>
        <v>4.6050000000000001E-2</v>
      </c>
      <c r="O1020" s="296">
        <f t="shared" si="166"/>
        <v>1.0705487870195082E-2</v>
      </c>
      <c r="P1020" s="8">
        <f t="shared" si="172"/>
        <v>3.0554878701950852E-3</v>
      </c>
      <c r="Q1020" s="8">
        <f t="shared" si="173"/>
        <v>0.10197906382848876</v>
      </c>
      <c r="R1020" s="8">
        <f t="shared" si="174"/>
        <v>5.0099999999999999E-2</v>
      </c>
      <c r="S1020" s="296">
        <f t="shared" si="175"/>
        <v>5.187906382848876E-2</v>
      </c>
      <c r="U1020" s="297"/>
      <c r="V1020" s="297"/>
      <c r="W1020" s="297"/>
      <c r="X1020" s="297"/>
      <c r="Y1020" s="297"/>
      <c r="Z1020" s="297"/>
      <c r="AA1020" s="297"/>
      <c r="AB1020" s="297"/>
      <c r="AC1020" s="297"/>
      <c r="AE1020" s="297"/>
      <c r="AF1020" s="297"/>
      <c r="AG1020" s="297"/>
      <c r="AH1020" s="297"/>
      <c r="AI1020" s="297"/>
      <c r="AJ1020" s="297"/>
      <c r="AK1020" s="297"/>
      <c r="AL1020" s="297"/>
      <c r="AM1020" s="297"/>
      <c r="AO1020" s="297"/>
      <c r="AP1020" s="297"/>
      <c r="AQ1020" s="297"/>
      <c r="AR1020" s="297"/>
      <c r="AS1020" s="297"/>
      <c r="AT1020" s="297"/>
      <c r="AU1020" s="297"/>
      <c r="AV1020" s="297"/>
      <c r="AW1020" s="297"/>
    </row>
    <row r="1021" spans="1:49" x14ac:dyDescent="0.45">
      <c r="A1021" s="295">
        <v>40422</v>
      </c>
      <c r="B1021" s="12">
        <v>8.9200000000000002E-2</v>
      </c>
      <c r="C1021" s="5">
        <v>2.9575000000000001E-2</v>
      </c>
      <c r="D1021" s="5">
        <v>2.5999999999999999E-3</v>
      </c>
      <c r="E1021" s="5">
        <v>3.7750000000000001E-3</v>
      </c>
      <c r="F1021" s="5">
        <v>3.933333333333333E-3</v>
      </c>
      <c r="G1021" s="5">
        <v>3.8541666666666663E-3</v>
      </c>
      <c r="H1021" s="5">
        <v>4.1749999999999999E-3</v>
      </c>
      <c r="I1021" s="5">
        <f t="shared" si="165"/>
        <v>8.6599999999999996E-2</v>
      </c>
      <c r="J1021" s="5">
        <f t="shared" si="169"/>
        <v>8.5345833333333329E-2</v>
      </c>
      <c r="K1021" s="5">
        <f t="shared" si="170"/>
        <v>2.5399999999999999E-2</v>
      </c>
      <c r="L1021" s="8">
        <f t="shared" si="167"/>
        <v>0.10159616059791388</v>
      </c>
      <c r="M1021" s="8">
        <f t="shared" si="168"/>
        <v>3.1199999999999999E-2</v>
      </c>
      <c r="N1021" s="8">
        <f t="shared" si="171"/>
        <v>4.6249999999999999E-2</v>
      </c>
      <c r="O1021" s="296">
        <f t="shared" si="166"/>
        <v>7.039616059791387E-2</v>
      </c>
      <c r="P1021" s="8">
        <f t="shared" si="172"/>
        <v>5.5346160597913877E-2</v>
      </c>
      <c r="Q1021" s="8">
        <f t="shared" si="173"/>
        <v>0.11859212473155045</v>
      </c>
      <c r="R1021" s="8">
        <f t="shared" si="174"/>
        <v>5.0099999999999999E-2</v>
      </c>
      <c r="S1021" s="296">
        <f t="shared" si="175"/>
        <v>6.8492124731550447E-2</v>
      </c>
      <c r="U1021" s="297"/>
      <c r="V1021" s="297"/>
      <c r="W1021" s="297"/>
      <c r="X1021" s="297"/>
      <c r="Y1021" s="297"/>
      <c r="Z1021" s="297"/>
      <c r="AA1021" s="297"/>
      <c r="AB1021" s="297"/>
      <c r="AC1021" s="297"/>
      <c r="AE1021" s="297"/>
      <c r="AF1021" s="297"/>
      <c r="AG1021" s="297"/>
      <c r="AH1021" s="297"/>
      <c r="AI1021" s="297"/>
      <c r="AJ1021" s="297"/>
      <c r="AK1021" s="297"/>
      <c r="AL1021" s="297"/>
      <c r="AM1021" s="297"/>
      <c r="AO1021" s="297"/>
      <c r="AP1021" s="297"/>
      <c r="AQ1021" s="297"/>
      <c r="AR1021" s="297"/>
      <c r="AS1021" s="297"/>
      <c r="AT1021" s="297"/>
      <c r="AU1021" s="297"/>
      <c r="AV1021" s="297"/>
      <c r="AW1021" s="297"/>
    </row>
    <row r="1022" spans="1:49" x14ac:dyDescent="0.45">
      <c r="A1022" s="295">
        <v>40452</v>
      </c>
      <c r="B1022" s="12">
        <v>3.7999999999999999E-2</v>
      </c>
      <c r="C1022" s="5">
        <v>1.2868999999999998E-2</v>
      </c>
      <c r="D1022" s="5">
        <v>2.7000000000000001E-3</v>
      </c>
      <c r="E1022" s="5">
        <v>3.8999999999999994E-3</v>
      </c>
      <c r="F1022" s="5">
        <v>4.0249999999999999E-3</v>
      </c>
      <c r="G1022" s="5">
        <v>3.9624999999999999E-3</v>
      </c>
      <c r="H1022" s="5">
        <v>4.2500000000000003E-3</v>
      </c>
      <c r="I1022" s="5">
        <f t="shared" si="165"/>
        <v>3.5299999999999998E-2</v>
      </c>
      <c r="J1022" s="5">
        <f t="shared" si="169"/>
        <v>3.4037499999999998E-2</v>
      </c>
      <c r="K1022" s="5">
        <f t="shared" si="170"/>
        <v>8.6189999999999982E-3</v>
      </c>
      <c r="L1022" s="8">
        <f t="shared" si="167"/>
        <v>0.16512819920586352</v>
      </c>
      <c r="M1022" s="8">
        <f t="shared" si="168"/>
        <v>3.2399999999999998E-2</v>
      </c>
      <c r="N1022" s="8">
        <f t="shared" si="171"/>
        <v>4.7549999999999995E-2</v>
      </c>
      <c r="O1022" s="296">
        <f t="shared" si="166"/>
        <v>0.13272819920586354</v>
      </c>
      <c r="P1022" s="8">
        <f t="shared" si="172"/>
        <v>0.11757819920586353</v>
      </c>
      <c r="Q1022" s="8">
        <f t="shared" si="173"/>
        <v>0.16613706513532267</v>
      </c>
      <c r="R1022" s="8">
        <f t="shared" si="174"/>
        <v>5.1000000000000004E-2</v>
      </c>
      <c r="S1022" s="296">
        <f t="shared" si="175"/>
        <v>0.11513706513532267</v>
      </c>
      <c r="U1022" s="297"/>
      <c r="V1022" s="297"/>
      <c r="W1022" s="297"/>
      <c r="X1022" s="297"/>
      <c r="Y1022" s="297"/>
      <c r="Z1022" s="297"/>
      <c r="AA1022" s="297"/>
      <c r="AB1022" s="297"/>
      <c r="AC1022" s="297"/>
      <c r="AE1022" s="297"/>
      <c r="AF1022" s="297"/>
      <c r="AG1022" s="297"/>
      <c r="AH1022" s="297"/>
      <c r="AI1022" s="297"/>
      <c r="AJ1022" s="297"/>
      <c r="AK1022" s="297"/>
      <c r="AL1022" s="297"/>
      <c r="AM1022" s="297"/>
      <c r="AO1022" s="297"/>
      <c r="AP1022" s="297"/>
      <c r="AQ1022" s="297"/>
      <c r="AR1022" s="297"/>
      <c r="AS1022" s="297"/>
      <c r="AT1022" s="297"/>
      <c r="AU1022" s="297"/>
      <c r="AV1022" s="297"/>
      <c r="AW1022" s="297"/>
    </row>
    <row r="1023" spans="1:49" x14ac:dyDescent="0.45">
      <c r="A1023" s="295">
        <v>40483</v>
      </c>
      <c r="B1023" s="12">
        <v>1E-4</v>
      </c>
      <c r="C1023" s="5">
        <v>-3.2323000000000005E-2</v>
      </c>
      <c r="D1023" s="5">
        <v>3.2000000000000002E-3</v>
      </c>
      <c r="E1023" s="5">
        <v>4.0583333333333331E-3</v>
      </c>
      <c r="F1023" s="5">
        <v>4.2250000000000005E-3</v>
      </c>
      <c r="G1023" s="5">
        <v>4.1416666666666668E-3</v>
      </c>
      <c r="H1023" s="5">
        <v>4.4749999999999998E-3</v>
      </c>
      <c r="I1023" s="5">
        <f t="shared" si="165"/>
        <v>-3.1000000000000003E-3</v>
      </c>
      <c r="J1023" s="5">
        <f t="shared" si="169"/>
        <v>-4.0416666666666665E-3</v>
      </c>
      <c r="K1023" s="5">
        <f t="shared" si="170"/>
        <v>-3.6798000000000004E-2</v>
      </c>
      <c r="L1023" s="8">
        <f t="shared" si="167"/>
        <v>9.9287464175267681E-2</v>
      </c>
      <c r="M1023" s="8">
        <f t="shared" si="168"/>
        <v>3.8400000000000004E-2</v>
      </c>
      <c r="N1023" s="8">
        <f t="shared" si="171"/>
        <v>4.9700000000000001E-2</v>
      </c>
      <c r="O1023" s="296">
        <f t="shared" si="166"/>
        <v>6.0887464175267678E-2</v>
      </c>
      <c r="P1023" s="8">
        <f t="shared" si="172"/>
        <v>4.958746417526768E-2</v>
      </c>
      <c r="Q1023" s="8">
        <f t="shared" si="173"/>
        <v>7.9245530046264667E-2</v>
      </c>
      <c r="R1023" s="8">
        <f t="shared" si="174"/>
        <v>5.3699999999999998E-2</v>
      </c>
      <c r="S1023" s="296">
        <f t="shared" si="175"/>
        <v>2.5545530046264669E-2</v>
      </c>
      <c r="U1023" s="297"/>
      <c r="V1023" s="297"/>
      <c r="W1023" s="297"/>
      <c r="X1023" s="297"/>
      <c r="Y1023" s="297"/>
      <c r="Z1023" s="297"/>
      <c r="AA1023" s="297"/>
      <c r="AB1023" s="297"/>
      <c r="AC1023" s="297"/>
      <c r="AE1023" s="297"/>
      <c r="AF1023" s="297"/>
      <c r="AG1023" s="297"/>
      <c r="AH1023" s="297"/>
      <c r="AI1023" s="297"/>
      <c r="AJ1023" s="297"/>
      <c r="AK1023" s="297"/>
      <c r="AL1023" s="297"/>
      <c r="AM1023" s="297"/>
      <c r="AO1023" s="297"/>
      <c r="AP1023" s="297"/>
      <c r="AQ1023" s="297"/>
      <c r="AR1023" s="297"/>
      <c r="AS1023" s="297"/>
      <c r="AT1023" s="297"/>
      <c r="AU1023" s="297"/>
      <c r="AV1023" s="297"/>
      <c r="AW1023" s="297"/>
    </row>
    <row r="1024" spans="1:49" x14ac:dyDescent="0.45">
      <c r="A1024" s="295">
        <v>40513</v>
      </c>
      <c r="B1024" s="12">
        <v>6.6799999999999998E-2</v>
      </c>
      <c r="C1024" s="5">
        <v>3.1150999999999998E-2</v>
      </c>
      <c r="D1024" s="5">
        <v>3.2000000000000002E-3</v>
      </c>
      <c r="E1024" s="5">
        <v>4.1833333333333332E-3</v>
      </c>
      <c r="F1024" s="5">
        <v>4.3833333333333328E-3</v>
      </c>
      <c r="G1024" s="5">
        <v>4.2833333333333326E-3</v>
      </c>
      <c r="H1024" s="5">
        <v>4.6333333333333331E-3</v>
      </c>
      <c r="I1024" s="5">
        <f t="shared" si="165"/>
        <v>6.3600000000000004E-2</v>
      </c>
      <c r="J1024" s="5">
        <f t="shared" si="169"/>
        <v>6.2516666666666665E-2</v>
      </c>
      <c r="K1024" s="5">
        <f t="shared" si="170"/>
        <v>2.6517666666666665E-2</v>
      </c>
      <c r="L1024" s="8">
        <f t="shared" si="167"/>
        <v>0.15051492865905569</v>
      </c>
      <c r="M1024" s="8">
        <f t="shared" si="168"/>
        <v>3.8400000000000004E-2</v>
      </c>
      <c r="N1024" s="8">
        <f t="shared" si="171"/>
        <v>5.1399999999999987E-2</v>
      </c>
      <c r="O1024" s="296">
        <f t="shared" si="166"/>
        <v>0.11211492865905569</v>
      </c>
      <c r="P1024" s="8">
        <f t="shared" si="172"/>
        <v>9.9114928659055704E-2</v>
      </c>
      <c r="Q1024" s="8">
        <f t="shared" si="173"/>
        <v>5.4036185908617806E-2</v>
      </c>
      <c r="R1024" s="8">
        <f t="shared" si="174"/>
        <v>5.5599999999999997E-2</v>
      </c>
      <c r="S1024" s="296">
        <f t="shared" si="175"/>
        <v>-1.5638140913821902E-3</v>
      </c>
      <c r="U1024" s="297"/>
      <c r="V1024" s="297"/>
      <c r="W1024" s="297"/>
      <c r="X1024" s="297"/>
      <c r="Y1024" s="297"/>
      <c r="Z1024" s="297"/>
      <c r="AA1024" s="297"/>
      <c r="AB1024" s="297"/>
      <c r="AC1024" s="297"/>
      <c r="AE1024" s="297"/>
      <c r="AF1024" s="297"/>
      <c r="AG1024" s="297"/>
      <c r="AH1024" s="297"/>
      <c r="AI1024" s="297"/>
      <c r="AJ1024" s="297"/>
      <c r="AK1024" s="297"/>
      <c r="AL1024" s="297"/>
      <c r="AM1024" s="297"/>
      <c r="AO1024" s="297"/>
      <c r="AP1024" s="297"/>
      <c r="AQ1024" s="297"/>
      <c r="AR1024" s="297"/>
      <c r="AS1024" s="297"/>
      <c r="AT1024" s="297"/>
      <c r="AU1024" s="297"/>
      <c r="AV1024" s="297"/>
      <c r="AW1024" s="297"/>
    </row>
    <row r="1025" spans="1:49" x14ac:dyDescent="0.45">
      <c r="A1025" s="295">
        <v>40544</v>
      </c>
      <c r="B1025" s="5">
        <v>2.3699999999999999E-2</v>
      </c>
      <c r="C1025" s="5">
        <v>1.4241E-2</v>
      </c>
      <c r="D1025" s="5">
        <v>3.5000000000000001E-3</v>
      </c>
      <c r="E1025" s="5">
        <v>4.1999999999999997E-3</v>
      </c>
      <c r="F1025" s="5">
        <v>4.3833333333333328E-3</v>
      </c>
      <c r="G1025" s="5">
        <v>4.2916666666666667E-3</v>
      </c>
      <c r="H1025" s="5">
        <v>4.6416666666666663E-3</v>
      </c>
      <c r="I1025" s="5">
        <f t="shared" si="165"/>
        <v>2.0199999999999999E-2</v>
      </c>
      <c r="J1025" s="5">
        <f t="shared" si="169"/>
        <v>1.9408333333333333E-2</v>
      </c>
      <c r="K1025" s="5">
        <f t="shared" si="170"/>
        <v>9.5993333333333347E-3</v>
      </c>
      <c r="L1025" s="8">
        <f t="shared" si="167"/>
        <v>0.2217656975811988</v>
      </c>
      <c r="M1025" s="8">
        <f t="shared" si="168"/>
        <v>4.2000000000000003E-2</v>
      </c>
      <c r="N1025" s="8">
        <f t="shared" si="171"/>
        <v>5.1500000000000004E-2</v>
      </c>
      <c r="O1025" s="296">
        <f t="shared" si="166"/>
        <v>0.17976569758119879</v>
      </c>
      <c r="P1025" s="8">
        <f t="shared" si="172"/>
        <v>0.1702656975811988</v>
      </c>
      <c r="Q1025" s="8">
        <f t="shared" si="173"/>
        <v>0.12235050790402879</v>
      </c>
      <c r="R1025" s="8">
        <f t="shared" si="174"/>
        <v>5.57E-2</v>
      </c>
      <c r="S1025" s="296">
        <f t="shared" si="175"/>
        <v>6.6650507904028794E-2</v>
      </c>
      <c r="U1025" s="297"/>
      <c r="V1025" s="297"/>
      <c r="W1025" s="297"/>
      <c r="X1025" s="297"/>
      <c r="Y1025" s="297"/>
      <c r="Z1025" s="297"/>
      <c r="AA1025" s="297"/>
      <c r="AB1025" s="297"/>
      <c r="AC1025" s="297"/>
      <c r="AE1025" s="297"/>
      <c r="AF1025" s="297"/>
      <c r="AG1025" s="297"/>
      <c r="AH1025" s="297"/>
      <c r="AI1025" s="297"/>
      <c r="AJ1025" s="297"/>
      <c r="AK1025" s="297"/>
      <c r="AL1025" s="297"/>
      <c r="AM1025" s="297"/>
      <c r="AO1025" s="297"/>
      <c r="AP1025" s="297"/>
      <c r="AQ1025" s="297"/>
      <c r="AR1025" s="297"/>
      <c r="AS1025" s="297"/>
      <c r="AT1025" s="297"/>
      <c r="AU1025" s="297"/>
      <c r="AV1025" s="297"/>
      <c r="AW1025" s="297"/>
    </row>
    <row r="1026" spans="1:49" x14ac:dyDescent="0.45">
      <c r="A1026" s="295">
        <v>40575</v>
      </c>
      <c r="B1026" s="5">
        <v>3.4299999999999997E-2</v>
      </c>
      <c r="C1026" s="5">
        <v>1.1235E-2</v>
      </c>
      <c r="D1026" s="5">
        <v>3.2000000000000002E-3</v>
      </c>
      <c r="E1026" s="5">
        <v>4.3499999999999997E-3</v>
      </c>
      <c r="F1026" s="5">
        <v>4.4749999999999998E-3</v>
      </c>
      <c r="G1026" s="5">
        <v>4.4125000000000006E-3</v>
      </c>
      <c r="H1026" s="5">
        <v>4.7333333333333333E-3</v>
      </c>
      <c r="I1026" s="5">
        <f t="shared" si="165"/>
        <v>3.1099999999999996E-2</v>
      </c>
      <c r="J1026" s="5">
        <f t="shared" si="169"/>
        <v>2.9887499999999997E-2</v>
      </c>
      <c r="K1026" s="5">
        <f t="shared" si="170"/>
        <v>6.5016666666666669E-3</v>
      </c>
      <c r="L1026" s="8">
        <f t="shared" si="167"/>
        <v>0.22567629583727844</v>
      </c>
      <c r="M1026" s="8">
        <f t="shared" si="168"/>
        <v>3.8400000000000004E-2</v>
      </c>
      <c r="N1026" s="8">
        <f t="shared" si="171"/>
        <v>5.2950000000000011E-2</v>
      </c>
      <c r="O1026" s="296">
        <f t="shared" si="166"/>
        <v>0.18727629583727845</v>
      </c>
      <c r="P1026" s="8">
        <f t="shared" si="172"/>
        <v>0.17272629583727844</v>
      </c>
      <c r="Q1026" s="8">
        <f t="shared" si="173"/>
        <v>0.15212212706509232</v>
      </c>
      <c r="R1026" s="8">
        <f t="shared" si="174"/>
        <v>5.6800000000000003E-2</v>
      </c>
      <c r="S1026" s="296">
        <f t="shared" si="175"/>
        <v>9.5322127065092313E-2</v>
      </c>
      <c r="U1026" s="297"/>
      <c r="V1026" s="297"/>
      <c r="W1026" s="297"/>
      <c r="X1026" s="297"/>
      <c r="Y1026" s="297"/>
      <c r="Z1026" s="297"/>
      <c r="AA1026" s="297"/>
      <c r="AB1026" s="297"/>
      <c r="AC1026" s="297"/>
      <c r="AE1026" s="297"/>
      <c r="AF1026" s="297"/>
      <c r="AG1026" s="297"/>
      <c r="AH1026" s="297"/>
      <c r="AI1026" s="297"/>
      <c r="AJ1026" s="297"/>
      <c r="AK1026" s="297"/>
      <c r="AL1026" s="297"/>
      <c r="AM1026" s="297"/>
      <c r="AO1026" s="297"/>
      <c r="AP1026" s="297"/>
      <c r="AQ1026" s="297"/>
      <c r="AR1026" s="297"/>
      <c r="AS1026" s="297"/>
      <c r="AT1026" s="297"/>
      <c r="AU1026" s="297"/>
      <c r="AV1026" s="297"/>
      <c r="AW1026" s="297"/>
    </row>
    <row r="1027" spans="1:49" x14ac:dyDescent="0.45">
      <c r="A1027" s="295">
        <v>40603</v>
      </c>
      <c r="B1027" s="5">
        <v>4.0000000000000002E-4</v>
      </c>
      <c r="C1027" s="5">
        <v>1.474E-3</v>
      </c>
      <c r="D1027" s="5">
        <v>3.5999999999999999E-3</v>
      </c>
      <c r="E1027" s="5">
        <v>4.2750000000000002E-3</v>
      </c>
      <c r="F1027" s="5">
        <v>4.4000000000000003E-3</v>
      </c>
      <c r="G1027" s="5">
        <v>4.3374999999999993E-3</v>
      </c>
      <c r="H1027" s="5">
        <v>4.6333333333333331E-3</v>
      </c>
      <c r="I1027" s="5">
        <f t="shared" si="165"/>
        <v>-3.1999999999999997E-3</v>
      </c>
      <c r="J1027" s="5">
        <f t="shared" si="169"/>
        <v>-3.9374999999999992E-3</v>
      </c>
      <c r="K1027" s="5">
        <f t="shared" si="170"/>
        <v>-3.159333333333333E-3</v>
      </c>
      <c r="L1027" s="8">
        <f t="shared" si="167"/>
        <v>0.15643361912252507</v>
      </c>
      <c r="M1027" s="8">
        <f t="shared" si="168"/>
        <v>4.3200000000000002E-2</v>
      </c>
      <c r="N1027" s="8">
        <f t="shared" si="171"/>
        <v>5.2049999999999992E-2</v>
      </c>
      <c r="O1027" s="296">
        <f t="shared" si="166"/>
        <v>0.11323361912252507</v>
      </c>
      <c r="P1027" s="8">
        <f t="shared" si="172"/>
        <v>0.10438361912252508</v>
      </c>
      <c r="Q1027" s="8">
        <f t="shared" si="173"/>
        <v>0.12241736212291121</v>
      </c>
      <c r="R1027" s="8">
        <f t="shared" si="174"/>
        <v>5.5599999999999997E-2</v>
      </c>
      <c r="S1027" s="296">
        <f t="shared" si="175"/>
        <v>6.6817362122911214E-2</v>
      </c>
      <c r="U1027" s="297"/>
      <c r="V1027" s="297"/>
      <c r="W1027" s="297"/>
      <c r="X1027" s="297"/>
      <c r="Y1027" s="297"/>
      <c r="Z1027" s="297"/>
      <c r="AA1027" s="297"/>
      <c r="AB1027" s="297"/>
      <c r="AC1027" s="297"/>
      <c r="AE1027" s="297"/>
      <c r="AF1027" s="297"/>
      <c r="AG1027" s="297"/>
      <c r="AH1027" s="297"/>
      <c r="AI1027" s="297"/>
      <c r="AJ1027" s="297"/>
      <c r="AK1027" s="297"/>
      <c r="AL1027" s="297"/>
      <c r="AM1027" s="297"/>
      <c r="AO1027" s="297"/>
      <c r="AP1027" s="297"/>
      <c r="AQ1027" s="297"/>
      <c r="AR1027" s="297"/>
      <c r="AS1027" s="297"/>
      <c r="AT1027" s="297"/>
      <c r="AU1027" s="297"/>
      <c r="AV1027" s="297"/>
      <c r="AW1027" s="297"/>
    </row>
    <row r="1028" spans="1:49" x14ac:dyDescent="0.45">
      <c r="A1028" s="295">
        <v>40634</v>
      </c>
      <c r="B1028" s="5">
        <v>2.9600000000000001E-2</v>
      </c>
      <c r="C1028" s="5">
        <v>4.1877999999999999E-2</v>
      </c>
      <c r="D1028" s="5">
        <v>3.3999999999999998E-3</v>
      </c>
      <c r="E1028" s="5">
        <v>4.3E-3</v>
      </c>
      <c r="F1028" s="5">
        <v>4.4083333333333335E-3</v>
      </c>
      <c r="G1028" s="5">
        <v>4.3541666666666668E-3</v>
      </c>
      <c r="H1028" s="5">
        <v>4.6249999999999998E-3</v>
      </c>
      <c r="I1028" s="5">
        <f t="shared" si="165"/>
        <v>2.6200000000000001E-2</v>
      </c>
      <c r="J1028" s="5">
        <f t="shared" si="169"/>
        <v>2.5245833333333335E-2</v>
      </c>
      <c r="K1028" s="5">
        <f t="shared" si="170"/>
        <v>3.7253000000000001E-2</v>
      </c>
      <c r="L1028" s="8">
        <f t="shared" si="167"/>
        <v>0.17214417626358691</v>
      </c>
      <c r="M1028" s="8">
        <f t="shared" si="168"/>
        <v>4.0799999999999996E-2</v>
      </c>
      <c r="N1028" s="8">
        <f t="shared" si="171"/>
        <v>5.2250000000000005E-2</v>
      </c>
      <c r="O1028" s="296">
        <f t="shared" si="166"/>
        <v>0.13134417626358691</v>
      </c>
      <c r="P1028" s="8">
        <f t="shared" si="172"/>
        <v>0.11989417626358691</v>
      </c>
      <c r="Q1028" s="8">
        <f t="shared" si="173"/>
        <v>0.13750581816774399</v>
      </c>
      <c r="R1028" s="8">
        <f t="shared" si="174"/>
        <v>5.5499999999999994E-2</v>
      </c>
      <c r="S1028" s="296">
        <f t="shared" si="175"/>
        <v>8.2005818167743993E-2</v>
      </c>
      <c r="U1028" s="297"/>
      <c r="V1028" s="297"/>
      <c r="W1028" s="297"/>
      <c r="X1028" s="297"/>
      <c r="Y1028" s="297"/>
      <c r="Z1028" s="297"/>
      <c r="AA1028" s="297"/>
      <c r="AB1028" s="297"/>
      <c r="AC1028" s="297"/>
      <c r="AE1028" s="297"/>
      <c r="AF1028" s="297"/>
      <c r="AG1028" s="297"/>
      <c r="AH1028" s="297"/>
      <c r="AI1028" s="297"/>
      <c r="AJ1028" s="297"/>
      <c r="AK1028" s="297"/>
      <c r="AL1028" s="297"/>
      <c r="AM1028" s="297"/>
      <c r="AO1028" s="297"/>
      <c r="AP1028" s="297"/>
      <c r="AQ1028" s="297"/>
      <c r="AR1028" s="297"/>
      <c r="AS1028" s="297"/>
      <c r="AT1028" s="297"/>
      <c r="AU1028" s="297"/>
      <c r="AV1028" s="297"/>
      <c r="AW1028" s="297"/>
    </row>
    <row r="1029" spans="1:49" x14ac:dyDescent="0.45">
      <c r="A1029" s="295">
        <v>40664</v>
      </c>
      <c r="B1029" s="5">
        <v>-1.1299999999999999E-2</v>
      </c>
      <c r="C1029" s="5">
        <v>1.9754000000000001E-2</v>
      </c>
      <c r="D1029" s="5">
        <v>3.5999999999999999E-3</v>
      </c>
      <c r="E1029" s="5">
        <v>4.1333333333333335E-3</v>
      </c>
      <c r="F1029" s="5">
        <v>4.2166666666666663E-3</v>
      </c>
      <c r="G1029" s="5">
        <v>4.1749999999999999E-3</v>
      </c>
      <c r="H1029" s="5">
        <v>4.4333333333333334E-3</v>
      </c>
      <c r="I1029" s="5">
        <f t="shared" si="165"/>
        <v>-1.49E-2</v>
      </c>
      <c r="J1029" s="5">
        <f t="shared" si="169"/>
        <v>-1.5474999999999999E-2</v>
      </c>
      <c r="K1029" s="5">
        <f t="shared" si="170"/>
        <v>1.5320666666666666E-2</v>
      </c>
      <c r="L1029" s="8">
        <f t="shared" si="167"/>
        <v>0.25953586248430383</v>
      </c>
      <c r="M1029" s="8">
        <f t="shared" si="168"/>
        <v>4.3200000000000002E-2</v>
      </c>
      <c r="N1029" s="8">
        <f t="shared" si="171"/>
        <v>5.0099999999999999E-2</v>
      </c>
      <c r="O1029" s="296">
        <f t="shared" si="166"/>
        <v>0.21633586248430381</v>
      </c>
      <c r="P1029" s="8">
        <f t="shared" si="172"/>
        <v>0.20943586248430382</v>
      </c>
      <c r="Q1029" s="8">
        <f t="shared" si="173"/>
        <v>0.23087447803462391</v>
      </c>
      <c r="R1029" s="8">
        <f t="shared" si="174"/>
        <v>5.3199999999999997E-2</v>
      </c>
      <c r="S1029" s="296">
        <f t="shared" si="175"/>
        <v>0.17767447803462391</v>
      </c>
      <c r="U1029" s="297"/>
      <c r="V1029" s="297"/>
      <c r="W1029" s="297"/>
      <c r="X1029" s="297"/>
      <c r="Y1029" s="297"/>
      <c r="Z1029" s="297"/>
      <c r="AA1029" s="297"/>
      <c r="AB1029" s="297"/>
      <c r="AC1029" s="297"/>
      <c r="AE1029" s="297"/>
      <c r="AF1029" s="297"/>
      <c r="AG1029" s="297"/>
      <c r="AH1029" s="297"/>
      <c r="AI1029" s="297"/>
      <c r="AJ1029" s="297"/>
      <c r="AK1029" s="297"/>
      <c r="AL1029" s="297"/>
      <c r="AM1029" s="297"/>
      <c r="AO1029" s="297"/>
      <c r="AP1029" s="297"/>
      <c r="AQ1029" s="297"/>
      <c r="AR1029" s="297"/>
      <c r="AS1029" s="297"/>
      <c r="AT1029" s="297"/>
      <c r="AU1029" s="297"/>
      <c r="AV1029" s="297"/>
      <c r="AW1029" s="297"/>
    </row>
    <row r="1030" spans="1:49" x14ac:dyDescent="0.45">
      <c r="A1030" s="295">
        <v>40695</v>
      </c>
      <c r="B1030" s="5">
        <v>-1.67E-2</v>
      </c>
      <c r="C1030" s="5">
        <v>-1.2830000000000003E-3</v>
      </c>
      <c r="D1030" s="5">
        <v>3.2000000000000002E-3</v>
      </c>
      <c r="E1030" s="5">
        <v>4.1583333333333333E-3</v>
      </c>
      <c r="F1030" s="5">
        <v>4.1999999999999997E-3</v>
      </c>
      <c r="G1030" s="5">
        <v>4.179166666666667E-3</v>
      </c>
      <c r="H1030" s="5">
        <v>4.3833333333333328E-3</v>
      </c>
      <c r="I1030" s="5">
        <f t="shared" ref="I1030:I1093" si="176">B1030-D1030</f>
        <v>-1.9900000000000001E-2</v>
      </c>
      <c r="J1030" s="5">
        <f t="shared" si="169"/>
        <v>-2.0879166666666667E-2</v>
      </c>
      <c r="K1030" s="5">
        <f t="shared" si="170"/>
        <v>-5.6663333333333331E-3</v>
      </c>
      <c r="L1030" s="8">
        <f t="shared" si="167"/>
        <v>0.30684986132828573</v>
      </c>
      <c r="M1030" s="8">
        <f t="shared" si="168"/>
        <v>3.8400000000000004E-2</v>
      </c>
      <c r="N1030" s="8">
        <f t="shared" si="171"/>
        <v>5.015E-2</v>
      </c>
      <c r="O1030" s="296">
        <f t="shared" si="166"/>
        <v>0.26844986132828574</v>
      </c>
      <c r="P1030" s="8">
        <f t="shared" si="172"/>
        <v>0.25669986132828571</v>
      </c>
      <c r="Q1030" s="8">
        <f t="shared" si="173"/>
        <v>0.2371636267454067</v>
      </c>
      <c r="R1030" s="8">
        <f t="shared" si="174"/>
        <v>5.2599999999999994E-2</v>
      </c>
      <c r="S1030" s="296">
        <f t="shared" si="175"/>
        <v>0.18456362674540672</v>
      </c>
      <c r="U1030" s="297"/>
      <c r="V1030" s="297"/>
      <c r="W1030" s="297"/>
      <c r="X1030" s="297"/>
      <c r="Y1030" s="297"/>
      <c r="Z1030" s="297"/>
      <c r="AA1030" s="297"/>
      <c r="AB1030" s="297"/>
      <c r="AC1030" s="297"/>
      <c r="AE1030" s="297"/>
      <c r="AF1030" s="297"/>
      <c r="AG1030" s="297"/>
      <c r="AH1030" s="297"/>
      <c r="AI1030" s="297"/>
      <c r="AJ1030" s="297"/>
      <c r="AK1030" s="297"/>
      <c r="AL1030" s="297"/>
      <c r="AM1030" s="297"/>
      <c r="AO1030" s="297"/>
      <c r="AP1030" s="297"/>
      <c r="AQ1030" s="297"/>
      <c r="AR1030" s="297"/>
      <c r="AS1030" s="297"/>
      <c r="AT1030" s="297"/>
      <c r="AU1030" s="297"/>
      <c r="AV1030" s="297"/>
      <c r="AW1030" s="297"/>
    </row>
    <row r="1031" spans="1:49" x14ac:dyDescent="0.45">
      <c r="A1031" s="295">
        <v>40725</v>
      </c>
      <c r="B1031" s="5">
        <v>-2.0299999999999999E-2</v>
      </c>
      <c r="C1031" s="5">
        <v>-7.5380000000000013E-3</v>
      </c>
      <c r="D1031" s="5">
        <v>3.2000000000000002E-3</v>
      </c>
      <c r="E1031" s="5">
        <v>4.1083333333333336E-3</v>
      </c>
      <c r="F1031" s="5">
        <v>4.1916666666666665E-3</v>
      </c>
      <c r="G1031" s="5">
        <v>4.15E-3</v>
      </c>
      <c r="H1031" s="5">
        <v>4.3916666666666661E-3</v>
      </c>
      <c r="I1031" s="5">
        <f t="shared" si="176"/>
        <v>-2.35E-2</v>
      </c>
      <c r="J1031" s="5">
        <f t="shared" si="169"/>
        <v>-2.445E-2</v>
      </c>
      <c r="K1031" s="5">
        <f t="shared" si="170"/>
        <v>-1.1929666666666668E-2</v>
      </c>
      <c r="L1031" s="8">
        <f t="shared" si="167"/>
        <v>0.19644968614458613</v>
      </c>
      <c r="M1031" s="8">
        <f t="shared" si="168"/>
        <v>3.8400000000000004E-2</v>
      </c>
      <c r="N1031" s="8">
        <f t="shared" si="171"/>
        <v>4.9799999999999997E-2</v>
      </c>
      <c r="O1031" s="296">
        <f t="shared" si="166"/>
        <v>0.15804968614458614</v>
      </c>
      <c r="P1031" s="8">
        <f t="shared" si="172"/>
        <v>0.14664968614458612</v>
      </c>
      <c r="Q1031" s="8">
        <f t="shared" si="173"/>
        <v>0.13961673687527432</v>
      </c>
      <c r="R1031" s="8">
        <f t="shared" si="174"/>
        <v>5.2699999999999997E-2</v>
      </c>
      <c r="S1031" s="296">
        <f t="shared" si="175"/>
        <v>8.691673687527432E-2</v>
      </c>
      <c r="U1031" s="297"/>
      <c r="V1031" s="297"/>
      <c r="W1031" s="297"/>
      <c r="X1031" s="297"/>
      <c r="Y1031" s="297"/>
      <c r="Z1031" s="297"/>
      <c r="AA1031" s="297"/>
      <c r="AB1031" s="297"/>
      <c r="AC1031" s="297"/>
      <c r="AE1031" s="297"/>
      <c r="AF1031" s="297"/>
      <c r="AG1031" s="297"/>
      <c r="AH1031" s="297"/>
      <c r="AI1031" s="297"/>
      <c r="AJ1031" s="297"/>
      <c r="AK1031" s="297"/>
      <c r="AL1031" s="297"/>
      <c r="AM1031" s="297"/>
      <c r="AO1031" s="297"/>
      <c r="AP1031" s="297"/>
      <c r="AQ1031" s="297"/>
      <c r="AR1031" s="297"/>
      <c r="AS1031" s="297"/>
      <c r="AT1031" s="297"/>
      <c r="AU1031" s="297"/>
      <c r="AV1031" s="297"/>
      <c r="AW1031" s="297"/>
    </row>
    <row r="1032" spans="1:49" x14ac:dyDescent="0.45">
      <c r="A1032" s="295">
        <v>40756</v>
      </c>
      <c r="B1032" s="5">
        <v>-5.4300000000000001E-2</v>
      </c>
      <c r="C1032" s="5">
        <v>2.0388E-2</v>
      </c>
      <c r="D1032" s="5">
        <v>3.3999999999999998E-3</v>
      </c>
      <c r="E1032" s="5">
        <v>3.6416666666666667E-3</v>
      </c>
      <c r="F1032" s="5">
        <v>3.725E-3</v>
      </c>
      <c r="G1032" s="5">
        <v>3.6833333333333336E-3</v>
      </c>
      <c r="H1032" s="5">
        <v>3.908333333333334E-3</v>
      </c>
      <c r="I1032" s="5">
        <f t="shared" si="176"/>
        <v>-5.7700000000000001E-2</v>
      </c>
      <c r="J1032" s="5">
        <f t="shared" si="169"/>
        <v>-5.7983333333333331E-2</v>
      </c>
      <c r="K1032" s="5">
        <f t="shared" si="170"/>
        <v>1.6479666666666667E-2</v>
      </c>
      <c r="L1032" s="8">
        <f t="shared" si="167"/>
        <v>0.18492247165874409</v>
      </c>
      <c r="M1032" s="8">
        <f t="shared" si="168"/>
        <v>4.0799999999999996E-2</v>
      </c>
      <c r="N1032" s="8">
        <f t="shared" si="171"/>
        <v>4.4200000000000003E-2</v>
      </c>
      <c r="O1032" s="296">
        <f t="shared" si="166"/>
        <v>0.14412247165874409</v>
      </c>
      <c r="P1032" s="8">
        <f t="shared" si="172"/>
        <v>0.14072247165874407</v>
      </c>
      <c r="Q1032" s="8">
        <f t="shared" si="173"/>
        <v>0.14849959200499274</v>
      </c>
      <c r="R1032" s="8">
        <f t="shared" si="174"/>
        <v>4.6900000000000011E-2</v>
      </c>
      <c r="S1032" s="296">
        <f t="shared" si="175"/>
        <v>0.10159959200499273</v>
      </c>
      <c r="U1032" s="297"/>
      <c r="V1032" s="297"/>
      <c r="W1032" s="297"/>
      <c r="X1032" s="297"/>
      <c r="Y1032" s="297"/>
      <c r="Z1032" s="297"/>
      <c r="AA1032" s="297"/>
      <c r="AB1032" s="297"/>
      <c r="AC1032" s="297"/>
      <c r="AE1032" s="297"/>
      <c r="AF1032" s="297"/>
      <c r="AG1032" s="297"/>
      <c r="AH1032" s="297"/>
      <c r="AI1032" s="297"/>
      <c r="AJ1032" s="297"/>
      <c r="AK1032" s="297"/>
      <c r="AL1032" s="297"/>
      <c r="AM1032" s="297"/>
      <c r="AO1032" s="297"/>
      <c r="AP1032" s="297"/>
      <c r="AQ1032" s="297"/>
      <c r="AR1032" s="297"/>
      <c r="AS1032" s="297"/>
      <c r="AT1032" s="297"/>
      <c r="AU1032" s="297"/>
      <c r="AV1032" s="297"/>
      <c r="AW1032" s="297"/>
    </row>
    <row r="1033" spans="1:49" x14ac:dyDescent="0.45">
      <c r="A1033" s="295">
        <v>40787</v>
      </c>
      <c r="B1033" s="5">
        <v>-7.0300000000000001E-2</v>
      </c>
      <c r="C1033" s="5">
        <v>2.271E-3</v>
      </c>
      <c r="D1033" s="5">
        <v>2.5999999999999999E-3</v>
      </c>
      <c r="E1033" s="5">
        <v>3.4083333333333331E-3</v>
      </c>
      <c r="F1033" s="5">
        <v>3.5250000000000004E-3</v>
      </c>
      <c r="G1033" s="5">
        <v>3.4666666666666669E-3</v>
      </c>
      <c r="H1033" s="5">
        <v>3.7333333333333333E-3</v>
      </c>
      <c r="I1033" s="5">
        <f t="shared" si="176"/>
        <v>-7.2900000000000006E-2</v>
      </c>
      <c r="J1033" s="5">
        <f t="shared" si="169"/>
        <v>-7.3766666666666675E-2</v>
      </c>
      <c r="K1033" s="5">
        <f t="shared" si="170"/>
        <v>-1.4623333333333333E-3</v>
      </c>
      <c r="L1033" s="8">
        <f t="shared" si="167"/>
        <v>1.1405088047314438E-2</v>
      </c>
      <c r="M1033" s="8">
        <f t="shared" si="168"/>
        <v>3.1199999999999999E-2</v>
      </c>
      <c r="N1033" s="8">
        <f t="shared" si="171"/>
        <v>4.1600000000000005E-2</v>
      </c>
      <c r="O1033" s="296">
        <f t="shared" si="166"/>
        <v>-1.9794911952685561E-2</v>
      </c>
      <c r="P1033" s="8">
        <f t="shared" si="172"/>
        <v>-3.0194911952685567E-2</v>
      </c>
      <c r="Q1033" s="8">
        <f t="shared" si="173"/>
        <v>0.11804174982729365</v>
      </c>
      <c r="R1033" s="8">
        <f t="shared" si="174"/>
        <v>4.48E-2</v>
      </c>
      <c r="S1033" s="296">
        <f t="shared" si="175"/>
        <v>7.3241749827293645E-2</v>
      </c>
      <c r="U1033" s="297"/>
      <c r="V1033" s="297"/>
      <c r="W1033" s="297"/>
      <c r="X1033" s="297"/>
      <c r="Y1033" s="297"/>
      <c r="Z1033" s="297"/>
      <c r="AA1033" s="297"/>
      <c r="AB1033" s="297"/>
      <c r="AC1033" s="297"/>
      <c r="AE1033" s="297"/>
      <c r="AF1033" s="297"/>
      <c r="AG1033" s="297"/>
      <c r="AH1033" s="297"/>
      <c r="AI1033" s="297"/>
      <c r="AJ1033" s="297"/>
      <c r="AK1033" s="297"/>
      <c r="AL1033" s="297"/>
      <c r="AM1033" s="297"/>
      <c r="AO1033" s="297"/>
      <c r="AP1033" s="297"/>
      <c r="AQ1033" s="297"/>
      <c r="AR1033" s="297"/>
      <c r="AS1033" s="297"/>
      <c r="AT1033" s="297"/>
      <c r="AU1033" s="297"/>
      <c r="AV1033" s="297"/>
      <c r="AW1033" s="297"/>
    </row>
    <row r="1034" spans="1:49" x14ac:dyDescent="0.45">
      <c r="A1034" s="295">
        <v>40817</v>
      </c>
      <c r="B1034" s="5">
        <v>0.10929999999999999</v>
      </c>
      <c r="C1034" s="5">
        <v>3.8747000000000004E-2</v>
      </c>
      <c r="D1034" s="5">
        <v>2.2000000000000001E-3</v>
      </c>
      <c r="E1034" s="5">
        <v>3.3166666666666665E-3</v>
      </c>
      <c r="F1034" s="5">
        <v>3.4666666666666669E-3</v>
      </c>
      <c r="G1034" s="5">
        <v>3.3916666666666665E-3</v>
      </c>
      <c r="H1034" s="5">
        <v>3.7666666666666664E-3</v>
      </c>
      <c r="I1034" s="5">
        <f t="shared" si="176"/>
        <v>0.1071</v>
      </c>
      <c r="J1034" s="5">
        <f t="shared" si="169"/>
        <v>0.10590833333333333</v>
      </c>
      <c r="K1034" s="5">
        <f t="shared" si="170"/>
        <v>3.4980333333333335E-2</v>
      </c>
      <c r="L1034" s="8">
        <f t="shared" si="167"/>
        <v>8.0878289181970597E-2</v>
      </c>
      <c r="M1034" s="8">
        <f t="shared" si="168"/>
        <v>2.64E-2</v>
      </c>
      <c r="N1034" s="8">
        <f t="shared" si="171"/>
        <v>4.07E-2</v>
      </c>
      <c r="O1034" s="296">
        <f t="shared" si="166"/>
        <v>5.4478289181970597E-2</v>
      </c>
      <c r="P1034" s="8">
        <f t="shared" si="172"/>
        <v>4.0178289181970597E-2</v>
      </c>
      <c r="Q1034" s="8">
        <f t="shared" si="173"/>
        <v>0.1466068302098813</v>
      </c>
      <c r="R1034" s="8">
        <f t="shared" si="174"/>
        <v>4.5199999999999997E-2</v>
      </c>
      <c r="S1034" s="296">
        <f t="shared" si="175"/>
        <v>0.10140683020988131</v>
      </c>
      <c r="U1034" s="297"/>
      <c r="V1034" s="297"/>
      <c r="W1034" s="297"/>
      <c r="X1034" s="297"/>
      <c r="Y1034" s="297"/>
      <c r="Z1034" s="297"/>
      <c r="AA1034" s="297"/>
      <c r="AB1034" s="297"/>
      <c r="AC1034" s="297"/>
      <c r="AE1034" s="297"/>
      <c r="AF1034" s="297"/>
      <c r="AG1034" s="297"/>
      <c r="AH1034" s="297"/>
      <c r="AI1034" s="297"/>
      <c r="AJ1034" s="297"/>
      <c r="AK1034" s="297"/>
      <c r="AL1034" s="297"/>
      <c r="AM1034" s="297"/>
      <c r="AO1034" s="297"/>
      <c r="AP1034" s="297"/>
      <c r="AQ1034" s="297"/>
      <c r="AR1034" s="297"/>
      <c r="AS1034" s="297"/>
      <c r="AT1034" s="297"/>
      <c r="AU1034" s="297"/>
      <c r="AV1034" s="297"/>
      <c r="AW1034" s="297"/>
    </row>
    <row r="1035" spans="1:49" x14ac:dyDescent="0.45">
      <c r="A1035" s="295">
        <v>40848</v>
      </c>
      <c r="B1035" s="5">
        <v>-2.2000000000000001E-3</v>
      </c>
      <c r="C1035" s="5">
        <v>8.0140000000000003E-3</v>
      </c>
      <c r="D1035" s="5">
        <v>2.3999999999999998E-3</v>
      </c>
      <c r="E1035" s="5">
        <v>3.225E-3</v>
      </c>
      <c r="F1035" s="5">
        <v>3.3083333333333337E-3</v>
      </c>
      <c r="G1035" s="5">
        <v>3.2666666666666664E-3</v>
      </c>
      <c r="H1035" s="5">
        <v>3.5416666666666669E-3</v>
      </c>
      <c r="I1035" s="5">
        <f t="shared" si="176"/>
        <v>-4.5999999999999999E-3</v>
      </c>
      <c r="J1035" s="5">
        <f t="shared" si="169"/>
        <v>-5.4666666666666665E-3</v>
      </c>
      <c r="K1035" s="5">
        <f t="shared" si="170"/>
        <v>4.4723333333333334E-3</v>
      </c>
      <c r="L1035" s="8">
        <f t="shared" si="167"/>
        <v>7.8392517694001018E-2</v>
      </c>
      <c r="M1035" s="8">
        <f t="shared" si="168"/>
        <v>2.8799999999999999E-2</v>
      </c>
      <c r="N1035" s="8">
        <f t="shared" si="171"/>
        <v>3.9199999999999999E-2</v>
      </c>
      <c r="O1035" s="296">
        <f t="shared" si="166"/>
        <v>4.9592517694001019E-2</v>
      </c>
      <c r="P1035" s="8">
        <f t="shared" si="172"/>
        <v>3.9192517694001019E-2</v>
      </c>
      <c r="Q1035" s="8">
        <f t="shared" si="173"/>
        <v>0.19440240632688721</v>
      </c>
      <c r="R1035" s="8">
        <f t="shared" si="174"/>
        <v>4.2500000000000003E-2</v>
      </c>
      <c r="S1035" s="296">
        <f t="shared" si="175"/>
        <v>0.1519024063268872</v>
      </c>
      <c r="U1035" s="297"/>
      <c r="V1035" s="297"/>
      <c r="W1035" s="297"/>
      <c r="X1035" s="297"/>
      <c r="Y1035" s="297"/>
      <c r="Z1035" s="297"/>
      <c r="AA1035" s="297"/>
      <c r="AB1035" s="297"/>
      <c r="AC1035" s="297"/>
      <c r="AE1035" s="297"/>
      <c r="AF1035" s="297"/>
      <c r="AG1035" s="297"/>
      <c r="AH1035" s="297"/>
      <c r="AI1035" s="297"/>
      <c r="AJ1035" s="297"/>
      <c r="AK1035" s="297"/>
      <c r="AL1035" s="297"/>
      <c r="AM1035" s="297"/>
      <c r="AO1035" s="297"/>
      <c r="AP1035" s="297"/>
      <c r="AQ1035" s="297"/>
      <c r="AR1035" s="297"/>
      <c r="AS1035" s="297"/>
      <c r="AT1035" s="297"/>
      <c r="AU1035" s="297"/>
      <c r="AV1035" s="297"/>
      <c r="AW1035" s="297"/>
    </row>
    <row r="1036" spans="1:49" x14ac:dyDescent="0.45">
      <c r="A1036" s="295">
        <v>40878</v>
      </c>
      <c r="B1036" s="5">
        <v>1.0200000000000001E-2</v>
      </c>
      <c r="C1036" s="5">
        <v>3.3766999999999998E-2</v>
      </c>
      <c r="D1036" s="5">
        <v>2.2000000000000001E-3</v>
      </c>
      <c r="E1036" s="5">
        <v>3.2750000000000001E-3</v>
      </c>
      <c r="F1036" s="5">
        <v>3.3583333333333338E-3</v>
      </c>
      <c r="G1036" s="5">
        <v>3.3166666666666665E-3</v>
      </c>
      <c r="H1036" s="5">
        <v>3.6083333333333332E-3</v>
      </c>
      <c r="I1036" s="5">
        <f t="shared" si="176"/>
        <v>8.0000000000000002E-3</v>
      </c>
      <c r="J1036" s="5">
        <f t="shared" si="169"/>
        <v>6.8833333333333342E-3</v>
      </c>
      <c r="K1036" s="5">
        <f t="shared" si="170"/>
        <v>3.0158666666666667E-2</v>
      </c>
      <c r="L1036" s="8">
        <f t="shared" si="167"/>
        <v>2.1177466605249329E-2</v>
      </c>
      <c r="M1036" s="8">
        <f t="shared" si="168"/>
        <v>2.64E-2</v>
      </c>
      <c r="N1036" s="8">
        <f t="shared" si="171"/>
        <v>3.9800000000000002E-2</v>
      </c>
      <c r="O1036" s="296">
        <f t="shared" si="166"/>
        <v>-5.2225333947506711E-3</v>
      </c>
      <c r="P1036" s="8">
        <f t="shared" si="172"/>
        <v>-1.8622533394750673E-2</v>
      </c>
      <c r="Q1036" s="8">
        <f t="shared" si="173"/>
        <v>0.19743257038137663</v>
      </c>
      <c r="R1036" s="8">
        <f t="shared" si="174"/>
        <v>4.3299999999999998E-2</v>
      </c>
      <c r="S1036" s="296">
        <f t="shared" si="175"/>
        <v>0.15413257038137662</v>
      </c>
      <c r="U1036" s="297"/>
      <c r="V1036" s="297"/>
      <c r="W1036" s="297"/>
      <c r="X1036" s="297"/>
      <c r="Y1036" s="297"/>
      <c r="Z1036" s="297"/>
      <c r="AA1036" s="297"/>
      <c r="AB1036" s="297"/>
      <c r="AC1036" s="297"/>
      <c r="AE1036" s="297"/>
      <c r="AF1036" s="297"/>
      <c r="AG1036" s="297"/>
      <c r="AH1036" s="297"/>
      <c r="AI1036" s="297"/>
      <c r="AJ1036" s="297"/>
      <c r="AK1036" s="297"/>
      <c r="AL1036" s="297"/>
      <c r="AM1036" s="297"/>
      <c r="AO1036" s="297"/>
      <c r="AP1036" s="297"/>
      <c r="AQ1036" s="297"/>
      <c r="AR1036" s="297"/>
      <c r="AS1036" s="297"/>
      <c r="AT1036" s="297"/>
      <c r="AU1036" s="297"/>
      <c r="AV1036" s="297"/>
      <c r="AW1036" s="297"/>
    </row>
    <row r="1037" spans="1:49" x14ac:dyDescent="0.45">
      <c r="A1037" s="295">
        <v>40909</v>
      </c>
      <c r="B1037" s="5">
        <v>4.48E-2</v>
      </c>
      <c r="C1037" s="5">
        <v>-3.3237000000000003E-2</v>
      </c>
      <c r="D1037" s="5">
        <v>2.0999999999999999E-3</v>
      </c>
      <c r="E1037" s="5">
        <v>3.3416666666666668E-3</v>
      </c>
      <c r="F1037" s="5">
        <v>3.3416666666666668E-3</v>
      </c>
      <c r="G1037" s="5">
        <v>3.3416666666666668E-3</v>
      </c>
      <c r="H1037" s="5">
        <v>3.6166666666666665E-3</v>
      </c>
      <c r="I1037" s="5">
        <f t="shared" si="176"/>
        <v>4.2700000000000002E-2</v>
      </c>
      <c r="J1037" s="5">
        <f t="shared" si="169"/>
        <v>4.1458333333333333E-2</v>
      </c>
      <c r="K1037" s="5">
        <f t="shared" si="170"/>
        <v>-3.6853666666666667E-2</v>
      </c>
      <c r="L1037" s="8">
        <f t="shared" si="167"/>
        <v>4.2225473389825297E-2</v>
      </c>
      <c r="M1037" s="8">
        <f t="shared" si="168"/>
        <v>2.52E-2</v>
      </c>
      <c r="N1037" s="8">
        <f t="shared" si="171"/>
        <v>4.0100000000000004E-2</v>
      </c>
      <c r="O1037" s="296">
        <f t="shared" si="166"/>
        <v>1.7025473389825296E-2</v>
      </c>
      <c r="P1037" s="8">
        <f t="shared" si="172"/>
        <v>2.1254733898252928E-3</v>
      </c>
      <c r="Q1037" s="8">
        <f t="shared" si="173"/>
        <v>0.14137912393564389</v>
      </c>
      <c r="R1037" s="8">
        <f t="shared" si="174"/>
        <v>4.3399999999999994E-2</v>
      </c>
      <c r="S1037" s="296">
        <f t="shared" si="175"/>
        <v>9.7979123935643897E-2</v>
      </c>
      <c r="U1037" s="297"/>
      <c r="V1037" s="297"/>
      <c r="W1037" s="297"/>
      <c r="X1037" s="297"/>
      <c r="Y1037" s="297"/>
      <c r="Z1037" s="297"/>
      <c r="AA1037" s="297"/>
      <c r="AB1037" s="297"/>
      <c r="AC1037" s="297"/>
      <c r="AE1037" s="297"/>
      <c r="AF1037" s="297"/>
      <c r="AG1037" s="297"/>
      <c r="AH1037" s="297"/>
      <c r="AI1037" s="297"/>
      <c r="AJ1037" s="297"/>
      <c r="AK1037" s="297"/>
      <c r="AL1037" s="297"/>
      <c r="AM1037" s="297"/>
      <c r="AO1037" s="297"/>
      <c r="AP1037" s="297"/>
      <c r="AQ1037" s="297"/>
      <c r="AR1037" s="297"/>
      <c r="AS1037" s="297"/>
      <c r="AT1037" s="297"/>
      <c r="AU1037" s="297"/>
      <c r="AV1037" s="297"/>
      <c r="AW1037" s="297"/>
    </row>
    <row r="1038" spans="1:49" x14ac:dyDescent="0.45">
      <c r="A1038" s="295">
        <v>40940</v>
      </c>
      <c r="B1038" s="5">
        <v>4.3200000000000002E-2</v>
      </c>
      <c r="C1038" s="5">
        <v>3.4509999999999996E-3</v>
      </c>
      <c r="D1038" s="5">
        <v>2E-3</v>
      </c>
      <c r="E1038" s="5">
        <v>3.3250000000000003E-3</v>
      </c>
      <c r="F1038" s="5">
        <v>3.3250000000000003E-3</v>
      </c>
      <c r="G1038" s="5">
        <v>3.3250000000000003E-3</v>
      </c>
      <c r="H1038" s="5">
        <v>3.6333333333333335E-3</v>
      </c>
      <c r="I1038" s="5">
        <f t="shared" si="176"/>
        <v>4.1200000000000001E-2</v>
      </c>
      <c r="J1038" s="5">
        <f t="shared" si="169"/>
        <v>3.9875000000000001E-2</v>
      </c>
      <c r="K1038" s="5">
        <f t="shared" si="170"/>
        <v>-1.8233333333333383E-4</v>
      </c>
      <c r="L1038" s="8">
        <f t="shared" si="167"/>
        <v>5.1193670927454082E-2</v>
      </c>
      <c r="M1038" s="8">
        <f t="shared" si="168"/>
        <v>2.4E-2</v>
      </c>
      <c r="N1038" s="8">
        <f t="shared" si="171"/>
        <v>3.9900000000000005E-2</v>
      </c>
      <c r="O1038" s="296">
        <f t="shared" si="166"/>
        <v>2.7193670927454082E-2</v>
      </c>
      <c r="P1038" s="8">
        <f t="shared" si="172"/>
        <v>1.1293670927454078E-2</v>
      </c>
      <c r="Q1038" s="8">
        <f t="shared" si="173"/>
        <v>0.13259333714947141</v>
      </c>
      <c r="R1038" s="8">
        <f t="shared" si="174"/>
        <v>4.36E-2</v>
      </c>
      <c r="S1038" s="296">
        <f t="shared" si="175"/>
        <v>8.8993337149471413E-2</v>
      </c>
      <c r="U1038" s="297"/>
      <c r="V1038" s="297"/>
      <c r="W1038" s="297"/>
      <c r="X1038" s="297"/>
      <c r="Y1038" s="297"/>
      <c r="Z1038" s="297"/>
      <c r="AA1038" s="297"/>
      <c r="AB1038" s="297"/>
      <c r="AC1038" s="297"/>
      <c r="AE1038" s="297"/>
      <c r="AF1038" s="297"/>
      <c r="AG1038" s="297"/>
      <c r="AH1038" s="297"/>
      <c r="AI1038" s="297"/>
      <c r="AJ1038" s="297"/>
      <c r="AK1038" s="297"/>
      <c r="AL1038" s="297"/>
      <c r="AM1038" s="297"/>
      <c r="AO1038" s="297"/>
      <c r="AP1038" s="297"/>
      <c r="AQ1038" s="297"/>
      <c r="AR1038" s="297"/>
      <c r="AS1038" s="297"/>
      <c r="AT1038" s="297"/>
      <c r="AU1038" s="297"/>
      <c r="AV1038" s="297"/>
      <c r="AW1038" s="297"/>
    </row>
    <row r="1039" spans="1:49" x14ac:dyDescent="0.45">
      <c r="A1039" s="295">
        <v>40969</v>
      </c>
      <c r="B1039" s="5">
        <v>3.2899999999999999E-2</v>
      </c>
      <c r="C1039" s="5">
        <v>1.372E-2</v>
      </c>
      <c r="D1039" s="5">
        <v>2.2000000000000001E-3</v>
      </c>
      <c r="E1039" s="5">
        <v>3.3249999999999998E-3</v>
      </c>
      <c r="F1039" s="5">
        <v>3.4499999999999999E-3</v>
      </c>
      <c r="G1039" s="5">
        <v>3.3874999999999999E-3</v>
      </c>
      <c r="H1039" s="5">
        <v>3.7333333333333333E-3</v>
      </c>
      <c r="I1039" s="5">
        <f t="shared" si="176"/>
        <v>3.0699999999999998E-2</v>
      </c>
      <c r="J1039" s="5">
        <f t="shared" si="169"/>
        <v>2.9512499999999997E-2</v>
      </c>
      <c r="K1039" s="5">
        <f t="shared" si="170"/>
        <v>9.9866666666666663E-3</v>
      </c>
      <c r="L1039" s="8">
        <f t="shared" si="167"/>
        <v>8.5343805178895948E-2</v>
      </c>
      <c r="M1039" s="8">
        <f t="shared" si="168"/>
        <v>2.64E-2</v>
      </c>
      <c r="N1039" s="8">
        <f t="shared" si="171"/>
        <v>4.0649999999999999E-2</v>
      </c>
      <c r="O1039" s="296">
        <f t="shared" si="166"/>
        <v>5.8943805178895949E-2</v>
      </c>
      <c r="P1039" s="8">
        <f t="shared" si="172"/>
        <v>4.469380517889595E-2</v>
      </c>
      <c r="Q1039" s="8">
        <f t="shared" si="173"/>
        <v>0.1464426612524754</v>
      </c>
      <c r="R1039" s="8">
        <f t="shared" si="174"/>
        <v>4.48E-2</v>
      </c>
      <c r="S1039" s="296">
        <f t="shared" si="175"/>
        <v>0.1016426612524754</v>
      </c>
      <c r="U1039" s="297"/>
      <c r="V1039" s="297"/>
      <c r="W1039" s="297"/>
      <c r="X1039" s="297"/>
      <c r="Y1039" s="297"/>
      <c r="Z1039" s="297"/>
      <c r="AA1039" s="297"/>
      <c r="AB1039" s="297"/>
      <c r="AC1039" s="297"/>
      <c r="AE1039" s="297"/>
      <c r="AF1039" s="297"/>
      <c r="AG1039" s="297"/>
      <c r="AH1039" s="297"/>
      <c r="AI1039" s="297"/>
      <c r="AJ1039" s="297"/>
      <c r="AK1039" s="297"/>
      <c r="AL1039" s="297"/>
      <c r="AM1039" s="297"/>
      <c r="AO1039" s="297"/>
      <c r="AP1039" s="297"/>
      <c r="AQ1039" s="297"/>
      <c r="AR1039" s="297"/>
      <c r="AS1039" s="297"/>
      <c r="AT1039" s="297"/>
      <c r="AU1039" s="297"/>
      <c r="AV1039" s="297"/>
      <c r="AW1039" s="297"/>
    </row>
    <row r="1040" spans="1:49" x14ac:dyDescent="0.45">
      <c r="A1040" s="295">
        <v>41000</v>
      </c>
      <c r="B1040" s="5">
        <v>-6.3E-3</v>
      </c>
      <c r="C1040" s="5">
        <v>2.1237000000000002E-2</v>
      </c>
      <c r="D1040" s="5">
        <v>2.5000000000000001E-3</v>
      </c>
      <c r="E1040" s="5">
        <v>3.3000000000000004E-3</v>
      </c>
      <c r="F1040" s="5">
        <v>3.4000000000000002E-3</v>
      </c>
      <c r="G1040" s="5">
        <v>3.3500000000000005E-3</v>
      </c>
      <c r="H1040" s="5">
        <v>3.6666666666666666E-3</v>
      </c>
      <c r="I1040" s="5">
        <f t="shared" si="176"/>
        <v>-8.8000000000000005E-3</v>
      </c>
      <c r="J1040" s="5">
        <f t="shared" si="169"/>
        <v>-9.6500000000000006E-3</v>
      </c>
      <c r="K1040" s="5">
        <f t="shared" si="170"/>
        <v>1.7570333333333337E-2</v>
      </c>
      <c r="L1040" s="8">
        <f t="shared" si="167"/>
        <v>4.750013520422347E-2</v>
      </c>
      <c r="M1040" s="8">
        <f t="shared" si="168"/>
        <v>0.03</v>
      </c>
      <c r="N1040" s="8">
        <f t="shared" si="171"/>
        <v>4.0200000000000007E-2</v>
      </c>
      <c r="O1040" s="296">
        <f t="shared" ref="O1040:O1103" si="177">L1040-M1040</f>
        <v>1.7500135204223471E-2</v>
      </c>
      <c r="P1040" s="8">
        <f t="shared" si="172"/>
        <v>7.3001352042234638E-3</v>
      </c>
      <c r="Q1040" s="8">
        <f t="shared" si="173"/>
        <v>0.12373009512581556</v>
      </c>
      <c r="R1040" s="8">
        <f t="shared" si="174"/>
        <v>4.3999999999999997E-2</v>
      </c>
      <c r="S1040" s="296">
        <f t="shared" si="175"/>
        <v>7.9730095125815567E-2</v>
      </c>
      <c r="U1040" s="297"/>
      <c r="V1040" s="297"/>
      <c r="W1040" s="297"/>
      <c r="X1040" s="297"/>
      <c r="Y1040" s="297"/>
      <c r="Z1040" s="297"/>
      <c r="AA1040" s="297"/>
      <c r="AB1040" s="297"/>
      <c r="AC1040" s="297"/>
      <c r="AE1040" s="297"/>
      <c r="AF1040" s="297"/>
      <c r="AG1040" s="297"/>
      <c r="AH1040" s="297"/>
      <c r="AI1040" s="297"/>
      <c r="AJ1040" s="297"/>
      <c r="AK1040" s="297"/>
      <c r="AL1040" s="297"/>
      <c r="AM1040" s="297"/>
      <c r="AO1040" s="297"/>
      <c r="AP1040" s="297"/>
      <c r="AQ1040" s="297"/>
      <c r="AR1040" s="297"/>
      <c r="AS1040" s="297"/>
      <c r="AT1040" s="297"/>
      <c r="AU1040" s="297"/>
      <c r="AV1040" s="297"/>
      <c r="AW1040" s="297"/>
    </row>
    <row r="1041" spans="1:49" x14ac:dyDescent="0.45">
      <c r="A1041" s="295">
        <v>41030</v>
      </c>
      <c r="B1041" s="5">
        <v>-6.0100000000000001E-2</v>
      </c>
      <c r="C1041" s="5">
        <v>2.1609999999999997E-3</v>
      </c>
      <c r="D1041" s="5">
        <v>2.3E-3</v>
      </c>
      <c r="E1041" s="5">
        <v>3.1666666666666666E-3</v>
      </c>
      <c r="F1041" s="5">
        <v>3.2583333333333336E-3</v>
      </c>
      <c r="G1041" s="5">
        <v>3.2125000000000001E-3</v>
      </c>
      <c r="H1041" s="5">
        <v>3.5000000000000001E-3</v>
      </c>
      <c r="I1041" s="5">
        <f t="shared" si="176"/>
        <v>-6.2399999999999997E-2</v>
      </c>
      <c r="J1041" s="5">
        <f t="shared" si="169"/>
        <v>-6.3312499999999994E-2</v>
      </c>
      <c r="K1041" s="5">
        <f t="shared" si="170"/>
        <v>-1.3390000000000003E-3</v>
      </c>
      <c r="L1041" s="8">
        <f t="shared" ref="L1041:L1104" si="178">((1+B1030)*(1+B1031)*(1+B1032)*(1+B1033)*(1+B1034)*(1+B1035)*(1+B1036)*(1+B1037)*(1+B1038)*(1+B1039)*(1+B1040)*(1+B1041))-1</f>
        <v>-4.2021067275717083E-3</v>
      </c>
      <c r="M1041" s="8">
        <f t="shared" ref="M1041:M1104" si="179">D1041*12</f>
        <v>2.76E-2</v>
      </c>
      <c r="N1041" s="8">
        <f t="shared" si="171"/>
        <v>3.8550000000000001E-2</v>
      </c>
      <c r="O1041" s="296">
        <f t="shared" si="177"/>
        <v>-3.1802106727571708E-2</v>
      </c>
      <c r="P1041" s="8">
        <f t="shared" si="172"/>
        <v>-4.2752106727571709E-2</v>
      </c>
      <c r="Q1041" s="8">
        <f t="shared" si="173"/>
        <v>0.10434327873328542</v>
      </c>
      <c r="R1041" s="8">
        <f t="shared" si="174"/>
        <v>4.2000000000000003E-2</v>
      </c>
      <c r="S1041" s="296">
        <f t="shared" si="175"/>
        <v>6.2343278733285414E-2</v>
      </c>
      <c r="U1041" s="297"/>
      <c r="V1041" s="297"/>
      <c r="W1041" s="297"/>
      <c r="X1041" s="297"/>
      <c r="Y1041" s="297"/>
      <c r="Z1041" s="297"/>
      <c r="AA1041" s="297"/>
      <c r="AB1041" s="297"/>
      <c r="AC1041" s="297"/>
      <c r="AE1041" s="297"/>
      <c r="AF1041" s="297"/>
      <c r="AG1041" s="297"/>
      <c r="AH1041" s="297"/>
      <c r="AI1041" s="297"/>
      <c r="AJ1041" s="297"/>
      <c r="AK1041" s="297"/>
      <c r="AL1041" s="297"/>
      <c r="AM1041" s="297"/>
      <c r="AO1041" s="297"/>
      <c r="AP1041" s="297"/>
      <c r="AQ1041" s="297"/>
      <c r="AR1041" s="297"/>
      <c r="AS1041" s="297"/>
      <c r="AT1041" s="297"/>
      <c r="AU1041" s="297"/>
      <c r="AV1041" s="297"/>
      <c r="AW1041" s="297"/>
    </row>
    <row r="1042" spans="1:49" x14ac:dyDescent="0.45">
      <c r="A1042" s="295">
        <v>41061</v>
      </c>
      <c r="B1042" s="5">
        <v>4.1200000000000001E-2</v>
      </c>
      <c r="C1042" s="5">
        <v>4.1003999999999999E-2</v>
      </c>
      <c r="D1042" s="5">
        <v>1.8E-3</v>
      </c>
      <c r="E1042" s="5">
        <v>3.0333333333333336E-3</v>
      </c>
      <c r="F1042" s="5">
        <v>3.15E-3</v>
      </c>
      <c r="G1042" s="5">
        <v>3.091666666666667E-3</v>
      </c>
      <c r="H1042" s="5">
        <v>3.4000000000000002E-3</v>
      </c>
      <c r="I1042" s="5">
        <f t="shared" si="176"/>
        <v>3.9399999999999998E-2</v>
      </c>
      <c r="J1042" s="5">
        <f t="shared" si="169"/>
        <v>3.8108333333333334E-2</v>
      </c>
      <c r="K1042" s="5">
        <f t="shared" si="170"/>
        <v>3.7603999999999999E-2</v>
      </c>
      <c r="L1042" s="8">
        <f t="shared" si="178"/>
        <v>5.4433811120972342E-2</v>
      </c>
      <c r="M1042" s="8">
        <f t="shared" si="179"/>
        <v>2.1600000000000001E-2</v>
      </c>
      <c r="N1042" s="8">
        <f t="shared" si="171"/>
        <v>3.7100000000000008E-2</v>
      </c>
      <c r="O1042" s="296">
        <f t="shared" si="177"/>
        <v>3.2833811120972341E-2</v>
      </c>
      <c r="P1042" s="8">
        <f t="shared" si="172"/>
        <v>1.7333811120972334E-2</v>
      </c>
      <c r="Q1042" s="8">
        <f t="shared" si="173"/>
        <v>0.15110263521544609</v>
      </c>
      <c r="R1042" s="8">
        <f t="shared" si="174"/>
        <v>4.0800000000000003E-2</v>
      </c>
      <c r="S1042" s="296">
        <f t="shared" si="175"/>
        <v>0.11030263521544609</v>
      </c>
      <c r="U1042" s="297"/>
      <c r="V1042" s="297"/>
      <c r="W1042" s="297"/>
      <c r="X1042" s="297"/>
      <c r="Y1042" s="297"/>
      <c r="Z1042" s="297"/>
      <c r="AA1042" s="297"/>
      <c r="AB1042" s="297"/>
      <c r="AC1042" s="297"/>
      <c r="AE1042" s="297"/>
      <c r="AF1042" s="297"/>
      <c r="AG1042" s="297"/>
      <c r="AH1042" s="297"/>
      <c r="AI1042" s="297"/>
      <c r="AJ1042" s="297"/>
      <c r="AK1042" s="297"/>
      <c r="AL1042" s="297"/>
      <c r="AM1042" s="297"/>
      <c r="AO1042" s="297"/>
      <c r="AP1042" s="297"/>
      <c r="AQ1042" s="297"/>
      <c r="AR1042" s="297"/>
      <c r="AS1042" s="297"/>
      <c r="AT1042" s="297"/>
      <c r="AU1042" s="297"/>
      <c r="AV1042" s="297"/>
      <c r="AW1042" s="297"/>
    </row>
    <row r="1043" spans="1:49" x14ac:dyDescent="0.45">
      <c r="A1043" s="295">
        <v>41091</v>
      </c>
      <c r="B1043" s="5">
        <v>1.3899999999999999E-2</v>
      </c>
      <c r="C1043" s="5">
        <v>2.8439000000000002E-2</v>
      </c>
      <c r="D1043" s="5">
        <v>2E-3</v>
      </c>
      <c r="E1043" s="5">
        <v>2.8333333333333335E-3</v>
      </c>
      <c r="F1043" s="5">
        <v>2.9499999999999999E-3</v>
      </c>
      <c r="G1043" s="5">
        <v>2.8916666666666665E-3</v>
      </c>
      <c r="H1043" s="5">
        <v>3.2750000000000001E-3</v>
      </c>
      <c r="I1043" s="5">
        <f t="shared" si="176"/>
        <v>1.1899999999999999E-2</v>
      </c>
      <c r="J1043" s="5">
        <f t="shared" si="169"/>
        <v>1.1008333333333332E-2</v>
      </c>
      <c r="K1043" s="5">
        <f t="shared" si="170"/>
        <v>2.5164000000000002E-2</v>
      </c>
      <c r="L1043" s="8">
        <f t="shared" si="178"/>
        <v>9.124266724053709E-2</v>
      </c>
      <c r="M1043" s="8">
        <f t="shared" si="179"/>
        <v>2.4E-2</v>
      </c>
      <c r="N1043" s="8">
        <f t="shared" si="171"/>
        <v>3.4699999999999995E-2</v>
      </c>
      <c r="O1043" s="296">
        <f t="shared" si="177"/>
        <v>6.7242667240537096E-2</v>
      </c>
      <c r="P1043" s="8">
        <f t="shared" si="172"/>
        <v>5.6542667240537095E-2</v>
      </c>
      <c r="Q1043" s="8">
        <f t="shared" si="173"/>
        <v>0.19283039860300799</v>
      </c>
      <c r="R1043" s="8">
        <f t="shared" si="174"/>
        <v>3.9300000000000002E-2</v>
      </c>
      <c r="S1043" s="296">
        <f t="shared" si="175"/>
        <v>0.15353039860300799</v>
      </c>
      <c r="U1043" s="297"/>
      <c r="V1043" s="297"/>
      <c r="W1043" s="297"/>
      <c r="X1043" s="297"/>
      <c r="Y1043" s="297"/>
      <c r="Z1043" s="297"/>
      <c r="AA1043" s="297"/>
      <c r="AB1043" s="297"/>
      <c r="AC1043" s="297"/>
      <c r="AE1043" s="297"/>
      <c r="AF1043" s="297"/>
      <c r="AG1043" s="297"/>
      <c r="AH1043" s="297"/>
      <c r="AI1043" s="297"/>
      <c r="AJ1043" s="297"/>
      <c r="AK1043" s="297"/>
      <c r="AL1043" s="297"/>
      <c r="AM1043" s="297"/>
      <c r="AO1043" s="297"/>
      <c r="AP1043" s="297"/>
      <c r="AQ1043" s="297"/>
      <c r="AR1043" s="297"/>
      <c r="AS1043" s="297"/>
      <c r="AT1043" s="297"/>
      <c r="AU1043" s="297"/>
      <c r="AV1043" s="297"/>
      <c r="AW1043" s="297"/>
    </row>
    <row r="1044" spans="1:49" x14ac:dyDescent="0.45">
      <c r="A1044" s="295">
        <v>41122</v>
      </c>
      <c r="B1044" s="5">
        <v>2.2499999999999999E-2</v>
      </c>
      <c r="C1044" s="5">
        <v>-4.4720999999999997E-2</v>
      </c>
      <c r="D1044" s="5">
        <v>1.8E-3</v>
      </c>
      <c r="E1044" s="5">
        <v>2.8999999999999998E-3</v>
      </c>
      <c r="F1044" s="5">
        <v>3.0083333333333333E-3</v>
      </c>
      <c r="G1044" s="5">
        <v>2.9541666666666666E-3</v>
      </c>
      <c r="H1044" s="5">
        <v>3.3333333333333335E-3</v>
      </c>
      <c r="I1044" s="5">
        <f t="shared" si="176"/>
        <v>2.07E-2</v>
      </c>
      <c r="J1044" s="5">
        <f t="shared" si="169"/>
        <v>1.9545833333333332E-2</v>
      </c>
      <c r="K1044" s="5">
        <f t="shared" si="170"/>
        <v>-4.8054333333333331E-2</v>
      </c>
      <c r="L1044" s="8">
        <f t="shared" si="178"/>
        <v>0.17986214153901736</v>
      </c>
      <c r="M1044" s="8">
        <f t="shared" si="179"/>
        <v>2.1600000000000001E-2</v>
      </c>
      <c r="N1044" s="8">
        <f t="shared" si="171"/>
        <v>3.5449999999999995E-2</v>
      </c>
      <c r="O1044" s="296">
        <f t="shared" si="177"/>
        <v>0.15826214153901735</v>
      </c>
      <c r="P1044" s="8">
        <f t="shared" si="172"/>
        <v>0.14441214153901738</v>
      </c>
      <c r="Q1044" s="8">
        <f t="shared" si="173"/>
        <v>0.11671818009138035</v>
      </c>
      <c r="R1044" s="8">
        <f t="shared" si="174"/>
        <v>0.04</v>
      </c>
      <c r="S1044" s="296">
        <f t="shared" si="175"/>
        <v>7.6718180091380345E-2</v>
      </c>
      <c r="U1044" s="297"/>
      <c r="V1044" s="297"/>
      <c r="W1044" s="297"/>
      <c r="X1044" s="297"/>
      <c r="Y1044" s="297"/>
      <c r="Z1044" s="297"/>
      <c r="AA1044" s="297"/>
      <c r="AB1044" s="297"/>
      <c r="AC1044" s="297"/>
      <c r="AE1044" s="297"/>
      <c r="AF1044" s="297"/>
      <c r="AG1044" s="297"/>
      <c r="AH1044" s="297"/>
      <c r="AI1044" s="297"/>
      <c r="AJ1044" s="297"/>
      <c r="AK1044" s="297"/>
      <c r="AL1044" s="297"/>
      <c r="AM1044" s="297"/>
      <c r="AO1044" s="297"/>
      <c r="AP1044" s="297"/>
      <c r="AQ1044" s="297"/>
      <c r="AR1044" s="297"/>
      <c r="AS1044" s="297"/>
      <c r="AT1044" s="297"/>
      <c r="AU1044" s="297"/>
      <c r="AV1044" s="297"/>
      <c r="AW1044" s="297"/>
    </row>
    <row r="1045" spans="1:49" x14ac:dyDescent="0.45">
      <c r="A1045" s="295">
        <v>41153</v>
      </c>
      <c r="B1045" s="5">
        <v>2.58E-2</v>
      </c>
      <c r="C1045" s="5">
        <v>1.2281E-2</v>
      </c>
      <c r="D1045" s="5">
        <v>1.6999999999999999E-3</v>
      </c>
      <c r="E1045" s="5">
        <v>2.9083333333333335E-3</v>
      </c>
      <c r="F1045" s="5">
        <v>3.0666666666666668E-3</v>
      </c>
      <c r="G1045" s="5">
        <v>2.9875000000000001E-3</v>
      </c>
      <c r="H1045" s="5">
        <v>3.3500000000000001E-3</v>
      </c>
      <c r="I1045" s="5">
        <f t="shared" si="176"/>
        <v>2.41E-2</v>
      </c>
      <c r="J1045" s="5">
        <f t="shared" si="169"/>
        <v>2.2812499999999999E-2</v>
      </c>
      <c r="K1045" s="5">
        <f t="shared" si="170"/>
        <v>8.9309999999999997E-3</v>
      </c>
      <c r="L1045" s="8">
        <f t="shared" si="178"/>
        <v>0.30182057092688419</v>
      </c>
      <c r="M1045" s="8">
        <f t="shared" si="179"/>
        <v>2.0399999999999998E-2</v>
      </c>
      <c r="N1045" s="8">
        <f t="shared" si="171"/>
        <v>3.585E-2</v>
      </c>
      <c r="O1045" s="296">
        <f t="shared" si="177"/>
        <v>0.28142057092688422</v>
      </c>
      <c r="P1045" s="8">
        <f t="shared" si="172"/>
        <v>0.2659705709268842</v>
      </c>
      <c r="Q1045" s="8">
        <f t="shared" si="173"/>
        <v>0.12787120056459966</v>
      </c>
      <c r="R1045" s="8">
        <f t="shared" si="174"/>
        <v>4.02E-2</v>
      </c>
      <c r="S1045" s="296">
        <f t="shared" si="175"/>
        <v>8.7671200564599663E-2</v>
      </c>
      <c r="U1045" s="297"/>
      <c r="V1045" s="297"/>
      <c r="W1045" s="297"/>
      <c r="X1045" s="297"/>
      <c r="Y1045" s="297"/>
      <c r="Z1045" s="297"/>
      <c r="AA1045" s="297"/>
      <c r="AB1045" s="297"/>
      <c r="AC1045" s="297"/>
      <c r="AE1045" s="297"/>
      <c r="AF1045" s="297"/>
      <c r="AG1045" s="297"/>
      <c r="AH1045" s="297"/>
      <c r="AI1045" s="297"/>
      <c r="AJ1045" s="297"/>
      <c r="AK1045" s="297"/>
      <c r="AL1045" s="297"/>
      <c r="AM1045" s="297"/>
      <c r="AO1045" s="297"/>
      <c r="AP1045" s="297"/>
      <c r="AQ1045" s="297"/>
      <c r="AR1045" s="297"/>
      <c r="AS1045" s="297"/>
      <c r="AT1045" s="297"/>
      <c r="AU1045" s="297"/>
      <c r="AV1045" s="297"/>
      <c r="AW1045" s="297"/>
    </row>
    <row r="1046" spans="1:49" x14ac:dyDescent="0.45">
      <c r="A1046" s="295">
        <v>41183</v>
      </c>
      <c r="B1046" s="5">
        <v>-1.8499999999999999E-2</v>
      </c>
      <c r="C1046" s="5">
        <v>1.7240000000000002E-2</v>
      </c>
      <c r="D1046" s="5">
        <v>2.0999999999999999E-3</v>
      </c>
      <c r="E1046" s="5">
        <v>2.891666666666667E-3</v>
      </c>
      <c r="F1046" s="5">
        <v>3.0249999999999999E-3</v>
      </c>
      <c r="G1046" s="5">
        <v>2.9583333333333336E-3</v>
      </c>
      <c r="H1046" s="5">
        <v>3.2583333333333336E-3</v>
      </c>
      <c r="I1046" s="5">
        <f t="shared" si="176"/>
        <v>-2.06E-2</v>
      </c>
      <c r="J1046" s="5">
        <f t="shared" si="169"/>
        <v>-2.1458333333333333E-2</v>
      </c>
      <c r="K1046" s="5">
        <f t="shared" si="170"/>
        <v>1.3981666666666668E-2</v>
      </c>
      <c r="L1046" s="8">
        <f t="shared" si="178"/>
        <v>0.15184070167198871</v>
      </c>
      <c r="M1046" s="8">
        <f t="shared" si="179"/>
        <v>2.52E-2</v>
      </c>
      <c r="N1046" s="8">
        <f t="shared" si="171"/>
        <v>3.5500000000000004E-2</v>
      </c>
      <c r="O1046" s="296">
        <f t="shared" si="177"/>
        <v>0.12664070167198871</v>
      </c>
      <c r="P1046" s="8">
        <f t="shared" si="172"/>
        <v>0.11634070167198871</v>
      </c>
      <c r="Q1046" s="8">
        <f t="shared" si="173"/>
        <v>0.10451890601112068</v>
      </c>
      <c r="R1046" s="8">
        <f t="shared" si="174"/>
        <v>3.9100000000000003E-2</v>
      </c>
      <c r="S1046" s="296">
        <f t="shared" si="175"/>
        <v>6.5418906011120687E-2</v>
      </c>
      <c r="U1046" s="297"/>
      <c r="V1046" s="297"/>
      <c r="W1046" s="297"/>
      <c r="X1046" s="297"/>
      <c r="Y1046" s="297"/>
      <c r="Z1046" s="297"/>
      <c r="AA1046" s="297"/>
      <c r="AB1046" s="297"/>
      <c r="AC1046" s="297"/>
      <c r="AE1046" s="297"/>
      <c r="AF1046" s="297"/>
      <c r="AG1046" s="297"/>
      <c r="AH1046" s="297"/>
      <c r="AI1046" s="297"/>
      <c r="AJ1046" s="297"/>
      <c r="AK1046" s="297"/>
      <c r="AL1046" s="297"/>
      <c r="AM1046" s="297"/>
      <c r="AO1046" s="297"/>
      <c r="AP1046" s="297"/>
      <c r="AQ1046" s="297"/>
      <c r="AR1046" s="297"/>
      <c r="AS1046" s="297"/>
      <c r="AT1046" s="297"/>
      <c r="AU1046" s="297"/>
      <c r="AV1046" s="297"/>
      <c r="AW1046" s="297"/>
    </row>
    <row r="1047" spans="1:49" x14ac:dyDescent="0.45">
      <c r="A1047" s="295">
        <v>41214</v>
      </c>
      <c r="B1047" s="5">
        <v>5.7999999999999996E-3</v>
      </c>
      <c r="C1047" s="5">
        <v>-4.6427999999999997E-2</v>
      </c>
      <c r="D1047" s="5">
        <v>1.9E-3</v>
      </c>
      <c r="E1047" s="5">
        <v>2.9166666666666668E-3</v>
      </c>
      <c r="F1047" s="5">
        <v>2.9750000000000002E-3</v>
      </c>
      <c r="G1047" s="5">
        <v>2.9458333333333333E-3</v>
      </c>
      <c r="H1047" s="5">
        <v>3.1999999999999997E-3</v>
      </c>
      <c r="I1047" s="5">
        <f t="shared" si="176"/>
        <v>3.8999999999999998E-3</v>
      </c>
      <c r="J1047" s="5">
        <f t="shared" si="169"/>
        <v>2.8541666666666663E-3</v>
      </c>
      <c r="K1047" s="5">
        <f t="shared" si="170"/>
        <v>-4.9627999999999999E-2</v>
      </c>
      <c r="L1047" s="8">
        <f t="shared" si="178"/>
        <v>0.16107574437932048</v>
      </c>
      <c r="M1047" s="8">
        <f t="shared" si="179"/>
        <v>2.2800000000000001E-2</v>
      </c>
      <c r="N1047" s="8">
        <f t="shared" si="171"/>
        <v>3.5349999999999999E-2</v>
      </c>
      <c r="O1047" s="296">
        <f t="shared" si="177"/>
        <v>0.1382757443793205</v>
      </c>
      <c r="P1047" s="8">
        <f t="shared" si="172"/>
        <v>0.12572574437932049</v>
      </c>
      <c r="Q1047" s="8">
        <f t="shared" si="173"/>
        <v>4.4864756087550584E-2</v>
      </c>
      <c r="R1047" s="8">
        <f t="shared" si="174"/>
        <v>3.8399999999999997E-2</v>
      </c>
      <c r="S1047" s="296">
        <f t="shared" si="175"/>
        <v>6.4647560875505869E-3</v>
      </c>
      <c r="U1047" s="297"/>
      <c r="V1047" s="297"/>
      <c r="W1047" s="297"/>
      <c r="X1047" s="297"/>
      <c r="Y1047" s="297"/>
      <c r="Z1047" s="297"/>
      <c r="AA1047" s="297"/>
      <c r="AB1047" s="297"/>
      <c r="AC1047" s="297"/>
      <c r="AE1047" s="297"/>
      <c r="AF1047" s="297"/>
      <c r="AG1047" s="297"/>
      <c r="AH1047" s="297"/>
      <c r="AI1047" s="297"/>
      <c r="AJ1047" s="297"/>
      <c r="AK1047" s="297"/>
      <c r="AL1047" s="297"/>
      <c r="AM1047" s="297"/>
      <c r="AO1047" s="297"/>
      <c r="AP1047" s="297"/>
      <c r="AQ1047" s="297"/>
      <c r="AR1047" s="297"/>
      <c r="AS1047" s="297"/>
      <c r="AT1047" s="297"/>
      <c r="AU1047" s="297"/>
      <c r="AV1047" s="297"/>
      <c r="AW1047" s="297"/>
    </row>
    <row r="1048" spans="1:49" x14ac:dyDescent="0.45">
      <c r="A1048" s="295">
        <v>41244</v>
      </c>
      <c r="B1048" s="5">
        <v>9.1000000000000004E-3</v>
      </c>
      <c r="C1048" s="5">
        <v>1.108E-3</v>
      </c>
      <c r="D1048" s="5">
        <v>1.9E-3</v>
      </c>
      <c r="E1048" s="5">
        <v>3.0416666666666665E-3</v>
      </c>
      <c r="F1048" s="5">
        <v>3.0833333333333333E-3</v>
      </c>
      <c r="G1048" s="5">
        <v>3.0625000000000001E-3</v>
      </c>
      <c r="H1048" s="5">
        <v>3.3333333333333335E-3</v>
      </c>
      <c r="I1048" s="5">
        <f t="shared" si="176"/>
        <v>7.2000000000000007E-3</v>
      </c>
      <c r="J1048" s="5">
        <f t="shared" si="169"/>
        <v>6.0375000000000003E-3</v>
      </c>
      <c r="K1048" s="5">
        <f t="shared" si="170"/>
        <v>-2.2253333333333335E-3</v>
      </c>
      <c r="L1048" s="8">
        <f t="shared" si="178"/>
        <v>0.15981145679387554</v>
      </c>
      <c r="M1048" s="8">
        <f t="shared" si="179"/>
        <v>2.2800000000000001E-2</v>
      </c>
      <c r="N1048" s="8">
        <f t="shared" si="171"/>
        <v>3.6750000000000005E-2</v>
      </c>
      <c r="O1048" s="296">
        <f t="shared" si="177"/>
        <v>0.13701145679387555</v>
      </c>
      <c r="P1048" s="8">
        <f t="shared" si="172"/>
        <v>0.12306145679387553</v>
      </c>
      <c r="Q1048" s="8">
        <f t="shared" si="173"/>
        <v>1.1855153276604913E-2</v>
      </c>
      <c r="R1048" s="8">
        <f t="shared" si="174"/>
        <v>0.04</v>
      </c>
      <c r="S1048" s="296">
        <f t="shared" si="175"/>
        <v>-2.8144846723395088E-2</v>
      </c>
      <c r="U1048" s="297"/>
      <c r="V1048" s="297"/>
      <c r="W1048" s="297"/>
      <c r="X1048" s="297"/>
      <c r="Y1048" s="297"/>
      <c r="Z1048" s="297"/>
      <c r="AA1048" s="297"/>
      <c r="AB1048" s="297"/>
      <c r="AC1048" s="297"/>
      <c r="AE1048" s="297"/>
      <c r="AF1048" s="297"/>
      <c r="AG1048" s="297"/>
      <c r="AH1048" s="297"/>
      <c r="AI1048" s="297"/>
      <c r="AJ1048" s="297"/>
      <c r="AK1048" s="297"/>
      <c r="AL1048" s="297"/>
      <c r="AM1048" s="297"/>
      <c r="AO1048" s="297"/>
      <c r="AP1048" s="297"/>
      <c r="AQ1048" s="297"/>
      <c r="AR1048" s="297"/>
      <c r="AS1048" s="297"/>
      <c r="AT1048" s="297"/>
      <c r="AU1048" s="297"/>
      <c r="AV1048" s="297"/>
      <c r="AW1048" s="297"/>
    </row>
    <row r="1049" spans="1:49" x14ac:dyDescent="0.45">
      <c r="A1049" s="295">
        <v>41275</v>
      </c>
      <c r="B1049" s="5">
        <v>5.1799999999999999E-2</v>
      </c>
      <c r="C1049" s="5">
        <v>3.5099999999999999E-2</v>
      </c>
      <c r="D1049" s="5">
        <v>2.2000000000000001E-3</v>
      </c>
      <c r="E1049" s="5">
        <v>3.1666666666666666E-3</v>
      </c>
      <c r="F1049" s="5">
        <v>3.225E-3</v>
      </c>
      <c r="G1049" s="5">
        <v>3.1958333333333335E-3</v>
      </c>
      <c r="H1049" s="5">
        <v>3.4583333333333337E-3</v>
      </c>
      <c r="I1049" s="5">
        <f t="shared" si="176"/>
        <v>4.9599999999999998E-2</v>
      </c>
      <c r="J1049" s="5">
        <f t="shared" si="169"/>
        <v>4.8604166666666664E-2</v>
      </c>
      <c r="K1049" s="5">
        <f t="shared" si="170"/>
        <v>3.1641666666666665E-2</v>
      </c>
      <c r="L1049" s="8">
        <f t="shared" si="178"/>
        <v>0.1675820159416137</v>
      </c>
      <c r="M1049" s="8">
        <f t="shared" si="179"/>
        <v>2.64E-2</v>
      </c>
      <c r="N1049" s="8">
        <f t="shared" si="171"/>
        <v>3.8350000000000002E-2</v>
      </c>
      <c r="O1049" s="296">
        <f t="shared" si="177"/>
        <v>0.1411820159416137</v>
      </c>
      <c r="P1049" s="8">
        <f t="shared" si="172"/>
        <v>0.12923201594161371</v>
      </c>
      <c r="Q1049" s="8">
        <f t="shared" si="173"/>
        <v>8.3379555440799002E-2</v>
      </c>
      <c r="R1049" s="8">
        <f t="shared" si="174"/>
        <v>4.1500000000000002E-2</v>
      </c>
      <c r="S1049" s="296">
        <f t="shared" si="175"/>
        <v>4.1879555440799E-2</v>
      </c>
      <c r="U1049" s="297"/>
      <c r="V1049" s="297"/>
      <c r="W1049" s="297"/>
      <c r="X1049" s="297"/>
      <c r="Y1049" s="297"/>
      <c r="Z1049" s="297"/>
      <c r="AA1049" s="297"/>
      <c r="AB1049" s="297"/>
      <c r="AC1049" s="297"/>
      <c r="AE1049" s="297"/>
      <c r="AF1049" s="297"/>
      <c r="AG1049" s="297"/>
      <c r="AH1049" s="297"/>
      <c r="AI1049" s="297"/>
      <c r="AJ1049" s="297"/>
      <c r="AK1049" s="297"/>
      <c r="AL1049" s="297"/>
      <c r="AM1049" s="297"/>
      <c r="AO1049" s="297"/>
      <c r="AP1049" s="297"/>
      <c r="AQ1049" s="297"/>
      <c r="AR1049" s="297"/>
      <c r="AS1049" s="297"/>
      <c r="AT1049" s="297"/>
      <c r="AU1049" s="297"/>
      <c r="AV1049" s="297"/>
      <c r="AW1049" s="297"/>
    </row>
    <row r="1050" spans="1:49" x14ac:dyDescent="0.45">
      <c r="A1050" s="295">
        <v>41306</v>
      </c>
      <c r="B1050" s="5">
        <v>1.3599999999999999E-2</v>
      </c>
      <c r="C1050" s="5">
        <v>3.39E-2</v>
      </c>
      <c r="D1050" s="5">
        <v>2.2000000000000001E-3</v>
      </c>
      <c r="E1050" s="5">
        <v>3.2499999999999999E-3</v>
      </c>
      <c r="F1050" s="5">
        <v>3.2916666666666667E-3</v>
      </c>
      <c r="G1050" s="5">
        <v>3.2708333333333331E-3</v>
      </c>
      <c r="H1050" s="5">
        <v>3.4833333333333331E-3</v>
      </c>
      <c r="I1050" s="5">
        <f t="shared" si="176"/>
        <v>1.1399999999999999E-2</v>
      </c>
      <c r="J1050" s="5">
        <f t="shared" si="169"/>
        <v>1.0329166666666667E-2</v>
      </c>
      <c r="K1050" s="5">
        <f t="shared" si="170"/>
        <v>3.0416666666666668E-2</v>
      </c>
      <c r="L1050" s="8">
        <f t="shared" si="178"/>
        <v>0.13445277162425207</v>
      </c>
      <c r="M1050" s="8">
        <f t="shared" si="179"/>
        <v>2.64E-2</v>
      </c>
      <c r="N1050" s="8">
        <f t="shared" si="171"/>
        <v>3.9249999999999993E-2</v>
      </c>
      <c r="O1050" s="296">
        <f t="shared" si="177"/>
        <v>0.10805277162425206</v>
      </c>
      <c r="P1050" s="8">
        <f t="shared" si="172"/>
        <v>9.5202771624252072E-2</v>
      </c>
      <c r="Q1050" s="8">
        <f t="shared" si="173"/>
        <v>0.11625393005761309</v>
      </c>
      <c r="R1050" s="8">
        <f t="shared" si="174"/>
        <v>4.1799999999999997E-2</v>
      </c>
      <c r="S1050" s="296">
        <f t="shared" si="175"/>
        <v>7.4453930057613082E-2</v>
      </c>
      <c r="U1050" s="297"/>
      <c r="V1050" s="297"/>
      <c r="W1050" s="297"/>
      <c r="X1050" s="297"/>
      <c r="Y1050" s="297"/>
      <c r="Z1050" s="297"/>
      <c r="AA1050" s="297"/>
      <c r="AB1050" s="297"/>
      <c r="AC1050" s="297"/>
      <c r="AE1050" s="297"/>
      <c r="AF1050" s="297"/>
      <c r="AG1050" s="297"/>
      <c r="AH1050" s="297"/>
      <c r="AI1050" s="297"/>
      <c r="AJ1050" s="297"/>
      <c r="AK1050" s="297"/>
      <c r="AL1050" s="297"/>
      <c r="AM1050" s="297"/>
      <c r="AO1050" s="297"/>
      <c r="AP1050" s="297"/>
      <c r="AQ1050" s="297"/>
      <c r="AR1050" s="297"/>
      <c r="AS1050" s="297"/>
      <c r="AT1050" s="297"/>
      <c r="AU1050" s="297"/>
      <c r="AV1050" s="297"/>
      <c r="AW1050" s="297"/>
    </row>
    <row r="1051" spans="1:49" x14ac:dyDescent="0.45">
      <c r="A1051" s="295">
        <v>41334</v>
      </c>
      <c r="B1051" s="5">
        <v>3.7499999999999999E-2</v>
      </c>
      <c r="C1051" s="5">
        <v>5.3999999999999999E-2</v>
      </c>
      <c r="D1051" s="5">
        <v>2.0999999999999999E-3</v>
      </c>
      <c r="E1051" s="5">
        <v>3.1666666666666666E-3</v>
      </c>
      <c r="F1051" s="5">
        <v>3.225E-3</v>
      </c>
      <c r="G1051" s="5">
        <v>3.1958333333333335E-3</v>
      </c>
      <c r="H1051" s="5">
        <v>3.4583333333333337E-3</v>
      </c>
      <c r="I1051" s="5">
        <f t="shared" si="176"/>
        <v>3.5400000000000001E-2</v>
      </c>
      <c r="J1051" s="5">
        <f t="shared" si="169"/>
        <v>3.4304166666666663E-2</v>
      </c>
      <c r="K1051" s="5">
        <f t="shared" si="170"/>
        <v>5.0541666666666665E-2</v>
      </c>
      <c r="L1051" s="8">
        <f t="shared" si="178"/>
        <v>0.1395050349115714</v>
      </c>
      <c r="M1051" s="8">
        <f t="shared" si="179"/>
        <v>2.52E-2</v>
      </c>
      <c r="N1051" s="8">
        <f t="shared" si="171"/>
        <v>3.8350000000000002E-2</v>
      </c>
      <c r="O1051" s="296">
        <f t="shared" si="177"/>
        <v>0.1143050349115714</v>
      </c>
      <c r="P1051" s="8">
        <f t="shared" si="172"/>
        <v>0.10115503491157141</v>
      </c>
      <c r="Q1051" s="8">
        <f t="shared" si="173"/>
        <v>0.1606080991602461</v>
      </c>
      <c r="R1051" s="8">
        <f t="shared" si="174"/>
        <v>4.1500000000000002E-2</v>
      </c>
      <c r="S1051" s="296">
        <f t="shared" si="175"/>
        <v>0.11910809916024609</v>
      </c>
      <c r="U1051" s="297"/>
      <c r="V1051" s="297"/>
      <c r="W1051" s="297"/>
      <c r="X1051" s="297"/>
      <c r="Y1051" s="297"/>
      <c r="Z1051" s="297"/>
      <c r="AA1051" s="297"/>
      <c r="AB1051" s="297"/>
      <c r="AC1051" s="297"/>
      <c r="AE1051" s="297"/>
      <c r="AF1051" s="297"/>
      <c r="AG1051" s="297"/>
      <c r="AH1051" s="297"/>
      <c r="AI1051" s="297"/>
      <c r="AJ1051" s="297"/>
      <c r="AK1051" s="297"/>
      <c r="AL1051" s="297"/>
      <c r="AM1051" s="297"/>
      <c r="AO1051" s="297"/>
      <c r="AP1051" s="297"/>
      <c r="AQ1051" s="297"/>
      <c r="AR1051" s="297"/>
      <c r="AS1051" s="297"/>
      <c r="AT1051" s="297"/>
      <c r="AU1051" s="297"/>
      <c r="AV1051" s="297"/>
      <c r="AW1051" s="297"/>
    </row>
    <row r="1052" spans="1:49" x14ac:dyDescent="0.45">
      <c r="A1052" s="295">
        <v>41365</v>
      </c>
      <c r="B1052" s="5">
        <v>1.9300000000000001E-2</v>
      </c>
      <c r="C1052" s="5">
        <v>5.8999999999999997E-2</v>
      </c>
      <c r="D1052" s="5">
        <v>2.5999999999999999E-3</v>
      </c>
      <c r="E1052" s="5">
        <v>3.1083333333333332E-3</v>
      </c>
      <c r="F1052" s="5">
        <v>3.1416666666666663E-3</v>
      </c>
      <c r="G1052" s="5">
        <v>3.1249999999999997E-3</v>
      </c>
      <c r="H1052" s="5">
        <v>3.3333333333333335E-3</v>
      </c>
      <c r="I1052" s="5">
        <f t="shared" si="176"/>
        <v>1.67E-2</v>
      </c>
      <c r="J1052" s="5">
        <f t="shared" si="169"/>
        <v>1.6175000000000002E-2</v>
      </c>
      <c r="K1052" s="5">
        <f t="shared" si="170"/>
        <v>5.5666666666666663E-2</v>
      </c>
      <c r="L1052" s="8">
        <f t="shared" si="178"/>
        <v>0.16886130832782986</v>
      </c>
      <c r="M1052" s="8">
        <f t="shared" si="179"/>
        <v>3.1199999999999999E-2</v>
      </c>
      <c r="N1052" s="8">
        <f t="shared" si="171"/>
        <v>3.7499999999999999E-2</v>
      </c>
      <c r="O1052" s="296">
        <f t="shared" si="177"/>
        <v>0.13766130832782986</v>
      </c>
      <c r="P1052" s="8">
        <f t="shared" si="172"/>
        <v>0.13136130832782986</v>
      </c>
      <c r="Q1052" s="8">
        <f t="shared" si="173"/>
        <v>0.20352472247940545</v>
      </c>
      <c r="R1052" s="8">
        <f t="shared" si="174"/>
        <v>0.04</v>
      </c>
      <c r="S1052" s="296">
        <f t="shared" si="175"/>
        <v>0.16352472247940544</v>
      </c>
      <c r="U1052" s="297"/>
      <c r="V1052" s="297"/>
      <c r="W1052" s="297"/>
      <c r="X1052" s="297"/>
      <c r="Y1052" s="297"/>
      <c r="Z1052" s="297"/>
      <c r="AA1052" s="297"/>
      <c r="AB1052" s="297"/>
      <c r="AC1052" s="297"/>
      <c r="AE1052" s="297"/>
      <c r="AF1052" s="297"/>
      <c r="AG1052" s="297"/>
      <c r="AH1052" s="297"/>
      <c r="AI1052" s="297"/>
      <c r="AJ1052" s="297"/>
      <c r="AK1052" s="297"/>
      <c r="AL1052" s="297"/>
      <c r="AM1052" s="297"/>
      <c r="AO1052" s="297"/>
      <c r="AP1052" s="297"/>
      <c r="AQ1052" s="297"/>
      <c r="AR1052" s="297"/>
      <c r="AS1052" s="297"/>
      <c r="AT1052" s="297"/>
      <c r="AU1052" s="297"/>
      <c r="AV1052" s="297"/>
      <c r="AW1052" s="297"/>
    </row>
    <row r="1053" spans="1:49" x14ac:dyDescent="0.45">
      <c r="A1053" s="295">
        <v>41395</v>
      </c>
      <c r="B1053" s="5">
        <v>2.3400000000000001E-2</v>
      </c>
      <c r="C1053" s="5">
        <v>-8.9599999999999999E-2</v>
      </c>
      <c r="D1053" s="5">
        <v>2.3E-3</v>
      </c>
      <c r="E1053" s="5">
        <v>3.2416666666666666E-3</v>
      </c>
      <c r="F1053" s="5">
        <v>3.283333333333333E-3</v>
      </c>
      <c r="G1053" s="5">
        <v>3.2624999999999998E-3</v>
      </c>
      <c r="H1053" s="5">
        <v>3.4750000000000002E-3</v>
      </c>
      <c r="I1053" s="5">
        <f t="shared" si="176"/>
        <v>2.1100000000000001E-2</v>
      </c>
      <c r="J1053" s="5">
        <f t="shared" ref="J1053:J1116" si="180">B1053-G1053</f>
        <v>2.0137500000000003E-2</v>
      </c>
      <c r="K1053" s="5">
        <f t="shared" ref="K1053:K1116" si="181">$C1053-H1053</f>
        <v>-9.3075000000000005E-2</v>
      </c>
      <c r="L1053" s="8">
        <f t="shared" si="178"/>
        <v>0.27270205654080359</v>
      </c>
      <c r="M1053" s="8">
        <f t="shared" si="179"/>
        <v>2.76E-2</v>
      </c>
      <c r="N1053" s="8">
        <f t="shared" si="171"/>
        <v>3.9149999999999997E-2</v>
      </c>
      <c r="O1053" s="296">
        <f t="shared" si="177"/>
        <v>0.24510205654080358</v>
      </c>
      <c r="P1053" s="8">
        <f t="shared" si="172"/>
        <v>0.2335520565408036</v>
      </c>
      <c r="Q1053" s="8">
        <f t="shared" si="173"/>
        <v>9.3326229363595914E-2</v>
      </c>
      <c r="R1053" s="8">
        <f t="shared" si="174"/>
        <v>4.1700000000000001E-2</v>
      </c>
      <c r="S1053" s="296">
        <f t="shared" si="175"/>
        <v>5.1626229363595913E-2</v>
      </c>
      <c r="U1053" s="297"/>
      <c r="V1053" s="297"/>
      <c r="W1053" s="297"/>
      <c r="X1053" s="297"/>
      <c r="Y1053" s="297"/>
      <c r="Z1053" s="297"/>
      <c r="AA1053" s="297"/>
      <c r="AB1053" s="297"/>
      <c r="AC1053" s="297"/>
      <c r="AE1053" s="297"/>
      <c r="AF1053" s="297"/>
      <c r="AG1053" s="297"/>
      <c r="AH1053" s="297"/>
      <c r="AI1053" s="297"/>
      <c r="AJ1053" s="297"/>
      <c r="AK1053" s="297"/>
      <c r="AL1053" s="297"/>
      <c r="AM1053" s="297"/>
      <c r="AO1053" s="297"/>
      <c r="AP1053" s="297"/>
      <c r="AQ1053" s="297"/>
      <c r="AR1053" s="297"/>
      <c r="AS1053" s="297"/>
      <c r="AT1053" s="297"/>
      <c r="AU1053" s="297"/>
      <c r="AV1053" s="297"/>
      <c r="AW1053" s="297"/>
    </row>
    <row r="1054" spans="1:49" x14ac:dyDescent="0.45">
      <c r="A1054" s="295">
        <v>41426</v>
      </c>
      <c r="B1054" s="5">
        <v>-1.34E-2</v>
      </c>
      <c r="C1054" s="5">
        <v>1.14E-2</v>
      </c>
      <c r="D1054" s="5">
        <v>2.3999999999999998E-3</v>
      </c>
      <c r="E1054" s="5">
        <v>3.5583333333333335E-3</v>
      </c>
      <c r="F1054" s="5">
        <v>3.6000000000000003E-3</v>
      </c>
      <c r="G1054" s="5">
        <v>3.5791666666666671E-3</v>
      </c>
      <c r="H1054" s="5">
        <v>3.7750000000000001E-3</v>
      </c>
      <c r="I1054" s="5">
        <f t="shared" si="176"/>
        <v>-1.5800000000000002E-2</v>
      </c>
      <c r="J1054" s="5">
        <f t="shared" si="180"/>
        <v>-1.6979166666666667E-2</v>
      </c>
      <c r="K1054" s="5">
        <f t="shared" si="181"/>
        <v>7.6249999999999998E-3</v>
      </c>
      <c r="L1054" s="8">
        <f t="shared" si="178"/>
        <v>0.20596220609215976</v>
      </c>
      <c r="M1054" s="8">
        <f t="shared" si="179"/>
        <v>2.8799999999999999E-2</v>
      </c>
      <c r="N1054" s="8">
        <f t="shared" si="171"/>
        <v>4.2950000000000002E-2</v>
      </c>
      <c r="O1054" s="296">
        <f t="shared" si="177"/>
        <v>0.17716220609215977</v>
      </c>
      <c r="P1054" s="8">
        <f t="shared" si="172"/>
        <v>0.16301220609215977</v>
      </c>
      <c r="Q1054" s="8">
        <f t="shared" si="173"/>
        <v>6.223429341130382E-2</v>
      </c>
      <c r="R1054" s="8">
        <f t="shared" si="174"/>
        <v>4.53E-2</v>
      </c>
      <c r="S1054" s="296">
        <f t="shared" si="175"/>
        <v>1.693429341130382E-2</v>
      </c>
      <c r="U1054" s="297"/>
      <c r="V1054" s="297"/>
      <c r="W1054" s="297"/>
      <c r="X1054" s="297"/>
      <c r="Y1054" s="297"/>
      <c r="Z1054" s="297"/>
      <c r="AA1054" s="297"/>
      <c r="AB1054" s="297"/>
      <c r="AC1054" s="297"/>
      <c r="AE1054" s="297"/>
      <c r="AF1054" s="297"/>
      <c r="AG1054" s="297"/>
      <c r="AH1054" s="297"/>
      <c r="AI1054" s="297"/>
      <c r="AJ1054" s="297"/>
      <c r="AK1054" s="297"/>
      <c r="AL1054" s="297"/>
      <c r="AM1054" s="297"/>
      <c r="AO1054" s="297"/>
      <c r="AP1054" s="297"/>
      <c r="AQ1054" s="297"/>
      <c r="AR1054" s="297"/>
      <c r="AS1054" s="297"/>
      <c r="AT1054" s="297"/>
      <c r="AU1054" s="297"/>
      <c r="AV1054" s="297"/>
      <c r="AW1054" s="297"/>
    </row>
    <row r="1055" spans="1:49" x14ac:dyDescent="0.45">
      <c r="A1055" s="295">
        <v>41456</v>
      </c>
      <c r="B1055" s="5">
        <v>5.0900000000000001E-2</v>
      </c>
      <c r="C1055" s="5">
        <v>3.85E-2</v>
      </c>
      <c r="D1055" s="5">
        <v>3.0000000000000001E-3</v>
      </c>
      <c r="E1055" s="5">
        <v>3.6166666666666669E-3</v>
      </c>
      <c r="F1055" s="5">
        <v>3.7166666666666667E-3</v>
      </c>
      <c r="G1055" s="5">
        <v>3.666666666666667E-3</v>
      </c>
      <c r="H1055" s="5">
        <v>3.9000000000000003E-3</v>
      </c>
      <c r="I1055" s="5">
        <f t="shared" si="176"/>
        <v>4.7899999999999998E-2</v>
      </c>
      <c r="J1055" s="5">
        <f t="shared" si="180"/>
        <v>4.7233333333333336E-2</v>
      </c>
      <c r="K1055" s="5">
        <f t="shared" si="181"/>
        <v>3.4599999999999999E-2</v>
      </c>
      <c r="L1055" s="8">
        <f t="shared" si="178"/>
        <v>0.24997108431033732</v>
      </c>
      <c r="M1055" s="8">
        <f t="shared" si="179"/>
        <v>3.6000000000000004E-2</v>
      </c>
      <c r="N1055" s="8">
        <f t="shared" si="171"/>
        <v>4.4000000000000004E-2</v>
      </c>
      <c r="O1055" s="296">
        <f t="shared" si="177"/>
        <v>0.21397108431033732</v>
      </c>
      <c r="P1055" s="8">
        <f t="shared" si="172"/>
        <v>0.20597108431033731</v>
      </c>
      <c r="Q1055" s="8">
        <f t="shared" si="173"/>
        <v>7.2625905578881156E-2</v>
      </c>
      <c r="R1055" s="8">
        <f t="shared" si="174"/>
        <v>4.6800000000000001E-2</v>
      </c>
      <c r="S1055" s="296">
        <f t="shared" si="175"/>
        <v>2.5825905578881155E-2</v>
      </c>
      <c r="U1055" s="297"/>
      <c r="V1055" s="297"/>
      <c r="W1055" s="297"/>
      <c r="X1055" s="297"/>
      <c r="Y1055" s="297"/>
      <c r="Z1055" s="297"/>
      <c r="AA1055" s="297"/>
      <c r="AB1055" s="297"/>
      <c r="AC1055" s="297"/>
      <c r="AE1055" s="297"/>
      <c r="AF1055" s="297"/>
      <c r="AG1055" s="297"/>
      <c r="AH1055" s="297"/>
      <c r="AI1055" s="297"/>
      <c r="AJ1055" s="297"/>
      <c r="AK1055" s="297"/>
      <c r="AL1055" s="297"/>
      <c r="AM1055" s="297"/>
      <c r="AO1055" s="297"/>
      <c r="AP1055" s="297"/>
      <c r="AQ1055" s="297"/>
      <c r="AR1055" s="297"/>
      <c r="AS1055" s="297"/>
      <c r="AT1055" s="297"/>
      <c r="AU1055" s="297"/>
      <c r="AV1055" s="297"/>
      <c r="AW1055" s="297"/>
    </row>
    <row r="1056" spans="1:49" x14ac:dyDescent="0.45">
      <c r="A1056" s="295">
        <v>41487</v>
      </c>
      <c r="B1056" s="5">
        <v>-2.9000000000000001E-2</v>
      </c>
      <c r="C1056" s="5">
        <v>-0.05</v>
      </c>
      <c r="D1056" s="5">
        <v>2.8E-3</v>
      </c>
      <c r="E1056" s="5">
        <v>3.7833333333333334E-3</v>
      </c>
      <c r="F1056" s="5">
        <v>3.8583333333333334E-3</v>
      </c>
      <c r="G1056" s="5">
        <v>3.8208333333333332E-3</v>
      </c>
      <c r="H1056" s="5">
        <v>3.9416666666666671E-3</v>
      </c>
      <c r="I1056" s="5">
        <f t="shared" si="176"/>
        <v>-3.1800000000000002E-2</v>
      </c>
      <c r="J1056" s="5">
        <f t="shared" si="180"/>
        <v>-3.2820833333333334E-2</v>
      </c>
      <c r="K1056" s="5">
        <f t="shared" si="181"/>
        <v>-5.3941666666666672E-2</v>
      </c>
      <c r="L1056" s="8">
        <f t="shared" si="178"/>
        <v>0.18701410549177222</v>
      </c>
      <c r="M1056" s="8">
        <f t="shared" si="179"/>
        <v>3.3599999999999998E-2</v>
      </c>
      <c r="N1056" s="8">
        <f t="shared" si="171"/>
        <v>4.5850000000000002E-2</v>
      </c>
      <c r="O1056" s="296">
        <f t="shared" si="177"/>
        <v>0.15341410549177223</v>
      </c>
      <c r="P1056" s="8">
        <f t="shared" si="172"/>
        <v>0.14116410549177222</v>
      </c>
      <c r="Q1056" s="8">
        <f t="shared" si="173"/>
        <v>6.6698430824855048E-2</v>
      </c>
      <c r="R1056" s="8">
        <f t="shared" si="174"/>
        <v>4.7300000000000009E-2</v>
      </c>
      <c r="S1056" s="296">
        <f t="shared" si="175"/>
        <v>1.939843082485504E-2</v>
      </c>
      <c r="U1056" s="297"/>
      <c r="V1056" s="297"/>
      <c r="W1056" s="297"/>
      <c r="X1056" s="297"/>
      <c r="Y1056" s="297"/>
      <c r="Z1056" s="297"/>
      <c r="AA1056" s="297"/>
      <c r="AB1056" s="297"/>
      <c r="AC1056" s="297"/>
      <c r="AE1056" s="297"/>
      <c r="AF1056" s="297"/>
      <c r="AG1056" s="297"/>
      <c r="AH1056" s="297"/>
      <c r="AI1056" s="297"/>
      <c r="AJ1056" s="297"/>
      <c r="AK1056" s="297"/>
      <c r="AL1056" s="297"/>
      <c r="AM1056" s="297"/>
      <c r="AO1056" s="297"/>
      <c r="AP1056" s="297"/>
      <c r="AQ1056" s="297"/>
      <c r="AR1056" s="297"/>
      <c r="AS1056" s="297"/>
      <c r="AT1056" s="297"/>
      <c r="AU1056" s="297"/>
      <c r="AV1056" s="297"/>
      <c r="AW1056" s="297"/>
    </row>
    <row r="1057" spans="1:49" x14ac:dyDescent="0.45">
      <c r="A1057" s="295">
        <v>41518</v>
      </c>
      <c r="B1057" s="5">
        <v>3.1399999999999997E-2</v>
      </c>
      <c r="C1057" s="5">
        <v>1.0800000000000001E-2</v>
      </c>
      <c r="D1057" s="5">
        <v>2.8999999999999998E-3</v>
      </c>
      <c r="E1057" s="5">
        <v>3.8666666666666663E-3</v>
      </c>
      <c r="F1057" s="5">
        <v>3.9083333333333331E-3</v>
      </c>
      <c r="G1057" s="5">
        <v>3.8874999999999995E-3</v>
      </c>
      <c r="H1057" s="5">
        <v>4.0000000000000001E-3</v>
      </c>
      <c r="I1057" s="5">
        <f t="shared" si="176"/>
        <v>2.8499999999999998E-2</v>
      </c>
      <c r="J1057" s="5">
        <f t="shared" si="180"/>
        <v>2.7512499999999999E-2</v>
      </c>
      <c r="K1057" s="5">
        <f t="shared" si="181"/>
        <v>6.8000000000000005E-3</v>
      </c>
      <c r="L1057" s="8">
        <f t="shared" si="178"/>
        <v>0.19349419809340396</v>
      </c>
      <c r="M1057" s="8">
        <f t="shared" si="179"/>
        <v>3.4799999999999998E-2</v>
      </c>
      <c r="N1057" s="8">
        <f t="shared" si="171"/>
        <v>4.6649999999999997E-2</v>
      </c>
      <c r="O1057" s="296">
        <f t="shared" si="177"/>
        <v>0.15869419809340396</v>
      </c>
      <c r="P1057" s="8">
        <f t="shared" si="172"/>
        <v>0.14684419809340396</v>
      </c>
      <c r="Q1057" s="8">
        <f t="shared" si="173"/>
        <v>6.5137816355106626E-2</v>
      </c>
      <c r="R1057" s="8">
        <f t="shared" si="174"/>
        <v>4.8000000000000001E-2</v>
      </c>
      <c r="S1057" s="296">
        <f t="shared" si="175"/>
        <v>1.7137816355106625E-2</v>
      </c>
      <c r="U1057" s="297"/>
      <c r="V1057" s="297"/>
      <c r="W1057" s="297"/>
      <c r="X1057" s="297"/>
      <c r="Y1057" s="297"/>
      <c r="Z1057" s="297"/>
      <c r="AA1057" s="297"/>
      <c r="AB1057" s="297"/>
      <c r="AC1057" s="297"/>
      <c r="AE1057" s="297"/>
      <c r="AF1057" s="297"/>
      <c r="AG1057" s="297"/>
      <c r="AH1057" s="297"/>
      <c r="AI1057" s="297"/>
      <c r="AJ1057" s="297"/>
      <c r="AK1057" s="297"/>
      <c r="AL1057" s="297"/>
      <c r="AM1057" s="297"/>
      <c r="AO1057" s="297"/>
      <c r="AP1057" s="297"/>
      <c r="AQ1057" s="297"/>
      <c r="AR1057" s="297"/>
      <c r="AS1057" s="297"/>
      <c r="AT1057" s="297"/>
      <c r="AU1057" s="297"/>
      <c r="AV1057" s="297"/>
      <c r="AW1057" s="297"/>
    </row>
    <row r="1058" spans="1:49" x14ac:dyDescent="0.45">
      <c r="A1058" s="295">
        <v>41548</v>
      </c>
      <c r="B1058" s="5">
        <v>4.5999999999999999E-2</v>
      </c>
      <c r="C1058" s="5">
        <v>3.7699999999999997E-2</v>
      </c>
      <c r="D1058" s="5">
        <v>2.8999999999999998E-3</v>
      </c>
      <c r="E1058" s="5">
        <v>3.7750000000000001E-3</v>
      </c>
      <c r="F1058" s="5">
        <v>3.8250000000000003E-3</v>
      </c>
      <c r="G1058" s="5">
        <v>3.8000000000000004E-3</v>
      </c>
      <c r="H1058" s="5">
        <v>3.9166666666666664E-3</v>
      </c>
      <c r="I1058" s="5">
        <f t="shared" si="176"/>
        <v>4.3099999999999999E-2</v>
      </c>
      <c r="J1058" s="5">
        <f t="shared" si="180"/>
        <v>4.2200000000000001E-2</v>
      </c>
      <c r="K1058" s="5">
        <f t="shared" si="181"/>
        <v>3.3783333333333332E-2</v>
      </c>
      <c r="L1058" s="8">
        <f t="shared" si="178"/>
        <v>0.27192555395384743</v>
      </c>
      <c r="M1058" s="8">
        <f t="shared" si="179"/>
        <v>3.4799999999999998E-2</v>
      </c>
      <c r="N1058" s="8">
        <f t="shared" si="171"/>
        <v>4.5600000000000002E-2</v>
      </c>
      <c r="O1058" s="296">
        <f t="shared" si="177"/>
        <v>0.23712555395384743</v>
      </c>
      <c r="P1058" s="8">
        <f t="shared" si="172"/>
        <v>0.22632555395384743</v>
      </c>
      <c r="Q1058" s="8">
        <f t="shared" si="173"/>
        <v>8.6561196995492251E-2</v>
      </c>
      <c r="R1058" s="8">
        <f t="shared" si="174"/>
        <v>4.7E-2</v>
      </c>
      <c r="S1058" s="296">
        <f t="shared" si="175"/>
        <v>3.9561196995492251E-2</v>
      </c>
      <c r="U1058" s="297"/>
      <c r="V1058" s="297"/>
      <c r="W1058" s="297"/>
      <c r="X1058" s="297"/>
      <c r="Y1058" s="297"/>
      <c r="Z1058" s="297"/>
      <c r="AA1058" s="297"/>
      <c r="AB1058" s="297"/>
      <c r="AC1058" s="297"/>
      <c r="AE1058" s="297"/>
      <c r="AF1058" s="297"/>
      <c r="AG1058" s="297"/>
      <c r="AH1058" s="297"/>
      <c r="AI1058" s="297"/>
      <c r="AJ1058" s="297"/>
      <c r="AK1058" s="297"/>
      <c r="AL1058" s="297"/>
      <c r="AM1058" s="297"/>
      <c r="AO1058" s="297"/>
      <c r="AP1058" s="297"/>
      <c r="AQ1058" s="297"/>
      <c r="AR1058" s="297"/>
      <c r="AS1058" s="297"/>
      <c r="AT1058" s="297"/>
      <c r="AU1058" s="297"/>
      <c r="AV1058" s="297"/>
      <c r="AW1058" s="297"/>
    </row>
    <row r="1059" spans="1:49" x14ac:dyDescent="0.45">
      <c r="A1059" s="295">
        <v>41579</v>
      </c>
      <c r="B1059" s="5">
        <v>3.0499999999999999E-2</v>
      </c>
      <c r="C1059" s="5">
        <v>-1.9900000000000001E-2</v>
      </c>
      <c r="D1059" s="5">
        <v>2.7000000000000001E-3</v>
      </c>
      <c r="E1059" s="5">
        <v>3.8583333333333334E-3</v>
      </c>
      <c r="F1059" s="5">
        <v>3.8916666666666665E-3</v>
      </c>
      <c r="G1059" s="5">
        <v>3.875E-3</v>
      </c>
      <c r="H1059" s="5">
        <v>3.9750000000000002E-3</v>
      </c>
      <c r="I1059" s="5">
        <f t="shared" si="176"/>
        <v>2.7799999999999998E-2</v>
      </c>
      <c r="J1059" s="5">
        <f t="shared" si="180"/>
        <v>2.6624999999999999E-2</v>
      </c>
      <c r="K1059" s="5">
        <f t="shared" si="181"/>
        <v>-2.3875E-2</v>
      </c>
      <c r="L1059" s="8">
        <f t="shared" si="178"/>
        <v>0.3031609498403649</v>
      </c>
      <c r="M1059" s="8">
        <f t="shared" si="179"/>
        <v>3.2399999999999998E-2</v>
      </c>
      <c r="N1059" s="8">
        <f t="shared" si="171"/>
        <v>4.65E-2</v>
      </c>
      <c r="O1059" s="296">
        <f t="shared" si="177"/>
        <v>0.27076094984036492</v>
      </c>
      <c r="P1059" s="8">
        <f t="shared" si="172"/>
        <v>0.25666094984036492</v>
      </c>
      <c r="Q1059" s="8">
        <f t="shared" si="173"/>
        <v>0.11678890443016532</v>
      </c>
      <c r="R1059" s="8">
        <f t="shared" si="174"/>
        <v>4.7700000000000006E-2</v>
      </c>
      <c r="S1059" s="296">
        <f t="shared" si="175"/>
        <v>6.9088904430165313E-2</v>
      </c>
      <c r="U1059" s="297"/>
      <c r="V1059" s="297"/>
      <c r="W1059" s="297"/>
      <c r="X1059" s="297"/>
      <c r="Y1059" s="297"/>
      <c r="Z1059" s="297"/>
      <c r="AA1059" s="297"/>
      <c r="AB1059" s="297"/>
      <c r="AC1059" s="297"/>
      <c r="AE1059" s="297"/>
      <c r="AF1059" s="297"/>
      <c r="AG1059" s="297"/>
      <c r="AH1059" s="297"/>
      <c r="AI1059" s="297"/>
      <c r="AJ1059" s="297"/>
      <c r="AK1059" s="297"/>
      <c r="AL1059" s="297"/>
      <c r="AM1059" s="297"/>
      <c r="AO1059" s="297"/>
      <c r="AP1059" s="297"/>
      <c r="AQ1059" s="297"/>
      <c r="AR1059" s="297"/>
      <c r="AS1059" s="297"/>
      <c r="AT1059" s="297"/>
      <c r="AU1059" s="297"/>
      <c r="AV1059" s="297"/>
      <c r="AW1059" s="297"/>
    </row>
    <row r="1060" spans="1:49" x14ac:dyDescent="0.45">
      <c r="A1060" s="295">
        <v>41609</v>
      </c>
      <c r="B1060" s="5">
        <v>2.53E-2</v>
      </c>
      <c r="C1060" s="5">
        <v>7.6E-3</v>
      </c>
      <c r="D1060" s="5">
        <v>3.0999999999999999E-3</v>
      </c>
      <c r="E1060" s="5">
        <v>3.8499999999999997E-3</v>
      </c>
      <c r="F1060" s="5">
        <v>3.9000000000000003E-3</v>
      </c>
      <c r="G1060" s="5">
        <v>3.875E-3</v>
      </c>
      <c r="H1060" s="5">
        <v>4.0083333333333334E-3</v>
      </c>
      <c r="I1060" s="5">
        <f t="shared" si="176"/>
        <v>2.2200000000000001E-2</v>
      </c>
      <c r="J1060" s="5">
        <f t="shared" si="180"/>
        <v>2.1425E-2</v>
      </c>
      <c r="K1060" s="5">
        <f t="shared" si="181"/>
        <v>3.5916666666666666E-3</v>
      </c>
      <c r="L1060" s="8">
        <f t="shared" si="178"/>
        <v>0.3240817776943079</v>
      </c>
      <c r="M1060" s="8">
        <f t="shared" si="179"/>
        <v>3.7199999999999997E-2</v>
      </c>
      <c r="N1060" s="8">
        <f t="shared" si="171"/>
        <v>4.65E-2</v>
      </c>
      <c r="O1060" s="296">
        <f t="shared" si="177"/>
        <v>0.28688177769430789</v>
      </c>
      <c r="P1060" s="8">
        <f t="shared" si="172"/>
        <v>0.27758177769430792</v>
      </c>
      <c r="Q1060" s="8">
        <f t="shared" si="173"/>
        <v>0.12403107367420341</v>
      </c>
      <c r="R1060" s="8">
        <f t="shared" si="174"/>
        <v>4.8100000000000004E-2</v>
      </c>
      <c r="S1060" s="296">
        <f t="shared" si="175"/>
        <v>7.5931073674203403E-2</v>
      </c>
      <c r="U1060" s="297"/>
      <c r="V1060" s="297"/>
      <c r="W1060" s="297"/>
      <c r="X1060" s="297"/>
      <c r="Y1060" s="297"/>
      <c r="Z1060" s="297"/>
      <c r="AA1060" s="297"/>
      <c r="AB1060" s="297"/>
      <c r="AC1060" s="297"/>
      <c r="AE1060" s="297"/>
      <c r="AF1060" s="297"/>
      <c r="AG1060" s="297"/>
      <c r="AH1060" s="297"/>
      <c r="AI1060" s="297"/>
      <c r="AJ1060" s="297"/>
      <c r="AK1060" s="297"/>
      <c r="AL1060" s="297"/>
      <c r="AM1060" s="297"/>
      <c r="AO1060" s="297"/>
      <c r="AP1060" s="297"/>
      <c r="AQ1060" s="297"/>
      <c r="AR1060" s="297"/>
      <c r="AS1060" s="297"/>
      <c r="AT1060" s="297"/>
      <c r="AU1060" s="297"/>
      <c r="AV1060" s="297"/>
      <c r="AW1060" s="297"/>
    </row>
    <row r="1061" spans="1:49" x14ac:dyDescent="0.45">
      <c r="A1061" s="295">
        <v>41640</v>
      </c>
      <c r="B1061" s="5">
        <v>-3.4599999999999999E-2</v>
      </c>
      <c r="C1061" s="5">
        <v>2.81E-2</v>
      </c>
      <c r="D1061" s="5">
        <v>3.2000000000000002E-3</v>
      </c>
      <c r="E1061" s="5">
        <v>3.741666666666667E-3</v>
      </c>
      <c r="F1061" s="5">
        <v>3.7750000000000001E-3</v>
      </c>
      <c r="G1061" s="5">
        <v>3.7583333333333336E-3</v>
      </c>
      <c r="H1061" s="5">
        <v>3.8583333333333334E-3</v>
      </c>
      <c r="I1061" s="5">
        <f t="shared" si="176"/>
        <v>-3.78E-2</v>
      </c>
      <c r="J1061" s="5">
        <f t="shared" si="180"/>
        <v>-3.8358333333333335E-2</v>
      </c>
      <c r="K1061" s="5">
        <f t="shared" si="181"/>
        <v>2.4241666666666668E-2</v>
      </c>
      <c r="L1061" s="8">
        <f t="shared" si="178"/>
        <v>0.2153152198004229</v>
      </c>
      <c r="M1061" s="8">
        <f t="shared" si="179"/>
        <v>3.8400000000000004E-2</v>
      </c>
      <c r="N1061" s="8">
        <f t="shared" si="171"/>
        <v>4.5100000000000001E-2</v>
      </c>
      <c r="O1061" s="296">
        <f t="shared" si="177"/>
        <v>0.17691521980042291</v>
      </c>
      <c r="P1061" s="8">
        <f t="shared" si="172"/>
        <v>0.1702152198004229</v>
      </c>
      <c r="Q1061" s="8">
        <f t="shared" si="173"/>
        <v>0.11642966558250278</v>
      </c>
      <c r="R1061" s="8">
        <f t="shared" si="174"/>
        <v>4.6300000000000001E-2</v>
      </c>
      <c r="S1061" s="296">
        <f t="shared" si="175"/>
        <v>7.0129665582502776E-2</v>
      </c>
      <c r="U1061" s="297"/>
      <c r="V1061" s="297"/>
      <c r="W1061" s="297"/>
      <c r="X1061" s="297"/>
      <c r="Y1061" s="297"/>
      <c r="Z1061" s="297"/>
      <c r="AA1061" s="297"/>
      <c r="AB1061" s="297"/>
      <c r="AC1061" s="297"/>
      <c r="AE1061" s="297"/>
      <c r="AF1061" s="297"/>
      <c r="AG1061" s="297"/>
      <c r="AH1061" s="297"/>
      <c r="AI1061" s="297"/>
      <c r="AJ1061" s="297"/>
      <c r="AK1061" s="297"/>
      <c r="AL1061" s="297"/>
      <c r="AM1061" s="297"/>
      <c r="AO1061" s="297"/>
      <c r="AP1061" s="297"/>
      <c r="AQ1061" s="297"/>
      <c r="AR1061" s="297"/>
      <c r="AS1061" s="297"/>
      <c r="AT1061" s="297"/>
      <c r="AU1061" s="297"/>
      <c r="AV1061" s="297"/>
      <c r="AW1061" s="297"/>
    </row>
    <row r="1062" spans="1:49" x14ac:dyDescent="0.45">
      <c r="A1062" s="295">
        <v>41671</v>
      </c>
      <c r="B1062" s="5">
        <v>4.5699999999999998E-2</v>
      </c>
      <c r="C1062" s="5">
        <v>3.3500000000000002E-2</v>
      </c>
      <c r="D1062" s="5">
        <v>2.5999999999999999E-3</v>
      </c>
      <c r="E1062" s="5">
        <v>3.708333333333333E-3</v>
      </c>
      <c r="F1062" s="5">
        <v>3.7166666666666667E-3</v>
      </c>
      <c r="G1062" s="5">
        <v>3.7124999999999997E-3</v>
      </c>
      <c r="H1062" s="5">
        <v>3.7750000000000001E-3</v>
      </c>
      <c r="I1062" s="5">
        <f t="shared" si="176"/>
        <v>4.3099999999999999E-2</v>
      </c>
      <c r="J1062" s="5">
        <f t="shared" si="180"/>
        <v>4.1987499999999997E-2</v>
      </c>
      <c r="K1062" s="5">
        <f t="shared" si="181"/>
        <v>2.9725000000000001E-2</v>
      </c>
      <c r="L1062" s="8">
        <f t="shared" si="178"/>
        <v>0.2538033991173072</v>
      </c>
      <c r="M1062" s="8">
        <f t="shared" si="179"/>
        <v>3.1199999999999999E-2</v>
      </c>
      <c r="N1062" s="8">
        <f t="shared" si="171"/>
        <v>4.4549999999999992E-2</v>
      </c>
      <c r="O1062" s="296">
        <f t="shared" si="177"/>
        <v>0.2226033991173072</v>
      </c>
      <c r="P1062" s="8">
        <f t="shared" si="172"/>
        <v>0.20925339911730723</v>
      </c>
      <c r="Q1062" s="8">
        <f t="shared" si="173"/>
        <v>0.1159977361248834</v>
      </c>
      <c r="R1062" s="8">
        <f t="shared" si="174"/>
        <v>4.53E-2</v>
      </c>
      <c r="S1062" s="296">
        <f t="shared" si="175"/>
        <v>7.0697736124883392E-2</v>
      </c>
      <c r="U1062" s="297"/>
      <c r="V1062" s="297"/>
      <c r="W1062" s="297"/>
      <c r="X1062" s="297"/>
      <c r="Y1062" s="297"/>
      <c r="Z1062" s="297"/>
      <c r="AA1062" s="297"/>
      <c r="AB1062" s="297"/>
      <c r="AC1062" s="297"/>
      <c r="AE1062" s="297"/>
      <c r="AF1062" s="297"/>
      <c r="AG1062" s="297"/>
      <c r="AH1062" s="297"/>
      <c r="AI1062" s="297"/>
      <c r="AJ1062" s="297"/>
      <c r="AK1062" s="297"/>
      <c r="AL1062" s="297"/>
      <c r="AM1062" s="297"/>
      <c r="AO1062" s="297"/>
      <c r="AP1062" s="297"/>
      <c r="AQ1062" s="297"/>
      <c r="AR1062" s="297"/>
      <c r="AS1062" s="297"/>
      <c r="AT1062" s="297"/>
      <c r="AU1062" s="297"/>
      <c r="AV1062" s="297"/>
      <c r="AW1062" s="297"/>
    </row>
    <row r="1063" spans="1:49" x14ac:dyDescent="0.45">
      <c r="A1063" s="295">
        <v>41699</v>
      </c>
      <c r="B1063" s="5">
        <v>8.3999999999999995E-3</v>
      </c>
      <c r="C1063" s="5">
        <v>3.3700000000000001E-2</v>
      </c>
      <c r="D1063" s="5">
        <v>2.8999999999999998E-3</v>
      </c>
      <c r="E1063" s="5">
        <v>3.65E-3</v>
      </c>
      <c r="F1063" s="5">
        <v>3.7000000000000002E-3</v>
      </c>
      <c r="G1063" s="5">
        <v>3.6750000000000003E-3</v>
      </c>
      <c r="H1063" s="12">
        <v>3.7583333333333336E-3</v>
      </c>
      <c r="I1063" s="5">
        <f t="shared" si="176"/>
        <v>5.4999999999999997E-3</v>
      </c>
      <c r="J1063" s="5">
        <f t="shared" si="180"/>
        <v>4.7249999999999992E-3</v>
      </c>
      <c r="K1063" s="5">
        <f t="shared" si="181"/>
        <v>2.9941666666666669E-2</v>
      </c>
      <c r="L1063" s="8">
        <f t="shared" si="178"/>
        <v>0.21863647968182387</v>
      </c>
      <c r="M1063" s="8">
        <f t="shared" si="179"/>
        <v>3.4799999999999998E-2</v>
      </c>
      <c r="N1063" s="8">
        <f t="shared" si="171"/>
        <v>4.41E-2</v>
      </c>
      <c r="O1063" s="296">
        <f t="shared" si="177"/>
        <v>0.18383647968182387</v>
      </c>
      <c r="P1063" s="8">
        <f t="shared" si="172"/>
        <v>0.17453647968182387</v>
      </c>
      <c r="Q1063" s="8">
        <f t="shared" si="173"/>
        <v>9.4503662079973294E-2</v>
      </c>
      <c r="R1063" s="8">
        <f t="shared" si="174"/>
        <v>4.5100000000000001E-2</v>
      </c>
      <c r="S1063" s="296">
        <f t="shared" si="175"/>
        <v>4.9403662079973293E-2</v>
      </c>
      <c r="U1063" s="297"/>
      <c r="V1063" s="297"/>
      <c r="W1063" s="297"/>
      <c r="X1063" s="297"/>
      <c r="Y1063" s="297"/>
      <c r="Z1063" s="297"/>
      <c r="AA1063" s="297"/>
      <c r="AB1063" s="297"/>
      <c r="AC1063" s="297"/>
      <c r="AE1063" s="297"/>
      <c r="AF1063" s="297"/>
      <c r="AG1063" s="297"/>
      <c r="AH1063" s="297"/>
      <c r="AI1063" s="297"/>
      <c r="AJ1063" s="297"/>
      <c r="AK1063" s="297"/>
      <c r="AL1063" s="297"/>
      <c r="AM1063" s="297"/>
      <c r="AO1063" s="297"/>
      <c r="AP1063" s="297"/>
      <c r="AQ1063" s="297"/>
      <c r="AR1063" s="297"/>
      <c r="AS1063" s="297"/>
      <c r="AT1063" s="297"/>
      <c r="AU1063" s="297"/>
      <c r="AV1063" s="297"/>
      <c r="AW1063" s="297"/>
    </row>
    <row r="1064" spans="1:49" x14ac:dyDescent="0.45">
      <c r="A1064" s="295">
        <v>41730</v>
      </c>
      <c r="B1064" s="5">
        <v>7.4000000000000003E-3</v>
      </c>
      <c r="C1064" s="5">
        <v>4.2599999999999999E-2</v>
      </c>
      <c r="D1064" s="5">
        <v>2.8E-3</v>
      </c>
      <c r="E1064" s="5">
        <v>3.5333333333333332E-3</v>
      </c>
      <c r="F1064" s="5">
        <v>3.6083333333333332E-3</v>
      </c>
      <c r="G1064" s="5">
        <v>3.570833333333333E-3</v>
      </c>
      <c r="H1064" s="12">
        <v>3.6749999999999999E-3</v>
      </c>
      <c r="I1064" s="5">
        <f t="shared" si="176"/>
        <v>4.5999999999999999E-3</v>
      </c>
      <c r="J1064" s="5">
        <f t="shared" si="180"/>
        <v>3.8291666666666673E-3</v>
      </c>
      <c r="K1064" s="5">
        <f t="shared" si="181"/>
        <v>3.8925000000000001E-2</v>
      </c>
      <c r="L1064" s="8">
        <f t="shared" si="178"/>
        <v>0.20440929032813648</v>
      </c>
      <c r="M1064" s="8">
        <f t="shared" si="179"/>
        <v>3.3599999999999998E-2</v>
      </c>
      <c r="N1064" s="8">
        <f t="shared" ref="N1064:N1127" si="182">G1064*12</f>
        <v>4.2849999999999999E-2</v>
      </c>
      <c r="O1064" s="296">
        <f t="shared" si="177"/>
        <v>0.17080929032813649</v>
      </c>
      <c r="P1064" s="8">
        <f t="shared" ref="P1064:P1127" si="183">L1064-N1064</f>
        <v>0.16155929032813648</v>
      </c>
      <c r="Q1064" s="8">
        <f t="shared" ref="Q1064:Q1127" si="184">((1+C1053)*(1+C1054)*(1+C1055)*(1+C1056)*(1+C1057)*(1+C1058)*(1+C1059)*(1+C1060)*(1+C1061)*(1+C1062)*(1+C1063)*(1+C1064))-1</f>
        <v>7.755384143964128E-2</v>
      </c>
      <c r="R1064" s="8">
        <f t="shared" ref="R1064:R1127" si="185">H1064*12</f>
        <v>4.41E-2</v>
      </c>
      <c r="S1064" s="296">
        <f t="shared" ref="S1064:S1127" si="186">Q1064-R1064</f>
        <v>3.345384143964128E-2</v>
      </c>
      <c r="U1064" s="297"/>
      <c r="V1064" s="297"/>
      <c r="W1064" s="297"/>
      <c r="X1064" s="297"/>
      <c r="Y1064" s="297"/>
      <c r="Z1064" s="297"/>
      <c r="AA1064" s="297"/>
      <c r="AB1064" s="297"/>
      <c r="AC1064" s="297"/>
      <c r="AE1064" s="297"/>
      <c r="AF1064" s="297"/>
      <c r="AG1064" s="297"/>
      <c r="AH1064" s="297"/>
      <c r="AI1064" s="297"/>
      <c r="AJ1064" s="297"/>
      <c r="AK1064" s="297"/>
      <c r="AL1064" s="297"/>
      <c r="AM1064" s="297"/>
      <c r="AO1064" s="297"/>
      <c r="AP1064" s="297"/>
      <c r="AQ1064" s="297"/>
      <c r="AR1064" s="297"/>
      <c r="AS1064" s="297"/>
      <c r="AT1064" s="297"/>
      <c r="AU1064" s="297"/>
      <c r="AV1064" s="297"/>
      <c r="AW1064" s="297"/>
    </row>
    <row r="1065" spans="1:49" x14ac:dyDescent="0.45">
      <c r="A1065" s="302">
        <v>41760</v>
      </c>
      <c r="B1065" s="5">
        <v>2.35E-2</v>
      </c>
      <c r="C1065" s="5">
        <v>-1.0500000000000001E-2</v>
      </c>
      <c r="D1065" s="5">
        <v>2.8E-3</v>
      </c>
      <c r="E1065" s="5">
        <v>3.4666666666666665E-3</v>
      </c>
      <c r="F1065" s="5">
        <v>3.5000000000000001E-3</v>
      </c>
      <c r="G1065" s="5">
        <v>3.4833333333333331E-3</v>
      </c>
      <c r="H1065" s="12">
        <v>3.5499999999999998E-3</v>
      </c>
      <c r="I1065" s="5">
        <f t="shared" si="176"/>
        <v>2.07E-2</v>
      </c>
      <c r="J1065" s="5">
        <f t="shared" si="180"/>
        <v>2.0016666666666669E-2</v>
      </c>
      <c r="K1065" s="5">
        <f t="shared" si="181"/>
        <v>-1.405E-2</v>
      </c>
      <c r="L1065" s="8">
        <f t="shared" si="178"/>
        <v>0.20452697738015191</v>
      </c>
      <c r="M1065" s="8">
        <f t="shared" si="179"/>
        <v>3.3599999999999998E-2</v>
      </c>
      <c r="N1065" s="8">
        <f t="shared" si="182"/>
        <v>4.1799999999999997E-2</v>
      </c>
      <c r="O1065" s="296">
        <f t="shared" si="177"/>
        <v>0.17092697738015192</v>
      </c>
      <c r="P1065" s="8">
        <f t="shared" si="183"/>
        <v>0.1627269773801519</v>
      </c>
      <c r="Q1065" s="8">
        <f t="shared" si="184"/>
        <v>0.171176983858222</v>
      </c>
      <c r="R1065" s="8">
        <f t="shared" si="185"/>
        <v>4.2599999999999999E-2</v>
      </c>
      <c r="S1065" s="296">
        <f t="shared" si="186"/>
        <v>0.128576983858222</v>
      </c>
      <c r="U1065" s="297"/>
      <c r="V1065" s="297"/>
      <c r="W1065" s="297"/>
      <c r="X1065" s="297"/>
      <c r="Y1065" s="297"/>
      <c r="Z1065" s="297"/>
      <c r="AA1065" s="297"/>
      <c r="AB1065" s="297"/>
      <c r="AC1065" s="297"/>
      <c r="AE1065" s="297"/>
      <c r="AF1065" s="297"/>
      <c r="AG1065" s="297"/>
      <c r="AH1065" s="297"/>
      <c r="AI1065" s="297"/>
      <c r="AJ1065" s="297"/>
      <c r="AK1065" s="297"/>
      <c r="AL1065" s="297"/>
      <c r="AM1065" s="297"/>
      <c r="AO1065" s="297"/>
      <c r="AP1065" s="297"/>
      <c r="AQ1065" s="297"/>
      <c r="AR1065" s="297"/>
      <c r="AS1065" s="297"/>
      <c r="AT1065" s="297"/>
      <c r="AU1065" s="297"/>
      <c r="AV1065" s="297"/>
      <c r="AW1065" s="297"/>
    </row>
    <row r="1066" spans="1:49" x14ac:dyDescent="0.45">
      <c r="A1066" s="302">
        <v>41791</v>
      </c>
      <c r="B1066" s="5">
        <v>2.07E-2</v>
      </c>
      <c r="C1066" s="5">
        <v>4.48E-2</v>
      </c>
      <c r="D1066" s="5">
        <v>2.5000000000000001E-3</v>
      </c>
      <c r="E1066" s="5">
        <v>3.5416666666666669E-3</v>
      </c>
      <c r="F1066" s="5">
        <v>3.5499999999999998E-3</v>
      </c>
      <c r="G1066" s="5">
        <v>3.5458333333333331E-3</v>
      </c>
      <c r="H1066" s="12">
        <v>3.5750000000000001E-3</v>
      </c>
      <c r="I1066" s="5">
        <f t="shared" si="176"/>
        <v>1.8200000000000001E-2</v>
      </c>
      <c r="J1066" s="5">
        <f t="shared" si="180"/>
        <v>1.7154166666666665E-2</v>
      </c>
      <c r="K1066" s="5">
        <f t="shared" si="181"/>
        <v>4.1224999999999998E-2</v>
      </c>
      <c r="L1066" s="8">
        <f t="shared" si="178"/>
        <v>0.24615921935122764</v>
      </c>
      <c r="M1066" s="8">
        <f t="shared" si="179"/>
        <v>0.03</v>
      </c>
      <c r="N1066" s="8">
        <f t="shared" si="182"/>
        <v>4.2549999999999998E-2</v>
      </c>
      <c r="O1066" s="296">
        <f t="shared" si="177"/>
        <v>0.21615921935122764</v>
      </c>
      <c r="P1066" s="8">
        <f t="shared" si="183"/>
        <v>0.20360921935122764</v>
      </c>
      <c r="Q1066" s="8">
        <f t="shared" si="184"/>
        <v>0.20985338415569554</v>
      </c>
      <c r="R1066" s="8">
        <f t="shared" si="185"/>
        <v>4.2900000000000001E-2</v>
      </c>
      <c r="S1066" s="296">
        <f t="shared" si="186"/>
        <v>0.16695338415569555</v>
      </c>
      <c r="U1066" s="297"/>
      <c r="V1066" s="297"/>
      <c r="W1066" s="297"/>
      <c r="X1066" s="297"/>
      <c r="Y1066" s="297"/>
      <c r="Z1066" s="297"/>
      <c r="AA1066" s="297"/>
      <c r="AB1066" s="297"/>
      <c r="AC1066" s="297"/>
      <c r="AE1066" s="297"/>
      <c r="AF1066" s="297"/>
      <c r="AG1066" s="297"/>
      <c r="AH1066" s="297"/>
      <c r="AI1066" s="297"/>
      <c r="AJ1066" s="297"/>
      <c r="AK1066" s="297"/>
      <c r="AL1066" s="297"/>
      <c r="AM1066" s="297"/>
      <c r="AO1066" s="297"/>
      <c r="AP1066" s="297"/>
      <c r="AQ1066" s="297"/>
      <c r="AR1066" s="297"/>
      <c r="AS1066" s="297"/>
      <c r="AT1066" s="297"/>
      <c r="AU1066" s="297"/>
      <c r="AV1066" s="297"/>
      <c r="AW1066" s="297"/>
    </row>
    <row r="1067" spans="1:49" x14ac:dyDescent="0.45">
      <c r="A1067" s="302">
        <v>41821</v>
      </c>
      <c r="B1067" s="5">
        <v>-1.38E-2</v>
      </c>
      <c r="C1067" s="5">
        <v>-6.8000000000000005E-2</v>
      </c>
      <c r="D1067" s="5">
        <v>2.7000000000000001E-3</v>
      </c>
      <c r="E1067" s="5">
        <v>3.4666666666666665E-3</v>
      </c>
      <c r="F1067" s="5">
        <v>3.5000000000000001E-3</v>
      </c>
      <c r="G1067" s="5">
        <v>3.4833333333333331E-3</v>
      </c>
      <c r="H1067" s="12">
        <v>3.5249999999999999E-3</v>
      </c>
      <c r="I1067" s="5">
        <f t="shared" si="176"/>
        <v>-1.6500000000000001E-2</v>
      </c>
      <c r="J1067" s="5">
        <f t="shared" si="180"/>
        <v>-1.7283333333333331E-2</v>
      </c>
      <c r="K1067" s="5">
        <f t="shared" si="181"/>
        <v>-7.1525000000000005E-2</v>
      </c>
      <c r="L1067" s="8">
        <f t="shared" si="178"/>
        <v>0.16943783625861708</v>
      </c>
      <c r="M1067" s="8">
        <f t="shared" si="179"/>
        <v>3.2399999999999998E-2</v>
      </c>
      <c r="N1067" s="8">
        <f t="shared" si="182"/>
        <v>4.1799999999999997E-2</v>
      </c>
      <c r="O1067" s="296">
        <f t="shared" si="177"/>
        <v>0.1370378362586171</v>
      </c>
      <c r="P1067" s="8">
        <f t="shared" si="183"/>
        <v>0.12763783625861708</v>
      </c>
      <c r="Q1067" s="8">
        <f t="shared" si="184"/>
        <v>8.5780793483974938E-2</v>
      </c>
      <c r="R1067" s="8">
        <f t="shared" si="185"/>
        <v>4.2299999999999997E-2</v>
      </c>
      <c r="S1067" s="296">
        <f t="shared" si="186"/>
        <v>4.348079348397494E-2</v>
      </c>
      <c r="U1067" s="297"/>
      <c r="V1067" s="297"/>
      <c r="W1067" s="297"/>
      <c r="X1067" s="297"/>
      <c r="Y1067" s="297"/>
      <c r="Z1067" s="297"/>
      <c r="AA1067" s="297"/>
      <c r="AB1067" s="297"/>
      <c r="AC1067" s="297"/>
      <c r="AE1067" s="297"/>
      <c r="AF1067" s="297"/>
      <c r="AG1067" s="297"/>
      <c r="AH1067" s="297"/>
      <c r="AI1067" s="297"/>
      <c r="AJ1067" s="297"/>
      <c r="AK1067" s="297"/>
      <c r="AL1067" s="297"/>
      <c r="AM1067" s="297"/>
      <c r="AO1067" s="297"/>
      <c r="AP1067" s="297"/>
      <c r="AQ1067" s="297"/>
      <c r="AR1067" s="297"/>
      <c r="AS1067" s="297"/>
      <c r="AT1067" s="297"/>
      <c r="AU1067" s="297"/>
      <c r="AV1067" s="297"/>
      <c r="AW1067" s="297"/>
    </row>
    <row r="1068" spans="1:49" x14ac:dyDescent="0.45">
      <c r="A1068" s="302">
        <v>41852</v>
      </c>
      <c r="B1068" s="5">
        <v>0.04</v>
      </c>
      <c r="C1068" s="5">
        <v>4.9500000000000002E-2</v>
      </c>
      <c r="D1068" s="5">
        <v>2.5999999999999999E-3</v>
      </c>
      <c r="E1068" s="5">
        <v>3.4000000000000002E-3</v>
      </c>
      <c r="F1068" s="5">
        <v>3.4166666666666668E-3</v>
      </c>
      <c r="G1068" s="5">
        <v>3.4083333333333335E-3</v>
      </c>
      <c r="H1068" s="12">
        <v>3.4416666666666671E-3</v>
      </c>
      <c r="I1068" s="5">
        <f t="shared" si="176"/>
        <v>3.7400000000000003E-2</v>
      </c>
      <c r="J1068" s="5">
        <f t="shared" si="180"/>
        <v>3.6591666666666668E-2</v>
      </c>
      <c r="K1068" s="5">
        <f t="shared" si="181"/>
        <v>4.6058333333333333E-2</v>
      </c>
      <c r="L1068" s="8">
        <f t="shared" si="178"/>
        <v>0.25253898013281373</v>
      </c>
      <c r="M1068" s="8">
        <f t="shared" si="179"/>
        <v>3.1199999999999999E-2</v>
      </c>
      <c r="N1068" s="8">
        <f t="shared" si="182"/>
        <v>4.0900000000000006E-2</v>
      </c>
      <c r="O1068" s="296">
        <f t="shared" si="177"/>
        <v>0.22133898013281372</v>
      </c>
      <c r="P1068" s="8">
        <f t="shared" si="183"/>
        <v>0.21163898013281374</v>
      </c>
      <c r="Q1068" s="8">
        <f t="shared" si="184"/>
        <v>0.1995020450120335</v>
      </c>
      <c r="R1068" s="8">
        <f t="shared" si="185"/>
        <v>4.1300000000000003E-2</v>
      </c>
      <c r="S1068" s="296">
        <f t="shared" si="186"/>
        <v>0.1582020450120335</v>
      </c>
      <c r="U1068" s="297"/>
      <c r="V1068" s="297"/>
      <c r="W1068" s="297"/>
      <c r="X1068" s="297"/>
      <c r="Y1068" s="297"/>
      <c r="Z1068" s="297"/>
      <c r="AA1068" s="297"/>
      <c r="AB1068" s="297"/>
      <c r="AC1068" s="297"/>
      <c r="AE1068" s="297"/>
      <c r="AF1068" s="297"/>
      <c r="AG1068" s="297"/>
      <c r="AH1068" s="297"/>
      <c r="AI1068" s="297"/>
      <c r="AJ1068" s="297"/>
      <c r="AK1068" s="297"/>
      <c r="AL1068" s="297"/>
      <c r="AM1068" s="297"/>
      <c r="AO1068" s="297"/>
      <c r="AP1068" s="297"/>
      <c r="AQ1068" s="297"/>
      <c r="AR1068" s="297"/>
      <c r="AS1068" s="297"/>
      <c r="AT1068" s="297"/>
      <c r="AU1068" s="297"/>
      <c r="AV1068" s="297"/>
      <c r="AW1068" s="297"/>
    </row>
    <row r="1069" spans="1:49" ht="14.1" thickBot="1" x14ac:dyDescent="0.5">
      <c r="A1069" s="302">
        <v>41883</v>
      </c>
      <c r="B1069" s="5">
        <v>-1.4E-2</v>
      </c>
      <c r="C1069" s="5">
        <v>-1.8599999999999998E-2</v>
      </c>
      <c r="D1069" s="5">
        <v>2.3E-3</v>
      </c>
      <c r="E1069" s="5">
        <v>3.4249999999999997E-3</v>
      </c>
      <c r="F1069" s="5">
        <v>3.4916666666666668E-3</v>
      </c>
      <c r="G1069" s="5">
        <v>3.4583333333333332E-3</v>
      </c>
      <c r="H1069" s="12">
        <v>3.5333333333333332E-3</v>
      </c>
      <c r="I1069" s="5">
        <f t="shared" si="176"/>
        <v>-1.6300000000000002E-2</v>
      </c>
      <c r="J1069" s="5">
        <f t="shared" si="180"/>
        <v>-1.7458333333333333E-2</v>
      </c>
      <c r="K1069" s="5">
        <f t="shared" si="181"/>
        <v>-2.2133333333333331E-2</v>
      </c>
      <c r="L1069" s="8">
        <f t="shared" si="178"/>
        <v>0.19740491992529963</v>
      </c>
      <c r="M1069" s="8">
        <f t="shared" si="179"/>
        <v>2.76E-2</v>
      </c>
      <c r="N1069" s="8">
        <f t="shared" si="182"/>
        <v>4.1499999999999995E-2</v>
      </c>
      <c r="O1069" s="296">
        <f t="shared" si="177"/>
        <v>0.16980491992529961</v>
      </c>
      <c r="P1069" s="8">
        <f t="shared" si="183"/>
        <v>0.15590491992529965</v>
      </c>
      <c r="Q1069" s="8">
        <f t="shared" si="184"/>
        <v>0.16461348137594944</v>
      </c>
      <c r="R1069" s="8">
        <f t="shared" si="185"/>
        <v>4.24E-2</v>
      </c>
      <c r="S1069" s="296">
        <f t="shared" si="186"/>
        <v>0.12221348137594945</v>
      </c>
      <c r="U1069" s="297"/>
      <c r="V1069" s="297"/>
      <c r="W1069" s="297"/>
      <c r="X1069" s="297"/>
      <c r="Y1069" s="297"/>
      <c r="Z1069" s="297"/>
      <c r="AA1069" s="297"/>
      <c r="AB1069" s="297"/>
      <c r="AC1069" s="297"/>
      <c r="AE1069" s="297"/>
      <c r="AF1069" s="297"/>
      <c r="AG1069" s="297"/>
      <c r="AH1069" s="297"/>
      <c r="AI1069" s="297"/>
      <c r="AJ1069" s="297"/>
      <c r="AK1069" s="297"/>
      <c r="AL1069" s="297"/>
      <c r="AM1069" s="297"/>
      <c r="AO1069" s="303"/>
      <c r="AP1069" s="303"/>
      <c r="AQ1069" s="303"/>
      <c r="AR1069" s="297"/>
      <c r="AS1069" s="297"/>
      <c r="AT1069" s="297"/>
      <c r="AU1069" s="297"/>
      <c r="AV1069" s="297"/>
      <c r="AW1069" s="297"/>
    </row>
    <row r="1070" spans="1:49" x14ac:dyDescent="0.45">
      <c r="A1070" s="302">
        <v>41913</v>
      </c>
      <c r="B1070" s="5">
        <v>2.4400000000000002E-2</v>
      </c>
      <c r="C1070" s="5">
        <v>8.0199999999999994E-2</v>
      </c>
      <c r="D1070" s="5">
        <v>2.5000000000000001E-3</v>
      </c>
      <c r="E1070" s="5">
        <v>3.2666666666666664E-3</v>
      </c>
      <c r="F1070" s="5">
        <v>3.3249999999999998E-3</v>
      </c>
      <c r="G1070" s="5">
        <v>3.2958333333333329E-3</v>
      </c>
      <c r="H1070" s="12">
        <v>3.3833333333333332E-3</v>
      </c>
      <c r="I1070" s="5">
        <f t="shared" si="176"/>
        <v>2.1900000000000003E-2</v>
      </c>
      <c r="J1070" s="5">
        <f t="shared" si="180"/>
        <v>2.1104166666666667E-2</v>
      </c>
      <c r="K1070" s="5">
        <f t="shared" si="181"/>
        <v>7.6816666666666658E-2</v>
      </c>
      <c r="L1070" s="8">
        <f t="shared" si="178"/>
        <v>0.17267839385418404</v>
      </c>
      <c r="M1070" s="8">
        <f t="shared" si="179"/>
        <v>0.03</v>
      </c>
      <c r="N1070" s="8">
        <f t="shared" si="182"/>
        <v>3.9549999999999995E-2</v>
      </c>
      <c r="O1070" s="296">
        <f t="shared" si="177"/>
        <v>0.14267839385418404</v>
      </c>
      <c r="P1070" s="8">
        <f t="shared" si="183"/>
        <v>0.13312839385418404</v>
      </c>
      <c r="Q1070" s="8">
        <f t="shared" si="184"/>
        <v>0.21231134488031334</v>
      </c>
      <c r="R1070" s="8">
        <f t="shared" si="185"/>
        <v>4.0599999999999997E-2</v>
      </c>
      <c r="S1070" s="296">
        <f t="shared" si="186"/>
        <v>0.17171134488031334</v>
      </c>
      <c r="U1070" s="297"/>
      <c r="V1070" s="297"/>
      <c r="W1070" s="297"/>
      <c r="X1070" s="297"/>
      <c r="Y1070" s="297"/>
      <c r="Z1070" s="297"/>
      <c r="AA1070" s="297"/>
      <c r="AB1070" s="297"/>
      <c r="AC1070" s="297"/>
    </row>
    <row r="1071" spans="1:49" x14ac:dyDescent="0.45">
      <c r="A1071" s="302">
        <v>41944</v>
      </c>
      <c r="B1071" s="5">
        <v>2.69E-2</v>
      </c>
      <c r="C1071" s="5">
        <v>1.2E-2</v>
      </c>
      <c r="D1071" s="5">
        <v>2.3E-3</v>
      </c>
      <c r="E1071" s="5">
        <v>3.2666666666666664E-3</v>
      </c>
      <c r="F1071" s="5">
        <v>3.3666666666666667E-3</v>
      </c>
      <c r="G1071" s="5">
        <v>3.3166666666666665E-3</v>
      </c>
      <c r="H1071" s="12">
        <v>3.4083333333333331E-3</v>
      </c>
      <c r="I1071" s="5">
        <f t="shared" si="176"/>
        <v>2.46E-2</v>
      </c>
      <c r="J1071" s="5">
        <f t="shared" si="180"/>
        <v>2.3583333333333335E-2</v>
      </c>
      <c r="K1071" s="5">
        <f t="shared" si="181"/>
        <v>8.5916666666666676E-3</v>
      </c>
      <c r="L1071" s="8">
        <f t="shared" si="178"/>
        <v>0.1685817007752175</v>
      </c>
      <c r="M1071" s="8">
        <f t="shared" si="179"/>
        <v>2.76E-2</v>
      </c>
      <c r="N1071" s="8">
        <f t="shared" si="182"/>
        <v>3.9800000000000002E-2</v>
      </c>
      <c r="O1071" s="296">
        <f t="shared" si="177"/>
        <v>0.14098170077521749</v>
      </c>
      <c r="P1071" s="8">
        <f t="shared" si="183"/>
        <v>0.1287817007752175</v>
      </c>
      <c r="Q1071" s="8">
        <f t="shared" si="184"/>
        <v>0.25176928988764069</v>
      </c>
      <c r="R1071" s="8">
        <f t="shared" si="185"/>
        <v>4.0899999999999999E-2</v>
      </c>
      <c r="S1071" s="296">
        <f t="shared" si="186"/>
        <v>0.2108692898876407</v>
      </c>
      <c r="U1071" s="297"/>
      <c r="V1071" s="297"/>
      <c r="W1071" s="297"/>
      <c r="X1071" s="297"/>
      <c r="Y1071" s="297"/>
      <c r="Z1071" s="297"/>
      <c r="AA1071" s="297"/>
      <c r="AB1071" s="297"/>
      <c r="AC1071" s="297"/>
    </row>
    <row r="1072" spans="1:49" x14ac:dyDescent="0.45">
      <c r="A1072" s="302">
        <v>41974</v>
      </c>
      <c r="B1072" s="5">
        <v>-2.5000000000000001E-3</v>
      </c>
      <c r="C1072" s="5">
        <v>3.5000000000000003E-2</v>
      </c>
      <c r="D1072" s="5">
        <v>2.2000000000000001E-3</v>
      </c>
      <c r="E1072" s="5">
        <v>3.1583333333333337E-3</v>
      </c>
      <c r="F1072" s="5">
        <v>3.2416666666666666E-3</v>
      </c>
      <c r="G1072" s="5">
        <v>3.2000000000000002E-3</v>
      </c>
      <c r="H1072" s="12">
        <v>3.2916666666666667E-3</v>
      </c>
      <c r="I1072" s="5">
        <f t="shared" si="176"/>
        <v>-4.7000000000000002E-3</v>
      </c>
      <c r="J1072" s="5">
        <f t="shared" si="180"/>
        <v>-5.7000000000000002E-3</v>
      </c>
      <c r="K1072" s="5">
        <f t="shared" si="181"/>
        <v>3.1708333333333338E-2</v>
      </c>
      <c r="L1072" s="8">
        <f t="shared" si="178"/>
        <v>0.1368967585324099</v>
      </c>
      <c r="M1072" s="8">
        <f t="shared" si="179"/>
        <v>2.64E-2</v>
      </c>
      <c r="N1072" s="8">
        <f t="shared" si="182"/>
        <v>3.8400000000000004E-2</v>
      </c>
      <c r="O1072" s="296">
        <f t="shared" si="177"/>
        <v>0.11049675853240989</v>
      </c>
      <c r="P1072" s="8">
        <f t="shared" si="183"/>
        <v>9.8496758532409898E-2</v>
      </c>
      <c r="Q1072" s="8">
        <f t="shared" si="184"/>
        <v>0.28580906613111168</v>
      </c>
      <c r="R1072" s="8">
        <f t="shared" si="185"/>
        <v>3.95E-2</v>
      </c>
      <c r="S1072" s="296">
        <f t="shared" si="186"/>
        <v>0.24630906613111167</v>
      </c>
      <c r="U1072" s="297"/>
      <c r="V1072" s="297"/>
      <c r="W1072" s="297"/>
      <c r="X1072" s="297"/>
      <c r="Y1072" s="297"/>
      <c r="Z1072" s="297"/>
      <c r="AA1072" s="297"/>
      <c r="AB1072" s="297"/>
      <c r="AC1072" s="297"/>
    </row>
    <row r="1073" spans="1:29" x14ac:dyDescent="0.45">
      <c r="A1073" s="302">
        <v>42005</v>
      </c>
      <c r="B1073" s="5">
        <v>-0.03</v>
      </c>
      <c r="C1073" s="5">
        <v>2.3300000000000001E-2</v>
      </c>
      <c r="D1073" s="5">
        <v>2E-3</v>
      </c>
      <c r="E1073" s="5">
        <v>2.8833333333333332E-3</v>
      </c>
      <c r="F1073" s="5">
        <v>2.9499999999999999E-3</v>
      </c>
      <c r="G1073" s="5">
        <v>2.9166666666666664E-3</v>
      </c>
      <c r="H1073" s="12">
        <v>2.9833333333333331E-3</v>
      </c>
      <c r="I1073" s="5">
        <f t="shared" si="176"/>
        <v>-3.2000000000000001E-2</v>
      </c>
      <c r="J1073" s="5">
        <f t="shared" si="180"/>
        <v>-3.2916666666666664E-2</v>
      </c>
      <c r="K1073" s="5">
        <f t="shared" si="181"/>
        <v>2.0316666666666667E-2</v>
      </c>
      <c r="L1073" s="8">
        <f t="shared" si="178"/>
        <v>0.14231391731555543</v>
      </c>
      <c r="M1073" s="8">
        <f t="shared" si="179"/>
        <v>2.4E-2</v>
      </c>
      <c r="N1073" s="8">
        <f t="shared" si="182"/>
        <v>3.4999999999999996E-2</v>
      </c>
      <c r="O1073" s="296">
        <f t="shared" si="177"/>
        <v>0.11831391731555543</v>
      </c>
      <c r="P1073" s="8">
        <f t="shared" si="183"/>
        <v>0.10731391731555542</v>
      </c>
      <c r="Q1073" s="8">
        <f t="shared" si="184"/>
        <v>0.27980587235868715</v>
      </c>
      <c r="R1073" s="8">
        <f t="shared" si="185"/>
        <v>3.5799999999999998E-2</v>
      </c>
      <c r="S1073" s="296">
        <f t="shared" si="186"/>
        <v>0.24400587235868715</v>
      </c>
      <c r="U1073" s="297"/>
      <c r="V1073" s="297"/>
      <c r="W1073" s="297"/>
      <c r="X1073" s="297"/>
      <c r="Y1073" s="297"/>
      <c r="Z1073" s="297"/>
      <c r="AA1073" s="297"/>
      <c r="AB1073" s="297"/>
      <c r="AC1073" s="297"/>
    </row>
    <row r="1074" spans="1:29" x14ac:dyDescent="0.45">
      <c r="A1074" s="302">
        <v>42036</v>
      </c>
      <c r="B1074" s="5">
        <v>5.7500000000000002E-2</v>
      </c>
      <c r="C1074" s="5">
        <v>-6.3299999999999995E-2</v>
      </c>
      <c r="D1074" s="5">
        <v>1.5E-3</v>
      </c>
      <c r="E1074" s="5">
        <v>3.0083333333333333E-3</v>
      </c>
      <c r="F1074" s="5">
        <v>3.0333333333333336E-3</v>
      </c>
      <c r="G1074" s="5">
        <v>3.0208333333333337E-3</v>
      </c>
      <c r="H1074" s="12">
        <v>3.0583333333333335E-3</v>
      </c>
      <c r="I1074" s="5">
        <f t="shared" si="176"/>
        <v>5.6000000000000001E-2</v>
      </c>
      <c r="J1074" s="5">
        <f t="shared" si="180"/>
        <v>5.4479166666666669E-2</v>
      </c>
      <c r="K1074" s="5">
        <f t="shared" si="181"/>
        <v>-6.6358333333333325E-2</v>
      </c>
      <c r="L1074" s="8">
        <f t="shared" si="178"/>
        <v>0.15520413843473224</v>
      </c>
      <c r="M1074" s="8">
        <f t="shared" si="179"/>
        <v>1.8000000000000002E-2</v>
      </c>
      <c r="N1074" s="8">
        <f t="shared" si="182"/>
        <v>3.6250000000000004E-2</v>
      </c>
      <c r="O1074" s="296">
        <f t="shared" si="177"/>
        <v>0.13720413843473223</v>
      </c>
      <c r="P1074" s="8">
        <f t="shared" si="183"/>
        <v>0.11895413843473224</v>
      </c>
      <c r="Q1074" s="8">
        <f t="shared" si="184"/>
        <v>0.15993629476379545</v>
      </c>
      <c r="R1074" s="8">
        <f t="shared" si="185"/>
        <v>3.6700000000000003E-2</v>
      </c>
      <c r="S1074" s="296">
        <f t="shared" si="186"/>
        <v>0.12323629476379544</v>
      </c>
      <c r="U1074" s="297"/>
      <c r="V1074" s="297"/>
      <c r="W1074" s="297"/>
      <c r="X1074" s="297"/>
      <c r="Y1074" s="297"/>
      <c r="Z1074" s="297"/>
      <c r="AA1074" s="297"/>
      <c r="AB1074" s="297"/>
      <c r="AC1074" s="297"/>
    </row>
    <row r="1075" spans="1:29" x14ac:dyDescent="0.45">
      <c r="A1075" s="302">
        <v>42064</v>
      </c>
      <c r="B1075" s="5">
        <v>-1.5800000000000002E-2</v>
      </c>
      <c r="C1075" s="5">
        <v>-4.8999999999999998E-3</v>
      </c>
      <c r="D1075" s="5">
        <v>2.0999999999999999E-3</v>
      </c>
      <c r="E1075" s="5">
        <v>3.0333333333333336E-3</v>
      </c>
      <c r="F1075" s="5">
        <v>3.0833333333333333E-3</v>
      </c>
      <c r="G1075" s="5">
        <v>3.0583333333333335E-3</v>
      </c>
      <c r="H1075" s="12">
        <v>3.1166666666666669E-3</v>
      </c>
      <c r="I1075" s="5">
        <f t="shared" si="176"/>
        <v>-1.7900000000000003E-2</v>
      </c>
      <c r="J1075" s="5">
        <f t="shared" si="180"/>
        <v>-1.8858333333333335E-2</v>
      </c>
      <c r="K1075" s="5">
        <f t="shared" si="181"/>
        <v>-8.0166666666666667E-3</v>
      </c>
      <c r="L1075" s="8">
        <f t="shared" si="178"/>
        <v>0.1274810720423083</v>
      </c>
      <c r="M1075" s="8">
        <f t="shared" si="179"/>
        <v>2.52E-2</v>
      </c>
      <c r="N1075" s="8">
        <f t="shared" si="182"/>
        <v>3.6700000000000003E-2</v>
      </c>
      <c r="O1075" s="296">
        <f t="shared" si="177"/>
        <v>0.1022810720423083</v>
      </c>
      <c r="P1075" s="8">
        <f t="shared" si="183"/>
        <v>9.0781072042308286E-2</v>
      </c>
      <c r="Q1075" s="8">
        <f t="shared" si="184"/>
        <v>0.11662243099492398</v>
      </c>
      <c r="R1075" s="8">
        <f t="shared" si="185"/>
        <v>3.7400000000000003E-2</v>
      </c>
      <c r="S1075" s="296">
        <f t="shared" si="186"/>
        <v>7.9222430994923973E-2</v>
      </c>
      <c r="U1075" s="297"/>
      <c r="V1075" s="297"/>
      <c r="W1075" s="297"/>
      <c r="X1075" s="297"/>
      <c r="Y1075" s="297"/>
      <c r="Z1075" s="297"/>
      <c r="AA1075" s="297"/>
      <c r="AB1075" s="297"/>
      <c r="AC1075" s="297"/>
    </row>
    <row r="1076" spans="1:29" x14ac:dyDescent="0.45">
      <c r="A1076" s="302">
        <v>42095</v>
      </c>
      <c r="B1076" s="5">
        <v>9.5999999999999992E-3</v>
      </c>
      <c r="C1076" s="5">
        <v>-1.29E-2</v>
      </c>
      <c r="D1076" s="5">
        <v>1.9E-3</v>
      </c>
      <c r="E1076" s="5">
        <v>2.9333333333333334E-3</v>
      </c>
      <c r="F1076" s="5">
        <v>3.0333333333333336E-3</v>
      </c>
      <c r="G1076" s="5">
        <v>2.9833333333333335E-3</v>
      </c>
      <c r="H1076" s="5">
        <v>3.1249999999999997E-3</v>
      </c>
      <c r="I1076" s="5">
        <f t="shared" si="176"/>
        <v>7.6999999999999994E-3</v>
      </c>
      <c r="J1076" s="5">
        <f t="shared" si="180"/>
        <v>6.6166666666666657E-3</v>
      </c>
      <c r="K1076" s="5">
        <f t="shared" si="181"/>
        <v>-1.6025000000000001E-2</v>
      </c>
      <c r="L1076" s="8">
        <f t="shared" si="178"/>
        <v>0.12994330984109048</v>
      </c>
      <c r="M1076" s="8">
        <f t="shared" si="179"/>
        <v>2.2800000000000001E-2</v>
      </c>
      <c r="N1076" s="8">
        <f t="shared" si="182"/>
        <v>3.5799999999999998E-2</v>
      </c>
      <c r="O1076" s="296">
        <f t="shared" si="177"/>
        <v>0.10714330984109048</v>
      </c>
      <c r="P1076" s="8">
        <f t="shared" si="183"/>
        <v>9.4143309841090483E-2</v>
      </c>
      <c r="Q1076" s="8">
        <f t="shared" si="184"/>
        <v>5.718204645606062E-2</v>
      </c>
      <c r="R1076" s="8">
        <f t="shared" si="185"/>
        <v>3.7499999999999999E-2</v>
      </c>
      <c r="S1076" s="296">
        <f t="shared" si="186"/>
        <v>1.9682046456060621E-2</v>
      </c>
      <c r="U1076" s="297"/>
      <c r="V1076" s="297"/>
      <c r="W1076" s="297"/>
      <c r="X1076" s="297"/>
      <c r="Y1076" s="297"/>
      <c r="Z1076" s="297"/>
      <c r="AA1076" s="297"/>
      <c r="AB1076" s="297"/>
      <c r="AC1076" s="297"/>
    </row>
    <row r="1077" spans="1:29" x14ac:dyDescent="0.45">
      <c r="A1077" s="302">
        <v>42125</v>
      </c>
      <c r="B1077" s="5">
        <v>1.29E-2</v>
      </c>
      <c r="C1077" s="5">
        <v>6.4999999999999997E-3</v>
      </c>
      <c r="D1077" s="5">
        <v>2E-3</v>
      </c>
      <c r="E1077" s="5">
        <v>3.316666666666667E-3</v>
      </c>
      <c r="F1077" s="5">
        <v>3.4000000000000002E-3</v>
      </c>
      <c r="G1077" s="5">
        <v>3.3583333333333338E-3</v>
      </c>
      <c r="H1077" s="5">
        <v>3.4750000000000002E-3</v>
      </c>
      <c r="I1077" s="5">
        <f t="shared" si="176"/>
        <v>1.09E-2</v>
      </c>
      <c r="J1077" s="5">
        <f t="shared" si="180"/>
        <v>9.541666666666667E-3</v>
      </c>
      <c r="K1077" s="5">
        <f t="shared" si="181"/>
        <v>3.0249999999999995E-3</v>
      </c>
      <c r="L1077" s="8">
        <f t="shared" si="178"/>
        <v>0.11824091698880324</v>
      </c>
      <c r="M1077" s="8">
        <f t="shared" si="179"/>
        <v>2.4E-2</v>
      </c>
      <c r="N1077" s="8">
        <f t="shared" si="182"/>
        <v>4.0300000000000002E-2</v>
      </c>
      <c r="O1077" s="296">
        <f t="shared" si="177"/>
        <v>9.4240916988803242E-2</v>
      </c>
      <c r="P1077" s="8">
        <f t="shared" si="183"/>
        <v>7.7940916988803233E-2</v>
      </c>
      <c r="Q1077" s="8">
        <f t="shared" si="184"/>
        <v>7.5344850690273191E-2</v>
      </c>
      <c r="R1077" s="8">
        <f t="shared" si="185"/>
        <v>4.1700000000000001E-2</v>
      </c>
      <c r="S1077" s="296">
        <f t="shared" si="186"/>
        <v>3.364485069027319E-2</v>
      </c>
      <c r="U1077" s="297"/>
      <c r="V1077" s="297"/>
      <c r="W1077" s="297"/>
      <c r="X1077" s="297"/>
      <c r="Y1077" s="297"/>
      <c r="Z1077" s="297"/>
      <c r="AA1077" s="297"/>
      <c r="AB1077" s="297"/>
      <c r="AC1077" s="297"/>
    </row>
    <row r="1078" spans="1:29" x14ac:dyDescent="0.45">
      <c r="A1078" s="302">
        <v>42156</v>
      </c>
      <c r="B1078" s="5">
        <v>-1.9400000000000001E-2</v>
      </c>
      <c r="C1078" s="15">
        <v>-0.06</v>
      </c>
      <c r="D1078" s="5">
        <v>2.3E-3</v>
      </c>
      <c r="E1078" s="5">
        <v>3.4916666666666668E-3</v>
      </c>
      <c r="F1078" s="5">
        <v>3.5583333333333326E-3</v>
      </c>
      <c r="G1078" s="5">
        <f t="shared" ref="G1078:G1141" si="187">AVERAGE(E1078:F1078)</f>
        <v>3.5249999999999995E-3</v>
      </c>
      <c r="H1078" s="5">
        <v>3.6583333333333329E-3</v>
      </c>
      <c r="I1078" s="5">
        <f t="shared" si="176"/>
        <v>-2.1700000000000001E-2</v>
      </c>
      <c r="J1078" s="5">
        <f t="shared" si="180"/>
        <v>-2.2925000000000001E-2</v>
      </c>
      <c r="K1078" s="5">
        <f t="shared" si="181"/>
        <v>-6.3658333333333331E-2</v>
      </c>
      <c r="L1078" s="8">
        <f t="shared" si="178"/>
        <v>7.4308850004135119E-2</v>
      </c>
      <c r="M1078" s="8">
        <f t="shared" si="179"/>
        <v>2.76E-2</v>
      </c>
      <c r="N1078" s="8">
        <f t="shared" si="182"/>
        <v>4.229999999999999E-2</v>
      </c>
      <c r="O1078" s="296">
        <f t="shared" si="177"/>
        <v>4.6708850004135119E-2</v>
      </c>
      <c r="P1078" s="8">
        <f t="shared" si="183"/>
        <v>3.2008850004135128E-2</v>
      </c>
      <c r="Q1078" s="8">
        <f t="shared" si="184"/>
        <v>-3.2518989616331595E-2</v>
      </c>
      <c r="R1078" s="8">
        <f t="shared" si="185"/>
        <v>4.3899999999999995E-2</v>
      </c>
      <c r="S1078" s="296">
        <f t="shared" si="186"/>
        <v>-7.641898961633159E-2</v>
      </c>
      <c r="U1078" s="297"/>
      <c r="V1078" s="297"/>
      <c r="W1078" s="297"/>
      <c r="X1078" s="297"/>
      <c r="Y1078" s="297"/>
      <c r="Z1078" s="297"/>
      <c r="AA1078" s="297"/>
      <c r="AB1078" s="297"/>
      <c r="AC1078" s="297"/>
    </row>
    <row r="1079" spans="1:29" x14ac:dyDescent="0.45">
      <c r="A1079" s="302">
        <v>42186</v>
      </c>
      <c r="B1079" s="5">
        <v>2.1000000000000001E-2</v>
      </c>
      <c r="C1079" s="15">
        <v>4.8099999999999997E-2</v>
      </c>
      <c r="D1079" s="5">
        <v>2.3999999999999998E-3</v>
      </c>
      <c r="E1079" s="5">
        <v>3.4583333333333337E-3</v>
      </c>
      <c r="F1079" s="5">
        <v>3.5416666666666669E-3</v>
      </c>
      <c r="G1079" s="5">
        <f t="shared" si="187"/>
        <v>3.5000000000000005E-3</v>
      </c>
      <c r="H1079" s="5">
        <v>3.666666666666667E-3</v>
      </c>
      <c r="I1079" s="5">
        <f t="shared" si="176"/>
        <v>1.8600000000000002E-2</v>
      </c>
      <c r="J1079" s="5">
        <f t="shared" si="180"/>
        <v>1.7500000000000002E-2</v>
      </c>
      <c r="K1079" s="5">
        <f t="shared" si="181"/>
        <v>4.4433333333333332E-2</v>
      </c>
      <c r="L1079" s="8">
        <f t="shared" si="178"/>
        <v>0.11221794347416547</v>
      </c>
      <c r="M1079" s="8">
        <f t="shared" si="179"/>
        <v>2.8799999999999999E-2</v>
      </c>
      <c r="N1079" s="8">
        <f t="shared" si="182"/>
        <v>4.200000000000001E-2</v>
      </c>
      <c r="O1079" s="296">
        <f t="shared" si="177"/>
        <v>8.3417943474165479E-2</v>
      </c>
      <c r="P1079" s="8">
        <f t="shared" si="183"/>
        <v>7.0217943474165462E-2</v>
      </c>
      <c r="Q1079" s="8">
        <f t="shared" si="184"/>
        <v>8.8000908780174525E-2</v>
      </c>
      <c r="R1079" s="8">
        <f t="shared" si="185"/>
        <v>4.4000000000000004E-2</v>
      </c>
      <c r="S1079" s="296">
        <f t="shared" si="186"/>
        <v>4.4000908780174521E-2</v>
      </c>
      <c r="U1079" s="297"/>
      <c r="V1079" s="297"/>
      <c r="W1079" s="297"/>
      <c r="X1079" s="297"/>
      <c r="Y1079" s="297"/>
      <c r="Z1079" s="297"/>
      <c r="AA1079" s="297"/>
      <c r="AB1079" s="297"/>
      <c r="AC1079" s="297"/>
    </row>
    <row r="1080" spans="1:29" x14ac:dyDescent="0.45">
      <c r="A1080" s="302">
        <v>42217</v>
      </c>
      <c r="B1080" s="5">
        <v>-6.0299999999999999E-2</v>
      </c>
      <c r="C1080" s="15">
        <v>-3.9699999999999999E-2</v>
      </c>
      <c r="D1080" s="5">
        <v>2.2000000000000001E-3</v>
      </c>
      <c r="E1080" s="5">
        <v>3.3666666666666667E-3</v>
      </c>
      <c r="F1080" s="5">
        <v>3.4416666666666667E-3</v>
      </c>
      <c r="G1080" s="5">
        <f t="shared" si="187"/>
        <v>3.4041666666666665E-3</v>
      </c>
      <c r="H1080" s="5">
        <v>3.5416666666666669E-3</v>
      </c>
      <c r="I1080" s="5">
        <f t="shared" si="176"/>
        <v>-6.25E-2</v>
      </c>
      <c r="J1080" s="5">
        <f t="shared" si="180"/>
        <v>-6.3704166666666673E-2</v>
      </c>
      <c r="K1080" s="5">
        <f t="shared" si="181"/>
        <v>-4.3241666666666664E-2</v>
      </c>
      <c r="L1080" s="8">
        <f t="shared" si="178"/>
        <v>4.9530783487243824E-3</v>
      </c>
      <c r="M1080" s="8">
        <f t="shared" si="179"/>
        <v>2.64E-2</v>
      </c>
      <c r="N1080" s="8">
        <f t="shared" si="182"/>
        <v>4.0849999999999997E-2</v>
      </c>
      <c r="O1080" s="296">
        <f t="shared" si="177"/>
        <v>-2.1446921651275618E-2</v>
      </c>
      <c r="P1080" s="8">
        <f t="shared" si="183"/>
        <v>-3.5896921651275615E-2</v>
      </c>
      <c r="Q1080" s="8">
        <f t="shared" si="184"/>
        <v>-4.4713933286305574E-3</v>
      </c>
      <c r="R1080" s="8">
        <f t="shared" si="185"/>
        <v>4.2500000000000003E-2</v>
      </c>
      <c r="S1080" s="296">
        <f t="shared" si="186"/>
        <v>-4.697139332863056E-2</v>
      </c>
      <c r="U1080" s="297"/>
      <c r="V1080" s="297"/>
      <c r="W1080" s="297"/>
      <c r="X1080" s="297"/>
      <c r="Y1080" s="297"/>
      <c r="Z1080" s="297"/>
      <c r="AA1080" s="297"/>
      <c r="AB1080" s="297"/>
      <c r="AC1080" s="297"/>
    </row>
    <row r="1081" spans="1:29" x14ac:dyDescent="0.45">
      <c r="A1081" s="302">
        <v>42248</v>
      </c>
      <c r="B1081" s="5">
        <v>-2.47E-2</v>
      </c>
      <c r="C1081" s="15">
        <v>2.9000000000000001E-2</v>
      </c>
      <c r="D1081" s="5">
        <v>2.0999999999999999E-3</v>
      </c>
      <c r="E1081" s="5">
        <v>3.3916666666666665E-3</v>
      </c>
      <c r="F1081" s="5">
        <v>3.5083333333333334E-3</v>
      </c>
      <c r="G1081" s="5">
        <f t="shared" si="187"/>
        <v>3.4499999999999999E-3</v>
      </c>
      <c r="H1081" s="5">
        <v>3.6583333333333329E-3</v>
      </c>
      <c r="I1081" s="5">
        <f t="shared" si="176"/>
        <v>-2.6800000000000001E-2</v>
      </c>
      <c r="J1081" s="5">
        <f t="shared" si="180"/>
        <v>-2.8150000000000001E-2</v>
      </c>
      <c r="K1081" s="5">
        <f t="shared" si="181"/>
        <v>2.5341666666666669E-2</v>
      </c>
      <c r="L1081" s="8">
        <f t="shared" si="178"/>
        <v>-5.9525990735186385E-3</v>
      </c>
      <c r="M1081" s="8">
        <f t="shared" si="179"/>
        <v>2.52E-2</v>
      </c>
      <c r="N1081" s="8">
        <f t="shared" si="182"/>
        <v>4.1399999999999999E-2</v>
      </c>
      <c r="O1081" s="296">
        <f t="shared" si="177"/>
        <v>-3.1152599073518639E-2</v>
      </c>
      <c r="P1081" s="8">
        <f t="shared" si="183"/>
        <v>-4.7352599073518638E-2</v>
      </c>
      <c r="Q1081" s="8">
        <f t="shared" si="184"/>
        <v>4.3813874327326641E-2</v>
      </c>
      <c r="R1081" s="8">
        <f t="shared" si="185"/>
        <v>4.3899999999999995E-2</v>
      </c>
      <c r="S1081" s="296">
        <f t="shared" si="186"/>
        <v>-8.6125672673353915E-5</v>
      </c>
      <c r="U1081" s="297"/>
      <c r="V1081" s="297"/>
      <c r="W1081" s="297"/>
      <c r="X1081" s="297"/>
      <c r="Y1081" s="297"/>
      <c r="Z1081" s="297"/>
      <c r="AA1081" s="297"/>
      <c r="AB1081" s="297"/>
      <c r="AC1081" s="297"/>
    </row>
    <row r="1082" spans="1:29" x14ac:dyDescent="0.45">
      <c r="A1082" s="302">
        <v>42278</v>
      </c>
      <c r="B1082" s="5">
        <v>8.4400000000000003E-2</v>
      </c>
      <c r="C1082" s="15">
        <v>1.0800000000000001E-2</v>
      </c>
      <c r="D1082" s="5">
        <v>2.0999999999999999E-3</v>
      </c>
      <c r="E1082" s="5">
        <v>3.2916666666666667E-3</v>
      </c>
      <c r="F1082" s="5">
        <v>3.4250000000000001E-3</v>
      </c>
      <c r="G1082" s="5">
        <f t="shared" si="187"/>
        <v>3.3583333333333334E-3</v>
      </c>
      <c r="H1082" s="5">
        <v>3.5750000000000001E-3</v>
      </c>
      <c r="I1082" s="5">
        <f t="shared" si="176"/>
        <v>8.2299999999999998E-2</v>
      </c>
      <c r="J1082" s="5">
        <f t="shared" si="180"/>
        <v>8.1041666666666665E-2</v>
      </c>
      <c r="K1082" s="5">
        <f t="shared" si="181"/>
        <v>7.2250000000000005E-3</v>
      </c>
      <c r="L1082" s="8">
        <f t="shared" si="178"/>
        <v>5.2269622769110624E-2</v>
      </c>
      <c r="M1082" s="8">
        <f t="shared" si="179"/>
        <v>2.52E-2</v>
      </c>
      <c r="N1082" s="8">
        <f t="shared" si="182"/>
        <v>4.0300000000000002E-2</v>
      </c>
      <c r="O1082" s="296">
        <f t="shared" si="177"/>
        <v>2.7069622769110624E-2</v>
      </c>
      <c r="P1082" s="8">
        <f t="shared" si="183"/>
        <v>1.1969622769110622E-2</v>
      </c>
      <c r="Q1082" s="8">
        <f t="shared" si="184"/>
        <v>-2.3248413099368648E-2</v>
      </c>
      <c r="R1082" s="8">
        <f t="shared" si="185"/>
        <v>4.2900000000000001E-2</v>
      </c>
      <c r="S1082" s="296">
        <f t="shared" si="186"/>
        <v>-6.6148413099368641E-2</v>
      </c>
      <c r="U1082" s="297"/>
      <c r="V1082" s="297"/>
      <c r="W1082" s="297"/>
      <c r="X1082" s="297"/>
      <c r="Y1082" s="297"/>
      <c r="Z1082" s="297"/>
      <c r="AA1082" s="297"/>
      <c r="AB1082" s="297"/>
      <c r="AC1082" s="297"/>
    </row>
    <row r="1083" spans="1:29" x14ac:dyDescent="0.45">
      <c r="A1083" s="302">
        <v>42309</v>
      </c>
      <c r="B1083" s="5">
        <v>3.0000000000000001E-3</v>
      </c>
      <c r="C1083" s="15">
        <v>-2.1299999999999999E-2</v>
      </c>
      <c r="D1083" s="5">
        <v>2.2000000000000001E-3</v>
      </c>
      <c r="E1083" s="5">
        <v>3.3833333333333332E-3</v>
      </c>
      <c r="F1083" s="5">
        <v>3.5083333333333334E-3</v>
      </c>
      <c r="G1083" s="5">
        <f t="shared" si="187"/>
        <v>3.4458333333333333E-3</v>
      </c>
      <c r="H1083" s="5">
        <v>3.666666666666667E-3</v>
      </c>
      <c r="I1083" s="5">
        <f t="shared" si="176"/>
        <v>7.9999999999999993E-4</v>
      </c>
      <c r="J1083" s="5">
        <f t="shared" si="180"/>
        <v>-4.4583333333333324E-4</v>
      </c>
      <c r="K1083" s="5">
        <f t="shared" si="181"/>
        <v>-2.4966666666666665E-2</v>
      </c>
      <c r="L1083" s="8">
        <f t="shared" si="178"/>
        <v>2.7779171912958756E-2</v>
      </c>
      <c r="M1083" s="8">
        <f t="shared" si="179"/>
        <v>2.64E-2</v>
      </c>
      <c r="N1083" s="8">
        <f t="shared" si="182"/>
        <v>4.1349999999999998E-2</v>
      </c>
      <c r="O1083" s="296">
        <f t="shared" si="177"/>
        <v>1.3791719129587557E-3</v>
      </c>
      <c r="P1083" s="8">
        <f t="shared" si="183"/>
        <v>-1.3570828087041242E-2</v>
      </c>
      <c r="Q1083" s="8">
        <f t="shared" si="184"/>
        <v>-5.538855919007124E-2</v>
      </c>
      <c r="R1083" s="8">
        <f t="shared" si="185"/>
        <v>4.4000000000000004E-2</v>
      </c>
      <c r="S1083" s="296">
        <f t="shared" si="186"/>
        <v>-9.9388559190071252E-2</v>
      </c>
      <c r="U1083" s="297"/>
      <c r="V1083" s="297"/>
      <c r="W1083" s="297"/>
      <c r="X1083" s="297"/>
      <c r="Y1083" s="297"/>
      <c r="Z1083" s="297"/>
      <c r="AA1083" s="297"/>
      <c r="AB1083" s="297"/>
      <c r="AC1083" s="297"/>
    </row>
    <row r="1084" spans="1:29" x14ac:dyDescent="0.45">
      <c r="A1084" s="302">
        <v>42339</v>
      </c>
      <c r="B1084" s="5">
        <v>-1.5800000000000002E-2</v>
      </c>
      <c r="C1084" s="15">
        <v>2.1600000000000001E-2</v>
      </c>
      <c r="D1084" s="5">
        <v>2.2000000000000001E-3</v>
      </c>
      <c r="E1084" s="5">
        <v>3.3083333333333333E-3</v>
      </c>
      <c r="F1084" s="5">
        <v>3.4666666666666669E-3</v>
      </c>
      <c r="G1084" s="5">
        <f t="shared" si="187"/>
        <v>3.3874999999999999E-3</v>
      </c>
      <c r="H1084" s="5">
        <v>3.6249999999999998E-3</v>
      </c>
      <c r="I1084" s="5">
        <f t="shared" si="176"/>
        <v>-1.8000000000000002E-2</v>
      </c>
      <c r="J1084" s="5">
        <f t="shared" si="180"/>
        <v>-1.9187500000000003E-2</v>
      </c>
      <c r="K1084" s="5">
        <f t="shared" si="181"/>
        <v>1.7975000000000001E-2</v>
      </c>
      <c r="L1084" s="8">
        <f t="shared" si="178"/>
        <v>1.4075449620785996E-2</v>
      </c>
      <c r="M1084" s="8">
        <f t="shared" si="179"/>
        <v>2.64E-2</v>
      </c>
      <c r="N1084" s="8">
        <f t="shared" si="182"/>
        <v>4.0649999999999999E-2</v>
      </c>
      <c r="O1084" s="296">
        <f t="shared" si="177"/>
        <v>-1.2324550379214004E-2</v>
      </c>
      <c r="P1084" s="8">
        <f t="shared" si="183"/>
        <v>-2.6574550379214003E-2</v>
      </c>
      <c r="Q1084" s="8">
        <f t="shared" si="184"/>
        <v>-6.7618311177368939E-2</v>
      </c>
      <c r="R1084" s="8">
        <f t="shared" si="185"/>
        <v>4.3499999999999997E-2</v>
      </c>
      <c r="S1084" s="296">
        <f t="shared" si="186"/>
        <v>-0.11111831117736894</v>
      </c>
      <c r="U1084" s="297"/>
      <c r="V1084" s="297"/>
      <c r="W1084" s="297"/>
      <c r="X1084" s="297"/>
      <c r="Y1084" s="297"/>
      <c r="Z1084" s="297"/>
      <c r="AA1084" s="297"/>
      <c r="AB1084" s="297"/>
      <c r="AC1084" s="297"/>
    </row>
    <row r="1085" spans="1:29" x14ac:dyDescent="0.45">
      <c r="A1085" s="304">
        <v>42370</v>
      </c>
      <c r="B1085" s="5">
        <v>-4.9599999999999998E-2</v>
      </c>
      <c r="C1085" s="15">
        <v>4.9222952667868664E-2</v>
      </c>
      <c r="D1085" s="5">
        <v>2.0999999999999999E-3</v>
      </c>
      <c r="E1085" s="5">
        <v>3.3333333333333331E-3</v>
      </c>
      <c r="F1085" s="5">
        <v>3.4333333333333334E-3</v>
      </c>
      <c r="G1085" s="5">
        <f t="shared" si="187"/>
        <v>3.3833333333333332E-3</v>
      </c>
      <c r="H1085" s="5">
        <v>3.5583333333333326E-3</v>
      </c>
      <c r="I1085" s="5">
        <f t="shared" si="176"/>
        <v>-5.1699999999999996E-2</v>
      </c>
      <c r="J1085" s="5">
        <f t="shared" si="180"/>
        <v>-5.2983333333333334E-2</v>
      </c>
      <c r="K1085" s="5">
        <f t="shared" si="181"/>
        <v>4.5664619334535334E-2</v>
      </c>
      <c r="L1085" s="8">
        <f t="shared" si="178"/>
        <v>-6.4151470932010124E-3</v>
      </c>
      <c r="M1085" s="8">
        <f t="shared" si="179"/>
        <v>2.52E-2</v>
      </c>
      <c r="N1085" s="8">
        <f t="shared" si="182"/>
        <v>4.0599999999999997E-2</v>
      </c>
      <c r="O1085" s="296">
        <f t="shared" si="177"/>
        <v>-3.1615147093201013E-2</v>
      </c>
      <c r="P1085" s="8">
        <f t="shared" si="183"/>
        <v>-4.701514709320101E-2</v>
      </c>
      <c r="Q1085" s="8">
        <f t="shared" si="184"/>
        <v>-4.3998564878398483E-2</v>
      </c>
      <c r="R1085" s="8">
        <f t="shared" si="185"/>
        <v>4.2699999999999988E-2</v>
      </c>
      <c r="S1085" s="296">
        <f t="shared" si="186"/>
        <v>-8.6698564878398471E-2</v>
      </c>
    </row>
    <row r="1086" spans="1:29" x14ac:dyDescent="0.45">
      <c r="A1086" s="304">
        <v>42401</v>
      </c>
      <c r="B1086" s="5">
        <v>-1.2999999999999999E-3</v>
      </c>
      <c r="C1086" s="15">
        <v>1.94081804074543E-2</v>
      </c>
      <c r="D1086" s="5">
        <v>2E-3</v>
      </c>
      <c r="E1086" s="5">
        <v>3.3E-3</v>
      </c>
      <c r="F1086" s="5">
        <v>3.3166666666666665E-3</v>
      </c>
      <c r="G1086" s="5">
        <f t="shared" si="187"/>
        <v>3.3083333333333333E-3</v>
      </c>
      <c r="H1086" s="5">
        <v>3.4250000000000001E-3</v>
      </c>
      <c r="I1086" s="5">
        <f t="shared" si="176"/>
        <v>-3.3E-3</v>
      </c>
      <c r="J1086" s="5">
        <f t="shared" si="180"/>
        <v>-4.6083333333333332E-3</v>
      </c>
      <c r="K1086" s="5">
        <f t="shared" si="181"/>
        <v>1.5983180407454299E-2</v>
      </c>
      <c r="L1086" s="8">
        <f t="shared" si="178"/>
        <v>-6.1661283595253025E-2</v>
      </c>
      <c r="M1086" s="8">
        <f t="shared" si="179"/>
        <v>2.4E-2</v>
      </c>
      <c r="N1086" s="8">
        <f t="shared" si="182"/>
        <v>3.9699999999999999E-2</v>
      </c>
      <c r="O1086" s="296">
        <f t="shared" si="177"/>
        <v>-8.5661283595253018E-2</v>
      </c>
      <c r="P1086" s="8">
        <f t="shared" si="183"/>
        <v>-0.10136128359525302</v>
      </c>
      <c r="Q1086" s="8">
        <f t="shared" si="184"/>
        <v>4.0413882186641326E-2</v>
      </c>
      <c r="R1086" s="8">
        <f t="shared" si="185"/>
        <v>4.1099999999999998E-2</v>
      </c>
      <c r="S1086" s="296">
        <f t="shared" si="186"/>
        <v>-6.8611781335867206E-4</v>
      </c>
    </row>
    <row r="1087" spans="1:29" x14ac:dyDescent="0.45">
      <c r="A1087" s="304">
        <v>42430</v>
      </c>
      <c r="B1087" s="5">
        <v>6.7799999999999999E-2</v>
      </c>
      <c r="C1087" s="15">
        <v>8.14E-2</v>
      </c>
      <c r="D1087" s="5">
        <v>1.8E-3</v>
      </c>
      <c r="E1087" s="5">
        <v>3.1833333333333332E-3</v>
      </c>
      <c r="F1087" s="5">
        <v>3.2583333333333336E-3</v>
      </c>
      <c r="G1087" s="5">
        <f t="shared" si="187"/>
        <v>3.2208333333333334E-3</v>
      </c>
      <c r="H1087" s="5">
        <v>3.4666666666666669E-3</v>
      </c>
      <c r="I1087" s="5">
        <f t="shared" si="176"/>
        <v>6.6000000000000003E-2</v>
      </c>
      <c r="J1087" s="5">
        <f t="shared" si="180"/>
        <v>6.457916666666666E-2</v>
      </c>
      <c r="K1087" s="5">
        <f t="shared" si="181"/>
        <v>7.7933333333333327E-2</v>
      </c>
      <c r="L1087" s="8">
        <f t="shared" si="178"/>
        <v>1.8043163358046677E-2</v>
      </c>
      <c r="M1087" s="8">
        <f t="shared" si="179"/>
        <v>2.1600000000000001E-2</v>
      </c>
      <c r="N1087" s="8">
        <f t="shared" si="182"/>
        <v>3.8650000000000004E-2</v>
      </c>
      <c r="O1087" s="296">
        <f t="shared" si="177"/>
        <v>-3.5568366419533246E-3</v>
      </c>
      <c r="P1087" s="8">
        <f t="shared" si="183"/>
        <v>-2.0606836641953327E-2</v>
      </c>
      <c r="Q1087" s="8">
        <f t="shared" si="184"/>
        <v>0.13064372645626965</v>
      </c>
      <c r="R1087" s="8">
        <f t="shared" si="185"/>
        <v>4.1600000000000005E-2</v>
      </c>
      <c r="S1087" s="296">
        <f t="shared" si="186"/>
        <v>8.9043726456269651E-2</v>
      </c>
    </row>
    <row r="1088" spans="1:29" x14ac:dyDescent="0.45">
      <c r="A1088" s="304">
        <v>42461</v>
      </c>
      <c r="B1088" s="5">
        <v>3.8999999999999998E-3</v>
      </c>
      <c r="C1088" s="15">
        <v>-2.41E-2</v>
      </c>
      <c r="D1088" s="5">
        <v>1.6999999999999999E-3</v>
      </c>
      <c r="E1088" s="5">
        <v>3.1833333333333332E-3</v>
      </c>
      <c r="F1088" s="5">
        <v>3.2583333333333336E-3</v>
      </c>
      <c r="G1088" s="5">
        <f t="shared" si="187"/>
        <v>3.2208333333333334E-3</v>
      </c>
      <c r="H1088" s="5">
        <v>3.4666666666666669E-3</v>
      </c>
      <c r="I1088" s="5">
        <f t="shared" si="176"/>
        <v>2.1999999999999997E-3</v>
      </c>
      <c r="J1088" s="5">
        <f t="shared" si="180"/>
        <v>6.7916666666666646E-4</v>
      </c>
      <c r="K1088" s="5">
        <f t="shared" si="181"/>
        <v>-2.7566666666666666E-2</v>
      </c>
      <c r="L1088" s="8">
        <f t="shared" si="178"/>
        <v>1.2295494943683316E-2</v>
      </c>
      <c r="M1088" s="8">
        <f t="shared" si="179"/>
        <v>2.0399999999999998E-2</v>
      </c>
      <c r="N1088" s="8">
        <f t="shared" si="182"/>
        <v>3.8650000000000004E-2</v>
      </c>
      <c r="O1088" s="296">
        <f t="shared" si="177"/>
        <v>-8.1045050563166819E-3</v>
      </c>
      <c r="P1088" s="8">
        <f t="shared" si="183"/>
        <v>-2.6354505056316688E-2</v>
      </c>
      <c r="Q1088" s="8">
        <f t="shared" si="184"/>
        <v>0.11781502649039965</v>
      </c>
      <c r="R1088" s="8">
        <f t="shared" si="185"/>
        <v>4.1600000000000005E-2</v>
      </c>
      <c r="S1088" s="296">
        <f t="shared" si="186"/>
        <v>7.6215026490399657E-2</v>
      </c>
    </row>
    <row r="1089" spans="1:19" x14ac:dyDescent="0.45">
      <c r="A1089" s="304">
        <v>42491</v>
      </c>
      <c r="B1089" s="5">
        <v>1.7999999999999999E-2</v>
      </c>
      <c r="C1089" s="15">
        <v>1.5100000000000001E-2</v>
      </c>
      <c r="D1089" s="5">
        <v>2E-3</v>
      </c>
      <c r="E1089" s="5">
        <v>3.0416666666666665E-3</v>
      </c>
      <c r="F1089" s="5">
        <v>3.0833333333333333E-3</v>
      </c>
      <c r="G1089" s="5">
        <f t="shared" si="187"/>
        <v>3.0625000000000001E-3</v>
      </c>
      <c r="H1089" s="5">
        <v>3.2750000000000001E-3</v>
      </c>
      <c r="I1089" s="5">
        <f t="shared" si="176"/>
        <v>1.6E-2</v>
      </c>
      <c r="J1089" s="5">
        <f t="shared" si="180"/>
        <v>1.4937499999999999E-2</v>
      </c>
      <c r="K1089" s="5">
        <f t="shared" si="181"/>
        <v>1.1825E-2</v>
      </c>
      <c r="L1089" s="8">
        <f t="shared" si="178"/>
        <v>1.7392451231779793E-2</v>
      </c>
      <c r="M1089" s="8">
        <f t="shared" si="179"/>
        <v>2.4E-2</v>
      </c>
      <c r="N1089" s="8">
        <f t="shared" si="182"/>
        <v>3.6750000000000005E-2</v>
      </c>
      <c r="O1089" s="296">
        <f t="shared" si="177"/>
        <v>-6.6075487682202075E-3</v>
      </c>
      <c r="P1089" s="8">
        <f t="shared" si="183"/>
        <v>-1.9357548768220212E-2</v>
      </c>
      <c r="Q1089" s="8">
        <f t="shared" si="184"/>
        <v>0.12736615339334789</v>
      </c>
      <c r="R1089" s="8">
        <f t="shared" si="185"/>
        <v>3.9300000000000002E-2</v>
      </c>
      <c r="S1089" s="296">
        <f t="shared" si="186"/>
        <v>8.806615339334789E-2</v>
      </c>
    </row>
    <row r="1090" spans="1:19" x14ac:dyDescent="0.45">
      <c r="A1090" s="304">
        <v>42522</v>
      </c>
      <c r="B1090" s="5">
        <v>2.5999999999999999E-3</v>
      </c>
      <c r="C1090" s="15">
        <v>7.7899999999999997E-2</v>
      </c>
      <c r="D1090" s="5">
        <v>1.8E-3</v>
      </c>
      <c r="E1090" s="5">
        <v>2.9166666666666668E-3</v>
      </c>
      <c r="F1090" s="5">
        <v>3.0000000000000001E-3</v>
      </c>
      <c r="G1090" s="5">
        <f t="shared" si="187"/>
        <v>2.9583333333333336E-3</v>
      </c>
      <c r="H1090" s="5">
        <v>3.15E-3</v>
      </c>
      <c r="I1090" s="5">
        <f t="shared" si="176"/>
        <v>7.9999999999999993E-4</v>
      </c>
      <c r="J1090" s="5">
        <f t="shared" si="180"/>
        <v>-3.5833333333333377E-4</v>
      </c>
      <c r="K1090" s="5">
        <f t="shared" si="181"/>
        <v>7.4749999999999997E-2</v>
      </c>
      <c r="L1090" s="8">
        <f t="shared" si="178"/>
        <v>4.0217898842527688E-2</v>
      </c>
      <c r="M1090" s="8">
        <f t="shared" si="179"/>
        <v>2.1600000000000001E-2</v>
      </c>
      <c r="N1090" s="8">
        <f t="shared" si="182"/>
        <v>3.5500000000000004E-2</v>
      </c>
      <c r="O1090" s="296">
        <f t="shared" si="177"/>
        <v>1.8617898842527687E-2</v>
      </c>
      <c r="P1090" s="8">
        <f t="shared" si="183"/>
        <v>4.7178988425276847E-3</v>
      </c>
      <c r="Q1090" s="8">
        <f t="shared" si="184"/>
        <v>0.2927531667475427</v>
      </c>
      <c r="R1090" s="8">
        <f t="shared" si="185"/>
        <v>3.78E-2</v>
      </c>
      <c r="S1090" s="296">
        <f t="shared" si="186"/>
        <v>0.2549531667475427</v>
      </c>
    </row>
    <row r="1091" spans="1:19" x14ac:dyDescent="0.45">
      <c r="A1091" s="304">
        <v>42552</v>
      </c>
      <c r="B1091" s="5">
        <v>3.6900000000000002E-2</v>
      </c>
      <c r="C1091" s="15">
        <v>-8.0000000000000002E-3</v>
      </c>
      <c r="D1091" s="5">
        <v>1.4E-3</v>
      </c>
      <c r="E1091" s="5">
        <v>2.7333333333333337E-3</v>
      </c>
      <c r="F1091" s="5">
        <v>2.8250000000000003E-3</v>
      </c>
      <c r="G1091" s="5">
        <f t="shared" si="187"/>
        <v>2.7791666666666668E-3</v>
      </c>
      <c r="H1091" s="5">
        <v>2.9749999999999998E-3</v>
      </c>
      <c r="I1091" s="5">
        <f t="shared" si="176"/>
        <v>3.5500000000000004E-2</v>
      </c>
      <c r="J1091" s="5">
        <f t="shared" si="180"/>
        <v>3.4120833333333336E-2</v>
      </c>
      <c r="K1091" s="5">
        <f t="shared" si="181"/>
        <v>-1.0975E-2</v>
      </c>
      <c r="L1091" s="8">
        <f t="shared" si="178"/>
        <v>5.641717856005557E-2</v>
      </c>
      <c r="M1091" s="8">
        <f t="shared" si="179"/>
        <v>1.6799999999999999E-2</v>
      </c>
      <c r="N1091" s="8">
        <f t="shared" si="182"/>
        <v>3.3350000000000005E-2</v>
      </c>
      <c r="O1091" s="296">
        <f t="shared" si="177"/>
        <v>3.9617178560055574E-2</v>
      </c>
      <c r="P1091" s="8">
        <f t="shared" si="183"/>
        <v>2.3067178560055565E-2</v>
      </c>
      <c r="Q1091" s="8">
        <f t="shared" si="184"/>
        <v>0.22355800153951177</v>
      </c>
      <c r="R1091" s="8">
        <f t="shared" si="185"/>
        <v>3.5699999999999996E-2</v>
      </c>
      <c r="S1091" s="296">
        <f t="shared" si="186"/>
        <v>0.18785800153951177</v>
      </c>
    </row>
    <row r="1092" spans="1:19" x14ac:dyDescent="0.45">
      <c r="A1092" s="304">
        <v>42583</v>
      </c>
      <c r="B1092" s="5">
        <v>1.4E-3</v>
      </c>
      <c r="C1092" s="15">
        <v>-5.5100000000000003E-2</v>
      </c>
      <c r="D1092" s="5">
        <v>1.6000000000000001E-3</v>
      </c>
      <c r="E1092" s="5">
        <v>2.7666666666666668E-3</v>
      </c>
      <c r="F1092" s="5">
        <v>2.8499999999999997E-3</v>
      </c>
      <c r="G1092" s="5">
        <f t="shared" si="187"/>
        <v>2.8083333333333333E-3</v>
      </c>
      <c r="H1092" s="5">
        <v>2.9916666666666663E-3</v>
      </c>
      <c r="I1092" s="5">
        <f t="shared" si="176"/>
        <v>-2.0000000000000009E-4</v>
      </c>
      <c r="J1092" s="5">
        <f t="shared" si="180"/>
        <v>-1.4083333333333333E-3</v>
      </c>
      <c r="K1092" s="5">
        <f t="shared" si="181"/>
        <v>-5.8091666666666666E-2</v>
      </c>
      <c r="L1092" s="8">
        <f t="shared" si="178"/>
        <v>0.12578074131109873</v>
      </c>
      <c r="M1092" s="8">
        <f t="shared" si="179"/>
        <v>1.9200000000000002E-2</v>
      </c>
      <c r="N1092" s="8">
        <f t="shared" si="182"/>
        <v>3.3700000000000001E-2</v>
      </c>
      <c r="O1092" s="296">
        <f t="shared" si="177"/>
        <v>0.10658074131109874</v>
      </c>
      <c r="P1092" s="8">
        <f t="shared" si="183"/>
        <v>9.2080741311098724E-2</v>
      </c>
      <c r="Q1092" s="8">
        <f t="shared" si="184"/>
        <v>0.20393622373704501</v>
      </c>
      <c r="R1092" s="8">
        <f t="shared" si="185"/>
        <v>3.5899999999999994E-2</v>
      </c>
      <c r="S1092" s="296">
        <f t="shared" si="186"/>
        <v>0.16803622373704502</v>
      </c>
    </row>
    <row r="1093" spans="1:19" x14ac:dyDescent="0.45">
      <c r="A1093" s="304">
        <v>42614</v>
      </c>
      <c r="B1093" s="5">
        <v>2.0000000000000001E-4</v>
      </c>
      <c r="C1093" s="15">
        <v>4.0000000000000001E-3</v>
      </c>
      <c r="D1093" s="5">
        <v>1.5E-3</v>
      </c>
      <c r="E1093" s="5">
        <v>2.8416666666666668E-3</v>
      </c>
      <c r="F1093" s="5">
        <v>2.9166666666666668E-3</v>
      </c>
      <c r="G1093" s="5">
        <f t="shared" si="187"/>
        <v>2.879166666666667E-3</v>
      </c>
      <c r="H1093" s="5">
        <v>3.0499999999999998E-3</v>
      </c>
      <c r="I1093" s="5">
        <f t="shared" si="176"/>
        <v>-1.2999999999999999E-3</v>
      </c>
      <c r="J1093" s="5">
        <f t="shared" si="180"/>
        <v>-2.6791666666666669E-3</v>
      </c>
      <c r="K1093" s="5">
        <f t="shared" si="181"/>
        <v>9.5000000000000032E-4</v>
      </c>
      <c r="L1093" s="8">
        <f t="shared" si="178"/>
        <v>0.15452260582319388</v>
      </c>
      <c r="M1093" s="8">
        <f t="shared" si="179"/>
        <v>1.8000000000000002E-2</v>
      </c>
      <c r="N1093" s="8">
        <f t="shared" si="182"/>
        <v>3.4550000000000004E-2</v>
      </c>
      <c r="O1093" s="296">
        <f t="shared" si="177"/>
        <v>0.13652260582319387</v>
      </c>
      <c r="P1093" s="8">
        <f t="shared" si="183"/>
        <v>0.11997260582319388</v>
      </c>
      <c r="Q1093" s="8">
        <f t="shared" si="184"/>
        <v>0.17468607252866231</v>
      </c>
      <c r="R1093" s="8">
        <f t="shared" si="185"/>
        <v>3.6599999999999994E-2</v>
      </c>
      <c r="S1093" s="296">
        <f t="shared" si="186"/>
        <v>0.13808607252866231</v>
      </c>
    </row>
    <row r="1094" spans="1:19" x14ac:dyDescent="0.45">
      <c r="A1094" s="304">
        <v>42644</v>
      </c>
      <c r="B1094" s="5">
        <v>-1.8200000000000001E-2</v>
      </c>
      <c r="C1094" s="15">
        <v>8.6E-3</v>
      </c>
      <c r="D1094" s="5">
        <v>1.6000000000000001E-3</v>
      </c>
      <c r="E1094" s="5">
        <v>2.8416666666666668E-3</v>
      </c>
      <c r="F1094" s="5">
        <v>2.9166666666666668E-3</v>
      </c>
      <c r="G1094" s="5">
        <f t="shared" si="187"/>
        <v>2.879166666666667E-3</v>
      </c>
      <c r="H1094" s="5">
        <v>3.0499999999999998E-3</v>
      </c>
      <c r="I1094" s="5">
        <f t="shared" ref="I1094:I1157" si="188">B1094-D1094</f>
        <v>-1.9800000000000002E-2</v>
      </c>
      <c r="J1094" s="5">
        <f t="shared" si="180"/>
        <v>-2.107916666666667E-2</v>
      </c>
      <c r="K1094" s="5">
        <f t="shared" si="181"/>
        <v>5.5500000000000002E-3</v>
      </c>
      <c r="L1094" s="8">
        <f t="shared" si="178"/>
        <v>4.5287988193666751E-2</v>
      </c>
      <c r="M1094" s="8">
        <f t="shared" si="179"/>
        <v>1.9200000000000002E-2</v>
      </c>
      <c r="N1094" s="8">
        <f t="shared" si="182"/>
        <v>3.4550000000000004E-2</v>
      </c>
      <c r="O1094" s="296">
        <f t="shared" si="177"/>
        <v>2.6087988193666749E-2</v>
      </c>
      <c r="P1094" s="8">
        <f t="shared" si="183"/>
        <v>1.0737988193666746E-2</v>
      </c>
      <c r="Q1094" s="8">
        <f t="shared" si="184"/>
        <v>0.17212937549704077</v>
      </c>
      <c r="R1094" s="8">
        <f t="shared" si="185"/>
        <v>3.6599999999999994E-2</v>
      </c>
      <c r="S1094" s="296">
        <f t="shared" si="186"/>
        <v>0.13552937549704078</v>
      </c>
    </row>
    <row r="1095" spans="1:19" x14ac:dyDescent="0.45">
      <c r="A1095" s="304">
        <v>42675</v>
      </c>
      <c r="B1095" s="5">
        <v>3.6999999999999998E-2</v>
      </c>
      <c r="C1095" s="15">
        <v>-5.3900000000000003E-2</v>
      </c>
      <c r="D1095" s="5">
        <v>1.8E-3</v>
      </c>
      <c r="E1095" s="5">
        <v>3.2166666666666667E-3</v>
      </c>
      <c r="F1095" s="5">
        <v>3.2750000000000001E-3</v>
      </c>
      <c r="G1095" s="5">
        <f t="shared" si="187"/>
        <v>3.2458333333333332E-3</v>
      </c>
      <c r="H1095" s="5">
        <v>3.4000000000000002E-3</v>
      </c>
      <c r="I1095" s="5">
        <f t="shared" si="188"/>
        <v>3.5199999999999995E-2</v>
      </c>
      <c r="J1095" s="5">
        <f t="shared" si="180"/>
        <v>3.3754166666666668E-2</v>
      </c>
      <c r="K1095" s="5">
        <f t="shared" si="181"/>
        <v>-5.7300000000000004E-2</v>
      </c>
      <c r="L1095" s="8">
        <f t="shared" si="178"/>
        <v>8.0721479318875522E-2</v>
      </c>
      <c r="M1095" s="8">
        <f t="shared" si="179"/>
        <v>2.1600000000000001E-2</v>
      </c>
      <c r="N1095" s="8">
        <f t="shared" si="182"/>
        <v>3.8949999999999999E-2</v>
      </c>
      <c r="O1095" s="296">
        <f t="shared" si="177"/>
        <v>5.9121479318875521E-2</v>
      </c>
      <c r="P1095" s="8">
        <f t="shared" si="183"/>
        <v>4.1771479318875523E-2</v>
      </c>
      <c r="Q1095" s="8">
        <f t="shared" si="184"/>
        <v>0.13308634122586094</v>
      </c>
      <c r="R1095" s="8">
        <f t="shared" si="185"/>
        <v>4.0800000000000003E-2</v>
      </c>
      <c r="S1095" s="296">
        <f t="shared" si="186"/>
        <v>9.2286341225860935E-2</v>
      </c>
    </row>
    <row r="1096" spans="1:19" s="5" customFormat="1" x14ac:dyDescent="0.45">
      <c r="A1096" s="304">
        <v>42705</v>
      </c>
      <c r="B1096" s="5">
        <v>1.9800000000000002E-2</v>
      </c>
      <c r="C1096" s="15">
        <v>4.9399999999999999E-2</v>
      </c>
      <c r="D1096" s="5">
        <v>2.2000000000000001E-3</v>
      </c>
      <c r="E1096" s="5">
        <v>3.3833333333333332E-3</v>
      </c>
      <c r="F1096" s="5">
        <v>3.4333333333333334E-3</v>
      </c>
      <c r="G1096" s="5">
        <f t="shared" si="187"/>
        <v>3.4083333333333335E-3</v>
      </c>
      <c r="H1096" s="5">
        <v>3.5583333333333326E-3</v>
      </c>
      <c r="I1096" s="5">
        <f t="shared" si="188"/>
        <v>1.7600000000000001E-2</v>
      </c>
      <c r="J1096" s="5">
        <f t="shared" si="180"/>
        <v>1.6391666666666669E-2</v>
      </c>
      <c r="K1096" s="5">
        <f t="shared" si="181"/>
        <v>4.5841666666666669E-2</v>
      </c>
      <c r="L1096" s="8">
        <f t="shared" si="178"/>
        <v>0.11981280695934715</v>
      </c>
      <c r="M1096" s="8">
        <f t="shared" si="179"/>
        <v>2.64E-2</v>
      </c>
      <c r="N1096" s="8">
        <f t="shared" si="182"/>
        <v>4.0900000000000006E-2</v>
      </c>
      <c r="O1096" s="296">
        <f t="shared" si="177"/>
        <v>9.3412806959347144E-2</v>
      </c>
      <c r="P1096" s="8">
        <f t="shared" si="183"/>
        <v>7.8912806959347145E-2</v>
      </c>
      <c r="Q1096" s="8">
        <f t="shared" si="184"/>
        <v>0.16392013163901531</v>
      </c>
      <c r="R1096" s="8">
        <f t="shared" si="185"/>
        <v>4.2699999999999988E-2</v>
      </c>
      <c r="S1096" s="296">
        <f t="shared" si="186"/>
        <v>0.12122013163901532</v>
      </c>
    </row>
    <row r="1097" spans="1:19" s="5" customFormat="1" x14ac:dyDescent="0.45">
      <c r="A1097" s="304">
        <v>42736</v>
      </c>
      <c r="B1097" s="5">
        <v>1.9E-2</v>
      </c>
      <c r="C1097" s="5">
        <v>1.26E-2</v>
      </c>
      <c r="D1097" s="5">
        <v>2.3999999999999998E-3</v>
      </c>
      <c r="E1097" s="5">
        <v>3.2666666666666664E-3</v>
      </c>
      <c r="F1097" s="5">
        <v>3.3166666666666665E-3</v>
      </c>
      <c r="G1097" s="5">
        <f t="shared" si="187"/>
        <v>3.2916666666666667E-3</v>
      </c>
      <c r="H1097" s="5">
        <v>3.3E-3</v>
      </c>
      <c r="I1097" s="5">
        <f t="shared" si="188"/>
        <v>1.66E-2</v>
      </c>
      <c r="J1097" s="5">
        <f t="shared" si="180"/>
        <v>1.5708333333333331E-2</v>
      </c>
      <c r="K1097" s="5">
        <f t="shared" si="181"/>
        <v>9.2999999999999992E-3</v>
      </c>
      <c r="L1097" s="8">
        <f t="shared" si="178"/>
        <v>0.20064104618221212</v>
      </c>
      <c r="M1097" s="8">
        <f t="shared" si="179"/>
        <v>2.8799999999999999E-2</v>
      </c>
      <c r="N1097" s="8">
        <f t="shared" si="182"/>
        <v>3.95E-2</v>
      </c>
      <c r="O1097" s="296">
        <f t="shared" si="177"/>
        <v>0.17184104618221213</v>
      </c>
      <c r="P1097" s="8">
        <f t="shared" si="183"/>
        <v>0.16114104618221212</v>
      </c>
      <c r="Q1097" s="8">
        <f t="shared" si="184"/>
        <v>0.12329369301430848</v>
      </c>
      <c r="R1097" s="8">
        <f t="shared" si="185"/>
        <v>3.9599999999999996E-2</v>
      </c>
      <c r="S1097" s="296">
        <f t="shared" si="186"/>
        <v>8.3693693014308485E-2</v>
      </c>
    </row>
    <row r="1098" spans="1:19" s="5" customFormat="1" x14ac:dyDescent="0.45">
      <c r="A1098" s="304">
        <v>42767</v>
      </c>
      <c r="B1098" s="5">
        <v>3.9699999999999999E-2</v>
      </c>
      <c r="C1098" s="5">
        <v>5.2600000000000001E-2</v>
      </c>
      <c r="D1098" s="5">
        <v>2.0999999999999999E-3</v>
      </c>
      <c r="E1098" s="5">
        <v>3.2916666666666667E-3</v>
      </c>
      <c r="F1098" s="5">
        <v>3.3416666666666668E-3</v>
      </c>
      <c r="G1098" s="5">
        <f t="shared" si="187"/>
        <v>3.3166666666666665E-3</v>
      </c>
      <c r="H1098" s="5">
        <v>3.3250000000000003E-3</v>
      </c>
      <c r="I1098" s="5">
        <f t="shared" si="188"/>
        <v>3.7600000000000001E-2</v>
      </c>
      <c r="J1098" s="5">
        <f t="shared" si="180"/>
        <v>3.638333333333333E-2</v>
      </c>
      <c r="K1098" s="5">
        <f t="shared" si="181"/>
        <v>4.9274999999999999E-2</v>
      </c>
      <c r="L1098" s="8">
        <f t="shared" si="178"/>
        <v>0.24993140654415336</v>
      </c>
      <c r="M1098" s="8">
        <f t="shared" si="179"/>
        <v>2.52E-2</v>
      </c>
      <c r="N1098" s="8">
        <f t="shared" si="182"/>
        <v>3.9800000000000002E-2</v>
      </c>
      <c r="O1098" s="296">
        <f t="shared" si="177"/>
        <v>0.22473140654415336</v>
      </c>
      <c r="P1098" s="8">
        <f t="shared" si="183"/>
        <v>0.21013140654415335</v>
      </c>
      <c r="Q1098" s="8">
        <f t="shared" si="184"/>
        <v>0.15986801360988445</v>
      </c>
      <c r="R1098" s="8">
        <f t="shared" si="185"/>
        <v>3.9900000000000005E-2</v>
      </c>
      <c r="S1098" s="296">
        <f t="shared" si="186"/>
        <v>0.11996801360988445</v>
      </c>
    </row>
    <row r="1099" spans="1:19" s="5" customFormat="1" x14ac:dyDescent="0.45">
      <c r="A1099" s="304">
        <v>42795</v>
      </c>
      <c r="B1099" s="5">
        <v>1.1999999999999999E-3</v>
      </c>
      <c r="C1099" s="5">
        <v>2.98E-2</v>
      </c>
      <c r="D1099" s="5">
        <v>2.3E-3</v>
      </c>
      <c r="E1099" s="5">
        <v>3.2916666666666667E-3</v>
      </c>
      <c r="F1099" s="5">
        <v>3.3416666666666668E-3</v>
      </c>
      <c r="G1099" s="5">
        <f t="shared" si="187"/>
        <v>3.3166666666666665E-3</v>
      </c>
      <c r="H1099" s="5">
        <v>3.3250000000000003E-3</v>
      </c>
      <c r="I1099" s="5">
        <f t="shared" si="188"/>
        <v>-1.1000000000000001E-3</v>
      </c>
      <c r="J1099" s="5">
        <f t="shared" si="180"/>
        <v>-2.1166666666666669E-3</v>
      </c>
      <c r="K1099" s="5">
        <f t="shared" si="181"/>
        <v>2.6474999999999999E-2</v>
      </c>
      <c r="L1099" s="8">
        <f t="shared" si="178"/>
        <v>0.17197164659300102</v>
      </c>
      <c r="M1099" s="8">
        <f t="shared" si="179"/>
        <v>2.76E-2</v>
      </c>
      <c r="N1099" s="8">
        <f t="shared" si="182"/>
        <v>3.9800000000000002E-2</v>
      </c>
      <c r="O1099" s="296">
        <f t="shared" si="177"/>
        <v>0.144371646593001</v>
      </c>
      <c r="P1099" s="8">
        <f t="shared" si="183"/>
        <v>0.13217164659300101</v>
      </c>
      <c r="Q1099" s="8">
        <f t="shared" si="184"/>
        <v>0.10452383985154334</v>
      </c>
      <c r="R1099" s="8">
        <f t="shared" si="185"/>
        <v>3.9900000000000005E-2</v>
      </c>
      <c r="S1099" s="296">
        <f t="shared" si="186"/>
        <v>6.4623839851543338E-2</v>
      </c>
    </row>
    <row r="1100" spans="1:19" s="5" customFormat="1" x14ac:dyDescent="0.45">
      <c r="A1100" s="304">
        <v>42826</v>
      </c>
      <c r="B1100" s="5">
        <v>1.03E-2</v>
      </c>
      <c r="C1100" s="5">
        <v>7.7999999999999996E-3</v>
      </c>
      <c r="D1100" s="5">
        <v>2.0999999999999999E-3</v>
      </c>
      <c r="E1100" s="5">
        <v>3.225E-3</v>
      </c>
      <c r="F1100" s="5">
        <v>3.2750000000000001E-3</v>
      </c>
      <c r="G1100" s="5">
        <f t="shared" si="187"/>
        <v>3.2500000000000003E-3</v>
      </c>
      <c r="H1100" s="5">
        <v>3.2750000000000001E-3</v>
      </c>
      <c r="I1100" s="5">
        <f t="shared" si="188"/>
        <v>8.2000000000000007E-3</v>
      </c>
      <c r="J1100" s="5">
        <f t="shared" si="180"/>
        <v>7.0499999999999998E-3</v>
      </c>
      <c r="K1100" s="5">
        <f t="shared" si="181"/>
        <v>4.5249999999999995E-3</v>
      </c>
      <c r="L1100" s="8">
        <f t="shared" si="178"/>
        <v>0.17944312636010462</v>
      </c>
      <c r="M1100" s="8">
        <f t="shared" si="179"/>
        <v>2.52E-2</v>
      </c>
      <c r="N1100" s="8">
        <f t="shared" si="182"/>
        <v>3.9000000000000007E-2</v>
      </c>
      <c r="O1100" s="296">
        <f t="shared" si="177"/>
        <v>0.15424312636010462</v>
      </c>
      <c r="P1100" s="8">
        <f t="shared" si="183"/>
        <v>0.14044312636010461</v>
      </c>
      <c r="Q1100" s="8">
        <f t="shared" si="184"/>
        <v>0.14062826703800146</v>
      </c>
      <c r="R1100" s="8">
        <f t="shared" si="185"/>
        <v>3.9300000000000002E-2</v>
      </c>
      <c r="S1100" s="296">
        <f t="shared" si="186"/>
        <v>0.10132826703800146</v>
      </c>
    </row>
    <row r="1101" spans="1:19" s="5" customFormat="1" x14ac:dyDescent="0.45">
      <c r="A1101" s="304">
        <v>42856</v>
      </c>
      <c r="B1101" s="5">
        <v>1.41E-2</v>
      </c>
      <c r="C1101" s="5">
        <v>4.2200000000000001E-2</v>
      </c>
      <c r="D1101" s="5">
        <v>2.3999999999999998E-3</v>
      </c>
      <c r="E1101" s="5">
        <v>3.2083333333333334E-3</v>
      </c>
      <c r="F1101" s="5">
        <v>3.2750000000000001E-3</v>
      </c>
      <c r="G1101" s="5">
        <f t="shared" si="187"/>
        <v>3.241666666666667E-3</v>
      </c>
      <c r="H1101" s="5">
        <v>3.2750000000000001E-3</v>
      </c>
      <c r="I1101" s="5">
        <f t="shared" si="188"/>
        <v>1.17E-2</v>
      </c>
      <c r="J1101" s="5">
        <f t="shared" si="180"/>
        <v>1.0858333333333333E-2</v>
      </c>
      <c r="K1101" s="5">
        <f t="shared" si="181"/>
        <v>3.8925000000000001E-2</v>
      </c>
      <c r="L1101" s="8">
        <f t="shared" si="178"/>
        <v>0.17492463108230072</v>
      </c>
      <c r="M1101" s="8">
        <f t="shared" si="179"/>
        <v>2.8799999999999999E-2</v>
      </c>
      <c r="N1101" s="8">
        <f t="shared" si="182"/>
        <v>3.8900000000000004E-2</v>
      </c>
      <c r="O1101" s="296">
        <f t="shared" si="177"/>
        <v>0.14612463108230073</v>
      </c>
      <c r="P1101" s="8">
        <f t="shared" si="183"/>
        <v>0.13602463108230073</v>
      </c>
      <c r="Q1101" s="8">
        <f t="shared" si="184"/>
        <v>0.1710794797625903</v>
      </c>
      <c r="R1101" s="8">
        <f t="shared" si="185"/>
        <v>3.9300000000000002E-2</v>
      </c>
      <c r="S1101" s="296">
        <f t="shared" si="186"/>
        <v>0.1317794797625903</v>
      </c>
    </row>
    <row r="1102" spans="1:19" s="5" customFormat="1" x14ac:dyDescent="0.45">
      <c r="A1102" s="304">
        <v>42887</v>
      </c>
      <c r="B1102" s="5">
        <v>6.1999999999999998E-3</v>
      </c>
      <c r="C1102" s="5">
        <v>-2.7E-2</v>
      </c>
      <c r="D1102" s="5">
        <v>2.0999999999999999E-3</v>
      </c>
      <c r="E1102" s="5">
        <v>3.0666666666666672E-3</v>
      </c>
      <c r="F1102" s="5">
        <v>3.1416666666666663E-3</v>
      </c>
      <c r="G1102" s="5">
        <f t="shared" si="187"/>
        <v>3.1041666666666665E-3</v>
      </c>
      <c r="H1102" s="5">
        <v>3.1416666666666663E-3</v>
      </c>
      <c r="I1102" s="5">
        <f t="shared" si="188"/>
        <v>4.0999999999999995E-3</v>
      </c>
      <c r="J1102" s="5">
        <f t="shared" si="180"/>
        <v>3.0958333333333332E-3</v>
      </c>
      <c r="K1102" s="5">
        <f t="shared" si="181"/>
        <v>-3.0141666666666667E-2</v>
      </c>
      <c r="L1102" s="8">
        <f t="shared" si="178"/>
        <v>0.17914339097846721</v>
      </c>
      <c r="M1102" s="8">
        <f t="shared" si="179"/>
        <v>2.52E-2</v>
      </c>
      <c r="N1102" s="8">
        <f t="shared" si="182"/>
        <v>3.7249999999999998E-2</v>
      </c>
      <c r="O1102" s="296">
        <f t="shared" si="177"/>
        <v>0.15394339097846721</v>
      </c>
      <c r="P1102" s="8">
        <f t="shared" si="183"/>
        <v>0.1418933909784672</v>
      </c>
      <c r="Q1102" s="8">
        <f t="shared" si="184"/>
        <v>5.711135894702668E-2</v>
      </c>
      <c r="R1102" s="8">
        <f t="shared" si="185"/>
        <v>3.7699999999999997E-2</v>
      </c>
      <c r="S1102" s="296">
        <f t="shared" si="186"/>
        <v>1.9411358947026683E-2</v>
      </c>
    </row>
    <row r="1103" spans="1:19" s="5" customFormat="1" x14ac:dyDescent="0.45">
      <c r="A1103" s="304">
        <v>42917</v>
      </c>
      <c r="B1103" s="5">
        <v>2.06E-2</v>
      </c>
      <c r="C1103" s="5">
        <v>2.4400000000000002E-2</v>
      </c>
      <c r="D1103" s="5">
        <v>2.2000000000000001E-3</v>
      </c>
      <c r="E1103" s="5">
        <v>3.15E-3</v>
      </c>
      <c r="F1103" s="5">
        <v>3.225E-3</v>
      </c>
      <c r="G1103" s="5">
        <f t="shared" si="187"/>
        <v>3.1875000000000002E-3</v>
      </c>
      <c r="H1103" s="5">
        <v>3.2333333333333329E-3</v>
      </c>
      <c r="I1103" s="5">
        <f t="shared" si="188"/>
        <v>1.84E-2</v>
      </c>
      <c r="J1103" s="5">
        <f t="shared" si="180"/>
        <v>1.7412500000000001E-2</v>
      </c>
      <c r="K1103" s="5">
        <f t="shared" si="181"/>
        <v>2.1166666666666667E-2</v>
      </c>
      <c r="L1103" s="8">
        <f t="shared" si="178"/>
        <v>0.16060733420062023</v>
      </c>
      <c r="M1103" s="8">
        <f t="shared" si="179"/>
        <v>2.64E-2</v>
      </c>
      <c r="N1103" s="8">
        <f t="shared" si="182"/>
        <v>3.8250000000000006E-2</v>
      </c>
      <c r="O1103" s="296">
        <f t="shared" si="177"/>
        <v>0.13420733420062023</v>
      </c>
      <c r="P1103" s="8">
        <f t="shared" si="183"/>
        <v>0.12235733420062023</v>
      </c>
      <c r="Q1103" s="8">
        <f t="shared" si="184"/>
        <v>9.16379799448932E-2</v>
      </c>
      <c r="R1103" s="8">
        <f t="shared" si="185"/>
        <v>3.8799999999999994E-2</v>
      </c>
      <c r="S1103" s="296">
        <f t="shared" si="186"/>
        <v>5.2837979944893206E-2</v>
      </c>
    </row>
    <row r="1104" spans="1:19" s="5" customFormat="1" x14ac:dyDescent="0.45">
      <c r="A1104" s="304">
        <v>42948</v>
      </c>
      <c r="B1104" s="5">
        <v>3.0999999999999999E-3</v>
      </c>
      <c r="C1104" s="5">
        <v>3.2399999999999998E-2</v>
      </c>
      <c r="D1104" s="5">
        <v>2.2000000000000001E-3</v>
      </c>
      <c r="E1104" s="5">
        <v>3.0833333333333333E-3</v>
      </c>
      <c r="F1104" s="5">
        <v>3.1666666666666666E-3</v>
      </c>
      <c r="G1104" s="5">
        <f t="shared" si="187"/>
        <v>3.1250000000000002E-3</v>
      </c>
      <c r="H1104" s="5">
        <v>3.1833333333333332E-3</v>
      </c>
      <c r="I1104" s="5">
        <f t="shared" si="188"/>
        <v>8.9999999999999976E-4</v>
      </c>
      <c r="J1104" s="5">
        <f t="shared" si="180"/>
        <v>-2.5000000000000282E-5</v>
      </c>
      <c r="K1104" s="5">
        <f t="shared" si="181"/>
        <v>2.9216666666666665E-2</v>
      </c>
      <c r="L1104" s="8">
        <f t="shared" si="178"/>
        <v>0.1625776082850432</v>
      </c>
      <c r="M1104" s="8">
        <f t="shared" si="179"/>
        <v>2.64E-2</v>
      </c>
      <c r="N1104" s="8">
        <f t="shared" si="182"/>
        <v>3.7500000000000006E-2</v>
      </c>
      <c r="O1104" s="296">
        <f t="shared" ref="O1104:O1167" si="189">L1104-M1104</f>
        <v>0.13617760828504319</v>
      </c>
      <c r="P1104" s="8">
        <f t="shared" si="183"/>
        <v>0.12507760828504319</v>
      </c>
      <c r="Q1104" s="8">
        <f t="shared" si="184"/>
        <v>0.19272626785385505</v>
      </c>
      <c r="R1104" s="8">
        <f t="shared" si="185"/>
        <v>3.8199999999999998E-2</v>
      </c>
      <c r="S1104" s="296">
        <f t="shared" si="186"/>
        <v>0.15452626785385504</v>
      </c>
    </row>
    <row r="1105" spans="1:19" s="5" customFormat="1" x14ac:dyDescent="0.45">
      <c r="A1105" s="304">
        <v>42979</v>
      </c>
      <c r="B1105" s="5">
        <v>2.06E-2</v>
      </c>
      <c r="C1105" s="5">
        <v>-2.7300000000000001E-2</v>
      </c>
      <c r="D1105" s="5">
        <v>1.9E-3</v>
      </c>
      <c r="E1105" s="5">
        <v>3.0249999999999999E-3</v>
      </c>
      <c r="F1105" s="5">
        <v>3.0999999999999999E-3</v>
      </c>
      <c r="G1105" s="5">
        <f t="shared" si="187"/>
        <v>3.0625000000000001E-3</v>
      </c>
      <c r="H1105" s="5">
        <v>3.0583333333333335E-3</v>
      </c>
      <c r="I1105" s="5">
        <f t="shared" si="188"/>
        <v>1.8700000000000001E-2</v>
      </c>
      <c r="J1105" s="5">
        <f t="shared" si="180"/>
        <v>1.7537500000000001E-2</v>
      </c>
      <c r="K1105" s="5">
        <f t="shared" si="181"/>
        <v>-3.0358333333333334E-2</v>
      </c>
      <c r="L1105" s="8">
        <f t="shared" ref="L1105:L1168" si="190">((1+B1094)*(1+B1095)*(1+B1096)*(1+B1097)*(1+B1098)*(1+B1099)*(1+B1100)*(1+B1101)*(1+B1102)*(1+B1103)*(1+B1104)*(1+B1105))-1</f>
        <v>0.18628944912588996</v>
      </c>
      <c r="M1105" s="8">
        <f t="shared" ref="M1105:M1168" si="191">D1105*12</f>
        <v>2.2800000000000001E-2</v>
      </c>
      <c r="N1105" s="8">
        <f t="shared" si="182"/>
        <v>3.6750000000000005E-2</v>
      </c>
      <c r="O1105" s="296">
        <f t="shared" si="189"/>
        <v>0.16348944912588997</v>
      </c>
      <c r="P1105" s="8">
        <f t="shared" si="183"/>
        <v>0.14953944912588996</v>
      </c>
      <c r="Q1105" s="8">
        <f t="shared" si="184"/>
        <v>0.15554267006120037</v>
      </c>
      <c r="R1105" s="8">
        <f t="shared" si="185"/>
        <v>3.6700000000000003E-2</v>
      </c>
      <c r="S1105" s="296">
        <f t="shared" si="186"/>
        <v>0.11884267006120036</v>
      </c>
    </row>
    <row r="1106" spans="1:19" s="5" customFormat="1" x14ac:dyDescent="0.45">
      <c r="A1106" s="304">
        <v>43009</v>
      </c>
      <c r="B1106" s="5">
        <v>2.3300000000000001E-2</v>
      </c>
      <c r="C1106" s="5">
        <v>3.9E-2</v>
      </c>
      <c r="D1106" s="5">
        <v>2.2000000000000001E-3</v>
      </c>
      <c r="E1106" s="5">
        <v>3.0000000000000001E-3</v>
      </c>
      <c r="F1106" s="5">
        <v>3.1166666666666669E-3</v>
      </c>
      <c r="G1106" s="5">
        <f t="shared" si="187"/>
        <v>3.0583333333333335E-3</v>
      </c>
      <c r="H1106" s="5">
        <v>3.1166666666666669E-3</v>
      </c>
      <c r="I1106" s="5">
        <f t="shared" si="188"/>
        <v>2.1100000000000001E-2</v>
      </c>
      <c r="J1106" s="5">
        <f t="shared" si="180"/>
        <v>2.0241666666666668E-2</v>
      </c>
      <c r="K1106" s="5">
        <f t="shared" si="181"/>
        <v>3.5883333333333337E-2</v>
      </c>
      <c r="L1106" s="8">
        <f t="shared" si="190"/>
        <v>0.23643307526025992</v>
      </c>
      <c r="M1106" s="8">
        <f t="shared" si="191"/>
        <v>2.64E-2</v>
      </c>
      <c r="N1106" s="8">
        <f t="shared" si="182"/>
        <v>3.6700000000000003E-2</v>
      </c>
      <c r="O1106" s="296">
        <f t="shared" si="189"/>
        <v>0.21003307526025991</v>
      </c>
      <c r="P1106" s="8">
        <f t="shared" si="183"/>
        <v>0.19973307526025991</v>
      </c>
      <c r="Q1106" s="8">
        <f t="shared" si="184"/>
        <v>0.19037163810587621</v>
      </c>
      <c r="R1106" s="8">
        <f t="shared" si="185"/>
        <v>3.7400000000000003E-2</v>
      </c>
      <c r="S1106" s="296">
        <f t="shared" si="186"/>
        <v>0.15297163810587622</v>
      </c>
    </row>
    <row r="1107" spans="1:19" s="5" customFormat="1" x14ac:dyDescent="0.45">
      <c r="A1107" s="304">
        <v>43040</v>
      </c>
      <c r="B1107" s="5">
        <v>3.0700000000000002E-2</v>
      </c>
      <c r="C1107" s="5">
        <v>2.75E-2</v>
      </c>
      <c r="D1107" s="5">
        <v>2.0999999999999999E-3</v>
      </c>
      <c r="E1107" s="5">
        <v>3.0000000000000001E-3</v>
      </c>
      <c r="F1107" s="5">
        <v>3.1166666666666669E-3</v>
      </c>
      <c r="G1107" s="5">
        <f t="shared" si="187"/>
        <v>3.0583333333333335E-3</v>
      </c>
      <c r="H1107" s="5">
        <v>3.1166666666666669E-3</v>
      </c>
      <c r="I1107" s="5">
        <f t="shared" si="188"/>
        <v>2.86E-2</v>
      </c>
      <c r="J1107" s="5">
        <f t="shared" si="180"/>
        <v>2.7641666666666669E-2</v>
      </c>
      <c r="K1107" s="5">
        <f t="shared" si="181"/>
        <v>2.4383333333333333E-2</v>
      </c>
      <c r="L1107" s="8">
        <f t="shared" si="190"/>
        <v>0.22892147605665381</v>
      </c>
      <c r="M1107" s="8">
        <f t="shared" si="191"/>
        <v>2.52E-2</v>
      </c>
      <c r="N1107" s="8">
        <f t="shared" si="182"/>
        <v>3.6700000000000003E-2</v>
      </c>
      <c r="O1107" s="296">
        <f t="shared" si="189"/>
        <v>0.20372147605665381</v>
      </c>
      <c r="P1107" s="8">
        <f t="shared" si="183"/>
        <v>0.19222147605665379</v>
      </c>
      <c r="Q1107" s="8">
        <f t="shared" si="184"/>
        <v>0.29278813883710808</v>
      </c>
      <c r="R1107" s="8">
        <f t="shared" si="185"/>
        <v>3.7400000000000003E-2</v>
      </c>
      <c r="S1107" s="296">
        <f t="shared" si="186"/>
        <v>0.25538813883710809</v>
      </c>
    </row>
    <row r="1108" spans="1:19" s="5" customFormat="1" x14ac:dyDescent="0.45">
      <c r="A1108" s="304">
        <v>43070</v>
      </c>
      <c r="B1108" s="5">
        <v>1.11E-2</v>
      </c>
      <c r="C1108" s="5">
        <v>-6.13E-2</v>
      </c>
      <c r="D1108" s="5">
        <v>2E-3</v>
      </c>
      <c r="E1108" s="5">
        <v>2.9249999999999996E-3</v>
      </c>
      <c r="F1108" s="5">
        <v>3.0083333333333333E-3</v>
      </c>
      <c r="G1108" s="5">
        <f t="shared" si="187"/>
        <v>2.9666666666666665E-3</v>
      </c>
      <c r="H1108" s="5">
        <v>3.0166666666666671E-3</v>
      </c>
      <c r="I1108" s="5">
        <f t="shared" si="188"/>
        <v>9.1000000000000004E-3</v>
      </c>
      <c r="J1108" s="5">
        <f t="shared" si="180"/>
        <v>8.1333333333333344E-3</v>
      </c>
      <c r="K1108" s="5">
        <f t="shared" si="181"/>
        <v>-6.4316666666666661E-2</v>
      </c>
      <c r="L1108" s="8">
        <f t="shared" si="190"/>
        <v>0.21843744306813351</v>
      </c>
      <c r="M1108" s="8">
        <f t="shared" si="191"/>
        <v>2.4E-2</v>
      </c>
      <c r="N1108" s="8">
        <f t="shared" si="182"/>
        <v>3.56E-2</v>
      </c>
      <c r="O1108" s="296">
        <f t="shared" si="189"/>
        <v>0.19443744306813351</v>
      </c>
      <c r="P1108" s="8">
        <f t="shared" si="183"/>
        <v>0.18283744306813351</v>
      </c>
      <c r="Q1108" s="8">
        <f t="shared" si="184"/>
        <v>0.15641340377967738</v>
      </c>
      <c r="R1108" s="8">
        <f t="shared" si="185"/>
        <v>3.6200000000000003E-2</v>
      </c>
      <c r="S1108" s="296">
        <f t="shared" si="186"/>
        <v>0.12021340377967737</v>
      </c>
    </row>
    <row r="1109" spans="1:19" s="5" customFormat="1" x14ac:dyDescent="0.45">
      <c r="A1109" s="304">
        <v>43101</v>
      </c>
      <c r="B1109" s="5">
        <v>5.7299999999999997E-2</v>
      </c>
      <c r="C1109" s="5">
        <v>-3.0700000000000002E-2</v>
      </c>
      <c r="D1109" s="5">
        <v>2.3999999999999998E-3</v>
      </c>
      <c r="E1109" s="5">
        <v>2.9249999999999996E-3</v>
      </c>
      <c r="F1109" s="5">
        <v>3.0083333333333333E-3</v>
      </c>
      <c r="G1109" s="5">
        <f t="shared" si="187"/>
        <v>2.9666666666666665E-3</v>
      </c>
      <c r="H1109" s="5">
        <v>3.1583333333333337E-3</v>
      </c>
      <c r="I1109" s="5">
        <f t="shared" si="188"/>
        <v>5.4899999999999997E-2</v>
      </c>
      <c r="J1109" s="5">
        <f t="shared" si="180"/>
        <v>5.4333333333333331E-2</v>
      </c>
      <c r="K1109" s="5">
        <f t="shared" si="181"/>
        <v>-3.3858333333333338E-2</v>
      </c>
      <c r="L1109" s="8">
        <f t="shared" si="190"/>
        <v>0.26423347257697594</v>
      </c>
      <c r="M1109" s="8">
        <f t="shared" si="191"/>
        <v>2.8799999999999999E-2</v>
      </c>
      <c r="N1109" s="8">
        <f t="shared" si="182"/>
        <v>3.56E-2</v>
      </c>
      <c r="O1109" s="296">
        <f t="shared" si="189"/>
        <v>0.23543347257697594</v>
      </c>
      <c r="P1109" s="8">
        <f t="shared" si="183"/>
        <v>0.22863347257697594</v>
      </c>
      <c r="Q1109" s="8">
        <f t="shared" si="184"/>
        <v>0.10696376879680214</v>
      </c>
      <c r="R1109" s="8">
        <f t="shared" si="185"/>
        <v>3.7900000000000003E-2</v>
      </c>
      <c r="S1109" s="296">
        <f t="shared" si="186"/>
        <v>6.9063768796802136E-2</v>
      </c>
    </row>
    <row r="1110" spans="1:19" s="5" customFormat="1" x14ac:dyDescent="0.45">
      <c r="A1110" s="304">
        <v>43132</v>
      </c>
      <c r="B1110" s="5">
        <v>-3.6900000000000002E-2</v>
      </c>
      <c r="C1110" s="5">
        <v>-3.8399999999999997E-2</v>
      </c>
      <c r="D1110" s="5">
        <v>2.2000000000000001E-3</v>
      </c>
      <c r="E1110" s="5">
        <v>2.9583333333333332E-3</v>
      </c>
      <c r="F1110" s="5">
        <v>3.0666666666666672E-3</v>
      </c>
      <c r="G1110" s="5">
        <f t="shared" si="187"/>
        <v>3.0125000000000004E-3</v>
      </c>
      <c r="H1110" s="5">
        <v>3.2166666666666667E-3</v>
      </c>
      <c r="I1110" s="5">
        <f t="shared" si="188"/>
        <v>-3.9100000000000003E-2</v>
      </c>
      <c r="J1110" s="5">
        <f t="shared" si="180"/>
        <v>-3.9912500000000004E-2</v>
      </c>
      <c r="K1110" s="5">
        <f t="shared" si="181"/>
        <v>-4.1616666666666663E-2</v>
      </c>
      <c r="L1110" s="8">
        <f t="shared" si="190"/>
        <v>0.1710909468489803</v>
      </c>
      <c r="M1110" s="8">
        <f t="shared" si="191"/>
        <v>2.64E-2</v>
      </c>
      <c r="N1110" s="8">
        <f t="shared" si="182"/>
        <v>3.6150000000000002E-2</v>
      </c>
      <c r="O1110" s="296">
        <f t="shared" si="189"/>
        <v>0.14469094684898029</v>
      </c>
      <c r="P1110" s="8">
        <f t="shared" si="183"/>
        <v>0.13494094684898028</v>
      </c>
      <c r="Q1110" s="8">
        <f t="shared" si="184"/>
        <v>1.1263879987654546E-2</v>
      </c>
      <c r="R1110" s="8">
        <f t="shared" si="185"/>
        <v>3.8600000000000002E-2</v>
      </c>
      <c r="S1110" s="296">
        <f t="shared" si="186"/>
        <v>-2.7336120012345456E-2</v>
      </c>
    </row>
    <row r="1111" spans="1:19" s="5" customFormat="1" x14ac:dyDescent="0.45">
      <c r="A1111" s="304">
        <v>43160</v>
      </c>
      <c r="B1111" s="5">
        <v>-2.5399999999999999E-2</v>
      </c>
      <c r="C1111" s="5">
        <v>3.7699999999999997E-2</v>
      </c>
      <c r="D1111" s="5">
        <v>2.3999999999999998E-3</v>
      </c>
      <c r="E1111" s="5">
        <v>3.225E-3</v>
      </c>
      <c r="F1111" s="5">
        <v>3.3250000000000003E-3</v>
      </c>
      <c r="G1111" s="5">
        <f t="shared" si="187"/>
        <v>3.2750000000000001E-3</v>
      </c>
      <c r="H1111" s="5">
        <v>3.4416666666666667E-3</v>
      </c>
      <c r="I1111" s="5">
        <f t="shared" si="188"/>
        <v>-2.7799999999999998E-2</v>
      </c>
      <c r="J1111" s="5">
        <f t="shared" si="180"/>
        <v>-2.8674999999999999E-2</v>
      </c>
      <c r="K1111" s="5">
        <f t="shared" si="181"/>
        <v>3.4258333333333328E-2</v>
      </c>
      <c r="L1111" s="8">
        <f t="shared" si="190"/>
        <v>0.13997726408211797</v>
      </c>
      <c r="M1111" s="8">
        <f t="shared" si="191"/>
        <v>2.8799999999999999E-2</v>
      </c>
      <c r="N1111" s="8">
        <f t="shared" si="182"/>
        <v>3.9300000000000002E-2</v>
      </c>
      <c r="O1111" s="296">
        <f t="shared" si="189"/>
        <v>0.11117726408211798</v>
      </c>
      <c r="P1111" s="8">
        <f t="shared" si="183"/>
        <v>0.10067726408211797</v>
      </c>
      <c r="Q1111" s="8">
        <f t="shared" si="184"/>
        <v>1.9021682135549556E-2</v>
      </c>
      <c r="R1111" s="8">
        <f t="shared" si="185"/>
        <v>4.1300000000000003E-2</v>
      </c>
      <c r="S1111" s="296">
        <f t="shared" si="186"/>
        <v>-2.2278317864450448E-2</v>
      </c>
    </row>
    <row r="1112" spans="1:19" s="5" customFormat="1" x14ac:dyDescent="0.45">
      <c r="A1112" s="304">
        <v>43191</v>
      </c>
      <c r="B1112" s="5">
        <v>3.8E-3</v>
      </c>
      <c r="C1112" s="5">
        <v>2.1000000000000001E-2</v>
      </c>
      <c r="D1112" s="5">
        <v>2.5000000000000001E-3</v>
      </c>
      <c r="E1112" s="5">
        <v>3.2083333333333334E-3</v>
      </c>
      <c r="F1112" s="5">
        <v>3.3416666666666668E-3</v>
      </c>
      <c r="G1112" s="5">
        <f t="shared" si="187"/>
        <v>3.2750000000000001E-3</v>
      </c>
      <c r="H1112" s="5">
        <v>3.4749999999999998E-3</v>
      </c>
      <c r="I1112" s="5">
        <f t="shared" si="188"/>
        <v>1.2999999999999999E-3</v>
      </c>
      <c r="J1112" s="5">
        <f t="shared" si="180"/>
        <v>5.2499999999999986E-4</v>
      </c>
      <c r="K1112" s="5">
        <f t="shared" si="181"/>
        <v>1.7525000000000002E-2</v>
      </c>
      <c r="L1112" s="8">
        <f t="shared" si="190"/>
        <v>0.13264295524658998</v>
      </c>
      <c r="M1112" s="8">
        <f t="shared" si="191"/>
        <v>0.03</v>
      </c>
      <c r="N1112" s="8">
        <f t="shared" si="182"/>
        <v>3.9300000000000002E-2</v>
      </c>
      <c r="O1112" s="296">
        <f t="shared" si="189"/>
        <v>0.10264295524658998</v>
      </c>
      <c r="P1112" s="8">
        <f t="shared" si="183"/>
        <v>9.3342955246589976E-2</v>
      </c>
      <c r="Q1112" s="8">
        <f t="shared" si="184"/>
        <v>3.2368661897594908E-2</v>
      </c>
      <c r="R1112" s="8">
        <f t="shared" si="185"/>
        <v>4.1700000000000001E-2</v>
      </c>
      <c r="S1112" s="296">
        <f t="shared" si="186"/>
        <v>-9.3313381024050929E-3</v>
      </c>
    </row>
    <row r="1113" spans="1:19" s="5" customFormat="1" x14ac:dyDescent="0.45">
      <c r="A1113" s="304">
        <v>43221</v>
      </c>
      <c r="B1113" s="5">
        <v>2.41E-2</v>
      </c>
      <c r="C1113" s="5">
        <v>-1.14E-2</v>
      </c>
      <c r="D1113" s="5">
        <v>2.5000000000000001E-3</v>
      </c>
      <c r="E1113" s="5">
        <v>3.3250000000000003E-3</v>
      </c>
      <c r="F1113" s="5">
        <v>3.4333333333333334E-3</v>
      </c>
      <c r="G1113" s="5">
        <f t="shared" si="187"/>
        <v>3.3791666666666666E-3</v>
      </c>
      <c r="H1113" s="5">
        <v>3.5666666666666668E-3</v>
      </c>
      <c r="I1113" s="5">
        <f t="shared" si="188"/>
        <v>2.1600000000000001E-2</v>
      </c>
      <c r="J1113" s="5">
        <f t="shared" si="180"/>
        <v>2.0720833333333334E-2</v>
      </c>
      <c r="K1113" s="5">
        <f t="shared" si="181"/>
        <v>-1.4966666666666666E-2</v>
      </c>
      <c r="L1113" s="8">
        <f t="shared" si="190"/>
        <v>0.14381190264079735</v>
      </c>
      <c r="M1113" s="8">
        <f t="shared" si="191"/>
        <v>0.03</v>
      </c>
      <c r="N1113" s="8">
        <f t="shared" si="182"/>
        <v>4.0550000000000003E-2</v>
      </c>
      <c r="O1113" s="296">
        <f t="shared" si="189"/>
        <v>0.11381190264079735</v>
      </c>
      <c r="P1113" s="8">
        <f t="shared" si="183"/>
        <v>0.10326190264079735</v>
      </c>
      <c r="Q1113" s="8">
        <f t="shared" si="184"/>
        <v>-2.0725715647704979E-2</v>
      </c>
      <c r="R1113" s="8">
        <f t="shared" si="185"/>
        <v>4.2800000000000005E-2</v>
      </c>
      <c r="S1113" s="296">
        <f t="shared" si="186"/>
        <v>-6.3525715647704983E-2</v>
      </c>
    </row>
    <row r="1114" spans="1:19" s="5" customFormat="1" x14ac:dyDescent="0.45">
      <c r="A1114" s="304">
        <v>43252</v>
      </c>
      <c r="B1114" s="5">
        <v>6.1999999999999998E-3</v>
      </c>
      <c r="C1114" s="5">
        <v>2.7300000000000001E-2</v>
      </c>
      <c r="D1114" s="5">
        <v>2.3E-3</v>
      </c>
      <c r="E1114" s="5">
        <v>3.3E-3</v>
      </c>
      <c r="F1114" s="5">
        <v>3.4250000000000001E-3</v>
      </c>
      <c r="G1114" s="5">
        <f t="shared" si="187"/>
        <v>3.3625E-3</v>
      </c>
      <c r="H1114" s="5">
        <v>3.5583333333333326E-3</v>
      </c>
      <c r="I1114" s="5">
        <f t="shared" si="188"/>
        <v>3.8999999999999998E-3</v>
      </c>
      <c r="J1114" s="5">
        <f t="shared" si="180"/>
        <v>2.8374999999999997E-3</v>
      </c>
      <c r="K1114" s="5">
        <f t="shared" si="181"/>
        <v>2.3741666666666668E-2</v>
      </c>
      <c r="L1114" s="8">
        <f t="shared" si="190"/>
        <v>0.14381190264079713</v>
      </c>
      <c r="M1114" s="8">
        <f t="shared" si="191"/>
        <v>2.76E-2</v>
      </c>
      <c r="N1114" s="8">
        <f t="shared" si="182"/>
        <v>4.0349999999999997E-2</v>
      </c>
      <c r="O1114" s="296">
        <f t="shared" si="189"/>
        <v>0.11621190264079713</v>
      </c>
      <c r="P1114" s="8">
        <f t="shared" si="183"/>
        <v>0.10346190264079713</v>
      </c>
      <c r="Q1114" s="8">
        <f t="shared" si="184"/>
        <v>3.3924431978533232E-2</v>
      </c>
      <c r="R1114" s="8">
        <f t="shared" si="185"/>
        <v>4.2699999999999988E-2</v>
      </c>
      <c r="S1114" s="296">
        <f t="shared" si="186"/>
        <v>-8.7755680214667564E-3</v>
      </c>
    </row>
    <row r="1115" spans="1:19" s="5" customFormat="1" x14ac:dyDescent="0.45">
      <c r="A1115" s="304">
        <v>43282</v>
      </c>
      <c r="B1115" s="5">
        <v>3.7199999999999997E-2</v>
      </c>
      <c r="C1115" s="5">
        <v>1.8599999999999998E-2</v>
      </c>
      <c r="D1115" s="5">
        <v>2.5000000000000001E-3</v>
      </c>
      <c r="E1115" s="5">
        <v>3.225E-3</v>
      </c>
      <c r="F1115" s="5">
        <v>3.3916666666666665E-3</v>
      </c>
      <c r="G1115" s="5">
        <f t="shared" si="187"/>
        <v>3.3083333333333333E-3</v>
      </c>
      <c r="H1115" s="5">
        <v>3.5583333333333326E-3</v>
      </c>
      <c r="I1115" s="5">
        <f t="shared" si="188"/>
        <v>3.4699999999999995E-2</v>
      </c>
      <c r="J1115" s="5">
        <f t="shared" si="180"/>
        <v>3.3891666666666667E-2</v>
      </c>
      <c r="K1115" s="5">
        <f t="shared" si="181"/>
        <v>1.5041666666666665E-2</v>
      </c>
      <c r="L1115" s="8">
        <f t="shared" si="190"/>
        <v>0.16241593711447644</v>
      </c>
      <c r="M1115" s="8">
        <f t="shared" si="191"/>
        <v>0.03</v>
      </c>
      <c r="N1115" s="8">
        <f t="shared" si="182"/>
        <v>3.9699999999999999E-2</v>
      </c>
      <c r="O1115" s="296">
        <f t="shared" si="189"/>
        <v>0.13241593711447644</v>
      </c>
      <c r="P1115" s="8">
        <f t="shared" si="183"/>
        <v>0.12271593711447644</v>
      </c>
      <c r="Q1115" s="8">
        <f t="shared" si="184"/>
        <v>2.8070506065339895E-2</v>
      </c>
      <c r="R1115" s="8">
        <f t="shared" si="185"/>
        <v>4.2699999999999988E-2</v>
      </c>
      <c r="S1115" s="296">
        <f t="shared" si="186"/>
        <v>-1.4629493934660093E-2</v>
      </c>
    </row>
    <row r="1116" spans="1:19" s="5" customFormat="1" x14ac:dyDescent="0.45">
      <c r="A1116" s="304">
        <v>43313</v>
      </c>
      <c r="B1116" s="5">
        <v>3.2599999999999997E-2</v>
      </c>
      <c r="C1116" s="5">
        <v>1.1299999999999999E-2</v>
      </c>
      <c r="D1116" s="5">
        <v>2.5000000000000001E-3</v>
      </c>
      <c r="E1116" s="5">
        <v>3.2333333333333329E-3</v>
      </c>
      <c r="F1116" s="5">
        <v>3.3749999999999995E-3</v>
      </c>
      <c r="G1116" s="5">
        <f t="shared" si="187"/>
        <v>3.3041666666666662E-3</v>
      </c>
      <c r="H1116" s="5">
        <v>3.5499999999999998E-3</v>
      </c>
      <c r="I1116" s="5">
        <f t="shared" si="188"/>
        <v>3.0099999999999998E-2</v>
      </c>
      <c r="J1116" s="5">
        <f t="shared" si="180"/>
        <v>2.929583333333333E-2</v>
      </c>
      <c r="K1116" s="5">
        <f t="shared" si="181"/>
        <v>7.7499999999999999E-3</v>
      </c>
      <c r="L1116" s="8">
        <f t="shared" si="190"/>
        <v>0.19660123284259634</v>
      </c>
      <c r="M1116" s="8">
        <f t="shared" si="191"/>
        <v>0.03</v>
      </c>
      <c r="N1116" s="8">
        <f t="shared" si="182"/>
        <v>3.9649999999999991E-2</v>
      </c>
      <c r="O1116" s="296">
        <f t="shared" si="189"/>
        <v>0.16660123284259634</v>
      </c>
      <c r="P1116" s="8">
        <f t="shared" si="183"/>
        <v>0.15695123284259635</v>
      </c>
      <c r="Q1116" s="8">
        <f t="shared" si="184"/>
        <v>7.0589914605561077E-3</v>
      </c>
      <c r="R1116" s="8">
        <f t="shared" si="185"/>
        <v>4.2599999999999999E-2</v>
      </c>
      <c r="S1116" s="296">
        <f t="shared" si="186"/>
        <v>-3.5541008539443891E-2</v>
      </c>
    </row>
    <row r="1117" spans="1:19" s="5" customFormat="1" x14ac:dyDescent="0.45">
      <c r="A1117" s="304">
        <v>43344</v>
      </c>
      <c r="B1117" s="5">
        <v>5.7000000000000002E-3</v>
      </c>
      <c r="C1117" s="5">
        <v>-6.0000000000000001E-3</v>
      </c>
      <c r="D1117" s="5">
        <v>2.2000000000000001E-3</v>
      </c>
      <c r="E1117" s="5">
        <v>3.2333333333333329E-3</v>
      </c>
      <c r="F1117" s="5">
        <v>3.3749999999999995E-3</v>
      </c>
      <c r="G1117" s="5">
        <f t="shared" si="187"/>
        <v>3.3041666666666662E-3</v>
      </c>
      <c r="H1117" s="5">
        <v>3.5499999999999998E-3</v>
      </c>
      <c r="I1117" s="5">
        <f t="shared" si="188"/>
        <v>3.5000000000000001E-3</v>
      </c>
      <c r="J1117" s="5">
        <f t="shared" ref="J1117:J1182" si="192">B1117-G1117</f>
        <v>2.395833333333334E-3</v>
      </c>
      <c r="K1117" s="5">
        <f t="shared" ref="K1117:K1182" si="193">$C1117-H1117</f>
        <v>-9.5499999999999995E-3</v>
      </c>
      <c r="L1117" s="8">
        <f t="shared" si="190"/>
        <v>0.17913174590417347</v>
      </c>
      <c r="M1117" s="8">
        <f t="shared" si="191"/>
        <v>2.64E-2</v>
      </c>
      <c r="N1117" s="8">
        <f t="shared" si="182"/>
        <v>3.9649999999999991E-2</v>
      </c>
      <c r="O1117" s="296">
        <f t="shared" si="189"/>
        <v>0.15273174590417346</v>
      </c>
      <c r="P1117" s="8">
        <f t="shared" si="183"/>
        <v>0.13948174590417348</v>
      </c>
      <c r="Q1117" s="8">
        <f t="shared" si="184"/>
        <v>2.9111378134874855E-2</v>
      </c>
      <c r="R1117" s="8">
        <f t="shared" si="185"/>
        <v>4.2599999999999999E-2</v>
      </c>
      <c r="S1117" s="296">
        <f t="shared" si="186"/>
        <v>-1.3488621865125144E-2</v>
      </c>
    </row>
    <row r="1118" spans="1:19" s="5" customFormat="1" x14ac:dyDescent="0.45">
      <c r="A1118" s="304">
        <v>43374</v>
      </c>
      <c r="B1118" s="5">
        <v>-6.8400000000000002E-2</v>
      </c>
      <c r="C1118" s="5">
        <v>1.95E-2</v>
      </c>
      <c r="D1118" s="5">
        <v>3.0000000000000001E-3</v>
      </c>
      <c r="E1118" s="5">
        <v>3.4499999999999999E-3</v>
      </c>
      <c r="F1118" s="5">
        <v>3.5666666666666663E-3</v>
      </c>
      <c r="G1118" s="5">
        <f t="shared" si="187"/>
        <v>3.5083333333333329E-3</v>
      </c>
      <c r="H1118" s="5">
        <v>3.7083333333333334E-3</v>
      </c>
      <c r="I1118" s="5">
        <f t="shared" si="188"/>
        <v>-7.1400000000000005E-2</v>
      </c>
      <c r="J1118" s="5">
        <f t="shared" si="192"/>
        <v>-7.1908333333333338E-2</v>
      </c>
      <c r="K1118" s="5">
        <f t="shared" si="193"/>
        <v>1.5791666666666666E-2</v>
      </c>
      <c r="L1118" s="8">
        <f t="shared" si="190"/>
        <v>7.3467345337953294E-2</v>
      </c>
      <c r="M1118" s="8">
        <f t="shared" si="191"/>
        <v>3.6000000000000004E-2</v>
      </c>
      <c r="N1118" s="8">
        <f t="shared" si="182"/>
        <v>4.2099999999999999E-2</v>
      </c>
      <c r="O1118" s="296">
        <f t="shared" si="189"/>
        <v>3.7467345337953289E-2</v>
      </c>
      <c r="P1118" s="8">
        <f t="shared" si="183"/>
        <v>3.1367345337953295E-2</v>
      </c>
      <c r="Q1118" s="8">
        <f t="shared" si="184"/>
        <v>9.7969682468770358E-3</v>
      </c>
      <c r="R1118" s="8">
        <f t="shared" si="185"/>
        <v>4.4499999999999998E-2</v>
      </c>
      <c r="S1118" s="296">
        <f t="shared" si="186"/>
        <v>-3.4703031753122962E-2</v>
      </c>
    </row>
    <row r="1119" spans="1:19" x14ac:dyDescent="0.45">
      <c r="A1119" s="304">
        <v>43405</v>
      </c>
      <c r="B1119" s="5">
        <v>2.0400000000000001E-2</v>
      </c>
      <c r="C1119" s="5">
        <v>3.5499999999999997E-2</v>
      </c>
      <c r="D1119" s="5">
        <v>2.8E-3</v>
      </c>
      <c r="E1119" s="5">
        <v>3.5166666666666662E-3</v>
      </c>
      <c r="F1119" s="5">
        <v>3.6833333333333336E-3</v>
      </c>
      <c r="G1119" s="5">
        <f t="shared" si="187"/>
        <v>3.5999999999999999E-3</v>
      </c>
      <c r="H1119" s="5">
        <v>3.7750000000000001E-3</v>
      </c>
      <c r="I1119" s="5">
        <f t="shared" si="188"/>
        <v>1.7600000000000001E-2</v>
      </c>
      <c r="J1119" s="5">
        <f t="shared" si="192"/>
        <v>1.6800000000000002E-2</v>
      </c>
      <c r="K1119" s="5">
        <f t="shared" si="193"/>
        <v>3.1724999999999996E-2</v>
      </c>
      <c r="L1119" s="8">
        <f t="shared" si="190"/>
        <v>6.2739962339039002E-2</v>
      </c>
      <c r="M1119" s="8">
        <f t="shared" si="191"/>
        <v>3.3599999999999998E-2</v>
      </c>
      <c r="N1119" s="8">
        <f t="shared" si="182"/>
        <v>4.3200000000000002E-2</v>
      </c>
      <c r="O1119" s="296">
        <f t="shared" si="189"/>
        <v>2.9139962339039004E-2</v>
      </c>
      <c r="P1119" s="8">
        <f t="shared" si="183"/>
        <v>1.9539962339038999E-2</v>
      </c>
      <c r="Q1119" s="8">
        <f t="shared" si="184"/>
        <v>1.7659134423008371E-2</v>
      </c>
      <c r="R1119" s="8">
        <f t="shared" si="185"/>
        <v>4.53E-2</v>
      </c>
      <c r="S1119" s="296">
        <f t="shared" si="186"/>
        <v>-2.7640865576991629E-2</v>
      </c>
    </row>
    <row r="1120" spans="1:19" x14ac:dyDescent="0.45">
      <c r="A1120" s="304">
        <v>43435</v>
      </c>
      <c r="B1120" s="5">
        <v>-9.0300000000000005E-2</v>
      </c>
      <c r="C1120" s="5">
        <v>-4.0099999999999997E-2</v>
      </c>
      <c r="D1120" s="5">
        <v>2.7000000000000001E-3</v>
      </c>
      <c r="E1120" s="5">
        <v>3.5166666666666662E-3</v>
      </c>
      <c r="F1120" s="5">
        <v>3.6416666666666667E-3</v>
      </c>
      <c r="G1120" s="5">
        <f t="shared" si="187"/>
        <v>3.5791666666666663E-3</v>
      </c>
      <c r="H1120" s="5">
        <v>3.7750000000000001E-3</v>
      </c>
      <c r="I1120" s="5">
        <f t="shared" si="188"/>
        <v>-9.2999999999999999E-2</v>
      </c>
      <c r="J1120" s="5">
        <f t="shared" si="192"/>
        <v>-9.3879166666666666E-2</v>
      </c>
      <c r="K1120" s="5">
        <f t="shared" si="193"/>
        <v>-4.3874999999999997E-2</v>
      </c>
      <c r="L1120" s="8">
        <f t="shared" si="190"/>
        <v>-4.3838845079790523E-2</v>
      </c>
      <c r="M1120" s="8">
        <f t="shared" si="191"/>
        <v>3.2399999999999998E-2</v>
      </c>
      <c r="N1120" s="8">
        <f t="shared" si="182"/>
        <v>4.2949999999999995E-2</v>
      </c>
      <c r="O1120" s="296">
        <f t="shared" si="189"/>
        <v>-7.6238845079790521E-2</v>
      </c>
      <c r="P1120" s="8">
        <f t="shared" si="183"/>
        <v>-8.6788845079790511E-2</v>
      </c>
      <c r="Q1120" s="8">
        <f t="shared" si="184"/>
        <v>4.0642381093688895E-2</v>
      </c>
      <c r="R1120" s="8">
        <f t="shared" si="185"/>
        <v>4.53E-2</v>
      </c>
      <c r="S1120" s="296">
        <f t="shared" si="186"/>
        <v>-4.6576189063111048E-3</v>
      </c>
    </row>
    <row r="1121" spans="1:19" x14ac:dyDescent="0.45">
      <c r="A1121" s="304">
        <v>43466</v>
      </c>
      <c r="B1121" s="5">
        <v>8.0100000000000005E-2</v>
      </c>
      <c r="C1121" s="5">
        <v>4.8399999999999999E-2</v>
      </c>
      <c r="D1121" s="5">
        <v>2.5000000000000001E-3</v>
      </c>
      <c r="E1121" s="5">
        <v>3.2750000000000001E-3</v>
      </c>
      <c r="F1121" s="5">
        <v>3.4499999999999999E-3</v>
      </c>
      <c r="G1121" s="5">
        <f t="shared" si="187"/>
        <v>3.3625E-3</v>
      </c>
      <c r="H1121" s="5">
        <v>3.6249999999999998E-3</v>
      </c>
      <c r="I1121" s="5">
        <f t="shared" si="188"/>
        <v>7.7600000000000002E-2</v>
      </c>
      <c r="J1121" s="5">
        <f t="shared" si="192"/>
        <v>7.67375E-2</v>
      </c>
      <c r="K1121" s="5">
        <f t="shared" si="193"/>
        <v>4.4774999999999995E-2</v>
      </c>
      <c r="L1121" s="8">
        <f t="shared" si="190"/>
        <v>-2.3219839752843363E-2</v>
      </c>
      <c r="M1121" s="8">
        <f t="shared" si="191"/>
        <v>0.03</v>
      </c>
      <c r="N1121" s="8">
        <f t="shared" si="182"/>
        <v>4.0349999999999997E-2</v>
      </c>
      <c r="O1121" s="296">
        <f t="shared" si="189"/>
        <v>-5.3219839752843362E-2</v>
      </c>
      <c r="P1121" s="8">
        <f t="shared" si="183"/>
        <v>-6.356983975284336E-2</v>
      </c>
      <c r="Q1121" s="8">
        <f t="shared" si="184"/>
        <v>0.12556429623297571</v>
      </c>
      <c r="R1121" s="8">
        <f t="shared" si="185"/>
        <v>4.3499999999999997E-2</v>
      </c>
      <c r="S1121" s="296">
        <f t="shared" si="186"/>
        <v>8.2064296232975717E-2</v>
      </c>
    </row>
    <row r="1122" spans="1:19" x14ac:dyDescent="0.45">
      <c r="A1122" s="304">
        <v>43497</v>
      </c>
      <c r="B1122" s="5">
        <v>3.2099999999999997E-2</v>
      </c>
      <c r="C1122" s="5">
        <v>4.1099999999999998E-2</v>
      </c>
      <c r="D1122" s="5">
        <v>2.2000000000000001E-3</v>
      </c>
      <c r="E1122" s="5">
        <v>3.1583333333333337E-3</v>
      </c>
      <c r="F1122" s="5">
        <v>3.3250000000000003E-3</v>
      </c>
      <c r="G1122" s="5">
        <f t="shared" si="187"/>
        <v>3.241666666666667E-3</v>
      </c>
      <c r="H1122" s="5">
        <v>3.5416666666666669E-3</v>
      </c>
      <c r="I1122" s="5">
        <f t="shared" si="188"/>
        <v>2.9899999999999996E-2</v>
      </c>
      <c r="J1122" s="5">
        <f t="shared" si="192"/>
        <v>2.885833333333333E-2</v>
      </c>
      <c r="K1122" s="5">
        <f t="shared" si="193"/>
        <v>3.7558333333333332E-2</v>
      </c>
      <c r="L1122" s="8">
        <f t="shared" si="190"/>
        <v>4.6760256869577521E-2</v>
      </c>
      <c r="M1122" s="8">
        <f t="shared" si="191"/>
        <v>2.64E-2</v>
      </c>
      <c r="N1122" s="8">
        <f t="shared" si="182"/>
        <v>3.8900000000000004E-2</v>
      </c>
      <c r="O1122" s="296">
        <f t="shared" si="189"/>
        <v>2.0360256869577521E-2</v>
      </c>
      <c r="P1122" s="8">
        <f t="shared" si="183"/>
        <v>7.8602568695775171E-3</v>
      </c>
      <c r="Q1122" s="8">
        <f t="shared" si="184"/>
        <v>0.21861999668068921</v>
      </c>
      <c r="R1122" s="8">
        <f t="shared" si="185"/>
        <v>4.2500000000000003E-2</v>
      </c>
      <c r="S1122" s="296">
        <f t="shared" si="186"/>
        <v>0.1761199966806892</v>
      </c>
    </row>
    <row r="1123" spans="1:19" x14ac:dyDescent="0.45">
      <c r="A1123" s="304">
        <v>43525</v>
      </c>
      <c r="B1123" s="5">
        <v>1.9400000000000001E-2</v>
      </c>
      <c r="C1123" s="5">
        <v>2.8799999999999999E-2</v>
      </c>
      <c r="D1123" s="5">
        <v>2.3E-3</v>
      </c>
      <c r="E1123" s="5">
        <v>3.1583333333333337E-3</v>
      </c>
      <c r="F1123" s="5">
        <v>3.3250000000000003E-3</v>
      </c>
      <c r="G1123" s="5">
        <f t="shared" si="187"/>
        <v>3.241666666666667E-3</v>
      </c>
      <c r="H1123" s="5">
        <v>3.5416666666666669E-3</v>
      </c>
      <c r="I1123" s="5">
        <f t="shared" si="188"/>
        <v>1.7100000000000001E-2</v>
      </c>
      <c r="J1123" s="5">
        <f t="shared" si="192"/>
        <v>1.6158333333333334E-2</v>
      </c>
      <c r="K1123" s="5">
        <f t="shared" si="193"/>
        <v>2.5258333333333334E-2</v>
      </c>
      <c r="L1123" s="8">
        <f t="shared" si="190"/>
        <v>9.4877288993276743E-2</v>
      </c>
      <c r="M1123" s="8">
        <f t="shared" si="191"/>
        <v>2.76E-2</v>
      </c>
      <c r="N1123" s="8">
        <f t="shared" si="182"/>
        <v>3.8900000000000004E-2</v>
      </c>
      <c r="O1123" s="296">
        <f t="shared" si="189"/>
        <v>6.7277288993276743E-2</v>
      </c>
      <c r="P1123" s="8">
        <f t="shared" si="183"/>
        <v>5.5977288993276739E-2</v>
      </c>
      <c r="Q1123" s="8">
        <f t="shared" si="184"/>
        <v>0.20816830739625414</v>
      </c>
      <c r="R1123" s="8">
        <f t="shared" si="185"/>
        <v>4.2500000000000003E-2</v>
      </c>
      <c r="S1123" s="296">
        <f t="shared" si="186"/>
        <v>0.16566830739625413</v>
      </c>
    </row>
    <row r="1124" spans="1:19" x14ac:dyDescent="0.45">
      <c r="A1124" s="304">
        <v>43556</v>
      </c>
      <c r="B1124" s="5">
        <v>4.0500000000000001E-2</v>
      </c>
      <c r="C1124" s="5">
        <v>9.2999999999999992E-3</v>
      </c>
      <c r="D1124" s="5">
        <v>2.3E-3</v>
      </c>
      <c r="E1124" s="5">
        <v>3.075E-3</v>
      </c>
      <c r="F1124" s="5">
        <v>3.2083333333333334E-3</v>
      </c>
      <c r="G1124" s="5">
        <f t="shared" si="187"/>
        <v>3.1416666666666667E-3</v>
      </c>
      <c r="H1124" s="5">
        <v>3.4000000000000002E-3</v>
      </c>
      <c r="I1124" s="5">
        <f t="shared" si="188"/>
        <v>3.8199999999999998E-2</v>
      </c>
      <c r="J1124" s="5">
        <f t="shared" si="192"/>
        <v>3.7358333333333334E-2</v>
      </c>
      <c r="K1124" s="5">
        <f t="shared" si="193"/>
        <v>5.899999999999999E-3</v>
      </c>
      <c r="L1124" s="8">
        <f t="shared" si="190"/>
        <v>0.13490717194411661</v>
      </c>
      <c r="M1124" s="8">
        <f t="shared" si="191"/>
        <v>2.76E-2</v>
      </c>
      <c r="N1124" s="8">
        <f t="shared" si="182"/>
        <v>3.7699999999999997E-2</v>
      </c>
      <c r="O1124" s="296">
        <f t="shared" si="189"/>
        <v>0.10730717194411661</v>
      </c>
      <c r="P1124" s="8">
        <f t="shared" si="183"/>
        <v>9.7207171944116613E-2</v>
      </c>
      <c r="Q1124" s="8">
        <f t="shared" si="184"/>
        <v>0.19432347958378005</v>
      </c>
      <c r="R1124" s="8">
        <f t="shared" si="185"/>
        <v>4.0800000000000003E-2</v>
      </c>
      <c r="S1124" s="296">
        <f t="shared" si="186"/>
        <v>0.15352347958378004</v>
      </c>
    </row>
    <row r="1125" spans="1:19" x14ac:dyDescent="0.45">
      <c r="A1125" s="304">
        <v>43586</v>
      </c>
      <c r="B1125" s="5">
        <v>-6.3500000000000001E-2</v>
      </c>
      <c r="C1125" s="5">
        <v>-7.7999999999999996E-3</v>
      </c>
      <c r="D1125" s="5">
        <v>2.3E-3</v>
      </c>
      <c r="E1125" s="5">
        <v>3.0583333333333335E-3</v>
      </c>
      <c r="F1125" s="5">
        <v>3.1666666666666666E-3</v>
      </c>
      <c r="G1125" s="5">
        <f t="shared" si="187"/>
        <v>3.1124999999999998E-3</v>
      </c>
      <c r="H1125" s="5">
        <v>3.3166666666666665E-3</v>
      </c>
      <c r="I1125" s="5">
        <f t="shared" si="188"/>
        <v>-6.5799999999999997E-2</v>
      </c>
      <c r="J1125" s="5">
        <f t="shared" si="192"/>
        <v>-6.6612500000000005E-2</v>
      </c>
      <c r="K1125" s="5">
        <f t="shared" si="193"/>
        <v>-1.1116666666666667E-2</v>
      </c>
      <c r="L1125" s="8">
        <f t="shared" si="190"/>
        <v>3.7828890270154458E-2</v>
      </c>
      <c r="M1125" s="8">
        <f t="shared" si="191"/>
        <v>2.76E-2</v>
      </c>
      <c r="N1125" s="8">
        <f t="shared" si="182"/>
        <v>3.7349999999999994E-2</v>
      </c>
      <c r="O1125" s="296">
        <f t="shared" si="189"/>
        <v>1.0228890270154459E-2</v>
      </c>
      <c r="P1125" s="8">
        <f t="shared" si="183"/>
        <v>4.7889027015446395E-4</v>
      </c>
      <c r="Q1125" s="8">
        <f t="shared" si="184"/>
        <v>0.19867262436073885</v>
      </c>
      <c r="R1125" s="8">
        <f t="shared" si="185"/>
        <v>3.9800000000000002E-2</v>
      </c>
      <c r="S1125" s="296">
        <f t="shared" si="186"/>
        <v>0.15887262436073885</v>
      </c>
    </row>
    <row r="1126" spans="1:19" x14ac:dyDescent="0.45">
      <c r="A1126" s="304">
        <v>43617</v>
      </c>
      <c r="B1126" s="5">
        <v>7.0499999999999993E-2</v>
      </c>
      <c r="C1126" s="5">
        <v>3.2199999999999999E-2</v>
      </c>
      <c r="D1126" s="5">
        <v>1.8E-3</v>
      </c>
      <c r="E1126" s="5">
        <v>3.0583333333333335E-3</v>
      </c>
      <c r="F1126" s="5">
        <v>3.1666666666666666E-3</v>
      </c>
      <c r="G1126" s="5">
        <f t="shared" si="187"/>
        <v>3.1124999999999998E-3</v>
      </c>
      <c r="H1126" s="5">
        <v>3.3166666666666665E-3</v>
      </c>
      <c r="I1126" s="5">
        <f t="shared" si="188"/>
        <v>6.8699999999999997E-2</v>
      </c>
      <c r="J1126" s="5">
        <f t="shared" si="192"/>
        <v>6.7387499999999989E-2</v>
      </c>
      <c r="K1126" s="5">
        <f t="shared" si="193"/>
        <v>2.8883333333333334E-2</v>
      </c>
      <c r="L1126" s="8">
        <f t="shared" si="190"/>
        <v>0.10415009643629514</v>
      </c>
      <c r="M1126" s="8">
        <f t="shared" si="191"/>
        <v>2.1600000000000001E-2</v>
      </c>
      <c r="N1126" s="8">
        <f t="shared" si="182"/>
        <v>3.7349999999999994E-2</v>
      </c>
      <c r="O1126" s="296">
        <f t="shared" si="189"/>
        <v>8.2550096436295128E-2</v>
      </c>
      <c r="P1126" s="8">
        <f t="shared" si="183"/>
        <v>6.6800096436295142E-2</v>
      </c>
      <c r="Q1126" s="8">
        <f t="shared" si="184"/>
        <v>0.20439003491205576</v>
      </c>
      <c r="R1126" s="8">
        <f t="shared" si="185"/>
        <v>3.9800000000000002E-2</v>
      </c>
      <c r="S1126" s="296">
        <f t="shared" si="186"/>
        <v>0.16459003491205576</v>
      </c>
    </row>
    <row r="1127" spans="1:19" x14ac:dyDescent="0.45">
      <c r="A1127" s="304">
        <v>43647</v>
      </c>
      <c r="B1127" s="5">
        <v>1.44E-2</v>
      </c>
      <c r="C1127" s="5">
        <v>-2.7000000000000001E-3</v>
      </c>
      <c r="D1127" s="5">
        <v>2.0999999999999999E-3</v>
      </c>
      <c r="E1127" s="5">
        <v>2.7416666666666666E-3</v>
      </c>
      <c r="F1127" s="5">
        <v>2.8833333333333332E-3</v>
      </c>
      <c r="G1127" s="5">
        <f t="shared" si="187"/>
        <v>2.8124999999999999E-3</v>
      </c>
      <c r="H1127" s="5">
        <v>3.075E-3</v>
      </c>
      <c r="I1127" s="5">
        <f t="shared" si="188"/>
        <v>1.23E-2</v>
      </c>
      <c r="J1127" s="5">
        <f t="shared" si="192"/>
        <v>1.1587500000000001E-2</v>
      </c>
      <c r="K1127" s="5">
        <f t="shared" si="193"/>
        <v>-5.7750000000000006E-3</v>
      </c>
      <c r="L1127" s="8">
        <f t="shared" si="190"/>
        <v>7.9878382014055394E-2</v>
      </c>
      <c r="M1127" s="8">
        <f t="shared" si="191"/>
        <v>2.52E-2</v>
      </c>
      <c r="N1127" s="8">
        <f t="shared" si="182"/>
        <v>3.3750000000000002E-2</v>
      </c>
      <c r="O1127" s="296">
        <f t="shared" si="189"/>
        <v>5.4678382014055393E-2</v>
      </c>
      <c r="P1127" s="8">
        <f t="shared" si="183"/>
        <v>4.6128382014055391E-2</v>
      </c>
      <c r="Q1127" s="8">
        <f t="shared" si="184"/>
        <v>0.17920496938719155</v>
      </c>
      <c r="R1127" s="8">
        <f t="shared" si="185"/>
        <v>3.6900000000000002E-2</v>
      </c>
      <c r="S1127" s="296">
        <f t="shared" si="186"/>
        <v>0.14230496938719156</v>
      </c>
    </row>
    <row r="1128" spans="1:19" x14ac:dyDescent="0.45">
      <c r="A1128" s="304">
        <v>43678</v>
      </c>
      <c r="B1128" s="5">
        <v>-1.5800000000000002E-2</v>
      </c>
      <c r="C1128" s="5">
        <v>5.1299999999999998E-2</v>
      </c>
      <c r="D1128" s="5">
        <v>1.9E-3</v>
      </c>
      <c r="E1128" s="5">
        <v>2.7416666666666666E-3</v>
      </c>
      <c r="F1128" s="5">
        <v>2.8833333333333332E-3</v>
      </c>
      <c r="G1128" s="5">
        <f t="shared" si="187"/>
        <v>2.8124999999999999E-3</v>
      </c>
      <c r="H1128" s="5">
        <v>3.075E-3</v>
      </c>
      <c r="I1128" s="5">
        <f t="shared" si="188"/>
        <v>-1.77E-2</v>
      </c>
      <c r="J1128" s="5">
        <f t="shared" si="192"/>
        <v>-1.8612500000000001E-2</v>
      </c>
      <c r="K1128" s="5">
        <f t="shared" si="193"/>
        <v>4.8224999999999997E-2</v>
      </c>
      <c r="L1128" s="8">
        <f t="shared" si="190"/>
        <v>2.9262350937665271E-2</v>
      </c>
      <c r="M1128" s="8">
        <f t="shared" si="191"/>
        <v>2.2800000000000001E-2</v>
      </c>
      <c r="N1128" s="8">
        <f t="shared" ref="N1128:N1191" si="194">G1128*12</f>
        <v>3.3750000000000002E-2</v>
      </c>
      <c r="O1128" s="296">
        <f t="shared" si="189"/>
        <v>6.4623509376652705E-3</v>
      </c>
      <c r="P1128" s="8">
        <f t="shared" ref="P1128:P1191" si="195">L1128-N1128</f>
        <v>-4.4876490623347309E-3</v>
      </c>
      <c r="Q1128" s="8">
        <f t="shared" ref="Q1128:Q1191" si="196">((1+C1117)*(1+C1118)*(1+C1119)*(1+C1120)*(1+C1121)*(1+C1122)*(1+C1123)*(1+C1124)*(1+C1125)*(1+C1126)*(1+C1127)*(1+C1128))-1</f>
        <v>0.22584612312543673</v>
      </c>
      <c r="R1128" s="8">
        <f t="shared" ref="R1128:R1190" si="197">H1128*12</f>
        <v>3.6900000000000002E-2</v>
      </c>
      <c r="S1128" s="296">
        <f t="shared" ref="S1128:S1190" si="198">Q1128-R1128</f>
        <v>0.18894612312543674</v>
      </c>
    </row>
    <row r="1129" spans="1:19" x14ac:dyDescent="0.45">
      <c r="A1129" s="304">
        <v>43709</v>
      </c>
      <c r="B1129" s="5">
        <v>1.8700000000000001E-2</v>
      </c>
      <c r="C1129" s="5">
        <v>4.2500000000000003E-2</v>
      </c>
      <c r="D1129" s="5">
        <v>1.5E-3</v>
      </c>
      <c r="E1129" s="5">
        <v>2.4833333333333331E-3</v>
      </c>
      <c r="F1129" s="5">
        <v>2.5666666666666667E-3</v>
      </c>
      <c r="G1129" s="5">
        <f t="shared" si="187"/>
        <v>2.5249999999999999E-3</v>
      </c>
      <c r="H1129" s="5">
        <v>2.7416666666666666E-3</v>
      </c>
      <c r="I1129" s="5">
        <f t="shared" si="188"/>
        <v>1.72E-2</v>
      </c>
      <c r="J1129" s="5">
        <f t="shared" si="192"/>
        <v>1.6175000000000002E-2</v>
      </c>
      <c r="K1129" s="5">
        <f t="shared" si="193"/>
        <v>3.975833333333334E-2</v>
      </c>
      <c r="L1129" s="8">
        <f t="shared" si="190"/>
        <v>4.2566925425275626E-2</v>
      </c>
      <c r="M1129" s="8">
        <f t="shared" si="191"/>
        <v>1.8000000000000002E-2</v>
      </c>
      <c r="N1129" s="8">
        <f t="shared" si="194"/>
        <v>3.0300000000000001E-2</v>
      </c>
      <c r="O1129" s="296">
        <f t="shared" si="189"/>
        <v>2.4566925425275624E-2</v>
      </c>
      <c r="P1129" s="8">
        <f t="shared" si="195"/>
        <v>1.2266925425275625E-2</v>
      </c>
      <c r="Q1129" s="8">
        <f t="shared" si="196"/>
        <v>0.28565853456566126</v>
      </c>
      <c r="R1129" s="8">
        <f t="shared" si="197"/>
        <v>3.2899999999999999E-2</v>
      </c>
      <c r="S1129" s="296">
        <f t="shared" si="198"/>
        <v>0.25275853456566127</v>
      </c>
    </row>
    <row r="1130" spans="1:19" x14ac:dyDescent="0.45">
      <c r="A1130" s="304">
        <v>43739</v>
      </c>
      <c r="B1130" s="5">
        <v>2.1700000000000001E-2</v>
      </c>
      <c r="C1130" s="5">
        <v>-7.7000000000000002E-3</v>
      </c>
      <c r="D1130" s="5">
        <v>1.6000000000000001E-3</v>
      </c>
      <c r="E1130" s="5">
        <v>2.5249999999999999E-3</v>
      </c>
      <c r="F1130" s="5">
        <v>2.6083333333333332E-3</v>
      </c>
      <c r="G1130" s="5">
        <f t="shared" si="187"/>
        <v>2.5666666666666667E-3</v>
      </c>
      <c r="H1130" s="5">
        <v>2.8083333333333333E-3</v>
      </c>
      <c r="I1130" s="5">
        <f t="shared" si="188"/>
        <v>2.01E-2</v>
      </c>
      <c r="J1130" s="5">
        <f t="shared" si="192"/>
        <v>1.9133333333333336E-2</v>
      </c>
      <c r="K1130" s="5">
        <f t="shared" si="193"/>
        <v>-1.0508333333333333E-2</v>
      </c>
      <c r="L1130" s="8">
        <f t="shared" si="190"/>
        <v>0.1433991280667708</v>
      </c>
      <c r="M1130" s="8">
        <f t="shared" si="191"/>
        <v>1.9200000000000002E-2</v>
      </c>
      <c r="N1130" s="8">
        <f t="shared" si="194"/>
        <v>3.0800000000000001E-2</v>
      </c>
      <c r="O1130" s="296">
        <f t="shared" si="189"/>
        <v>0.1241991280667708</v>
      </c>
      <c r="P1130" s="8">
        <f t="shared" si="195"/>
        <v>0.1125991280667708</v>
      </c>
      <c r="Q1130" s="8">
        <f t="shared" si="196"/>
        <v>0.25135749274105557</v>
      </c>
      <c r="R1130" s="8">
        <f t="shared" si="197"/>
        <v>3.3700000000000001E-2</v>
      </c>
      <c r="S1130" s="296">
        <f t="shared" si="198"/>
        <v>0.21765749274105556</v>
      </c>
    </row>
    <row r="1131" spans="1:19" x14ac:dyDescent="0.45">
      <c r="A1131" s="304">
        <v>43770</v>
      </c>
      <c r="B1131" s="5">
        <v>3.6299999999999999E-2</v>
      </c>
      <c r="C1131" s="5">
        <v>-1.8599999999999998E-2</v>
      </c>
      <c r="D1131" s="5">
        <v>1.6000000000000001E-3</v>
      </c>
      <c r="E1131" s="5">
        <v>2.558333333333333E-3</v>
      </c>
      <c r="F1131" s="5">
        <v>2.6416666666666667E-3</v>
      </c>
      <c r="G1131" s="5">
        <f t="shared" si="187"/>
        <v>2.5999999999999999E-3</v>
      </c>
      <c r="H1131" s="5">
        <v>2.8583333333333334E-3</v>
      </c>
      <c r="I1131" s="5">
        <f t="shared" si="188"/>
        <v>3.4700000000000002E-2</v>
      </c>
      <c r="J1131" s="5">
        <f t="shared" si="192"/>
        <v>3.3700000000000001E-2</v>
      </c>
      <c r="K1131" s="5">
        <f t="shared" si="193"/>
        <v>-2.1458333333333333E-2</v>
      </c>
      <c r="L1131" s="8">
        <f t="shared" si="190"/>
        <v>0.16121571581300942</v>
      </c>
      <c r="M1131" s="8">
        <f t="shared" si="191"/>
        <v>1.9200000000000002E-2</v>
      </c>
      <c r="N1131" s="8">
        <f t="shared" si="194"/>
        <v>3.1199999999999999E-2</v>
      </c>
      <c r="O1131" s="296">
        <f t="shared" si="189"/>
        <v>0.14201571581300942</v>
      </c>
      <c r="P1131" s="8">
        <f t="shared" si="195"/>
        <v>0.13001571581300941</v>
      </c>
      <c r="Q1131" s="8">
        <f t="shared" si="196"/>
        <v>0.18597995497447739</v>
      </c>
      <c r="R1131" s="8">
        <f t="shared" si="197"/>
        <v>3.4299999999999997E-2</v>
      </c>
      <c r="S1131" s="296">
        <f t="shared" si="198"/>
        <v>0.15167995497447739</v>
      </c>
    </row>
    <row r="1132" spans="1:19" x14ac:dyDescent="0.45">
      <c r="A1132" s="304">
        <v>43800</v>
      </c>
      <c r="B1132" s="5">
        <v>3.0200000000000001E-2</v>
      </c>
      <c r="C1132" s="5">
        <v>3.4299999999999997E-2</v>
      </c>
      <c r="D1132" s="5">
        <v>1.8E-3</v>
      </c>
      <c r="E1132" s="5">
        <v>2.5083333333333329E-3</v>
      </c>
      <c r="F1132" s="5">
        <v>2.5916666666666666E-3</v>
      </c>
      <c r="G1132" s="5">
        <f t="shared" si="187"/>
        <v>2.5499999999999997E-3</v>
      </c>
      <c r="H1132" s="5">
        <v>2.8333333333333331E-3</v>
      </c>
      <c r="I1132" s="5">
        <f t="shared" si="188"/>
        <v>2.8400000000000002E-2</v>
      </c>
      <c r="J1132" s="5">
        <f t="shared" si="192"/>
        <v>2.7650000000000001E-2</v>
      </c>
      <c r="K1132" s="5">
        <f t="shared" si="193"/>
        <v>3.1466666666666664E-2</v>
      </c>
      <c r="L1132" s="8">
        <f t="shared" si="190"/>
        <v>0.31503180216616733</v>
      </c>
      <c r="M1132" s="8">
        <f t="shared" si="191"/>
        <v>2.1600000000000001E-2</v>
      </c>
      <c r="N1132" s="8">
        <f t="shared" si="194"/>
        <v>3.0599999999999995E-2</v>
      </c>
      <c r="O1132" s="296">
        <f t="shared" si="189"/>
        <v>0.29343180216616732</v>
      </c>
      <c r="P1132" s="8">
        <f t="shared" si="195"/>
        <v>0.28443180216616731</v>
      </c>
      <c r="Q1132" s="8">
        <f t="shared" si="196"/>
        <v>0.27790297679977294</v>
      </c>
      <c r="R1132" s="8">
        <f t="shared" si="197"/>
        <v>3.3999999999999996E-2</v>
      </c>
      <c r="S1132" s="296">
        <f t="shared" si="198"/>
        <v>0.24390297679977294</v>
      </c>
    </row>
    <row r="1133" spans="1:19" x14ac:dyDescent="0.45">
      <c r="A1133" s="304">
        <v>43831</v>
      </c>
      <c r="B1133" s="5">
        <v>-4.0000000000000002E-4</v>
      </c>
      <c r="C1133" s="5">
        <v>6.6537157778004855E-2</v>
      </c>
      <c r="D1133" s="5">
        <v>2E-3</v>
      </c>
      <c r="E1133" s="5">
        <v>2.4499999999999999E-3</v>
      </c>
      <c r="F1133" s="5">
        <v>2.5083333333333333E-3</v>
      </c>
      <c r="G1133" s="5">
        <f t="shared" si="187"/>
        <v>2.4791666666666668E-3</v>
      </c>
      <c r="H1133" s="5">
        <v>2.7333333333333337E-3</v>
      </c>
      <c r="I1133" s="5">
        <f t="shared" si="188"/>
        <v>-2.4000000000000002E-3</v>
      </c>
      <c r="J1133" s="5">
        <f t="shared" si="192"/>
        <v>-2.879166666666667E-3</v>
      </c>
      <c r="K1133" s="5">
        <f t="shared" si="193"/>
        <v>6.3803824444671517E-2</v>
      </c>
      <c r="L1133" s="8">
        <f t="shared" si="190"/>
        <v>0.21702230297685499</v>
      </c>
      <c r="M1133" s="8">
        <f t="shared" si="191"/>
        <v>2.4E-2</v>
      </c>
      <c r="N1133" s="8">
        <f t="shared" si="194"/>
        <v>2.9750000000000002E-2</v>
      </c>
      <c r="O1133" s="296">
        <f t="shared" si="189"/>
        <v>0.19302230297685499</v>
      </c>
      <c r="P1133" s="8">
        <f t="shared" si="195"/>
        <v>0.18727230297685499</v>
      </c>
      <c r="Q1133" s="8">
        <f t="shared" si="196"/>
        <v>0.30001050056474821</v>
      </c>
      <c r="R1133" s="8">
        <f t="shared" si="197"/>
        <v>3.2800000000000003E-2</v>
      </c>
      <c r="S1133" s="296">
        <f t="shared" si="198"/>
        <v>0.26721050056474821</v>
      </c>
    </row>
    <row r="1134" spans="1:19" x14ac:dyDescent="0.45">
      <c r="A1134" s="304">
        <v>43862</v>
      </c>
      <c r="B1134" s="5">
        <v>-8.2299999999999998E-2</v>
      </c>
      <c r="C1134" s="5">
        <v>-9.8453153025931217E-2</v>
      </c>
      <c r="D1134" s="5">
        <v>1.5E-3</v>
      </c>
      <c r="E1134" s="5">
        <v>2.316666666666667E-3</v>
      </c>
      <c r="F1134" s="5">
        <v>2.3749999999999999E-3</v>
      </c>
      <c r="G1134" s="5">
        <f t="shared" si="187"/>
        <v>2.3458333333333335E-3</v>
      </c>
      <c r="H1134" s="5">
        <v>2.5916666666666666E-3</v>
      </c>
      <c r="I1134" s="5">
        <f t="shared" si="188"/>
        <v>-8.3799999999999999E-2</v>
      </c>
      <c r="J1134" s="5">
        <f t="shared" si="192"/>
        <v>-8.4645833333333337E-2</v>
      </c>
      <c r="K1134" s="5">
        <f t="shared" si="193"/>
        <v>-0.10104481969259789</v>
      </c>
      <c r="L1134" s="8">
        <f t="shared" si="190"/>
        <v>8.2125150122913659E-2</v>
      </c>
      <c r="M1134" s="8">
        <f t="shared" si="191"/>
        <v>1.8000000000000002E-2</v>
      </c>
      <c r="N1134" s="8">
        <f t="shared" si="194"/>
        <v>2.8150000000000001E-2</v>
      </c>
      <c r="O1134" s="296">
        <f t="shared" si="189"/>
        <v>6.4125150122913657E-2</v>
      </c>
      <c r="P1134" s="8">
        <f t="shared" si="195"/>
        <v>5.3975150122913658E-2</v>
      </c>
      <c r="Q1134" s="8">
        <f t="shared" si="196"/>
        <v>0.1257519621720582</v>
      </c>
      <c r="R1134" s="8">
        <f t="shared" si="197"/>
        <v>3.1099999999999999E-2</v>
      </c>
      <c r="S1134" s="296">
        <f t="shared" si="198"/>
        <v>9.4651962172058193E-2</v>
      </c>
    </row>
    <row r="1135" spans="1:19" x14ac:dyDescent="0.45">
      <c r="A1135" s="304">
        <v>43891</v>
      </c>
      <c r="B1135" s="5">
        <v>-0.1235</v>
      </c>
      <c r="C1135" s="5">
        <v>-9.9852632884989301E-2</v>
      </c>
      <c r="D1135" s="5">
        <v>1.2999999999999999E-3</v>
      </c>
      <c r="E1135" s="5">
        <v>2.5166666666666666E-3</v>
      </c>
      <c r="F1135" s="5">
        <v>2.5666666666666667E-3</v>
      </c>
      <c r="G1135" s="5">
        <f t="shared" si="187"/>
        <v>2.5416666666666669E-3</v>
      </c>
      <c r="H1135" s="5">
        <v>2.9166666666666668E-3</v>
      </c>
      <c r="I1135" s="5">
        <f t="shared" si="188"/>
        <v>-0.12479999999999999</v>
      </c>
      <c r="J1135" s="5">
        <f t="shared" si="192"/>
        <v>-0.12604166666666666</v>
      </c>
      <c r="K1135" s="5">
        <f t="shared" si="193"/>
        <v>-0.10276929955165597</v>
      </c>
      <c r="L1135" s="8">
        <f t="shared" si="190"/>
        <v>-6.956769267928764E-2</v>
      </c>
      <c r="M1135" s="8">
        <f t="shared" si="191"/>
        <v>1.5599999999999999E-2</v>
      </c>
      <c r="N1135" s="8">
        <f t="shared" si="194"/>
        <v>3.0500000000000003E-2</v>
      </c>
      <c r="O1135" s="296">
        <f t="shared" si="189"/>
        <v>-8.5167692679287643E-2</v>
      </c>
      <c r="P1135" s="8">
        <f t="shared" si="195"/>
        <v>-0.10006769267928764</v>
      </c>
      <c r="Q1135" s="8">
        <f t="shared" si="196"/>
        <v>-1.5024625997535845E-2</v>
      </c>
      <c r="R1135" s="8">
        <f t="shared" si="197"/>
        <v>3.5000000000000003E-2</v>
      </c>
      <c r="S1135" s="296">
        <f t="shared" si="198"/>
        <v>-5.0024625997535849E-2</v>
      </c>
    </row>
    <row r="1136" spans="1:19" x14ac:dyDescent="0.45">
      <c r="A1136" s="304">
        <v>43922</v>
      </c>
      <c r="B1136" s="5">
        <v>0.12820000000000001</v>
      </c>
      <c r="C1136" s="5">
        <v>3.2286679387277528E-2</v>
      </c>
      <c r="D1136" s="5">
        <v>8.9999999999999998E-4</v>
      </c>
      <c r="E1136" s="5">
        <v>2.0250000000000003E-3</v>
      </c>
      <c r="F1136" s="5">
        <v>2.2916666666666667E-3</v>
      </c>
      <c r="G1136" s="5">
        <f t="shared" si="187"/>
        <v>2.1583333333333333E-3</v>
      </c>
      <c r="H1136" s="5">
        <v>2.6583333333333333E-3</v>
      </c>
      <c r="I1136" s="5">
        <f t="shared" si="188"/>
        <v>0.1273</v>
      </c>
      <c r="J1136" s="5">
        <f t="shared" si="192"/>
        <v>0.12604166666666666</v>
      </c>
      <c r="K1136" s="5">
        <f t="shared" si="193"/>
        <v>2.9628346053944196E-2</v>
      </c>
      <c r="L1136" s="8">
        <f t="shared" si="190"/>
        <v>8.8550976638424039E-3</v>
      </c>
      <c r="M1136" s="8">
        <f t="shared" si="191"/>
        <v>1.0800000000000001E-2</v>
      </c>
      <c r="N1136" s="8">
        <f t="shared" si="194"/>
        <v>2.5899999999999999E-2</v>
      </c>
      <c r="O1136" s="296">
        <f t="shared" si="189"/>
        <v>-1.9449023361575966E-3</v>
      </c>
      <c r="P1136" s="8">
        <f t="shared" si="195"/>
        <v>-1.7044902336157595E-2</v>
      </c>
      <c r="Q1136" s="8">
        <f t="shared" si="196"/>
        <v>7.4080631202275704E-3</v>
      </c>
      <c r="R1136" s="8">
        <f t="shared" si="197"/>
        <v>3.1899999999999998E-2</v>
      </c>
      <c r="S1136" s="296">
        <f t="shared" si="198"/>
        <v>-2.4491936879772427E-2</v>
      </c>
    </row>
    <row r="1137" spans="1:19" x14ac:dyDescent="0.45">
      <c r="A1137" s="304">
        <v>43952</v>
      </c>
      <c r="B1137" s="5">
        <v>4.7600000000000003E-2</v>
      </c>
      <c r="C1137" s="5">
        <v>4.3538153333576746E-2</v>
      </c>
      <c r="D1137" s="5">
        <v>8.9999999999999998E-4</v>
      </c>
      <c r="E1137" s="5">
        <v>2.075E-3</v>
      </c>
      <c r="F1137" s="5">
        <v>2.2666666666666664E-3</v>
      </c>
      <c r="G1137" s="5">
        <f t="shared" si="187"/>
        <v>2.1708333333333332E-3</v>
      </c>
      <c r="H1137" s="5">
        <v>2.6166666666666669E-3</v>
      </c>
      <c r="I1137" s="5">
        <f t="shared" si="188"/>
        <v>4.6700000000000005E-2</v>
      </c>
      <c r="J1137" s="5">
        <f t="shared" si="192"/>
        <v>4.5429166666666673E-2</v>
      </c>
      <c r="K1137" s="5">
        <f t="shared" si="193"/>
        <v>4.0921486666910076E-2</v>
      </c>
      <c r="L1137" s="8">
        <f t="shared" si="190"/>
        <v>0.12853881506955789</v>
      </c>
      <c r="M1137" s="8">
        <f t="shared" si="191"/>
        <v>1.0800000000000001E-2</v>
      </c>
      <c r="N1137" s="8">
        <f t="shared" si="194"/>
        <v>2.6049999999999997E-2</v>
      </c>
      <c r="O1137" s="296">
        <f t="shared" si="189"/>
        <v>0.11773881506955788</v>
      </c>
      <c r="P1137" s="8">
        <f t="shared" si="195"/>
        <v>0.1024888150695579</v>
      </c>
      <c r="Q1137" s="8">
        <f t="shared" si="196"/>
        <v>5.9533108084899533E-2</v>
      </c>
      <c r="R1137" s="8">
        <f t="shared" si="197"/>
        <v>3.1400000000000004E-2</v>
      </c>
      <c r="S1137" s="296">
        <f t="shared" si="198"/>
        <v>2.8133108084899529E-2</v>
      </c>
    </row>
    <row r="1138" spans="1:19" x14ac:dyDescent="0.45">
      <c r="A1138" s="304">
        <v>43983</v>
      </c>
      <c r="B1138" s="5">
        <v>1.9900000000000001E-2</v>
      </c>
      <c r="C1138" s="5">
        <v>-4.6515481975296112E-2</v>
      </c>
      <c r="D1138" s="5">
        <v>8.9999999999999998E-4</v>
      </c>
      <c r="E1138" s="5">
        <v>2.0083333333333333E-3</v>
      </c>
      <c r="F1138" s="5">
        <v>2.1916666666666664E-3</v>
      </c>
      <c r="G1138" s="5">
        <f t="shared" si="187"/>
        <v>2.0999999999999999E-3</v>
      </c>
      <c r="H1138" s="5">
        <v>2.558333333333333E-3</v>
      </c>
      <c r="I1138" s="5">
        <f t="shared" si="188"/>
        <v>1.9E-2</v>
      </c>
      <c r="J1138" s="5">
        <f t="shared" si="192"/>
        <v>1.78E-2</v>
      </c>
      <c r="K1138" s="5">
        <f t="shared" si="193"/>
        <v>-4.9073815308629448E-2</v>
      </c>
      <c r="L1138" s="8">
        <f t="shared" si="190"/>
        <v>7.5195457720170333E-2</v>
      </c>
      <c r="M1138" s="8">
        <f t="shared" si="191"/>
        <v>1.0800000000000001E-2</v>
      </c>
      <c r="N1138" s="8">
        <f t="shared" si="194"/>
        <v>2.52E-2</v>
      </c>
      <c r="O1138" s="296">
        <f t="shared" si="189"/>
        <v>6.4395457720170329E-2</v>
      </c>
      <c r="P1138" s="8">
        <f t="shared" si="195"/>
        <v>4.9995457720170333E-2</v>
      </c>
      <c r="Q1138" s="8">
        <f t="shared" si="196"/>
        <v>-2.1266794329057537E-2</v>
      </c>
      <c r="R1138" s="8">
        <f t="shared" si="197"/>
        <v>3.0699999999999998E-2</v>
      </c>
      <c r="S1138" s="296">
        <f t="shared" si="198"/>
        <v>-5.1966794329057535E-2</v>
      </c>
    </row>
    <row r="1139" spans="1:19" x14ac:dyDescent="0.45">
      <c r="A1139" s="304">
        <v>44013</v>
      </c>
      <c r="B1139" s="5">
        <v>5.6399999999999999E-2</v>
      </c>
      <c r="C1139" s="5">
        <v>7.8155639399125773E-2</v>
      </c>
      <c r="D1139" s="5">
        <v>1E-3</v>
      </c>
      <c r="E1139" s="5">
        <v>1.7833333333333334E-3</v>
      </c>
      <c r="F1139" s="5">
        <v>1.9333333333333331E-3</v>
      </c>
      <c r="G1139" s="5">
        <f t="shared" si="187"/>
        <v>1.8583333333333334E-3</v>
      </c>
      <c r="H1139" s="5">
        <v>2.2833333333333334E-3</v>
      </c>
      <c r="I1139" s="5">
        <f t="shared" si="188"/>
        <v>5.5399999999999998E-2</v>
      </c>
      <c r="J1139" s="5">
        <f t="shared" si="192"/>
        <v>5.4541666666666669E-2</v>
      </c>
      <c r="K1139" s="5">
        <f t="shared" si="193"/>
        <v>7.5872306065792441E-2</v>
      </c>
      <c r="L1139" s="8">
        <f t="shared" si="190"/>
        <v>0.11971261981031933</v>
      </c>
      <c r="M1139" s="8">
        <f t="shared" si="191"/>
        <v>1.2E-2</v>
      </c>
      <c r="N1139" s="8">
        <f t="shared" si="194"/>
        <v>2.23E-2</v>
      </c>
      <c r="O1139" s="296">
        <f t="shared" si="189"/>
        <v>0.10771261981031933</v>
      </c>
      <c r="P1139" s="8">
        <f t="shared" si="195"/>
        <v>9.7412619810319331E-2</v>
      </c>
      <c r="Q1139" s="8">
        <f t="shared" si="196"/>
        <v>5.808355074833238E-2</v>
      </c>
      <c r="R1139" s="8">
        <f t="shared" si="197"/>
        <v>2.7400000000000001E-2</v>
      </c>
      <c r="S1139" s="296">
        <f t="shared" si="198"/>
        <v>3.0683550748332379E-2</v>
      </c>
    </row>
    <row r="1140" spans="1:19" x14ac:dyDescent="0.45">
      <c r="A1140" s="304">
        <v>44044</v>
      </c>
      <c r="B1140" s="5">
        <v>7.1900000000000006E-2</v>
      </c>
      <c r="C1140" s="5">
        <v>-2.6496057598276487E-2</v>
      </c>
      <c r="D1140" s="5">
        <v>8.0000000000000004E-4</v>
      </c>
      <c r="E1140" s="5">
        <v>1.8749999999999999E-3</v>
      </c>
      <c r="F1140" s="5">
        <v>1.9750000000000002E-3</v>
      </c>
      <c r="G1140" s="5">
        <f t="shared" si="187"/>
        <v>1.9250000000000001E-3</v>
      </c>
      <c r="H1140" s="5">
        <v>2.2750000000000001E-3</v>
      </c>
      <c r="I1140" s="5">
        <f t="shared" si="188"/>
        <v>7.110000000000001E-2</v>
      </c>
      <c r="J1140" s="5">
        <f t="shared" si="192"/>
        <v>6.9975000000000009E-2</v>
      </c>
      <c r="K1140" s="5">
        <f t="shared" si="193"/>
        <v>-2.8771057598276487E-2</v>
      </c>
      <c r="L1140" s="8">
        <f t="shared" si="190"/>
        <v>0.21948786544877219</v>
      </c>
      <c r="M1140" s="8">
        <f t="shared" si="191"/>
        <v>9.6000000000000009E-3</v>
      </c>
      <c r="N1140" s="8">
        <f t="shared" si="194"/>
        <v>2.3100000000000002E-2</v>
      </c>
      <c r="O1140" s="296">
        <f t="shared" si="189"/>
        <v>0.20988786544877219</v>
      </c>
      <c r="P1140" s="8">
        <f t="shared" si="195"/>
        <v>0.19638786544877218</v>
      </c>
      <c r="Q1140" s="8">
        <f t="shared" si="196"/>
        <v>-2.0214488686469023E-2</v>
      </c>
      <c r="R1140" s="8">
        <f t="shared" si="197"/>
        <v>2.7300000000000001E-2</v>
      </c>
      <c r="S1140" s="296">
        <f t="shared" si="198"/>
        <v>-4.7514488686469028E-2</v>
      </c>
    </row>
    <row r="1141" spans="1:19" x14ac:dyDescent="0.45">
      <c r="A1141" s="304">
        <v>44075</v>
      </c>
      <c r="B1141" s="5">
        <v>-3.7999999999999999E-2</v>
      </c>
      <c r="C1141" s="5">
        <v>1.1208634977297001E-2</v>
      </c>
      <c r="D1141" s="5">
        <v>0</v>
      </c>
      <c r="E1141" s="5">
        <v>1.9250000000000001E-3</v>
      </c>
      <c r="F1141" s="5">
        <v>2.058333333333333E-3</v>
      </c>
      <c r="G1141" s="5">
        <f t="shared" si="187"/>
        <v>1.9916666666666668E-3</v>
      </c>
      <c r="H1141" s="5">
        <v>2.3666666666666667E-3</v>
      </c>
      <c r="I1141" s="5">
        <f t="shared" si="188"/>
        <v>-3.7999999999999999E-2</v>
      </c>
      <c r="J1141" s="5">
        <f t="shared" si="192"/>
        <v>-3.9991666666666668E-2</v>
      </c>
      <c r="K1141" s="5">
        <f t="shared" si="193"/>
        <v>8.8419683106303344E-3</v>
      </c>
      <c r="L1141" s="8">
        <f t="shared" si="190"/>
        <v>0.15161217881782529</v>
      </c>
      <c r="M1141" s="8">
        <f t="shared" si="191"/>
        <v>0</v>
      </c>
      <c r="N1141" s="8">
        <f t="shared" si="194"/>
        <v>2.3900000000000001E-2</v>
      </c>
      <c r="O1141" s="296">
        <f t="shared" si="189"/>
        <v>0.15161217881782529</v>
      </c>
      <c r="P1141" s="8">
        <f t="shared" si="195"/>
        <v>0.12771217881782529</v>
      </c>
      <c r="Q1141" s="8">
        <f t="shared" si="196"/>
        <v>-4.9623434565094549E-2</v>
      </c>
      <c r="R1141" s="8">
        <f t="shared" si="197"/>
        <v>2.8400000000000002E-2</v>
      </c>
      <c r="S1141" s="296">
        <f t="shared" si="198"/>
        <v>-7.8023434565094557E-2</v>
      </c>
    </row>
    <row r="1142" spans="1:19" x14ac:dyDescent="0.45">
      <c r="A1142" s="304">
        <v>44105</v>
      </c>
      <c r="B1142" s="5">
        <v>-2.6599999999999999E-2</v>
      </c>
      <c r="C1142" s="5">
        <v>5.0416695141057254E-2</v>
      </c>
      <c r="D1142" s="5">
        <v>8.9999999999999998E-4</v>
      </c>
      <c r="E1142" s="5">
        <v>1.9583333333333332E-3</v>
      </c>
      <c r="F1142" s="5">
        <v>2.1249999999999997E-3</v>
      </c>
      <c r="G1142" s="5">
        <f t="shared" ref="G1142:G1191" si="199">AVERAGE(E1142:F1142)</f>
        <v>2.0416666666666665E-3</v>
      </c>
      <c r="H1142" s="5">
        <v>2.4583333333333336E-3</v>
      </c>
      <c r="I1142" s="5">
        <f t="shared" si="188"/>
        <v>-2.75E-2</v>
      </c>
      <c r="J1142" s="5">
        <f t="shared" si="192"/>
        <v>-2.8641666666666666E-2</v>
      </c>
      <c r="K1142" s="5">
        <f t="shared" si="193"/>
        <v>4.795836180772392E-2</v>
      </c>
      <c r="L1142" s="8">
        <f t="shared" si="190"/>
        <v>9.7170690869404996E-2</v>
      </c>
      <c r="M1142" s="8">
        <f t="shared" si="191"/>
        <v>1.0800000000000001E-2</v>
      </c>
      <c r="N1142" s="8">
        <f t="shared" si="194"/>
        <v>2.4499999999999997E-2</v>
      </c>
      <c r="O1142" s="296">
        <f t="shared" si="189"/>
        <v>8.6370690869404992E-2</v>
      </c>
      <c r="P1142" s="8">
        <f t="shared" si="195"/>
        <v>7.2670690869405002E-2</v>
      </c>
      <c r="Q1142" s="8">
        <f t="shared" si="196"/>
        <v>6.0379028556305503E-3</v>
      </c>
      <c r="R1142" s="8">
        <f t="shared" si="197"/>
        <v>2.9500000000000005E-2</v>
      </c>
      <c r="S1142" s="296">
        <f t="shared" si="198"/>
        <v>-2.3462097144369455E-2</v>
      </c>
    </row>
    <row r="1143" spans="1:19" x14ac:dyDescent="0.45">
      <c r="A1143" s="304">
        <v>44136</v>
      </c>
      <c r="B1143" s="5">
        <v>0.1095</v>
      </c>
      <c r="C1143" s="5">
        <v>7.3522810716743856E-3</v>
      </c>
      <c r="D1143" s="5">
        <v>1.1000000000000001E-3</v>
      </c>
      <c r="E1143" s="5">
        <v>1.9166666666666666E-3</v>
      </c>
      <c r="F1143" s="5">
        <v>2.058333333333333E-3</v>
      </c>
      <c r="G1143" s="5">
        <f t="shared" si="199"/>
        <v>1.9874999999999997E-3</v>
      </c>
      <c r="H1143" s="5">
        <v>2.3749999999999999E-3</v>
      </c>
      <c r="I1143" s="5">
        <f t="shared" si="188"/>
        <v>0.1084</v>
      </c>
      <c r="J1143" s="5">
        <f t="shared" si="192"/>
        <v>0.1075125</v>
      </c>
      <c r="K1143" s="5">
        <f t="shared" si="193"/>
        <v>4.9772810716743852E-3</v>
      </c>
      <c r="L1143" s="8">
        <f t="shared" si="190"/>
        <v>0.17467034789115599</v>
      </c>
      <c r="M1143" s="8">
        <f t="shared" si="191"/>
        <v>1.32E-2</v>
      </c>
      <c r="N1143" s="8">
        <f t="shared" si="194"/>
        <v>2.3849999999999996E-2</v>
      </c>
      <c r="O1143" s="296">
        <f t="shared" si="189"/>
        <v>0.161470347891156</v>
      </c>
      <c r="P1143" s="8">
        <f t="shared" si="195"/>
        <v>0.150820347891156</v>
      </c>
      <c r="Q1143" s="8">
        <f t="shared" si="196"/>
        <v>3.2641712131834977E-2</v>
      </c>
      <c r="R1143" s="8">
        <f t="shared" si="197"/>
        <v>2.8499999999999998E-2</v>
      </c>
      <c r="S1143" s="296">
        <f t="shared" si="198"/>
        <v>4.1417121318349792E-3</v>
      </c>
    </row>
    <row r="1144" spans="1:19" x14ac:dyDescent="0.45">
      <c r="A1144" s="304">
        <v>44166</v>
      </c>
      <c r="B1144" s="5">
        <v>3.8399999999999997E-2</v>
      </c>
      <c r="C1144" s="5">
        <v>7.0325529758781969E-3</v>
      </c>
      <c r="D1144" s="5">
        <v>1.1000000000000001E-3</v>
      </c>
      <c r="E1144" s="5">
        <v>1.8833333333333332E-3</v>
      </c>
      <c r="F1144" s="5">
        <v>2.0333333333333332E-3</v>
      </c>
      <c r="G1144" s="5">
        <f t="shared" si="199"/>
        <v>1.9583333333333332E-3</v>
      </c>
      <c r="H1144" s="5">
        <v>2.3083333333333332E-3</v>
      </c>
      <c r="I1144" s="5">
        <f t="shared" si="188"/>
        <v>3.73E-2</v>
      </c>
      <c r="J1144" s="5">
        <f t="shared" si="192"/>
        <v>3.6441666666666664E-2</v>
      </c>
      <c r="K1144" s="5">
        <f t="shared" si="193"/>
        <v>4.7242196425448637E-3</v>
      </c>
      <c r="L1144" s="8">
        <f t="shared" si="190"/>
        <v>0.18402027688815403</v>
      </c>
      <c r="M1144" s="8">
        <f t="shared" si="191"/>
        <v>1.32E-2</v>
      </c>
      <c r="N1144" s="8">
        <f t="shared" si="194"/>
        <v>2.35E-2</v>
      </c>
      <c r="O1144" s="296">
        <f t="shared" si="189"/>
        <v>0.17082027688815404</v>
      </c>
      <c r="P1144" s="8">
        <f t="shared" si="195"/>
        <v>0.16052027688815404</v>
      </c>
      <c r="Q1144" s="8">
        <f t="shared" si="196"/>
        <v>5.4179828652263229E-3</v>
      </c>
      <c r="R1144" s="8">
        <f t="shared" si="197"/>
        <v>2.7699999999999999E-2</v>
      </c>
      <c r="S1144" s="296">
        <f t="shared" si="198"/>
        <v>-2.2282017134773676E-2</v>
      </c>
    </row>
    <row r="1145" spans="1:19" x14ac:dyDescent="0.45">
      <c r="A1145" s="304">
        <v>44197</v>
      </c>
      <c r="B1145" s="5">
        <v>-1.01E-2</v>
      </c>
      <c r="C1145" s="5">
        <v>-9.1490879490143378E-3</v>
      </c>
      <c r="D1145" s="5">
        <v>1.1000000000000001E-3</v>
      </c>
      <c r="E1145" s="5">
        <v>2.0416666666666669E-3</v>
      </c>
      <c r="F1145" s="5">
        <v>2.1749999999999999E-3</v>
      </c>
      <c r="G1145" s="5">
        <f t="shared" si="199"/>
        <v>2.1083333333333336E-3</v>
      </c>
      <c r="H1145" s="5">
        <v>2.4250000000000001E-3</v>
      </c>
      <c r="I1145" s="5">
        <f t="shared" si="188"/>
        <v>-1.12E-2</v>
      </c>
      <c r="J1145" s="5">
        <f t="shared" si="192"/>
        <v>-1.2208333333333333E-2</v>
      </c>
      <c r="K1145" s="5">
        <f t="shared" si="193"/>
        <v>-1.1574087949014338E-2</v>
      </c>
      <c r="L1145" s="8">
        <f t="shared" si="190"/>
        <v>0.17253068436532981</v>
      </c>
      <c r="M1145" s="8">
        <f t="shared" si="191"/>
        <v>1.32E-2</v>
      </c>
      <c r="N1145" s="8">
        <f t="shared" si="194"/>
        <v>2.5300000000000003E-2</v>
      </c>
      <c r="O1145" s="296">
        <f t="shared" si="189"/>
        <v>0.15933068436532982</v>
      </c>
      <c r="P1145" s="8">
        <f t="shared" si="195"/>
        <v>0.14723068436532982</v>
      </c>
      <c r="Q1145" s="8">
        <f t="shared" si="196"/>
        <v>-6.5930972916153685E-2</v>
      </c>
      <c r="R1145" s="8">
        <f t="shared" si="197"/>
        <v>2.9100000000000001E-2</v>
      </c>
      <c r="S1145" s="296">
        <f t="shared" si="198"/>
        <v>-9.5030972916153686E-2</v>
      </c>
    </row>
    <row r="1146" spans="1:19" x14ac:dyDescent="0.45">
      <c r="A1146" s="304">
        <v>44228</v>
      </c>
      <c r="B1146" s="5">
        <v>2.76E-2</v>
      </c>
      <c r="C1146" s="5">
        <v>-6.0949635783169254E-2</v>
      </c>
      <c r="D1146" s="5">
        <v>1.1999999999999999E-3</v>
      </c>
      <c r="E1146" s="5">
        <v>2.2500000000000003E-3</v>
      </c>
      <c r="F1146" s="5">
        <v>2.3583333333333334E-3</v>
      </c>
      <c r="G1146" s="5">
        <f t="shared" si="199"/>
        <v>2.304166666666667E-3</v>
      </c>
      <c r="H1146" s="5">
        <v>2.575E-3</v>
      </c>
      <c r="I1146" s="5">
        <f t="shared" si="188"/>
        <v>2.64E-2</v>
      </c>
      <c r="J1146" s="5">
        <f t="shared" si="192"/>
        <v>2.5295833333333333E-2</v>
      </c>
      <c r="K1146" s="5">
        <f t="shared" si="193"/>
        <v>-6.3524635783169248E-2</v>
      </c>
      <c r="L1146" s="8">
        <f t="shared" si="190"/>
        <v>0.31294816525423719</v>
      </c>
      <c r="M1146" s="8">
        <f t="shared" si="191"/>
        <v>1.44E-2</v>
      </c>
      <c r="N1146" s="8">
        <f t="shared" si="194"/>
        <v>2.7650000000000004E-2</v>
      </c>
      <c r="O1146" s="296">
        <f t="shared" si="189"/>
        <v>0.29854816525423716</v>
      </c>
      <c r="P1146" s="8">
        <f t="shared" si="195"/>
        <v>0.28529816525423718</v>
      </c>
      <c r="Q1146" s="8">
        <f t="shared" si="196"/>
        <v>-2.707456297944788E-2</v>
      </c>
      <c r="R1146" s="8">
        <f t="shared" si="197"/>
        <v>3.09E-2</v>
      </c>
      <c r="S1146" s="296">
        <f t="shared" si="198"/>
        <v>-5.7974562979447877E-2</v>
      </c>
    </row>
    <row r="1147" spans="1:19" x14ac:dyDescent="0.45">
      <c r="A1147" s="304">
        <v>44256</v>
      </c>
      <c r="B1147" s="5">
        <v>4.3799999999999999E-2</v>
      </c>
      <c r="C1147" s="5">
        <v>0.10498835014976989</v>
      </c>
      <c r="D1147" s="5">
        <v>1.8E-3</v>
      </c>
      <c r="E1147" s="5">
        <v>2.5333333333333336E-3</v>
      </c>
      <c r="F1147" s="5">
        <v>2.6416666666666667E-3</v>
      </c>
      <c r="G1147" s="5">
        <f t="shared" si="199"/>
        <v>2.5875000000000004E-3</v>
      </c>
      <c r="H1147" s="5">
        <v>2.8666666666666667E-3</v>
      </c>
      <c r="I1147" s="5">
        <f t="shared" si="188"/>
        <v>4.1999999999999996E-2</v>
      </c>
      <c r="J1147" s="5">
        <f t="shared" si="192"/>
        <v>4.1212499999999999E-2</v>
      </c>
      <c r="K1147" s="5">
        <f t="shared" si="193"/>
        <v>0.10212168348310321</v>
      </c>
      <c r="L1147" s="8">
        <f t="shared" si="190"/>
        <v>0.56355424403008891</v>
      </c>
      <c r="M1147" s="8">
        <f t="shared" si="191"/>
        <v>2.1600000000000001E-2</v>
      </c>
      <c r="N1147" s="8">
        <f t="shared" si="194"/>
        <v>3.1050000000000005E-2</v>
      </c>
      <c r="O1147" s="296">
        <f t="shared" si="189"/>
        <v>0.54195424403008896</v>
      </c>
      <c r="P1147" s="8">
        <f t="shared" si="195"/>
        <v>0.53250424403008889</v>
      </c>
      <c r="Q1147" s="8">
        <f t="shared" si="196"/>
        <v>0.1943280764323152</v>
      </c>
      <c r="R1147" s="8">
        <f t="shared" si="197"/>
        <v>3.44E-2</v>
      </c>
      <c r="S1147" s="296">
        <f t="shared" si="198"/>
        <v>0.15992807643231521</v>
      </c>
    </row>
    <row r="1148" spans="1:19" x14ac:dyDescent="0.45">
      <c r="A1148" s="304">
        <v>44287</v>
      </c>
      <c r="B1148" s="5">
        <v>5.3400000000000003E-2</v>
      </c>
      <c r="C1148" s="5">
        <v>4.2771092437836097E-2</v>
      </c>
      <c r="D1148" s="5">
        <v>1.9E-3</v>
      </c>
      <c r="E1148" s="5">
        <v>2.4166666666666668E-3</v>
      </c>
      <c r="F1148" s="5">
        <v>2.5249999999999999E-3</v>
      </c>
      <c r="G1148" s="5">
        <f t="shared" si="199"/>
        <v>2.4708333333333336E-3</v>
      </c>
      <c r="H1148" s="5">
        <v>2.7499999999999998E-3</v>
      </c>
      <c r="I1148" s="5">
        <f t="shared" si="188"/>
        <v>5.1500000000000004E-2</v>
      </c>
      <c r="J1148" s="5">
        <f t="shared" si="192"/>
        <v>5.0929166666666671E-2</v>
      </c>
      <c r="K1148" s="5">
        <f t="shared" si="193"/>
        <v>4.0021092437836095E-2</v>
      </c>
      <c r="L1148" s="8">
        <f t="shared" si="190"/>
        <v>0.45989012645035854</v>
      </c>
      <c r="M1148" s="8">
        <f t="shared" si="191"/>
        <v>2.2800000000000001E-2</v>
      </c>
      <c r="N1148" s="8">
        <f t="shared" si="194"/>
        <v>2.9650000000000003E-2</v>
      </c>
      <c r="O1148" s="296">
        <f t="shared" si="189"/>
        <v>0.43709012645035855</v>
      </c>
      <c r="P1148" s="8">
        <f t="shared" si="195"/>
        <v>0.43024012645035853</v>
      </c>
      <c r="Q1148" s="8">
        <f t="shared" si="196"/>
        <v>0.20645826189458227</v>
      </c>
      <c r="R1148" s="8">
        <f t="shared" si="197"/>
        <v>3.3000000000000002E-2</v>
      </c>
      <c r="S1148" s="296">
        <f t="shared" si="198"/>
        <v>0.17345826189458227</v>
      </c>
    </row>
    <row r="1149" spans="1:19" x14ac:dyDescent="0.45">
      <c r="A1149" s="304">
        <v>44317</v>
      </c>
      <c r="B1149" s="5">
        <v>7.0000000000000001E-3</v>
      </c>
      <c r="C1149" s="5">
        <v>-2.3727991736619838E-2</v>
      </c>
      <c r="D1149" s="5">
        <v>1.8E-3</v>
      </c>
      <c r="E1149" s="5">
        <v>2.4666666666666669E-3</v>
      </c>
      <c r="F1149" s="5">
        <v>2.558333333333333E-3</v>
      </c>
      <c r="G1149" s="5">
        <f t="shared" si="199"/>
        <v>2.5125E-3</v>
      </c>
      <c r="H1149" s="5">
        <v>2.7750000000000001E-3</v>
      </c>
      <c r="I1149" s="5">
        <f t="shared" si="188"/>
        <v>5.1999999999999998E-3</v>
      </c>
      <c r="J1149" s="5">
        <f t="shared" si="192"/>
        <v>4.4875000000000002E-3</v>
      </c>
      <c r="K1149" s="5">
        <f t="shared" si="193"/>
        <v>-2.6502991736619838E-2</v>
      </c>
      <c r="L1149" s="8">
        <f t="shared" si="190"/>
        <v>0.40331171948788769</v>
      </c>
      <c r="M1149" s="8">
        <f t="shared" si="191"/>
        <v>2.1600000000000001E-2</v>
      </c>
      <c r="N1149" s="8">
        <f t="shared" si="194"/>
        <v>3.015E-2</v>
      </c>
      <c r="O1149" s="296">
        <f t="shared" si="189"/>
        <v>0.38171171948788768</v>
      </c>
      <c r="P1149" s="8">
        <f t="shared" si="195"/>
        <v>0.37316171948788768</v>
      </c>
      <c r="Q1149" s="8">
        <f t="shared" si="196"/>
        <v>0.12869033725618473</v>
      </c>
      <c r="R1149" s="8">
        <f t="shared" si="197"/>
        <v>3.3300000000000003E-2</v>
      </c>
      <c r="S1149" s="296">
        <f t="shared" si="198"/>
        <v>9.5390337256184732E-2</v>
      </c>
    </row>
    <row r="1150" spans="1:19" x14ac:dyDescent="0.45">
      <c r="A1150" s="304">
        <v>44348</v>
      </c>
      <c r="B1150" s="5">
        <v>2.3300000000000001E-2</v>
      </c>
      <c r="C1150" s="5">
        <v>-2.1629631904666716E-2</v>
      </c>
      <c r="D1150" s="5">
        <v>1.6999999999999999E-3</v>
      </c>
      <c r="E1150" s="5">
        <v>2.3250000000000002E-3</v>
      </c>
      <c r="F1150" s="5">
        <v>2.4250000000000001E-3</v>
      </c>
      <c r="G1150" s="5">
        <f t="shared" si="199"/>
        <v>2.3750000000000004E-3</v>
      </c>
      <c r="H1150" s="5">
        <v>2.6333333333333334E-3</v>
      </c>
      <c r="I1150" s="5">
        <f t="shared" si="188"/>
        <v>2.1600000000000001E-2</v>
      </c>
      <c r="J1150" s="5">
        <f t="shared" si="192"/>
        <v>2.0924999999999999E-2</v>
      </c>
      <c r="K1150" s="5">
        <f t="shared" si="193"/>
        <v>-2.4262965238000051E-2</v>
      </c>
      <c r="L1150" s="8">
        <f t="shared" si="190"/>
        <v>0.40798988386307999</v>
      </c>
      <c r="M1150" s="8">
        <f t="shared" si="191"/>
        <v>2.0399999999999998E-2</v>
      </c>
      <c r="N1150" s="8">
        <f t="shared" si="194"/>
        <v>2.8500000000000004E-2</v>
      </c>
      <c r="O1150" s="296">
        <f t="shared" si="189"/>
        <v>0.38758988386308002</v>
      </c>
      <c r="P1150" s="8">
        <f t="shared" si="195"/>
        <v>0.37948988386307997</v>
      </c>
      <c r="Q1150" s="8">
        <f t="shared" si="196"/>
        <v>0.1581490415960467</v>
      </c>
      <c r="R1150" s="8">
        <f t="shared" si="197"/>
        <v>3.1600000000000003E-2</v>
      </c>
      <c r="S1150" s="296">
        <f t="shared" si="198"/>
        <v>0.12654904159604669</v>
      </c>
    </row>
    <row r="1151" spans="1:19" x14ac:dyDescent="0.45">
      <c r="A1151" s="304">
        <v>44378</v>
      </c>
      <c r="B1151" s="5">
        <v>2.3800000000000002E-2</v>
      </c>
      <c r="C1151" s="5">
        <v>3.8580129254477007E-2</v>
      </c>
      <c r="D1151" s="5">
        <v>1.6000000000000001E-3</v>
      </c>
      <c r="E1151" s="5">
        <v>2.1416666666666663E-3</v>
      </c>
      <c r="F1151" s="5">
        <v>2.2583333333333331E-3</v>
      </c>
      <c r="G1151" s="5">
        <f t="shared" si="199"/>
        <v>2.1999999999999997E-3</v>
      </c>
      <c r="H1151" s="5">
        <v>2.4583333333333336E-3</v>
      </c>
      <c r="I1151" s="5">
        <f t="shared" si="188"/>
        <v>2.2200000000000001E-2</v>
      </c>
      <c r="J1151" s="5">
        <f t="shared" si="192"/>
        <v>2.1600000000000001E-2</v>
      </c>
      <c r="K1151" s="5">
        <f t="shared" si="193"/>
        <v>3.6121795921143673E-2</v>
      </c>
      <c r="L1151" s="8">
        <f t="shared" si="190"/>
        <v>0.36453998778779018</v>
      </c>
      <c r="M1151" s="8">
        <f t="shared" si="191"/>
        <v>1.9200000000000002E-2</v>
      </c>
      <c r="N1151" s="8">
        <f t="shared" si="194"/>
        <v>2.6399999999999996E-2</v>
      </c>
      <c r="O1151" s="296">
        <f t="shared" si="189"/>
        <v>0.34533998778779018</v>
      </c>
      <c r="P1151" s="8">
        <f t="shared" si="195"/>
        <v>0.3381399877877902</v>
      </c>
      <c r="Q1151" s="8">
        <f t="shared" si="196"/>
        <v>0.11563723952427551</v>
      </c>
      <c r="R1151" s="8">
        <f t="shared" si="197"/>
        <v>2.9500000000000005E-2</v>
      </c>
      <c r="S1151" s="296">
        <f t="shared" si="198"/>
        <v>8.6137239524275516E-2</v>
      </c>
    </row>
    <row r="1152" spans="1:19" x14ac:dyDescent="0.45">
      <c r="A1152" s="304">
        <v>44409</v>
      </c>
      <c r="B1152" s="5">
        <v>3.04E-2</v>
      </c>
      <c r="C1152" s="5">
        <v>3.9754994769648354E-2</v>
      </c>
      <c r="D1152" s="5">
        <v>1.5E-3</v>
      </c>
      <c r="E1152" s="5">
        <v>2.1250000000000002E-3</v>
      </c>
      <c r="F1152" s="5">
        <v>2.2750000000000001E-3</v>
      </c>
      <c r="G1152" s="5">
        <f t="shared" si="199"/>
        <v>2.2000000000000001E-3</v>
      </c>
      <c r="H1152" s="5">
        <v>2.4583333333333336E-3</v>
      </c>
      <c r="I1152" s="5">
        <f t="shared" si="188"/>
        <v>2.8899999999999999E-2</v>
      </c>
      <c r="J1152" s="5">
        <f t="shared" si="192"/>
        <v>2.8199999999999999E-2</v>
      </c>
      <c r="K1152" s="5">
        <f t="shared" si="193"/>
        <v>3.7296661436315021E-2</v>
      </c>
      <c r="L1152" s="8">
        <f t="shared" si="190"/>
        <v>0.3117100507664321</v>
      </c>
      <c r="M1152" s="8">
        <f t="shared" si="191"/>
        <v>1.8000000000000002E-2</v>
      </c>
      <c r="N1152" s="8">
        <f t="shared" si="194"/>
        <v>2.64E-2</v>
      </c>
      <c r="O1152" s="296">
        <f t="shared" si="189"/>
        <v>0.29371005076643208</v>
      </c>
      <c r="P1152" s="8">
        <f t="shared" si="195"/>
        <v>0.28531005076643212</v>
      </c>
      <c r="Q1152" s="8">
        <f t="shared" si="196"/>
        <v>0.19156106269542938</v>
      </c>
      <c r="R1152" s="8">
        <f t="shared" si="197"/>
        <v>2.9500000000000005E-2</v>
      </c>
      <c r="S1152" s="296">
        <f t="shared" si="198"/>
        <v>0.16206106269542939</v>
      </c>
    </row>
    <row r="1153" spans="1:19" x14ac:dyDescent="0.45">
      <c r="A1153" s="304">
        <v>44440</v>
      </c>
      <c r="B1153" s="5">
        <v>-4.65E-2</v>
      </c>
      <c r="C1153" s="5">
        <v>-6.1694618844009501E-2</v>
      </c>
      <c r="D1153" s="5">
        <v>1.4E-3</v>
      </c>
      <c r="E1153" s="5">
        <v>2.1083333333333332E-3</v>
      </c>
      <c r="F1153" s="5">
        <v>2.2750000000000001E-3</v>
      </c>
      <c r="G1153" s="5">
        <f t="shared" si="199"/>
        <v>2.1916666666666664E-3</v>
      </c>
      <c r="H1153" s="5">
        <v>2.4666666666666669E-3</v>
      </c>
      <c r="I1153" s="5">
        <f t="shared" si="188"/>
        <v>-4.7899999999999998E-2</v>
      </c>
      <c r="J1153" s="5">
        <f t="shared" si="192"/>
        <v>-4.8691666666666668E-2</v>
      </c>
      <c r="K1153" s="5">
        <f t="shared" si="193"/>
        <v>-6.4161285510676166E-2</v>
      </c>
      <c r="L1153" s="8">
        <f t="shared" si="190"/>
        <v>0.30012009709541876</v>
      </c>
      <c r="M1153" s="8">
        <f t="shared" si="191"/>
        <v>1.6799999999999999E-2</v>
      </c>
      <c r="N1153" s="8">
        <f t="shared" si="194"/>
        <v>2.6299999999999997E-2</v>
      </c>
      <c r="O1153" s="296">
        <f t="shared" si="189"/>
        <v>0.28332009709541878</v>
      </c>
      <c r="P1153" s="8">
        <f t="shared" si="195"/>
        <v>0.27382009709541877</v>
      </c>
      <c r="Q1153" s="8">
        <f t="shared" si="196"/>
        <v>0.10565527076237213</v>
      </c>
      <c r="R1153" s="8">
        <f t="shared" si="197"/>
        <v>2.9600000000000001E-2</v>
      </c>
      <c r="S1153" s="296">
        <f t="shared" si="198"/>
        <v>7.6055270762372132E-2</v>
      </c>
    </row>
    <row r="1154" spans="1:19" x14ac:dyDescent="0.45">
      <c r="A1154" s="304">
        <v>44470</v>
      </c>
      <c r="B1154" s="5">
        <v>7.0099999999999996E-2</v>
      </c>
      <c r="C1154" s="5">
        <v>4.7338249999999998E-2</v>
      </c>
      <c r="D1154" s="5">
        <v>1.5E-3</v>
      </c>
      <c r="E1154" s="5">
        <v>2.2333333333333337E-3</v>
      </c>
      <c r="F1154" s="5">
        <v>2.3833333333333332E-3</v>
      </c>
      <c r="G1154" s="5">
        <f t="shared" si="199"/>
        <v>2.3083333333333332E-3</v>
      </c>
      <c r="H1154" s="5">
        <v>2.575E-3</v>
      </c>
      <c r="I1154" s="5">
        <f t="shared" si="188"/>
        <v>6.8599999999999994E-2</v>
      </c>
      <c r="J1154" s="5">
        <f t="shared" si="192"/>
        <v>6.7791666666666667E-2</v>
      </c>
      <c r="K1154" s="5">
        <f t="shared" si="193"/>
        <v>4.4763249999999997E-2</v>
      </c>
      <c r="L1154" s="8">
        <f t="shared" si="190"/>
        <v>0.4292772918654284</v>
      </c>
      <c r="M1154" s="8">
        <f t="shared" si="191"/>
        <v>1.8000000000000002E-2</v>
      </c>
      <c r="N1154" s="8">
        <f t="shared" si="194"/>
        <v>2.7699999999999999E-2</v>
      </c>
      <c r="O1154" s="296">
        <f t="shared" si="189"/>
        <v>0.41127729186542838</v>
      </c>
      <c r="P1154" s="8">
        <f t="shared" si="195"/>
        <v>0.4015772918654284</v>
      </c>
      <c r="Q1154" s="8">
        <f t="shared" si="196"/>
        <v>0.1024149385097457</v>
      </c>
      <c r="R1154" s="8">
        <f t="shared" si="197"/>
        <v>3.09E-2</v>
      </c>
      <c r="S1154" s="296">
        <f t="shared" si="198"/>
        <v>7.1514938509745704E-2</v>
      </c>
    </row>
    <row r="1155" spans="1:19" x14ac:dyDescent="0.45">
      <c r="A1155" s="304">
        <v>44501</v>
      </c>
      <c r="B1155" s="5">
        <v>-6.8999999999999999E-3</v>
      </c>
      <c r="C1155" s="5">
        <v>-1.6393896390234163E-2</v>
      </c>
      <c r="D1155" s="5">
        <v>1.6999999999999999E-3</v>
      </c>
      <c r="E1155" s="5">
        <v>2.1833333333333336E-3</v>
      </c>
      <c r="F1155" s="5">
        <v>2.3083333333333332E-3</v>
      </c>
      <c r="G1155" s="5">
        <f t="shared" si="199"/>
        <v>2.2458333333333332E-3</v>
      </c>
      <c r="H1155" s="5">
        <v>2.5166666666666666E-3</v>
      </c>
      <c r="I1155" s="5">
        <f t="shared" si="188"/>
        <v>-8.6E-3</v>
      </c>
      <c r="J1155" s="5">
        <f t="shared" si="192"/>
        <v>-9.1458333333333322E-3</v>
      </c>
      <c r="K1155" s="5">
        <f t="shared" si="193"/>
        <v>-1.891056305690083E-2</v>
      </c>
      <c r="L1155" s="8">
        <f t="shared" si="190"/>
        <v>0.27932877742366591</v>
      </c>
      <c r="M1155" s="8">
        <f t="shared" si="191"/>
        <v>2.0399999999999998E-2</v>
      </c>
      <c r="N1155" s="8">
        <f t="shared" si="194"/>
        <v>2.6949999999999998E-2</v>
      </c>
      <c r="O1155" s="296">
        <f t="shared" si="189"/>
        <v>0.25892877742366593</v>
      </c>
      <c r="P1155" s="8">
        <f t="shared" si="195"/>
        <v>0.25237877742366593</v>
      </c>
      <c r="Q1155" s="8">
        <f t="shared" si="196"/>
        <v>7.6427862033716432E-2</v>
      </c>
      <c r="R1155" s="8">
        <f t="shared" si="197"/>
        <v>3.0199999999999998E-2</v>
      </c>
      <c r="S1155" s="296">
        <f t="shared" si="198"/>
        <v>4.6227862033716434E-2</v>
      </c>
    </row>
    <row r="1156" spans="1:19" x14ac:dyDescent="0.45">
      <c r="A1156" s="304">
        <v>44531</v>
      </c>
      <c r="B1156" s="5">
        <v>4.48E-2</v>
      </c>
      <c r="C1156" s="5">
        <v>9.6216364270722721E-2</v>
      </c>
      <c r="D1156" s="5">
        <v>1.5E-3</v>
      </c>
      <c r="E1156" s="5">
        <v>2.2000000000000001E-3</v>
      </c>
      <c r="F1156" s="5">
        <v>2.3083333333333332E-3</v>
      </c>
      <c r="G1156" s="5">
        <f t="shared" si="199"/>
        <v>2.2541666666666665E-3</v>
      </c>
      <c r="H1156" s="5">
        <v>2.5333333333333336E-3</v>
      </c>
      <c r="I1156" s="5">
        <f t="shared" si="188"/>
        <v>4.3299999999999998E-2</v>
      </c>
      <c r="J1156" s="5">
        <f t="shared" si="192"/>
        <v>4.2545833333333331E-2</v>
      </c>
      <c r="K1156" s="5">
        <f t="shared" si="193"/>
        <v>9.3683030937389389E-2</v>
      </c>
      <c r="L1156" s="8">
        <f t="shared" si="190"/>
        <v>0.28721370055108419</v>
      </c>
      <c r="M1156" s="8">
        <f t="shared" si="191"/>
        <v>1.8000000000000002E-2</v>
      </c>
      <c r="N1156" s="8">
        <f t="shared" si="194"/>
        <v>2.7049999999999998E-2</v>
      </c>
      <c r="O1156" s="296">
        <f t="shared" si="189"/>
        <v>0.26921370055108418</v>
      </c>
      <c r="P1156" s="8">
        <f t="shared" si="195"/>
        <v>0.26016370055108418</v>
      </c>
      <c r="Q1156" s="8">
        <f t="shared" si="196"/>
        <v>0.171757391388492</v>
      </c>
      <c r="R1156" s="8">
        <f t="shared" si="197"/>
        <v>3.0400000000000003E-2</v>
      </c>
      <c r="S1156" s="296">
        <f t="shared" si="198"/>
        <v>0.14135739138849199</v>
      </c>
    </row>
    <row r="1157" spans="1:19" x14ac:dyDescent="0.45">
      <c r="A1157" s="304">
        <v>44562</v>
      </c>
      <c r="B1157" s="5">
        <v>-5.1700000000000003E-2</v>
      </c>
      <c r="C1157" s="5">
        <v>-3.2749444684625581E-2</v>
      </c>
      <c r="D1157" s="5">
        <v>1.6999999999999999E-3</v>
      </c>
      <c r="E1157" s="5">
        <v>2.4416666666666666E-3</v>
      </c>
      <c r="F1157" s="5">
        <v>2.5166666666666666E-3</v>
      </c>
      <c r="G1157" s="5">
        <f t="shared" si="199"/>
        <v>2.4791666666666668E-3</v>
      </c>
      <c r="H1157" s="5">
        <v>2.7750000000000001E-3</v>
      </c>
      <c r="I1157" s="5">
        <f t="shared" si="188"/>
        <v>-5.3400000000000003E-2</v>
      </c>
      <c r="J1157" s="5">
        <f t="shared" si="192"/>
        <v>-5.4179166666666667E-2</v>
      </c>
      <c r="K1157" s="5">
        <f t="shared" si="193"/>
        <v>-3.5524444684625581E-2</v>
      </c>
      <c r="L1157" s="8">
        <f t="shared" si="190"/>
        <v>0.23311925672552136</v>
      </c>
      <c r="M1157" s="8">
        <f t="shared" si="191"/>
        <v>2.0399999999999998E-2</v>
      </c>
      <c r="N1157" s="8">
        <f t="shared" si="194"/>
        <v>2.9750000000000002E-2</v>
      </c>
      <c r="O1157" s="296">
        <f t="shared" si="189"/>
        <v>0.21271925672552136</v>
      </c>
      <c r="P1157" s="8">
        <f t="shared" si="195"/>
        <v>0.20336925672552136</v>
      </c>
      <c r="Q1157" s="8">
        <f t="shared" si="196"/>
        <v>0.14384815488477209</v>
      </c>
      <c r="R1157" s="8">
        <f t="shared" si="197"/>
        <v>3.3300000000000003E-2</v>
      </c>
      <c r="S1157" s="296">
        <f t="shared" si="198"/>
        <v>0.1105481548847721</v>
      </c>
    </row>
    <row r="1158" spans="1:19" x14ac:dyDescent="0.45">
      <c r="A1158" s="304">
        <v>44593</v>
      </c>
      <c r="B1158" s="5">
        <v>-2.9899999999999999E-2</v>
      </c>
      <c r="C1158" s="5">
        <v>-3.4091901875676428E-2</v>
      </c>
      <c r="D1158" s="5">
        <v>1.6999999999999999E-3</v>
      </c>
      <c r="E1158" s="5">
        <v>2.708333333333333E-3</v>
      </c>
      <c r="F1158" s="5">
        <v>2.7999999999999995E-3</v>
      </c>
      <c r="G1158" s="5">
        <f t="shared" si="199"/>
        <v>2.754166666666666E-3</v>
      </c>
      <c r="H1158" s="5">
        <v>3.0666666666666672E-3</v>
      </c>
      <c r="I1158" s="5">
        <f t="shared" ref="I1158:I1192" si="200">B1158-D1158</f>
        <v>-3.1599999999999996E-2</v>
      </c>
      <c r="J1158" s="5">
        <f t="shared" si="192"/>
        <v>-3.2654166666666665E-2</v>
      </c>
      <c r="K1158" s="5">
        <f t="shared" si="193"/>
        <v>-3.7158568542343097E-2</v>
      </c>
      <c r="L1158" s="8">
        <f t="shared" si="190"/>
        <v>0.16411929831590877</v>
      </c>
      <c r="M1158" s="8">
        <f t="shared" si="191"/>
        <v>2.0399999999999998E-2</v>
      </c>
      <c r="N1158" s="8">
        <f t="shared" si="194"/>
        <v>3.3049999999999996E-2</v>
      </c>
      <c r="O1158" s="296">
        <f t="shared" si="189"/>
        <v>0.14371929831590877</v>
      </c>
      <c r="P1158" s="8">
        <f t="shared" si="195"/>
        <v>0.13106929831590877</v>
      </c>
      <c r="Q1158" s="8">
        <f t="shared" si="196"/>
        <v>0.17656330046707835</v>
      </c>
      <c r="R1158" s="8">
        <f t="shared" si="197"/>
        <v>3.6800000000000006E-2</v>
      </c>
      <c r="S1158" s="296">
        <f t="shared" si="198"/>
        <v>0.13976330046707836</v>
      </c>
    </row>
    <row r="1159" spans="1:19" x14ac:dyDescent="0.45">
      <c r="A1159" s="304">
        <v>44621</v>
      </c>
      <c r="B1159" s="5">
        <v>3.7100000000000001E-2</v>
      </c>
      <c r="C1159" s="5">
        <v>0.1034017927240516</v>
      </c>
      <c r="D1159" s="5">
        <v>2E-3</v>
      </c>
      <c r="E1159" s="5">
        <v>2.8583333333333334E-3</v>
      </c>
      <c r="F1159" s="5">
        <v>3.0166666666666671E-3</v>
      </c>
      <c r="G1159" s="5">
        <f t="shared" si="199"/>
        <v>2.9375E-3</v>
      </c>
      <c r="H1159" s="5">
        <v>3.3166666666666665E-3</v>
      </c>
      <c r="I1159" s="5">
        <f t="shared" si="200"/>
        <v>3.5099999999999999E-2</v>
      </c>
      <c r="J1159" s="5">
        <f t="shared" si="192"/>
        <v>3.4162499999999998E-2</v>
      </c>
      <c r="K1159" s="5">
        <f t="shared" si="193"/>
        <v>0.10008512605738494</v>
      </c>
      <c r="L1159" s="8">
        <f t="shared" si="190"/>
        <v>0.15664698628418172</v>
      </c>
      <c r="M1159" s="8">
        <f t="shared" si="191"/>
        <v>2.4E-2</v>
      </c>
      <c r="N1159" s="8">
        <f t="shared" si="194"/>
        <v>3.5250000000000004E-2</v>
      </c>
      <c r="O1159" s="296">
        <f t="shared" si="189"/>
        <v>0.13264698628418173</v>
      </c>
      <c r="P1159" s="8">
        <f t="shared" si="195"/>
        <v>0.12139698628418172</v>
      </c>
      <c r="Q1159" s="8">
        <f t="shared" si="196"/>
        <v>0.17487397474619581</v>
      </c>
      <c r="R1159" s="8">
        <f t="shared" si="197"/>
        <v>3.9800000000000002E-2</v>
      </c>
      <c r="S1159" s="296">
        <f t="shared" si="198"/>
        <v>0.13507397474619581</v>
      </c>
    </row>
    <row r="1160" spans="1:19" x14ac:dyDescent="0.45">
      <c r="A1160" s="304">
        <v>44652</v>
      </c>
      <c r="B1160" s="5">
        <v>-8.72E-2</v>
      </c>
      <c r="C1160" s="5">
        <v>-4.2501222696682647E-2</v>
      </c>
      <c r="D1160" s="5">
        <v>2.0999999999999999E-3</v>
      </c>
      <c r="E1160" s="5">
        <v>3.1250000000000002E-3</v>
      </c>
      <c r="F1160" s="5">
        <v>3.2666666666666664E-3</v>
      </c>
      <c r="G1160" s="5">
        <f t="shared" si="199"/>
        <v>3.1958333333333335E-3</v>
      </c>
      <c r="H1160" s="5">
        <v>3.5833333333333333E-3</v>
      </c>
      <c r="I1160" s="5">
        <f t="shared" si="200"/>
        <v>-8.9300000000000004E-2</v>
      </c>
      <c r="J1160" s="5">
        <f t="shared" si="192"/>
        <v>-9.0395833333333328E-2</v>
      </c>
      <c r="K1160" s="5">
        <f t="shared" si="193"/>
        <v>-4.6084556030015981E-2</v>
      </c>
      <c r="L1160" s="8">
        <f t="shared" si="190"/>
        <v>2.2663461934697704E-3</v>
      </c>
      <c r="M1160" s="8">
        <f t="shared" si="191"/>
        <v>2.52E-2</v>
      </c>
      <c r="N1160" s="8">
        <f t="shared" si="194"/>
        <v>3.8350000000000002E-2</v>
      </c>
      <c r="O1160" s="296">
        <f t="shared" si="189"/>
        <v>-2.293365380653023E-2</v>
      </c>
      <c r="P1160" s="8">
        <f t="shared" si="195"/>
        <v>-3.6083653806530232E-2</v>
      </c>
      <c r="Q1160" s="8">
        <f t="shared" si="196"/>
        <v>7.8798983269698919E-2</v>
      </c>
      <c r="R1160" s="8">
        <f t="shared" si="197"/>
        <v>4.2999999999999997E-2</v>
      </c>
      <c r="S1160" s="296">
        <f t="shared" si="198"/>
        <v>3.5798983269698922E-2</v>
      </c>
    </row>
    <row r="1161" spans="1:19" x14ac:dyDescent="0.45">
      <c r="A1161" s="304">
        <v>44682</v>
      </c>
      <c r="B1161" s="5">
        <v>1.8E-3</v>
      </c>
      <c r="C1161" s="5">
        <v>4.3040973370551114E-2</v>
      </c>
      <c r="D1161" s="5">
        <v>2.8E-3</v>
      </c>
      <c r="E1161" s="5">
        <v>3.4416666666666667E-3</v>
      </c>
      <c r="F1161" s="5">
        <v>3.6333333333333335E-3</v>
      </c>
      <c r="G1161" s="5">
        <f t="shared" si="199"/>
        <v>3.5374999999999998E-3</v>
      </c>
      <c r="H1161" s="5">
        <v>3.9583333333333328E-3</v>
      </c>
      <c r="I1161" s="5">
        <f t="shared" si="200"/>
        <v>-1E-3</v>
      </c>
      <c r="J1161" s="5">
        <f t="shared" si="192"/>
        <v>-1.7374999999999999E-3</v>
      </c>
      <c r="K1161" s="5">
        <f t="shared" si="193"/>
        <v>3.9082640037217779E-2</v>
      </c>
      <c r="L1161" s="8">
        <f t="shared" si="190"/>
        <v>-2.9092099139840233E-3</v>
      </c>
      <c r="M1161" s="8">
        <f t="shared" si="191"/>
        <v>3.3599999999999998E-2</v>
      </c>
      <c r="N1161" s="8">
        <f t="shared" si="194"/>
        <v>4.2450000000000002E-2</v>
      </c>
      <c r="O1161" s="296">
        <f t="shared" si="189"/>
        <v>-3.6509209913984021E-2</v>
      </c>
      <c r="P1161" s="8">
        <f t="shared" si="195"/>
        <v>-4.5359209913984025E-2</v>
      </c>
      <c r="Q1161" s="8">
        <f t="shared" si="196"/>
        <v>0.15257994908855488</v>
      </c>
      <c r="R1161" s="8">
        <f t="shared" si="197"/>
        <v>4.7499999999999994E-2</v>
      </c>
      <c r="S1161" s="296">
        <f t="shared" si="198"/>
        <v>0.10507994908855489</v>
      </c>
    </row>
    <row r="1162" spans="1:19" x14ac:dyDescent="0.45">
      <c r="A1162" s="304">
        <v>44713</v>
      </c>
      <c r="B1162" s="5">
        <v>-8.2500000000000004E-2</v>
      </c>
      <c r="C1162" s="5">
        <v>-4.972550324722623E-2</v>
      </c>
      <c r="D1162" s="5">
        <v>2.8E-3</v>
      </c>
      <c r="E1162" s="5">
        <v>3.5333333333333332E-3</v>
      </c>
      <c r="F1162" s="5">
        <v>3.741666666666667E-3</v>
      </c>
      <c r="G1162" s="5">
        <f t="shared" si="199"/>
        <v>3.6375000000000001E-3</v>
      </c>
      <c r="H1162" s="5">
        <v>4.0500000000000006E-3</v>
      </c>
      <c r="I1162" s="5">
        <f t="shared" si="200"/>
        <v>-8.5300000000000001E-2</v>
      </c>
      <c r="J1162" s="5">
        <f t="shared" si="192"/>
        <v>-8.6137500000000006E-2</v>
      </c>
      <c r="K1162" s="5">
        <f t="shared" si="193"/>
        <v>-5.3775503247226228E-2</v>
      </c>
      <c r="L1162" s="8">
        <f t="shared" si="190"/>
        <v>-0.10599941375557553</v>
      </c>
      <c r="M1162" s="8">
        <f t="shared" si="191"/>
        <v>3.3599999999999998E-2</v>
      </c>
      <c r="N1162" s="8">
        <f t="shared" si="194"/>
        <v>4.3650000000000001E-2</v>
      </c>
      <c r="O1162" s="296">
        <f t="shared" si="189"/>
        <v>-0.13959941375557552</v>
      </c>
      <c r="P1162" s="8">
        <f t="shared" si="195"/>
        <v>-0.14964941375557553</v>
      </c>
      <c r="Q1162" s="8">
        <f t="shared" si="196"/>
        <v>0.119481299520245</v>
      </c>
      <c r="R1162" s="8">
        <f t="shared" si="197"/>
        <v>4.8600000000000004E-2</v>
      </c>
      <c r="S1162" s="296">
        <f t="shared" si="198"/>
        <v>7.0881299520244995E-2</v>
      </c>
    </row>
    <row r="1163" spans="1:19" x14ac:dyDescent="0.45">
      <c r="A1163" s="304">
        <v>44743</v>
      </c>
      <c r="B1163" s="5">
        <v>9.2200000000000004E-2</v>
      </c>
      <c r="C1163" s="5">
        <v>5.4986062858527911E-2</v>
      </c>
      <c r="D1163" s="5">
        <v>2.7000000000000001E-3</v>
      </c>
      <c r="E1163" s="5">
        <v>3.3833333333333332E-3</v>
      </c>
      <c r="F1163" s="5">
        <v>3.6416666666666667E-3</v>
      </c>
      <c r="G1163" s="5">
        <f t="shared" si="199"/>
        <v>3.5125E-3</v>
      </c>
      <c r="H1163" s="5">
        <v>3.9833333333333335E-3</v>
      </c>
      <c r="I1163" s="5">
        <f t="shared" si="200"/>
        <v>8.950000000000001E-2</v>
      </c>
      <c r="J1163" s="5">
        <f t="shared" si="192"/>
        <v>8.8687500000000002E-2</v>
      </c>
      <c r="K1163" s="5">
        <f t="shared" si="193"/>
        <v>5.1002729525194579E-2</v>
      </c>
      <c r="L1163" s="8">
        <f t="shared" si="190"/>
        <v>-4.6271302699589567E-2</v>
      </c>
      <c r="M1163" s="8">
        <f t="shared" si="191"/>
        <v>3.2399999999999998E-2</v>
      </c>
      <c r="N1163" s="8">
        <f t="shared" si="194"/>
        <v>4.215E-2</v>
      </c>
      <c r="O1163" s="296">
        <f t="shared" si="189"/>
        <v>-7.8671302699589565E-2</v>
      </c>
      <c r="P1163" s="8">
        <f t="shared" si="195"/>
        <v>-8.842130269958956E-2</v>
      </c>
      <c r="Q1163" s="8">
        <f t="shared" si="196"/>
        <v>0.13716518866232708</v>
      </c>
      <c r="R1163" s="8">
        <f t="shared" si="197"/>
        <v>4.7800000000000002E-2</v>
      </c>
      <c r="S1163" s="296">
        <f t="shared" si="198"/>
        <v>8.9365188662327066E-2</v>
      </c>
    </row>
    <row r="1164" spans="1:19" x14ac:dyDescent="0.45">
      <c r="A1164" s="304">
        <v>44774</v>
      </c>
      <c r="B1164" s="5">
        <v>-4.0800000000000003E-2</v>
      </c>
      <c r="C1164" s="5">
        <v>5.1000000000000004E-3</v>
      </c>
      <c r="D1164" s="5">
        <v>2.8999999999999998E-3</v>
      </c>
      <c r="E1164" s="5">
        <v>3.3916666666666665E-3</v>
      </c>
      <c r="F1164" s="5">
        <v>3.6333333333333335E-3</v>
      </c>
      <c r="G1164" s="5">
        <f t="shared" si="199"/>
        <v>3.5125E-3</v>
      </c>
      <c r="H1164" s="5">
        <v>3.966666666666667E-3</v>
      </c>
      <c r="I1164" s="5">
        <f t="shared" si="200"/>
        <v>-4.3700000000000003E-2</v>
      </c>
      <c r="J1164" s="5">
        <f t="shared" si="192"/>
        <v>-4.4312500000000005E-2</v>
      </c>
      <c r="K1164" s="5">
        <f t="shared" si="193"/>
        <v>1.1333333333333334E-3</v>
      </c>
      <c r="L1164" s="8">
        <f t="shared" si="190"/>
        <v>-0.11217336330497496</v>
      </c>
      <c r="M1164" s="8">
        <f t="shared" si="191"/>
        <v>3.4799999999999998E-2</v>
      </c>
      <c r="N1164" s="8">
        <f t="shared" si="194"/>
        <v>4.215E-2</v>
      </c>
      <c r="O1164" s="296">
        <f t="shared" si="189"/>
        <v>-0.14697336330497496</v>
      </c>
      <c r="P1164" s="8">
        <f t="shared" si="195"/>
        <v>-0.15432336330497495</v>
      </c>
      <c r="Q1164" s="8">
        <f t="shared" si="196"/>
        <v>9.9263515803280633E-2</v>
      </c>
      <c r="R1164" s="8">
        <f t="shared" si="197"/>
        <v>4.7600000000000003E-2</v>
      </c>
      <c r="S1164" s="296">
        <f t="shared" si="198"/>
        <v>5.166351580328063E-2</v>
      </c>
    </row>
    <row r="1165" spans="1:19" x14ac:dyDescent="0.45">
      <c r="A1165" s="304">
        <v>44805</v>
      </c>
      <c r="B1165" s="5">
        <v>-9.2100000000000001E-2</v>
      </c>
      <c r="C1165" s="5">
        <v>-0.1131647994987349</v>
      </c>
      <c r="D1165" s="5">
        <v>2.8999999999999998E-3</v>
      </c>
      <c r="E1165" s="15">
        <v>3.8083333333333337E-3</v>
      </c>
      <c r="F1165" s="15">
        <v>4.0500000000000006E-3</v>
      </c>
      <c r="G1165" s="15">
        <f t="shared" si="199"/>
        <v>3.9291666666666676E-3</v>
      </c>
      <c r="H1165" s="15">
        <v>4.3833333333333328E-3</v>
      </c>
      <c r="I1165" s="5">
        <f t="shared" si="200"/>
        <v>-9.5000000000000001E-2</v>
      </c>
      <c r="J1165" s="5">
        <f t="shared" si="192"/>
        <v>-9.6029166666666665E-2</v>
      </c>
      <c r="K1165" s="5">
        <f t="shared" si="193"/>
        <v>-0.11754813283206823</v>
      </c>
      <c r="L1165" s="8">
        <f t="shared" si="190"/>
        <v>-0.15463261305148013</v>
      </c>
      <c r="M1165" s="8">
        <f t="shared" si="191"/>
        <v>3.4799999999999998E-2</v>
      </c>
      <c r="N1165" s="8">
        <f t="shared" si="194"/>
        <v>4.7150000000000011E-2</v>
      </c>
      <c r="O1165" s="296">
        <f t="shared" si="189"/>
        <v>-0.18943261305148013</v>
      </c>
      <c r="P1165" s="8">
        <f t="shared" si="195"/>
        <v>-0.20178261305148015</v>
      </c>
      <c r="Q1165" s="8">
        <f t="shared" si="196"/>
        <v>3.8964072912056835E-2</v>
      </c>
      <c r="R1165" s="8">
        <f t="shared" si="197"/>
        <v>5.2599999999999994E-2</v>
      </c>
      <c r="S1165" s="296">
        <f t="shared" si="198"/>
        <v>-1.3635927087943159E-2</v>
      </c>
    </row>
    <row r="1166" spans="1:19" x14ac:dyDescent="0.45">
      <c r="A1166" s="304">
        <v>44835</v>
      </c>
      <c r="B1166" s="5">
        <v>8.1000000000000003E-2</v>
      </c>
      <c r="C1166" s="5">
        <v>1.6754063521819712E-2</v>
      </c>
      <c r="D1166" s="5">
        <v>3.5000000000000001E-3</v>
      </c>
      <c r="E1166" s="15">
        <v>4.2500000000000003E-3</v>
      </c>
      <c r="F1166" s="15">
        <v>4.5000000000000005E-3</v>
      </c>
      <c r="G1166" s="15">
        <f t="shared" si="199"/>
        <v>4.3750000000000004E-3</v>
      </c>
      <c r="H1166" s="15">
        <v>4.8999999999999998E-3</v>
      </c>
      <c r="I1166" s="5">
        <f t="shared" si="200"/>
        <v>7.7499999999999999E-2</v>
      </c>
      <c r="J1166" s="5">
        <f t="shared" si="192"/>
        <v>7.6624999999999999E-2</v>
      </c>
      <c r="K1166" s="5">
        <f t="shared" si="193"/>
        <v>1.1854063521819712E-2</v>
      </c>
      <c r="L1166" s="8">
        <f t="shared" si="190"/>
        <v>-0.1460217313416039</v>
      </c>
      <c r="M1166" s="8">
        <f t="shared" si="191"/>
        <v>4.2000000000000003E-2</v>
      </c>
      <c r="N1166" s="8">
        <f t="shared" si="194"/>
        <v>5.2500000000000005E-2</v>
      </c>
      <c r="O1166" s="296">
        <f t="shared" si="189"/>
        <v>-0.18802173134160391</v>
      </c>
      <c r="P1166" s="8">
        <f t="shared" si="195"/>
        <v>-0.19852173134160389</v>
      </c>
      <c r="Q1166" s="8">
        <f t="shared" si="196"/>
        <v>8.624427673213253E-3</v>
      </c>
      <c r="R1166" s="8">
        <f t="shared" si="197"/>
        <v>5.8799999999999998E-2</v>
      </c>
      <c r="S1166" s="296">
        <f t="shared" si="198"/>
        <v>-5.0175572326786745E-2</v>
      </c>
    </row>
    <row r="1167" spans="1:19" x14ac:dyDescent="0.45">
      <c r="A1167" s="304">
        <v>44866</v>
      </c>
      <c r="B1167" s="5">
        <v>5.5899999999999998E-2</v>
      </c>
      <c r="C1167" s="5">
        <v>6.9878999321193083E-2</v>
      </c>
      <c r="D1167" s="5">
        <v>3.5999999999999999E-3</v>
      </c>
      <c r="E1167" s="15">
        <v>4.0833333333333338E-3</v>
      </c>
      <c r="F1167" s="15">
        <v>4.3583333333333339E-3</v>
      </c>
      <c r="G1167" s="15">
        <f t="shared" si="199"/>
        <v>4.2208333333333334E-3</v>
      </c>
      <c r="H1167" s="15">
        <v>4.7916666666666672E-3</v>
      </c>
      <c r="I1167" s="5">
        <f t="shared" si="200"/>
        <v>5.2299999999999999E-2</v>
      </c>
      <c r="J1167" s="5">
        <f t="shared" si="192"/>
        <v>5.1679166666666665E-2</v>
      </c>
      <c r="K1167" s="5">
        <f t="shared" si="193"/>
        <v>6.5087332654526417E-2</v>
      </c>
      <c r="L1167" s="8">
        <f t="shared" si="190"/>
        <v>-9.2019279149732736E-2</v>
      </c>
      <c r="M1167" s="8">
        <f t="shared" si="191"/>
        <v>4.3200000000000002E-2</v>
      </c>
      <c r="N1167" s="8">
        <f t="shared" si="194"/>
        <v>5.0650000000000001E-2</v>
      </c>
      <c r="O1167" s="296">
        <f t="shared" si="189"/>
        <v>-0.13521927914973275</v>
      </c>
      <c r="P1167" s="8">
        <f t="shared" si="195"/>
        <v>-0.14266927914973274</v>
      </c>
      <c r="Q1167" s="8">
        <f t="shared" si="196"/>
        <v>9.7091701047486323E-2</v>
      </c>
      <c r="R1167" s="8">
        <f t="shared" si="197"/>
        <v>5.7500000000000009E-2</v>
      </c>
      <c r="S1167" s="296">
        <f t="shared" si="198"/>
        <v>3.9591701047486313E-2</v>
      </c>
    </row>
    <row r="1168" spans="1:19" x14ac:dyDescent="0.45">
      <c r="A1168" s="304">
        <v>44896</v>
      </c>
      <c r="B1168" s="5">
        <v>-5.7599999999999998E-2</v>
      </c>
      <c r="C1168" s="5">
        <v>-4.9005438196876444E-3</v>
      </c>
      <c r="D1168" s="5">
        <v>3.3E-3</v>
      </c>
      <c r="E1168" s="15">
        <v>3.6749999999999999E-3</v>
      </c>
      <c r="F1168" s="15">
        <v>3.9583333333333328E-3</v>
      </c>
      <c r="G1168" s="15">
        <f t="shared" si="199"/>
        <v>3.8166666666666661E-3</v>
      </c>
      <c r="H1168" s="15">
        <v>4.3916666666666661E-3</v>
      </c>
      <c r="I1168" s="5">
        <f t="shared" si="200"/>
        <v>-6.0899999999999996E-2</v>
      </c>
      <c r="J1168" s="5">
        <f t="shared" si="192"/>
        <v>-6.1416666666666661E-2</v>
      </c>
      <c r="K1168" s="5">
        <f t="shared" si="193"/>
        <v>-9.2922104863543097E-3</v>
      </c>
      <c r="L1168" s="8">
        <f t="shared" si="190"/>
        <v>-0.1810097326480743</v>
      </c>
      <c r="M1168" s="8">
        <f t="shared" si="191"/>
        <v>3.9599999999999996E-2</v>
      </c>
      <c r="N1168" s="8">
        <f t="shared" si="194"/>
        <v>4.5799999999999993E-2</v>
      </c>
      <c r="O1168" s="296">
        <f t="shared" ref="O1168:O1192" si="201">L1168-M1168</f>
        <v>-0.22060973264807429</v>
      </c>
      <c r="P1168" s="8">
        <f t="shared" si="195"/>
        <v>-0.2268097326480743</v>
      </c>
      <c r="Q1168" s="8">
        <f t="shared" si="196"/>
        <v>-4.105949632881023E-3</v>
      </c>
      <c r="R1168" s="8">
        <f t="shared" si="197"/>
        <v>5.2699999999999997E-2</v>
      </c>
      <c r="S1168" s="296">
        <f t="shared" si="198"/>
        <v>-5.680594963288102E-2</v>
      </c>
    </row>
    <row r="1169" spans="1:19" x14ac:dyDescent="0.45">
      <c r="A1169" s="305">
        <v>44927</v>
      </c>
      <c r="B1169" s="120">
        <v>6.2834280180287985E-2</v>
      </c>
      <c r="C1169" s="5">
        <v>-2.0053973164907601E-2</v>
      </c>
      <c r="D1169" s="5">
        <v>3.0500000000000002E-3</v>
      </c>
      <c r="E1169" s="16">
        <v>3.666666666666667E-3</v>
      </c>
      <c r="F1169" s="16">
        <v>3.933333333333333E-3</v>
      </c>
      <c r="G1169" s="15">
        <f t="shared" si="199"/>
        <v>3.8E-3</v>
      </c>
      <c r="H1169" s="16">
        <v>4.3333333333333331E-3</v>
      </c>
      <c r="I1169" s="5">
        <f t="shared" si="200"/>
        <v>5.9784280180287988E-2</v>
      </c>
      <c r="J1169" s="5">
        <f t="shared" si="192"/>
        <v>5.9034280180287987E-2</v>
      </c>
      <c r="K1169" s="5">
        <f t="shared" si="193"/>
        <v>-2.4387306498240932E-2</v>
      </c>
      <c r="L1169" s="8">
        <f t="shared" ref="L1169:L1192" si="202">((1+B1158)*(1+B1159)*(1+B1160)*(1+B1161)*(1+B1162)*(1+B1163)*(1+B1164)*(1+B1165)*(1+B1166)*(1+B1167)*(1+B1168)*(1+B1169))-1</f>
        <v>-8.2093291916434219E-2</v>
      </c>
      <c r="M1169" s="8">
        <f t="shared" ref="M1169:M1192" si="203">D1169*12</f>
        <v>3.6600000000000001E-2</v>
      </c>
      <c r="N1169" s="8">
        <f t="shared" si="194"/>
        <v>4.5600000000000002E-2</v>
      </c>
      <c r="O1169" s="296">
        <f t="shared" si="201"/>
        <v>-0.11869329191643421</v>
      </c>
      <c r="P1169" s="8">
        <f t="shared" si="195"/>
        <v>-0.12769329191643422</v>
      </c>
      <c r="Q1169" s="8">
        <f t="shared" si="196"/>
        <v>8.9654768797355899E-3</v>
      </c>
      <c r="R1169" s="8">
        <f t="shared" si="197"/>
        <v>5.1999999999999998E-2</v>
      </c>
      <c r="S1169" s="296">
        <f t="shared" si="198"/>
        <v>-4.3034523120264408E-2</v>
      </c>
    </row>
    <row r="1170" spans="1:19" x14ac:dyDescent="0.45">
      <c r="A1170" s="305">
        <v>44958</v>
      </c>
      <c r="B1170" s="120">
        <v>-2.4399784626571001E-2</v>
      </c>
      <c r="C1170" s="5">
        <v>-5.8515916753658248E-2</v>
      </c>
      <c r="D1170" s="5">
        <v>3.1666666666666666E-3</v>
      </c>
      <c r="E1170" s="16">
        <v>3.7999999999999996E-3</v>
      </c>
      <c r="F1170" s="16">
        <v>4.0333333333333332E-3</v>
      </c>
      <c r="G1170" s="15">
        <f t="shared" si="199"/>
        <v>3.9166666666666664E-3</v>
      </c>
      <c r="H1170" s="16">
        <v>4.4083333333333335E-3</v>
      </c>
      <c r="I1170" s="5">
        <f t="shared" si="200"/>
        <v>-2.7566451293237669E-2</v>
      </c>
      <c r="J1170" s="5">
        <f t="shared" si="192"/>
        <v>-2.8316451293237666E-2</v>
      </c>
      <c r="K1170" s="5">
        <f t="shared" si="193"/>
        <v>-6.2924250086991582E-2</v>
      </c>
      <c r="L1170" s="8">
        <f t="shared" si="202"/>
        <v>-7.6888998970165878E-2</v>
      </c>
      <c r="M1170" s="8">
        <f t="shared" si="203"/>
        <v>3.7999999999999999E-2</v>
      </c>
      <c r="N1170" s="8">
        <f t="shared" si="194"/>
        <v>4.7E-2</v>
      </c>
      <c r="O1170" s="296">
        <f t="shared" si="201"/>
        <v>-0.11488899897016588</v>
      </c>
      <c r="P1170" s="8">
        <f t="shared" si="195"/>
        <v>-0.12388899897016588</v>
      </c>
      <c r="Q1170" s="8">
        <f t="shared" si="196"/>
        <v>-1.6547289672832477E-2</v>
      </c>
      <c r="R1170" s="8">
        <f t="shared" si="197"/>
        <v>5.2900000000000003E-2</v>
      </c>
      <c r="S1170" s="296">
        <f t="shared" si="198"/>
        <v>-6.944728967283248E-2</v>
      </c>
    </row>
    <row r="1171" spans="1:19" x14ac:dyDescent="0.45">
      <c r="A1171" s="305">
        <v>44986</v>
      </c>
      <c r="B1171" s="120">
        <v>3.671430929974763E-2</v>
      </c>
      <c r="C1171" s="5">
        <v>4.8888461879563666E-2</v>
      </c>
      <c r="D1171" s="5">
        <v>3.1416666666666667E-3</v>
      </c>
      <c r="E1171" s="16">
        <v>3.8333333333333331E-3</v>
      </c>
      <c r="F1171" s="16">
        <v>4.1166666666666669E-3</v>
      </c>
      <c r="G1171" s="15">
        <f t="shared" si="199"/>
        <v>3.9750000000000002E-3</v>
      </c>
      <c r="H1171" s="16">
        <v>4.4916666666666664E-3</v>
      </c>
      <c r="I1171" s="5">
        <f t="shared" si="200"/>
        <v>3.3572642633080962E-2</v>
      </c>
      <c r="J1171" s="5">
        <f t="shared" si="192"/>
        <v>3.2739309299747631E-2</v>
      </c>
      <c r="K1171" s="5">
        <f t="shared" si="193"/>
        <v>4.4396795212897001E-2</v>
      </c>
      <c r="L1171" s="8">
        <f t="shared" si="202"/>
        <v>-7.7232297907970815E-2</v>
      </c>
      <c r="M1171" s="8">
        <f t="shared" si="203"/>
        <v>3.7699999999999997E-2</v>
      </c>
      <c r="N1171" s="8">
        <f t="shared" si="194"/>
        <v>4.7700000000000006E-2</v>
      </c>
      <c r="O1171" s="296">
        <f t="shared" si="201"/>
        <v>-0.11493229790797081</v>
      </c>
      <c r="P1171" s="8">
        <f t="shared" si="195"/>
        <v>-0.12493229790797082</v>
      </c>
      <c r="Q1171" s="8">
        <f t="shared" si="196"/>
        <v>-6.5134561618094167E-2</v>
      </c>
      <c r="R1171" s="8">
        <f t="shared" si="197"/>
        <v>5.3899999999999997E-2</v>
      </c>
      <c r="S1171" s="296">
        <f t="shared" si="198"/>
        <v>-0.11903456161809417</v>
      </c>
    </row>
    <row r="1172" spans="1:19" x14ac:dyDescent="0.45">
      <c r="A1172" s="305">
        <v>45017</v>
      </c>
      <c r="B1172" s="120">
        <v>7.187926921795095E-3</v>
      </c>
      <c r="C1172" s="5">
        <v>1.8900454189947589E-2</v>
      </c>
      <c r="D1172" s="5">
        <v>3.0666666666666668E-3</v>
      </c>
      <c r="E1172" s="16">
        <v>3.725E-3</v>
      </c>
      <c r="F1172" s="16">
        <v>4.0166666666666666E-3</v>
      </c>
      <c r="G1172" s="15">
        <f t="shared" si="199"/>
        <v>3.8708333333333333E-3</v>
      </c>
      <c r="H1172" s="16">
        <v>4.2750000000000002E-3</v>
      </c>
      <c r="I1172" s="5">
        <f t="shared" si="200"/>
        <v>4.1212602551284287E-3</v>
      </c>
      <c r="J1172" s="5">
        <f t="shared" si="192"/>
        <v>3.3170935884617616E-3</v>
      </c>
      <c r="K1172" s="5">
        <f t="shared" si="193"/>
        <v>1.4625454189947588E-2</v>
      </c>
      <c r="L1172" s="8">
        <f t="shared" si="202"/>
        <v>1.818633753336929E-2</v>
      </c>
      <c r="M1172" s="8">
        <f t="shared" si="203"/>
        <v>3.6799999999999999E-2</v>
      </c>
      <c r="N1172" s="8">
        <f t="shared" si="194"/>
        <v>4.6449999999999998E-2</v>
      </c>
      <c r="O1172" s="296">
        <f t="shared" si="201"/>
        <v>-1.8613662466630709E-2</v>
      </c>
      <c r="P1172" s="8">
        <f t="shared" si="195"/>
        <v>-2.8263662466630708E-2</v>
      </c>
      <c r="Q1172" s="8">
        <f t="shared" si="196"/>
        <v>-5.1842964682311532E-3</v>
      </c>
      <c r="R1172" s="8">
        <f t="shared" si="197"/>
        <v>5.1299999999999998E-2</v>
      </c>
      <c r="S1172" s="296">
        <f t="shared" si="198"/>
        <v>-5.6484296468231152E-2</v>
      </c>
    </row>
    <row r="1173" spans="1:19" x14ac:dyDescent="0.45">
      <c r="A1173" s="305">
        <v>45047</v>
      </c>
      <c r="B1173" s="120">
        <v>4.3468278013294162E-3</v>
      </c>
      <c r="C1173" s="5">
        <v>-5.808742857255407E-2</v>
      </c>
      <c r="D1173" s="5">
        <v>3.2166666666666667E-3</v>
      </c>
      <c r="E1173" s="16">
        <v>3.8916666666666665E-3</v>
      </c>
      <c r="F1173" s="16">
        <v>4.2166666666666663E-3</v>
      </c>
      <c r="G1173" s="15">
        <f t="shared" si="199"/>
        <v>4.054166666666666E-3</v>
      </c>
      <c r="H1173" s="16">
        <v>4.4666666666666674E-3</v>
      </c>
      <c r="I1173" s="5">
        <f t="shared" si="200"/>
        <v>1.1301611346627495E-3</v>
      </c>
      <c r="J1173" s="5">
        <f t="shared" si="192"/>
        <v>2.9266113466275018E-4</v>
      </c>
      <c r="K1173" s="5">
        <f t="shared" si="193"/>
        <v>-6.2554095239220731E-2</v>
      </c>
      <c r="L1173" s="8">
        <f t="shared" si="202"/>
        <v>2.0774823529938757E-2</v>
      </c>
      <c r="M1173" s="8">
        <f t="shared" si="203"/>
        <v>3.8600000000000002E-2</v>
      </c>
      <c r="N1173" s="8">
        <f t="shared" si="194"/>
        <v>4.8649999999999992E-2</v>
      </c>
      <c r="O1173" s="296">
        <f t="shared" si="201"/>
        <v>-1.7825176470061245E-2</v>
      </c>
      <c r="P1173" s="8">
        <f t="shared" si="195"/>
        <v>-2.7875176470061235E-2</v>
      </c>
      <c r="Q1173" s="8">
        <f t="shared" si="196"/>
        <v>-0.10163700052737723</v>
      </c>
      <c r="R1173" s="8">
        <f t="shared" si="197"/>
        <v>5.3600000000000009E-2</v>
      </c>
      <c r="S1173" s="296">
        <f t="shared" si="198"/>
        <v>-0.15523700052737724</v>
      </c>
    </row>
    <row r="1174" spans="1:19" x14ac:dyDescent="0.45">
      <c r="A1174" s="305">
        <v>45078</v>
      </c>
      <c r="B1174" s="120">
        <v>6.6075546772891333E-2</v>
      </c>
      <c r="C1174" s="5">
        <v>1.6571769130428848E-2</v>
      </c>
      <c r="D1174" s="5">
        <v>3.225E-3</v>
      </c>
      <c r="E1174" s="16">
        <v>3.875E-3</v>
      </c>
      <c r="F1174" s="16">
        <v>4.1833333333333332E-3</v>
      </c>
      <c r="G1174" s="15">
        <f t="shared" si="199"/>
        <v>4.029166666666667E-3</v>
      </c>
      <c r="H1174" s="16">
        <v>4.4833333333333331E-3</v>
      </c>
      <c r="I1174" s="5">
        <f t="shared" si="200"/>
        <v>6.2850546772891328E-2</v>
      </c>
      <c r="J1174" s="5">
        <f t="shared" si="192"/>
        <v>6.2046380106224666E-2</v>
      </c>
      <c r="K1174" s="5">
        <f t="shared" si="193"/>
        <v>1.2088435797095516E-2</v>
      </c>
      <c r="L1174" s="8">
        <f t="shared" si="202"/>
        <v>0.186074199593113</v>
      </c>
      <c r="M1174" s="8">
        <f t="shared" si="203"/>
        <v>3.8699999999999998E-2</v>
      </c>
      <c r="N1174" s="8">
        <f t="shared" si="194"/>
        <v>4.8350000000000004E-2</v>
      </c>
      <c r="O1174" s="296">
        <f t="shared" si="201"/>
        <v>0.14737419959311299</v>
      </c>
      <c r="P1174" s="8">
        <f t="shared" si="195"/>
        <v>0.13772419959311299</v>
      </c>
      <c r="Q1174" s="8">
        <f t="shared" si="196"/>
        <v>-3.8961408713048651E-2</v>
      </c>
      <c r="R1174" s="8">
        <f t="shared" si="197"/>
        <v>5.3800000000000001E-2</v>
      </c>
      <c r="S1174" s="296">
        <f t="shared" si="198"/>
        <v>-9.2761408713048651E-2</v>
      </c>
    </row>
    <row r="1175" spans="1:19" x14ac:dyDescent="0.45">
      <c r="A1175" s="305">
        <v>45108</v>
      </c>
      <c r="B1175" s="120">
        <v>3.2124539863823791E-2</v>
      </c>
      <c r="C1175" s="5">
        <v>2.4677982673831367E-2</v>
      </c>
      <c r="D1175" s="5">
        <v>3.3E-3</v>
      </c>
      <c r="E1175" s="16">
        <v>3.8833333333333337E-3</v>
      </c>
      <c r="F1175" s="16">
        <v>4.2250000000000005E-3</v>
      </c>
      <c r="G1175" s="15">
        <f t="shared" si="199"/>
        <v>4.0541666666666669E-3</v>
      </c>
      <c r="H1175" s="16">
        <v>4.5083333333333338E-3</v>
      </c>
      <c r="I1175" s="5">
        <f t="shared" si="200"/>
        <v>2.882453986382379E-2</v>
      </c>
      <c r="J1175" s="5">
        <f t="shared" si="192"/>
        <v>2.8070373197157123E-2</v>
      </c>
      <c r="K1175" s="5">
        <f t="shared" si="193"/>
        <v>2.0169649340498034E-2</v>
      </c>
      <c r="L1175" s="8">
        <f t="shared" si="202"/>
        <v>0.12083527513220549</v>
      </c>
      <c r="M1175" s="8">
        <f t="shared" si="203"/>
        <v>3.9599999999999996E-2</v>
      </c>
      <c r="N1175" s="8">
        <f t="shared" si="194"/>
        <v>4.8649999999999999E-2</v>
      </c>
      <c r="O1175" s="296">
        <f t="shared" si="201"/>
        <v>8.1235275132205492E-2</v>
      </c>
      <c r="P1175" s="8">
        <f t="shared" si="195"/>
        <v>7.218527513220549E-2</v>
      </c>
      <c r="Q1175" s="8">
        <f t="shared" si="196"/>
        <v>-6.6570526701196564E-2</v>
      </c>
      <c r="R1175" s="8">
        <f t="shared" si="197"/>
        <v>5.4100000000000009E-2</v>
      </c>
      <c r="S1175" s="296">
        <f t="shared" si="198"/>
        <v>-0.12067052670119657</v>
      </c>
    </row>
    <row r="1176" spans="1:19" x14ac:dyDescent="0.45">
      <c r="A1176" s="305">
        <v>45139</v>
      </c>
      <c r="B1176" s="120">
        <v>-1.5921117042355312E-2</v>
      </c>
      <c r="C1176" s="5">
        <v>-6.1407585600431719E-2</v>
      </c>
      <c r="D1176" s="5">
        <v>3.5666666666666668E-3</v>
      </c>
      <c r="E1176" s="16">
        <v>4.1333333333333335E-3</v>
      </c>
      <c r="F1176" s="16">
        <v>4.4749999999999998E-3</v>
      </c>
      <c r="G1176" s="15">
        <f t="shared" si="199"/>
        <v>4.3041666666666662E-3</v>
      </c>
      <c r="H1176" s="16">
        <v>4.7666666666666664E-3</v>
      </c>
      <c r="I1176" s="5">
        <f t="shared" si="200"/>
        <v>-1.9487783709021978E-2</v>
      </c>
      <c r="J1176" s="5">
        <f t="shared" si="192"/>
        <v>-2.0225283709021977E-2</v>
      </c>
      <c r="K1176" s="5">
        <f t="shared" si="193"/>
        <v>-6.6174252267098388E-2</v>
      </c>
      <c r="L1176" s="8">
        <f t="shared" si="202"/>
        <v>0.1499065111880995</v>
      </c>
      <c r="M1176" s="8">
        <f t="shared" si="203"/>
        <v>4.2800000000000005E-2</v>
      </c>
      <c r="N1176" s="8">
        <f t="shared" si="194"/>
        <v>5.1649999999999995E-2</v>
      </c>
      <c r="O1176" s="296">
        <f t="shared" si="201"/>
        <v>0.1071065111880995</v>
      </c>
      <c r="P1176" s="8">
        <f t="shared" si="195"/>
        <v>9.8256511188099499E-2</v>
      </c>
      <c r="Q1176" s="8">
        <f t="shared" si="196"/>
        <v>-0.12833566509278571</v>
      </c>
      <c r="R1176" s="8">
        <f t="shared" si="197"/>
        <v>5.7200000000000001E-2</v>
      </c>
      <c r="S1176" s="296">
        <f t="shared" si="198"/>
        <v>-0.18553566509278571</v>
      </c>
    </row>
    <row r="1177" spans="1:19" x14ac:dyDescent="0.45">
      <c r="A1177" s="305">
        <v>45170</v>
      </c>
      <c r="B1177" s="120">
        <v>-4.7678193308121432E-2</v>
      </c>
      <c r="C1177" s="5">
        <v>-5.5938029835102841E-2</v>
      </c>
      <c r="D1177" s="5">
        <v>3.7249999999999996E-3</v>
      </c>
      <c r="E1177" s="16">
        <v>4.2750000000000002E-3</v>
      </c>
      <c r="F1177" s="16">
        <v>4.5916666666666666E-3</v>
      </c>
      <c r="G1177" s="15">
        <f t="shared" si="199"/>
        <v>4.4333333333333334E-3</v>
      </c>
      <c r="H1177" s="16">
        <v>4.8833333333333333E-3</v>
      </c>
      <c r="I1177" s="5">
        <f t="shared" si="200"/>
        <v>-5.1403193308121431E-2</v>
      </c>
      <c r="J1177" s="5">
        <f t="shared" si="192"/>
        <v>-5.2111526641454763E-2</v>
      </c>
      <c r="K1177" s="5">
        <f t="shared" si="193"/>
        <v>-6.0821363168436171E-2</v>
      </c>
      <c r="L1177" s="8">
        <f t="shared" si="202"/>
        <v>0.20616923258222908</v>
      </c>
      <c r="M1177" s="8">
        <f t="shared" si="203"/>
        <v>4.4699999999999997E-2</v>
      </c>
      <c r="N1177" s="8">
        <f t="shared" si="194"/>
        <v>5.3199999999999997E-2</v>
      </c>
      <c r="O1177" s="296">
        <f t="shared" si="201"/>
        <v>0.16146923258222909</v>
      </c>
      <c r="P1177" s="8">
        <f t="shared" si="195"/>
        <v>0.15296923258222908</v>
      </c>
      <c r="Q1177" s="8">
        <f t="shared" si="196"/>
        <v>-7.2087859311572688E-2</v>
      </c>
      <c r="R1177" s="8">
        <f t="shared" si="197"/>
        <v>5.8599999999999999E-2</v>
      </c>
      <c r="S1177" s="296">
        <f t="shared" si="198"/>
        <v>-0.13068785931157267</v>
      </c>
    </row>
    <row r="1178" spans="1:19" x14ac:dyDescent="0.45">
      <c r="A1178" s="305">
        <v>45200</v>
      </c>
      <c r="B1178" s="120">
        <v>-2.7391275195366223E-2</v>
      </c>
      <c r="C1178" s="5">
        <v>1.2938105908166913E-2</v>
      </c>
      <c r="D1178" s="5">
        <v>4.1250000000000002E-3</v>
      </c>
      <c r="E1178" s="16">
        <v>4.6750000000000003E-3</v>
      </c>
      <c r="F1178" s="16">
        <v>4.9750000000000003E-3</v>
      </c>
      <c r="G1178" s="15">
        <f t="shared" si="199"/>
        <v>4.8250000000000003E-3</v>
      </c>
      <c r="H1178" s="16">
        <v>5.2833333333333335E-3</v>
      </c>
      <c r="I1178" s="5">
        <f t="shared" si="200"/>
        <v>-3.151627519536622E-2</v>
      </c>
      <c r="J1178" s="5">
        <f t="shared" si="192"/>
        <v>-3.2216275195366226E-2</v>
      </c>
      <c r="K1178" s="5">
        <f t="shared" si="193"/>
        <v>7.6547725748335798E-3</v>
      </c>
      <c r="L1178" s="8">
        <f t="shared" si="202"/>
        <v>8.5227307308404887E-2</v>
      </c>
      <c r="M1178" s="8">
        <f t="shared" si="203"/>
        <v>4.9500000000000002E-2</v>
      </c>
      <c r="N1178" s="8">
        <f t="shared" si="194"/>
        <v>5.7900000000000007E-2</v>
      </c>
      <c r="O1178" s="296">
        <f t="shared" si="201"/>
        <v>3.5727307308404885E-2</v>
      </c>
      <c r="P1178" s="8">
        <f t="shared" si="195"/>
        <v>2.732730730840488E-2</v>
      </c>
      <c r="Q1178" s="8">
        <f t="shared" si="196"/>
        <v>-7.5570386232385878E-2</v>
      </c>
      <c r="R1178" s="8">
        <f t="shared" si="197"/>
        <v>6.3399999999999998E-2</v>
      </c>
      <c r="S1178" s="296">
        <f t="shared" si="198"/>
        <v>-0.13897038623238589</v>
      </c>
    </row>
    <row r="1179" spans="1:19" x14ac:dyDescent="0.45">
      <c r="A1179" s="305">
        <v>45231</v>
      </c>
      <c r="B1179" s="120">
        <v>8.6885005042911731E-2</v>
      </c>
      <c r="C1179" s="5">
        <v>5.1596357201230389E-2</v>
      </c>
      <c r="D1179" s="5">
        <v>3.8833333333333333E-3</v>
      </c>
      <c r="E1179" s="16">
        <v>4.4000000000000003E-3</v>
      </c>
      <c r="F1179" s="16">
        <v>4.725E-3</v>
      </c>
      <c r="G1179" s="15">
        <f t="shared" si="199"/>
        <v>4.5625000000000006E-3</v>
      </c>
      <c r="H1179" s="16">
        <v>5.0416666666666665E-3</v>
      </c>
      <c r="I1179" s="5">
        <f t="shared" si="200"/>
        <v>8.3001671709578395E-2</v>
      </c>
      <c r="J1179" s="5">
        <f t="shared" si="192"/>
        <v>8.2322505042911734E-2</v>
      </c>
      <c r="K1179" s="5">
        <f t="shared" si="193"/>
        <v>4.6554690534563722E-2</v>
      </c>
      <c r="L1179" s="8">
        <f t="shared" si="202"/>
        <v>0.11707291161719957</v>
      </c>
      <c r="M1179" s="8">
        <f t="shared" si="203"/>
        <v>4.6600000000000003E-2</v>
      </c>
      <c r="N1179" s="8">
        <f t="shared" si="194"/>
        <v>5.4750000000000007E-2</v>
      </c>
      <c r="O1179" s="296">
        <f t="shared" si="201"/>
        <v>7.0472911617199568E-2</v>
      </c>
      <c r="P1179" s="8">
        <f t="shared" si="195"/>
        <v>6.2322911617199564E-2</v>
      </c>
      <c r="Q1179" s="8">
        <f t="shared" si="196"/>
        <v>-9.1367514509818726E-2</v>
      </c>
      <c r="R1179" s="8">
        <f t="shared" si="197"/>
        <v>6.0499999999999998E-2</v>
      </c>
      <c r="S1179" s="296">
        <f t="shared" si="198"/>
        <v>-0.15186751450981872</v>
      </c>
    </row>
    <row r="1180" spans="1:19" x14ac:dyDescent="0.45">
      <c r="A1180" s="305">
        <v>45261</v>
      </c>
      <c r="B1180" s="120">
        <v>4.5430619636360636E-2</v>
      </c>
      <c r="C1180" s="5">
        <v>1.9135473384982917E-2</v>
      </c>
      <c r="D1180" s="5">
        <v>3.4499999999999999E-3</v>
      </c>
      <c r="E1180" s="16">
        <v>3.9500000000000004E-3</v>
      </c>
      <c r="F1180" s="16">
        <v>4.2166666666666663E-3</v>
      </c>
      <c r="G1180" s="15">
        <f t="shared" si="199"/>
        <v>4.0833333333333329E-3</v>
      </c>
      <c r="H1180" s="16">
        <v>4.5249999999999995E-3</v>
      </c>
      <c r="I1180" s="5">
        <f t="shared" si="200"/>
        <v>4.1980619636360635E-2</v>
      </c>
      <c r="J1180" s="5">
        <f t="shared" si="192"/>
        <v>4.1347286303027302E-2</v>
      </c>
      <c r="K1180" s="5">
        <f t="shared" si="193"/>
        <v>1.4610473384982918E-2</v>
      </c>
      <c r="L1180" s="8">
        <f t="shared" si="202"/>
        <v>0.23920015510501091</v>
      </c>
      <c r="M1180" s="8">
        <f t="shared" si="203"/>
        <v>4.1399999999999999E-2</v>
      </c>
      <c r="N1180" s="8">
        <f t="shared" si="194"/>
        <v>4.8999999999999995E-2</v>
      </c>
      <c r="O1180" s="296">
        <f t="shared" si="201"/>
        <v>0.19780015510501092</v>
      </c>
      <c r="P1180" s="8">
        <f t="shared" si="195"/>
        <v>0.19020015510501093</v>
      </c>
      <c r="Q1180" s="8">
        <f t="shared" si="196"/>
        <v>-6.9420053963717199E-2</v>
      </c>
      <c r="R1180" s="8">
        <f t="shared" si="197"/>
        <v>5.4299999999999994E-2</v>
      </c>
      <c r="S1180" s="296">
        <f t="shared" si="198"/>
        <v>-0.12372005396371719</v>
      </c>
    </row>
    <row r="1181" spans="1:19" x14ac:dyDescent="0.45">
      <c r="A1181" s="305">
        <v>45292</v>
      </c>
      <c r="B1181" s="5">
        <v>1.6804110834512116E-2</v>
      </c>
      <c r="C1181" s="5">
        <v>-2.7985270217307665E-2</v>
      </c>
      <c r="D1181" s="5">
        <v>3.5499999999999998E-3</v>
      </c>
      <c r="E1181" s="15">
        <v>4.0583333333333331E-3</v>
      </c>
      <c r="F1181" s="15">
        <v>4.2750000000000002E-3</v>
      </c>
      <c r="G1181" s="15">
        <f>AVERAGE(E1181:F1181)</f>
        <v>4.1666666666666666E-3</v>
      </c>
      <c r="H1181" s="15">
        <v>4.5666666666666668E-3</v>
      </c>
      <c r="I1181" s="5">
        <f t="shared" si="200"/>
        <v>1.3254110834512117E-2</v>
      </c>
      <c r="J1181" s="5">
        <f t="shared" si="192"/>
        <v>1.263744416784545E-2</v>
      </c>
      <c r="K1181" s="5">
        <f t="shared" si="193"/>
        <v>-3.2551936883974328E-2</v>
      </c>
      <c r="L1181" s="8">
        <f t="shared" si="202"/>
        <v>0.18553177607688998</v>
      </c>
      <c r="M1181" s="8">
        <f t="shared" si="203"/>
        <v>4.2599999999999999E-2</v>
      </c>
      <c r="N1181" s="8">
        <f t="shared" si="194"/>
        <v>0.05</v>
      </c>
      <c r="O1181" s="296">
        <f t="shared" si="201"/>
        <v>0.14293177607688998</v>
      </c>
      <c r="P1181" s="8">
        <f t="shared" si="195"/>
        <v>0.13553177607688999</v>
      </c>
      <c r="Q1181" s="8">
        <f t="shared" si="196"/>
        <v>-7.6951801407867282E-2</v>
      </c>
      <c r="R1181" s="8">
        <f t="shared" si="197"/>
        <v>5.4800000000000001E-2</v>
      </c>
      <c r="S1181" s="296">
        <f t="shared" si="198"/>
        <v>-0.1317518014078673</v>
      </c>
    </row>
    <row r="1182" spans="1:19" x14ac:dyDescent="0.45">
      <c r="A1182" s="305">
        <v>45323</v>
      </c>
      <c r="B1182" s="5">
        <v>5.3395839403964189E-2</v>
      </c>
      <c r="C1182" s="5">
        <v>8.9510353613748046E-3</v>
      </c>
      <c r="D1182" s="5">
        <v>3.65E-3</v>
      </c>
      <c r="E1182" s="15">
        <v>4.1916666666666665E-3</v>
      </c>
      <c r="F1182" s="15">
        <v>4.3750000000000004E-3</v>
      </c>
      <c r="G1182" s="15">
        <f t="shared" si="199"/>
        <v>4.2833333333333334E-3</v>
      </c>
      <c r="H1182" s="15">
        <v>4.6333333333333331E-3</v>
      </c>
      <c r="I1182" s="5">
        <f t="shared" si="200"/>
        <v>4.9745839403964189E-2</v>
      </c>
      <c r="J1182" s="5">
        <f t="shared" si="192"/>
        <v>4.9112506070630856E-2</v>
      </c>
      <c r="K1182" s="5">
        <f t="shared" si="193"/>
        <v>4.3177020280414716E-3</v>
      </c>
      <c r="L1182" s="8">
        <f t="shared" si="202"/>
        <v>0.280067614501883</v>
      </c>
      <c r="M1182" s="8">
        <f t="shared" si="203"/>
        <v>4.3799999999999999E-2</v>
      </c>
      <c r="N1182" s="8">
        <f t="shared" si="194"/>
        <v>5.1400000000000001E-2</v>
      </c>
      <c r="O1182" s="296">
        <f t="shared" si="201"/>
        <v>0.23626761450188299</v>
      </c>
      <c r="P1182" s="8">
        <f t="shared" si="195"/>
        <v>0.228667614501883</v>
      </c>
      <c r="Q1182" s="8">
        <f t="shared" si="196"/>
        <v>-1.0805968756558926E-2</v>
      </c>
      <c r="R1182" s="8">
        <f t="shared" si="197"/>
        <v>5.5599999999999997E-2</v>
      </c>
      <c r="S1182" s="296">
        <f t="shared" si="198"/>
        <v>-6.6405968756558922E-2</v>
      </c>
    </row>
    <row r="1183" spans="1:19" x14ac:dyDescent="0.45">
      <c r="A1183" s="305">
        <v>45352</v>
      </c>
      <c r="B1183" s="5">
        <v>3.2174693616317328E-2</v>
      </c>
      <c r="C1183" s="5">
        <v>6.580172568165521E-2</v>
      </c>
      <c r="D1183" s="5">
        <v>3.6333333333333335E-3</v>
      </c>
      <c r="E1183" s="15">
        <v>4.1749999999999999E-3</v>
      </c>
      <c r="F1183" s="15">
        <v>4.3833333333333328E-3</v>
      </c>
      <c r="G1183" s="15">
        <f t="shared" si="199"/>
        <v>4.2791666666666664E-3</v>
      </c>
      <c r="H1183" s="15">
        <v>4.6249999999999998E-3</v>
      </c>
      <c r="I1183" s="5">
        <f t="shared" si="200"/>
        <v>2.8541360282983996E-2</v>
      </c>
      <c r="J1183" s="5">
        <f t="shared" ref="J1183:J1192" si="204">B1183-G1183</f>
        <v>2.7895526949650661E-2</v>
      </c>
      <c r="K1183" s="5">
        <f t="shared" ref="K1183:K1192" si="205">$C1183-H1183</f>
        <v>6.1176725681655213E-2</v>
      </c>
      <c r="L1183" s="8">
        <f t="shared" si="202"/>
        <v>0.27446239137867856</v>
      </c>
      <c r="M1183" s="8">
        <f t="shared" si="203"/>
        <v>4.36E-2</v>
      </c>
      <c r="N1183" s="8">
        <f t="shared" si="194"/>
        <v>5.1349999999999993E-2</v>
      </c>
      <c r="O1183" s="296">
        <f t="shared" si="201"/>
        <v>0.23086239137867856</v>
      </c>
      <c r="P1183" s="8">
        <f t="shared" si="195"/>
        <v>0.22311239137867855</v>
      </c>
      <c r="Q1183" s="8">
        <f t="shared" si="196"/>
        <v>5.1447259168238002E-3</v>
      </c>
      <c r="R1183" s="8">
        <f t="shared" si="197"/>
        <v>5.5499999999999994E-2</v>
      </c>
      <c r="S1183" s="296">
        <f t="shared" si="198"/>
        <v>-5.0355274083176194E-2</v>
      </c>
    </row>
    <row r="1184" spans="1:19" x14ac:dyDescent="0.45">
      <c r="A1184" s="305">
        <v>45383</v>
      </c>
      <c r="B1184" s="5">
        <v>-4.0845049452488805E-2</v>
      </c>
      <c r="C1184" s="5">
        <v>1.6367007821592686E-2</v>
      </c>
      <c r="D1184" s="5">
        <v>3.8833333333333333E-3</v>
      </c>
      <c r="E1184" s="15">
        <v>4.4000000000000003E-3</v>
      </c>
      <c r="F1184" s="15">
        <v>4.5833333333333334E-3</v>
      </c>
      <c r="G1184" s="15">
        <f t="shared" si="199"/>
        <v>4.4916666666666664E-3</v>
      </c>
      <c r="H1184" s="15">
        <v>4.8249999999999994E-3</v>
      </c>
      <c r="I1184" s="5">
        <f t="shared" si="200"/>
        <v>-4.4728382785822141E-2</v>
      </c>
      <c r="J1184" s="5">
        <f t="shared" si="204"/>
        <v>-4.5336716119155469E-2</v>
      </c>
      <c r="K1184" s="5">
        <f t="shared" si="205"/>
        <v>1.1542007821592686E-2</v>
      </c>
      <c r="L1184" s="8">
        <f t="shared" si="202"/>
        <v>0.21368304692992535</v>
      </c>
      <c r="M1184" s="8">
        <f t="shared" si="203"/>
        <v>4.6600000000000003E-2</v>
      </c>
      <c r="N1184" s="8">
        <f t="shared" si="194"/>
        <v>5.3899999999999997E-2</v>
      </c>
      <c r="O1184" s="296">
        <f t="shared" si="201"/>
        <v>0.16708304692992534</v>
      </c>
      <c r="P1184" s="8">
        <f t="shared" si="195"/>
        <v>0.15978304692992534</v>
      </c>
      <c r="Q1184" s="8">
        <f t="shared" si="196"/>
        <v>2.6454824970434387E-3</v>
      </c>
      <c r="R1184" s="8">
        <f t="shared" si="197"/>
        <v>5.7899999999999993E-2</v>
      </c>
      <c r="S1184" s="296">
        <f t="shared" si="198"/>
        <v>-5.5254517502956554E-2</v>
      </c>
    </row>
    <row r="1185" spans="1:19" x14ac:dyDescent="0.45">
      <c r="A1185" s="305">
        <v>45413</v>
      </c>
      <c r="B1185" s="5">
        <v>4.9585177041654042E-2</v>
      </c>
      <c r="C1185" s="5">
        <v>8.4575803688738321E-2</v>
      </c>
      <c r="D1185" s="5">
        <v>3.8500000000000001E-3</v>
      </c>
      <c r="E1185" s="15">
        <v>4.3750000000000004E-3</v>
      </c>
      <c r="F1185" s="15">
        <v>4.5416666666666669E-3</v>
      </c>
      <c r="G1185" s="15">
        <f t="shared" si="199"/>
        <v>4.4583333333333332E-3</v>
      </c>
      <c r="H1185" s="15">
        <v>4.783333333333333E-3</v>
      </c>
      <c r="I1185" s="5">
        <f t="shared" si="200"/>
        <v>4.5735177041654043E-2</v>
      </c>
      <c r="J1185" s="5">
        <f t="shared" si="204"/>
        <v>4.5126843708320707E-2</v>
      </c>
      <c r="K1185" s="5">
        <f t="shared" si="205"/>
        <v>7.9792470355404987E-2</v>
      </c>
      <c r="L1185" s="8">
        <f t="shared" si="202"/>
        <v>0.26835043475278808</v>
      </c>
      <c r="M1185" s="8">
        <f t="shared" si="203"/>
        <v>4.6200000000000005E-2</v>
      </c>
      <c r="N1185" s="8">
        <f t="shared" si="194"/>
        <v>5.3499999999999999E-2</v>
      </c>
      <c r="O1185" s="296">
        <f t="shared" si="201"/>
        <v>0.22215043475278806</v>
      </c>
      <c r="P1185" s="8">
        <f t="shared" si="195"/>
        <v>0.21485043475278809</v>
      </c>
      <c r="Q1185" s="8">
        <f t="shared" si="196"/>
        <v>0.15450739588931994</v>
      </c>
      <c r="R1185" s="8">
        <f t="shared" si="197"/>
        <v>5.7399999999999993E-2</v>
      </c>
      <c r="S1185" s="296">
        <f t="shared" si="198"/>
        <v>9.710739588931995E-2</v>
      </c>
    </row>
    <row r="1186" spans="1:19" x14ac:dyDescent="0.45">
      <c r="A1186" s="305">
        <v>45444</v>
      </c>
      <c r="B1186" s="5">
        <v>3.5881754199761536E-2</v>
      </c>
      <c r="C1186" s="5">
        <v>-5.5254466292122981E-2</v>
      </c>
      <c r="D1186" s="5">
        <v>3.7000000000000002E-3</v>
      </c>
      <c r="E1186" s="15">
        <v>4.2750000000000002E-3</v>
      </c>
      <c r="F1186" s="15">
        <v>4.4583333333333332E-3</v>
      </c>
      <c r="G1186" s="15">
        <f t="shared" si="199"/>
        <v>4.3666666666666663E-3</v>
      </c>
      <c r="H1186" s="15">
        <v>4.6750000000000003E-3</v>
      </c>
      <c r="I1186" s="5">
        <f t="shared" si="200"/>
        <v>3.2181754199761534E-2</v>
      </c>
      <c r="J1186" s="5">
        <f t="shared" si="204"/>
        <v>3.1515087533094871E-2</v>
      </c>
      <c r="K1186" s="5">
        <f t="shared" si="205"/>
        <v>-5.9929466292122979E-2</v>
      </c>
      <c r="L1186" s="8">
        <f t="shared" si="202"/>
        <v>0.23242773672928396</v>
      </c>
      <c r="M1186" s="8">
        <f t="shared" si="203"/>
        <v>4.4400000000000002E-2</v>
      </c>
      <c r="N1186" s="8">
        <f t="shared" si="194"/>
        <v>5.2399999999999995E-2</v>
      </c>
      <c r="O1186" s="296">
        <f t="shared" si="201"/>
        <v>0.18802773672928397</v>
      </c>
      <c r="P1186" s="8">
        <f t="shared" si="195"/>
        <v>0.18002773672928396</v>
      </c>
      <c r="Q1186" s="8">
        <f t="shared" si="196"/>
        <v>7.2935270307713518E-2</v>
      </c>
      <c r="R1186" s="8">
        <f t="shared" si="197"/>
        <v>5.6100000000000004E-2</v>
      </c>
      <c r="S1186" s="296">
        <f t="shared" si="198"/>
        <v>1.6835270307713514E-2</v>
      </c>
    </row>
    <row r="1187" spans="1:19" x14ac:dyDescent="0.45">
      <c r="A1187" s="305">
        <v>45474</v>
      </c>
      <c r="B1187" s="5">
        <v>1.2172518192850557E-2</v>
      </c>
      <c r="C1187" s="5">
        <v>6.7640495776813456E-2</v>
      </c>
      <c r="D1187" s="5">
        <v>3.7166666666666667E-3</v>
      </c>
      <c r="E1187" s="5">
        <v>4.2666666666666669E-3</v>
      </c>
      <c r="F1187" s="5">
        <v>4.4833333333333331E-3</v>
      </c>
      <c r="G1187" s="15">
        <f t="shared" si="199"/>
        <v>4.3750000000000004E-3</v>
      </c>
      <c r="H1187" s="5">
        <v>4.6999999999999993E-3</v>
      </c>
      <c r="I1187" s="5">
        <f t="shared" si="200"/>
        <v>8.4558515261838902E-3</v>
      </c>
      <c r="J1187" s="5">
        <f t="shared" si="204"/>
        <v>7.7975181928505565E-3</v>
      </c>
      <c r="K1187" s="5">
        <f t="shared" si="205"/>
        <v>6.294049577681346E-2</v>
      </c>
      <c r="L1187" s="8">
        <f t="shared" si="202"/>
        <v>0.20860364965314937</v>
      </c>
      <c r="M1187" s="8">
        <f t="shared" si="203"/>
        <v>4.4600000000000001E-2</v>
      </c>
      <c r="N1187" s="8">
        <f t="shared" si="194"/>
        <v>5.2500000000000005E-2</v>
      </c>
      <c r="O1187" s="296">
        <f t="shared" si="201"/>
        <v>0.16400364965314937</v>
      </c>
      <c r="P1187" s="8">
        <f t="shared" si="195"/>
        <v>0.15610364965314938</v>
      </c>
      <c r="Q1187" s="8">
        <f t="shared" si="196"/>
        <v>0.11792110623732133</v>
      </c>
      <c r="R1187" s="8">
        <f t="shared" si="197"/>
        <v>5.6399999999999992E-2</v>
      </c>
      <c r="S1187" s="296">
        <f t="shared" si="198"/>
        <v>6.1521106237321335E-2</v>
      </c>
    </row>
    <row r="1188" spans="1:19" x14ac:dyDescent="0.45">
      <c r="A1188" s="305">
        <v>45505</v>
      </c>
      <c r="B1188" s="5">
        <v>2.4256373790769913E-2</v>
      </c>
      <c r="C1188" s="5">
        <v>4.8574851624052985E-2</v>
      </c>
      <c r="D1188" s="5">
        <v>3.4583333333333337E-3</v>
      </c>
      <c r="E1188" s="5">
        <v>4.0583333333333331E-3</v>
      </c>
      <c r="F1188" s="5">
        <v>4.2666666666666669E-3</v>
      </c>
      <c r="G1188" s="15">
        <f t="shared" si="199"/>
        <v>4.1624999999999995E-3</v>
      </c>
      <c r="H1188" s="5">
        <v>4.4833333333333331E-3</v>
      </c>
      <c r="I1188" s="5">
        <f t="shared" si="200"/>
        <v>2.0798040457436578E-2</v>
      </c>
      <c r="J1188" s="5">
        <f t="shared" si="204"/>
        <v>2.0093873790769913E-2</v>
      </c>
      <c r="K1188" s="5">
        <f t="shared" si="205"/>
        <v>4.4091518290719653E-2</v>
      </c>
      <c r="L1188" s="8">
        <f t="shared" si="202"/>
        <v>0.25794792773467679</v>
      </c>
      <c r="M1188" s="8">
        <f t="shared" si="203"/>
        <v>4.1500000000000002E-2</v>
      </c>
      <c r="N1188" s="8">
        <f t="shared" si="194"/>
        <v>4.9949999999999994E-2</v>
      </c>
      <c r="O1188" s="296">
        <f t="shared" si="201"/>
        <v>0.21644792773467678</v>
      </c>
      <c r="P1188" s="8">
        <f t="shared" si="195"/>
        <v>0.20799792773467679</v>
      </c>
      <c r="Q1188" s="8">
        <f t="shared" si="196"/>
        <v>0.24891693147774485</v>
      </c>
      <c r="R1188" s="8">
        <f t="shared" si="197"/>
        <v>5.3800000000000001E-2</v>
      </c>
      <c r="S1188" s="296">
        <f t="shared" si="198"/>
        <v>0.19511693147774484</v>
      </c>
    </row>
    <row r="1189" spans="1:19" x14ac:dyDescent="0.45">
      <c r="A1189" s="305">
        <v>45536</v>
      </c>
      <c r="B1189" s="5">
        <v>2.1357000687759534E-2</v>
      </c>
      <c r="C1189" s="5">
        <v>6.5911885079184815E-2</v>
      </c>
      <c r="D1189" s="5">
        <v>3.3666666666666667E-3</v>
      </c>
      <c r="E1189" s="5">
        <v>3.8999999999999994E-3</v>
      </c>
      <c r="F1189" s="5">
        <v>4.1166666666666669E-3</v>
      </c>
      <c r="G1189" s="15">
        <f t="shared" si="199"/>
        <v>4.0083333333333334E-3</v>
      </c>
      <c r="H1189" s="5">
        <v>4.3333333333333331E-3</v>
      </c>
      <c r="I1189" s="5">
        <f t="shared" si="200"/>
        <v>1.7990334021092867E-2</v>
      </c>
      <c r="J1189" s="5">
        <f t="shared" si="204"/>
        <v>1.7348667354426202E-2</v>
      </c>
      <c r="K1189" s="5">
        <f t="shared" si="205"/>
        <v>6.157855174585148E-2</v>
      </c>
      <c r="L1189" s="8">
        <f t="shared" si="202"/>
        <v>0.34913840412369201</v>
      </c>
      <c r="M1189" s="8">
        <f t="shared" si="203"/>
        <v>4.0399999999999998E-2</v>
      </c>
      <c r="N1189" s="8">
        <f t="shared" si="194"/>
        <v>4.8100000000000004E-2</v>
      </c>
      <c r="O1189" s="296">
        <f t="shared" si="201"/>
        <v>0.30873840412369202</v>
      </c>
      <c r="P1189" s="8">
        <f t="shared" si="195"/>
        <v>0.30103840412369198</v>
      </c>
      <c r="Q1189" s="8">
        <f t="shared" si="196"/>
        <v>0.41011442342734195</v>
      </c>
      <c r="R1189" s="8">
        <f t="shared" si="197"/>
        <v>5.1999999999999998E-2</v>
      </c>
      <c r="S1189" s="296">
        <f t="shared" si="198"/>
        <v>0.35811442342734195</v>
      </c>
    </row>
    <row r="1190" spans="1:19" x14ac:dyDescent="0.45">
      <c r="A1190" s="305">
        <v>45566</v>
      </c>
      <c r="B1190" s="5">
        <v>-9.0680016846353111E-3</v>
      </c>
      <c r="C1190" s="5">
        <v>-1.0334190854331935E-2</v>
      </c>
      <c r="D1190" s="5">
        <v>3.65E-3</v>
      </c>
      <c r="E1190" s="5">
        <v>4.1250000000000002E-3</v>
      </c>
      <c r="F1190" s="5">
        <v>4.3083333333333333E-3</v>
      </c>
      <c r="G1190" s="15">
        <f t="shared" si="199"/>
        <v>4.2166666666666672E-3</v>
      </c>
      <c r="H1190" s="5">
        <v>4.5083333333333338E-3</v>
      </c>
      <c r="I1190" s="5">
        <f t="shared" si="200"/>
        <v>-1.2718001684635312E-2</v>
      </c>
      <c r="J1190" s="5">
        <f t="shared" si="204"/>
        <v>-1.3284668351301978E-2</v>
      </c>
      <c r="K1190" s="5">
        <f t="shared" si="205"/>
        <v>-1.4842524187665268E-2</v>
      </c>
      <c r="L1190" s="8">
        <f t="shared" si="202"/>
        <v>0.37455523552992376</v>
      </c>
      <c r="M1190" s="8">
        <f t="shared" si="203"/>
        <v>4.3799999999999999E-2</v>
      </c>
      <c r="N1190" s="8">
        <f t="shared" si="194"/>
        <v>5.0600000000000006E-2</v>
      </c>
      <c r="O1190" s="296">
        <f t="shared" si="201"/>
        <v>0.33075523552992375</v>
      </c>
      <c r="P1190" s="8">
        <f t="shared" si="195"/>
        <v>0.32395523552992378</v>
      </c>
      <c r="Q1190" s="8">
        <f t="shared" si="196"/>
        <v>0.37771698360385009</v>
      </c>
      <c r="R1190" s="8">
        <f t="shared" si="197"/>
        <v>5.4100000000000009E-2</v>
      </c>
      <c r="S1190" s="296">
        <f t="shared" si="198"/>
        <v>0.32361698360385005</v>
      </c>
    </row>
    <row r="1191" spans="1:19" x14ac:dyDescent="0.45">
      <c r="A1191" s="305">
        <v>45597</v>
      </c>
      <c r="B1191" s="5">
        <v>5.8700597259107312E-2</v>
      </c>
      <c r="C1191" s="5">
        <v>3.6716914091028764E-2</v>
      </c>
      <c r="D1191" s="5">
        <v>3.7833333333333334E-3</v>
      </c>
      <c r="E1191" s="5">
        <v>4.2833333333333326E-3</v>
      </c>
      <c r="F1191" s="5">
        <v>4.4416666666666667E-3</v>
      </c>
      <c r="G1191" s="15">
        <f t="shared" si="199"/>
        <v>4.3625000000000001E-3</v>
      </c>
      <c r="H1191" s="5">
        <v>4.6333333333333331E-3</v>
      </c>
      <c r="I1191" s="5">
        <f t="shared" si="200"/>
        <v>5.4917263925773979E-2</v>
      </c>
      <c r="J1191" s="5">
        <f t="shared" si="204"/>
        <v>5.4338097259107314E-2</v>
      </c>
      <c r="K1191" s="5">
        <f t="shared" si="205"/>
        <v>3.2083580757695435E-2</v>
      </c>
      <c r="L1191" s="8">
        <f t="shared" si="202"/>
        <v>0.33891114705709624</v>
      </c>
      <c r="M1191" s="8">
        <f t="shared" si="203"/>
        <v>4.5400000000000003E-2</v>
      </c>
      <c r="N1191" s="8">
        <f t="shared" si="194"/>
        <v>5.2350000000000001E-2</v>
      </c>
      <c r="O1191" s="296">
        <f t="shared" si="201"/>
        <v>0.29351114705709624</v>
      </c>
      <c r="P1191" s="8">
        <f t="shared" si="195"/>
        <v>0.28656114705709623</v>
      </c>
      <c r="Q1191" s="8">
        <f t="shared" si="196"/>
        <v>0.35822313376392612</v>
      </c>
      <c r="R1191" s="8">
        <f>H1191*12</f>
        <v>5.5599999999999997E-2</v>
      </c>
      <c r="S1191" s="296">
        <f>Q1191-R1191</f>
        <v>0.30262313376392613</v>
      </c>
    </row>
    <row r="1192" spans="1:19" x14ac:dyDescent="0.45">
      <c r="A1192" s="305">
        <v>45627</v>
      </c>
      <c r="B1192" s="5">
        <v>-1.9725367483346717E-2</v>
      </c>
      <c r="C1192" s="5">
        <v>-7.9292330737182559E-2</v>
      </c>
      <c r="D1192" s="5">
        <v>3.8166666666666666E-3</v>
      </c>
      <c r="E1192" s="5">
        <v>4.3333333333333331E-3</v>
      </c>
      <c r="F1192" s="5">
        <v>4.4749999999999998E-3</v>
      </c>
      <c r="G1192" s="15">
        <f>AVERAGE(E1192:F1192)</f>
        <v>4.4041666666666665E-3</v>
      </c>
      <c r="H1192" s="5">
        <v>4.6500000000000005E-3</v>
      </c>
      <c r="I1192" s="5">
        <f t="shared" si="200"/>
        <v>-2.3542034150013384E-2</v>
      </c>
      <c r="J1192" s="5">
        <f t="shared" si="204"/>
        <v>-2.4129534150013385E-2</v>
      </c>
      <c r="K1192" s="5">
        <f t="shared" si="205"/>
        <v>-8.3942330737182561E-2</v>
      </c>
      <c r="L1192" s="8">
        <f t="shared" si="202"/>
        <v>0.25546411976184769</v>
      </c>
      <c r="M1192" s="8">
        <f t="shared" si="203"/>
        <v>4.58E-2</v>
      </c>
      <c r="N1192" s="8">
        <f t="shared" ref="N1192" si="206">G1192*12</f>
        <v>5.2849999999999994E-2</v>
      </c>
      <c r="O1192" s="296">
        <f t="shared" si="201"/>
        <v>0.20966411976184768</v>
      </c>
      <c r="P1192" s="8">
        <f>L1192-N1192</f>
        <v>0.20261411976184768</v>
      </c>
      <c r="Q1192" s="8">
        <f t="shared" ref="Q1192" si="207">((1+C1181)*(1+C1182)*(1+C1183)*(1+C1184)*(1+C1185)*(1+C1186)*(1+C1187)*(1+C1188)*(1+C1189)*(1+C1190)*(1+C1191)*(1+C1192))-1</f>
        <v>0.22704634318447736</v>
      </c>
      <c r="R1192" s="8">
        <f>H1192*12</f>
        <v>5.5800000000000002E-2</v>
      </c>
      <c r="S1192" s="296">
        <f>Q1192-R1192</f>
        <v>0.17124634318447735</v>
      </c>
    </row>
  </sheetData>
  <mergeCells count="1">
    <mergeCell ref="I1:J3"/>
  </mergeCells>
  <pageMargins left="0.7" right="0.7" top="0.75" bottom="0.75" header="0.3" footer="0.3"/>
  <pageSetup orientation="portrait"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7E85D-CDA6-476E-921C-EE3BFFFBCE19}">
  <sheetPr codeName="Sheet88"/>
  <dimension ref="A1:R1208"/>
  <sheetViews>
    <sheetView zoomScale="70" zoomScaleNormal="70" zoomScaleSheetLayoutView="70" workbookViewId="0">
      <pane ySplit="1" topLeftCell="A1170" activePane="bottomLeft" state="frozen"/>
      <selection activeCell="F10" sqref="F10"/>
      <selection pane="bottomLeft" activeCell="A1210" sqref="A1210"/>
    </sheetView>
  </sheetViews>
  <sheetFormatPr defaultColWidth="9.734375" defaultRowHeight="15" x14ac:dyDescent="0.5"/>
  <cols>
    <col min="1" max="1" width="35.5234375" style="56" bestFit="1" customWidth="1"/>
    <col min="2" max="2" width="16.734375" style="56" customWidth="1"/>
    <col min="3" max="3" width="14" style="56" customWidth="1"/>
    <col min="4" max="4" width="18" style="56" customWidth="1"/>
    <col min="5" max="5" width="9.734375" style="56"/>
    <col min="6" max="7" width="9.734375" style="56" customWidth="1"/>
    <col min="8" max="16384" width="9.734375" style="56"/>
  </cols>
  <sheetData>
    <row r="1" spans="1:4" x14ac:dyDescent="0.5">
      <c r="B1" s="56" t="s">
        <v>1365</v>
      </c>
      <c r="C1" s="56" t="s">
        <v>1366</v>
      </c>
      <c r="D1" s="56" t="s">
        <v>1367</v>
      </c>
    </row>
    <row r="2" spans="1:4" x14ac:dyDescent="0.5">
      <c r="B2" s="56" t="s">
        <v>4528</v>
      </c>
      <c r="C2" s="56" t="s">
        <v>4529</v>
      </c>
      <c r="D2" s="56" t="s">
        <v>4530</v>
      </c>
    </row>
    <row r="3" spans="1:4" x14ac:dyDescent="0.5">
      <c r="B3" s="56" t="s">
        <v>4531</v>
      </c>
      <c r="C3" s="56" t="s">
        <v>4531</v>
      </c>
      <c r="D3" s="56" t="s">
        <v>4531</v>
      </c>
    </row>
    <row r="5" spans="1:4" x14ac:dyDescent="0.5">
      <c r="A5" s="56" t="s">
        <v>1368</v>
      </c>
      <c r="B5" s="121">
        <v>1.2526287824582501E-3</v>
      </c>
      <c r="C5" s="121"/>
      <c r="D5" s="121"/>
    </row>
    <row r="6" spans="1:4" x14ac:dyDescent="0.5">
      <c r="A6" s="56" t="s">
        <v>1369</v>
      </c>
      <c r="B6" s="121">
        <v>1.15553337711416E-3</v>
      </c>
      <c r="C6" s="121"/>
      <c r="D6" s="121"/>
    </row>
    <row r="7" spans="1:4" x14ac:dyDescent="0.5">
      <c r="A7" s="56" t="s">
        <v>1370</v>
      </c>
      <c r="B7" s="121">
        <v>1.32905033545753E-3</v>
      </c>
      <c r="C7" s="20"/>
      <c r="D7" s="20"/>
    </row>
    <row r="8" spans="1:4" x14ac:dyDescent="0.5">
      <c r="A8" s="56" t="s">
        <v>1371</v>
      </c>
      <c r="B8" s="121">
        <v>1.75300476797484E-3</v>
      </c>
      <c r="C8" s="20"/>
      <c r="D8" s="20"/>
    </row>
    <row r="9" spans="1:4" x14ac:dyDescent="0.5">
      <c r="A9" s="56" t="s">
        <v>1372</v>
      </c>
      <c r="B9" s="121">
        <v>1.5958212851232599E-3</v>
      </c>
      <c r="C9" s="20"/>
      <c r="D9" s="20"/>
    </row>
    <row r="10" spans="1:4" x14ac:dyDescent="0.5">
      <c r="A10" s="56" t="s">
        <v>1373</v>
      </c>
      <c r="B10" s="121">
        <v>1.443759377453E-3</v>
      </c>
      <c r="C10" s="20"/>
      <c r="D10" s="20"/>
    </row>
    <row r="11" spans="1:4" x14ac:dyDescent="0.5">
      <c r="A11" s="56" t="s">
        <v>1374</v>
      </c>
      <c r="B11" s="121">
        <v>1.48957513877762E-3</v>
      </c>
      <c r="C11" s="20"/>
      <c r="D11" s="20"/>
    </row>
    <row r="12" spans="1:4" x14ac:dyDescent="0.5">
      <c r="A12" s="56" t="s">
        <v>1375</v>
      </c>
      <c r="B12" s="121">
        <v>1.54972980283977E-3</v>
      </c>
      <c r="C12" s="20"/>
      <c r="D12" s="20"/>
    </row>
    <row r="13" spans="1:4" x14ac:dyDescent="0.5">
      <c r="A13" s="56" t="s">
        <v>1376</v>
      </c>
      <c r="B13" s="121">
        <v>1.4291372371100001E-3</v>
      </c>
      <c r="C13" s="20"/>
      <c r="D13" s="20"/>
    </row>
    <row r="14" spans="1:4" x14ac:dyDescent="0.5">
      <c r="A14" s="56" t="s">
        <v>1377</v>
      </c>
      <c r="B14" s="121">
        <v>1.33403956806037E-3</v>
      </c>
      <c r="C14" s="20"/>
      <c r="D14" s="20"/>
    </row>
    <row r="15" spans="1:4" x14ac:dyDescent="0.5">
      <c r="A15" s="56" t="s">
        <v>1378</v>
      </c>
      <c r="B15" s="121">
        <v>1.3790068527900999E-3</v>
      </c>
      <c r="C15" s="20"/>
      <c r="D15" s="20"/>
    </row>
    <row r="16" spans="1:4" x14ac:dyDescent="0.5">
      <c r="A16" s="56" t="s">
        <v>1379</v>
      </c>
      <c r="B16" s="121">
        <v>1.3479620624224601E-3</v>
      </c>
      <c r="C16" s="20"/>
      <c r="D16" s="20"/>
    </row>
    <row r="17" spans="1:4" x14ac:dyDescent="0.5">
      <c r="A17" s="56" t="s">
        <v>1380</v>
      </c>
      <c r="B17" s="121">
        <v>1.2468386055294199E-3</v>
      </c>
      <c r="C17" s="20"/>
      <c r="D17" s="20"/>
    </row>
    <row r="18" spans="1:4" x14ac:dyDescent="0.5">
      <c r="A18" s="56" t="s">
        <v>1381</v>
      </c>
      <c r="B18" s="121">
        <v>1.2328933955088699E-3</v>
      </c>
      <c r="C18" s="20"/>
      <c r="D18" s="20"/>
    </row>
    <row r="19" spans="1:4" x14ac:dyDescent="0.5">
      <c r="A19" s="56" t="s">
        <v>1382</v>
      </c>
      <c r="B19" s="121">
        <v>1.4175014049130799E-3</v>
      </c>
      <c r="C19" s="20"/>
      <c r="D19" s="20"/>
    </row>
    <row r="20" spans="1:4" x14ac:dyDescent="0.5">
      <c r="A20" s="56" t="s">
        <v>1383</v>
      </c>
      <c r="B20" s="121">
        <v>1.2846669973607899E-3</v>
      </c>
      <c r="C20" s="20"/>
      <c r="D20" s="20"/>
    </row>
    <row r="21" spans="1:4" x14ac:dyDescent="0.5">
      <c r="A21" s="56" t="s">
        <v>1384</v>
      </c>
      <c r="B21" s="121">
        <v>1.19817046503526E-3</v>
      </c>
      <c r="C21" s="20"/>
      <c r="D21" s="20"/>
    </row>
    <row r="22" spans="1:4" x14ac:dyDescent="0.5">
      <c r="A22" s="56" t="s">
        <v>1385</v>
      </c>
      <c r="B22" s="121">
        <v>1.4800581811688701E-3</v>
      </c>
      <c r="C22" s="20"/>
      <c r="D22" s="20"/>
    </row>
    <row r="23" spans="1:4" x14ac:dyDescent="0.5">
      <c r="A23" s="56" t="s">
        <v>1386</v>
      </c>
      <c r="B23" s="121">
        <v>1.3613451628106E-3</v>
      </c>
      <c r="C23" s="20"/>
      <c r="D23" s="20"/>
    </row>
    <row r="24" spans="1:4" x14ac:dyDescent="0.5">
      <c r="A24" s="56" t="s">
        <v>1387</v>
      </c>
      <c r="B24" s="121">
        <v>1.7001532628534799E-3</v>
      </c>
      <c r="C24" s="20"/>
      <c r="D24" s="20"/>
    </row>
    <row r="25" spans="1:4" x14ac:dyDescent="0.5">
      <c r="A25" s="56" t="s">
        <v>1388</v>
      </c>
      <c r="B25" s="121">
        <v>1.7560766938166401E-3</v>
      </c>
      <c r="C25" s="20"/>
      <c r="D25" s="20"/>
    </row>
    <row r="26" spans="1:4" x14ac:dyDescent="0.5">
      <c r="A26" s="56" t="s">
        <v>1389</v>
      </c>
      <c r="B26" s="121">
        <v>1.73552300373759E-3</v>
      </c>
      <c r="C26" s="20"/>
      <c r="D26" s="20"/>
    </row>
    <row r="27" spans="1:4" x14ac:dyDescent="0.5">
      <c r="A27" s="56" t="s">
        <v>1390</v>
      </c>
      <c r="B27" s="121">
        <v>1.98514367057245E-3</v>
      </c>
      <c r="C27" s="20"/>
      <c r="D27" s="20"/>
    </row>
    <row r="28" spans="1:4" x14ac:dyDescent="0.5">
      <c r="A28" s="56" t="s">
        <v>1391</v>
      </c>
      <c r="B28" s="121">
        <v>2.26153203378796E-3</v>
      </c>
      <c r="C28" s="20"/>
      <c r="D28" s="20"/>
    </row>
    <row r="29" spans="1:4" x14ac:dyDescent="0.5">
      <c r="A29" s="56" t="s">
        <v>1392</v>
      </c>
      <c r="B29" s="121">
        <v>2.0190322483890398E-3</v>
      </c>
      <c r="C29" s="20">
        <v>2.7152393935647298E-3</v>
      </c>
      <c r="D29" s="20">
        <v>2.2778294899436298E-3</v>
      </c>
    </row>
    <row r="30" spans="1:4" x14ac:dyDescent="0.5">
      <c r="A30" s="56" t="s">
        <v>1393</v>
      </c>
      <c r="B30" s="121">
        <v>1.8003739101916901E-3</v>
      </c>
      <c r="C30" s="20">
        <v>2.5158376932243199E-3</v>
      </c>
      <c r="D30" s="20">
        <v>2.0152651971549998E-3</v>
      </c>
    </row>
    <row r="31" spans="1:4" x14ac:dyDescent="0.5">
      <c r="A31" s="56" t="s">
        <v>1394</v>
      </c>
      <c r="B31" s="121">
        <v>1.65390230046029E-3</v>
      </c>
      <c r="C31" s="20">
        <v>2.2768114107435799E-3</v>
      </c>
      <c r="D31" s="20">
        <v>1.8354326078954899E-3</v>
      </c>
    </row>
    <row r="32" spans="1:4" x14ac:dyDescent="0.5">
      <c r="A32" s="56" t="s">
        <v>1395</v>
      </c>
      <c r="B32" s="121">
        <v>2.81808195988145E-3</v>
      </c>
      <c r="C32" s="20">
        <v>2.4870067797352199E-3</v>
      </c>
      <c r="D32" s="20">
        <v>2.9548560676825502E-3</v>
      </c>
    </row>
    <row r="33" spans="1:4" x14ac:dyDescent="0.5">
      <c r="A33" s="56" t="s">
        <v>1396</v>
      </c>
      <c r="B33" s="121">
        <v>2.5018732611278402E-3</v>
      </c>
      <c r="C33" s="20">
        <v>3.09924890360589E-3</v>
      </c>
      <c r="D33" s="20">
        <v>2.6118945066364E-3</v>
      </c>
    </row>
    <row r="34" spans="1:4" x14ac:dyDescent="0.5">
      <c r="A34" s="56" t="s">
        <v>1397</v>
      </c>
      <c r="B34" s="121">
        <v>2.1851981583527399E-3</v>
      </c>
      <c r="C34" s="20">
        <v>2.77542273206629E-3</v>
      </c>
      <c r="D34" s="20">
        <v>2.2736335473400701E-3</v>
      </c>
    </row>
    <row r="35" spans="1:4" x14ac:dyDescent="0.5">
      <c r="A35" s="56" t="s">
        <v>1398</v>
      </c>
      <c r="B35" s="121">
        <v>2.2122907404293702E-3</v>
      </c>
      <c r="C35" s="20">
        <v>2.7256705708778401E-3</v>
      </c>
      <c r="D35" s="20">
        <v>2.29549359796911E-3</v>
      </c>
    </row>
    <row r="36" spans="1:4" x14ac:dyDescent="0.5">
      <c r="A36" s="56" t="s">
        <v>1399</v>
      </c>
      <c r="B36" s="121">
        <v>1.9393978225684899E-3</v>
      </c>
      <c r="C36" s="20">
        <v>2.4603965798217502E-3</v>
      </c>
      <c r="D36" s="20">
        <v>2.0052630074174102E-3</v>
      </c>
    </row>
    <row r="37" spans="1:4" x14ac:dyDescent="0.5">
      <c r="A37" s="56" t="s">
        <v>1400</v>
      </c>
      <c r="B37" s="121">
        <v>2.3644552669330799E-3</v>
      </c>
      <c r="C37" s="20">
        <v>2.5865214723776401E-3</v>
      </c>
      <c r="D37" s="20">
        <v>2.41421574587385E-3</v>
      </c>
    </row>
    <row r="38" spans="1:4" x14ac:dyDescent="0.5">
      <c r="A38" s="56" t="s">
        <v>1401</v>
      </c>
      <c r="B38" s="121">
        <v>2.0934600734802398E-3</v>
      </c>
      <c r="C38" s="20">
        <v>2.35693954395678E-3</v>
      </c>
      <c r="D38" s="20">
        <v>2.1311867654312802E-3</v>
      </c>
    </row>
    <row r="39" spans="1:4" x14ac:dyDescent="0.5">
      <c r="A39" s="56" t="s">
        <v>1402</v>
      </c>
      <c r="B39" s="121">
        <v>1.84594933926413E-3</v>
      </c>
      <c r="C39" s="20">
        <v>2.1417165256859701E-3</v>
      </c>
      <c r="D39" s="20">
        <v>1.8742106063695399E-3</v>
      </c>
    </row>
    <row r="40" spans="1:4" x14ac:dyDescent="0.5">
      <c r="A40" s="56" t="s">
        <v>1403</v>
      </c>
      <c r="B40" s="121">
        <v>3.50459888056743E-3</v>
      </c>
      <c r="C40" s="20">
        <v>6.47733938744606E-3</v>
      </c>
      <c r="D40" s="20">
        <v>3.53012244479484E-3</v>
      </c>
    </row>
    <row r="41" spans="1:4" x14ac:dyDescent="0.5">
      <c r="A41" s="56" t="s">
        <v>1404</v>
      </c>
      <c r="B41" s="121">
        <v>3.0086037519016298E-3</v>
      </c>
      <c r="C41" s="20">
        <v>5.7131480906090302E-3</v>
      </c>
      <c r="D41" s="20">
        <v>3.0314365269936499E-3</v>
      </c>
    </row>
    <row r="42" spans="1:4" x14ac:dyDescent="0.5">
      <c r="A42" s="56" t="s">
        <v>1405</v>
      </c>
      <c r="B42" s="121">
        <v>2.8604726141145901E-3</v>
      </c>
      <c r="C42" s="20">
        <v>6.5613639049263497E-3</v>
      </c>
      <c r="D42" s="20">
        <v>2.8828064166574099E-3</v>
      </c>
    </row>
    <row r="43" spans="1:4" x14ac:dyDescent="0.5">
      <c r="A43" s="56" t="s">
        <v>1406</v>
      </c>
      <c r="B43" s="121">
        <v>2.4931422128908198E-3</v>
      </c>
      <c r="C43" s="20">
        <v>5.9326058260959699E-3</v>
      </c>
      <c r="D43" s="20">
        <v>2.5130652461080902E-3</v>
      </c>
    </row>
    <row r="44" spans="1:4" x14ac:dyDescent="0.5">
      <c r="A44" s="56" t="s">
        <v>1407</v>
      </c>
      <c r="B44" s="121">
        <v>2.18576530086694E-3</v>
      </c>
      <c r="C44" s="20">
        <v>5.2977100541248103E-3</v>
      </c>
      <c r="D44" s="20">
        <v>2.20253439679962E-3</v>
      </c>
    </row>
    <row r="45" spans="1:4" x14ac:dyDescent="0.5">
      <c r="A45" s="56" t="s">
        <v>1408</v>
      </c>
      <c r="B45" s="121">
        <v>1.9219259911511101E-3</v>
      </c>
      <c r="C45" s="20">
        <v>4.7341307593380001E-3</v>
      </c>
      <c r="D45" s="20">
        <v>1.9339496842735E-3</v>
      </c>
    </row>
    <row r="46" spans="1:4" x14ac:dyDescent="0.5">
      <c r="A46" s="56" t="s">
        <v>1409</v>
      </c>
      <c r="B46" s="121">
        <v>1.96211932713471E-3</v>
      </c>
      <c r="C46" s="20">
        <v>4.3225456587865797E-3</v>
      </c>
      <c r="D46" s="20">
        <v>1.97697019837543E-3</v>
      </c>
    </row>
    <row r="47" spans="1:4" x14ac:dyDescent="0.5">
      <c r="A47" s="56" t="s">
        <v>1410</v>
      </c>
      <c r="B47" s="121">
        <v>3.1434247643603599E-3</v>
      </c>
      <c r="C47" s="20">
        <v>8.3654206042887494E-3</v>
      </c>
      <c r="D47" s="20">
        <v>3.1572287386253599E-3</v>
      </c>
    </row>
    <row r="48" spans="1:4" x14ac:dyDescent="0.5">
      <c r="A48" s="56" t="s">
        <v>1411</v>
      </c>
      <c r="B48" s="121">
        <v>2.84901866316311E-3</v>
      </c>
      <c r="C48" s="20">
        <v>7.9338845895538107E-3</v>
      </c>
      <c r="D48" s="20">
        <v>2.8649235056231602E-3</v>
      </c>
    </row>
    <row r="49" spans="1:4" x14ac:dyDescent="0.5">
      <c r="A49" s="56" t="s">
        <v>1412</v>
      </c>
      <c r="B49" s="121">
        <v>3.5169633188747002E-3</v>
      </c>
      <c r="C49" s="20">
        <v>7.78464725389844E-3</v>
      </c>
      <c r="D49" s="20">
        <v>3.5408671271992798E-3</v>
      </c>
    </row>
    <row r="50" spans="1:4" x14ac:dyDescent="0.5">
      <c r="A50" s="56" t="s">
        <v>1413</v>
      </c>
      <c r="B50" s="121">
        <v>3.5011836730248101E-3</v>
      </c>
      <c r="C50" s="20">
        <v>6.8801962519707601E-3</v>
      </c>
      <c r="D50" s="20">
        <v>3.5251047640356501E-3</v>
      </c>
    </row>
    <row r="51" spans="1:4" x14ac:dyDescent="0.5">
      <c r="A51" s="56" t="s">
        <v>1414</v>
      </c>
      <c r="B51" s="121">
        <v>8.7396505052273303E-3</v>
      </c>
      <c r="C51" s="20">
        <v>1.6711518993037501E-2</v>
      </c>
      <c r="D51" s="20">
        <v>8.8274087475861806E-3</v>
      </c>
    </row>
    <row r="52" spans="1:4" x14ac:dyDescent="0.5">
      <c r="A52" s="56" t="s">
        <v>1415</v>
      </c>
      <c r="B52" s="121">
        <v>1.03791364456715E-2</v>
      </c>
      <c r="C52" s="20">
        <v>1.77874744985114E-2</v>
      </c>
      <c r="D52" s="20">
        <v>1.0456186753512901E-2</v>
      </c>
    </row>
    <row r="53" spans="1:4" x14ac:dyDescent="0.5">
      <c r="A53" s="56" t="s">
        <v>1416</v>
      </c>
      <c r="B53" s="121">
        <v>8.6496191049489999E-3</v>
      </c>
      <c r="C53" s="20">
        <v>1.5737063824351701E-2</v>
      </c>
      <c r="D53" s="20">
        <v>8.73210971114779E-3</v>
      </c>
    </row>
    <row r="54" spans="1:4" x14ac:dyDescent="0.5">
      <c r="A54" s="56" t="s">
        <v>1417</v>
      </c>
      <c r="B54" s="121">
        <v>7.3659762143012701E-3</v>
      </c>
      <c r="C54" s="20">
        <v>1.4025047785617599E-2</v>
      </c>
      <c r="D54" s="20">
        <v>7.4689828372821801E-3</v>
      </c>
    </row>
    <row r="55" spans="1:4" x14ac:dyDescent="0.5">
      <c r="A55" s="56" t="s">
        <v>1418</v>
      </c>
      <c r="B55" s="121">
        <v>6.1679445399466402E-3</v>
      </c>
      <c r="C55" s="20">
        <v>1.27259275111804E-2</v>
      </c>
      <c r="D55" s="20">
        <v>6.2668255117499603E-3</v>
      </c>
    </row>
    <row r="56" spans="1:4" x14ac:dyDescent="0.5">
      <c r="A56" s="56" t="s">
        <v>1419</v>
      </c>
      <c r="B56" s="121">
        <v>5.6267942260043204E-3</v>
      </c>
      <c r="C56" s="20">
        <v>1.1626954893579899E-2</v>
      </c>
      <c r="D56" s="20">
        <v>5.7372034557471403E-3</v>
      </c>
    </row>
    <row r="57" spans="1:4" x14ac:dyDescent="0.5">
      <c r="A57" s="56" t="s">
        <v>1420</v>
      </c>
      <c r="B57" s="121">
        <v>4.8450079943137799E-3</v>
      </c>
      <c r="C57" s="20">
        <v>1.0226768494741601E-2</v>
      </c>
      <c r="D57" s="20">
        <v>4.9427152988137197E-3</v>
      </c>
    </row>
    <row r="58" spans="1:4" x14ac:dyDescent="0.5">
      <c r="A58" s="56" t="s">
        <v>1421</v>
      </c>
      <c r="B58" s="121">
        <v>4.1967993807429599E-3</v>
      </c>
      <c r="C58" s="20">
        <v>9.1852627585550396E-3</v>
      </c>
      <c r="D58" s="20">
        <v>4.2832863121460701E-3</v>
      </c>
    </row>
    <row r="59" spans="1:4" x14ac:dyDescent="0.5">
      <c r="A59" s="56" t="s">
        <v>1422</v>
      </c>
      <c r="B59" s="121">
        <v>7.6677838412037404E-3</v>
      </c>
      <c r="C59" s="20">
        <v>1.2675281108229399E-2</v>
      </c>
      <c r="D59" s="20">
        <v>7.7866860011955204E-3</v>
      </c>
    </row>
    <row r="60" spans="1:4" x14ac:dyDescent="0.5">
      <c r="A60" s="56" t="s">
        <v>1423</v>
      </c>
      <c r="B60" s="121">
        <v>6.4325021044754497E-3</v>
      </c>
      <c r="C60" s="20">
        <v>1.11301150570131E-2</v>
      </c>
      <c r="D60" s="20">
        <v>6.5495442374544901E-3</v>
      </c>
    </row>
    <row r="61" spans="1:4" x14ac:dyDescent="0.5">
      <c r="A61" s="56" t="s">
        <v>1424</v>
      </c>
      <c r="B61" s="121">
        <v>5.4118558989604201E-3</v>
      </c>
      <c r="C61" s="20">
        <v>9.7954230711476391E-3</v>
      </c>
      <c r="D61" s="20">
        <v>5.5179315043064701E-3</v>
      </c>
    </row>
    <row r="62" spans="1:4" x14ac:dyDescent="0.5">
      <c r="A62" s="56" t="s">
        <v>1425</v>
      </c>
      <c r="B62" s="121">
        <v>7.3872399346320604E-3</v>
      </c>
      <c r="C62" s="20">
        <v>1.0390446083610901E-2</v>
      </c>
      <c r="D62" s="20">
        <v>7.4927362436555704E-3</v>
      </c>
    </row>
    <row r="63" spans="1:4" x14ac:dyDescent="0.5">
      <c r="A63" s="56" t="s">
        <v>1426</v>
      </c>
      <c r="B63" s="121">
        <v>7.7865742946696898E-3</v>
      </c>
      <c r="C63" s="20">
        <v>1.0222512288326E-2</v>
      </c>
      <c r="D63" s="20">
        <v>7.8744713683546897E-3</v>
      </c>
    </row>
    <row r="64" spans="1:4" x14ac:dyDescent="0.5">
      <c r="A64" s="56" t="s">
        <v>1427</v>
      </c>
      <c r="B64" s="121">
        <v>6.6818906243926203E-3</v>
      </c>
      <c r="C64" s="20">
        <v>9.8910133310737194E-3</v>
      </c>
      <c r="D64" s="20">
        <v>6.7605067285175799E-3</v>
      </c>
    </row>
    <row r="65" spans="1:4" x14ac:dyDescent="0.5">
      <c r="A65" s="56" t="s">
        <v>1428</v>
      </c>
      <c r="B65" s="121">
        <v>6.7561178662197503E-3</v>
      </c>
      <c r="C65" s="20">
        <v>8.9924083664415806E-3</v>
      </c>
      <c r="D65" s="20">
        <v>6.8234898739061804E-3</v>
      </c>
    </row>
    <row r="66" spans="1:4" x14ac:dyDescent="0.5">
      <c r="A66" s="56" t="s">
        <v>1429</v>
      </c>
      <c r="B66" s="121">
        <v>5.7536025360605701E-3</v>
      </c>
      <c r="C66" s="20">
        <v>8.0483273273474799E-3</v>
      </c>
      <c r="D66" s="20">
        <v>5.8302677698977004E-3</v>
      </c>
    </row>
    <row r="67" spans="1:4" x14ac:dyDescent="0.5">
      <c r="A67" s="56" t="s">
        <v>1430</v>
      </c>
      <c r="B67" s="121">
        <v>6.0878072197118101E-3</v>
      </c>
      <c r="C67" s="20">
        <v>9.0464517072497801E-3</v>
      </c>
      <c r="D67" s="20">
        <v>6.1911198728612704E-3</v>
      </c>
    </row>
    <row r="68" spans="1:4" x14ac:dyDescent="0.5">
      <c r="A68" s="56" t="s">
        <v>1431</v>
      </c>
      <c r="B68" s="121">
        <v>6.1526899479863797E-3</v>
      </c>
      <c r="C68" s="20">
        <v>8.1402486729731903E-3</v>
      </c>
      <c r="D68" s="20">
        <v>6.2394055422462201E-3</v>
      </c>
    </row>
    <row r="69" spans="1:4" x14ac:dyDescent="0.5">
      <c r="A69" s="56" t="s">
        <v>1432</v>
      </c>
      <c r="B69" s="121">
        <v>6.8920957396144504E-3</v>
      </c>
      <c r="C69" s="20">
        <v>8.7340726826120093E-3</v>
      </c>
      <c r="D69" s="20">
        <v>6.9731032759631903E-3</v>
      </c>
    </row>
    <row r="70" spans="1:4" x14ac:dyDescent="0.5">
      <c r="A70" s="56" t="s">
        <v>1433</v>
      </c>
      <c r="B70" s="121">
        <v>8.7608979477090208E-3</v>
      </c>
      <c r="C70" s="20">
        <v>9.2113583810354196E-3</v>
      </c>
      <c r="D70" s="20">
        <v>8.8413933354407996E-3</v>
      </c>
    </row>
    <row r="71" spans="1:4" x14ac:dyDescent="0.5">
      <c r="A71" s="56" t="s">
        <v>1434</v>
      </c>
      <c r="B71" s="121">
        <v>8.9081700107071192E-3</v>
      </c>
      <c r="C71" s="20">
        <v>9.6096426351575791E-3</v>
      </c>
      <c r="D71" s="20">
        <v>9.0661949442994196E-3</v>
      </c>
    </row>
    <row r="72" spans="1:4" x14ac:dyDescent="0.5">
      <c r="A72" s="56" t="s">
        <v>1435</v>
      </c>
      <c r="B72" s="121">
        <v>8.8016135012864306E-3</v>
      </c>
      <c r="C72" s="20">
        <v>9.1383558431730304E-3</v>
      </c>
      <c r="D72" s="20">
        <v>8.9278476951105898E-3</v>
      </c>
    </row>
    <row r="73" spans="1:4" x14ac:dyDescent="0.5">
      <c r="A73" s="56" t="s">
        <v>1436</v>
      </c>
      <c r="B73" s="121">
        <v>7.36651276047627E-3</v>
      </c>
      <c r="C73" s="20">
        <v>8.0429273590183308E-3</v>
      </c>
      <c r="D73" s="20">
        <v>7.4844571735614403E-3</v>
      </c>
    </row>
    <row r="74" spans="1:4" x14ac:dyDescent="0.5">
      <c r="A74" s="56" t="s">
        <v>1437</v>
      </c>
      <c r="B74" s="121">
        <v>1.9597087769782699E-2</v>
      </c>
      <c r="C74" s="20">
        <v>1.87034336156933E-2</v>
      </c>
      <c r="D74" s="20">
        <v>1.9808298172827001E-2</v>
      </c>
    </row>
    <row r="75" spans="1:4" x14ac:dyDescent="0.5">
      <c r="A75" s="56" t="s">
        <v>1438</v>
      </c>
      <c r="B75" s="121">
        <v>1.6285864691891899E-2</v>
      </c>
      <c r="C75" s="20">
        <v>1.6857850090827901E-2</v>
      </c>
      <c r="D75" s="20">
        <v>1.65454818088717E-2</v>
      </c>
    </row>
    <row r="76" spans="1:4" x14ac:dyDescent="0.5">
      <c r="A76" s="56" t="s">
        <v>1439</v>
      </c>
      <c r="B76" s="121">
        <v>1.5818708160947801E-2</v>
      </c>
      <c r="C76" s="20">
        <v>1.56661743419555E-2</v>
      </c>
      <c r="D76" s="20">
        <v>1.59794609277507E-2</v>
      </c>
    </row>
    <row r="77" spans="1:4" x14ac:dyDescent="0.5">
      <c r="A77" s="56" t="s">
        <v>1440</v>
      </c>
      <c r="B77" s="121">
        <v>1.79129189957653E-2</v>
      </c>
      <c r="C77" s="20">
        <v>1.6355161422418201E-2</v>
      </c>
      <c r="D77" s="20">
        <v>1.79783378619164E-2</v>
      </c>
    </row>
    <row r="78" spans="1:4" x14ac:dyDescent="0.5">
      <c r="A78" s="56" t="s">
        <v>1441</v>
      </c>
      <c r="B78" s="121">
        <v>1.5803364928656801E-2</v>
      </c>
      <c r="C78" s="20">
        <v>1.46045569834925E-2</v>
      </c>
      <c r="D78" s="20">
        <v>1.5816386049684501E-2</v>
      </c>
    </row>
    <row r="79" spans="1:4" x14ac:dyDescent="0.5">
      <c r="A79" s="56" t="s">
        <v>1442</v>
      </c>
      <c r="B79" s="121">
        <v>1.3096393672447301E-2</v>
      </c>
      <c r="C79" s="20">
        <v>1.31049041877635E-2</v>
      </c>
      <c r="D79" s="20">
        <v>1.31528092137796E-2</v>
      </c>
    </row>
    <row r="80" spans="1:4" x14ac:dyDescent="0.5">
      <c r="A80" s="56" t="s">
        <v>1443</v>
      </c>
      <c r="B80" s="121">
        <v>1.41804517652148E-2</v>
      </c>
      <c r="C80" s="20">
        <v>1.3309228575750899E-2</v>
      </c>
      <c r="D80" s="20">
        <v>1.41789554500796E-2</v>
      </c>
    </row>
    <row r="81" spans="1:4" x14ac:dyDescent="0.5">
      <c r="A81" s="56" t="s">
        <v>1444</v>
      </c>
      <c r="B81" s="121">
        <v>1.96436900701055E-2</v>
      </c>
      <c r="C81" s="20">
        <v>1.5084849343077101E-2</v>
      </c>
      <c r="D81" s="20">
        <v>1.9574346793119202E-2</v>
      </c>
    </row>
    <row r="82" spans="1:4" x14ac:dyDescent="0.5">
      <c r="A82" s="56" t="s">
        <v>1445</v>
      </c>
      <c r="B82" s="121">
        <v>2.66629566357727E-2</v>
      </c>
      <c r="C82" s="20">
        <v>2.3378850746822701E-2</v>
      </c>
      <c r="D82" s="20">
        <v>2.6432781947132899E-2</v>
      </c>
    </row>
    <row r="83" spans="1:4" x14ac:dyDescent="0.5">
      <c r="A83" s="56" t="s">
        <v>1446</v>
      </c>
      <c r="B83" s="121">
        <v>2.3043752482885201E-2</v>
      </c>
      <c r="C83" s="20">
        <v>2.05908100104664E-2</v>
      </c>
      <c r="D83" s="20">
        <v>2.27690452593916E-2</v>
      </c>
    </row>
    <row r="84" spans="1:4" x14ac:dyDescent="0.5">
      <c r="A84" s="56" t="s">
        <v>1447</v>
      </c>
      <c r="B84" s="121">
        <v>3.1019466316154699E-2</v>
      </c>
      <c r="C84" s="20">
        <v>2.7244133920430999E-2</v>
      </c>
      <c r="D84" s="20">
        <v>3.1549733591052398E-2</v>
      </c>
    </row>
    <row r="85" spans="1:4" x14ac:dyDescent="0.5">
      <c r="A85" s="56" t="s">
        <v>1448</v>
      </c>
      <c r="B85" s="121">
        <v>3.6053889123536603E-2</v>
      </c>
      <c r="C85" s="20">
        <v>3.73322300588129E-2</v>
      </c>
      <c r="D85" s="20">
        <v>3.72877476457594E-2</v>
      </c>
    </row>
    <row r="86" spans="1:4" x14ac:dyDescent="0.5">
      <c r="A86" s="56" t="s">
        <v>1449</v>
      </c>
      <c r="B86" s="121">
        <v>3.26770183262848E-2</v>
      </c>
      <c r="C86" s="20">
        <v>3.3493916055701699E-2</v>
      </c>
      <c r="D86" s="20">
        <v>3.3551594420638098E-2</v>
      </c>
    </row>
    <row r="87" spans="1:4" x14ac:dyDescent="0.5">
      <c r="A87" s="56" t="s">
        <v>1450</v>
      </c>
      <c r="B87" s="121">
        <v>3.4431566866860497E-2</v>
      </c>
      <c r="C87" s="20">
        <v>3.20293483268917E-2</v>
      </c>
      <c r="D87" s="20">
        <v>3.4888535849367901E-2</v>
      </c>
    </row>
    <row r="88" spans="1:4" x14ac:dyDescent="0.5">
      <c r="A88" s="56" t="s">
        <v>1451</v>
      </c>
      <c r="B88" s="121">
        <v>3.1421422364881602E-2</v>
      </c>
      <c r="C88" s="20">
        <v>2.8867871383243399E-2</v>
      </c>
      <c r="D88" s="20">
        <v>3.1585515916158997E-2</v>
      </c>
    </row>
    <row r="89" spans="1:4" x14ac:dyDescent="0.5">
      <c r="A89" s="56" t="s">
        <v>1452</v>
      </c>
      <c r="B89" s="121">
        <v>2.6188869804781901E-2</v>
      </c>
      <c r="C89" s="20">
        <v>2.5451821858345901E-2</v>
      </c>
      <c r="D89" s="20">
        <v>2.63196222002057E-2</v>
      </c>
    </row>
    <row r="90" spans="1:4" x14ac:dyDescent="0.5">
      <c r="A90" s="56" t="s">
        <v>1453</v>
      </c>
      <c r="B90" s="121">
        <v>2.2386474632412699E-2</v>
      </c>
      <c r="C90" s="20">
        <v>2.2869204947666599E-2</v>
      </c>
      <c r="D90" s="20">
        <v>2.2435451973836899E-2</v>
      </c>
    </row>
    <row r="91" spans="1:4" x14ac:dyDescent="0.5">
      <c r="A91" s="56" t="s">
        <v>1454</v>
      </c>
      <c r="B91" s="121">
        <v>2.6564602762381501E-2</v>
      </c>
      <c r="C91" s="20">
        <v>2.6018368132788901E-2</v>
      </c>
      <c r="D91" s="20">
        <v>2.63950062993519E-2</v>
      </c>
    </row>
    <row r="92" spans="1:4" x14ac:dyDescent="0.5">
      <c r="A92" s="56" t="s">
        <v>1455</v>
      </c>
      <c r="B92" s="121">
        <v>2.2274042374876801E-2</v>
      </c>
      <c r="C92" s="20">
        <v>2.5248676171840699E-2</v>
      </c>
      <c r="D92" s="20">
        <v>2.2111227043269999E-2</v>
      </c>
    </row>
    <row r="93" spans="1:4" x14ac:dyDescent="0.5">
      <c r="A93" s="56" t="s">
        <v>1456</v>
      </c>
      <c r="B93" s="121">
        <v>3.4343889199889399E-2</v>
      </c>
      <c r="C93" s="20">
        <v>2.72264887920445E-2</v>
      </c>
      <c r="D93" s="20">
        <v>3.5060822317912098E-2</v>
      </c>
    </row>
    <row r="94" spans="1:4" x14ac:dyDescent="0.5">
      <c r="A94" s="56" t="s">
        <v>1457</v>
      </c>
      <c r="B94" s="121">
        <v>2.8723776013846299E-2</v>
      </c>
      <c r="C94" s="20">
        <v>2.5542447021027401E-2</v>
      </c>
      <c r="D94" s="20">
        <v>2.9551697866494499E-2</v>
      </c>
    </row>
    <row r="95" spans="1:4" x14ac:dyDescent="0.5">
      <c r="A95" s="56" t="s">
        <v>1458</v>
      </c>
      <c r="B95" s="121">
        <v>2.3907630848397501E-2</v>
      </c>
      <c r="C95" s="20">
        <v>2.3407628059225801E-2</v>
      </c>
      <c r="D95" s="20">
        <v>2.4741584783612599E-2</v>
      </c>
    </row>
    <row r="96" spans="1:4" x14ac:dyDescent="0.5">
      <c r="A96" s="56" t="s">
        <v>1459</v>
      </c>
      <c r="B96" s="121">
        <v>2.32338025460819E-2</v>
      </c>
      <c r="C96" s="20">
        <v>2.3236559088287201E-2</v>
      </c>
      <c r="D96" s="20">
        <v>2.3832745843744001E-2</v>
      </c>
    </row>
    <row r="97" spans="1:4" x14ac:dyDescent="0.5">
      <c r="A97" s="56" t="s">
        <v>1460</v>
      </c>
      <c r="B97" s="121">
        <v>1.9445364580168701E-2</v>
      </c>
      <c r="C97" s="20">
        <v>2.05746256681268E-2</v>
      </c>
      <c r="D97" s="20">
        <v>2.0068442654844199E-2</v>
      </c>
    </row>
    <row r="98" spans="1:4" x14ac:dyDescent="0.5">
      <c r="A98" s="56" t="s">
        <v>1461</v>
      </c>
      <c r="B98" s="121">
        <v>2.0065848824851899E-2</v>
      </c>
      <c r="C98" s="20">
        <v>2.27996905500665E-2</v>
      </c>
      <c r="D98" s="20">
        <v>2.0519387071192399E-2</v>
      </c>
    </row>
    <row r="99" spans="1:4" x14ac:dyDescent="0.5">
      <c r="A99" s="56" t="s">
        <v>1462</v>
      </c>
      <c r="B99" s="121">
        <v>1.95550860502312E-2</v>
      </c>
      <c r="C99" s="20">
        <v>2.1274750692951601E-2</v>
      </c>
      <c r="D99" s="20">
        <v>1.98493893908047E-2</v>
      </c>
    </row>
    <row r="100" spans="1:4" x14ac:dyDescent="0.5">
      <c r="A100" s="56" t="s">
        <v>1463</v>
      </c>
      <c r="B100" s="121">
        <v>1.6471327171717801E-2</v>
      </c>
      <c r="C100" s="20">
        <v>1.89718492220231E-2</v>
      </c>
      <c r="D100" s="20">
        <v>1.6826070914573402E-2</v>
      </c>
    </row>
    <row r="101" spans="1:4" x14ac:dyDescent="0.5">
      <c r="A101" s="56" t="s">
        <v>1464</v>
      </c>
      <c r="B101" s="121">
        <v>1.3757449662784801E-2</v>
      </c>
      <c r="C101" s="20">
        <v>1.6679457839007698E-2</v>
      </c>
      <c r="D101" s="20">
        <v>1.4068148675886899E-2</v>
      </c>
    </row>
    <row r="102" spans="1:4" x14ac:dyDescent="0.5">
      <c r="A102" s="56" t="s">
        <v>1465</v>
      </c>
      <c r="B102" s="121">
        <v>1.1881694235979E-2</v>
      </c>
      <c r="C102" s="20">
        <v>1.6822040710436401E-2</v>
      </c>
      <c r="D102" s="20">
        <v>1.22241940463798E-2</v>
      </c>
    </row>
    <row r="103" spans="1:4" x14ac:dyDescent="0.5">
      <c r="A103" s="56" t="s">
        <v>1466</v>
      </c>
      <c r="B103" s="121">
        <v>1.05473715529413E-2</v>
      </c>
      <c r="C103" s="20">
        <v>1.5063006257410401E-2</v>
      </c>
      <c r="D103" s="20">
        <v>1.0831971719376599E-2</v>
      </c>
    </row>
    <row r="104" spans="1:4" x14ac:dyDescent="0.5">
      <c r="A104" s="56" t="s">
        <v>1467</v>
      </c>
      <c r="B104" s="121">
        <v>8.9481581916138701E-3</v>
      </c>
      <c r="C104" s="20">
        <v>1.3370110235692199E-2</v>
      </c>
      <c r="D104" s="20">
        <v>9.19085737305287E-3</v>
      </c>
    </row>
    <row r="105" spans="1:4" x14ac:dyDescent="0.5">
      <c r="A105" s="56" t="s">
        <v>1468</v>
      </c>
      <c r="B105" s="121">
        <v>7.8699879129195197E-3</v>
      </c>
      <c r="C105" s="20">
        <v>1.2112480256949601E-2</v>
      </c>
      <c r="D105" s="20">
        <v>8.07424066389314E-3</v>
      </c>
    </row>
    <row r="106" spans="1:4" x14ac:dyDescent="0.5">
      <c r="A106" s="56" t="s">
        <v>1469</v>
      </c>
      <c r="B106" s="121">
        <v>7.8942398988552393E-3</v>
      </c>
      <c r="C106" s="20">
        <v>1.16785891680519E-2</v>
      </c>
      <c r="D106" s="20">
        <v>8.0648704116689802E-3</v>
      </c>
    </row>
    <row r="107" spans="1:4" x14ac:dyDescent="0.5">
      <c r="A107" s="56" t="s">
        <v>1470</v>
      </c>
      <c r="B107" s="121">
        <v>6.6043289246638199E-3</v>
      </c>
      <c r="C107" s="20">
        <v>1.03258636287501E-2</v>
      </c>
      <c r="D107" s="20">
        <v>6.7592588790562997E-3</v>
      </c>
    </row>
    <row r="108" spans="1:4" x14ac:dyDescent="0.5">
      <c r="A108" s="56" t="s">
        <v>1471</v>
      </c>
      <c r="B108" s="121">
        <v>7.9378866415424701E-3</v>
      </c>
      <c r="C108" s="20">
        <v>1.25170991246931E-2</v>
      </c>
      <c r="D108" s="20">
        <v>8.0784912690681897E-3</v>
      </c>
    </row>
    <row r="109" spans="1:4" x14ac:dyDescent="0.5">
      <c r="A109" s="56" t="s">
        <v>1472</v>
      </c>
      <c r="B109" s="121">
        <v>6.7813388992600497E-3</v>
      </c>
      <c r="C109" s="20">
        <v>1.09898176267486E-2</v>
      </c>
      <c r="D109" s="20">
        <v>6.9264548794223503E-3</v>
      </c>
    </row>
    <row r="110" spans="1:4" x14ac:dyDescent="0.5">
      <c r="A110" s="56" t="s">
        <v>1473</v>
      </c>
      <c r="B110" s="121">
        <v>5.7826087739600704E-3</v>
      </c>
      <c r="C110" s="20">
        <v>9.6685973296440995E-3</v>
      </c>
      <c r="D110" s="20">
        <v>5.9103060629912404E-3</v>
      </c>
    </row>
    <row r="111" spans="1:4" x14ac:dyDescent="0.5">
      <c r="A111" s="56" t="s">
        <v>1474</v>
      </c>
      <c r="B111" s="121">
        <v>5.1848742588384202E-3</v>
      </c>
      <c r="C111" s="20">
        <v>9.2773677601251502E-3</v>
      </c>
      <c r="D111" s="20">
        <v>5.2917032022838104E-3</v>
      </c>
    </row>
    <row r="112" spans="1:4" x14ac:dyDescent="0.5">
      <c r="A112" s="56" t="s">
        <v>1475</v>
      </c>
      <c r="B112" s="121">
        <v>5.1038480724671202E-3</v>
      </c>
      <c r="C112" s="20">
        <v>8.2152571790850906E-3</v>
      </c>
      <c r="D112" s="20">
        <v>5.2205509221742996E-3</v>
      </c>
    </row>
    <row r="113" spans="1:4" x14ac:dyDescent="0.5">
      <c r="A113" s="56" t="s">
        <v>1476</v>
      </c>
      <c r="B113" s="121">
        <v>4.3607348202128202E-3</v>
      </c>
      <c r="C113" s="20">
        <v>8.0309027473916099E-3</v>
      </c>
      <c r="D113" s="20">
        <v>4.4615772381153603E-3</v>
      </c>
    </row>
    <row r="114" spans="1:4" x14ac:dyDescent="0.5">
      <c r="A114" s="56" t="s">
        <v>1477</v>
      </c>
      <c r="B114" s="121">
        <v>4.1246004056812403E-3</v>
      </c>
      <c r="C114" s="20">
        <v>7.2343297579596502E-3</v>
      </c>
      <c r="D114" s="20">
        <v>4.2118853137811203E-3</v>
      </c>
    </row>
    <row r="115" spans="1:4" x14ac:dyDescent="0.5">
      <c r="A115" s="56" t="s">
        <v>1478</v>
      </c>
      <c r="B115" s="121">
        <v>3.8190218668361399E-3</v>
      </c>
      <c r="C115" s="20">
        <v>8.1260559454276703E-3</v>
      </c>
      <c r="D115" s="20">
        <v>3.89860592955504E-3</v>
      </c>
    </row>
    <row r="116" spans="1:4" x14ac:dyDescent="0.5">
      <c r="A116" s="56" t="s">
        <v>1479</v>
      </c>
      <c r="B116" s="121">
        <v>3.4927002490794099E-3</v>
      </c>
      <c r="C116" s="20">
        <v>7.9722009837781792E-3</v>
      </c>
      <c r="D116" s="20">
        <v>3.56368505830182E-3</v>
      </c>
    </row>
    <row r="117" spans="1:4" x14ac:dyDescent="0.5">
      <c r="A117" s="56" t="s">
        <v>1480</v>
      </c>
      <c r="B117" s="121">
        <v>3.9070521184629697E-3</v>
      </c>
      <c r="C117" s="20">
        <v>8.1153901901284495E-3</v>
      </c>
      <c r="D117" s="20">
        <v>3.9815130543914496E-3</v>
      </c>
    </row>
    <row r="118" spans="1:4" x14ac:dyDescent="0.5">
      <c r="A118" s="56" t="s">
        <v>1481</v>
      </c>
      <c r="B118" s="121">
        <v>3.4163144111060799E-3</v>
      </c>
      <c r="C118" s="20">
        <v>8.0893680477042498E-3</v>
      </c>
      <c r="D118" s="20">
        <v>3.4837462890484798E-3</v>
      </c>
    </row>
    <row r="119" spans="1:4" x14ac:dyDescent="0.5">
      <c r="A119" s="56" t="s">
        <v>1482</v>
      </c>
      <c r="B119" s="121">
        <v>3.3402660191813498E-3</v>
      </c>
      <c r="C119" s="20">
        <v>7.9335772719429393E-3</v>
      </c>
      <c r="D119" s="20">
        <v>3.4034357410083101E-3</v>
      </c>
    </row>
    <row r="120" spans="1:4" x14ac:dyDescent="0.5">
      <c r="A120" s="56" t="s">
        <v>1483</v>
      </c>
      <c r="B120" s="121">
        <v>3.52828241587177E-3</v>
      </c>
      <c r="C120" s="20">
        <v>7.5233299206896101E-3</v>
      </c>
      <c r="D120" s="20">
        <v>3.59577379036517E-3</v>
      </c>
    </row>
    <row r="121" spans="1:4" x14ac:dyDescent="0.5">
      <c r="A121" s="56" t="s">
        <v>1484</v>
      </c>
      <c r="B121" s="121">
        <v>3.0442794718240902E-3</v>
      </c>
      <c r="C121" s="20">
        <v>6.8057536458644803E-3</v>
      </c>
      <c r="D121" s="20">
        <v>3.1031495055843399E-3</v>
      </c>
    </row>
    <row r="122" spans="1:4" x14ac:dyDescent="0.5">
      <c r="A122" s="56" t="s">
        <v>1485</v>
      </c>
      <c r="B122" s="121">
        <v>2.6438184207067698E-3</v>
      </c>
      <c r="C122" s="20">
        <v>6.0708633943347499E-3</v>
      </c>
      <c r="D122" s="20">
        <v>2.6935259697405001E-3</v>
      </c>
    </row>
    <row r="123" spans="1:4" x14ac:dyDescent="0.5">
      <c r="A123" s="56" t="s">
        <v>1486</v>
      </c>
      <c r="B123" s="121">
        <v>2.86753591826213E-3</v>
      </c>
      <c r="C123" s="20">
        <v>6.6286334859617796E-3</v>
      </c>
      <c r="D123" s="20">
        <v>2.9157419220191502E-3</v>
      </c>
    </row>
    <row r="124" spans="1:4" x14ac:dyDescent="0.5">
      <c r="A124" s="56" t="s">
        <v>1487</v>
      </c>
      <c r="B124" s="121">
        <v>2.64023758528187E-3</v>
      </c>
      <c r="C124" s="20">
        <v>5.8445055254328099E-3</v>
      </c>
      <c r="D124" s="20">
        <v>2.68458369451762E-3</v>
      </c>
    </row>
    <row r="125" spans="1:4" x14ac:dyDescent="0.5">
      <c r="A125" s="56" t="s">
        <v>1488</v>
      </c>
      <c r="B125" s="121">
        <v>2.3933676112630801E-3</v>
      </c>
      <c r="C125" s="20">
        <v>5.2922069463277504E-3</v>
      </c>
      <c r="D125" s="20">
        <v>2.43237841684199E-3</v>
      </c>
    </row>
    <row r="126" spans="1:4" x14ac:dyDescent="0.5">
      <c r="A126" s="56" t="s">
        <v>1489</v>
      </c>
      <c r="B126" s="121">
        <v>2.50266358389178E-3</v>
      </c>
      <c r="C126" s="20">
        <v>5.7105515711644199E-3</v>
      </c>
      <c r="D126" s="20">
        <v>2.5422532370430601E-3</v>
      </c>
    </row>
    <row r="127" spans="1:4" x14ac:dyDescent="0.5">
      <c r="A127" s="56" t="s">
        <v>1490</v>
      </c>
      <c r="B127" s="121">
        <v>2.19427677366821E-3</v>
      </c>
      <c r="C127" s="20">
        <v>5.2684657916257996E-3</v>
      </c>
      <c r="D127" s="20">
        <v>2.2266542395352998E-3</v>
      </c>
    </row>
    <row r="128" spans="1:4" x14ac:dyDescent="0.5">
      <c r="A128" s="56" t="s">
        <v>1491</v>
      </c>
      <c r="B128" s="121">
        <v>1.96115028495848E-3</v>
      </c>
      <c r="C128" s="20">
        <v>4.6622432176469898E-3</v>
      </c>
      <c r="D128" s="20">
        <v>1.9872806861902198E-3</v>
      </c>
    </row>
    <row r="129" spans="1:4" x14ac:dyDescent="0.5">
      <c r="A129" s="56" t="s">
        <v>1492</v>
      </c>
      <c r="B129" s="121">
        <v>2.62662038903775E-3</v>
      </c>
      <c r="C129" s="20">
        <v>5.0204397121051498E-3</v>
      </c>
      <c r="D129" s="20">
        <v>2.6582643235162598E-3</v>
      </c>
    </row>
    <row r="130" spans="1:4" x14ac:dyDescent="0.5">
      <c r="A130" s="56" t="s">
        <v>1493</v>
      </c>
      <c r="B130" s="121">
        <v>2.5251327775139298E-3</v>
      </c>
      <c r="C130" s="20">
        <v>4.8873470648001897E-3</v>
      </c>
      <c r="D130" s="20">
        <v>2.5559128332534502E-3</v>
      </c>
    </row>
    <row r="131" spans="1:4" x14ac:dyDescent="0.5">
      <c r="A131" s="56" t="s">
        <v>1494</v>
      </c>
      <c r="B131" s="121">
        <v>2.2609656584099001E-3</v>
      </c>
      <c r="C131" s="20">
        <v>4.3843276196863503E-3</v>
      </c>
      <c r="D131" s="20">
        <v>2.2884329478724398E-3</v>
      </c>
    </row>
    <row r="132" spans="1:4" x14ac:dyDescent="0.5">
      <c r="A132" s="56" t="s">
        <v>1495</v>
      </c>
      <c r="B132" s="121">
        <v>2.4486390039912798E-3</v>
      </c>
      <c r="C132" s="20">
        <v>4.75822865646574E-3</v>
      </c>
      <c r="D132" s="20">
        <v>2.4789656317107801E-3</v>
      </c>
    </row>
    <row r="133" spans="1:4" x14ac:dyDescent="0.5">
      <c r="A133" s="56" t="s">
        <v>1496</v>
      </c>
      <c r="B133" s="121">
        <v>2.1342138347988501E-3</v>
      </c>
      <c r="C133" s="20">
        <v>4.2256350933896E-3</v>
      </c>
      <c r="D133" s="20">
        <v>2.15835860520852E-3</v>
      </c>
    </row>
    <row r="134" spans="1:4" x14ac:dyDescent="0.5">
      <c r="A134" s="56" t="s">
        <v>1497</v>
      </c>
      <c r="B134" s="121">
        <v>1.8771396574880101E-3</v>
      </c>
      <c r="C134" s="20">
        <v>3.85427836981441E-3</v>
      </c>
      <c r="D134" s="20">
        <v>1.8947959967239099E-3</v>
      </c>
    </row>
    <row r="135" spans="1:4" x14ac:dyDescent="0.5">
      <c r="A135" s="56" t="s">
        <v>1498</v>
      </c>
      <c r="B135" s="121">
        <v>2.27723404556076E-3</v>
      </c>
      <c r="C135" s="20">
        <v>3.65795467363359E-3</v>
      </c>
      <c r="D135" s="20">
        <v>2.29995310289201E-3</v>
      </c>
    </row>
    <row r="136" spans="1:4" x14ac:dyDescent="0.5">
      <c r="A136" s="56" t="s">
        <v>1499</v>
      </c>
      <c r="B136" s="121">
        <v>1.9922792268090299E-3</v>
      </c>
      <c r="C136" s="20">
        <v>3.31814055871187E-3</v>
      </c>
      <c r="D136" s="20">
        <v>2.0094634364875301E-3</v>
      </c>
    </row>
    <row r="137" spans="1:4" x14ac:dyDescent="0.5">
      <c r="A137" s="56" t="s">
        <v>1500</v>
      </c>
      <c r="B137" s="121">
        <v>1.77310019320606E-3</v>
      </c>
      <c r="C137" s="20">
        <v>3.0206299870246698E-3</v>
      </c>
      <c r="D137" s="20">
        <v>1.7842408815872499E-3</v>
      </c>
    </row>
    <row r="138" spans="1:4" x14ac:dyDescent="0.5">
      <c r="A138" s="56" t="s">
        <v>1501</v>
      </c>
      <c r="B138" s="121">
        <v>1.7018919091917699E-3</v>
      </c>
      <c r="C138" s="20">
        <v>2.70595810538853E-3</v>
      </c>
      <c r="D138" s="20">
        <v>1.7094961906754199E-3</v>
      </c>
    </row>
    <row r="139" spans="1:4" x14ac:dyDescent="0.5">
      <c r="A139" s="56" t="s">
        <v>1502</v>
      </c>
      <c r="B139" s="121">
        <v>1.53547718544672E-3</v>
      </c>
      <c r="C139" s="20">
        <v>2.6088143844432399E-3</v>
      </c>
      <c r="D139" s="20">
        <v>1.5378124632435201E-3</v>
      </c>
    </row>
    <row r="140" spans="1:4" x14ac:dyDescent="0.5">
      <c r="A140" s="56" t="s">
        <v>1503</v>
      </c>
      <c r="B140" s="121">
        <v>1.4093493898486901E-3</v>
      </c>
      <c r="C140" s="20">
        <v>2.7731531681710999E-3</v>
      </c>
      <c r="D140" s="20">
        <v>1.40797892128856E-3</v>
      </c>
    </row>
    <row r="141" spans="1:4" x14ac:dyDescent="0.5">
      <c r="A141" s="56" t="s">
        <v>1504</v>
      </c>
      <c r="B141" s="121">
        <v>2.2647590092277699E-3</v>
      </c>
      <c r="C141" s="20">
        <v>3.1731469234531299E-3</v>
      </c>
      <c r="D141" s="20">
        <v>2.2748421006868799E-3</v>
      </c>
    </row>
    <row r="142" spans="1:4" x14ac:dyDescent="0.5">
      <c r="A142" s="56" t="s">
        <v>1505</v>
      </c>
      <c r="B142" s="121">
        <v>1.99788771072791E-3</v>
      </c>
      <c r="C142" s="20">
        <v>3.2023642586220301E-3</v>
      </c>
      <c r="D142" s="20">
        <v>2.00421113469434E-3</v>
      </c>
    </row>
    <row r="143" spans="1:4" x14ac:dyDescent="0.5">
      <c r="A143" s="56" t="s">
        <v>1506</v>
      </c>
      <c r="B143" s="121">
        <v>2.2116295567287101E-3</v>
      </c>
      <c r="C143" s="20">
        <v>3.1688474752941502E-3</v>
      </c>
      <c r="D143" s="20">
        <v>2.2142527615074798E-3</v>
      </c>
    </row>
    <row r="144" spans="1:4" x14ac:dyDescent="0.5">
      <c r="A144" s="56" t="s">
        <v>1507</v>
      </c>
      <c r="B144" s="121">
        <v>3.0968819409302102E-3</v>
      </c>
      <c r="C144" s="20">
        <v>5.5006741542757403E-3</v>
      </c>
      <c r="D144" s="20">
        <v>3.1218659329133799E-3</v>
      </c>
    </row>
    <row r="145" spans="1:4" x14ac:dyDescent="0.5">
      <c r="A145" s="56" t="s">
        <v>1508</v>
      </c>
      <c r="B145" s="121">
        <v>3.13218736639983E-3</v>
      </c>
      <c r="C145" s="20">
        <v>5.9568195254022498E-3</v>
      </c>
      <c r="D145" s="20">
        <v>3.1513071885124898E-3</v>
      </c>
    </row>
    <row r="146" spans="1:4" x14ac:dyDescent="0.5">
      <c r="A146" s="56" t="s">
        <v>1509</v>
      </c>
      <c r="B146" s="121">
        <v>5.6800999396532303E-3</v>
      </c>
      <c r="C146" s="20">
        <v>7.0383723403733799E-3</v>
      </c>
      <c r="D146" s="20">
        <v>5.7151942610670801E-3</v>
      </c>
    </row>
    <row r="147" spans="1:4" x14ac:dyDescent="0.5">
      <c r="A147" s="56" t="s">
        <v>1510</v>
      </c>
      <c r="B147" s="121">
        <v>6.5852495741328398E-3</v>
      </c>
      <c r="C147" s="20">
        <v>6.6578252835364001E-3</v>
      </c>
      <c r="D147" s="20">
        <v>6.60551687513864E-3</v>
      </c>
    </row>
    <row r="148" spans="1:4" x14ac:dyDescent="0.5">
      <c r="A148" s="56" t="s">
        <v>1511</v>
      </c>
      <c r="B148" s="121">
        <v>7.0784213630172097E-3</v>
      </c>
      <c r="C148" s="20">
        <v>5.8723000111633302E-3</v>
      </c>
      <c r="D148" s="20">
        <v>7.0758517102769598E-3</v>
      </c>
    </row>
    <row r="149" spans="1:4" x14ac:dyDescent="0.5">
      <c r="A149" s="56" t="s">
        <v>1512</v>
      </c>
      <c r="B149" s="121">
        <v>6.5735013797771696E-3</v>
      </c>
      <c r="C149" s="20">
        <v>6.4028709936053696E-3</v>
      </c>
      <c r="D149" s="20">
        <v>6.5571310618826699E-3</v>
      </c>
    </row>
    <row r="150" spans="1:4" x14ac:dyDescent="0.5">
      <c r="A150" s="56" t="s">
        <v>1513</v>
      </c>
      <c r="B150" s="121">
        <v>5.5255423226382404E-3</v>
      </c>
      <c r="C150" s="20">
        <v>5.9090853800812604E-3</v>
      </c>
      <c r="D150" s="20">
        <v>5.5202309893186202E-3</v>
      </c>
    </row>
    <row r="151" spans="1:4" x14ac:dyDescent="0.5">
      <c r="A151" s="56" t="s">
        <v>1514</v>
      </c>
      <c r="B151" s="121">
        <v>4.94964321938717E-3</v>
      </c>
      <c r="C151" s="20">
        <v>5.2655017865207302E-3</v>
      </c>
      <c r="D151" s="20">
        <v>4.9729334708602697E-3</v>
      </c>
    </row>
    <row r="152" spans="1:4" x14ac:dyDescent="0.5">
      <c r="A152" s="56" t="s">
        <v>1515</v>
      </c>
      <c r="B152" s="121">
        <v>1.3318403288733601E-2</v>
      </c>
      <c r="C152" s="20">
        <v>9.3099673211418203E-3</v>
      </c>
      <c r="D152" s="20">
        <v>1.3386144796158701E-2</v>
      </c>
    </row>
    <row r="153" spans="1:4" x14ac:dyDescent="0.5">
      <c r="A153" s="56" t="s">
        <v>1516</v>
      </c>
      <c r="B153" s="121">
        <v>1.23431557044822E-2</v>
      </c>
      <c r="C153" s="20">
        <v>1.01566624169293E-2</v>
      </c>
      <c r="D153" s="20">
        <v>1.2546631097389901E-2</v>
      </c>
    </row>
    <row r="154" spans="1:4" x14ac:dyDescent="0.5">
      <c r="A154" s="56" t="s">
        <v>1517</v>
      </c>
      <c r="B154" s="121">
        <v>1.09651564713105E-2</v>
      </c>
      <c r="C154" s="20">
        <v>8.9261875259254199E-3</v>
      </c>
      <c r="D154" s="20">
        <v>1.11129792106431E-2</v>
      </c>
    </row>
    <row r="155" spans="1:4" x14ac:dyDescent="0.5">
      <c r="A155" s="56" t="s">
        <v>1518</v>
      </c>
      <c r="B155" s="121">
        <v>1.49671562519371E-2</v>
      </c>
      <c r="C155" s="20">
        <v>1.00926694790504E-2</v>
      </c>
      <c r="D155" s="20">
        <v>1.53360957973405E-2</v>
      </c>
    </row>
    <row r="156" spans="1:4" x14ac:dyDescent="0.5">
      <c r="A156" s="56" t="s">
        <v>1519</v>
      </c>
      <c r="B156" s="121">
        <v>1.2486824298329801E-2</v>
      </c>
      <c r="C156" s="20">
        <v>8.8716439020335401E-3</v>
      </c>
      <c r="D156" s="20">
        <v>1.2852736392657301E-2</v>
      </c>
    </row>
    <row r="157" spans="1:4" x14ac:dyDescent="0.5">
      <c r="A157" s="56" t="s">
        <v>1520</v>
      </c>
      <c r="B157" s="121">
        <v>1.09057750856562E-2</v>
      </c>
      <c r="C157" s="20">
        <v>8.3568027532762695E-3</v>
      </c>
      <c r="D157" s="20">
        <v>1.11999170781617E-2</v>
      </c>
    </row>
    <row r="158" spans="1:4" x14ac:dyDescent="0.5">
      <c r="A158" s="56" t="s">
        <v>1521</v>
      </c>
      <c r="B158" s="121">
        <v>9.1261518781401499E-3</v>
      </c>
      <c r="C158" s="20">
        <v>7.3547289735831304E-3</v>
      </c>
      <c r="D158" s="20">
        <v>9.38310457787438E-3</v>
      </c>
    </row>
    <row r="159" spans="1:4" x14ac:dyDescent="0.5">
      <c r="A159" s="56" t="s">
        <v>1522</v>
      </c>
      <c r="B159" s="121">
        <v>7.8894024137515905E-3</v>
      </c>
      <c r="C159" s="20">
        <v>9.3925791093204605E-3</v>
      </c>
      <c r="D159" s="20">
        <v>8.1470479445707004E-3</v>
      </c>
    </row>
    <row r="160" spans="1:4" x14ac:dyDescent="0.5">
      <c r="A160" s="56" t="s">
        <v>1523</v>
      </c>
      <c r="B160" s="121">
        <v>6.97859074138553E-3</v>
      </c>
      <c r="C160" s="20">
        <v>8.9242327505473801E-3</v>
      </c>
      <c r="D160" s="20">
        <v>7.1921797898573704E-3</v>
      </c>
    </row>
    <row r="161" spans="1:4" x14ac:dyDescent="0.5">
      <c r="A161" s="56" t="s">
        <v>1524</v>
      </c>
      <c r="B161" s="121">
        <v>5.8816571740770499E-3</v>
      </c>
      <c r="C161" s="20">
        <v>7.9031625963225903E-3</v>
      </c>
      <c r="D161" s="20">
        <v>6.0763970597675901E-3</v>
      </c>
    </row>
    <row r="162" spans="1:4" x14ac:dyDescent="0.5">
      <c r="A162" s="56" t="s">
        <v>1525</v>
      </c>
      <c r="B162" s="121">
        <v>5.9479218467944099E-3</v>
      </c>
      <c r="C162" s="20">
        <v>6.9574876796236699E-3</v>
      </c>
      <c r="D162" s="20">
        <v>6.1090952965991699E-3</v>
      </c>
    </row>
    <row r="163" spans="1:4" x14ac:dyDescent="0.5">
      <c r="A163" s="56" t="s">
        <v>1526</v>
      </c>
      <c r="B163" s="121">
        <v>5.0462941067223304E-3</v>
      </c>
      <c r="C163" s="20">
        <v>6.6012509915630803E-3</v>
      </c>
      <c r="D163" s="20">
        <v>5.1935820661762498E-3</v>
      </c>
    </row>
    <row r="164" spans="1:4" x14ac:dyDescent="0.5">
      <c r="A164" s="56" t="s">
        <v>1527</v>
      </c>
      <c r="B164" s="121">
        <v>7.2312762568802003E-3</v>
      </c>
      <c r="C164" s="20">
        <v>8.2258749658620303E-3</v>
      </c>
      <c r="D164" s="20">
        <v>7.3649942155664897E-3</v>
      </c>
    </row>
    <row r="165" spans="1:4" x14ac:dyDescent="0.5">
      <c r="A165" s="56" t="s">
        <v>1528</v>
      </c>
      <c r="B165" s="121">
        <v>6.1550115085570499E-3</v>
      </c>
      <c r="C165" s="20">
        <v>7.2575055445354203E-3</v>
      </c>
      <c r="D165" s="20">
        <v>6.2699759895513902E-3</v>
      </c>
    </row>
    <row r="166" spans="1:4" x14ac:dyDescent="0.5">
      <c r="A166" s="56" t="s">
        <v>1529</v>
      </c>
      <c r="B166" s="121">
        <v>5.5175025115525899E-3</v>
      </c>
      <c r="C166" s="20">
        <v>6.6867614061144904E-3</v>
      </c>
      <c r="D166" s="20">
        <v>5.6440893205844797E-3</v>
      </c>
    </row>
    <row r="167" spans="1:4" x14ac:dyDescent="0.5">
      <c r="A167" s="56" t="s">
        <v>1530</v>
      </c>
      <c r="B167" s="121">
        <v>5.4830910549508597E-3</v>
      </c>
      <c r="C167" s="20">
        <v>6.2181001683973497E-3</v>
      </c>
      <c r="D167" s="20">
        <v>5.58911697608107E-3</v>
      </c>
    </row>
    <row r="168" spans="1:4" x14ac:dyDescent="0.5">
      <c r="A168" s="56" t="s">
        <v>1531</v>
      </c>
      <c r="B168" s="121">
        <v>5.6894820383165904E-3</v>
      </c>
      <c r="C168" s="20">
        <v>6.7338496034616497E-3</v>
      </c>
      <c r="D168" s="20">
        <v>5.8232638591371498E-3</v>
      </c>
    </row>
    <row r="169" spans="1:4" x14ac:dyDescent="0.5">
      <c r="A169" s="56" t="s">
        <v>1532</v>
      </c>
      <c r="B169" s="121">
        <v>5.7122342556087703E-3</v>
      </c>
      <c r="C169" s="20">
        <v>6.5750873659045396E-3</v>
      </c>
      <c r="D169" s="20">
        <v>5.8240258607032396E-3</v>
      </c>
    </row>
    <row r="170" spans="1:4" x14ac:dyDescent="0.5">
      <c r="A170" s="56" t="s">
        <v>1533</v>
      </c>
      <c r="B170" s="121">
        <v>7.5940341076296504E-3</v>
      </c>
      <c r="C170" s="20">
        <v>5.8865924222266802E-3</v>
      </c>
      <c r="D170" s="20">
        <v>7.7607816325419698E-3</v>
      </c>
    </row>
    <row r="171" spans="1:4" x14ac:dyDescent="0.5">
      <c r="A171" s="56" t="s">
        <v>1534</v>
      </c>
      <c r="B171" s="121">
        <v>6.5477729666301799E-3</v>
      </c>
      <c r="C171" s="20">
        <v>5.1954714010978703E-3</v>
      </c>
      <c r="D171" s="20">
        <v>6.6850359160333999E-3</v>
      </c>
    </row>
    <row r="172" spans="1:4" x14ac:dyDescent="0.5">
      <c r="A172" s="56" t="s">
        <v>1535</v>
      </c>
      <c r="B172" s="121">
        <v>5.9994664304262799E-3</v>
      </c>
      <c r="C172" s="20">
        <v>4.6651752304528102E-3</v>
      </c>
      <c r="D172" s="20">
        <v>6.1093323688213002E-3</v>
      </c>
    </row>
    <row r="173" spans="1:4" x14ac:dyDescent="0.5">
      <c r="A173" s="56" t="s">
        <v>1536</v>
      </c>
      <c r="B173" s="121">
        <v>5.0507627848467096E-3</v>
      </c>
      <c r="C173" s="20">
        <v>4.1600620521275999E-3</v>
      </c>
      <c r="D173" s="20">
        <v>5.1530153892993197E-3</v>
      </c>
    </row>
    <row r="174" spans="1:4" x14ac:dyDescent="0.5">
      <c r="A174" s="56" t="s">
        <v>1537</v>
      </c>
      <c r="B174" s="121">
        <v>4.6097394714408697E-3</v>
      </c>
      <c r="C174" s="20">
        <v>3.68732655097257E-3</v>
      </c>
      <c r="D174" s="20">
        <v>4.69220613949303E-3</v>
      </c>
    </row>
    <row r="175" spans="1:4" x14ac:dyDescent="0.5">
      <c r="A175" s="56" t="s">
        <v>1538</v>
      </c>
      <c r="B175" s="121">
        <v>3.9064409020166998E-3</v>
      </c>
      <c r="C175" s="20">
        <v>3.31025242190644E-3</v>
      </c>
      <c r="D175" s="20">
        <v>3.9793009463461202E-3</v>
      </c>
    </row>
    <row r="176" spans="1:4" x14ac:dyDescent="0.5">
      <c r="A176" s="56" t="s">
        <v>1539</v>
      </c>
      <c r="B176" s="121">
        <v>3.3282546213491398E-3</v>
      </c>
      <c r="C176" s="20">
        <v>2.94462373699368E-3</v>
      </c>
      <c r="D176" s="20">
        <v>3.3912738019707001E-3</v>
      </c>
    </row>
    <row r="177" spans="1:4" x14ac:dyDescent="0.5">
      <c r="A177" s="56" t="s">
        <v>1540</v>
      </c>
      <c r="B177" s="121">
        <v>2.88114579467334E-3</v>
      </c>
      <c r="C177" s="20">
        <v>2.6531973820922701E-3</v>
      </c>
      <c r="D177" s="20">
        <v>2.9335269308804102E-3</v>
      </c>
    </row>
    <row r="178" spans="1:4" x14ac:dyDescent="0.5">
      <c r="A178" s="56" t="s">
        <v>1541</v>
      </c>
      <c r="B178" s="121">
        <v>9.8785669309688802E-3</v>
      </c>
      <c r="C178" s="20">
        <v>6.7427339265491498E-3</v>
      </c>
      <c r="D178" s="20">
        <v>1.0003598798239199E-2</v>
      </c>
    </row>
    <row r="179" spans="1:4" x14ac:dyDescent="0.5">
      <c r="A179" s="56" t="s">
        <v>1542</v>
      </c>
      <c r="B179" s="121">
        <v>8.5217020291819996E-3</v>
      </c>
      <c r="C179" s="20">
        <v>7.9509619026329192E-3</v>
      </c>
      <c r="D179" s="20">
        <v>8.6814194821361306E-3</v>
      </c>
    </row>
    <row r="180" spans="1:4" x14ac:dyDescent="0.5">
      <c r="A180" s="56" t="s">
        <v>1543</v>
      </c>
      <c r="B180" s="121">
        <v>7.1199901123516797E-3</v>
      </c>
      <c r="C180" s="20">
        <v>7.0060858921032797E-3</v>
      </c>
      <c r="D180" s="20">
        <v>7.27237679321818E-3</v>
      </c>
    </row>
    <row r="181" spans="1:4" x14ac:dyDescent="0.5">
      <c r="A181" s="56" t="s">
        <v>1544</v>
      </c>
      <c r="B181" s="121">
        <v>5.9800841222811601E-3</v>
      </c>
      <c r="C181" s="20">
        <v>6.2277307895491699E-3</v>
      </c>
      <c r="D181" s="20">
        <v>6.1233619552938101E-3</v>
      </c>
    </row>
    <row r="182" spans="1:4" x14ac:dyDescent="0.5">
      <c r="A182" s="56" t="s">
        <v>1545</v>
      </c>
      <c r="B182" s="121">
        <v>5.0394562737017699E-3</v>
      </c>
      <c r="C182" s="20">
        <v>5.6097235058360602E-3</v>
      </c>
      <c r="D182" s="20">
        <v>5.1651191984146798E-3</v>
      </c>
    </row>
    <row r="183" spans="1:4" x14ac:dyDescent="0.5">
      <c r="A183" s="56" t="s">
        <v>1546</v>
      </c>
      <c r="B183" s="121">
        <v>4.3343020958493501E-3</v>
      </c>
      <c r="C183" s="20">
        <v>4.9984770490114697E-3</v>
      </c>
      <c r="D183" s="20">
        <v>4.4506047541992199E-3</v>
      </c>
    </row>
    <row r="184" spans="1:4" x14ac:dyDescent="0.5">
      <c r="A184" s="56" t="s">
        <v>1547</v>
      </c>
      <c r="B184" s="121">
        <v>3.9647503054091896E-3</v>
      </c>
      <c r="C184" s="20">
        <v>6.2327187335614103E-3</v>
      </c>
      <c r="D184" s="20">
        <v>4.0616148271815202E-3</v>
      </c>
    </row>
    <row r="185" spans="1:4" x14ac:dyDescent="0.5">
      <c r="A185" s="56" t="s">
        <v>1548</v>
      </c>
      <c r="B185" s="121">
        <v>3.3987040734624399E-3</v>
      </c>
      <c r="C185" s="20">
        <v>5.4989900836152098E-3</v>
      </c>
      <c r="D185" s="20">
        <v>3.48066724649841E-3</v>
      </c>
    </row>
    <row r="186" spans="1:4" x14ac:dyDescent="0.5">
      <c r="A186" s="56" t="s">
        <v>1549</v>
      </c>
      <c r="B186" s="121">
        <v>3.35334318847288E-3</v>
      </c>
      <c r="C186" s="20">
        <v>4.8961957523523201E-3</v>
      </c>
      <c r="D186" s="20">
        <v>3.42571540994995E-3</v>
      </c>
    </row>
    <row r="187" spans="1:4" x14ac:dyDescent="0.5">
      <c r="A187" s="56" t="s">
        <v>1550</v>
      </c>
      <c r="B187" s="121">
        <v>2.91650012387891E-3</v>
      </c>
      <c r="C187" s="20">
        <v>4.4478180732891301E-3</v>
      </c>
      <c r="D187" s="20">
        <v>2.97749868274044E-3</v>
      </c>
    </row>
    <row r="188" spans="1:4" x14ac:dyDescent="0.5">
      <c r="A188" s="56" t="s">
        <v>1551</v>
      </c>
      <c r="B188" s="121">
        <v>2.5170987296997301E-3</v>
      </c>
      <c r="C188" s="20">
        <v>4.0859503368228601E-3</v>
      </c>
      <c r="D188" s="20">
        <v>2.5673342618180001E-3</v>
      </c>
    </row>
    <row r="189" spans="1:4" x14ac:dyDescent="0.5">
      <c r="A189" s="56" t="s">
        <v>1552</v>
      </c>
      <c r="B189" s="121">
        <v>2.8325489697697101E-3</v>
      </c>
      <c r="C189" s="20">
        <v>4.5418873833639496E-3</v>
      </c>
      <c r="D189" s="20">
        <v>2.8815440474375099E-3</v>
      </c>
    </row>
    <row r="190" spans="1:4" x14ac:dyDescent="0.5">
      <c r="A190" s="56" t="s">
        <v>1553</v>
      </c>
      <c r="B190" s="121">
        <v>2.4535703345158299E-3</v>
      </c>
      <c r="C190" s="20">
        <v>4.2173643986712899E-3</v>
      </c>
      <c r="D190" s="20">
        <v>2.4942025663553099E-3</v>
      </c>
    </row>
    <row r="191" spans="1:4" x14ac:dyDescent="0.5">
      <c r="A191" s="56" t="s">
        <v>1554</v>
      </c>
      <c r="B191" s="121">
        <v>2.4358301362543198E-3</v>
      </c>
      <c r="C191" s="20">
        <v>3.7668713894513902E-3</v>
      </c>
      <c r="D191" s="20">
        <v>2.4714253216359299E-3</v>
      </c>
    </row>
    <row r="192" spans="1:4" x14ac:dyDescent="0.5">
      <c r="A192" s="56" t="s">
        <v>1555</v>
      </c>
      <c r="B192" s="121">
        <v>2.4232127473013901E-3</v>
      </c>
      <c r="C192" s="20">
        <v>3.5638251372755799E-3</v>
      </c>
      <c r="D192" s="20">
        <v>2.4551491015252802E-3</v>
      </c>
    </row>
    <row r="193" spans="1:4" x14ac:dyDescent="0.5">
      <c r="A193" s="56" t="s">
        <v>1556</v>
      </c>
      <c r="B193" s="121">
        <v>2.1189509408736499E-3</v>
      </c>
      <c r="C193" s="20">
        <v>3.2434432074128498E-3</v>
      </c>
      <c r="D193" s="20">
        <v>2.1440194592468702E-3</v>
      </c>
    </row>
    <row r="194" spans="1:4" x14ac:dyDescent="0.5">
      <c r="A194" s="56" t="s">
        <v>1557</v>
      </c>
      <c r="B194" s="121">
        <v>1.8897210533051301E-3</v>
      </c>
      <c r="C194" s="20">
        <v>3.0201590604239498E-3</v>
      </c>
      <c r="D194" s="20">
        <v>1.9088309257925199E-3</v>
      </c>
    </row>
    <row r="195" spans="1:4" x14ac:dyDescent="0.5">
      <c r="A195" s="56" t="s">
        <v>1558</v>
      </c>
      <c r="B195" s="121">
        <v>2.36204607244862E-3</v>
      </c>
      <c r="C195" s="20">
        <v>3.58475353527212E-3</v>
      </c>
      <c r="D195" s="20">
        <v>2.3863636459335101E-3</v>
      </c>
    </row>
    <row r="196" spans="1:4" x14ac:dyDescent="0.5">
      <c r="A196" s="56" t="s">
        <v>1559</v>
      </c>
      <c r="B196" s="121">
        <v>2.2385738701726598E-3</v>
      </c>
      <c r="C196" s="20">
        <v>3.7501161211885401E-3</v>
      </c>
      <c r="D196" s="20">
        <v>2.2610995699925301E-3</v>
      </c>
    </row>
    <row r="197" spans="1:4" x14ac:dyDescent="0.5">
      <c r="A197" s="56" t="s">
        <v>1560</v>
      </c>
      <c r="B197" s="121">
        <v>2.2720127404189799E-3</v>
      </c>
      <c r="C197" s="20">
        <v>3.9406549127510397E-3</v>
      </c>
      <c r="D197" s="20">
        <v>2.29382313197701E-3</v>
      </c>
    </row>
    <row r="198" spans="1:4" x14ac:dyDescent="0.5">
      <c r="A198" s="56" t="s">
        <v>1561</v>
      </c>
      <c r="B198" s="121">
        <v>1.9918779293200801E-3</v>
      </c>
      <c r="C198" s="20">
        <v>3.5246339131087602E-3</v>
      </c>
      <c r="D198" s="20">
        <v>2.00885319881608E-3</v>
      </c>
    </row>
    <row r="199" spans="1:4" x14ac:dyDescent="0.5">
      <c r="A199" s="56" t="s">
        <v>1562</v>
      </c>
      <c r="B199" s="121">
        <v>1.8307481184490499E-3</v>
      </c>
      <c r="C199" s="20">
        <v>3.3166569446899802E-3</v>
      </c>
      <c r="D199" s="20">
        <v>1.8423061527845E-3</v>
      </c>
    </row>
    <row r="200" spans="1:4" x14ac:dyDescent="0.5">
      <c r="A200" s="56" t="s">
        <v>1563</v>
      </c>
      <c r="B200" s="121">
        <v>2.3101084004279E-3</v>
      </c>
      <c r="C200" s="20">
        <v>4.2836880622216904E-3</v>
      </c>
      <c r="D200" s="20">
        <v>2.3205070798748002E-3</v>
      </c>
    </row>
    <row r="201" spans="1:4" x14ac:dyDescent="0.5">
      <c r="A201" s="56" t="s">
        <v>1564</v>
      </c>
      <c r="B201" s="121">
        <v>2.3285528475073102E-3</v>
      </c>
      <c r="C201" s="20">
        <v>4.0838894431795801E-3</v>
      </c>
      <c r="D201" s="20">
        <v>2.3350119000227301E-3</v>
      </c>
    </row>
    <row r="202" spans="1:4" x14ac:dyDescent="0.5">
      <c r="A202" s="56" t="s">
        <v>1565</v>
      </c>
      <c r="B202" s="121">
        <v>2.66691779558627E-3</v>
      </c>
      <c r="C202" s="20">
        <v>4.41966398326968E-3</v>
      </c>
      <c r="D202" s="20">
        <v>2.6835754493457101E-3</v>
      </c>
    </row>
    <row r="203" spans="1:4" x14ac:dyDescent="0.5">
      <c r="A203" s="56" t="s">
        <v>1566</v>
      </c>
      <c r="B203" s="121">
        <v>2.3272334756846802E-3</v>
      </c>
      <c r="C203" s="20">
        <v>3.9149973110858098E-3</v>
      </c>
      <c r="D203" s="20">
        <v>2.3422256812018001E-3</v>
      </c>
    </row>
    <row r="204" spans="1:4" x14ac:dyDescent="0.5">
      <c r="A204" s="56" t="s">
        <v>1567</v>
      </c>
      <c r="B204" s="121">
        <v>2.1065297552605999E-3</v>
      </c>
      <c r="C204" s="20">
        <v>3.4748484480768699E-3</v>
      </c>
      <c r="D204" s="20">
        <v>2.12101748532998E-3</v>
      </c>
    </row>
    <row r="205" spans="1:4" x14ac:dyDescent="0.5">
      <c r="A205" s="56" t="s">
        <v>1568</v>
      </c>
      <c r="B205" s="121">
        <v>1.8575475371476E-3</v>
      </c>
      <c r="C205" s="20">
        <v>3.0910407131475499E-3</v>
      </c>
      <c r="D205" s="20">
        <v>1.8680008496969899E-3</v>
      </c>
    </row>
    <row r="206" spans="1:4" x14ac:dyDescent="0.5">
      <c r="A206" s="56" t="s">
        <v>1569</v>
      </c>
      <c r="B206" s="121">
        <v>1.70285978700368E-3</v>
      </c>
      <c r="C206" s="20">
        <v>2.9170743926012301E-3</v>
      </c>
      <c r="D206" s="20">
        <v>1.7102582588310201E-3</v>
      </c>
    </row>
    <row r="207" spans="1:4" x14ac:dyDescent="0.5">
      <c r="A207" s="56" t="s">
        <v>1570</v>
      </c>
      <c r="B207" s="121">
        <v>1.9853851227317099E-3</v>
      </c>
      <c r="C207" s="20">
        <v>4.37040125580137E-3</v>
      </c>
      <c r="D207" s="20">
        <v>1.9983543527848902E-3</v>
      </c>
    </row>
    <row r="208" spans="1:4" x14ac:dyDescent="0.5">
      <c r="A208" s="56" t="s">
        <v>1571</v>
      </c>
      <c r="B208" s="121">
        <v>1.76457492914575E-3</v>
      </c>
      <c r="C208" s="20">
        <v>3.8826182901994899E-3</v>
      </c>
      <c r="D208" s="20">
        <v>1.77201947639395E-3</v>
      </c>
    </row>
    <row r="209" spans="1:4" x14ac:dyDescent="0.5">
      <c r="A209" s="56" t="s">
        <v>1572</v>
      </c>
      <c r="B209" s="121">
        <v>1.8553306895102201E-3</v>
      </c>
      <c r="C209" s="20">
        <v>3.5074975203471899E-3</v>
      </c>
      <c r="D209" s="20">
        <v>1.86537390192405E-3</v>
      </c>
    </row>
    <row r="210" spans="1:4" x14ac:dyDescent="0.5">
      <c r="A210" s="56" t="s">
        <v>1573</v>
      </c>
      <c r="B210" s="121">
        <v>2.1998492621222998E-3</v>
      </c>
      <c r="C210" s="20">
        <v>4.49050714402061E-3</v>
      </c>
      <c r="D210" s="20">
        <v>2.21631689265985E-3</v>
      </c>
    </row>
    <row r="211" spans="1:4" x14ac:dyDescent="0.5">
      <c r="A211" s="56" t="s">
        <v>1574</v>
      </c>
      <c r="B211" s="121">
        <v>2.2401706032001102E-3</v>
      </c>
      <c r="C211" s="20">
        <v>4.3909457089102797E-3</v>
      </c>
      <c r="D211" s="20">
        <v>2.2591548392116201E-3</v>
      </c>
    </row>
    <row r="212" spans="1:4" x14ac:dyDescent="0.5">
      <c r="A212" s="56" t="s">
        <v>1575</v>
      </c>
      <c r="B212" s="121">
        <v>2.2230858530761502E-3</v>
      </c>
      <c r="C212" s="20">
        <v>3.9975555224203204E-3</v>
      </c>
      <c r="D212" s="20">
        <v>2.24588543272529E-3</v>
      </c>
    </row>
    <row r="213" spans="1:4" x14ac:dyDescent="0.5">
      <c r="A213" s="56" t="s">
        <v>1576</v>
      </c>
      <c r="B213" s="121">
        <v>1.94978352998277E-3</v>
      </c>
      <c r="C213" s="20">
        <v>3.6413214030410002E-3</v>
      </c>
      <c r="D213" s="20">
        <v>1.9661416367320801E-3</v>
      </c>
    </row>
    <row r="214" spans="1:4" x14ac:dyDescent="0.5">
      <c r="A214" s="56" t="s">
        <v>1577</v>
      </c>
      <c r="B214" s="121">
        <v>2.00630862353043E-3</v>
      </c>
      <c r="C214" s="20">
        <v>3.3092013322199398E-3</v>
      </c>
      <c r="D214" s="20">
        <v>2.0230885194229102E-3</v>
      </c>
    </row>
    <row r="215" spans="1:4" x14ac:dyDescent="0.5">
      <c r="A215" s="56" t="s">
        <v>1578</v>
      </c>
      <c r="B215" s="121">
        <v>1.79237944688146E-3</v>
      </c>
      <c r="C215" s="20">
        <v>3.1708338512745401E-3</v>
      </c>
      <c r="D215" s="20">
        <v>1.80544396780743E-3</v>
      </c>
    </row>
    <row r="216" spans="1:4" x14ac:dyDescent="0.5">
      <c r="A216" s="56" t="s">
        <v>1579</v>
      </c>
      <c r="B216" s="121">
        <v>2.0605329374581501E-3</v>
      </c>
      <c r="C216" s="20">
        <v>2.8237886758816799E-3</v>
      </c>
      <c r="D216" s="20">
        <v>2.06804533437759E-3</v>
      </c>
    </row>
    <row r="217" spans="1:4" x14ac:dyDescent="0.5">
      <c r="A217" s="56" t="s">
        <v>1580</v>
      </c>
      <c r="B217" s="121">
        <v>1.8215303034555101E-3</v>
      </c>
      <c r="C217" s="20">
        <v>2.5208237065984301E-3</v>
      </c>
      <c r="D217" s="20">
        <v>1.8264964512106801E-3</v>
      </c>
    </row>
    <row r="218" spans="1:4" x14ac:dyDescent="0.5">
      <c r="A218" s="56" t="s">
        <v>1581</v>
      </c>
      <c r="B218" s="121">
        <v>1.6601423520795199E-3</v>
      </c>
      <c r="C218" s="20">
        <v>2.3264161428313201E-3</v>
      </c>
      <c r="D218" s="20">
        <v>1.66315945899604E-3</v>
      </c>
    </row>
    <row r="219" spans="1:4" x14ac:dyDescent="0.5">
      <c r="A219" s="56" t="s">
        <v>1582</v>
      </c>
      <c r="B219" s="121">
        <v>1.52559903926962E-3</v>
      </c>
      <c r="C219" s="20">
        <v>2.08527111970016E-3</v>
      </c>
      <c r="D219" s="20">
        <v>1.5236831690297601E-3</v>
      </c>
    </row>
    <row r="220" spans="1:4" x14ac:dyDescent="0.5">
      <c r="A220" s="56" t="s">
        <v>1583</v>
      </c>
      <c r="B220" s="121">
        <v>2.04521694126801E-3</v>
      </c>
      <c r="C220" s="20">
        <v>2.60616311141308E-3</v>
      </c>
      <c r="D220" s="20">
        <v>2.04228273846069E-3</v>
      </c>
    </row>
    <row r="221" spans="1:4" x14ac:dyDescent="0.5">
      <c r="A221" s="56" t="s">
        <v>1584</v>
      </c>
      <c r="B221" s="121">
        <v>2.16180616794226E-3</v>
      </c>
      <c r="C221" s="20">
        <v>2.6088700690494598E-3</v>
      </c>
      <c r="D221" s="20">
        <v>2.1683011861921599E-3</v>
      </c>
    </row>
    <row r="222" spans="1:4" x14ac:dyDescent="0.5">
      <c r="A222" s="56" t="s">
        <v>1585</v>
      </c>
      <c r="B222" s="121">
        <v>1.9039869527708599E-3</v>
      </c>
      <c r="C222" s="20">
        <v>2.3333820450059002E-3</v>
      </c>
      <c r="D222" s="20">
        <v>1.90841549872362E-3</v>
      </c>
    </row>
    <row r="223" spans="1:4" x14ac:dyDescent="0.5">
      <c r="A223" s="56" t="s">
        <v>1586</v>
      </c>
      <c r="B223" s="121">
        <v>1.6857426121896801E-3</v>
      </c>
      <c r="C223" s="20">
        <v>2.1058180140295299E-3</v>
      </c>
      <c r="D223" s="20">
        <v>1.686134501894E-3</v>
      </c>
    </row>
    <row r="224" spans="1:4" x14ac:dyDescent="0.5">
      <c r="A224" s="56" t="s">
        <v>1587</v>
      </c>
      <c r="B224" s="121">
        <v>1.5232897600489801E-3</v>
      </c>
      <c r="C224" s="20">
        <v>1.89440113675529E-3</v>
      </c>
      <c r="D224" s="20">
        <v>1.5213850020314901E-3</v>
      </c>
    </row>
    <row r="225" spans="1:4" x14ac:dyDescent="0.5">
      <c r="A225" s="56" t="s">
        <v>1588</v>
      </c>
      <c r="B225" s="121">
        <v>1.4077120220902599E-3</v>
      </c>
      <c r="C225" s="20">
        <v>1.7294038867021E-3</v>
      </c>
      <c r="D225" s="20">
        <v>1.4015281231338501E-3</v>
      </c>
    </row>
    <row r="226" spans="1:4" x14ac:dyDescent="0.5">
      <c r="A226" s="56" t="s">
        <v>1589</v>
      </c>
      <c r="B226" s="121">
        <v>1.5230236584587401E-3</v>
      </c>
      <c r="C226" s="20">
        <v>1.62935858781836E-3</v>
      </c>
      <c r="D226" s="20">
        <v>1.5212320526626999E-3</v>
      </c>
    </row>
    <row r="227" spans="1:4" x14ac:dyDescent="0.5">
      <c r="A227" s="56" t="s">
        <v>1590</v>
      </c>
      <c r="B227" s="121">
        <v>1.6602772099186E-3</v>
      </c>
      <c r="C227" s="20">
        <v>1.71630633324016E-3</v>
      </c>
      <c r="D227" s="20">
        <v>1.6612563278177799E-3</v>
      </c>
    </row>
    <row r="228" spans="1:4" x14ac:dyDescent="0.5">
      <c r="A228" s="56" t="s">
        <v>1591</v>
      </c>
      <c r="B228" s="121">
        <v>1.5751245267285399E-3</v>
      </c>
      <c r="C228" s="20">
        <v>1.55217814672653E-3</v>
      </c>
      <c r="D228" s="20">
        <v>1.5708353227045801E-3</v>
      </c>
    </row>
    <row r="229" spans="1:4" x14ac:dyDescent="0.5">
      <c r="A229" s="56" t="s">
        <v>1592</v>
      </c>
      <c r="B229" s="121">
        <v>1.42333867428061E-3</v>
      </c>
      <c r="C229" s="20">
        <v>1.50951656423788E-3</v>
      </c>
      <c r="D229" s="20">
        <v>1.41678368098217E-3</v>
      </c>
    </row>
    <row r="230" spans="1:4" x14ac:dyDescent="0.5">
      <c r="A230" s="56" t="s">
        <v>1593</v>
      </c>
      <c r="B230" s="121">
        <v>1.29612865992387E-3</v>
      </c>
      <c r="C230" s="20">
        <v>1.41219911810218E-3</v>
      </c>
      <c r="D230" s="20">
        <v>1.28595576405608E-3</v>
      </c>
    </row>
    <row r="231" spans="1:4" x14ac:dyDescent="0.5">
      <c r="A231" s="56" t="s">
        <v>1594</v>
      </c>
      <c r="B231" s="121">
        <v>1.1867802616557499E-3</v>
      </c>
      <c r="C231" s="20">
        <v>1.2951896768619001E-3</v>
      </c>
      <c r="D231" s="20">
        <v>1.1733051270418899E-3</v>
      </c>
    </row>
    <row r="232" spans="1:4" x14ac:dyDescent="0.5">
      <c r="A232" s="56" t="s">
        <v>1595</v>
      </c>
      <c r="B232" s="121">
        <v>1.1023148637258099E-3</v>
      </c>
      <c r="C232" s="20">
        <v>1.21589675954234E-3</v>
      </c>
      <c r="D232" s="20">
        <v>1.0864181219409101E-3</v>
      </c>
    </row>
    <row r="233" spans="1:4" x14ac:dyDescent="0.5">
      <c r="A233" s="56" t="s">
        <v>1596</v>
      </c>
      <c r="B233" s="121">
        <v>1.15632199109773E-3</v>
      </c>
      <c r="C233" s="20">
        <v>1.1980847752297E-3</v>
      </c>
      <c r="D233" s="20">
        <v>1.1407666819509301E-3</v>
      </c>
    </row>
    <row r="234" spans="1:4" x14ac:dyDescent="0.5">
      <c r="A234" s="56" t="s">
        <v>1597</v>
      </c>
      <c r="B234" s="121">
        <v>1.08293693416738E-3</v>
      </c>
      <c r="C234" s="20">
        <v>1.3173123694295301E-3</v>
      </c>
      <c r="D234" s="20">
        <v>1.06573513496605E-3</v>
      </c>
    </row>
    <row r="235" spans="1:4" x14ac:dyDescent="0.5">
      <c r="A235" s="56" t="s">
        <v>1598</v>
      </c>
      <c r="B235" s="121">
        <v>1.5203161946050899E-3</v>
      </c>
      <c r="C235" s="20">
        <v>1.6511464607865899E-3</v>
      </c>
      <c r="D235" s="20">
        <v>1.5070790241236199E-3</v>
      </c>
    </row>
    <row r="236" spans="1:4" x14ac:dyDescent="0.5">
      <c r="A236" s="56" t="s">
        <v>1599</v>
      </c>
      <c r="B236" s="121">
        <v>1.7018995842844999E-3</v>
      </c>
      <c r="C236" s="20">
        <v>1.6699453464956301E-3</v>
      </c>
      <c r="D236" s="20">
        <v>1.6867233076012301E-3</v>
      </c>
    </row>
    <row r="237" spans="1:4" x14ac:dyDescent="0.5">
      <c r="A237" s="56" t="s">
        <v>1600</v>
      </c>
      <c r="B237" s="121">
        <v>2.4001078473536298E-3</v>
      </c>
      <c r="C237" s="20">
        <v>2.60538347320367E-3</v>
      </c>
      <c r="D237" s="20">
        <v>2.4023008884790499E-3</v>
      </c>
    </row>
    <row r="238" spans="1:4" x14ac:dyDescent="0.5">
      <c r="A238" s="56" t="s">
        <v>1601</v>
      </c>
      <c r="B238" s="121">
        <v>2.10390750619751E-3</v>
      </c>
      <c r="C238" s="20">
        <v>2.3407086806918201E-3</v>
      </c>
      <c r="D238" s="20">
        <v>2.10578573413329E-3</v>
      </c>
    </row>
    <row r="239" spans="1:4" x14ac:dyDescent="0.5">
      <c r="A239" s="56" t="s">
        <v>1602</v>
      </c>
      <c r="B239" s="121">
        <v>1.8590371599426299E-3</v>
      </c>
      <c r="C239" s="20">
        <v>2.4822298996428202E-3</v>
      </c>
      <c r="D239" s="20">
        <v>1.8573957164041499E-3</v>
      </c>
    </row>
    <row r="240" spans="1:4" x14ac:dyDescent="0.5">
      <c r="A240" s="56" t="s">
        <v>1603</v>
      </c>
      <c r="B240" s="121">
        <v>1.73178658637803E-3</v>
      </c>
      <c r="C240" s="20">
        <v>2.23417547857813E-3</v>
      </c>
      <c r="D240" s="20">
        <v>1.7267771969384799E-3</v>
      </c>
    </row>
    <row r="241" spans="1:4" x14ac:dyDescent="0.5">
      <c r="A241" s="56" t="s">
        <v>1604</v>
      </c>
      <c r="B241" s="121">
        <v>1.9551831258804598E-3</v>
      </c>
      <c r="C241" s="20">
        <v>2.0048739455068498E-3</v>
      </c>
      <c r="D241" s="20">
        <v>1.9574726054113999E-3</v>
      </c>
    </row>
    <row r="242" spans="1:4" x14ac:dyDescent="0.5">
      <c r="A242" s="56" t="s">
        <v>1605</v>
      </c>
      <c r="B242" s="121">
        <v>1.89029984348995E-3</v>
      </c>
      <c r="C242" s="20">
        <v>2.3017286484438302E-3</v>
      </c>
      <c r="D242" s="20">
        <v>1.8939336903507501E-3</v>
      </c>
    </row>
    <row r="243" spans="1:4" x14ac:dyDescent="0.5">
      <c r="A243" s="56" t="s">
        <v>1606</v>
      </c>
      <c r="B243" s="121">
        <v>1.7483731065241601E-3</v>
      </c>
      <c r="C243" s="20">
        <v>2.4233634189043899E-3</v>
      </c>
      <c r="D243" s="20">
        <v>1.75145257964905E-3</v>
      </c>
    </row>
    <row r="244" spans="1:4" x14ac:dyDescent="0.5">
      <c r="A244" s="56" t="s">
        <v>1607</v>
      </c>
      <c r="B244" s="121">
        <v>1.6895711518455001E-3</v>
      </c>
      <c r="C244" s="20">
        <v>2.34876701639475E-3</v>
      </c>
      <c r="D244" s="20">
        <v>1.6920178276188501E-3</v>
      </c>
    </row>
    <row r="245" spans="1:4" x14ac:dyDescent="0.5">
      <c r="A245" s="56" t="s">
        <v>1608</v>
      </c>
      <c r="B245" s="121">
        <v>1.51033214373991E-3</v>
      </c>
      <c r="C245" s="20">
        <v>2.1368422273743198E-3</v>
      </c>
      <c r="D245" s="20">
        <v>1.5089572444039799E-3</v>
      </c>
    </row>
    <row r="246" spans="1:4" x14ac:dyDescent="0.5">
      <c r="A246" s="56" t="s">
        <v>1609</v>
      </c>
      <c r="B246" s="121">
        <v>1.9014522907926401E-3</v>
      </c>
      <c r="C246" s="20">
        <v>3.3066296689994402E-3</v>
      </c>
      <c r="D246" s="20">
        <v>1.90457981711422E-3</v>
      </c>
    </row>
    <row r="247" spans="1:4" x14ac:dyDescent="0.5">
      <c r="A247" s="56" t="s">
        <v>1610</v>
      </c>
      <c r="B247" s="121">
        <v>2.34073415127569E-3</v>
      </c>
      <c r="C247" s="20">
        <v>3.4784116131171701E-3</v>
      </c>
      <c r="D247" s="20">
        <v>2.34804756548526E-3</v>
      </c>
    </row>
    <row r="248" spans="1:4" x14ac:dyDescent="0.5">
      <c r="A248" s="56" t="s">
        <v>1611</v>
      </c>
      <c r="B248" s="121">
        <v>2.23729275312055E-3</v>
      </c>
      <c r="C248" s="20">
        <v>3.4192754022392699E-3</v>
      </c>
      <c r="D248" s="20">
        <v>2.2473704248345298E-3</v>
      </c>
    </row>
    <row r="249" spans="1:4" x14ac:dyDescent="0.5">
      <c r="A249" s="56" t="s">
        <v>1612</v>
      </c>
      <c r="B249" s="121">
        <v>2.0768325122011199E-3</v>
      </c>
      <c r="C249" s="20">
        <v>3.1136550513785402E-3</v>
      </c>
      <c r="D249" s="20">
        <v>2.0876194328534798E-3</v>
      </c>
    </row>
    <row r="250" spans="1:4" x14ac:dyDescent="0.5">
      <c r="A250" s="56" t="s">
        <v>1613</v>
      </c>
      <c r="B250" s="121">
        <v>1.87917255703272E-3</v>
      </c>
      <c r="C250" s="20">
        <v>2.8294298955565899E-3</v>
      </c>
      <c r="D250" s="20">
        <v>1.88831346975169E-3</v>
      </c>
    </row>
    <row r="251" spans="1:4" x14ac:dyDescent="0.5">
      <c r="A251" s="56" t="s">
        <v>1614</v>
      </c>
      <c r="B251" s="121">
        <v>1.9185287888140699E-3</v>
      </c>
      <c r="C251" s="20">
        <v>2.6475436991245898E-3</v>
      </c>
      <c r="D251" s="20">
        <v>1.92509756574613E-3</v>
      </c>
    </row>
    <row r="252" spans="1:4" x14ac:dyDescent="0.5">
      <c r="A252" s="56" t="s">
        <v>1615</v>
      </c>
      <c r="B252" s="121">
        <v>1.82639992871737E-3</v>
      </c>
      <c r="C252" s="20">
        <v>2.58690730931985E-3</v>
      </c>
      <c r="D252" s="20">
        <v>1.8270214376452799E-3</v>
      </c>
    </row>
    <row r="253" spans="1:4" x14ac:dyDescent="0.5">
      <c r="A253" s="56" t="s">
        <v>1616</v>
      </c>
      <c r="B253" s="121">
        <v>2.3404841091780098E-3</v>
      </c>
      <c r="C253" s="20">
        <v>2.9661832897883902E-3</v>
      </c>
      <c r="D253" s="20">
        <v>2.3434721020252698E-3</v>
      </c>
    </row>
    <row r="254" spans="1:4" x14ac:dyDescent="0.5">
      <c r="A254" s="56" t="s">
        <v>1617</v>
      </c>
      <c r="B254" s="121">
        <v>3.5658365707927501E-3</v>
      </c>
      <c r="C254" s="20">
        <v>3.96948419751524E-3</v>
      </c>
      <c r="D254" s="20">
        <v>3.5750575770007701E-3</v>
      </c>
    </row>
    <row r="255" spans="1:4" x14ac:dyDescent="0.5">
      <c r="A255" s="56" t="s">
        <v>1618</v>
      </c>
      <c r="B255" s="121">
        <v>3.0956436236716399E-3</v>
      </c>
      <c r="C255" s="20">
        <v>3.5402605458616002E-3</v>
      </c>
      <c r="D255" s="20">
        <v>3.1016205422042102E-3</v>
      </c>
    </row>
    <row r="256" spans="1:4" x14ac:dyDescent="0.5">
      <c r="A256" s="56" t="s">
        <v>1619</v>
      </c>
      <c r="B256" s="121">
        <v>2.6885386857150302E-3</v>
      </c>
      <c r="C256" s="20">
        <v>3.14566188053709E-3</v>
      </c>
      <c r="D256" s="20">
        <v>2.69212890980665E-3</v>
      </c>
    </row>
    <row r="257" spans="1:4" x14ac:dyDescent="0.5">
      <c r="A257" s="56" t="s">
        <v>1620</v>
      </c>
      <c r="B257" s="121">
        <v>2.4875215343970699E-3</v>
      </c>
      <c r="C257" s="20">
        <v>3.2285464091494601E-3</v>
      </c>
      <c r="D257" s="20">
        <v>2.4977333203444899E-3</v>
      </c>
    </row>
    <row r="258" spans="1:4" x14ac:dyDescent="0.5">
      <c r="A258" s="56" t="s">
        <v>1621</v>
      </c>
      <c r="B258" s="121">
        <v>2.1949335109748402E-3</v>
      </c>
      <c r="C258" s="20">
        <v>2.8786517685456901E-3</v>
      </c>
      <c r="D258" s="20">
        <v>2.2045254602141798E-3</v>
      </c>
    </row>
    <row r="259" spans="1:4" x14ac:dyDescent="0.5">
      <c r="A259" s="56" t="s">
        <v>1622</v>
      </c>
      <c r="B259" s="121">
        <v>1.95670300866563E-3</v>
      </c>
      <c r="C259" s="20">
        <v>2.59271820668644E-3</v>
      </c>
      <c r="D259" s="20">
        <v>1.9622588894377801E-3</v>
      </c>
    </row>
    <row r="260" spans="1:4" x14ac:dyDescent="0.5">
      <c r="A260" s="56" t="s">
        <v>1623</v>
      </c>
      <c r="B260" s="121">
        <v>1.79455110162921E-3</v>
      </c>
      <c r="C260" s="20">
        <v>2.5094626422871502E-3</v>
      </c>
      <c r="D260" s="20">
        <v>1.7954264838975901E-3</v>
      </c>
    </row>
    <row r="261" spans="1:4" x14ac:dyDescent="0.5">
      <c r="A261" s="56" t="s">
        <v>1624</v>
      </c>
      <c r="B261" s="121">
        <v>1.8392098144733699E-3</v>
      </c>
      <c r="C261" s="20">
        <v>2.39793007862385E-3</v>
      </c>
      <c r="D261" s="20">
        <v>1.83791340408E-3</v>
      </c>
    </row>
    <row r="262" spans="1:4" x14ac:dyDescent="0.5">
      <c r="A262" s="56" t="s">
        <v>1625</v>
      </c>
      <c r="B262" s="121">
        <v>1.6355067528775801E-3</v>
      </c>
      <c r="C262" s="20">
        <v>2.26801589221507E-3</v>
      </c>
      <c r="D262" s="20">
        <v>1.63103097976823E-3</v>
      </c>
    </row>
    <row r="263" spans="1:4" x14ac:dyDescent="0.5">
      <c r="A263" s="56" t="s">
        <v>1626</v>
      </c>
      <c r="B263" s="121">
        <v>1.7629812533552201E-3</v>
      </c>
      <c r="C263" s="20">
        <v>2.1797382808081299E-3</v>
      </c>
      <c r="D263" s="20">
        <v>1.7634511564106701E-3</v>
      </c>
    </row>
    <row r="264" spans="1:4" x14ac:dyDescent="0.5">
      <c r="A264" s="56" t="s">
        <v>1627</v>
      </c>
      <c r="B264" s="121">
        <v>1.6890671328911801E-3</v>
      </c>
      <c r="C264" s="20">
        <v>1.9831773806042101E-3</v>
      </c>
      <c r="D264" s="20">
        <v>1.6896363648344001E-3</v>
      </c>
    </row>
    <row r="265" spans="1:4" x14ac:dyDescent="0.5">
      <c r="A265" s="56" t="s">
        <v>1628</v>
      </c>
      <c r="B265" s="121">
        <v>1.60355800289027E-3</v>
      </c>
      <c r="C265" s="20">
        <v>1.7907588542680499E-3</v>
      </c>
      <c r="D265" s="20">
        <v>1.6008187456639099E-3</v>
      </c>
    </row>
    <row r="266" spans="1:4" x14ac:dyDescent="0.5">
      <c r="A266" s="56" t="s">
        <v>1629</v>
      </c>
      <c r="B266" s="121">
        <v>1.47877564557083E-3</v>
      </c>
      <c r="C266" s="20">
        <v>1.6559258338239399E-3</v>
      </c>
      <c r="D266" s="20">
        <v>1.4724393875021999E-3</v>
      </c>
    </row>
    <row r="267" spans="1:4" x14ac:dyDescent="0.5">
      <c r="A267" s="56" t="s">
        <v>1630</v>
      </c>
      <c r="B267" s="121">
        <v>1.3731852996918001E-3</v>
      </c>
      <c r="C267" s="20">
        <v>1.53400966153182E-3</v>
      </c>
      <c r="D267" s="20">
        <v>1.36438575480363E-3</v>
      </c>
    </row>
    <row r="268" spans="1:4" x14ac:dyDescent="0.5">
      <c r="A268" s="56" t="s">
        <v>1631</v>
      </c>
      <c r="B268" s="121">
        <v>1.3193569905050799E-3</v>
      </c>
      <c r="C268" s="20">
        <v>2.1971774032402002E-3</v>
      </c>
      <c r="D268" s="20">
        <v>1.30929396448128E-3</v>
      </c>
    </row>
    <row r="269" spans="1:4" x14ac:dyDescent="0.5">
      <c r="A269" s="56" t="s">
        <v>1632</v>
      </c>
      <c r="B269" s="121">
        <v>1.2410156617708699E-3</v>
      </c>
      <c r="C269" s="20">
        <v>1.9898663334531599E-3</v>
      </c>
      <c r="D269" s="20">
        <v>1.2291927262960099E-3</v>
      </c>
    </row>
    <row r="270" spans="1:4" x14ac:dyDescent="0.5">
      <c r="A270" s="56" t="s">
        <v>1633</v>
      </c>
      <c r="B270" s="121">
        <v>1.38636158442078E-3</v>
      </c>
      <c r="C270" s="20">
        <v>1.7909262215239201E-3</v>
      </c>
      <c r="D270" s="20">
        <v>1.3743035273738699E-3</v>
      </c>
    </row>
    <row r="271" spans="1:4" x14ac:dyDescent="0.5">
      <c r="A271" s="56" t="s">
        <v>1634</v>
      </c>
      <c r="B271" s="121">
        <v>1.5200962603869599E-3</v>
      </c>
      <c r="C271" s="20">
        <v>1.8077223588035399E-3</v>
      </c>
      <c r="D271" s="20">
        <v>1.5089429765680199E-3</v>
      </c>
    </row>
    <row r="272" spans="1:4" x14ac:dyDescent="0.5">
      <c r="A272" s="56" t="s">
        <v>1635</v>
      </c>
      <c r="B272" s="121">
        <v>2.0392452952024799E-3</v>
      </c>
      <c r="C272" s="20">
        <v>1.9692825668156098E-3</v>
      </c>
      <c r="D272" s="20">
        <v>2.0417407584806201E-3</v>
      </c>
    </row>
    <row r="273" spans="1:4" x14ac:dyDescent="0.5">
      <c r="A273" s="56" t="s">
        <v>1636</v>
      </c>
      <c r="B273" s="121">
        <v>1.8500012235724099E-3</v>
      </c>
      <c r="C273" s="20">
        <v>1.7845242909811201E-3</v>
      </c>
      <c r="D273" s="20">
        <v>1.8521205190643901E-3</v>
      </c>
    </row>
    <row r="274" spans="1:4" x14ac:dyDescent="0.5">
      <c r="A274" s="56" t="s">
        <v>1637</v>
      </c>
      <c r="B274" s="121">
        <v>2.4657657477436699E-3</v>
      </c>
      <c r="C274" s="20">
        <v>1.91070646000639E-3</v>
      </c>
      <c r="D274" s="20">
        <v>2.47723718662447E-3</v>
      </c>
    </row>
    <row r="275" spans="1:4" x14ac:dyDescent="0.5">
      <c r="A275" s="56" t="s">
        <v>1638</v>
      </c>
      <c r="B275" s="121">
        <v>2.1476812092163801E-3</v>
      </c>
      <c r="C275" s="20">
        <v>1.74822234718704E-3</v>
      </c>
      <c r="D275" s="20">
        <v>2.1552909656676802E-3</v>
      </c>
    </row>
    <row r="276" spans="1:4" x14ac:dyDescent="0.5">
      <c r="A276" s="56" t="s">
        <v>1639</v>
      </c>
      <c r="B276" s="121">
        <v>2.3388136212720099E-3</v>
      </c>
      <c r="C276" s="20">
        <v>1.83840456192034E-3</v>
      </c>
      <c r="D276" s="20">
        <v>2.3450025706346599E-3</v>
      </c>
    </row>
    <row r="277" spans="1:4" x14ac:dyDescent="0.5">
      <c r="A277" s="56" t="s">
        <v>1640</v>
      </c>
      <c r="B277" s="121">
        <v>2.0458609488947402E-3</v>
      </c>
      <c r="C277" s="20">
        <v>1.6586706888409601E-3</v>
      </c>
      <c r="D277" s="20">
        <v>2.0502283395108698E-3</v>
      </c>
    </row>
    <row r="278" spans="1:4" x14ac:dyDescent="0.5">
      <c r="A278" s="56" t="s">
        <v>1641</v>
      </c>
      <c r="B278" s="121">
        <v>1.9676424850476599E-3</v>
      </c>
      <c r="C278" s="20">
        <v>1.51694839352169E-3</v>
      </c>
      <c r="D278" s="20">
        <v>1.9681634500359401E-3</v>
      </c>
    </row>
    <row r="279" spans="1:4" x14ac:dyDescent="0.5">
      <c r="A279" s="56" t="s">
        <v>1642</v>
      </c>
      <c r="B279" s="121">
        <v>2.2432126020009101E-3</v>
      </c>
      <c r="C279" s="20">
        <v>1.51094254240206E-3</v>
      </c>
      <c r="D279" s="20">
        <v>2.2503903325477598E-3</v>
      </c>
    </row>
    <row r="280" spans="1:4" x14ac:dyDescent="0.5">
      <c r="A280" s="56" t="s">
        <v>1643</v>
      </c>
      <c r="B280" s="121">
        <v>3.3866953141996701E-3</v>
      </c>
      <c r="C280" s="20">
        <v>2.35144623873508E-3</v>
      </c>
      <c r="D280" s="20">
        <v>3.3968930569559198E-3</v>
      </c>
    </row>
    <row r="281" spans="1:4" x14ac:dyDescent="0.5">
      <c r="A281" s="56" t="s">
        <v>1644</v>
      </c>
      <c r="B281" s="121">
        <v>2.9623208666347402E-3</v>
      </c>
      <c r="C281" s="20">
        <v>2.1337621720627399E-3</v>
      </c>
      <c r="D281" s="20">
        <v>2.9776880304934498E-3</v>
      </c>
    </row>
    <row r="282" spans="1:4" x14ac:dyDescent="0.5">
      <c r="A282" s="56" t="s">
        <v>1645</v>
      </c>
      <c r="B282" s="121">
        <v>2.5599424161497001E-3</v>
      </c>
      <c r="C282" s="20">
        <v>2.1280493779933102E-3</v>
      </c>
      <c r="D282" s="20">
        <v>2.5717271065217101E-3</v>
      </c>
    </row>
    <row r="283" spans="1:4" x14ac:dyDescent="0.5">
      <c r="A283" s="56" t="s">
        <v>1646</v>
      </c>
      <c r="B283" s="121">
        <v>2.42302882147544E-3</v>
      </c>
      <c r="C283" s="20">
        <v>1.9142970650078001E-3</v>
      </c>
      <c r="D283" s="20">
        <v>2.43075553124123E-3</v>
      </c>
    </row>
    <row r="284" spans="1:4" x14ac:dyDescent="0.5">
      <c r="A284" s="56" t="s">
        <v>1647</v>
      </c>
      <c r="B284" s="121">
        <v>2.17906124192171E-3</v>
      </c>
      <c r="C284" s="20">
        <v>1.82675388592216E-3</v>
      </c>
      <c r="D284" s="20">
        <v>2.1876090574584599E-3</v>
      </c>
    </row>
    <row r="285" spans="1:4" x14ac:dyDescent="0.5">
      <c r="A285" s="56" t="s">
        <v>1648</v>
      </c>
      <c r="B285" s="121">
        <v>2.0006760864516799E-3</v>
      </c>
      <c r="C285" s="20">
        <v>1.6482222971078799E-3</v>
      </c>
      <c r="D285" s="20">
        <v>2.0051096852677099E-3</v>
      </c>
    </row>
    <row r="286" spans="1:4" x14ac:dyDescent="0.5">
      <c r="A286" s="56" t="s">
        <v>1649</v>
      </c>
      <c r="B286" s="121">
        <v>1.9130151613356099E-3</v>
      </c>
      <c r="C286" s="20">
        <v>1.49245280324534E-3</v>
      </c>
      <c r="D286" s="20">
        <v>1.9124823406027E-3</v>
      </c>
    </row>
    <row r="287" spans="1:4" x14ac:dyDescent="0.5">
      <c r="A287" s="56" t="s">
        <v>1650</v>
      </c>
      <c r="B287" s="121">
        <v>1.69680821850323E-3</v>
      </c>
      <c r="C287" s="20">
        <v>1.39081003728085E-3</v>
      </c>
      <c r="D287" s="20">
        <v>1.6930356023676101E-3</v>
      </c>
    </row>
    <row r="288" spans="1:4" x14ac:dyDescent="0.5">
      <c r="A288" s="56" t="s">
        <v>1651</v>
      </c>
      <c r="B288" s="121">
        <v>1.94428812121844E-3</v>
      </c>
      <c r="C288" s="20">
        <v>1.558064662172E-3</v>
      </c>
      <c r="D288" s="20">
        <v>1.94386766121125E-3</v>
      </c>
    </row>
    <row r="289" spans="1:4" x14ac:dyDescent="0.5">
      <c r="A289" s="56" t="s">
        <v>1652</v>
      </c>
      <c r="B289" s="121">
        <v>1.7414524096674799E-3</v>
      </c>
      <c r="C289" s="20">
        <v>1.5079484228372401E-3</v>
      </c>
      <c r="D289" s="20">
        <v>1.73988116484853E-3</v>
      </c>
    </row>
    <row r="290" spans="1:4" x14ac:dyDescent="0.5">
      <c r="A290" s="56" t="s">
        <v>1653</v>
      </c>
      <c r="B290" s="121">
        <v>1.5970762568716401E-3</v>
      </c>
      <c r="C290" s="20">
        <v>1.48260147936397E-3</v>
      </c>
      <c r="D290" s="20">
        <v>1.59344862967268E-3</v>
      </c>
    </row>
    <row r="291" spans="1:4" x14ac:dyDescent="0.5">
      <c r="A291" s="56" t="s">
        <v>1654</v>
      </c>
      <c r="B291" s="121">
        <v>1.5263408962609699E-3</v>
      </c>
      <c r="C291" s="20">
        <v>1.35212034303046E-3</v>
      </c>
      <c r="D291" s="20">
        <v>1.52175757638345E-3</v>
      </c>
    </row>
    <row r="292" spans="1:4" x14ac:dyDescent="0.5">
      <c r="A292" s="56" t="s">
        <v>1655</v>
      </c>
      <c r="B292" s="121">
        <v>1.3891984871467001E-3</v>
      </c>
      <c r="C292" s="20">
        <v>1.2475534709646401E-3</v>
      </c>
      <c r="D292" s="20">
        <v>1.3816117179856E-3</v>
      </c>
    </row>
    <row r="293" spans="1:4" x14ac:dyDescent="0.5">
      <c r="A293" s="56" t="s">
        <v>1656</v>
      </c>
      <c r="B293" s="121">
        <v>1.4929623498343399E-3</v>
      </c>
      <c r="C293" s="20">
        <v>1.27492459364951E-3</v>
      </c>
      <c r="D293" s="20">
        <v>1.48538414573182E-3</v>
      </c>
    </row>
    <row r="294" spans="1:4" x14ac:dyDescent="0.5">
      <c r="A294" s="56" t="s">
        <v>1657</v>
      </c>
      <c r="B294" s="121">
        <v>1.3686234386366301E-3</v>
      </c>
      <c r="C294" s="20">
        <v>1.2683781749740499E-3</v>
      </c>
      <c r="D294" s="20">
        <v>1.3590006131126799E-3</v>
      </c>
    </row>
    <row r="295" spans="1:4" x14ac:dyDescent="0.5">
      <c r="A295" s="56" t="s">
        <v>1658</v>
      </c>
      <c r="B295" s="121">
        <v>1.2693126775899801E-3</v>
      </c>
      <c r="C295" s="20">
        <v>1.1638746845031699E-3</v>
      </c>
      <c r="D295" s="20">
        <v>1.25681148177122E-3</v>
      </c>
    </row>
    <row r="296" spans="1:4" x14ac:dyDescent="0.5">
      <c r="A296" s="56" t="s">
        <v>1659</v>
      </c>
      <c r="B296" s="121">
        <v>1.16296837994367E-3</v>
      </c>
      <c r="C296" s="20">
        <v>1.0710194811570999E-3</v>
      </c>
      <c r="D296" s="20">
        <v>1.1477677548799401E-3</v>
      </c>
    </row>
    <row r="297" spans="1:4" x14ac:dyDescent="0.5">
      <c r="A297" s="56" t="s">
        <v>1660</v>
      </c>
      <c r="B297" s="121">
        <v>1.3162550172011E-3</v>
      </c>
      <c r="C297" s="20">
        <v>1.01040393028179E-3</v>
      </c>
      <c r="D297" s="20">
        <v>1.3000117943725699E-3</v>
      </c>
    </row>
    <row r="298" spans="1:4" x14ac:dyDescent="0.5">
      <c r="A298" s="56" t="s">
        <v>1661</v>
      </c>
      <c r="B298" s="121">
        <v>1.45921491409257E-3</v>
      </c>
      <c r="C298" s="20">
        <v>9.5989971683330003E-4</v>
      </c>
      <c r="D298" s="20">
        <v>1.4467159800004301E-3</v>
      </c>
    </row>
    <row r="299" spans="1:4" x14ac:dyDescent="0.5">
      <c r="A299" s="56" t="s">
        <v>1662</v>
      </c>
      <c r="B299" s="121">
        <v>1.7985833658566699E-3</v>
      </c>
      <c r="C299" s="20">
        <v>1.58373611798256E-3</v>
      </c>
      <c r="D299" s="20">
        <v>1.7897838766189301E-3</v>
      </c>
    </row>
    <row r="300" spans="1:4" x14ac:dyDescent="0.5">
      <c r="A300" s="56" t="s">
        <v>1663</v>
      </c>
      <c r="B300" s="121">
        <v>1.5997748650250299E-3</v>
      </c>
      <c r="C300" s="20">
        <v>1.68314854409627E-3</v>
      </c>
      <c r="D300" s="20">
        <v>1.5895100797590201E-3</v>
      </c>
    </row>
    <row r="301" spans="1:4" x14ac:dyDescent="0.5">
      <c r="A301" s="56" t="s">
        <v>1664</v>
      </c>
      <c r="B301" s="121">
        <v>1.6138358577759699E-3</v>
      </c>
      <c r="C301" s="20">
        <v>1.5345383941630501E-3</v>
      </c>
      <c r="D301" s="20">
        <v>1.60563760097768E-3</v>
      </c>
    </row>
    <row r="302" spans="1:4" x14ac:dyDescent="0.5">
      <c r="A302" s="56" t="s">
        <v>1665</v>
      </c>
      <c r="B302" s="121">
        <v>1.7977827089416E-3</v>
      </c>
      <c r="C302" s="20">
        <v>1.5391269794571901E-3</v>
      </c>
      <c r="D302" s="20">
        <v>1.79254216262292E-3</v>
      </c>
    </row>
    <row r="303" spans="1:4" x14ac:dyDescent="0.5">
      <c r="A303" s="56" t="s">
        <v>1666</v>
      </c>
      <c r="B303" s="121">
        <v>1.5970147229976001E-3</v>
      </c>
      <c r="C303" s="20">
        <v>1.40264980090101E-3</v>
      </c>
      <c r="D303" s="20">
        <v>1.58954468844801E-3</v>
      </c>
    </row>
    <row r="304" spans="1:4" x14ac:dyDescent="0.5">
      <c r="A304" s="56" t="s">
        <v>1667</v>
      </c>
      <c r="B304" s="121">
        <v>1.44472938412668E-3</v>
      </c>
      <c r="C304" s="20">
        <v>1.329374402744E-3</v>
      </c>
      <c r="D304" s="20">
        <v>1.4351677503442E-3</v>
      </c>
    </row>
    <row r="305" spans="1:4" x14ac:dyDescent="0.5">
      <c r="A305" s="56" t="s">
        <v>1668</v>
      </c>
      <c r="B305" s="121">
        <v>1.56574483494033E-3</v>
      </c>
      <c r="C305" s="20">
        <v>1.2897896947282399E-3</v>
      </c>
      <c r="D305" s="20">
        <v>1.55785770638045E-3</v>
      </c>
    </row>
    <row r="306" spans="1:4" x14ac:dyDescent="0.5">
      <c r="A306" s="56" t="s">
        <v>1669</v>
      </c>
      <c r="B306" s="121">
        <v>1.8192709749114901E-3</v>
      </c>
      <c r="C306" s="20">
        <v>1.3443211762038301E-3</v>
      </c>
      <c r="D306" s="20">
        <v>1.8190609653209401E-3</v>
      </c>
    </row>
    <row r="307" spans="1:4" x14ac:dyDescent="0.5">
      <c r="A307" s="56" t="s">
        <v>1670</v>
      </c>
      <c r="B307" s="121">
        <v>1.62296315112453E-3</v>
      </c>
      <c r="C307" s="20">
        <v>1.27987296747683E-3</v>
      </c>
      <c r="D307" s="20">
        <v>1.61987878093329E-3</v>
      </c>
    </row>
    <row r="308" spans="1:4" x14ac:dyDescent="0.5">
      <c r="A308" s="56" t="s">
        <v>1671</v>
      </c>
      <c r="B308" s="121">
        <v>1.51903781182952E-3</v>
      </c>
      <c r="C308" s="20">
        <v>1.2206607541736299E-3</v>
      </c>
      <c r="D308" s="20">
        <v>1.51270891630456E-3</v>
      </c>
    </row>
    <row r="309" spans="1:4" x14ac:dyDescent="0.5">
      <c r="A309" s="56" t="s">
        <v>1672</v>
      </c>
      <c r="B309" s="121">
        <v>1.61719719515521E-3</v>
      </c>
      <c r="C309" s="20">
        <v>1.12025704490237E-3</v>
      </c>
      <c r="D309" s="20">
        <v>1.61258674550398E-3</v>
      </c>
    </row>
    <row r="310" spans="1:4" x14ac:dyDescent="0.5">
      <c r="A310" s="56" t="s">
        <v>1673</v>
      </c>
      <c r="B310" s="121">
        <v>1.6254834654931499E-3</v>
      </c>
      <c r="C310" s="20">
        <v>1.03147110170058E-3</v>
      </c>
      <c r="D310" s="20">
        <v>1.6177548426436401E-3</v>
      </c>
    </row>
    <row r="311" spans="1:4" x14ac:dyDescent="0.5">
      <c r="A311" s="56" t="s">
        <v>1674</v>
      </c>
      <c r="B311" s="121">
        <v>1.5704813618055201E-3</v>
      </c>
      <c r="C311" s="20">
        <v>9.6051087170509095E-4</v>
      </c>
      <c r="D311" s="20">
        <v>1.56090073893264E-3</v>
      </c>
    </row>
    <row r="312" spans="1:4" x14ac:dyDescent="0.5">
      <c r="A312" s="56" t="s">
        <v>1675</v>
      </c>
      <c r="B312" s="121">
        <v>1.9328015965559399E-3</v>
      </c>
      <c r="C312" s="20">
        <v>1.05862244245967E-3</v>
      </c>
      <c r="D312" s="20">
        <v>1.9344804473962699E-3</v>
      </c>
    </row>
    <row r="313" spans="1:4" x14ac:dyDescent="0.5">
      <c r="A313" s="56" t="s">
        <v>1676</v>
      </c>
      <c r="B313" s="121">
        <v>1.9084055536360499E-3</v>
      </c>
      <c r="C313" s="20">
        <v>9.8975258541489602E-4</v>
      </c>
      <c r="D313" s="20">
        <v>1.9131727303671501E-3</v>
      </c>
    </row>
    <row r="314" spans="1:4" x14ac:dyDescent="0.5">
      <c r="A314" s="56" t="s">
        <v>1677</v>
      </c>
      <c r="B314" s="121">
        <v>1.69316901543005E-3</v>
      </c>
      <c r="C314" s="20">
        <v>9.1902269578664501E-4</v>
      </c>
      <c r="D314" s="20">
        <v>1.69393381034173E-3</v>
      </c>
    </row>
    <row r="315" spans="1:4" x14ac:dyDescent="0.5">
      <c r="A315" s="56" t="s">
        <v>1678</v>
      </c>
      <c r="B315" s="121">
        <v>1.55227277378106E-3</v>
      </c>
      <c r="C315" s="20">
        <v>8.55221878322643E-4</v>
      </c>
      <c r="D315" s="20">
        <v>1.5477007243188999E-3</v>
      </c>
    </row>
    <row r="316" spans="1:4" x14ac:dyDescent="0.5">
      <c r="A316" s="56" t="s">
        <v>1679</v>
      </c>
      <c r="B316" s="121">
        <v>1.3959403531560101E-3</v>
      </c>
      <c r="C316" s="20">
        <v>8.0614307141083498E-4</v>
      </c>
      <c r="D316" s="20">
        <v>1.38823884818504E-3</v>
      </c>
    </row>
    <row r="317" spans="1:4" x14ac:dyDescent="0.5">
      <c r="A317" s="56" t="s">
        <v>1680</v>
      </c>
      <c r="B317" s="121">
        <v>1.4309706093171099E-3</v>
      </c>
      <c r="C317" s="20">
        <v>8.5988481018132198E-4</v>
      </c>
      <c r="D317" s="20">
        <v>1.42390294314359E-3</v>
      </c>
    </row>
    <row r="318" spans="1:4" x14ac:dyDescent="0.5">
      <c r="A318" s="56" t="s">
        <v>1681</v>
      </c>
      <c r="B318" s="121">
        <v>1.31176668116597E-3</v>
      </c>
      <c r="C318" s="20">
        <v>8.7760936467933101E-4</v>
      </c>
      <c r="D318" s="20">
        <v>1.3026296185543499E-3</v>
      </c>
    </row>
    <row r="319" spans="1:4" x14ac:dyDescent="0.5">
      <c r="A319" s="56" t="s">
        <v>1682</v>
      </c>
      <c r="B319" s="121">
        <v>1.3501832969282301E-3</v>
      </c>
      <c r="C319" s="20">
        <v>8.1928059035116295E-4</v>
      </c>
      <c r="D319" s="20">
        <v>1.3389086292322999E-3</v>
      </c>
    </row>
    <row r="320" spans="1:4" x14ac:dyDescent="0.5">
      <c r="A320" s="56" t="s">
        <v>1683</v>
      </c>
      <c r="B320" s="121">
        <v>1.47447748827856E-3</v>
      </c>
      <c r="C320" s="20">
        <v>7.8770176252626904E-4</v>
      </c>
      <c r="D320" s="20">
        <v>1.46721650152811E-3</v>
      </c>
    </row>
    <row r="321" spans="1:4" x14ac:dyDescent="0.5">
      <c r="A321" s="56" t="s">
        <v>1684</v>
      </c>
      <c r="B321" s="121">
        <v>1.6158724752795501E-3</v>
      </c>
      <c r="C321" s="20">
        <v>7.7972881655889595E-4</v>
      </c>
      <c r="D321" s="20">
        <v>1.60619115901382E-3</v>
      </c>
    </row>
    <row r="322" spans="1:4" x14ac:dyDescent="0.5">
      <c r="A322" s="56" t="s">
        <v>1685</v>
      </c>
      <c r="B322" s="121">
        <v>1.5420526430758601E-3</v>
      </c>
      <c r="C322" s="20">
        <v>7.5767454497182901E-4</v>
      </c>
      <c r="D322" s="20">
        <v>1.53229790772334E-3</v>
      </c>
    </row>
    <row r="323" spans="1:4" x14ac:dyDescent="0.5">
      <c r="A323" s="56" t="s">
        <v>1686</v>
      </c>
      <c r="B323" s="121">
        <v>1.6121044325639699E-3</v>
      </c>
      <c r="C323" s="20">
        <v>7.1423727697960695E-4</v>
      </c>
      <c r="D323" s="20">
        <v>1.6059619914952901E-3</v>
      </c>
    </row>
    <row r="324" spans="1:4" x14ac:dyDescent="0.5">
      <c r="A324" s="56" t="s">
        <v>1687</v>
      </c>
      <c r="B324" s="121">
        <v>1.46356603270821E-3</v>
      </c>
      <c r="C324" s="20">
        <v>7.0620950296051196E-4</v>
      </c>
      <c r="D324" s="20">
        <v>1.45579812779925E-3</v>
      </c>
    </row>
    <row r="325" spans="1:4" x14ac:dyDescent="0.5">
      <c r="A325" s="56" t="s">
        <v>1688</v>
      </c>
      <c r="B325" s="121">
        <v>1.3468997895782001E-3</v>
      </c>
      <c r="C325" s="20">
        <v>6.9811851179896298E-4</v>
      </c>
      <c r="D325" s="20">
        <v>1.3360253052833199E-3</v>
      </c>
    </row>
    <row r="326" spans="1:4" x14ac:dyDescent="0.5">
      <c r="A326" s="56" t="s">
        <v>1689</v>
      </c>
      <c r="B326" s="121">
        <v>1.30155635158122E-3</v>
      </c>
      <c r="C326" s="20">
        <v>6.6261724445852504E-4</v>
      </c>
      <c r="D326" s="20">
        <v>1.28707728766682E-3</v>
      </c>
    </row>
    <row r="327" spans="1:4" x14ac:dyDescent="0.5">
      <c r="A327" s="56" t="s">
        <v>1690</v>
      </c>
      <c r="B327" s="121">
        <v>1.1917910368110299E-3</v>
      </c>
      <c r="C327" s="20">
        <v>6.3538073258535398E-4</v>
      </c>
      <c r="D327" s="20">
        <v>1.1747753690405499E-3</v>
      </c>
    </row>
    <row r="328" spans="1:4" x14ac:dyDescent="0.5">
      <c r="A328" s="56" t="s">
        <v>1691</v>
      </c>
      <c r="B328" s="121">
        <v>1.4358865166635201E-3</v>
      </c>
      <c r="C328" s="20">
        <v>7.6547204822204702E-4</v>
      </c>
      <c r="D328" s="20">
        <v>1.42173341632645E-3</v>
      </c>
    </row>
    <row r="329" spans="1:4" x14ac:dyDescent="0.5">
      <c r="A329" s="56" t="s">
        <v>1692</v>
      </c>
      <c r="B329" s="121">
        <v>1.4248229851268101E-3</v>
      </c>
      <c r="C329" s="20">
        <v>7.5323758039473599E-4</v>
      </c>
      <c r="D329" s="20">
        <v>1.4139164454427301E-3</v>
      </c>
    </row>
    <row r="330" spans="1:4" x14ac:dyDescent="0.5">
      <c r="A330" s="56" t="s">
        <v>1693</v>
      </c>
      <c r="B330" s="121">
        <v>1.3081207538730201E-3</v>
      </c>
      <c r="C330" s="20">
        <v>7.1465479371658498E-4</v>
      </c>
      <c r="D330" s="20">
        <v>1.2940718596104401E-3</v>
      </c>
    </row>
    <row r="331" spans="1:4" x14ac:dyDescent="0.5">
      <c r="A331" s="56" t="s">
        <v>1694</v>
      </c>
      <c r="B331" s="121">
        <v>1.23113606216833E-3</v>
      </c>
      <c r="C331" s="20">
        <v>6.8826913545556498E-4</v>
      </c>
      <c r="D331" s="20">
        <v>1.21519939909697E-3</v>
      </c>
    </row>
    <row r="332" spans="1:4" x14ac:dyDescent="0.5">
      <c r="A332" s="56" t="s">
        <v>1695</v>
      </c>
      <c r="B332" s="121">
        <v>1.22934069140032E-3</v>
      </c>
      <c r="C332" s="20">
        <v>6.6048983666159103E-4</v>
      </c>
      <c r="D332" s="20">
        <v>1.2099654071327901E-3</v>
      </c>
    </row>
    <row r="333" spans="1:4" x14ac:dyDescent="0.5">
      <c r="A333" s="56" t="s">
        <v>1696</v>
      </c>
      <c r="B333" s="121">
        <v>1.24557892643498E-3</v>
      </c>
      <c r="C333" s="20">
        <v>6.8567571942198396E-4</v>
      </c>
      <c r="D333" s="20">
        <v>1.2247939529577299E-3</v>
      </c>
    </row>
    <row r="334" spans="1:4" x14ac:dyDescent="0.5">
      <c r="A334" s="56" t="s">
        <v>1697</v>
      </c>
      <c r="B334" s="121">
        <v>1.1435402878206199E-3</v>
      </c>
      <c r="C334" s="20">
        <v>6.5149977092239801E-4</v>
      </c>
      <c r="D334" s="20">
        <v>1.12143975943005E-3</v>
      </c>
    </row>
    <row r="335" spans="1:4" x14ac:dyDescent="0.5">
      <c r="A335" s="56" t="s">
        <v>1698</v>
      </c>
      <c r="B335" s="121">
        <v>1.1095370394767501E-3</v>
      </c>
      <c r="C335" s="20">
        <v>7.2563442304903998E-4</v>
      </c>
      <c r="D335" s="20">
        <v>1.0852120588767599E-3</v>
      </c>
    </row>
    <row r="336" spans="1:4" x14ac:dyDescent="0.5">
      <c r="A336" s="56" t="s">
        <v>1699</v>
      </c>
      <c r="B336" s="121">
        <v>1.0897317466783999E-3</v>
      </c>
      <c r="C336" s="20">
        <v>7.8375418861342696E-4</v>
      </c>
      <c r="D336" s="20">
        <v>1.0659302665294401E-3</v>
      </c>
    </row>
    <row r="337" spans="1:4" x14ac:dyDescent="0.5">
      <c r="A337" s="56" t="s">
        <v>1700</v>
      </c>
      <c r="B337" s="121">
        <v>1.41889900330126E-3</v>
      </c>
      <c r="C337" s="20">
        <v>7.3761158565750795E-4</v>
      </c>
      <c r="D337" s="20">
        <v>1.39644060655975E-3</v>
      </c>
    </row>
    <row r="338" spans="1:4" x14ac:dyDescent="0.5">
      <c r="A338" s="56" t="s">
        <v>1701</v>
      </c>
      <c r="B338" s="121">
        <v>1.28727097740857E-3</v>
      </c>
      <c r="C338" s="20">
        <v>7.0298474223601801E-4</v>
      </c>
      <c r="D338" s="20">
        <v>1.26408575782374E-3</v>
      </c>
    </row>
    <row r="339" spans="1:4" x14ac:dyDescent="0.5">
      <c r="A339" s="56" t="s">
        <v>1702</v>
      </c>
      <c r="B339" s="121">
        <v>1.4685529781775499E-3</v>
      </c>
      <c r="C339" s="20">
        <v>8.1241428138617599E-4</v>
      </c>
      <c r="D339" s="20">
        <v>1.4497497714103401E-3</v>
      </c>
    </row>
    <row r="340" spans="1:4" x14ac:dyDescent="0.5">
      <c r="A340" s="56" t="s">
        <v>1703</v>
      </c>
      <c r="B340" s="121">
        <v>1.34918808203139E-3</v>
      </c>
      <c r="C340" s="20">
        <v>8.1966945439394497E-4</v>
      </c>
      <c r="D340" s="20">
        <v>1.3307493468732901E-3</v>
      </c>
    </row>
    <row r="341" spans="1:4" x14ac:dyDescent="0.5">
      <c r="A341" s="56" t="s">
        <v>1704</v>
      </c>
      <c r="B341" s="121">
        <v>1.2286526271577899E-3</v>
      </c>
      <c r="C341" s="20">
        <v>7.6886493762330903E-4</v>
      </c>
      <c r="D341" s="20">
        <v>1.20868961008529E-3</v>
      </c>
    </row>
    <row r="342" spans="1:4" x14ac:dyDescent="0.5">
      <c r="A342" s="56" t="s">
        <v>1705</v>
      </c>
      <c r="B342" s="121">
        <v>1.4178223493813401E-3</v>
      </c>
      <c r="C342" s="20">
        <v>8.1161545519144705E-4</v>
      </c>
      <c r="D342" s="20">
        <v>1.4021702609179399E-3</v>
      </c>
    </row>
    <row r="343" spans="1:4" x14ac:dyDescent="0.5">
      <c r="A343" s="56" t="s">
        <v>1706</v>
      </c>
      <c r="B343" s="121">
        <v>1.2871944808818001E-3</v>
      </c>
      <c r="C343" s="20">
        <v>7.6766530115510503E-4</v>
      </c>
      <c r="D343" s="20">
        <v>1.2701005893454101E-3</v>
      </c>
    </row>
    <row r="344" spans="1:4" x14ac:dyDescent="0.5">
      <c r="A344" s="56" t="s">
        <v>1707</v>
      </c>
      <c r="B344" s="121">
        <v>1.2636636646767201E-3</v>
      </c>
      <c r="C344" s="20">
        <v>7.7991776611528805E-4</v>
      </c>
      <c r="D344" s="20">
        <v>1.24952383332653E-3</v>
      </c>
    </row>
    <row r="345" spans="1:4" x14ac:dyDescent="0.5">
      <c r="A345" s="56" t="s">
        <v>1708</v>
      </c>
      <c r="B345" s="121">
        <v>1.4226070512230501E-3</v>
      </c>
      <c r="C345" s="20">
        <v>7.4083256176378195E-4</v>
      </c>
      <c r="D345" s="20">
        <v>1.41234700689517E-3</v>
      </c>
    </row>
    <row r="346" spans="1:4" x14ac:dyDescent="0.5">
      <c r="A346" s="56" t="s">
        <v>1709</v>
      </c>
      <c r="B346" s="121">
        <v>1.44844160984584E-3</v>
      </c>
      <c r="C346" s="20">
        <v>7.5052456936200202E-4</v>
      </c>
      <c r="D346" s="20">
        <v>1.43819152249777E-3</v>
      </c>
    </row>
    <row r="347" spans="1:4" x14ac:dyDescent="0.5">
      <c r="A347" s="56" t="s">
        <v>1710</v>
      </c>
      <c r="B347" s="121">
        <v>1.3119093488833499E-3</v>
      </c>
      <c r="C347" s="20">
        <v>7.1147576588994601E-4</v>
      </c>
      <c r="D347" s="20">
        <v>1.2985807847513101E-3</v>
      </c>
    </row>
    <row r="348" spans="1:4" x14ac:dyDescent="0.5">
      <c r="A348" s="56" t="s">
        <v>1711</v>
      </c>
      <c r="B348" s="121">
        <v>1.5520588245942701E-3</v>
      </c>
      <c r="C348" s="20">
        <v>8.9610102305787598E-4</v>
      </c>
      <c r="D348" s="20">
        <v>1.5439891413074501E-3</v>
      </c>
    </row>
    <row r="349" spans="1:4" x14ac:dyDescent="0.5">
      <c r="A349" s="56" t="s">
        <v>1712</v>
      </c>
      <c r="B349" s="121">
        <v>1.54979659957889E-3</v>
      </c>
      <c r="C349" s="20">
        <v>8.6589222773888E-4</v>
      </c>
      <c r="D349" s="20">
        <v>1.5375030963723599E-3</v>
      </c>
    </row>
    <row r="350" spans="1:4" x14ac:dyDescent="0.5">
      <c r="A350" s="56" t="s">
        <v>1713</v>
      </c>
      <c r="B350" s="121">
        <v>2.1736892289490502E-3</v>
      </c>
      <c r="C350" s="20">
        <v>8.2912208343111397E-4</v>
      </c>
      <c r="D350" s="20">
        <v>2.17591622750484E-3</v>
      </c>
    </row>
    <row r="351" spans="1:4" x14ac:dyDescent="0.5">
      <c r="A351" s="56" t="s">
        <v>1714</v>
      </c>
      <c r="B351" s="121">
        <v>1.990104171578E-3</v>
      </c>
      <c r="C351" s="20">
        <v>9.5160958954334195E-4</v>
      </c>
      <c r="D351" s="20">
        <v>1.98835826002078E-3</v>
      </c>
    </row>
    <row r="352" spans="1:4" x14ac:dyDescent="0.5">
      <c r="A352" s="56" t="s">
        <v>1715</v>
      </c>
      <c r="B352" s="121">
        <v>2.6236546284189202E-3</v>
      </c>
      <c r="C352" s="20">
        <v>1.1752941280194001E-3</v>
      </c>
      <c r="D352" s="20">
        <v>2.64223755788443E-3</v>
      </c>
    </row>
    <row r="353" spans="1:4" x14ac:dyDescent="0.5">
      <c r="A353" s="56" t="s">
        <v>1716</v>
      </c>
      <c r="B353" s="121">
        <v>2.50944273152571E-3</v>
      </c>
      <c r="C353" s="20">
        <v>1.1726856174489699E-3</v>
      </c>
      <c r="D353" s="20">
        <v>2.53477239328136E-3</v>
      </c>
    </row>
    <row r="354" spans="1:4" x14ac:dyDescent="0.5">
      <c r="A354" s="56" t="s">
        <v>1717</v>
      </c>
      <c r="B354" s="121">
        <v>2.1925475213394399E-3</v>
      </c>
      <c r="C354" s="20">
        <v>1.08715175164734E-3</v>
      </c>
      <c r="D354" s="20">
        <v>2.2137608513774802E-3</v>
      </c>
    </row>
    <row r="355" spans="1:4" x14ac:dyDescent="0.5">
      <c r="A355" s="56" t="s">
        <v>1718</v>
      </c>
      <c r="B355" s="121">
        <v>1.92078887678703E-3</v>
      </c>
      <c r="C355" s="20">
        <v>1.0982617547630399E-3</v>
      </c>
      <c r="D355" s="20">
        <v>1.936278668102E-3</v>
      </c>
    </row>
    <row r="356" spans="1:4" x14ac:dyDescent="0.5">
      <c r="A356" s="56" t="s">
        <v>1719</v>
      </c>
      <c r="B356" s="121">
        <v>1.7146235323931499E-3</v>
      </c>
      <c r="C356" s="20">
        <v>1.0364290988488501E-3</v>
      </c>
      <c r="D356" s="20">
        <v>1.72334394336629E-3</v>
      </c>
    </row>
    <row r="357" spans="1:4" x14ac:dyDescent="0.5">
      <c r="A357" s="56" t="s">
        <v>1720</v>
      </c>
      <c r="B357" s="121">
        <v>1.65945102232299E-3</v>
      </c>
      <c r="C357" s="20">
        <v>9.8483415763845499E-4</v>
      </c>
      <c r="D357" s="20">
        <v>1.6665821614053201E-3</v>
      </c>
    </row>
    <row r="358" spans="1:4" x14ac:dyDescent="0.5">
      <c r="A358" s="56" t="s">
        <v>1721</v>
      </c>
      <c r="B358" s="121">
        <v>1.4837472023697001E-3</v>
      </c>
      <c r="C358" s="20">
        <v>9.2306161112160002E-4</v>
      </c>
      <c r="D358" s="20">
        <v>1.4856557210430599E-3</v>
      </c>
    </row>
    <row r="359" spans="1:4" x14ac:dyDescent="0.5">
      <c r="A359" s="56" t="s">
        <v>1722</v>
      </c>
      <c r="B359" s="121">
        <v>2.1017443963802802E-3</v>
      </c>
      <c r="C359" s="20">
        <v>8.8935749533795004E-4</v>
      </c>
      <c r="D359" s="20">
        <v>2.11372883443753E-3</v>
      </c>
    </row>
    <row r="360" spans="1:4" x14ac:dyDescent="0.5">
      <c r="A360" s="56" t="s">
        <v>1723</v>
      </c>
      <c r="B360" s="121">
        <v>2.2098564190602202E-3</v>
      </c>
      <c r="C360" s="20">
        <v>1.0213021420855E-3</v>
      </c>
      <c r="D360" s="20">
        <v>2.2279014303959901E-3</v>
      </c>
    </row>
    <row r="361" spans="1:4" x14ac:dyDescent="0.5">
      <c r="A361" s="56" t="s">
        <v>1724</v>
      </c>
      <c r="B361" s="121">
        <v>1.95412685425061E-3</v>
      </c>
      <c r="C361" s="20">
        <v>9.4454834646017405E-4</v>
      </c>
      <c r="D361" s="20">
        <v>1.9648042330621799E-3</v>
      </c>
    </row>
    <row r="362" spans="1:4" x14ac:dyDescent="0.5">
      <c r="A362" s="56" t="s">
        <v>1725</v>
      </c>
      <c r="B362" s="121">
        <v>1.7274771310081499E-3</v>
      </c>
      <c r="C362" s="20">
        <v>9.9380972069829511E-4</v>
      </c>
      <c r="D362" s="20">
        <v>1.7339767130755601E-3</v>
      </c>
    </row>
    <row r="363" spans="1:4" x14ac:dyDescent="0.5">
      <c r="A363" s="56" t="s">
        <v>1726</v>
      </c>
      <c r="B363" s="121">
        <v>1.7089433642550899E-3</v>
      </c>
      <c r="C363" s="20">
        <v>9.3764750247447902E-4</v>
      </c>
      <c r="D363" s="20">
        <v>1.7086883075251599E-3</v>
      </c>
    </row>
    <row r="364" spans="1:4" x14ac:dyDescent="0.5">
      <c r="A364" s="56" t="s">
        <v>1727</v>
      </c>
      <c r="B364" s="121">
        <v>2.24339739784133E-3</v>
      </c>
      <c r="C364" s="20">
        <v>9.37685334242238E-4</v>
      </c>
      <c r="D364" s="20">
        <v>2.2564652321194699E-3</v>
      </c>
    </row>
    <row r="365" spans="1:4" x14ac:dyDescent="0.5">
      <c r="A365" s="56" t="s">
        <v>1728</v>
      </c>
      <c r="B365" s="121">
        <v>1.9707597859616702E-3</v>
      </c>
      <c r="C365" s="20">
        <v>8.8399238122646804E-4</v>
      </c>
      <c r="D365" s="20">
        <v>1.97873034917957E-3</v>
      </c>
    </row>
    <row r="366" spans="1:4" x14ac:dyDescent="0.5">
      <c r="A366" s="56" t="s">
        <v>1729</v>
      </c>
      <c r="B366" s="121">
        <v>1.9811844817332301E-3</v>
      </c>
      <c r="C366" s="20">
        <v>8.2460684350927304E-4</v>
      </c>
      <c r="D366" s="20">
        <v>1.9821489317618599E-3</v>
      </c>
    </row>
    <row r="367" spans="1:4" x14ac:dyDescent="0.5">
      <c r="A367" s="56" t="s">
        <v>1730</v>
      </c>
      <c r="B367" s="121">
        <v>1.8845386665399999E-3</v>
      </c>
      <c r="C367" s="20">
        <v>7.9281714389611705E-4</v>
      </c>
      <c r="D367" s="20">
        <v>1.8877110530907499E-3</v>
      </c>
    </row>
    <row r="368" spans="1:4" x14ac:dyDescent="0.5">
      <c r="A368" s="56" t="s">
        <v>1731</v>
      </c>
      <c r="B368" s="121">
        <v>2.1727961360725702E-3</v>
      </c>
      <c r="C368" s="20">
        <v>8.7806736251268996E-4</v>
      </c>
      <c r="D368" s="20">
        <v>2.1844106047092401E-3</v>
      </c>
    </row>
    <row r="369" spans="1:4" x14ac:dyDescent="0.5">
      <c r="A369" s="56" t="s">
        <v>1732</v>
      </c>
      <c r="B369" s="121">
        <v>1.91711721022244E-3</v>
      </c>
      <c r="C369" s="20">
        <v>9.3368315309730202E-4</v>
      </c>
      <c r="D369" s="20">
        <v>1.9232255584204999E-3</v>
      </c>
    </row>
    <row r="370" spans="1:4" x14ac:dyDescent="0.5">
      <c r="A370" s="56" t="s">
        <v>1733</v>
      </c>
      <c r="B370" s="121">
        <v>2.28815465798757E-3</v>
      </c>
      <c r="C370" s="20">
        <v>9.0263415312285199E-4</v>
      </c>
      <c r="D370" s="20">
        <v>2.2894318642813099E-3</v>
      </c>
    </row>
    <row r="371" spans="1:4" x14ac:dyDescent="0.5">
      <c r="A371" s="56" t="s">
        <v>1734</v>
      </c>
      <c r="B371" s="121">
        <v>2.12524256276579E-3</v>
      </c>
      <c r="C371" s="20">
        <v>8.7078296655908598E-4</v>
      </c>
      <c r="D371" s="20">
        <v>2.1289359438801301E-3</v>
      </c>
    </row>
    <row r="372" spans="1:4" x14ac:dyDescent="0.5">
      <c r="A372" s="56" t="s">
        <v>1735</v>
      </c>
      <c r="B372" s="121">
        <v>2.1100687274651399E-3</v>
      </c>
      <c r="C372" s="20">
        <v>1.0593843671805E-3</v>
      </c>
      <c r="D372" s="20">
        <v>2.12031716801669E-3</v>
      </c>
    </row>
    <row r="373" spans="1:4" x14ac:dyDescent="0.5">
      <c r="A373" s="56" t="s">
        <v>1736</v>
      </c>
      <c r="B373" s="121">
        <v>2.0806407639940299E-3</v>
      </c>
      <c r="C373" s="20">
        <v>1.07642302479029E-3</v>
      </c>
      <c r="D373" s="20">
        <v>2.08521206136066E-3</v>
      </c>
    </row>
    <row r="374" spans="1:4" x14ac:dyDescent="0.5">
      <c r="A374" s="56" t="s">
        <v>1737</v>
      </c>
      <c r="B374" s="121">
        <v>2.1910344431341801E-3</v>
      </c>
      <c r="C374" s="20">
        <v>1.1347093837951901E-3</v>
      </c>
      <c r="D374" s="20">
        <v>2.1941963706760899E-3</v>
      </c>
    </row>
    <row r="375" spans="1:4" x14ac:dyDescent="0.5">
      <c r="A375" s="56" t="s">
        <v>1738</v>
      </c>
      <c r="B375" s="121">
        <v>1.92086182283929E-3</v>
      </c>
      <c r="C375" s="20">
        <v>1.0437533820753899E-3</v>
      </c>
      <c r="D375" s="20">
        <v>1.92092968399858E-3</v>
      </c>
    </row>
    <row r="376" spans="1:4" x14ac:dyDescent="0.5">
      <c r="A376" s="56" t="s">
        <v>1739</v>
      </c>
      <c r="B376" s="121">
        <v>1.7221574334031801E-3</v>
      </c>
      <c r="C376" s="20">
        <v>9.6447209439691505E-4</v>
      </c>
      <c r="D376" s="20">
        <v>1.7186844791047299E-3</v>
      </c>
    </row>
    <row r="377" spans="1:4" x14ac:dyDescent="0.5">
      <c r="A377" s="56" t="s">
        <v>1740</v>
      </c>
      <c r="B377" s="121">
        <v>1.6405197750809599E-3</v>
      </c>
      <c r="C377" s="20">
        <v>8.9822511839781803E-4</v>
      </c>
      <c r="D377" s="20">
        <v>1.63733413970484E-3</v>
      </c>
    </row>
    <row r="378" spans="1:4" x14ac:dyDescent="0.5">
      <c r="A378" s="56" t="s">
        <v>1741</v>
      </c>
      <c r="B378" s="121">
        <v>1.76598444638023E-3</v>
      </c>
      <c r="C378" s="20">
        <v>9.1848171130590596E-4</v>
      </c>
      <c r="D378" s="20">
        <v>1.7599132602503099E-3</v>
      </c>
    </row>
    <row r="379" spans="1:4" x14ac:dyDescent="0.5">
      <c r="A379" s="56" t="s">
        <v>1742</v>
      </c>
      <c r="B379" s="121">
        <v>1.7234644238204901E-3</v>
      </c>
      <c r="C379" s="20">
        <v>8.67108697324308E-4</v>
      </c>
      <c r="D379" s="20">
        <v>1.7170290566728601E-3</v>
      </c>
    </row>
    <row r="380" spans="1:4" x14ac:dyDescent="0.5">
      <c r="A380" s="56" t="s">
        <v>1743</v>
      </c>
      <c r="B380" s="121">
        <v>1.558770605725E-3</v>
      </c>
      <c r="C380" s="20">
        <v>8.1075939142308999E-4</v>
      </c>
      <c r="D380" s="20">
        <v>1.5506265217663101E-3</v>
      </c>
    </row>
    <row r="381" spans="1:4" x14ac:dyDescent="0.5">
      <c r="A381" s="56" t="s">
        <v>1744</v>
      </c>
      <c r="B381" s="121">
        <v>1.5233873603258099E-3</v>
      </c>
      <c r="C381" s="20">
        <v>8.9504668337318501E-4</v>
      </c>
      <c r="D381" s="20">
        <v>1.51714355908029E-3</v>
      </c>
    </row>
    <row r="382" spans="1:4" x14ac:dyDescent="0.5">
      <c r="A382" s="56" t="s">
        <v>1745</v>
      </c>
      <c r="B382" s="121">
        <v>1.5373959546378299E-3</v>
      </c>
      <c r="C382" s="20">
        <v>8.5290691396336697E-4</v>
      </c>
      <c r="D382" s="20">
        <v>1.5330405227659001E-3</v>
      </c>
    </row>
    <row r="383" spans="1:4" x14ac:dyDescent="0.5">
      <c r="A383" s="56" t="s">
        <v>1746</v>
      </c>
      <c r="B383" s="121">
        <v>1.3891456196463499E-3</v>
      </c>
      <c r="C383" s="20">
        <v>1.0263488758182099E-3</v>
      </c>
      <c r="D383" s="20">
        <v>1.3819831503121499E-3</v>
      </c>
    </row>
    <row r="384" spans="1:4" x14ac:dyDescent="0.5">
      <c r="A384" s="56" t="s">
        <v>1747</v>
      </c>
      <c r="B384" s="121">
        <v>1.2648964283061301E-3</v>
      </c>
      <c r="C384" s="20">
        <v>9.4911347967556003E-4</v>
      </c>
      <c r="D384" s="20">
        <v>1.2551127252222001E-3</v>
      </c>
    </row>
    <row r="385" spans="1:4" x14ac:dyDescent="0.5">
      <c r="A385" s="56" t="s">
        <v>1748</v>
      </c>
      <c r="B385" s="121">
        <v>1.5839447879037499E-3</v>
      </c>
      <c r="C385" s="20">
        <v>1.00728073452398E-3</v>
      </c>
      <c r="D385" s="20">
        <v>1.5764612662071699E-3</v>
      </c>
    </row>
    <row r="386" spans="1:4" x14ac:dyDescent="0.5">
      <c r="A386" s="56" t="s">
        <v>1749</v>
      </c>
      <c r="B386" s="121">
        <v>2.0206049595105201E-3</v>
      </c>
      <c r="C386" s="20">
        <v>9.7089086743245797E-4</v>
      </c>
      <c r="D386" s="20">
        <v>2.0151811512398999E-3</v>
      </c>
    </row>
    <row r="387" spans="1:4" x14ac:dyDescent="0.5">
      <c r="A387" s="56" t="s">
        <v>1750</v>
      </c>
      <c r="B387" s="121">
        <v>1.9821456224587701E-3</v>
      </c>
      <c r="C387" s="20">
        <v>9.1750731059989305E-4</v>
      </c>
      <c r="D387" s="20">
        <v>1.9743844735526099E-3</v>
      </c>
    </row>
    <row r="388" spans="1:4" x14ac:dyDescent="0.5">
      <c r="A388" s="56" t="s">
        <v>1751</v>
      </c>
      <c r="B388" s="121">
        <v>1.7728157863844899E-3</v>
      </c>
      <c r="C388" s="20">
        <v>1.0032889442888699E-3</v>
      </c>
      <c r="D388" s="20">
        <v>1.76446735541139E-3</v>
      </c>
    </row>
    <row r="389" spans="1:4" x14ac:dyDescent="0.5">
      <c r="A389" s="56" t="s">
        <v>1752</v>
      </c>
      <c r="B389" s="121">
        <v>1.87237551814378E-3</v>
      </c>
      <c r="C389" s="20">
        <v>9.5054335298811203E-4</v>
      </c>
      <c r="D389" s="20">
        <v>1.86288140270913E-3</v>
      </c>
    </row>
    <row r="390" spans="1:4" x14ac:dyDescent="0.5">
      <c r="A390" s="56" t="s">
        <v>1753</v>
      </c>
      <c r="B390" s="121">
        <v>1.8228983787217201E-3</v>
      </c>
      <c r="C390" s="20">
        <v>1.20888852519443E-3</v>
      </c>
      <c r="D390" s="20">
        <v>1.81689484873318E-3</v>
      </c>
    </row>
    <row r="391" spans="1:4" x14ac:dyDescent="0.5">
      <c r="A391" s="56" t="s">
        <v>1754</v>
      </c>
      <c r="B391" s="121">
        <v>1.68164688865948E-3</v>
      </c>
      <c r="C391" s="20">
        <v>1.11614379168948E-3</v>
      </c>
      <c r="D391" s="20">
        <v>1.6738425336860401E-3</v>
      </c>
    </row>
    <row r="392" spans="1:4" x14ac:dyDescent="0.5">
      <c r="A392" s="56" t="s">
        <v>1755</v>
      </c>
      <c r="B392" s="121">
        <v>1.5799922173085901E-3</v>
      </c>
      <c r="C392" s="20">
        <v>1.0507617508569999E-3</v>
      </c>
      <c r="D392" s="20">
        <v>1.57235639964911E-3</v>
      </c>
    </row>
    <row r="393" spans="1:4" x14ac:dyDescent="0.5">
      <c r="A393" s="56" t="s">
        <v>1756</v>
      </c>
      <c r="B393" s="121">
        <v>1.50517235097605E-3</v>
      </c>
      <c r="C393" s="20">
        <v>1.20149807898448E-3</v>
      </c>
      <c r="D393" s="20">
        <v>1.49670850406381E-3</v>
      </c>
    </row>
    <row r="394" spans="1:4" x14ac:dyDescent="0.5">
      <c r="A394" s="56" t="s">
        <v>1757</v>
      </c>
      <c r="B394" s="121">
        <v>1.3816519103465601E-3</v>
      </c>
      <c r="C394" s="20">
        <v>1.11529386816217E-3</v>
      </c>
      <c r="D394" s="20">
        <v>1.37038794260438E-3</v>
      </c>
    </row>
    <row r="395" spans="1:4" x14ac:dyDescent="0.5">
      <c r="A395" s="56" t="s">
        <v>1758</v>
      </c>
      <c r="B395" s="121">
        <v>1.3106177873983299E-3</v>
      </c>
      <c r="C395" s="20">
        <v>1.0423268379800099E-3</v>
      </c>
      <c r="D395" s="20">
        <v>1.2982956834710301E-3</v>
      </c>
    </row>
    <row r="396" spans="1:4" x14ac:dyDescent="0.5">
      <c r="A396" s="56" t="s">
        <v>1759</v>
      </c>
      <c r="B396" s="121">
        <v>1.3824429142421501E-3</v>
      </c>
      <c r="C396" s="20">
        <v>9.6658667295857902E-4</v>
      </c>
      <c r="D396" s="20">
        <v>1.37057622133571E-3</v>
      </c>
    </row>
    <row r="397" spans="1:4" x14ac:dyDescent="0.5">
      <c r="A397" s="56" t="s">
        <v>1760</v>
      </c>
      <c r="B397" s="121">
        <v>1.26984357226843E-3</v>
      </c>
      <c r="C397" s="20">
        <v>9.1122711550717795E-4</v>
      </c>
      <c r="D397" s="20">
        <v>1.2555378104808701E-3</v>
      </c>
    </row>
    <row r="398" spans="1:4" x14ac:dyDescent="0.5">
      <c r="A398" s="56" t="s">
        <v>1761</v>
      </c>
      <c r="B398" s="121">
        <v>1.3991322395654399E-3</v>
      </c>
      <c r="C398" s="20">
        <v>9.3154819772906005E-4</v>
      </c>
      <c r="D398" s="20">
        <v>1.3880629296374901E-3</v>
      </c>
    </row>
    <row r="399" spans="1:4" x14ac:dyDescent="0.5">
      <c r="A399" s="56" t="s">
        <v>1762</v>
      </c>
      <c r="B399" s="121">
        <v>1.31746287218465E-3</v>
      </c>
      <c r="C399" s="20">
        <v>9.987727316271009E-4</v>
      </c>
      <c r="D399" s="20">
        <v>1.3057154889853199E-3</v>
      </c>
    </row>
    <row r="400" spans="1:4" x14ac:dyDescent="0.5">
      <c r="A400" s="56" t="s">
        <v>1763</v>
      </c>
      <c r="B400" s="121">
        <v>1.2611949602124399E-3</v>
      </c>
      <c r="C400" s="20">
        <v>9.7180058056872297E-4</v>
      </c>
      <c r="D400" s="20">
        <v>1.24657864674745E-3</v>
      </c>
    </row>
    <row r="401" spans="1:4" x14ac:dyDescent="0.5">
      <c r="A401" s="56" t="s">
        <v>1764</v>
      </c>
      <c r="B401" s="121">
        <v>1.4300785936036901E-3</v>
      </c>
      <c r="C401" s="20">
        <v>1.2863610190986701E-3</v>
      </c>
      <c r="D401" s="20">
        <v>1.4207588779305701E-3</v>
      </c>
    </row>
    <row r="402" spans="1:4" x14ac:dyDescent="0.5">
      <c r="A402" s="56" t="s">
        <v>1765</v>
      </c>
      <c r="B402" s="121">
        <v>1.29548255596554E-3</v>
      </c>
      <c r="C402" s="20">
        <v>1.1823096530534001E-3</v>
      </c>
      <c r="D402" s="20">
        <v>1.28329093516053E-3</v>
      </c>
    </row>
    <row r="403" spans="1:4" x14ac:dyDescent="0.5">
      <c r="A403" s="56" t="s">
        <v>1766</v>
      </c>
      <c r="B403" s="121">
        <v>1.1849672952854E-3</v>
      </c>
      <c r="C403" s="20">
        <v>1.10918088117233E-3</v>
      </c>
      <c r="D403" s="20">
        <v>1.1700252887551601E-3</v>
      </c>
    </row>
    <row r="404" spans="1:4" x14ac:dyDescent="0.5">
      <c r="A404" s="56" t="s">
        <v>1767</v>
      </c>
      <c r="B404" s="121">
        <v>1.0971086791879399E-3</v>
      </c>
      <c r="C404" s="20">
        <v>1.0236760399016699E-3</v>
      </c>
      <c r="D404" s="20">
        <v>1.0790352479788899E-3</v>
      </c>
    </row>
    <row r="405" spans="1:4" x14ac:dyDescent="0.5">
      <c r="A405" s="56" t="s">
        <v>1768</v>
      </c>
      <c r="B405" s="121">
        <v>1.1647645095934701E-3</v>
      </c>
      <c r="C405" s="20">
        <v>9.5354972351691103E-4</v>
      </c>
      <c r="D405" s="20">
        <v>1.1477743137886401E-3</v>
      </c>
    </row>
    <row r="406" spans="1:4" x14ac:dyDescent="0.5">
      <c r="A406" s="56" t="s">
        <v>1769</v>
      </c>
      <c r="B406" s="121">
        <v>1.1140623865003401E-3</v>
      </c>
      <c r="C406" s="20">
        <v>9.1737621434121396E-4</v>
      </c>
      <c r="D406" s="20">
        <v>1.09562188204788E-3</v>
      </c>
    </row>
    <row r="407" spans="1:4" x14ac:dyDescent="0.5">
      <c r="A407" s="56" t="s">
        <v>1770</v>
      </c>
      <c r="B407" s="121">
        <v>1.0465391234509599E-3</v>
      </c>
      <c r="C407" s="20">
        <v>8.7511072575959903E-4</v>
      </c>
      <c r="D407" s="20">
        <v>1.02540768050145E-3</v>
      </c>
    </row>
    <row r="408" spans="1:4" x14ac:dyDescent="0.5">
      <c r="A408" s="56" t="s">
        <v>1771</v>
      </c>
      <c r="B408" s="121">
        <v>1.09144190800621E-3</v>
      </c>
      <c r="C408" s="20">
        <v>9.2328505041888698E-4</v>
      </c>
      <c r="D408" s="20">
        <v>1.07104972519195E-3</v>
      </c>
    </row>
    <row r="409" spans="1:4" x14ac:dyDescent="0.5">
      <c r="A409" s="56" t="s">
        <v>1772</v>
      </c>
      <c r="B409" s="121">
        <v>1.0546108451098401E-3</v>
      </c>
      <c r="C409" s="20">
        <v>8.7415338208495397E-4</v>
      </c>
      <c r="D409" s="20">
        <v>1.0320124306339299E-3</v>
      </c>
    </row>
    <row r="410" spans="1:4" x14ac:dyDescent="0.5">
      <c r="A410" s="56" t="s">
        <v>1773</v>
      </c>
      <c r="B410" s="121">
        <v>1.3211445240630399E-3</v>
      </c>
      <c r="C410" s="20">
        <v>1.0286158568119099E-3</v>
      </c>
      <c r="D410" s="20">
        <v>1.30142794520294E-3</v>
      </c>
    </row>
    <row r="411" spans="1:4" x14ac:dyDescent="0.5">
      <c r="A411" s="56" t="s">
        <v>1774</v>
      </c>
      <c r="B411" s="121">
        <v>1.20868760057178E-3</v>
      </c>
      <c r="C411" s="20">
        <v>9.6147034870582005E-4</v>
      </c>
      <c r="D411" s="20">
        <v>1.1878846993974099E-3</v>
      </c>
    </row>
    <row r="412" spans="1:4" x14ac:dyDescent="0.5">
      <c r="A412" s="56" t="s">
        <v>1775</v>
      </c>
      <c r="B412" s="121">
        <v>1.1292983884141699E-3</v>
      </c>
      <c r="C412" s="20">
        <v>8.9530124521683798E-4</v>
      </c>
      <c r="D412" s="20">
        <v>1.10760641796029E-3</v>
      </c>
    </row>
    <row r="413" spans="1:4" x14ac:dyDescent="0.5">
      <c r="A413" s="56" t="s">
        <v>1776</v>
      </c>
      <c r="B413" s="121">
        <v>1.11005209941316E-3</v>
      </c>
      <c r="C413" s="20">
        <v>8.6687277404536305E-4</v>
      </c>
      <c r="D413" s="20">
        <v>1.0886112883188601E-3</v>
      </c>
    </row>
    <row r="414" spans="1:4" x14ac:dyDescent="0.5">
      <c r="A414" s="56" t="s">
        <v>1777</v>
      </c>
      <c r="B414" s="121">
        <v>1.793812413389E-3</v>
      </c>
      <c r="C414" s="20">
        <v>8.3763776556147296E-4</v>
      </c>
      <c r="D414" s="20">
        <v>1.7799881467125099E-3</v>
      </c>
    </row>
    <row r="415" spans="1:4" x14ac:dyDescent="0.5">
      <c r="A415" s="56" t="s">
        <v>1778</v>
      </c>
      <c r="B415" s="121">
        <v>1.5969959748793801E-3</v>
      </c>
      <c r="C415" s="20">
        <v>8.0099035994858896E-4</v>
      </c>
      <c r="D415" s="20">
        <v>1.5830643526948201E-3</v>
      </c>
    </row>
    <row r="416" spans="1:4" x14ac:dyDescent="0.5">
      <c r="A416" s="56" t="s">
        <v>1779</v>
      </c>
      <c r="B416" s="121">
        <v>1.48829434179136E-3</v>
      </c>
      <c r="C416" s="20">
        <v>7.6016742619488501E-4</v>
      </c>
      <c r="D416" s="20">
        <v>1.47148705857251E-3</v>
      </c>
    </row>
    <row r="417" spans="1:4" x14ac:dyDescent="0.5">
      <c r="A417" s="56" t="s">
        <v>1780</v>
      </c>
      <c r="B417" s="121">
        <v>1.41670366417524E-3</v>
      </c>
      <c r="C417" s="20">
        <v>7.1688438870116705E-4</v>
      </c>
      <c r="D417" s="20">
        <v>1.39956304564125E-3</v>
      </c>
    </row>
    <row r="418" spans="1:4" x14ac:dyDescent="0.5">
      <c r="A418" s="56" t="s">
        <v>1781</v>
      </c>
      <c r="B418" s="121">
        <v>1.36022313966067E-3</v>
      </c>
      <c r="C418" s="20">
        <v>7.1345321006928105E-4</v>
      </c>
      <c r="D418" s="20">
        <v>1.34558643394923E-3</v>
      </c>
    </row>
    <row r="419" spans="1:4" x14ac:dyDescent="0.5">
      <c r="A419" s="56" t="s">
        <v>1782</v>
      </c>
      <c r="B419" s="121">
        <v>1.2604047578098599E-3</v>
      </c>
      <c r="C419" s="20">
        <v>8.1044427142058502E-4</v>
      </c>
      <c r="D419" s="20">
        <v>1.2444969932031899E-3</v>
      </c>
    </row>
    <row r="420" spans="1:4" x14ac:dyDescent="0.5">
      <c r="A420" s="56" t="s">
        <v>1783</v>
      </c>
      <c r="B420" s="121">
        <v>1.2757405850306401E-3</v>
      </c>
      <c r="C420" s="20">
        <v>7.8474151149394902E-4</v>
      </c>
      <c r="D420" s="20">
        <v>1.2596920958748801E-3</v>
      </c>
    </row>
    <row r="421" spans="1:4" x14ac:dyDescent="0.5">
      <c r="A421" s="56" t="s">
        <v>1784</v>
      </c>
      <c r="B421" s="121">
        <v>1.2435476505965599E-3</v>
      </c>
      <c r="C421" s="20">
        <v>9.5374976652822104E-4</v>
      </c>
      <c r="D421" s="20">
        <v>1.22802419971098E-3</v>
      </c>
    </row>
    <row r="422" spans="1:4" x14ac:dyDescent="0.5">
      <c r="A422" s="56" t="s">
        <v>1785</v>
      </c>
      <c r="B422" s="121">
        <v>1.7034806931379199E-3</v>
      </c>
      <c r="C422" s="20">
        <v>1.2253934757580399E-3</v>
      </c>
      <c r="D422" s="20">
        <v>1.6919116556350601E-3</v>
      </c>
    </row>
    <row r="423" spans="1:4" x14ac:dyDescent="0.5">
      <c r="A423" s="56" t="s">
        <v>1786</v>
      </c>
      <c r="B423" s="121">
        <v>1.5306068731012899E-3</v>
      </c>
      <c r="C423" s="20">
        <v>1.1277959025194301E-3</v>
      </c>
      <c r="D423" s="20">
        <v>1.5169528821770699E-3</v>
      </c>
    </row>
    <row r="424" spans="1:4" x14ac:dyDescent="0.5">
      <c r="A424" s="56" t="s">
        <v>1787</v>
      </c>
      <c r="B424" s="121">
        <v>1.5669828235767901E-3</v>
      </c>
      <c r="C424" s="20">
        <v>1.1532204731111999E-3</v>
      </c>
      <c r="D424" s="20">
        <v>1.55522707771166E-3</v>
      </c>
    </row>
    <row r="425" spans="1:4" x14ac:dyDescent="0.5">
      <c r="A425" s="56" t="s">
        <v>1788</v>
      </c>
      <c r="B425" s="121">
        <v>1.60871600767407E-3</v>
      </c>
      <c r="C425" s="20">
        <v>1.53229618187367E-3</v>
      </c>
      <c r="D425" s="20">
        <v>1.5996358416213001E-3</v>
      </c>
    </row>
    <row r="426" spans="1:4" x14ac:dyDescent="0.5">
      <c r="A426" s="56" t="s">
        <v>1789</v>
      </c>
      <c r="B426" s="121">
        <v>1.84532903868862E-3</v>
      </c>
      <c r="C426" s="20">
        <v>1.7199036226840101E-3</v>
      </c>
      <c r="D426" s="20">
        <v>1.8424673958064E-3</v>
      </c>
    </row>
    <row r="427" spans="1:4" x14ac:dyDescent="0.5">
      <c r="A427" s="56" t="s">
        <v>1790</v>
      </c>
      <c r="B427" s="121">
        <v>1.7038147586683999E-3</v>
      </c>
      <c r="C427" s="20">
        <v>1.64567984298759E-3</v>
      </c>
      <c r="D427" s="20">
        <v>1.6994237712129601E-3</v>
      </c>
    </row>
    <row r="428" spans="1:4" x14ac:dyDescent="0.5">
      <c r="A428" s="56" t="s">
        <v>1791</v>
      </c>
      <c r="B428" s="121">
        <v>1.5633787765189E-3</v>
      </c>
      <c r="C428" s="20">
        <v>1.5598836784684301E-3</v>
      </c>
      <c r="D428" s="20">
        <v>1.5574354731574399E-3</v>
      </c>
    </row>
    <row r="429" spans="1:4" x14ac:dyDescent="0.5">
      <c r="A429" s="56" t="s">
        <v>1792</v>
      </c>
      <c r="B429" s="121">
        <v>1.4053427018092201E-3</v>
      </c>
      <c r="C429" s="20">
        <v>1.4174749163822001E-3</v>
      </c>
      <c r="D429" s="20">
        <v>1.39638666635299E-3</v>
      </c>
    </row>
    <row r="430" spans="1:4" x14ac:dyDescent="0.5">
      <c r="A430" s="56" t="s">
        <v>1793</v>
      </c>
      <c r="B430" s="121">
        <v>1.30747826021317E-3</v>
      </c>
      <c r="C430" s="20">
        <v>1.29639010528905E-3</v>
      </c>
      <c r="D430" s="20">
        <v>1.29727239298128E-3</v>
      </c>
    </row>
    <row r="431" spans="1:4" x14ac:dyDescent="0.5">
      <c r="A431" s="56" t="s">
        <v>1794</v>
      </c>
      <c r="B431" s="121">
        <v>1.3501015231873401E-3</v>
      </c>
      <c r="C431" s="20">
        <v>1.27062852823596E-3</v>
      </c>
      <c r="D431" s="20">
        <v>1.3387077296460801E-3</v>
      </c>
    </row>
    <row r="432" spans="1:4" x14ac:dyDescent="0.5">
      <c r="A432" s="56" t="s">
        <v>1795</v>
      </c>
      <c r="B432" s="121">
        <v>1.3200289203457801E-3</v>
      </c>
      <c r="C432" s="20">
        <v>1.3042938880048799E-3</v>
      </c>
      <c r="D432" s="20">
        <v>1.3076843111559299E-3</v>
      </c>
    </row>
    <row r="433" spans="1:4" x14ac:dyDescent="0.5">
      <c r="A433" s="56" t="s">
        <v>1796</v>
      </c>
      <c r="B433" s="121">
        <v>1.24068977832469E-3</v>
      </c>
      <c r="C433" s="20">
        <v>1.3569502588657799E-3</v>
      </c>
      <c r="D433" s="20">
        <v>1.2263745384285499E-3</v>
      </c>
    </row>
    <row r="434" spans="1:4" x14ac:dyDescent="0.5">
      <c r="A434" s="56" t="s">
        <v>1797</v>
      </c>
      <c r="B434" s="121">
        <v>1.22305962783313E-3</v>
      </c>
      <c r="C434" s="20">
        <v>1.25476475711391E-3</v>
      </c>
      <c r="D434" s="20">
        <v>1.20798018669739E-3</v>
      </c>
    </row>
    <row r="435" spans="1:4" x14ac:dyDescent="0.5">
      <c r="A435" s="56" t="s">
        <v>1798</v>
      </c>
      <c r="B435" s="121">
        <v>1.18989684753093E-3</v>
      </c>
      <c r="C435" s="20">
        <v>1.3369653408142901E-3</v>
      </c>
      <c r="D435" s="20">
        <v>1.1739928807787501E-3</v>
      </c>
    </row>
    <row r="436" spans="1:4" x14ac:dyDescent="0.5">
      <c r="A436" s="56" t="s">
        <v>1799</v>
      </c>
      <c r="B436" s="121">
        <v>1.2802580281480801E-3</v>
      </c>
      <c r="C436" s="20">
        <v>1.3008707785618801E-3</v>
      </c>
      <c r="D436" s="20">
        <v>1.2637680183594699E-3</v>
      </c>
    </row>
    <row r="437" spans="1:4" x14ac:dyDescent="0.5">
      <c r="A437" s="56" t="s">
        <v>1800</v>
      </c>
      <c r="B437" s="121">
        <v>1.1726262965883101E-3</v>
      </c>
      <c r="C437" s="20">
        <v>1.3187663974711401E-3</v>
      </c>
      <c r="D437" s="20">
        <v>1.1542553508856999E-3</v>
      </c>
    </row>
    <row r="438" spans="1:4" x14ac:dyDescent="0.5">
      <c r="A438" s="56" t="s">
        <v>1801</v>
      </c>
      <c r="B438" s="121">
        <v>1.3322771983982E-3</v>
      </c>
      <c r="C438" s="20">
        <v>1.3953841054234299E-3</v>
      </c>
      <c r="D438" s="20">
        <v>1.31037632975862E-3</v>
      </c>
    </row>
    <row r="439" spans="1:4" x14ac:dyDescent="0.5">
      <c r="A439" s="56" t="s">
        <v>1802</v>
      </c>
      <c r="B439" s="121">
        <v>1.2377681718434301E-3</v>
      </c>
      <c r="C439" s="20">
        <v>1.3323880297741899E-3</v>
      </c>
      <c r="D439" s="20">
        <v>1.2152321274406801E-3</v>
      </c>
    </row>
    <row r="440" spans="1:4" x14ac:dyDescent="0.5">
      <c r="A440" s="56" t="s">
        <v>1803</v>
      </c>
      <c r="B440" s="121">
        <v>1.1548746621812701E-3</v>
      </c>
      <c r="C440" s="20">
        <v>1.21677589372964E-3</v>
      </c>
      <c r="D440" s="20">
        <v>1.1312756687471199E-3</v>
      </c>
    </row>
    <row r="441" spans="1:4" x14ac:dyDescent="0.5">
      <c r="A441" s="56" t="s">
        <v>1804</v>
      </c>
      <c r="B441" s="121">
        <v>1.65676834851695E-3</v>
      </c>
      <c r="C441" s="20">
        <v>1.2929828535177699E-3</v>
      </c>
      <c r="D441" s="20">
        <v>1.6381406712494299E-3</v>
      </c>
    </row>
    <row r="442" spans="1:4" x14ac:dyDescent="0.5">
      <c r="A442" s="56" t="s">
        <v>1805</v>
      </c>
      <c r="B442" s="121">
        <v>2.5108047685603401E-3</v>
      </c>
      <c r="C442" s="20">
        <v>2.17679068901949E-3</v>
      </c>
      <c r="D442" s="20">
        <v>2.5006461201275499E-3</v>
      </c>
    </row>
    <row r="443" spans="1:4" x14ac:dyDescent="0.5">
      <c r="A443" s="56" t="s">
        <v>1806</v>
      </c>
      <c r="B443" s="121">
        <v>3.2517325633008502E-3</v>
      </c>
      <c r="C443" s="20">
        <v>2.3588500914306799E-3</v>
      </c>
      <c r="D443" s="20">
        <v>3.2500055608304999E-3</v>
      </c>
    </row>
    <row r="444" spans="1:4" x14ac:dyDescent="0.5">
      <c r="A444" s="56" t="s">
        <v>1807</v>
      </c>
      <c r="B444" s="121">
        <v>3.1303771664036601E-3</v>
      </c>
      <c r="C444" s="20">
        <v>2.5150517193658702E-3</v>
      </c>
      <c r="D444" s="20">
        <v>3.1461777208835798E-3</v>
      </c>
    </row>
    <row r="445" spans="1:4" x14ac:dyDescent="0.5">
      <c r="A445" s="56" t="s">
        <v>1808</v>
      </c>
      <c r="B445" s="121">
        <v>2.6977940264144898E-3</v>
      </c>
      <c r="C445" s="20">
        <v>2.2899931287834801E-3</v>
      </c>
      <c r="D445" s="20">
        <v>2.71328019312728E-3</v>
      </c>
    </row>
    <row r="446" spans="1:4" x14ac:dyDescent="0.5">
      <c r="A446" s="56" t="s">
        <v>1809</v>
      </c>
      <c r="B446" s="121">
        <v>2.7685158198247602E-3</v>
      </c>
      <c r="C446" s="20">
        <v>2.2276524168091702E-3</v>
      </c>
      <c r="D446" s="20">
        <v>2.78292079845685E-3</v>
      </c>
    </row>
    <row r="447" spans="1:4" x14ac:dyDescent="0.5">
      <c r="A447" s="56" t="s">
        <v>1810</v>
      </c>
      <c r="B447" s="121">
        <v>2.3980529749454498E-3</v>
      </c>
      <c r="C447" s="20">
        <v>2.00611129304526E-3</v>
      </c>
      <c r="D447" s="20">
        <v>2.4085433904375902E-3</v>
      </c>
    </row>
    <row r="448" spans="1:4" x14ac:dyDescent="0.5">
      <c r="A448" s="56" t="s">
        <v>1811</v>
      </c>
      <c r="B448" s="121">
        <v>3.3194820289222998E-3</v>
      </c>
      <c r="C448" s="20">
        <v>2.3250574249756798E-3</v>
      </c>
      <c r="D448" s="20">
        <v>3.35050809915108E-3</v>
      </c>
    </row>
    <row r="449" spans="1:4" x14ac:dyDescent="0.5">
      <c r="A449" s="56" t="s">
        <v>1812</v>
      </c>
      <c r="B449" s="121">
        <v>2.8462207598182001E-3</v>
      </c>
      <c r="C449" s="20">
        <v>2.1445678176264201E-3</v>
      </c>
      <c r="D449" s="20">
        <v>2.8735322473883202E-3</v>
      </c>
    </row>
    <row r="450" spans="1:4" x14ac:dyDescent="0.5">
      <c r="A450" s="56" t="s">
        <v>1813</v>
      </c>
      <c r="B450" s="121">
        <v>2.64626126951422E-3</v>
      </c>
      <c r="C450" s="20">
        <v>2.17931117467771E-3</v>
      </c>
      <c r="D450" s="20">
        <v>2.67658960730625E-3</v>
      </c>
    </row>
    <row r="451" spans="1:4" x14ac:dyDescent="0.5">
      <c r="A451" s="56" t="s">
        <v>1814</v>
      </c>
      <c r="B451" s="121">
        <v>2.4523826424870799E-3</v>
      </c>
      <c r="C451" s="20">
        <v>2.0364986939014999E-3</v>
      </c>
      <c r="D451" s="20">
        <v>2.4772357835731599E-3</v>
      </c>
    </row>
    <row r="452" spans="1:4" x14ac:dyDescent="0.5">
      <c r="A452" s="56" t="s">
        <v>1815</v>
      </c>
      <c r="B452" s="121">
        <v>2.2215609317458398E-3</v>
      </c>
      <c r="C452" s="20">
        <v>1.8464198482204201E-3</v>
      </c>
      <c r="D452" s="20">
        <v>2.2441587005580499E-3</v>
      </c>
    </row>
    <row r="453" spans="1:4" x14ac:dyDescent="0.5">
      <c r="A453" s="56" t="s">
        <v>1816</v>
      </c>
      <c r="B453" s="121">
        <v>2.14528831053637E-3</v>
      </c>
      <c r="C453" s="20">
        <v>1.69518508996625E-3</v>
      </c>
      <c r="D453" s="20">
        <v>2.1701708368073898E-3</v>
      </c>
    </row>
    <row r="454" spans="1:4" x14ac:dyDescent="0.5">
      <c r="A454" s="56" t="s">
        <v>1817</v>
      </c>
      <c r="B454" s="121">
        <v>1.89276589820755E-3</v>
      </c>
      <c r="C454" s="20">
        <v>1.53330126546952E-3</v>
      </c>
      <c r="D454" s="20">
        <v>1.91216718800842E-3</v>
      </c>
    </row>
    <row r="455" spans="1:4" x14ac:dyDescent="0.5">
      <c r="A455" s="56" t="s">
        <v>1818</v>
      </c>
      <c r="B455" s="121">
        <v>1.7739566217612501E-3</v>
      </c>
      <c r="C455" s="20">
        <v>1.42709015903201E-3</v>
      </c>
      <c r="D455" s="20">
        <v>1.7880798818294601E-3</v>
      </c>
    </row>
    <row r="456" spans="1:4" x14ac:dyDescent="0.5">
      <c r="A456" s="56" t="s">
        <v>1819</v>
      </c>
      <c r="B456" s="121">
        <v>1.5938832119939501E-3</v>
      </c>
      <c r="C456" s="20">
        <v>1.30345777149657E-3</v>
      </c>
      <c r="D456" s="20">
        <v>1.60071295749832E-3</v>
      </c>
    </row>
    <row r="457" spans="1:4" x14ac:dyDescent="0.5">
      <c r="A457" s="56" t="s">
        <v>1820</v>
      </c>
      <c r="B457" s="121">
        <v>1.6908080786805001E-3</v>
      </c>
      <c r="C457" s="20">
        <v>1.3351227523911099E-3</v>
      </c>
      <c r="D457" s="20">
        <v>1.69846536795778E-3</v>
      </c>
    </row>
    <row r="458" spans="1:4" x14ac:dyDescent="0.5">
      <c r="A458" s="56" t="s">
        <v>1821</v>
      </c>
      <c r="B458" s="121">
        <v>1.55263953058762E-3</v>
      </c>
      <c r="C458" s="20">
        <v>1.3236281456472101E-3</v>
      </c>
      <c r="D458" s="20">
        <v>1.5543163257387099E-3</v>
      </c>
    </row>
    <row r="459" spans="1:4" x14ac:dyDescent="0.5">
      <c r="A459" s="56" t="s">
        <v>1822</v>
      </c>
      <c r="B459" s="121">
        <v>1.47931462747061E-3</v>
      </c>
      <c r="C459" s="20">
        <v>1.2171222368403999E-3</v>
      </c>
      <c r="D459" s="20">
        <v>1.4796782062818899E-3</v>
      </c>
    </row>
    <row r="460" spans="1:4" x14ac:dyDescent="0.5">
      <c r="A460" s="56" t="s">
        <v>1823</v>
      </c>
      <c r="B460" s="121">
        <v>1.3552615615000001E-3</v>
      </c>
      <c r="C460" s="20">
        <v>1.13547883045953E-3</v>
      </c>
      <c r="D460" s="20">
        <v>1.3513537150539299E-3</v>
      </c>
    </row>
    <row r="461" spans="1:4" x14ac:dyDescent="0.5">
      <c r="A461" s="56" t="s">
        <v>1824</v>
      </c>
      <c r="B461" s="121">
        <v>1.27632014991548E-3</v>
      </c>
      <c r="C461" s="20">
        <v>1.1173366853886499E-3</v>
      </c>
      <c r="D461" s="20">
        <v>1.2709787278265201E-3</v>
      </c>
    </row>
    <row r="462" spans="1:4" x14ac:dyDescent="0.5">
      <c r="A462" s="56" t="s">
        <v>1825</v>
      </c>
      <c r="B462" s="121">
        <v>1.2237957519049701E-3</v>
      </c>
      <c r="C462" s="20">
        <v>1.03396388426532E-3</v>
      </c>
      <c r="D462" s="20">
        <v>1.2166617106645101E-3</v>
      </c>
    </row>
    <row r="463" spans="1:4" x14ac:dyDescent="0.5">
      <c r="A463" s="56" t="s">
        <v>1826</v>
      </c>
      <c r="B463" s="121">
        <v>1.1328634209926E-3</v>
      </c>
      <c r="C463" s="20">
        <v>9.5598427600874299E-4</v>
      </c>
      <c r="D463" s="20">
        <v>1.1219524749814501E-3</v>
      </c>
    </row>
    <row r="464" spans="1:4" x14ac:dyDescent="0.5">
      <c r="A464" s="56" t="s">
        <v>1827</v>
      </c>
      <c r="B464" s="121">
        <v>1.06164072289958E-3</v>
      </c>
      <c r="C464" s="20">
        <v>8.9539902651975803E-4</v>
      </c>
      <c r="D464" s="20">
        <v>1.0485105990975E-3</v>
      </c>
    </row>
    <row r="465" spans="1:4" x14ac:dyDescent="0.5">
      <c r="A465" s="56" t="s">
        <v>1828</v>
      </c>
      <c r="B465" s="121">
        <v>9.9235258196066494E-4</v>
      </c>
      <c r="C465" s="20">
        <v>8.3471276029545695E-4</v>
      </c>
      <c r="D465" s="20">
        <v>9.7599870251163399E-4</v>
      </c>
    </row>
    <row r="466" spans="1:4" x14ac:dyDescent="0.5">
      <c r="A466" s="56" t="s">
        <v>1829</v>
      </c>
      <c r="B466" s="121">
        <v>9.4786715327431796E-4</v>
      </c>
      <c r="C466" s="20">
        <v>7.8178041578594803E-4</v>
      </c>
      <c r="D466" s="20">
        <v>9.2845816125742403E-4</v>
      </c>
    </row>
    <row r="467" spans="1:4" x14ac:dyDescent="0.5">
      <c r="A467" s="56" t="s">
        <v>1830</v>
      </c>
      <c r="B467" s="121">
        <v>9.1439924116808505E-4</v>
      </c>
      <c r="C467" s="20">
        <v>7.7116414794598605E-4</v>
      </c>
      <c r="D467" s="20">
        <v>8.9404953514263599E-4</v>
      </c>
    </row>
    <row r="468" spans="1:4" x14ac:dyDescent="0.5">
      <c r="A468" s="56" t="s">
        <v>1831</v>
      </c>
      <c r="B468" s="121">
        <v>8.9343591817912197E-4</v>
      </c>
      <c r="C468" s="20">
        <v>9.1417238607322698E-4</v>
      </c>
      <c r="D468" s="20">
        <v>8.7150050834264401E-4</v>
      </c>
    </row>
    <row r="469" spans="1:4" x14ac:dyDescent="0.5">
      <c r="A469" s="56" t="s">
        <v>1832</v>
      </c>
      <c r="B469" s="121">
        <v>8.9645551599291603E-4</v>
      </c>
      <c r="C469" s="20">
        <v>8.5129967025601597E-4</v>
      </c>
      <c r="D469" s="20">
        <v>8.7207173552836703E-4</v>
      </c>
    </row>
    <row r="470" spans="1:4" x14ac:dyDescent="0.5">
      <c r="A470" s="56" t="s">
        <v>1833</v>
      </c>
      <c r="B470" s="121">
        <v>9.2973011931766103E-4</v>
      </c>
      <c r="C470" s="20">
        <v>8.1102615833033697E-4</v>
      </c>
      <c r="D470" s="20">
        <v>9.0496238739916205E-4</v>
      </c>
    </row>
    <row r="471" spans="1:4" x14ac:dyDescent="0.5">
      <c r="A471" s="56" t="s">
        <v>1834</v>
      </c>
      <c r="B471" s="121">
        <v>8.8536061379814401E-4</v>
      </c>
      <c r="C471" s="20">
        <v>7.7478799851925099E-4</v>
      </c>
      <c r="D471" s="20">
        <v>8.5905659778108101E-4</v>
      </c>
    </row>
    <row r="472" spans="1:4" x14ac:dyDescent="0.5">
      <c r="A472" s="56" t="s">
        <v>1835</v>
      </c>
      <c r="B472" s="121">
        <v>8.5192137917402004E-4</v>
      </c>
      <c r="C472" s="20">
        <v>7.3348490694227005E-4</v>
      </c>
      <c r="D472" s="20">
        <v>8.2393811544196499E-4</v>
      </c>
    </row>
    <row r="473" spans="1:4" x14ac:dyDescent="0.5">
      <c r="A473" s="56" t="s">
        <v>1836</v>
      </c>
      <c r="B473" s="121">
        <v>8.2017721963595195E-4</v>
      </c>
      <c r="C473" s="20">
        <v>6.9443926099367105E-4</v>
      </c>
      <c r="D473" s="20">
        <v>7.9087597610731403E-4</v>
      </c>
    </row>
    <row r="474" spans="1:4" x14ac:dyDescent="0.5">
      <c r="A474" s="56" t="s">
        <v>1837</v>
      </c>
      <c r="B474" s="121">
        <v>8.9904077291666897E-4</v>
      </c>
      <c r="C474" s="20">
        <v>7.6925318775411999E-4</v>
      </c>
      <c r="D474" s="20">
        <v>8.6962529971923897E-4</v>
      </c>
    </row>
    <row r="475" spans="1:4" x14ac:dyDescent="0.5">
      <c r="A475" s="56" t="s">
        <v>1838</v>
      </c>
      <c r="B475" s="121">
        <v>8.5993581343304297E-4</v>
      </c>
      <c r="C475" s="20">
        <v>7.2594158465741397E-4</v>
      </c>
      <c r="D475" s="20">
        <v>8.29713435659435E-4</v>
      </c>
    </row>
    <row r="476" spans="1:4" x14ac:dyDescent="0.5">
      <c r="A476" s="56" t="s">
        <v>1839</v>
      </c>
      <c r="B476" s="121">
        <v>8.7720944245745598E-4</v>
      </c>
      <c r="C476" s="20">
        <v>6.8820883747183498E-4</v>
      </c>
      <c r="D476" s="20">
        <v>8.4434659780352895E-4</v>
      </c>
    </row>
    <row r="477" spans="1:4" x14ac:dyDescent="0.5">
      <c r="A477" s="56" t="s">
        <v>1840</v>
      </c>
      <c r="B477" s="121">
        <v>9.5271649713630103E-4</v>
      </c>
      <c r="C477" s="20">
        <v>6.5739129211823098E-4</v>
      </c>
      <c r="D477" s="20">
        <v>9.2085125257783504E-4</v>
      </c>
    </row>
    <row r="478" spans="1:4" x14ac:dyDescent="0.5">
      <c r="A478" s="56" t="s">
        <v>1841</v>
      </c>
      <c r="B478" s="121">
        <v>9.1404928154798502E-4</v>
      </c>
      <c r="C478" s="20">
        <v>6.4479119339646803E-4</v>
      </c>
      <c r="D478" s="20">
        <v>8.82027208978287E-4</v>
      </c>
    </row>
    <row r="479" spans="1:4" x14ac:dyDescent="0.5">
      <c r="A479" s="56" t="s">
        <v>1842</v>
      </c>
      <c r="B479" s="121">
        <v>1.24558329323826E-3</v>
      </c>
      <c r="C479" s="20">
        <v>7.7448184439040605E-4</v>
      </c>
      <c r="D479" s="20">
        <v>1.21156952590189E-3</v>
      </c>
    </row>
    <row r="480" spans="1:4" x14ac:dyDescent="0.5">
      <c r="A480" s="56" t="s">
        <v>1843</v>
      </c>
      <c r="B480" s="121">
        <v>1.15023335532061E-3</v>
      </c>
      <c r="C480" s="20">
        <v>7.3206251102048104E-4</v>
      </c>
      <c r="D480" s="20">
        <v>1.11760462228932E-3</v>
      </c>
    </row>
    <row r="481" spans="1:4" x14ac:dyDescent="0.5">
      <c r="A481" s="56" t="s">
        <v>1844</v>
      </c>
      <c r="B481" s="121">
        <v>1.1155962235406801E-3</v>
      </c>
      <c r="C481" s="20">
        <v>6.9415803224190105E-4</v>
      </c>
      <c r="D481" s="20">
        <v>1.0862062174033099E-3</v>
      </c>
    </row>
    <row r="482" spans="1:4" x14ac:dyDescent="0.5">
      <c r="A482" s="56" t="s">
        <v>1845</v>
      </c>
      <c r="B482" s="121">
        <v>1.125775441645E-3</v>
      </c>
      <c r="C482" s="20">
        <v>6.8088142945730396E-4</v>
      </c>
      <c r="D482" s="20">
        <v>1.0984124446735701E-3</v>
      </c>
    </row>
    <row r="483" spans="1:4" x14ac:dyDescent="0.5">
      <c r="A483" s="56" t="s">
        <v>1846</v>
      </c>
      <c r="B483" s="121">
        <v>1.10665896006565E-3</v>
      </c>
      <c r="C483" s="20">
        <v>6.5378414675485103E-4</v>
      </c>
      <c r="D483" s="20">
        <v>1.0797013190593399E-3</v>
      </c>
    </row>
    <row r="484" spans="1:4" x14ac:dyDescent="0.5">
      <c r="A484" s="56" t="s">
        <v>1847</v>
      </c>
      <c r="B484" s="121">
        <v>1.0429255282969E-3</v>
      </c>
      <c r="C484" s="20">
        <v>6.5222512529176002E-4</v>
      </c>
      <c r="D484" s="20">
        <v>1.014690093927E-3</v>
      </c>
    </row>
    <row r="485" spans="1:4" x14ac:dyDescent="0.5">
      <c r="A485" s="56" t="s">
        <v>1848</v>
      </c>
      <c r="B485" s="121">
        <v>9.7858859428181805E-4</v>
      </c>
      <c r="C485" s="20">
        <v>6.2555603353709496E-4</v>
      </c>
      <c r="D485" s="20">
        <v>9.4989619505025805E-4</v>
      </c>
    </row>
    <row r="486" spans="1:4" x14ac:dyDescent="0.5">
      <c r="A486" s="56" t="s">
        <v>1849</v>
      </c>
      <c r="B486" s="121">
        <v>9.24183942841963E-4</v>
      </c>
      <c r="C486" s="20">
        <v>7.26200570913538E-4</v>
      </c>
      <c r="D486" s="20">
        <v>8.9467499975668795E-4</v>
      </c>
    </row>
    <row r="487" spans="1:4" x14ac:dyDescent="0.5">
      <c r="A487" s="56" t="s">
        <v>1850</v>
      </c>
      <c r="B487" s="121">
        <v>9.2795919170690004E-4</v>
      </c>
      <c r="C487" s="20">
        <v>9.1663669102544202E-4</v>
      </c>
      <c r="D487" s="20">
        <v>8.9944646137291603E-4</v>
      </c>
    </row>
    <row r="488" spans="1:4" x14ac:dyDescent="0.5">
      <c r="A488" s="56" t="s">
        <v>1851</v>
      </c>
      <c r="B488" s="121">
        <v>9.7928783157317698E-4</v>
      </c>
      <c r="C488" s="20">
        <v>8.6394979572235696E-4</v>
      </c>
      <c r="D488" s="20">
        <v>9.4930970070659004E-4</v>
      </c>
    </row>
    <row r="489" spans="1:4" x14ac:dyDescent="0.5">
      <c r="A489" s="56" t="s">
        <v>1852</v>
      </c>
      <c r="B489" s="121">
        <v>9.54701461022602E-4</v>
      </c>
      <c r="C489" s="20">
        <v>8.2103694172180105E-4</v>
      </c>
      <c r="D489" s="20">
        <v>9.23955393719464E-4</v>
      </c>
    </row>
    <row r="490" spans="1:4" x14ac:dyDescent="0.5">
      <c r="A490" s="56" t="s">
        <v>1853</v>
      </c>
      <c r="B490" s="121">
        <v>1.31195326983265E-3</v>
      </c>
      <c r="C490" s="20">
        <v>9.0084389119745396E-4</v>
      </c>
      <c r="D490" s="20">
        <v>1.2814197616982999E-3</v>
      </c>
    </row>
    <row r="491" spans="1:4" x14ac:dyDescent="0.5">
      <c r="A491" s="56" t="s">
        <v>1854</v>
      </c>
      <c r="B491" s="121">
        <v>1.2637775882170801E-3</v>
      </c>
      <c r="C491" s="20">
        <v>9.0001621884272401E-4</v>
      </c>
      <c r="D491" s="20">
        <v>1.2336306652402399E-3</v>
      </c>
    </row>
    <row r="492" spans="1:4" x14ac:dyDescent="0.5">
      <c r="A492" s="56" t="s">
        <v>1855</v>
      </c>
      <c r="B492" s="121">
        <v>1.20866447092786E-3</v>
      </c>
      <c r="C492" s="20">
        <v>8.4112785246231601E-4</v>
      </c>
      <c r="D492" s="20">
        <v>1.17960555380068E-3</v>
      </c>
    </row>
    <row r="493" spans="1:4" x14ac:dyDescent="0.5">
      <c r="A493" s="56" t="s">
        <v>1856</v>
      </c>
      <c r="B493" s="121">
        <v>1.9479150523037899E-3</v>
      </c>
      <c r="C493" s="20">
        <v>1.7116357565773201E-3</v>
      </c>
      <c r="D493" s="20">
        <v>1.92255739963324E-3</v>
      </c>
    </row>
    <row r="494" spans="1:4" x14ac:dyDescent="0.5">
      <c r="A494" s="56" t="s">
        <v>1857</v>
      </c>
      <c r="B494" s="121">
        <v>1.75110720645032E-3</v>
      </c>
      <c r="C494" s="20">
        <v>1.71779227468332E-3</v>
      </c>
      <c r="D494" s="20">
        <v>1.72684003944163E-3</v>
      </c>
    </row>
    <row r="495" spans="1:4" x14ac:dyDescent="0.5">
      <c r="A495" s="56" t="s">
        <v>1858</v>
      </c>
      <c r="B495" s="121">
        <v>1.76206809305491E-3</v>
      </c>
      <c r="C495" s="20">
        <v>2.4040895897629701E-3</v>
      </c>
      <c r="D495" s="20">
        <v>1.7426731326105E-3</v>
      </c>
    </row>
    <row r="496" spans="1:4" x14ac:dyDescent="0.5">
      <c r="A496" s="56" t="s">
        <v>1859</v>
      </c>
      <c r="B496" s="121">
        <v>1.56733009002178E-3</v>
      </c>
      <c r="C496" s="20">
        <v>2.1794497108475002E-3</v>
      </c>
      <c r="D496" s="20">
        <v>1.5479399383738601E-3</v>
      </c>
    </row>
    <row r="497" spans="1:4" x14ac:dyDescent="0.5">
      <c r="A497" s="56" t="s">
        <v>1860</v>
      </c>
      <c r="B497" s="121">
        <v>1.4171299789123399E-3</v>
      </c>
      <c r="C497" s="20">
        <v>1.9773772610246899E-3</v>
      </c>
      <c r="D497" s="20">
        <v>1.3973372189532601E-3</v>
      </c>
    </row>
    <row r="498" spans="1:4" x14ac:dyDescent="0.5">
      <c r="A498" s="56" t="s">
        <v>1861</v>
      </c>
      <c r="B498" s="121">
        <v>1.9367823616188301E-3</v>
      </c>
      <c r="C498" s="20">
        <v>1.8203648349877899E-3</v>
      </c>
      <c r="D498" s="20">
        <v>1.9278079307801599E-3</v>
      </c>
    </row>
    <row r="499" spans="1:4" x14ac:dyDescent="0.5">
      <c r="A499" s="56" t="s">
        <v>1862</v>
      </c>
      <c r="B499" s="121">
        <v>1.7114749080480299E-3</v>
      </c>
      <c r="C499" s="20">
        <v>1.6978918501307401E-3</v>
      </c>
      <c r="D499" s="20">
        <v>1.70132099717713E-3</v>
      </c>
    </row>
    <row r="500" spans="1:4" x14ac:dyDescent="0.5">
      <c r="A500" s="56" t="s">
        <v>1863</v>
      </c>
      <c r="B500" s="121">
        <v>1.6536859328345E-3</v>
      </c>
      <c r="C500" s="20">
        <v>1.5524388594046199E-3</v>
      </c>
      <c r="D500" s="20">
        <v>1.6451407246948801E-3</v>
      </c>
    </row>
    <row r="501" spans="1:4" x14ac:dyDescent="0.5">
      <c r="A501" s="56" t="s">
        <v>1864</v>
      </c>
      <c r="B501" s="121">
        <v>1.6351352747662E-3</v>
      </c>
      <c r="C501" s="20">
        <v>1.42737758683891E-3</v>
      </c>
      <c r="D501" s="20">
        <v>1.62440178697683E-3</v>
      </c>
    </row>
    <row r="502" spans="1:4" x14ac:dyDescent="0.5">
      <c r="A502" s="56" t="s">
        <v>1865</v>
      </c>
      <c r="B502" s="121">
        <v>1.88313356563975E-3</v>
      </c>
      <c r="C502" s="20">
        <v>1.64914986887674E-3</v>
      </c>
      <c r="D502" s="20">
        <v>1.86924926298773E-3</v>
      </c>
    </row>
    <row r="503" spans="1:4" x14ac:dyDescent="0.5">
      <c r="A503" s="56" t="s">
        <v>1866</v>
      </c>
      <c r="B503" s="121">
        <v>1.6773886487803701E-3</v>
      </c>
      <c r="C503" s="20">
        <v>1.5373289494371499E-3</v>
      </c>
      <c r="D503" s="20">
        <v>1.66301006356346E-3</v>
      </c>
    </row>
    <row r="504" spans="1:4" x14ac:dyDescent="0.5">
      <c r="A504" s="56" t="s">
        <v>1867</v>
      </c>
      <c r="B504" s="121">
        <v>1.6751922935968899E-3</v>
      </c>
      <c r="C504" s="20">
        <v>1.4135851573302001E-3</v>
      </c>
      <c r="D504" s="20">
        <v>1.66409538750605E-3</v>
      </c>
    </row>
    <row r="505" spans="1:4" x14ac:dyDescent="0.5">
      <c r="A505" s="56" t="s">
        <v>1868</v>
      </c>
      <c r="B505" s="121">
        <v>1.5310595602525E-3</v>
      </c>
      <c r="C505" s="20">
        <v>1.3067827101280001E-3</v>
      </c>
      <c r="D505" s="20">
        <v>1.51839365502806E-3</v>
      </c>
    </row>
    <row r="506" spans="1:4" x14ac:dyDescent="0.5">
      <c r="A506" s="56" t="s">
        <v>1869</v>
      </c>
      <c r="B506" s="121">
        <v>1.46008581712275E-3</v>
      </c>
      <c r="C506" s="20">
        <v>1.20603502380897E-3</v>
      </c>
      <c r="D506" s="20">
        <v>1.44508792037725E-3</v>
      </c>
    </row>
    <row r="507" spans="1:4" x14ac:dyDescent="0.5">
      <c r="A507" s="56" t="s">
        <v>1870</v>
      </c>
      <c r="B507" s="121">
        <v>1.49271344276469E-3</v>
      </c>
      <c r="C507" s="20">
        <v>1.5421003005251701E-3</v>
      </c>
      <c r="D507" s="20">
        <v>1.47714528708761E-3</v>
      </c>
    </row>
    <row r="508" spans="1:4" x14ac:dyDescent="0.5">
      <c r="A508" s="56" t="s">
        <v>1871</v>
      </c>
      <c r="B508" s="121">
        <v>1.3471642522099401E-3</v>
      </c>
      <c r="C508" s="20">
        <v>1.4488013716579E-3</v>
      </c>
      <c r="D508" s="20">
        <v>1.33015322474779E-3</v>
      </c>
    </row>
    <row r="509" spans="1:4" x14ac:dyDescent="0.5">
      <c r="A509" s="56" t="s">
        <v>1872</v>
      </c>
      <c r="B509" s="121">
        <v>1.27363884567592E-3</v>
      </c>
      <c r="C509" s="20">
        <v>1.36405785474958E-3</v>
      </c>
      <c r="D509" s="20">
        <v>1.2540247794484401E-3</v>
      </c>
    </row>
    <row r="510" spans="1:4" x14ac:dyDescent="0.5">
      <c r="A510" s="56" t="s">
        <v>1873</v>
      </c>
      <c r="B510" s="121">
        <v>1.5074926109723201E-3</v>
      </c>
      <c r="C510" s="20">
        <v>1.24397275939143E-3</v>
      </c>
      <c r="D510" s="20">
        <v>1.4868079184290699E-3</v>
      </c>
    </row>
    <row r="511" spans="1:4" x14ac:dyDescent="0.5">
      <c r="A511" s="56" t="s">
        <v>1874</v>
      </c>
      <c r="B511" s="121">
        <v>1.5164219927355799E-3</v>
      </c>
      <c r="C511" s="20">
        <v>1.23745225209346E-3</v>
      </c>
      <c r="D511" s="20">
        <v>1.50067726982013E-3</v>
      </c>
    </row>
    <row r="512" spans="1:4" x14ac:dyDescent="0.5">
      <c r="A512" s="56" t="s">
        <v>1875</v>
      </c>
      <c r="B512" s="121">
        <v>1.3661162480103301E-3</v>
      </c>
      <c r="C512" s="20">
        <v>1.3684103943316899E-3</v>
      </c>
      <c r="D512" s="20">
        <v>1.3488497690550801E-3</v>
      </c>
    </row>
    <row r="513" spans="1:4" x14ac:dyDescent="0.5">
      <c r="A513" s="56" t="s">
        <v>1876</v>
      </c>
      <c r="B513" s="121">
        <v>1.9483518276433001E-3</v>
      </c>
      <c r="C513" s="20">
        <v>1.28991073246583E-3</v>
      </c>
      <c r="D513" s="20">
        <v>1.9422171559296301E-3</v>
      </c>
    </row>
    <row r="514" spans="1:4" x14ac:dyDescent="0.5">
      <c r="A514" s="56" t="s">
        <v>1877</v>
      </c>
      <c r="B514" s="121">
        <v>1.7238796252190701E-3</v>
      </c>
      <c r="C514" s="20">
        <v>1.1989100695026099E-3</v>
      </c>
      <c r="D514" s="20">
        <v>1.71601590084061E-3</v>
      </c>
    </row>
    <row r="515" spans="1:4" x14ac:dyDescent="0.5">
      <c r="A515" s="56" t="s">
        <v>1878</v>
      </c>
      <c r="B515" s="121">
        <v>1.5360641368069E-3</v>
      </c>
      <c r="C515" s="20">
        <v>1.67007100595181E-3</v>
      </c>
      <c r="D515" s="20">
        <v>1.5259854821535E-3</v>
      </c>
    </row>
    <row r="516" spans="1:4" x14ac:dyDescent="0.5">
      <c r="A516" s="56" t="s">
        <v>1879</v>
      </c>
      <c r="B516" s="121">
        <v>1.47456149702159E-3</v>
      </c>
      <c r="C516" s="20">
        <v>1.5349978833053301E-3</v>
      </c>
      <c r="D516" s="20">
        <v>1.4628505730026799E-3</v>
      </c>
    </row>
    <row r="517" spans="1:4" x14ac:dyDescent="0.5">
      <c r="A517" s="56" t="s">
        <v>1880</v>
      </c>
      <c r="B517" s="121">
        <v>1.3385453086638801E-3</v>
      </c>
      <c r="C517" s="20">
        <v>1.3986737018383E-3</v>
      </c>
      <c r="D517" s="20">
        <v>1.3239942224192299E-3</v>
      </c>
    </row>
    <row r="518" spans="1:4" x14ac:dyDescent="0.5">
      <c r="A518" s="56" t="s">
        <v>1881</v>
      </c>
      <c r="B518" s="121">
        <v>1.3457876378404701E-3</v>
      </c>
      <c r="C518" s="20">
        <v>1.27491972463234E-3</v>
      </c>
      <c r="D518" s="20">
        <v>1.3293001497840899E-3</v>
      </c>
    </row>
    <row r="519" spans="1:4" x14ac:dyDescent="0.5">
      <c r="A519" s="56" t="s">
        <v>1882</v>
      </c>
      <c r="B519" s="121">
        <v>1.22557771877597E-3</v>
      </c>
      <c r="C519" s="20">
        <v>1.1662320085011101E-3</v>
      </c>
      <c r="D519" s="20">
        <v>1.2073033240436E-3</v>
      </c>
    </row>
    <row r="520" spans="1:4" x14ac:dyDescent="0.5">
      <c r="A520" s="56" t="s">
        <v>1883</v>
      </c>
      <c r="B520" s="121">
        <v>1.38578738778787E-3</v>
      </c>
      <c r="C520" s="20">
        <v>1.6029242786128801E-3</v>
      </c>
      <c r="D520" s="20">
        <v>1.3633863929867699E-3</v>
      </c>
    </row>
    <row r="521" spans="1:4" x14ac:dyDescent="0.5">
      <c r="A521" s="56" t="s">
        <v>1884</v>
      </c>
      <c r="B521" s="121">
        <v>1.57304885379007E-3</v>
      </c>
      <c r="C521" s="20">
        <v>1.6141099351905999E-3</v>
      </c>
      <c r="D521" s="20">
        <v>1.5543886210588999E-3</v>
      </c>
    </row>
    <row r="522" spans="1:4" x14ac:dyDescent="0.5">
      <c r="A522" s="56" t="s">
        <v>1885</v>
      </c>
      <c r="B522" s="121">
        <v>1.4483816338732799E-3</v>
      </c>
      <c r="C522" s="20">
        <v>1.47023336449038E-3</v>
      </c>
      <c r="D522" s="20">
        <v>1.4292752104254399E-3</v>
      </c>
    </row>
    <row r="523" spans="1:4" x14ac:dyDescent="0.5">
      <c r="A523" s="56" t="s">
        <v>1886</v>
      </c>
      <c r="B523" s="121">
        <v>1.65433771732159E-3</v>
      </c>
      <c r="C523" s="20">
        <v>1.7355615928748901E-3</v>
      </c>
      <c r="D523" s="20">
        <v>1.6446877902306801E-3</v>
      </c>
    </row>
    <row r="524" spans="1:4" x14ac:dyDescent="0.5">
      <c r="A524" s="56" t="s">
        <v>1887</v>
      </c>
      <c r="B524" s="121">
        <v>1.56529741113114E-3</v>
      </c>
      <c r="C524" s="20">
        <v>1.6038914660439999E-3</v>
      </c>
      <c r="D524" s="20">
        <v>1.55174519605498E-3</v>
      </c>
    </row>
    <row r="525" spans="1:4" x14ac:dyDescent="0.5">
      <c r="A525" s="56" t="s">
        <v>1888</v>
      </c>
      <c r="B525" s="121">
        <v>1.42561083638824E-3</v>
      </c>
      <c r="C525" s="20">
        <v>1.4565569215636001E-3</v>
      </c>
      <c r="D525" s="20">
        <v>1.4116247963162E-3</v>
      </c>
    </row>
    <row r="526" spans="1:4" x14ac:dyDescent="0.5">
      <c r="A526" s="56" t="s">
        <v>1889</v>
      </c>
      <c r="B526" s="121">
        <v>1.2967529532941799E-3</v>
      </c>
      <c r="C526" s="20">
        <v>1.3328734923641701E-3</v>
      </c>
      <c r="D526" s="20">
        <v>1.2817392202018401E-3</v>
      </c>
    </row>
    <row r="527" spans="1:4" x14ac:dyDescent="0.5">
      <c r="A527" s="56" t="s">
        <v>1890</v>
      </c>
      <c r="B527" s="121">
        <v>1.7082638584135701E-3</v>
      </c>
      <c r="C527" s="20">
        <v>1.5953500017811099E-3</v>
      </c>
      <c r="D527" s="20">
        <v>1.69597318889007E-3</v>
      </c>
    </row>
    <row r="528" spans="1:4" x14ac:dyDescent="0.5">
      <c r="A528" s="56" t="s">
        <v>1891</v>
      </c>
      <c r="B528" s="121">
        <v>2.1402534731291998E-3</v>
      </c>
      <c r="C528" s="20">
        <v>1.66027742494358E-3</v>
      </c>
      <c r="D528" s="20">
        <v>2.1371753655162599E-3</v>
      </c>
    </row>
    <row r="529" spans="1:4" x14ac:dyDescent="0.5">
      <c r="A529" s="56" t="s">
        <v>1892</v>
      </c>
      <c r="B529" s="121">
        <v>2.0244742465127499E-3</v>
      </c>
      <c r="C529" s="20">
        <v>1.5455478684821601E-3</v>
      </c>
      <c r="D529" s="20">
        <v>2.0184433955107799E-3</v>
      </c>
    </row>
    <row r="530" spans="1:4" x14ac:dyDescent="0.5">
      <c r="A530" s="56" t="s">
        <v>1893</v>
      </c>
      <c r="B530" s="121">
        <v>1.9448611391128801E-3</v>
      </c>
      <c r="C530" s="20">
        <v>1.6255881641724201E-3</v>
      </c>
      <c r="D530" s="20">
        <v>1.9377825253715901E-3</v>
      </c>
    </row>
    <row r="531" spans="1:4" x14ac:dyDescent="0.5">
      <c r="A531" s="56" t="s">
        <v>1894</v>
      </c>
      <c r="B531" s="121">
        <v>1.86598733217821E-3</v>
      </c>
      <c r="C531" s="20">
        <v>2.0015124684983998E-3</v>
      </c>
      <c r="D531" s="20">
        <v>1.8610792304524801E-3</v>
      </c>
    </row>
    <row r="532" spans="1:4" x14ac:dyDescent="0.5">
      <c r="A532" s="56" t="s">
        <v>1895</v>
      </c>
      <c r="B532" s="121">
        <v>1.86354193292812E-3</v>
      </c>
      <c r="C532" s="20">
        <v>2.2977739800991198E-3</v>
      </c>
      <c r="D532" s="20">
        <v>1.8661904832822599E-3</v>
      </c>
    </row>
    <row r="533" spans="1:4" x14ac:dyDescent="0.5">
      <c r="A533" s="56" t="s">
        <v>1896</v>
      </c>
      <c r="B533" s="121">
        <v>1.7632910422598601E-3</v>
      </c>
      <c r="C533" s="20">
        <v>2.1034773584855098E-3</v>
      </c>
      <c r="D533" s="20">
        <v>1.7629481810721599E-3</v>
      </c>
    </row>
    <row r="534" spans="1:4" x14ac:dyDescent="0.5">
      <c r="A534" s="56" t="s">
        <v>1897</v>
      </c>
      <c r="B534" s="121">
        <v>2.5069659648230399E-3</v>
      </c>
      <c r="C534" s="20">
        <v>2.2188121091805701E-3</v>
      </c>
      <c r="D534" s="20">
        <v>2.5263027533443802E-3</v>
      </c>
    </row>
    <row r="535" spans="1:4" x14ac:dyDescent="0.5">
      <c r="A535" s="56" t="s">
        <v>1898</v>
      </c>
      <c r="B535" s="121">
        <v>2.44388829766183E-3</v>
      </c>
      <c r="C535" s="20">
        <v>2.9441965335371598E-3</v>
      </c>
      <c r="D535" s="20">
        <v>2.4542827651653099E-3</v>
      </c>
    </row>
    <row r="536" spans="1:4" x14ac:dyDescent="0.5">
      <c r="A536" s="56" t="s">
        <v>1899</v>
      </c>
      <c r="B536" s="121">
        <v>2.1408754102822699E-3</v>
      </c>
      <c r="C536" s="20">
        <v>2.6393608423469E-3</v>
      </c>
      <c r="D536" s="20">
        <v>2.1488838553556698E-3</v>
      </c>
    </row>
    <row r="537" spans="1:4" x14ac:dyDescent="0.5">
      <c r="A537" s="56" t="s">
        <v>1900</v>
      </c>
      <c r="B537" s="121">
        <v>3.19069664040848E-3</v>
      </c>
      <c r="C537" s="20">
        <v>3.49978395277318E-3</v>
      </c>
      <c r="D537" s="20">
        <v>3.22518509196041E-3</v>
      </c>
    </row>
    <row r="538" spans="1:4" x14ac:dyDescent="0.5">
      <c r="A538" s="56" t="s">
        <v>1901</v>
      </c>
      <c r="B538" s="121">
        <v>3.3754036906776899E-3</v>
      </c>
      <c r="C538" s="20">
        <v>3.5439045852232202E-3</v>
      </c>
      <c r="D538" s="20">
        <v>3.41873055395876E-3</v>
      </c>
    </row>
    <row r="539" spans="1:4" x14ac:dyDescent="0.5">
      <c r="A539" s="56" t="s">
        <v>1902</v>
      </c>
      <c r="B539" s="121">
        <v>3.4397241819548899E-3</v>
      </c>
      <c r="C539" s="20">
        <v>3.6837016236716601E-3</v>
      </c>
      <c r="D539" s="20">
        <v>3.4784326905828999E-3</v>
      </c>
    </row>
    <row r="540" spans="1:4" x14ac:dyDescent="0.5">
      <c r="A540" s="56" t="s">
        <v>1903</v>
      </c>
      <c r="B540" s="121">
        <v>3.3820518631073899E-3</v>
      </c>
      <c r="C540" s="20">
        <v>4.0217406736876996E-3</v>
      </c>
      <c r="D540" s="20">
        <v>3.41949671530168E-3</v>
      </c>
    </row>
    <row r="541" spans="1:4" x14ac:dyDescent="0.5">
      <c r="A541" s="56" t="s">
        <v>1904</v>
      </c>
      <c r="B541" s="121">
        <v>3.0496779978786402E-3</v>
      </c>
      <c r="C541" s="20">
        <v>3.7770971700024801E-3</v>
      </c>
      <c r="D541" s="20">
        <v>3.0827471719200102E-3</v>
      </c>
    </row>
    <row r="542" spans="1:4" x14ac:dyDescent="0.5">
      <c r="A542" s="56" t="s">
        <v>1905</v>
      </c>
      <c r="B542" s="121">
        <v>2.6727777252106102E-3</v>
      </c>
      <c r="C542" s="20">
        <v>3.4155316117740701E-3</v>
      </c>
      <c r="D542" s="20">
        <v>2.6995671107916202E-3</v>
      </c>
    </row>
    <row r="543" spans="1:4" x14ac:dyDescent="0.5">
      <c r="A543" s="56" t="s">
        <v>1906</v>
      </c>
      <c r="B543" s="121">
        <v>2.3870643518155402E-3</v>
      </c>
      <c r="C543" s="20">
        <v>3.1155665535681902E-3</v>
      </c>
      <c r="D543" s="20">
        <v>2.4126751528473298E-3</v>
      </c>
    </row>
    <row r="544" spans="1:4" x14ac:dyDescent="0.5">
      <c r="A544" s="56" t="s">
        <v>1907</v>
      </c>
      <c r="B544" s="121">
        <v>2.2880632930845799E-3</v>
      </c>
      <c r="C544" s="20">
        <v>3.5483855835860799E-3</v>
      </c>
      <c r="D544" s="20">
        <v>2.3072401984772601E-3</v>
      </c>
    </row>
    <row r="545" spans="1:4" x14ac:dyDescent="0.5">
      <c r="A545" s="56" t="s">
        <v>1908</v>
      </c>
      <c r="B545" s="121">
        <v>2.26881221681579E-3</v>
      </c>
      <c r="C545" s="20">
        <v>3.5477457697543099E-3</v>
      </c>
      <c r="D545" s="20">
        <v>2.2800984673203599E-3</v>
      </c>
    </row>
    <row r="546" spans="1:4" x14ac:dyDescent="0.5">
      <c r="A546" s="56" t="s">
        <v>1909</v>
      </c>
      <c r="B546" s="121">
        <v>2.09576525901171E-3</v>
      </c>
      <c r="C546" s="20">
        <v>3.1713299409656202E-3</v>
      </c>
      <c r="D546" s="20">
        <v>2.1008729512804899E-3</v>
      </c>
    </row>
    <row r="547" spans="1:4" x14ac:dyDescent="0.5">
      <c r="A547" s="56" t="s">
        <v>1910</v>
      </c>
      <c r="B547" s="121">
        <v>1.8423183410113801E-3</v>
      </c>
      <c r="C547" s="20">
        <v>2.9845654933412999E-3</v>
      </c>
      <c r="D547" s="20">
        <v>1.8436412059146801E-3</v>
      </c>
    </row>
    <row r="548" spans="1:4" x14ac:dyDescent="0.5">
      <c r="A548" s="56" t="s">
        <v>1911</v>
      </c>
      <c r="B548" s="121">
        <v>1.72505269318199E-3</v>
      </c>
      <c r="C548" s="20">
        <v>2.7105692612613302E-3</v>
      </c>
      <c r="D548" s="20">
        <v>1.7242712990318499E-3</v>
      </c>
    </row>
    <row r="549" spans="1:4" x14ac:dyDescent="0.5">
      <c r="A549" s="56" t="s">
        <v>1912</v>
      </c>
      <c r="B549" s="121">
        <v>1.6334592401013601E-3</v>
      </c>
      <c r="C549" s="20">
        <v>2.64176373562357E-3</v>
      </c>
      <c r="D549" s="20">
        <v>1.6246342507704899E-3</v>
      </c>
    </row>
    <row r="550" spans="1:4" x14ac:dyDescent="0.5">
      <c r="A550" s="56" t="s">
        <v>1913</v>
      </c>
      <c r="B550" s="121">
        <v>1.7404399474136301E-3</v>
      </c>
      <c r="C550" s="20">
        <v>2.5847702729402899E-3</v>
      </c>
      <c r="D550" s="20">
        <v>1.7466683160236799E-3</v>
      </c>
    </row>
    <row r="551" spans="1:4" x14ac:dyDescent="0.5">
      <c r="A551" s="56" t="s">
        <v>1914</v>
      </c>
      <c r="B551" s="121">
        <v>1.5600432532889899E-3</v>
      </c>
      <c r="C551" s="20">
        <v>2.3987393362539799E-3</v>
      </c>
      <c r="D551" s="20">
        <v>1.5625881366479401E-3</v>
      </c>
    </row>
    <row r="552" spans="1:4" x14ac:dyDescent="0.5">
      <c r="A552" s="56" t="s">
        <v>1915</v>
      </c>
      <c r="B552" s="121">
        <v>1.7231850438526001E-3</v>
      </c>
      <c r="C552" s="20">
        <v>2.26441837364112E-3</v>
      </c>
      <c r="D552" s="20">
        <v>1.73552795657548E-3</v>
      </c>
    </row>
    <row r="553" spans="1:4" x14ac:dyDescent="0.5">
      <c r="A553" s="56" t="s">
        <v>1916</v>
      </c>
      <c r="B553" s="20">
        <v>1.6526919061985699E-3</v>
      </c>
      <c r="C553" s="20">
        <v>2.1612072302893701E-3</v>
      </c>
      <c r="D553" s="20">
        <v>1.65773224246236E-3</v>
      </c>
    </row>
    <row r="554" spans="1:4" x14ac:dyDescent="0.5">
      <c r="A554" s="56" t="s">
        <v>1917</v>
      </c>
      <c r="B554" s="20">
        <v>1.50939059122376E-3</v>
      </c>
      <c r="C554" s="20">
        <v>2.0049062089307198E-3</v>
      </c>
      <c r="D554" s="20">
        <v>1.5139874050089199E-3</v>
      </c>
    </row>
    <row r="555" spans="1:4" x14ac:dyDescent="0.5">
      <c r="A555" s="56" t="s">
        <v>1918</v>
      </c>
      <c r="B555" s="20">
        <v>1.6795353676028299E-3</v>
      </c>
      <c r="C555" s="20">
        <v>1.8093768521146799E-3</v>
      </c>
      <c r="D555" s="20">
        <v>1.6974083884462299E-3</v>
      </c>
    </row>
    <row r="556" spans="1:4" x14ac:dyDescent="0.5">
      <c r="A556" s="56" t="s">
        <v>1919</v>
      </c>
      <c r="B556" s="20">
        <v>1.50725798003273E-3</v>
      </c>
      <c r="C556" s="20">
        <v>1.65640082495915E-3</v>
      </c>
      <c r="D556" s="20">
        <v>1.5195550554469501E-3</v>
      </c>
    </row>
    <row r="557" spans="1:4" x14ac:dyDescent="0.5">
      <c r="A557" s="56" t="s">
        <v>1920</v>
      </c>
      <c r="B557" s="20">
        <v>2.1374690814102001E-3</v>
      </c>
      <c r="C557" s="20">
        <v>2.04129254295758E-3</v>
      </c>
      <c r="D557" s="20">
        <v>2.1398188343472002E-3</v>
      </c>
    </row>
    <row r="558" spans="1:4" x14ac:dyDescent="0.5">
      <c r="A558" s="56" t="s">
        <v>1921</v>
      </c>
      <c r="B558" s="20">
        <v>1.8829509407173001E-3</v>
      </c>
      <c r="C558" s="20">
        <v>1.8661374555330899E-3</v>
      </c>
      <c r="D558" s="20">
        <v>1.88198079968123E-3</v>
      </c>
    </row>
    <row r="559" spans="1:4" x14ac:dyDescent="0.5">
      <c r="A559" s="56" t="s">
        <v>1922</v>
      </c>
      <c r="B559" s="20">
        <v>1.7139806814191699E-3</v>
      </c>
      <c r="C559" s="20">
        <v>1.80005390554635E-3</v>
      </c>
      <c r="D559" s="20">
        <v>1.70682895291517E-3</v>
      </c>
    </row>
    <row r="560" spans="1:4" x14ac:dyDescent="0.5">
      <c r="A560" s="56" t="s">
        <v>1923</v>
      </c>
      <c r="B560" s="20">
        <v>1.5291218269073801E-3</v>
      </c>
      <c r="C560" s="20">
        <v>1.6421845391431801E-3</v>
      </c>
      <c r="D560" s="20">
        <v>1.5202653492099099E-3</v>
      </c>
    </row>
    <row r="561" spans="1:4" x14ac:dyDescent="0.5">
      <c r="A561" s="56" t="s">
        <v>1924</v>
      </c>
      <c r="B561" s="20">
        <v>1.3781004185363899E-3</v>
      </c>
      <c r="C561" s="20">
        <v>1.62956300736065E-3</v>
      </c>
      <c r="D561" s="20">
        <v>1.3676579786873701E-3</v>
      </c>
    </row>
    <row r="562" spans="1:4" x14ac:dyDescent="0.5">
      <c r="A562" s="56" t="s">
        <v>1925</v>
      </c>
      <c r="B562" s="20">
        <v>1.27065696345682E-3</v>
      </c>
      <c r="C562" s="20">
        <v>1.48800378734835E-3</v>
      </c>
      <c r="D562" s="20">
        <v>1.25713269719657E-3</v>
      </c>
    </row>
    <row r="563" spans="1:4" x14ac:dyDescent="0.5">
      <c r="A563" s="56" t="s">
        <v>1926</v>
      </c>
      <c r="B563" s="20">
        <v>1.2751577398155999E-3</v>
      </c>
      <c r="C563" s="20">
        <v>1.4457832621431401E-3</v>
      </c>
      <c r="D563" s="20">
        <v>1.26646244428457E-3</v>
      </c>
    </row>
    <row r="564" spans="1:4" x14ac:dyDescent="0.5">
      <c r="A564" s="56" t="s">
        <v>1927</v>
      </c>
      <c r="B564" s="20">
        <v>1.17154995344989E-3</v>
      </c>
      <c r="C564" s="20">
        <v>1.32612516664832E-3</v>
      </c>
      <c r="D564" s="20">
        <v>1.16037635479477E-3</v>
      </c>
    </row>
    <row r="565" spans="1:4" x14ac:dyDescent="0.5">
      <c r="A565" s="56" t="s">
        <v>1928</v>
      </c>
      <c r="B565" s="20">
        <v>1.20178983394827E-3</v>
      </c>
      <c r="C565" s="20">
        <v>1.46552378829878E-3</v>
      </c>
      <c r="D565" s="20">
        <v>1.1830218137047299E-3</v>
      </c>
    </row>
    <row r="566" spans="1:4" x14ac:dyDescent="0.5">
      <c r="A566" s="56" t="s">
        <v>1929</v>
      </c>
      <c r="B566" s="20">
        <v>1.1262161970827999E-3</v>
      </c>
      <c r="C566" s="20">
        <v>1.33620051182061E-3</v>
      </c>
      <c r="D566" s="20">
        <v>1.10888764272467E-3</v>
      </c>
    </row>
    <row r="567" spans="1:4" x14ac:dyDescent="0.5">
      <c r="A567" s="56" t="s">
        <v>1930</v>
      </c>
      <c r="B567" s="20">
        <v>1.0457903252975599E-3</v>
      </c>
      <c r="C567" s="20">
        <v>1.5602316630499899E-3</v>
      </c>
      <c r="D567" s="20">
        <v>1.0259383249789701E-3</v>
      </c>
    </row>
    <row r="568" spans="1:4" x14ac:dyDescent="0.5">
      <c r="A568" s="56" t="s">
        <v>1931</v>
      </c>
      <c r="B568" s="20">
        <v>1.2098512593152E-3</v>
      </c>
      <c r="C568" s="20">
        <v>1.73833125702597E-3</v>
      </c>
      <c r="D568" s="20">
        <v>1.18188372851908E-3</v>
      </c>
    </row>
    <row r="569" spans="1:4" x14ac:dyDescent="0.5">
      <c r="A569" s="56" t="s">
        <v>1932</v>
      </c>
      <c r="B569" s="20">
        <v>1.11688136652839E-3</v>
      </c>
      <c r="C569" s="20">
        <v>1.64395428735474E-3</v>
      </c>
      <c r="D569" s="20">
        <v>1.0876343955080101E-3</v>
      </c>
    </row>
    <row r="570" spans="1:4" x14ac:dyDescent="0.5">
      <c r="A570" s="56" t="s">
        <v>1933</v>
      </c>
      <c r="B570" s="20">
        <v>1.11693089713967E-3</v>
      </c>
      <c r="C570" s="20">
        <v>1.7821028526361199E-3</v>
      </c>
      <c r="D570" s="20">
        <v>1.0896343259980601E-3</v>
      </c>
    </row>
    <row r="571" spans="1:4" x14ac:dyDescent="0.5">
      <c r="A571" s="56" t="s">
        <v>1934</v>
      </c>
      <c r="B571" s="20">
        <v>1.2636266454990599E-3</v>
      </c>
      <c r="C571" s="20">
        <v>1.72064237309856E-3</v>
      </c>
      <c r="D571" s="20">
        <v>1.2448085427919501E-3</v>
      </c>
    </row>
    <row r="572" spans="1:4" x14ac:dyDescent="0.5">
      <c r="A572" s="56" t="s">
        <v>1935</v>
      </c>
      <c r="B572" s="20">
        <v>1.17049506826239E-3</v>
      </c>
      <c r="C572" s="20">
        <v>1.60900070884622E-3</v>
      </c>
      <c r="D572" s="20">
        <v>1.1503719613282801E-3</v>
      </c>
    </row>
    <row r="573" spans="1:4" x14ac:dyDescent="0.5">
      <c r="A573" s="56" t="s">
        <v>1936</v>
      </c>
      <c r="B573" s="20">
        <v>1.3889198817680999E-3</v>
      </c>
      <c r="C573" s="20">
        <v>1.47776952010456E-3</v>
      </c>
      <c r="D573" s="20">
        <v>1.37092020926856E-3</v>
      </c>
    </row>
    <row r="574" spans="1:4" x14ac:dyDescent="0.5">
      <c r="A574" s="56" t="s">
        <v>1937</v>
      </c>
      <c r="B574" s="20">
        <v>1.3356412323164599E-3</v>
      </c>
      <c r="C574" s="20">
        <v>1.3436500956538601E-3</v>
      </c>
      <c r="D574" s="20">
        <v>1.31613608460217E-3</v>
      </c>
    </row>
    <row r="575" spans="1:4" x14ac:dyDescent="0.5">
      <c r="A575" s="56" t="s">
        <v>1938</v>
      </c>
      <c r="B575" s="20">
        <v>1.2455381466487999E-3</v>
      </c>
      <c r="C575" s="20">
        <v>1.2931069572465501E-3</v>
      </c>
      <c r="D575" s="20">
        <v>1.22587950863878E-3</v>
      </c>
    </row>
    <row r="576" spans="1:4" x14ac:dyDescent="0.5">
      <c r="A576" s="56" t="s">
        <v>1939</v>
      </c>
      <c r="B576" s="20">
        <v>1.25381370100776E-3</v>
      </c>
      <c r="C576" s="20">
        <v>1.26717828386235E-3</v>
      </c>
      <c r="D576" s="20">
        <v>1.2363729031650999E-3</v>
      </c>
    </row>
    <row r="577" spans="1:4" x14ac:dyDescent="0.5">
      <c r="A577" s="56" t="s">
        <v>1940</v>
      </c>
      <c r="B577" s="20">
        <v>1.37637955606975E-3</v>
      </c>
      <c r="C577" s="20">
        <v>1.3043982855794199E-3</v>
      </c>
      <c r="D577" s="20">
        <v>1.3576303620330399E-3</v>
      </c>
    </row>
    <row r="578" spans="1:4" x14ac:dyDescent="0.5">
      <c r="A578" s="56" t="s">
        <v>1941</v>
      </c>
      <c r="B578" s="20">
        <v>1.37911023641584E-3</v>
      </c>
      <c r="C578" s="20">
        <v>1.6879807122992701E-3</v>
      </c>
      <c r="D578" s="20">
        <v>1.35729384352181E-3</v>
      </c>
    </row>
    <row r="579" spans="1:4" x14ac:dyDescent="0.5">
      <c r="A579" s="56" t="s">
        <v>1942</v>
      </c>
      <c r="B579" s="20">
        <v>1.26677336471493E-3</v>
      </c>
      <c r="C579" s="20">
        <v>1.77132424613076E-3</v>
      </c>
      <c r="D579" s="20">
        <v>1.24330750090341E-3</v>
      </c>
    </row>
    <row r="580" spans="1:4" x14ac:dyDescent="0.5">
      <c r="A580" s="56" t="s">
        <v>1943</v>
      </c>
      <c r="B580" s="20">
        <v>2.94312502171295E-3</v>
      </c>
      <c r="C580" s="20">
        <v>3.29951256936453E-3</v>
      </c>
      <c r="D580" s="20">
        <v>2.9540116181720599E-3</v>
      </c>
    </row>
    <row r="581" spans="1:4" x14ac:dyDescent="0.5">
      <c r="A581" s="56" t="s">
        <v>1944</v>
      </c>
      <c r="B581" s="20">
        <v>2.5380510966037501E-3</v>
      </c>
      <c r="C581" s="20">
        <v>3.0047228430996799E-3</v>
      </c>
      <c r="D581" s="20">
        <v>2.5476907260877199E-3</v>
      </c>
    </row>
    <row r="582" spans="1:4" x14ac:dyDescent="0.5">
      <c r="A582" s="56" t="s">
        <v>1945</v>
      </c>
      <c r="B582" s="20">
        <v>2.2703391245451798E-3</v>
      </c>
      <c r="C582" s="20">
        <v>2.7746985855487401E-3</v>
      </c>
      <c r="D582" s="20">
        <v>2.2760462830259498E-3</v>
      </c>
    </row>
    <row r="583" spans="1:4" x14ac:dyDescent="0.5">
      <c r="A583" s="56" t="s">
        <v>1946</v>
      </c>
      <c r="B583" s="20">
        <v>1.9996172190579801E-3</v>
      </c>
      <c r="C583" s="20">
        <v>2.4792843914815E-3</v>
      </c>
      <c r="D583" s="20">
        <v>2.0036907256943399E-3</v>
      </c>
    </row>
    <row r="584" spans="1:4" x14ac:dyDescent="0.5">
      <c r="A584" s="56" t="s">
        <v>1947</v>
      </c>
      <c r="B584" s="20">
        <v>1.9094968795536401E-3</v>
      </c>
      <c r="C584" s="20">
        <v>2.4798770699425098E-3</v>
      </c>
      <c r="D584" s="20">
        <v>1.9144415770987E-3</v>
      </c>
    </row>
    <row r="585" spans="1:4" x14ac:dyDescent="0.5">
      <c r="A585" s="56" t="s">
        <v>1948</v>
      </c>
      <c r="B585" s="20">
        <v>2.0114957379380799E-3</v>
      </c>
      <c r="C585" s="20">
        <v>4.3146438715050599E-3</v>
      </c>
      <c r="D585" s="20">
        <v>2.0103886824296298E-3</v>
      </c>
    </row>
    <row r="586" spans="1:4" x14ac:dyDescent="0.5">
      <c r="A586" s="56" t="s">
        <v>1949</v>
      </c>
      <c r="B586" s="20">
        <v>1.9815695101461301E-3</v>
      </c>
      <c r="C586" s="20">
        <v>4.2344748793994198E-3</v>
      </c>
      <c r="D586" s="20">
        <v>1.9761870951512999E-3</v>
      </c>
    </row>
    <row r="587" spans="1:4" x14ac:dyDescent="0.5">
      <c r="A587" s="56" t="s">
        <v>1950</v>
      </c>
      <c r="B587" s="20">
        <v>1.82904413237476E-3</v>
      </c>
      <c r="C587" s="20">
        <v>4.2881809543475098E-3</v>
      </c>
      <c r="D587" s="20">
        <v>1.8254063376529201E-3</v>
      </c>
    </row>
    <row r="588" spans="1:4" x14ac:dyDescent="0.5">
      <c r="A588" s="56" t="s">
        <v>1951</v>
      </c>
      <c r="B588" s="20">
        <v>2.6372840645521901E-3</v>
      </c>
      <c r="C588" s="20">
        <v>3.8568527455225101E-3</v>
      </c>
      <c r="D588" s="20">
        <v>2.6338767893849002E-3</v>
      </c>
    </row>
    <row r="589" spans="1:4" x14ac:dyDescent="0.5">
      <c r="A589" s="56" t="s">
        <v>1952</v>
      </c>
      <c r="B589" s="20">
        <v>3.5108809716552598E-3</v>
      </c>
      <c r="C589" s="20">
        <v>4.5085182443109703E-3</v>
      </c>
      <c r="D589" s="20">
        <v>3.5283546323417402E-3</v>
      </c>
    </row>
    <row r="590" spans="1:4" x14ac:dyDescent="0.5">
      <c r="A590" s="56" t="s">
        <v>1953</v>
      </c>
      <c r="B590" s="20">
        <v>5.35185161046368E-3</v>
      </c>
      <c r="C590" s="20">
        <v>4.0528407390748198E-3</v>
      </c>
      <c r="D590" s="20">
        <v>5.3852870737587204E-3</v>
      </c>
    </row>
    <row r="591" spans="1:4" x14ac:dyDescent="0.5">
      <c r="A591" s="56" t="s">
        <v>1954</v>
      </c>
      <c r="B591" s="20">
        <v>7.0921044955805403E-3</v>
      </c>
      <c r="C591" s="20">
        <v>4.7569875957665601E-3</v>
      </c>
      <c r="D591" s="20">
        <v>7.1940198587833E-3</v>
      </c>
    </row>
    <row r="592" spans="1:4" x14ac:dyDescent="0.5">
      <c r="A592" s="56" t="s">
        <v>1955</v>
      </c>
      <c r="B592" s="20">
        <v>6.6373893272722896E-3</v>
      </c>
      <c r="C592" s="20">
        <v>4.29017927215562E-3</v>
      </c>
      <c r="D592" s="20">
        <v>6.7287574460542197E-3</v>
      </c>
    </row>
    <row r="593" spans="1:4" x14ac:dyDescent="0.5">
      <c r="A593" s="56" t="s">
        <v>1956</v>
      </c>
      <c r="B593" s="20">
        <v>5.83550019023897E-3</v>
      </c>
      <c r="C593" s="20">
        <v>3.8124799451283902E-3</v>
      </c>
      <c r="D593" s="20">
        <v>5.9118345716302903E-3</v>
      </c>
    </row>
    <row r="594" spans="1:4" x14ac:dyDescent="0.5">
      <c r="A594" s="56" t="s">
        <v>1957</v>
      </c>
      <c r="B594" s="20">
        <v>6.1891303202488103E-3</v>
      </c>
      <c r="C594" s="20">
        <v>6.6394399842467098E-3</v>
      </c>
      <c r="D594" s="20">
        <v>6.3074752937125498E-3</v>
      </c>
    </row>
    <row r="595" spans="1:4" x14ac:dyDescent="0.5">
      <c r="A595" s="56" t="s">
        <v>1958</v>
      </c>
      <c r="B595" s="20">
        <v>5.42540061569127E-3</v>
      </c>
      <c r="C595" s="20">
        <v>5.8548296767836801E-3</v>
      </c>
      <c r="D595" s="20">
        <v>5.5417303396832996E-3</v>
      </c>
    </row>
    <row r="596" spans="1:4" x14ac:dyDescent="0.5">
      <c r="A596" s="56" t="s">
        <v>1959</v>
      </c>
      <c r="B596" s="20">
        <v>4.57480031257557E-3</v>
      </c>
      <c r="C596" s="20">
        <v>5.3248213337097096E-3</v>
      </c>
      <c r="D596" s="20">
        <v>4.6786427175829204E-3</v>
      </c>
    </row>
    <row r="597" spans="1:4" x14ac:dyDescent="0.5">
      <c r="A597" s="56" t="s">
        <v>1960</v>
      </c>
      <c r="B597" s="20">
        <v>3.9775930767970901E-3</v>
      </c>
      <c r="C597" s="20">
        <v>4.8024741407127697E-3</v>
      </c>
      <c r="D597" s="20">
        <v>4.0730019603724098E-3</v>
      </c>
    </row>
    <row r="598" spans="1:4" x14ac:dyDescent="0.5">
      <c r="A598" s="56" t="s">
        <v>1961</v>
      </c>
      <c r="B598" s="20">
        <v>3.51408188916431E-3</v>
      </c>
      <c r="C598" s="20">
        <v>4.7797614716651596E-3</v>
      </c>
      <c r="D598" s="20">
        <v>3.5999205163799899E-3</v>
      </c>
    </row>
    <row r="599" spans="1:4" x14ac:dyDescent="0.5">
      <c r="A599" s="56" t="s">
        <v>1962</v>
      </c>
      <c r="B599" s="20">
        <v>3.1065686212125398E-3</v>
      </c>
      <c r="C599" s="20">
        <v>5.1071771796566004E-3</v>
      </c>
      <c r="D599" s="20">
        <v>3.1844670366000202E-3</v>
      </c>
    </row>
    <row r="600" spans="1:4" x14ac:dyDescent="0.5">
      <c r="A600" s="56" t="s">
        <v>1963</v>
      </c>
      <c r="B600" s="20">
        <v>3.5464918244354601E-3</v>
      </c>
      <c r="C600" s="20">
        <v>4.9905051858413398E-3</v>
      </c>
      <c r="D600" s="20">
        <v>3.6192853986107402E-3</v>
      </c>
    </row>
    <row r="601" spans="1:4" x14ac:dyDescent="0.5">
      <c r="A601" s="56" t="s">
        <v>1964</v>
      </c>
      <c r="B601" s="20">
        <v>3.16514818306117E-3</v>
      </c>
      <c r="C601" s="20">
        <v>4.5586676616744502E-3</v>
      </c>
      <c r="D601" s="20">
        <v>3.22940546905978E-3</v>
      </c>
    </row>
    <row r="602" spans="1:4" x14ac:dyDescent="0.5">
      <c r="A602" s="56" t="s">
        <v>1965</v>
      </c>
      <c r="B602" s="20">
        <v>3.0422142214496699E-3</v>
      </c>
      <c r="C602" s="20">
        <v>4.0786020255129396E-3</v>
      </c>
      <c r="D602" s="20">
        <v>3.09266228740803E-3</v>
      </c>
    </row>
    <row r="603" spans="1:4" x14ac:dyDescent="0.5">
      <c r="A603" s="56" t="s">
        <v>1966</v>
      </c>
      <c r="B603" s="20">
        <v>2.8998828806822501E-3</v>
      </c>
      <c r="C603" s="20">
        <v>3.9501335299635997E-3</v>
      </c>
      <c r="D603" s="20">
        <v>2.9523187116031299E-3</v>
      </c>
    </row>
    <row r="604" spans="1:4" x14ac:dyDescent="0.5">
      <c r="A604" s="56" t="s">
        <v>1967</v>
      </c>
      <c r="B604" s="20">
        <v>2.5342416598418301E-3</v>
      </c>
      <c r="C604" s="20">
        <v>3.5487274620074299E-3</v>
      </c>
      <c r="D604" s="20">
        <v>2.57576656277618E-3</v>
      </c>
    </row>
    <row r="605" spans="1:4" x14ac:dyDescent="0.5">
      <c r="A605" s="56" t="s">
        <v>1968</v>
      </c>
      <c r="B605" s="20">
        <v>2.2818412458899102E-3</v>
      </c>
      <c r="C605" s="20">
        <v>3.15661069494321E-3</v>
      </c>
      <c r="D605" s="20">
        <v>2.3119580780380398E-3</v>
      </c>
    </row>
    <row r="606" spans="1:4" x14ac:dyDescent="0.5">
      <c r="A606" s="56" t="s">
        <v>1969</v>
      </c>
      <c r="B606" s="20">
        <v>3.44069210965171E-3</v>
      </c>
      <c r="C606" s="20">
        <v>3.4284048137414999E-3</v>
      </c>
      <c r="D606" s="20">
        <v>3.4777848872652398E-3</v>
      </c>
    </row>
    <row r="607" spans="1:4" x14ac:dyDescent="0.5">
      <c r="A607" s="56" t="s">
        <v>1970</v>
      </c>
      <c r="B607" s="20">
        <v>3.0117743457818702E-3</v>
      </c>
      <c r="C607" s="20">
        <v>3.3004952014306999E-3</v>
      </c>
      <c r="D607" s="20">
        <v>3.0463692022977898E-3</v>
      </c>
    </row>
    <row r="608" spans="1:4" x14ac:dyDescent="0.5">
      <c r="A608" s="56" t="s">
        <v>1971</v>
      </c>
      <c r="B608" s="20">
        <v>2.62587302551593E-3</v>
      </c>
      <c r="C608" s="20">
        <v>2.9367924619846798E-3</v>
      </c>
      <c r="D608" s="20">
        <v>2.65842358557894E-3</v>
      </c>
    </row>
    <row r="609" spans="1:4" x14ac:dyDescent="0.5">
      <c r="A609" s="56" t="s">
        <v>1972</v>
      </c>
      <c r="B609" s="20">
        <v>2.35445887123388E-3</v>
      </c>
      <c r="C609" s="20">
        <v>2.6260052930278501E-3</v>
      </c>
      <c r="D609" s="20">
        <v>2.38147149852275E-3</v>
      </c>
    </row>
    <row r="610" spans="1:4" x14ac:dyDescent="0.5">
      <c r="A610" s="56" t="s">
        <v>1973</v>
      </c>
      <c r="B610" s="20">
        <v>2.10857802642364E-3</v>
      </c>
      <c r="C610" s="20">
        <v>2.41711773362398E-3</v>
      </c>
      <c r="D610" s="20">
        <v>2.1335396055645502E-3</v>
      </c>
    </row>
    <row r="611" spans="1:4" x14ac:dyDescent="0.5">
      <c r="A611" s="56" t="s">
        <v>1974</v>
      </c>
      <c r="B611" s="20">
        <v>1.9575517592144301E-3</v>
      </c>
      <c r="C611" s="20">
        <v>2.21577666614803E-3</v>
      </c>
      <c r="D611" s="20">
        <v>1.9822085722395301E-3</v>
      </c>
    </row>
    <row r="612" spans="1:4" x14ac:dyDescent="0.5">
      <c r="A612" s="56" t="s">
        <v>1975</v>
      </c>
      <c r="B612" s="20">
        <v>1.77673716245182E-3</v>
      </c>
      <c r="C612" s="20">
        <v>2.04389634145349E-3</v>
      </c>
      <c r="D612" s="20">
        <v>1.7955459939023801E-3</v>
      </c>
    </row>
    <row r="613" spans="1:4" x14ac:dyDescent="0.5">
      <c r="A613" s="56" t="s">
        <v>1976</v>
      </c>
      <c r="B613" s="20">
        <v>1.59532172726756E-3</v>
      </c>
      <c r="C613" s="20">
        <v>1.9186810085677301E-3</v>
      </c>
      <c r="D613" s="20">
        <v>1.60671357468457E-3</v>
      </c>
    </row>
    <row r="614" spans="1:4" x14ac:dyDescent="0.5">
      <c r="A614" s="56" t="s">
        <v>1977</v>
      </c>
      <c r="B614" s="20">
        <v>1.4529101129191701E-3</v>
      </c>
      <c r="C614" s="20">
        <v>1.8103372098120501E-3</v>
      </c>
      <c r="D614" s="20">
        <v>1.4582323752015301E-3</v>
      </c>
    </row>
    <row r="615" spans="1:4" x14ac:dyDescent="0.5">
      <c r="A615" s="56" t="s">
        <v>1978</v>
      </c>
      <c r="B615" s="20">
        <v>1.4394391438998799E-3</v>
      </c>
      <c r="C615" s="20">
        <v>1.6494925391155801E-3</v>
      </c>
      <c r="D615" s="20">
        <v>1.4444849914783801E-3</v>
      </c>
    </row>
    <row r="616" spans="1:4" x14ac:dyDescent="0.5">
      <c r="A616" s="56" t="s">
        <v>1979</v>
      </c>
      <c r="B616" s="20">
        <v>1.32117882006157E-3</v>
      </c>
      <c r="C616" s="20">
        <v>1.52398024948697E-3</v>
      </c>
      <c r="D616" s="20">
        <v>1.3207936411549701E-3</v>
      </c>
    </row>
    <row r="617" spans="1:4" x14ac:dyDescent="0.5">
      <c r="A617" s="56" t="s">
        <v>1980</v>
      </c>
      <c r="B617" s="20">
        <v>1.4483387099645799E-3</v>
      </c>
      <c r="C617" s="20">
        <v>1.68826168454834E-3</v>
      </c>
      <c r="D617" s="20">
        <v>1.44644512520156E-3</v>
      </c>
    </row>
    <row r="618" spans="1:4" x14ac:dyDescent="0.5">
      <c r="A618" s="56" t="s">
        <v>1981</v>
      </c>
      <c r="B618" s="20">
        <v>1.76281023944728E-3</v>
      </c>
      <c r="C618" s="20">
        <v>1.5312820982643801E-3</v>
      </c>
      <c r="D618" s="20">
        <v>1.7676117421861E-3</v>
      </c>
    </row>
    <row r="619" spans="1:4" x14ac:dyDescent="0.5">
      <c r="A619" s="56" t="s">
        <v>1982</v>
      </c>
      <c r="B619" s="20">
        <v>1.65743215159889E-3</v>
      </c>
      <c r="C619" s="20">
        <v>1.6212526113855901E-3</v>
      </c>
      <c r="D619" s="20">
        <v>1.6625795915086699E-3</v>
      </c>
    </row>
    <row r="620" spans="1:4" x14ac:dyDescent="0.5">
      <c r="A620" s="56" t="s">
        <v>1983</v>
      </c>
      <c r="B620" s="20">
        <v>1.55333991077844E-3</v>
      </c>
      <c r="C620" s="20">
        <v>1.46866406788168E-3</v>
      </c>
      <c r="D620" s="20">
        <v>1.5533510160451001E-3</v>
      </c>
    </row>
    <row r="621" spans="1:4" x14ac:dyDescent="0.5">
      <c r="A621" s="56" t="s">
        <v>1984</v>
      </c>
      <c r="B621" s="20">
        <v>1.40789164195545E-3</v>
      </c>
      <c r="C621" s="20">
        <v>1.3491551330768201E-3</v>
      </c>
      <c r="D621" s="20">
        <v>1.40441101953511E-3</v>
      </c>
    </row>
    <row r="622" spans="1:4" x14ac:dyDescent="0.5">
      <c r="A622" s="56" t="s">
        <v>1985</v>
      </c>
      <c r="B622" s="20">
        <v>1.3645184262420799E-3</v>
      </c>
      <c r="C622" s="20">
        <v>1.2456740714901599E-3</v>
      </c>
      <c r="D622" s="20">
        <v>1.35563824367671E-3</v>
      </c>
    </row>
    <row r="623" spans="1:4" x14ac:dyDescent="0.5">
      <c r="A623" s="56" t="s">
        <v>1986</v>
      </c>
      <c r="B623" s="20">
        <v>1.4163779576532301E-3</v>
      </c>
      <c r="C623" s="20">
        <v>1.3462831597597701E-3</v>
      </c>
      <c r="D623" s="20">
        <v>1.4064845908352999E-3</v>
      </c>
    </row>
    <row r="624" spans="1:4" x14ac:dyDescent="0.5">
      <c r="A624" s="56" t="s">
        <v>1987</v>
      </c>
      <c r="B624" s="20">
        <v>1.36702015262666E-3</v>
      </c>
      <c r="C624" s="20">
        <v>1.2340057061899601E-3</v>
      </c>
      <c r="D624" s="20">
        <v>1.35730251879079E-3</v>
      </c>
    </row>
    <row r="625" spans="1:4" x14ac:dyDescent="0.5">
      <c r="A625" s="56" t="s">
        <v>1988</v>
      </c>
      <c r="B625" s="20">
        <v>1.3190957962031201E-3</v>
      </c>
      <c r="C625" s="20">
        <v>1.3376064271153E-3</v>
      </c>
      <c r="D625" s="20">
        <v>1.30449323732331E-3</v>
      </c>
    </row>
    <row r="626" spans="1:4" x14ac:dyDescent="0.5">
      <c r="A626" s="56" t="s">
        <v>1989</v>
      </c>
      <c r="B626" s="20">
        <v>1.21726281951489E-3</v>
      </c>
      <c r="C626" s="20">
        <v>1.24670710074915E-3</v>
      </c>
      <c r="D626" s="20">
        <v>1.2008908661064999E-3</v>
      </c>
    </row>
    <row r="627" spans="1:4" x14ac:dyDescent="0.5">
      <c r="A627" s="56" t="s">
        <v>1990</v>
      </c>
      <c r="B627" s="20">
        <v>1.46281137974965E-3</v>
      </c>
      <c r="C627" s="20">
        <v>1.2996926446079799E-3</v>
      </c>
      <c r="D627" s="20">
        <v>1.4490425413659E-3</v>
      </c>
    </row>
    <row r="628" spans="1:4" x14ac:dyDescent="0.5">
      <c r="A628" s="56" t="s">
        <v>1991</v>
      </c>
      <c r="B628" s="20">
        <v>1.40878598788096E-3</v>
      </c>
      <c r="C628" s="20">
        <v>1.2764270427687201E-3</v>
      </c>
      <c r="D628" s="20">
        <v>1.39429143908881E-3</v>
      </c>
    </row>
    <row r="629" spans="1:4" x14ac:dyDescent="0.5">
      <c r="A629" s="56" t="s">
        <v>1992</v>
      </c>
      <c r="B629" s="20">
        <v>1.28173045590328E-3</v>
      </c>
      <c r="C629" s="20">
        <v>1.17288600745428E-3</v>
      </c>
      <c r="D629" s="20">
        <v>1.26563121944595E-3</v>
      </c>
    </row>
    <row r="630" spans="1:4" x14ac:dyDescent="0.5">
      <c r="A630" s="56" t="s">
        <v>1993</v>
      </c>
      <c r="B630" s="20">
        <v>1.8124398163368301E-3</v>
      </c>
      <c r="C630" s="20">
        <v>1.4907705441145299E-3</v>
      </c>
      <c r="D630" s="20">
        <v>1.79706549921711E-3</v>
      </c>
    </row>
    <row r="631" spans="1:4" x14ac:dyDescent="0.5">
      <c r="A631" s="56" t="s">
        <v>1994</v>
      </c>
      <c r="B631" s="20">
        <v>1.70833154898546E-3</v>
      </c>
      <c r="C631" s="20">
        <v>1.38149124455928E-3</v>
      </c>
      <c r="D631" s="20">
        <v>1.69708613147609E-3</v>
      </c>
    </row>
    <row r="632" spans="1:4" x14ac:dyDescent="0.5">
      <c r="A632" s="56" t="s">
        <v>1995</v>
      </c>
      <c r="B632" s="20">
        <v>1.5531556185107999E-3</v>
      </c>
      <c r="C632" s="20">
        <v>1.3073777714876201E-3</v>
      </c>
      <c r="D632" s="20">
        <v>1.54227006079601E-3</v>
      </c>
    </row>
    <row r="633" spans="1:4" x14ac:dyDescent="0.5">
      <c r="A633" s="56" t="s">
        <v>1996</v>
      </c>
      <c r="B633" s="20">
        <v>2.1328111747058801E-3</v>
      </c>
      <c r="C633" s="20">
        <v>1.1945172417907901E-3</v>
      </c>
      <c r="D633" s="20">
        <v>2.1229239921259501E-3</v>
      </c>
    </row>
    <row r="634" spans="1:4" x14ac:dyDescent="0.5">
      <c r="A634" s="56" t="s">
        <v>1997</v>
      </c>
      <c r="B634" s="20">
        <v>1.8717549265385399E-3</v>
      </c>
      <c r="C634" s="20">
        <v>1.09863824779864E-3</v>
      </c>
      <c r="D634" s="20">
        <v>1.8612987726711399E-3</v>
      </c>
    </row>
    <row r="635" spans="1:4" x14ac:dyDescent="0.5">
      <c r="A635" s="56" t="s">
        <v>1998</v>
      </c>
      <c r="B635" s="20">
        <v>1.7583801359120101E-3</v>
      </c>
      <c r="C635" s="20">
        <v>1.01569489243754E-3</v>
      </c>
      <c r="D635" s="20">
        <v>1.74656685968235E-3</v>
      </c>
    </row>
    <row r="636" spans="1:4" x14ac:dyDescent="0.5">
      <c r="A636" s="56" t="s">
        <v>1999</v>
      </c>
      <c r="B636" s="20">
        <v>1.80293671994596E-3</v>
      </c>
      <c r="C636" s="20">
        <v>9.9150530596486992E-4</v>
      </c>
      <c r="D636" s="20">
        <v>1.79816962140904E-3</v>
      </c>
    </row>
    <row r="637" spans="1:4" x14ac:dyDescent="0.5">
      <c r="A637" s="56" t="s">
        <v>2000</v>
      </c>
      <c r="B637" s="20">
        <v>1.6589701767396501E-3</v>
      </c>
      <c r="C637" s="20">
        <v>9.2810173694536104E-4</v>
      </c>
      <c r="D637" s="20">
        <v>1.6541172450878E-3</v>
      </c>
    </row>
    <row r="638" spans="1:4" x14ac:dyDescent="0.5">
      <c r="A638" s="56" t="s">
        <v>2001</v>
      </c>
      <c r="B638" s="20">
        <v>1.5179476358014501E-3</v>
      </c>
      <c r="C638" s="20">
        <v>8.8601464600349198E-4</v>
      </c>
      <c r="D638" s="20">
        <v>1.51176197915698E-3</v>
      </c>
    </row>
    <row r="639" spans="1:4" x14ac:dyDescent="0.5">
      <c r="A639" s="56" t="s">
        <v>2002</v>
      </c>
      <c r="B639" s="20">
        <v>2.6824252765742401E-3</v>
      </c>
      <c r="C639" s="20">
        <v>1.4645569128665199E-3</v>
      </c>
      <c r="D639" s="20">
        <v>2.68098111719964E-3</v>
      </c>
    </row>
    <row r="640" spans="1:4" x14ac:dyDescent="0.5">
      <c r="A640" s="56" t="s">
        <v>2003</v>
      </c>
      <c r="B640" s="20">
        <v>2.3367329048549698E-3</v>
      </c>
      <c r="C640" s="20">
        <v>1.3996860611146401E-3</v>
      </c>
      <c r="D640" s="20">
        <v>2.33633025701231E-3</v>
      </c>
    </row>
    <row r="641" spans="1:4" x14ac:dyDescent="0.5">
      <c r="A641" s="56" t="s">
        <v>2004</v>
      </c>
      <c r="B641" s="20">
        <v>2.0402446706187E-3</v>
      </c>
      <c r="C641" s="20">
        <v>1.3417619267421801E-3</v>
      </c>
      <c r="D641" s="20">
        <v>2.0382284769151701E-3</v>
      </c>
    </row>
    <row r="642" spans="1:4" x14ac:dyDescent="0.5">
      <c r="A642" s="56" t="s">
        <v>2005</v>
      </c>
      <c r="B642" s="20">
        <v>1.8943333320695301E-3</v>
      </c>
      <c r="C642" s="20">
        <v>1.5923486132185299E-3</v>
      </c>
      <c r="D642" s="20">
        <v>1.89735170808267E-3</v>
      </c>
    </row>
    <row r="643" spans="1:4" x14ac:dyDescent="0.5">
      <c r="A643" s="56" t="s">
        <v>2006</v>
      </c>
      <c r="B643" s="20">
        <v>1.89089213167237E-3</v>
      </c>
      <c r="C643" s="20">
        <v>1.5505226778922401E-3</v>
      </c>
      <c r="D643" s="20">
        <v>1.90037185905112E-3</v>
      </c>
    </row>
    <row r="644" spans="1:4" x14ac:dyDescent="0.5">
      <c r="A644" s="56" t="s">
        <v>2007</v>
      </c>
      <c r="B644" s="20">
        <v>1.92268449890835E-3</v>
      </c>
      <c r="C644" s="20">
        <v>1.41522458132747E-3</v>
      </c>
      <c r="D644" s="20">
        <v>1.9321712513658701E-3</v>
      </c>
    </row>
    <row r="645" spans="1:4" x14ac:dyDescent="0.5">
      <c r="A645" s="56" t="s">
        <v>2008</v>
      </c>
      <c r="B645" s="20">
        <v>1.7123115649185E-3</v>
      </c>
      <c r="C645" s="20">
        <v>1.4217709584807699E-3</v>
      </c>
      <c r="D645" s="20">
        <v>1.71658417242553E-3</v>
      </c>
    </row>
    <row r="646" spans="1:4" x14ac:dyDescent="0.5">
      <c r="A646" s="56" t="s">
        <v>2009</v>
      </c>
      <c r="B646" s="20">
        <v>1.64157896491601E-3</v>
      </c>
      <c r="C646" s="20">
        <v>1.29628181067518E-3</v>
      </c>
      <c r="D646" s="20">
        <v>1.6413773993564501E-3</v>
      </c>
    </row>
    <row r="647" spans="1:4" x14ac:dyDescent="0.5">
      <c r="A647" s="56" t="s">
        <v>2010</v>
      </c>
      <c r="B647" s="20">
        <v>1.57404372268686E-3</v>
      </c>
      <c r="C647" s="20">
        <v>1.2689378025213501E-3</v>
      </c>
      <c r="D647" s="20">
        <v>1.56981616077116E-3</v>
      </c>
    </row>
    <row r="648" spans="1:4" x14ac:dyDescent="0.5">
      <c r="A648" s="56" t="s">
        <v>2011</v>
      </c>
      <c r="B648" s="20">
        <v>1.41329673483336E-3</v>
      </c>
      <c r="C648" s="20">
        <v>1.2216924848504401E-3</v>
      </c>
      <c r="D648" s="20">
        <v>1.40569229402343E-3</v>
      </c>
    </row>
    <row r="649" spans="1:4" x14ac:dyDescent="0.5">
      <c r="A649" s="56" t="s">
        <v>2012</v>
      </c>
      <c r="B649" s="20">
        <v>1.5931635711743299E-3</v>
      </c>
      <c r="C649" s="20">
        <v>1.1195356868233901E-3</v>
      </c>
      <c r="D649" s="20">
        <v>1.5864671262572701E-3</v>
      </c>
    </row>
    <row r="650" spans="1:4" x14ac:dyDescent="0.5">
      <c r="A650" s="56" t="s">
        <v>2013</v>
      </c>
      <c r="B650" s="20">
        <v>1.4399184719202701E-3</v>
      </c>
      <c r="C650" s="20">
        <v>1.11346563280941E-3</v>
      </c>
      <c r="D650" s="20">
        <v>1.4321343395525699E-3</v>
      </c>
    </row>
    <row r="651" spans="1:4" x14ac:dyDescent="0.5">
      <c r="A651" s="56" t="s">
        <v>2014</v>
      </c>
      <c r="B651" s="20">
        <v>2.0915211505521101E-3</v>
      </c>
      <c r="C651" s="20">
        <v>1.4280274981789301E-3</v>
      </c>
      <c r="D651" s="20">
        <v>2.0881710491484099E-3</v>
      </c>
    </row>
    <row r="652" spans="1:4" x14ac:dyDescent="0.5">
      <c r="A652" s="56" t="s">
        <v>2015</v>
      </c>
      <c r="B652" s="20">
        <v>2.0084128123405002E-3</v>
      </c>
      <c r="C652" s="20">
        <v>1.5504672484649199E-3</v>
      </c>
      <c r="D652" s="20">
        <v>2.00435200871608E-3</v>
      </c>
    </row>
    <row r="653" spans="1:4" x14ac:dyDescent="0.5">
      <c r="A653" s="56" t="s">
        <v>2016</v>
      </c>
      <c r="B653" s="20">
        <v>1.7721898405007801E-3</v>
      </c>
      <c r="C653" s="20">
        <v>1.4179475142423201E-3</v>
      </c>
      <c r="D653" s="20">
        <v>1.76610333666718E-3</v>
      </c>
    </row>
    <row r="654" spans="1:4" x14ac:dyDescent="0.5">
      <c r="A654" s="56" t="s">
        <v>2017</v>
      </c>
      <c r="B654" s="20">
        <v>1.86007920058676E-3</v>
      </c>
      <c r="C654" s="20">
        <v>1.31363392849238E-3</v>
      </c>
      <c r="D654" s="20">
        <v>1.84928577099246E-3</v>
      </c>
    </row>
    <row r="655" spans="1:4" x14ac:dyDescent="0.5">
      <c r="A655" s="56" t="s">
        <v>2018</v>
      </c>
      <c r="B655" s="20">
        <v>1.6639287554724401E-3</v>
      </c>
      <c r="C655" s="20">
        <v>1.3505156868011501E-3</v>
      </c>
      <c r="D655" s="20">
        <v>1.6564346794493601E-3</v>
      </c>
    </row>
    <row r="656" spans="1:4" x14ac:dyDescent="0.5">
      <c r="A656" s="56" t="s">
        <v>2019</v>
      </c>
      <c r="B656" s="20">
        <v>3.1520231099337898E-3</v>
      </c>
      <c r="C656" s="20">
        <v>1.70902867871664E-3</v>
      </c>
      <c r="D656" s="20">
        <v>3.1797966661824498E-3</v>
      </c>
    </row>
    <row r="657" spans="1:4" x14ac:dyDescent="0.5">
      <c r="A657" s="56" t="s">
        <v>2020</v>
      </c>
      <c r="B657" s="20">
        <v>2.77566747294871E-3</v>
      </c>
      <c r="C657" s="20">
        <v>2.69383235734796E-3</v>
      </c>
      <c r="D657" s="20">
        <v>2.8036933757808699E-3</v>
      </c>
    </row>
    <row r="658" spans="1:4" x14ac:dyDescent="0.5">
      <c r="A658" s="56" t="s">
        <v>2021</v>
      </c>
      <c r="B658" s="20">
        <v>2.5915459601181501E-3</v>
      </c>
      <c r="C658" s="20">
        <v>2.4386853232449901E-3</v>
      </c>
      <c r="D658" s="20">
        <v>2.6173321035821702E-3</v>
      </c>
    </row>
    <row r="659" spans="1:4" x14ac:dyDescent="0.5">
      <c r="A659" s="56" t="s">
        <v>2022</v>
      </c>
      <c r="B659" s="20">
        <v>2.2692213621542498E-3</v>
      </c>
      <c r="C659" s="20">
        <v>2.2239307731971199E-3</v>
      </c>
      <c r="D659" s="20">
        <v>2.2908208082366801E-3</v>
      </c>
    </row>
    <row r="660" spans="1:4" x14ac:dyDescent="0.5">
      <c r="A660" s="56" t="s">
        <v>2023</v>
      </c>
      <c r="B660" s="20">
        <v>2.3307048096968702E-3</v>
      </c>
      <c r="C660" s="20">
        <v>2.0279466414299999E-3</v>
      </c>
      <c r="D660" s="20">
        <v>2.3478890797981101E-3</v>
      </c>
    </row>
    <row r="661" spans="1:4" x14ac:dyDescent="0.5">
      <c r="A661" s="56" t="s">
        <v>2024</v>
      </c>
      <c r="B661" s="20">
        <v>2.0349032236788999E-3</v>
      </c>
      <c r="C661" s="20">
        <v>1.9041336518591601E-3</v>
      </c>
      <c r="D661" s="20">
        <v>2.0482051087901102E-3</v>
      </c>
    </row>
    <row r="662" spans="1:4" x14ac:dyDescent="0.5">
      <c r="A662" s="56" t="s">
        <v>2025</v>
      </c>
      <c r="B662" s="20">
        <v>1.8096013456102499E-3</v>
      </c>
      <c r="C662" s="20">
        <v>1.78386341683921E-3</v>
      </c>
      <c r="D662" s="20">
        <v>1.8186909169299399E-3</v>
      </c>
    </row>
    <row r="663" spans="1:4" x14ac:dyDescent="0.5">
      <c r="A663" s="56" t="s">
        <v>2026</v>
      </c>
      <c r="B663" s="20">
        <v>1.607707748043E-3</v>
      </c>
      <c r="C663" s="20">
        <v>1.6298262101135301E-3</v>
      </c>
      <c r="D663" s="20">
        <v>1.61186499527258E-3</v>
      </c>
    </row>
    <row r="664" spans="1:4" x14ac:dyDescent="0.5">
      <c r="A664" s="56" t="s">
        <v>2027</v>
      </c>
      <c r="B664" s="20">
        <v>2.6064376360969699E-3</v>
      </c>
      <c r="C664" s="20">
        <v>1.6131828928426001E-3</v>
      </c>
      <c r="D664" s="20">
        <v>2.58893154810456E-3</v>
      </c>
    </row>
    <row r="665" spans="1:4" x14ac:dyDescent="0.5">
      <c r="A665" s="56" t="s">
        <v>2028</v>
      </c>
      <c r="B665" s="20">
        <v>2.5890238287180701E-3</v>
      </c>
      <c r="C665" s="20">
        <v>1.48887220352218E-3</v>
      </c>
      <c r="D665" s="20">
        <v>2.5714601226517601E-3</v>
      </c>
    </row>
    <row r="666" spans="1:4" x14ac:dyDescent="0.5">
      <c r="A666" s="56" t="s">
        <v>2029</v>
      </c>
      <c r="B666" s="20">
        <v>2.73068384022792E-3</v>
      </c>
      <c r="C666" s="20">
        <v>1.4665347356376699E-3</v>
      </c>
      <c r="D666" s="20">
        <v>2.7317244773365601E-3</v>
      </c>
    </row>
    <row r="667" spans="1:4" x14ac:dyDescent="0.5">
      <c r="A667" s="56" t="s">
        <v>2030</v>
      </c>
      <c r="B667" s="20">
        <v>2.3639462045305301E-3</v>
      </c>
      <c r="C667" s="20">
        <v>1.47727869377009E-3</v>
      </c>
      <c r="D667" s="20">
        <v>2.3633588077141702E-3</v>
      </c>
    </row>
    <row r="668" spans="1:4" x14ac:dyDescent="0.5">
      <c r="A668" s="56" t="s">
        <v>2031</v>
      </c>
      <c r="B668" s="20">
        <v>2.1097113478862201E-3</v>
      </c>
      <c r="C668" s="20">
        <v>1.4210535934832101E-3</v>
      </c>
      <c r="D668" s="20">
        <v>2.1112707091084401E-3</v>
      </c>
    </row>
    <row r="669" spans="1:4" x14ac:dyDescent="0.5">
      <c r="A669" s="56" t="s">
        <v>2032</v>
      </c>
      <c r="B669" s="20">
        <v>2.0391434505435801E-3</v>
      </c>
      <c r="C669" s="20">
        <v>1.35705701712417E-3</v>
      </c>
      <c r="D669" s="20">
        <v>2.05009271969008E-3</v>
      </c>
    </row>
    <row r="670" spans="1:4" x14ac:dyDescent="0.5">
      <c r="A670" s="56" t="s">
        <v>2033</v>
      </c>
      <c r="B670" s="20">
        <v>1.8094419419043301E-3</v>
      </c>
      <c r="C670" s="20">
        <v>1.25747262781057E-3</v>
      </c>
      <c r="D670" s="20">
        <v>1.8192884774662799E-3</v>
      </c>
    </row>
    <row r="671" spans="1:4" x14ac:dyDescent="0.5">
      <c r="A671" s="56" t="s">
        <v>2034</v>
      </c>
      <c r="B671" s="20">
        <v>1.68423285828963E-3</v>
      </c>
      <c r="C671" s="20">
        <v>1.16642253351595E-3</v>
      </c>
      <c r="D671" s="20">
        <v>1.6916125636762299E-3</v>
      </c>
    </row>
    <row r="672" spans="1:4" x14ac:dyDescent="0.5">
      <c r="A672" s="56" t="s">
        <v>2035</v>
      </c>
      <c r="B672" s="20">
        <v>1.53448171728915E-3</v>
      </c>
      <c r="C672" s="20">
        <v>1.1092859884287501E-3</v>
      </c>
      <c r="D672" s="20">
        <v>1.54017793696054E-3</v>
      </c>
    </row>
    <row r="673" spans="1:4" x14ac:dyDescent="0.5">
      <c r="A673" s="56" t="s">
        <v>2036</v>
      </c>
      <c r="B673" s="20">
        <v>2.0327459360194198E-3</v>
      </c>
      <c r="C673" s="20">
        <v>1.0548099546914E-3</v>
      </c>
      <c r="D673" s="20">
        <v>2.0627010588092601E-3</v>
      </c>
    </row>
    <row r="674" spans="1:4" x14ac:dyDescent="0.5">
      <c r="A674" s="56" t="s">
        <v>2037</v>
      </c>
      <c r="B674" s="20">
        <v>2.3842597398503001E-3</v>
      </c>
      <c r="C674" s="20">
        <v>1.3141193867175101E-3</v>
      </c>
      <c r="D674" s="20">
        <v>2.43345376692944E-3</v>
      </c>
    </row>
    <row r="675" spans="1:4" x14ac:dyDescent="0.5">
      <c r="A675" s="56" t="s">
        <v>2038</v>
      </c>
      <c r="B675" s="20">
        <v>2.2224146848265399E-3</v>
      </c>
      <c r="C675" s="20">
        <v>1.4180939177295901E-3</v>
      </c>
      <c r="D675" s="20">
        <v>2.2580183329508501E-3</v>
      </c>
    </row>
    <row r="676" spans="1:4" x14ac:dyDescent="0.5">
      <c r="A676" s="56" t="s">
        <v>2039</v>
      </c>
      <c r="B676" s="20">
        <v>2.0303074802689798E-3</v>
      </c>
      <c r="C676" s="20">
        <v>1.40155724579874E-3</v>
      </c>
      <c r="D676" s="20">
        <v>2.05750733955194E-3</v>
      </c>
    </row>
    <row r="677" spans="1:4" x14ac:dyDescent="0.5">
      <c r="A677" s="56" t="s">
        <v>2040</v>
      </c>
      <c r="B677" s="20">
        <v>2.0244041695103199E-3</v>
      </c>
      <c r="C677" s="20">
        <v>1.5016616871032201E-3</v>
      </c>
      <c r="D677" s="20">
        <v>2.0650018623477799E-3</v>
      </c>
    </row>
    <row r="678" spans="1:4" x14ac:dyDescent="0.5">
      <c r="A678" s="56" t="s">
        <v>2041</v>
      </c>
      <c r="B678" s="20">
        <v>1.9270668401099799E-3</v>
      </c>
      <c r="C678" s="20">
        <v>1.3808708867834301E-3</v>
      </c>
      <c r="D678" s="20">
        <v>1.9731976063913398E-3</v>
      </c>
    </row>
    <row r="679" spans="1:4" x14ac:dyDescent="0.5">
      <c r="A679" s="56" t="s">
        <v>2042</v>
      </c>
      <c r="B679" s="20">
        <v>2.28990878819191E-3</v>
      </c>
      <c r="C679" s="20">
        <v>1.29963353972495E-3</v>
      </c>
      <c r="D679" s="20">
        <v>2.3697963227577901E-3</v>
      </c>
    </row>
    <row r="680" spans="1:4" x14ac:dyDescent="0.5">
      <c r="A680" s="56" t="s">
        <v>2043</v>
      </c>
      <c r="B680" s="20">
        <v>2.0853139402571201E-3</v>
      </c>
      <c r="C680" s="20">
        <v>1.18776164274964E-3</v>
      </c>
      <c r="D680" s="20">
        <v>2.1468061224613E-3</v>
      </c>
    </row>
    <row r="681" spans="1:4" x14ac:dyDescent="0.5">
      <c r="A681" s="56" t="s">
        <v>2044</v>
      </c>
      <c r="B681" s="20">
        <v>1.9040499502005999E-3</v>
      </c>
      <c r="C681" s="20">
        <v>1.2539039275141399E-3</v>
      </c>
      <c r="D681" s="20">
        <v>1.95032324216061E-3</v>
      </c>
    </row>
    <row r="682" spans="1:4" x14ac:dyDescent="0.5">
      <c r="A682" s="56" t="s">
        <v>2045</v>
      </c>
      <c r="B682" s="20">
        <v>1.9433089941666001E-3</v>
      </c>
      <c r="C682" s="20">
        <v>1.2700826605182901E-3</v>
      </c>
      <c r="D682" s="20">
        <v>1.9993039789912002E-3</v>
      </c>
    </row>
    <row r="683" spans="1:4" x14ac:dyDescent="0.5">
      <c r="A683" s="56" t="s">
        <v>2046</v>
      </c>
      <c r="B683" s="20">
        <v>1.87861146402273E-3</v>
      </c>
      <c r="C683" s="20">
        <v>1.2678177452795101E-3</v>
      </c>
      <c r="D683" s="20">
        <v>1.9241637483320101E-3</v>
      </c>
    </row>
    <row r="684" spans="1:4" x14ac:dyDescent="0.5">
      <c r="A684" s="56" t="s">
        <v>2047</v>
      </c>
      <c r="B684" s="20">
        <v>1.85698494484324E-3</v>
      </c>
      <c r="C684" s="20">
        <v>1.29281280192009E-3</v>
      </c>
      <c r="D684" s="20">
        <v>1.8991321611961801E-3</v>
      </c>
    </row>
    <row r="685" spans="1:4" x14ac:dyDescent="0.5">
      <c r="A685" s="56" t="s">
        <v>2048</v>
      </c>
      <c r="B685" s="20">
        <v>3.1874662513643802E-3</v>
      </c>
      <c r="C685" s="20">
        <v>2.3695364478695099E-3</v>
      </c>
      <c r="D685" s="20">
        <v>3.2388142214400798E-3</v>
      </c>
    </row>
    <row r="686" spans="1:4" x14ac:dyDescent="0.5">
      <c r="A686" s="56" t="s">
        <v>2049</v>
      </c>
      <c r="B686" s="20">
        <v>2.7482306765558798E-3</v>
      </c>
      <c r="C686" s="20">
        <v>2.13582474896292E-3</v>
      </c>
      <c r="D686" s="20">
        <v>2.79203668811216E-3</v>
      </c>
    </row>
    <row r="687" spans="1:4" x14ac:dyDescent="0.5">
      <c r="A687" s="56" t="s">
        <v>2050</v>
      </c>
      <c r="B687" s="20">
        <v>3.5299750997510098E-3</v>
      </c>
      <c r="C687" s="20">
        <v>2.1851630578259098E-3</v>
      </c>
      <c r="D687" s="20">
        <v>3.5680241408336199E-3</v>
      </c>
    </row>
    <row r="688" spans="1:4" x14ac:dyDescent="0.5">
      <c r="A688" s="56" t="s">
        <v>2051</v>
      </c>
      <c r="B688" s="20">
        <v>3.0877212741341701E-3</v>
      </c>
      <c r="C688" s="20">
        <v>1.9810620959845602E-3</v>
      </c>
      <c r="D688" s="20">
        <v>3.1247193455547799E-3</v>
      </c>
    </row>
    <row r="689" spans="1:4" x14ac:dyDescent="0.5">
      <c r="A689" s="56" t="s">
        <v>2052</v>
      </c>
      <c r="B689" s="20">
        <v>2.6560655735129901E-3</v>
      </c>
      <c r="C689" s="20">
        <v>1.82970029404379E-3</v>
      </c>
      <c r="D689" s="20">
        <v>2.6871820777247001E-3</v>
      </c>
    </row>
    <row r="690" spans="1:4" x14ac:dyDescent="0.5">
      <c r="A690" s="56" t="s">
        <v>2053</v>
      </c>
      <c r="B690" s="20">
        <v>2.3413105796288702E-3</v>
      </c>
      <c r="C690" s="20">
        <v>1.70475535069614E-3</v>
      </c>
      <c r="D690" s="20">
        <v>2.36446653226698E-3</v>
      </c>
    </row>
    <row r="691" spans="1:4" x14ac:dyDescent="0.5">
      <c r="A691" s="56" t="s">
        <v>2054</v>
      </c>
      <c r="B691" s="20">
        <v>2.0569141720079898E-3</v>
      </c>
      <c r="C691" s="20">
        <v>1.56533023642362E-3</v>
      </c>
      <c r="D691" s="20">
        <v>2.0710150566686102E-3</v>
      </c>
    </row>
    <row r="692" spans="1:4" x14ac:dyDescent="0.5">
      <c r="A692" s="56" t="s">
        <v>2055</v>
      </c>
      <c r="B692" s="20">
        <v>1.8663513949137801E-3</v>
      </c>
      <c r="C692" s="20">
        <v>1.4359328556823299E-3</v>
      </c>
      <c r="D692" s="20">
        <v>1.8738067692799299E-3</v>
      </c>
    </row>
    <row r="693" spans="1:4" x14ac:dyDescent="0.5">
      <c r="A693" s="56" t="s">
        <v>2056</v>
      </c>
      <c r="B693" s="20">
        <v>2.1364826960674202E-3</v>
      </c>
      <c r="C693" s="20">
        <v>1.50786002782685E-3</v>
      </c>
      <c r="D693" s="20">
        <v>2.1348957267642902E-3</v>
      </c>
    </row>
    <row r="694" spans="1:4" x14ac:dyDescent="0.5">
      <c r="A694" s="56" t="s">
        <v>2057</v>
      </c>
      <c r="B694" s="20">
        <v>1.93181167407291E-3</v>
      </c>
      <c r="C694" s="20">
        <v>1.36969578461315E-3</v>
      </c>
      <c r="D694" s="20">
        <v>1.9285002639441899E-3</v>
      </c>
    </row>
    <row r="695" spans="1:4" x14ac:dyDescent="0.5">
      <c r="A695" s="56" t="s">
        <v>2058</v>
      </c>
      <c r="B695" s="20">
        <v>1.7749630537368399E-3</v>
      </c>
      <c r="C695" s="20">
        <v>1.3190283091624401E-3</v>
      </c>
      <c r="D695" s="20">
        <v>1.76861864337662E-3</v>
      </c>
    </row>
    <row r="696" spans="1:4" x14ac:dyDescent="0.5">
      <c r="A696" s="56" t="s">
        <v>2059</v>
      </c>
      <c r="B696" s="20">
        <v>1.84652939491141E-3</v>
      </c>
      <c r="C696" s="20">
        <v>1.24954818136504E-3</v>
      </c>
      <c r="D696" s="20">
        <v>1.8509579137261499E-3</v>
      </c>
    </row>
    <row r="697" spans="1:4" x14ac:dyDescent="0.5">
      <c r="A697" s="56" t="s">
        <v>2060</v>
      </c>
      <c r="B697" s="20">
        <v>1.63675752379968E-3</v>
      </c>
      <c r="C697" s="20">
        <v>1.1528190806219399E-3</v>
      </c>
      <c r="D697" s="20">
        <v>1.6373751370847699E-3</v>
      </c>
    </row>
    <row r="698" spans="1:4" x14ac:dyDescent="0.5">
      <c r="A698" s="56" t="s">
        <v>2061</v>
      </c>
      <c r="B698" s="20">
        <v>1.46463838502732E-3</v>
      </c>
      <c r="C698" s="20">
        <v>1.1649234369609E-3</v>
      </c>
      <c r="D698" s="20">
        <v>1.4614400865241299E-3</v>
      </c>
    </row>
    <row r="699" spans="1:4" x14ac:dyDescent="0.5">
      <c r="A699" s="56" t="s">
        <v>2062</v>
      </c>
      <c r="B699" s="20">
        <v>1.4206272060237599E-3</v>
      </c>
      <c r="C699" s="20">
        <v>1.2428663968261601E-3</v>
      </c>
      <c r="D699" s="20">
        <v>1.41704168095988E-3</v>
      </c>
    </row>
    <row r="700" spans="1:4" x14ac:dyDescent="0.5">
      <c r="A700" s="56" t="s">
        <v>2063</v>
      </c>
      <c r="B700" s="20">
        <v>1.2983276315977901E-3</v>
      </c>
      <c r="C700" s="20">
        <v>1.2564113530048699E-3</v>
      </c>
      <c r="D700" s="20">
        <v>1.28982149538458E-3</v>
      </c>
    </row>
    <row r="701" spans="1:4" x14ac:dyDescent="0.5">
      <c r="A701" s="56" t="s">
        <v>2064</v>
      </c>
      <c r="B701" s="20">
        <v>1.2360656518786799E-3</v>
      </c>
      <c r="C701" s="20">
        <v>1.2853386854351E-3</v>
      </c>
      <c r="D701" s="20">
        <v>1.2283935090649501E-3</v>
      </c>
    </row>
    <row r="702" spans="1:4" x14ac:dyDescent="0.5">
      <c r="A702" s="56" t="s">
        <v>2065</v>
      </c>
      <c r="B702" s="20">
        <v>1.1906609529049E-3</v>
      </c>
      <c r="C702" s="20">
        <v>1.3056423395742399E-3</v>
      </c>
      <c r="D702" s="20">
        <v>1.1780437880711001E-3</v>
      </c>
    </row>
    <row r="703" spans="1:4" x14ac:dyDescent="0.5">
      <c r="A703" s="56" t="s">
        <v>2066</v>
      </c>
      <c r="B703" s="20">
        <v>1.36734598844942E-3</v>
      </c>
      <c r="C703" s="20">
        <v>1.5044915814362201E-3</v>
      </c>
      <c r="D703" s="20">
        <v>1.36342508086274E-3</v>
      </c>
    </row>
    <row r="704" spans="1:4" x14ac:dyDescent="0.5">
      <c r="A704" s="56" t="s">
        <v>2067</v>
      </c>
      <c r="B704" s="20">
        <v>1.2443967160965901E-3</v>
      </c>
      <c r="C704" s="20">
        <v>1.4058590012630901E-3</v>
      </c>
      <c r="D704" s="20">
        <v>1.2362270604775801E-3</v>
      </c>
    </row>
    <row r="705" spans="1:4" x14ac:dyDescent="0.5">
      <c r="A705" s="56" t="s">
        <v>2068</v>
      </c>
      <c r="B705" s="20">
        <v>1.1494727690738299E-3</v>
      </c>
      <c r="C705" s="20">
        <v>1.28087080281054E-3</v>
      </c>
      <c r="D705" s="20">
        <v>1.1380196248918901E-3</v>
      </c>
    </row>
    <row r="706" spans="1:4" x14ac:dyDescent="0.5">
      <c r="A706" s="56" t="s">
        <v>2069</v>
      </c>
      <c r="B706" s="20">
        <v>1.6468353458691E-3</v>
      </c>
      <c r="C706" s="20">
        <v>1.3188837968103699E-3</v>
      </c>
      <c r="D706" s="20">
        <v>1.6516786298447601E-3</v>
      </c>
    </row>
    <row r="707" spans="1:4" x14ac:dyDescent="0.5">
      <c r="A707" s="56" t="s">
        <v>2070</v>
      </c>
      <c r="B707" s="20">
        <v>1.4777690060830699E-3</v>
      </c>
      <c r="C707" s="20">
        <v>1.21068314562709E-3</v>
      </c>
      <c r="D707" s="20">
        <v>1.4773434920472199E-3</v>
      </c>
    </row>
    <row r="708" spans="1:4" x14ac:dyDescent="0.5">
      <c r="A708" s="56" t="s">
        <v>2071</v>
      </c>
      <c r="B708" s="20">
        <v>1.4541161691122499E-3</v>
      </c>
      <c r="C708" s="20">
        <v>1.19958276341949E-3</v>
      </c>
      <c r="D708" s="20">
        <v>1.4460891679922299E-3</v>
      </c>
    </row>
    <row r="709" spans="1:4" x14ac:dyDescent="0.5">
      <c r="A709" s="56" t="s">
        <v>2072</v>
      </c>
      <c r="B709" s="20">
        <v>2.52949749021345E-3</v>
      </c>
      <c r="C709" s="20">
        <v>1.3732878545400799E-3</v>
      </c>
      <c r="D709" s="20">
        <v>2.5383886363912101E-3</v>
      </c>
    </row>
    <row r="710" spans="1:4" x14ac:dyDescent="0.5">
      <c r="A710" s="56" t="s">
        <v>2073</v>
      </c>
      <c r="B710" s="20">
        <v>2.2355125696230499E-3</v>
      </c>
      <c r="C710" s="20">
        <v>1.34675288019094E-3</v>
      </c>
      <c r="D710" s="20">
        <v>2.2448168006986499E-3</v>
      </c>
    </row>
    <row r="711" spans="1:4" x14ac:dyDescent="0.5">
      <c r="A711" s="56" t="s">
        <v>2074</v>
      </c>
      <c r="B711" s="20">
        <v>1.9860799961357802E-3</v>
      </c>
      <c r="C711" s="20">
        <v>1.2485300179127801E-3</v>
      </c>
      <c r="D711" s="20">
        <v>1.98900326551525E-3</v>
      </c>
    </row>
    <row r="712" spans="1:4" x14ac:dyDescent="0.5">
      <c r="A712" s="56" t="s">
        <v>2075</v>
      </c>
      <c r="B712" s="20">
        <v>1.8347935179753401E-3</v>
      </c>
      <c r="C712" s="20">
        <v>1.16398535295708E-3</v>
      </c>
      <c r="D712" s="20">
        <v>1.83971376147518E-3</v>
      </c>
    </row>
    <row r="713" spans="1:4" x14ac:dyDescent="0.5">
      <c r="A713" s="56" t="s">
        <v>2076</v>
      </c>
      <c r="B713" s="20">
        <v>1.6390383837408199E-3</v>
      </c>
      <c r="C713" s="20">
        <v>1.1071797019349299E-3</v>
      </c>
      <c r="D713" s="20">
        <v>1.6404772777782899E-3</v>
      </c>
    </row>
    <row r="714" spans="1:4" x14ac:dyDescent="0.5">
      <c r="A714" s="56" t="s">
        <v>2077</v>
      </c>
      <c r="B714" s="20">
        <v>1.9597232927249602E-3</v>
      </c>
      <c r="C714" s="20">
        <v>1.0323257103799E-3</v>
      </c>
      <c r="D714" s="20">
        <v>1.9628555943239398E-3</v>
      </c>
    </row>
    <row r="715" spans="1:4" x14ac:dyDescent="0.5">
      <c r="A715" s="56" t="s">
        <v>2078</v>
      </c>
      <c r="B715" s="20">
        <v>1.7296647907962201E-3</v>
      </c>
      <c r="C715" s="20">
        <v>9.5910041560955995E-4</v>
      </c>
      <c r="D715" s="20">
        <v>1.7299637007300399E-3</v>
      </c>
    </row>
    <row r="716" spans="1:4" x14ac:dyDescent="0.5">
      <c r="A716" s="56" t="s">
        <v>2079</v>
      </c>
      <c r="B716" s="20">
        <v>1.5627475552870899E-3</v>
      </c>
      <c r="C716" s="20">
        <v>9.4739254135687103E-4</v>
      </c>
      <c r="D716" s="20">
        <v>1.5619124292689599E-3</v>
      </c>
    </row>
    <row r="717" spans="1:4" x14ac:dyDescent="0.5">
      <c r="A717" s="56" t="s">
        <v>2080</v>
      </c>
      <c r="B717" s="20">
        <v>1.44700049129948E-3</v>
      </c>
      <c r="C717" s="20">
        <v>8.8657062193768402E-4</v>
      </c>
      <c r="D717" s="20">
        <v>1.4411471027513201E-3</v>
      </c>
    </row>
    <row r="718" spans="1:4" x14ac:dyDescent="0.5">
      <c r="A718" s="56" t="s">
        <v>2081</v>
      </c>
      <c r="B718" s="20">
        <v>1.5947240618777499E-3</v>
      </c>
      <c r="C718" s="20">
        <v>1.0737521819605099E-3</v>
      </c>
      <c r="D718" s="20">
        <v>1.59188045316047E-3</v>
      </c>
    </row>
    <row r="719" spans="1:4" x14ac:dyDescent="0.5">
      <c r="A719" s="56" t="s">
        <v>2082</v>
      </c>
      <c r="B719" s="20">
        <v>1.43097517855326E-3</v>
      </c>
      <c r="C719" s="20">
        <v>1.0179524257640301E-3</v>
      </c>
      <c r="D719" s="20">
        <v>1.4242301655815299E-3</v>
      </c>
    </row>
    <row r="720" spans="1:4" x14ac:dyDescent="0.5">
      <c r="A720" s="56" t="s">
        <v>2083</v>
      </c>
      <c r="B720" s="20">
        <v>1.33066746861291E-3</v>
      </c>
      <c r="C720" s="20">
        <v>1.25377605415483E-3</v>
      </c>
      <c r="D720" s="20">
        <v>1.31865909454794E-3</v>
      </c>
    </row>
    <row r="721" spans="1:4" x14ac:dyDescent="0.5">
      <c r="A721" s="56" t="s">
        <v>2084</v>
      </c>
      <c r="B721" s="20">
        <v>1.2586794923493E-3</v>
      </c>
      <c r="C721" s="20">
        <v>1.1515038763850801E-3</v>
      </c>
      <c r="D721" s="20">
        <v>1.2465579144047699E-3</v>
      </c>
    </row>
    <row r="722" spans="1:4" x14ac:dyDescent="0.5">
      <c r="A722" s="56" t="s">
        <v>2085</v>
      </c>
      <c r="B722" s="20">
        <v>1.4128962583460801E-3</v>
      </c>
      <c r="C722" s="20">
        <v>1.4914408375619E-3</v>
      </c>
      <c r="D722" s="20">
        <v>1.4027073929882799E-3</v>
      </c>
    </row>
    <row r="723" spans="1:4" x14ac:dyDescent="0.5">
      <c r="A723" s="56" t="s">
        <v>2086</v>
      </c>
      <c r="B723" s="20">
        <v>1.4065354548958001E-3</v>
      </c>
      <c r="C723" s="20">
        <v>1.63666561178538E-3</v>
      </c>
      <c r="D723" s="20">
        <v>1.3957754264317601E-3</v>
      </c>
    </row>
    <row r="724" spans="1:4" x14ac:dyDescent="0.5">
      <c r="A724" s="56" t="s">
        <v>2087</v>
      </c>
      <c r="B724" s="20">
        <v>1.7228356592197799E-3</v>
      </c>
      <c r="C724" s="20">
        <v>1.65279668965603E-3</v>
      </c>
      <c r="D724" s="20">
        <v>1.7093931681935401E-3</v>
      </c>
    </row>
    <row r="725" spans="1:4" x14ac:dyDescent="0.5">
      <c r="A725" s="56" t="s">
        <v>2088</v>
      </c>
      <c r="B725" s="20">
        <v>1.6717802406556099E-3</v>
      </c>
      <c r="C725" s="20">
        <v>1.8493696841673901E-3</v>
      </c>
      <c r="D725" s="20">
        <v>1.6638886872874399E-3</v>
      </c>
    </row>
    <row r="726" spans="1:4" x14ac:dyDescent="0.5">
      <c r="A726" s="56" t="s">
        <v>2089</v>
      </c>
      <c r="B726" s="20">
        <v>1.5031761934385299E-3</v>
      </c>
      <c r="C726" s="20">
        <v>1.7004449252694101E-3</v>
      </c>
      <c r="D726" s="20">
        <v>1.4932166181715399E-3</v>
      </c>
    </row>
    <row r="727" spans="1:4" x14ac:dyDescent="0.5">
      <c r="A727" s="56" t="s">
        <v>2090</v>
      </c>
      <c r="B727" s="20">
        <v>1.88105661229651E-3</v>
      </c>
      <c r="C727" s="20">
        <v>1.8149206013966101E-3</v>
      </c>
      <c r="D727" s="20">
        <v>1.86893378260803E-3</v>
      </c>
    </row>
    <row r="728" spans="1:4" x14ac:dyDescent="0.5">
      <c r="A728" s="56" t="s">
        <v>2091</v>
      </c>
      <c r="B728" s="20">
        <v>1.8949862248447301E-3</v>
      </c>
      <c r="C728" s="20">
        <v>1.8136722305546701E-3</v>
      </c>
      <c r="D728" s="20">
        <v>1.8859058891730501E-3</v>
      </c>
    </row>
    <row r="729" spans="1:4" x14ac:dyDescent="0.5">
      <c r="A729" s="56" t="s">
        <v>2092</v>
      </c>
      <c r="B729" s="20">
        <v>1.75491709267312E-3</v>
      </c>
      <c r="C729" s="20">
        <v>1.83855598587923E-3</v>
      </c>
      <c r="D729" s="20">
        <v>1.74882503014193E-3</v>
      </c>
    </row>
    <row r="730" spans="1:4" x14ac:dyDescent="0.5">
      <c r="A730" s="56" t="s">
        <v>2093</v>
      </c>
      <c r="B730" s="20">
        <v>1.80021552144012E-3</v>
      </c>
      <c r="C730" s="20">
        <v>1.8432345736509399E-3</v>
      </c>
      <c r="D730" s="20">
        <v>1.7850295566496899E-3</v>
      </c>
    </row>
    <row r="731" spans="1:4" x14ac:dyDescent="0.5">
      <c r="A731" s="56" t="s">
        <v>2094</v>
      </c>
      <c r="B731" s="20">
        <v>1.6005787921459301E-3</v>
      </c>
      <c r="C731" s="20">
        <v>1.91568775986835E-3</v>
      </c>
      <c r="D731" s="20">
        <v>1.58471148879673E-3</v>
      </c>
    </row>
    <row r="732" spans="1:4" x14ac:dyDescent="0.5">
      <c r="A732" s="56" t="s">
        <v>2095</v>
      </c>
      <c r="B732" s="20">
        <v>2.03870591057193E-3</v>
      </c>
      <c r="C732" s="20">
        <v>1.7587732009521999E-3</v>
      </c>
      <c r="D732" s="20">
        <v>2.0362181468707701E-3</v>
      </c>
    </row>
    <row r="733" spans="1:4" x14ac:dyDescent="0.5">
      <c r="A733" s="56" t="s">
        <v>2096</v>
      </c>
      <c r="B733" s="20">
        <v>2.2883137505480002E-3</v>
      </c>
      <c r="C733" s="20">
        <v>2.2332823812755598E-3</v>
      </c>
      <c r="D733" s="20">
        <v>2.2828225299608498E-3</v>
      </c>
    </row>
    <row r="734" spans="1:4" x14ac:dyDescent="0.5">
      <c r="A734" s="56" t="s">
        <v>2097</v>
      </c>
      <c r="B734" s="20">
        <v>3.18189950560274E-3</v>
      </c>
      <c r="C734" s="20">
        <v>3.6584473813692899E-3</v>
      </c>
      <c r="D734" s="20">
        <v>3.1985063941083101E-3</v>
      </c>
    </row>
    <row r="735" spans="1:4" x14ac:dyDescent="0.5">
      <c r="A735" s="56" t="s">
        <v>2098</v>
      </c>
      <c r="B735" s="20">
        <v>2.9241467555659898E-3</v>
      </c>
      <c r="C735" s="20">
        <v>3.3939773343553701E-3</v>
      </c>
      <c r="D735" s="20">
        <v>2.9451572744273301E-3</v>
      </c>
    </row>
    <row r="736" spans="1:4" x14ac:dyDescent="0.5">
      <c r="A736" s="56" t="s">
        <v>2099</v>
      </c>
      <c r="B736" s="20">
        <v>2.5352629322642202E-3</v>
      </c>
      <c r="C736" s="20">
        <v>3.0246885806488898E-3</v>
      </c>
      <c r="D736" s="20">
        <v>2.5513848792842902E-3</v>
      </c>
    </row>
    <row r="737" spans="1:4" x14ac:dyDescent="0.5">
      <c r="A737" s="56" t="s">
        <v>2100</v>
      </c>
      <c r="B737" s="20">
        <v>2.4227492054935298E-3</v>
      </c>
      <c r="C737" s="20">
        <v>2.8442959449353298E-3</v>
      </c>
      <c r="D737" s="20">
        <v>2.4321455335984399E-3</v>
      </c>
    </row>
    <row r="738" spans="1:4" x14ac:dyDescent="0.5">
      <c r="A738" s="56" t="s">
        <v>2101</v>
      </c>
      <c r="B738" s="20">
        <v>3.9647460013070802E-3</v>
      </c>
      <c r="C738" s="20">
        <v>3.3328947114756001E-3</v>
      </c>
      <c r="D738" s="20">
        <v>3.9967956310786503E-3</v>
      </c>
    </row>
    <row r="739" spans="1:4" x14ac:dyDescent="0.5">
      <c r="A739" s="56" t="s">
        <v>2102</v>
      </c>
      <c r="B739" s="20">
        <v>3.4424003518603499E-3</v>
      </c>
      <c r="C739" s="20">
        <v>3.1566358941063199E-3</v>
      </c>
      <c r="D739" s="20">
        <v>3.4730639224953399E-3</v>
      </c>
    </row>
    <row r="740" spans="1:4" x14ac:dyDescent="0.5">
      <c r="A740" s="56" t="s">
        <v>2103</v>
      </c>
      <c r="B740" s="20">
        <v>2.9588067752709299E-3</v>
      </c>
      <c r="C740" s="20">
        <v>2.9125909492004102E-3</v>
      </c>
      <c r="D740" s="20">
        <v>2.9874237825109401E-3</v>
      </c>
    </row>
    <row r="741" spans="1:4" x14ac:dyDescent="0.5">
      <c r="A741" s="56" t="s">
        <v>2104</v>
      </c>
      <c r="B741" s="20">
        <v>2.62815317486512E-3</v>
      </c>
      <c r="C741" s="20">
        <v>2.9011043136573001E-3</v>
      </c>
      <c r="D741" s="20">
        <v>2.6534025240074199E-3</v>
      </c>
    </row>
    <row r="742" spans="1:4" x14ac:dyDescent="0.5">
      <c r="A742" s="56" t="s">
        <v>2105</v>
      </c>
      <c r="B742" s="20">
        <v>2.2811325027783502E-3</v>
      </c>
      <c r="C742" s="20">
        <v>2.62508434096275E-3</v>
      </c>
      <c r="D742" s="20">
        <v>2.3018074601437498E-3</v>
      </c>
    </row>
    <row r="743" spans="1:4" x14ac:dyDescent="0.5">
      <c r="A743" s="56" t="s">
        <v>2106</v>
      </c>
      <c r="B743" s="20">
        <v>2.1521025419569502E-3</v>
      </c>
      <c r="C743" s="20">
        <v>2.4514647219945401E-3</v>
      </c>
      <c r="D743" s="20">
        <v>2.1724559497027299E-3</v>
      </c>
    </row>
    <row r="744" spans="1:4" x14ac:dyDescent="0.5">
      <c r="A744" s="56" t="s">
        <v>2107</v>
      </c>
      <c r="B744" s="20">
        <v>2.05081031088454E-3</v>
      </c>
      <c r="C744" s="20">
        <v>2.2167163491929598E-3</v>
      </c>
      <c r="D744" s="20">
        <v>2.0679411509573402E-3</v>
      </c>
    </row>
    <row r="745" spans="1:4" x14ac:dyDescent="0.5">
      <c r="A745" s="56" t="s">
        <v>2108</v>
      </c>
      <c r="B745" s="20">
        <v>1.8813361486785601E-3</v>
      </c>
      <c r="C745" s="20">
        <v>2.1640306695863902E-3</v>
      </c>
      <c r="D745" s="20">
        <v>1.89412043915633E-3</v>
      </c>
    </row>
    <row r="746" spans="1:4" x14ac:dyDescent="0.5">
      <c r="A746" s="56" t="s">
        <v>2109</v>
      </c>
      <c r="B746" s="20">
        <v>1.82684964483311E-3</v>
      </c>
      <c r="C746" s="20">
        <v>1.9544961873770601E-3</v>
      </c>
      <c r="D746" s="20">
        <v>1.8405306680533799E-3</v>
      </c>
    </row>
    <row r="747" spans="1:4" x14ac:dyDescent="0.5">
      <c r="A747" s="56" t="s">
        <v>2110</v>
      </c>
      <c r="B747" s="20">
        <v>8.3478352233483603E-3</v>
      </c>
      <c r="C747" s="20">
        <v>2.48812198347809E-3</v>
      </c>
      <c r="D747" s="20">
        <v>8.4660610716034493E-3</v>
      </c>
    </row>
    <row r="748" spans="1:4" x14ac:dyDescent="0.5">
      <c r="A748" s="56" t="s">
        <v>2111</v>
      </c>
      <c r="B748" s="20">
        <v>8.6994547079414508E-3</v>
      </c>
      <c r="C748" s="20">
        <v>2.7198484599694601E-3</v>
      </c>
      <c r="D748" s="20">
        <v>8.7881764130956601E-3</v>
      </c>
    </row>
    <row r="749" spans="1:4" x14ac:dyDescent="0.5">
      <c r="A749" s="56" t="s">
        <v>2112</v>
      </c>
      <c r="B749" s="20">
        <v>7.4515650547405197E-3</v>
      </c>
      <c r="C749" s="20">
        <v>2.4291146845565599E-3</v>
      </c>
      <c r="D749" s="20">
        <v>7.5662559340068996E-3</v>
      </c>
    </row>
    <row r="750" spans="1:4" x14ac:dyDescent="0.5">
      <c r="A750" s="56" t="s">
        <v>2113</v>
      </c>
      <c r="B750" s="20">
        <v>6.2561496921703401E-3</v>
      </c>
      <c r="C750" s="20">
        <v>3.2906659482949299E-3</v>
      </c>
      <c r="D750" s="20">
        <v>6.3687698736784601E-3</v>
      </c>
    </row>
    <row r="751" spans="1:4" x14ac:dyDescent="0.5">
      <c r="A751" s="56" t="s">
        <v>2114</v>
      </c>
      <c r="B751" s="20">
        <v>5.3082717951272104E-3</v>
      </c>
      <c r="C751" s="20">
        <v>3.0283203729671001E-3</v>
      </c>
      <c r="D751" s="20">
        <v>5.4177903623651496E-3</v>
      </c>
    </row>
    <row r="752" spans="1:4" x14ac:dyDescent="0.5">
      <c r="A752" s="56" t="s">
        <v>2115</v>
      </c>
      <c r="B752" s="20">
        <v>4.8567509933837103E-3</v>
      </c>
      <c r="C752" s="20">
        <v>3.1547846578600701E-3</v>
      </c>
      <c r="D752" s="20">
        <v>4.9479688340639096E-3</v>
      </c>
    </row>
    <row r="753" spans="1:4" x14ac:dyDescent="0.5">
      <c r="A753" s="56" t="s">
        <v>2116</v>
      </c>
      <c r="B753" s="20">
        <v>4.1253316650506598E-3</v>
      </c>
      <c r="C753" s="20">
        <v>2.82282172320237E-3</v>
      </c>
      <c r="D753" s="20">
        <v>4.2060210455438403E-3</v>
      </c>
    </row>
    <row r="754" spans="1:4" x14ac:dyDescent="0.5">
      <c r="A754" s="56" t="s">
        <v>2117</v>
      </c>
      <c r="B754" s="20">
        <v>3.5295497846828598E-3</v>
      </c>
      <c r="C754" s="20">
        <v>2.6321205315366601E-3</v>
      </c>
      <c r="D754" s="20">
        <v>3.5980031350944402E-3</v>
      </c>
    </row>
    <row r="755" spans="1:4" x14ac:dyDescent="0.5">
      <c r="A755" s="56" t="s">
        <v>2118</v>
      </c>
      <c r="B755" s="20">
        <v>3.1160599559419298E-3</v>
      </c>
      <c r="C755" s="20">
        <v>2.38822099698418E-3</v>
      </c>
      <c r="D755" s="20">
        <v>3.1780017752600599E-3</v>
      </c>
    </row>
    <row r="756" spans="1:4" x14ac:dyDescent="0.5">
      <c r="A756" s="56" t="s">
        <v>2119</v>
      </c>
      <c r="B756" s="20">
        <v>2.7355394340833499E-3</v>
      </c>
      <c r="C756" s="20">
        <v>2.15177075414323E-3</v>
      </c>
      <c r="D756" s="20">
        <v>2.7904145886883799E-3</v>
      </c>
    </row>
    <row r="757" spans="1:4" x14ac:dyDescent="0.5">
      <c r="A757" s="56" t="s">
        <v>2120</v>
      </c>
      <c r="B757" s="20">
        <v>2.6886815364771301E-3</v>
      </c>
      <c r="C757" s="20">
        <v>2.0051706662208898E-3</v>
      </c>
      <c r="D757" s="20">
        <v>2.73046823583524E-3</v>
      </c>
    </row>
    <row r="758" spans="1:4" x14ac:dyDescent="0.5">
      <c r="A758" s="56" t="s">
        <v>2121</v>
      </c>
      <c r="B758" s="20">
        <v>2.4165566018604099E-3</v>
      </c>
      <c r="C758" s="20">
        <v>1.8955846270409E-3</v>
      </c>
      <c r="D758" s="20">
        <v>2.4525214666853601E-3</v>
      </c>
    </row>
    <row r="759" spans="1:4" x14ac:dyDescent="0.5">
      <c r="A759" s="56" t="s">
        <v>2122</v>
      </c>
      <c r="B759" s="20">
        <v>2.1231937828529398E-3</v>
      </c>
      <c r="C759" s="20">
        <v>1.7322440319437E-3</v>
      </c>
      <c r="D759" s="20">
        <v>2.1527630088224699E-3</v>
      </c>
    </row>
    <row r="760" spans="1:4" x14ac:dyDescent="0.5">
      <c r="A760" s="56" t="s">
        <v>2123</v>
      </c>
      <c r="B760" s="20">
        <v>1.9640765981365099E-3</v>
      </c>
      <c r="C760" s="20">
        <v>1.6028693310228301E-3</v>
      </c>
      <c r="D760" s="20">
        <v>1.9899135550488401E-3</v>
      </c>
    </row>
    <row r="761" spans="1:4" x14ac:dyDescent="0.5">
      <c r="A761" s="56" t="s">
        <v>2124</v>
      </c>
      <c r="B761" s="20">
        <v>1.73561001009371E-3</v>
      </c>
      <c r="C761" s="20">
        <v>1.4547133084212801E-3</v>
      </c>
      <c r="D761" s="20">
        <v>1.7541899943860099E-3</v>
      </c>
    </row>
    <row r="762" spans="1:4" x14ac:dyDescent="0.5">
      <c r="A762" s="56" t="s">
        <v>2125</v>
      </c>
      <c r="B762" s="20">
        <v>1.9892779181578399E-3</v>
      </c>
      <c r="C762" s="20">
        <v>1.5522526174772599E-3</v>
      </c>
      <c r="D762" s="20">
        <v>2.0139181627455301E-3</v>
      </c>
    </row>
    <row r="763" spans="1:4" x14ac:dyDescent="0.5">
      <c r="A763" s="56" t="s">
        <v>2126</v>
      </c>
      <c r="B763" s="20">
        <v>1.9404410725305399E-3</v>
      </c>
      <c r="C763" s="20">
        <v>1.51835593865311E-3</v>
      </c>
      <c r="D763" s="20">
        <v>1.9664068619724699E-3</v>
      </c>
    </row>
    <row r="764" spans="1:4" x14ac:dyDescent="0.5">
      <c r="A764" s="56" t="s">
        <v>2127</v>
      </c>
      <c r="B764" s="20">
        <v>1.72543675070365E-3</v>
      </c>
      <c r="C764" s="20">
        <v>1.4061195014409499E-3</v>
      </c>
      <c r="D764" s="20">
        <v>1.7447833354108501E-3</v>
      </c>
    </row>
    <row r="765" spans="1:4" x14ac:dyDescent="0.5">
      <c r="A765" s="56" t="s">
        <v>2128</v>
      </c>
      <c r="B765" s="20">
        <v>1.73371104784221E-3</v>
      </c>
      <c r="C765" s="20">
        <v>1.5759149350774201E-3</v>
      </c>
      <c r="D765" s="20">
        <v>1.74189757430616E-3</v>
      </c>
    </row>
    <row r="766" spans="1:4" x14ac:dyDescent="0.5">
      <c r="A766" s="56" t="s">
        <v>2129</v>
      </c>
      <c r="B766" s="20">
        <v>1.6355133665617099E-3</v>
      </c>
      <c r="C766" s="20">
        <v>1.6659716479224E-3</v>
      </c>
      <c r="D766" s="20">
        <v>1.64367931683508E-3</v>
      </c>
    </row>
    <row r="767" spans="1:4" x14ac:dyDescent="0.5">
      <c r="A767" s="56" t="s">
        <v>2130</v>
      </c>
      <c r="B767" s="20">
        <v>1.5031890465394199E-3</v>
      </c>
      <c r="C767" s="20">
        <v>1.51096111321945E-3</v>
      </c>
      <c r="D767" s="20">
        <v>1.5071830649648699E-3</v>
      </c>
    </row>
    <row r="768" spans="1:4" x14ac:dyDescent="0.5">
      <c r="A768" s="56" t="s">
        <v>2131</v>
      </c>
      <c r="B768" s="20">
        <v>2.1404016191704399E-3</v>
      </c>
      <c r="C768" s="20">
        <v>1.8944309688924E-3</v>
      </c>
      <c r="D768" s="20">
        <v>2.1453906958466E-3</v>
      </c>
    </row>
    <row r="769" spans="1:4" x14ac:dyDescent="0.5">
      <c r="A769" s="56" t="s">
        <v>2132</v>
      </c>
      <c r="B769" s="20">
        <v>1.8823943904039801E-3</v>
      </c>
      <c r="C769" s="20">
        <v>1.7361066897256701E-3</v>
      </c>
      <c r="D769" s="20">
        <v>1.8840077236958401E-3</v>
      </c>
    </row>
    <row r="770" spans="1:4" x14ac:dyDescent="0.5">
      <c r="A770" s="56" t="s">
        <v>2133</v>
      </c>
      <c r="B770" s="20">
        <v>1.7005671977071101E-3</v>
      </c>
      <c r="C770" s="20">
        <v>1.57332201842587E-3</v>
      </c>
      <c r="D770" s="20">
        <v>1.7012626126371301E-3</v>
      </c>
    </row>
    <row r="771" spans="1:4" x14ac:dyDescent="0.5">
      <c r="A771" s="56" t="s">
        <v>2134</v>
      </c>
      <c r="B771" s="20">
        <v>1.6823448512728501E-3</v>
      </c>
      <c r="C771" s="20">
        <v>1.43034759496835E-3</v>
      </c>
      <c r="D771" s="20">
        <v>1.6792380921645199E-3</v>
      </c>
    </row>
    <row r="772" spans="1:4" x14ac:dyDescent="0.5">
      <c r="A772" s="56" t="s">
        <v>2135</v>
      </c>
      <c r="B772" s="20">
        <v>1.51240354823458E-3</v>
      </c>
      <c r="C772" s="20">
        <v>1.36042287513793E-3</v>
      </c>
      <c r="D772" s="20">
        <v>1.5051404747604699E-3</v>
      </c>
    </row>
    <row r="773" spans="1:4" x14ac:dyDescent="0.5">
      <c r="A773" s="56" t="s">
        <v>2136</v>
      </c>
      <c r="B773" s="20">
        <v>1.3820850942852299E-3</v>
      </c>
      <c r="C773" s="20">
        <v>1.6637775069513301E-3</v>
      </c>
      <c r="D773" s="20">
        <v>1.3704725642632301E-3</v>
      </c>
    </row>
    <row r="774" spans="1:4" x14ac:dyDescent="0.5">
      <c r="A774" s="56" t="s">
        <v>2137</v>
      </c>
      <c r="B774" s="20">
        <v>2.0524407973599298E-3</v>
      </c>
      <c r="C774" s="20">
        <v>2.3901911351098602E-3</v>
      </c>
      <c r="D774" s="20">
        <v>2.0445926132918401E-3</v>
      </c>
    </row>
    <row r="775" spans="1:4" x14ac:dyDescent="0.5">
      <c r="A775" s="56" t="s">
        <v>2138</v>
      </c>
      <c r="B775" s="20">
        <v>1.8057210421921501E-3</v>
      </c>
      <c r="C775" s="20">
        <v>2.1947418946625902E-3</v>
      </c>
      <c r="D775" s="20">
        <v>1.7967954509984601E-3</v>
      </c>
    </row>
    <row r="776" spans="1:4" x14ac:dyDescent="0.5">
      <c r="A776" s="56" t="s">
        <v>2139</v>
      </c>
      <c r="B776" s="20">
        <v>1.62643372199975E-3</v>
      </c>
      <c r="C776" s="20">
        <v>1.9751760328639602E-3</v>
      </c>
      <c r="D776" s="20">
        <v>1.6157149254911001E-3</v>
      </c>
    </row>
    <row r="777" spans="1:4" x14ac:dyDescent="0.5">
      <c r="A777" s="56" t="s">
        <v>2140</v>
      </c>
      <c r="B777" s="20">
        <v>1.63526030193634E-3</v>
      </c>
      <c r="C777" s="20">
        <v>2.0399454808682198E-3</v>
      </c>
      <c r="D777" s="20">
        <v>1.62363187272306E-3</v>
      </c>
    </row>
    <row r="778" spans="1:4" x14ac:dyDescent="0.5">
      <c r="A778" s="56" t="s">
        <v>2141</v>
      </c>
      <c r="B778" s="20">
        <v>2.3865602916413801E-3</v>
      </c>
      <c r="C778" s="20">
        <v>2.1761201348351402E-3</v>
      </c>
      <c r="D778" s="20">
        <v>2.3878383054710098E-3</v>
      </c>
    </row>
    <row r="779" spans="1:4" x14ac:dyDescent="0.5">
      <c r="A779" s="56" t="s">
        <v>2142</v>
      </c>
      <c r="B779" s="20">
        <v>2.1387235838164699E-3</v>
      </c>
      <c r="C779" s="20">
        <v>2.06571991207134E-3</v>
      </c>
      <c r="D779" s="20">
        <v>2.1401192166300999E-3</v>
      </c>
    </row>
    <row r="780" spans="1:4" x14ac:dyDescent="0.5">
      <c r="A780" s="56" t="s">
        <v>2143</v>
      </c>
      <c r="B780" s="20">
        <v>1.9154043702450799E-3</v>
      </c>
      <c r="C780" s="20">
        <v>1.87908260049033E-3</v>
      </c>
      <c r="D780" s="20">
        <v>1.91328610467805E-3</v>
      </c>
    </row>
    <row r="781" spans="1:4" x14ac:dyDescent="0.5">
      <c r="A781" s="56" t="s">
        <v>2144</v>
      </c>
      <c r="B781" s="20">
        <v>3.06820126563454E-3</v>
      </c>
      <c r="C781" s="20">
        <v>2.55741625304318E-3</v>
      </c>
      <c r="D781" s="20">
        <v>3.0859872399484302E-3</v>
      </c>
    </row>
    <row r="782" spans="1:4" x14ac:dyDescent="0.5">
      <c r="A782" s="56" t="s">
        <v>2145</v>
      </c>
      <c r="B782" s="20">
        <v>3.19634334130748E-3</v>
      </c>
      <c r="C782" s="20">
        <v>2.3745477529042002E-3</v>
      </c>
      <c r="D782" s="20">
        <v>3.2213391793331999E-3</v>
      </c>
    </row>
    <row r="783" spans="1:4" x14ac:dyDescent="0.5">
      <c r="A783" s="56" t="s">
        <v>2146</v>
      </c>
      <c r="B783" s="20">
        <v>2.8067172520307199E-3</v>
      </c>
      <c r="C783" s="20">
        <v>2.4281967210403E-3</v>
      </c>
      <c r="D783" s="20">
        <v>2.8230436006032099E-3</v>
      </c>
    </row>
    <row r="784" spans="1:4" x14ac:dyDescent="0.5">
      <c r="A784" s="56" t="s">
        <v>2147</v>
      </c>
      <c r="B784" s="20">
        <v>2.7254757056026499E-3</v>
      </c>
      <c r="C784" s="20">
        <v>2.17944734748298E-3</v>
      </c>
      <c r="D784" s="20">
        <v>2.7447003964596399E-3</v>
      </c>
    </row>
    <row r="785" spans="1:4" x14ac:dyDescent="0.5">
      <c r="A785" s="56" t="s">
        <v>2148</v>
      </c>
      <c r="B785" s="20">
        <v>2.3753487116108299E-3</v>
      </c>
      <c r="C785" s="20">
        <v>1.9571676089641301E-3</v>
      </c>
      <c r="D785" s="20">
        <v>2.3922380020752099E-3</v>
      </c>
    </row>
    <row r="786" spans="1:4" x14ac:dyDescent="0.5">
      <c r="A786" s="56" t="s">
        <v>2149</v>
      </c>
      <c r="B786" s="20">
        <v>2.18293537372303E-3</v>
      </c>
      <c r="C786" s="20">
        <v>1.94148247882287E-3</v>
      </c>
      <c r="D786" s="20">
        <v>2.1984119156337402E-3</v>
      </c>
    </row>
    <row r="787" spans="1:4" x14ac:dyDescent="0.5">
      <c r="A787" s="56" t="s">
        <v>2150</v>
      </c>
      <c r="B787" s="20">
        <v>2.3486800406397499E-3</v>
      </c>
      <c r="C787" s="20">
        <v>1.80984108980955E-3</v>
      </c>
      <c r="D787" s="20">
        <v>2.3593040950928199E-3</v>
      </c>
    </row>
    <row r="788" spans="1:4" x14ac:dyDescent="0.5">
      <c r="A788" s="56" t="s">
        <v>2151</v>
      </c>
      <c r="B788" s="20">
        <v>2.0615935592796599E-3</v>
      </c>
      <c r="C788" s="20">
        <v>1.6422054360939299E-3</v>
      </c>
      <c r="D788" s="20">
        <v>2.0679774631414201E-3</v>
      </c>
    </row>
    <row r="789" spans="1:4" x14ac:dyDescent="0.5">
      <c r="A789" s="56" t="s">
        <v>2152</v>
      </c>
      <c r="B789" s="20">
        <v>1.8297716200675999E-3</v>
      </c>
      <c r="C789" s="20">
        <v>1.5616960009961899E-3</v>
      </c>
      <c r="D789" s="20">
        <v>1.8304726723467001E-3</v>
      </c>
    </row>
    <row r="790" spans="1:4" x14ac:dyDescent="0.5">
      <c r="A790" s="56" t="s">
        <v>2153</v>
      </c>
      <c r="B790" s="20">
        <v>1.7398956296104E-3</v>
      </c>
      <c r="C790" s="20">
        <v>1.47369619596917E-3</v>
      </c>
      <c r="D790" s="20">
        <v>1.7382625823674201E-3</v>
      </c>
    </row>
    <row r="791" spans="1:4" x14ac:dyDescent="0.5">
      <c r="A791" s="56" t="s">
        <v>2154</v>
      </c>
      <c r="B791" s="20">
        <v>1.9740415997571998E-3</v>
      </c>
      <c r="C791" s="20">
        <v>1.40128841724549E-3</v>
      </c>
      <c r="D791" s="20">
        <v>1.98553339954491E-3</v>
      </c>
    </row>
    <row r="792" spans="1:4" x14ac:dyDescent="0.5">
      <c r="A792" s="56" t="s">
        <v>2155</v>
      </c>
      <c r="B792" s="20">
        <v>1.8805511547816201E-3</v>
      </c>
      <c r="C792" s="20">
        <v>1.3215494886075099E-3</v>
      </c>
      <c r="D792" s="20">
        <v>1.8947168046712E-3</v>
      </c>
    </row>
    <row r="793" spans="1:4" x14ac:dyDescent="0.5">
      <c r="A793" s="56" t="s">
        <v>2156</v>
      </c>
      <c r="B793" s="20">
        <v>1.6793651197917201E-3</v>
      </c>
      <c r="C793" s="20">
        <v>1.2340880888896499E-3</v>
      </c>
      <c r="D793" s="20">
        <v>1.68825241795199E-3</v>
      </c>
    </row>
    <row r="794" spans="1:4" x14ac:dyDescent="0.5">
      <c r="A794" s="56" t="s">
        <v>2157</v>
      </c>
      <c r="B794" s="20">
        <v>1.6039846981758101E-3</v>
      </c>
      <c r="C794" s="20">
        <v>1.14249905686493E-3</v>
      </c>
      <c r="D794" s="20">
        <v>1.6084360311399901E-3</v>
      </c>
    </row>
    <row r="795" spans="1:4" x14ac:dyDescent="0.5">
      <c r="A795" s="56" t="s">
        <v>2158</v>
      </c>
      <c r="B795" s="20">
        <v>1.4379651801643301E-3</v>
      </c>
      <c r="C795" s="20">
        <v>1.06242103459136E-3</v>
      </c>
      <c r="D795" s="20">
        <v>1.43765578484332E-3</v>
      </c>
    </row>
    <row r="796" spans="1:4" x14ac:dyDescent="0.5">
      <c r="A796" s="56" t="s">
        <v>2159</v>
      </c>
      <c r="B796" s="20">
        <v>1.63479350581457E-3</v>
      </c>
      <c r="C796" s="20">
        <v>1.01840667468629E-3</v>
      </c>
      <c r="D796" s="20">
        <v>1.6437488035786201E-3</v>
      </c>
    </row>
    <row r="797" spans="1:4" x14ac:dyDescent="0.5">
      <c r="A797" s="56" t="s">
        <v>2160</v>
      </c>
      <c r="B797" s="20">
        <v>2.80661313722173E-3</v>
      </c>
      <c r="C797" s="20">
        <v>1.38063333033064E-3</v>
      </c>
      <c r="D797" s="20">
        <v>2.83567876993867E-3</v>
      </c>
    </row>
    <row r="798" spans="1:4" x14ac:dyDescent="0.5">
      <c r="A798" s="56" t="s">
        <v>2161</v>
      </c>
      <c r="B798" s="20">
        <v>2.5699715244749499E-3</v>
      </c>
      <c r="C798" s="20">
        <v>1.67946562335723E-3</v>
      </c>
      <c r="D798" s="20">
        <v>2.59539280815076E-3</v>
      </c>
    </row>
    <row r="799" spans="1:4" x14ac:dyDescent="0.5">
      <c r="A799" s="56" t="s">
        <v>2162</v>
      </c>
      <c r="B799" s="20">
        <v>2.2307954707016602E-3</v>
      </c>
      <c r="C799" s="20">
        <v>1.66669386132901E-3</v>
      </c>
      <c r="D799" s="20">
        <v>2.2509677924682199E-3</v>
      </c>
    </row>
    <row r="800" spans="1:4" x14ac:dyDescent="0.5">
      <c r="A800" s="56" t="s">
        <v>2163</v>
      </c>
      <c r="B800" s="20">
        <v>2.0952683949986102E-3</v>
      </c>
      <c r="C800" s="20">
        <v>1.5708229995664599E-3</v>
      </c>
      <c r="D800" s="20">
        <v>2.1092140908341699E-3</v>
      </c>
    </row>
    <row r="801" spans="1:4" x14ac:dyDescent="0.5">
      <c r="A801" s="56" t="s">
        <v>2164</v>
      </c>
      <c r="B801" s="20">
        <v>1.8735040844540299E-3</v>
      </c>
      <c r="C801" s="20">
        <v>1.74152145247089E-3</v>
      </c>
      <c r="D801" s="20">
        <v>1.88345151563062E-3</v>
      </c>
    </row>
    <row r="802" spans="1:4" x14ac:dyDescent="0.5">
      <c r="A802" s="56" t="s">
        <v>2165</v>
      </c>
      <c r="B802" s="20">
        <v>1.6644974705994E-3</v>
      </c>
      <c r="C802" s="20">
        <v>1.58778883887842E-3</v>
      </c>
      <c r="D802" s="20">
        <v>1.6702803240585199E-3</v>
      </c>
    </row>
    <row r="803" spans="1:4" x14ac:dyDescent="0.5">
      <c r="A803" s="56" t="s">
        <v>2166</v>
      </c>
      <c r="B803" s="20">
        <v>1.5773155803357401E-3</v>
      </c>
      <c r="C803" s="20">
        <v>1.4414352246379799E-3</v>
      </c>
      <c r="D803" s="20">
        <v>1.5777059829762E-3</v>
      </c>
    </row>
    <row r="804" spans="1:4" x14ac:dyDescent="0.5">
      <c r="A804" s="56" t="s">
        <v>2167</v>
      </c>
      <c r="B804" s="20">
        <v>1.5235382087200201E-3</v>
      </c>
      <c r="C804" s="20">
        <v>1.8259185685217301E-3</v>
      </c>
      <c r="D804" s="20">
        <v>1.5212779526010999E-3</v>
      </c>
    </row>
    <row r="805" spans="1:4" x14ac:dyDescent="0.5">
      <c r="A805" s="56" t="s">
        <v>2168</v>
      </c>
      <c r="B805" s="20">
        <v>1.49521614078721E-3</v>
      </c>
      <c r="C805" s="20">
        <v>1.67873994117805E-3</v>
      </c>
      <c r="D805" s="20">
        <v>1.4924392782423601E-3</v>
      </c>
    </row>
    <row r="806" spans="1:4" x14ac:dyDescent="0.5">
      <c r="A806" s="56" t="s">
        <v>2169</v>
      </c>
      <c r="B806" s="20">
        <v>1.3483681300308699E-3</v>
      </c>
      <c r="C806" s="20">
        <v>1.5193942169817499E-3</v>
      </c>
      <c r="D806" s="20">
        <v>1.3417748171633201E-3</v>
      </c>
    </row>
    <row r="807" spans="1:4" x14ac:dyDescent="0.5">
      <c r="A807" s="56" t="s">
        <v>2170</v>
      </c>
      <c r="B807" s="20">
        <v>1.23292922018107E-3</v>
      </c>
      <c r="C807" s="20">
        <v>1.41707090780915E-3</v>
      </c>
      <c r="D807" s="20">
        <v>1.2239381755594599E-3</v>
      </c>
    </row>
    <row r="808" spans="1:4" x14ac:dyDescent="0.5">
      <c r="A808" s="56" t="s">
        <v>2171</v>
      </c>
      <c r="B808" s="20">
        <v>1.20493068811996E-3</v>
      </c>
      <c r="C808" s="20">
        <v>1.30266290843302E-3</v>
      </c>
      <c r="D808" s="20">
        <v>1.19146043145828E-3</v>
      </c>
    </row>
    <row r="809" spans="1:4" x14ac:dyDescent="0.5">
      <c r="A809" s="56" t="s">
        <v>2172</v>
      </c>
      <c r="B809" s="20">
        <v>1.1110716406387299E-3</v>
      </c>
      <c r="C809" s="20">
        <v>1.26634640717309E-3</v>
      </c>
      <c r="D809" s="20">
        <v>1.0948553720686301E-3</v>
      </c>
    </row>
    <row r="810" spans="1:4" x14ac:dyDescent="0.5">
      <c r="A810" s="56" t="s">
        <v>2173</v>
      </c>
      <c r="B810" s="20">
        <v>1.03346612132679E-3</v>
      </c>
      <c r="C810" s="20">
        <v>1.16358002827858E-3</v>
      </c>
      <c r="D810" s="20">
        <v>1.0148962894477799E-3</v>
      </c>
    </row>
    <row r="811" spans="1:4" x14ac:dyDescent="0.5">
      <c r="A811" s="56" t="s">
        <v>2174</v>
      </c>
      <c r="B811" s="20">
        <v>9.7202724933876695E-4</v>
      </c>
      <c r="C811" s="20">
        <v>1.49789352629096E-3</v>
      </c>
      <c r="D811" s="20">
        <v>9.50420966524096E-4</v>
      </c>
    </row>
    <row r="812" spans="1:4" x14ac:dyDescent="0.5">
      <c r="A812" s="56" t="s">
        <v>2175</v>
      </c>
      <c r="B812" s="20">
        <v>9.3756499318868201E-4</v>
      </c>
      <c r="C812" s="20">
        <v>1.36973989428717E-3</v>
      </c>
      <c r="D812" s="20">
        <v>9.15192135968228E-4</v>
      </c>
    </row>
    <row r="813" spans="1:4" x14ac:dyDescent="0.5">
      <c r="A813" s="56" t="s">
        <v>2176</v>
      </c>
      <c r="B813" s="20">
        <v>1.0317804701198E-3</v>
      </c>
      <c r="C813" s="20">
        <v>1.26236481611774E-3</v>
      </c>
      <c r="D813" s="20">
        <v>1.01093038386006E-3</v>
      </c>
    </row>
    <row r="814" spans="1:4" x14ac:dyDescent="0.5">
      <c r="A814" s="56" t="s">
        <v>2177</v>
      </c>
      <c r="B814" s="20">
        <v>1.01183071450967E-3</v>
      </c>
      <c r="C814" s="20">
        <v>1.23549690498685E-3</v>
      </c>
      <c r="D814" s="20">
        <v>9.8649019422013999E-4</v>
      </c>
    </row>
    <row r="815" spans="1:4" x14ac:dyDescent="0.5">
      <c r="A815" s="56" t="s">
        <v>2178</v>
      </c>
      <c r="B815" s="20">
        <v>9.5621129098264401E-4</v>
      </c>
      <c r="C815" s="20">
        <v>1.28433399643302E-3</v>
      </c>
      <c r="D815" s="20">
        <v>9.2899102237613805E-4</v>
      </c>
    </row>
    <row r="816" spans="1:4" x14ac:dyDescent="0.5">
      <c r="A816" s="56" t="s">
        <v>2179</v>
      </c>
      <c r="B816" s="20">
        <v>9.2791117314856104E-4</v>
      </c>
      <c r="C816" s="20">
        <v>1.19617380243099E-3</v>
      </c>
      <c r="D816" s="20">
        <v>9.0070368884735002E-4</v>
      </c>
    </row>
    <row r="817" spans="1:4" x14ac:dyDescent="0.5">
      <c r="A817" s="56" t="s">
        <v>2180</v>
      </c>
      <c r="B817" s="20">
        <v>9.9463573328802297E-4</v>
      </c>
      <c r="C817" s="20">
        <v>1.2713521882135E-3</v>
      </c>
      <c r="D817" s="20">
        <v>9.6927480749458596E-4</v>
      </c>
    </row>
    <row r="818" spans="1:4" x14ac:dyDescent="0.5">
      <c r="A818" s="56" t="s">
        <v>2181</v>
      </c>
      <c r="B818" s="20">
        <v>9.6838100147533996E-4</v>
      </c>
      <c r="C818" s="20">
        <v>1.1730563901541399E-3</v>
      </c>
      <c r="D818" s="20">
        <v>9.4297498478418396E-4</v>
      </c>
    </row>
    <row r="819" spans="1:4" x14ac:dyDescent="0.5">
      <c r="A819" s="56" t="s">
        <v>2182</v>
      </c>
      <c r="B819" s="20">
        <v>9.3523531341264997E-4</v>
      </c>
      <c r="C819" s="20">
        <v>1.0870603344466899E-3</v>
      </c>
      <c r="D819" s="20">
        <v>9.0764051496843403E-4</v>
      </c>
    </row>
    <row r="820" spans="1:4" x14ac:dyDescent="0.5">
      <c r="A820" s="56" t="s">
        <v>2183</v>
      </c>
      <c r="B820" s="20">
        <v>9.2862341234618297E-4</v>
      </c>
      <c r="C820" s="20">
        <v>1.3633187342327901E-3</v>
      </c>
      <c r="D820" s="20">
        <v>9.0114594410227596E-4</v>
      </c>
    </row>
    <row r="821" spans="1:4" x14ac:dyDescent="0.5">
      <c r="A821" s="56" t="s">
        <v>2184</v>
      </c>
      <c r="B821" s="20">
        <v>8.8500178252407197E-4</v>
      </c>
      <c r="C821" s="20">
        <v>1.26249347719562E-3</v>
      </c>
      <c r="D821" s="20">
        <v>8.5644625548580804E-4</v>
      </c>
    </row>
    <row r="822" spans="1:4" x14ac:dyDescent="0.5">
      <c r="A822" s="56" t="s">
        <v>2185</v>
      </c>
      <c r="B822" s="20">
        <v>9.2874111742525405E-4</v>
      </c>
      <c r="C822" s="20">
        <v>1.1552533461238401E-3</v>
      </c>
      <c r="D822" s="20">
        <v>9.0041381076728499E-4</v>
      </c>
    </row>
    <row r="823" spans="1:4" x14ac:dyDescent="0.5">
      <c r="A823" s="56" t="s">
        <v>2186</v>
      </c>
      <c r="B823" s="20">
        <v>1.03914001262731E-3</v>
      </c>
      <c r="C823" s="20">
        <v>1.50426491825806E-3</v>
      </c>
      <c r="D823" s="20">
        <v>1.0181348862566501E-3</v>
      </c>
    </row>
    <row r="824" spans="1:4" x14ac:dyDescent="0.5">
      <c r="A824" s="56" t="s">
        <v>2187</v>
      </c>
      <c r="B824" s="20">
        <v>1.3290821313268501E-3</v>
      </c>
      <c r="C824" s="20">
        <v>1.55864886399698E-3</v>
      </c>
      <c r="D824" s="20">
        <v>1.30762632489205E-3</v>
      </c>
    </row>
    <row r="825" spans="1:4" x14ac:dyDescent="0.5">
      <c r="A825" s="56" t="s">
        <v>2188</v>
      </c>
      <c r="B825" s="20">
        <v>1.21307757506059E-3</v>
      </c>
      <c r="C825" s="20">
        <v>1.4390641841326201E-3</v>
      </c>
      <c r="D825" s="20">
        <v>1.1905895042202299E-3</v>
      </c>
    </row>
    <row r="826" spans="1:4" x14ac:dyDescent="0.5">
      <c r="A826" s="56" t="s">
        <v>2189</v>
      </c>
      <c r="B826" s="20">
        <v>1.1214750596917301E-3</v>
      </c>
      <c r="C826" s="20">
        <v>1.44606079795771E-3</v>
      </c>
      <c r="D826" s="20">
        <v>1.0979725509739E-3</v>
      </c>
    </row>
    <row r="827" spans="1:4" x14ac:dyDescent="0.5">
      <c r="A827" s="56" t="s">
        <v>2190</v>
      </c>
      <c r="B827" s="20">
        <v>1.19303528993335E-3</v>
      </c>
      <c r="C827" s="20">
        <v>1.32076474372485E-3</v>
      </c>
      <c r="D827" s="20">
        <v>1.17178966943466E-3</v>
      </c>
    </row>
    <row r="828" spans="1:4" x14ac:dyDescent="0.5">
      <c r="A828" s="56" t="s">
        <v>2191</v>
      </c>
      <c r="B828" s="20">
        <v>1.1699273994654901E-3</v>
      </c>
      <c r="C828" s="20">
        <v>1.26993438389821E-3</v>
      </c>
      <c r="D828" s="20">
        <v>1.1459629814016201E-3</v>
      </c>
    </row>
    <row r="829" spans="1:4" x14ac:dyDescent="0.5">
      <c r="A829" s="56" t="s">
        <v>2192</v>
      </c>
      <c r="B829" s="20">
        <v>1.19971668641272E-3</v>
      </c>
      <c r="C829" s="20">
        <v>1.1762371137587599E-3</v>
      </c>
      <c r="D829" s="20">
        <v>1.1784682082172E-3</v>
      </c>
    </row>
    <row r="830" spans="1:4" x14ac:dyDescent="0.5">
      <c r="A830" s="56" t="s">
        <v>2193</v>
      </c>
      <c r="B830" s="20">
        <v>1.2541843340399699E-3</v>
      </c>
      <c r="C830" s="20">
        <v>1.2049023019869E-3</v>
      </c>
      <c r="D830" s="20">
        <v>1.2373629780559601E-3</v>
      </c>
    </row>
    <row r="831" spans="1:4" x14ac:dyDescent="0.5">
      <c r="A831" s="56" t="s">
        <v>2194</v>
      </c>
      <c r="B831" s="20">
        <v>1.16984400959736E-3</v>
      </c>
      <c r="C831" s="20">
        <v>1.1049022060209399E-3</v>
      </c>
      <c r="D831" s="20">
        <v>1.1508890387165801E-3</v>
      </c>
    </row>
    <row r="832" spans="1:4" x14ac:dyDescent="0.5">
      <c r="A832" s="56" t="s">
        <v>2195</v>
      </c>
      <c r="B832" s="20">
        <v>1.36254747830295E-3</v>
      </c>
      <c r="C832" s="20">
        <v>1.0772629299658999E-3</v>
      </c>
      <c r="D832" s="20">
        <v>1.35072667301724E-3</v>
      </c>
    </row>
    <row r="833" spans="1:4" x14ac:dyDescent="0.5">
      <c r="A833" s="56" t="s">
        <v>2196</v>
      </c>
      <c r="B833" s="20">
        <v>1.24106570337735E-3</v>
      </c>
      <c r="C833" s="20">
        <v>9.948187295674509E-4</v>
      </c>
      <c r="D833" s="20">
        <v>1.22669576055401E-3</v>
      </c>
    </row>
    <row r="834" spans="1:4" x14ac:dyDescent="0.5">
      <c r="A834" s="56" t="s">
        <v>2197</v>
      </c>
      <c r="B834" s="20">
        <v>1.16870874259822E-3</v>
      </c>
      <c r="C834" s="20">
        <v>1.4273863149097199E-3</v>
      </c>
      <c r="D834" s="20">
        <v>1.15367314752238E-3</v>
      </c>
    </row>
    <row r="835" spans="1:4" x14ac:dyDescent="0.5">
      <c r="A835" s="56" t="s">
        <v>2198</v>
      </c>
      <c r="B835" s="20">
        <v>1.1895682307383299E-3</v>
      </c>
      <c r="C835" s="20">
        <v>1.31151850500205E-3</v>
      </c>
      <c r="D835" s="20">
        <v>1.1689491217167199E-3</v>
      </c>
    </row>
    <row r="836" spans="1:4" x14ac:dyDescent="0.5">
      <c r="A836" s="56" t="s">
        <v>2199</v>
      </c>
      <c r="B836" s="20">
        <v>1.14574630737845E-3</v>
      </c>
      <c r="C836" s="20">
        <v>1.2217138018212001E-3</v>
      </c>
      <c r="D836" s="20">
        <v>1.12449306438929E-3</v>
      </c>
    </row>
    <row r="837" spans="1:4" x14ac:dyDescent="0.5">
      <c r="A837" s="56" t="s">
        <v>2200</v>
      </c>
      <c r="B837" s="20">
        <v>1.1109704459143399E-3</v>
      </c>
      <c r="C837" s="20">
        <v>1.20120247992563E-3</v>
      </c>
      <c r="D837" s="20">
        <v>1.08641694247985E-3</v>
      </c>
    </row>
    <row r="838" spans="1:4" x14ac:dyDescent="0.5">
      <c r="A838" s="56" t="s">
        <v>2201</v>
      </c>
      <c r="B838" s="20">
        <v>1.1443018916433899E-3</v>
      </c>
      <c r="C838" s="20">
        <v>1.1585571036994799E-3</v>
      </c>
      <c r="D838" s="20">
        <v>1.12431676719647E-3</v>
      </c>
    </row>
    <row r="839" spans="1:4" x14ac:dyDescent="0.5">
      <c r="A839" s="56" t="s">
        <v>2202</v>
      </c>
      <c r="B839" s="20">
        <v>1.08702333875955E-3</v>
      </c>
      <c r="C839" s="20">
        <v>1.06558434005519E-3</v>
      </c>
      <c r="D839" s="20">
        <v>1.06453480089613E-3</v>
      </c>
    </row>
    <row r="840" spans="1:4" x14ac:dyDescent="0.5">
      <c r="A840" s="56" t="s">
        <v>2203</v>
      </c>
      <c r="B840" s="20">
        <v>1.0886153864888099E-3</v>
      </c>
      <c r="C840" s="20">
        <v>1.0155360360560701E-3</v>
      </c>
      <c r="D840" s="20">
        <v>1.0644020989231901E-3</v>
      </c>
    </row>
    <row r="841" spans="1:4" x14ac:dyDescent="0.5">
      <c r="A841" s="56" t="s">
        <v>2204</v>
      </c>
      <c r="B841" s="20">
        <v>1.01980421390513E-3</v>
      </c>
      <c r="C841" s="20">
        <v>9.5502014206140203E-4</v>
      </c>
      <c r="D841" s="20">
        <v>9.94793736461539E-4</v>
      </c>
    </row>
    <row r="842" spans="1:4" x14ac:dyDescent="0.5">
      <c r="A842" s="56" t="s">
        <v>2205</v>
      </c>
      <c r="B842" s="20">
        <v>1.1016921716663799E-3</v>
      </c>
      <c r="C842" s="20">
        <v>1.21892243868343E-3</v>
      </c>
      <c r="D842" s="20">
        <v>1.0727025879712299E-3</v>
      </c>
    </row>
    <row r="843" spans="1:4" x14ac:dyDescent="0.5">
      <c r="A843" s="56" t="s">
        <v>2206</v>
      </c>
      <c r="B843" s="20">
        <v>1.0458938371343701E-3</v>
      </c>
      <c r="C843" s="20">
        <v>1.1433601537209201E-3</v>
      </c>
      <c r="D843" s="20">
        <v>1.01627405216823E-3</v>
      </c>
    </row>
    <row r="844" spans="1:4" x14ac:dyDescent="0.5">
      <c r="A844" s="56" t="s">
        <v>2207</v>
      </c>
      <c r="B844" s="20">
        <v>1.14187573229685E-3</v>
      </c>
      <c r="C844" s="20">
        <v>1.0545089000636701E-3</v>
      </c>
      <c r="D844" s="20">
        <v>1.11058268640577E-3</v>
      </c>
    </row>
    <row r="845" spans="1:4" x14ac:dyDescent="0.5">
      <c r="A845" s="56" t="s">
        <v>2208</v>
      </c>
      <c r="B845" s="20">
        <v>1.07093817452171E-3</v>
      </c>
      <c r="C845" s="20">
        <v>1.3961951511360501E-3</v>
      </c>
      <c r="D845" s="20">
        <v>1.0390549294947999E-3</v>
      </c>
    </row>
    <row r="846" spans="1:4" x14ac:dyDescent="0.5">
      <c r="A846" s="56" t="s">
        <v>2209</v>
      </c>
      <c r="B846" s="20">
        <v>1.08405619935108E-3</v>
      </c>
      <c r="C846" s="20">
        <v>1.2744315450767801E-3</v>
      </c>
      <c r="D846" s="20">
        <v>1.05409511325335E-3</v>
      </c>
    </row>
    <row r="847" spans="1:4" x14ac:dyDescent="0.5">
      <c r="A847" s="56" t="s">
        <v>2210</v>
      </c>
      <c r="B847" s="20">
        <v>1.0109403242934E-3</v>
      </c>
      <c r="C847" s="20">
        <v>1.4051229193146001E-3</v>
      </c>
      <c r="D847" s="20">
        <v>9.8057900980510104E-4</v>
      </c>
    </row>
    <row r="848" spans="1:4" x14ac:dyDescent="0.5">
      <c r="A848" s="56" t="s">
        <v>2211</v>
      </c>
      <c r="B848" s="20">
        <v>9.5085999154544403E-4</v>
      </c>
      <c r="C848" s="20">
        <v>1.3680037364500199E-3</v>
      </c>
      <c r="D848" s="20">
        <v>9.1998136602498099E-4</v>
      </c>
    </row>
    <row r="849" spans="1:4" x14ac:dyDescent="0.5">
      <c r="A849" s="56" t="s">
        <v>2212</v>
      </c>
      <c r="B849" s="20">
        <v>9.0564206437153101E-4</v>
      </c>
      <c r="C849" s="20">
        <v>1.24796357887771E-3</v>
      </c>
      <c r="D849" s="20">
        <v>8.7432645279010297E-4</v>
      </c>
    </row>
    <row r="850" spans="1:4" x14ac:dyDescent="0.5">
      <c r="A850" s="56" t="s">
        <v>2213</v>
      </c>
      <c r="B850" s="20">
        <v>9.0187249129239095E-4</v>
      </c>
      <c r="C850" s="20">
        <v>1.15538119128835E-3</v>
      </c>
      <c r="D850" s="20">
        <v>8.69580470154763E-4</v>
      </c>
    </row>
    <row r="851" spans="1:4" x14ac:dyDescent="0.5">
      <c r="A851" s="56" t="s">
        <v>2214</v>
      </c>
      <c r="B851" s="20">
        <v>8.6336617480268097E-4</v>
      </c>
      <c r="C851" s="20">
        <v>1.1779481114698399E-3</v>
      </c>
      <c r="D851" s="20">
        <v>8.3152416009685997E-4</v>
      </c>
    </row>
    <row r="852" spans="1:4" x14ac:dyDescent="0.5">
      <c r="A852" s="56" t="s">
        <v>2215</v>
      </c>
      <c r="B852" s="20">
        <v>1.19623431139522E-3</v>
      </c>
      <c r="C852" s="20">
        <v>1.6193698595344799E-3</v>
      </c>
      <c r="D852" s="20">
        <v>1.16663376912478E-3</v>
      </c>
    </row>
    <row r="853" spans="1:4" x14ac:dyDescent="0.5">
      <c r="A853" s="56" t="s">
        <v>2216</v>
      </c>
      <c r="B853" s="20">
        <v>1.1203703372336499E-3</v>
      </c>
      <c r="C853" s="20">
        <v>1.48309280483274E-3</v>
      </c>
      <c r="D853" s="20">
        <v>1.0907851860655E-3</v>
      </c>
    </row>
    <row r="854" spans="1:4" x14ac:dyDescent="0.5">
      <c r="A854" s="56" t="s">
        <v>2217</v>
      </c>
      <c r="B854" s="20">
        <v>1.31980006661417E-3</v>
      </c>
      <c r="C854" s="20">
        <v>1.34796052251801E-3</v>
      </c>
      <c r="D854" s="20">
        <v>1.293983692329E-3</v>
      </c>
    </row>
    <row r="855" spans="1:4" x14ac:dyDescent="0.5">
      <c r="A855" s="56" t="s">
        <v>2218</v>
      </c>
      <c r="B855" s="20">
        <v>1.2431405323400601E-3</v>
      </c>
      <c r="C855" s="20">
        <v>1.4193089133392599E-3</v>
      </c>
      <c r="D855" s="20">
        <v>1.2180309364035E-3</v>
      </c>
    </row>
    <row r="856" spans="1:4" x14ac:dyDescent="0.5">
      <c r="A856" s="56" t="s">
        <v>2219</v>
      </c>
      <c r="B856" s="20">
        <v>1.7133510342866899E-3</v>
      </c>
      <c r="C856" s="20">
        <v>1.3093059145999301E-3</v>
      </c>
      <c r="D856" s="20">
        <v>1.6899582172763901E-3</v>
      </c>
    </row>
    <row r="857" spans="1:4" x14ac:dyDescent="0.5">
      <c r="A857" s="56" t="s">
        <v>2220</v>
      </c>
      <c r="B857" s="20">
        <v>1.6479030465016201E-3</v>
      </c>
      <c r="C857" s="20">
        <v>1.21769663066807E-3</v>
      </c>
      <c r="D857" s="20">
        <v>1.6252733348545601E-3</v>
      </c>
    </row>
    <row r="858" spans="1:4" x14ac:dyDescent="0.5">
      <c r="A858" s="56" t="s">
        <v>2221</v>
      </c>
      <c r="B858" s="20">
        <v>1.8110045611671099E-3</v>
      </c>
      <c r="C858" s="20">
        <v>1.1163524657742999E-3</v>
      </c>
      <c r="D858" s="20">
        <v>1.79258011549238E-3</v>
      </c>
    </row>
    <row r="859" spans="1:4" x14ac:dyDescent="0.5">
      <c r="A859" s="56" t="s">
        <v>2222</v>
      </c>
      <c r="B859" s="20">
        <v>1.6084782972206799E-3</v>
      </c>
      <c r="C859" s="20">
        <v>1.0601352318711601E-3</v>
      </c>
      <c r="D859" s="20">
        <v>1.5903654655084101E-3</v>
      </c>
    </row>
    <row r="860" spans="1:4" x14ac:dyDescent="0.5">
      <c r="A860" s="56" t="s">
        <v>2223</v>
      </c>
      <c r="B860" s="20">
        <v>1.79661323128804E-3</v>
      </c>
      <c r="C860" s="20">
        <v>1.13340943158034E-3</v>
      </c>
      <c r="D860" s="20">
        <v>1.7807517352887599E-3</v>
      </c>
    </row>
    <row r="861" spans="1:4" x14ac:dyDescent="0.5">
      <c r="A861" s="56" t="s">
        <v>2224</v>
      </c>
      <c r="B861" s="20">
        <v>1.8926210160352399E-3</v>
      </c>
      <c r="C861" s="20">
        <v>1.10044168309826E-3</v>
      </c>
      <c r="D861" s="20">
        <v>1.88070962266801E-3</v>
      </c>
    </row>
    <row r="862" spans="1:4" x14ac:dyDescent="0.5">
      <c r="A862" s="56" t="s">
        <v>2225</v>
      </c>
      <c r="B862" s="20">
        <v>1.9901873824271399E-3</v>
      </c>
      <c r="C862" s="20">
        <v>1.1365498454395701E-3</v>
      </c>
      <c r="D862" s="20">
        <v>1.98259353194641E-3</v>
      </c>
    </row>
    <row r="863" spans="1:4" x14ac:dyDescent="0.5">
      <c r="A863" s="56" t="s">
        <v>2226</v>
      </c>
      <c r="B863" s="20">
        <v>1.88918400163071E-3</v>
      </c>
      <c r="C863" s="20">
        <v>1.10241516242112E-3</v>
      </c>
      <c r="D863" s="20">
        <v>1.88496316821502E-3</v>
      </c>
    </row>
    <row r="864" spans="1:4" x14ac:dyDescent="0.5">
      <c r="A864" s="56" t="s">
        <v>2227</v>
      </c>
      <c r="B864" s="20">
        <v>2.2583411420820901E-3</v>
      </c>
      <c r="C864" s="20">
        <v>1.03947005741153E-3</v>
      </c>
      <c r="D864" s="20">
        <v>2.2670964626480398E-3</v>
      </c>
    </row>
    <row r="865" spans="1:4" x14ac:dyDescent="0.5">
      <c r="A865" s="56" t="s">
        <v>2228</v>
      </c>
      <c r="B865" s="20">
        <v>2.5627888091495402E-3</v>
      </c>
      <c r="C865" s="20">
        <v>1.03257662407272E-3</v>
      </c>
      <c r="D865" s="20">
        <v>2.58350183038897E-3</v>
      </c>
    </row>
    <row r="866" spans="1:4" x14ac:dyDescent="0.5">
      <c r="A866" s="56" t="s">
        <v>2229</v>
      </c>
      <c r="B866" s="20">
        <v>2.4390051905524E-3</v>
      </c>
      <c r="C866" s="20">
        <v>1.0879380689249401E-3</v>
      </c>
      <c r="D866" s="20">
        <v>2.4643702227766301E-3</v>
      </c>
    </row>
    <row r="867" spans="1:4" x14ac:dyDescent="0.5">
      <c r="A867" s="56" t="s">
        <v>2230</v>
      </c>
      <c r="B867" s="20">
        <v>2.4012843389709E-3</v>
      </c>
      <c r="C867" s="20">
        <v>1.00310799016284E-3</v>
      </c>
      <c r="D867" s="20">
        <v>2.4214099894554102E-3</v>
      </c>
    </row>
    <row r="868" spans="1:4" x14ac:dyDescent="0.5">
      <c r="A868" s="56" t="s">
        <v>2231</v>
      </c>
      <c r="B868" s="20">
        <v>2.2402552083841802E-3</v>
      </c>
      <c r="C868" s="20">
        <v>1.3510607736126499E-3</v>
      </c>
      <c r="D868" s="20">
        <v>2.2544477192361799E-3</v>
      </c>
    </row>
    <row r="869" spans="1:4" x14ac:dyDescent="0.5">
      <c r="A869" s="56" t="s">
        <v>2232</v>
      </c>
      <c r="B869" s="20">
        <v>1.9627172460304101E-3</v>
      </c>
      <c r="C869" s="20">
        <v>1.7109321064786201E-3</v>
      </c>
      <c r="D869" s="20">
        <v>1.9730413095195199E-3</v>
      </c>
    </row>
    <row r="870" spans="1:4" x14ac:dyDescent="0.5">
      <c r="A870" s="56" t="s">
        <v>2233</v>
      </c>
      <c r="B870" s="20">
        <v>1.7320552977444601E-3</v>
      </c>
      <c r="C870" s="20">
        <v>1.79066122638884E-3</v>
      </c>
      <c r="D870" s="20">
        <v>1.73777690555235E-3</v>
      </c>
    </row>
    <row r="871" spans="1:4" x14ac:dyDescent="0.5">
      <c r="A871" s="56" t="s">
        <v>2234</v>
      </c>
      <c r="B871" s="20">
        <v>2.03934631786669E-3</v>
      </c>
      <c r="C871" s="20">
        <v>1.6853814116406199E-3</v>
      </c>
      <c r="D871" s="20">
        <v>2.03647106452453E-3</v>
      </c>
    </row>
    <row r="872" spans="1:4" x14ac:dyDescent="0.5">
      <c r="A872" s="56" t="s">
        <v>2235</v>
      </c>
      <c r="B872" s="20">
        <v>1.99548350985498E-3</v>
      </c>
      <c r="C872" s="20">
        <v>1.85327626627943E-3</v>
      </c>
      <c r="D872" s="20">
        <v>1.9956092665137501E-3</v>
      </c>
    </row>
    <row r="873" spans="1:4" x14ac:dyDescent="0.5">
      <c r="A873" s="56" t="s">
        <v>2236</v>
      </c>
      <c r="B873" s="20">
        <v>1.7591219173333499E-3</v>
      </c>
      <c r="C873" s="20">
        <v>1.7547888139283099E-3</v>
      </c>
      <c r="D873" s="20">
        <v>1.7565640453313699E-3</v>
      </c>
    </row>
    <row r="874" spans="1:4" x14ac:dyDescent="0.5">
      <c r="A874" s="56" t="s">
        <v>2237</v>
      </c>
      <c r="B874" s="20">
        <v>1.66264130382243E-3</v>
      </c>
      <c r="C874" s="20">
        <v>1.6049460880978299E-3</v>
      </c>
      <c r="D874" s="20">
        <v>1.6601946973546599E-3</v>
      </c>
    </row>
    <row r="875" spans="1:4" x14ac:dyDescent="0.5">
      <c r="A875" s="56" t="s">
        <v>2238</v>
      </c>
      <c r="B875" s="20">
        <v>1.6021539225911799E-3</v>
      </c>
      <c r="C875" s="20">
        <v>1.5411576595597801E-3</v>
      </c>
      <c r="D875" s="20">
        <v>1.5998337189317799E-3</v>
      </c>
    </row>
    <row r="876" spans="1:4" x14ac:dyDescent="0.5">
      <c r="A876" s="56" t="s">
        <v>2239</v>
      </c>
      <c r="B876" s="20">
        <v>1.49048164814543E-3</v>
      </c>
      <c r="C876" s="20">
        <v>1.7486616165872299E-3</v>
      </c>
      <c r="D876" s="20">
        <v>1.48587378276829E-3</v>
      </c>
    </row>
    <row r="877" spans="1:4" x14ac:dyDescent="0.5">
      <c r="A877" s="56" t="s">
        <v>2240</v>
      </c>
      <c r="B877" s="20">
        <v>4.3946542672050996E-3</v>
      </c>
      <c r="C877" s="20">
        <v>1.5861235419310101E-3</v>
      </c>
      <c r="D877" s="20">
        <v>4.4350579103497999E-3</v>
      </c>
    </row>
    <row r="878" spans="1:4" x14ac:dyDescent="0.5">
      <c r="A878" s="56" t="s">
        <v>2241</v>
      </c>
      <c r="B878" s="20">
        <v>3.9971439224812597E-3</v>
      </c>
      <c r="C878" s="20">
        <v>2.03915425394622E-3</v>
      </c>
      <c r="D878" s="20">
        <v>4.0430351093081402E-3</v>
      </c>
    </row>
    <row r="879" spans="1:4" x14ac:dyDescent="0.5">
      <c r="A879" s="56" t="s">
        <v>2242</v>
      </c>
      <c r="B879" s="20">
        <v>3.9346992477612098E-3</v>
      </c>
      <c r="C879" s="20">
        <v>1.9024934957903199E-3</v>
      </c>
      <c r="D879" s="20">
        <v>3.9832442672593496E-3</v>
      </c>
    </row>
    <row r="880" spans="1:4" x14ac:dyDescent="0.5">
      <c r="A880" s="56" t="s">
        <v>2243</v>
      </c>
      <c r="B880" s="20">
        <v>3.59501083645889E-3</v>
      </c>
      <c r="C880" s="20">
        <v>1.7166712655509501E-3</v>
      </c>
      <c r="D880" s="20">
        <v>3.6441476094193999E-3</v>
      </c>
    </row>
    <row r="881" spans="1:4" x14ac:dyDescent="0.5">
      <c r="A881" s="56" t="s">
        <v>2244</v>
      </c>
      <c r="B881" s="20">
        <v>3.2951116778385399E-3</v>
      </c>
      <c r="C881" s="20">
        <v>1.5994255904941E-3</v>
      </c>
      <c r="D881" s="20">
        <v>3.3434886293032501E-3</v>
      </c>
    </row>
    <row r="882" spans="1:4" x14ac:dyDescent="0.5">
      <c r="A882" s="56" t="s">
        <v>2245</v>
      </c>
      <c r="B882" s="20">
        <v>2.9203980106904102E-3</v>
      </c>
      <c r="C882" s="20">
        <v>1.75077047430733E-3</v>
      </c>
      <c r="D882" s="20">
        <v>2.9616056559175199E-3</v>
      </c>
    </row>
    <row r="883" spans="1:4" x14ac:dyDescent="0.5">
      <c r="A883" s="56" t="s">
        <v>2246</v>
      </c>
      <c r="B883" s="20">
        <v>2.7711540961219499E-3</v>
      </c>
      <c r="C883" s="20">
        <v>1.79572858441383E-3</v>
      </c>
      <c r="D883" s="20">
        <v>2.81556634201E-3</v>
      </c>
    </row>
    <row r="884" spans="1:4" x14ac:dyDescent="0.5">
      <c r="A884" s="56" t="s">
        <v>2247</v>
      </c>
      <c r="B884" s="20">
        <v>2.4818394273352301E-3</v>
      </c>
      <c r="C884" s="20">
        <v>1.6798513021988701E-3</v>
      </c>
      <c r="D884" s="20">
        <v>2.52248122509721E-3</v>
      </c>
    </row>
    <row r="885" spans="1:4" x14ac:dyDescent="0.5">
      <c r="A885" s="56" t="s">
        <v>2248</v>
      </c>
      <c r="B885" s="20">
        <v>2.2451175503795601E-3</v>
      </c>
      <c r="C885" s="20">
        <v>2.19547761241266E-3</v>
      </c>
      <c r="D885" s="20">
        <v>2.2777640338337499E-3</v>
      </c>
    </row>
    <row r="886" spans="1:4" x14ac:dyDescent="0.5">
      <c r="A886" s="56" t="s">
        <v>2249</v>
      </c>
      <c r="B886" s="20">
        <v>2.12328623752893E-3</v>
      </c>
      <c r="C886" s="20">
        <v>2.25000909814305E-3</v>
      </c>
      <c r="D886" s="20">
        <v>2.1569711472452101E-3</v>
      </c>
    </row>
    <row r="887" spans="1:4" x14ac:dyDescent="0.5">
      <c r="A887" s="56" t="s">
        <v>2250</v>
      </c>
      <c r="B887" s="20">
        <v>2.1040692052413002E-3</v>
      </c>
      <c r="C887" s="20">
        <v>2.21422486691097E-3</v>
      </c>
      <c r="D887" s="20">
        <v>2.1326590723507901E-3</v>
      </c>
    </row>
    <row r="888" spans="1:4" x14ac:dyDescent="0.5">
      <c r="A888" s="56" t="s">
        <v>2251</v>
      </c>
      <c r="B888" s="20">
        <v>2.0853394630153698E-3</v>
      </c>
      <c r="C888" s="20">
        <v>2.0341441093277902E-3</v>
      </c>
      <c r="D888" s="20">
        <v>2.1137440956064302E-3</v>
      </c>
    </row>
    <row r="889" spans="1:4" x14ac:dyDescent="0.5">
      <c r="A889" s="56" t="s">
        <v>2252</v>
      </c>
      <c r="B889" s="20">
        <v>1.86994422304265E-3</v>
      </c>
      <c r="C889" s="20">
        <v>1.8298298015661399E-3</v>
      </c>
      <c r="D889" s="20">
        <v>1.8925016921126001E-3</v>
      </c>
    </row>
    <row r="890" spans="1:4" x14ac:dyDescent="0.5">
      <c r="A890" s="56" t="s">
        <v>2253</v>
      </c>
      <c r="B890" s="20">
        <v>1.84661403546397E-3</v>
      </c>
      <c r="C890" s="20">
        <v>1.9995597912112798E-3</v>
      </c>
      <c r="D890" s="20">
        <v>1.8696195312783699E-3</v>
      </c>
    </row>
    <row r="891" spans="1:4" x14ac:dyDescent="0.5">
      <c r="A891" s="56" t="s">
        <v>2254</v>
      </c>
      <c r="B891" s="20">
        <v>1.9896969081746201E-3</v>
      </c>
      <c r="C891" s="20">
        <v>1.8029407121456899E-3</v>
      </c>
      <c r="D891" s="20">
        <v>1.9991206772510101E-3</v>
      </c>
    </row>
    <row r="892" spans="1:4" x14ac:dyDescent="0.5">
      <c r="A892" s="56" t="s">
        <v>2255</v>
      </c>
      <c r="B892" s="20">
        <v>1.7632145300949199E-3</v>
      </c>
      <c r="C892" s="20">
        <v>2.4224480391070598E-3</v>
      </c>
      <c r="D892" s="20">
        <v>1.76844578740241E-3</v>
      </c>
    </row>
    <row r="893" spans="1:4" x14ac:dyDescent="0.5">
      <c r="A893" s="56" t="s">
        <v>2256</v>
      </c>
      <c r="B893" s="20">
        <v>1.86158400691566E-3</v>
      </c>
      <c r="C893" s="20">
        <v>2.16878631243364E-3</v>
      </c>
      <c r="D893" s="20">
        <v>1.86275988683322E-3</v>
      </c>
    </row>
    <row r="894" spans="1:4" x14ac:dyDescent="0.5">
      <c r="A894" s="56" t="s">
        <v>2257</v>
      </c>
      <c r="B894" s="20">
        <v>2.1396268735967001E-3</v>
      </c>
      <c r="C894" s="20">
        <v>2.9702836331768801E-3</v>
      </c>
      <c r="D894" s="20">
        <v>2.1474184108608999E-3</v>
      </c>
    </row>
    <row r="895" spans="1:4" x14ac:dyDescent="0.5">
      <c r="A895" s="56" t="s">
        <v>2258</v>
      </c>
      <c r="B895" s="20">
        <v>1.9990801548548098E-3</v>
      </c>
      <c r="C895" s="20">
        <v>3.1539336712864399E-3</v>
      </c>
      <c r="D895" s="20">
        <v>2.0100226904828399E-3</v>
      </c>
    </row>
    <row r="896" spans="1:4" x14ac:dyDescent="0.5">
      <c r="A896" s="56" t="s">
        <v>2259</v>
      </c>
      <c r="B896" s="20">
        <v>2.7125291902385198E-3</v>
      </c>
      <c r="C896" s="20">
        <v>2.8649913503042798E-3</v>
      </c>
      <c r="D896" s="20">
        <v>2.72247403796192E-3</v>
      </c>
    </row>
    <row r="897" spans="1:4" x14ac:dyDescent="0.5">
      <c r="A897" s="56" t="s">
        <v>2260</v>
      </c>
      <c r="B897" s="20">
        <v>2.5896731527014498E-3</v>
      </c>
      <c r="C897" s="20">
        <v>3.04787282901446E-3</v>
      </c>
      <c r="D897" s="20">
        <v>2.6100239531527498E-3</v>
      </c>
    </row>
    <row r="898" spans="1:4" x14ac:dyDescent="0.5">
      <c r="A898" s="56" t="s">
        <v>2261</v>
      </c>
      <c r="B898" s="20">
        <v>2.39807071625043E-3</v>
      </c>
      <c r="C898" s="20">
        <v>2.85828881510093E-3</v>
      </c>
      <c r="D898" s="20">
        <v>2.4188609799332701E-3</v>
      </c>
    </row>
    <row r="899" spans="1:4" x14ac:dyDescent="0.5">
      <c r="A899" s="56" t="s">
        <v>2262</v>
      </c>
      <c r="B899" s="20">
        <v>2.10728028916283E-3</v>
      </c>
      <c r="C899" s="20">
        <v>3.0507775493919102E-3</v>
      </c>
      <c r="D899" s="20">
        <v>2.1217049247587499E-3</v>
      </c>
    </row>
    <row r="900" spans="1:4" x14ac:dyDescent="0.5">
      <c r="A900" s="56" t="s">
        <v>2263</v>
      </c>
      <c r="B900" s="20">
        <v>1.9478048693536199E-3</v>
      </c>
      <c r="C900" s="20">
        <v>3.0525088382206702E-3</v>
      </c>
      <c r="D900" s="20">
        <v>1.9626072928201001E-3</v>
      </c>
    </row>
    <row r="901" spans="1:4" x14ac:dyDescent="0.5">
      <c r="A901" s="56" t="s">
        <v>2264</v>
      </c>
      <c r="B901" s="20">
        <v>2.0525828878577698E-3</v>
      </c>
      <c r="C901" s="20">
        <v>4.3965446504404902E-3</v>
      </c>
      <c r="D901" s="20">
        <v>2.0568673806052799E-3</v>
      </c>
    </row>
    <row r="902" spans="1:4" x14ac:dyDescent="0.5">
      <c r="A902" s="56" t="s">
        <v>2265</v>
      </c>
      <c r="B902" s="20">
        <v>2.3304436845906201E-3</v>
      </c>
      <c r="C902" s="20">
        <v>4.5383872655081299E-3</v>
      </c>
      <c r="D902" s="20">
        <v>2.3574417104685001E-3</v>
      </c>
    </row>
    <row r="903" spans="1:4" x14ac:dyDescent="0.5">
      <c r="A903" s="56" t="s">
        <v>2266</v>
      </c>
      <c r="B903" s="20">
        <v>2.07063857659934E-3</v>
      </c>
      <c r="C903" s="20">
        <v>4.27517395174441E-3</v>
      </c>
      <c r="D903" s="20">
        <v>2.0933513733912301E-3</v>
      </c>
    </row>
    <row r="904" spans="1:4" x14ac:dyDescent="0.5">
      <c r="A904" s="56" t="s">
        <v>2267</v>
      </c>
      <c r="B904" s="20">
        <v>2.8647740835583799E-3</v>
      </c>
      <c r="C904" s="20">
        <v>3.8613369355194899E-3</v>
      </c>
      <c r="D904" s="20">
        <v>2.9154896190067502E-3</v>
      </c>
    </row>
    <row r="905" spans="1:4" x14ac:dyDescent="0.5">
      <c r="A905" s="56" t="s">
        <v>2268</v>
      </c>
      <c r="B905" s="20">
        <v>2.4823376058210299E-3</v>
      </c>
      <c r="C905" s="20">
        <v>4.2064116459523699E-3</v>
      </c>
      <c r="D905" s="20">
        <v>2.5260799494627199E-3</v>
      </c>
    </row>
    <row r="906" spans="1:4" x14ac:dyDescent="0.5">
      <c r="A906" s="56" t="s">
        <v>2269</v>
      </c>
      <c r="B906" s="20">
        <v>2.2248723558903902E-3</v>
      </c>
      <c r="C906" s="20">
        <v>4.99858581993651E-3</v>
      </c>
      <c r="D906" s="20">
        <v>2.25817725145249E-3</v>
      </c>
    </row>
    <row r="907" spans="1:4" x14ac:dyDescent="0.5">
      <c r="A907" s="56" t="s">
        <v>2270</v>
      </c>
      <c r="B907" s="20">
        <v>3.29538197210835E-3</v>
      </c>
      <c r="C907" s="20">
        <v>4.4676131960814502E-3</v>
      </c>
      <c r="D907" s="20">
        <v>3.3688806072123402E-3</v>
      </c>
    </row>
    <row r="908" spans="1:4" x14ac:dyDescent="0.5">
      <c r="A908" s="56" t="s">
        <v>2271</v>
      </c>
      <c r="B908" s="20">
        <v>3.6147140740944001E-3</v>
      </c>
      <c r="C908" s="20">
        <v>3.9955337330054002E-3</v>
      </c>
      <c r="D908" s="20">
        <v>3.6968125016531399E-3</v>
      </c>
    </row>
    <row r="909" spans="1:4" x14ac:dyDescent="0.5">
      <c r="A909" s="56" t="s">
        <v>2272</v>
      </c>
      <c r="B909" s="20">
        <v>3.5741032571728398E-3</v>
      </c>
      <c r="C909" s="20">
        <v>3.7859197852042402E-3</v>
      </c>
      <c r="D909" s="20">
        <v>3.6445305975027998E-3</v>
      </c>
    </row>
    <row r="910" spans="1:4" x14ac:dyDescent="0.5">
      <c r="A910" s="56" t="s">
        <v>2273</v>
      </c>
      <c r="B910" s="20">
        <v>3.0669212606881098E-3</v>
      </c>
      <c r="C910" s="20">
        <v>3.5906973589599801E-3</v>
      </c>
      <c r="D910" s="20">
        <v>3.1276157079330601E-3</v>
      </c>
    </row>
    <row r="911" spans="1:4" x14ac:dyDescent="0.5">
      <c r="A911" s="56" t="s">
        <v>2274</v>
      </c>
      <c r="B911" s="20">
        <v>2.83131136633827E-3</v>
      </c>
      <c r="C911" s="20">
        <v>4.0678527763424698E-3</v>
      </c>
      <c r="D911" s="20">
        <v>2.8891202804926198E-3</v>
      </c>
    </row>
    <row r="912" spans="1:4" x14ac:dyDescent="0.5">
      <c r="A912" s="56" t="s">
        <v>2275</v>
      </c>
      <c r="B912" s="20">
        <v>2.51907496356209E-3</v>
      </c>
      <c r="C912" s="20">
        <v>3.9556521122921197E-3</v>
      </c>
      <c r="D912" s="20">
        <v>2.56746146444442E-3</v>
      </c>
    </row>
    <row r="913" spans="1:4" x14ac:dyDescent="0.5">
      <c r="A913" s="56" t="s">
        <v>2276</v>
      </c>
      <c r="B913" s="20">
        <v>2.91494951607331E-3</v>
      </c>
      <c r="C913" s="20">
        <v>3.6888715537926799E-3</v>
      </c>
      <c r="D913" s="20">
        <v>2.9755826177939302E-3</v>
      </c>
    </row>
    <row r="914" spans="1:4" x14ac:dyDescent="0.5">
      <c r="A914" s="56" t="s">
        <v>2277</v>
      </c>
      <c r="B914" s="20">
        <v>3.6521920042775101E-3</v>
      </c>
      <c r="C914" s="20">
        <v>4.98891970686336E-3</v>
      </c>
      <c r="D914" s="20">
        <v>3.7438031290667798E-3</v>
      </c>
    </row>
    <row r="915" spans="1:4" x14ac:dyDescent="0.5">
      <c r="A915" s="56" t="s">
        <v>2278</v>
      </c>
      <c r="B915" s="20">
        <v>3.1199870903320698E-3</v>
      </c>
      <c r="C915" s="20">
        <v>4.4367778055186104E-3</v>
      </c>
      <c r="D915" s="20">
        <v>3.1978677912707599E-3</v>
      </c>
    </row>
    <row r="916" spans="1:4" x14ac:dyDescent="0.5">
      <c r="A916" s="56" t="s">
        <v>2279</v>
      </c>
      <c r="B916" s="20">
        <v>3.18663968686789E-3</v>
      </c>
      <c r="C916" s="20">
        <v>4.4210289425345101E-3</v>
      </c>
      <c r="D916" s="20">
        <v>3.2442963382005299E-3</v>
      </c>
    </row>
    <row r="917" spans="1:4" x14ac:dyDescent="0.5">
      <c r="A917" s="56" t="s">
        <v>2280</v>
      </c>
      <c r="B917" s="20">
        <v>2.7413617007840899E-3</v>
      </c>
      <c r="C917" s="20">
        <v>3.9322346617250096E-3</v>
      </c>
      <c r="D917" s="20">
        <v>2.7903555667169902E-3</v>
      </c>
    </row>
    <row r="918" spans="1:4" x14ac:dyDescent="0.5">
      <c r="A918" s="56" t="s">
        <v>2281</v>
      </c>
      <c r="B918" s="20">
        <v>2.47275392806163E-3</v>
      </c>
      <c r="C918" s="20">
        <v>3.9894793257520102E-3</v>
      </c>
      <c r="D918" s="20">
        <v>2.5144120600845399E-3</v>
      </c>
    </row>
    <row r="919" spans="1:4" x14ac:dyDescent="0.5">
      <c r="A919" s="56" t="s">
        <v>2282</v>
      </c>
      <c r="B919" s="20">
        <v>2.27783003009347E-3</v>
      </c>
      <c r="C919" s="20">
        <v>3.6735538110967102E-3</v>
      </c>
      <c r="D919" s="20">
        <v>2.3173064449137598E-3</v>
      </c>
    </row>
    <row r="920" spans="1:4" x14ac:dyDescent="0.5">
      <c r="A920" s="56" t="s">
        <v>2283</v>
      </c>
      <c r="B920" s="20">
        <v>2.07795571202037E-3</v>
      </c>
      <c r="C920" s="20">
        <v>4.5509999214260102E-3</v>
      </c>
      <c r="D920" s="20">
        <v>2.1040464666074099E-3</v>
      </c>
    </row>
    <row r="921" spans="1:4" x14ac:dyDescent="0.5">
      <c r="A921" s="56" t="s">
        <v>2284</v>
      </c>
      <c r="B921" s="20">
        <v>2.5034324205747099E-3</v>
      </c>
      <c r="C921" s="20">
        <v>4.1255144724709203E-3</v>
      </c>
      <c r="D921" s="20">
        <v>2.5267354790189998E-3</v>
      </c>
    </row>
    <row r="922" spans="1:4" x14ac:dyDescent="0.5">
      <c r="A922" s="56" t="s">
        <v>2285</v>
      </c>
      <c r="B922" s="20">
        <v>2.2286379488623701E-3</v>
      </c>
      <c r="C922" s="20">
        <v>4.77391443874591E-3</v>
      </c>
      <c r="D922" s="20">
        <v>2.2479951232992901E-3</v>
      </c>
    </row>
    <row r="923" spans="1:4" x14ac:dyDescent="0.5">
      <c r="A923" s="56" t="s">
        <v>2286</v>
      </c>
      <c r="B923" s="20">
        <v>2.82807923929939E-3</v>
      </c>
      <c r="C923" s="20">
        <v>4.97744444634952E-3</v>
      </c>
      <c r="D923" s="20">
        <v>2.8665148088468299E-3</v>
      </c>
    </row>
    <row r="924" spans="1:4" x14ac:dyDescent="0.5">
      <c r="A924" s="56" t="s">
        <v>2287</v>
      </c>
      <c r="B924" s="20">
        <v>3.5312308562589901E-3</v>
      </c>
      <c r="C924" s="20">
        <v>6.8360673428152297E-3</v>
      </c>
      <c r="D924" s="20">
        <v>3.5688887756748101E-3</v>
      </c>
    </row>
    <row r="925" spans="1:4" x14ac:dyDescent="0.5">
      <c r="A925" s="56" t="s">
        <v>2288</v>
      </c>
      <c r="B925" s="20">
        <v>3.0301987178772698E-3</v>
      </c>
      <c r="C925" s="20">
        <v>6.0620258035477799E-3</v>
      </c>
      <c r="D925" s="20">
        <v>3.0633952276444098E-3</v>
      </c>
    </row>
    <row r="926" spans="1:4" x14ac:dyDescent="0.5">
      <c r="A926" s="56" t="s">
        <v>2289</v>
      </c>
      <c r="B926" s="20">
        <v>4.5359862147962603E-3</v>
      </c>
      <c r="C926" s="20">
        <v>7.5255659479705099E-3</v>
      </c>
      <c r="D926" s="20">
        <v>4.5945366781196496E-3</v>
      </c>
    </row>
    <row r="927" spans="1:4" x14ac:dyDescent="0.5">
      <c r="A927" s="56" t="s">
        <v>2290</v>
      </c>
      <c r="B927" s="20">
        <v>4.46631044545856E-3</v>
      </c>
      <c r="C927" s="20">
        <v>6.7545971389537003E-3</v>
      </c>
      <c r="D927" s="20">
        <v>4.5272651200948697E-3</v>
      </c>
    </row>
    <row r="928" spans="1:4" x14ac:dyDescent="0.5">
      <c r="A928" s="56" t="s">
        <v>2291</v>
      </c>
      <c r="B928" s="20">
        <v>4.0001719771297403E-3</v>
      </c>
      <c r="C928" s="20">
        <v>5.9618663402113701E-3</v>
      </c>
      <c r="D928" s="20">
        <v>4.0576710459474096E-3</v>
      </c>
    </row>
    <row r="929" spans="1:4" x14ac:dyDescent="0.5">
      <c r="A929" s="56" t="s">
        <v>2292</v>
      </c>
      <c r="B929" s="20">
        <v>4.14653643419021E-3</v>
      </c>
      <c r="C929" s="20">
        <v>5.3367335078225303E-3</v>
      </c>
      <c r="D929" s="20">
        <v>4.1997647478916296E-3</v>
      </c>
    </row>
    <row r="930" spans="1:4" x14ac:dyDescent="0.5">
      <c r="A930" s="56" t="s">
        <v>2293</v>
      </c>
      <c r="B930" s="20">
        <v>3.7675776104913799E-3</v>
      </c>
      <c r="C930" s="20">
        <v>4.9120005312702298E-3</v>
      </c>
      <c r="D930" s="20">
        <v>3.8177761615925598E-3</v>
      </c>
    </row>
    <row r="931" spans="1:4" x14ac:dyDescent="0.5">
      <c r="A931" s="56" t="s">
        <v>2294</v>
      </c>
      <c r="B931" s="20">
        <v>3.3353589567300802E-3</v>
      </c>
      <c r="C931" s="20">
        <v>4.7534632261545104E-3</v>
      </c>
      <c r="D931" s="20">
        <v>3.3823578459245699E-3</v>
      </c>
    </row>
    <row r="932" spans="1:4" x14ac:dyDescent="0.5">
      <c r="A932" s="56" t="s">
        <v>2295</v>
      </c>
      <c r="B932" s="20">
        <v>2.86202714712611E-3</v>
      </c>
      <c r="C932" s="20">
        <v>4.3556697232129101E-3</v>
      </c>
      <c r="D932" s="20">
        <v>2.9023137010397398E-3</v>
      </c>
    </row>
    <row r="933" spans="1:4" x14ac:dyDescent="0.5">
      <c r="A933" s="56" t="s">
        <v>2296</v>
      </c>
      <c r="B933" s="20">
        <v>3.0870433424892698E-3</v>
      </c>
      <c r="C933" s="20">
        <v>4.4760864147296697E-3</v>
      </c>
      <c r="D933" s="20">
        <v>3.1264956269223499E-3</v>
      </c>
    </row>
    <row r="934" spans="1:4" x14ac:dyDescent="0.5">
      <c r="A934" s="56" t="s">
        <v>2297</v>
      </c>
      <c r="B934" s="20">
        <v>2.8502714781669901E-3</v>
      </c>
      <c r="C934" s="20">
        <v>4.8219710615308399E-3</v>
      </c>
      <c r="D934" s="20">
        <v>2.8885678802631799E-3</v>
      </c>
    </row>
    <row r="935" spans="1:4" x14ac:dyDescent="0.5">
      <c r="A935" s="56" t="s">
        <v>2298</v>
      </c>
      <c r="B935" s="20">
        <v>2.4607086547858699E-3</v>
      </c>
      <c r="C935" s="20">
        <v>4.26518679484807E-3</v>
      </c>
      <c r="D935" s="20">
        <v>2.49222650098268E-3</v>
      </c>
    </row>
    <row r="936" spans="1:4" x14ac:dyDescent="0.5">
      <c r="A936" s="56" t="s">
        <v>2299</v>
      </c>
      <c r="B936" s="20">
        <v>2.1454806676695099E-3</v>
      </c>
      <c r="C936" s="20">
        <v>4.4049855118164002E-3</v>
      </c>
      <c r="D936" s="20">
        <v>2.1698847773468401E-3</v>
      </c>
    </row>
    <row r="937" spans="1:4" x14ac:dyDescent="0.5">
      <c r="A937" s="56" t="s">
        <v>2300</v>
      </c>
      <c r="B937" s="20">
        <v>1.89133480519133E-3</v>
      </c>
      <c r="C937" s="20">
        <v>3.9036958001495599E-3</v>
      </c>
      <c r="D937" s="20">
        <v>1.90891208924419E-3</v>
      </c>
    </row>
    <row r="938" spans="1:4" x14ac:dyDescent="0.5">
      <c r="A938" s="56" t="s">
        <v>2301</v>
      </c>
      <c r="B938" s="20">
        <v>1.7312108429001099E-3</v>
      </c>
      <c r="C938" s="20">
        <v>3.58770778037266E-3</v>
      </c>
      <c r="D938" s="20">
        <v>1.7419697369879801E-3</v>
      </c>
    </row>
    <row r="939" spans="1:4" x14ac:dyDescent="0.5">
      <c r="A939" s="56" t="s">
        <v>2302</v>
      </c>
      <c r="B939" s="20">
        <v>1.8255940995840301E-3</v>
      </c>
      <c r="C939" s="20">
        <v>3.1867810264349498E-3</v>
      </c>
      <c r="D939" s="20">
        <v>1.8316435132336301E-3</v>
      </c>
    </row>
    <row r="940" spans="1:4" x14ac:dyDescent="0.5">
      <c r="A940" s="56" t="s">
        <v>2303</v>
      </c>
      <c r="B940" s="20">
        <v>1.61958570975327E-3</v>
      </c>
      <c r="C940" s="20">
        <v>2.8483962502256301E-3</v>
      </c>
      <c r="D940" s="20">
        <v>1.6214664868775799E-3</v>
      </c>
    </row>
    <row r="941" spans="1:4" x14ac:dyDescent="0.5">
      <c r="A941" s="56" t="s">
        <v>2304</v>
      </c>
      <c r="B941" s="20">
        <v>1.68284359342209E-3</v>
      </c>
      <c r="C941" s="20">
        <v>2.8969127122554302E-3</v>
      </c>
      <c r="D941" s="20">
        <v>1.6879972331038399E-3</v>
      </c>
    </row>
    <row r="942" spans="1:4" x14ac:dyDescent="0.5">
      <c r="A942" s="56" t="s">
        <v>2305</v>
      </c>
      <c r="B942" s="20">
        <v>1.51234955343414E-3</v>
      </c>
      <c r="C942" s="20">
        <v>2.5987285300727902E-3</v>
      </c>
      <c r="D942" s="20">
        <v>1.51307516017913E-3</v>
      </c>
    </row>
    <row r="943" spans="1:4" x14ac:dyDescent="0.5">
      <c r="A943" s="56" t="s">
        <v>2306</v>
      </c>
      <c r="B943" s="20">
        <v>1.36591711497078E-3</v>
      </c>
      <c r="C943" s="20">
        <v>2.3313667245147898E-3</v>
      </c>
      <c r="D943" s="20">
        <v>1.36183523325176E-3</v>
      </c>
    </row>
    <row r="944" spans="1:4" x14ac:dyDescent="0.5">
      <c r="A944" s="56" t="s">
        <v>2307</v>
      </c>
      <c r="B944" s="20">
        <v>1.31446446458397E-3</v>
      </c>
      <c r="C944" s="20">
        <v>2.0894618508635202E-3</v>
      </c>
      <c r="D944" s="20">
        <v>1.30625141453779E-3</v>
      </c>
    </row>
    <row r="945" spans="1:4" x14ac:dyDescent="0.5">
      <c r="A945" s="56" t="s">
        <v>2308</v>
      </c>
      <c r="B945" s="20">
        <v>1.27244629303522E-3</v>
      </c>
      <c r="C945" s="20">
        <v>2.0886594586623001E-3</v>
      </c>
      <c r="D945" s="20">
        <v>1.2652799856354899E-3</v>
      </c>
    </row>
    <row r="946" spans="1:4" x14ac:dyDescent="0.5">
      <c r="A946" s="56" t="s">
        <v>2309</v>
      </c>
      <c r="B946" s="20">
        <v>1.16947429468983E-3</v>
      </c>
      <c r="C946" s="20">
        <v>1.8770797384576299E-3</v>
      </c>
      <c r="D946" s="20">
        <v>1.1577086001638101E-3</v>
      </c>
    </row>
    <row r="947" spans="1:4" x14ac:dyDescent="0.5">
      <c r="A947" s="56" t="s">
        <v>2310</v>
      </c>
      <c r="B947" s="20">
        <v>1.09603841226348E-3</v>
      </c>
      <c r="C947" s="20">
        <v>1.6977773607935399E-3</v>
      </c>
      <c r="D947" s="20">
        <v>1.08172528415435E-3</v>
      </c>
    </row>
    <row r="948" spans="1:4" x14ac:dyDescent="0.5">
      <c r="A948" s="56" t="s">
        <v>2311</v>
      </c>
      <c r="B948" s="20">
        <v>1.23513377689275E-3</v>
      </c>
      <c r="C948" s="20">
        <v>1.5450883003838599E-3</v>
      </c>
      <c r="D948" s="20">
        <v>1.2229590030944299E-3</v>
      </c>
    </row>
    <row r="949" spans="1:4" x14ac:dyDescent="0.5">
      <c r="A949" s="56" t="s">
        <v>2312</v>
      </c>
      <c r="B949" s="20">
        <v>1.1372478107864101E-3</v>
      </c>
      <c r="C949" s="20">
        <v>1.5095536033198501E-3</v>
      </c>
      <c r="D949" s="20">
        <v>1.12202717977974E-3</v>
      </c>
    </row>
    <row r="950" spans="1:4" x14ac:dyDescent="0.5">
      <c r="A950" s="56" t="s">
        <v>2313</v>
      </c>
      <c r="B950" s="20">
        <v>1.05567636881748E-3</v>
      </c>
      <c r="C950" s="20">
        <v>1.3714021948868799E-3</v>
      </c>
      <c r="D950" s="20">
        <v>1.0376324702025699E-3</v>
      </c>
    </row>
    <row r="951" spans="1:4" x14ac:dyDescent="0.5">
      <c r="A951" s="56" t="s">
        <v>2314</v>
      </c>
      <c r="B951" s="20">
        <v>9.95923978471514E-4</v>
      </c>
      <c r="C951" s="20">
        <v>1.4411787192123099E-3</v>
      </c>
      <c r="D951" s="20">
        <v>9.7468410489230596E-4</v>
      </c>
    </row>
    <row r="952" spans="1:4" x14ac:dyDescent="0.5">
      <c r="A952" s="56" t="s">
        <v>2315</v>
      </c>
      <c r="B952" s="20">
        <v>1.08016824160001E-3</v>
      </c>
      <c r="C952" s="20">
        <v>1.43066822744844E-3</v>
      </c>
      <c r="D952" s="20">
        <v>1.0572276682034899E-3</v>
      </c>
    </row>
    <row r="953" spans="1:4" x14ac:dyDescent="0.5">
      <c r="A953" s="56" t="s">
        <v>2316</v>
      </c>
      <c r="B953" s="20">
        <v>1.0960996666500001E-3</v>
      </c>
      <c r="C953" s="20">
        <v>1.3420152954019501E-3</v>
      </c>
      <c r="D953" s="20">
        <v>1.07346313605824E-3</v>
      </c>
    </row>
    <row r="954" spans="1:4" x14ac:dyDescent="0.5">
      <c r="A954" s="56" t="s">
        <v>2317</v>
      </c>
      <c r="B954" s="20">
        <v>1.1519240975151001E-3</v>
      </c>
      <c r="C954" s="20">
        <v>1.2493008812217499E-3</v>
      </c>
      <c r="D954" s="20">
        <v>1.1296453324225E-3</v>
      </c>
    </row>
    <row r="955" spans="1:4" x14ac:dyDescent="0.5">
      <c r="A955" s="56" t="s">
        <v>2318</v>
      </c>
      <c r="B955" s="20">
        <v>1.09101257567825E-3</v>
      </c>
      <c r="C955" s="20">
        <v>1.1619460162524201E-3</v>
      </c>
      <c r="D955" s="20">
        <v>1.0660197957118101E-3</v>
      </c>
    </row>
    <row r="956" spans="1:4" x14ac:dyDescent="0.5">
      <c r="A956" s="56" t="s">
        <v>2319</v>
      </c>
      <c r="B956" s="20">
        <v>1.0983817853932199E-3</v>
      </c>
      <c r="C956" s="20">
        <v>1.0691964674466399E-3</v>
      </c>
      <c r="D956" s="20">
        <v>1.0737141415345E-3</v>
      </c>
    </row>
    <row r="957" spans="1:4" x14ac:dyDescent="0.5">
      <c r="A957" s="56" t="s">
        <v>2320</v>
      </c>
      <c r="B957" s="20">
        <v>1.11188245783645E-3</v>
      </c>
      <c r="C957" s="20">
        <v>1.0567149426783399E-3</v>
      </c>
      <c r="D957" s="20">
        <v>1.0882098799366701E-3</v>
      </c>
    </row>
    <row r="958" spans="1:4" x14ac:dyDescent="0.5">
      <c r="A958" s="56" t="s">
        <v>2321</v>
      </c>
      <c r="B958" s="20">
        <v>1.1091546922908199E-3</v>
      </c>
      <c r="C958" s="20">
        <v>9.78490939029345E-4</v>
      </c>
      <c r="D958" s="20">
        <v>1.0858781702237301E-3</v>
      </c>
    </row>
    <row r="959" spans="1:4" x14ac:dyDescent="0.5">
      <c r="A959" s="56" t="s">
        <v>2322</v>
      </c>
      <c r="B959" s="20">
        <v>1.0355169413453901E-3</v>
      </c>
      <c r="C959" s="20">
        <v>1.1893976609462799E-3</v>
      </c>
      <c r="D959" s="20">
        <v>1.0111264012621899E-3</v>
      </c>
    </row>
    <row r="960" spans="1:4" x14ac:dyDescent="0.5">
      <c r="A960" s="56" t="s">
        <v>2323</v>
      </c>
      <c r="B960" s="20">
        <v>1.0903641420336599E-3</v>
      </c>
      <c r="C960" s="20">
        <v>1.1216662274852801E-3</v>
      </c>
      <c r="D960" s="20">
        <v>1.0628640309773799E-3</v>
      </c>
    </row>
    <row r="961" spans="1:4" x14ac:dyDescent="0.5">
      <c r="A961" s="56" t="s">
        <v>2324</v>
      </c>
      <c r="B961" s="20">
        <v>1.0511126068731701E-3</v>
      </c>
      <c r="C961" s="20">
        <v>1.0322501800510901E-3</v>
      </c>
      <c r="D961" s="20">
        <v>1.0227057388256201E-3</v>
      </c>
    </row>
    <row r="962" spans="1:4" x14ac:dyDescent="0.5">
      <c r="A962" s="56" t="s">
        <v>2325</v>
      </c>
      <c r="B962" s="20">
        <v>9.8386277508558909E-4</v>
      </c>
      <c r="C962" s="20">
        <v>1.07691829060524E-3</v>
      </c>
      <c r="D962" s="20">
        <v>9.5474656940545499E-4</v>
      </c>
    </row>
    <row r="963" spans="1:4" x14ac:dyDescent="0.5">
      <c r="A963" s="56" t="s">
        <v>2326</v>
      </c>
      <c r="B963" s="20">
        <v>1.0007254429473999E-3</v>
      </c>
      <c r="C963" s="20">
        <v>1.4849063931507099E-3</v>
      </c>
      <c r="D963" s="20">
        <v>9.7295948834938601E-4</v>
      </c>
    </row>
    <row r="964" spans="1:4" x14ac:dyDescent="0.5">
      <c r="A964" s="56" t="s">
        <v>2327</v>
      </c>
      <c r="B964" s="20">
        <v>1.0634567679430201E-3</v>
      </c>
      <c r="C964" s="20">
        <v>1.3624144525622901E-3</v>
      </c>
      <c r="D964" s="20">
        <v>1.0344461148832E-3</v>
      </c>
    </row>
    <row r="965" spans="1:4" x14ac:dyDescent="0.5">
      <c r="A965" s="56" t="s">
        <v>2328</v>
      </c>
      <c r="B965" s="20">
        <v>1.0000471536035999E-3</v>
      </c>
      <c r="C965" s="20">
        <v>1.24426551713304E-3</v>
      </c>
      <c r="D965" s="20">
        <v>9.7099807724056902E-4</v>
      </c>
    </row>
    <row r="966" spans="1:4" x14ac:dyDescent="0.5">
      <c r="A966" s="56" t="s">
        <v>2329</v>
      </c>
      <c r="B966" s="20">
        <v>9.8966981403394191E-4</v>
      </c>
      <c r="C966" s="20">
        <v>1.18029598949539E-3</v>
      </c>
      <c r="D966" s="20">
        <v>9.6037157594897396E-4</v>
      </c>
    </row>
    <row r="967" spans="1:4" x14ac:dyDescent="0.5">
      <c r="A967" s="56" t="s">
        <v>2330</v>
      </c>
      <c r="B967" s="20">
        <v>9.3531717067044801E-4</v>
      </c>
      <c r="C967" s="20">
        <v>1.0842558982377599E-3</v>
      </c>
      <c r="D967" s="20">
        <v>9.0596273993456702E-4</v>
      </c>
    </row>
    <row r="968" spans="1:4" x14ac:dyDescent="0.5">
      <c r="A968" s="56" t="s">
        <v>2331</v>
      </c>
      <c r="B968" s="20">
        <v>8.9251815893304199E-4</v>
      </c>
      <c r="C968" s="20">
        <v>1.2966447928805501E-3</v>
      </c>
      <c r="D968" s="20">
        <v>8.6192320148632102E-4</v>
      </c>
    </row>
    <row r="969" spans="1:4" x14ac:dyDescent="0.5">
      <c r="A969" s="56" t="s">
        <v>2332</v>
      </c>
      <c r="B969" s="20">
        <v>8.5915982710395896E-4</v>
      </c>
      <c r="C969" s="20">
        <v>1.19555560464935E-3</v>
      </c>
      <c r="D969" s="20">
        <v>8.26876052964514E-4</v>
      </c>
    </row>
    <row r="970" spans="1:4" x14ac:dyDescent="0.5">
      <c r="A970" s="56" t="s">
        <v>2333</v>
      </c>
      <c r="B970" s="20">
        <v>9.9553174212244598E-4</v>
      </c>
      <c r="C970" s="20">
        <v>1.10208339360086E-3</v>
      </c>
      <c r="D970" s="20">
        <v>9.6348397153048595E-4</v>
      </c>
    </row>
    <row r="971" spans="1:4" x14ac:dyDescent="0.5">
      <c r="A971" s="56" t="s">
        <v>2334</v>
      </c>
      <c r="B971" s="20">
        <v>9.4290639639210195E-4</v>
      </c>
      <c r="C971" s="20">
        <v>1.0462421781339199E-3</v>
      </c>
      <c r="D971" s="20">
        <v>9.1104981824710097E-4</v>
      </c>
    </row>
    <row r="972" spans="1:4" x14ac:dyDescent="0.5">
      <c r="A972" s="56" t="s">
        <v>2335</v>
      </c>
      <c r="B972" s="20">
        <v>8.95041173034665E-4</v>
      </c>
      <c r="C972" s="20">
        <v>1.17345117419682E-3</v>
      </c>
      <c r="D972" s="20">
        <v>8.6287073211984897E-4</v>
      </c>
    </row>
    <row r="973" spans="1:4" x14ac:dyDescent="0.5">
      <c r="A973" s="56" t="s">
        <v>2336</v>
      </c>
      <c r="B973" s="20">
        <v>8.9114724127265605E-4</v>
      </c>
      <c r="C973" s="20">
        <v>1.1205605436979201E-3</v>
      </c>
      <c r="D973" s="20">
        <v>8.5846881060736501E-4</v>
      </c>
    </row>
    <row r="974" spans="1:4" x14ac:dyDescent="0.5">
      <c r="A974" s="56" t="s">
        <v>2337</v>
      </c>
      <c r="B974" s="20">
        <v>8.99015065753256E-4</v>
      </c>
      <c r="C974" s="20">
        <v>1.0924599652597899E-3</v>
      </c>
      <c r="D974" s="20">
        <v>8.6468765980300297E-4</v>
      </c>
    </row>
    <row r="975" spans="1:4" x14ac:dyDescent="0.5">
      <c r="A975" s="56" t="s">
        <v>2338</v>
      </c>
      <c r="B975" s="20">
        <v>9.4256083420120697E-4</v>
      </c>
      <c r="C975" s="20">
        <v>1.26513675757628E-3</v>
      </c>
      <c r="D975" s="20">
        <v>9.08782294175623E-4</v>
      </c>
    </row>
    <row r="976" spans="1:4" x14ac:dyDescent="0.5">
      <c r="A976" s="56" t="s">
        <v>2339</v>
      </c>
      <c r="B976" s="20">
        <v>9.1335430008046797E-4</v>
      </c>
      <c r="C976" s="20">
        <v>1.18027819684006E-3</v>
      </c>
      <c r="D976" s="20">
        <v>8.7914318203559502E-4</v>
      </c>
    </row>
    <row r="977" spans="1:4" x14ac:dyDescent="0.5">
      <c r="A977" s="56" t="s">
        <v>2340</v>
      </c>
      <c r="B977" s="20">
        <v>8.7778156426952597E-4</v>
      </c>
      <c r="C977" s="20">
        <v>1.0862114638932701E-3</v>
      </c>
      <c r="D977" s="20">
        <v>8.4268318488568098E-4</v>
      </c>
    </row>
    <row r="978" spans="1:4" x14ac:dyDescent="0.5">
      <c r="A978" s="56" t="s">
        <v>2341</v>
      </c>
      <c r="B978" s="20">
        <v>8.4959909981338101E-4</v>
      </c>
      <c r="C978" s="20">
        <v>1.0075063571902199E-3</v>
      </c>
      <c r="D978" s="20">
        <v>8.14765380616096E-4</v>
      </c>
    </row>
    <row r="979" spans="1:4" x14ac:dyDescent="0.5">
      <c r="A979" s="56" t="s">
        <v>2342</v>
      </c>
      <c r="B979" s="20">
        <v>9.0568237421042599E-4</v>
      </c>
      <c r="C979" s="20">
        <v>1.1366382535600099E-3</v>
      </c>
      <c r="D979" s="20">
        <v>8.7488161978198202E-4</v>
      </c>
    </row>
    <row r="980" spans="1:4" x14ac:dyDescent="0.5">
      <c r="A980" s="56" t="s">
        <v>2343</v>
      </c>
      <c r="B980" s="20">
        <v>8.66776364473329E-4</v>
      </c>
      <c r="C980" s="20">
        <v>1.1734192700839901E-3</v>
      </c>
      <c r="D980" s="20">
        <v>8.3507720190382703E-4</v>
      </c>
    </row>
    <row r="981" spans="1:4" x14ac:dyDescent="0.5">
      <c r="A981" s="56" t="s">
        <v>2344</v>
      </c>
      <c r="B981" s="20">
        <v>1.01139040161574E-3</v>
      </c>
      <c r="C981" s="20">
        <v>1.2225238063567E-3</v>
      </c>
      <c r="D981" s="20">
        <v>9.8031031361916197E-4</v>
      </c>
    </row>
    <row r="982" spans="1:4" x14ac:dyDescent="0.5">
      <c r="A982" s="56" t="s">
        <v>2345</v>
      </c>
      <c r="B982" s="20">
        <v>1.0487522896141699E-3</v>
      </c>
      <c r="C982" s="20">
        <v>1.12056345779963E-3</v>
      </c>
      <c r="D982" s="20">
        <v>1.01742967527586E-3</v>
      </c>
    </row>
    <row r="983" spans="1:4" x14ac:dyDescent="0.5">
      <c r="A983" s="56" t="s">
        <v>2346</v>
      </c>
      <c r="B983" s="20">
        <v>1.0552592078205299E-3</v>
      </c>
      <c r="C983" s="20">
        <v>1.38220165954834E-3</v>
      </c>
      <c r="D983" s="20">
        <v>1.01493660404986E-3</v>
      </c>
    </row>
    <row r="984" spans="1:4" x14ac:dyDescent="0.5">
      <c r="A984" s="56" t="s">
        <v>2347</v>
      </c>
      <c r="B984" s="20">
        <v>1.1818769108245301E-3</v>
      </c>
      <c r="C984" s="20">
        <v>1.4552878197961799E-3</v>
      </c>
      <c r="D984" s="20">
        <v>1.14404605743424E-3</v>
      </c>
    </row>
    <row r="985" spans="1:4" x14ac:dyDescent="0.5">
      <c r="A985" s="56" t="s">
        <v>2348</v>
      </c>
      <c r="B985" s="20">
        <v>1.0973830154732999E-3</v>
      </c>
      <c r="C985" s="20">
        <v>1.3431197221963501E-3</v>
      </c>
      <c r="D985" s="20">
        <v>1.0606944802142701E-3</v>
      </c>
    </row>
    <row r="986" spans="1:4" x14ac:dyDescent="0.5">
      <c r="A986" s="56" t="s">
        <v>2349</v>
      </c>
      <c r="B986" s="20">
        <v>1.1396188635374E-3</v>
      </c>
      <c r="C986" s="20">
        <v>1.3101981978263001E-3</v>
      </c>
      <c r="D986" s="20">
        <v>1.09990436002033E-3</v>
      </c>
    </row>
    <row r="987" spans="1:4" x14ac:dyDescent="0.5">
      <c r="A987" s="56" t="s">
        <v>2350</v>
      </c>
      <c r="B987" s="20">
        <v>1.0644926691219399E-3</v>
      </c>
      <c r="C987" s="20">
        <v>1.5985643286413199E-3</v>
      </c>
      <c r="D987" s="20">
        <v>1.0264896839767301E-3</v>
      </c>
    </row>
    <row r="988" spans="1:4" x14ac:dyDescent="0.5">
      <c r="A988" s="56" t="s">
        <v>2351</v>
      </c>
      <c r="B988" s="20">
        <v>1.30394849498232E-3</v>
      </c>
      <c r="C988" s="20">
        <v>1.4504914439807299E-3</v>
      </c>
      <c r="D988" s="20">
        <v>1.2749519753915901E-3</v>
      </c>
    </row>
    <row r="989" spans="1:4" x14ac:dyDescent="0.5">
      <c r="A989" s="56" t="s">
        <v>2352</v>
      </c>
      <c r="B989" s="20">
        <v>1.21913693264368E-3</v>
      </c>
      <c r="C989" s="20">
        <v>1.32164845362966E-3</v>
      </c>
      <c r="D989" s="20">
        <v>1.1927958153863201E-3</v>
      </c>
    </row>
    <row r="990" spans="1:4" x14ac:dyDescent="0.5">
      <c r="A990" s="56" t="s">
        <v>2353</v>
      </c>
      <c r="B990" s="20">
        <v>1.7130791404165E-3</v>
      </c>
      <c r="C990" s="20">
        <v>1.8050856376086301E-3</v>
      </c>
      <c r="D990" s="20">
        <v>1.6963903405677601E-3</v>
      </c>
    </row>
    <row r="991" spans="1:4" x14ac:dyDescent="0.5">
      <c r="A991" s="56" t="s">
        <v>2354</v>
      </c>
      <c r="B991" s="20">
        <v>1.7761669715093201E-3</v>
      </c>
      <c r="C991" s="20">
        <v>1.9838462445385999E-3</v>
      </c>
      <c r="D991" s="20">
        <v>1.77079404733282E-3</v>
      </c>
    </row>
    <row r="992" spans="1:4" x14ac:dyDescent="0.5">
      <c r="A992" s="56" t="s">
        <v>2355</v>
      </c>
      <c r="B992" s="20">
        <v>1.60280484314455E-3</v>
      </c>
      <c r="C992" s="20">
        <v>1.7938161089076901E-3</v>
      </c>
      <c r="D992" s="20">
        <v>1.59684964801644E-3</v>
      </c>
    </row>
    <row r="993" spans="1:4" x14ac:dyDescent="0.5">
      <c r="A993" s="56" t="s">
        <v>2356</v>
      </c>
      <c r="B993" s="20">
        <v>1.64310115563448E-3</v>
      </c>
      <c r="C993" s="20">
        <v>1.85562449642373E-3</v>
      </c>
      <c r="D993" s="20">
        <v>1.6296733738368899E-3</v>
      </c>
    </row>
    <row r="994" spans="1:4" x14ac:dyDescent="0.5">
      <c r="A994" s="56" t="s">
        <v>2357</v>
      </c>
      <c r="B994" s="20">
        <v>1.47179694114546E-3</v>
      </c>
      <c r="C994" s="20">
        <v>1.7342618047131999E-3</v>
      </c>
      <c r="D994" s="20">
        <v>1.45647585489546E-3</v>
      </c>
    </row>
    <row r="995" spans="1:4" x14ac:dyDescent="0.5">
      <c r="A995" s="56" t="s">
        <v>2358</v>
      </c>
      <c r="B995" s="20">
        <v>2.43892009978738E-3</v>
      </c>
      <c r="C995" s="20">
        <v>1.59656484258963E-3</v>
      </c>
      <c r="D995" s="20">
        <v>2.4452736891708601E-3</v>
      </c>
    </row>
    <row r="996" spans="1:4" x14ac:dyDescent="0.5">
      <c r="A996" s="56" t="s">
        <v>2359</v>
      </c>
      <c r="B996" s="20">
        <v>2.1746147315777E-3</v>
      </c>
      <c r="C996" s="20">
        <v>1.94926606843187E-3</v>
      </c>
      <c r="D996" s="20">
        <v>2.1800229983942902E-3</v>
      </c>
    </row>
    <row r="997" spans="1:4" x14ac:dyDescent="0.5">
      <c r="A997" s="56" t="s">
        <v>2360</v>
      </c>
      <c r="B997" s="20">
        <v>1.9080589727268899E-3</v>
      </c>
      <c r="C997" s="20">
        <v>1.8206440247052599E-3</v>
      </c>
      <c r="D997" s="20">
        <v>1.90991230135344E-3</v>
      </c>
    </row>
    <row r="998" spans="1:4" x14ac:dyDescent="0.5">
      <c r="A998" s="56" t="s">
        <v>2361</v>
      </c>
      <c r="B998" s="20">
        <v>2.9471403525302099E-3</v>
      </c>
      <c r="C998" s="20">
        <v>3.2451135648644599E-3</v>
      </c>
      <c r="D998" s="20">
        <v>2.9702765974495898E-3</v>
      </c>
    </row>
    <row r="999" spans="1:4" x14ac:dyDescent="0.5">
      <c r="A999" s="56" t="s">
        <v>2362</v>
      </c>
      <c r="B999" s="20">
        <v>6.7447948217754404E-3</v>
      </c>
      <c r="C999" s="20">
        <v>4.6048802118972901E-3</v>
      </c>
      <c r="D999" s="20">
        <v>6.8566244364753797E-3</v>
      </c>
    </row>
    <row r="1000" spans="1:4" x14ac:dyDescent="0.5">
      <c r="A1000" s="56" t="s">
        <v>2363</v>
      </c>
      <c r="B1000" s="20">
        <v>6.8618384304294901E-3</v>
      </c>
      <c r="C1000" s="20">
        <v>4.0981274413187004E-3</v>
      </c>
      <c r="D1000" s="20">
        <v>6.9749910799992198E-3</v>
      </c>
    </row>
    <row r="1001" spans="1:4" x14ac:dyDescent="0.5">
      <c r="A1001" s="56" t="s">
        <v>2364</v>
      </c>
      <c r="B1001" s="20">
        <v>5.7810755826949896E-3</v>
      </c>
      <c r="C1001" s="20">
        <v>3.71831814791386E-3</v>
      </c>
      <c r="D1001" s="20">
        <v>5.8839812700198797E-3</v>
      </c>
    </row>
    <row r="1002" spans="1:4" x14ac:dyDescent="0.5">
      <c r="A1002" s="56" t="s">
        <v>2365</v>
      </c>
      <c r="B1002" s="20">
        <v>6.2841962010460797E-3</v>
      </c>
      <c r="C1002" s="20">
        <v>3.3262327776127799E-3</v>
      </c>
      <c r="D1002" s="20">
        <v>6.4081947760089098E-3</v>
      </c>
    </row>
    <row r="1003" spans="1:4" x14ac:dyDescent="0.5">
      <c r="A1003" s="56" t="s">
        <v>2366</v>
      </c>
      <c r="B1003" s="20">
        <v>7.4319500822275803E-3</v>
      </c>
      <c r="C1003" s="20">
        <v>4.9171137475665198E-3</v>
      </c>
      <c r="D1003" s="20">
        <v>7.5687345399238796E-3</v>
      </c>
    </row>
    <row r="1004" spans="1:4" x14ac:dyDescent="0.5">
      <c r="A1004" s="56" t="s">
        <v>2367</v>
      </c>
      <c r="B1004" s="20">
        <v>6.6917879911239098E-3</v>
      </c>
      <c r="C1004" s="20">
        <v>4.3648226502259399E-3</v>
      </c>
      <c r="D1004" s="20">
        <v>6.8383964952892099E-3</v>
      </c>
    </row>
    <row r="1005" spans="1:4" x14ac:dyDescent="0.5">
      <c r="A1005" s="56" t="s">
        <v>2368</v>
      </c>
      <c r="B1005" s="20">
        <v>6.2714712127873102E-3</v>
      </c>
      <c r="C1005" s="20">
        <v>3.8670480755566101E-3</v>
      </c>
      <c r="D1005" s="20">
        <v>6.4126399083078702E-3</v>
      </c>
    </row>
    <row r="1006" spans="1:4" x14ac:dyDescent="0.5">
      <c r="A1006" s="56" t="s">
        <v>2369</v>
      </c>
      <c r="B1006" s="20">
        <v>5.4064362220598702E-3</v>
      </c>
      <c r="C1006" s="20">
        <v>3.4921079356454499E-3</v>
      </c>
      <c r="D1006" s="20">
        <v>5.5365634262818401E-3</v>
      </c>
    </row>
    <row r="1007" spans="1:4" x14ac:dyDescent="0.5">
      <c r="A1007" s="56" t="s">
        <v>2370</v>
      </c>
      <c r="B1007" s="20">
        <v>4.6054801333264596E-3</v>
      </c>
      <c r="C1007" s="20">
        <v>3.3156138880457002E-3</v>
      </c>
      <c r="D1007" s="20">
        <v>4.71912211677102E-3</v>
      </c>
    </row>
    <row r="1008" spans="1:4" x14ac:dyDescent="0.5">
      <c r="A1008" s="56" t="s">
        <v>2371</v>
      </c>
      <c r="B1008" s="20">
        <v>4.3241721535942799E-3</v>
      </c>
      <c r="C1008" s="20">
        <v>3.0494234663420001E-3</v>
      </c>
      <c r="D1008" s="20">
        <v>4.4324292761346298E-3</v>
      </c>
    </row>
    <row r="1009" spans="1:4" x14ac:dyDescent="0.5">
      <c r="A1009" s="56" t="s">
        <v>2372</v>
      </c>
      <c r="B1009" s="20">
        <v>3.7159081639274701E-3</v>
      </c>
      <c r="C1009" s="20">
        <v>2.7180593991315899E-3</v>
      </c>
      <c r="D1009" s="20">
        <v>3.8118696337795799E-3</v>
      </c>
    </row>
    <row r="1010" spans="1:4" x14ac:dyDescent="0.5">
      <c r="A1010" s="56" t="s">
        <v>2373</v>
      </c>
      <c r="B1010" s="20">
        <v>3.2340250158472599E-3</v>
      </c>
      <c r="C1010" s="20">
        <v>2.4302323973273898E-3</v>
      </c>
      <c r="D1010" s="20">
        <v>3.3172015841944199E-3</v>
      </c>
    </row>
    <row r="1011" spans="1:4" x14ac:dyDescent="0.5">
      <c r="A1011" s="56" t="s">
        <v>2374</v>
      </c>
      <c r="B1011" s="20">
        <v>2.9086822041916299E-3</v>
      </c>
      <c r="C1011" s="20">
        <v>2.3182722494600998E-3</v>
      </c>
      <c r="D1011" s="20">
        <v>2.9813035273062098E-3</v>
      </c>
    </row>
    <row r="1012" spans="1:4" x14ac:dyDescent="0.5">
      <c r="A1012" s="56" t="s">
        <v>2375</v>
      </c>
      <c r="B1012" s="20">
        <v>2.7953836491703601E-3</v>
      </c>
      <c r="C1012" s="20">
        <v>2.2257685407841899E-3</v>
      </c>
      <c r="D1012" s="20">
        <v>2.8583816832608798E-3</v>
      </c>
    </row>
    <row r="1013" spans="1:4" x14ac:dyDescent="0.5">
      <c r="A1013" s="56" t="s">
        <v>2376</v>
      </c>
      <c r="B1013" s="20">
        <v>2.4219669244002098E-3</v>
      </c>
      <c r="C1013" s="20">
        <v>2.2372052778248E-3</v>
      </c>
      <c r="D1013" s="20">
        <v>2.4732769931460901E-3</v>
      </c>
    </row>
    <row r="1014" spans="1:4" x14ac:dyDescent="0.5">
      <c r="A1014" s="56" t="s">
        <v>2377</v>
      </c>
      <c r="B1014" s="20">
        <v>2.39628333166452E-3</v>
      </c>
      <c r="C1014" s="20">
        <v>2.3351946268904398E-3</v>
      </c>
      <c r="D1014" s="20">
        <v>2.4432885102786701E-3</v>
      </c>
    </row>
    <row r="1015" spans="1:4" x14ac:dyDescent="0.5">
      <c r="A1015" s="56" t="s">
        <v>2378</v>
      </c>
      <c r="B1015" s="20">
        <v>2.1397926241593199E-3</v>
      </c>
      <c r="C1015" s="20">
        <v>2.14997369292664E-3</v>
      </c>
      <c r="D1015" s="20">
        <v>2.17482014828628E-3</v>
      </c>
    </row>
    <row r="1016" spans="1:4" x14ac:dyDescent="0.5">
      <c r="A1016" s="56" t="s">
        <v>2379</v>
      </c>
      <c r="B1016" s="20">
        <v>2.19201979287378E-3</v>
      </c>
      <c r="C1016" s="20">
        <v>1.9724237506507799E-3</v>
      </c>
      <c r="D1016" s="20">
        <v>2.2244310516054198E-3</v>
      </c>
    </row>
    <row r="1017" spans="1:4" x14ac:dyDescent="0.5">
      <c r="A1017" s="56" t="s">
        <v>2380</v>
      </c>
      <c r="B1017" s="20">
        <v>1.92355831348186E-3</v>
      </c>
      <c r="C1017" s="20">
        <v>1.8188790947346E-3</v>
      </c>
      <c r="D1017" s="20">
        <v>1.9481606201007999E-3</v>
      </c>
    </row>
    <row r="1018" spans="1:4" x14ac:dyDescent="0.5">
      <c r="A1018" s="56" t="s">
        <v>2381</v>
      </c>
      <c r="B1018" s="20">
        <v>2.7263322133905298E-3</v>
      </c>
      <c r="C1018" s="20">
        <v>2.0879054339395498E-3</v>
      </c>
      <c r="D1018" s="20">
        <v>2.7631642784528999E-3</v>
      </c>
    </row>
    <row r="1019" spans="1:4" x14ac:dyDescent="0.5">
      <c r="A1019" s="56" t="s">
        <v>2382</v>
      </c>
      <c r="B1019" s="20">
        <v>2.8958013802973001E-3</v>
      </c>
      <c r="C1019" s="20">
        <v>1.8972938344947699E-3</v>
      </c>
      <c r="D1019" s="20">
        <v>2.9267643104350402E-3</v>
      </c>
    </row>
    <row r="1020" spans="1:4" x14ac:dyDescent="0.5">
      <c r="A1020" s="56" t="s">
        <v>2383</v>
      </c>
      <c r="B1020" s="20">
        <v>2.9359362356754701E-3</v>
      </c>
      <c r="C1020" s="20">
        <v>2.23149747002674E-3</v>
      </c>
      <c r="D1020" s="20">
        <v>2.9670858181500399E-3</v>
      </c>
    </row>
    <row r="1021" spans="1:4" x14ac:dyDescent="0.5">
      <c r="A1021" s="56" t="s">
        <v>2384</v>
      </c>
      <c r="B1021" s="20">
        <v>2.9574377577383402E-3</v>
      </c>
      <c r="C1021" s="20">
        <v>2.0044217929284002E-3</v>
      </c>
      <c r="D1021" s="20">
        <v>2.9845432375788499E-3</v>
      </c>
    </row>
    <row r="1022" spans="1:4" x14ac:dyDescent="0.5">
      <c r="A1022" s="56" t="s">
        <v>2385</v>
      </c>
      <c r="B1022" s="20">
        <v>3.31391189643729E-3</v>
      </c>
      <c r="C1022" s="20">
        <v>1.85647960564403E-3</v>
      </c>
      <c r="D1022" s="20">
        <v>3.3405265732299699E-3</v>
      </c>
    </row>
    <row r="1023" spans="1:4" x14ac:dyDescent="0.5">
      <c r="A1023" s="56" t="s">
        <v>2386</v>
      </c>
      <c r="B1023" s="20">
        <v>2.9201088031859499E-3</v>
      </c>
      <c r="C1023" s="20">
        <v>1.67774847028249E-3</v>
      </c>
      <c r="D1023" s="20">
        <v>2.9432714162135401E-3</v>
      </c>
    </row>
    <row r="1024" spans="1:4" x14ac:dyDescent="0.5">
      <c r="A1024" s="56" t="s">
        <v>2387</v>
      </c>
      <c r="B1024" s="20">
        <v>2.5377152423033799E-3</v>
      </c>
      <c r="C1024" s="20">
        <v>1.6818577868316E-3</v>
      </c>
      <c r="D1024" s="20">
        <v>2.5572127561960599E-3</v>
      </c>
    </row>
    <row r="1025" spans="1:4" x14ac:dyDescent="0.5">
      <c r="A1025" s="56" t="s">
        <v>2388</v>
      </c>
      <c r="B1025" s="20">
        <v>2.6000930927677101E-3</v>
      </c>
      <c r="C1025" s="20">
        <v>1.58252825294394E-3</v>
      </c>
      <c r="D1025" s="20">
        <v>2.6166602407731599E-3</v>
      </c>
    </row>
    <row r="1026" spans="1:4" x14ac:dyDescent="0.5">
      <c r="A1026" s="56" t="s">
        <v>2389</v>
      </c>
      <c r="B1026" s="20">
        <v>2.2734110910648899E-3</v>
      </c>
      <c r="C1026" s="20">
        <v>1.4403169261422799E-3</v>
      </c>
      <c r="D1026" s="20">
        <v>2.2868939643446002E-3</v>
      </c>
    </row>
    <row r="1027" spans="1:4" x14ac:dyDescent="0.5">
      <c r="A1027" s="56" t="s">
        <v>2390</v>
      </c>
      <c r="B1027" s="20">
        <v>2.0573794664427401E-3</v>
      </c>
      <c r="C1027" s="20">
        <v>1.3125377286485099E-3</v>
      </c>
      <c r="D1027" s="20">
        <v>2.06772575978464E-3</v>
      </c>
    </row>
    <row r="1028" spans="1:4" x14ac:dyDescent="0.5">
      <c r="A1028" s="56" t="s">
        <v>2391</v>
      </c>
      <c r="B1028" s="20">
        <v>1.8218396172857501E-3</v>
      </c>
      <c r="C1028" s="20">
        <v>1.2017041982851401E-3</v>
      </c>
      <c r="D1028" s="20">
        <v>1.8282685085190501E-3</v>
      </c>
    </row>
    <row r="1029" spans="1:4" x14ac:dyDescent="0.5">
      <c r="A1029" s="56" t="s">
        <v>2392</v>
      </c>
      <c r="B1029" s="20">
        <v>1.6690162104632199E-3</v>
      </c>
      <c r="C1029" s="20">
        <v>1.2351563458061199E-3</v>
      </c>
      <c r="D1029" s="20">
        <v>1.6708782679372999E-3</v>
      </c>
    </row>
    <row r="1030" spans="1:4" x14ac:dyDescent="0.5">
      <c r="A1030" s="56" t="s">
        <v>2393</v>
      </c>
      <c r="B1030" s="20">
        <v>1.5420118804365601E-3</v>
      </c>
      <c r="C1030" s="20">
        <v>1.1504908384188299E-3</v>
      </c>
      <c r="D1030" s="20">
        <v>1.54187587913017E-3</v>
      </c>
    </row>
    <row r="1031" spans="1:4" x14ac:dyDescent="0.5">
      <c r="A1031" s="56" t="s">
        <v>2394</v>
      </c>
      <c r="B1031" s="20">
        <v>1.4660074798607901E-3</v>
      </c>
      <c r="C1031" s="20">
        <v>1.0631270437926499E-3</v>
      </c>
      <c r="D1031" s="20">
        <v>1.4653602567322899E-3</v>
      </c>
    </row>
    <row r="1032" spans="1:4" x14ac:dyDescent="0.5">
      <c r="A1032" s="56" t="s">
        <v>2395</v>
      </c>
      <c r="B1032" s="20">
        <v>1.4267379556716401E-3</v>
      </c>
      <c r="C1032" s="20">
        <v>1.00039445590186E-3</v>
      </c>
      <c r="D1032" s="20">
        <v>1.42579890215451E-3</v>
      </c>
    </row>
    <row r="1033" spans="1:4" x14ac:dyDescent="0.5">
      <c r="A1033" s="56" t="s">
        <v>2396</v>
      </c>
      <c r="B1033" s="20">
        <v>1.7835838869735901E-3</v>
      </c>
      <c r="C1033" s="20">
        <v>9.4993261260953104E-4</v>
      </c>
      <c r="D1033" s="20">
        <v>1.78714789626087E-3</v>
      </c>
    </row>
    <row r="1034" spans="1:4" x14ac:dyDescent="0.5">
      <c r="A1034" s="56" t="s">
        <v>2397</v>
      </c>
      <c r="B1034" s="20">
        <v>2.3726606356614002E-3</v>
      </c>
      <c r="C1034" s="20">
        <v>8.8298122002129201E-4</v>
      </c>
      <c r="D1034" s="20">
        <v>2.39282348263061E-3</v>
      </c>
    </row>
    <row r="1035" spans="1:4" x14ac:dyDescent="0.5">
      <c r="A1035" s="56" t="s">
        <v>2398</v>
      </c>
      <c r="B1035" s="20">
        <v>3.33634487281796E-3</v>
      </c>
      <c r="C1035" s="20">
        <v>9.4356298168792496E-4</v>
      </c>
      <c r="D1035" s="20">
        <v>3.36211683482859E-3</v>
      </c>
    </row>
    <row r="1036" spans="1:4" x14ac:dyDescent="0.5">
      <c r="A1036" s="56" t="s">
        <v>2399</v>
      </c>
      <c r="B1036" s="20">
        <v>2.8889079245626699E-3</v>
      </c>
      <c r="C1036" s="20">
        <v>8.7751435215848795E-4</v>
      </c>
      <c r="D1036" s="20">
        <v>2.91165433625674E-3</v>
      </c>
    </row>
    <row r="1037" spans="1:4" x14ac:dyDescent="0.5">
      <c r="A1037" s="56" t="s">
        <v>2400</v>
      </c>
      <c r="B1037" s="20">
        <v>2.4927001842244998E-3</v>
      </c>
      <c r="C1037" s="20">
        <v>9.0692007347560296E-4</v>
      </c>
      <c r="D1037" s="20">
        <v>2.5114870487936299E-3</v>
      </c>
    </row>
    <row r="1038" spans="1:4" x14ac:dyDescent="0.5">
      <c r="A1038" s="56" t="s">
        <v>2401</v>
      </c>
      <c r="B1038" s="20">
        <v>2.3224496488663902E-3</v>
      </c>
      <c r="C1038" s="20">
        <v>9.9928495540333091E-4</v>
      </c>
      <c r="D1038" s="20">
        <v>2.3349707946077698E-3</v>
      </c>
    </row>
    <row r="1039" spans="1:4" x14ac:dyDescent="0.5">
      <c r="A1039" s="56" t="s">
        <v>2402</v>
      </c>
      <c r="B1039" s="20">
        <v>2.1742336059025098E-3</v>
      </c>
      <c r="C1039" s="20">
        <v>9.2551581677265203E-4</v>
      </c>
      <c r="D1039" s="20">
        <v>2.17997920942869E-3</v>
      </c>
    </row>
    <row r="1040" spans="1:4" x14ac:dyDescent="0.5">
      <c r="A1040" s="56" t="s">
        <v>2403</v>
      </c>
      <c r="B1040" s="20">
        <v>1.9783721896372199E-3</v>
      </c>
      <c r="C1040" s="20">
        <v>8.6858153681842402E-4</v>
      </c>
      <c r="D1040" s="20">
        <v>1.9791815114372099E-3</v>
      </c>
    </row>
    <row r="1041" spans="1:4" x14ac:dyDescent="0.5">
      <c r="A1041" s="56" t="s">
        <v>2404</v>
      </c>
      <c r="B1041" s="20">
        <v>1.77412951101577E-3</v>
      </c>
      <c r="C1041" s="20">
        <v>8.3903211793076701E-4</v>
      </c>
      <c r="D1041" s="20">
        <v>1.77309455314855E-3</v>
      </c>
    </row>
    <row r="1042" spans="1:4" x14ac:dyDescent="0.5">
      <c r="A1042" s="56" t="s">
        <v>2405</v>
      </c>
      <c r="B1042" s="20">
        <v>2.1715635948252902E-3</v>
      </c>
      <c r="C1042" s="20">
        <v>7.8591648903038498E-4</v>
      </c>
      <c r="D1042" s="20">
        <v>2.1803673197639799E-3</v>
      </c>
    </row>
    <row r="1043" spans="1:4" x14ac:dyDescent="0.5">
      <c r="A1043" s="56" t="s">
        <v>2406</v>
      </c>
      <c r="B1043" s="20">
        <v>2.0391174250173698E-3</v>
      </c>
      <c r="C1043" s="20">
        <v>8.79319511780597E-4</v>
      </c>
      <c r="D1043" s="20">
        <v>2.0413041503643098E-3</v>
      </c>
    </row>
    <row r="1044" spans="1:4" x14ac:dyDescent="0.5">
      <c r="A1044" s="56" t="s">
        <v>2407</v>
      </c>
      <c r="B1044" s="20">
        <v>1.79854872672882E-3</v>
      </c>
      <c r="C1044" s="20">
        <v>8.8060751135342504E-4</v>
      </c>
      <c r="D1044" s="20">
        <v>1.7975877062166099E-3</v>
      </c>
    </row>
    <row r="1045" spans="1:4" x14ac:dyDescent="0.5">
      <c r="A1045" s="56" t="s">
        <v>2408</v>
      </c>
      <c r="B1045" s="20">
        <v>1.6261071467582101E-3</v>
      </c>
      <c r="C1045" s="20">
        <v>1.0798848944187001E-3</v>
      </c>
      <c r="D1045" s="20">
        <v>1.6203835813475801E-3</v>
      </c>
    </row>
    <row r="1046" spans="1:4" x14ac:dyDescent="0.5">
      <c r="A1046" s="56" t="s">
        <v>2409</v>
      </c>
      <c r="B1046" s="20">
        <v>1.50173065200128E-3</v>
      </c>
      <c r="C1046" s="20">
        <v>1.0012866188745799E-3</v>
      </c>
      <c r="D1046" s="20">
        <v>1.4903780342068499E-3</v>
      </c>
    </row>
    <row r="1047" spans="1:4" x14ac:dyDescent="0.5">
      <c r="A1047" s="56" t="s">
        <v>2410</v>
      </c>
      <c r="B1047" s="20">
        <v>1.4362506559224501E-3</v>
      </c>
      <c r="C1047" s="20">
        <v>9.4344469724210096E-4</v>
      </c>
      <c r="D1047" s="20">
        <v>1.425793824786E-3</v>
      </c>
    </row>
    <row r="1048" spans="1:4" x14ac:dyDescent="0.5">
      <c r="A1048" s="56" t="s">
        <v>2411</v>
      </c>
      <c r="B1048" s="20">
        <v>1.2999005713636299E-3</v>
      </c>
      <c r="C1048" s="20">
        <v>1.15253931499006E-3</v>
      </c>
      <c r="D1048" s="20">
        <v>1.2869941219293499E-3</v>
      </c>
    </row>
    <row r="1049" spans="1:4" x14ac:dyDescent="0.5">
      <c r="A1049" s="56" t="s">
        <v>2412</v>
      </c>
      <c r="B1049" s="20">
        <v>1.1891147897407099E-3</v>
      </c>
      <c r="C1049" s="20">
        <v>1.06077803172024E-3</v>
      </c>
      <c r="D1049" s="20">
        <v>1.1731797169002201E-3</v>
      </c>
    </row>
    <row r="1050" spans="1:4" x14ac:dyDescent="0.5">
      <c r="A1050" s="56" t="s">
        <v>2413</v>
      </c>
      <c r="B1050" s="20">
        <v>1.3665209993515E-3</v>
      </c>
      <c r="C1050" s="20">
        <v>1.07456870078081E-3</v>
      </c>
      <c r="D1050" s="20">
        <v>1.34538771435885E-3</v>
      </c>
    </row>
    <row r="1051" spans="1:4" x14ac:dyDescent="0.5">
      <c r="A1051" s="56" t="s">
        <v>2414</v>
      </c>
      <c r="B1051" s="20">
        <v>1.24899341151618E-3</v>
      </c>
      <c r="C1051" s="20">
        <v>1.07885152530751E-3</v>
      </c>
      <c r="D1051" s="20">
        <v>1.2260852568536499E-3</v>
      </c>
    </row>
    <row r="1052" spans="1:4" x14ac:dyDescent="0.5">
      <c r="A1052" s="56" t="s">
        <v>2415</v>
      </c>
      <c r="B1052" s="20">
        <v>1.27295026388683E-3</v>
      </c>
      <c r="C1052" s="20">
        <v>1.2482420240969301E-3</v>
      </c>
      <c r="D1052" s="20">
        <v>1.2459125036249801E-3</v>
      </c>
    </row>
    <row r="1053" spans="1:4" x14ac:dyDescent="0.5">
      <c r="A1053" s="56" t="s">
        <v>2416</v>
      </c>
      <c r="B1053" s="20">
        <v>1.1863413494414799E-3</v>
      </c>
      <c r="C1053" s="20">
        <v>1.4492289992192901E-3</v>
      </c>
      <c r="D1053" s="20">
        <v>1.15939134905406E-3</v>
      </c>
    </row>
    <row r="1054" spans="1:4" x14ac:dyDescent="0.5">
      <c r="A1054" s="56" t="s">
        <v>2417</v>
      </c>
      <c r="B1054" s="20">
        <v>1.13323701942547E-3</v>
      </c>
      <c r="C1054" s="20">
        <v>2.2797554626457798E-3</v>
      </c>
      <c r="D1054" s="20">
        <v>1.1042407538857601E-3</v>
      </c>
    </row>
    <row r="1055" spans="1:4" x14ac:dyDescent="0.5">
      <c r="A1055" s="56" t="s">
        <v>2418</v>
      </c>
      <c r="B1055" s="20">
        <v>1.0994065474953399E-3</v>
      </c>
      <c r="C1055" s="20">
        <v>2.0458405930782902E-3</v>
      </c>
      <c r="D1055" s="20">
        <v>1.0744116571516601E-3</v>
      </c>
    </row>
    <row r="1056" spans="1:4" x14ac:dyDescent="0.5">
      <c r="A1056" s="56" t="s">
        <v>2419</v>
      </c>
      <c r="B1056" s="20">
        <v>1.2764825701315199E-3</v>
      </c>
      <c r="C1056" s="20">
        <v>1.9448453439703901E-3</v>
      </c>
      <c r="D1056" s="20">
        <v>1.2512955889956701E-3</v>
      </c>
    </row>
    <row r="1057" spans="1:4" x14ac:dyDescent="0.5">
      <c r="A1057" s="56" t="s">
        <v>2420</v>
      </c>
      <c r="B1057" s="20">
        <v>1.33374738795905E-3</v>
      </c>
      <c r="C1057" s="20">
        <v>2.0940605330685498E-3</v>
      </c>
      <c r="D1057" s="20">
        <v>1.3150110425138499E-3</v>
      </c>
    </row>
    <row r="1058" spans="1:4" x14ac:dyDescent="0.5">
      <c r="A1058" s="56" t="s">
        <v>2421</v>
      </c>
      <c r="B1058" s="20">
        <v>1.29126682657943E-3</v>
      </c>
      <c r="C1058" s="20">
        <v>1.88314355662658E-3</v>
      </c>
      <c r="D1058" s="20">
        <v>1.2691454801125701E-3</v>
      </c>
    </row>
    <row r="1059" spans="1:4" x14ac:dyDescent="0.5">
      <c r="A1059" s="56" t="s">
        <v>2422</v>
      </c>
      <c r="B1059" s="20">
        <v>1.3760657257223499E-3</v>
      </c>
      <c r="C1059" s="20">
        <v>1.79891255699355E-3</v>
      </c>
      <c r="D1059" s="20">
        <v>1.3516187656105699E-3</v>
      </c>
    </row>
    <row r="1060" spans="1:4" x14ac:dyDescent="0.5">
      <c r="A1060" s="56" t="s">
        <v>2423</v>
      </c>
      <c r="B1060" s="20">
        <v>1.3208993982926701E-3</v>
      </c>
      <c r="C1060" s="20">
        <v>1.6987492206313899E-3</v>
      </c>
      <c r="D1060" s="20">
        <v>1.2933057825995E-3</v>
      </c>
    </row>
    <row r="1061" spans="1:4" x14ac:dyDescent="0.5">
      <c r="A1061" s="56" t="s">
        <v>2424</v>
      </c>
      <c r="B1061" s="20">
        <v>1.24675483276615E-3</v>
      </c>
      <c r="C1061" s="20">
        <v>1.53645961880682E-3</v>
      </c>
      <c r="D1061" s="20">
        <v>1.21868524749162E-3</v>
      </c>
    </row>
    <row r="1062" spans="1:4" x14ac:dyDescent="0.5">
      <c r="A1062" s="56" t="s">
        <v>2425</v>
      </c>
      <c r="B1062" s="20">
        <v>1.3681928581331299E-3</v>
      </c>
      <c r="C1062" s="20">
        <v>1.44548693856634E-3</v>
      </c>
      <c r="D1062" s="20">
        <v>1.34350701111656E-3</v>
      </c>
    </row>
    <row r="1063" spans="1:4" x14ac:dyDescent="0.5">
      <c r="A1063" s="56" t="s">
        <v>2426</v>
      </c>
      <c r="B1063" s="20">
        <v>1.43677920325477E-3</v>
      </c>
      <c r="C1063" s="20">
        <v>1.39546260950362E-3</v>
      </c>
      <c r="D1063" s="20">
        <v>1.4086718403267301E-3</v>
      </c>
    </row>
    <row r="1064" spans="1:4" x14ac:dyDescent="0.5">
      <c r="A1064" s="56" t="s">
        <v>2427</v>
      </c>
      <c r="B1064" s="20">
        <v>1.30038997198225E-3</v>
      </c>
      <c r="C1064" s="20">
        <v>1.3534693656837499E-3</v>
      </c>
      <c r="D1064" s="20">
        <v>1.27277394549476E-3</v>
      </c>
    </row>
    <row r="1065" spans="1:4" x14ac:dyDescent="0.5">
      <c r="A1065" s="56" t="s">
        <v>2428</v>
      </c>
      <c r="B1065" s="20">
        <v>1.1883351476206299E-3</v>
      </c>
      <c r="C1065" s="20">
        <v>1.37881575093472E-3</v>
      </c>
      <c r="D1065" s="20">
        <v>1.16072209162048E-3</v>
      </c>
    </row>
    <row r="1066" spans="1:4" x14ac:dyDescent="0.5">
      <c r="A1066" s="56" t="s">
        <v>2429</v>
      </c>
      <c r="B1066" s="20">
        <v>1.1330868480659399E-3</v>
      </c>
      <c r="C1066" s="20">
        <v>1.2843749630774099E-3</v>
      </c>
      <c r="D1066" s="20">
        <v>1.10479297838731E-3</v>
      </c>
    </row>
    <row r="1067" spans="1:4" x14ac:dyDescent="0.5">
      <c r="A1067" s="56" t="s">
        <v>2430</v>
      </c>
      <c r="B1067" s="20">
        <v>1.07832229867464E-3</v>
      </c>
      <c r="C1067" s="20">
        <v>1.3378497495303799E-3</v>
      </c>
      <c r="D1067" s="20">
        <v>1.04788440605104E-3</v>
      </c>
    </row>
    <row r="1068" spans="1:4" x14ac:dyDescent="0.5">
      <c r="A1068" s="56" t="s">
        <v>2431</v>
      </c>
      <c r="B1068" s="20">
        <v>1.05697684816907E-3</v>
      </c>
      <c r="C1068" s="20">
        <v>1.79403246311704E-3</v>
      </c>
      <c r="D1068" s="20">
        <v>1.02873012843025E-3</v>
      </c>
    </row>
    <row r="1069" spans="1:4" x14ac:dyDescent="0.5">
      <c r="A1069" s="56" t="s">
        <v>2432</v>
      </c>
      <c r="B1069" s="20">
        <v>1.1372523894890099E-3</v>
      </c>
      <c r="C1069" s="20">
        <v>1.81874077242507E-3</v>
      </c>
      <c r="D1069" s="20">
        <v>1.10716474367318E-3</v>
      </c>
    </row>
    <row r="1070" spans="1:4" x14ac:dyDescent="0.5">
      <c r="A1070" s="56" t="s">
        <v>2433</v>
      </c>
      <c r="B1070" s="20">
        <v>1.1052912547557E-3</v>
      </c>
      <c r="C1070" s="20">
        <v>1.7067404199465699E-3</v>
      </c>
      <c r="D1070" s="20">
        <v>1.0794016175208099E-3</v>
      </c>
    </row>
    <row r="1071" spans="1:4" x14ac:dyDescent="0.5">
      <c r="A1071" s="56" t="s">
        <v>2434</v>
      </c>
      <c r="B1071" s="20">
        <v>1.0715474454045101E-3</v>
      </c>
      <c r="C1071" s="20">
        <v>2.1273456159856298E-3</v>
      </c>
      <c r="D1071" s="20">
        <v>1.0437416669783501E-3</v>
      </c>
    </row>
    <row r="1072" spans="1:4" x14ac:dyDescent="0.5">
      <c r="A1072" s="56" t="s">
        <v>2435</v>
      </c>
      <c r="B1072" s="20">
        <v>1.05811132167315E-3</v>
      </c>
      <c r="C1072" s="20">
        <v>1.9138912823957099E-3</v>
      </c>
      <c r="D1072" s="20">
        <v>1.02733698765436E-3</v>
      </c>
    </row>
    <row r="1073" spans="1:4" x14ac:dyDescent="0.5">
      <c r="A1073" s="56" t="s">
        <v>2436</v>
      </c>
      <c r="B1073" s="20">
        <v>9.9775024863287399E-4</v>
      </c>
      <c r="C1073" s="20">
        <v>1.8123439760217199E-3</v>
      </c>
      <c r="D1073" s="20">
        <v>9.6809915465867697E-4</v>
      </c>
    </row>
    <row r="1074" spans="1:4" x14ac:dyDescent="0.5">
      <c r="A1074" s="56" t="s">
        <v>2437</v>
      </c>
      <c r="B1074" s="20">
        <v>1.09866456913406E-3</v>
      </c>
      <c r="C1074" s="20">
        <v>1.6683601289854901E-3</v>
      </c>
      <c r="D1074" s="20">
        <v>1.07502963737549E-3</v>
      </c>
    </row>
    <row r="1075" spans="1:4" x14ac:dyDescent="0.5">
      <c r="A1075" s="56" t="s">
        <v>2438</v>
      </c>
      <c r="B1075" s="20">
        <v>1.3766905480933199E-3</v>
      </c>
      <c r="C1075" s="20">
        <v>2.0123625580173699E-3</v>
      </c>
      <c r="D1075" s="20">
        <v>1.3419169604762099E-3</v>
      </c>
    </row>
    <row r="1076" spans="1:4" x14ac:dyDescent="0.5">
      <c r="A1076" s="56" t="s">
        <v>2439</v>
      </c>
      <c r="B1076" s="20">
        <v>1.3146495029699599E-3</v>
      </c>
      <c r="C1076" s="20">
        <v>1.82329167069305E-3</v>
      </c>
      <c r="D1076" s="20">
        <v>1.28446491450708E-3</v>
      </c>
    </row>
    <row r="1077" spans="1:4" x14ac:dyDescent="0.5">
      <c r="A1077" s="56" t="s">
        <v>2440</v>
      </c>
      <c r="B1077" s="20">
        <v>1.20160664301388E-3</v>
      </c>
      <c r="C1077" s="20">
        <v>1.6825008377711599E-3</v>
      </c>
      <c r="D1077" s="20">
        <v>1.17150553485052E-3</v>
      </c>
    </row>
    <row r="1078" spans="1:4" x14ac:dyDescent="0.5">
      <c r="A1078" s="56" t="s">
        <v>2441</v>
      </c>
      <c r="B1078" s="20">
        <v>1.1136480989099101E-3</v>
      </c>
      <c r="C1078" s="20">
        <v>1.52217579783846E-3</v>
      </c>
      <c r="D1078" s="20">
        <v>1.0823065714798299E-3</v>
      </c>
    </row>
    <row r="1079" spans="1:4" x14ac:dyDescent="0.5">
      <c r="A1079" s="56" t="s">
        <v>2442</v>
      </c>
      <c r="B1079" s="20">
        <v>1.11678274040505E-3</v>
      </c>
      <c r="C1079" s="20">
        <v>1.8429231641784399E-3</v>
      </c>
      <c r="D1079" s="20">
        <v>1.0916141612386601E-3</v>
      </c>
    </row>
    <row r="1080" spans="1:4" x14ac:dyDescent="0.5">
      <c r="A1080" s="56" t="s">
        <v>2443</v>
      </c>
      <c r="B1080" s="20">
        <v>1.06665715705474E-3</v>
      </c>
      <c r="C1080" s="20">
        <v>1.84615767081895E-3</v>
      </c>
      <c r="D1080" s="20">
        <v>1.03844157636491E-3</v>
      </c>
    </row>
    <row r="1081" spans="1:4" x14ac:dyDescent="0.5">
      <c r="A1081" s="56" t="s">
        <v>2444</v>
      </c>
      <c r="B1081" s="20">
        <v>1.5538163238392501E-3</v>
      </c>
      <c r="C1081" s="20">
        <v>1.8895640104216E-3</v>
      </c>
      <c r="D1081" s="20">
        <v>1.5453402418908501E-3</v>
      </c>
    </row>
    <row r="1082" spans="1:4" x14ac:dyDescent="0.5">
      <c r="A1082" s="56" t="s">
        <v>2445</v>
      </c>
      <c r="B1082" s="20">
        <v>1.5256850416565399E-3</v>
      </c>
      <c r="C1082" s="20">
        <v>1.75667219065514E-3</v>
      </c>
      <c r="D1082" s="20">
        <v>1.52292423485978E-3</v>
      </c>
    </row>
    <row r="1083" spans="1:4" x14ac:dyDescent="0.5">
      <c r="A1083" s="56" t="s">
        <v>2446</v>
      </c>
      <c r="B1083" s="20">
        <v>2.1434502740047198E-3</v>
      </c>
      <c r="C1083" s="20">
        <v>1.5891750785834899E-3</v>
      </c>
      <c r="D1083" s="20">
        <v>2.13272477161658E-3</v>
      </c>
    </row>
    <row r="1084" spans="1:4" x14ac:dyDescent="0.5">
      <c r="A1084" s="56" t="s">
        <v>2447</v>
      </c>
      <c r="B1084" s="20">
        <v>1.8850697184689101E-3</v>
      </c>
      <c r="C1084" s="20">
        <v>1.5199311435737501E-3</v>
      </c>
      <c r="D1084" s="20">
        <v>1.8748301685738E-3</v>
      </c>
    </row>
    <row r="1085" spans="1:4" x14ac:dyDescent="0.5">
      <c r="A1085" s="56" t="s">
        <v>2448</v>
      </c>
      <c r="B1085" s="20">
        <v>1.7422010247762001E-3</v>
      </c>
      <c r="C1085" s="20">
        <v>1.40617372499343E-3</v>
      </c>
      <c r="D1085" s="20">
        <v>1.7348859790388999E-3</v>
      </c>
    </row>
    <row r="1086" spans="1:4" x14ac:dyDescent="0.5">
      <c r="A1086" s="56" t="s">
        <v>2449</v>
      </c>
      <c r="B1086" s="20">
        <v>1.9716217891831401E-3</v>
      </c>
      <c r="C1086" s="20">
        <v>1.48161952092499E-3</v>
      </c>
      <c r="D1086" s="20">
        <v>1.9775079801826701E-3</v>
      </c>
    </row>
    <row r="1087" spans="1:4" x14ac:dyDescent="0.5">
      <c r="A1087" s="56" t="s">
        <v>2450</v>
      </c>
      <c r="B1087" s="20">
        <v>1.75111196165408E-3</v>
      </c>
      <c r="C1087" s="20">
        <v>1.3666687181064E-3</v>
      </c>
      <c r="D1087" s="20">
        <v>1.75500452977604E-3</v>
      </c>
    </row>
    <row r="1088" spans="1:4" x14ac:dyDescent="0.5">
      <c r="A1088" s="56" t="s">
        <v>2451</v>
      </c>
      <c r="B1088" s="20">
        <v>2.02727182308453E-3</v>
      </c>
      <c r="C1088" s="20">
        <v>1.8561318973384199E-3</v>
      </c>
      <c r="D1088" s="20">
        <v>2.0203513065065802E-3</v>
      </c>
    </row>
    <row r="1089" spans="1:4" x14ac:dyDescent="0.5">
      <c r="A1089" s="56" t="s">
        <v>2452</v>
      </c>
      <c r="B1089" s="20">
        <v>1.78736224956541E-3</v>
      </c>
      <c r="C1089" s="20">
        <v>1.7715380165655801E-3</v>
      </c>
      <c r="D1089" s="20">
        <v>1.7800652782634901E-3</v>
      </c>
    </row>
    <row r="1090" spans="1:4" x14ac:dyDescent="0.5">
      <c r="A1090" s="56" t="s">
        <v>2453</v>
      </c>
      <c r="B1090" s="20">
        <v>1.6017690347221399E-3</v>
      </c>
      <c r="C1090" s="20">
        <v>1.60882373404579E-3</v>
      </c>
      <c r="D1090" s="20">
        <v>1.5915001254350001E-3</v>
      </c>
    </row>
    <row r="1091" spans="1:4" x14ac:dyDescent="0.5">
      <c r="A1091" s="56" t="s">
        <v>2454</v>
      </c>
      <c r="B1091" s="20">
        <v>1.43809165989948E-3</v>
      </c>
      <c r="C1091" s="20">
        <v>2.0119927494959499E-3</v>
      </c>
      <c r="D1091" s="20">
        <v>1.42644012090397E-3</v>
      </c>
    </row>
    <row r="1092" spans="1:4" x14ac:dyDescent="0.5">
      <c r="A1092" s="56" t="s">
        <v>2455</v>
      </c>
      <c r="B1092" s="20">
        <v>1.42418290244859E-3</v>
      </c>
      <c r="C1092" s="20">
        <v>1.8308207855283201E-3</v>
      </c>
      <c r="D1092" s="20">
        <v>1.4050701537590201E-3</v>
      </c>
    </row>
    <row r="1093" spans="1:4" x14ac:dyDescent="0.5">
      <c r="A1093" s="56" t="s">
        <v>2456</v>
      </c>
      <c r="B1093" s="20">
        <v>1.29280391045344E-3</v>
      </c>
      <c r="C1093" s="20">
        <v>2.0440539655501399E-3</v>
      </c>
      <c r="D1093" s="20">
        <v>1.2735073887279299E-3</v>
      </c>
    </row>
    <row r="1094" spans="1:4" x14ac:dyDescent="0.5">
      <c r="A1094" s="56" t="s">
        <v>2457</v>
      </c>
      <c r="B1094" s="20">
        <v>1.18583431811568E-3</v>
      </c>
      <c r="C1094" s="20">
        <v>1.83852619755266E-3</v>
      </c>
      <c r="D1094" s="20">
        <v>1.1664558460049901E-3</v>
      </c>
    </row>
    <row r="1095" spans="1:4" x14ac:dyDescent="0.5">
      <c r="A1095" s="56" t="s">
        <v>2458</v>
      </c>
      <c r="B1095" s="20">
        <v>1.16557649490508E-3</v>
      </c>
      <c r="C1095" s="20">
        <v>1.6592905612723501E-3</v>
      </c>
      <c r="D1095" s="20">
        <v>1.1504246218476801E-3</v>
      </c>
    </row>
    <row r="1096" spans="1:4" x14ac:dyDescent="0.5">
      <c r="A1096" s="56" t="s">
        <v>2459</v>
      </c>
      <c r="B1096" s="20">
        <v>1.20499361549607E-3</v>
      </c>
      <c r="C1096" s="20">
        <v>1.88076071161396E-3</v>
      </c>
      <c r="D1096" s="20">
        <v>1.1808842983402801E-3</v>
      </c>
    </row>
    <row r="1097" spans="1:4" x14ac:dyDescent="0.5">
      <c r="A1097" s="56" t="s">
        <v>2460</v>
      </c>
      <c r="B1097" s="20">
        <v>1.1343374912551999E-3</v>
      </c>
      <c r="C1097" s="20">
        <v>1.89133812714988E-3</v>
      </c>
      <c r="D1097" s="20">
        <v>1.1071438798959E-3</v>
      </c>
    </row>
    <row r="1098" spans="1:4" x14ac:dyDescent="0.5">
      <c r="A1098" s="56" t="s">
        <v>2461</v>
      </c>
      <c r="B1098" s="20">
        <v>1.07366632114414E-3</v>
      </c>
      <c r="C1098" s="20">
        <v>1.70881933952202E-3</v>
      </c>
      <c r="D1098" s="20">
        <v>1.0447955143699399E-3</v>
      </c>
    </row>
    <row r="1099" spans="1:4" x14ac:dyDescent="0.5">
      <c r="A1099" s="56" t="s">
        <v>2462</v>
      </c>
      <c r="B1099" s="20">
        <v>1.15224128527271E-3</v>
      </c>
      <c r="C1099" s="20">
        <v>1.7752163193293299E-3</v>
      </c>
      <c r="D1099" s="20">
        <v>1.11818804940056E-3</v>
      </c>
    </row>
    <row r="1100" spans="1:4" x14ac:dyDescent="0.5">
      <c r="A1100" s="56" t="s">
        <v>2463</v>
      </c>
      <c r="B1100" s="20">
        <v>1.0695929385123599E-3</v>
      </c>
      <c r="C1100" s="20">
        <v>1.6623729423893899E-3</v>
      </c>
      <c r="D1100" s="20">
        <v>1.0369562021419201E-3</v>
      </c>
    </row>
    <row r="1101" spans="1:4" x14ac:dyDescent="0.5">
      <c r="A1101" s="56" t="s">
        <v>2464</v>
      </c>
      <c r="B1101" s="20">
        <v>1.00179021937506E-3</v>
      </c>
      <c r="C1101" s="20">
        <v>1.5049313982591201E-3</v>
      </c>
      <c r="D1101" s="20">
        <v>9.6859074335443201E-4</v>
      </c>
    </row>
    <row r="1102" spans="1:4" x14ac:dyDescent="0.5">
      <c r="A1102" s="56" t="s">
        <v>2465</v>
      </c>
      <c r="B1102" s="20">
        <v>9.5247947363362299E-4</v>
      </c>
      <c r="C1102" s="20">
        <v>1.5080802394751599E-3</v>
      </c>
      <c r="D1102" s="20">
        <v>9.1862112241010896E-4</v>
      </c>
    </row>
    <row r="1103" spans="1:4" x14ac:dyDescent="0.5">
      <c r="A1103" s="56" t="s">
        <v>2466</v>
      </c>
      <c r="B1103" s="20">
        <v>9.0283250288430603E-4</v>
      </c>
      <c r="C1103" s="20">
        <v>1.48205306902989E-3</v>
      </c>
      <c r="D1103" s="20">
        <v>8.6890504280027895E-4</v>
      </c>
    </row>
    <row r="1104" spans="1:4" x14ac:dyDescent="0.5">
      <c r="A1104" s="56" t="s">
        <v>2467</v>
      </c>
      <c r="B1104" s="20">
        <v>8.9289561808616298E-4</v>
      </c>
      <c r="C1104" s="20">
        <v>1.38442819146051E-3</v>
      </c>
      <c r="D1104" s="20">
        <v>8.5698986583299802E-4</v>
      </c>
    </row>
    <row r="1105" spans="1:4" x14ac:dyDescent="0.5">
      <c r="A1105" s="56" t="s">
        <v>2468</v>
      </c>
      <c r="B1105" s="20">
        <v>8.5425021265205805E-4</v>
      </c>
      <c r="C1105" s="20">
        <v>1.3388906591274099E-3</v>
      </c>
      <c r="D1105" s="20">
        <v>8.1886651787811801E-4</v>
      </c>
    </row>
    <row r="1106" spans="1:4" x14ac:dyDescent="0.5">
      <c r="A1106" s="56" t="s">
        <v>2469</v>
      </c>
      <c r="B1106" s="20">
        <v>8.5484984720318497E-4</v>
      </c>
      <c r="C1106" s="20">
        <v>1.3340800396582E-3</v>
      </c>
      <c r="D1106" s="20">
        <v>8.1680171842445505E-4</v>
      </c>
    </row>
    <row r="1107" spans="1:4" x14ac:dyDescent="0.5">
      <c r="A1107" s="56" t="s">
        <v>2470</v>
      </c>
      <c r="B1107" s="20">
        <v>8.6592403694580298E-4</v>
      </c>
      <c r="C1107" s="20">
        <v>1.3382767679691399E-3</v>
      </c>
      <c r="D1107" s="20">
        <v>8.2678607727097199E-4</v>
      </c>
    </row>
    <row r="1108" spans="1:4" x14ac:dyDescent="0.5">
      <c r="A1108" s="56" t="s">
        <v>2471</v>
      </c>
      <c r="B1108" s="20">
        <v>9.1740769745476904E-4</v>
      </c>
      <c r="C1108" s="20">
        <v>1.2737286104288999E-3</v>
      </c>
      <c r="D1108" s="20">
        <v>8.7646910146140498E-4</v>
      </c>
    </row>
    <row r="1109" spans="1:4" x14ac:dyDescent="0.5">
      <c r="A1109" s="56" t="s">
        <v>2472</v>
      </c>
      <c r="B1109" s="20">
        <v>8.78802951344046E-4</v>
      </c>
      <c r="C1109" s="20">
        <v>1.6318172604192699E-3</v>
      </c>
      <c r="D1109" s="20">
        <v>8.38293728116266E-4</v>
      </c>
    </row>
    <row r="1110" spans="1:4" x14ac:dyDescent="0.5">
      <c r="A1110" s="56" t="s">
        <v>2473</v>
      </c>
      <c r="B1110" s="20">
        <v>1.19080104552269E-3</v>
      </c>
      <c r="C1110" s="20">
        <v>1.61761226799465E-3</v>
      </c>
      <c r="D1110" s="20">
        <v>1.1538834574655701E-3</v>
      </c>
    </row>
    <row r="1111" spans="1:4" x14ac:dyDescent="0.5">
      <c r="A1111" s="56" t="s">
        <v>2474</v>
      </c>
      <c r="B1111" s="20">
        <v>1.3344523931573401E-3</v>
      </c>
      <c r="C1111" s="20">
        <v>1.67108418588846E-3</v>
      </c>
      <c r="D1111" s="20">
        <v>1.3052602849327401E-3</v>
      </c>
    </row>
    <row r="1112" spans="1:4" x14ac:dyDescent="0.5">
      <c r="A1112" s="56" t="s">
        <v>2475</v>
      </c>
      <c r="B1112" s="20">
        <v>1.3480753641152E-3</v>
      </c>
      <c r="C1112" s="20">
        <v>1.6189102067901799E-3</v>
      </c>
      <c r="D1112" s="20">
        <v>1.3237802922840801E-3</v>
      </c>
    </row>
    <row r="1113" spans="1:4" x14ac:dyDescent="0.5">
      <c r="A1113" s="56" t="s">
        <v>2476</v>
      </c>
      <c r="B1113" s="20">
        <v>1.22859816093171E-3</v>
      </c>
      <c r="C1113" s="20">
        <v>1.49070000951279E-3</v>
      </c>
      <c r="D1113" s="20">
        <v>1.20409774214142E-3</v>
      </c>
    </row>
    <row r="1114" spans="1:4" x14ac:dyDescent="0.5">
      <c r="A1114" s="56" t="s">
        <v>2477</v>
      </c>
      <c r="B1114" s="20">
        <v>1.1695730384581301E-3</v>
      </c>
      <c r="C1114" s="20">
        <v>1.3859638392007699E-3</v>
      </c>
      <c r="D1114" s="20">
        <v>1.1431117313059299E-3</v>
      </c>
    </row>
    <row r="1115" spans="1:4" x14ac:dyDescent="0.5">
      <c r="A1115" s="56" t="s">
        <v>2478</v>
      </c>
      <c r="B1115" s="20">
        <v>1.0809152108978699E-3</v>
      </c>
      <c r="C1115" s="20">
        <v>1.3127350550435899E-3</v>
      </c>
      <c r="D1115" s="20">
        <v>1.0538868555099699E-3</v>
      </c>
    </row>
    <row r="1116" spans="1:4" x14ac:dyDescent="0.5">
      <c r="A1116" s="56" t="s">
        <v>2479</v>
      </c>
      <c r="B1116" s="20">
        <v>1.1336284846810601E-3</v>
      </c>
      <c r="C1116" s="20">
        <v>1.21716004802617E-3</v>
      </c>
      <c r="D1116" s="20">
        <v>1.10461247667709E-3</v>
      </c>
    </row>
    <row r="1117" spans="1:4" x14ac:dyDescent="0.5">
      <c r="A1117" s="56" t="s">
        <v>2480</v>
      </c>
      <c r="B1117" s="20">
        <v>1.14154762114924E-3</v>
      </c>
      <c r="C1117" s="20">
        <v>1.1192823097063099E-3</v>
      </c>
      <c r="D1117" s="20">
        <v>1.11122447509248E-3</v>
      </c>
    </row>
    <row r="1118" spans="1:4" x14ac:dyDescent="0.5">
      <c r="A1118" s="56" t="s">
        <v>2481</v>
      </c>
      <c r="B1118" s="20">
        <v>1.0579050813807401E-3</v>
      </c>
      <c r="C1118" s="20">
        <v>1.0434354752912301E-3</v>
      </c>
      <c r="D1118" s="20">
        <v>1.0276623583107001E-3</v>
      </c>
    </row>
    <row r="1119" spans="1:4" x14ac:dyDescent="0.5">
      <c r="A1119" s="56" t="s">
        <v>2482</v>
      </c>
      <c r="B1119" s="20">
        <v>1.70684696039184E-3</v>
      </c>
      <c r="C1119" s="20">
        <v>9.8520979211096397E-4</v>
      </c>
      <c r="D1119" s="20">
        <v>1.65256449270231E-3</v>
      </c>
    </row>
    <row r="1120" spans="1:4" x14ac:dyDescent="0.5">
      <c r="A1120" s="56" t="s">
        <v>2483</v>
      </c>
      <c r="B1120" s="20">
        <v>1.5410290678246699E-3</v>
      </c>
      <c r="C1120" s="20">
        <v>1.00985660059427E-3</v>
      </c>
      <c r="D1120" s="20">
        <v>1.49286701416965E-3</v>
      </c>
    </row>
    <row r="1121" spans="1:4" x14ac:dyDescent="0.5">
      <c r="A1121" s="56" t="s">
        <v>2484</v>
      </c>
      <c r="B1121" s="20">
        <v>2.6163281777049998E-3</v>
      </c>
      <c r="C1121" s="20">
        <v>1.1515195425661499E-3</v>
      </c>
      <c r="D1121" s="20">
        <v>2.59010666789285E-3</v>
      </c>
    </row>
    <row r="1122" spans="1:4" x14ac:dyDescent="0.5">
      <c r="A1122" s="56" t="s">
        <v>2485</v>
      </c>
      <c r="B1122" s="20">
        <v>2.8849906215709601E-3</v>
      </c>
      <c r="C1122" s="20">
        <v>1.2544839241702499E-3</v>
      </c>
      <c r="D1122" s="20">
        <v>2.8729058830697799E-3</v>
      </c>
    </row>
    <row r="1123" spans="1:4" x14ac:dyDescent="0.5">
      <c r="A1123" s="56" t="s">
        <v>2486</v>
      </c>
      <c r="B1123" s="20">
        <v>2.5443951990673998E-3</v>
      </c>
      <c r="C1123" s="20">
        <v>1.2829719119701699E-3</v>
      </c>
      <c r="D1123" s="20">
        <v>2.53520021927111E-3</v>
      </c>
    </row>
    <row r="1124" spans="1:4" x14ac:dyDescent="0.5">
      <c r="A1124" s="56" t="s">
        <v>2487</v>
      </c>
      <c r="B1124" s="20">
        <v>2.2200257367937098E-3</v>
      </c>
      <c r="C1124" s="20">
        <v>1.2307164879983301E-3</v>
      </c>
      <c r="D1124" s="20">
        <v>2.2115238669512E-3</v>
      </c>
    </row>
    <row r="1125" spans="1:4" x14ac:dyDescent="0.5">
      <c r="A1125" s="56" t="s">
        <v>2488</v>
      </c>
      <c r="B1125" s="20">
        <v>2.0678391597628199E-3</v>
      </c>
      <c r="C1125" s="20">
        <v>1.1291528707094E-3</v>
      </c>
      <c r="D1125" s="20">
        <v>2.0601060494234501E-3</v>
      </c>
    </row>
    <row r="1126" spans="1:4" x14ac:dyDescent="0.5">
      <c r="A1126" s="56" t="s">
        <v>2489</v>
      </c>
      <c r="B1126" s="20">
        <v>2.4908060720922201E-3</v>
      </c>
      <c r="C1126" s="20">
        <v>1.0560903507666501E-3</v>
      </c>
      <c r="D1126" s="20">
        <v>2.4921860853017001E-3</v>
      </c>
    </row>
    <row r="1127" spans="1:4" x14ac:dyDescent="0.5">
      <c r="A1127" s="56" t="s">
        <v>2490</v>
      </c>
      <c r="B1127" s="20">
        <v>2.6399740542711698E-3</v>
      </c>
      <c r="C1127" s="20">
        <v>1.0537602518460099E-3</v>
      </c>
      <c r="D1127" s="20">
        <v>2.6390943853526901E-3</v>
      </c>
    </row>
    <row r="1128" spans="1:4" x14ac:dyDescent="0.5">
      <c r="A1128" s="56" t="s">
        <v>2491</v>
      </c>
      <c r="B1128" s="20">
        <v>2.2900229380413799E-3</v>
      </c>
      <c r="C1128" s="20">
        <v>9.7855391708674406E-4</v>
      </c>
      <c r="D1128" s="20">
        <v>2.2888480805629101E-3</v>
      </c>
    </row>
    <row r="1129" spans="1:4" x14ac:dyDescent="0.5">
      <c r="A1129" s="56" t="s">
        <v>2492</v>
      </c>
      <c r="B1129" s="20">
        <v>2.0808576179144099E-3</v>
      </c>
      <c r="C1129" s="20">
        <v>1.13866143024381E-3</v>
      </c>
      <c r="D1129" s="20">
        <v>2.07990997701046E-3</v>
      </c>
    </row>
    <row r="1130" spans="1:4" x14ac:dyDescent="0.5">
      <c r="A1130" s="56" t="s">
        <v>2493</v>
      </c>
      <c r="B1130" s="20">
        <v>1.8434362479929601E-3</v>
      </c>
      <c r="C1130" s="20">
        <v>1.2003201154531201E-3</v>
      </c>
      <c r="D1130" s="20">
        <v>1.83961053385497E-3</v>
      </c>
    </row>
    <row r="1131" spans="1:4" x14ac:dyDescent="0.5">
      <c r="A1131" s="56" t="s">
        <v>2494</v>
      </c>
      <c r="B1131" s="20">
        <v>1.66017154054315E-3</v>
      </c>
      <c r="C1131" s="20">
        <v>1.1169358883715E-3</v>
      </c>
      <c r="D1131" s="20">
        <v>1.6530505922272699E-3</v>
      </c>
    </row>
    <row r="1132" spans="1:4" x14ac:dyDescent="0.5">
      <c r="A1132" s="56" t="s">
        <v>2495</v>
      </c>
      <c r="B1132" s="20">
        <v>1.5948351934078799E-3</v>
      </c>
      <c r="C1132" s="20">
        <v>1.0847473748478501E-3</v>
      </c>
      <c r="D1132" s="20">
        <v>1.58364354808234E-3</v>
      </c>
    </row>
    <row r="1133" spans="1:4" x14ac:dyDescent="0.5">
      <c r="A1133" s="56" t="s">
        <v>2496</v>
      </c>
      <c r="B1133" s="20">
        <v>1.4999301149266301E-3</v>
      </c>
      <c r="C1133" s="20">
        <v>1.0941717856152501E-3</v>
      </c>
      <c r="D1133" s="20">
        <v>1.48670976178569E-3</v>
      </c>
    </row>
    <row r="1134" spans="1:4" x14ac:dyDescent="0.5">
      <c r="A1134" s="56" t="s">
        <v>2497</v>
      </c>
      <c r="B1134" s="20">
        <v>1.3587162295460001E-3</v>
      </c>
      <c r="C1134" s="20">
        <v>1.4185805866518901E-3</v>
      </c>
      <c r="D1134" s="20">
        <v>1.34334604842652E-3</v>
      </c>
    </row>
    <row r="1135" spans="1:4" x14ac:dyDescent="0.5">
      <c r="A1135" s="56" t="s">
        <v>2498</v>
      </c>
      <c r="B1135" s="20">
        <v>2.23310169047622E-3</v>
      </c>
      <c r="C1135" s="20">
        <v>2.42387828399594E-3</v>
      </c>
      <c r="D1135" s="20">
        <v>2.2396584180713799E-3</v>
      </c>
    </row>
    <row r="1136" spans="1:4" x14ac:dyDescent="0.5">
      <c r="A1136" s="56" t="s">
        <v>2499</v>
      </c>
      <c r="B1136" s="20">
        <v>4.1852081384704002E-3</v>
      </c>
      <c r="C1136" s="20">
        <v>3.3636062595790699E-3</v>
      </c>
      <c r="D1136" s="20">
        <v>4.2303491201856501E-3</v>
      </c>
    </row>
    <row r="1137" spans="1:4" x14ac:dyDescent="0.5">
      <c r="A1137" s="56" t="s">
        <v>2500</v>
      </c>
      <c r="B1137" s="20">
        <v>5.2252177245749598E-3</v>
      </c>
      <c r="C1137" s="20">
        <v>3.0549306466771098E-3</v>
      </c>
      <c r="D1137" s="20">
        <v>5.2904770978262801E-3</v>
      </c>
    </row>
    <row r="1138" spans="1:4" x14ac:dyDescent="0.5">
      <c r="A1138" s="56" t="s">
        <v>2501</v>
      </c>
      <c r="B1138" s="20">
        <v>4.5267448054572097E-3</v>
      </c>
      <c r="C1138" s="20">
        <v>2.8607119541867298E-3</v>
      </c>
      <c r="D1138" s="20">
        <v>4.59218758596836E-3</v>
      </c>
    </row>
    <row r="1139" spans="1:4" x14ac:dyDescent="0.5">
      <c r="A1139" s="56" t="s">
        <v>2502</v>
      </c>
      <c r="B1139" s="20">
        <v>3.8397674179072002E-3</v>
      </c>
      <c r="C1139" s="20">
        <v>2.8533525106384898E-3</v>
      </c>
      <c r="D1139" s="20">
        <v>3.89910386138309E-3</v>
      </c>
    </row>
    <row r="1140" spans="1:4" x14ac:dyDescent="0.5">
      <c r="A1140" s="56" t="s">
        <v>2503</v>
      </c>
      <c r="B1140" s="20">
        <v>3.5126362048378702E-3</v>
      </c>
      <c r="C1140" s="20">
        <v>3.0908231042994102E-3</v>
      </c>
      <c r="D1140" s="20">
        <v>3.5723540967092702E-3</v>
      </c>
    </row>
    <row r="1141" spans="1:4" x14ac:dyDescent="0.5">
      <c r="A1141" s="56" t="s">
        <v>2504</v>
      </c>
      <c r="B1141" s="20">
        <v>3.4657318944914502E-3</v>
      </c>
      <c r="C1141" s="20">
        <v>2.8710531704965198E-3</v>
      </c>
      <c r="D1141" s="20">
        <v>3.5218707193228E-3</v>
      </c>
    </row>
    <row r="1142" spans="1:4" x14ac:dyDescent="0.5">
      <c r="A1142" s="56" t="s">
        <v>2505</v>
      </c>
      <c r="B1142" s="20">
        <v>3.2744063593579701E-3</v>
      </c>
      <c r="C1142" s="20">
        <v>2.5627673057634298E-3</v>
      </c>
      <c r="D1142" s="20">
        <v>3.3387770000841699E-3</v>
      </c>
    </row>
    <row r="1143" spans="1:4" x14ac:dyDescent="0.5">
      <c r="A1143" s="56" t="s">
        <v>2506</v>
      </c>
      <c r="B1143" s="20">
        <v>2.9933761973806399E-3</v>
      </c>
      <c r="C1143" s="20">
        <v>2.4971102976817901E-3</v>
      </c>
      <c r="D1143" s="20">
        <v>3.0519621964978402E-3</v>
      </c>
    </row>
    <row r="1144" spans="1:4" x14ac:dyDescent="0.5">
      <c r="A1144" s="56" t="s">
        <v>2507</v>
      </c>
      <c r="B1144" s="20">
        <v>3.8336929147149098E-3</v>
      </c>
      <c r="C1144" s="20">
        <v>2.2340438547951598E-3</v>
      </c>
      <c r="D1144" s="20">
        <v>3.8985519068992702E-3</v>
      </c>
    </row>
    <row r="1145" spans="1:4" x14ac:dyDescent="0.5">
      <c r="A1145" s="56" t="s">
        <v>2508</v>
      </c>
      <c r="B1145" s="20">
        <v>3.3490617995539399E-3</v>
      </c>
      <c r="C1145" s="20">
        <v>2.0042375570171701E-3</v>
      </c>
      <c r="D1145" s="20">
        <v>3.4084797261697102E-3</v>
      </c>
    </row>
    <row r="1146" spans="1:4" x14ac:dyDescent="0.5">
      <c r="A1146" s="56" t="s">
        <v>2509</v>
      </c>
      <c r="B1146" s="20">
        <v>2.93144877299286E-3</v>
      </c>
      <c r="C1146" s="20">
        <v>1.82582499495154E-3</v>
      </c>
      <c r="D1146" s="20">
        <v>2.9827941471355099E-3</v>
      </c>
    </row>
    <row r="1147" spans="1:4" x14ac:dyDescent="0.5">
      <c r="A1147" s="56" t="s">
        <v>2510</v>
      </c>
      <c r="B1147" s="20">
        <v>2.5648252676554401E-3</v>
      </c>
      <c r="C1147" s="20">
        <v>2.1127647088843701E-3</v>
      </c>
      <c r="D1147" s="20">
        <v>2.6068188249402098E-3</v>
      </c>
    </row>
    <row r="1148" spans="1:4" x14ac:dyDescent="0.5">
      <c r="A1148" s="56" t="s">
        <v>2511</v>
      </c>
      <c r="B1148" s="20">
        <v>2.3734745133574902E-3</v>
      </c>
      <c r="C1148" s="20">
        <v>2.9351765083824202E-3</v>
      </c>
      <c r="D1148" s="20">
        <v>2.40895612429925E-3</v>
      </c>
    </row>
    <row r="1149" spans="1:4" x14ac:dyDescent="0.5">
      <c r="A1149" s="56" t="s">
        <v>2512</v>
      </c>
      <c r="B1149" s="20">
        <v>2.3173587025195402E-3</v>
      </c>
      <c r="C1149" s="20">
        <v>2.7508891178176001E-3</v>
      </c>
      <c r="D1149" s="20">
        <v>2.35010256501988E-3</v>
      </c>
    </row>
    <row r="1150" spans="1:4" x14ac:dyDescent="0.5">
      <c r="A1150" s="56" t="s">
        <v>2513</v>
      </c>
      <c r="B1150" s="20">
        <v>2.0238042952622202E-3</v>
      </c>
      <c r="C1150" s="20">
        <v>2.5551431600055901E-3</v>
      </c>
      <c r="D1150" s="20">
        <v>2.04910546004558E-3</v>
      </c>
    </row>
    <row r="1151" spans="1:4" x14ac:dyDescent="0.5">
      <c r="A1151" s="56" t="s">
        <v>2514</v>
      </c>
      <c r="B1151" s="20">
        <v>1.8117472959502099E-3</v>
      </c>
      <c r="C1151" s="20">
        <v>2.36833384131196E-3</v>
      </c>
      <c r="D1151" s="20">
        <v>1.83021657907718E-3</v>
      </c>
    </row>
    <row r="1152" spans="1:4" x14ac:dyDescent="0.5">
      <c r="A1152" s="56" t="s">
        <v>2515</v>
      </c>
      <c r="B1152" s="20">
        <v>1.6428259561006499E-3</v>
      </c>
      <c r="C1152" s="20">
        <v>2.2336435932677301E-3</v>
      </c>
      <c r="D1152" s="20">
        <v>1.65515149714763E-3</v>
      </c>
    </row>
    <row r="1153" spans="1:4" x14ac:dyDescent="0.5">
      <c r="A1153" s="56" t="s">
        <v>2516</v>
      </c>
      <c r="B1153" s="20">
        <v>1.54142631506071E-3</v>
      </c>
      <c r="C1153" s="20">
        <v>2.125667951101E-3</v>
      </c>
      <c r="D1153" s="20">
        <v>1.5477473058105101E-3</v>
      </c>
    </row>
    <row r="1154" spans="1:4" x14ac:dyDescent="0.5">
      <c r="A1154" s="774" t="s">
        <v>2517</v>
      </c>
      <c r="B1154" s="122">
        <v>1.7440956820136901E-3</v>
      </c>
      <c r="C1154" s="122">
        <v>2.39015545695109E-3</v>
      </c>
      <c r="D1154" s="122">
        <v>1.75370166957221E-3</v>
      </c>
    </row>
    <row r="1155" spans="1:4" x14ac:dyDescent="0.5">
      <c r="A1155" s="774" t="s">
        <v>2518</v>
      </c>
      <c r="B1155" s="122">
        <v>2.0630889713317102E-3</v>
      </c>
      <c r="C1155" s="122">
        <v>2.31994131910724E-3</v>
      </c>
      <c r="D1155" s="122">
        <v>2.0705019125691199E-3</v>
      </c>
    </row>
    <row r="1156" spans="1:4" x14ac:dyDescent="0.5">
      <c r="A1156" s="774" t="s">
        <v>2519</v>
      </c>
      <c r="B1156" s="122">
        <v>1.8439477625055601E-3</v>
      </c>
      <c r="C1156" s="122">
        <v>2.1322871290938498E-3</v>
      </c>
      <c r="D1156" s="122">
        <v>1.8473807685108401E-3</v>
      </c>
    </row>
    <row r="1157" spans="1:4" x14ac:dyDescent="0.5">
      <c r="A1157" s="774" t="s">
        <v>2520</v>
      </c>
      <c r="B1157" s="122">
        <v>1.81452487957241E-3</v>
      </c>
      <c r="C1157" s="122">
        <v>2.7823001808157401E-3</v>
      </c>
      <c r="D1157" s="122">
        <v>1.8153699810227299E-3</v>
      </c>
    </row>
    <row r="1158" spans="1:4" x14ac:dyDescent="0.5">
      <c r="A1158" s="774" t="s">
        <v>2521</v>
      </c>
      <c r="B1158" s="122">
        <v>2.0598381388778398E-3</v>
      </c>
      <c r="C1158" s="122">
        <v>2.65019826887921E-3</v>
      </c>
      <c r="D1158" s="122">
        <v>2.0655372231127402E-3</v>
      </c>
    </row>
    <row r="1159" spans="1:4" x14ac:dyDescent="0.5">
      <c r="A1159" s="774" t="s">
        <v>2522</v>
      </c>
      <c r="B1159" s="122">
        <v>1.99860572102903E-3</v>
      </c>
      <c r="C1159" s="122">
        <v>2.5470742928001599E-3</v>
      </c>
      <c r="D1159" s="122">
        <v>2.0068122907663999E-3</v>
      </c>
    </row>
    <row r="1160" spans="1:4" x14ac:dyDescent="0.5">
      <c r="A1160" s="774" t="s">
        <v>2523</v>
      </c>
      <c r="B1160" s="122">
        <v>1.8676331115287E-3</v>
      </c>
      <c r="C1160" s="122">
        <v>3.2589882948786601E-3</v>
      </c>
      <c r="D1160" s="122">
        <v>1.8711335851069101E-3</v>
      </c>
    </row>
    <row r="1161" spans="1:4" x14ac:dyDescent="0.5">
      <c r="A1161" s="774" t="s">
        <v>2524</v>
      </c>
      <c r="B1161" s="122">
        <v>2.8184476568603599E-3</v>
      </c>
      <c r="C1161" s="122">
        <v>3.1750877114980099E-3</v>
      </c>
      <c r="D1161" s="122">
        <v>2.84492961907447E-3</v>
      </c>
    </row>
    <row r="1162" spans="1:4" x14ac:dyDescent="0.5">
      <c r="A1162" s="774" t="s">
        <v>2525</v>
      </c>
      <c r="B1162" s="122">
        <v>2.4473065248273198E-3</v>
      </c>
      <c r="C1162" s="122">
        <v>2.9508762346632401E-3</v>
      </c>
      <c r="D1162" s="122">
        <v>2.4687286235612399E-3</v>
      </c>
    </row>
    <row r="1163" spans="1:4" x14ac:dyDescent="0.5">
      <c r="A1163" s="774" t="s">
        <v>2526</v>
      </c>
      <c r="B1163" s="122">
        <v>3.2421654954437901E-3</v>
      </c>
      <c r="C1163" s="122">
        <v>2.9895091433429001E-3</v>
      </c>
      <c r="D1163" s="122">
        <v>3.2743349779707298E-3</v>
      </c>
    </row>
    <row r="1164" spans="1:4" x14ac:dyDescent="0.5">
      <c r="A1164" s="774" t="s">
        <v>2527</v>
      </c>
      <c r="B1164" s="122">
        <v>3.5877277663181298E-3</v>
      </c>
      <c r="C1164" s="122">
        <v>2.8931648265997198E-3</v>
      </c>
      <c r="D1164" s="122">
        <v>3.6306029075494298E-3</v>
      </c>
    </row>
    <row r="1165" spans="1:4" x14ac:dyDescent="0.5">
      <c r="A1165" s="774" t="s">
        <v>2528</v>
      </c>
      <c r="B1165" s="122">
        <v>3.4559355810049098E-3</v>
      </c>
      <c r="C1165" s="122">
        <v>2.58103033699528E-3</v>
      </c>
      <c r="D1165" s="122">
        <v>3.4913254773604502E-3</v>
      </c>
    </row>
    <row r="1166" spans="1:4" x14ac:dyDescent="0.5">
      <c r="A1166" s="774" t="s">
        <v>2529</v>
      </c>
      <c r="B1166" s="122">
        <v>4.4000330333652301E-3</v>
      </c>
      <c r="C1166" s="122">
        <v>3.86966924113484E-3</v>
      </c>
      <c r="D1166" s="122">
        <v>4.44804904710531E-3</v>
      </c>
    </row>
    <row r="1167" spans="1:4" x14ac:dyDescent="0.5">
      <c r="A1167" s="774" t="s">
        <v>2530</v>
      </c>
      <c r="B1167" s="122">
        <v>4.2510005603534099E-3</v>
      </c>
      <c r="C1167" s="122">
        <v>3.4369565428666398E-3</v>
      </c>
      <c r="D1167" s="122">
        <v>4.31072530653453E-3</v>
      </c>
    </row>
    <row r="1168" spans="1:4" x14ac:dyDescent="0.5">
      <c r="A1168" s="774" t="s">
        <v>2531</v>
      </c>
      <c r="B1168" s="122">
        <v>3.80385560847402E-3</v>
      </c>
      <c r="C1168" s="122">
        <v>3.43528676242857E-3</v>
      </c>
      <c r="D1168" s="122">
        <v>3.86689794641688E-3</v>
      </c>
    </row>
    <row r="1169" spans="1:4" x14ac:dyDescent="0.5">
      <c r="A1169" s="774" t="s">
        <v>2532</v>
      </c>
      <c r="B1169" s="122">
        <v>3.9275216669964197E-3</v>
      </c>
      <c r="C1169" s="122">
        <v>3.0757704753793099E-3</v>
      </c>
      <c r="D1169" s="122">
        <v>3.9795417641834904E-3</v>
      </c>
    </row>
    <row r="1170" spans="1:4" x14ac:dyDescent="0.5">
      <c r="A1170" s="774" t="s">
        <v>2533</v>
      </c>
      <c r="B1170" s="122">
        <v>3.6323826398721002E-3</v>
      </c>
      <c r="C1170" s="122">
        <v>2.8287170456638699E-3</v>
      </c>
      <c r="D1170" s="122">
        <v>3.6880981074473599E-3</v>
      </c>
    </row>
    <row r="1171" spans="1:4" x14ac:dyDescent="0.5">
      <c r="A1171" s="774" t="s">
        <v>2534</v>
      </c>
      <c r="B1171" s="122">
        <v>3.2991672117706899E-3</v>
      </c>
      <c r="C1171" s="122">
        <v>3.0018912731997098E-3</v>
      </c>
      <c r="D1171" s="122">
        <v>3.3464551705794199E-3</v>
      </c>
    </row>
    <row r="1172" spans="1:4" x14ac:dyDescent="0.5">
      <c r="A1172" s="774" t="s">
        <v>2535</v>
      </c>
      <c r="B1172" s="122">
        <v>2.8976780464300199E-3</v>
      </c>
      <c r="C1172" s="122">
        <v>2.8433629205996199E-3</v>
      </c>
      <c r="D1172" s="122">
        <v>2.9399720319254301E-3</v>
      </c>
    </row>
    <row r="1173" spans="1:4" x14ac:dyDescent="0.5">
      <c r="A1173" s="774" t="s">
        <v>2536</v>
      </c>
      <c r="B1173" s="122">
        <v>2.5029472140285702E-3</v>
      </c>
      <c r="C1173" s="122">
        <v>2.54774202744306E-3</v>
      </c>
      <c r="D1173" s="122">
        <v>2.53783990488651E-3</v>
      </c>
    </row>
    <row r="1174" spans="1:4" x14ac:dyDescent="0.5">
      <c r="A1174" s="774" t="s">
        <v>2537</v>
      </c>
      <c r="B1174" s="122">
        <v>2.1815426457121698E-3</v>
      </c>
      <c r="C1174" s="122">
        <v>2.74516678998159E-3</v>
      </c>
      <c r="D1174" s="122">
        <v>2.2093782940354801E-3</v>
      </c>
    </row>
    <row r="1175" spans="1:4" x14ac:dyDescent="0.5">
      <c r="A1175" s="774" t="s">
        <v>2538</v>
      </c>
      <c r="B1175" s="122">
        <v>2.3131591144026301E-3</v>
      </c>
      <c r="C1175" s="122">
        <v>2.45731673214455E-3</v>
      </c>
      <c r="D1175" s="122">
        <v>2.3374538684677098E-3</v>
      </c>
    </row>
    <row r="1176" spans="1:4" x14ac:dyDescent="0.5">
      <c r="A1176" s="774" t="s">
        <v>2539</v>
      </c>
      <c r="B1176" s="122">
        <v>2.0789602642161198E-3</v>
      </c>
      <c r="C1176" s="122">
        <v>2.22784579811496E-3</v>
      </c>
      <c r="D1176" s="122">
        <v>2.09794892831176E-3</v>
      </c>
    </row>
    <row r="1177" spans="1:4" x14ac:dyDescent="0.5">
      <c r="A1177" s="774" t="s">
        <v>2540</v>
      </c>
      <c r="B1177" s="122">
        <v>1.9149072547021001E-3</v>
      </c>
      <c r="C1177" s="122">
        <v>2.51085985197787E-3</v>
      </c>
      <c r="D1177" s="122">
        <v>1.92974838576602E-3</v>
      </c>
    </row>
    <row r="1178" spans="1:4" x14ac:dyDescent="0.5">
      <c r="A1178" s="774" t="s">
        <v>2541</v>
      </c>
      <c r="B1178" s="122">
        <v>2.1171194731282599E-3</v>
      </c>
      <c r="C1178" s="122">
        <v>2.6881215849700801E-3</v>
      </c>
      <c r="D1178" s="122">
        <v>2.1332752091512502E-3</v>
      </c>
    </row>
    <row r="1179" spans="1:4" x14ac:dyDescent="0.5">
      <c r="A1179" s="774" t="s">
        <v>2542</v>
      </c>
      <c r="B1179" s="122">
        <v>2.0465957831391798E-3</v>
      </c>
      <c r="C1179" s="122">
        <v>2.4021530600350201E-3</v>
      </c>
      <c r="D1179" s="122">
        <v>2.0601744710843301E-3</v>
      </c>
    </row>
    <row r="1180" spans="1:4" x14ac:dyDescent="0.5">
      <c r="A1180" s="774" t="s">
        <v>2543</v>
      </c>
      <c r="B1180" s="122">
        <v>2.5522508807210801E-3</v>
      </c>
      <c r="C1180" s="122">
        <v>2.3462241463005902E-3</v>
      </c>
      <c r="D1180" s="122">
        <v>2.5706713127029699E-3</v>
      </c>
    </row>
    <row r="1181" spans="1:4" x14ac:dyDescent="0.5">
      <c r="A1181" s="774" t="s">
        <v>2544</v>
      </c>
      <c r="B1181" s="122">
        <v>2.3633302884746099E-3</v>
      </c>
      <c r="C1181" s="122">
        <v>2.1150498953631299E-3</v>
      </c>
      <c r="D1181" s="122">
        <v>2.3812628007302502E-3</v>
      </c>
    </row>
    <row r="1182" spans="1:4" x14ac:dyDescent="0.5">
      <c r="A1182" s="774" t="s">
        <v>2545</v>
      </c>
      <c r="B1182" s="122">
        <v>2.12511545428918E-3</v>
      </c>
      <c r="C1182" s="122">
        <v>2.0354069635084302E-3</v>
      </c>
      <c r="D1182" s="122">
        <v>2.1400861911188198E-3</v>
      </c>
    </row>
    <row r="1183" spans="1:4" x14ac:dyDescent="0.5">
      <c r="A1183" s="774" t="s">
        <v>2610</v>
      </c>
      <c r="B1183" s="122">
        <v>2.1026922238612999E-3</v>
      </c>
      <c r="C1183" s="122">
        <v>1.83065572846309E-3</v>
      </c>
      <c r="D1183" s="122">
        <v>2.1165684054325899E-3</v>
      </c>
    </row>
    <row r="1184" spans="1:4" x14ac:dyDescent="0.5">
      <c r="A1184" s="774" t="s">
        <v>2611</v>
      </c>
      <c r="B1184" s="122">
        <v>1.9083196889858401E-3</v>
      </c>
      <c r="C1184" s="122">
        <v>2.0131608963958902E-3</v>
      </c>
      <c r="D1184" s="122">
        <v>1.9184665430995E-3</v>
      </c>
    </row>
    <row r="1185" spans="1:18" x14ac:dyDescent="0.5">
      <c r="A1185" s="774" t="s">
        <v>2676</v>
      </c>
      <c r="B1185" s="122">
        <v>2.0186260922599401E-3</v>
      </c>
      <c r="C1185" s="122">
        <v>1.8187224456979801E-3</v>
      </c>
      <c r="D1185" s="122">
        <v>2.0280518307269702E-3</v>
      </c>
    </row>
    <row r="1186" spans="1:18" x14ac:dyDescent="0.5">
      <c r="A1186" s="774" t="s">
        <v>2677</v>
      </c>
      <c r="B1186" s="122">
        <v>1.90026641502238E-3</v>
      </c>
      <c r="C1186" s="122">
        <v>2.2701819176593301E-3</v>
      </c>
      <c r="D1186" s="122">
        <v>1.90756262515963E-3</v>
      </c>
    </row>
    <row r="1187" spans="1:18" x14ac:dyDescent="0.5">
      <c r="A1187" s="774" t="s">
        <v>2678</v>
      </c>
      <c r="B1187" s="122">
        <v>1.7983672559867699E-3</v>
      </c>
      <c r="C1187" s="122">
        <v>2.4608284235141898E-3</v>
      </c>
      <c r="D1187" s="122">
        <v>1.80273397240278E-3</v>
      </c>
    </row>
    <row r="1188" spans="1:18" x14ac:dyDescent="0.5">
      <c r="A1188" s="774" t="s">
        <v>2803</v>
      </c>
      <c r="B1188" s="122">
        <v>1.5981594723007799E-3</v>
      </c>
      <c r="C1188" s="122">
        <v>2.5746318239124899E-3</v>
      </c>
      <c r="D1188" s="122">
        <v>1.5984252403527101E-3</v>
      </c>
    </row>
    <row r="1189" spans="1:18" x14ac:dyDescent="0.5">
      <c r="A1189" s="774" t="s">
        <v>2804</v>
      </c>
      <c r="B1189" s="122">
        <v>1.46449126003571E-3</v>
      </c>
      <c r="C1189" s="122">
        <v>2.4729330379194801E-3</v>
      </c>
      <c r="D1189" s="122">
        <v>1.4606046995806199E-3</v>
      </c>
    </row>
    <row r="1190" spans="1:18" x14ac:dyDescent="0.5">
      <c r="A1190" s="774" t="s">
        <v>3857</v>
      </c>
      <c r="B1190" s="122">
        <v>1.34586464978554E-3</v>
      </c>
      <c r="C1190" s="122">
        <v>2.5673542439239999E-3</v>
      </c>
      <c r="D1190" s="122">
        <v>1.33821435027562E-3</v>
      </c>
    </row>
    <row r="1191" spans="1:18" x14ac:dyDescent="0.5">
      <c r="A1191" s="774" t="s">
        <v>3858</v>
      </c>
      <c r="B1191" s="122">
        <v>1.26272200963458E-3</v>
      </c>
      <c r="C1191" s="122">
        <v>2.33235772560922E-3</v>
      </c>
      <c r="D1191" s="122">
        <v>1.25255542659422E-3</v>
      </c>
    </row>
    <row r="1192" spans="1:18" x14ac:dyDescent="0.5">
      <c r="A1192" s="774" t="s">
        <v>4420</v>
      </c>
      <c r="B1192" s="122">
        <v>1.49007848784867E-3</v>
      </c>
      <c r="C1192" s="122">
        <v>2.1764115285427899E-3</v>
      </c>
      <c r="D1192" s="122">
        <v>1.47965083628136E-3</v>
      </c>
    </row>
    <row r="1193" spans="1:18" x14ac:dyDescent="0.5">
      <c r="A1193" s="774" t="s">
        <v>4489</v>
      </c>
      <c r="B1193" s="122">
        <v>1.44669434129617E-3</v>
      </c>
      <c r="C1193" s="122">
        <v>2.7597264354045701E-3</v>
      </c>
      <c r="D1193" s="122">
        <v>1.43550204684066E-3</v>
      </c>
    </row>
    <row r="1194" spans="1:18" x14ac:dyDescent="0.5">
      <c r="E1194" s="57"/>
      <c r="F1194" s="57"/>
      <c r="G1194" s="57"/>
      <c r="H1194" s="57"/>
      <c r="I1194" s="57"/>
      <c r="J1194" s="57"/>
      <c r="K1194" s="57"/>
      <c r="L1194" s="57"/>
      <c r="M1194" s="57"/>
      <c r="N1194" s="57"/>
      <c r="O1194" s="57"/>
      <c r="P1194" s="57"/>
      <c r="Q1194" s="57"/>
      <c r="R1194" s="57"/>
    </row>
    <row r="1196" spans="1:18" x14ac:dyDescent="0.5">
      <c r="A1196" s="56" t="s">
        <v>2546</v>
      </c>
      <c r="B1196" s="57">
        <f>AVERAGE(B5:B1193)</f>
        <v>2.7758318228975334E-3</v>
      </c>
      <c r="C1196" s="57">
        <f t="shared" ref="C1196:D1196" si="0">AVERAGE(C5:C1193)</f>
        <v>2.9586156399710947E-3</v>
      </c>
      <c r="D1196" s="57">
        <f t="shared" si="0"/>
        <v>2.8230087531142022E-3</v>
      </c>
      <c r="E1196" s="57"/>
      <c r="F1196" s="57"/>
      <c r="G1196" s="57"/>
      <c r="H1196" s="57"/>
      <c r="I1196" s="57"/>
      <c r="J1196" s="57"/>
      <c r="K1196" s="57"/>
      <c r="L1196" s="57"/>
      <c r="M1196" s="57"/>
      <c r="N1196" s="57"/>
      <c r="O1196" s="57"/>
      <c r="P1196" s="57"/>
      <c r="Q1196" s="57"/>
      <c r="R1196" s="57"/>
    </row>
    <row r="1198" spans="1:18" x14ac:dyDescent="0.5">
      <c r="A1198" s="56" t="s">
        <v>2547</v>
      </c>
      <c r="B1198" s="57">
        <f>B1193</f>
        <v>1.44669434129617E-3</v>
      </c>
      <c r="C1198" s="57">
        <f t="shared" ref="C1198:D1198" si="1">C1193</f>
        <v>2.7597264354045701E-3</v>
      </c>
      <c r="D1198" s="57">
        <f t="shared" si="1"/>
        <v>1.43550204684066E-3</v>
      </c>
    </row>
    <row r="1199" spans="1:18" x14ac:dyDescent="0.5">
      <c r="B1199" s="58"/>
      <c r="C1199" s="58"/>
      <c r="D1199" s="58"/>
    </row>
    <row r="1200" spans="1:18" x14ac:dyDescent="0.5">
      <c r="A1200" s="56" t="s">
        <v>2548</v>
      </c>
      <c r="B1200" s="56">
        <v>3.177702</v>
      </c>
      <c r="C1200" s="56">
        <v>1.507153</v>
      </c>
      <c r="D1200" s="56">
        <v>2.830327</v>
      </c>
      <c r="E1200" s="57"/>
      <c r="F1200" s="57"/>
      <c r="G1200" s="57"/>
      <c r="H1200" s="57"/>
    </row>
    <row r="1201" spans="1:8" x14ac:dyDescent="0.5">
      <c r="B1201" s="57"/>
      <c r="C1201" s="57"/>
      <c r="D1201" s="57"/>
    </row>
    <row r="1202" spans="1:8" x14ac:dyDescent="0.5">
      <c r="A1202" s="56" t="s">
        <v>2549</v>
      </c>
      <c r="B1202" s="57">
        <f>(1+(B1200*B1196))^12-1</f>
        <v>0.11113841372477018</v>
      </c>
      <c r="C1202" s="57">
        <f>(1+(C1200*C1196))^12-1</f>
        <v>5.4841047823493971E-2</v>
      </c>
      <c r="D1202" s="57">
        <f>(1+(D1200*D1196))^12-1</f>
        <v>0.10020820450677204</v>
      </c>
      <c r="E1202" s="57"/>
      <c r="F1202" s="57"/>
      <c r="G1202" s="57"/>
      <c r="H1202" s="57"/>
    </row>
    <row r="1204" spans="1:8" x14ac:dyDescent="0.5">
      <c r="A1204" s="56" t="s">
        <v>2550</v>
      </c>
      <c r="B1204" s="57">
        <f>(1+(B1200*B1198))^12-1</f>
        <v>5.6582397283864827E-2</v>
      </c>
      <c r="C1204" s="57">
        <f>(1+(C1200*C1198))^12-1</f>
        <v>5.106974099506556E-2</v>
      </c>
      <c r="D1204" s="57">
        <f>(1+(D1200*D1198))^12-1</f>
        <v>4.9859667232909688E-2</v>
      </c>
      <c r="E1204" s="58"/>
      <c r="F1204" s="58"/>
      <c r="G1204" s="58"/>
      <c r="H1204" s="58"/>
    </row>
    <row r="1206" spans="1:8" x14ac:dyDescent="0.5">
      <c r="A1206" s="56" t="s">
        <v>2551</v>
      </c>
      <c r="B1206" s="58">
        <f>AVERAGE(B1202:B1204)</f>
        <v>8.3860405504317503E-2</v>
      </c>
      <c r="C1206" s="58">
        <f>AVERAGE(C1202:C1204)</f>
        <v>5.2955394409279766E-2</v>
      </c>
      <c r="D1206" s="58">
        <f>AVERAGE(D1202:D1204)</f>
        <v>7.5033935869840862E-2</v>
      </c>
    </row>
    <row r="1208" spans="1:8" x14ac:dyDescent="0.5">
      <c r="A1208" s="56" t="s">
        <v>3807</v>
      </c>
      <c r="B1208" s="180">
        <f>DATE(LEFT(A1193, 4), RIGHT(A1193, 2), 1)</f>
        <v>45658</v>
      </c>
    </row>
  </sheetData>
  <phoneticPr fontId="39" type="noConversion"/>
  <pageMargins left="0.7" right="0.7" top="0.75" bottom="0.75" header="0.3" footer="0.3"/>
  <pageSetup scale="34" orientation="portrait" r:id="rId1"/>
  <rowBreaks count="1" manualBreakCount="1">
    <brk id="1062" max="1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0F27E-582D-4E10-932E-20A88D79F799}">
  <sheetPr codeName="Sheet52"/>
  <dimension ref="A1:K1191"/>
  <sheetViews>
    <sheetView zoomScale="80" zoomScaleNormal="80" workbookViewId="0">
      <pane xSplit="1" ySplit="2" topLeftCell="B1166" activePane="bottomRight" state="frozen"/>
      <selection activeCell="A1193" sqref="A1193"/>
      <selection pane="topRight" activeCell="A1193" sqref="A1193"/>
      <selection pane="bottomLeft" activeCell="A1193" sqref="A1193"/>
      <selection pane="bottomRight" activeCell="A1193" sqref="A1193"/>
    </sheetView>
  </sheetViews>
  <sheetFormatPr defaultColWidth="9.9453125" defaultRowHeight="14.4" x14ac:dyDescent="0.55000000000000004"/>
  <cols>
    <col min="1" max="1" width="14.3671875" style="294" bestFit="1" customWidth="1"/>
    <col min="2" max="2" width="16.734375" style="1366" customWidth="1"/>
    <col min="3" max="3" width="13.5234375" style="1366" customWidth="1"/>
    <col min="4" max="4" width="14.20703125" style="1366" bestFit="1" customWidth="1"/>
    <col min="5" max="6" width="11.47265625" style="1366" customWidth="1"/>
    <col min="7" max="7" width="16.578125" style="1366" bestFit="1" customWidth="1"/>
    <col min="8" max="8" width="11.47265625" style="1366" customWidth="1"/>
    <col min="9" max="11" width="11.734375" style="1366" bestFit="1" customWidth="1"/>
    <col min="12" max="16384" width="9.9453125" style="294"/>
  </cols>
  <sheetData>
    <row r="1" spans="1:11" ht="24.9" x14ac:dyDescent="0.8">
      <c r="B1" s="5"/>
      <c r="I1" s="1482"/>
      <c r="J1" s="1482"/>
    </row>
    <row r="2" spans="1:11" ht="28.8" x14ac:dyDescent="0.55000000000000004">
      <c r="B2" s="1366" t="s">
        <v>1100</v>
      </c>
      <c r="C2" s="1366" t="s">
        <v>1101</v>
      </c>
      <c r="D2" s="1366" t="s">
        <v>1102</v>
      </c>
      <c r="E2" s="1366" t="s">
        <v>1103</v>
      </c>
      <c r="F2" s="1366" t="s">
        <v>1104</v>
      </c>
      <c r="G2" s="1369" t="s">
        <v>1105</v>
      </c>
      <c r="H2" s="1366" t="s">
        <v>1106</v>
      </c>
      <c r="I2" s="1366" t="s">
        <v>1107</v>
      </c>
      <c r="J2" s="1366" t="s">
        <v>1108</v>
      </c>
      <c r="K2" s="1366" t="s">
        <v>1109</v>
      </c>
    </row>
    <row r="3" spans="1:11" x14ac:dyDescent="0.55000000000000004">
      <c r="A3" s="295">
        <v>9498</v>
      </c>
      <c r="B3" s="7">
        <v>0</v>
      </c>
      <c r="D3" s="1366">
        <v>3.0999999999999999E-3</v>
      </c>
    </row>
    <row r="4" spans="1:11" x14ac:dyDescent="0.55000000000000004">
      <c r="A4" s="295">
        <v>9529</v>
      </c>
      <c r="B4" s="7">
        <v>-3.85E-2</v>
      </c>
      <c r="D4" s="1366">
        <v>2.8E-3</v>
      </c>
      <c r="I4" s="1366">
        <f t="shared" ref="I4:I67" si="0">B4-D4</f>
        <v>-4.1299999999999996E-2</v>
      </c>
    </row>
    <row r="5" spans="1:11" x14ac:dyDescent="0.55000000000000004">
      <c r="A5" s="295">
        <v>9557</v>
      </c>
      <c r="B5" s="7">
        <v>-5.7500000000000002E-2</v>
      </c>
      <c r="D5" s="1366">
        <v>3.2000000000000002E-3</v>
      </c>
      <c r="I5" s="1366">
        <f t="shared" si="0"/>
        <v>-6.0700000000000004E-2</v>
      </c>
    </row>
    <row r="6" spans="1:11" x14ac:dyDescent="0.55000000000000004">
      <c r="A6" s="295">
        <v>9588</v>
      </c>
      <c r="B6" s="7">
        <v>2.53E-2</v>
      </c>
      <c r="D6" s="1366">
        <v>3.0000000000000001E-3</v>
      </c>
      <c r="I6" s="1366">
        <f t="shared" si="0"/>
        <v>2.23E-2</v>
      </c>
    </row>
    <row r="7" spans="1:11" x14ac:dyDescent="0.55000000000000004">
      <c r="A7" s="295">
        <v>9618</v>
      </c>
      <c r="B7" s="7">
        <v>1.7899999999999999E-2</v>
      </c>
      <c r="D7" s="1366">
        <v>2.8E-3</v>
      </c>
      <c r="I7" s="1366">
        <f t="shared" si="0"/>
        <v>1.5099999999999999E-2</v>
      </c>
    </row>
    <row r="8" spans="1:11" x14ac:dyDescent="0.55000000000000004">
      <c r="A8" s="295">
        <v>9649</v>
      </c>
      <c r="B8" s="7">
        <v>4.5699999999999998E-2</v>
      </c>
      <c r="D8" s="1366">
        <v>3.3E-3</v>
      </c>
      <c r="I8" s="1366">
        <f t="shared" si="0"/>
        <v>4.24E-2</v>
      </c>
    </row>
    <row r="9" spans="1:11" x14ac:dyDescent="0.55000000000000004">
      <c r="A9" s="295">
        <v>9679</v>
      </c>
      <c r="B9" s="7">
        <v>4.7899999999999998E-2</v>
      </c>
      <c r="D9" s="1366">
        <v>3.0999999999999999E-3</v>
      </c>
      <c r="I9" s="1366">
        <f t="shared" si="0"/>
        <v>4.48E-2</v>
      </c>
    </row>
    <row r="10" spans="1:11" x14ac:dyDescent="0.55000000000000004">
      <c r="A10" s="295">
        <v>9710</v>
      </c>
      <c r="B10" s="7">
        <v>2.4799999999999999E-2</v>
      </c>
      <c r="D10" s="1366">
        <v>3.0999999999999999E-3</v>
      </c>
      <c r="I10" s="1366">
        <f t="shared" si="0"/>
        <v>2.1700000000000001E-2</v>
      </c>
    </row>
    <row r="11" spans="1:11" x14ac:dyDescent="0.55000000000000004">
      <c r="A11" s="295">
        <v>9741</v>
      </c>
      <c r="B11" s="7">
        <v>2.52E-2</v>
      </c>
      <c r="D11" s="1366">
        <v>3.0000000000000001E-3</v>
      </c>
      <c r="I11" s="1366">
        <f t="shared" si="0"/>
        <v>2.2200000000000001E-2</v>
      </c>
    </row>
    <row r="12" spans="1:11" x14ac:dyDescent="0.55000000000000004">
      <c r="A12" s="295">
        <v>9771</v>
      </c>
      <c r="B12" s="7">
        <v>-2.8400000000000002E-2</v>
      </c>
      <c r="D12" s="1366">
        <v>3.0000000000000001E-3</v>
      </c>
      <c r="I12" s="1366">
        <f t="shared" si="0"/>
        <v>-3.1400000000000004E-2</v>
      </c>
    </row>
    <row r="13" spans="1:11" x14ac:dyDescent="0.55000000000000004">
      <c r="A13" s="295">
        <v>9802</v>
      </c>
      <c r="B13" s="7">
        <v>3.4700000000000002E-2</v>
      </c>
      <c r="D13" s="1366">
        <v>3.0999999999999999E-3</v>
      </c>
      <c r="I13" s="1366">
        <f t="shared" si="0"/>
        <v>3.1600000000000003E-2</v>
      </c>
    </row>
    <row r="14" spans="1:11" x14ac:dyDescent="0.55000000000000004">
      <c r="A14" s="295">
        <v>9832</v>
      </c>
      <c r="B14" s="7">
        <v>1.9599999999999999E-2</v>
      </c>
      <c r="D14" s="1366">
        <v>3.0000000000000001E-3</v>
      </c>
      <c r="I14" s="1366">
        <f t="shared" si="0"/>
        <v>1.66E-2</v>
      </c>
    </row>
    <row r="15" spans="1:11" x14ac:dyDescent="0.55000000000000004">
      <c r="A15" s="295">
        <v>9863</v>
      </c>
      <c r="B15" s="7">
        <v>-1.9300000000000001E-2</v>
      </c>
      <c r="D15" s="1366">
        <v>3.0000000000000001E-3</v>
      </c>
      <c r="I15" s="1366">
        <f t="shared" si="0"/>
        <v>-2.23E-2</v>
      </c>
    </row>
    <row r="16" spans="1:11" x14ac:dyDescent="0.55000000000000004">
      <c r="A16" s="295">
        <v>9894</v>
      </c>
      <c r="B16" s="7">
        <v>5.3699999999999998E-2</v>
      </c>
      <c r="D16" s="1366">
        <v>2.7000000000000001E-3</v>
      </c>
      <c r="I16" s="1366">
        <f t="shared" si="0"/>
        <v>5.0999999999999997E-2</v>
      </c>
    </row>
    <row r="17" spans="1:11" x14ac:dyDescent="0.55000000000000004">
      <c r="A17" s="295">
        <v>9922</v>
      </c>
      <c r="B17" s="7">
        <v>8.6999999999999994E-3</v>
      </c>
      <c r="D17" s="1366">
        <v>2.8999999999999998E-3</v>
      </c>
      <c r="I17" s="1366">
        <f t="shared" si="0"/>
        <v>5.7999999999999996E-3</v>
      </c>
    </row>
    <row r="18" spans="1:11" x14ac:dyDescent="0.55000000000000004">
      <c r="A18" s="295">
        <v>9953</v>
      </c>
      <c r="B18" s="7">
        <v>2.01E-2</v>
      </c>
      <c r="D18" s="1366">
        <v>2.7000000000000001E-3</v>
      </c>
      <c r="I18" s="1366">
        <f t="shared" si="0"/>
        <v>1.7399999999999999E-2</v>
      </c>
    </row>
    <row r="19" spans="1:11" x14ac:dyDescent="0.55000000000000004">
      <c r="A19" s="295">
        <v>9983</v>
      </c>
      <c r="B19" s="7">
        <v>6.0699999999999997E-2</v>
      </c>
      <c r="D19" s="1366">
        <v>2.7999999999999995E-3</v>
      </c>
      <c r="I19" s="1366">
        <f t="shared" si="0"/>
        <v>5.79E-2</v>
      </c>
    </row>
    <row r="20" spans="1:11" x14ac:dyDescent="0.55000000000000004">
      <c r="A20" s="295">
        <v>10014</v>
      </c>
      <c r="B20" s="7">
        <v>-6.7000000000000002E-3</v>
      </c>
      <c r="D20" s="1366">
        <v>2.7000000000000001E-3</v>
      </c>
      <c r="I20" s="1366">
        <f t="shared" si="0"/>
        <v>-9.4000000000000004E-3</v>
      </c>
    </row>
    <row r="21" spans="1:11" x14ac:dyDescent="0.55000000000000004">
      <c r="A21" s="295">
        <v>10044</v>
      </c>
      <c r="B21" s="7">
        <v>6.7000000000000004E-2</v>
      </c>
      <c r="D21" s="1366">
        <v>2.7000000000000001E-3</v>
      </c>
      <c r="I21" s="1366">
        <f t="shared" si="0"/>
        <v>6.430000000000001E-2</v>
      </c>
    </row>
    <row r="22" spans="1:11" x14ac:dyDescent="0.55000000000000004">
      <c r="A22" s="295">
        <v>10075</v>
      </c>
      <c r="B22" s="7">
        <v>5.1499999999999997E-2</v>
      </c>
      <c r="D22" s="1366">
        <v>2.8999999999999998E-3</v>
      </c>
      <c r="I22" s="1366">
        <f t="shared" si="0"/>
        <v>4.8599999999999997E-2</v>
      </c>
    </row>
    <row r="23" spans="1:11" x14ac:dyDescent="0.55000000000000004">
      <c r="A23" s="295">
        <v>10106</v>
      </c>
      <c r="B23" s="7">
        <v>4.4999999999999998E-2</v>
      </c>
      <c r="D23" s="1366">
        <v>2.7000000000000001E-3</v>
      </c>
      <c r="I23" s="1366">
        <f t="shared" si="0"/>
        <v>4.2299999999999997E-2</v>
      </c>
    </row>
    <row r="24" spans="1:11" x14ac:dyDescent="0.55000000000000004">
      <c r="A24" s="295">
        <v>10136</v>
      </c>
      <c r="B24" s="7">
        <v>-5.0200000000000002E-2</v>
      </c>
      <c r="D24" s="1366">
        <v>2.7999999999999995E-3</v>
      </c>
      <c r="I24" s="1366">
        <f t="shared" si="0"/>
        <v>-5.2999999999999999E-2</v>
      </c>
    </row>
    <row r="25" spans="1:11" x14ac:dyDescent="0.55000000000000004">
      <c r="A25" s="295">
        <v>10167</v>
      </c>
      <c r="B25" s="7">
        <v>7.2099999999999997E-2</v>
      </c>
      <c r="D25" s="1366">
        <v>2.7000000000000001E-3</v>
      </c>
      <c r="I25" s="1366">
        <f t="shared" si="0"/>
        <v>6.9400000000000003E-2</v>
      </c>
    </row>
    <row r="26" spans="1:11" x14ac:dyDescent="0.55000000000000004">
      <c r="A26" s="295">
        <v>10197</v>
      </c>
      <c r="B26" s="7">
        <v>2.7900000000000001E-2</v>
      </c>
      <c r="D26" s="1366">
        <v>2.7000000000000001E-3</v>
      </c>
      <c r="I26" s="1366">
        <f t="shared" si="0"/>
        <v>2.52E-2</v>
      </c>
    </row>
    <row r="27" spans="1:11" x14ac:dyDescent="0.55000000000000004">
      <c r="A27" s="295">
        <v>10228</v>
      </c>
      <c r="B27" s="7">
        <v>-4.0000000000000001E-3</v>
      </c>
      <c r="C27" s="1366">
        <v>3.7499999999999999E-2</v>
      </c>
      <c r="D27" s="1366">
        <v>2.7000000000000001E-3</v>
      </c>
      <c r="E27" s="1366">
        <v>3.7166666666666663E-3</v>
      </c>
      <c r="F27" s="5">
        <v>3.8416666666666673E-3</v>
      </c>
      <c r="G27" s="5">
        <v>3.7791666666666668E-3</v>
      </c>
      <c r="H27" s="1366">
        <v>4.0416666666666665E-3</v>
      </c>
      <c r="I27" s="1366">
        <f t="shared" si="0"/>
        <v>-6.7000000000000002E-3</v>
      </c>
      <c r="J27" s="1366">
        <f t="shared" ref="J27:J90" si="1">B27-G27</f>
        <v>-7.7791666666666669E-3</v>
      </c>
      <c r="K27" s="1366">
        <f t="shared" ref="K27:K90" si="2">$C27-H27</f>
        <v>3.3458333333333333E-2</v>
      </c>
    </row>
    <row r="28" spans="1:11" x14ac:dyDescent="0.55000000000000004">
      <c r="A28" s="295">
        <v>10259</v>
      </c>
      <c r="B28" s="7">
        <v>-1.2500000000000001E-2</v>
      </c>
      <c r="C28" s="1366">
        <v>-8.0000000000000002E-3</v>
      </c>
      <c r="D28" s="1366">
        <v>2.5000000000000001E-3</v>
      </c>
      <c r="E28" s="1366">
        <v>3.7166666666666663E-3</v>
      </c>
      <c r="F28" s="5">
        <v>3.8416666666666673E-3</v>
      </c>
      <c r="G28" s="5">
        <v>3.7791666666666668E-3</v>
      </c>
      <c r="H28" s="1366">
        <v>4.0416666666666665E-3</v>
      </c>
      <c r="I28" s="1366">
        <f t="shared" si="0"/>
        <v>-1.5000000000000001E-2</v>
      </c>
      <c r="J28" s="1366">
        <f t="shared" si="1"/>
        <v>-1.6279166666666667E-2</v>
      </c>
      <c r="K28" s="1366">
        <f t="shared" si="2"/>
        <v>-1.2041666666666666E-2</v>
      </c>
    </row>
    <row r="29" spans="1:11" x14ac:dyDescent="0.55000000000000004">
      <c r="A29" s="295">
        <v>10288</v>
      </c>
      <c r="B29" s="7">
        <v>0.1101</v>
      </c>
      <c r="C29" s="1366">
        <v>7.2299999999999989E-2</v>
      </c>
      <c r="D29" s="1366">
        <v>2.7000000000000001E-3</v>
      </c>
      <c r="E29" s="1366">
        <v>3.7166666666666663E-3</v>
      </c>
      <c r="F29" s="5">
        <v>3.8250000000000003E-3</v>
      </c>
      <c r="G29" s="5">
        <v>3.7708333333333331E-3</v>
      </c>
      <c r="H29" s="1366">
        <v>4.0166666666666666E-3</v>
      </c>
      <c r="I29" s="1366">
        <f t="shared" si="0"/>
        <v>0.10740000000000001</v>
      </c>
      <c r="J29" s="1366">
        <f t="shared" si="1"/>
        <v>0.10632916666666667</v>
      </c>
      <c r="K29" s="1366">
        <f t="shared" si="2"/>
        <v>6.8283333333333321E-2</v>
      </c>
    </row>
    <row r="30" spans="1:11" x14ac:dyDescent="0.55000000000000004">
      <c r="A30" s="295">
        <v>10319</v>
      </c>
      <c r="B30" s="7">
        <v>3.4500000000000003E-2</v>
      </c>
      <c r="C30" s="1366">
        <v>9.8600000000000007E-2</v>
      </c>
      <c r="D30" s="1366">
        <v>2.5999999999999999E-3</v>
      </c>
      <c r="E30" s="1366">
        <v>3.7166666666666663E-3</v>
      </c>
      <c r="F30" s="5">
        <v>3.8333333333333331E-3</v>
      </c>
      <c r="G30" s="5">
        <v>3.7749999999999993E-3</v>
      </c>
      <c r="H30" s="1366">
        <v>4.0166666666666666E-3</v>
      </c>
      <c r="I30" s="1366">
        <f t="shared" si="0"/>
        <v>3.1900000000000005E-2</v>
      </c>
      <c r="J30" s="1366">
        <f t="shared" si="1"/>
        <v>3.0725000000000002E-2</v>
      </c>
      <c r="K30" s="1366">
        <f t="shared" si="2"/>
        <v>9.4583333333333339E-2</v>
      </c>
    </row>
    <row r="31" spans="1:11" x14ac:dyDescent="0.55000000000000004">
      <c r="A31" s="295">
        <v>10349</v>
      </c>
      <c r="B31" s="7">
        <v>1.9699999999999999E-2</v>
      </c>
      <c r="C31" s="1366">
        <v>2.0799999999999999E-2</v>
      </c>
      <c r="D31" s="1366">
        <v>2.7000000000000001E-3</v>
      </c>
      <c r="E31" s="1366">
        <v>3.741666666666667E-3</v>
      </c>
      <c r="F31" s="5">
        <v>3.8666666666666667E-3</v>
      </c>
      <c r="G31" s="5">
        <v>3.8041666666666666E-3</v>
      </c>
      <c r="H31" s="1366">
        <v>4.0583333333333331E-3</v>
      </c>
      <c r="I31" s="1366">
        <f t="shared" si="0"/>
        <v>1.6999999999999998E-2</v>
      </c>
      <c r="J31" s="1366">
        <f t="shared" si="1"/>
        <v>1.5895833333333331E-2</v>
      </c>
      <c r="K31" s="1366">
        <f t="shared" si="2"/>
        <v>1.6741666666666665E-2</v>
      </c>
    </row>
    <row r="32" spans="1:11" x14ac:dyDescent="0.55000000000000004">
      <c r="A32" s="295">
        <v>10380</v>
      </c>
      <c r="B32" s="7">
        <v>-3.85E-2</v>
      </c>
      <c r="C32" s="1366">
        <v>-4.0099999999999997E-2</v>
      </c>
      <c r="D32" s="1366">
        <v>2.7000000000000001E-3</v>
      </c>
      <c r="E32" s="1366">
        <v>3.8083333333333337E-3</v>
      </c>
      <c r="F32" s="5">
        <v>3.9583333333333328E-3</v>
      </c>
      <c r="G32" s="5">
        <v>3.8833333333333333E-3</v>
      </c>
      <c r="H32" s="1366">
        <v>4.1583333333333333E-3</v>
      </c>
      <c r="I32" s="1366">
        <f t="shared" si="0"/>
        <v>-4.1200000000000001E-2</v>
      </c>
      <c r="J32" s="1366">
        <f t="shared" si="1"/>
        <v>-4.2383333333333335E-2</v>
      </c>
      <c r="K32" s="1366">
        <f t="shared" si="2"/>
        <v>-4.425833333333333E-2</v>
      </c>
    </row>
    <row r="33" spans="1:11" x14ac:dyDescent="0.55000000000000004">
      <c r="A33" s="295">
        <v>10410</v>
      </c>
      <c r="B33" s="7">
        <v>1.41E-2</v>
      </c>
      <c r="C33" s="1366">
        <v>-7.6000000000000009E-3</v>
      </c>
      <c r="D33" s="1366">
        <v>2.7000000000000001E-3</v>
      </c>
      <c r="E33" s="1366">
        <v>3.8416666666666673E-3</v>
      </c>
      <c r="F33" s="5">
        <v>3.9916666666666668E-3</v>
      </c>
      <c r="G33" s="5">
        <v>3.9166666666666673E-3</v>
      </c>
      <c r="H33" s="1366">
        <v>4.1999999999999997E-3</v>
      </c>
      <c r="I33" s="1366">
        <f t="shared" si="0"/>
        <v>1.14E-2</v>
      </c>
      <c r="J33" s="1366">
        <f t="shared" si="1"/>
        <v>1.0183333333333332E-2</v>
      </c>
      <c r="K33" s="1366">
        <f t="shared" si="2"/>
        <v>-1.1800000000000001E-2</v>
      </c>
    </row>
    <row r="34" spans="1:11" x14ac:dyDescent="0.55000000000000004">
      <c r="A34" s="295">
        <v>10441</v>
      </c>
      <c r="B34" s="7">
        <v>8.0299999999999996E-2</v>
      </c>
      <c r="C34" s="1366">
        <v>6.8199999999999997E-2</v>
      </c>
      <c r="D34" s="1366">
        <v>2.8999999999999998E-3</v>
      </c>
      <c r="E34" s="1366">
        <v>3.8666666666666667E-3</v>
      </c>
      <c r="F34" s="5">
        <v>4.0166666666666666E-3</v>
      </c>
      <c r="G34" s="5">
        <v>3.9416666666666662E-3</v>
      </c>
      <c r="H34" s="1366">
        <v>4.2333333333333337E-3</v>
      </c>
      <c r="I34" s="1366">
        <f t="shared" si="0"/>
        <v>7.7399999999999997E-2</v>
      </c>
      <c r="J34" s="1366">
        <f t="shared" si="1"/>
        <v>7.6358333333333334E-2</v>
      </c>
      <c r="K34" s="1366">
        <f t="shared" si="2"/>
        <v>6.3966666666666658E-2</v>
      </c>
    </row>
    <row r="35" spans="1:11" x14ac:dyDescent="0.55000000000000004">
      <c r="A35" s="295">
        <v>10472</v>
      </c>
      <c r="B35" s="7">
        <v>2.5899999999999999E-2</v>
      </c>
      <c r="C35" s="1366">
        <v>2.87E-2</v>
      </c>
      <c r="D35" s="1366">
        <v>2.7000000000000001E-3</v>
      </c>
      <c r="E35" s="1366">
        <v>3.8416666666666673E-3</v>
      </c>
      <c r="F35" s="5">
        <v>3.9916666666666668E-3</v>
      </c>
      <c r="G35" s="5">
        <v>3.9166666666666673E-3</v>
      </c>
      <c r="H35" s="1366">
        <v>4.208333333333333E-3</v>
      </c>
      <c r="I35" s="1366">
        <f t="shared" si="0"/>
        <v>2.3199999999999998E-2</v>
      </c>
      <c r="J35" s="1366">
        <f t="shared" si="1"/>
        <v>2.1983333333333334E-2</v>
      </c>
      <c r="K35" s="1366">
        <f t="shared" si="2"/>
        <v>2.4491666666666669E-2</v>
      </c>
    </row>
    <row r="36" spans="1:11" x14ac:dyDescent="0.55000000000000004">
      <c r="A36" s="295">
        <v>10502</v>
      </c>
      <c r="B36" s="7">
        <v>1.6799999999999999E-2</v>
      </c>
      <c r="C36" s="1366">
        <v>-9.1999999999999998E-3</v>
      </c>
      <c r="D36" s="1366">
        <v>3.0000000000000001E-3</v>
      </c>
      <c r="E36" s="1366">
        <v>3.8416666666666673E-3</v>
      </c>
      <c r="F36" s="5">
        <v>3.9833333333333335E-3</v>
      </c>
      <c r="G36" s="5">
        <v>3.9125000000000002E-3</v>
      </c>
      <c r="H36" s="1366">
        <v>4.1583333333333333E-3</v>
      </c>
      <c r="I36" s="1366">
        <f t="shared" si="0"/>
        <v>1.38E-2</v>
      </c>
      <c r="J36" s="1366">
        <f t="shared" si="1"/>
        <v>1.28875E-2</v>
      </c>
      <c r="K36" s="1366">
        <f t="shared" si="2"/>
        <v>-1.3358333333333333E-2</v>
      </c>
    </row>
    <row r="37" spans="1:11" x14ac:dyDescent="0.55000000000000004">
      <c r="A37" s="295">
        <v>10533</v>
      </c>
      <c r="B37" s="7">
        <v>0.12920000000000001</v>
      </c>
      <c r="C37" s="1366">
        <v>0.2147</v>
      </c>
      <c r="D37" s="1366">
        <v>2.7000000000000001E-3</v>
      </c>
      <c r="E37" s="1366">
        <v>3.8166666666666666E-3</v>
      </c>
      <c r="F37" s="5">
        <v>3.933333333333333E-3</v>
      </c>
      <c r="G37" s="5">
        <v>3.8749999999999995E-3</v>
      </c>
      <c r="H37" s="1366">
        <v>4.15E-3</v>
      </c>
      <c r="I37" s="1366">
        <f t="shared" si="0"/>
        <v>0.1265</v>
      </c>
      <c r="J37" s="1366">
        <f t="shared" si="1"/>
        <v>0.12532500000000002</v>
      </c>
      <c r="K37" s="1366">
        <f t="shared" si="2"/>
        <v>0.21055000000000001</v>
      </c>
    </row>
    <row r="38" spans="1:11" x14ac:dyDescent="0.55000000000000004">
      <c r="A38" s="295">
        <v>10563</v>
      </c>
      <c r="B38" s="7">
        <v>4.8999999999999998E-3</v>
      </c>
      <c r="C38" s="1366">
        <v>0.01</v>
      </c>
      <c r="D38" s="1366">
        <v>2.8999999999999998E-3</v>
      </c>
      <c r="E38" s="1366">
        <v>3.8416666666666673E-3</v>
      </c>
      <c r="F38" s="5">
        <v>3.9749999999999994E-3</v>
      </c>
      <c r="G38" s="5">
        <v>3.908333333333334E-3</v>
      </c>
      <c r="H38" s="1366">
        <v>4.208333333333333E-3</v>
      </c>
      <c r="I38" s="1366">
        <f t="shared" si="0"/>
        <v>2E-3</v>
      </c>
      <c r="J38" s="1366">
        <f t="shared" si="1"/>
        <v>9.9166666666666587E-4</v>
      </c>
      <c r="K38" s="1366">
        <f t="shared" si="2"/>
        <v>5.7916666666666672E-3</v>
      </c>
    </row>
    <row r="39" spans="1:11" x14ac:dyDescent="0.55000000000000004">
      <c r="A39" s="295">
        <v>10594</v>
      </c>
      <c r="B39" s="7">
        <v>5.8299999999999998E-2</v>
      </c>
      <c r="C39" s="1366">
        <v>0.13250000000000001</v>
      </c>
      <c r="D39" s="1366">
        <v>2.8999999999999998E-3</v>
      </c>
      <c r="E39" s="1366">
        <v>3.8500000000000001E-3</v>
      </c>
      <c r="F39" s="5">
        <v>3.9916666666666668E-3</v>
      </c>
      <c r="G39" s="5">
        <v>3.9208333333333335E-3</v>
      </c>
      <c r="H39" s="1366">
        <v>4.208333333333333E-3</v>
      </c>
      <c r="I39" s="1366">
        <f t="shared" si="0"/>
        <v>5.5399999999999998E-2</v>
      </c>
      <c r="J39" s="1366">
        <f t="shared" si="1"/>
        <v>5.4379166666666666E-2</v>
      </c>
      <c r="K39" s="1366">
        <f t="shared" si="2"/>
        <v>0.12829166666666666</v>
      </c>
    </row>
    <row r="40" spans="1:11" x14ac:dyDescent="0.55000000000000004">
      <c r="A40" s="295">
        <v>10625</v>
      </c>
      <c r="B40" s="7">
        <v>-1.9E-3</v>
      </c>
      <c r="C40" s="1366">
        <v>-2.3199999999999998E-2</v>
      </c>
      <c r="D40" s="1366">
        <v>2.7000000000000001E-3</v>
      </c>
      <c r="E40" s="1366">
        <v>3.8833333333333337E-3</v>
      </c>
      <c r="F40" s="5">
        <v>4.0500000000000006E-3</v>
      </c>
      <c r="G40" s="5">
        <v>3.966666666666667E-3</v>
      </c>
      <c r="H40" s="1366">
        <v>4.2500000000000003E-3</v>
      </c>
      <c r="I40" s="1366">
        <f t="shared" si="0"/>
        <v>-4.5999999999999999E-3</v>
      </c>
      <c r="J40" s="1366">
        <f t="shared" si="1"/>
        <v>-5.8666666666666667E-3</v>
      </c>
      <c r="K40" s="1366">
        <f t="shared" si="2"/>
        <v>-2.7449999999999999E-2</v>
      </c>
    </row>
    <row r="41" spans="1:11" x14ac:dyDescent="0.55000000000000004">
      <c r="A41" s="295">
        <v>10653</v>
      </c>
      <c r="B41" s="7">
        <v>-1.1999999999999999E-3</v>
      </c>
      <c r="C41" s="1366">
        <v>-1.1000000000000001E-2</v>
      </c>
      <c r="D41" s="1366">
        <v>2.7999999999999995E-3</v>
      </c>
      <c r="E41" s="1366">
        <v>3.9166666666666664E-3</v>
      </c>
      <c r="F41" s="5">
        <v>4.0999999999999995E-3</v>
      </c>
      <c r="G41" s="5">
        <v>4.0083333333333334E-3</v>
      </c>
      <c r="H41" s="1366">
        <v>4.2833333333333326E-3</v>
      </c>
      <c r="I41" s="1366">
        <f t="shared" si="0"/>
        <v>-3.9999999999999992E-3</v>
      </c>
      <c r="J41" s="1366">
        <f t="shared" si="1"/>
        <v>-5.208333333333333E-3</v>
      </c>
      <c r="K41" s="1366">
        <f t="shared" si="2"/>
        <v>-1.5283333333333333E-2</v>
      </c>
    </row>
    <row r="42" spans="1:11" x14ac:dyDescent="0.55000000000000004">
      <c r="A42" s="295">
        <v>10684</v>
      </c>
      <c r="B42" s="7">
        <v>1.7600000000000001E-2</v>
      </c>
      <c r="C42" s="1366">
        <v>3.4700000000000002E-2</v>
      </c>
      <c r="D42" s="1366">
        <v>3.3999999999999998E-3</v>
      </c>
      <c r="E42" s="1366">
        <v>3.908333333333334E-3</v>
      </c>
      <c r="F42" s="5">
        <v>4.0916666666666671E-3</v>
      </c>
      <c r="G42" s="5">
        <v>4.0000000000000001E-3</v>
      </c>
      <c r="H42" s="1366">
        <v>4.2833333333333326E-3</v>
      </c>
      <c r="I42" s="1366">
        <f t="shared" si="0"/>
        <v>1.4200000000000001E-2</v>
      </c>
      <c r="J42" s="1366">
        <f t="shared" si="1"/>
        <v>1.3600000000000001E-2</v>
      </c>
      <c r="K42" s="1366">
        <f t="shared" si="2"/>
        <v>3.0416666666666668E-2</v>
      </c>
    </row>
    <row r="43" spans="1:11" x14ac:dyDescent="0.55000000000000004">
      <c r="A43" s="295">
        <v>10714</v>
      </c>
      <c r="B43" s="7">
        <v>-3.6200000000000003E-2</v>
      </c>
      <c r="C43" s="1366">
        <v>4.7E-2</v>
      </c>
      <c r="D43" s="1366">
        <v>3.0000000000000001E-3</v>
      </c>
      <c r="E43" s="1366">
        <v>3.9166666666666664E-3</v>
      </c>
      <c r="F43" s="5">
        <v>4.0916666666666671E-3</v>
      </c>
      <c r="G43" s="5">
        <v>4.0041666666666663E-3</v>
      </c>
      <c r="H43" s="1366">
        <v>4.2833333333333326E-3</v>
      </c>
      <c r="I43" s="1366">
        <f t="shared" si="0"/>
        <v>-3.9200000000000006E-2</v>
      </c>
      <c r="J43" s="1366">
        <f t="shared" si="1"/>
        <v>-4.0204166666666666E-2</v>
      </c>
      <c r="K43" s="1366">
        <f t="shared" si="2"/>
        <v>4.2716666666666667E-2</v>
      </c>
    </row>
    <row r="44" spans="1:11" x14ac:dyDescent="0.55000000000000004">
      <c r="A44" s="295">
        <v>10745</v>
      </c>
      <c r="B44" s="7">
        <v>0.114</v>
      </c>
      <c r="C44" s="1366">
        <v>0.21780000000000002</v>
      </c>
      <c r="D44" s="1366">
        <v>2.8999999999999998E-3</v>
      </c>
      <c r="E44" s="1366">
        <v>3.9749999999999994E-3</v>
      </c>
      <c r="F44" s="5">
        <v>4.15E-3</v>
      </c>
      <c r="G44" s="5">
        <v>4.0625000000000001E-3</v>
      </c>
      <c r="H44" s="1366">
        <v>4.3583333333333339E-3</v>
      </c>
      <c r="I44" s="1366">
        <f t="shared" si="0"/>
        <v>0.1111</v>
      </c>
      <c r="J44" s="1366">
        <f t="shared" si="1"/>
        <v>0.10993750000000001</v>
      </c>
      <c r="K44" s="1366">
        <f t="shared" si="2"/>
        <v>0.2134416666666667</v>
      </c>
    </row>
    <row r="45" spans="1:11" x14ac:dyDescent="0.55000000000000004">
      <c r="A45" s="295">
        <v>10775</v>
      </c>
      <c r="B45" s="7">
        <v>4.7100000000000003E-2</v>
      </c>
      <c r="C45" s="1366">
        <v>9.0499999999999983E-2</v>
      </c>
      <c r="D45" s="1366">
        <v>3.2000000000000002E-3</v>
      </c>
      <c r="E45" s="1366">
        <v>3.9749999999999994E-3</v>
      </c>
      <c r="F45" s="5">
        <v>4.1416666666666659E-3</v>
      </c>
      <c r="G45" s="5">
        <v>4.0583333333333331E-3</v>
      </c>
      <c r="H45" s="1366">
        <v>4.3666666666666671E-3</v>
      </c>
      <c r="I45" s="1366">
        <f t="shared" si="0"/>
        <v>4.3900000000000002E-2</v>
      </c>
      <c r="J45" s="1366">
        <f t="shared" si="1"/>
        <v>4.3041666666666673E-2</v>
      </c>
      <c r="K45" s="1366">
        <f t="shared" si="2"/>
        <v>8.6133333333333312E-2</v>
      </c>
    </row>
    <row r="46" spans="1:11" x14ac:dyDescent="0.55000000000000004">
      <c r="A46" s="295">
        <v>10806</v>
      </c>
      <c r="B46" s="7">
        <v>0.1028</v>
      </c>
      <c r="C46" s="1366">
        <v>0.1033</v>
      </c>
      <c r="D46" s="1366">
        <v>3.0000000000000001E-3</v>
      </c>
      <c r="E46" s="1366">
        <v>3.9916666666666668E-3</v>
      </c>
      <c r="F46" s="5">
        <v>4.1583333333333333E-3</v>
      </c>
      <c r="G46" s="5">
        <v>4.0749999999999996E-3</v>
      </c>
      <c r="H46" s="1366">
        <v>4.4166666666666668E-3</v>
      </c>
      <c r="I46" s="1366">
        <f t="shared" si="0"/>
        <v>9.98E-2</v>
      </c>
      <c r="J46" s="1366">
        <f t="shared" si="1"/>
        <v>9.8725000000000007E-2</v>
      </c>
      <c r="K46" s="1366">
        <f t="shared" si="2"/>
        <v>9.8883333333333337E-2</v>
      </c>
    </row>
    <row r="47" spans="1:11" x14ac:dyDescent="0.55000000000000004">
      <c r="A47" s="295">
        <v>10837</v>
      </c>
      <c r="B47" s="7">
        <v>-4.7600000000000003E-2</v>
      </c>
      <c r="C47" s="1366">
        <v>3.9999999999999996E-4</v>
      </c>
      <c r="D47" s="1366">
        <v>3.2000000000000002E-3</v>
      </c>
      <c r="E47" s="1366">
        <v>4.0000000000000001E-3</v>
      </c>
      <c r="F47" s="5">
        <v>4.1749999999999999E-3</v>
      </c>
      <c r="G47" s="5">
        <v>4.0874999999999991E-3</v>
      </c>
      <c r="H47" s="1366">
        <v>4.4833333333333331E-3</v>
      </c>
      <c r="I47" s="1366">
        <f t="shared" si="0"/>
        <v>-5.0800000000000005E-2</v>
      </c>
      <c r="J47" s="1366">
        <f t="shared" si="1"/>
        <v>-5.1687500000000004E-2</v>
      </c>
      <c r="K47" s="1366">
        <f t="shared" si="2"/>
        <v>-4.0833333333333329E-3</v>
      </c>
    </row>
    <row r="48" spans="1:11" x14ac:dyDescent="0.55000000000000004">
      <c r="A48" s="295">
        <v>10867</v>
      </c>
      <c r="B48" s="7">
        <v>-0.1973</v>
      </c>
      <c r="C48" s="1366">
        <v>-0.30220000000000002</v>
      </c>
      <c r="D48" s="1366">
        <v>3.0999999999999999E-3</v>
      </c>
      <c r="E48" s="1366">
        <v>3.9749999999999994E-3</v>
      </c>
      <c r="F48" s="5">
        <v>4.1749999999999999E-3</v>
      </c>
      <c r="G48" s="5">
        <v>4.0749999999999996E-3</v>
      </c>
      <c r="H48" s="1366">
        <v>4.45E-3</v>
      </c>
      <c r="I48" s="1366">
        <f t="shared" si="0"/>
        <v>-0.20039999999999999</v>
      </c>
      <c r="J48" s="1366">
        <f t="shared" si="1"/>
        <v>-0.201375</v>
      </c>
      <c r="K48" s="1366">
        <f t="shared" si="2"/>
        <v>-0.30665000000000003</v>
      </c>
    </row>
    <row r="49" spans="1:11" x14ac:dyDescent="0.55000000000000004">
      <c r="A49" s="295">
        <v>10898</v>
      </c>
      <c r="B49" s="7">
        <v>-0.1246</v>
      </c>
      <c r="C49" s="1366">
        <v>-0.1424</v>
      </c>
      <c r="D49" s="1366">
        <v>2.5999999999999999E-3</v>
      </c>
      <c r="E49" s="1366">
        <v>3.966666666666667E-3</v>
      </c>
      <c r="F49" s="5">
        <v>4.1166666666666669E-3</v>
      </c>
      <c r="G49" s="5">
        <v>4.0416666666666665E-3</v>
      </c>
      <c r="H49" s="1366">
        <v>4.4083333333333335E-3</v>
      </c>
      <c r="I49" s="1366">
        <f t="shared" si="0"/>
        <v>-0.12720000000000001</v>
      </c>
      <c r="J49" s="1366">
        <f t="shared" si="1"/>
        <v>-0.12864166666666668</v>
      </c>
      <c r="K49" s="1366">
        <f t="shared" si="2"/>
        <v>-0.14680833333333332</v>
      </c>
    </row>
    <row r="50" spans="1:11" x14ac:dyDescent="0.55000000000000004">
      <c r="A50" s="295">
        <v>10928</v>
      </c>
      <c r="B50" s="7">
        <v>2.8199999999999999E-2</v>
      </c>
      <c r="C50" s="1366">
        <v>6.7999999999999991E-2</v>
      </c>
      <c r="D50" s="1366">
        <v>3.0999999999999999E-3</v>
      </c>
      <c r="E50" s="1366">
        <v>3.8916666666666665E-3</v>
      </c>
      <c r="F50" s="5">
        <v>4.0333333333333332E-3</v>
      </c>
      <c r="G50" s="5">
        <v>3.9624999999999999E-3</v>
      </c>
      <c r="H50" s="1366">
        <v>4.3583333333333339E-3</v>
      </c>
      <c r="I50" s="1366">
        <f t="shared" si="0"/>
        <v>2.5100000000000001E-2</v>
      </c>
      <c r="J50" s="1366">
        <f t="shared" si="1"/>
        <v>2.4237499999999999E-2</v>
      </c>
      <c r="K50" s="1366">
        <f t="shared" si="2"/>
        <v>6.3641666666666652E-2</v>
      </c>
    </row>
    <row r="51" spans="1:11" x14ac:dyDescent="0.55000000000000004">
      <c r="A51" s="295">
        <v>10959</v>
      </c>
      <c r="B51" s="7">
        <v>6.3899999999999998E-2</v>
      </c>
      <c r="C51" s="1366">
        <v>7.3999999999999996E-2</v>
      </c>
      <c r="D51" s="1366">
        <v>2.8999999999999998E-3</v>
      </c>
      <c r="E51" s="1366">
        <v>3.8833333333333337E-3</v>
      </c>
      <c r="F51" s="5">
        <v>4.0500000000000006E-3</v>
      </c>
      <c r="G51" s="5">
        <v>3.966666666666667E-3</v>
      </c>
      <c r="H51" s="1366">
        <v>4.3833333333333328E-3</v>
      </c>
      <c r="I51" s="1366">
        <f t="shared" si="0"/>
        <v>6.0999999999999999E-2</v>
      </c>
      <c r="J51" s="1366">
        <f t="shared" si="1"/>
        <v>5.9933333333333332E-2</v>
      </c>
      <c r="K51" s="1366">
        <f t="shared" si="2"/>
        <v>6.961666666666666E-2</v>
      </c>
    </row>
    <row r="52" spans="1:11" x14ac:dyDescent="0.55000000000000004">
      <c r="A52" s="295">
        <v>10990</v>
      </c>
      <c r="B52" s="7">
        <v>2.5899999999999999E-2</v>
      </c>
      <c r="C52" s="1366">
        <v>8.8499999999999995E-2</v>
      </c>
      <c r="D52" s="1366">
        <v>2.5999999999999999E-3</v>
      </c>
      <c r="E52" s="1366">
        <v>3.908333333333334E-3</v>
      </c>
      <c r="F52" s="5">
        <v>4.0749999999999996E-3</v>
      </c>
      <c r="G52" s="5">
        <v>3.9916666666666668E-3</v>
      </c>
      <c r="H52" s="1366">
        <v>4.4083333333333335E-3</v>
      </c>
      <c r="I52" s="1366">
        <f t="shared" si="0"/>
        <v>2.3300000000000001E-2</v>
      </c>
      <c r="J52" s="1366">
        <f t="shared" si="1"/>
        <v>2.1908333333333332E-2</v>
      </c>
      <c r="K52" s="1366">
        <f t="shared" si="2"/>
        <v>8.4091666666666662E-2</v>
      </c>
    </row>
    <row r="53" spans="1:11" x14ac:dyDescent="0.55000000000000004">
      <c r="A53" s="295">
        <v>11018</v>
      </c>
      <c r="B53" s="7">
        <v>8.1199999999999994E-2</v>
      </c>
      <c r="C53" s="1366">
        <v>8.9099999999999999E-2</v>
      </c>
      <c r="D53" s="1366">
        <v>2.8999999999999998E-3</v>
      </c>
      <c r="E53" s="1366">
        <v>3.8500000000000001E-3</v>
      </c>
      <c r="F53" s="5">
        <v>4.0000000000000001E-3</v>
      </c>
      <c r="G53" s="5">
        <v>3.9249999999999997E-3</v>
      </c>
      <c r="H53" s="1366">
        <v>4.3166666666666666E-3</v>
      </c>
      <c r="I53" s="1366">
        <f t="shared" si="0"/>
        <v>7.8299999999999995E-2</v>
      </c>
      <c r="J53" s="1366">
        <f t="shared" si="1"/>
        <v>7.7274999999999996E-2</v>
      </c>
      <c r="K53" s="1366">
        <f t="shared" si="2"/>
        <v>8.4783333333333336E-2</v>
      </c>
    </row>
    <row r="54" spans="1:11" x14ac:dyDescent="0.55000000000000004">
      <c r="A54" s="295">
        <v>11049</v>
      </c>
      <c r="B54" s="7">
        <v>-8.0000000000000002E-3</v>
      </c>
      <c r="C54" s="1366">
        <v>3.4099999999999998E-2</v>
      </c>
      <c r="D54" s="1366">
        <v>2.7000000000000001E-3</v>
      </c>
      <c r="E54" s="1366">
        <v>3.8333333333333331E-3</v>
      </c>
      <c r="F54" s="5">
        <v>3.9833333333333335E-3</v>
      </c>
      <c r="G54" s="5">
        <v>3.908333333333334E-3</v>
      </c>
      <c r="H54" s="1366">
        <v>4.2916666666666667E-3</v>
      </c>
      <c r="I54" s="1366">
        <f t="shared" si="0"/>
        <v>-1.0700000000000001E-2</v>
      </c>
      <c r="J54" s="1366">
        <f t="shared" si="1"/>
        <v>-1.1908333333333333E-2</v>
      </c>
      <c r="K54" s="1366">
        <f t="shared" si="2"/>
        <v>2.9808333333333333E-2</v>
      </c>
    </row>
    <row r="55" spans="1:11" x14ac:dyDescent="0.55000000000000004">
      <c r="A55" s="295">
        <v>11079</v>
      </c>
      <c r="B55" s="7">
        <v>-9.5999999999999992E-3</v>
      </c>
      <c r="C55" s="1366">
        <v>-2.3600000000000003E-2</v>
      </c>
      <c r="D55" s="1366">
        <v>2.7000000000000001E-3</v>
      </c>
      <c r="E55" s="1366">
        <v>3.8333333333333331E-3</v>
      </c>
      <c r="F55" s="5">
        <v>3.9749999999999994E-3</v>
      </c>
      <c r="G55" s="5">
        <v>3.9041666666666665E-3</v>
      </c>
      <c r="H55" s="1366">
        <v>4.1999999999999997E-3</v>
      </c>
      <c r="I55" s="1366">
        <f t="shared" si="0"/>
        <v>-1.2299999999999998E-2</v>
      </c>
      <c r="J55" s="1366">
        <f t="shared" si="1"/>
        <v>-1.3504166666666666E-2</v>
      </c>
      <c r="K55" s="1366">
        <f t="shared" si="2"/>
        <v>-2.7800000000000002E-2</v>
      </c>
    </row>
    <row r="56" spans="1:11" x14ac:dyDescent="0.55000000000000004">
      <c r="A56" s="295">
        <v>11110</v>
      </c>
      <c r="B56" s="7">
        <v>-0.16250000000000001</v>
      </c>
      <c r="C56" s="1366">
        <v>-0.19030000000000002</v>
      </c>
      <c r="D56" s="1366">
        <v>2.8999999999999998E-3</v>
      </c>
      <c r="E56" s="1366">
        <v>3.8083333333333337E-3</v>
      </c>
      <c r="F56" s="5">
        <v>3.966666666666667E-3</v>
      </c>
      <c r="G56" s="5">
        <v>3.8875000000000003E-3</v>
      </c>
      <c r="H56" s="1366">
        <v>4.1749999999999999E-3</v>
      </c>
      <c r="I56" s="1366">
        <f t="shared" si="0"/>
        <v>-0.16539999999999999</v>
      </c>
      <c r="J56" s="1366">
        <f t="shared" si="1"/>
        <v>-0.16638749999999999</v>
      </c>
      <c r="K56" s="1366">
        <f t="shared" si="2"/>
        <v>-0.19447500000000004</v>
      </c>
    </row>
    <row r="57" spans="1:11" x14ac:dyDescent="0.55000000000000004">
      <c r="A57" s="295">
        <v>11140</v>
      </c>
      <c r="B57" s="7">
        <v>3.8600000000000002E-2</v>
      </c>
      <c r="C57" s="1366">
        <v>1.7599999999999998E-2</v>
      </c>
      <c r="D57" s="1366">
        <v>2.7999999999999995E-3</v>
      </c>
      <c r="E57" s="1366">
        <v>3.7666666666666664E-3</v>
      </c>
      <c r="F57" s="5">
        <v>3.9500000000000004E-3</v>
      </c>
      <c r="G57" s="5">
        <v>3.8583333333333334E-3</v>
      </c>
      <c r="H57" s="1366">
        <v>4.1583333333333333E-3</v>
      </c>
      <c r="I57" s="1366">
        <f t="shared" si="0"/>
        <v>3.5800000000000005E-2</v>
      </c>
      <c r="J57" s="1366">
        <f t="shared" si="1"/>
        <v>3.4741666666666671E-2</v>
      </c>
      <c r="K57" s="1366">
        <f t="shared" si="2"/>
        <v>1.3441666666666664E-2</v>
      </c>
    </row>
    <row r="58" spans="1:11" x14ac:dyDescent="0.55000000000000004">
      <c r="A58" s="295">
        <v>11171</v>
      </c>
      <c r="B58" s="7">
        <v>1.41E-2</v>
      </c>
      <c r="C58" s="1366">
        <v>7.6000000000000009E-3</v>
      </c>
      <c r="D58" s="1366">
        <v>2.5999999999999999E-3</v>
      </c>
      <c r="E58" s="1366">
        <v>3.725E-3</v>
      </c>
      <c r="F58" s="5">
        <v>3.8999999999999994E-3</v>
      </c>
      <c r="G58" s="5">
        <v>3.8124999999999999E-3</v>
      </c>
      <c r="H58" s="1366">
        <v>4.1250000000000002E-3</v>
      </c>
      <c r="I58" s="1366">
        <f t="shared" si="0"/>
        <v>1.15E-2</v>
      </c>
      <c r="J58" s="1366">
        <f t="shared" si="1"/>
        <v>1.02875E-2</v>
      </c>
      <c r="K58" s="1366">
        <f t="shared" si="2"/>
        <v>3.4750000000000007E-3</v>
      </c>
    </row>
    <row r="59" spans="1:11" x14ac:dyDescent="0.55000000000000004">
      <c r="A59" s="295">
        <v>11202</v>
      </c>
      <c r="B59" s="7">
        <v>-0.12820000000000001</v>
      </c>
      <c r="C59" s="1366">
        <v>-0.1108</v>
      </c>
      <c r="D59" s="1366">
        <v>2.8999999999999998E-3</v>
      </c>
      <c r="E59" s="1366">
        <v>3.6833333333333336E-3</v>
      </c>
      <c r="F59" s="5">
        <v>3.875E-3</v>
      </c>
      <c r="G59" s="5">
        <v>3.7791666666666668E-3</v>
      </c>
      <c r="H59" s="1366">
        <v>4.0500000000000006E-3</v>
      </c>
      <c r="I59" s="1366">
        <f t="shared" si="0"/>
        <v>-0.13109999999999999</v>
      </c>
      <c r="J59" s="1366">
        <f t="shared" si="1"/>
        <v>-0.13197916666666668</v>
      </c>
      <c r="K59" s="1366">
        <f t="shared" si="2"/>
        <v>-0.11484999999999999</v>
      </c>
    </row>
    <row r="60" spans="1:11" x14ac:dyDescent="0.55000000000000004">
      <c r="A60" s="295">
        <v>11232</v>
      </c>
      <c r="B60" s="7">
        <v>-8.5500000000000007E-2</v>
      </c>
      <c r="C60" s="1366">
        <v>-8.1799999999999998E-2</v>
      </c>
      <c r="D60" s="1366">
        <v>2.7000000000000001E-3</v>
      </c>
      <c r="E60" s="1366">
        <v>3.6833333333333336E-3</v>
      </c>
      <c r="F60" s="5">
        <v>3.8916666666666665E-3</v>
      </c>
      <c r="G60" s="5">
        <v>3.7875000000000005E-3</v>
      </c>
      <c r="H60" s="1366">
        <v>4.0666666666666663E-3</v>
      </c>
      <c r="I60" s="1366">
        <f t="shared" si="0"/>
        <v>-8.8200000000000001E-2</v>
      </c>
      <c r="J60" s="1366">
        <f t="shared" si="1"/>
        <v>-8.9287500000000006E-2</v>
      </c>
      <c r="K60" s="1366">
        <f t="shared" si="2"/>
        <v>-8.5866666666666661E-2</v>
      </c>
    </row>
    <row r="61" spans="1:11" x14ac:dyDescent="0.55000000000000004">
      <c r="A61" s="295">
        <v>11263</v>
      </c>
      <c r="B61" s="7">
        <v>-8.8999999999999999E-3</v>
      </c>
      <c r="C61" s="1366">
        <v>-7.3000000000000009E-2</v>
      </c>
      <c r="D61" s="1366">
        <v>2.5999999999999999E-3</v>
      </c>
      <c r="E61" s="1366">
        <v>3.725E-3</v>
      </c>
      <c r="F61" s="5">
        <v>3.9583333333333328E-3</v>
      </c>
      <c r="G61" s="5">
        <v>3.8416666666666664E-3</v>
      </c>
      <c r="H61" s="1366">
        <v>4.1333333333333335E-3</v>
      </c>
      <c r="I61" s="1366">
        <f t="shared" si="0"/>
        <v>-1.15E-2</v>
      </c>
      <c r="J61" s="1366">
        <f t="shared" si="1"/>
        <v>-1.2741666666666667E-2</v>
      </c>
      <c r="K61" s="1366">
        <f t="shared" si="2"/>
        <v>-7.7133333333333345E-2</v>
      </c>
    </row>
    <row r="62" spans="1:11" x14ac:dyDescent="0.55000000000000004">
      <c r="A62" s="295">
        <v>11293</v>
      </c>
      <c r="B62" s="7">
        <v>-7.0599999999999996E-2</v>
      </c>
      <c r="C62" s="1366">
        <v>-3.39E-2</v>
      </c>
      <c r="D62" s="1366">
        <v>2.7999999999999995E-3</v>
      </c>
      <c r="E62" s="1366">
        <v>3.7666666666666664E-3</v>
      </c>
      <c r="F62" s="5">
        <v>4.0416666666666665E-3</v>
      </c>
      <c r="G62" s="5">
        <v>3.9041666666666665E-3</v>
      </c>
      <c r="H62" s="1366">
        <v>4.2583333333333336E-3</v>
      </c>
      <c r="I62" s="1366">
        <f t="shared" si="0"/>
        <v>-7.3399999999999993E-2</v>
      </c>
      <c r="J62" s="1366">
        <f t="shared" si="1"/>
        <v>-7.4504166666666663E-2</v>
      </c>
      <c r="K62" s="1366">
        <f t="shared" si="2"/>
        <v>-3.8158333333333336E-2</v>
      </c>
    </row>
    <row r="63" spans="1:11" x14ac:dyDescent="0.55000000000000004">
      <c r="A63" s="295">
        <v>11324</v>
      </c>
      <c r="B63" s="7">
        <v>5.0200000000000002E-2</v>
      </c>
      <c r="C63" s="1366">
        <v>5.4000000000000006E-2</v>
      </c>
      <c r="D63" s="1366">
        <v>2.7999999999999995E-3</v>
      </c>
      <c r="E63" s="1366">
        <v>3.6833333333333336E-3</v>
      </c>
      <c r="F63" s="5">
        <v>3.9166666666666664E-3</v>
      </c>
      <c r="G63" s="5">
        <v>3.8E-3</v>
      </c>
      <c r="H63" s="1366">
        <v>4.1749999999999999E-3</v>
      </c>
      <c r="I63" s="1366">
        <f t="shared" si="0"/>
        <v>4.7400000000000005E-2</v>
      </c>
      <c r="J63" s="1366">
        <f t="shared" si="1"/>
        <v>4.6400000000000004E-2</v>
      </c>
      <c r="K63" s="1366">
        <f t="shared" si="2"/>
        <v>4.9825000000000008E-2</v>
      </c>
    </row>
    <row r="64" spans="1:11" x14ac:dyDescent="0.55000000000000004">
      <c r="A64" s="295">
        <v>11355</v>
      </c>
      <c r="B64" s="7">
        <v>0.1193</v>
      </c>
      <c r="C64" s="1366">
        <v>0.15240000000000001</v>
      </c>
      <c r="D64" s="1366">
        <v>2.5999999999999999E-3</v>
      </c>
      <c r="E64" s="1366">
        <v>3.6916666666666664E-3</v>
      </c>
      <c r="F64" s="5">
        <v>3.9166666666666664E-3</v>
      </c>
      <c r="G64" s="5">
        <v>3.8041666666666662E-3</v>
      </c>
      <c r="H64" s="1366">
        <v>4.1749999999999999E-3</v>
      </c>
      <c r="I64" s="1366">
        <f t="shared" si="0"/>
        <v>0.1167</v>
      </c>
      <c r="J64" s="1366">
        <f t="shared" si="1"/>
        <v>0.11549583333333334</v>
      </c>
      <c r="K64" s="1366">
        <f t="shared" si="2"/>
        <v>0.148225</v>
      </c>
    </row>
    <row r="65" spans="1:11" x14ac:dyDescent="0.55000000000000004">
      <c r="A65" s="295">
        <v>11383</v>
      </c>
      <c r="B65" s="7">
        <v>-6.7500000000000004E-2</v>
      </c>
      <c r="C65" s="1366">
        <v>-2.3900000000000001E-2</v>
      </c>
      <c r="D65" s="1366">
        <v>2.8999999999999998E-3</v>
      </c>
      <c r="E65" s="1366">
        <v>3.6583333333333329E-3</v>
      </c>
      <c r="F65" s="5">
        <v>3.8916666666666665E-3</v>
      </c>
      <c r="G65" s="5">
        <v>3.7749999999999993E-3</v>
      </c>
      <c r="H65" s="1366">
        <v>4.15E-3</v>
      </c>
      <c r="I65" s="1366">
        <f t="shared" si="0"/>
        <v>-7.0400000000000004E-2</v>
      </c>
      <c r="J65" s="1366">
        <f t="shared" si="1"/>
        <v>-7.1275000000000005E-2</v>
      </c>
      <c r="K65" s="1366">
        <f t="shared" si="2"/>
        <v>-2.8050000000000002E-2</v>
      </c>
    </row>
    <row r="66" spans="1:11" x14ac:dyDescent="0.55000000000000004">
      <c r="A66" s="295">
        <v>11414</v>
      </c>
      <c r="B66" s="7">
        <v>-9.35E-2</v>
      </c>
      <c r="C66" s="1366">
        <v>-0.10540000000000001</v>
      </c>
      <c r="D66" s="1366">
        <v>2.7000000000000001E-3</v>
      </c>
      <c r="E66" s="1366">
        <v>3.666666666666667E-3</v>
      </c>
      <c r="F66" s="5">
        <v>3.966666666666667E-3</v>
      </c>
      <c r="G66" s="5">
        <v>3.816666666666667E-3</v>
      </c>
      <c r="H66" s="1366">
        <v>4.0500000000000006E-3</v>
      </c>
      <c r="I66" s="1366">
        <f t="shared" si="0"/>
        <v>-9.6199999999999994E-2</v>
      </c>
      <c r="J66" s="1366">
        <f t="shared" si="1"/>
        <v>-9.7316666666666662E-2</v>
      </c>
      <c r="K66" s="1366">
        <f t="shared" si="2"/>
        <v>-0.10945000000000001</v>
      </c>
    </row>
    <row r="67" spans="1:11" x14ac:dyDescent="0.55000000000000004">
      <c r="A67" s="295">
        <v>11444</v>
      </c>
      <c r="B67" s="7">
        <v>-0.12790000000000001</v>
      </c>
      <c r="C67" s="1366">
        <v>-0.10289999999999999</v>
      </c>
      <c r="D67" s="1366">
        <v>2.5999999999999999E-3</v>
      </c>
      <c r="E67" s="1366">
        <v>3.6416666666666667E-3</v>
      </c>
      <c r="F67" s="5">
        <v>3.966666666666667E-3</v>
      </c>
      <c r="G67" s="5">
        <v>3.8041666666666666E-3</v>
      </c>
      <c r="H67" s="1366">
        <v>4.0333333333333332E-3</v>
      </c>
      <c r="I67" s="1366">
        <f t="shared" si="0"/>
        <v>-0.1305</v>
      </c>
      <c r="J67" s="1366">
        <f t="shared" si="1"/>
        <v>-0.13170416666666668</v>
      </c>
      <c r="K67" s="1366">
        <f t="shared" si="2"/>
        <v>-0.10693333333333332</v>
      </c>
    </row>
    <row r="68" spans="1:11" x14ac:dyDescent="0.55000000000000004">
      <c r="A68" s="295">
        <v>11475</v>
      </c>
      <c r="B68" s="7">
        <v>0.1421</v>
      </c>
      <c r="C68" s="1366">
        <v>0.13730000000000001</v>
      </c>
      <c r="D68" s="1366">
        <v>2.7999999999999995E-3</v>
      </c>
      <c r="E68" s="1366">
        <v>3.6333333333333335E-3</v>
      </c>
      <c r="F68" s="5">
        <v>4.0083333333333334E-3</v>
      </c>
      <c r="G68" s="5">
        <v>3.8208333333333332E-3</v>
      </c>
      <c r="H68" s="1366">
        <v>4.0583333333333331E-3</v>
      </c>
      <c r="I68" s="1366">
        <f t="shared" ref="I68:I131" si="3">B68-D68</f>
        <v>0.13930000000000001</v>
      </c>
      <c r="J68" s="1366">
        <f t="shared" si="1"/>
        <v>0.13827916666666668</v>
      </c>
      <c r="K68" s="1366">
        <f t="shared" si="2"/>
        <v>0.13324166666666667</v>
      </c>
    </row>
    <row r="69" spans="1:11" x14ac:dyDescent="0.55000000000000004">
      <c r="A69" s="295">
        <v>11505</v>
      </c>
      <c r="B69" s="7">
        <v>-7.22E-2</v>
      </c>
      <c r="C69" s="1366">
        <v>-6.2199999999999991E-2</v>
      </c>
      <c r="D69" s="1366">
        <v>2.7000000000000001E-3</v>
      </c>
      <c r="E69" s="1366">
        <v>3.6333333333333335E-3</v>
      </c>
      <c r="F69" s="5">
        <v>4.0083333333333334E-3</v>
      </c>
      <c r="G69" s="5">
        <v>3.8208333333333332E-3</v>
      </c>
      <c r="H69" s="1366">
        <v>4.0249999999999999E-3</v>
      </c>
      <c r="I69" s="1366">
        <f t="shared" si="3"/>
        <v>-7.4899999999999994E-2</v>
      </c>
      <c r="J69" s="1366">
        <f t="shared" si="1"/>
        <v>-7.6020833333333329E-2</v>
      </c>
      <c r="K69" s="1366">
        <f t="shared" si="2"/>
        <v>-6.6224999999999992E-2</v>
      </c>
    </row>
    <row r="70" spans="1:11" x14ac:dyDescent="0.55000000000000004">
      <c r="A70" s="295">
        <v>11536</v>
      </c>
      <c r="B70" s="7">
        <v>1.8200000000000001E-2</v>
      </c>
      <c r="C70" s="1366">
        <v>2.5599999999999998E-2</v>
      </c>
      <c r="D70" s="1366">
        <v>2.7000000000000001E-3</v>
      </c>
      <c r="E70" s="1366">
        <v>3.666666666666667E-3</v>
      </c>
      <c r="F70" s="5">
        <v>4.0416666666666665E-3</v>
      </c>
      <c r="G70" s="5">
        <v>3.8541666666666663E-3</v>
      </c>
      <c r="H70" s="1366">
        <v>4.0083333333333334E-3</v>
      </c>
      <c r="I70" s="1366">
        <f t="shared" si="3"/>
        <v>1.55E-2</v>
      </c>
      <c r="J70" s="1366">
        <f t="shared" si="1"/>
        <v>1.4345833333333335E-2</v>
      </c>
      <c r="K70" s="1366">
        <f t="shared" si="2"/>
        <v>2.1591666666666665E-2</v>
      </c>
    </row>
    <row r="71" spans="1:11" x14ac:dyDescent="0.55000000000000004">
      <c r="A71" s="295">
        <v>11567</v>
      </c>
      <c r="B71" s="7">
        <v>-0.29730000000000001</v>
      </c>
      <c r="C71" s="1366">
        <v>-0.31490000000000001</v>
      </c>
      <c r="D71" s="1366">
        <v>2.7000000000000001E-3</v>
      </c>
      <c r="E71" s="1366">
        <v>3.7916666666666667E-3</v>
      </c>
      <c r="F71" s="5">
        <v>4.2333333333333337E-3</v>
      </c>
      <c r="G71" s="5">
        <v>4.0124999999999996E-3</v>
      </c>
      <c r="H71" s="1366">
        <v>4.208333333333333E-3</v>
      </c>
      <c r="I71" s="1366">
        <f t="shared" si="3"/>
        <v>-0.3</v>
      </c>
      <c r="J71" s="1366">
        <f t="shared" si="1"/>
        <v>-0.30131249999999998</v>
      </c>
      <c r="K71" s="1366">
        <f t="shared" si="2"/>
        <v>-0.31910833333333333</v>
      </c>
    </row>
    <row r="72" spans="1:11" x14ac:dyDescent="0.55000000000000004">
      <c r="A72" s="295">
        <v>11597</v>
      </c>
      <c r="B72" s="7">
        <v>8.9599999999999999E-2</v>
      </c>
      <c r="C72" s="1366">
        <v>9.9000000000000005E-2</v>
      </c>
      <c r="D72" s="1366">
        <v>2.8999999999999998E-3</v>
      </c>
      <c r="E72" s="1366">
        <v>4.1583333333333333E-3</v>
      </c>
      <c r="F72" s="5">
        <v>4.6416666666666663E-3</v>
      </c>
      <c r="G72" s="5">
        <v>4.4000000000000003E-3</v>
      </c>
      <c r="H72" s="1366">
        <v>4.6166666666666665E-3</v>
      </c>
      <c r="I72" s="1366">
        <f t="shared" si="3"/>
        <v>8.6699999999999999E-2</v>
      </c>
      <c r="J72" s="1366">
        <f t="shared" si="1"/>
        <v>8.5199999999999998E-2</v>
      </c>
      <c r="K72" s="1366">
        <f t="shared" si="2"/>
        <v>9.4383333333333333E-2</v>
      </c>
    </row>
    <row r="73" spans="1:11" x14ac:dyDescent="0.55000000000000004">
      <c r="A73" s="295">
        <v>11628</v>
      </c>
      <c r="B73" s="7">
        <v>-7.9799999999999996E-2</v>
      </c>
      <c r="C73" s="1366">
        <v>-6.1400000000000003E-2</v>
      </c>
      <c r="D73" s="1366">
        <v>3.0999999999999999E-3</v>
      </c>
      <c r="E73" s="1366">
        <v>4.1166666666666669E-3</v>
      </c>
      <c r="F73" s="5">
        <v>4.6750000000000003E-3</v>
      </c>
      <c r="G73" s="5">
        <v>4.3958333333333332E-3</v>
      </c>
      <c r="H73" s="1366">
        <v>4.5916666666666666E-3</v>
      </c>
      <c r="I73" s="1366">
        <f t="shared" si="3"/>
        <v>-8.2900000000000001E-2</v>
      </c>
      <c r="J73" s="1366">
        <f t="shared" si="1"/>
        <v>-8.4195833333333331E-2</v>
      </c>
      <c r="K73" s="1366">
        <f t="shared" si="2"/>
        <v>-6.5991666666666671E-2</v>
      </c>
    </row>
    <row r="74" spans="1:11" x14ac:dyDescent="0.55000000000000004">
      <c r="A74" s="295">
        <v>11658</v>
      </c>
      <c r="B74" s="7">
        <v>-0.14000000000000001</v>
      </c>
      <c r="C74" s="1366">
        <v>-0.1283</v>
      </c>
      <c r="D74" s="1366">
        <v>3.2000000000000002E-3</v>
      </c>
      <c r="E74" s="1366">
        <v>4.4333333333333334E-3</v>
      </c>
      <c r="F74" s="5">
        <v>5.2166666666666663E-3</v>
      </c>
      <c r="G74" s="5">
        <v>4.8249999999999994E-3</v>
      </c>
      <c r="H74" s="1366">
        <v>5.1999999999999998E-3</v>
      </c>
      <c r="I74" s="1366">
        <f t="shared" si="3"/>
        <v>-0.14320000000000002</v>
      </c>
      <c r="J74" s="1366">
        <f t="shared" si="1"/>
        <v>-0.14482500000000001</v>
      </c>
      <c r="K74" s="1366">
        <f t="shared" si="2"/>
        <v>-0.13350000000000001</v>
      </c>
    </row>
    <row r="75" spans="1:11" x14ac:dyDescent="0.55000000000000004">
      <c r="A75" s="295">
        <v>11689</v>
      </c>
      <c r="B75" s="7">
        <v>-2.7099999999999999E-2</v>
      </c>
      <c r="C75" s="1366">
        <v>-1.9999999999999997E-2</v>
      </c>
      <c r="D75" s="1366">
        <v>3.2000000000000002E-3</v>
      </c>
      <c r="E75" s="1366">
        <v>4.3333333333333331E-3</v>
      </c>
      <c r="F75" s="5">
        <v>5.0666666666666672E-3</v>
      </c>
      <c r="G75" s="5">
        <v>4.7000000000000002E-3</v>
      </c>
      <c r="H75" s="1366">
        <v>5.1416666666666668E-3</v>
      </c>
      <c r="I75" s="1366">
        <f t="shared" si="3"/>
        <v>-3.0300000000000001E-2</v>
      </c>
      <c r="J75" s="1366">
        <f t="shared" si="1"/>
        <v>-3.1800000000000002E-2</v>
      </c>
      <c r="K75" s="1366">
        <f t="shared" si="2"/>
        <v>-2.5141666666666663E-2</v>
      </c>
    </row>
    <row r="76" spans="1:11" x14ac:dyDescent="0.55000000000000004">
      <c r="A76" s="295">
        <v>11720</v>
      </c>
      <c r="B76" s="7">
        <v>5.7000000000000002E-2</v>
      </c>
      <c r="C76" s="1366">
        <v>7.9899999999999999E-2</v>
      </c>
      <c r="D76" s="1366">
        <v>3.2000000000000002E-3</v>
      </c>
      <c r="E76" s="1366">
        <v>4.3583333333333339E-3</v>
      </c>
      <c r="F76" s="5">
        <v>5.1083333333333336E-3</v>
      </c>
      <c r="G76" s="5">
        <v>4.7333333333333342E-3</v>
      </c>
      <c r="H76" s="1366">
        <v>5.3416666666666664E-3</v>
      </c>
      <c r="I76" s="1366">
        <f t="shared" si="3"/>
        <v>5.3800000000000001E-2</v>
      </c>
      <c r="J76" s="1366">
        <f t="shared" si="1"/>
        <v>5.226666666666667E-2</v>
      </c>
      <c r="K76" s="1366">
        <f t="shared" si="2"/>
        <v>7.4558333333333338E-2</v>
      </c>
    </row>
    <row r="77" spans="1:11" x14ac:dyDescent="0.55000000000000004">
      <c r="A77" s="295">
        <v>11749</v>
      </c>
      <c r="B77" s="7">
        <v>-0.1158</v>
      </c>
      <c r="C77" s="1366">
        <v>-0.10580000000000001</v>
      </c>
      <c r="D77" s="1366">
        <v>3.0999999999999999E-3</v>
      </c>
      <c r="E77" s="1366">
        <v>4.15E-3</v>
      </c>
      <c r="F77" s="5">
        <v>4.875E-3</v>
      </c>
      <c r="G77" s="5">
        <v>4.5125E-3</v>
      </c>
      <c r="H77" s="1366">
        <v>5.0499999999999998E-3</v>
      </c>
      <c r="I77" s="1366">
        <f t="shared" si="3"/>
        <v>-0.11890000000000001</v>
      </c>
      <c r="J77" s="1366">
        <f t="shared" si="1"/>
        <v>-0.1203125</v>
      </c>
      <c r="K77" s="1366">
        <f t="shared" si="2"/>
        <v>-0.11085</v>
      </c>
    </row>
    <row r="78" spans="1:11" x14ac:dyDescent="0.55000000000000004">
      <c r="A78" s="295">
        <v>11780</v>
      </c>
      <c r="B78" s="7">
        <v>-0.19969999999999999</v>
      </c>
      <c r="C78" s="1366">
        <v>-0.1535</v>
      </c>
      <c r="D78" s="1366">
        <v>3.0000000000000001E-3</v>
      </c>
      <c r="E78" s="1366">
        <v>4.3083333333333333E-3</v>
      </c>
      <c r="F78" s="5">
        <v>5.0916666666666662E-3</v>
      </c>
      <c r="G78" s="5">
        <v>4.6999999999999993E-3</v>
      </c>
      <c r="H78" s="1366">
        <v>5.6916666666666669E-3</v>
      </c>
      <c r="I78" s="1366">
        <f t="shared" si="3"/>
        <v>-0.20269999999999999</v>
      </c>
      <c r="J78" s="1366">
        <f t="shared" si="1"/>
        <v>-0.2044</v>
      </c>
      <c r="K78" s="1366">
        <f t="shared" si="2"/>
        <v>-0.15919166666666668</v>
      </c>
    </row>
    <row r="79" spans="1:11" x14ac:dyDescent="0.55000000000000004">
      <c r="A79" s="295">
        <v>11810</v>
      </c>
      <c r="B79" s="7">
        <v>-0.21959999999999999</v>
      </c>
      <c r="C79" s="1366">
        <v>-0.28059999999999996</v>
      </c>
      <c r="D79" s="1366">
        <v>2.7999999999999995E-3</v>
      </c>
      <c r="E79" s="1366">
        <v>4.4666666666666674E-3</v>
      </c>
      <c r="F79" s="5">
        <v>5.3166666666666666E-3</v>
      </c>
      <c r="G79" s="5">
        <v>4.8916666666666666E-3</v>
      </c>
      <c r="H79" s="1366">
        <v>6.1333333333333344E-3</v>
      </c>
      <c r="I79" s="1366">
        <f t="shared" si="3"/>
        <v>-0.22239999999999999</v>
      </c>
      <c r="J79" s="1366">
        <f t="shared" si="1"/>
        <v>-0.22449166666666664</v>
      </c>
      <c r="K79" s="1366">
        <f t="shared" si="2"/>
        <v>-0.28673333333333328</v>
      </c>
    </row>
    <row r="80" spans="1:11" x14ac:dyDescent="0.55000000000000004">
      <c r="A80" s="295">
        <v>11841</v>
      </c>
      <c r="B80" s="7">
        <v>-2.2000000000000001E-3</v>
      </c>
      <c r="C80" s="1366">
        <v>8.9999999999999993E-3</v>
      </c>
      <c r="D80" s="1366">
        <v>2.7999999999999995E-3</v>
      </c>
      <c r="E80" s="1366">
        <v>4.5083333333333338E-3</v>
      </c>
      <c r="F80" s="5">
        <v>5.4999999999999997E-3</v>
      </c>
      <c r="G80" s="5">
        <v>5.0041666666666663E-3</v>
      </c>
      <c r="H80" s="1366">
        <v>6.3083333333333333E-3</v>
      </c>
      <c r="I80" s="1366">
        <f t="shared" si="3"/>
        <v>-4.9999999999999992E-3</v>
      </c>
      <c r="J80" s="1366">
        <f t="shared" si="1"/>
        <v>-7.204166666666666E-3</v>
      </c>
      <c r="K80" s="1366">
        <f t="shared" si="2"/>
        <v>2.691666666666666E-3</v>
      </c>
    </row>
    <row r="81" spans="1:11" x14ac:dyDescent="0.55000000000000004">
      <c r="A81" s="295">
        <v>11871</v>
      </c>
      <c r="B81" s="7">
        <v>0.38150000000000001</v>
      </c>
      <c r="C81" s="1366">
        <v>0.33179999999999998</v>
      </c>
      <c r="D81" s="1366">
        <v>2.7999999999999995E-3</v>
      </c>
      <c r="E81" s="1366">
        <v>4.3833333333333328E-3</v>
      </c>
      <c r="F81" s="5">
        <v>5.4250000000000001E-3</v>
      </c>
      <c r="G81" s="5">
        <v>4.904166666666666E-3</v>
      </c>
      <c r="H81" s="1366">
        <v>6.0666666666666673E-3</v>
      </c>
      <c r="I81" s="1366">
        <f t="shared" si="3"/>
        <v>0.37869999999999998</v>
      </c>
      <c r="J81" s="1366">
        <f t="shared" si="1"/>
        <v>0.37659583333333335</v>
      </c>
      <c r="K81" s="1366">
        <f t="shared" si="2"/>
        <v>0.32573333333333332</v>
      </c>
    </row>
    <row r="82" spans="1:11" x14ac:dyDescent="0.55000000000000004">
      <c r="A82" s="295">
        <v>11902</v>
      </c>
      <c r="B82" s="7">
        <v>0.38690000000000002</v>
      </c>
      <c r="C82" s="1366">
        <v>0.40300000000000002</v>
      </c>
      <c r="D82" s="1366">
        <v>2.7999999999999995E-3</v>
      </c>
      <c r="E82" s="1366">
        <v>4.0916666666666671E-3</v>
      </c>
      <c r="F82" s="5">
        <v>4.8583333333333334E-3</v>
      </c>
      <c r="G82" s="5">
        <v>4.4749999999999998E-3</v>
      </c>
      <c r="H82" s="1366">
        <v>5.2916666666666667E-3</v>
      </c>
      <c r="I82" s="1366">
        <f t="shared" si="3"/>
        <v>0.3841</v>
      </c>
      <c r="J82" s="1366">
        <f t="shared" si="1"/>
        <v>0.38242500000000001</v>
      </c>
      <c r="K82" s="1366">
        <f t="shared" si="2"/>
        <v>0.39770833333333333</v>
      </c>
    </row>
    <row r="83" spans="1:11" x14ac:dyDescent="0.55000000000000004">
      <c r="A83" s="295">
        <v>11933</v>
      </c>
      <c r="B83" s="7">
        <v>-3.4599999999999999E-2</v>
      </c>
      <c r="C83" s="1366">
        <v>-2.7000000000000003E-2</v>
      </c>
      <c r="D83" s="1366">
        <v>2.5999999999999999E-3</v>
      </c>
      <c r="E83" s="1366">
        <v>3.9166666666666664E-3</v>
      </c>
      <c r="F83" s="5">
        <v>4.6166666666666665E-3</v>
      </c>
      <c r="G83" s="5">
        <v>4.266666666666666E-3</v>
      </c>
      <c r="H83" s="1366">
        <v>4.9249999999999997E-3</v>
      </c>
      <c r="I83" s="1366">
        <f t="shared" si="3"/>
        <v>-3.7199999999999997E-2</v>
      </c>
      <c r="J83" s="1366">
        <f t="shared" si="1"/>
        <v>-3.8866666666666667E-2</v>
      </c>
      <c r="K83" s="1366">
        <f t="shared" si="2"/>
        <v>-3.1925000000000002E-2</v>
      </c>
    </row>
    <row r="84" spans="1:11" x14ac:dyDescent="0.55000000000000004">
      <c r="A84" s="295">
        <v>11963</v>
      </c>
      <c r="B84" s="7">
        <v>-0.13489999999999999</v>
      </c>
      <c r="C84" s="1366">
        <v>-0.1047</v>
      </c>
      <c r="D84" s="1366">
        <v>2.7000000000000001E-3</v>
      </c>
      <c r="E84" s="1366">
        <v>3.8666666666666667E-3</v>
      </c>
      <c r="F84" s="5">
        <v>4.5916666666666666E-3</v>
      </c>
      <c r="G84" s="5">
        <v>4.2291666666666667E-3</v>
      </c>
      <c r="H84" s="1366">
        <v>4.8416666666666669E-3</v>
      </c>
      <c r="I84" s="1366">
        <f t="shared" si="3"/>
        <v>-0.1376</v>
      </c>
      <c r="J84" s="1366">
        <f t="shared" si="1"/>
        <v>-0.13912916666666666</v>
      </c>
      <c r="K84" s="1366">
        <f t="shared" si="2"/>
        <v>-0.10954166666666666</v>
      </c>
    </row>
    <row r="85" spans="1:11" x14ac:dyDescent="0.55000000000000004">
      <c r="A85" s="295">
        <v>11994</v>
      </c>
      <c r="B85" s="7">
        <v>-4.1700000000000001E-2</v>
      </c>
      <c r="C85" s="1366">
        <v>-3.5400000000000001E-2</v>
      </c>
      <c r="D85" s="1366">
        <v>2.5999999999999999E-3</v>
      </c>
      <c r="E85" s="1366">
        <v>3.858333333333333E-3</v>
      </c>
      <c r="F85" s="5">
        <v>4.6416666666666663E-3</v>
      </c>
      <c r="G85" s="5">
        <v>4.2500000000000003E-3</v>
      </c>
      <c r="H85" s="1366">
        <v>4.8999999999999998E-3</v>
      </c>
      <c r="I85" s="1366">
        <f t="shared" si="3"/>
        <v>-4.4299999999999999E-2</v>
      </c>
      <c r="J85" s="1366">
        <f t="shared" si="1"/>
        <v>-4.5950000000000005E-2</v>
      </c>
      <c r="K85" s="1366">
        <f t="shared" si="2"/>
        <v>-4.0300000000000002E-2</v>
      </c>
    </row>
    <row r="86" spans="1:11" x14ac:dyDescent="0.55000000000000004">
      <c r="A86" s="295">
        <v>12024</v>
      </c>
      <c r="B86" s="7">
        <v>5.6500000000000002E-2</v>
      </c>
      <c r="C86" s="1366">
        <v>8.929999999999999E-2</v>
      </c>
      <c r="D86" s="1366">
        <v>2.7000000000000001E-3</v>
      </c>
      <c r="E86" s="1366">
        <v>3.8250000000000003E-3</v>
      </c>
      <c r="F86" s="5">
        <v>4.6666666666666662E-3</v>
      </c>
      <c r="G86" s="5">
        <v>4.2458333333333332E-3</v>
      </c>
      <c r="H86" s="1366">
        <v>4.8750000000000009E-3</v>
      </c>
      <c r="I86" s="1366">
        <f t="shared" si="3"/>
        <v>5.3800000000000001E-2</v>
      </c>
      <c r="J86" s="1366">
        <f t="shared" si="1"/>
        <v>5.2254166666666671E-2</v>
      </c>
      <c r="K86" s="1366">
        <f t="shared" si="2"/>
        <v>8.4424999999999986E-2</v>
      </c>
    </row>
    <row r="87" spans="1:11" x14ac:dyDescent="0.55000000000000004">
      <c r="A87" s="295">
        <v>12055</v>
      </c>
      <c r="B87" s="1368">
        <v>8.6999999999999994E-3</v>
      </c>
      <c r="C87" s="1366">
        <v>-3.1099999999999996E-2</v>
      </c>
      <c r="D87" s="5">
        <v>2.7000000000000001E-3</v>
      </c>
      <c r="E87" s="5">
        <v>3.7000000000000006E-3</v>
      </c>
      <c r="F87" s="5">
        <v>4.4166666666666668E-3</v>
      </c>
      <c r="G87" s="5">
        <v>4.0583333333333339E-3</v>
      </c>
      <c r="H87" s="5">
        <v>4.4916666666666664E-3</v>
      </c>
      <c r="I87" s="1366">
        <f t="shared" si="3"/>
        <v>5.9999999999999993E-3</v>
      </c>
      <c r="J87" s="1366">
        <f t="shared" si="1"/>
        <v>4.6416666666666655E-3</v>
      </c>
      <c r="K87" s="1366">
        <f t="shared" si="2"/>
        <v>-3.559166666666666E-2</v>
      </c>
    </row>
    <row r="88" spans="1:11" x14ac:dyDescent="0.55000000000000004">
      <c r="A88" s="295">
        <v>12086</v>
      </c>
      <c r="B88" s="1368">
        <v>-0.1772</v>
      </c>
      <c r="C88" s="1366">
        <v>-0.19839999999999999</v>
      </c>
      <c r="D88" s="1366">
        <v>2.3E-3</v>
      </c>
      <c r="E88" s="1366">
        <v>3.7333333333333333E-3</v>
      </c>
      <c r="F88" s="5">
        <v>4.4583333333333332E-3</v>
      </c>
      <c r="G88" s="5">
        <v>4.0958333333333333E-3</v>
      </c>
      <c r="H88" s="1366">
        <v>4.8083333333333337E-3</v>
      </c>
      <c r="I88" s="1366">
        <f t="shared" si="3"/>
        <v>-0.17949999999999999</v>
      </c>
      <c r="J88" s="1366">
        <f t="shared" si="1"/>
        <v>-0.18129583333333332</v>
      </c>
      <c r="K88" s="1366">
        <f t="shared" si="2"/>
        <v>-0.20320833333333332</v>
      </c>
    </row>
    <row r="89" spans="1:11" x14ac:dyDescent="0.55000000000000004">
      <c r="A89" s="295">
        <v>12114</v>
      </c>
      <c r="B89" s="1368">
        <v>3.5299999999999998E-2</v>
      </c>
      <c r="C89" s="1366">
        <v>-0.10800000000000001</v>
      </c>
      <c r="D89" s="1366">
        <v>2.7000000000000001E-3</v>
      </c>
      <c r="E89" s="1366">
        <v>3.8999999999999994E-3</v>
      </c>
      <c r="F89" s="5">
        <v>4.6750000000000003E-3</v>
      </c>
      <c r="G89" s="5">
        <v>4.2874999999999996E-3</v>
      </c>
      <c r="H89" s="1366">
        <v>5.2833333333333335E-3</v>
      </c>
      <c r="I89" s="1366">
        <f t="shared" si="3"/>
        <v>3.2599999999999997E-2</v>
      </c>
      <c r="J89" s="1366">
        <f t="shared" si="1"/>
        <v>3.1012499999999998E-2</v>
      </c>
      <c r="K89" s="1366">
        <f t="shared" si="2"/>
        <v>-0.11328333333333335</v>
      </c>
    </row>
    <row r="90" spans="1:11" x14ac:dyDescent="0.55000000000000004">
      <c r="A90" s="295">
        <v>12145</v>
      </c>
      <c r="B90" s="1368">
        <v>0.42559999999999998</v>
      </c>
      <c r="C90" s="1366">
        <v>0.26349999999999996</v>
      </c>
      <c r="D90" s="1366">
        <v>2.5000000000000001E-3</v>
      </c>
      <c r="E90" s="1366">
        <v>3.9833333333333335E-3</v>
      </c>
      <c r="F90" s="5">
        <v>4.841666666666666E-3</v>
      </c>
      <c r="G90" s="5">
        <v>4.4125000000000006E-3</v>
      </c>
      <c r="H90" s="1366">
        <v>5.7416666666666675E-3</v>
      </c>
      <c r="I90" s="1366">
        <f t="shared" si="3"/>
        <v>0.42309999999999998</v>
      </c>
      <c r="J90" s="1366">
        <f t="shared" si="1"/>
        <v>0.42118749999999999</v>
      </c>
      <c r="K90" s="1366">
        <f t="shared" si="2"/>
        <v>0.25775833333333331</v>
      </c>
    </row>
    <row r="91" spans="1:11" x14ac:dyDescent="0.55000000000000004">
      <c r="A91" s="295">
        <v>12175</v>
      </c>
      <c r="B91" s="1368">
        <v>0.16830000000000001</v>
      </c>
      <c r="C91" s="1366">
        <v>0.17319999999999999</v>
      </c>
      <c r="D91" s="1366">
        <v>2.7999999999999995E-3</v>
      </c>
      <c r="E91" s="1366">
        <v>3.858333333333333E-3</v>
      </c>
      <c r="F91" s="5">
        <v>4.5000000000000005E-3</v>
      </c>
      <c r="G91" s="5">
        <v>4.179166666666667E-3</v>
      </c>
      <c r="H91" s="1366">
        <v>5.416666666666666E-3</v>
      </c>
      <c r="I91" s="1366">
        <f t="shared" si="3"/>
        <v>0.16550000000000001</v>
      </c>
      <c r="J91" s="1366">
        <f t="shared" ref="J91:J154" si="4">B91-G91</f>
        <v>0.16412083333333333</v>
      </c>
      <c r="K91" s="1366">
        <f t="shared" ref="K91:K154" si="5">$C91-H91</f>
        <v>0.16778333333333334</v>
      </c>
    </row>
    <row r="92" spans="1:11" x14ac:dyDescent="0.55000000000000004">
      <c r="A92" s="295">
        <v>12206</v>
      </c>
      <c r="B92" s="1368">
        <v>0.1338</v>
      </c>
      <c r="C92" s="1366">
        <v>0.14259999999999998</v>
      </c>
      <c r="D92" s="1366">
        <v>2.5000000000000001E-3</v>
      </c>
      <c r="E92" s="1366">
        <v>3.7166666666666663E-3</v>
      </c>
      <c r="F92" s="5">
        <v>4.2416666666666662E-3</v>
      </c>
      <c r="G92" s="5">
        <v>3.9791666666666664E-3</v>
      </c>
      <c r="H92" s="1366">
        <v>5.0916666666666662E-3</v>
      </c>
      <c r="I92" s="1366">
        <f t="shared" si="3"/>
        <v>0.1313</v>
      </c>
      <c r="J92" s="1366">
        <f t="shared" si="4"/>
        <v>0.12982083333333333</v>
      </c>
      <c r="K92" s="1366">
        <f t="shared" si="5"/>
        <v>0.13750833333333332</v>
      </c>
    </row>
    <row r="93" spans="1:11" x14ac:dyDescent="0.55000000000000004">
      <c r="A93" s="295">
        <v>12236</v>
      </c>
      <c r="B93" s="1368">
        <v>-8.6199999999999999E-2</v>
      </c>
      <c r="C93" s="1366">
        <v>-0.12039999999999999</v>
      </c>
      <c r="D93" s="1366">
        <v>2.5999999999999999E-3</v>
      </c>
      <c r="E93" s="1366">
        <v>3.6333333333333335E-3</v>
      </c>
      <c r="F93" s="5">
        <v>4.0249999999999999E-3</v>
      </c>
      <c r="G93" s="5">
        <v>3.8291666666666669E-3</v>
      </c>
      <c r="H93" s="1366">
        <v>4.9249999999999997E-3</v>
      </c>
      <c r="I93" s="1366">
        <f t="shared" si="3"/>
        <v>-8.8800000000000004E-2</v>
      </c>
      <c r="J93" s="1366">
        <f t="shared" si="4"/>
        <v>-9.002916666666666E-2</v>
      </c>
      <c r="K93" s="1366">
        <f t="shared" si="5"/>
        <v>-0.12532499999999999</v>
      </c>
    </row>
    <row r="94" spans="1:11" x14ac:dyDescent="0.55000000000000004">
      <c r="A94" s="295">
        <v>12267</v>
      </c>
      <c r="B94" s="1368">
        <v>0.1206</v>
      </c>
      <c r="C94" s="1366">
        <v>-5.5999999999999991E-3</v>
      </c>
      <c r="D94" s="1366">
        <v>2.5999999999999999E-3</v>
      </c>
      <c r="E94" s="1366">
        <v>3.5833333333333333E-3</v>
      </c>
      <c r="F94" s="5">
        <v>3.9749999999999994E-3</v>
      </c>
      <c r="G94" s="5">
        <v>3.7791666666666668E-3</v>
      </c>
      <c r="H94" s="1366">
        <v>4.9833333333333335E-3</v>
      </c>
      <c r="I94" s="1366">
        <f t="shared" si="3"/>
        <v>0.11799999999999999</v>
      </c>
      <c r="J94" s="1366">
        <f t="shared" si="4"/>
        <v>0.11682083333333333</v>
      </c>
      <c r="K94" s="1366">
        <f t="shared" si="5"/>
        <v>-1.0583333333333333E-2</v>
      </c>
    </row>
    <row r="95" spans="1:11" x14ac:dyDescent="0.55000000000000004">
      <c r="A95" s="295">
        <v>12298</v>
      </c>
      <c r="B95" s="1368">
        <v>-0.1118</v>
      </c>
      <c r="C95" s="1366">
        <v>-0.1759</v>
      </c>
      <c r="D95" s="1366">
        <v>2.5000000000000001E-3</v>
      </c>
      <c r="E95" s="1366">
        <v>3.6333333333333335E-3</v>
      </c>
      <c r="F95" s="5">
        <v>4.1333333333333335E-3</v>
      </c>
      <c r="G95" s="5">
        <v>3.8833333333333333E-3</v>
      </c>
      <c r="H95" s="1366">
        <v>5.3E-3</v>
      </c>
      <c r="I95" s="1366">
        <f t="shared" si="3"/>
        <v>-0.1143</v>
      </c>
      <c r="J95" s="1366">
        <f t="shared" si="4"/>
        <v>-0.11568333333333333</v>
      </c>
      <c r="K95" s="1366">
        <f t="shared" si="5"/>
        <v>-0.1812</v>
      </c>
    </row>
    <row r="96" spans="1:11" x14ac:dyDescent="0.55000000000000004">
      <c r="A96" s="295">
        <v>12328</v>
      </c>
      <c r="B96" s="1368">
        <v>-8.5500000000000007E-2</v>
      </c>
      <c r="C96" s="1366">
        <v>-7.1200000000000013E-2</v>
      </c>
      <c r="D96" s="1366">
        <v>2.5999999999999999E-3</v>
      </c>
      <c r="E96" s="1366">
        <v>3.6166666666666665E-3</v>
      </c>
      <c r="F96" s="5">
        <v>4.1416666666666659E-3</v>
      </c>
      <c r="G96" s="5">
        <v>3.8791666666666662E-3</v>
      </c>
      <c r="H96" s="1366">
        <v>5.3E-3</v>
      </c>
      <c r="I96" s="1366">
        <f t="shared" si="3"/>
        <v>-8.8100000000000012E-2</v>
      </c>
      <c r="J96" s="1366">
        <f t="shared" si="4"/>
        <v>-8.9379166666666676E-2</v>
      </c>
      <c r="K96" s="1366">
        <f t="shared" si="5"/>
        <v>-7.6500000000000012E-2</v>
      </c>
    </row>
    <row r="97" spans="1:11" x14ac:dyDescent="0.55000000000000004">
      <c r="A97" s="295">
        <v>12359</v>
      </c>
      <c r="B97" s="1368">
        <v>0.11269999999999999</v>
      </c>
      <c r="C97" s="1366">
        <v>-1.7999999999999999E-2</v>
      </c>
      <c r="D97" s="1366">
        <v>2.5000000000000001E-3</v>
      </c>
      <c r="E97" s="1366">
        <v>3.7833333333333334E-3</v>
      </c>
      <c r="F97" s="5">
        <v>4.4583333333333332E-3</v>
      </c>
      <c r="G97" s="5">
        <v>4.120833333333334E-3</v>
      </c>
      <c r="H97" s="1366">
        <v>5.8833333333333342E-3</v>
      </c>
      <c r="I97" s="1366">
        <f t="shared" si="3"/>
        <v>0.11019999999999999</v>
      </c>
      <c r="J97" s="1366">
        <f t="shared" si="4"/>
        <v>0.10857916666666666</v>
      </c>
      <c r="K97" s="1366">
        <f t="shared" si="5"/>
        <v>-2.3883333333333333E-2</v>
      </c>
    </row>
    <row r="98" spans="1:11" x14ac:dyDescent="0.55000000000000004">
      <c r="A98" s="295">
        <v>12389</v>
      </c>
      <c r="B98" s="1368">
        <v>2.53E-2</v>
      </c>
      <c r="C98" s="1366">
        <v>1.26E-2</v>
      </c>
      <c r="D98" s="1366">
        <v>2.7999999999999995E-3</v>
      </c>
      <c r="E98" s="1366">
        <v>3.7499999999999999E-3</v>
      </c>
      <c r="F98" s="5">
        <v>4.3916666666666661E-3</v>
      </c>
      <c r="G98" s="5">
        <v>4.0708333333333334E-3</v>
      </c>
      <c r="H98" s="1366">
        <v>6.0166666666666667E-3</v>
      </c>
      <c r="I98" s="1366">
        <f t="shared" si="3"/>
        <v>2.2499999999999999E-2</v>
      </c>
      <c r="J98" s="1366">
        <f t="shared" si="4"/>
        <v>2.1229166666666667E-2</v>
      </c>
      <c r="K98" s="1366">
        <f t="shared" si="5"/>
        <v>6.5833333333333334E-3</v>
      </c>
    </row>
    <row r="99" spans="1:11" x14ac:dyDescent="0.55000000000000004">
      <c r="A99" s="295">
        <v>12420</v>
      </c>
      <c r="B99" s="1368">
        <v>0.1069</v>
      </c>
      <c r="C99" s="1366">
        <v>0.17460000000000001</v>
      </c>
      <c r="D99" s="1366">
        <v>2.8999999999999998E-3</v>
      </c>
      <c r="E99" s="1366">
        <v>3.6249999999999998E-3</v>
      </c>
      <c r="F99" s="5">
        <v>4.1666666666666666E-3</v>
      </c>
      <c r="G99" s="5">
        <v>3.8958333333333332E-3</v>
      </c>
      <c r="H99" s="1366">
        <v>5.4666666666666674E-3</v>
      </c>
      <c r="I99" s="1366">
        <f t="shared" si="3"/>
        <v>0.104</v>
      </c>
      <c r="J99" s="1366">
        <f t="shared" si="4"/>
        <v>0.10300416666666666</v>
      </c>
      <c r="K99" s="1366">
        <f t="shared" si="5"/>
        <v>0.16913333333333333</v>
      </c>
    </row>
    <row r="100" spans="1:11" x14ac:dyDescent="0.55000000000000004">
      <c r="A100" s="295">
        <v>12451</v>
      </c>
      <c r="B100" s="1368">
        <v>-3.2199999999999999E-2</v>
      </c>
      <c r="C100" s="1366">
        <v>-2.4199999999999999E-2</v>
      </c>
      <c r="D100" s="1366">
        <v>2.3999999999999998E-3</v>
      </c>
      <c r="E100" s="1366">
        <v>3.5000000000000005E-3</v>
      </c>
      <c r="F100" s="5">
        <v>3.9166666666666664E-3</v>
      </c>
      <c r="G100" s="5">
        <v>3.7083333333333334E-3</v>
      </c>
      <c r="H100" s="1366">
        <v>4.816666666666667E-3</v>
      </c>
      <c r="I100" s="1366">
        <f t="shared" si="3"/>
        <v>-3.4599999999999999E-2</v>
      </c>
      <c r="J100" s="1366">
        <f t="shared" si="4"/>
        <v>-3.5908333333333334E-2</v>
      </c>
      <c r="K100" s="1366">
        <f t="shared" si="5"/>
        <v>-2.9016666666666666E-2</v>
      </c>
    </row>
    <row r="101" spans="1:11" x14ac:dyDescent="0.55000000000000004">
      <c r="A101" s="295">
        <v>12479</v>
      </c>
      <c r="B101" s="1368">
        <v>0</v>
      </c>
      <c r="C101" s="1366">
        <v>-1.1099999999999999E-2</v>
      </c>
      <c r="D101" s="1366">
        <v>2.7000000000000001E-3</v>
      </c>
      <c r="E101" s="1366">
        <v>3.4416666666666667E-3</v>
      </c>
      <c r="F101" s="5">
        <v>3.7916666666666667E-3</v>
      </c>
      <c r="G101" s="5">
        <v>3.6166666666666669E-3</v>
      </c>
      <c r="H101" s="1366">
        <v>4.7166666666666668E-3</v>
      </c>
      <c r="I101" s="1366">
        <f t="shared" si="3"/>
        <v>-2.7000000000000001E-3</v>
      </c>
      <c r="J101" s="1366">
        <f t="shared" si="4"/>
        <v>-3.6166666666666669E-3</v>
      </c>
      <c r="K101" s="1366">
        <f t="shared" si="5"/>
        <v>-1.5816666666666666E-2</v>
      </c>
    </row>
    <row r="102" spans="1:11" x14ac:dyDescent="0.55000000000000004">
      <c r="A102" s="295">
        <v>12510</v>
      </c>
      <c r="B102" s="1368">
        <v>-2.5100000000000001E-2</v>
      </c>
      <c r="C102" s="1366">
        <v>-3.5099999999999999E-2</v>
      </c>
      <c r="D102" s="1366">
        <v>2.5000000000000001E-3</v>
      </c>
      <c r="E102" s="1366">
        <v>3.3916666666666665E-3</v>
      </c>
      <c r="F102" s="5">
        <v>3.6916666666666664E-3</v>
      </c>
      <c r="G102" s="5">
        <v>3.5416666666666665E-3</v>
      </c>
      <c r="H102" s="1366">
        <v>4.5333333333333337E-3</v>
      </c>
      <c r="I102" s="1366">
        <f t="shared" si="3"/>
        <v>-2.76E-2</v>
      </c>
      <c r="J102" s="1366">
        <f t="shared" si="4"/>
        <v>-2.8641666666666666E-2</v>
      </c>
      <c r="K102" s="1366">
        <f t="shared" si="5"/>
        <v>-3.9633333333333333E-2</v>
      </c>
    </row>
    <row r="103" spans="1:11" x14ac:dyDescent="0.55000000000000004">
      <c r="A103" s="295">
        <v>12540</v>
      </c>
      <c r="B103" s="1368">
        <v>-7.3599999999999999E-2</v>
      </c>
      <c r="C103" s="1366">
        <v>-7.6499999999999999E-2</v>
      </c>
      <c r="D103" s="1366">
        <v>2.5000000000000001E-3</v>
      </c>
      <c r="E103" s="1366">
        <v>3.3416666666666668E-3</v>
      </c>
      <c r="F103" s="5">
        <v>3.6416666666666667E-3</v>
      </c>
      <c r="G103" s="5">
        <v>3.4916666666666668E-3</v>
      </c>
      <c r="H103" s="1366">
        <v>4.4916666666666664E-3</v>
      </c>
      <c r="I103" s="1366">
        <f t="shared" si="3"/>
        <v>-7.6100000000000001E-2</v>
      </c>
      <c r="J103" s="1366">
        <f t="shared" si="4"/>
        <v>-7.7091666666666669E-2</v>
      </c>
      <c r="K103" s="1366">
        <f t="shared" si="5"/>
        <v>-8.099166666666667E-2</v>
      </c>
    </row>
    <row r="104" spans="1:11" x14ac:dyDescent="0.55000000000000004">
      <c r="A104" s="295">
        <v>12571</v>
      </c>
      <c r="B104" s="1368">
        <v>2.29E-2</v>
      </c>
      <c r="C104" s="1366">
        <v>4.7800000000000002E-2</v>
      </c>
      <c r="D104" s="1366">
        <v>2.3999999999999998E-3</v>
      </c>
      <c r="E104" s="1366">
        <v>3.2750000000000001E-3</v>
      </c>
      <c r="F104" s="5">
        <v>3.5833333333333333E-3</v>
      </c>
      <c r="G104" s="5">
        <v>3.4291666666666663E-3</v>
      </c>
      <c r="H104" s="1366">
        <v>4.5000000000000005E-3</v>
      </c>
      <c r="I104" s="1366">
        <f t="shared" si="3"/>
        <v>2.0500000000000001E-2</v>
      </c>
      <c r="J104" s="1366">
        <f t="shared" si="4"/>
        <v>1.9470833333333333E-2</v>
      </c>
      <c r="K104" s="1366">
        <f t="shared" si="5"/>
        <v>4.3300000000000005E-2</v>
      </c>
    </row>
    <row r="105" spans="1:11" x14ac:dyDescent="0.55000000000000004">
      <c r="A105" s="295">
        <v>12601</v>
      </c>
      <c r="B105" s="1368">
        <v>-0.1132</v>
      </c>
      <c r="C105" s="1366">
        <v>-0.1603</v>
      </c>
      <c r="D105" s="1366">
        <v>2.3999999999999998E-3</v>
      </c>
      <c r="E105" s="1366">
        <v>3.2416666666666666E-3</v>
      </c>
      <c r="F105" s="5">
        <v>3.5666666666666668E-3</v>
      </c>
      <c r="G105" s="5">
        <v>3.4041666666666669E-3</v>
      </c>
      <c r="H105" s="1366">
        <v>4.4083333333333335E-3</v>
      </c>
      <c r="I105" s="1366">
        <f t="shared" si="3"/>
        <v>-0.11559999999999999</v>
      </c>
      <c r="J105" s="1366">
        <f t="shared" si="4"/>
        <v>-0.11660416666666666</v>
      </c>
      <c r="K105" s="1366">
        <f t="shared" si="5"/>
        <v>-0.16470833333333335</v>
      </c>
    </row>
    <row r="106" spans="1:11" x14ac:dyDescent="0.55000000000000004">
      <c r="A106" s="295">
        <v>12632</v>
      </c>
      <c r="B106" s="1368">
        <v>6.1100000000000002E-2</v>
      </c>
      <c r="C106" s="1366">
        <v>2.69E-2</v>
      </c>
      <c r="D106" s="1366">
        <v>2.3999999999999998E-3</v>
      </c>
      <c r="E106" s="1366">
        <v>3.2750000000000001E-3</v>
      </c>
      <c r="F106" s="5">
        <v>3.6166666666666665E-3</v>
      </c>
      <c r="G106" s="5">
        <v>3.4458333333333337E-3</v>
      </c>
      <c r="H106" s="1366">
        <v>4.5249999999999995E-3</v>
      </c>
      <c r="I106" s="1366">
        <f t="shared" si="3"/>
        <v>5.8700000000000002E-2</v>
      </c>
      <c r="J106" s="1366">
        <f t="shared" si="4"/>
        <v>5.7654166666666666E-2</v>
      </c>
      <c r="K106" s="1366">
        <f t="shared" si="5"/>
        <v>2.2374999999999999E-2</v>
      </c>
    </row>
    <row r="107" spans="1:11" x14ac:dyDescent="0.55000000000000004">
      <c r="A107" s="295">
        <v>12663</v>
      </c>
      <c r="B107" s="1368">
        <v>-3.3E-3</v>
      </c>
      <c r="C107" s="1366">
        <v>9.4999999999999998E-3</v>
      </c>
      <c r="D107" s="1366">
        <v>2.3E-3</v>
      </c>
      <c r="E107" s="1366">
        <v>3.3E-3</v>
      </c>
      <c r="F107" s="5">
        <v>3.6833333333333336E-3</v>
      </c>
      <c r="G107" s="5">
        <v>3.4916666666666668E-3</v>
      </c>
      <c r="H107" s="1366">
        <v>4.6333333333333339E-3</v>
      </c>
      <c r="I107" s="1366">
        <f t="shared" si="3"/>
        <v>-5.5999999999999999E-3</v>
      </c>
      <c r="J107" s="1366">
        <f t="shared" si="4"/>
        <v>-6.7916666666666663E-3</v>
      </c>
      <c r="K107" s="1366">
        <f t="shared" si="5"/>
        <v>4.8666666666666658E-3</v>
      </c>
    </row>
    <row r="108" spans="1:11" x14ac:dyDescent="0.55000000000000004">
      <c r="A108" s="295">
        <v>12693</v>
      </c>
      <c r="B108" s="1368">
        <v>-2.86E-2</v>
      </c>
      <c r="C108" s="1366">
        <v>-6.6599999999999993E-2</v>
      </c>
      <c r="D108" s="1366">
        <v>2.7000000000000001E-3</v>
      </c>
      <c r="E108" s="1366">
        <v>3.2500000000000003E-3</v>
      </c>
      <c r="F108" s="5">
        <v>3.6333333333333335E-3</v>
      </c>
      <c r="G108" s="5">
        <v>3.4416666666666667E-3</v>
      </c>
      <c r="H108" s="1366">
        <v>4.5000000000000005E-3</v>
      </c>
      <c r="I108" s="1366">
        <f t="shared" si="3"/>
        <v>-3.1300000000000001E-2</v>
      </c>
      <c r="J108" s="1366">
        <f t="shared" si="4"/>
        <v>-3.204166666666667E-2</v>
      </c>
      <c r="K108" s="1366">
        <f t="shared" si="5"/>
        <v>-7.1099999999999997E-2</v>
      </c>
    </row>
    <row r="109" spans="1:11" x14ac:dyDescent="0.55000000000000004">
      <c r="A109" s="295">
        <v>12724</v>
      </c>
      <c r="B109" s="1368">
        <v>9.4200000000000006E-2</v>
      </c>
      <c r="C109" s="1366">
        <v>-4.8000000000000004E-3</v>
      </c>
      <c r="D109" s="1366">
        <v>2.5000000000000001E-3</v>
      </c>
      <c r="E109" s="1366">
        <v>3.2166666666666667E-3</v>
      </c>
      <c r="F109" s="5">
        <v>3.5666666666666668E-3</v>
      </c>
      <c r="G109" s="5">
        <v>3.3916666666666665E-3</v>
      </c>
      <c r="H109" s="1366">
        <v>4.4833333333333331E-3</v>
      </c>
      <c r="I109" s="1366">
        <f t="shared" si="3"/>
        <v>9.1700000000000004E-2</v>
      </c>
      <c r="J109" s="1366">
        <f t="shared" si="4"/>
        <v>9.0808333333333338E-2</v>
      </c>
      <c r="K109" s="1366">
        <f t="shared" si="5"/>
        <v>-9.2833333333333344E-3</v>
      </c>
    </row>
    <row r="110" spans="1:11" x14ac:dyDescent="0.55000000000000004">
      <c r="A110" s="295">
        <v>12754</v>
      </c>
      <c r="B110" s="1368">
        <v>-1E-3</v>
      </c>
      <c r="C110" s="1366">
        <v>-7.010000000000001E-2</v>
      </c>
      <c r="D110" s="1366">
        <v>2.5000000000000001E-3</v>
      </c>
      <c r="E110" s="1366">
        <v>3.1749999999999999E-3</v>
      </c>
      <c r="F110" s="5">
        <v>3.5583333333333326E-3</v>
      </c>
      <c r="G110" s="5">
        <v>3.3666666666666667E-3</v>
      </c>
      <c r="H110" s="1366">
        <v>4.4666666666666674E-3</v>
      </c>
      <c r="I110" s="1366">
        <f t="shared" si="3"/>
        <v>-3.5000000000000001E-3</v>
      </c>
      <c r="J110" s="1366">
        <f t="shared" si="4"/>
        <v>-4.3666666666666663E-3</v>
      </c>
      <c r="K110" s="1366">
        <f t="shared" si="5"/>
        <v>-7.456666666666667E-2</v>
      </c>
    </row>
    <row r="111" spans="1:11" x14ac:dyDescent="0.55000000000000004">
      <c r="A111" s="295">
        <v>12785</v>
      </c>
      <c r="B111" s="1368">
        <v>-4.1099999999999998E-2</v>
      </c>
      <c r="C111" s="1366">
        <v>-2.3099999999999999E-2</v>
      </c>
      <c r="D111" s="1366">
        <v>2.5000000000000001E-3</v>
      </c>
      <c r="E111" s="1366">
        <v>3.1416666666666663E-3</v>
      </c>
      <c r="F111" s="5">
        <v>3.5083333333333334E-3</v>
      </c>
      <c r="G111" s="5">
        <v>3.3250000000000003E-3</v>
      </c>
      <c r="H111" s="1366">
        <v>4.3166666666666666E-3</v>
      </c>
      <c r="I111" s="1366">
        <f t="shared" si="3"/>
        <v>-4.36E-2</v>
      </c>
      <c r="J111" s="1366">
        <f t="shared" si="4"/>
        <v>-4.4424999999999999E-2</v>
      </c>
      <c r="K111" s="1366">
        <f t="shared" si="5"/>
        <v>-2.7416666666666666E-2</v>
      </c>
    </row>
    <row r="112" spans="1:11" x14ac:dyDescent="0.55000000000000004">
      <c r="A112" s="295">
        <v>12816</v>
      </c>
      <c r="B112" s="1368">
        <v>-3.4099999999999998E-2</v>
      </c>
      <c r="C112" s="1366">
        <v>-0.11360000000000001</v>
      </c>
      <c r="D112" s="1366">
        <v>2.0999999999999999E-3</v>
      </c>
      <c r="E112" s="1366">
        <v>3.075E-3</v>
      </c>
      <c r="F112" s="5">
        <v>3.4416666666666667E-3</v>
      </c>
      <c r="G112" s="5">
        <v>3.2583333333333331E-3</v>
      </c>
      <c r="H112" s="1366">
        <v>4.1333333333333335E-3</v>
      </c>
      <c r="I112" s="1366">
        <f t="shared" si="3"/>
        <v>-3.6199999999999996E-2</v>
      </c>
      <c r="J112" s="1366">
        <f t="shared" si="4"/>
        <v>-3.7358333333333334E-2</v>
      </c>
      <c r="K112" s="1366">
        <f t="shared" si="5"/>
        <v>-0.11773333333333334</v>
      </c>
    </row>
    <row r="113" spans="1:11" x14ac:dyDescent="0.55000000000000004">
      <c r="A113" s="295">
        <v>12844</v>
      </c>
      <c r="B113" s="1368">
        <v>-2.86E-2</v>
      </c>
      <c r="C113" s="1366">
        <v>0.1043</v>
      </c>
      <c r="D113" s="1366">
        <v>2.2000000000000001E-3</v>
      </c>
      <c r="E113" s="1366">
        <v>3.0583333333333335E-3</v>
      </c>
      <c r="F113" s="5">
        <v>3.4250000000000001E-3</v>
      </c>
      <c r="G113" s="5">
        <v>3.241666666666667E-3</v>
      </c>
      <c r="H113" s="1366">
        <v>4.0666666666666663E-3</v>
      </c>
      <c r="I113" s="1366">
        <f t="shared" si="3"/>
        <v>-3.0800000000000001E-2</v>
      </c>
      <c r="J113" s="1366">
        <f t="shared" si="4"/>
        <v>-3.1841666666666671E-2</v>
      </c>
      <c r="K113" s="1366">
        <f t="shared" si="5"/>
        <v>0.10023333333333334</v>
      </c>
    </row>
    <row r="114" spans="1:11" x14ac:dyDescent="0.55000000000000004">
      <c r="A114" s="295">
        <v>12875</v>
      </c>
      <c r="B114" s="1368">
        <v>9.8000000000000004E-2</v>
      </c>
      <c r="C114" s="1366">
        <v>0.11779999999999999</v>
      </c>
      <c r="D114" s="1366">
        <v>2.3E-3</v>
      </c>
      <c r="E114" s="1366">
        <v>3.0499999999999998E-3</v>
      </c>
      <c r="F114" s="5">
        <v>3.4000000000000002E-3</v>
      </c>
      <c r="G114" s="5">
        <v>3.225E-3</v>
      </c>
      <c r="H114" s="1366">
        <v>3.9916666666666668E-3</v>
      </c>
      <c r="I114" s="1366">
        <f t="shared" si="3"/>
        <v>9.5700000000000007E-2</v>
      </c>
      <c r="J114" s="1366">
        <f t="shared" si="4"/>
        <v>9.4774999999999998E-2</v>
      </c>
      <c r="K114" s="1366">
        <f t="shared" si="5"/>
        <v>0.11380833333333332</v>
      </c>
    </row>
    <row r="115" spans="1:11" x14ac:dyDescent="0.55000000000000004">
      <c r="A115" s="295">
        <v>12905</v>
      </c>
      <c r="B115" s="1368">
        <v>4.0899999999999999E-2</v>
      </c>
      <c r="C115" s="1366">
        <v>0.1106</v>
      </c>
      <c r="D115" s="1366">
        <v>2.3E-3</v>
      </c>
      <c r="E115" s="1366">
        <v>3.0416666666666665E-3</v>
      </c>
      <c r="F115" s="5">
        <v>3.3583333333333338E-3</v>
      </c>
      <c r="G115" s="5">
        <v>3.2000000000000002E-3</v>
      </c>
      <c r="H115" s="1366">
        <v>3.8416666666666673E-3</v>
      </c>
      <c r="I115" s="1366">
        <f t="shared" si="3"/>
        <v>3.8599999999999995E-2</v>
      </c>
      <c r="J115" s="1366">
        <f t="shared" si="4"/>
        <v>3.7699999999999997E-2</v>
      </c>
      <c r="K115" s="1366">
        <f t="shared" si="5"/>
        <v>0.10675833333333333</v>
      </c>
    </row>
    <row r="116" spans="1:11" x14ac:dyDescent="0.55000000000000004">
      <c r="A116" s="295">
        <v>12936</v>
      </c>
      <c r="B116" s="1368">
        <v>6.9900000000000004E-2</v>
      </c>
      <c r="C116" s="1366">
        <v>0.1036</v>
      </c>
      <c r="D116" s="1366">
        <v>2.2000000000000001E-3</v>
      </c>
      <c r="E116" s="1366">
        <v>3.0083333333333333E-3</v>
      </c>
      <c r="F116" s="5">
        <v>3.3250000000000003E-3</v>
      </c>
      <c r="G116" s="5">
        <v>3.1666666666666666E-3</v>
      </c>
      <c r="H116" s="1366">
        <v>3.7750000000000001E-3</v>
      </c>
      <c r="I116" s="1366">
        <f t="shared" si="3"/>
        <v>6.770000000000001E-2</v>
      </c>
      <c r="J116" s="1366">
        <f t="shared" si="4"/>
        <v>6.6733333333333339E-2</v>
      </c>
      <c r="K116" s="1366">
        <f t="shared" si="5"/>
        <v>9.9824999999999997E-2</v>
      </c>
    </row>
    <row r="117" spans="1:11" x14ac:dyDescent="0.55000000000000004">
      <c r="A117" s="295">
        <v>12966</v>
      </c>
      <c r="B117" s="1368">
        <v>8.5000000000000006E-2</v>
      </c>
      <c r="C117" s="1366">
        <v>8.6999999999999994E-2</v>
      </c>
      <c r="D117" s="1366">
        <v>2.3999999999999998E-3</v>
      </c>
      <c r="E117" s="1366">
        <v>2.9666666666666669E-3</v>
      </c>
      <c r="F117" s="5">
        <v>3.2416666666666666E-3</v>
      </c>
      <c r="G117" s="5">
        <v>3.1041666666666665E-3</v>
      </c>
      <c r="H117" s="1366">
        <v>3.6833333333333336E-3</v>
      </c>
      <c r="I117" s="1366">
        <f t="shared" si="3"/>
        <v>8.2600000000000007E-2</v>
      </c>
      <c r="J117" s="1366">
        <f t="shared" si="4"/>
        <v>8.1895833333333334E-2</v>
      </c>
      <c r="K117" s="1366">
        <f t="shared" si="5"/>
        <v>8.3316666666666664E-2</v>
      </c>
    </row>
    <row r="118" spans="1:11" x14ac:dyDescent="0.55000000000000004">
      <c r="A118" s="295">
        <v>12997</v>
      </c>
      <c r="B118" s="1368">
        <v>2.8000000000000001E-2</v>
      </c>
      <c r="C118" s="1366">
        <v>5.6299999999999996E-2</v>
      </c>
      <c r="D118" s="1366">
        <v>2.3E-3</v>
      </c>
      <c r="E118" s="1366">
        <v>3.0000000000000001E-3</v>
      </c>
      <c r="F118" s="5">
        <v>3.225E-3</v>
      </c>
      <c r="G118" s="5">
        <v>3.1125000000000002E-3</v>
      </c>
      <c r="H118" s="1366">
        <v>3.7000000000000006E-3</v>
      </c>
      <c r="I118" s="1366">
        <f t="shared" si="3"/>
        <v>2.5700000000000001E-2</v>
      </c>
      <c r="J118" s="1366">
        <f t="shared" si="4"/>
        <v>2.48875E-2</v>
      </c>
      <c r="K118" s="1366">
        <f t="shared" si="5"/>
        <v>5.2599999999999994E-2</v>
      </c>
    </row>
    <row r="119" spans="1:11" x14ac:dyDescent="0.55000000000000004">
      <c r="A119" s="295">
        <v>13028</v>
      </c>
      <c r="B119" s="1368">
        <v>2.5600000000000001E-2</v>
      </c>
      <c r="C119" s="1366">
        <v>-1.2199999999999999E-2</v>
      </c>
      <c r="D119" s="1366">
        <v>2.3E-3</v>
      </c>
      <c r="E119" s="1366">
        <v>2.9916666666666663E-3</v>
      </c>
      <c r="F119" s="5">
        <v>3.2083333333333334E-3</v>
      </c>
      <c r="G119" s="5">
        <v>3.0999999999999999E-3</v>
      </c>
      <c r="H119" s="1366">
        <v>3.6916666666666664E-3</v>
      </c>
      <c r="I119" s="1366">
        <f t="shared" si="3"/>
        <v>2.3300000000000001E-2</v>
      </c>
      <c r="J119" s="1366">
        <f t="shared" si="4"/>
        <v>2.2500000000000003E-2</v>
      </c>
      <c r="K119" s="1366">
        <f t="shared" si="5"/>
        <v>-1.5891666666666665E-2</v>
      </c>
    </row>
    <row r="120" spans="1:11" x14ac:dyDescent="0.55000000000000004">
      <c r="A120" s="295">
        <v>13058</v>
      </c>
      <c r="B120" s="1368">
        <v>7.7700000000000005E-2</v>
      </c>
      <c r="C120" s="1366">
        <v>0.12240000000000001</v>
      </c>
      <c r="D120" s="1366">
        <v>2.3E-3</v>
      </c>
      <c r="E120" s="1366">
        <v>2.9333333333333334E-3</v>
      </c>
      <c r="F120" s="5">
        <v>3.1833333333333332E-3</v>
      </c>
      <c r="G120" s="5">
        <v>3.058333333333333E-3</v>
      </c>
      <c r="H120" s="1366">
        <v>3.666666666666667E-3</v>
      </c>
      <c r="I120" s="1366">
        <f t="shared" si="3"/>
        <v>7.5400000000000009E-2</v>
      </c>
      <c r="J120" s="1366">
        <f t="shared" si="4"/>
        <v>7.4641666666666676E-2</v>
      </c>
      <c r="K120" s="1366">
        <f t="shared" si="5"/>
        <v>0.11873333333333334</v>
      </c>
    </row>
    <row r="121" spans="1:11" x14ac:dyDescent="0.55000000000000004">
      <c r="A121" s="295">
        <v>13089</v>
      </c>
      <c r="B121" s="1368">
        <v>4.7399999999999998E-2</v>
      </c>
      <c r="C121" s="1366">
        <v>1.0800000000000001E-2</v>
      </c>
      <c r="D121" s="1366">
        <v>2.3999999999999998E-3</v>
      </c>
      <c r="E121" s="1366">
        <v>2.891666666666667E-3</v>
      </c>
      <c r="F121" s="5">
        <v>3.1083333333333336E-3</v>
      </c>
      <c r="G121" s="5">
        <v>3.0000000000000005E-3</v>
      </c>
      <c r="H121" s="1366">
        <v>3.6249999999999998E-3</v>
      </c>
      <c r="I121" s="1366">
        <f t="shared" si="3"/>
        <v>4.4999999999999998E-2</v>
      </c>
      <c r="J121" s="1366">
        <f t="shared" si="4"/>
        <v>4.4399999999999995E-2</v>
      </c>
      <c r="K121" s="1366">
        <f t="shared" si="5"/>
        <v>7.1750000000000008E-3</v>
      </c>
    </row>
    <row r="122" spans="1:11" x14ac:dyDescent="0.55000000000000004">
      <c r="A122" s="295">
        <v>13119</v>
      </c>
      <c r="B122" s="1368">
        <v>3.9399999999999998E-2</v>
      </c>
      <c r="C122" s="1366">
        <v>4.7900000000000012E-2</v>
      </c>
      <c r="D122" s="1366">
        <v>2.3999999999999998E-3</v>
      </c>
      <c r="E122" s="1366">
        <v>2.8666666666666667E-3</v>
      </c>
      <c r="F122" s="5">
        <v>3.0416666666666665E-3</v>
      </c>
      <c r="G122" s="5">
        <v>2.9541666666666666E-3</v>
      </c>
      <c r="H122" s="1366">
        <v>3.5750000000000001E-3</v>
      </c>
      <c r="I122" s="1366">
        <f t="shared" si="3"/>
        <v>3.6999999999999998E-2</v>
      </c>
      <c r="J122" s="1366">
        <f t="shared" si="4"/>
        <v>3.644583333333333E-2</v>
      </c>
      <c r="K122" s="1366">
        <f t="shared" si="5"/>
        <v>4.432500000000001E-2</v>
      </c>
    </row>
    <row r="123" spans="1:11" x14ac:dyDescent="0.55000000000000004">
      <c r="A123" s="295">
        <v>13150</v>
      </c>
      <c r="B123" s="1368">
        <v>6.7000000000000004E-2</v>
      </c>
      <c r="C123" s="1366">
        <v>0.11030000000000001</v>
      </c>
      <c r="D123" s="1366">
        <v>2.3999999999999998E-3</v>
      </c>
      <c r="E123" s="1366">
        <v>2.8083333333333333E-3</v>
      </c>
      <c r="F123" s="5">
        <v>2.9749999999999998E-3</v>
      </c>
      <c r="G123" s="5">
        <v>2.891666666666667E-3</v>
      </c>
      <c r="H123" s="1366">
        <v>3.5083333333333334E-3</v>
      </c>
      <c r="I123" s="1366">
        <f t="shared" si="3"/>
        <v>6.4600000000000005E-2</v>
      </c>
      <c r="J123" s="1366">
        <f t="shared" si="4"/>
        <v>6.4108333333333337E-2</v>
      </c>
      <c r="K123" s="1366">
        <f t="shared" si="5"/>
        <v>0.10679166666666667</v>
      </c>
    </row>
    <row r="124" spans="1:11" x14ac:dyDescent="0.55000000000000004">
      <c r="A124" s="295">
        <v>13181</v>
      </c>
      <c r="B124" s="1368">
        <v>2.24E-2</v>
      </c>
      <c r="C124" s="1366">
        <v>-3.4200000000000001E-2</v>
      </c>
      <c r="D124" s="1366">
        <v>2.3E-3</v>
      </c>
      <c r="E124" s="1366">
        <v>2.7666666666666668E-3</v>
      </c>
      <c r="F124" s="5">
        <v>2.9583333333333332E-3</v>
      </c>
      <c r="G124" s="5">
        <v>2.8625E-3</v>
      </c>
      <c r="H124" s="1366">
        <v>3.4749999999999998E-3</v>
      </c>
      <c r="I124" s="1366">
        <f t="shared" si="3"/>
        <v>2.01E-2</v>
      </c>
      <c r="J124" s="1366">
        <f t="shared" si="4"/>
        <v>1.9537499999999999E-2</v>
      </c>
      <c r="K124" s="1366">
        <f t="shared" si="5"/>
        <v>-3.7675E-2</v>
      </c>
    </row>
    <row r="125" spans="1:11" x14ac:dyDescent="0.55000000000000004">
      <c r="A125" s="295">
        <v>13210</v>
      </c>
      <c r="B125" s="1368">
        <v>2.6800000000000001E-2</v>
      </c>
      <c r="C125" s="1366">
        <v>3.3E-3</v>
      </c>
      <c r="D125" s="1366">
        <v>2.3999999999999998E-3</v>
      </c>
      <c r="E125" s="1366">
        <v>2.7416666666666666E-3</v>
      </c>
      <c r="F125" s="5">
        <v>2.9583333333333332E-3</v>
      </c>
      <c r="G125" s="5">
        <v>2.8500000000000001E-3</v>
      </c>
      <c r="H125" s="1366">
        <v>3.4749999999999998E-3</v>
      </c>
      <c r="I125" s="1366">
        <f t="shared" si="3"/>
        <v>2.4400000000000002E-2</v>
      </c>
      <c r="J125" s="1366">
        <f t="shared" si="4"/>
        <v>2.3949999999999999E-2</v>
      </c>
      <c r="K125" s="1366">
        <f t="shared" si="5"/>
        <v>-1.7499999999999981E-4</v>
      </c>
    </row>
    <row r="126" spans="1:11" x14ac:dyDescent="0.55000000000000004">
      <c r="A126" s="295">
        <v>13241</v>
      </c>
      <c r="B126" s="1368">
        <v>-7.51E-2</v>
      </c>
      <c r="C126" s="1366">
        <v>-8.14E-2</v>
      </c>
      <c r="D126" s="1366">
        <v>2.2000000000000001E-3</v>
      </c>
      <c r="E126" s="1366">
        <v>2.7416666666666666E-3</v>
      </c>
      <c r="F126" s="5">
        <v>2.9749999999999998E-3</v>
      </c>
      <c r="G126" s="5">
        <v>2.8583333333333334E-3</v>
      </c>
      <c r="H126" s="1366">
        <v>3.4749999999999998E-3</v>
      </c>
      <c r="I126" s="1366">
        <f t="shared" si="3"/>
        <v>-7.7299999999999994E-2</v>
      </c>
      <c r="J126" s="1366">
        <f t="shared" si="4"/>
        <v>-7.7958333333333338E-2</v>
      </c>
      <c r="K126" s="1366">
        <f t="shared" si="5"/>
        <v>-8.4875000000000006E-2</v>
      </c>
    </row>
    <row r="127" spans="1:11" x14ac:dyDescent="0.55000000000000004">
      <c r="A127" s="295">
        <v>13271</v>
      </c>
      <c r="B127" s="1368">
        <v>5.45E-2</v>
      </c>
      <c r="C127" s="1366">
        <v>7.6100000000000001E-2</v>
      </c>
      <c r="D127" s="1366">
        <v>2.2000000000000001E-3</v>
      </c>
      <c r="E127" s="1366">
        <v>2.725E-3</v>
      </c>
      <c r="F127" s="5">
        <v>2.9416666666666662E-3</v>
      </c>
      <c r="G127" s="5">
        <v>2.8333333333333331E-3</v>
      </c>
      <c r="H127" s="1366">
        <v>3.4499999999999999E-3</v>
      </c>
      <c r="I127" s="1366">
        <f t="shared" si="3"/>
        <v>5.2299999999999999E-2</v>
      </c>
      <c r="J127" s="1366">
        <f t="shared" si="4"/>
        <v>5.1666666666666666E-2</v>
      </c>
      <c r="K127" s="1366">
        <f t="shared" si="5"/>
        <v>7.2650000000000006E-2</v>
      </c>
    </row>
    <row r="128" spans="1:11" x14ac:dyDescent="0.55000000000000004">
      <c r="A128" s="295">
        <v>13302</v>
      </c>
      <c r="B128" s="1368">
        <v>3.3300000000000003E-2</v>
      </c>
      <c r="C128" s="1366">
        <v>3.5000000000000003E-2</v>
      </c>
      <c r="D128" s="1366">
        <v>2.3999999999999998E-3</v>
      </c>
      <c r="E128" s="1366">
        <v>2.7000000000000001E-3</v>
      </c>
      <c r="F128" s="5">
        <v>2.9249999999999996E-3</v>
      </c>
      <c r="G128" s="5">
        <v>2.8124999999999999E-3</v>
      </c>
      <c r="H128" s="1366">
        <v>3.4333333333333334E-3</v>
      </c>
      <c r="I128" s="1366">
        <f t="shared" si="3"/>
        <v>3.0900000000000004E-2</v>
      </c>
      <c r="J128" s="1366">
        <f t="shared" si="4"/>
        <v>3.0487500000000004E-2</v>
      </c>
      <c r="K128" s="1366">
        <f t="shared" si="5"/>
        <v>3.1566666666666673E-2</v>
      </c>
    </row>
    <row r="129" spans="1:11" x14ac:dyDescent="0.55000000000000004">
      <c r="A129" s="295">
        <v>13332</v>
      </c>
      <c r="B129" s="1368">
        <v>7.0099999999999996E-2</v>
      </c>
      <c r="C129" s="1366">
        <v>0.1009</v>
      </c>
      <c r="D129" s="1366">
        <v>2.3E-3</v>
      </c>
      <c r="E129" s="1366">
        <v>2.6916666666666669E-3</v>
      </c>
      <c r="F129" s="5">
        <v>2.8999999999999998E-3</v>
      </c>
      <c r="G129" s="5">
        <v>2.7958333333333329E-3</v>
      </c>
      <c r="H129" s="1366">
        <v>3.3916666666666665E-3</v>
      </c>
      <c r="I129" s="1366">
        <f t="shared" si="3"/>
        <v>6.7799999999999999E-2</v>
      </c>
      <c r="J129" s="1366">
        <f t="shared" si="4"/>
        <v>6.7304166666666665E-2</v>
      </c>
      <c r="K129" s="1366">
        <f t="shared" si="5"/>
        <v>9.7508333333333336E-2</v>
      </c>
    </row>
    <row r="130" spans="1:11" x14ac:dyDescent="0.55000000000000004">
      <c r="A130" s="295">
        <v>13363</v>
      </c>
      <c r="B130" s="1368">
        <v>1.5100000000000001E-2</v>
      </c>
      <c r="C130" s="1366">
        <v>-1.8E-3</v>
      </c>
      <c r="D130" s="1366">
        <v>2.3E-3</v>
      </c>
      <c r="E130" s="1366">
        <v>2.6750000000000003E-3</v>
      </c>
      <c r="F130" s="5">
        <v>2.8666666666666667E-3</v>
      </c>
      <c r="G130" s="5">
        <v>2.7708333333333335E-3</v>
      </c>
      <c r="H130" s="1366">
        <v>3.3833333333333332E-3</v>
      </c>
      <c r="I130" s="1366">
        <f t="shared" si="3"/>
        <v>1.2800000000000001E-2</v>
      </c>
      <c r="J130" s="1366">
        <f t="shared" si="4"/>
        <v>1.2329166666666667E-2</v>
      </c>
      <c r="K130" s="1366">
        <f t="shared" si="5"/>
        <v>-5.1833333333333332E-3</v>
      </c>
    </row>
    <row r="131" spans="1:11" x14ac:dyDescent="0.55000000000000004">
      <c r="A131" s="295">
        <v>13394</v>
      </c>
      <c r="B131" s="1368">
        <v>3.0999999999999999E-3</v>
      </c>
      <c r="C131" s="1366">
        <v>-2.2499999999999999E-2</v>
      </c>
      <c r="D131" s="1366">
        <v>2.0999999999999999E-3</v>
      </c>
      <c r="E131" s="1366">
        <v>2.65E-3</v>
      </c>
      <c r="F131" s="5">
        <v>2.8416666666666668E-3</v>
      </c>
      <c r="G131" s="5">
        <v>2.7458333333333336E-3</v>
      </c>
      <c r="H131" s="1366">
        <v>3.3749999999999995E-3</v>
      </c>
      <c r="I131" s="1366">
        <f t="shared" si="3"/>
        <v>1E-3</v>
      </c>
      <c r="J131" s="1366">
        <f t="shared" si="4"/>
        <v>3.5416666666666626E-4</v>
      </c>
      <c r="K131" s="1366">
        <f t="shared" si="5"/>
        <v>-2.5874999999999999E-2</v>
      </c>
    </row>
    <row r="132" spans="1:11" x14ac:dyDescent="0.55000000000000004">
      <c r="A132" s="295">
        <v>13424</v>
      </c>
      <c r="B132" s="1368">
        <v>7.7499999999999999E-2</v>
      </c>
      <c r="C132" s="1366">
        <v>5.6600000000000004E-2</v>
      </c>
      <c r="D132" s="1366">
        <v>2.3E-3</v>
      </c>
      <c r="E132" s="1366">
        <v>2.65E-3</v>
      </c>
      <c r="F132" s="5">
        <v>2.8083333333333333E-3</v>
      </c>
      <c r="G132" s="5">
        <v>2.7291666666666671E-3</v>
      </c>
      <c r="H132" s="1366">
        <v>3.3666666666666667E-3</v>
      </c>
      <c r="I132" s="1366">
        <f t="shared" ref="I132:I195" si="6">B132-D132</f>
        <v>7.5200000000000003E-2</v>
      </c>
      <c r="J132" s="1366">
        <f t="shared" si="4"/>
        <v>7.4770833333333328E-2</v>
      </c>
      <c r="K132" s="1366">
        <f t="shared" si="5"/>
        <v>5.3233333333333341E-2</v>
      </c>
    </row>
    <row r="133" spans="1:11" x14ac:dyDescent="0.55000000000000004">
      <c r="A133" s="295">
        <v>13455</v>
      </c>
      <c r="B133" s="1368">
        <v>1.34E-2</v>
      </c>
      <c r="C133" s="1366">
        <v>-1.6900000000000002E-2</v>
      </c>
      <c r="D133" s="1366">
        <v>2.2000000000000001E-3</v>
      </c>
      <c r="E133" s="1366">
        <v>2.6250000000000002E-3</v>
      </c>
      <c r="F133" s="5">
        <v>2.7583333333333331E-3</v>
      </c>
      <c r="G133" s="5">
        <v>2.6916666666666669E-3</v>
      </c>
      <c r="H133" s="1366">
        <v>3.2916666666666667E-3</v>
      </c>
      <c r="I133" s="1366">
        <f t="shared" si="6"/>
        <v>1.12E-2</v>
      </c>
      <c r="J133" s="1366">
        <f t="shared" si="4"/>
        <v>1.0708333333333334E-2</v>
      </c>
      <c r="K133" s="1366">
        <f t="shared" si="5"/>
        <v>-2.019166666666667E-2</v>
      </c>
    </row>
    <row r="134" spans="1:11" x14ac:dyDescent="0.55000000000000004">
      <c r="A134" s="295">
        <v>13485</v>
      </c>
      <c r="B134" s="1368">
        <v>-2.8999999999999998E-3</v>
      </c>
      <c r="C134" s="1366">
        <v>-1.7399999999999999E-2</v>
      </c>
      <c r="D134" s="1366">
        <v>2.2000000000000001E-3</v>
      </c>
      <c r="E134" s="1366">
        <v>2.5833333333333337E-3</v>
      </c>
      <c r="F134" s="5">
        <v>2.7333333333333333E-3</v>
      </c>
      <c r="G134" s="5">
        <v>2.6583333333333337E-3</v>
      </c>
      <c r="H134" s="1366">
        <v>3.1916666666666664E-3</v>
      </c>
      <c r="I134" s="1366">
        <f t="shared" si="6"/>
        <v>-5.1000000000000004E-3</v>
      </c>
      <c r="J134" s="1366">
        <f t="shared" si="4"/>
        <v>-5.5583333333333335E-3</v>
      </c>
      <c r="K134" s="1366">
        <f t="shared" si="5"/>
        <v>-2.0591666666666664E-2</v>
      </c>
    </row>
    <row r="135" spans="1:11" x14ac:dyDescent="0.55000000000000004">
      <c r="A135" s="295">
        <v>13516</v>
      </c>
      <c r="B135" s="1368">
        <v>3.9E-2</v>
      </c>
      <c r="C135" s="1366">
        <v>1.9500000000000003E-2</v>
      </c>
      <c r="D135" s="1366">
        <v>2.0999999999999999E-3</v>
      </c>
      <c r="E135" s="1366">
        <v>2.5833333333333337E-3</v>
      </c>
      <c r="F135" s="5">
        <v>2.7499999999999998E-3</v>
      </c>
      <c r="G135" s="5">
        <v>2.6666666666666666E-3</v>
      </c>
      <c r="H135" s="1366">
        <v>3.1833333333333336E-3</v>
      </c>
      <c r="I135" s="1366">
        <f t="shared" si="6"/>
        <v>3.6900000000000002E-2</v>
      </c>
      <c r="J135" s="1366">
        <f t="shared" si="4"/>
        <v>3.6333333333333336E-2</v>
      </c>
      <c r="K135" s="1366">
        <f t="shared" si="5"/>
        <v>1.631666666666667E-2</v>
      </c>
    </row>
    <row r="136" spans="1:11" x14ac:dyDescent="0.55000000000000004">
      <c r="A136" s="295">
        <v>13547</v>
      </c>
      <c r="B136" s="1368">
        <v>1.9099999999999999E-2</v>
      </c>
      <c r="C136" s="1366">
        <v>-3.5299999999999998E-2</v>
      </c>
      <c r="D136" s="1366">
        <v>2E-3</v>
      </c>
      <c r="E136" s="1366">
        <v>2.6833333333333336E-3</v>
      </c>
      <c r="F136" s="5">
        <v>2.8333333333333331E-3</v>
      </c>
      <c r="G136" s="5">
        <v>2.7583333333333336E-3</v>
      </c>
      <c r="H136" s="1366">
        <v>3.2416666666666666E-3</v>
      </c>
      <c r="I136" s="1366">
        <f t="shared" si="6"/>
        <v>1.7099999999999997E-2</v>
      </c>
      <c r="J136" s="1366">
        <f t="shared" si="4"/>
        <v>1.6341666666666664E-2</v>
      </c>
      <c r="K136" s="1366">
        <f t="shared" si="5"/>
        <v>-3.8541666666666662E-2</v>
      </c>
    </row>
    <row r="137" spans="1:11" x14ac:dyDescent="0.55000000000000004">
      <c r="A137" s="295">
        <v>13575</v>
      </c>
      <c r="B137" s="1368">
        <v>-7.7000000000000002E-3</v>
      </c>
      <c r="C137" s="1366">
        <v>-5.7300000000000004E-2</v>
      </c>
      <c r="D137" s="1366">
        <v>2.2000000000000001E-3</v>
      </c>
      <c r="E137" s="1366">
        <v>2.7666666666666668E-3</v>
      </c>
      <c r="F137" s="5">
        <v>2.9166666666666668E-3</v>
      </c>
      <c r="G137" s="5">
        <v>2.8416666666666668E-3</v>
      </c>
      <c r="H137" s="1366">
        <v>3.3333333333333331E-3</v>
      </c>
      <c r="I137" s="1366">
        <f t="shared" si="6"/>
        <v>-9.9000000000000008E-3</v>
      </c>
      <c r="J137" s="1366">
        <f t="shared" si="4"/>
        <v>-1.0541666666666668E-2</v>
      </c>
      <c r="K137" s="1366">
        <f t="shared" si="5"/>
        <v>-6.0633333333333338E-2</v>
      </c>
    </row>
    <row r="138" spans="1:11" x14ac:dyDescent="0.55000000000000004">
      <c r="A138" s="295">
        <v>13606</v>
      </c>
      <c r="B138" s="1368">
        <v>-8.09E-2</v>
      </c>
      <c r="C138" s="1366">
        <v>-7.3599999999999999E-2</v>
      </c>
      <c r="D138" s="1366">
        <v>2.3E-3</v>
      </c>
      <c r="E138" s="1366">
        <v>2.8499999999999997E-3</v>
      </c>
      <c r="F138" s="5">
        <v>2.9749999999999998E-3</v>
      </c>
      <c r="G138" s="5">
        <v>2.9125000000000002E-3</v>
      </c>
      <c r="H138" s="1366">
        <v>3.3916666666666665E-3</v>
      </c>
      <c r="I138" s="1366">
        <f t="shared" si="6"/>
        <v>-8.3199999999999996E-2</v>
      </c>
      <c r="J138" s="1366">
        <f t="shared" si="4"/>
        <v>-8.3812499999999998E-2</v>
      </c>
      <c r="K138" s="1366">
        <f t="shared" si="5"/>
        <v>-7.6991666666666667E-2</v>
      </c>
    </row>
    <row r="139" spans="1:11" x14ac:dyDescent="0.55000000000000004">
      <c r="A139" s="295">
        <v>13636</v>
      </c>
      <c r="B139" s="1368">
        <v>-2.3999999999999998E-3</v>
      </c>
      <c r="C139" s="1366">
        <v>-5.16E-2</v>
      </c>
      <c r="D139" s="1366">
        <v>2.2000000000000001E-3</v>
      </c>
      <c r="E139" s="1366">
        <v>2.7750000000000001E-3</v>
      </c>
      <c r="F139" s="5">
        <v>2.8999999999999998E-3</v>
      </c>
      <c r="G139" s="5">
        <v>2.8375000000000002E-3</v>
      </c>
      <c r="H139" s="1366">
        <v>3.3333333333333331E-3</v>
      </c>
      <c r="I139" s="1366">
        <f t="shared" si="6"/>
        <v>-4.5999999999999999E-3</v>
      </c>
      <c r="J139" s="1366">
        <f t="shared" si="4"/>
        <v>-5.2375E-3</v>
      </c>
      <c r="K139" s="1366">
        <f t="shared" si="5"/>
        <v>-5.4933333333333334E-2</v>
      </c>
    </row>
    <row r="140" spans="1:11" x14ac:dyDescent="0.55000000000000004">
      <c r="A140" s="295">
        <v>13667</v>
      </c>
      <c r="B140" s="1368">
        <v>-5.04E-2</v>
      </c>
      <c r="C140" s="1366">
        <v>-4.6699999999999998E-2</v>
      </c>
      <c r="D140" s="1366">
        <v>2.5000000000000001E-3</v>
      </c>
      <c r="E140" s="1366">
        <v>2.7333333333333333E-3</v>
      </c>
      <c r="F140" s="5">
        <v>2.8583333333333334E-3</v>
      </c>
      <c r="G140" s="5">
        <v>2.7958333333333329E-3</v>
      </c>
      <c r="H140" s="1366">
        <v>3.3250000000000003E-3</v>
      </c>
      <c r="I140" s="1366">
        <f t="shared" si="6"/>
        <v>-5.2900000000000003E-2</v>
      </c>
      <c r="J140" s="1366">
        <f t="shared" si="4"/>
        <v>-5.3195833333333331E-2</v>
      </c>
      <c r="K140" s="1366">
        <f t="shared" si="5"/>
        <v>-5.0025E-2</v>
      </c>
    </row>
    <row r="141" spans="1:11" x14ac:dyDescent="0.55000000000000004">
      <c r="A141" s="295">
        <v>13697</v>
      </c>
      <c r="B141" s="1368">
        <v>0.1045</v>
      </c>
      <c r="C141" s="1366">
        <v>0.1671</v>
      </c>
      <c r="D141" s="1366">
        <v>2.3999999999999998E-3</v>
      </c>
      <c r="E141" s="1366">
        <v>2.708333333333333E-3</v>
      </c>
      <c r="F141" s="5">
        <v>2.8416666666666668E-3</v>
      </c>
      <c r="G141" s="5">
        <v>2.7749999999999997E-3</v>
      </c>
      <c r="H141" s="1366">
        <v>3.283333333333333E-3</v>
      </c>
      <c r="I141" s="1366">
        <f t="shared" si="6"/>
        <v>0.1021</v>
      </c>
      <c r="J141" s="1366">
        <f t="shared" si="4"/>
        <v>0.101725</v>
      </c>
      <c r="K141" s="1366">
        <f t="shared" si="5"/>
        <v>0.16381666666666667</v>
      </c>
    </row>
    <row r="142" spans="1:11" x14ac:dyDescent="0.55000000000000004">
      <c r="A142" s="295">
        <v>13728</v>
      </c>
      <c r="B142" s="1368">
        <v>-4.8300000000000003E-2</v>
      </c>
      <c r="C142" s="1366">
        <v>-9.0300000000000005E-2</v>
      </c>
      <c r="D142" s="1366">
        <v>2.3E-3</v>
      </c>
      <c r="E142" s="1366">
        <v>2.7000000000000001E-3</v>
      </c>
      <c r="F142" s="5">
        <v>2.8416666666666668E-3</v>
      </c>
      <c r="G142" s="5">
        <v>2.7708333333333335E-3</v>
      </c>
      <c r="H142" s="1366">
        <v>3.2416666666666666E-3</v>
      </c>
      <c r="I142" s="1366">
        <f t="shared" si="6"/>
        <v>-5.0600000000000006E-2</v>
      </c>
      <c r="J142" s="1366">
        <f t="shared" si="4"/>
        <v>-5.1070833333333336E-2</v>
      </c>
      <c r="K142" s="1366">
        <f t="shared" si="5"/>
        <v>-9.3541666666666676E-2</v>
      </c>
    </row>
    <row r="143" spans="1:11" x14ac:dyDescent="0.55000000000000004">
      <c r="A143" s="295">
        <v>13759</v>
      </c>
      <c r="B143" s="1368">
        <v>-0.14030000000000001</v>
      </c>
      <c r="C143" s="1366">
        <v>-0.1174</v>
      </c>
      <c r="D143" s="1366">
        <v>2.3E-3</v>
      </c>
      <c r="E143" s="1366">
        <v>2.7333333333333333E-3</v>
      </c>
      <c r="F143" s="5">
        <v>2.8833333333333332E-3</v>
      </c>
      <c r="G143" s="5">
        <v>2.8083333333333333E-3</v>
      </c>
      <c r="H143" s="1366">
        <v>3.3E-3</v>
      </c>
      <c r="I143" s="1366">
        <f t="shared" si="6"/>
        <v>-0.1426</v>
      </c>
      <c r="J143" s="1366">
        <f t="shared" si="4"/>
        <v>-0.14310833333333334</v>
      </c>
      <c r="K143" s="1366">
        <f t="shared" si="5"/>
        <v>-0.1207</v>
      </c>
    </row>
    <row r="144" spans="1:11" x14ac:dyDescent="0.55000000000000004">
      <c r="A144" s="295">
        <v>13789</v>
      </c>
      <c r="B144" s="1368">
        <v>-9.8100000000000007E-2</v>
      </c>
      <c r="C144" s="1366">
        <v>-5.16E-2</v>
      </c>
      <c r="D144" s="1366">
        <v>2.3E-3</v>
      </c>
      <c r="E144" s="1366">
        <v>2.725E-3</v>
      </c>
      <c r="F144" s="5">
        <v>2.9416666666666662E-3</v>
      </c>
      <c r="G144" s="5">
        <v>2.8333333333333331E-3</v>
      </c>
      <c r="H144" s="1366">
        <v>3.4083333333333331E-3</v>
      </c>
      <c r="I144" s="1366">
        <f t="shared" si="6"/>
        <v>-0.1004</v>
      </c>
      <c r="J144" s="1366">
        <f t="shared" si="4"/>
        <v>-0.10093333333333333</v>
      </c>
      <c r="K144" s="1366">
        <f t="shared" si="5"/>
        <v>-5.5008333333333333E-2</v>
      </c>
    </row>
    <row r="145" spans="1:11" x14ac:dyDescent="0.55000000000000004">
      <c r="A145" s="295">
        <v>13820</v>
      </c>
      <c r="B145" s="1368">
        <v>-8.6599999999999996E-2</v>
      </c>
      <c r="C145" s="1366">
        <v>8.0000000000000002E-3</v>
      </c>
      <c r="D145" s="1366">
        <v>2.3999999999999998E-3</v>
      </c>
      <c r="E145" s="1366">
        <v>2.7000000000000001E-3</v>
      </c>
      <c r="F145" s="5">
        <v>2.9499999999999999E-3</v>
      </c>
      <c r="G145" s="5">
        <v>2.8249999999999998E-3</v>
      </c>
      <c r="H145" s="1366">
        <v>3.4000000000000002E-3</v>
      </c>
      <c r="I145" s="1366">
        <f t="shared" si="6"/>
        <v>-8.8999999999999996E-2</v>
      </c>
      <c r="J145" s="1366">
        <f t="shared" si="4"/>
        <v>-8.9424999999999991E-2</v>
      </c>
      <c r="K145" s="1366">
        <f t="shared" si="5"/>
        <v>4.5999999999999999E-3</v>
      </c>
    </row>
    <row r="146" spans="1:11" x14ac:dyDescent="0.55000000000000004">
      <c r="A146" s="295">
        <v>13850</v>
      </c>
      <c r="B146" s="1368">
        <v>-4.5900000000000003E-2</v>
      </c>
      <c r="C146" s="1366">
        <v>-9.5100000000000004E-2</v>
      </c>
      <c r="D146" s="1366">
        <v>2.3E-3</v>
      </c>
      <c r="E146" s="1366">
        <v>2.6750000000000003E-3</v>
      </c>
      <c r="F146" s="5">
        <v>2.9166666666666668E-3</v>
      </c>
      <c r="G146" s="5">
        <v>2.7958333333333333E-3</v>
      </c>
      <c r="H146" s="1366">
        <v>3.3583333333333338E-3</v>
      </c>
      <c r="I146" s="1366">
        <f t="shared" si="6"/>
        <v>-4.8200000000000007E-2</v>
      </c>
      <c r="J146" s="1366">
        <f t="shared" si="4"/>
        <v>-4.8695833333333334E-2</v>
      </c>
      <c r="K146" s="1366">
        <f t="shared" si="5"/>
        <v>-9.8458333333333342E-2</v>
      </c>
    </row>
    <row r="147" spans="1:11" x14ac:dyDescent="0.55000000000000004">
      <c r="A147" s="295">
        <v>13881</v>
      </c>
      <c r="B147" s="1368">
        <v>1.52E-2</v>
      </c>
      <c r="C147" s="1366">
        <v>-3.6799999999999999E-2</v>
      </c>
      <c r="D147" s="1366">
        <v>2.3E-3</v>
      </c>
      <c r="E147" s="1366">
        <v>2.6416666666666667E-3</v>
      </c>
      <c r="F147" s="5">
        <v>2.9166666666666668E-3</v>
      </c>
      <c r="G147" s="5">
        <v>2.7791666666666672E-3</v>
      </c>
      <c r="H147" s="1366">
        <v>3.3416666666666668E-3</v>
      </c>
      <c r="I147" s="1366">
        <f t="shared" si="6"/>
        <v>1.29E-2</v>
      </c>
      <c r="J147" s="1366">
        <f t="shared" si="4"/>
        <v>1.2420833333333332E-2</v>
      </c>
      <c r="K147" s="1366">
        <f t="shared" si="5"/>
        <v>-4.0141666666666666E-2</v>
      </c>
    </row>
    <row r="148" spans="1:11" x14ac:dyDescent="0.55000000000000004">
      <c r="A148" s="295">
        <v>13912</v>
      </c>
      <c r="B148" s="1368">
        <v>6.7400000000000002E-2</v>
      </c>
      <c r="C148" s="1366">
        <v>3.4099999999999998E-2</v>
      </c>
      <c r="D148" s="1366">
        <v>2.0999999999999999E-3</v>
      </c>
      <c r="E148" s="1366">
        <v>2.6666666666666666E-3</v>
      </c>
      <c r="F148" s="5">
        <v>2.9249999999999996E-3</v>
      </c>
      <c r="G148" s="5">
        <v>2.7958333333333329E-3</v>
      </c>
      <c r="H148" s="1366">
        <v>3.3583333333333338E-3</v>
      </c>
      <c r="I148" s="1366">
        <f t="shared" si="6"/>
        <v>6.5299999999999997E-2</v>
      </c>
      <c r="J148" s="1366">
        <f t="shared" si="4"/>
        <v>6.4604166666666671E-2</v>
      </c>
      <c r="K148" s="1366">
        <f t="shared" si="5"/>
        <v>3.0741666666666664E-2</v>
      </c>
    </row>
    <row r="149" spans="1:11" x14ac:dyDescent="0.55000000000000004">
      <c r="A149" s="295">
        <v>13940</v>
      </c>
      <c r="B149" s="1368">
        <v>-0.2487</v>
      </c>
      <c r="C149" s="1366">
        <v>-0.19839999999999999</v>
      </c>
      <c r="D149" s="1366">
        <v>2.3E-3</v>
      </c>
      <c r="E149" s="1366">
        <v>2.6833333333333336E-3</v>
      </c>
      <c r="F149" s="5">
        <v>2.9666666666666669E-3</v>
      </c>
      <c r="G149" s="5">
        <v>2.8250000000000003E-3</v>
      </c>
      <c r="H149" s="1366">
        <v>3.3250000000000003E-3</v>
      </c>
      <c r="I149" s="1366">
        <f t="shared" si="6"/>
        <v>-0.251</v>
      </c>
      <c r="J149" s="1366">
        <f t="shared" si="4"/>
        <v>-0.251525</v>
      </c>
      <c r="K149" s="1366">
        <f t="shared" si="5"/>
        <v>-0.20172499999999999</v>
      </c>
    </row>
    <row r="150" spans="1:11" x14ac:dyDescent="0.55000000000000004">
      <c r="A150" s="295">
        <v>13971</v>
      </c>
      <c r="B150" s="1368">
        <v>0.1447</v>
      </c>
      <c r="C150" s="1366">
        <v>0.15379999999999999</v>
      </c>
      <c r="D150" s="1366">
        <v>2.2000000000000001E-3</v>
      </c>
      <c r="E150" s="1366">
        <v>2.7499999999999998E-3</v>
      </c>
      <c r="F150" s="5">
        <v>3.1083333333333336E-3</v>
      </c>
      <c r="G150" s="5">
        <v>2.9291666666666667E-3</v>
      </c>
      <c r="H150" s="1366">
        <v>3.4000000000000002E-3</v>
      </c>
      <c r="I150" s="1366">
        <f t="shared" si="6"/>
        <v>0.14249999999999999</v>
      </c>
      <c r="J150" s="1366">
        <f t="shared" si="4"/>
        <v>0.14177083333333332</v>
      </c>
      <c r="K150" s="1366">
        <f t="shared" si="5"/>
        <v>0.15039999999999998</v>
      </c>
    </row>
    <row r="151" spans="1:11" x14ac:dyDescent="0.55000000000000004">
      <c r="A151" s="295">
        <v>14001</v>
      </c>
      <c r="B151" s="1368">
        <v>-3.3000000000000002E-2</v>
      </c>
      <c r="C151" s="1366">
        <v>1.8100000000000002E-2</v>
      </c>
      <c r="D151" s="1366">
        <v>2.2000000000000001E-3</v>
      </c>
      <c r="E151" s="1366">
        <v>2.6833333333333336E-3</v>
      </c>
      <c r="F151" s="5">
        <v>2.9666666666666669E-3</v>
      </c>
      <c r="G151" s="5">
        <v>2.8250000000000003E-3</v>
      </c>
      <c r="H151" s="1366">
        <v>3.2916666666666667E-3</v>
      </c>
      <c r="I151" s="1366">
        <f t="shared" si="6"/>
        <v>-3.5200000000000002E-2</v>
      </c>
      <c r="J151" s="1366">
        <f t="shared" si="4"/>
        <v>-3.5825000000000003E-2</v>
      </c>
      <c r="K151" s="1366">
        <f t="shared" si="5"/>
        <v>1.4808333333333335E-2</v>
      </c>
    </row>
    <row r="152" spans="1:11" x14ac:dyDescent="0.55000000000000004">
      <c r="A152" s="295">
        <v>14032</v>
      </c>
      <c r="B152" s="1368">
        <v>0.25030000000000002</v>
      </c>
      <c r="C152" s="1366">
        <v>0.16219999999999998</v>
      </c>
      <c r="D152" s="1366">
        <v>2.0999999999999999E-3</v>
      </c>
      <c r="E152" s="1366">
        <v>2.7166666666666667E-3</v>
      </c>
      <c r="F152" s="5">
        <v>3.0666666666666672E-3</v>
      </c>
      <c r="G152" s="5">
        <v>2.891666666666667E-3</v>
      </c>
      <c r="H152" s="1366">
        <v>3.2916666666666667E-3</v>
      </c>
      <c r="I152" s="1366">
        <f t="shared" si="6"/>
        <v>0.24820000000000003</v>
      </c>
      <c r="J152" s="1366">
        <f t="shared" si="4"/>
        <v>0.24740833333333337</v>
      </c>
      <c r="K152" s="1366">
        <f t="shared" si="5"/>
        <v>0.15890833333333332</v>
      </c>
    </row>
    <row r="153" spans="1:11" x14ac:dyDescent="0.55000000000000004">
      <c r="A153" s="295">
        <v>14062</v>
      </c>
      <c r="B153" s="1368">
        <v>7.4399999999999994E-2</v>
      </c>
      <c r="C153" s="1366">
        <v>1.4800000000000001E-2</v>
      </c>
      <c r="D153" s="1366">
        <v>2.0999999999999999E-3</v>
      </c>
      <c r="E153" s="1366">
        <v>2.6833333333333336E-3</v>
      </c>
      <c r="F153" s="5">
        <v>3.0166666666666671E-3</v>
      </c>
      <c r="G153" s="5">
        <v>2.8500000000000001E-3</v>
      </c>
      <c r="H153" s="1366">
        <v>3.2166666666666667E-3</v>
      </c>
      <c r="I153" s="1366">
        <f t="shared" si="6"/>
        <v>7.2299999999999989E-2</v>
      </c>
      <c r="J153" s="1366">
        <f t="shared" si="4"/>
        <v>7.1549999999999989E-2</v>
      </c>
      <c r="K153" s="1366">
        <f t="shared" si="5"/>
        <v>1.1583333333333334E-2</v>
      </c>
    </row>
    <row r="154" spans="1:11" x14ac:dyDescent="0.55000000000000004">
      <c r="A154" s="295">
        <v>14093</v>
      </c>
      <c r="B154" s="1368">
        <v>-2.2599999999999999E-2</v>
      </c>
      <c r="C154" s="1366">
        <v>-5.57E-2</v>
      </c>
      <c r="D154" s="1366">
        <v>2.2000000000000001E-3</v>
      </c>
      <c r="E154" s="1366">
        <v>2.65E-3</v>
      </c>
      <c r="F154" s="5">
        <v>2.9749999999999998E-3</v>
      </c>
      <c r="G154" s="5">
        <v>2.8124999999999999E-3</v>
      </c>
      <c r="H154" s="1366">
        <v>3.2000000000000002E-3</v>
      </c>
      <c r="I154" s="1366">
        <f t="shared" si="6"/>
        <v>-2.4799999999999999E-2</v>
      </c>
      <c r="J154" s="1366">
        <f t="shared" si="4"/>
        <v>-2.5412499999999998E-2</v>
      </c>
      <c r="K154" s="1366">
        <f t="shared" si="5"/>
        <v>-5.8900000000000001E-2</v>
      </c>
    </row>
    <row r="155" spans="1:11" x14ac:dyDescent="0.55000000000000004">
      <c r="A155" s="295">
        <v>14124</v>
      </c>
      <c r="B155" s="1368">
        <v>1.66E-2</v>
      </c>
      <c r="C155" s="1366">
        <v>1.9099999999999999E-2</v>
      </c>
      <c r="D155" s="1366">
        <v>2.0999999999999999E-3</v>
      </c>
      <c r="E155" s="1366">
        <v>2.6750000000000003E-3</v>
      </c>
      <c r="F155" s="5">
        <v>3.0000000000000001E-3</v>
      </c>
      <c r="G155" s="5">
        <v>2.8375000000000002E-3</v>
      </c>
      <c r="H155" s="1366">
        <v>3.2333333333333329E-3</v>
      </c>
      <c r="I155" s="1366">
        <f t="shared" si="6"/>
        <v>1.4500000000000001E-2</v>
      </c>
      <c r="J155" s="1366">
        <f t="shared" ref="J155:J218" si="7">B155-G155</f>
        <v>1.37625E-2</v>
      </c>
      <c r="K155" s="1366">
        <f t="shared" ref="K155:K218" si="8">$C155-H155</f>
        <v>1.5866666666666668E-2</v>
      </c>
    </row>
    <row r="156" spans="1:11" x14ac:dyDescent="0.55000000000000004">
      <c r="A156" s="295">
        <v>14154</v>
      </c>
      <c r="B156" s="1368">
        <v>7.7600000000000002E-2</v>
      </c>
      <c r="C156" s="1366">
        <v>0.18009999999999998</v>
      </c>
      <c r="D156" s="1366">
        <v>2.2000000000000001E-3</v>
      </c>
      <c r="E156" s="1366">
        <v>2.6250000000000002E-3</v>
      </c>
      <c r="F156" s="5">
        <v>2.9416666666666662E-3</v>
      </c>
      <c r="G156" s="5">
        <v>2.7833333333333334E-3</v>
      </c>
      <c r="H156" s="1366">
        <v>3.1583333333333337E-3</v>
      </c>
      <c r="I156" s="1366">
        <f t="shared" si="6"/>
        <v>7.5400000000000009E-2</v>
      </c>
      <c r="J156" s="1366">
        <f t="shared" si="7"/>
        <v>7.481666666666667E-2</v>
      </c>
      <c r="K156" s="1366">
        <f t="shared" si="8"/>
        <v>0.17694166666666664</v>
      </c>
    </row>
    <row r="157" spans="1:11" x14ac:dyDescent="0.55000000000000004">
      <c r="A157" s="295">
        <v>14185</v>
      </c>
      <c r="B157" s="1368">
        <v>-2.7300000000000001E-2</v>
      </c>
      <c r="C157" s="1366">
        <v>-6.2000000000000013E-2</v>
      </c>
      <c r="D157" s="1366">
        <v>2.0999999999999999E-3</v>
      </c>
      <c r="E157" s="1366">
        <v>2.5833333333333337E-3</v>
      </c>
      <c r="F157" s="5">
        <v>2.8833333333333332E-3</v>
      </c>
      <c r="G157" s="5">
        <v>2.7333333333333333E-3</v>
      </c>
      <c r="H157" s="1366">
        <v>3.1083333333333336E-3</v>
      </c>
      <c r="I157" s="1366">
        <f t="shared" si="6"/>
        <v>-2.9400000000000003E-2</v>
      </c>
      <c r="J157" s="1366">
        <f t="shared" si="7"/>
        <v>-3.0033333333333335E-2</v>
      </c>
      <c r="K157" s="1366">
        <f t="shared" si="8"/>
        <v>-6.5108333333333351E-2</v>
      </c>
    </row>
    <row r="158" spans="1:11" x14ac:dyDescent="0.55000000000000004">
      <c r="A158" s="295">
        <v>14215</v>
      </c>
      <c r="B158" s="1368">
        <v>4.0099999999999997E-2</v>
      </c>
      <c r="C158" s="1366">
        <v>3.9099999999999996E-2</v>
      </c>
      <c r="D158" s="1366">
        <v>2.2000000000000001E-3</v>
      </c>
      <c r="E158" s="1366">
        <v>2.5666666666666667E-3</v>
      </c>
      <c r="F158" s="5">
        <v>2.8499999999999997E-3</v>
      </c>
      <c r="G158" s="5">
        <v>2.708333333333333E-3</v>
      </c>
      <c r="H158" s="1366">
        <v>3.1166666666666669E-3</v>
      </c>
      <c r="I158" s="1366">
        <f t="shared" si="6"/>
        <v>3.7899999999999996E-2</v>
      </c>
      <c r="J158" s="1366">
        <f t="shared" si="7"/>
        <v>3.7391666666666663E-2</v>
      </c>
      <c r="K158" s="1366">
        <f t="shared" si="8"/>
        <v>3.5983333333333326E-2</v>
      </c>
    </row>
    <row r="159" spans="1:11" x14ac:dyDescent="0.55000000000000004">
      <c r="A159" s="295">
        <v>14246</v>
      </c>
      <c r="B159" s="1368">
        <v>-6.7400000000000002E-2</v>
      </c>
      <c r="C159" s="1366">
        <v>1.6500000000000001E-2</v>
      </c>
      <c r="D159" s="1366">
        <v>2.0999999999999999E-3</v>
      </c>
      <c r="E159" s="1366">
        <v>2.5083333333333329E-3</v>
      </c>
      <c r="F159" s="5">
        <v>2.7666666666666668E-3</v>
      </c>
      <c r="G159" s="5">
        <v>2.6374999999999997E-3</v>
      </c>
      <c r="H159" s="1366">
        <v>3.0666666666666672E-3</v>
      </c>
      <c r="I159" s="1366">
        <f t="shared" si="6"/>
        <v>-6.9500000000000006E-2</v>
      </c>
      <c r="J159" s="1366">
        <f t="shared" si="7"/>
        <v>-7.0037500000000003E-2</v>
      </c>
      <c r="K159" s="1366">
        <f t="shared" si="8"/>
        <v>1.3433333333333334E-2</v>
      </c>
    </row>
    <row r="160" spans="1:11" x14ac:dyDescent="0.55000000000000004">
      <c r="A160" s="295">
        <v>14277</v>
      </c>
      <c r="B160" s="1368">
        <v>3.9E-2</v>
      </c>
      <c r="C160" s="1366">
        <v>8.0100000000000005E-2</v>
      </c>
      <c r="D160" s="1366">
        <v>1.9E-3</v>
      </c>
      <c r="E160" s="1366">
        <v>2.5000000000000001E-3</v>
      </c>
      <c r="F160" s="5">
        <v>2.7166666666666667E-3</v>
      </c>
      <c r="G160" s="5">
        <v>2.6083333333333336E-3</v>
      </c>
      <c r="H160" s="1366">
        <v>2.9916666666666663E-3</v>
      </c>
      <c r="I160" s="1366">
        <f t="shared" si="6"/>
        <v>3.7100000000000001E-2</v>
      </c>
      <c r="J160" s="1366">
        <f t="shared" si="7"/>
        <v>3.6391666666666669E-2</v>
      </c>
      <c r="K160" s="1366">
        <f t="shared" si="8"/>
        <v>7.7108333333333334E-2</v>
      </c>
    </row>
    <row r="161" spans="1:11" x14ac:dyDescent="0.55000000000000004">
      <c r="A161" s="295">
        <v>14305</v>
      </c>
      <c r="B161" s="1368">
        <v>-0.13389999999999999</v>
      </c>
      <c r="C161" s="1366">
        <v>-0.13780000000000001</v>
      </c>
      <c r="D161" s="1366">
        <v>2.0999999999999999E-3</v>
      </c>
      <c r="E161" s="1366">
        <v>2.4916666666666668E-3</v>
      </c>
      <c r="F161" s="5">
        <v>2.6833333333333336E-3</v>
      </c>
      <c r="G161" s="5">
        <v>2.5875000000000004E-3</v>
      </c>
      <c r="H161" s="1366">
        <v>2.9499999999999999E-3</v>
      </c>
      <c r="I161" s="1366">
        <f t="shared" si="6"/>
        <v>-0.13599999999999998</v>
      </c>
      <c r="J161" s="1366">
        <f t="shared" si="7"/>
        <v>-0.13648749999999998</v>
      </c>
      <c r="K161" s="1366">
        <f t="shared" si="8"/>
        <v>-0.14075000000000001</v>
      </c>
    </row>
    <row r="162" spans="1:11" x14ac:dyDescent="0.55000000000000004">
      <c r="A162" s="295">
        <v>14336</v>
      </c>
      <c r="B162" s="1368">
        <v>-2.7000000000000001E-3</v>
      </c>
      <c r="C162" s="1366">
        <v>2.8500000000000001E-2</v>
      </c>
      <c r="D162" s="1366">
        <v>1.9E-3</v>
      </c>
      <c r="E162" s="1366">
        <v>2.5166666666666666E-3</v>
      </c>
      <c r="F162" s="5">
        <v>2.6833333333333336E-3</v>
      </c>
      <c r="G162" s="5">
        <v>2.5999999999999999E-3</v>
      </c>
      <c r="H162" s="1366">
        <v>2.9583333333333332E-3</v>
      </c>
      <c r="I162" s="1366">
        <f t="shared" si="6"/>
        <v>-4.5999999999999999E-3</v>
      </c>
      <c r="J162" s="1366">
        <f t="shared" si="7"/>
        <v>-5.3E-3</v>
      </c>
      <c r="K162" s="1366">
        <f t="shared" si="8"/>
        <v>2.5541666666666667E-2</v>
      </c>
    </row>
    <row r="163" spans="1:11" x14ac:dyDescent="0.55000000000000004">
      <c r="A163" s="295">
        <v>14366</v>
      </c>
      <c r="B163" s="1368">
        <v>7.3300000000000004E-2</v>
      </c>
      <c r="C163" s="1366">
        <v>6.6500000000000004E-2</v>
      </c>
      <c r="D163" s="1366">
        <v>2E-3</v>
      </c>
      <c r="E163" s="1366">
        <v>2.4750000000000002E-3</v>
      </c>
      <c r="F163" s="5">
        <v>2.6333333333333334E-3</v>
      </c>
      <c r="G163" s="5">
        <v>2.5541666666666668E-3</v>
      </c>
      <c r="H163" s="1366">
        <v>2.9166666666666668E-3</v>
      </c>
      <c r="I163" s="1366">
        <f t="shared" si="6"/>
        <v>7.1300000000000002E-2</v>
      </c>
      <c r="J163" s="1366">
        <f t="shared" si="7"/>
        <v>7.0745833333333341E-2</v>
      </c>
      <c r="K163" s="1366">
        <f t="shared" si="8"/>
        <v>6.3583333333333339E-2</v>
      </c>
    </row>
    <row r="164" spans="1:11" x14ac:dyDescent="0.55000000000000004">
      <c r="A164" s="295">
        <v>14397</v>
      </c>
      <c r="B164" s="1368">
        <v>-6.1199999999999997E-2</v>
      </c>
      <c r="C164" s="1366">
        <v>-4.2299999999999997E-2</v>
      </c>
      <c r="D164" s="1366">
        <v>1.8E-3</v>
      </c>
      <c r="E164" s="1366">
        <v>2.4333333333333334E-3</v>
      </c>
      <c r="F164" s="5">
        <v>2.6083333333333332E-3</v>
      </c>
      <c r="G164" s="5">
        <v>2.5208333333333333E-3</v>
      </c>
      <c r="H164" s="1366">
        <v>2.891666666666667E-3</v>
      </c>
      <c r="I164" s="1366">
        <f t="shared" si="6"/>
        <v>-6.3E-2</v>
      </c>
      <c r="J164" s="1366">
        <f t="shared" si="7"/>
        <v>-6.3720833333333338E-2</v>
      </c>
      <c r="K164" s="1366">
        <f t="shared" si="8"/>
        <v>-4.5191666666666665E-2</v>
      </c>
    </row>
    <row r="165" spans="1:11" x14ac:dyDescent="0.55000000000000004">
      <c r="A165" s="295">
        <v>14427</v>
      </c>
      <c r="B165" s="1368">
        <v>0.1105</v>
      </c>
      <c r="C165" s="1366">
        <v>0.1208</v>
      </c>
      <c r="D165" s="1366">
        <v>1.9E-3</v>
      </c>
      <c r="E165" s="1366">
        <v>2.4083333333333335E-3</v>
      </c>
      <c r="F165" s="5">
        <v>2.5666666666666667E-3</v>
      </c>
      <c r="G165" s="5">
        <v>2.4875000000000001E-3</v>
      </c>
      <c r="H165" s="1366">
        <v>2.8583333333333334E-3</v>
      </c>
      <c r="I165" s="1366">
        <f t="shared" si="6"/>
        <v>0.1086</v>
      </c>
      <c r="J165" s="1366">
        <f t="shared" si="7"/>
        <v>0.1080125</v>
      </c>
      <c r="K165" s="1366">
        <f t="shared" si="8"/>
        <v>0.11794166666666667</v>
      </c>
    </row>
    <row r="166" spans="1:11" x14ac:dyDescent="0.55000000000000004">
      <c r="A166" s="295">
        <v>14458</v>
      </c>
      <c r="B166" s="1368">
        <v>-6.4799999999999996E-2</v>
      </c>
      <c r="C166" s="1366">
        <v>-6.4699999999999994E-2</v>
      </c>
      <c r="D166" s="1366">
        <v>1.8E-3</v>
      </c>
      <c r="E166" s="1366">
        <v>2.4416666666666666E-3</v>
      </c>
      <c r="F166" s="5">
        <v>2.5916666666666666E-3</v>
      </c>
      <c r="G166" s="5">
        <v>2.5166666666666666E-3</v>
      </c>
      <c r="H166" s="1366">
        <v>2.8416666666666668E-3</v>
      </c>
      <c r="I166" s="1366">
        <f t="shared" si="6"/>
        <v>-6.6599999999999993E-2</v>
      </c>
      <c r="J166" s="1366">
        <f t="shared" si="7"/>
        <v>-6.7316666666666664E-2</v>
      </c>
      <c r="K166" s="1366">
        <f t="shared" si="8"/>
        <v>-6.7541666666666667E-2</v>
      </c>
    </row>
    <row r="167" spans="1:11" x14ac:dyDescent="0.55000000000000004">
      <c r="A167" s="295">
        <v>14489</v>
      </c>
      <c r="B167" s="1368">
        <v>0.1673</v>
      </c>
      <c r="C167" s="1366">
        <v>4.2100000000000005E-2</v>
      </c>
      <c r="D167" s="1366">
        <v>1.9E-3</v>
      </c>
      <c r="E167" s="1366">
        <v>2.708333333333333E-3</v>
      </c>
      <c r="F167" s="5">
        <v>2.9083333333333335E-3</v>
      </c>
      <c r="G167" s="5">
        <v>2.8083333333333333E-3</v>
      </c>
      <c r="H167" s="1366">
        <v>3.0916666666666666E-3</v>
      </c>
      <c r="I167" s="1366">
        <f t="shared" si="6"/>
        <v>0.16539999999999999</v>
      </c>
      <c r="J167" s="1366">
        <f t="shared" si="7"/>
        <v>0.16449166666666667</v>
      </c>
      <c r="K167" s="1366">
        <f t="shared" si="8"/>
        <v>3.9008333333333339E-2</v>
      </c>
    </row>
    <row r="168" spans="1:11" x14ac:dyDescent="0.55000000000000004">
      <c r="A168" s="295">
        <v>14519</v>
      </c>
      <c r="B168" s="1368">
        <v>-1.23E-2</v>
      </c>
      <c r="C168" s="1366">
        <v>1.3000000000000001E-2</v>
      </c>
      <c r="D168" s="1366">
        <v>2.3E-3</v>
      </c>
      <c r="E168" s="1366">
        <v>2.6250000000000002E-3</v>
      </c>
      <c r="F168" s="5">
        <v>2.7916666666666667E-3</v>
      </c>
      <c r="G168" s="5">
        <v>2.7083333333333339E-3</v>
      </c>
      <c r="H168" s="1366">
        <v>2.9833333333333335E-3</v>
      </c>
      <c r="I168" s="1366">
        <f t="shared" si="6"/>
        <v>-1.46E-2</v>
      </c>
      <c r="J168" s="1366">
        <f t="shared" si="7"/>
        <v>-1.5008333333333334E-2</v>
      </c>
      <c r="K168" s="1366">
        <f t="shared" si="8"/>
        <v>1.0016666666666667E-2</v>
      </c>
    </row>
    <row r="169" spans="1:11" x14ac:dyDescent="0.55000000000000004">
      <c r="A169" s="295">
        <v>14550</v>
      </c>
      <c r="B169" s="1368">
        <v>-3.9800000000000002E-2</v>
      </c>
      <c r="C169" s="1366">
        <v>-1.5699999999999999E-2</v>
      </c>
      <c r="D169" s="1366">
        <v>2E-3</v>
      </c>
      <c r="E169" s="1366">
        <v>2.5000000000000001E-3</v>
      </c>
      <c r="F169" s="5">
        <v>2.6333333333333334E-3</v>
      </c>
      <c r="G169" s="5">
        <v>2.5666666666666672E-3</v>
      </c>
      <c r="H169" s="1366">
        <v>2.8416666666666668E-3</v>
      </c>
      <c r="I169" s="1366">
        <f t="shared" si="6"/>
        <v>-4.1800000000000004E-2</v>
      </c>
      <c r="J169" s="1366">
        <f t="shared" si="7"/>
        <v>-4.2366666666666671E-2</v>
      </c>
      <c r="K169" s="1366">
        <f t="shared" si="8"/>
        <v>-1.8541666666666665E-2</v>
      </c>
    </row>
    <row r="170" spans="1:11" x14ac:dyDescent="0.55000000000000004">
      <c r="A170" s="295">
        <v>14580</v>
      </c>
      <c r="B170" s="1368">
        <v>2.7E-2</v>
      </c>
      <c r="C170" s="1366">
        <v>2.7199999999999998E-2</v>
      </c>
      <c r="D170" s="1366">
        <v>1.9E-3</v>
      </c>
      <c r="E170" s="1366">
        <v>2.4499999999999999E-3</v>
      </c>
      <c r="F170" s="5">
        <v>2.6166666666666664E-3</v>
      </c>
      <c r="G170" s="5">
        <v>2.5333333333333332E-3</v>
      </c>
      <c r="H170" s="1366">
        <v>2.816666666666667E-3</v>
      </c>
      <c r="I170" s="1366">
        <f t="shared" si="6"/>
        <v>2.5100000000000001E-2</v>
      </c>
      <c r="J170" s="1366">
        <f t="shared" si="7"/>
        <v>2.4466666666666668E-2</v>
      </c>
      <c r="K170" s="1366">
        <f t="shared" si="8"/>
        <v>2.4383333333333333E-2</v>
      </c>
    </row>
    <row r="171" spans="1:11" x14ac:dyDescent="0.55000000000000004">
      <c r="A171" s="295">
        <v>14611</v>
      </c>
      <c r="B171" s="1368">
        <v>-3.3599999999999998E-2</v>
      </c>
      <c r="C171" s="1366">
        <v>6.8999999999999999E-3</v>
      </c>
      <c r="D171" s="1366">
        <v>2E-3</v>
      </c>
      <c r="E171" s="1366">
        <v>2.3999999999999998E-3</v>
      </c>
      <c r="F171" s="5">
        <v>2.5666666666666667E-3</v>
      </c>
      <c r="G171" s="5">
        <v>2.4833333333333331E-3</v>
      </c>
      <c r="H171" s="1366">
        <v>2.7833333333333334E-3</v>
      </c>
      <c r="I171" s="1366">
        <f t="shared" si="6"/>
        <v>-3.56E-2</v>
      </c>
      <c r="J171" s="1366">
        <f t="shared" si="7"/>
        <v>-3.6083333333333328E-2</v>
      </c>
      <c r="K171" s="1366">
        <f t="shared" si="8"/>
        <v>4.116666666666666E-3</v>
      </c>
    </row>
    <row r="172" spans="1:11" x14ac:dyDescent="0.55000000000000004">
      <c r="A172" s="295">
        <v>14642</v>
      </c>
      <c r="B172" s="1368">
        <v>1.3299999999999999E-2</v>
      </c>
      <c r="C172" s="1366">
        <v>-1.0200000000000001E-2</v>
      </c>
      <c r="D172" s="1366">
        <v>1.8E-3</v>
      </c>
      <c r="E172" s="1366">
        <v>2.3833333333333332E-3</v>
      </c>
      <c r="F172" s="5">
        <v>2.5416666666666665E-3</v>
      </c>
      <c r="G172" s="5">
        <v>2.4624999999999998E-3</v>
      </c>
      <c r="H172" s="1366">
        <v>2.7916666666666667E-3</v>
      </c>
      <c r="I172" s="1366">
        <f t="shared" si="6"/>
        <v>1.15E-2</v>
      </c>
      <c r="J172" s="1366">
        <f t="shared" si="7"/>
        <v>1.08375E-2</v>
      </c>
      <c r="K172" s="1366">
        <f t="shared" si="8"/>
        <v>-1.2991666666666667E-2</v>
      </c>
    </row>
    <row r="173" spans="1:11" x14ac:dyDescent="0.55000000000000004">
      <c r="A173" s="295">
        <v>14671</v>
      </c>
      <c r="B173" s="1368">
        <v>1.24E-2</v>
      </c>
      <c r="C173" s="1366">
        <v>9.3999999999999986E-3</v>
      </c>
      <c r="D173" s="1366">
        <v>1.9E-3</v>
      </c>
      <c r="E173" s="1366">
        <v>2.3666666666666667E-3</v>
      </c>
      <c r="F173" s="5">
        <v>2.5333333333333336E-3</v>
      </c>
      <c r="G173" s="5">
        <v>2.4499999999999999E-3</v>
      </c>
      <c r="H173" s="1366">
        <v>2.7833333333333334E-3</v>
      </c>
      <c r="I173" s="1366">
        <f t="shared" si="6"/>
        <v>1.0499999999999999E-2</v>
      </c>
      <c r="J173" s="1366">
        <f t="shared" si="7"/>
        <v>9.9500000000000005E-3</v>
      </c>
      <c r="K173" s="1366">
        <f t="shared" si="8"/>
        <v>6.6166666666666648E-3</v>
      </c>
    </row>
    <row r="174" spans="1:11" x14ac:dyDescent="0.55000000000000004">
      <c r="A174" s="295">
        <v>14702</v>
      </c>
      <c r="B174" s="1368">
        <v>-2.3999999999999998E-3</v>
      </c>
      <c r="C174" s="1366">
        <v>-9.1999999999999998E-3</v>
      </c>
      <c r="D174" s="1366">
        <v>1.8E-3</v>
      </c>
      <c r="E174" s="1366">
        <v>2.3499999999999997E-3</v>
      </c>
      <c r="F174" s="5">
        <v>2.4916666666666668E-3</v>
      </c>
      <c r="G174" s="5">
        <v>2.420833333333333E-3</v>
      </c>
      <c r="H174" s="1366">
        <v>2.708333333333333E-3</v>
      </c>
      <c r="I174" s="1366">
        <f t="shared" si="6"/>
        <v>-4.1999999999999997E-3</v>
      </c>
      <c r="J174" s="1366">
        <f t="shared" si="7"/>
        <v>-4.8208333333333332E-3</v>
      </c>
      <c r="K174" s="1366">
        <f t="shared" si="8"/>
        <v>-1.1908333333333333E-2</v>
      </c>
    </row>
    <row r="175" spans="1:11" x14ac:dyDescent="0.55000000000000004">
      <c r="A175" s="295">
        <v>14732</v>
      </c>
      <c r="B175" s="1368">
        <v>-0.22889999999999999</v>
      </c>
      <c r="C175" s="1366">
        <v>-0.19640000000000002</v>
      </c>
      <c r="D175" s="1366">
        <v>1.9E-3</v>
      </c>
      <c r="E175" s="1366">
        <v>2.4416666666666666E-3</v>
      </c>
      <c r="F175" s="5">
        <v>2.5666666666666667E-3</v>
      </c>
      <c r="G175" s="5">
        <v>2.5041666666666667E-3</v>
      </c>
      <c r="H175" s="1366">
        <v>2.7500000000000003E-3</v>
      </c>
      <c r="I175" s="1366">
        <f t="shared" si="6"/>
        <v>-0.23080000000000001</v>
      </c>
      <c r="J175" s="1366">
        <f t="shared" si="7"/>
        <v>-0.23140416666666666</v>
      </c>
      <c r="K175" s="1366">
        <f t="shared" si="8"/>
        <v>-0.19915000000000002</v>
      </c>
    </row>
    <row r="176" spans="1:11" x14ac:dyDescent="0.55000000000000004">
      <c r="A176" s="295">
        <v>14763</v>
      </c>
      <c r="B176" s="1368">
        <v>8.09E-2</v>
      </c>
      <c r="C176" s="1366">
        <v>0.15060000000000001</v>
      </c>
      <c r="D176" s="1366">
        <v>1.9E-3</v>
      </c>
      <c r="E176" s="1366">
        <v>2.4666666666666669E-3</v>
      </c>
      <c r="F176" s="5">
        <v>2.5833333333333337E-3</v>
      </c>
      <c r="G176" s="5">
        <v>2.5249999999999999E-3</v>
      </c>
      <c r="H176" s="1366">
        <v>2.7833333333333334E-3</v>
      </c>
      <c r="I176" s="1366">
        <f t="shared" si="6"/>
        <v>7.9000000000000001E-2</v>
      </c>
      <c r="J176" s="1366">
        <f t="shared" si="7"/>
        <v>7.8375E-2</v>
      </c>
      <c r="K176" s="1366">
        <f t="shared" si="8"/>
        <v>0.14781666666666668</v>
      </c>
    </row>
    <row r="177" spans="1:11" x14ac:dyDescent="0.55000000000000004">
      <c r="A177" s="295">
        <v>14793</v>
      </c>
      <c r="B177" s="1368">
        <v>3.4099999999999998E-2</v>
      </c>
      <c r="C177" s="1366">
        <v>6.5000000000000006E-3</v>
      </c>
      <c r="D177" s="1366">
        <v>2E-3</v>
      </c>
      <c r="E177" s="1366">
        <v>2.3999999999999998E-3</v>
      </c>
      <c r="F177" s="5">
        <v>2.5083333333333329E-3</v>
      </c>
      <c r="G177" s="5">
        <v>2.4541666666666666E-3</v>
      </c>
      <c r="H177" s="1366">
        <v>2.6916666666666669E-3</v>
      </c>
      <c r="I177" s="1366">
        <f t="shared" si="6"/>
        <v>3.2099999999999997E-2</v>
      </c>
      <c r="J177" s="1366">
        <f t="shared" si="7"/>
        <v>3.1645833333333331E-2</v>
      </c>
      <c r="K177" s="1366">
        <f t="shared" si="8"/>
        <v>3.8083333333333337E-3</v>
      </c>
    </row>
    <row r="178" spans="1:11" x14ac:dyDescent="0.55000000000000004">
      <c r="A178" s="295">
        <v>14824</v>
      </c>
      <c r="B178" s="1368">
        <v>3.5000000000000003E-2</v>
      </c>
      <c r="C178" s="1366">
        <v>-9.4000000000000004E-3</v>
      </c>
      <c r="D178" s="1366">
        <v>1.9E-3</v>
      </c>
      <c r="E178" s="1366">
        <v>2.3750000000000004E-3</v>
      </c>
      <c r="F178" s="5">
        <v>2.5249999999999999E-3</v>
      </c>
      <c r="G178" s="5">
        <v>2.4499999999999999E-3</v>
      </c>
      <c r="H178" s="1366">
        <v>2.6750000000000003E-3</v>
      </c>
      <c r="I178" s="1366">
        <f t="shared" si="6"/>
        <v>3.3100000000000004E-2</v>
      </c>
      <c r="J178" s="1366">
        <f t="shared" si="7"/>
        <v>3.2550000000000003E-2</v>
      </c>
      <c r="K178" s="1366">
        <f t="shared" si="8"/>
        <v>-1.2075000000000001E-2</v>
      </c>
    </row>
    <row r="179" spans="1:11" x14ac:dyDescent="0.55000000000000004">
      <c r="A179" s="295">
        <v>14855</v>
      </c>
      <c r="B179" s="1368">
        <v>1.23E-2</v>
      </c>
      <c r="C179" s="1366">
        <v>-2.1099999999999997E-2</v>
      </c>
      <c r="D179" s="1366">
        <v>1.8E-3</v>
      </c>
      <c r="E179" s="1366">
        <v>2.3499999999999997E-3</v>
      </c>
      <c r="F179" s="5">
        <v>2.5083333333333329E-3</v>
      </c>
      <c r="G179" s="5">
        <v>2.4291666666666663E-3</v>
      </c>
      <c r="H179" s="1366">
        <v>2.65E-3</v>
      </c>
      <c r="I179" s="1366">
        <f t="shared" si="6"/>
        <v>1.0500000000000001E-2</v>
      </c>
      <c r="J179" s="1366">
        <f t="shared" si="7"/>
        <v>9.8708333333333339E-3</v>
      </c>
      <c r="K179" s="1366">
        <f t="shared" si="8"/>
        <v>-2.3749999999999997E-2</v>
      </c>
    </row>
    <row r="180" spans="1:11" x14ac:dyDescent="0.55000000000000004">
      <c r="A180" s="295">
        <v>14885</v>
      </c>
      <c r="B180" s="1368">
        <v>4.2200000000000001E-2</v>
      </c>
      <c r="C180" s="1366">
        <v>3.1699999999999999E-2</v>
      </c>
      <c r="D180" s="1366">
        <v>1.8E-3</v>
      </c>
      <c r="E180" s="1366">
        <v>2.3250000000000002E-3</v>
      </c>
      <c r="F180" s="5">
        <v>2.5083333333333329E-3</v>
      </c>
      <c r="G180" s="5">
        <v>2.4166666666666664E-3</v>
      </c>
      <c r="H180" s="1366">
        <v>2.6250000000000002E-3</v>
      </c>
      <c r="I180" s="1366">
        <f t="shared" si="6"/>
        <v>4.0399999999999998E-2</v>
      </c>
      <c r="J180" s="1366">
        <f t="shared" si="7"/>
        <v>3.9783333333333337E-2</v>
      </c>
      <c r="K180" s="1366">
        <f t="shared" si="8"/>
        <v>2.9075E-2</v>
      </c>
    </row>
    <row r="181" spans="1:11" x14ac:dyDescent="0.55000000000000004">
      <c r="A181" s="295">
        <v>14916</v>
      </c>
      <c r="B181" s="1368">
        <v>-3.1600000000000003E-2</v>
      </c>
      <c r="C181" s="1366">
        <v>-0.12069999999999999</v>
      </c>
      <c r="D181" s="1366">
        <v>1.8E-3</v>
      </c>
      <c r="E181" s="1366">
        <v>2.2916666666666667E-3</v>
      </c>
      <c r="F181" s="5">
        <v>2.4666666666666669E-3</v>
      </c>
      <c r="G181" s="5">
        <v>2.3791666666666666E-3</v>
      </c>
      <c r="H181" s="1366">
        <v>2.5916666666666666E-3</v>
      </c>
      <c r="I181" s="1366">
        <f t="shared" si="6"/>
        <v>-3.3400000000000006E-2</v>
      </c>
      <c r="J181" s="1366">
        <f t="shared" si="7"/>
        <v>-3.3979166666666671E-2</v>
      </c>
      <c r="K181" s="1366">
        <f t="shared" si="8"/>
        <v>-0.12329166666666666</v>
      </c>
    </row>
    <row r="182" spans="1:11" x14ac:dyDescent="0.55000000000000004">
      <c r="A182" s="295">
        <v>14946</v>
      </c>
      <c r="B182" s="1368">
        <v>8.9999999999999998E-4</v>
      </c>
      <c r="C182" s="1366">
        <v>1.54E-2</v>
      </c>
      <c r="D182" s="1366">
        <v>1.6999999999999999E-3</v>
      </c>
      <c r="E182" s="1366">
        <v>2.2583333333333331E-3</v>
      </c>
      <c r="F182" s="5">
        <v>2.4333333333333334E-3</v>
      </c>
      <c r="G182" s="5">
        <v>2.345833333333333E-3</v>
      </c>
      <c r="H182" s="1366">
        <v>2.5833333333333337E-3</v>
      </c>
      <c r="I182" s="1366">
        <f t="shared" si="6"/>
        <v>-7.9999999999999993E-4</v>
      </c>
      <c r="J182" s="1366">
        <f t="shared" si="7"/>
        <v>-1.445833333333333E-3</v>
      </c>
      <c r="K182" s="1366">
        <f t="shared" si="8"/>
        <v>1.2816666666666667E-2</v>
      </c>
    </row>
    <row r="183" spans="1:11" x14ac:dyDescent="0.55000000000000004">
      <c r="A183" s="295">
        <v>14977</v>
      </c>
      <c r="B183" s="1368">
        <v>-4.6300000000000001E-2</v>
      </c>
      <c r="C183" s="1366">
        <v>-8.4000000000000012E-3</v>
      </c>
      <c r="D183" s="1366">
        <v>1.6000000000000001E-3</v>
      </c>
      <c r="E183" s="1366">
        <v>2.2916666666666667E-3</v>
      </c>
      <c r="F183" s="5">
        <v>2.4583333333333336E-3</v>
      </c>
      <c r="G183" s="5">
        <v>2.3749999999999999E-3</v>
      </c>
      <c r="H183" s="1366">
        <v>2.6250000000000002E-3</v>
      </c>
      <c r="I183" s="1366">
        <f t="shared" si="6"/>
        <v>-4.7899999999999998E-2</v>
      </c>
      <c r="J183" s="1366">
        <f t="shared" si="7"/>
        <v>-4.8675000000000003E-2</v>
      </c>
      <c r="K183" s="1366">
        <f t="shared" si="8"/>
        <v>-1.1025000000000002E-2</v>
      </c>
    </row>
    <row r="184" spans="1:11" x14ac:dyDescent="0.55000000000000004">
      <c r="A184" s="295">
        <v>15008</v>
      </c>
      <c r="B184" s="1368">
        <v>-6.0000000000000001E-3</v>
      </c>
      <c r="C184" s="1366">
        <v>-2.3299999999999998E-2</v>
      </c>
      <c r="D184" s="1366">
        <v>1.6000000000000001E-3</v>
      </c>
      <c r="E184" s="1366">
        <v>2.3166666666666665E-3</v>
      </c>
      <c r="F184" s="5">
        <v>2.5000000000000001E-3</v>
      </c>
      <c r="G184" s="5">
        <v>2.4083333333333335E-3</v>
      </c>
      <c r="H184" s="1366">
        <v>2.6666666666666666E-3</v>
      </c>
      <c r="I184" s="1366">
        <f t="shared" si="6"/>
        <v>-7.6E-3</v>
      </c>
      <c r="J184" s="1366">
        <f t="shared" si="7"/>
        <v>-8.4083333333333336E-3</v>
      </c>
      <c r="K184" s="1366">
        <f t="shared" si="8"/>
        <v>-2.5966666666666666E-2</v>
      </c>
    </row>
    <row r="185" spans="1:11" x14ac:dyDescent="0.55000000000000004">
      <c r="A185" s="295">
        <v>15036</v>
      </c>
      <c r="B185" s="1368">
        <v>7.1000000000000004E-3</v>
      </c>
      <c r="C185" s="1366">
        <v>-2.8000000000000004E-2</v>
      </c>
      <c r="D185" s="1366">
        <v>1.8E-3</v>
      </c>
      <c r="E185" s="1366">
        <v>2.3333333333333331E-3</v>
      </c>
      <c r="F185" s="5">
        <v>2.5083333333333329E-3</v>
      </c>
      <c r="G185" s="5">
        <v>2.420833333333333E-3</v>
      </c>
      <c r="H185" s="1366">
        <v>2.6333333333333334E-3</v>
      </c>
      <c r="I185" s="1366">
        <f t="shared" si="6"/>
        <v>5.3000000000000009E-3</v>
      </c>
      <c r="J185" s="1366">
        <f t="shared" si="7"/>
        <v>4.6791666666666674E-3</v>
      </c>
      <c r="K185" s="1366">
        <f t="shared" si="8"/>
        <v>-3.0633333333333339E-2</v>
      </c>
    </row>
    <row r="186" spans="1:11" x14ac:dyDescent="0.55000000000000004">
      <c r="A186" s="295">
        <v>15067</v>
      </c>
      <c r="B186" s="1368">
        <v>-6.1199999999999997E-2</v>
      </c>
      <c r="C186" s="1366">
        <v>-8.4399999999999989E-2</v>
      </c>
      <c r="D186" s="1366">
        <v>1.6999999999999999E-3</v>
      </c>
      <c r="E186" s="1366">
        <v>2.3499999999999997E-3</v>
      </c>
      <c r="F186" s="5">
        <v>2.5333333333333336E-3</v>
      </c>
      <c r="G186" s="5">
        <v>2.4416666666666666E-3</v>
      </c>
      <c r="H186" s="1366">
        <v>2.6166666666666664E-3</v>
      </c>
      <c r="I186" s="1366">
        <f t="shared" si="6"/>
        <v>-6.2899999999999998E-2</v>
      </c>
      <c r="J186" s="1366">
        <f t="shared" si="7"/>
        <v>-6.3641666666666666E-2</v>
      </c>
      <c r="K186" s="1366">
        <f t="shared" si="8"/>
        <v>-8.7016666666666659E-2</v>
      </c>
    </row>
    <row r="187" spans="1:11" x14ac:dyDescent="0.55000000000000004">
      <c r="A187" s="295">
        <v>15097</v>
      </c>
      <c r="B187" s="1368">
        <v>1.83E-2</v>
      </c>
      <c r="C187" s="1366">
        <v>-3.3700000000000001E-2</v>
      </c>
      <c r="D187" s="1366">
        <v>1.6999999999999999E-3</v>
      </c>
      <c r="E187" s="1366">
        <v>2.3416666666666668E-3</v>
      </c>
      <c r="F187" s="5">
        <v>2.4916666666666668E-3</v>
      </c>
      <c r="G187" s="5">
        <v>2.4166666666666668E-3</v>
      </c>
      <c r="H187" s="1366">
        <v>2.5666666666666667E-3</v>
      </c>
      <c r="I187" s="1366">
        <f t="shared" si="6"/>
        <v>1.66E-2</v>
      </c>
      <c r="J187" s="1366">
        <f t="shared" si="7"/>
        <v>1.5883333333333333E-2</v>
      </c>
      <c r="K187" s="1366">
        <f t="shared" si="8"/>
        <v>-3.6266666666666669E-2</v>
      </c>
    </row>
    <row r="188" spans="1:11" x14ac:dyDescent="0.55000000000000004">
      <c r="A188" s="295">
        <v>15128</v>
      </c>
      <c r="B188" s="1368">
        <v>5.7799999999999997E-2</v>
      </c>
      <c r="C188" s="1366">
        <v>2.5700000000000004E-2</v>
      </c>
      <c r="D188" s="1366">
        <v>1.6000000000000001E-3</v>
      </c>
      <c r="E188" s="1366">
        <v>2.3083333333333332E-3</v>
      </c>
      <c r="F188" s="5">
        <v>2.4583333333333336E-3</v>
      </c>
      <c r="G188" s="5">
        <v>2.3833333333333332E-3</v>
      </c>
      <c r="H188" s="1366">
        <v>2.5249999999999999E-3</v>
      </c>
      <c r="I188" s="1366">
        <f t="shared" si="6"/>
        <v>5.62E-2</v>
      </c>
      <c r="J188" s="1366">
        <f t="shared" si="7"/>
        <v>5.5416666666666663E-2</v>
      </c>
      <c r="K188" s="1366">
        <f t="shared" si="8"/>
        <v>2.3175000000000005E-2</v>
      </c>
    </row>
    <row r="189" spans="1:11" x14ac:dyDescent="0.55000000000000004">
      <c r="A189" s="295">
        <v>15158</v>
      </c>
      <c r="B189" s="1368">
        <v>5.79E-2</v>
      </c>
      <c r="C189" s="1366">
        <v>5.3800000000000001E-2</v>
      </c>
      <c r="D189" s="1366">
        <v>1.6000000000000001E-3</v>
      </c>
      <c r="E189" s="1366">
        <v>2.2833333333333334E-3</v>
      </c>
      <c r="F189" s="5">
        <v>2.4166666666666668E-3</v>
      </c>
      <c r="G189" s="5">
        <v>2.3500000000000001E-3</v>
      </c>
      <c r="H189" s="1366">
        <v>2.5000000000000001E-3</v>
      </c>
      <c r="I189" s="1366">
        <f t="shared" si="6"/>
        <v>5.6300000000000003E-2</v>
      </c>
      <c r="J189" s="1366">
        <f t="shared" si="7"/>
        <v>5.5550000000000002E-2</v>
      </c>
      <c r="K189" s="1366">
        <f t="shared" si="8"/>
        <v>5.1299999999999998E-2</v>
      </c>
    </row>
    <row r="190" spans="1:11" x14ac:dyDescent="0.55000000000000004">
      <c r="A190" s="295">
        <v>15189</v>
      </c>
      <c r="B190" s="1368">
        <v>1E-3</v>
      </c>
      <c r="C190" s="1366">
        <v>-1.9200000000000002E-2</v>
      </c>
      <c r="D190" s="1366">
        <v>1.6000000000000001E-3</v>
      </c>
      <c r="E190" s="1366">
        <v>2.2833333333333334E-3</v>
      </c>
      <c r="F190" s="5">
        <v>2.4166666666666668E-3</v>
      </c>
      <c r="G190" s="5">
        <v>2.3500000000000001E-3</v>
      </c>
      <c r="H190" s="1366">
        <v>2.4833333333333331E-3</v>
      </c>
      <c r="I190" s="1366">
        <f t="shared" si="6"/>
        <v>-6.0000000000000006E-4</v>
      </c>
      <c r="J190" s="1366">
        <f t="shared" si="7"/>
        <v>-1.3500000000000001E-3</v>
      </c>
      <c r="K190" s="1366">
        <f t="shared" si="8"/>
        <v>-2.1683333333333336E-2</v>
      </c>
    </row>
    <row r="191" spans="1:11" x14ac:dyDescent="0.55000000000000004">
      <c r="A191" s="295">
        <v>15220</v>
      </c>
      <c r="B191" s="1368">
        <v>-6.7999999999999996E-3</v>
      </c>
      <c r="C191" s="1366">
        <v>-2.8199999999999992E-2</v>
      </c>
      <c r="D191" s="1366">
        <v>1.6000000000000001E-3</v>
      </c>
      <c r="E191" s="1366">
        <v>2.2916666666666667E-3</v>
      </c>
      <c r="F191" s="5">
        <v>2.4250000000000001E-3</v>
      </c>
      <c r="G191" s="5">
        <v>2.3583333333333334E-3</v>
      </c>
      <c r="H191" s="1366">
        <v>2.5000000000000001E-3</v>
      </c>
      <c r="I191" s="1366">
        <f t="shared" si="6"/>
        <v>-8.3999999999999995E-3</v>
      </c>
      <c r="J191" s="1366">
        <f t="shared" si="7"/>
        <v>-9.1583333333333326E-3</v>
      </c>
      <c r="K191" s="1366">
        <f t="shared" si="8"/>
        <v>-3.0699999999999991E-2</v>
      </c>
    </row>
    <row r="192" spans="1:11" x14ac:dyDescent="0.55000000000000004">
      <c r="A192" s="295">
        <v>15250</v>
      </c>
      <c r="B192" s="1368">
        <v>-6.5699999999999995E-2</v>
      </c>
      <c r="C192" s="1366">
        <v>-8.48E-2</v>
      </c>
      <c r="D192" s="1366">
        <v>1.6000000000000001E-3</v>
      </c>
      <c r="E192" s="1366">
        <v>2.2750000000000001E-3</v>
      </c>
      <c r="F192" s="5">
        <v>2.3916666666666665E-3</v>
      </c>
      <c r="G192" s="5">
        <v>2.3333333333333335E-3</v>
      </c>
      <c r="H192" s="1366">
        <v>2.5000000000000001E-3</v>
      </c>
      <c r="I192" s="1366">
        <f t="shared" si="6"/>
        <v>-6.7299999999999999E-2</v>
      </c>
      <c r="J192" s="1366">
        <f t="shared" si="7"/>
        <v>-6.8033333333333335E-2</v>
      </c>
      <c r="K192" s="1366">
        <f t="shared" si="8"/>
        <v>-8.7300000000000003E-2</v>
      </c>
    </row>
    <row r="193" spans="1:11" x14ac:dyDescent="0.55000000000000004">
      <c r="A193" s="295">
        <v>15281</v>
      </c>
      <c r="B193" s="1368">
        <v>-2.8400000000000002E-2</v>
      </c>
      <c r="C193" s="1366">
        <v>-6.5199999999999994E-2</v>
      </c>
      <c r="D193" s="1366">
        <v>1.3999999999999998E-3</v>
      </c>
      <c r="E193" s="1366">
        <v>2.2666666666666668E-3</v>
      </c>
      <c r="F193" s="5">
        <v>2.3833333333333332E-3</v>
      </c>
      <c r="G193" s="5">
        <v>2.3249999999999998E-3</v>
      </c>
      <c r="H193" s="1366">
        <v>2.4833333333333331E-3</v>
      </c>
      <c r="I193" s="1366">
        <f t="shared" si="6"/>
        <v>-2.98E-2</v>
      </c>
      <c r="J193" s="1366">
        <f t="shared" si="7"/>
        <v>-3.0725000000000002E-2</v>
      </c>
      <c r="K193" s="1366">
        <f t="shared" si="8"/>
        <v>-6.7683333333333331E-2</v>
      </c>
    </row>
    <row r="194" spans="1:11" x14ac:dyDescent="0.55000000000000004">
      <c r="A194" s="295">
        <v>15311</v>
      </c>
      <c r="B194" s="1368">
        <v>-4.07E-2</v>
      </c>
      <c r="C194" s="1366">
        <v>-6.7799999999999999E-2</v>
      </c>
      <c r="D194" s="1366">
        <v>1.6000000000000001E-3</v>
      </c>
      <c r="E194" s="1366">
        <v>2.3333333333333331E-3</v>
      </c>
      <c r="F194" s="5">
        <v>2.4583333333333336E-3</v>
      </c>
      <c r="G194" s="5">
        <v>2.3958333333333331E-3</v>
      </c>
      <c r="H194" s="1366">
        <v>2.5500000000000002E-3</v>
      </c>
      <c r="I194" s="1366">
        <f t="shared" si="6"/>
        <v>-4.2299999999999997E-2</v>
      </c>
      <c r="J194" s="1366">
        <f t="shared" si="7"/>
        <v>-4.3095833333333333E-2</v>
      </c>
      <c r="K194" s="1366">
        <f t="shared" si="8"/>
        <v>-7.0349999999999996E-2</v>
      </c>
    </row>
    <row r="195" spans="1:11" x14ac:dyDescent="0.55000000000000004">
      <c r="A195" s="295">
        <v>15342</v>
      </c>
      <c r="B195" s="1368">
        <v>1.61E-2</v>
      </c>
      <c r="C195" s="1366">
        <v>2.52E-2</v>
      </c>
      <c r="D195" s="1366">
        <v>2.0999999999999999E-3</v>
      </c>
      <c r="E195" s="1366">
        <v>2.3583333333333334E-3</v>
      </c>
      <c r="F195" s="5">
        <v>2.4666666666666669E-3</v>
      </c>
      <c r="G195" s="5">
        <v>2.4125000000000001E-3</v>
      </c>
      <c r="H195" s="1366">
        <v>2.575E-3</v>
      </c>
      <c r="I195" s="1366">
        <f t="shared" si="6"/>
        <v>1.4E-2</v>
      </c>
      <c r="J195" s="1366">
        <f t="shared" si="7"/>
        <v>1.36875E-2</v>
      </c>
      <c r="K195" s="1366">
        <f t="shared" si="8"/>
        <v>2.2624999999999999E-2</v>
      </c>
    </row>
    <row r="196" spans="1:11" x14ac:dyDescent="0.55000000000000004">
      <c r="A196" s="295">
        <v>15373</v>
      </c>
      <c r="B196" s="1368">
        <v>-1.5900000000000001E-2</v>
      </c>
      <c r="C196" s="1366">
        <v>-3.39E-2</v>
      </c>
      <c r="D196" s="1366">
        <v>1.9E-3</v>
      </c>
      <c r="E196" s="1366">
        <v>2.3750000000000004E-3</v>
      </c>
      <c r="F196" s="5">
        <v>2.4833333333333331E-3</v>
      </c>
      <c r="G196" s="5">
        <v>2.4291666666666667E-3</v>
      </c>
      <c r="H196" s="1366">
        <v>2.575E-3</v>
      </c>
      <c r="I196" s="1366">
        <f t="shared" ref="I196:I259" si="9">B196-D196</f>
        <v>-1.78E-2</v>
      </c>
      <c r="J196" s="1366">
        <f t="shared" si="7"/>
        <v>-1.8329166666666667E-2</v>
      </c>
      <c r="K196" s="1366">
        <f t="shared" si="8"/>
        <v>-3.6475E-2</v>
      </c>
    </row>
    <row r="197" spans="1:11" x14ac:dyDescent="0.55000000000000004">
      <c r="A197" s="295">
        <v>15401</v>
      </c>
      <c r="B197" s="1368">
        <v>-6.5199999999999994E-2</v>
      </c>
      <c r="C197" s="1366">
        <v>-0.10459999999999998</v>
      </c>
      <c r="D197" s="1366">
        <v>2.0999999999999999E-3</v>
      </c>
      <c r="E197" s="1366">
        <v>2.3833333333333332E-3</v>
      </c>
      <c r="F197" s="5">
        <v>2.5000000000000001E-3</v>
      </c>
      <c r="G197" s="5">
        <v>2.4416666666666666E-3</v>
      </c>
      <c r="H197" s="1366">
        <v>2.5999999999999999E-3</v>
      </c>
      <c r="I197" s="1366">
        <f t="shared" si="9"/>
        <v>-6.7299999999999999E-2</v>
      </c>
      <c r="J197" s="1366">
        <f t="shared" si="7"/>
        <v>-6.7641666666666656E-2</v>
      </c>
      <c r="K197" s="1366">
        <f t="shared" si="8"/>
        <v>-0.10719999999999999</v>
      </c>
    </row>
    <row r="198" spans="1:11" x14ac:dyDescent="0.55000000000000004">
      <c r="A198" s="295">
        <v>15432</v>
      </c>
      <c r="B198" s="1368">
        <v>-0.04</v>
      </c>
      <c r="C198" s="1366">
        <v>-4.3200000000000002E-2</v>
      </c>
      <c r="D198" s="1366">
        <v>2E-3</v>
      </c>
      <c r="E198" s="1366">
        <v>2.3583333333333334E-3</v>
      </c>
      <c r="F198" s="5">
        <v>2.4833333333333331E-3</v>
      </c>
      <c r="G198" s="5">
        <v>2.420833333333333E-3</v>
      </c>
      <c r="H198" s="1366">
        <v>2.575E-3</v>
      </c>
      <c r="I198" s="1366">
        <f t="shared" si="9"/>
        <v>-4.2000000000000003E-2</v>
      </c>
      <c r="J198" s="1366">
        <f t="shared" si="7"/>
        <v>-4.2420833333333331E-2</v>
      </c>
      <c r="K198" s="1366">
        <f t="shared" si="8"/>
        <v>-4.5775000000000003E-2</v>
      </c>
    </row>
    <row r="199" spans="1:11" x14ac:dyDescent="0.55000000000000004">
      <c r="A199" s="295">
        <v>15462</v>
      </c>
      <c r="B199" s="1368">
        <v>7.9600000000000004E-2</v>
      </c>
      <c r="C199" s="1366">
        <v>9.5600000000000004E-2</v>
      </c>
      <c r="D199" s="1366">
        <v>1.9E-3</v>
      </c>
      <c r="E199" s="1366">
        <v>2.3750000000000004E-3</v>
      </c>
      <c r="F199" s="5">
        <v>2.5000000000000001E-3</v>
      </c>
      <c r="G199" s="5">
        <v>2.4375000000000004E-3</v>
      </c>
      <c r="H199" s="1366">
        <v>2.5833333333333337E-3</v>
      </c>
      <c r="I199" s="1366">
        <f t="shared" si="9"/>
        <v>7.7700000000000005E-2</v>
      </c>
      <c r="J199" s="1366">
        <f t="shared" si="7"/>
        <v>7.7162500000000009E-2</v>
      </c>
      <c r="K199" s="1366">
        <f t="shared" si="8"/>
        <v>9.3016666666666664E-2</v>
      </c>
    </row>
    <row r="200" spans="1:11" x14ac:dyDescent="0.55000000000000004">
      <c r="A200" s="295">
        <v>15493</v>
      </c>
      <c r="B200" s="1368">
        <v>2.2100000000000002E-2</v>
      </c>
      <c r="C200" s="1366">
        <v>5.7000000000000002E-3</v>
      </c>
      <c r="D200" s="1366">
        <v>2.0999999999999999E-3</v>
      </c>
      <c r="E200" s="1366">
        <v>2.3750000000000004E-3</v>
      </c>
      <c r="F200" s="5">
        <v>2.5083333333333329E-3</v>
      </c>
      <c r="G200" s="5">
        <v>2.4416666666666666E-3</v>
      </c>
      <c r="H200" s="1366">
        <v>2.5999999999999999E-3</v>
      </c>
      <c r="I200" s="1366">
        <f t="shared" si="9"/>
        <v>0.02</v>
      </c>
      <c r="J200" s="1366">
        <f t="shared" si="7"/>
        <v>1.9658333333333333E-2</v>
      </c>
      <c r="K200" s="1366">
        <f t="shared" si="8"/>
        <v>3.1000000000000003E-3</v>
      </c>
    </row>
    <row r="201" spans="1:11" x14ac:dyDescent="0.55000000000000004">
      <c r="A201" s="295">
        <v>15523</v>
      </c>
      <c r="B201" s="1368">
        <v>3.3700000000000001E-2</v>
      </c>
      <c r="C201" s="1366">
        <v>4.0000000000000001E-3</v>
      </c>
      <c r="D201" s="1366">
        <v>2.0999999999999999E-3</v>
      </c>
      <c r="E201" s="1366">
        <v>2.3583333333333334E-3</v>
      </c>
      <c r="F201" s="5">
        <v>2.4916666666666668E-3</v>
      </c>
      <c r="G201" s="5">
        <v>2.4250000000000001E-3</v>
      </c>
      <c r="H201" s="1366">
        <v>2.5833333333333337E-3</v>
      </c>
      <c r="I201" s="1366">
        <f t="shared" si="9"/>
        <v>3.1600000000000003E-2</v>
      </c>
      <c r="J201" s="1366">
        <f t="shared" si="7"/>
        <v>3.1274999999999997E-2</v>
      </c>
      <c r="K201" s="1366">
        <f t="shared" si="8"/>
        <v>1.4166666666666663E-3</v>
      </c>
    </row>
    <row r="202" spans="1:11" x14ac:dyDescent="0.55000000000000004">
      <c r="A202" s="295">
        <v>15554</v>
      </c>
      <c r="B202" s="1368">
        <v>1.6400000000000001E-2</v>
      </c>
      <c r="C202" s="1366">
        <v>2.5999999999999999E-3</v>
      </c>
      <c r="D202" s="1366">
        <v>2.0999999999999999E-3</v>
      </c>
      <c r="E202" s="1366">
        <v>2.3416666666666668E-3</v>
      </c>
      <c r="F202" s="5">
        <v>2.4916666666666668E-3</v>
      </c>
      <c r="G202" s="5">
        <v>2.4166666666666668E-3</v>
      </c>
      <c r="H202" s="1366">
        <v>2.5833333333333337E-3</v>
      </c>
      <c r="I202" s="1366">
        <f t="shared" si="9"/>
        <v>1.4300000000000002E-2</v>
      </c>
      <c r="J202" s="1366">
        <f t="shared" si="7"/>
        <v>1.3983333333333334E-2</v>
      </c>
      <c r="K202" s="1366">
        <f t="shared" si="8"/>
        <v>1.6666666666666132E-5</v>
      </c>
    </row>
    <row r="203" spans="1:11" x14ac:dyDescent="0.55000000000000004">
      <c r="A203" s="295">
        <v>15585</v>
      </c>
      <c r="B203" s="1368">
        <v>2.9000000000000001E-2</v>
      </c>
      <c r="C203" s="1366">
        <v>4.6600000000000003E-2</v>
      </c>
      <c r="D203" s="1366">
        <v>2E-3</v>
      </c>
      <c r="E203" s="1366">
        <v>2.3333333333333331E-3</v>
      </c>
      <c r="F203" s="5">
        <v>2.4833333333333331E-3</v>
      </c>
      <c r="G203" s="5">
        <v>2.4083333333333331E-3</v>
      </c>
      <c r="H203" s="1366">
        <v>2.5666666666666667E-3</v>
      </c>
      <c r="I203" s="1366">
        <f t="shared" si="9"/>
        <v>2.7000000000000003E-2</v>
      </c>
      <c r="J203" s="1366">
        <f t="shared" si="7"/>
        <v>2.659166666666667E-2</v>
      </c>
      <c r="K203" s="1366">
        <f t="shared" si="8"/>
        <v>4.4033333333333334E-2</v>
      </c>
    </row>
    <row r="204" spans="1:11" x14ac:dyDescent="0.55000000000000004">
      <c r="A204" s="295">
        <v>15615</v>
      </c>
      <c r="B204" s="1368">
        <v>6.7799999999999999E-2</v>
      </c>
      <c r="C204" s="1366">
        <v>0.13620000000000002</v>
      </c>
      <c r="D204" s="1366">
        <v>2.0999999999999999E-3</v>
      </c>
      <c r="E204" s="1366">
        <v>2.3333333333333331E-3</v>
      </c>
      <c r="F204" s="5">
        <v>2.4583333333333336E-3</v>
      </c>
      <c r="G204" s="5">
        <v>2.3958333333333331E-3</v>
      </c>
      <c r="H204" s="1366">
        <v>2.5666666666666667E-3</v>
      </c>
      <c r="I204" s="1366">
        <f t="shared" si="9"/>
        <v>6.5699999999999995E-2</v>
      </c>
      <c r="J204" s="1366">
        <f t="shared" si="7"/>
        <v>6.5404166666666666E-2</v>
      </c>
      <c r="K204" s="1366">
        <f t="shared" si="8"/>
        <v>0.13363333333333335</v>
      </c>
    </row>
    <row r="205" spans="1:11" x14ac:dyDescent="0.55000000000000004">
      <c r="A205" s="295">
        <v>15646</v>
      </c>
      <c r="B205" s="1368">
        <v>-2.0999999999999999E-3</v>
      </c>
      <c r="C205" s="1366">
        <v>-1.5000000000000005E-3</v>
      </c>
      <c r="D205" s="1366">
        <v>2E-3</v>
      </c>
      <c r="E205" s="1366">
        <v>2.3250000000000002E-3</v>
      </c>
      <c r="F205" s="5">
        <v>2.4499999999999999E-3</v>
      </c>
      <c r="G205" s="5">
        <v>2.3875000000000003E-3</v>
      </c>
      <c r="H205" s="1366">
        <v>2.5583333333333335E-3</v>
      </c>
      <c r="I205" s="1366">
        <f t="shared" si="9"/>
        <v>-4.0999999999999995E-3</v>
      </c>
      <c r="J205" s="1366">
        <f t="shared" si="7"/>
        <v>-4.4875000000000002E-3</v>
      </c>
      <c r="K205" s="1366">
        <f t="shared" si="8"/>
        <v>-4.0583333333333339E-3</v>
      </c>
    </row>
    <row r="206" spans="1:11" x14ac:dyDescent="0.55000000000000004">
      <c r="A206" s="295">
        <v>15676</v>
      </c>
      <c r="B206" s="1368">
        <v>5.4899999999999997E-2</v>
      </c>
      <c r="C206" s="1366">
        <v>3.2799999999999996E-2</v>
      </c>
      <c r="D206" s="1366">
        <v>2.0999999999999999E-3</v>
      </c>
      <c r="E206" s="1366">
        <v>2.3416666666666668E-3</v>
      </c>
      <c r="F206" s="5">
        <v>2.4666666666666669E-3</v>
      </c>
      <c r="G206" s="5">
        <v>2.4041666666666669E-3</v>
      </c>
      <c r="H206" s="1366">
        <v>2.5500000000000002E-3</v>
      </c>
      <c r="I206" s="1366">
        <f t="shared" si="9"/>
        <v>5.28E-2</v>
      </c>
      <c r="J206" s="1366">
        <f t="shared" si="7"/>
        <v>5.2495833333333332E-2</v>
      </c>
      <c r="K206" s="1366">
        <f t="shared" si="8"/>
        <v>3.0249999999999996E-2</v>
      </c>
    </row>
    <row r="207" spans="1:11" x14ac:dyDescent="0.55000000000000004">
      <c r="A207" s="295">
        <v>15707</v>
      </c>
      <c r="B207" s="1368">
        <v>7.3700000000000002E-2</v>
      </c>
      <c r="C207" s="1366">
        <v>0.1217</v>
      </c>
      <c r="D207" s="1366">
        <v>2E-3</v>
      </c>
      <c r="E207" s="1366">
        <v>2.3250000000000002E-3</v>
      </c>
      <c r="F207" s="5">
        <v>2.4416666666666666E-3</v>
      </c>
      <c r="G207" s="5">
        <v>2.3833333333333332E-3</v>
      </c>
      <c r="H207" s="1366">
        <v>2.5416666666666669E-3</v>
      </c>
      <c r="I207" s="1366">
        <f t="shared" si="9"/>
        <v>7.17E-2</v>
      </c>
      <c r="J207" s="1366">
        <f t="shared" si="7"/>
        <v>7.1316666666666667E-2</v>
      </c>
      <c r="K207" s="1366">
        <f t="shared" si="8"/>
        <v>0.11915833333333334</v>
      </c>
    </row>
    <row r="208" spans="1:11" x14ac:dyDescent="0.55000000000000004">
      <c r="A208" s="295">
        <v>15738</v>
      </c>
      <c r="B208" s="1368">
        <v>5.8299999999999998E-2</v>
      </c>
      <c r="C208" s="1366">
        <v>7.1900000000000006E-2</v>
      </c>
      <c r="D208" s="1366">
        <v>1.9E-3</v>
      </c>
      <c r="E208" s="1366">
        <v>2.3083333333333332E-3</v>
      </c>
      <c r="F208" s="5">
        <v>2.4083333333333335E-3</v>
      </c>
      <c r="G208" s="5">
        <v>2.3583333333333334E-3</v>
      </c>
      <c r="H208" s="1366">
        <v>2.5166666666666666E-3</v>
      </c>
      <c r="I208" s="1366">
        <f t="shared" si="9"/>
        <v>5.6399999999999999E-2</v>
      </c>
      <c r="J208" s="1366">
        <f t="shared" si="7"/>
        <v>5.5941666666666667E-2</v>
      </c>
      <c r="K208" s="1366">
        <f t="shared" si="8"/>
        <v>6.9383333333333339E-2</v>
      </c>
    </row>
    <row r="209" spans="1:11" x14ac:dyDescent="0.55000000000000004">
      <c r="A209" s="295">
        <v>15766</v>
      </c>
      <c r="B209" s="1368">
        <v>5.45E-2</v>
      </c>
      <c r="C209" s="1366">
        <v>4.1200000000000001E-2</v>
      </c>
      <c r="D209" s="1366">
        <v>2.0999999999999999E-3</v>
      </c>
      <c r="E209" s="1366">
        <v>2.3E-3</v>
      </c>
      <c r="F209" s="5">
        <v>2.3999999999999998E-3</v>
      </c>
      <c r="G209" s="5">
        <v>2.3499999999999997E-3</v>
      </c>
      <c r="H209" s="1366">
        <v>2.5083333333333333E-3</v>
      </c>
      <c r="I209" s="1366">
        <f t="shared" si="9"/>
        <v>5.2400000000000002E-2</v>
      </c>
      <c r="J209" s="1366">
        <f t="shared" si="7"/>
        <v>5.2150000000000002E-2</v>
      </c>
      <c r="K209" s="1366">
        <f t="shared" si="8"/>
        <v>3.8691666666666666E-2</v>
      </c>
    </row>
    <row r="210" spans="1:11" x14ac:dyDescent="0.55000000000000004">
      <c r="A210" s="295">
        <v>15797</v>
      </c>
      <c r="B210" s="1368">
        <v>3.5000000000000001E-3</v>
      </c>
      <c r="C210" s="1366">
        <v>3.8700000000000005E-2</v>
      </c>
      <c r="D210" s="1366">
        <v>2E-3</v>
      </c>
      <c r="E210" s="1366">
        <v>2.3E-3</v>
      </c>
      <c r="F210" s="5">
        <v>2.3999999999999998E-3</v>
      </c>
      <c r="G210" s="5">
        <v>2.3499999999999997E-3</v>
      </c>
      <c r="H210" s="1366">
        <v>2.5000000000000001E-3</v>
      </c>
      <c r="I210" s="1366">
        <f t="shared" si="9"/>
        <v>1.5E-3</v>
      </c>
      <c r="J210" s="1366">
        <f t="shared" si="7"/>
        <v>1.1500000000000004E-3</v>
      </c>
      <c r="K210" s="1366">
        <f t="shared" si="8"/>
        <v>3.6200000000000003E-2</v>
      </c>
    </row>
    <row r="211" spans="1:11" x14ac:dyDescent="0.55000000000000004">
      <c r="A211" s="295">
        <v>15827</v>
      </c>
      <c r="B211" s="1368">
        <v>5.5199999999999999E-2</v>
      </c>
      <c r="C211" s="1366">
        <v>3.4700000000000002E-2</v>
      </c>
      <c r="D211" s="1366">
        <v>1.9E-3</v>
      </c>
      <c r="E211" s="1366">
        <v>2.2833333333333334E-3</v>
      </c>
      <c r="F211" s="5">
        <v>2.3916666666666665E-3</v>
      </c>
      <c r="G211" s="5">
        <v>2.3375000000000002E-3</v>
      </c>
      <c r="H211" s="1366">
        <v>2.5000000000000001E-3</v>
      </c>
      <c r="I211" s="1366">
        <f t="shared" si="9"/>
        <v>5.33E-2</v>
      </c>
      <c r="J211" s="1366">
        <f t="shared" si="7"/>
        <v>5.28625E-2</v>
      </c>
      <c r="K211" s="1366">
        <f t="shared" si="8"/>
        <v>3.2199999999999999E-2</v>
      </c>
    </row>
    <row r="212" spans="1:11" x14ac:dyDescent="0.55000000000000004">
      <c r="A212" s="295">
        <v>15858</v>
      </c>
      <c r="B212" s="1368">
        <v>2.23E-2</v>
      </c>
      <c r="C212" s="1366">
        <v>5.3800000000000001E-2</v>
      </c>
      <c r="D212" s="1366">
        <v>2.0999999999999999E-3</v>
      </c>
      <c r="E212" s="1366">
        <v>2.2666666666666668E-3</v>
      </c>
      <c r="F212" s="5">
        <v>2.3750000000000004E-3</v>
      </c>
      <c r="G212" s="5">
        <v>2.3208333333333336E-3</v>
      </c>
      <c r="H212" s="1366">
        <v>2.4833333333333331E-3</v>
      </c>
      <c r="I212" s="1366">
        <f t="shared" si="9"/>
        <v>2.0199999999999999E-2</v>
      </c>
      <c r="J212" s="1366">
        <f t="shared" si="7"/>
        <v>1.9979166666666666E-2</v>
      </c>
      <c r="K212" s="1366">
        <f t="shared" si="8"/>
        <v>5.131666666666667E-2</v>
      </c>
    </row>
    <row r="213" spans="1:11" x14ac:dyDescent="0.55000000000000004">
      <c r="A213" s="295">
        <v>15888</v>
      </c>
      <c r="B213" s="1368">
        <v>-5.2600000000000001E-2</v>
      </c>
      <c r="C213" s="1366">
        <v>3.8E-3</v>
      </c>
      <c r="D213" s="1366">
        <v>2.0999999999999999E-3</v>
      </c>
      <c r="E213" s="1366">
        <v>2.2416666666666665E-3</v>
      </c>
      <c r="F213" s="5">
        <v>2.3499999999999997E-3</v>
      </c>
      <c r="G213" s="5">
        <v>2.2958333333333329E-3</v>
      </c>
      <c r="H213" s="1366">
        <v>2.4666666666666669E-3</v>
      </c>
      <c r="I213" s="1366">
        <f t="shared" si="9"/>
        <v>-5.4699999999999999E-2</v>
      </c>
      <c r="J213" s="1366">
        <f t="shared" si="7"/>
        <v>-5.4895833333333331E-2</v>
      </c>
      <c r="K213" s="1366">
        <f t="shared" si="8"/>
        <v>1.3333333333333331E-3</v>
      </c>
    </row>
    <row r="214" spans="1:11" x14ac:dyDescent="0.55000000000000004">
      <c r="A214" s="295">
        <v>15919</v>
      </c>
      <c r="B214" s="1368">
        <v>1.7100000000000001E-2</v>
      </c>
      <c r="C214" s="1366">
        <v>1.0500000000000001E-2</v>
      </c>
      <c r="D214" s="1366">
        <v>2.0999999999999999E-3</v>
      </c>
      <c r="E214" s="1366">
        <v>2.2416666666666665E-3</v>
      </c>
      <c r="F214" s="5">
        <v>2.3416666666666668E-3</v>
      </c>
      <c r="G214" s="5">
        <v>2.2916666666666667E-3</v>
      </c>
      <c r="H214" s="1366">
        <v>2.4666666666666669E-3</v>
      </c>
      <c r="I214" s="1366">
        <f t="shared" si="9"/>
        <v>1.5000000000000001E-2</v>
      </c>
      <c r="J214" s="1366">
        <f t="shared" si="7"/>
        <v>1.4808333333333333E-2</v>
      </c>
      <c r="K214" s="1366">
        <f t="shared" si="8"/>
        <v>8.0333333333333333E-3</v>
      </c>
    </row>
    <row r="215" spans="1:11" x14ac:dyDescent="0.55000000000000004">
      <c r="A215" s="295">
        <v>15950</v>
      </c>
      <c r="B215" s="1368">
        <v>2.63E-2</v>
      </c>
      <c r="C215" s="1366">
        <v>3.2300000000000002E-2</v>
      </c>
      <c r="D215" s="1366">
        <v>2E-3</v>
      </c>
      <c r="E215" s="1366">
        <v>2.2416666666666665E-3</v>
      </c>
      <c r="F215" s="5">
        <v>2.3499999999999997E-3</v>
      </c>
      <c r="G215" s="5">
        <v>2.2958333333333329E-3</v>
      </c>
      <c r="H215" s="1366">
        <v>2.4666666666666669E-3</v>
      </c>
      <c r="I215" s="1366">
        <f t="shared" si="9"/>
        <v>2.4300000000000002E-2</v>
      </c>
      <c r="J215" s="1366">
        <f t="shared" si="7"/>
        <v>2.4004166666666667E-2</v>
      </c>
      <c r="K215" s="1366">
        <f t="shared" si="8"/>
        <v>2.9833333333333337E-2</v>
      </c>
    </row>
    <row r="216" spans="1:11" x14ac:dyDescent="0.55000000000000004">
      <c r="A216" s="295">
        <v>15980</v>
      </c>
      <c r="B216" s="1368">
        <v>-1.0800000000000001E-2</v>
      </c>
      <c r="C216" s="1366">
        <v>8.199999999999999E-3</v>
      </c>
      <c r="D216" s="1366">
        <v>2E-3</v>
      </c>
      <c r="E216" s="1366">
        <v>2.2500000000000003E-3</v>
      </c>
      <c r="F216" s="5">
        <v>2.3583333333333334E-3</v>
      </c>
      <c r="G216" s="5">
        <v>2.3041666666666666E-3</v>
      </c>
      <c r="H216" s="1366">
        <v>2.4750000000000002E-3</v>
      </c>
      <c r="I216" s="1366">
        <f t="shared" si="9"/>
        <v>-1.2800000000000001E-2</v>
      </c>
      <c r="J216" s="1366">
        <f t="shared" si="7"/>
        <v>-1.3104166666666667E-2</v>
      </c>
      <c r="K216" s="1366">
        <f t="shared" si="8"/>
        <v>5.7249999999999992E-3</v>
      </c>
    </row>
    <row r="217" spans="1:11" x14ac:dyDescent="0.55000000000000004">
      <c r="A217" s="295">
        <v>16011</v>
      </c>
      <c r="B217" s="1368">
        <v>-6.54E-2</v>
      </c>
      <c r="C217" s="1366">
        <v>-7.7499999999999999E-2</v>
      </c>
      <c r="D217" s="1366">
        <v>2.0999999999999999E-3</v>
      </c>
      <c r="E217" s="1366">
        <v>2.2583333333333331E-3</v>
      </c>
      <c r="F217" s="5">
        <v>2.3666666666666667E-3</v>
      </c>
      <c r="G217" s="5">
        <v>2.3125000000000003E-3</v>
      </c>
      <c r="H217" s="1366">
        <v>2.4833333333333331E-3</v>
      </c>
      <c r="I217" s="1366">
        <f t="shared" si="9"/>
        <v>-6.7500000000000004E-2</v>
      </c>
      <c r="J217" s="1366">
        <f t="shared" si="7"/>
        <v>-6.7712499999999995E-2</v>
      </c>
      <c r="K217" s="1366">
        <f t="shared" si="8"/>
        <v>-7.9983333333333337E-2</v>
      </c>
    </row>
    <row r="218" spans="1:11" x14ac:dyDescent="0.55000000000000004">
      <c r="A218" s="295">
        <v>16041</v>
      </c>
      <c r="B218" s="1368">
        <v>6.1699999999999998E-2</v>
      </c>
      <c r="C218" s="1366">
        <v>5.779999999999999E-2</v>
      </c>
      <c r="D218" s="1366">
        <v>2.0999999999999999E-3</v>
      </c>
      <c r="E218" s="1366">
        <v>2.2833333333333334E-3</v>
      </c>
      <c r="F218" s="5">
        <v>2.3916666666666665E-3</v>
      </c>
      <c r="G218" s="5">
        <v>2.3375000000000002E-3</v>
      </c>
      <c r="H218" s="1366">
        <v>2.4916666666666668E-3</v>
      </c>
      <c r="I218" s="1366">
        <f t="shared" si="9"/>
        <v>5.96E-2</v>
      </c>
      <c r="J218" s="1366">
        <f t="shared" si="7"/>
        <v>5.9362499999999999E-2</v>
      </c>
      <c r="K218" s="1366">
        <f t="shared" si="8"/>
        <v>5.530833333333332E-2</v>
      </c>
    </row>
    <row r="219" spans="1:11" x14ac:dyDescent="0.55000000000000004">
      <c r="A219" s="295">
        <v>16072</v>
      </c>
      <c r="B219" s="1368">
        <v>1.7100000000000001E-2</v>
      </c>
      <c r="C219" s="1366">
        <v>1.0599999999999998E-2</v>
      </c>
      <c r="D219" s="1366">
        <v>2.0999999999999999E-3</v>
      </c>
      <c r="E219" s="1366">
        <v>2.2666666666666668E-3</v>
      </c>
      <c r="F219" s="5">
        <v>2.3583333333333334E-3</v>
      </c>
      <c r="G219" s="5">
        <v>2.3125000000000003E-3</v>
      </c>
      <c r="H219" s="1366">
        <v>2.4916666666666668E-3</v>
      </c>
      <c r="I219" s="1366">
        <f t="shared" si="9"/>
        <v>1.5000000000000001E-2</v>
      </c>
      <c r="J219" s="1366">
        <f t="shared" ref="J219:J282" si="10">B219-G219</f>
        <v>1.47875E-2</v>
      </c>
      <c r="K219" s="1366">
        <f t="shared" ref="K219:K282" si="11">$C219-H219</f>
        <v>8.108333333333332E-3</v>
      </c>
    </row>
    <row r="220" spans="1:11" x14ac:dyDescent="0.55000000000000004">
      <c r="A220" s="295">
        <v>16103</v>
      </c>
      <c r="B220" s="1368">
        <v>4.1999999999999997E-3</v>
      </c>
      <c r="C220" s="1366">
        <v>1.7899999999999999E-2</v>
      </c>
      <c r="D220" s="1366">
        <v>2E-3</v>
      </c>
      <c r="E220" s="1366">
        <v>2.2833333333333334E-3</v>
      </c>
      <c r="F220" s="5">
        <v>2.3583333333333334E-3</v>
      </c>
      <c r="G220" s="5">
        <v>2.3208333333333336E-3</v>
      </c>
      <c r="H220" s="1366">
        <v>2.4916666666666668E-3</v>
      </c>
      <c r="I220" s="1366">
        <f t="shared" si="9"/>
        <v>2.1999999999999997E-3</v>
      </c>
      <c r="J220" s="1366">
        <f t="shared" si="10"/>
        <v>1.8791666666666661E-3</v>
      </c>
      <c r="K220" s="1366">
        <f t="shared" si="11"/>
        <v>1.5408333333333333E-2</v>
      </c>
    </row>
    <row r="221" spans="1:11" x14ac:dyDescent="0.55000000000000004">
      <c r="A221" s="295">
        <v>16132</v>
      </c>
      <c r="B221" s="1368">
        <v>1.95E-2</v>
      </c>
      <c r="C221" s="1366">
        <v>1.04E-2</v>
      </c>
      <c r="D221" s="1366">
        <v>2.0999999999999999E-3</v>
      </c>
      <c r="E221" s="1366">
        <v>2.2833333333333334E-3</v>
      </c>
      <c r="F221" s="5">
        <v>2.3499999999999997E-3</v>
      </c>
      <c r="G221" s="5">
        <v>2.316666666666667E-3</v>
      </c>
      <c r="H221" s="1366">
        <v>2.4750000000000002E-3</v>
      </c>
      <c r="I221" s="1366">
        <f t="shared" si="9"/>
        <v>1.7399999999999999E-2</v>
      </c>
      <c r="J221" s="1366">
        <f t="shared" si="10"/>
        <v>1.7183333333333332E-2</v>
      </c>
      <c r="K221" s="1366">
        <f t="shared" si="11"/>
        <v>7.9249999999999998E-3</v>
      </c>
    </row>
    <row r="222" spans="1:11" x14ac:dyDescent="0.55000000000000004">
      <c r="A222" s="295">
        <v>16163</v>
      </c>
      <c r="B222" s="1368">
        <v>-0.01</v>
      </c>
      <c r="C222" s="1366">
        <v>-9.1000000000000004E-3</v>
      </c>
      <c r="D222" s="1366">
        <v>2E-3</v>
      </c>
      <c r="E222" s="1366">
        <v>2.2833333333333334E-3</v>
      </c>
      <c r="F222" s="5">
        <v>2.3499999999999997E-3</v>
      </c>
      <c r="G222" s="5">
        <v>2.316666666666667E-3</v>
      </c>
      <c r="H222" s="1366">
        <v>2.4916666666666668E-3</v>
      </c>
      <c r="I222" s="1366">
        <f t="shared" si="9"/>
        <v>-1.2E-2</v>
      </c>
      <c r="J222" s="1366">
        <f t="shared" si="10"/>
        <v>-1.2316666666666667E-2</v>
      </c>
      <c r="K222" s="1366">
        <f t="shared" si="11"/>
        <v>-1.1591666666666667E-2</v>
      </c>
    </row>
    <row r="223" spans="1:11" x14ac:dyDescent="0.55000000000000004">
      <c r="A223" s="295">
        <v>16193</v>
      </c>
      <c r="B223" s="1368">
        <v>5.0500000000000003E-2</v>
      </c>
      <c r="C223" s="1366">
        <v>3.0099999999999998E-2</v>
      </c>
      <c r="D223" s="1366">
        <v>2.2000000000000001E-3</v>
      </c>
      <c r="E223" s="1366">
        <v>2.2750000000000001E-3</v>
      </c>
      <c r="F223" s="5">
        <v>2.3416666666666668E-3</v>
      </c>
      <c r="G223" s="5">
        <v>2.3083333333333332E-3</v>
      </c>
      <c r="H223" s="1366">
        <v>2.4916666666666668E-3</v>
      </c>
      <c r="I223" s="1366">
        <f t="shared" si="9"/>
        <v>4.8300000000000003E-2</v>
      </c>
      <c r="J223" s="1366">
        <f t="shared" si="10"/>
        <v>4.8191666666666667E-2</v>
      </c>
      <c r="K223" s="1366">
        <f t="shared" si="11"/>
        <v>2.7608333333333332E-2</v>
      </c>
    </row>
    <row r="224" spans="1:11" x14ac:dyDescent="0.55000000000000004">
      <c r="A224" s="295">
        <v>16224</v>
      </c>
      <c r="B224" s="1368">
        <v>5.4300000000000001E-2</v>
      </c>
      <c r="C224" s="1366">
        <v>5.2600000000000001E-2</v>
      </c>
      <c r="D224" s="1366">
        <v>2E-3</v>
      </c>
      <c r="E224" s="1366">
        <v>2.2750000000000001E-3</v>
      </c>
      <c r="F224" s="5">
        <v>2.3416666666666668E-3</v>
      </c>
      <c r="G224" s="5">
        <v>2.3083333333333332E-3</v>
      </c>
      <c r="H224" s="1366">
        <v>2.4916666666666668E-3</v>
      </c>
      <c r="I224" s="1366">
        <f t="shared" si="9"/>
        <v>5.2299999999999999E-2</v>
      </c>
      <c r="J224" s="1366">
        <f t="shared" si="10"/>
        <v>5.1991666666666665E-2</v>
      </c>
      <c r="K224" s="1366">
        <f t="shared" si="11"/>
        <v>5.0108333333333331E-2</v>
      </c>
    </row>
    <row r="225" spans="1:11" x14ac:dyDescent="0.55000000000000004">
      <c r="A225" s="295">
        <v>16254</v>
      </c>
      <c r="B225" s="1368">
        <v>-1.9300000000000001E-2</v>
      </c>
      <c r="C225" s="1366">
        <v>2.9000000000000002E-3</v>
      </c>
      <c r="D225" s="1366">
        <v>2.0999999999999999E-3</v>
      </c>
      <c r="E225" s="1366">
        <v>2.2666666666666668E-3</v>
      </c>
      <c r="F225" s="5">
        <v>2.3333333333333331E-3</v>
      </c>
      <c r="G225" s="5">
        <v>2.3E-3</v>
      </c>
      <c r="H225" s="1366">
        <v>2.4666666666666669E-3</v>
      </c>
      <c r="I225" s="1366">
        <f t="shared" si="9"/>
        <v>-2.1400000000000002E-2</v>
      </c>
      <c r="J225" s="1366">
        <f t="shared" si="10"/>
        <v>-2.1600000000000001E-2</v>
      </c>
      <c r="K225" s="1366">
        <f t="shared" si="11"/>
        <v>4.3333333333333331E-4</v>
      </c>
    </row>
    <row r="226" spans="1:11" x14ac:dyDescent="0.55000000000000004">
      <c r="A226" s="295">
        <v>16285</v>
      </c>
      <c r="B226" s="1368">
        <v>1.5699999999999999E-2</v>
      </c>
      <c r="C226" s="1366">
        <v>3.5700000000000003E-2</v>
      </c>
      <c r="D226" s="1366">
        <v>2.0999999999999999E-3</v>
      </c>
      <c r="E226" s="1366">
        <v>2.2583333333333331E-3</v>
      </c>
      <c r="F226" s="5">
        <v>2.3250000000000002E-3</v>
      </c>
      <c r="G226" s="5">
        <v>2.2916666666666667E-3</v>
      </c>
      <c r="H226" s="1366">
        <v>2.4499999999999999E-3</v>
      </c>
      <c r="I226" s="1366">
        <f t="shared" si="9"/>
        <v>1.3599999999999999E-2</v>
      </c>
      <c r="J226" s="1366">
        <f t="shared" si="10"/>
        <v>1.3408333333333331E-2</v>
      </c>
      <c r="K226" s="1366">
        <f t="shared" si="11"/>
        <v>3.3250000000000002E-2</v>
      </c>
    </row>
    <row r="227" spans="1:11" x14ac:dyDescent="0.55000000000000004">
      <c r="A227" s="295">
        <v>16316</v>
      </c>
      <c r="B227" s="1368">
        <v>-8.0000000000000004E-4</v>
      </c>
      <c r="C227" s="1366">
        <v>-1.5000000000000003E-2</v>
      </c>
      <c r="D227" s="1366">
        <v>2E-3</v>
      </c>
      <c r="E227" s="1366">
        <v>2.2666666666666668E-3</v>
      </c>
      <c r="F227" s="5">
        <v>2.3250000000000002E-3</v>
      </c>
      <c r="G227" s="5">
        <v>2.2958333333333338E-3</v>
      </c>
      <c r="H227" s="1366">
        <v>2.4416666666666666E-3</v>
      </c>
      <c r="I227" s="1366">
        <f t="shared" si="9"/>
        <v>-2.8E-3</v>
      </c>
      <c r="J227" s="1366">
        <f t="shared" si="10"/>
        <v>-3.0958333333333337E-3</v>
      </c>
      <c r="K227" s="1366">
        <f t="shared" si="11"/>
        <v>-1.7441666666666668E-2</v>
      </c>
    </row>
    <row r="228" spans="1:11" x14ac:dyDescent="0.55000000000000004">
      <c r="A228" s="295">
        <v>16346</v>
      </c>
      <c r="B228" s="1368">
        <v>2.3E-3</v>
      </c>
      <c r="C228" s="1366">
        <v>1.3899999999999999E-2</v>
      </c>
      <c r="D228" s="1366">
        <v>2.0999999999999999E-3</v>
      </c>
      <c r="E228" s="1366">
        <v>2.2666666666666668E-3</v>
      </c>
      <c r="F228" s="5">
        <v>2.3416666666666668E-3</v>
      </c>
      <c r="G228" s="5">
        <v>2.3041666666666666E-3</v>
      </c>
      <c r="H228" s="1366">
        <v>2.4499999999999999E-3</v>
      </c>
      <c r="I228" s="1366">
        <f t="shared" si="9"/>
        <v>2.0000000000000009E-4</v>
      </c>
      <c r="J228" s="1366">
        <f t="shared" si="10"/>
        <v>-4.1666666666666415E-6</v>
      </c>
      <c r="K228" s="1366">
        <f t="shared" si="11"/>
        <v>1.1449999999999998E-2</v>
      </c>
    </row>
    <row r="229" spans="1:11" x14ac:dyDescent="0.55000000000000004">
      <c r="A229" s="295">
        <v>16377</v>
      </c>
      <c r="B229" s="1368">
        <v>1.3299999999999999E-2</v>
      </c>
      <c r="C229" s="1366">
        <v>-1.3000000000000001E-2</v>
      </c>
      <c r="D229" s="1366">
        <v>2E-3</v>
      </c>
      <c r="E229" s="1366">
        <v>2.2666666666666668E-3</v>
      </c>
      <c r="F229" s="5">
        <v>2.3333333333333331E-3</v>
      </c>
      <c r="G229" s="5">
        <v>2.3E-3</v>
      </c>
      <c r="H229" s="1366">
        <v>2.4666666666666669E-3</v>
      </c>
      <c r="I229" s="1366">
        <f t="shared" si="9"/>
        <v>1.1299999999999999E-2</v>
      </c>
      <c r="J229" s="1366">
        <f t="shared" si="10"/>
        <v>1.0999999999999999E-2</v>
      </c>
      <c r="K229" s="1366">
        <f t="shared" si="11"/>
        <v>-1.5466666666666668E-2</v>
      </c>
    </row>
    <row r="230" spans="1:11" x14ac:dyDescent="0.55000000000000004">
      <c r="A230" s="295">
        <v>16407</v>
      </c>
      <c r="B230" s="1368">
        <v>3.7400000000000003E-2</v>
      </c>
      <c r="C230" s="1366">
        <v>3.2399999999999998E-2</v>
      </c>
      <c r="D230" s="1366">
        <v>2E-3</v>
      </c>
      <c r="E230" s="1366">
        <v>2.2500000000000003E-3</v>
      </c>
      <c r="F230" s="5">
        <v>2.3E-3</v>
      </c>
      <c r="G230" s="5">
        <v>2.2749999999999997E-3</v>
      </c>
      <c r="H230" s="1366">
        <v>2.4750000000000002E-3</v>
      </c>
      <c r="I230" s="1366">
        <f t="shared" si="9"/>
        <v>3.5400000000000001E-2</v>
      </c>
      <c r="J230" s="1366">
        <f t="shared" si="10"/>
        <v>3.5125000000000003E-2</v>
      </c>
      <c r="K230" s="1366">
        <f t="shared" si="11"/>
        <v>2.9924999999999997E-2</v>
      </c>
    </row>
    <row r="231" spans="1:11" x14ac:dyDescent="0.55000000000000004">
      <c r="A231" s="295">
        <v>16438</v>
      </c>
      <c r="B231" s="1368">
        <v>1.5800000000000002E-2</v>
      </c>
      <c r="C231" s="1366">
        <v>4.9699999999999994E-2</v>
      </c>
      <c r="D231" s="1366">
        <v>2.0999999999999999E-3</v>
      </c>
      <c r="E231" s="1366">
        <v>2.2416666666666665E-3</v>
      </c>
      <c r="F231" s="5">
        <v>2.3E-3</v>
      </c>
      <c r="G231" s="5">
        <v>2.270833333333333E-3</v>
      </c>
      <c r="H231" s="1366">
        <v>2.4916666666666668E-3</v>
      </c>
      <c r="I231" s="1366">
        <f t="shared" si="9"/>
        <v>1.3700000000000002E-2</v>
      </c>
      <c r="J231" s="1366">
        <f t="shared" si="10"/>
        <v>1.3529166666666669E-2</v>
      </c>
      <c r="K231" s="1366">
        <f t="shared" si="11"/>
        <v>4.7208333333333324E-2</v>
      </c>
    </row>
    <row r="232" spans="1:11" x14ac:dyDescent="0.55000000000000004">
      <c r="A232" s="295">
        <v>16469</v>
      </c>
      <c r="B232" s="1368">
        <v>6.83E-2</v>
      </c>
      <c r="C232" s="1366">
        <v>6.9499999999999992E-2</v>
      </c>
      <c r="D232" s="1366">
        <v>1.8E-3</v>
      </c>
      <c r="E232" s="1366">
        <v>2.2083333333333334E-3</v>
      </c>
      <c r="F232" s="5">
        <v>2.2750000000000001E-3</v>
      </c>
      <c r="G232" s="5">
        <v>2.241666666666667E-3</v>
      </c>
      <c r="H232" s="1366">
        <v>2.4833333333333331E-3</v>
      </c>
      <c r="I232" s="1366">
        <f t="shared" si="9"/>
        <v>6.6500000000000004E-2</v>
      </c>
      <c r="J232" s="1366">
        <f t="shared" si="10"/>
        <v>6.605833333333333E-2</v>
      </c>
      <c r="K232" s="1366">
        <f t="shared" si="11"/>
        <v>6.7016666666666655E-2</v>
      </c>
    </row>
    <row r="233" spans="1:11" x14ac:dyDescent="0.55000000000000004">
      <c r="A233" s="295">
        <v>16497</v>
      </c>
      <c r="B233" s="1368">
        <v>-4.41E-2</v>
      </c>
      <c r="C233" s="1366">
        <v>-3.5699999999999996E-2</v>
      </c>
      <c r="D233" s="1366">
        <v>2E-3</v>
      </c>
      <c r="E233" s="1366">
        <v>2.1833333333333336E-3</v>
      </c>
      <c r="F233" s="5">
        <v>2.2666666666666668E-3</v>
      </c>
      <c r="G233" s="5">
        <v>2.2250000000000004E-3</v>
      </c>
      <c r="H233" s="1366">
        <v>2.4750000000000002E-3</v>
      </c>
      <c r="I233" s="1366">
        <f t="shared" si="9"/>
        <v>-4.6100000000000002E-2</v>
      </c>
      <c r="J233" s="1366">
        <f t="shared" si="10"/>
        <v>-4.6324999999999998E-2</v>
      </c>
      <c r="K233" s="1366">
        <f t="shared" si="11"/>
        <v>-3.8174999999999994E-2</v>
      </c>
    </row>
    <row r="234" spans="1:11" x14ac:dyDescent="0.55000000000000004">
      <c r="A234" s="295">
        <v>16528</v>
      </c>
      <c r="B234" s="1368">
        <v>9.0200000000000002E-2</v>
      </c>
      <c r="C234" s="1366">
        <v>0.1066</v>
      </c>
      <c r="D234" s="1366">
        <v>1.9E-3</v>
      </c>
      <c r="E234" s="1366">
        <v>2.1749999999999999E-3</v>
      </c>
      <c r="F234" s="5">
        <v>2.2750000000000001E-3</v>
      </c>
      <c r="G234" s="5">
        <v>2.225E-3</v>
      </c>
      <c r="H234" s="1366">
        <v>2.4583333333333336E-3</v>
      </c>
      <c r="I234" s="1366">
        <f t="shared" si="9"/>
        <v>8.8300000000000003E-2</v>
      </c>
      <c r="J234" s="1366">
        <f t="shared" si="10"/>
        <v>8.7974999999999998E-2</v>
      </c>
      <c r="K234" s="1366">
        <f t="shared" si="11"/>
        <v>0.10414166666666666</v>
      </c>
    </row>
    <row r="235" spans="1:11" x14ac:dyDescent="0.55000000000000004">
      <c r="A235" s="295">
        <v>16558</v>
      </c>
      <c r="B235" s="1368">
        <v>1.95E-2</v>
      </c>
      <c r="C235" s="1366">
        <v>1.7100000000000001E-2</v>
      </c>
      <c r="D235" s="1366">
        <v>1.9E-3</v>
      </c>
      <c r="E235" s="1366">
        <v>2.1833333333333336E-3</v>
      </c>
      <c r="F235" s="5">
        <v>2.2666666666666668E-3</v>
      </c>
      <c r="G235" s="5">
        <v>2.2250000000000004E-3</v>
      </c>
      <c r="H235" s="1366">
        <v>2.4333333333333334E-3</v>
      </c>
      <c r="I235" s="1366">
        <f t="shared" si="9"/>
        <v>1.7600000000000001E-2</v>
      </c>
      <c r="J235" s="1366">
        <f t="shared" si="10"/>
        <v>1.7274999999999999E-2</v>
      </c>
      <c r="K235" s="1366">
        <f t="shared" si="11"/>
        <v>1.4666666666666668E-2</v>
      </c>
    </row>
    <row r="236" spans="1:11" x14ac:dyDescent="0.55000000000000004">
      <c r="A236" s="295">
        <v>16589</v>
      </c>
      <c r="B236" s="1368">
        <v>-6.9999999999999999E-4</v>
      </c>
      <c r="C236" s="1366">
        <v>6.6199999999999995E-2</v>
      </c>
      <c r="D236" s="1366">
        <v>1.9E-3</v>
      </c>
      <c r="E236" s="1366">
        <v>2.1749999999999999E-3</v>
      </c>
      <c r="F236" s="5">
        <v>2.2416666666666665E-3</v>
      </c>
      <c r="G236" s="5">
        <v>2.2083333333333334E-3</v>
      </c>
      <c r="H236" s="1366">
        <v>2.3916666666666665E-3</v>
      </c>
      <c r="I236" s="1366">
        <f t="shared" si="9"/>
        <v>-2.5999999999999999E-3</v>
      </c>
      <c r="J236" s="1366">
        <f t="shared" si="10"/>
        <v>-2.9083333333333335E-3</v>
      </c>
      <c r="K236" s="1366">
        <f t="shared" si="11"/>
        <v>6.3808333333333328E-2</v>
      </c>
    </row>
    <row r="237" spans="1:11" x14ac:dyDescent="0.55000000000000004">
      <c r="A237" s="295">
        <v>16619</v>
      </c>
      <c r="B237" s="1368">
        <v>-1.7999999999999999E-2</v>
      </c>
      <c r="C237" s="1366">
        <v>-5.0999999999999986E-3</v>
      </c>
      <c r="D237" s="1366">
        <v>1.8E-3</v>
      </c>
      <c r="E237" s="1366">
        <v>2.1666666666666666E-3</v>
      </c>
      <c r="F237" s="5">
        <v>2.2333333333333337E-3</v>
      </c>
      <c r="G237" s="5">
        <v>2.2000000000000001E-3</v>
      </c>
      <c r="H237" s="1366">
        <v>2.3583333333333334E-3</v>
      </c>
      <c r="I237" s="1366">
        <f t="shared" si="9"/>
        <v>-1.9799999999999998E-2</v>
      </c>
      <c r="J237" s="1366">
        <f t="shared" si="10"/>
        <v>-2.0199999999999999E-2</v>
      </c>
      <c r="K237" s="1366">
        <f t="shared" si="11"/>
        <v>-7.4583333333333324E-3</v>
      </c>
    </row>
    <row r="238" spans="1:11" x14ac:dyDescent="0.55000000000000004">
      <c r="A238" s="295">
        <v>16650</v>
      </c>
      <c r="B238" s="1368">
        <v>6.4100000000000004E-2</v>
      </c>
      <c r="C238" s="1366">
        <v>3.0999999999999999E-3</v>
      </c>
      <c r="D238" s="1366">
        <v>1.9E-3</v>
      </c>
      <c r="E238" s="1366">
        <v>2.1749999999999999E-3</v>
      </c>
      <c r="F238" s="5">
        <v>2.2500000000000003E-3</v>
      </c>
      <c r="G238" s="5">
        <v>2.2125000000000001E-3</v>
      </c>
      <c r="H238" s="1366">
        <v>2.3333333333333335E-3</v>
      </c>
      <c r="I238" s="1366">
        <f t="shared" si="9"/>
        <v>6.2200000000000005E-2</v>
      </c>
      <c r="J238" s="1366">
        <f t="shared" si="10"/>
        <v>6.1887500000000005E-2</v>
      </c>
      <c r="K238" s="1366">
        <f t="shared" si="11"/>
        <v>7.6666666666666636E-4</v>
      </c>
    </row>
    <row r="239" spans="1:11" x14ac:dyDescent="0.55000000000000004">
      <c r="A239" s="295">
        <v>16681</v>
      </c>
      <c r="B239" s="1368">
        <v>4.3799999999999999E-2</v>
      </c>
      <c r="C239" s="1366">
        <v>7.3900000000000007E-2</v>
      </c>
      <c r="D239" s="1366">
        <v>1.8E-3</v>
      </c>
      <c r="E239" s="1366">
        <v>2.1833333333333336E-3</v>
      </c>
      <c r="F239" s="5">
        <v>2.2500000000000003E-3</v>
      </c>
      <c r="G239" s="5">
        <v>2.2166666666666667E-3</v>
      </c>
      <c r="H239" s="1366">
        <v>2.3250000000000002E-3</v>
      </c>
      <c r="I239" s="1366">
        <f t="shared" si="9"/>
        <v>4.1999999999999996E-2</v>
      </c>
      <c r="J239" s="1366">
        <f t="shared" si="10"/>
        <v>4.1583333333333333E-2</v>
      </c>
      <c r="K239" s="1366">
        <f t="shared" si="11"/>
        <v>7.1575000000000014E-2</v>
      </c>
    </row>
    <row r="240" spans="1:11" x14ac:dyDescent="0.55000000000000004">
      <c r="A240" s="295">
        <v>16711</v>
      </c>
      <c r="B240" s="1368">
        <v>3.2199999999999999E-2</v>
      </c>
      <c r="C240" s="1366">
        <v>6.4100000000000004E-2</v>
      </c>
      <c r="D240" s="1366">
        <v>1.9E-3</v>
      </c>
      <c r="E240" s="1366">
        <v>2.1833333333333336E-3</v>
      </c>
      <c r="F240" s="5">
        <v>2.2500000000000003E-3</v>
      </c>
      <c r="G240" s="5">
        <v>2.2166666666666667E-3</v>
      </c>
      <c r="H240" s="1366">
        <v>2.3250000000000002E-3</v>
      </c>
      <c r="I240" s="1366">
        <f t="shared" si="9"/>
        <v>3.0300000000000001E-2</v>
      </c>
      <c r="J240" s="1366">
        <f t="shared" si="10"/>
        <v>2.9983333333333334E-2</v>
      </c>
      <c r="K240" s="1366">
        <f t="shared" si="11"/>
        <v>6.1775000000000004E-2</v>
      </c>
    </row>
    <row r="241" spans="1:11" x14ac:dyDescent="0.55000000000000004">
      <c r="A241" s="295">
        <v>16742</v>
      </c>
      <c r="B241" s="1368">
        <v>3.9600000000000003E-2</v>
      </c>
      <c r="C241" s="1366">
        <v>4.7100000000000003E-2</v>
      </c>
      <c r="D241" s="1366">
        <v>1.8E-3</v>
      </c>
      <c r="E241" s="1366">
        <v>2.1833333333333336E-3</v>
      </c>
      <c r="F241" s="5">
        <v>2.2333333333333337E-3</v>
      </c>
      <c r="G241" s="5">
        <v>2.2083333333333334E-3</v>
      </c>
      <c r="H241" s="1366">
        <v>2.3083333333333332E-3</v>
      </c>
      <c r="I241" s="1366">
        <f t="shared" si="9"/>
        <v>3.78E-2</v>
      </c>
      <c r="J241" s="1366">
        <f t="shared" si="10"/>
        <v>3.739166666666667E-2</v>
      </c>
      <c r="K241" s="1366">
        <f t="shared" si="11"/>
        <v>4.4791666666666667E-2</v>
      </c>
    </row>
    <row r="242" spans="1:11" x14ac:dyDescent="0.55000000000000004">
      <c r="A242" s="295">
        <v>16772</v>
      </c>
      <c r="B242" s="1368">
        <v>1.1599999999999999E-2</v>
      </c>
      <c r="C242" s="1366">
        <v>-1.1699999999999999E-2</v>
      </c>
      <c r="D242" s="1366">
        <v>1.8E-3</v>
      </c>
      <c r="E242" s="1366">
        <v>2.1749999999999999E-3</v>
      </c>
      <c r="F242" s="5">
        <v>2.2333333333333337E-3</v>
      </c>
      <c r="G242" s="5">
        <v>2.2041666666666668E-3</v>
      </c>
      <c r="H242" s="1366">
        <v>2.2916666666666667E-3</v>
      </c>
      <c r="I242" s="1366">
        <f t="shared" si="9"/>
        <v>9.7999999999999997E-3</v>
      </c>
      <c r="J242" s="1366">
        <f t="shared" si="10"/>
        <v>9.3958333333333324E-3</v>
      </c>
      <c r="K242" s="1366">
        <f t="shared" si="11"/>
        <v>-1.3991666666666666E-2</v>
      </c>
    </row>
    <row r="243" spans="1:11" x14ac:dyDescent="0.55000000000000004">
      <c r="A243" s="295">
        <v>16803</v>
      </c>
      <c r="B243" s="1368">
        <v>7.1400000000000005E-2</v>
      </c>
      <c r="C243" s="1366">
        <v>0.11989999999999998</v>
      </c>
      <c r="D243" s="1366">
        <v>1.6999999999999999E-3</v>
      </c>
      <c r="E243" s="1366">
        <v>2.1166666666666669E-3</v>
      </c>
      <c r="F243" s="5">
        <v>2.1833333333333336E-3</v>
      </c>
      <c r="G243" s="5">
        <v>2.1500000000000004E-3</v>
      </c>
      <c r="H243" s="1366">
        <v>2.2416666666666665E-3</v>
      </c>
      <c r="I243" s="1366">
        <f t="shared" si="9"/>
        <v>6.9700000000000012E-2</v>
      </c>
      <c r="J243" s="1366">
        <f t="shared" si="10"/>
        <v>6.9250000000000006E-2</v>
      </c>
      <c r="K243" s="1366">
        <f t="shared" si="11"/>
        <v>0.11765833333333331</v>
      </c>
    </row>
    <row r="244" spans="1:11" x14ac:dyDescent="0.55000000000000004">
      <c r="A244" s="295">
        <v>16834</v>
      </c>
      <c r="B244" s="1368">
        <v>-6.4100000000000004E-2</v>
      </c>
      <c r="C244" s="1366">
        <v>-6.4000000000000001E-2</v>
      </c>
      <c r="D244" s="1366">
        <v>1.5E-3</v>
      </c>
      <c r="E244" s="1366">
        <v>2.0666666666666667E-3</v>
      </c>
      <c r="F244" s="5">
        <v>2.1333333333333334E-3</v>
      </c>
      <c r="G244" s="5">
        <v>2.1000000000000003E-3</v>
      </c>
      <c r="H244" s="1366">
        <v>2.225E-3</v>
      </c>
      <c r="I244" s="1366">
        <f t="shared" si="9"/>
        <v>-6.5600000000000006E-2</v>
      </c>
      <c r="J244" s="1366">
        <f t="shared" si="10"/>
        <v>-6.6200000000000009E-2</v>
      </c>
      <c r="K244" s="1366">
        <f t="shared" si="11"/>
        <v>-6.6225000000000006E-2</v>
      </c>
    </row>
    <row r="245" spans="1:11" x14ac:dyDescent="0.55000000000000004">
      <c r="A245" s="295">
        <v>16862</v>
      </c>
      <c r="B245" s="1368">
        <v>4.8000000000000001E-2</v>
      </c>
      <c r="C245" s="1366">
        <v>6.3100000000000003E-2</v>
      </c>
      <c r="D245" s="1366">
        <v>1.6000000000000001E-3</v>
      </c>
      <c r="E245" s="1366">
        <v>2.0583333333333335E-3</v>
      </c>
      <c r="F245" s="5">
        <v>2.1166666666666669E-3</v>
      </c>
      <c r="G245" s="5">
        <v>2.0874999999999999E-3</v>
      </c>
      <c r="H245" s="1366">
        <v>2.2166666666666667E-3</v>
      </c>
      <c r="I245" s="1366">
        <f t="shared" si="9"/>
        <v>4.6400000000000004E-2</v>
      </c>
      <c r="J245" s="1366">
        <f t="shared" si="10"/>
        <v>4.5912500000000002E-2</v>
      </c>
      <c r="K245" s="1366">
        <f t="shared" si="11"/>
        <v>6.0883333333333338E-2</v>
      </c>
    </row>
    <row r="246" spans="1:11" x14ac:dyDescent="0.55000000000000004">
      <c r="A246" s="295">
        <v>16893</v>
      </c>
      <c r="B246" s="1368">
        <v>3.9300000000000002E-2</v>
      </c>
      <c r="C246" s="1366">
        <v>3.3800000000000004E-2</v>
      </c>
      <c r="D246" s="1366">
        <v>1.6999999999999999E-3</v>
      </c>
      <c r="E246" s="1366">
        <v>2.0499999999999997E-3</v>
      </c>
      <c r="F246" s="5">
        <v>2.1333333333333334E-3</v>
      </c>
      <c r="G246" s="5">
        <v>2.0916666666666666E-3</v>
      </c>
      <c r="H246" s="1366">
        <v>2.2083333333333334E-3</v>
      </c>
      <c r="I246" s="1366">
        <f t="shared" si="9"/>
        <v>3.7600000000000001E-2</v>
      </c>
      <c r="J246" s="1366">
        <f t="shared" si="10"/>
        <v>3.7208333333333336E-2</v>
      </c>
      <c r="K246" s="1366">
        <f t="shared" si="11"/>
        <v>3.1591666666666671E-2</v>
      </c>
    </row>
    <row r="247" spans="1:11" x14ac:dyDescent="0.55000000000000004">
      <c r="A247" s="295">
        <v>16923</v>
      </c>
      <c r="B247" s="1368">
        <v>2.8799999999999999E-2</v>
      </c>
      <c r="C247" s="1366">
        <v>3.0099999999999998E-2</v>
      </c>
      <c r="D247" s="1366">
        <v>1.8E-3</v>
      </c>
      <c r="E247" s="1366">
        <v>2.0916666666666666E-3</v>
      </c>
      <c r="F247" s="5">
        <v>2.15E-3</v>
      </c>
      <c r="G247" s="5">
        <v>2.1208333333333331E-3</v>
      </c>
      <c r="H247" s="1366">
        <v>2.2416666666666665E-3</v>
      </c>
      <c r="I247" s="1366">
        <f t="shared" si="9"/>
        <v>2.7E-2</v>
      </c>
      <c r="J247" s="1366">
        <f t="shared" si="10"/>
        <v>2.6679166666666667E-2</v>
      </c>
      <c r="K247" s="1366">
        <f t="shared" si="11"/>
        <v>2.7858333333333332E-2</v>
      </c>
    </row>
    <row r="248" spans="1:11" x14ac:dyDescent="0.55000000000000004">
      <c r="A248" s="295">
        <v>16954</v>
      </c>
      <c r="B248" s="1368">
        <v>-3.6999999999999998E-2</v>
      </c>
      <c r="C248" s="1366">
        <v>-2.76E-2</v>
      </c>
      <c r="D248" s="1366">
        <v>1.6000000000000001E-3</v>
      </c>
      <c r="E248" s="1366">
        <v>2.075E-3</v>
      </c>
      <c r="F248" s="5">
        <v>2.1583333333333333E-3</v>
      </c>
      <c r="G248" s="5">
        <v>2.1166666666666669E-3</v>
      </c>
      <c r="H248" s="1366">
        <v>2.2500000000000003E-3</v>
      </c>
      <c r="I248" s="1366">
        <f t="shared" si="9"/>
        <v>-3.8599999999999995E-2</v>
      </c>
      <c r="J248" s="1366">
        <f t="shared" si="10"/>
        <v>-3.9116666666666668E-2</v>
      </c>
      <c r="K248" s="1366">
        <f t="shared" si="11"/>
        <v>-2.9850000000000002E-2</v>
      </c>
    </row>
    <row r="249" spans="1:11" x14ac:dyDescent="0.55000000000000004">
      <c r="A249" s="295">
        <v>16984</v>
      </c>
      <c r="B249" s="1368">
        <v>-2.3900000000000001E-2</v>
      </c>
      <c r="C249" s="1366">
        <v>-3.95E-2</v>
      </c>
      <c r="D249" s="1366">
        <v>1.9E-3</v>
      </c>
      <c r="E249" s="1366">
        <v>2.0666666666666667E-3</v>
      </c>
      <c r="F249" s="5">
        <v>2.1583333333333333E-3</v>
      </c>
      <c r="G249" s="5">
        <v>2.1124999999999998E-3</v>
      </c>
      <c r="H249" s="1366">
        <v>2.2416666666666665E-3</v>
      </c>
      <c r="I249" s="1366">
        <f t="shared" si="9"/>
        <v>-2.58E-2</v>
      </c>
      <c r="J249" s="1366">
        <f t="shared" si="10"/>
        <v>-2.6012500000000001E-2</v>
      </c>
      <c r="K249" s="1366">
        <f t="shared" si="11"/>
        <v>-4.174166666666667E-2</v>
      </c>
    </row>
    <row r="250" spans="1:11" x14ac:dyDescent="0.55000000000000004">
      <c r="A250" s="295">
        <v>17015</v>
      </c>
      <c r="B250" s="1368">
        <v>-6.7400000000000002E-2</v>
      </c>
      <c r="C250" s="1366">
        <v>-7.2399999999999992E-2</v>
      </c>
      <c r="D250" s="1366">
        <v>1.6999999999999999E-3</v>
      </c>
      <c r="E250" s="1366">
        <v>2.0916666666666666E-3</v>
      </c>
      <c r="F250" s="5">
        <v>2.1833333333333336E-3</v>
      </c>
      <c r="G250" s="5">
        <v>2.1375000000000001E-3</v>
      </c>
      <c r="H250" s="1366">
        <v>2.2583333333333331E-3</v>
      </c>
      <c r="I250" s="1366">
        <f t="shared" si="9"/>
        <v>-6.9099999999999995E-2</v>
      </c>
      <c r="J250" s="1366">
        <f t="shared" si="10"/>
        <v>-6.9537500000000002E-2</v>
      </c>
      <c r="K250" s="1366">
        <f t="shared" si="11"/>
        <v>-7.4658333333333327E-2</v>
      </c>
    </row>
    <row r="251" spans="1:11" x14ac:dyDescent="0.55000000000000004">
      <c r="A251" s="295">
        <v>17046</v>
      </c>
      <c r="B251" s="1368">
        <v>-9.9699999999999997E-2</v>
      </c>
      <c r="C251" s="1366">
        <v>-0.1051</v>
      </c>
      <c r="D251" s="1366">
        <v>1.8E-3</v>
      </c>
      <c r="E251" s="1366">
        <v>2.15E-3</v>
      </c>
      <c r="F251" s="5">
        <v>2.2333333333333337E-3</v>
      </c>
      <c r="G251" s="5">
        <v>2.1916666666666668E-3</v>
      </c>
      <c r="H251" s="1366">
        <v>2.2916666666666667E-3</v>
      </c>
      <c r="I251" s="1366">
        <f t="shared" si="9"/>
        <v>-0.10149999999999999</v>
      </c>
      <c r="J251" s="1366">
        <f t="shared" si="10"/>
        <v>-0.10189166666666666</v>
      </c>
      <c r="K251" s="1366">
        <f t="shared" si="11"/>
        <v>-0.10739166666666666</v>
      </c>
    </row>
    <row r="252" spans="1:11" x14ac:dyDescent="0.55000000000000004">
      <c r="A252" s="295">
        <v>17076</v>
      </c>
      <c r="B252" s="1368">
        <v>-6.0000000000000001E-3</v>
      </c>
      <c r="C252" s="1366">
        <v>2.1999999999999999E-2</v>
      </c>
      <c r="D252" s="1366">
        <v>1.9E-3</v>
      </c>
      <c r="E252" s="1366">
        <v>2.1666666666666666E-3</v>
      </c>
      <c r="F252" s="5">
        <v>2.2500000000000003E-3</v>
      </c>
      <c r="G252" s="5">
        <v>2.2083333333333334E-3</v>
      </c>
      <c r="H252" s="1366">
        <v>2.3E-3</v>
      </c>
      <c r="I252" s="1366">
        <f t="shared" si="9"/>
        <v>-7.9000000000000008E-3</v>
      </c>
      <c r="J252" s="1366">
        <f t="shared" si="10"/>
        <v>-8.2083333333333331E-3</v>
      </c>
      <c r="K252" s="1366">
        <f t="shared" si="11"/>
        <v>1.9699999999999999E-2</v>
      </c>
    </row>
    <row r="253" spans="1:11" x14ac:dyDescent="0.55000000000000004">
      <c r="A253" s="295">
        <v>17107</v>
      </c>
      <c r="B253" s="1368">
        <v>-2.7000000000000001E-3</v>
      </c>
      <c r="C253" s="1366">
        <v>5.7999999999999996E-3</v>
      </c>
      <c r="D253" s="1366">
        <v>1.8E-3</v>
      </c>
      <c r="E253" s="1366">
        <v>2.1583333333333333E-3</v>
      </c>
      <c r="F253" s="5">
        <v>2.2416666666666665E-3</v>
      </c>
      <c r="G253" s="5">
        <v>2.1999999999999997E-3</v>
      </c>
      <c r="H253" s="1366">
        <v>2.3E-3</v>
      </c>
      <c r="I253" s="1366">
        <f t="shared" si="9"/>
        <v>-4.5000000000000005E-3</v>
      </c>
      <c r="J253" s="1366">
        <f t="shared" si="10"/>
        <v>-4.8999999999999998E-3</v>
      </c>
      <c r="K253" s="1366">
        <f t="shared" si="11"/>
        <v>3.4999999999999996E-3</v>
      </c>
    </row>
    <row r="254" spans="1:11" x14ac:dyDescent="0.55000000000000004">
      <c r="A254" s="295">
        <v>17137</v>
      </c>
      <c r="B254" s="1368">
        <v>4.5699999999999998E-2</v>
      </c>
      <c r="C254" s="1366">
        <v>7.0599999999999996E-2</v>
      </c>
      <c r="D254" s="1366">
        <v>1.9E-3</v>
      </c>
      <c r="E254" s="1366">
        <v>2.1749999999999999E-3</v>
      </c>
      <c r="F254" s="5">
        <v>2.2416666666666665E-3</v>
      </c>
      <c r="G254" s="5">
        <v>2.2083333333333334E-3</v>
      </c>
      <c r="H254" s="1366">
        <v>2.3E-3</v>
      </c>
      <c r="I254" s="1366">
        <f t="shared" si="9"/>
        <v>4.3799999999999999E-2</v>
      </c>
      <c r="J254" s="1366">
        <f t="shared" si="10"/>
        <v>4.3491666666666665E-2</v>
      </c>
      <c r="K254" s="1366">
        <f t="shared" si="11"/>
        <v>6.83E-2</v>
      </c>
    </row>
    <row r="255" spans="1:11" x14ac:dyDescent="0.55000000000000004">
      <c r="A255" s="295">
        <v>17168</v>
      </c>
      <c r="B255" s="1368">
        <v>2.5499999999999998E-2</v>
      </c>
      <c r="C255" s="1366">
        <v>-2.0000000000000012E-4</v>
      </c>
      <c r="D255" s="1366">
        <v>1.8E-3</v>
      </c>
      <c r="E255" s="1366">
        <v>2.1416666666666663E-3</v>
      </c>
      <c r="F255" s="5">
        <v>2.2083333333333334E-3</v>
      </c>
      <c r="G255" s="5">
        <v>2.1749999999999999E-3</v>
      </c>
      <c r="H255" s="1366">
        <v>2.2666666666666668E-3</v>
      </c>
      <c r="I255" s="1366">
        <f t="shared" si="9"/>
        <v>2.3699999999999999E-2</v>
      </c>
      <c r="J255" s="1366">
        <f t="shared" si="10"/>
        <v>2.3324999999999999E-2</v>
      </c>
      <c r="K255" s="1366">
        <f t="shared" si="11"/>
        <v>-2.4666666666666669E-3</v>
      </c>
    </row>
    <row r="256" spans="1:11" x14ac:dyDescent="0.55000000000000004">
      <c r="A256" s="295">
        <v>17199</v>
      </c>
      <c r="B256" s="1368">
        <v>-7.7000000000000002E-3</v>
      </c>
      <c r="C256" s="1366">
        <v>-8.8999999999999999E-3</v>
      </c>
      <c r="D256" s="1366">
        <v>1.6000000000000001E-3</v>
      </c>
      <c r="E256" s="1366">
        <v>2.1250000000000002E-3</v>
      </c>
      <c r="F256" s="5">
        <v>2.2000000000000001E-3</v>
      </c>
      <c r="G256" s="5">
        <v>2.1624999999999999E-3</v>
      </c>
      <c r="H256" s="1366">
        <v>2.2666666666666668E-3</v>
      </c>
      <c r="I256" s="1366">
        <f t="shared" si="9"/>
        <v>-9.300000000000001E-3</v>
      </c>
      <c r="J256" s="1366">
        <f t="shared" si="10"/>
        <v>-9.8624999999999997E-3</v>
      </c>
      <c r="K256" s="1366">
        <f t="shared" si="11"/>
        <v>-1.1166666666666667E-2</v>
      </c>
    </row>
    <row r="257" spans="1:11" x14ac:dyDescent="0.55000000000000004">
      <c r="A257" s="295">
        <v>17227</v>
      </c>
      <c r="B257" s="1368">
        <v>-1.49E-2</v>
      </c>
      <c r="C257" s="1366">
        <v>-3.6399999999999995E-2</v>
      </c>
      <c r="D257" s="1366">
        <v>1.8E-3</v>
      </c>
      <c r="E257" s="1366">
        <v>2.1250000000000002E-3</v>
      </c>
      <c r="F257" s="5">
        <v>2.2000000000000001E-3</v>
      </c>
      <c r="G257" s="5">
        <v>2.1624999999999999E-3</v>
      </c>
      <c r="H257" s="1366">
        <v>2.2666666666666668E-3</v>
      </c>
      <c r="I257" s="1366">
        <f t="shared" si="9"/>
        <v>-1.67E-2</v>
      </c>
      <c r="J257" s="1366">
        <f t="shared" si="10"/>
        <v>-1.7062500000000001E-2</v>
      </c>
      <c r="K257" s="1366">
        <f t="shared" si="11"/>
        <v>-3.8666666666666662E-2</v>
      </c>
    </row>
    <row r="258" spans="1:11" x14ac:dyDescent="0.55000000000000004">
      <c r="A258" s="295">
        <v>17258</v>
      </c>
      <c r="B258" s="1368">
        <v>-3.6299999999999999E-2</v>
      </c>
      <c r="C258" s="1366">
        <v>-3.2000000000000001E-2</v>
      </c>
      <c r="D258" s="1366">
        <v>1.6999999999999999E-3</v>
      </c>
      <c r="E258" s="1366">
        <v>2.1083333333333332E-3</v>
      </c>
      <c r="F258" s="5">
        <v>2.1916666666666664E-3</v>
      </c>
      <c r="G258" s="5">
        <v>2.1499999999999996E-3</v>
      </c>
      <c r="H258" s="1366">
        <v>2.2500000000000003E-3</v>
      </c>
      <c r="I258" s="1366">
        <f t="shared" si="9"/>
        <v>-3.7999999999999999E-2</v>
      </c>
      <c r="J258" s="1366">
        <f t="shared" si="10"/>
        <v>-3.8449999999999998E-2</v>
      </c>
      <c r="K258" s="1366">
        <f t="shared" si="11"/>
        <v>-3.4250000000000003E-2</v>
      </c>
    </row>
    <row r="259" spans="1:11" x14ac:dyDescent="0.55000000000000004">
      <c r="A259" s="295">
        <v>17288</v>
      </c>
      <c r="B259" s="1368">
        <v>1.4E-3</v>
      </c>
      <c r="C259" s="1366">
        <v>-2.7900000000000001E-2</v>
      </c>
      <c r="D259" s="1366">
        <v>1.6999999999999999E-3</v>
      </c>
      <c r="E259" s="1366">
        <v>2.1083333333333332E-3</v>
      </c>
      <c r="F259" s="5">
        <v>2.1916666666666664E-3</v>
      </c>
      <c r="G259" s="5">
        <v>2.1499999999999996E-3</v>
      </c>
      <c r="H259" s="1366">
        <v>2.2500000000000003E-3</v>
      </c>
      <c r="I259" s="1366">
        <f t="shared" si="9"/>
        <v>-2.9999999999999992E-4</v>
      </c>
      <c r="J259" s="1366">
        <f t="shared" si="10"/>
        <v>-7.4999999999999958E-4</v>
      </c>
      <c r="K259" s="1366">
        <f t="shared" si="11"/>
        <v>-3.0150000000000003E-2</v>
      </c>
    </row>
    <row r="260" spans="1:11" x14ac:dyDescent="0.55000000000000004">
      <c r="A260" s="295">
        <v>17319</v>
      </c>
      <c r="B260" s="1368">
        <v>5.5399999999999998E-2</v>
      </c>
      <c r="C260" s="1366">
        <v>4.2800000000000005E-2</v>
      </c>
      <c r="D260" s="1366">
        <v>1.9E-3</v>
      </c>
      <c r="E260" s="1366">
        <v>2.1250000000000002E-3</v>
      </c>
      <c r="F260" s="5">
        <v>2.2000000000000001E-3</v>
      </c>
      <c r="G260" s="5">
        <v>2.1624999999999999E-3</v>
      </c>
      <c r="H260" s="1366">
        <v>2.2583333333333331E-3</v>
      </c>
      <c r="I260" s="1366">
        <f t="shared" ref="I260:I323" si="12">B260-D260</f>
        <v>5.3499999999999999E-2</v>
      </c>
      <c r="J260" s="1366">
        <f t="shared" si="10"/>
        <v>5.32375E-2</v>
      </c>
      <c r="K260" s="1366">
        <f t="shared" si="11"/>
        <v>4.054166666666667E-2</v>
      </c>
    </row>
    <row r="261" spans="1:11" x14ac:dyDescent="0.55000000000000004">
      <c r="A261" s="295">
        <v>17349</v>
      </c>
      <c r="B261" s="1368">
        <v>3.8100000000000002E-2</v>
      </c>
      <c r="C261" s="1366">
        <v>2.1399999999999995E-2</v>
      </c>
      <c r="D261" s="1366">
        <v>1.8E-3</v>
      </c>
      <c r="E261" s="1366">
        <v>2.1250000000000002E-3</v>
      </c>
      <c r="F261" s="5">
        <v>2.2000000000000001E-3</v>
      </c>
      <c r="G261" s="5">
        <v>2.1624999999999999E-3</v>
      </c>
      <c r="H261" s="1366">
        <v>2.2750000000000001E-3</v>
      </c>
      <c r="I261" s="1366">
        <f t="shared" si="12"/>
        <v>3.6299999999999999E-2</v>
      </c>
      <c r="J261" s="1366">
        <f t="shared" si="10"/>
        <v>3.5937500000000004E-2</v>
      </c>
      <c r="K261" s="1366">
        <f t="shared" si="11"/>
        <v>1.9124999999999996E-2</v>
      </c>
    </row>
    <row r="262" spans="1:11" x14ac:dyDescent="0.55000000000000004">
      <c r="A262" s="295">
        <v>17380</v>
      </c>
      <c r="B262" s="1368">
        <v>-2.0299999999999999E-2</v>
      </c>
      <c r="C262" s="1366">
        <v>-2.2000000000000001E-3</v>
      </c>
      <c r="D262" s="1366">
        <v>1.6999999999999999E-3</v>
      </c>
      <c r="E262" s="1366">
        <v>2.1333333333333334E-3</v>
      </c>
      <c r="F262" s="5">
        <v>2.2000000000000001E-3</v>
      </c>
      <c r="G262" s="5">
        <v>2.1666666666666666E-3</v>
      </c>
      <c r="H262" s="1366">
        <v>2.2750000000000001E-3</v>
      </c>
      <c r="I262" s="1366">
        <f t="shared" si="12"/>
        <v>-2.1999999999999999E-2</v>
      </c>
      <c r="J262" s="1366">
        <f t="shared" si="10"/>
        <v>-2.2466666666666666E-2</v>
      </c>
      <c r="K262" s="1366">
        <f t="shared" si="11"/>
        <v>-4.4749999999999998E-3</v>
      </c>
    </row>
    <row r="263" spans="1:11" x14ac:dyDescent="0.55000000000000004">
      <c r="A263" s="295">
        <v>17411</v>
      </c>
      <c r="B263" s="1368">
        <v>-1.11E-2</v>
      </c>
      <c r="C263" s="1366">
        <v>-1.4200000000000001E-2</v>
      </c>
      <c r="D263" s="1366">
        <v>1.8E-3</v>
      </c>
      <c r="E263" s="1366">
        <v>2.1749999999999999E-3</v>
      </c>
      <c r="F263" s="5">
        <v>2.2416666666666665E-3</v>
      </c>
      <c r="G263" s="5">
        <v>2.2083333333333334E-3</v>
      </c>
      <c r="H263" s="1366">
        <v>2.3333333333333335E-3</v>
      </c>
      <c r="I263" s="1366">
        <f t="shared" si="12"/>
        <v>-1.29E-2</v>
      </c>
      <c r="J263" s="1366">
        <f t="shared" si="10"/>
        <v>-1.3308333333333333E-2</v>
      </c>
      <c r="K263" s="1366">
        <f t="shared" si="11"/>
        <v>-1.6533333333333334E-2</v>
      </c>
    </row>
    <row r="264" spans="1:11" x14ac:dyDescent="0.55000000000000004">
      <c r="A264" s="295">
        <v>17441</v>
      </c>
      <c r="B264" s="1368">
        <v>2.3800000000000002E-2</v>
      </c>
      <c r="C264" s="1366">
        <v>-1.3299999999999999E-2</v>
      </c>
      <c r="D264" s="1366">
        <v>1.8E-3</v>
      </c>
      <c r="E264" s="1366">
        <v>2.2500000000000003E-3</v>
      </c>
      <c r="F264" s="5">
        <v>2.3250000000000002E-3</v>
      </c>
      <c r="G264" s="5">
        <v>2.2875E-3</v>
      </c>
      <c r="H264" s="1366">
        <v>2.3999999999999998E-3</v>
      </c>
      <c r="I264" s="1366">
        <f t="shared" si="12"/>
        <v>2.2000000000000002E-2</v>
      </c>
      <c r="J264" s="1366">
        <f t="shared" si="10"/>
        <v>2.15125E-2</v>
      </c>
      <c r="K264" s="1366">
        <f t="shared" si="11"/>
        <v>-1.5699999999999999E-2</v>
      </c>
    </row>
    <row r="265" spans="1:11" x14ac:dyDescent="0.55000000000000004">
      <c r="A265" s="295">
        <v>17472</v>
      </c>
      <c r="B265" s="1368">
        <v>-1.7500000000000002E-2</v>
      </c>
      <c r="C265" s="1366">
        <v>-8.2399999999999987E-2</v>
      </c>
      <c r="D265" s="1366">
        <v>1.6999999999999999E-3</v>
      </c>
      <c r="E265" s="1366">
        <v>2.3083333333333332E-3</v>
      </c>
      <c r="F265" s="5">
        <v>2.3750000000000004E-3</v>
      </c>
      <c r="G265" s="5">
        <v>2.3416666666666668E-3</v>
      </c>
      <c r="H265" s="1366">
        <v>2.4416666666666666E-3</v>
      </c>
      <c r="I265" s="1366">
        <f t="shared" si="12"/>
        <v>-1.9200000000000002E-2</v>
      </c>
      <c r="J265" s="1366">
        <f t="shared" si="10"/>
        <v>-1.9841666666666667E-2</v>
      </c>
      <c r="K265" s="1366">
        <f t="shared" si="11"/>
        <v>-8.4841666666666649E-2</v>
      </c>
    </row>
    <row r="266" spans="1:11" x14ac:dyDescent="0.55000000000000004">
      <c r="A266" s="295">
        <v>17502</v>
      </c>
      <c r="B266" s="1368">
        <v>2.3300000000000001E-2</v>
      </c>
      <c r="C266" s="1366">
        <v>1.89E-2</v>
      </c>
      <c r="D266" s="1366">
        <v>2.0999999999999999E-3</v>
      </c>
      <c r="E266" s="1366">
        <v>2.3833333333333332E-3</v>
      </c>
      <c r="F266" s="5">
        <v>2.4499999999999999E-3</v>
      </c>
      <c r="G266" s="5">
        <v>2.4166666666666664E-3</v>
      </c>
      <c r="H266" s="1366">
        <v>2.5416666666666669E-3</v>
      </c>
      <c r="I266" s="1366">
        <f t="shared" si="12"/>
        <v>2.12E-2</v>
      </c>
      <c r="J266" s="1366">
        <f t="shared" si="10"/>
        <v>2.0883333333333334E-2</v>
      </c>
      <c r="K266" s="1366">
        <f t="shared" si="11"/>
        <v>1.6358333333333332E-2</v>
      </c>
    </row>
    <row r="267" spans="1:11" x14ac:dyDescent="0.55000000000000004">
      <c r="A267" s="295">
        <v>17533</v>
      </c>
      <c r="B267" s="1368">
        <v>-3.7900000000000003E-2</v>
      </c>
      <c r="C267" s="1366">
        <v>6.9999999999999993E-3</v>
      </c>
      <c r="D267" s="1366">
        <v>2E-3</v>
      </c>
      <c r="E267" s="1366">
        <v>2.3833333333333332E-3</v>
      </c>
      <c r="F267" s="5">
        <v>2.4499999999999999E-3</v>
      </c>
      <c r="G267" s="5">
        <v>2.4166666666666664E-3</v>
      </c>
      <c r="H267" s="1366">
        <v>2.5416666666666669E-3</v>
      </c>
      <c r="I267" s="1366">
        <f t="shared" si="12"/>
        <v>-3.9900000000000005E-2</v>
      </c>
      <c r="J267" s="1366">
        <f t="shared" si="10"/>
        <v>-4.0316666666666667E-2</v>
      </c>
      <c r="K267" s="1366">
        <f t="shared" si="11"/>
        <v>4.4583333333333324E-3</v>
      </c>
    </row>
    <row r="268" spans="1:11" x14ac:dyDescent="0.55000000000000004">
      <c r="A268" s="295">
        <v>17564</v>
      </c>
      <c r="B268" s="1368">
        <v>-3.8800000000000001E-2</v>
      </c>
      <c r="C268" s="1366">
        <v>-3.7200000000000004E-2</v>
      </c>
      <c r="D268" s="1366">
        <v>1.9E-3</v>
      </c>
      <c r="E268" s="1366">
        <v>2.3750000000000004E-3</v>
      </c>
      <c r="F268" s="5">
        <v>2.4416666666666666E-3</v>
      </c>
      <c r="G268" s="5">
        <v>2.4083333333333335E-3</v>
      </c>
      <c r="H268" s="1366">
        <v>2.5416666666666669E-3</v>
      </c>
      <c r="I268" s="1366">
        <f t="shared" si="12"/>
        <v>-4.07E-2</v>
      </c>
      <c r="J268" s="1366">
        <f t="shared" si="10"/>
        <v>-4.1208333333333333E-2</v>
      </c>
      <c r="K268" s="1366">
        <f t="shared" si="11"/>
        <v>-3.9741666666666668E-2</v>
      </c>
    </row>
    <row r="269" spans="1:11" x14ac:dyDescent="0.55000000000000004">
      <c r="A269" s="295">
        <v>17593</v>
      </c>
      <c r="B269" s="1368">
        <v>7.9299999999999995E-2</v>
      </c>
      <c r="C269" s="1366">
        <v>6.1699999999999998E-2</v>
      </c>
      <c r="D269" s="1366">
        <v>2.2000000000000001E-3</v>
      </c>
      <c r="E269" s="1366">
        <v>2.3583333333333334E-3</v>
      </c>
      <c r="F269" s="5">
        <v>2.4166666666666668E-3</v>
      </c>
      <c r="G269" s="5">
        <v>2.3875000000000003E-3</v>
      </c>
      <c r="H269" s="1366">
        <v>2.5166666666666666E-3</v>
      </c>
      <c r="I269" s="1366">
        <f t="shared" si="12"/>
        <v>7.7100000000000002E-2</v>
      </c>
      <c r="J269" s="1366">
        <f t="shared" si="10"/>
        <v>7.6912499999999995E-2</v>
      </c>
      <c r="K269" s="1366">
        <f t="shared" si="11"/>
        <v>5.9183333333333331E-2</v>
      </c>
    </row>
    <row r="270" spans="1:11" x14ac:dyDescent="0.55000000000000004">
      <c r="A270" s="295">
        <v>17624</v>
      </c>
      <c r="B270" s="1368">
        <v>2.92E-2</v>
      </c>
      <c r="C270" s="1366">
        <v>1.6E-2</v>
      </c>
      <c r="D270" s="1366">
        <v>2E-3</v>
      </c>
      <c r="E270" s="1366">
        <v>2.3166666666666665E-3</v>
      </c>
      <c r="F270" s="5">
        <v>2.3916666666666665E-3</v>
      </c>
      <c r="G270" s="5">
        <v>2.3541666666666667E-3</v>
      </c>
      <c r="H270" s="1366">
        <v>2.4750000000000002E-3</v>
      </c>
      <c r="I270" s="1366">
        <f t="shared" si="12"/>
        <v>2.7200000000000002E-2</v>
      </c>
      <c r="J270" s="1366">
        <f t="shared" si="10"/>
        <v>2.6845833333333333E-2</v>
      </c>
      <c r="K270" s="1366">
        <f t="shared" si="11"/>
        <v>1.3525000000000001E-2</v>
      </c>
    </row>
    <row r="271" spans="1:11" x14ac:dyDescent="0.55000000000000004">
      <c r="A271" s="295">
        <v>17654</v>
      </c>
      <c r="B271" s="1368">
        <v>8.7900000000000006E-2</v>
      </c>
      <c r="C271" s="1366">
        <v>5.8299999999999998E-2</v>
      </c>
      <c r="D271" s="1366">
        <v>1.8E-3</v>
      </c>
      <c r="E271" s="1366">
        <v>2.3E-3</v>
      </c>
      <c r="F271" s="5">
        <v>2.3833333333333332E-3</v>
      </c>
      <c r="G271" s="5">
        <v>2.3416666666666664E-3</v>
      </c>
      <c r="H271" s="1366">
        <v>2.4499999999999999E-3</v>
      </c>
      <c r="I271" s="1366">
        <f t="shared" si="12"/>
        <v>8.610000000000001E-2</v>
      </c>
      <c r="J271" s="1366">
        <f t="shared" si="10"/>
        <v>8.5558333333333333E-2</v>
      </c>
      <c r="K271" s="1366">
        <f t="shared" si="11"/>
        <v>5.5849999999999997E-2</v>
      </c>
    </row>
    <row r="272" spans="1:11" x14ac:dyDescent="0.55000000000000004">
      <c r="A272" s="295">
        <v>17685</v>
      </c>
      <c r="B272" s="1368">
        <v>5.4000000000000003E-3</v>
      </c>
      <c r="C272" s="1366">
        <v>2.12E-2</v>
      </c>
      <c r="D272" s="1366">
        <v>2.0999999999999999E-3</v>
      </c>
      <c r="E272" s="1366">
        <v>2.3E-3</v>
      </c>
      <c r="F272" s="5">
        <v>2.3750000000000004E-3</v>
      </c>
      <c r="G272" s="5">
        <v>2.3375000000000002E-3</v>
      </c>
      <c r="H272" s="1366">
        <v>2.4499999999999999E-3</v>
      </c>
      <c r="I272" s="1366">
        <f t="shared" si="12"/>
        <v>3.3000000000000004E-3</v>
      </c>
      <c r="J272" s="1366">
        <f t="shared" si="10"/>
        <v>3.0625000000000001E-3</v>
      </c>
      <c r="K272" s="1366">
        <f t="shared" si="11"/>
        <v>1.8749999999999999E-2</v>
      </c>
    </row>
    <row r="273" spans="1:11" x14ac:dyDescent="0.55000000000000004">
      <c r="A273" s="295">
        <v>17715</v>
      </c>
      <c r="B273" s="1368">
        <v>-5.0799999999999998E-2</v>
      </c>
      <c r="C273" s="1366">
        <v>-4.4299999999999999E-2</v>
      </c>
      <c r="D273" s="1366">
        <v>1.9E-3</v>
      </c>
      <c r="E273" s="1366">
        <v>2.3416666666666668E-3</v>
      </c>
      <c r="F273" s="5">
        <v>2.4083333333333335E-3</v>
      </c>
      <c r="G273" s="5">
        <v>2.3749999999999999E-3</v>
      </c>
      <c r="H273" s="1366">
        <v>2.4916666666666668E-3</v>
      </c>
      <c r="I273" s="1366">
        <f t="shared" si="12"/>
        <v>-5.2699999999999997E-2</v>
      </c>
      <c r="J273" s="1366">
        <f t="shared" si="10"/>
        <v>-5.3175E-2</v>
      </c>
      <c r="K273" s="1366">
        <f t="shared" si="11"/>
        <v>-4.6791666666666669E-2</v>
      </c>
    </row>
    <row r="274" spans="1:11" x14ac:dyDescent="0.55000000000000004">
      <c r="A274" s="295">
        <v>17746</v>
      </c>
      <c r="B274" s="1368">
        <v>1.5800000000000002E-2</v>
      </c>
      <c r="C274" s="1366">
        <v>3.5999999999999999E-3</v>
      </c>
      <c r="D274" s="1366">
        <v>2.0999999999999999E-3</v>
      </c>
      <c r="E274" s="1366">
        <v>2.3666666666666667E-3</v>
      </c>
      <c r="F274" s="5">
        <v>2.4499999999999999E-3</v>
      </c>
      <c r="G274" s="5">
        <v>2.4083333333333335E-3</v>
      </c>
      <c r="H274" s="1366">
        <v>2.5249999999999999E-3</v>
      </c>
      <c r="I274" s="1366">
        <f t="shared" si="12"/>
        <v>1.3700000000000002E-2</v>
      </c>
      <c r="J274" s="1366">
        <f t="shared" si="10"/>
        <v>1.3391666666666668E-2</v>
      </c>
      <c r="K274" s="1366">
        <f t="shared" si="11"/>
        <v>1.075E-3</v>
      </c>
    </row>
    <row r="275" spans="1:11" x14ac:dyDescent="0.55000000000000004">
      <c r="A275" s="295">
        <v>17777</v>
      </c>
      <c r="B275" s="1368">
        <v>-2.76E-2</v>
      </c>
      <c r="C275" s="1366">
        <v>-7.0999999999999995E-3</v>
      </c>
      <c r="D275" s="1366">
        <v>2E-3</v>
      </c>
      <c r="E275" s="1366">
        <v>2.3666666666666667E-3</v>
      </c>
      <c r="F275" s="5">
        <v>2.4416666666666666E-3</v>
      </c>
      <c r="G275" s="5">
        <v>2.4041666666666669E-3</v>
      </c>
      <c r="H275" s="1366">
        <v>2.5416666666666669E-3</v>
      </c>
      <c r="I275" s="1366">
        <f t="shared" si="12"/>
        <v>-2.9600000000000001E-2</v>
      </c>
      <c r="J275" s="1366">
        <f t="shared" si="10"/>
        <v>-3.0004166666666665E-2</v>
      </c>
      <c r="K275" s="1366">
        <f t="shared" si="11"/>
        <v>-9.6416666666666664E-3</v>
      </c>
    </row>
    <row r="276" spans="1:11" x14ac:dyDescent="0.55000000000000004">
      <c r="A276" s="295">
        <v>17807</v>
      </c>
      <c r="B276" s="1368">
        <v>7.0999999999999994E-2</v>
      </c>
      <c r="C276" s="1366">
        <v>4.0300000000000002E-2</v>
      </c>
      <c r="D276" s="1366">
        <v>1.9E-3</v>
      </c>
      <c r="E276" s="1366">
        <v>2.3666666666666667E-3</v>
      </c>
      <c r="F276" s="5">
        <v>2.4499999999999999E-3</v>
      </c>
      <c r="G276" s="5">
        <v>2.4083333333333335E-3</v>
      </c>
      <c r="H276" s="1366">
        <v>2.5249999999999999E-3</v>
      </c>
      <c r="I276" s="1366">
        <f t="shared" si="12"/>
        <v>6.9099999999999995E-2</v>
      </c>
      <c r="J276" s="1366">
        <f t="shared" si="10"/>
        <v>6.8591666666666662E-2</v>
      </c>
      <c r="K276" s="1366">
        <f t="shared" si="11"/>
        <v>3.7775000000000003E-2</v>
      </c>
    </row>
    <row r="277" spans="1:11" x14ac:dyDescent="0.55000000000000004">
      <c r="A277" s="295">
        <v>17838</v>
      </c>
      <c r="B277" s="1368">
        <v>-9.6100000000000005E-2</v>
      </c>
      <c r="C277" s="1366">
        <v>-9.1299999999999992E-2</v>
      </c>
      <c r="D277" s="1366">
        <v>2.0999999999999999E-3</v>
      </c>
      <c r="E277" s="1366">
        <v>2.3666666666666667E-3</v>
      </c>
      <c r="F277" s="5">
        <v>2.4333333333333334E-3</v>
      </c>
      <c r="G277" s="5">
        <v>2.3999999999999998E-3</v>
      </c>
      <c r="H277" s="1366">
        <v>2.5583333333333335E-3</v>
      </c>
      <c r="I277" s="1366">
        <f t="shared" si="12"/>
        <v>-9.820000000000001E-2</v>
      </c>
      <c r="J277" s="1366">
        <f t="shared" si="10"/>
        <v>-9.8500000000000004E-2</v>
      </c>
      <c r="K277" s="1366">
        <f t="shared" si="11"/>
        <v>-9.3858333333333321E-2</v>
      </c>
    </row>
    <row r="278" spans="1:11" x14ac:dyDescent="0.55000000000000004">
      <c r="A278" s="295">
        <v>17868</v>
      </c>
      <c r="B278" s="1368">
        <v>3.4599999999999999E-2</v>
      </c>
      <c r="C278" s="1366">
        <v>2.2099999999999998E-2</v>
      </c>
      <c r="D278" s="1366">
        <v>2E-3</v>
      </c>
      <c r="E278" s="1366">
        <v>2.3250000000000002E-3</v>
      </c>
      <c r="F278" s="5">
        <v>2.3999999999999998E-3</v>
      </c>
      <c r="G278" s="5">
        <v>2.3625E-3</v>
      </c>
      <c r="H278" s="1366">
        <v>2.5500000000000002E-3</v>
      </c>
      <c r="I278" s="1366">
        <f t="shared" si="12"/>
        <v>3.2599999999999997E-2</v>
      </c>
      <c r="J278" s="1366">
        <f t="shared" si="10"/>
        <v>3.2237500000000002E-2</v>
      </c>
      <c r="K278" s="1366">
        <f t="shared" si="11"/>
        <v>1.9549999999999998E-2</v>
      </c>
    </row>
    <row r="279" spans="1:11" x14ac:dyDescent="0.55000000000000004">
      <c r="A279" s="295">
        <v>17899</v>
      </c>
      <c r="B279" s="1368">
        <v>3.8999999999999998E-3</v>
      </c>
      <c r="C279" s="1366">
        <v>5.04E-2</v>
      </c>
      <c r="D279" s="1366">
        <v>2E-3</v>
      </c>
      <c r="E279" s="1366">
        <v>2.2583333333333331E-3</v>
      </c>
      <c r="F279" s="5">
        <v>2.3416666666666668E-3</v>
      </c>
      <c r="G279" s="5">
        <v>2.3E-3</v>
      </c>
      <c r="H279" s="1366">
        <v>2.4916666666666668E-3</v>
      </c>
      <c r="I279" s="1366">
        <f t="shared" si="12"/>
        <v>1.8999999999999998E-3</v>
      </c>
      <c r="J279" s="1366">
        <f t="shared" si="10"/>
        <v>1.5999999999999999E-3</v>
      </c>
      <c r="K279" s="1366">
        <f t="shared" si="11"/>
        <v>4.7908333333333331E-2</v>
      </c>
    </row>
    <row r="280" spans="1:11" x14ac:dyDescent="0.55000000000000004">
      <c r="A280" s="295">
        <v>17930</v>
      </c>
      <c r="B280" s="1368">
        <v>-2.9600000000000001E-2</v>
      </c>
      <c r="C280" s="1366">
        <v>5.0000000000000044E-4</v>
      </c>
      <c r="D280" s="1366">
        <v>1.8E-3</v>
      </c>
      <c r="E280" s="1366">
        <v>2.2583333333333331E-3</v>
      </c>
      <c r="F280" s="5">
        <v>2.3333333333333331E-3</v>
      </c>
      <c r="G280" s="5">
        <v>2.2958333333333329E-3</v>
      </c>
      <c r="H280" s="1366">
        <v>2.4916666666666668E-3</v>
      </c>
      <c r="I280" s="1366">
        <f t="shared" si="12"/>
        <v>-3.1400000000000004E-2</v>
      </c>
      <c r="J280" s="1366">
        <f t="shared" si="10"/>
        <v>-3.1895833333333332E-2</v>
      </c>
      <c r="K280" s="1366">
        <f t="shared" si="11"/>
        <v>-1.9916666666666663E-3</v>
      </c>
    </row>
    <row r="281" spans="1:11" x14ac:dyDescent="0.55000000000000004">
      <c r="A281" s="295">
        <v>17958</v>
      </c>
      <c r="B281" s="1368">
        <v>3.2800000000000003E-2</v>
      </c>
      <c r="C281" s="1366">
        <v>3.6400000000000002E-2</v>
      </c>
      <c r="D281" s="1366">
        <v>1.9E-3</v>
      </c>
      <c r="E281" s="1366">
        <v>2.2500000000000003E-3</v>
      </c>
      <c r="F281" s="5">
        <v>2.3250000000000002E-3</v>
      </c>
      <c r="G281" s="5">
        <v>2.2875E-3</v>
      </c>
      <c r="H281" s="1366">
        <v>2.4750000000000002E-3</v>
      </c>
      <c r="I281" s="1366">
        <f t="shared" si="12"/>
        <v>3.0900000000000004E-2</v>
      </c>
      <c r="J281" s="1366">
        <f t="shared" si="10"/>
        <v>3.0512500000000001E-2</v>
      </c>
      <c r="K281" s="1366">
        <f t="shared" si="11"/>
        <v>3.3925000000000004E-2</v>
      </c>
    </row>
    <row r="282" spans="1:11" x14ac:dyDescent="0.55000000000000004">
      <c r="A282" s="295">
        <v>17989</v>
      </c>
      <c r="B282" s="1368">
        <v>-1.7899999999999999E-2</v>
      </c>
      <c r="C282" s="1366">
        <v>5.7999999999999996E-3</v>
      </c>
      <c r="D282" s="1366">
        <v>1.8E-3</v>
      </c>
      <c r="E282" s="1366">
        <v>2.2500000000000003E-3</v>
      </c>
      <c r="F282" s="5">
        <v>2.3250000000000002E-3</v>
      </c>
      <c r="G282" s="5">
        <v>2.2875E-3</v>
      </c>
      <c r="H282" s="1366">
        <v>2.4666666666666669E-3</v>
      </c>
      <c r="I282" s="1366">
        <f t="shared" si="12"/>
        <v>-1.9699999999999999E-2</v>
      </c>
      <c r="J282" s="1366">
        <f t="shared" si="10"/>
        <v>-2.0187500000000001E-2</v>
      </c>
      <c r="K282" s="1366">
        <f t="shared" si="11"/>
        <v>3.3333333333333327E-3</v>
      </c>
    </row>
    <row r="283" spans="1:11" x14ac:dyDescent="0.55000000000000004">
      <c r="A283" s="295">
        <v>18019</v>
      </c>
      <c r="B283" s="1368">
        <v>-2.58E-2</v>
      </c>
      <c r="C283" s="1366">
        <v>3.4000000000000002E-3</v>
      </c>
      <c r="D283" s="1366">
        <v>2E-3</v>
      </c>
      <c r="E283" s="1366">
        <v>2.2583333333333331E-3</v>
      </c>
      <c r="F283" s="5">
        <v>2.3166666666666665E-3</v>
      </c>
      <c r="G283" s="5">
        <v>2.2875E-3</v>
      </c>
      <c r="H283" s="1366">
        <v>2.4583333333333336E-3</v>
      </c>
      <c r="I283" s="1366">
        <f t="shared" si="12"/>
        <v>-2.7799999999999998E-2</v>
      </c>
      <c r="J283" s="1366">
        <f t="shared" ref="J283:J346" si="13">B283-G283</f>
        <v>-2.8087500000000001E-2</v>
      </c>
      <c r="K283" s="1366">
        <f t="shared" ref="K283:K346" si="14">$C283-H283</f>
        <v>9.4166666666666661E-4</v>
      </c>
    </row>
    <row r="284" spans="1:11" x14ac:dyDescent="0.55000000000000004">
      <c r="A284" s="295">
        <v>18050</v>
      </c>
      <c r="B284" s="1368">
        <v>1.4E-3</v>
      </c>
      <c r="C284" s="1366">
        <v>-1.3399999999999999E-2</v>
      </c>
      <c r="D284" s="1366">
        <v>1.9E-3</v>
      </c>
      <c r="E284" s="1366">
        <v>2.2583333333333331E-3</v>
      </c>
      <c r="F284" s="5">
        <v>2.3166666666666665E-3</v>
      </c>
      <c r="G284" s="5">
        <v>2.2875E-3</v>
      </c>
      <c r="H284" s="1366">
        <v>2.4499999999999999E-3</v>
      </c>
      <c r="I284" s="1366">
        <f t="shared" si="12"/>
        <v>-5.0000000000000001E-4</v>
      </c>
      <c r="J284" s="1366">
        <f t="shared" si="13"/>
        <v>-8.8750000000000005E-4</v>
      </c>
      <c r="K284" s="1366">
        <f t="shared" si="14"/>
        <v>-1.585E-2</v>
      </c>
    </row>
    <row r="285" spans="1:11" x14ac:dyDescent="0.55000000000000004">
      <c r="A285" s="295">
        <v>18080</v>
      </c>
      <c r="B285" s="1368">
        <v>6.5000000000000002E-2</v>
      </c>
      <c r="C285" s="1366">
        <v>5.6899999999999992E-2</v>
      </c>
      <c r="D285" s="1366">
        <v>1.6999999999999999E-3</v>
      </c>
      <c r="E285" s="1366">
        <v>2.225E-3</v>
      </c>
      <c r="F285" s="5">
        <v>2.2916666666666667E-3</v>
      </c>
      <c r="G285" s="5">
        <v>2.2583333333333331E-3</v>
      </c>
      <c r="H285" s="1366">
        <v>2.4166666666666668E-3</v>
      </c>
      <c r="I285" s="1366">
        <f t="shared" si="12"/>
        <v>6.3300000000000009E-2</v>
      </c>
      <c r="J285" s="1366">
        <f t="shared" si="13"/>
        <v>6.2741666666666668E-2</v>
      </c>
      <c r="K285" s="1366">
        <f t="shared" si="14"/>
        <v>5.4483333333333328E-2</v>
      </c>
    </row>
    <row r="286" spans="1:11" x14ac:dyDescent="0.55000000000000004">
      <c r="A286" s="295">
        <v>18111</v>
      </c>
      <c r="B286" s="1368">
        <v>2.1899999999999999E-2</v>
      </c>
      <c r="C286" s="1366">
        <v>3.4599999999999999E-2</v>
      </c>
      <c r="D286" s="1366">
        <v>1.9E-3</v>
      </c>
      <c r="E286" s="1366">
        <v>2.1833333333333336E-3</v>
      </c>
      <c r="F286" s="5">
        <v>2.2583333333333331E-3</v>
      </c>
      <c r="G286" s="5">
        <v>2.2208333333333333E-3</v>
      </c>
      <c r="H286" s="1366">
        <v>2.3833333333333332E-3</v>
      </c>
      <c r="I286" s="1366">
        <f t="shared" si="12"/>
        <v>0.02</v>
      </c>
      <c r="J286" s="1366">
        <f t="shared" si="13"/>
        <v>1.9679166666666664E-2</v>
      </c>
      <c r="K286" s="1366">
        <f t="shared" si="14"/>
        <v>3.2216666666666664E-2</v>
      </c>
    </row>
    <row r="287" spans="1:11" x14ac:dyDescent="0.55000000000000004">
      <c r="A287" s="295">
        <v>18142</v>
      </c>
      <c r="B287" s="1368">
        <v>2.63E-2</v>
      </c>
      <c r="C287" s="1366">
        <v>3.73E-2</v>
      </c>
      <c r="D287" s="1366">
        <v>1.6999999999999999E-3</v>
      </c>
      <c r="E287" s="1366">
        <v>2.1666666666666666E-3</v>
      </c>
      <c r="F287" s="5">
        <v>2.2416666666666665E-3</v>
      </c>
      <c r="G287" s="5">
        <v>2.2041666666666663E-3</v>
      </c>
      <c r="H287" s="1366">
        <v>2.3750000000000004E-3</v>
      </c>
      <c r="I287" s="1366">
        <f t="shared" si="12"/>
        <v>2.46E-2</v>
      </c>
      <c r="J287" s="1366">
        <f t="shared" si="13"/>
        <v>2.4095833333333334E-2</v>
      </c>
      <c r="K287" s="1366">
        <f t="shared" si="14"/>
        <v>3.4924999999999998E-2</v>
      </c>
    </row>
    <row r="288" spans="1:11" x14ac:dyDescent="0.55000000000000004">
      <c r="A288" s="295">
        <v>18172</v>
      </c>
      <c r="B288" s="1368">
        <v>3.4000000000000002E-2</v>
      </c>
      <c r="C288" s="1366">
        <v>1.1199999999999998E-2</v>
      </c>
      <c r="D288" s="1366">
        <v>1.8E-3</v>
      </c>
      <c r="E288" s="1366">
        <v>2.1749999999999999E-3</v>
      </c>
      <c r="F288" s="5">
        <v>2.2500000000000003E-3</v>
      </c>
      <c r="G288" s="5">
        <v>2.2125000000000001E-3</v>
      </c>
      <c r="H288" s="1366">
        <v>2.3583333333333334E-3</v>
      </c>
      <c r="I288" s="1366">
        <f t="shared" si="12"/>
        <v>3.2199999999999999E-2</v>
      </c>
      <c r="J288" s="1366">
        <f t="shared" si="13"/>
        <v>3.1787500000000003E-2</v>
      </c>
      <c r="K288" s="1366">
        <f t="shared" si="14"/>
        <v>8.8416666666666643E-3</v>
      </c>
    </row>
    <row r="289" spans="1:11" x14ac:dyDescent="0.55000000000000004">
      <c r="A289" s="295">
        <v>18203</v>
      </c>
      <c r="B289" s="1368">
        <v>1.7500000000000002E-2</v>
      </c>
      <c r="C289" s="1366">
        <v>1.5899999999999997E-2</v>
      </c>
      <c r="D289" s="1366">
        <v>1.6999999999999999E-3</v>
      </c>
      <c r="E289" s="1366">
        <v>2.1666666666666666E-3</v>
      </c>
      <c r="F289" s="5">
        <v>2.2333333333333337E-3</v>
      </c>
      <c r="G289" s="5">
        <v>2.2000000000000001E-3</v>
      </c>
      <c r="H289" s="1366">
        <v>2.3416666666666668E-3</v>
      </c>
      <c r="I289" s="1366">
        <f t="shared" si="12"/>
        <v>1.5800000000000002E-2</v>
      </c>
      <c r="J289" s="1366">
        <f t="shared" si="13"/>
        <v>1.5300000000000001E-2</v>
      </c>
      <c r="K289" s="1366">
        <f t="shared" si="14"/>
        <v>1.355833333333333E-2</v>
      </c>
    </row>
    <row r="290" spans="1:11" x14ac:dyDescent="0.55000000000000004">
      <c r="A290" s="295">
        <v>18233</v>
      </c>
      <c r="B290" s="1368">
        <v>4.8599999999999997E-2</v>
      </c>
      <c r="C290" s="1366">
        <v>3.9599999999999996E-2</v>
      </c>
      <c r="D290" s="1366">
        <v>1.6999999999999999E-3</v>
      </c>
      <c r="E290" s="1366">
        <v>2.15E-3</v>
      </c>
      <c r="F290" s="5">
        <v>2.225E-3</v>
      </c>
      <c r="G290" s="5">
        <v>2.1875000000000002E-3</v>
      </c>
      <c r="H290" s="1366">
        <v>2.316666666666667E-3</v>
      </c>
      <c r="I290" s="1366">
        <f t="shared" si="12"/>
        <v>4.6899999999999997E-2</v>
      </c>
      <c r="J290" s="1366">
        <f t="shared" si="13"/>
        <v>4.6412499999999995E-2</v>
      </c>
      <c r="K290" s="1366">
        <f t="shared" si="14"/>
        <v>3.7283333333333328E-2</v>
      </c>
    </row>
    <row r="291" spans="1:11" x14ac:dyDescent="0.55000000000000004">
      <c r="A291" s="295">
        <v>18264</v>
      </c>
      <c r="B291" s="1368">
        <v>1.9699999999999999E-2</v>
      </c>
      <c r="C291" s="1366">
        <v>3.5299999999999998E-2</v>
      </c>
      <c r="D291" s="1366">
        <v>1.8E-3</v>
      </c>
      <c r="E291" s="1366">
        <v>2.1416666666666663E-3</v>
      </c>
      <c r="F291" s="5">
        <v>2.2083333333333334E-3</v>
      </c>
      <c r="G291" s="5">
        <v>2.1749999999999999E-3</v>
      </c>
      <c r="H291" s="1366">
        <v>2.3E-3</v>
      </c>
      <c r="I291" s="1366">
        <f t="shared" si="12"/>
        <v>1.7899999999999999E-2</v>
      </c>
      <c r="J291" s="1366">
        <f t="shared" si="13"/>
        <v>1.7524999999999999E-2</v>
      </c>
      <c r="K291" s="1366">
        <f t="shared" si="14"/>
        <v>3.3000000000000002E-2</v>
      </c>
    </row>
    <row r="292" spans="1:11" x14ac:dyDescent="0.55000000000000004">
      <c r="A292" s="295">
        <v>18295</v>
      </c>
      <c r="B292" s="1368">
        <v>1.9900000000000001E-2</v>
      </c>
      <c r="C292" s="1366">
        <v>0.01</v>
      </c>
      <c r="D292" s="1366">
        <v>1.6000000000000001E-3</v>
      </c>
      <c r="E292" s="1366">
        <v>2.15E-3</v>
      </c>
      <c r="F292" s="5">
        <v>2.2083333333333334E-3</v>
      </c>
      <c r="G292" s="5">
        <v>2.1791666666666665E-3</v>
      </c>
      <c r="H292" s="1366">
        <v>2.3E-3</v>
      </c>
      <c r="I292" s="1366">
        <f t="shared" si="12"/>
        <v>1.83E-2</v>
      </c>
      <c r="J292" s="1366">
        <f t="shared" si="13"/>
        <v>1.7720833333333335E-2</v>
      </c>
      <c r="K292" s="1366">
        <f t="shared" si="14"/>
        <v>7.7000000000000002E-3</v>
      </c>
    </row>
    <row r="293" spans="1:11" x14ac:dyDescent="0.55000000000000004">
      <c r="A293" s="295">
        <v>18323</v>
      </c>
      <c r="B293" s="1368">
        <v>7.0000000000000001E-3</v>
      </c>
      <c r="C293" s="1366">
        <v>8.3999999999999995E-3</v>
      </c>
      <c r="D293" s="1366">
        <v>1.8E-3</v>
      </c>
      <c r="E293" s="1366">
        <v>2.15E-3</v>
      </c>
      <c r="F293" s="5">
        <v>2.2166666666666667E-3</v>
      </c>
      <c r="G293" s="5">
        <v>2.1833333333333331E-3</v>
      </c>
      <c r="H293" s="1366">
        <v>2.3E-3</v>
      </c>
      <c r="I293" s="1366">
        <f t="shared" si="12"/>
        <v>5.1999999999999998E-3</v>
      </c>
      <c r="J293" s="1366">
        <f t="shared" si="13"/>
        <v>4.816666666666667E-3</v>
      </c>
      <c r="K293" s="1366">
        <f t="shared" si="14"/>
        <v>6.0999999999999995E-3</v>
      </c>
    </row>
    <row r="294" spans="1:11" x14ac:dyDescent="0.55000000000000004">
      <c r="A294" s="295">
        <v>18354</v>
      </c>
      <c r="B294" s="1368">
        <v>4.8599999999999997E-2</v>
      </c>
      <c r="C294" s="1366">
        <v>1.8499999999999999E-2</v>
      </c>
      <c r="D294" s="1366">
        <v>1.6000000000000001E-3</v>
      </c>
      <c r="E294" s="1366">
        <v>2.1666666666666666E-3</v>
      </c>
      <c r="F294" s="5">
        <v>2.2166666666666667E-3</v>
      </c>
      <c r="G294" s="5">
        <v>2.1916666666666668E-3</v>
      </c>
      <c r="H294" s="1366">
        <v>2.3083333333333332E-3</v>
      </c>
      <c r="I294" s="1366">
        <f t="shared" si="12"/>
        <v>4.7E-2</v>
      </c>
      <c r="J294" s="1366">
        <f t="shared" si="13"/>
        <v>4.6408333333333329E-2</v>
      </c>
      <c r="K294" s="1366">
        <f t="shared" si="14"/>
        <v>1.6191666666666667E-2</v>
      </c>
    </row>
    <row r="295" spans="1:11" x14ac:dyDescent="0.55000000000000004">
      <c r="A295" s="295">
        <v>18384</v>
      </c>
      <c r="B295" s="1368">
        <v>5.0900000000000001E-2</v>
      </c>
      <c r="C295" s="1366">
        <v>1.9199999999999998E-2</v>
      </c>
      <c r="D295" s="1366">
        <v>1.9E-3</v>
      </c>
      <c r="E295" s="1366">
        <v>2.1749999999999999E-3</v>
      </c>
      <c r="F295" s="5">
        <v>2.2416666666666665E-3</v>
      </c>
      <c r="G295" s="5">
        <v>2.2083333333333334E-3</v>
      </c>
      <c r="H295" s="1366">
        <v>2.3250000000000002E-3</v>
      </c>
      <c r="I295" s="1366">
        <f t="shared" si="12"/>
        <v>4.9000000000000002E-2</v>
      </c>
      <c r="J295" s="1366">
        <f t="shared" si="13"/>
        <v>4.8691666666666668E-2</v>
      </c>
      <c r="K295" s="1366">
        <f t="shared" si="14"/>
        <v>1.6874999999999998E-2</v>
      </c>
    </row>
    <row r="296" spans="1:11" x14ac:dyDescent="0.55000000000000004">
      <c r="A296" s="295">
        <v>18415</v>
      </c>
      <c r="B296" s="1368">
        <v>-5.4800000000000001E-2</v>
      </c>
      <c r="C296" s="1366">
        <v>-7.7100000000000002E-2</v>
      </c>
      <c r="D296" s="1366">
        <v>1.6999999999999999E-3</v>
      </c>
      <c r="E296" s="1366">
        <v>2.1833333333333336E-3</v>
      </c>
      <c r="F296" s="5">
        <v>2.2416666666666665E-3</v>
      </c>
      <c r="G296" s="5">
        <v>2.2125000000000001E-3</v>
      </c>
      <c r="H296" s="1366">
        <v>2.3250000000000002E-3</v>
      </c>
      <c r="I296" s="1366">
        <f t="shared" si="12"/>
        <v>-5.6500000000000002E-2</v>
      </c>
      <c r="J296" s="1366">
        <f t="shared" si="13"/>
        <v>-5.7012500000000001E-2</v>
      </c>
      <c r="K296" s="1366">
        <f t="shared" si="14"/>
        <v>-7.9424999999999996E-2</v>
      </c>
    </row>
    <row r="297" spans="1:11" x14ac:dyDescent="0.55000000000000004">
      <c r="A297" s="295">
        <v>18445</v>
      </c>
      <c r="B297" s="1368">
        <v>1.1900000000000001E-2</v>
      </c>
      <c r="C297" s="1366">
        <v>-4.36E-2</v>
      </c>
      <c r="D297" s="1366">
        <v>1.8E-3</v>
      </c>
      <c r="E297" s="1366">
        <v>2.2083333333333334E-3</v>
      </c>
      <c r="F297" s="5">
        <v>2.2666666666666668E-3</v>
      </c>
      <c r="G297" s="5">
        <v>2.2374999999999999E-3</v>
      </c>
      <c r="H297" s="1366">
        <v>2.3250000000000002E-3</v>
      </c>
      <c r="I297" s="1366">
        <f t="shared" si="12"/>
        <v>1.0100000000000001E-2</v>
      </c>
      <c r="J297" s="1366">
        <f t="shared" si="13"/>
        <v>9.6625000000000009E-3</v>
      </c>
      <c r="K297" s="1366">
        <f t="shared" si="14"/>
        <v>-4.5925000000000001E-2</v>
      </c>
    </row>
    <row r="298" spans="1:11" x14ac:dyDescent="0.55000000000000004">
      <c r="A298" s="295">
        <v>18476</v>
      </c>
      <c r="B298" s="1368">
        <v>4.4299999999999999E-2</v>
      </c>
      <c r="C298" s="1366">
        <v>1.54E-2</v>
      </c>
      <c r="D298" s="1366">
        <v>1.8E-3</v>
      </c>
      <c r="E298" s="1366">
        <v>2.1749999999999999E-3</v>
      </c>
      <c r="F298" s="5">
        <v>2.225E-3</v>
      </c>
      <c r="G298" s="5">
        <v>2.2000000000000001E-3</v>
      </c>
      <c r="H298" s="1366">
        <v>2.3E-3</v>
      </c>
      <c r="I298" s="1366">
        <f t="shared" si="12"/>
        <v>4.2499999999999996E-2</v>
      </c>
      <c r="J298" s="1366">
        <f t="shared" si="13"/>
        <v>4.2099999999999999E-2</v>
      </c>
      <c r="K298" s="1366">
        <f t="shared" si="14"/>
        <v>1.3100000000000001E-2</v>
      </c>
    </row>
    <row r="299" spans="1:11" x14ac:dyDescent="0.55000000000000004">
      <c r="A299" s="295">
        <v>18507</v>
      </c>
      <c r="B299" s="1368">
        <v>5.9200000000000003E-2</v>
      </c>
      <c r="C299" s="1366">
        <v>4.1800000000000004E-2</v>
      </c>
      <c r="D299" s="1366">
        <v>1.6999999999999999E-3</v>
      </c>
      <c r="E299" s="1366">
        <v>2.2000000000000001E-3</v>
      </c>
      <c r="F299" s="5">
        <v>2.2583333333333331E-3</v>
      </c>
      <c r="G299" s="5">
        <v>2.2291666666666666E-3</v>
      </c>
      <c r="H299" s="1366">
        <v>2.3333333333333335E-3</v>
      </c>
      <c r="I299" s="1366">
        <f t="shared" si="12"/>
        <v>5.7500000000000002E-2</v>
      </c>
      <c r="J299" s="1366">
        <f t="shared" si="13"/>
        <v>5.6970833333333339E-2</v>
      </c>
      <c r="K299" s="1366">
        <f t="shared" si="14"/>
        <v>3.9466666666666671E-2</v>
      </c>
    </row>
    <row r="300" spans="1:11" x14ac:dyDescent="0.55000000000000004">
      <c r="A300" s="295">
        <v>18537</v>
      </c>
      <c r="B300" s="1368">
        <v>9.2999999999999992E-3</v>
      </c>
      <c r="C300" s="1366">
        <v>-2.7000000000000001E-3</v>
      </c>
      <c r="D300" s="1366">
        <v>1.9E-3</v>
      </c>
      <c r="E300" s="1366">
        <v>2.225E-3</v>
      </c>
      <c r="F300" s="5">
        <v>2.2666666666666668E-3</v>
      </c>
      <c r="G300" s="5">
        <v>2.2458333333333336E-3</v>
      </c>
      <c r="H300" s="1366">
        <v>2.3583333333333334E-3</v>
      </c>
      <c r="I300" s="1366">
        <f t="shared" si="12"/>
        <v>7.3999999999999995E-3</v>
      </c>
      <c r="J300" s="1366">
        <f t="shared" si="13"/>
        <v>7.0541666666666652E-3</v>
      </c>
      <c r="K300" s="1366">
        <f t="shared" si="14"/>
        <v>-5.0583333333333331E-3</v>
      </c>
    </row>
    <row r="301" spans="1:11" x14ac:dyDescent="0.55000000000000004">
      <c r="A301" s="295">
        <v>18568</v>
      </c>
      <c r="B301" s="1368">
        <v>1.6899999999999998E-2</v>
      </c>
      <c r="C301" s="1366">
        <v>-1.7600000000000001E-2</v>
      </c>
      <c r="D301" s="1366">
        <v>1.8E-3</v>
      </c>
      <c r="E301" s="1366">
        <v>2.225E-3</v>
      </c>
      <c r="F301" s="5">
        <v>2.2666666666666668E-3</v>
      </c>
      <c r="G301" s="5">
        <v>2.2458333333333336E-3</v>
      </c>
      <c r="H301" s="1366">
        <v>2.3833333333333332E-3</v>
      </c>
      <c r="I301" s="1366">
        <f t="shared" si="12"/>
        <v>1.5099999999999999E-2</v>
      </c>
      <c r="J301" s="1366">
        <f t="shared" si="13"/>
        <v>1.4654166666666664E-2</v>
      </c>
      <c r="K301" s="1366">
        <f t="shared" si="14"/>
        <v>-1.9983333333333336E-2</v>
      </c>
    </row>
    <row r="302" spans="1:11" x14ac:dyDescent="0.55000000000000004">
      <c r="A302" s="295">
        <v>18598</v>
      </c>
      <c r="B302" s="1368">
        <v>5.1299999999999998E-2</v>
      </c>
      <c r="C302" s="1366">
        <v>3.1199999999999995E-2</v>
      </c>
      <c r="D302" s="1366">
        <v>1.8E-3</v>
      </c>
      <c r="E302" s="1366">
        <v>2.225E-3</v>
      </c>
      <c r="F302" s="5">
        <v>2.2666666666666668E-3</v>
      </c>
      <c r="G302" s="5">
        <v>2.2458333333333336E-3</v>
      </c>
      <c r="H302" s="1366">
        <v>2.3833333333333332E-3</v>
      </c>
      <c r="I302" s="1366">
        <f t="shared" si="12"/>
        <v>4.9499999999999995E-2</v>
      </c>
      <c r="J302" s="1366">
        <f t="shared" si="13"/>
        <v>4.9054166666666663E-2</v>
      </c>
      <c r="K302" s="1366">
        <f t="shared" si="14"/>
        <v>2.8816666666666661E-2</v>
      </c>
    </row>
    <row r="303" spans="1:11" x14ac:dyDescent="0.55000000000000004">
      <c r="A303" s="295">
        <v>18629</v>
      </c>
      <c r="B303" s="1368">
        <v>6.3700000000000007E-2</v>
      </c>
      <c r="C303" s="1366">
        <v>4.3800000000000006E-2</v>
      </c>
      <c r="D303" s="1366">
        <v>2E-3</v>
      </c>
      <c r="E303" s="1366">
        <v>2.2166666666666667E-3</v>
      </c>
      <c r="F303" s="5">
        <v>2.2583333333333331E-3</v>
      </c>
      <c r="G303" s="5">
        <v>2.2374999999999999E-3</v>
      </c>
      <c r="H303" s="1366">
        <v>2.3583333333333334E-3</v>
      </c>
      <c r="I303" s="1366">
        <f t="shared" si="12"/>
        <v>6.1700000000000005E-2</v>
      </c>
      <c r="J303" s="1366">
        <f t="shared" si="13"/>
        <v>6.1462500000000003E-2</v>
      </c>
      <c r="K303" s="1366">
        <f t="shared" si="14"/>
        <v>4.1441666666666675E-2</v>
      </c>
    </row>
    <row r="304" spans="1:11" x14ac:dyDescent="0.55000000000000004">
      <c r="A304" s="295">
        <v>18660</v>
      </c>
      <c r="B304" s="1368">
        <v>1.5699999999999999E-2</v>
      </c>
      <c r="C304" s="1366">
        <v>2.6800000000000001E-2</v>
      </c>
      <c r="D304" s="1366">
        <v>1.6999999999999999E-3</v>
      </c>
      <c r="E304" s="1366">
        <v>2.2166666666666667E-3</v>
      </c>
      <c r="F304" s="5">
        <v>2.2583333333333331E-3</v>
      </c>
      <c r="G304" s="5">
        <v>2.2374999999999999E-3</v>
      </c>
      <c r="H304" s="1366">
        <v>2.3666666666666667E-3</v>
      </c>
      <c r="I304" s="1366">
        <f t="shared" si="12"/>
        <v>1.3999999999999999E-2</v>
      </c>
      <c r="J304" s="1366">
        <f t="shared" si="13"/>
        <v>1.3462499999999999E-2</v>
      </c>
      <c r="K304" s="1366">
        <f t="shared" si="14"/>
        <v>2.4433333333333335E-2</v>
      </c>
    </row>
    <row r="305" spans="1:11" x14ac:dyDescent="0.55000000000000004">
      <c r="A305" s="295">
        <v>18688</v>
      </c>
      <c r="B305" s="1368">
        <v>-1.5599999999999999E-2</v>
      </c>
      <c r="C305" s="1366">
        <v>-1.7399999999999999E-2</v>
      </c>
      <c r="D305" s="1366">
        <v>1.9E-3</v>
      </c>
      <c r="E305" s="1366">
        <v>2.3166666666666665E-3</v>
      </c>
      <c r="F305" s="5">
        <v>2.3499999999999997E-3</v>
      </c>
      <c r="G305" s="5">
        <v>2.3333333333333335E-3</v>
      </c>
      <c r="H305" s="1366">
        <v>2.4583333333333336E-3</v>
      </c>
      <c r="I305" s="1366">
        <f t="shared" si="12"/>
        <v>-1.7499999999999998E-2</v>
      </c>
      <c r="J305" s="1366">
        <f t="shared" si="13"/>
        <v>-1.7933333333333332E-2</v>
      </c>
      <c r="K305" s="1366">
        <f t="shared" si="14"/>
        <v>-1.9858333333333332E-2</v>
      </c>
    </row>
    <row r="306" spans="1:11" x14ac:dyDescent="0.55000000000000004">
      <c r="A306" s="295">
        <v>18719</v>
      </c>
      <c r="B306" s="1368">
        <v>5.0900000000000001E-2</v>
      </c>
      <c r="C306" s="1366">
        <v>5.0000000000000044E-4</v>
      </c>
      <c r="D306" s="1366">
        <v>2E-3</v>
      </c>
      <c r="E306" s="1366">
        <v>2.3916666666666665E-3</v>
      </c>
      <c r="F306" s="5">
        <v>2.4416666666666666E-3</v>
      </c>
      <c r="G306" s="5">
        <v>2.4166666666666668E-3</v>
      </c>
      <c r="H306" s="1366">
        <v>2.575E-3</v>
      </c>
      <c r="I306" s="1366">
        <f t="shared" si="12"/>
        <v>4.8899999999999999E-2</v>
      </c>
      <c r="J306" s="1366">
        <f t="shared" si="13"/>
        <v>4.8483333333333337E-2</v>
      </c>
      <c r="K306" s="1366">
        <f t="shared" si="14"/>
        <v>-2.0749999999999996E-3</v>
      </c>
    </row>
    <row r="307" spans="1:11" x14ac:dyDescent="0.55000000000000004">
      <c r="A307" s="295">
        <v>18749</v>
      </c>
      <c r="B307" s="1368">
        <v>-2.9899999999999999E-2</v>
      </c>
      <c r="C307" s="1366">
        <v>6.6E-3</v>
      </c>
      <c r="D307" s="1366">
        <v>2.0999999999999999E-3</v>
      </c>
      <c r="E307" s="1366">
        <v>2.4083333333333335E-3</v>
      </c>
      <c r="F307" s="5">
        <v>2.4416666666666666E-3</v>
      </c>
      <c r="G307" s="5">
        <v>2.4250000000000001E-3</v>
      </c>
      <c r="H307" s="1366">
        <v>2.6083333333333332E-3</v>
      </c>
      <c r="I307" s="1366">
        <f t="shared" si="12"/>
        <v>-3.2000000000000001E-2</v>
      </c>
      <c r="J307" s="1366">
        <f t="shared" si="13"/>
        <v>-3.2325E-2</v>
      </c>
      <c r="K307" s="1366">
        <f t="shared" si="14"/>
        <v>3.9916666666666668E-3</v>
      </c>
    </row>
    <row r="308" spans="1:11" x14ac:dyDescent="0.55000000000000004">
      <c r="A308" s="295">
        <v>18780</v>
      </c>
      <c r="B308" s="1368">
        <v>-2.2800000000000001E-2</v>
      </c>
      <c r="C308" s="1366">
        <v>-3.9999999999999992E-3</v>
      </c>
      <c r="D308" s="1366">
        <v>2E-3</v>
      </c>
      <c r="E308" s="1366">
        <v>2.4499999999999999E-3</v>
      </c>
      <c r="F308" s="5">
        <v>2.4916666666666668E-3</v>
      </c>
      <c r="G308" s="5">
        <v>2.4708333333333331E-3</v>
      </c>
      <c r="H308" s="1366">
        <v>2.6750000000000003E-3</v>
      </c>
      <c r="I308" s="1366">
        <f t="shared" si="12"/>
        <v>-2.4800000000000003E-2</v>
      </c>
      <c r="J308" s="1366">
        <f t="shared" si="13"/>
        <v>-2.5270833333333333E-2</v>
      </c>
      <c r="K308" s="1366">
        <f t="shared" si="14"/>
        <v>-6.6749999999999995E-3</v>
      </c>
    </row>
    <row r="309" spans="1:11" x14ac:dyDescent="0.55000000000000004">
      <c r="A309" s="295">
        <v>18810</v>
      </c>
      <c r="B309" s="1368">
        <v>7.1099999999999997E-2</v>
      </c>
      <c r="C309" s="1366">
        <v>4.3899999999999995E-2</v>
      </c>
      <c r="D309" s="1366">
        <v>2.3E-3</v>
      </c>
      <c r="E309" s="1366">
        <v>2.4499999999999999E-3</v>
      </c>
      <c r="F309" s="5">
        <v>2.4916666666666668E-3</v>
      </c>
      <c r="G309" s="5">
        <v>2.4708333333333331E-3</v>
      </c>
      <c r="H309" s="1366">
        <v>2.7166666666666667E-3</v>
      </c>
      <c r="I309" s="1366">
        <f t="shared" si="12"/>
        <v>6.88E-2</v>
      </c>
      <c r="J309" s="1366">
        <f t="shared" si="13"/>
        <v>6.8629166666666658E-2</v>
      </c>
      <c r="K309" s="1366">
        <f t="shared" si="14"/>
        <v>4.1183333333333329E-2</v>
      </c>
    </row>
    <row r="310" spans="1:11" x14ac:dyDescent="0.55000000000000004">
      <c r="A310" s="295">
        <v>18841</v>
      </c>
      <c r="B310" s="1368">
        <v>4.7800000000000002E-2</v>
      </c>
      <c r="C310" s="1366">
        <v>1.5200000000000002E-2</v>
      </c>
      <c r="D310" s="1366">
        <v>2.0999999999999999E-3</v>
      </c>
      <c r="E310" s="1366">
        <v>2.3999999999999998E-3</v>
      </c>
      <c r="F310" s="5">
        <v>2.4333333333333334E-3</v>
      </c>
      <c r="G310" s="5">
        <v>2.4166666666666664E-3</v>
      </c>
      <c r="H310" s="1366">
        <v>2.6583333333333333E-3</v>
      </c>
      <c r="I310" s="1366">
        <f t="shared" si="12"/>
        <v>4.5700000000000005E-2</v>
      </c>
      <c r="J310" s="1366">
        <f t="shared" si="13"/>
        <v>4.5383333333333338E-2</v>
      </c>
      <c r="K310" s="1366">
        <f t="shared" si="14"/>
        <v>1.2541666666666668E-2</v>
      </c>
    </row>
    <row r="311" spans="1:11" x14ac:dyDescent="0.55000000000000004">
      <c r="A311" s="295">
        <v>18872</v>
      </c>
      <c r="B311" s="1368">
        <v>1.2999999999999999E-3</v>
      </c>
      <c r="C311" s="1366">
        <v>8.6E-3</v>
      </c>
      <c r="D311" s="1366">
        <v>1.9E-3</v>
      </c>
      <c r="E311" s="1366">
        <v>2.3666666666666667E-3</v>
      </c>
      <c r="F311" s="5">
        <v>2.3999999999999998E-3</v>
      </c>
      <c r="G311" s="5">
        <v>2.3833333333333332E-3</v>
      </c>
      <c r="H311" s="1366">
        <v>2.6166666666666664E-3</v>
      </c>
      <c r="I311" s="1366">
        <f t="shared" si="12"/>
        <v>-6.0000000000000006E-4</v>
      </c>
      <c r="J311" s="1366">
        <f t="shared" si="13"/>
        <v>-1.0833333333333333E-3</v>
      </c>
      <c r="K311" s="1366">
        <f t="shared" si="14"/>
        <v>5.9833333333333336E-3</v>
      </c>
    </row>
    <row r="312" spans="1:11" x14ac:dyDescent="0.55000000000000004">
      <c r="A312" s="295">
        <v>18902</v>
      </c>
      <c r="B312" s="1368">
        <v>-1.03E-2</v>
      </c>
      <c r="C312" s="1366">
        <v>2.8999999999999998E-3</v>
      </c>
      <c r="D312" s="1366">
        <v>2.3E-3</v>
      </c>
      <c r="E312" s="1366">
        <v>2.4083333333333335E-3</v>
      </c>
      <c r="F312" s="5">
        <v>2.4416666666666666E-3</v>
      </c>
      <c r="G312" s="5">
        <v>2.4250000000000001E-3</v>
      </c>
      <c r="H312" s="1366">
        <v>2.6416666666666667E-3</v>
      </c>
      <c r="I312" s="1366">
        <f t="shared" si="12"/>
        <v>-1.26E-2</v>
      </c>
      <c r="J312" s="1366">
        <f t="shared" si="13"/>
        <v>-1.2725E-2</v>
      </c>
      <c r="K312" s="1366">
        <f t="shared" si="14"/>
        <v>2.5833333333333307E-4</v>
      </c>
    </row>
    <row r="313" spans="1:11" x14ac:dyDescent="0.55000000000000004">
      <c r="A313" s="295">
        <v>18933</v>
      </c>
      <c r="B313" s="1368">
        <v>9.5999999999999992E-3</v>
      </c>
      <c r="C313" s="1366">
        <v>1.2E-2</v>
      </c>
      <c r="D313" s="1366">
        <v>2.0999999999999999E-3</v>
      </c>
      <c r="E313" s="1366">
        <v>2.4666666666666669E-3</v>
      </c>
      <c r="F313" s="5">
        <v>2.5166666666666666E-3</v>
      </c>
      <c r="G313" s="5">
        <v>2.4916666666666663E-3</v>
      </c>
      <c r="H313" s="1366">
        <v>2.7000000000000001E-3</v>
      </c>
      <c r="I313" s="1366">
        <f t="shared" si="12"/>
        <v>7.4999999999999997E-3</v>
      </c>
      <c r="J313" s="1366">
        <f t="shared" si="13"/>
        <v>7.1083333333333328E-3</v>
      </c>
      <c r="K313" s="1366">
        <f t="shared" si="14"/>
        <v>9.2999999999999992E-3</v>
      </c>
    </row>
    <row r="314" spans="1:11" x14ac:dyDescent="0.55000000000000004">
      <c r="A314" s="295">
        <v>18963</v>
      </c>
      <c r="B314" s="1368">
        <v>4.24E-2</v>
      </c>
      <c r="C314" s="1366">
        <v>3.5200000000000002E-2</v>
      </c>
      <c r="D314" s="1366">
        <v>2.2000000000000001E-3</v>
      </c>
      <c r="E314" s="1366">
        <v>2.5083333333333329E-3</v>
      </c>
      <c r="F314" s="5">
        <v>2.5500000000000002E-3</v>
      </c>
      <c r="G314" s="5">
        <v>2.529166666666667E-3</v>
      </c>
      <c r="H314" s="1366">
        <v>2.7416666666666666E-3</v>
      </c>
      <c r="I314" s="1366">
        <f t="shared" si="12"/>
        <v>4.02E-2</v>
      </c>
      <c r="J314" s="1366">
        <f t="shared" si="13"/>
        <v>3.9870833333333335E-2</v>
      </c>
      <c r="K314" s="1366">
        <f t="shared" si="14"/>
        <v>3.2458333333333339E-2</v>
      </c>
    </row>
    <row r="315" spans="1:11" x14ac:dyDescent="0.55000000000000004">
      <c r="A315" s="295">
        <v>18994</v>
      </c>
      <c r="B315" s="1368">
        <v>1.8100000000000002E-2</v>
      </c>
      <c r="C315" s="1366">
        <v>3.0499999999999999E-2</v>
      </c>
      <c r="D315" s="1366">
        <v>2.3E-3</v>
      </c>
      <c r="E315" s="1366">
        <v>2.4833333333333331E-3</v>
      </c>
      <c r="F315" s="5">
        <v>2.5416666666666665E-3</v>
      </c>
      <c r="G315" s="5">
        <v>2.5124999999999995E-3</v>
      </c>
      <c r="H315" s="1366">
        <v>2.7416666666666666E-3</v>
      </c>
      <c r="I315" s="1366">
        <f t="shared" si="12"/>
        <v>1.5800000000000002E-2</v>
      </c>
      <c r="J315" s="1366">
        <f t="shared" si="13"/>
        <v>1.5587500000000002E-2</v>
      </c>
      <c r="K315" s="1366">
        <f t="shared" si="14"/>
        <v>2.7758333333333333E-2</v>
      </c>
    </row>
    <row r="316" spans="1:11" x14ac:dyDescent="0.55000000000000004">
      <c r="A316" s="295">
        <v>19025</v>
      </c>
      <c r="B316" s="1368">
        <v>-2.8199999999999999E-2</v>
      </c>
      <c r="C316" s="1366">
        <v>5.8999999999999999E-3</v>
      </c>
      <c r="D316" s="1366">
        <v>2.0999999999999999E-3</v>
      </c>
      <c r="E316" s="1366">
        <v>2.4416666666666666E-3</v>
      </c>
      <c r="F316" s="5">
        <v>2.5083333333333329E-3</v>
      </c>
      <c r="G316" s="5">
        <v>2.4749999999999998E-3</v>
      </c>
      <c r="H316" s="1366">
        <v>2.6916666666666669E-3</v>
      </c>
      <c r="I316" s="1366">
        <f t="shared" si="12"/>
        <v>-3.0300000000000001E-2</v>
      </c>
      <c r="J316" s="1366">
        <f t="shared" si="13"/>
        <v>-3.0675000000000001E-2</v>
      </c>
      <c r="K316" s="1366">
        <f t="shared" si="14"/>
        <v>3.208333333333333E-3</v>
      </c>
    </row>
    <row r="317" spans="1:11" x14ac:dyDescent="0.55000000000000004">
      <c r="A317" s="295">
        <v>19054</v>
      </c>
      <c r="B317" s="1368">
        <v>5.0299999999999997E-2</v>
      </c>
      <c r="C317" s="1366">
        <v>1.7599999999999998E-2</v>
      </c>
      <c r="D317" s="1366">
        <v>2.3E-3</v>
      </c>
      <c r="E317" s="1366">
        <v>2.4666666666666669E-3</v>
      </c>
      <c r="F317" s="5">
        <v>2.5249999999999999E-3</v>
      </c>
      <c r="G317" s="5">
        <v>2.4958333333333334E-3</v>
      </c>
      <c r="H317" s="1366">
        <v>2.708333333333333E-3</v>
      </c>
      <c r="I317" s="1366">
        <f t="shared" si="12"/>
        <v>4.8000000000000001E-2</v>
      </c>
      <c r="J317" s="1366">
        <f t="shared" si="13"/>
        <v>4.7804166666666661E-2</v>
      </c>
      <c r="K317" s="1366">
        <f t="shared" si="14"/>
        <v>1.4891666666666664E-2</v>
      </c>
    </row>
    <row r="318" spans="1:11" x14ac:dyDescent="0.55000000000000004">
      <c r="A318" s="295">
        <v>19085</v>
      </c>
      <c r="B318" s="1368">
        <v>-4.02E-2</v>
      </c>
      <c r="C318" s="1366">
        <v>-1.54E-2</v>
      </c>
      <c r="D318" s="1366">
        <v>2.2000000000000001E-3</v>
      </c>
      <c r="E318" s="1366">
        <v>2.4416666666666666E-3</v>
      </c>
      <c r="F318" s="5">
        <v>2.5083333333333329E-3</v>
      </c>
      <c r="G318" s="5">
        <v>2.4749999999999998E-3</v>
      </c>
      <c r="H318" s="1366">
        <v>2.6916666666666669E-3</v>
      </c>
      <c r="I318" s="1366">
        <f t="shared" si="12"/>
        <v>-4.24E-2</v>
      </c>
      <c r="J318" s="1366">
        <f t="shared" si="13"/>
        <v>-4.2674999999999998E-2</v>
      </c>
      <c r="K318" s="1366">
        <f t="shared" si="14"/>
        <v>-1.8091666666666666E-2</v>
      </c>
    </row>
    <row r="319" spans="1:11" x14ac:dyDescent="0.55000000000000004">
      <c r="A319" s="295">
        <v>19115</v>
      </c>
      <c r="B319" s="1368">
        <v>3.4299999999999997E-2</v>
      </c>
      <c r="C319" s="1366">
        <v>1.9E-2</v>
      </c>
      <c r="D319" s="1366">
        <v>2E-3</v>
      </c>
      <c r="E319" s="1366">
        <v>2.4416666666666666E-3</v>
      </c>
      <c r="F319" s="5">
        <v>2.5000000000000001E-3</v>
      </c>
      <c r="G319" s="5">
        <v>2.4708333333333331E-3</v>
      </c>
      <c r="H319" s="1366">
        <v>2.6833333333333336E-3</v>
      </c>
      <c r="I319" s="1366">
        <f t="shared" si="12"/>
        <v>3.2299999999999995E-2</v>
      </c>
      <c r="J319" s="1366">
        <f t="shared" si="13"/>
        <v>3.1829166666666665E-2</v>
      </c>
      <c r="K319" s="1366">
        <f t="shared" si="14"/>
        <v>1.6316666666666667E-2</v>
      </c>
    </row>
    <row r="320" spans="1:11" x14ac:dyDescent="0.55000000000000004">
      <c r="A320" s="295">
        <v>19146</v>
      </c>
      <c r="B320" s="1368">
        <v>4.9000000000000002E-2</v>
      </c>
      <c r="C320" s="1366">
        <v>4.8999999999999998E-3</v>
      </c>
      <c r="D320" s="1366">
        <v>2.2000000000000001E-3</v>
      </c>
      <c r="E320" s="1366">
        <v>2.4499999999999999E-3</v>
      </c>
      <c r="F320" s="5">
        <v>2.5249999999999999E-3</v>
      </c>
      <c r="G320" s="5">
        <v>2.4875000000000001E-3</v>
      </c>
      <c r="H320" s="1366">
        <v>2.6833333333333336E-3</v>
      </c>
      <c r="I320" s="1366">
        <f t="shared" si="12"/>
        <v>4.6800000000000001E-2</v>
      </c>
      <c r="J320" s="1366">
        <f t="shared" si="13"/>
        <v>4.6512499999999998E-2</v>
      </c>
      <c r="K320" s="1366">
        <f t="shared" si="14"/>
        <v>2.2166666666666663E-3</v>
      </c>
    </row>
    <row r="321" spans="1:11" x14ac:dyDescent="0.55000000000000004">
      <c r="A321" s="295">
        <v>19176</v>
      </c>
      <c r="B321" s="1368">
        <v>1.9599999999999999E-2</v>
      </c>
      <c r="C321" s="1366">
        <v>2.06E-2</v>
      </c>
      <c r="D321" s="1366">
        <v>2.2000000000000001E-3</v>
      </c>
      <c r="E321" s="1366">
        <v>2.4583333333333336E-3</v>
      </c>
      <c r="F321" s="5">
        <v>2.5333333333333336E-3</v>
      </c>
      <c r="G321" s="5">
        <v>2.4958333333333334E-3</v>
      </c>
      <c r="H321" s="1366">
        <v>2.6833333333333336E-3</v>
      </c>
      <c r="I321" s="1366">
        <f t="shared" si="12"/>
        <v>1.7399999999999999E-2</v>
      </c>
      <c r="J321" s="1366">
        <f t="shared" si="13"/>
        <v>1.7104166666666667E-2</v>
      </c>
      <c r="K321" s="1366">
        <f t="shared" si="14"/>
        <v>1.7916666666666668E-2</v>
      </c>
    </row>
    <row r="322" spans="1:11" x14ac:dyDescent="0.55000000000000004">
      <c r="A322" s="295">
        <v>19207</v>
      </c>
      <c r="B322" s="1368">
        <v>-7.1000000000000004E-3</v>
      </c>
      <c r="C322" s="1366">
        <v>2.0300000000000002E-2</v>
      </c>
      <c r="D322" s="1366">
        <v>2.0999999999999999E-3</v>
      </c>
      <c r="E322" s="1366">
        <v>2.4499999999999999E-3</v>
      </c>
      <c r="F322" s="5">
        <v>2.5500000000000002E-3</v>
      </c>
      <c r="G322" s="5">
        <v>2.5000000000000001E-3</v>
      </c>
      <c r="H322" s="1366">
        <v>2.7000000000000001E-3</v>
      </c>
      <c r="I322" s="1366">
        <f t="shared" si="12"/>
        <v>-9.1999999999999998E-3</v>
      </c>
      <c r="J322" s="1366">
        <f t="shared" si="13"/>
        <v>-9.6000000000000009E-3</v>
      </c>
      <c r="K322" s="1366">
        <f t="shared" si="14"/>
        <v>1.7600000000000001E-2</v>
      </c>
    </row>
    <row r="323" spans="1:11" x14ac:dyDescent="0.55000000000000004">
      <c r="A323" s="295">
        <v>19238</v>
      </c>
      <c r="B323" s="1368">
        <v>-1.7600000000000001E-2</v>
      </c>
      <c r="C323" s="1366">
        <v>1.4999999999999996E-3</v>
      </c>
      <c r="D323" s="1366">
        <v>2.3E-3</v>
      </c>
      <c r="E323" s="1366">
        <v>2.4583333333333336E-3</v>
      </c>
      <c r="F323" s="5">
        <v>2.558333333333333E-3</v>
      </c>
      <c r="G323" s="5">
        <v>2.5083333333333333E-3</v>
      </c>
      <c r="H323" s="1366">
        <v>2.7000000000000001E-3</v>
      </c>
      <c r="I323" s="1366">
        <f t="shared" si="12"/>
        <v>-1.9900000000000001E-2</v>
      </c>
      <c r="J323" s="1366">
        <f t="shared" si="13"/>
        <v>-2.0108333333333336E-2</v>
      </c>
      <c r="K323" s="1366">
        <f t="shared" si="14"/>
        <v>-1.2000000000000005E-3</v>
      </c>
    </row>
    <row r="324" spans="1:11" x14ac:dyDescent="0.55000000000000004">
      <c r="A324" s="295">
        <v>19268</v>
      </c>
      <c r="B324" s="1368">
        <v>2E-3</v>
      </c>
      <c r="C324" s="1366">
        <v>1.01E-2</v>
      </c>
      <c r="D324" s="1366">
        <v>2.3E-3</v>
      </c>
      <c r="E324" s="1366">
        <v>2.5083333333333329E-3</v>
      </c>
      <c r="F324" s="5">
        <v>2.5666666666666667E-3</v>
      </c>
      <c r="G324" s="5">
        <v>2.5374999999999998E-3</v>
      </c>
      <c r="H324" s="1366">
        <v>2.7166666666666667E-3</v>
      </c>
      <c r="I324" s="1366">
        <f t="shared" ref="I324:I387" si="15">B324-D324</f>
        <v>-2.9999999999999992E-4</v>
      </c>
      <c r="J324" s="1366">
        <f t="shared" si="13"/>
        <v>-5.3749999999999978E-4</v>
      </c>
      <c r="K324" s="1366">
        <f t="shared" si="14"/>
        <v>7.3833333333333329E-3</v>
      </c>
    </row>
    <row r="325" spans="1:11" x14ac:dyDescent="0.55000000000000004">
      <c r="A325" s="295">
        <v>19299</v>
      </c>
      <c r="B325" s="1368">
        <v>5.7099999999999998E-2</v>
      </c>
      <c r="C325" s="1366">
        <v>4.2299999999999997E-2</v>
      </c>
      <c r="D325" s="1366">
        <v>2.0999999999999999E-3</v>
      </c>
      <c r="E325" s="1366">
        <v>2.4833333333333331E-3</v>
      </c>
      <c r="F325" s="5">
        <v>2.5500000000000002E-3</v>
      </c>
      <c r="G325" s="5">
        <v>2.5166666666666666E-3</v>
      </c>
      <c r="H325" s="1366">
        <v>2.7000000000000001E-3</v>
      </c>
      <c r="I325" s="1366">
        <f t="shared" si="15"/>
        <v>5.5E-2</v>
      </c>
      <c r="J325" s="1366">
        <f t="shared" si="13"/>
        <v>5.4583333333333331E-2</v>
      </c>
      <c r="K325" s="1366">
        <f t="shared" si="14"/>
        <v>3.9599999999999996E-2</v>
      </c>
    </row>
    <row r="326" spans="1:11" x14ac:dyDescent="0.55000000000000004">
      <c r="A326" s="295">
        <v>19329</v>
      </c>
      <c r="B326" s="1368">
        <v>3.8199999999999998E-2</v>
      </c>
      <c r="C326" s="1366">
        <v>2.1299999999999999E-2</v>
      </c>
      <c r="D326" s="1366">
        <v>2.3999999999999998E-3</v>
      </c>
      <c r="E326" s="1366">
        <v>2.4750000000000002E-3</v>
      </c>
      <c r="F326" s="5">
        <v>2.5416666666666665E-3</v>
      </c>
      <c r="G326" s="5">
        <v>2.5083333333333333E-3</v>
      </c>
      <c r="H326" s="1366">
        <v>2.6833333333333336E-3</v>
      </c>
      <c r="I326" s="1366">
        <f t="shared" si="15"/>
        <v>3.5799999999999998E-2</v>
      </c>
      <c r="J326" s="1366">
        <f t="shared" si="13"/>
        <v>3.5691666666666663E-2</v>
      </c>
      <c r="K326" s="1366">
        <f t="shared" si="14"/>
        <v>1.8616666666666667E-2</v>
      </c>
    </row>
    <row r="327" spans="1:11" x14ac:dyDescent="0.55000000000000004">
      <c r="A327" s="295">
        <v>19360</v>
      </c>
      <c r="B327" s="1368">
        <v>-4.8999999999999998E-3</v>
      </c>
      <c r="C327" s="1366">
        <v>1.03E-2</v>
      </c>
      <c r="D327" s="1366">
        <v>2.3E-3</v>
      </c>
      <c r="E327" s="1366">
        <v>2.5166666666666666E-3</v>
      </c>
      <c r="F327" s="5">
        <v>2.575E-3</v>
      </c>
      <c r="G327" s="5">
        <v>2.5458333333333331E-3</v>
      </c>
      <c r="H327" s="1366">
        <v>2.708333333333333E-3</v>
      </c>
      <c r="I327" s="1366">
        <f t="shared" si="15"/>
        <v>-7.1999999999999998E-3</v>
      </c>
      <c r="J327" s="1366">
        <f t="shared" si="13"/>
        <v>-7.4458333333333329E-3</v>
      </c>
      <c r="K327" s="1366">
        <f t="shared" si="14"/>
        <v>7.5916666666666667E-3</v>
      </c>
    </row>
    <row r="328" spans="1:11" x14ac:dyDescent="0.55000000000000004">
      <c r="A328" s="295">
        <v>19391</v>
      </c>
      <c r="B328" s="1368">
        <v>-1.06E-2</v>
      </c>
      <c r="C328" s="1366">
        <v>-6.7000000000000002E-3</v>
      </c>
      <c r="D328" s="1366">
        <v>2.0999999999999999E-3</v>
      </c>
      <c r="E328" s="1366">
        <v>2.558333333333333E-3</v>
      </c>
      <c r="F328" s="5">
        <v>2.6166666666666664E-3</v>
      </c>
      <c r="G328" s="5">
        <v>2.5875E-3</v>
      </c>
      <c r="H328" s="1366">
        <v>2.7500000000000003E-3</v>
      </c>
      <c r="I328" s="1366">
        <f t="shared" si="15"/>
        <v>-1.2699999999999999E-2</v>
      </c>
      <c r="J328" s="1366">
        <f t="shared" si="13"/>
        <v>-1.31875E-2</v>
      </c>
      <c r="K328" s="1366">
        <f t="shared" si="14"/>
        <v>-9.4500000000000001E-3</v>
      </c>
    </row>
    <row r="329" spans="1:11" x14ac:dyDescent="0.55000000000000004">
      <c r="A329" s="295">
        <v>19419</v>
      </c>
      <c r="B329" s="1368">
        <v>-2.12E-2</v>
      </c>
      <c r="C329" s="1366">
        <v>-4.3E-3</v>
      </c>
      <c r="D329" s="1366">
        <v>2.5000000000000001E-3</v>
      </c>
      <c r="E329" s="1366">
        <v>2.5999999999999999E-3</v>
      </c>
      <c r="F329" s="5">
        <v>2.65E-3</v>
      </c>
      <c r="G329" s="5">
        <v>2.6250000000000002E-3</v>
      </c>
      <c r="H329" s="1366">
        <v>2.7999999999999995E-3</v>
      </c>
      <c r="I329" s="1366">
        <f t="shared" si="15"/>
        <v>-2.3699999999999999E-2</v>
      </c>
      <c r="J329" s="1366">
        <f t="shared" si="13"/>
        <v>-2.3824999999999999E-2</v>
      </c>
      <c r="K329" s="1366">
        <f t="shared" si="14"/>
        <v>-7.0999999999999995E-3</v>
      </c>
    </row>
    <row r="330" spans="1:11" x14ac:dyDescent="0.55000000000000004">
      <c r="A330" s="295">
        <v>19450</v>
      </c>
      <c r="B330" s="1368">
        <v>-2.3699999999999999E-2</v>
      </c>
      <c r="C330" s="1366">
        <v>-1.9200000000000002E-2</v>
      </c>
      <c r="D330" s="1366">
        <v>2.3999999999999998E-3</v>
      </c>
      <c r="E330" s="1366">
        <v>2.6916666666666669E-3</v>
      </c>
      <c r="F330" s="5">
        <v>2.7416666666666666E-3</v>
      </c>
      <c r="G330" s="5">
        <v>2.7166666666666667E-3</v>
      </c>
      <c r="H330" s="1366">
        <v>2.891666666666667E-3</v>
      </c>
      <c r="I330" s="1366">
        <f t="shared" si="15"/>
        <v>-2.6099999999999998E-2</v>
      </c>
      <c r="J330" s="1366">
        <f t="shared" si="13"/>
        <v>-2.6416666666666665E-2</v>
      </c>
      <c r="K330" s="1366">
        <f t="shared" si="14"/>
        <v>-2.2091666666666669E-2</v>
      </c>
    </row>
    <row r="331" spans="1:11" x14ac:dyDescent="0.55000000000000004">
      <c r="A331" s="295">
        <v>19480</v>
      </c>
      <c r="B331" s="1368">
        <v>7.7000000000000002E-3</v>
      </c>
      <c r="C331" s="1366">
        <v>2.3999999999999998E-3</v>
      </c>
      <c r="D331" s="1366">
        <v>2.3999999999999998E-3</v>
      </c>
      <c r="E331" s="1366">
        <v>2.7833333333333334E-3</v>
      </c>
      <c r="F331" s="5">
        <v>2.8416666666666668E-3</v>
      </c>
      <c r="G331" s="5">
        <v>2.8124999999999999E-3</v>
      </c>
      <c r="H331" s="1366">
        <v>3.0249999999999999E-3</v>
      </c>
      <c r="I331" s="1366">
        <f t="shared" si="15"/>
        <v>5.3000000000000009E-3</v>
      </c>
      <c r="J331" s="1366">
        <f t="shared" si="13"/>
        <v>4.8875000000000004E-3</v>
      </c>
      <c r="K331" s="1366">
        <f t="shared" si="14"/>
        <v>-6.2500000000000012E-4</v>
      </c>
    </row>
    <row r="332" spans="1:11" x14ac:dyDescent="0.55000000000000004">
      <c r="A332" s="295">
        <v>19511</v>
      </c>
      <c r="B332" s="1368">
        <v>-1.34E-2</v>
      </c>
      <c r="C332" s="1366">
        <v>-2.7300000000000001E-2</v>
      </c>
      <c r="D332" s="1366">
        <v>2.7000000000000001E-3</v>
      </c>
      <c r="E332" s="1366">
        <v>2.8333333333333331E-3</v>
      </c>
      <c r="F332" s="5">
        <v>2.9166666666666668E-3</v>
      </c>
      <c r="G332" s="5">
        <v>2.875E-3</v>
      </c>
      <c r="H332" s="1366">
        <v>3.0916666666666666E-3</v>
      </c>
      <c r="I332" s="1366">
        <f t="shared" si="15"/>
        <v>-1.61E-2</v>
      </c>
      <c r="J332" s="1366">
        <f t="shared" si="13"/>
        <v>-1.6275000000000001E-2</v>
      </c>
      <c r="K332" s="1366">
        <f t="shared" si="14"/>
        <v>-3.0391666666666668E-2</v>
      </c>
    </row>
    <row r="333" spans="1:11" x14ac:dyDescent="0.55000000000000004">
      <c r="A333" s="295">
        <v>19541</v>
      </c>
      <c r="B333" s="1368">
        <v>2.7300000000000001E-2</v>
      </c>
      <c r="C333" s="1366">
        <v>3.4500000000000003E-2</v>
      </c>
      <c r="D333" s="1366">
        <v>2.5000000000000001E-3</v>
      </c>
      <c r="E333" s="1366">
        <v>2.7333333333333333E-3</v>
      </c>
      <c r="F333" s="5">
        <v>2.8499999999999997E-3</v>
      </c>
      <c r="G333" s="5">
        <v>2.7916666666666667E-3</v>
      </c>
      <c r="H333" s="1366">
        <v>3.0499999999999998E-3</v>
      </c>
      <c r="I333" s="1366">
        <f t="shared" si="15"/>
        <v>2.4800000000000003E-2</v>
      </c>
      <c r="J333" s="1366">
        <f t="shared" si="13"/>
        <v>2.4508333333333333E-2</v>
      </c>
      <c r="K333" s="1366">
        <f t="shared" si="14"/>
        <v>3.1450000000000006E-2</v>
      </c>
    </row>
    <row r="334" spans="1:11" x14ac:dyDescent="0.55000000000000004">
      <c r="A334" s="295">
        <v>19572</v>
      </c>
      <c r="B334" s="1368">
        <v>-5.0099999999999999E-2</v>
      </c>
      <c r="C334" s="1366">
        <v>1.5999999999999999E-3</v>
      </c>
      <c r="D334" s="1366">
        <v>2.5000000000000001E-3</v>
      </c>
      <c r="E334" s="1366">
        <v>2.7000000000000001E-3</v>
      </c>
      <c r="F334" s="5">
        <v>2.8250000000000003E-3</v>
      </c>
      <c r="G334" s="5">
        <v>2.7624999999999998E-3</v>
      </c>
      <c r="H334" s="1366">
        <v>3.0083333333333333E-3</v>
      </c>
      <c r="I334" s="1366">
        <f t="shared" si="15"/>
        <v>-5.2600000000000001E-2</v>
      </c>
      <c r="J334" s="1366">
        <f t="shared" si="13"/>
        <v>-5.28625E-2</v>
      </c>
      <c r="K334" s="1366">
        <f t="shared" si="14"/>
        <v>-1.4083333333333335E-3</v>
      </c>
    </row>
    <row r="335" spans="1:11" x14ac:dyDescent="0.55000000000000004">
      <c r="A335" s="295">
        <v>19603</v>
      </c>
      <c r="B335" s="1368">
        <v>3.3999999999999998E-3</v>
      </c>
      <c r="C335" s="1366">
        <v>1.1900000000000001E-2</v>
      </c>
      <c r="D335" s="1366">
        <v>2.5000000000000001E-3</v>
      </c>
      <c r="E335" s="1366">
        <v>2.7416666666666666E-3</v>
      </c>
      <c r="F335" s="5">
        <v>2.8583333333333334E-3</v>
      </c>
      <c r="G335" s="5">
        <v>2.8000000000000004E-3</v>
      </c>
      <c r="H335" s="1366">
        <v>3.0166666666666671E-3</v>
      </c>
      <c r="I335" s="1366">
        <f t="shared" si="15"/>
        <v>8.9999999999999976E-4</v>
      </c>
      <c r="J335" s="1366">
        <f t="shared" si="13"/>
        <v>5.9999999999999941E-4</v>
      </c>
      <c r="K335" s="1366">
        <f t="shared" si="14"/>
        <v>8.8833333333333334E-3</v>
      </c>
    </row>
    <row r="336" spans="1:11" x14ac:dyDescent="0.55000000000000004">
      <c r="A336" s="295">
        <v>19633</v>
      </c>
      <c r="B336" s="1368">
        <v>5.3999999999999999E-2</v>
      </c>
      <c r="C336" s="1366">
        <v>4.1100000000000005E-2</v>
      </c>
      <c r="D336" s="1366">
        <v>2.3E-3</v>
      </c>
      <c r="E336" s="1366">
        <v>2.6333333333333334E-3</v>
      </c>
      <c r="F336" s="5">
        <v>2.7750000000000001E-3</v>
      </c>
      <c r="G336" s="5">
        <v>2.7041666666666668E-3</v>
      </c>
      <c r="H336" s="1366">
        <v>2.9083333333333335E-3</v>
      </c>
      <c r="I336" s="1366">
        <f t="shared" si="15"/>
        <v>5.1699999999999996E-2</v>
      </c>
      <c r="J336" s="1366">
        <f t="shared" si="13"/>
        <v>5.1295833333333332E-2</v>
      </c>
      <c r="K336" s="1366">
        <f t="shared" si="14"/>
        <v>3.8191666666666672E-2</v>
      </c>
    </row>
    <row r="337" spans="1:11" x14ac:dyDescent="0.55000000000000004">
      <c r="A337" s="295">
        <v>19664</v>
      </c>
      <c r="B337" s="1368">
        <v>2.0400000000000001E-2</v>
      </c>
      <c r="C337" s="1366">
        <v>2.7400000000000001E-2</v>
      </c>
      <c r="D337" s="1366">
        <v>2.3999999999999998E-3</v>
      </c>
      <c r="E337" s="1366">
        <v>2.5916666666666666E-3</v>
      </c>
      <c r="F337" s="5">
        <v>2.725E-3</v>
      </c>
      <c r="G337" s="5">
        <v>2.6583333333333337E-3</v>
      </c>
      <c r="H337" s="1366">
        <v>2.8333333333333331E-3</v>
      </c>
      <c r="I337" s="1366">
        <f t="shared" si="15"/>
        <v>1.8000000000000002E-2</v>
      </c>
      <c r="J337" s="1366">
        <f t="shared" si="13"/>
        <v>1.7741666666666669E-2</v>
      </c>
      <c r="K337" s="1366">
        <f t="shared" si="14"/>
        <v>2.4566666666666667E-2</v>
      </c>
    </row>
    <row r="338" spans="1:11" x14ac:dyDescent="0.55000000000000004">
      <c r="A338" s="295">
        <v>19694</v>
      </c>
      <c r="B338" s="1368">
        <v>5.3E-3</v>
      </c>
      <c r="C338" s="1366">
        <v>6.4000000000000003E-3</v>
      </c>
      <c r="D338" s="1366">
        <v>2.3999999999999998E-3</v>
      </c>
      <c r="E338" s="1366">
        <v>2.6083333333333332E-3</v>
      </c>
      <c r="F338" s="5">
        <v>2.7333333333333333E-3</v>
      </c>
      <c r="G338" s="5">
        <v>2.6708333333333332E-3</v>
      </c>
      <c r="H338" s="1366">
        <v>2.816666666666667E-3</v>
      </c>
      <c r="I338" s="1366">
        <f t="shared" si="15"/>
        <v>2.9000000000000002E-3</v>
      </c>
      <c r="J338" s="1366">
        <f t="shared" si="13"/>
        <v>2.6291666666666668E-3</v>
      </c>
      <c r="K338" s="1366">
        <f t="shared" si="14"/>
        <v>3.5833333333333333E-3</v>
      </c>
    </row>
    <row r="339" spans="1:11" x14ac:dyDescent="0.55000000000000004">
      <c r="A339" s="295">
        <v>19725</v>
      </c>
      <c r="B339" s="1368">
        <v>5.3600000000000002E-2</v>
      </c>
      <c r="C339" s="1366">
        <v>3.27E-2</v>
      </c>
      <c r="D339" s="1366">
        <v>2.3E-3</v>
      </c>
      <c r="E339" s="1366">
        <v>2.5500000000000002E-3</v>
      </c>
      <c r="F339" s="5">
        <v>2.6833333333333336E-3</v>
      </c>
      <c r="G339" s="5">
        <v>2.6166666666666673E-3</v>
      </c>
      <c r="H339" s="1366">
        <v>2.7666666666666668E-3</v>
      </c>
      <c r="I339" s="1366">
        <f t="shared" si="15"/>
        <v>5.1299999999999998E-2</v>
      </c>
      <c r="J339" s="1366">
        <f t="shared" si="13"/>
        <v>5.0983333333333332E-2</v>
      </c>
      <c r="K339" s="1366">
        <f t="shared" si="14"/>
        <v>2.9933333333333333E-2</v>
      </c>
    </row>
    <row r="340" spans="1:11" x14ac:dyDescent="0.55000000000000004">
      <c r="A340" s="295">
        <v>19756</v>
      </c>
      <c r="B340" s="1368">
        <v>1.11E-2</v>
      </c>
      <c r="C340" s="1366">
        <v>1.1699999999999999E-2</v>
      </c>
      <c r="D340" s="1366">
        <v>2.2000000000000001E-3</v>
      </c>
      <c r="E340" s="1366">
        <v>2.4583333333333336E-3</v>
      </c>
      <c r="F340" s="5">
        <v>2.5999999999999999E-3</v>
      </c>
      <c r="G340" s="5">
        <v>2.529166666666667E-3</v>
      </c>
      <c r="H340" s="1366">
        <v>2.6916666666666669E-3</v>
      </c>
      <c r="I340" s="1366">
        <f t="shared" si="15"/>
        <v>8.8999999999999999E-3</v>
      </c>
      <c r="J340" s="1366">
        <f t="shared" si="13"/>
        <v>8.5708333333333331E-3</v>
      </c>
      <c r="K340" s="1366">
        <f t="shared" si="14"/>
        <v>9.0083333333333317E-3</v>
      </c>
    </row>
    <row r="341" spans="1:11" x14ac:dyDescent="0.55000000000000004">
      <c r="A341" s="295">
        <v>19784</v>
      </c>
      <c r="B341" s="1368">
        <v>3.2500000000000001E-2</v>
      </c>
      <c r="C341" s="1366">
        <v>2.7000000000000003E-2</v>
      </c>
      <c r="D341" s="1366">
        <v>2.5000000000000001E-3</v>
      </c>
      <c r="E341" s="1366">
        <v>2.3833333333333332E-3</v>
      </c>
      <c r="F341" s="5">
        <v>2.5249999999999999E-3</v>
      </c>
      <c r="G341" s="5">
        <v>2.4541666666666666E-3</v>
      </c>
      <c r="H341" s="1366">
        <v>2.6333333333333334E-3</v>
      </c>
      <c r="I341" s="1366">
        <f t="shared" si="15"/>
        <v>3.0000000000000002E-2</v>
      </c>
      <c r="J341" s="1366">
        <f t="shared" si="13"/>
        <v>3.0045833333333334E-2</v>
      </c>
      <c r="K341" s="1366">
        <f t="shared" si="14"/>
        <v>2.4366666666666668E-2</v>
      </c>
    </row>
    <row r="342" spans="1:11" x14ac:dyDescent="0.55000000000000004">
      <c r="A342" s="295">
        <v>19815</v>
      </c>
      <c r="B342" s="1368">
        <v>5.16E-2</v>
      </c>
      <c r="C342" s="1366">
        <v>1.21E-2</v>
      </c>
      <c r="D342" s="1366">
        <v>2.2000000000000001E-3</v>
      </c>
      <c r="E342" s="1366">
        <v>2.3750000000000004E-3</v>
      </c>
      <c r="F342" s="5">
        <v>2.5000000000000001E-3</v>
      </c>
      <c r="G342" s="5">
        <v>2.4375000000000004E-3</v>
      </c>
      <c r="H342" s="1366">
        <v>2.6333333333333334E-3</v>
      </c>
      <c r="I342" s="1366">
        <f t="shared" si="15"/>
        <v>4.9399999999999999E-2</v>
      </c>
      <c r="J342" s="1366">
        <f t="shared" si="13"/>
        <v>4.9162499999999998E-2</v>
      </c>
      <c r="K342" s="1366">
        <f t="shared" si="14"/>
        <v>9.4666666666666666E-3</v>
      </c>
    </row>
    <row r="343" spans="1:11" x14ac:dyDescent="0.55000000000000004">
      <c r="A343" s="295">
        <v>19845</v>
      </c>
      <c r="B343" s="1368">
        <v>4.1799999999999997E-2</v>
      </c>
      <c r="C343" s="1366">
        <v>2.5700000000000004E-2</v>
      </c>
      <c r="D343" s="1366">
        <v>2E-3</v>
      </c>
      <c r="E343" s="1366">
        <v>2.3999999999999998E-3</v>
      </c>
      <c r="F343" s="5">
        <v>2.5249999999999999E-3</v>
      </c>
      <c r="G343" s="5">
        <v>2.4624999999999998E-3</v>
      </c>
      <c r="H343" s="1366">
        <v>2.6166666666666664E-3</v>
      </c>
      <c r="I343" s="1366">
        <f t="shared" si="15"/>
        <v>3.9799999999999995E-2</v>
      </c>
      <c r="J343" s="1366">
        <f t="shared" si="13"/>
        <v>3.9337499999999997E-2</v>
      </c>
      <c r="K343" s="1366">
        <f t="shared" si="14"/>
        <v>2.3083333333333338E-2</v>
      </c>
    </row>
    <row r="344" spans="1:11" x14ac:dyDescent="0.55000000000000004">
      <c r="A344" s="295">
        <v>19876</v>
      </c>
      <c r="B344" s="1368">
        <v>3.0999999999999999E-3</v>
      </c>
      <c r="C344" s="1366">
        <v>9.6000000000000009E-3</v>
      </c>
      <c r="D344" s="1366">
        <v>2.5000000000000001E-3</v>
      </c>
      <c r="E344" s="1366">
        <v>2.4166666666666668E-3</v>
      </c>
      <c r="F344" s="5">
        <v>2.5500000000000002E-3</v>
      </c>
      <c r="G344" s="5">
        <v>2.4833333333333335E-3</v>
      </c>
      <c r="H344" s="1366">
        <v>2.6333333333333334E-3</v>
      </c>
      <c r="I344" s="1366">
        <f t="shared" si="15"/>
        <v>5.9999999999999984E-4</v>
      </c>
      <c r="J344" s="1366">
        <f t="shared" si="13"/>
        <v>6.166666666666664E-4</v>
      </c>
      <c r="K344" s="1366">
        <f t="shared" si="14"/>
        <v>6.9666666666666679E-3</v>
      </c>
    </row>
    <row r="345" spans="1:11" x14ac:dyDescent="0.55000000000000004">
      <c r="A345" s="295">
        <v>19906</v>
      </c>
      <c r="B345" s="1368">
        <v>5.8900000000000001E-2</v>
      </c>
      <c r="C345" s="1366">
        <v>4.9500000000000002E-2</v>
      </c>
      <c r="D345" s="1366">
        <v>2.2000000000000001E-3</v>
      </c>
      <c r="E345" s="1366">
        <v>2.4083333333333335E-3</v>
      </c>
      <c r="F345" s="5">
        <v>2.5333333333333336E-3</v>
      </c>
      <c r="G345" s="5">
        <v>2.4708333333333336E-3</v>
      </c>
      <c r="H345" s="1366">
        <v>2.6166666666666664E-3</v>
      </c>
      <c r="I345" s="1366">
        <f t="shared" si="15"/>
        <v>5.67E-2</v>
      </c>
      <c r="J345" s="1366">
        <f t="shared" si="13"/>
        <v>5.6429166666666669E-2</v>
      </c>
      <c r="K345" s="1366">
        <f t="shared" si="14"/>
        <v>4.6883333333333332E-2</v>
      </c>
    </row>
    <row r="346" spans="1:11" x14ac:dyDescent="0.55000000000000004">
      <c r="A346" s="295">
        <v>19937</v>
      </c>
      <c r="B346" s="1368">
        <v>-2.75E-2</v>
      </c>
      <c r="C346" s="1366">
        <v>-1.3100000000000001E-2</v>
      </c>
      <c r="D346" s="1366">
        <v>2.3E-3</v>
      </c>
      <c r="E346" s="1366">
        <v>2.3916666666666665E-3</v>
      </c>
      <c r="F346" s="5">
        <v>2.5249999999999999E-3</v>
      </c>
      <c r="G346" s="5">
        <v>2.4583333333333336E-3</v>
      </c>
      <c r="H346" s="1366">
        <v>2.6083333333333332E-3</v>
      </c>
      <c r="I346" s="1366">
        <f t="shared" si="15"/>
        <v>-2.98E-2</v>
      </c>
      <c r="J346" s="1366">
        <f t="shared" si="13"/>
        <v>-2.9958333333333333E-2</v>
      </c>
      <c r="K346" s="1366">
        <f t="shared" si="14"/>
        <v>-1.5708333333333335E-2</v>
      </c>
    </row>
    <row r="347" spans="1:11" x14ac:dyDescent="0.55000000000000004">
      <c r="A347" s="295">
        <v>19968</v>
      </c>
      <c r="B347" s="1368">
        <v>8.5099999999999995E-2</v>
      </c>
      <c r="C347" s="1366">
        <v>1.78E-2</v>
      </c>
      <c r="D347" s="1366">
        <v>2.2000000000000001E-3</v>
      </c>
      <c r="E347" s="1366">
        <v>2.4083333333333335E-3</v>
      </c>
      <c r="F347" s="5">
        <v>2.5333333333333336E-3</v>
      </c>
      <c r="G347" s="5">
        <v>2.4708333333333336E-3</v>
      </c>
      <c r="H347" s="1366">
        <v>2.5999999999999999E-3</v>
      </c>
      <c r="I347" s="1366">
        <f t="shared" si="15"/>
        <v>8.2900000000000001E-2</v>
      </c>
      <c r="J347" s="1366">
        <f t="shared" ref="J347:J410" si="16">B347-G347</f>
        <v>8.2629166666666656E-2</v>
      </c>
      <c r="K347" s="1366">
        <f t="shared" ref="K347:K410" si="17">$C347-H347</f>
        <v>1.52E-2</v>
      </c>
    </row>
    <row r="348" spans="1:11" x14ac:dyDescent="0.55000000000000004">
      <c r="A348" s="295">
        <v>19998</v>
      </c>
      <c r="B348" s="1368">
        <v>-1.67E-2</v>
      </c>
      <c r="C348" s="1366">
        <v>-3.6799999999999999E-2</v>
      </c>
      <c r="D348" s="1366">
        <v>2.0999999999999999E-3</v>
      </c>
      <c r="E348" s="1366">
        <v>2.3916666666666665E-3</v>
      </c>
      <c r="F348" s="5">
        <v>2.5333333333333336E-3</v>
      </c>
      <c r="G348" s="5">
        <v>2.4625000000000003E-3</v>
      </c>
      <c r="H348" s="1366">
        <v>2.5999999999999999E-3</v>
      </c>
      <c r="I348" s="1366">
        <f t="shared" si="15"/>
        <v>-1.8800000000000001E-2</v>
      </c>
      <c r="J348" s="1366">
        <f t="shared" si="16"/>
        <v>-1.9162499999999999E-2</v>
      </c>
      <c r="K348" s="1366">
        <f t="shared" si="17"/>
        <v>-3.9399999999999998E-2</v>
      </c>
    </row>
    <row r="349" spans="1:11" x14ac:dyDescent="0.55000000000000004">
      <c r="A349" s="295">
        <v>20029</v>
      </c>
      <c r="B349" s="1368">
        <v>9.0899999999999995E-2</v>
      </c>
      <c r="C349" s="1366">
        <v>5.6500000000000002E-2</v>
      </c>
      <c r="D349" s="1366">
        <v>2.3E-3</v>
      </c>
      <c r="E349" s="1366">
        <v>2.4083333333333335E-3</v>
      </c>
      <c r="F349" s="5">
        <v>2.5333333333333336E-3</v>
      </c>
      <c r="G349" s="5">
        <v>2.4708333333333336E-3</v>
      </c>
      <c r="H349" s="1366">
        <v>2.5916666666666666E-3</v>
      </c>
      <c r="I349" s="1366">
        <f t="shared" si="15"/>
        <v>8.8599999999999998E-2</v>
      </c>
      <c r="J349" s="1366">
        <f t="shared" si="16"/>
        <v>8.8429166666666656E-2</v>
      </c>
      <c r="K349" s="1366">
        <f t="shared" si="17"/>
        <v>5.3908333333333336E-2</v>
      </c>
    </row>
    <row r="350" spans="1:11" x14ac:dyDescent="0.55000000000000004">
      <c r="A350" s="295">
        <v>20059</v>
      </c>
      <c r="B350" s="1368">
        <v>5.3400000000000003E-2</v>
      </c>
      <c r="C350" s="1366">
        <v>3.4099999999999998E-2</v>
      </c>
      <c r="D350" s="1366">
        <v>2.3E-3</v>
      </c>
      <c r="E350" s="1366">
        <v>2.4166666666666668E-3</v>
      </c>
      <c r="F350" s="5">
        <v>2.5333333333333336E-3</v>
      </c>
      <c r="G350" s="5">
        <v>2.4749999999999998E-3</v>
      </c>
      <c r="H350" s="1366">
        <v>2.5916666666666666E-3</v>
      </c>
      <c r="I350" s="1366">
        <f t="shared" si="15"/>
        <v>5.1100000000000007E-2</v>
      </c>
      <c r="J350" s="1366">
        <f t="shared" si="16"/>
        <v>5.0925000000000005E-2</v>
      </c>
      <c r="K350" s="1366">
        <f t="shared" si="17"/>
        <v>3.1508333333333333E-2</v>
      </c>
    </row>
    <row r="351" spans="1:11" x14ac:dyDescent="0.55000000000000004">
      <c r="A351" s="295">
        <v>20090</v>
      </c>
      <c r="B351" s="1368">
        <v>1.9699999999999999E-2</v>
      </c>
      <c r="C351" s="1366">
        <v>1.43E-2</v>
      </c>
      <c r="D351" s="1366">
        <v>2.2000000000000001E-3</v>
      </c>
      <c r="E351" s="1366">
        <v>2.4416666666666666E-3</v>
      </c>
      <c r="F351" s="5">
        <v>2.5500000000000002E-3</v>
      </c>
      <c r="G351" s="5">
        <v>2.4958333333333334E-3</v>
      </c>
      <c r="H351" s="1366">
        <v>2.6083333333333332E-3</v>
      </c>
      <c r="I351" s="1366">
        <f t="shared" si="15"/>
        <v>1.7499999999999998E-2</v>
      </c>
      <c r="J351" s="1366">
        <f t="shared" si="16"/>
        <v>1.7204166666666666E-2</v>
      </c>
      <c r="K351" s="1366">
        <f t="shared" si="17"/>
        <v>1.1691666666666666E-2</v>
      </c>
    </row>
    <row r="352" spans="1:11" x14ac:dyDescent="0.55000000000000004">
      <c r="A352" s="295">
        <v>20121</v>
      </c>
      <c r="B352" s="1368">
        <v>9.7999999999999997E-3</v>
      </c>
      <c r="C352" s="1366">
        <v>3.44E-2</v>
      </c>
      <c r="D352" s="1366">
        <v>2.2000000000000001E-3</v>
      </c>
      <c r="E352" s="1366">
        <v>2.4416666666666666E-3</v>
      </c>
      <c r="F352" s="5">
        <v>2.5833333333333337E-3</v>
      </c>
      <c r="G352" s="5">
        <v>2.5125000000000004E-3</v>
      </c>
      <c r="H352" s="1366">
        <v>2.6166666666666664E-3</v>
      </c>
      <c r="I352" s="1366">
        <f t="shared" si="15"/>
        <v>7.5999999999999991E-3</v>
      </c>
      <c r="J352" s="1366">
        <f t="shared" si="16"/>
        <v>7.2874999999999988E-3</v>
      </c>
      <c r="K352" s="1366">
        <f t="shared" si="17"/>
        <v>3.178333333333333E-2</v>
      </c>
    </row>
    <row r="353" spans="1:11" x14ac:dyDescent="0.55000000000000004">
      <c r="A353" s="295">
        <v>20149</v>
      </c>
      <c r="B353" s="1368">
        <v>-3.0000000000000001E-3</v>
      </c>
      <c r="C353" s="1366">
        <v>-1.1000000000000001E-2</v>
      </c>
      <c r="D353" s="1366">
        <v>2.3999999999999998E-3</v>
      </c>
      <c r="E353" s="1366">
        <v>2.5166666666666666E-3</v>
      </c>
      <c r="F353" s="5">
        <v>2.6083333333333332E-3</v>
      </c>
      <c r="G353" s="5">
        <v>2.5624999999999997E-3</v>
      </c>
      <c r="H353" s="1366">
        <v>2.6250000000000002E-3</v>
      </c>
      <c r="I353" s="1366">
        <f t="shared" si="15"/>
        <v>-5.4000000000000003E-3</v>
      </c>
      <c r="J353" s="1366">
        <f t="shared" si="16"/>
        <v>-5.5624999999999997E-3</v>
      </c>
      <c r="K353" s="1366">
        <f t="shared" si="17"/>
        <v>-1.3625000000000002E-2</v>
      </c>
    </row>
    <row r="354" spans="1:11" x14ac:dyDescent="0.55000000000000004">
      <c r="A354" s="295">
        <v>20180</v>
      </c>
      <c r="B354" s="1368">
        <v>3.9600000000000003E-2</v>
      </c>
      <c r="C354" s="1366">
        <v>2.0199999999999999E-2</v>
      </c>
      <c r="D354" s="1366">
        <v>2.2000000000000001E-3</v>
      </c>
      <c r="E354" s="1366">
        <v>2.5083333333333329E-3</v>
      </c>
      <c r="F354" s="5">
        <v>2.6083333333333332E-3</v>
      </c>
      <c r="G354" s="5">
        <v>2.558333333333333E-3</v>
      </c>
      <c r="H354" s="1366">
        <v>2.6250000000000002E-3</v>
      </c>
      <c r="I354" s="1366">
        <f t="shared" si="15"/>
        <v>3.7400000000000003E-2</v>
      </c>
      <c r="J354" s="1366">
        <f t="shared" si="16"/>
        <v>3.7041666666666667E-2</v>
      </c>
      <c r="K354" s="1366">
        <f t="shared" si="17"/>
        <v>1.7575E-2</v>
      </c>
    </row>
    <row r="355" spans="1:11" x14ac:dyDescent="0.55000000000000004">
      <c r="A355" s="295">
        <v>20210</v>
      </c>
      <c r="B355" s="1368">
        <v>5.4999999999999997E-3</v>
      </c>
      <c r="C355" s="1366">
        <v>-5.7999999999999996E-3</v>
      </c>
      <c r="D355" s="1366">
        <v>2.5000000000000001E-3</v>
      </c>
      <c r="E355" s="1366">
        <v>2.5333333333333336E-3</v>
      </c>
      <c r="F355" s="5">
        <v>2.6250000000000002E-3</v>
      </c>
      <c r="G355" s="5">
        <v>2.5791666666666667E-3</v>
      </c>
      <c r="H355" s="1366">
        <v>2.6583333333333333E-3</v>
      </c>
      <c r="I355" s="1366">
        <f t="shared" si="15"/>
        <v>2.9999999999999996E-3</v>
      </c>
      <c r="J355" s="1366">
        <f t="shared" si="16"/>
        <v>2.920833333333333E-3</v>
      </c>
      <c r="K355" s="1366">
        <f t="shared" si="17"/>
        <v>-8.4583333333333333E-3</v>
      </c>
    </row>
    <row r="356" spans="1:11" x14ac:dyDescent="0.55000000000000004">
      <c r="A356" s="295">
        <v>20241</v>
      </c>
      <c r="B356" s="1368">
        <v>8.4099999999999994E-2</v>
      </c>
      <c r="C356" s="1366">
        <v>2.1099999999999997E-2</v>
      </c>
      <c r="D356" s="1366">
        <v>2.3E-3</v>
      </c>
      <c r="E356" s="1366">
        <v>2.5416666666666665E-3</v>
      </c>
      <c r="F356" s="5">
        <v>2.6166666666666664E-3</v>
      </c>
      <c r="G356" s="5">
        <v>2.5791666666666667E-3</v>
      </c>
      <c r="H356" s="1366">
        <v>2.6750000000000003E-3</v>
      </c>
      <c r="I356" s="1366">
        <f t="shared" si="15"/>
        <v>8.1799999999999998E-2</v>
      </c>
      <c r="J356" s="1366">
        <f t="shared" si="16"/>
        <v>8.1520833333333334E-2</v>
      </c>
      <c r="K356" s="1366">
        <f t="shared" si="17"/>
        <v>1.8424999999999997E-2</v>
      </c>
    </row>
    <row r="357" spans="1:11" x14ac:dyDescent="0.55000000000000004">
      <c r="A357" s="295">
        <v>20271</v>
      </c>
      <c r="B357" s="1368">
        <v>6.2199999999999998E-2</v>
      </c>
      <c r="C357" s="1366">
        <v>4.6599999999999996E-2</v>
      </c>
      <c r="D357" s="1366">
        <v>2.3E-3</v>
      </c>
      <c r="E357" s="1366">
        <v>2.5500000000000002E-3</v>
      </c>
      <c r="F357" s="5">
        <v>2.6166666666666664E-3</v>
      </c>
      <c r="G357" s="5">
        <v>2.5833333333333329E-3</v>
      </c>
      <c r="H357" s="1366">
        <v>2.6750000000000003E-3</v>
      </c>
      <c r="I357" s="1366">
        <f t="shared" si="15"/>
        <v>5.9899999999999995E-2</v>
      </c>
      <c r="J357" s="1366">
        <f t="shared" si="16"/>
        <v>5.9616666666666665E-2</v>
      </c>
      <c r="K357" s="1366">
        <f t="shared" si="17"/>
        <v>4.3924999999999992E-2</v>
      </c>
    </row>
    <row r="358" spans="1:11" x14ac:dyDescent="0.55000000000000004">
      <c r="A358" s="295">
        <v>20302</v>
      </c>
      <c r="B358" s="1368">
        <v>-2.5000000000000001E-3</v>
      </c>
      <c r="C358" s="1366">
        <v>5.1999999999999998E-3</v>
      </c>
      <c r="D358" s="1366">
        <v>2.7000000000000001E-3</v>
      </c>
      <c r="E358" s="1366">
        <v>2.5916666666666666E-3</v>
      </c>
      <c r="F358" s="5">
        <v>2.6666666666666666E-3</v>
      </c>
      <c r="G358" s="5">
        <v>2.6291666666666668E-3</v>
      </c>
      <c r="H358" s="1366">
        <v>2.7000000000000001E-3</v>
      </c>
      <c r="I358" s="1366">
        <f t="shared" si="15"/>
        <v>-5.1999999999999998E-3</v>
      </c>
      <c r="J358" s="1366">
        <f t="shared" si="16"/>
        <v>-5.1291666666666673E-3</v>
      </c>
      <c r="K358" s="1366">
        <f t="shared" si="17"/>
        <v>2.4999999999999996E-3</v>
      </c>
    </row>
    <row r="359" spans="1:11" x14ac:dyDescent="0.55000000000000004">
      <c r="A359" s="295">
        <v>20333</v>
      </c>
      <c r="B359" s="1368">
        <v>1.2999999999999999E-2</v>
      </c>
      <c r="C359" s="1366">
        <v>-2.8999999999999998E-2</v>
      </c>
      <c r="D359" s="1366">
        <v>2.3999999999999998E-3</v>
      </c>
      <c r="E359" s="1366">
        <v>2.6083333333333332E-3</v>
      </c>
      <c r="F359" s="5">
        <v>2.6833333333333336E-3</v>
      </c>
      <c r="G359" s="5">
        <v>2.6458333333333334E-3</v>
      </c>
      <c r="H359" s="1366">
        <v>2.725E-3</v>
      </c>
      <c r="I359" s="1366">
        <f t="shared" si="15"/>
        <v>1.06E-2</v>
      </c>
      <c r="J359" s="1366">
        <f t="shared" si="16"/>
        <v>1.0354166666666666E-2</v>
      </c>
      <c r="K359" s="1366">
        <f t="shared" si="17"/>
        <v>-3.1724999999999996E-2</v>
      </c>
    </row>
    <row r="360" spans="1:11" x14ac:dyDescent="0.55000000000000004">
      <c r="A360" s="295">
        <v>20363</v>
      </c>
      <c r="B360" s="1368">
        <v>-2.8400000000000002E-2</v>
      </c>
      <c r="C360" s="1366">
        <v>-8.5000000000000006E-3</v>
      </c>
      <c r="D360" s="1366">
        <v>2.5000000000000001E-3</v>
      </c>
      <c r="E360" s="1366">
        <v>2.5833333333333337E-3</v>
      </c>
      <c r="F360" s="5">
        <v>2.6583333333333333E-3</v>
      </c>
      <c r="G360" s="5">
        <v>2.6208333333333335E-3</v>
      </c>
      <c r="H360" s="1366">
        <v>2.7500000000000003E-3</v>
      </c>
      <c r="I360" s="1366">
        <f t="shared" si="15"/>
        <v>-3.09E-2</v>
      </c>
      <c r="J360" s="1366">
        <f t="shared" si="16"/>
        <v>-3.1020833333333334E-2</v>
      </c>
      <c r="K360" s="1366">
        <f t="shared" si="17"/>
        <v>-1.1250000000000001E-2</v>
      </c>
    </row>
    <row r="361" spans="1:11" x14ac:dyDescent="0.55000000000000004">
      <c r="A361" s="295">
        <v>20394</v>
      </c>
      <c r="B361" s="1368">
        <v>8.2699999999999996E-2</v>
      </c>
      <c r="C361" s="1366">
        <v>2.92E-2</v>
      </c>
      <c r="D361" s="1366">
        <v>2.3999999999999998E-3</v>
      </c>
      <c r="E361" s="1366">
        <v>2.5833333333333337E-3</v>
      </c>
      <c r="F361" s="5">
        <v>2.65E-3</v>
      </c>
      <c r="G361" s="5">
        <v>2.6166666666666673E-3</v>
      </c>
      <c r="H361" s="1366">
        <v>2.7666666666666668E-3</v>
      </c>
      <c r="I361" s="1366">
        <f t="shared" si="15"/>
        <v>8.0299999999999996E-2</v>
      </c>
      <c r="J361" s="1366">
        <f t="shared" si="16"/>
        <v>8.0083333333333326E-2</v>
      </c>
      <c r="K361" s="1366">
        <f t="shared" si="17"/>
        <v>2.6433333333333333E-2</v>
      </c>
    </row>
    <row r="362" spans="1:11" x14ac:dyDescent="0.55000000000000004">
      <c r="A362" s="295">
        <v>20424</v>
      </c>
      <c r="B362" s="1368">
        <v>1.5E-3</v>
      </c>
      <c r="C362" s="1366">
        <v>-6.7000000000000002E-3</v>
      </c>
      <c r="D362" s="1366">
        <v>2.3999999999999998E-3</v>
      </c>
      <c r="E362" s="1366">
        <v>2.6250000000000002E-3</v>
      </c>
      <c r="F362" s="5">
        <v>2.6833333333333336E-3</v>
      </c>
      <c r="G362" s="5">
        <v>2.6541666666666671E-3</v>
      </c>
      <c r="H362" s="1366">
        <v>2.7916666666666667E-3</v>
      </c>
      <c r="I362" s="1366">
        <f t="shared" si="15"/>
        <v>-8.9999999999999976E-4</v>
      </c>
      <c r="J362" s="1366">
        <f t="shared" si="16"/>
        <v>-1.1541666666666671E-3</v>
      </c>
      <c r="K362" s="1366">
        <f t="shared" si="17"/>
        <v>-9.4916666666666673E-3</v>
      </c>
    </row>
    <row r="363" spans="1:11" x14ac:dyDescent="0.55000000000000004">
      <c r="A363" s="295">
        <v>20455</v>
      </c>
      <c r="B363" s="1368">
        <v>-3.4700000000000002E-2</v>
      </c>
      <c r="C363" s="1366">
        <v>3.0000000000000001E-3</v>
      </c>
      <c r="D363" s="1366">
        <v>2.5000000000000001E-3</v>
      </c>
      <c r="E363" s="1366">
        <v>2.5916666666666666E-3</v>
      </c>
      <c r="F363" s="5">
        <v>2.6583333333333333E-3</v>
      </c>
      <c r="G363" s="5">
        <v>2.6249999999999997E-3</v>
      </c>
      <c r="H363" s="1366">
        <v>2.7583333333333331E-3</v>
      </c>
      <c r="I363" s="1366">
        <f t="shared" si="15"/>
        <v>-3.7200000000000004E-2</v>
      </c>
      <c r="J363" s="1366">
        <f t="shared" si="16"/>
        <v>-3.7325000000000004E-2</v>
      </c>
      <c r="K363" s="1366">
        <f t="shared" si="17"/>
        <v>2.4166666666666694E-4</v>
      </c>
    </row>
    <row r="364" spans="1:11" x14ac:dyDescent="0.55000000000000004">
      <c r="A364" s="295">
        <v>20486</v>
      </c>
      <c r="B364" s="1368">
        <v>4.1300000000000003E-2</v>
      </c>
      <c r="C364" s="1366">
        <v>1.78E-2</v>
      </c>
      <c r="D364" s="1366">
        <v>2.3E-3</v>
      </c>
      <c r="E364" s="1366">
        <v>2.5666666666666667E-3</v>
      </c>
      <c r="F364" s="5">
        <v>2.6333333333333334E-3</v>
      </c>
      <c r="G364" s="5">
        <v>2.5999999999999999E-3</v>
      </c>
      <c r="H364" s="1366">
        <v>2.7416666666666666E-3</v>
      </c>
      <c r="I364" s="1366">
        <f t="shared" si="15"/>
        <v>3.9000000000000007E-2</v>
      </c>
      <c r="J364" s="1366">
        <f t="shared" si="16"/>
        <v>3.8700000000000005E-2</v>
      </c>
      <c r="K364" s="1366">
        <f t="shared" si="17"/>
        <v>1.5058333333333333E-2</v>
      </c>
    </row>
    <row r="365" spans="1:11" x14ac:dyDescent="0.55000000000000004">
      <c r="A365" s="295">
        <v>20515</v>
      </c>
      <c r="B365" s="1368">
        <v>7.0999999999999994E-2</v>
      </c>
      <c r="C365" s="1366">
        <v>3.9399999999999998E-2</v>
      </c>
      <c r="D365" s="1366">
        <v>2.3E-3</v>
      </c>
      <c r="E365" s="1366">
        <v>2.5833333333333337E-3</v>
      </c>
      <c r="F365" s="5">
        <v>2.65E-3</v>
      </c>
      <c r="G365" s="5">
        <v>2.6166666666666673E-3</v>
      </c>
      <c r="H365" s="1366">
        <v>2.7416666666666666E-3</v>
      </c>
      <c r="I365" s="1366">
        <f t="shared" si="15"/>
        <v>6.8699999999999997E-2</v>
      </c>
      <c r="J365" s="1366">
        <f t="shared" si="16"/>
        <v>6.8383333333333324E-2</v>
      </c>
      <c r="K365" s="1366">
        <f t="shared" si="17"/>
        <v>3.6658333333333334E-2</v>
      </c>
    </row>
    <row r="366" spans="1:11" x14ac:dyDescent="0.55000000000000004">
      <c r="A366" s="295">
        <v>20546</v>
      </c>
      <c r="B366" s="1368">
        <v>-4.0000000000000002E-4</v>
      </c>
      <c r="C366" s="1366">
        <v>-2.87E-2</v>
      </c>
      <c r="D366" s="1366">
        <v>2.5999999999999999E-3</v>
      </c>
      <c r="E366" s="1366">
        <v>2.7000000000000001E-3</v>
      </c>
      <c r="F366" s="5">
        <v>2.7499999999999998E-3</v>
      </c>
      <c r="G366" s="5">
        <v>2.7249999999999996E-3</v>
      </c>
      <c r="H366" s="1366">
        <v>2.8333333333333331E-3</v>
      </c>
      <c r="I366" s="1366">
        <f t="shared" si="15"/>
        <v>-3.0000000000000001E-3</v>
      </c>
      <c r="J366" s="1366">
        <f t="shared" si="16"/>
        <v>-3.1249999999999997E-3</v>
      </c>
      <c r="K366" s="1366">
        <f t="shared" si="17"/>
        <v>-3.153333333333333E-2</v>
      </c>
    </row>
    <row r="367" spans="1:11" x14ac:dyDescent="0.55000000000000004">
      <c r="A367" s="295">
        <v>20576</v>
      </c>
      <c r="B367" s="1368">
        <v>-5.9299999999999999E-2</v>
      </c>
      <c r="C367" s="1366">
        <v>-1.38E-2</v>
      </c>
      <c r="D367" s="1366">
        <v>2.5999999999999999E-3</v>
      </c>
      <c r="E367" s="1366">
        <v>2.7333333333333333E-3</v>
      </c>
      <c r="F367" s="5">
        <v>2.7833333333333334E-3</v>
      </c>
      <c r="G367" s="5">
        <v>2.7583333333333331E-3</v>
      </c>
      <c r="H367" s="1366">
        <v>2.8999999999999998E-3</v>
      </c>
      <c r="I367" s="1366">
        <f t="shared" si="15"/>
        <v>-6.1899999999999997E-2</v>
      </c>
      <c r="J367" s="1366">
        <f t="shared" si="16"/>
        <v>-6.2058333333333333E-2</v>
      </c>
      <c r="K367" s="1366">
        <f t="shared" si="17"/>
        <v>-1.67E-2</v>
      </c>
    </row>
    <row r="368" spans="1:11" x14ac:dyDescent="0.55000000000000004">
      <c r="A368" s="295">
        <v>20607</v>
      </c>
      <c r="B368" s="1368">
        <v>4.0899999999999999E-2</v>
      </c>
      <c r="C368" s="1366">
        <v>2.1099999999999997E-2</v>
      </c>
      <c r="D368" s="1366">
        <v>2.3E-3</v>
      </c>
      <c r="E368" s="1366">
        <v>2.7166666666666667E-3</v>
      </c>
      <c r="F368" s="5">
        <v>2.7916666666666667E-3</v>
      </c>
      <c r="G368" s="5">
        <v>2.7541666666666665E-3</v>
      </c>
      <c r="H368" s="1366">
        <v>2.9083333333333335E-3</v>
      </c>
      <c r="I368" s="1366">
        <f t="shared" si="15"/>
        <v>3.8599999999999995E-2</v>
      </c>
      <c r="J368" s="1366">
        <f t="shared" si="16"/>
        <v>3.814583333333333E-2</v>
      </c>
      <c r="K368" s="1366">
        <f t="shared" si="17"/>
        <v>1.8191666666666665E-2</v>
      </c>
    </row>
    <row r="369" spans="1:11" x14ac:dyDescent="0.55000000000000004">
      <c r="A369" s="295">
        <v>20637</v>
      </c>
      <c r="B369" s="1368">
        <v>5.2999999999999999E-2</v>
      </c>
      <c r="C369" s="1366">
        <v>5.2500000000000012E-2</v>
      </c>
      <c r="D369" s="1366">
        <v>2.5999999999999999E-3</v>
      </c>
      <c r="E369" s="1366">
        <v>2.7333333333333333E-3</v>
      </c>
      <c r="F369" s="5">
        <v>2.8250000000000003E-3</v>
      </c>
      <c r="G369" s="5">
        <v>2.7791666666666672E-3</v>
      </c>
      <c r="H369" s="1366">
        <v>2.9583333333333332E-3</v>
      </c>
      <c r="I369" s="1366">
        <f t="shared" si="15"/>
        <v>5.04E-2</v>
      </c>
      <c r="J369" s="1366">
        <f t="shared" si="16"/>
        <v>5.0220833333333333E-2</v>
      </c>
      <c r="K369" s="1366">
        <f t="shared" si="17"/>
        <v>4.9541666666666678E-2</v>
      </c>
    </row>
    <row r="370" spans="1:11" x14ac:dyDescent="0.55000000000000004">
      <c r="A370" s="295">
        <v>20668</v>
      </c>
      <c r="B370" s="1368">
        <v>-3.2800000000000003E-2</v>
      </c>
      <c r="C370" s="1366">
        <v>-2.5899999999999999E-2</v>
      </c>
      <c r="D370" s="1366">
        <v>2.5999999999999999E-3</v>
      </c>
      <c r="E370" s="1366">
        <v>2.8583333333333334E-3</v>
      </c>
      <c r="F370" s="5">
        <v>2.9166666666666668E-3</v>
      </c>
      <c r="G370" s="5">
        <v>2.8874999999999999E-3</v>
      </c>
      <c r="H370" s="1366">
        <v>3.0249999999999999E-3</v>
      </c>
      <c r="I370" s="1366">
        <f t="shared" si="15"/>
        <v>-3.5400000000000001E-2</v>
      </c>
      <c r="J370" s="1366">
        <f t="shared" si="16"/>
        <v>-3.5687500000000004E-2</v>
      </c>
      <c r="K370" s="1366">
        <f t="shared" si="17"/>
        <v>-2.8924999999999999E-2</v>
      </c>
    </row>
    <row r="371" spans="1:11" x14ac:dyDescent="0.55000000000000004">
      <c r="A371" s="295">
        <v>20699</v>
      </c>
      <c r="B371" s="1368">
        <v>-4.3999999999999997E-2</v>
      </c>
      <c r="C371" s="1366">
        <v>-3.1899999999999998E-2</v>
      </c>
      <c r="D371" s="1366">
        <v>2.5000000000000001E-3</v>
      </c>
      <c r="E371" s="1366">
        <v>2.9666666666666669E-3</v>
      </c>
      <c r="F371" s="5">
        <v>3.0249999999999999E-3</v>
      </c>
      <c r="G371" s="5">
        <v>2.995833333333333E-3</v>
      </c>
      <c r="H371" s="1366">
        <v>3.0999999999999999E-3</v>
      </c>
      <c r="I371" s="1366">
        <f t="shared" si="15"/>
        <v>-4.65E-2</v>
      </c>
      <c r="J371" s="1366">
        <f t="shared" si="16"/>
        <v>-4.6995833333333334E-2</v>
      </c>
      <c r="K371" s="1366">
        <f t="shared" si="17"/>
        <v>-3.4999999999999996E-2</v>
      </c>
    </row>
    <row r="372" spans="1:11" x14ac:dyDescent="0.55000000000000004">
      <c r="A372" s="295">
        <v>20729</v>
      </c>
      <c r="B372" s="1368">
        <v>6.6E-3</v>
      </c>
      <c r="C372" s="1366">
        <v>6.3E-3</v>
      </c>
      <c r="D372" s="1366">
        <v>2.8999999999999998E-3</v>
      </c>
      <c r="E372" s="1366">
        <v>2.9916666666666663E-3</v>
      </c>
      <c r="F372" s="5">
        <v>3.075E-3</v>
      </c>
      <c r="G372" s="5">
        <v>3.0333333333333336E-3</v>
      </c>
      <c r="H372" s="1366">
        <v>3.1583333333333337E-3</v>
      </c>
      <c r="I372" s="1366">
        <f t="shared" si="15"/>
        <v>3.7000000000000002E-3</v>
      </c>
      <c r="J372" s="1366">
        <f t="shared" si="16"/>
        <v>3.5666666666666663E-3</v>
      </c>
      <c r="K372" s="1366">
        <f t="shared" si="17"/>
        <v>3.1416666666666663E-3</v>
      </c>
    </row>
    <row r="373" spans="1:11" x14ac:dyDescent="0.55000000000000004">
      <c r="A373" s="295">
        <v>20760</v>
      </c>
      <c r="B373" s="1368">
        <v>-5.0000000000000001E-3</v>
      </c>
      <c r="C373" s="1366">
        <v>2.8000000000000004E-3</v>
      </c>
      <c r="D373" s="1366">
        <v>2.7000000000000001E-3</v>
      </c>
      <c r="E373" s="1366">
        <v>3.075E-3</v>
      </c>
      <c r="F373" s="5">
        <v>3.133333333333333E-3</v>
      </c>
      <c r="G373" s="5">
        <v>3.1041666666666665E-3</v>
      </c>
      <c r="H373" s="1366">
        <v>3.1833333333333336E-3</v>
      </c>
      <c r="I373" s="1366">
        <f t="shared" si="15"/>
        <v>-7.7000000000000002E-3</v>
      </c>
      <c r="J373" s="1366">
        <f t="shared" si="16"/>
        <v>-8.1041666666666658E-3</v>
      </c>
      <c r="K373" s="1366">
        <f t="shared" si="17"/>
        <v>-3.8333333333333318E-4</v>
      </c>
    </row>
    <row r="374" spans="1:11" x14ac:dyDescent="0.55000000000000004">
      <c r="A374" s="295">
        <v>20790</v>
      </c>
      <c r="B374" s="1368">
        <v>3.6999999999999998E-2</v>
      </c>
      <c r="C374" s="1366">
        <v>1.04E-2</v>
      </c>
      <c r="D374" s="1366">
        <v>2.7999999999999995E-3</v>
      </c>
      <c r="E374" s="1366">
        <v>3.1250000000000002E-3</v>
      </c>
      <c r="F374" s="5">
        <v>3.2083333333333334E-3</v>
      </c>
      <c r="G374" s="5">
        <v>3.1666666666666666E-3</v>
      </c>
      <c r="H374" s="1366">
        <v>3.2583333333333336E-3</v>
      </c>
      <c r="I374" s="1366">
        <f t="shared" si="15"/>
        <v>3.4200000000000001E-2</v>
      </c>
      <c r="J374" s="1366">
        <f t="shared" si="16"/>
        <v>3.3833333333333333E-2</v>
      </c>
      <c r="K374" s="1366">
        <f t="shared" si="17"/>
        <v>7.141666666666666E-3</v>
      </c>
    </row>
    <row r="375" spans="1:11" x14ac:dyDescent="0.55000000000000004">
      <c r="A375" s="295">
        <v>20821</v>
      </c>
      <c r="B375" s="1368">
        <v>-4.0099999999999997E-2</v>
      </c>
      <c r="C375" s="1366">
        <v>3.2399999999999998E-2</v>
      </c>
      <c r="D375" s="1366">
        <v>2.8999999999999998E-3</v>
      </c>
      <c r="E375" s="1366">
        <v>3.1416666666666663E-3</v>
      </c>
      <c r="F375" s="5">
        <v>3.2416666666666666E-3</v>
      </c>
      <c r="G375" s="5">
        <v>3.1916666666666664E-3</v>
      </c>
      <c r="H375" s="1366">
        <v>3.3E-3</v>
      </c>
      <c r="I375" s="1366">
        <f t="shared" si="15"/>
        <v>-4.2999999999999997E-2</v>
      </c>
      <c r="J375" s="1366">
        <f t="shared" si="16"/>
        <v>-4.3291666666666666E-2</v>
      </c>
      <c r="K375" s="1366">
        <f t="shared" si="17"/>
        <v>2.9099999999999997E-2</v>
      </c>
    </row>
    <row r="376" spans="1:11" x14ac:dyDescent="0.55000000000000004">
      <c r="A376" s="295">
        <v>20852</v>
      </c>
      <c r="B376" s="1368">
        <v>-2.64E-2</v>
      </c>
      <c r="C376" s="1366">
        <v>-6.0999999999999995E-3</v>
      </c>
      <c r="D376" s="1366">
        <v>2.5000000000000001E-3</v>
      </c>
      <c r="E376" s="1366">
        <v>3.0583333333333335E-3</v>
      </c>
      <c r="F376" s="5">
        <v>3.1916666666666664E-3</v>
      </c>
      <c r="G376" s="5">
        <v>3.1250000000000002E-3</v>
      </c>
      <c r="H376" s="1366">
        <v>3.3749999999999995E-3</v>
      </c>
      <c r="I376" s="1366">
        <f t="shared" si="15"/>
        <v>-2.8899999999999999E-2</v>
      </c>
      <c r="J376" s="1366">
        <f t="shared" si="16"/>
        <v>-2.9524999999999999E-2</v>
      </c>
      <c r="K376" s="1366">
        <f t="shared" si="17"/>
        <v>-9.474999999999999E-3</v>
      </c>
    </row>
    <row r="377" spans="1:11" x14ac:dyDescent="0.55000000000000004">
      <c r="A377" s="295">
        <v>20880</v>
      </c>
      <c r="B377" s="1368">
        <v>2.1499999999999998E-2</v>
      </c>
      <c r="C377" s="1366">
        <v>7.8000000000000005E-3</v>
      </c>
      <c r="D377" s="1366">
        <v>2.5999999999999999E-3</v>
      </c>
      <c r="E377" s="1366">
        <v>3.0499999999999998E-3</v>
      </c>
      <c r="F377" s="5">
        <v>3.1666666666666666E-3</v>
      </c>
      <c r="G377" s="5">
        <v>3.1083333333333327E-3</v>
      </c>
      <c r="H377" s="1366">
        <v>3.3749999999999995E-3</v>
      </c>
      <c r="I377" s="1366">
        <f t="shared" si="15"/>
        <v>1.89E-2</v>
      </c>
      <c r="J377" s="1366">
        <f t="shared" si="16"/>
        <v>1.8391666666666667E-2</v>
      </c>
      <c r="K377" s="1366">
        <f t="shared" si="17"/>
        <v>4.425000000000001E-3</v>
      </c>
    </row>
    <row r="378" spans="1:11" x14ac:dyDescent="0.55000000000000004">
      <c r="A378" s="295">
        <v>20911</v>
      </c>
      <c r="B378" s="1368">
        <v>3.8800000000000001E-2</v>
      </c>
      <c r="C378" s="1366">
        <v>4.0199999999999993E-2</v>
      </c>
      <c r="D378" s="1366">
        <v>2.8999999999999998E-3</v>
      </c>
      <c r="E378" s="1366">
        <v>3.0583333333333335E-3</v>
      </c>
      <c r="F378" s="5">
        <v>3.1583333333333337E-3</v>
      </c>
      <c r="G378" s="5">
        <v>3.1083333333333336E-3</v>
      </c>
      <c r="H378" s="1366">
        <v>3.3416666666666668E-3</v>
      </c>
      <c r="I378" s="1366">
        <f t="shared" si="15"/>
        <v>3.5900000000000001E-2</v>
      </c>
      <c r="J378" s="1366">
        <f t="shared" si="16"/>
        <v>3.569166666666667E-2</v>
      </c>
      <c r="K378" s="1366">
        <f t="shared" si="17"/>
        <v>3.6858333333333326E-2</v>
      </c>
    </row>
    <row r="379" spans="1:11" x14ac:dyDescent="0.55000000000000004">
      <c r="A379" s="295">
        <v>20941</v>
      </c>
      <c r="B379" s="1368">
        <v>4.3700000000000003E-2</v>
      </c>
      <c r="C379" s="1366">
        <v>1.8000000000000002E-2</v>
      </c>
      <c r="D379" s="1366">
        <v>2.8999999999999998E-3</v>
      </c>
      <c r="E379" s="1366">
        <v>3.1166666666666669E-3</v>
      </c>
      <c r="F379" s="5">
        <v>3.1916666666666664E-3</v>
      </c>
      <c r="G379" s="5">
        <v>3.1541666666666667E-3</v>
      </c>
      <c r="H379" s="1366">
        <v>3.3416666666666668E-3</v>
      </c>
      <c r="I379" s="1366">
        <f t="shared" si="15"/>
        <v>4.0800000000000003E-2</v>
      </c>
      <c r="J379" s="1366">
        <f t="shared" si="16"/>
        <v>4.0545833333333337E-2</v>
      </c>
      <c r="K379" s="1366">
        <f t="shared" si="17"/>
        <v>1.4658333333333336E-2</v>
      </c>
    </row>
    <row r="380" spans="1:11" x14ac:dyDescent="0.55000000000000004">
      <c r="A380" s="295">
        <v>20972</v>
      </c>
      <c r="B380" s="1368">
        <v>4.0000000000000002E-4</v>
      </c>
      <c r="C380" s="1366">
        <v>-4.1800000000000004E-2</v>
      </c>
      <c r="D380" s="1366">
        <v>2.5000000000000001E-3</v>
      </c>
      <c r="E380" s="1366">
        <v>3.2583333333333336E-3</v>
      </c>
      <c r="F380" s="5">
        <v>3.3166666666666665E-3</v>
      </c>
      <c r="G380" s="5">
        <v>3.2875000000000001E-3</v>
      </c>
      <c r="H380" s="1366">
        <v>3.4083333333333331E-3</v>
      </c>
      <c r="I380" s="1366">
        <f t="shared" si="15"/>
        <v>-2.0999999999999999E-3</v>
      </c>
      <c r="J380" s="1366">
        <f t="shared" si="16"/>
        <v>-2.8874999999999999E-3</v>
      </c>
      <c r="K380" s="1366">
        <f t="shared" si="17"/>
        <v>-4.5208333333333336E-2</v>
      </c>
    </row>
    <row r="381" spans="1:11" x14ac:dyDescent="0.55000000000000004">
      <c r="A381" s="295">
        <v>21002</v>
      </c>
      <c r="B381" s="1368">
        <v>1.3100000000000001E-2</v>
      </c>
      <c r="C381" s="1366">
        <v>3.5000000000000005E-3</v>
      </c>
      <c r="D381" s="1366">
        <v>3.3E-3</v>
      </c>
      <c r="E381" s="1366">
        <v>3.3250000000000003E-3</v>
      </c>
      <c r="F381" s="5">
        <v>3.4166666666666664E-3</v>
      </c>
      <c r="G381" s="5">
        <v>3.3708333333333329E-3</v>
      </c>
      <c r="H381" s="1366">
        <v>3.5000000000000005E-3</v>
      </c>
      <c r="I381" s="1366">
        <f t="shared" si="15"/>
        <v>9.7999999999999997E-3</v>
      </c>
      <c r="J381" s="1366">
        <f t="shared" si="16"/>
        <v>9.7291666666666672E-3</v>
      </c>
      <c r="K381" s="1366">
        <f t="shared" si="17"/>
        <v>0</v>
      </c>
    </row>
    <row r="382" spans="1:11" x14ac:dyDescent="0.55000000000000004">
      <c r="A382" s="295">
        <v>21033</v>
      </c>
      <c r="B382" s="1368">
        <v>-5.0500000000000003E-2</v>
      </c>
      <c r="C382" s="1366">
        <v>-2.9400000000000003E-2</v>
      </c>
      <c r="D382" s="1366">
        <v>3.0000000000000001E-3</v>
      </c>
      <c r="E382" s="1366">
        <v>3.4166666666666664E-3</v>
      </c>
      <c r="F382" s="5">
        <v>3.5083333333333334E-3</v>
      </c>
      <c r="G382" s="5">
        <v>3.4624999999999994E-3</v>
      </c>
      <c r="H382" s="1366">
        <v>3.6416666666666667E-3</v>
      </c>
      <c r="I382" s="1366">
        <f t="shared" si="15"/>
        <v>-5.3500000000000006E-2</v>
      </c>
      <c r="J382" s="1366">
        <f t="shared" si="16"/>
        <v>-5.3962500000000004E-2</v>
      </c>
      <c r="K382" s="1366">
        <f t="shared" si="17"/>
        <v>-3.3041666666666671E-2</v>
      </c>
    </row>
    <row r="383" spans="1:11" x14ac:dyDescent="0.55000000000000004">
      <c r="A383" s="295">
        <v>21064</v>
      </c>
      <c r="B383" s="1368">
        <v>-6.0199999999999997E-2</v>
      </c>
      <c r="C383" s="1366">
        <v>-1.3800000000000002E-2</v>
      </c>
      <c r="D383" s="1366">
        <v>3.0999999999999999E-3</v>
      </c>
      <c r="E383" s="1366">
        <v>3.4333333333333334E-3</v>
      </c>
      <c r="F383" s="5">
        <v>3.5499999999999998E-3</v>
      </c>
      <c r="G383" s="5">
        <v>3.4916666666666664E-3</v>
      </c>
      <c r="H383" s="1366">
        <v>3.7916666666666667E-3</v>
      </c>
      <c r="I383" s="1366">
        <f t="shared" si="15"/>
        <v>-6.3299999999999995E-2</v>
      </c>
      <c r="J383" s="1366">
        <f t="shared" si="16"/>
        <v>-6.369166666666666E-2</v>
      </c>
      <c r="K383" s="1366">
        <f t="shared" si="17"/>
        <v>-1.7591666666666669E-2</v>
      </c>
    </row>
    <row r="384" spans="1:11" x14ac:dyDescent="0.55000000000000004">
      <c r="A384" s="295">
        <v>21094</v>
      </c>
      <c r="B384" s="1368">
        <v>-3.0200000000000001E-2</v>
      </c>
      <c r="C384" s="1366">
        <v>-7.4000000000000003E-3</v>
      </c>
      <c r="D384" s="1366">
        <v>3.0999999999999999E-3</v>
      </c>
      <c r="E384" s="1366">
        <v>3.4166666666666664E-3</v>
      </c>
      <c r="F384" s="5">
        <v>3.5666666666666668E-3</v>
      </c>
      <c r="G384" s="5">
        <v>3.4916666666666664E-3</v>
      </c>
      <c r="H384" s="1366">
        <v>3.8416666666666673E-3</v>
      </c>
      <c r="I384" s="1366">
        <f t="shared" si="15"/>
        <v>-3.3300000000000003E-2</v>
      </c>
      <c r="J384" s="1366">
        <f t="shared" si="16"/>
        <v>-3.3691666666666668E-2</v>
      </c>
      <c r="K384" s="1366">
        <f t="shared" si="17"/>
        <v>-1.1241666666666667E-2</v>
      </c>
    </row>
    <row r="385" spans="1:11" x14ac:dyDescent="0.55000000000000004">
      <c r="A385" s="295">
        <v>21125</v>
      </c>
      <c r="B385" s="1368">
        <v>2.3099999999999999E-2</v>
      </c>
      <c r="C385" s="1366">
        <v>4.2799999999999991E-2</v>
      </c>
      <c r="D385" s="1366">
        <v>2.8999999999999998E-3</v>
      </c>
      <c r="E385" s="1366">
        <v>3.4000000000000002E-3</v>
      </c>
      <c r="F385" s="5">
        <v>3.5750000000000001E-3</v>
      </c>
      <c r="G385" s="5">
        <v>3.4875000000000001E-3</v>
      </c>
      <c r="H385" s="1366">
        <v>3.8500000000000001E-3</v>
      </c>
      <c r="I385" s="1366">
        <f t="shared" si="15"/>
        <v>2.0199999999999999E-2</v>
      </c>
      <c r="J385" s="1366">
        <f t="shared" si="16"/>
        <v>1.9612499999999998E-2</v>
      </c>
      <c r="K385" s="1366">
        <f t="shared" si="17"/>
        <v>3.8949999999999992E-2</v>
      </c>
    </row>
    <row r="386" spans="1:11" x14ac:dyDescent="0.55000000000000004">
      <c r="A386" s="295">
        <v>21155</v>
      </c>
      <c r="B386" s="1368">
        <v>-3.95E-2</v>
      </c>
      <c r="C386" s="1366">
        <v>1.95E-2</v>
      </c>
      <c r="D386" s="1366">
        <v>2.8999999999999998E-3</v>
      </c>
      <c r="E386" s="1366">
        <v>3.1749999999999999E-3</v>
      </c>
      <c r="F386" s="5">
        <v>3.4000000000000002E-3</v>
      </c>
      <c r="G386" s="5">
        <v>3.2875000000000001E-3</v>
      </c>
      <c r="H386" s="1366">
        <v>3.6333333333333335E-3</v>
      </c>
      <c r="I386" s="1366">
        <f t="shared" si="15"/>
        <v>-4.24E-2</v>
      </c>
      <c r="J386" s="1366">
        <f t="shared" si="16"/>
        <v>-4.2787499999999999E-2</v>
      </c>
      <c r="K386" s="1366">
        <f t="shared" si="17"/>
        <v>1.5866666666666668E-2</v>
      </c>
    </row>
    <row r="387" spans="1:11" x14ac:dyDescent="0.55000000000000004">
      <c r="A387" s="295">
        <v>21186</v>
      </c>
      <c r="B387" s="1368">
        <v>4.4499999999999998E-2</v>
      </c>
      <c r="C387" s="1366">
        <v>6.0200000000000004E-2</v>
      </c>
      <c r="D387" s="1366">
        <v>2.7000000000000001E-3</v>
      </c>
      <c r="E387" s="1366">
        <v>3.0000000000000001E-3</v>
      </c>
      <c r="F387" s="5">
        <v>3.1749999999999999E-3</v>
      </c>
      <c r="G387" s="5">
        <v>3.0874999999999995E-3</v>
      </c>
      <c r="H387" s="1366">
        <v>3.2750000000000001E-3</v>
      </c>
      <c r="I387" s="1366">
        <f t="shared" si="15"/>
        <v>4.1799999999999997E-2</v>
      </c>
      <c r="J387" s="1366">
        <f t="shared" si="16"/>
        <v>4.1412499999999998E-2</v>
      </c>
      <c r="K387" s="1366">
        <f t="shared" si="17"/>
        <v>5.6925000000000003E-2</v>
      </c>
    </row>
    <row r="388" spans="1:11" x14ac:dyDescent="0.55000000000000004">
      <c r="A388" s="295">
        <v>21217</v>
      </c>
      <c r="B388" s="1368">
        <v>-1.41E-2</v>
      </c>
      <c r="C388" s="1366">
        <v>1.37E-2</v>
      </c>
      <c r="D388" s="1366">
        <v>2.5000000000000001E-3</v>
      </c>
      <c r="E388" s="1366">
        <v>2.9916666666666663E-3</v>
      </c>
      <c r="F388" s="5">
        <v>3.1416666666666663E-3</v>
      </c>
      <c r="G388" s="5">
        <v>3.0666666666666663E-3</v>
      </c>
      <c r="H388" s="1366">
        <v>3.3E-3</v>
      </c>
      <c r="I388" s="1366">
        <f t="shared" ref="I388:I451" si="18">B388-D388</f>
        <v>-1.66E-2</v>
      </c>
      <c r="J388" s="1366">
        <f t="shared" si="16"/>
        <v>-1.7166666666666667E-2</v>
      </c>
      <c r="K388" s="1366">
        <f t="shared" si="17"/>
        <v>1.04E-2</v>
      </c>
    </row>
    <row r="389" spans="1:11" x14ac:dyDescent="0.55000000000000004">
      <c r="A389" s="295">
        <v>21245</v>
      </c>
      <c r="B389" s="1368">
        <v>3.2800000000000003E-2</v>
      </c>
      <c r="C389" s="1366">
        <v>0.02</v>
      </c>
      <c r="D389" s="1366">
        <v>2.7000000000000001E-3</v>
      </c>
      <c r="E389" s="1366">
        <v>3.0249999999999999E-3</v>
      </c>
      <c r="F389" s="5">
        <v>3.15E-3</v>
      </c>
      <c r="G389" s="5">
        <v>3.0874999999999995E-3</v>
      </c>
      <c r="H389" s="1366">
        <v>3.4416666666666667E-3</v>
      </c>
      <c r="I389" s="1366">
        <f t="shared" si="18"/>
        <v>3.0100000000000002E-2</v>
      </c>
      <c r="J389" s="1366">
        <f t="shared" si="16"/>
        <v>2.9712500000000003E-2</v>
      </c>
      <c r="K389" s="1366">
        <f t="shared" si="17"/>
        <v>1.6558333333333335E-2</v>
      </c>
    </row>
    <row r="390" spans="1:11" x14ac:dyDescent="0.55000000000000004">
      <c r="A390" s="295">
        <v>21276</v>
      </c>
      <c r="B390" s="1368">
        <v>3.3700000000000001E-2</v>
      </c>
      <c r="C390" s="1366">
        <v>5.16E-2</v>
      </c>
      <c r="D390" s="1366">
        <v>2.5999999999999999E-3</v>
      </c>
      <c r="E390" s="1366">
        <v>3.0000000000000001E-3</v>
      </c>
      <c r="F390" s="5">
        <v>3.15E-3</v>
      </c>
      <c r="G390" s="5">
        <v>3.075E-3</v>
      </c>
      <c r="H390" s="1366">
        <v>3.2916666666666667E-3</v>
      </c>
      <c r="I390" s="1366">
        <f t="shared" si="18"/>
        <v>3.1100000000000003E-2</v>
      </c>
      <c r="J390" s="1366">
        <f t="shared" si="16"/>
        <v>3.0624999999999999E-2</v>
      </c>
      <c r="K390" s="1366">
        <f t="shared" si="17"/>
        <v>4.8308333333333335E-2</v>
      </c>
    </row>
    <row r="391" spans="1:11" x14ac:dyDescent="0.55000000000000004">
      <c r="A391" s="295">
        <v>21306</v>
      </c>
      <c r="B391" s="1368">
        <v>2.12E-2</v>
      </c>
      <c r="C391" s="1366">
        <v>1.6400000000000001E-2</v>
      </c>
      <c r="D391" s="1366">
        <v>2.3999999999999998E-3</v>
      </c>
      <c r="E391" s="1366">
        <v>2.9749999999999998E-3</v>
      </c>
      <c r="F391" s="5">
        <v>3.15E-3</v>
      </c>
      <c r="G391" s="5">
        <v>3.0625000000000001E-3</v>
      </c>
      <c r="H391" s="1366">
        <v>3.3416666666666668E-3</v>
      </c>
      <c r="I391" s="1366">
        <f t="shared" si="18"/>
        <v>1.8800000000000001E-2</v>
      </c>
      <c r="J391" s="1366">
        <f t="shared" si="16"/>
        <v>1.8137500000000001E-2</v>
      </c>
      <c r="K391" s="1366">
        <f t="shared" si="17"/>
        <v>1.3058333333333335E-2</v>
      </c>
    </row>
    <row r="392" spans="1:11" x14ac:dyDescent="0.55000000000000004">
      <c r="A392" s="295">
        <v>21337</v>
      </c>
      <c r="B392" s="1368">
        <v>2.7900000000000001E-2</v>
      </c>
      <c r="C392" s="1366">
        <v>1.72E-2</v>
      </c>
      <c r="D392" s="1366">
        <v>2.7000000000000001E-3</v>
      </c>
      <c r="E392" s="1366">
        <v>2.9749999999999998E-3</v>
      </c>
      <c r="F392" s="5">
        <v>3.15E-3</v>
      </c>
      <c r="G392" s="5">
        <v>3.0625000000000001E-3</v>
      </c>
      <c r="H392" s="1366">
        <v>3.3250000000000003E-3</v>
      </c>
      <c r="I392" s="1366">
        <f t="shared" si="18"/>
        <v>2.52E-2</v>
      </c>
      <c r="J392" s="1366">
        <f t="shared" si="16"/>
        <v>2.4837500000000002E-2</v>
      </c>
      <c r="K392" s="1366">
        <f t="shared" si="17"/>
        <v>1.3875E-2</v>
      </c>
    </row>
    <row r="393" spans="1:11" x14ac:dyDescent="0.55000000000000004">
      <c r="A393" s="295">
        <v>21367</v>
      </c>
      <c r="B393" s="1368">
        <v>4.4900000000000002E-2</v>
      </c>
      <c r="C393" s="1366">
        <v>1.09E-2</v>
      </c>
      <c r="D393" s="1366">
        <v>2.7000000000000001E-3</v>
      </c>
      <c r="E393" s="1366">
        <v>3.0583333333333335E-3</v>
      </c>
      <c r="F393" s="5">
        <v>3.1916666666666664E-3</v>
      </c>
      <c r="G393" s="5">
        <v>3.1250000000000002E-3</v>
      </c>
      <c r="H393" s="1366">
        <v>3.3666666666666667E-3</v>
      </c>
      <c r="I393" s="1366">
        <f t="shared" si="18"/>
        <v>4.2200000000000001E-2</v>
      </c>
      <c r="J393" s="1366">
        <f t="shared" si="16"/>
        <v>4.1775E-2</v>
      </c>
      <c r="K393" s="1366">
        <f t="shared" si="17"/>
        <v>7.5333333333333329E-3</v>
      </c>
    </row>
    <row r="394" spans="1:11" x14ac:dyDescent="0.55000000000000004">
      <c r="A394" s="295">
        <v>21398</v>
      </c>
      <c r="B394" s="1368">
        <v>1.7600000000000001E-2</v>
      </c>
      <c r="C394" s="1366">
        <v>-6.7000000000000002E-3</v>
      </c>
      <c r="D394" s="1366">
        <v>2.7000000000000001E-3</v>
      </c>
      <c r="E394" s="1366">
        <v>3.2083333333333334E-3</v>
      </c>
      <c r="F394" s="5">
        <v>3.3166666666666665E-3</v>
      </c>
      <c r="G394" s="5">
        <v>3.2625000000000002E-3</v>
      </c>
      <c r="H394" s="1366">
        <v>3.5750000000000001E-3</v>
      </c>
      <c r="I394" s="1366">
        <f t="shared" si="18"/>
        <v>1.49E-2</v>
      </c>
      <c r="J394" s="1366">
        <f t="shared" si="16"/>
        <v>1.4337500000000001E-2</v>
      </c>
      <c r="K394" s="1366">
        <f t="shared" si="17"/>
        <v>-1.0274999999999999E-2</v>
      </c>
    </row>
    <row r="395" spans="1:11" x14ac:dyDescent="0.55000000000000004">
      <c r="A395" s="295">
        <v>21429</v>
      </c>
      <c r="B395" s="1368">
        <v>5.0099999999999999E-2</v>
      </c>
      <c r="C395" s="1366">
        <v>3.32E-2</v>
      </c>
      <c r="D395" s="1366">
        <v>3.2000000000000002E-3</v>
      </c>
      <c r="E395" s="1366">
        <v>3.4083333333333331E-3</v>
      </c>
      <c r="F395" s="5">
        <v>3.5000000000000005E-3</v>
      </c>
      <c r="G395" s="5">
        <v>3.454166666666667E-3</v>
      </c>
      <c r="H395" s="1366">
        <v>3.7916666666666667E-3</v>
      </c>
      <c r="I395" s="1366">
        <f t="shared" si="18"/>
        <v>4.6899999999999997E-2</v>
      </c>
      <c r="J395" s="1366">
        <f t="shared" si="16"/>
        <v>4.6645833333333331E-2</v>
      </c>
      <c r="K395" s="1366">
        <f t="shared" si="17"/>
        <v>2.9408333333333335E-2</v>
      </c>
    </row>
    <row r="396" spans="1:11" x14ac:dyDescent="0.55000000000000004">
      <c r="A396" s="295">
        <v>21459</v>
      </c>
      <c r="B396" s="1368">
        <v>2.7E-2</v>
      </c>
      <c r="C396" s="1366">
        <v>4.0599999999999997E-2</v>
      </c>
      <c r="D396" s="1366">
        <v>3.2000000000000002E-3</v>
      </c>
      <c r="E396" s="1366">
        <v>3.4250000000000001E-3</v>
      </c>
      <c r="F396" s="5">
        <v>3.5083333333333334E-3</v>
      </c>
      <c r="G396" s="5">
        <v>3.4666666666666669E-3</v>
      </c>
      <c r="H396" s="1366">
        <v>3.7999999999999996E-3</v>
      </c>
      <c r="I396" s="1366">
        <f t="shared" si="18"/>
        <v>2.3799999999999998E-2</v>
      </c>
      <c r="J396" s="1366">
        <f t="shared" si="16"/>
        <v>2.3533333333333333E-2</v>
      </c>
      <c r="K396" s="1366">
        <f t="shared" si="17"/>
        <v>3.6799999999999999E-2</v>
      </c>
    </row>
    <row r="397" spans="1:11" x14ac:dyDescent="0.55000000000000004">
      <c r="A397" s="295">
        <v>21490</v>
      </c>
      <c r="B397" s="1368">
        <v>2.8400000000000002E-2</v>
      </c>
      <c r="C397" s="1366">
        <v>2.63E-2</v>
      </c>
      <c r="D397" s="1366">
        <v>2.7999999999999995E-3</v>
      </c>
      <c r="E397" s="1366">
        <v>3.4083333333333331E-3</v>
      </c>
      <c r="F397" s="5">
        <v>3.5083333333333334E-3</v>
      </c>
      <c r="G397" s="5">
        <v>3.4583333333333332E-3</v>
      </c>
      <c r="H397" s="1366">
        <v>3.725E-3</v>
      </c>
      <c r="I397" s="1366">
        <f t="shared" si="18"/>
        <v>2.5600000000000001E-2</v>
      </c>
      <c r="J397" s="1366">
        <f t="shared" si="16"/>
        <v>2.4941666666666668E-2</v>
      </c>
      <c r="K397" s="1366">
        <f t="shared" si="17"/>
        <v>2.2575000000000001E-2</v>
      </c>
    </row>
    <row r="398" spans="1:11" x14ac:dyDescent="0.55000000000000004">
      <c r="A398" s="295">
        <v>21520</v>
      </c>
      <c r="B398" s="1368">
        <v>5.3499999999999999E-2</v>
      </c>
      <c r="C398" s="1366">
        <v>6.5500000000000003E-2</v>
      </c>
      <c r="D398" s="1366">
        <v>3.3E-3</v>
      </c>
      <c r="E398" s="1366">
        <v>3.4000000000000002E-3</v>
      </c>
      <c r="F398" s="5">
        <v>3.4833333333333331E-3</v>
      </c>
      <c r="G398" s="5">
        <v>3.4416666666666667E-3</v>
      </c>
      <c r="H398" s="1366">
        <v>3.741666666666667E-3</v>
      </c>
      <c r="I398" s="1366">
        <f t="shared" si="18"/>
        <v>5.0200000000000002E-2</v>
      </c>
      <c r="J398" s="1366">
        <f t="shared" si="16"/>
        <v>5.005833333333333E-2</v>
      </c>
      <c r="K398" s="1366">
        <f t="shared" si="17"/>
        <v>6.1758333333333339E-2</v>
      </c>
    </row>
    <row r="399" spans="1:11" x14ac:dyDescent="0.55000000000000004">
      <c r="A399" s="295">
        <v>21551</v>
      </c>
      <c r="B399" s="1368">
        <v>5.3E-3</v>
      </c>
      <c r="C399" s="1366">
        <v>1.34E-2</v>
      </c>
      <c r="D399" s="1366">
        <v>3.0999999999999999E-3</v>
      </c>
      <c r="E399" s="1366">
        <v>3.4333333333333334E-3</v>
      </c>
      <c r="F399" s="5">
        <v>3.5166666666666662E-3</v>
      </c>
      <c r="G399" s="5">
        <v>3.4749999999999998E-3</v>
      </c>
      <c r="H399" s="1366">
        <v>3.7666666666666664E-3</v>
      </c>
      <c r="I399" s="1366">
        <f t="shared" si="18"/>
        <v>2.2000000000000001E-3</v>
      </c>
      <c r="J399" s="1366">
        <f t="shared" si="16"/>
        <v>1.8250000000000002E-3</v>
      </c>
      <c r="K399" s="1366">
        <f t="shared" si="17"/>
        <v>9.633333333333334E-3</v>
      </c>
    </row>
    <row r="400" spans="1:11" x14ac:dyDescent="0.55000000000000004">
      <c r="A400" s="295">
        <v>21582</v>
      </c>
      <c r="B400" s="1368">
        <v>4.8999999999999998E-3</v>
      </c>
      <c r="C400" s="1366">
        <v>2.06E-2</v>
      </c>
      <c r="D400" s="1366">
        <v>3.0999999999999999E-3</v>
      </c>
      <c r="E400" s="1366">
        <v>3.4499999999999999E-3</v>
      </c>
      <c r="F400" s="5">
        <v>3.5333333333333332E-3</v>
      </c>
      <c r="G400" s="5">
        <v>3.4916666666666664E-3</v>
      </c>
      <c r="H400" s="1366">
        <v>3.7499999999999999E-3</v>
      </c>
      <c r="I400" s="1366">
        <f t="shared" si="18"/>
        <v>1.8E-3</v>
      </c>
      <c r="J400" s="1366">
        <f t="shared" si="16"/>
        <v>1.4083333333333335E-3</v>
      </c>
      <c r="K400" s="1366">
        <f t="shared" si="17"/>
        <v>1.685E-2</v>
      </c>
    </row>
    <row r="401" spans="1:11" x14ac:dyDescent="0.55000000000000004">
      <c r="A401" s="295">
        <v>21610</v>
      </c>
      <c r="B401" s="1368">
        <v>2E-3</v>
      </c>
      <c r="C401" s="1366">
        <v>1.0200000000000001E-2</v>
      </c>
      <c r="D401" s="1366">
        <v>3.5000000000000005E-3</v>
      </c>
      <c r="E401" s="1366">
        <v>3.4416666666666667E-3</v>
      </c>
      <c r="F401" s="5">
        <v>3.5250000000000004E-3</v>
      </c>
      <c r="G401" s="5">
        <v>3.4833333333333339E-3</v>
      </c>
      <c r="H401" s="1366">
        <v>3.725E-3</v>
      </c>
      <c r="I401" s="1366">
        <f t="shared" si="18"/>
        <v>-1.5000000000000005E-3</v>
      </c>
      <c r="J401" s="1366">
        <f t="shared" si="16"/>
        <v>-1.4833333333333339E-3</v>
      </c>
      <c r="K401" s="1366">
        <f t="shared" si="17"/>
        <v>6.4750000000000007E-3</v>
      </c>
    </row>
    <row r="402" spans="1:11" x14ac:dyDescent="0.55000000000000004">
      <c r="A402" s="295">
        <v>21641</v>
      </c>
      <c r="B402" s="1368">
        <v>4.02E-2</v>
      </c>
      <c r="C402" s="1366">
        <v>-2.7999999999999995E-3</v>
      </c>
      <c r="D402" s="1366">
        <v>3.3E-3</v>
      </c>
      <c r="E402" s="1366">
        <v>3.5250000000000004E-3</v>
      </c>
      <c r="F402" s="5">
        <v>3.6000000000000003E-3</v>
      </c>
      <c r="G402" s="5">
        <v>3.5625000000000006E-3</v>
      </c>
      <c r="H402" s="1366">
        <v>3.7999999999999996E-3</v>
      </c>
      <c r="I402" s="1366">
        <f t="shared" si="18"/>
        <v>3.6900000000000002E-2</v>
      </c>
      <c r="J402" s="1366">
        <f t="shared" si="16"/>
        <v>3.6637499999999996E-2</v>
      </c>
      <c r="K402" s="1366">
        <f t="shared" si="17"/>
        <v>-6.5999999999999991E-3</v>
      </c>
    </row>
    <row r="403" spans="1:11" x14ac:dyDescent="0.55000000000000004">
      <c r="A403" s="295">
        <v>21671</v>
      </c>
      <c r="B403" s="1368">
        <v>2.4E-2</v>
      </c>
      <c r="C403" s="1366">
        <v>-1.2E-2</v>
      </c>
      <c r="D403" s="1366">
        <v>3.3E-3</v>
      </c>
      <c r="E403" s="1366">
        <v>3.6416666666666667E-3</v>
      </c>
      <c r="F403" s="5">
        <v>3.7166666666666663E-3</v>
      </c>
      <c r="G403" s="5">
        <v>3.6791666666666665E-3</v>
      </c>
      <c r="H403" s="1366">
        <v>3.9749999999999994E-3</v>
      </c>
      <c r="I403" s="1366">
        <f t="shared" si="18"/>
        <v>2.07E-2</v>
      </c>
      <c r="J403" s="1366">
        <f t="shared" si="16"/>
        <v>2.0320833333333333E-2</v>
      </c>
      <c r="K403" s="1366">
        <f t="shared" si="17"/>
        <v>-1.5975E-2</v>
      </c>
    </row>
    <row r="404" spans="1:11" x14ac:dyDescent="0.55000000000000004">
      <c r="A404" s="295">
        <v>21702</v>
      </c>
      <c r="B404" s="1368">
        <v>-2.2000000000000001E-3</v>
      </c>
      <c r="C404" s="1366">
        <v>-8.7999999999999988E-3</v>
      </c>
      <c r="D404" s="1366">
        <v>3.5999999999999999E-3</v>
      </c>
      <c r="E404" s="1366">
        <v>3.7166666666666663E-3</v>
      </c>
      <c r="F404" s="5">
        <v>3.7999999999999996E-3</v>
      </c>
      <c r="G404" s="5">
        <v>3.7583333333333331E-3</v>
      </c>
      <c r="H404" s="1366">
        <v>4.0500000000000006E-3</v>
      </c>
      <c r="I404" s="1366">
        <f t="shared" si="18"/>
        <v>-5.7999999999999996E-3</v>
      </c>
      <c r="J404" s="1366">
        <f t="shared" si="16"/>
        <v>-5.9583333333333328E-3</v>
      </c>
      <c r="K404" s="1366">
        <f t="shared" si="17"/>
        <v>-1.285E-2</v>
      </c>
    </row>
    <row r="405" spans="1:11" x14ac:dyDescent="0.55000000000000004">
      <c r="A405" s="295">
        <v>21732</v>
      </c>
      <c r="B405" s="1368">
        <v>3.6299999999999999E-2</v>
      </c>
      <c r="C405" s="1366">
        <v>3.7100000000000001E-2</v>
      </c>
      <c r="D405" s="1366">
        <v>3.5000000000000005E-3</v>
      </c>
      <c r="E405" s="1366">
        <v>3.725E-3</v>
      </c>
      <c r="F405" s="5">
        <v>3.8166666666666666E-3</v>
      </c>
      <c r="G405" s="5">
        <v>3.7708333333333331E-3</v>
      </c>
      <c r="H405" s="1366">
        <v>4.0666666666666663E-3</v>
      </c>
      <c r="I405" s="1366">
        <f t="shared" si="18"/>
        <v>3.2799999999999996E-2</v>
      </c>
      <c r="J405" s="1366">
        <f t="shared" si="16"/>
        <v>3.2529166666666665E-2</v>
      </c>
      <c r="K405" s="1366">
        <f t="shared" si="17"/>
        <v>3.3033333333333331E-2</v>
      </c>
    </row>
    <row r="406" spans="1:11" x14ac:dyDescent="0.55000000000000004">
      <c r="A406" s="295">
        <v>21763</v>
      </c>
      <c r="B406" s="1368">
        <v>-1.0200000000000001E-2</v>
      </c>
      <c r="C406" s="1366">
        <v>1.7500000000000002E-2</v>
      </c>
      <c r="D406" s="1366">
        <v>3.5000000000000005E-3</v>
      </c>
      <c r="E406" s="1366">
        <v>3.6916666666666664E-3</v>
      </c>
      <c r="F406" s="5">
        <v>3.8166666666666666E-3</v>
      </c>
      <c r="G406" s="5">
        <v>3.7541666666666661E-3</v>
      </c>
      <c r="H406" s="1366">
        <v>4.0749999999999996E-3</v>
      </c>
      <c r="I406" s="1366">
        <f t="shared" si="18"/>
        <v>-1.37E-2</v>
      </c>
      <c r="J406" s="1366">
        <f t="shared" si="16"/>
        <v>-1.3954166666666667E-2</v>
      </c>
      <c r="K406" s="1366">
        <f t="shared" si="17"/>
        <v>1.3425000000000003E-2</v>
      </c>
    </row>
    <row r="407" spans="1:11" x14ac:dyDescent="0.55000000000000004">
      <c r="A407" s="295">
        <v>21794</v>
      </c>
      <c r="B407" s="1368">
        <v>-4.4299999999999999E-2</v>
      </c>
      <c r="C407" s="1366">
        <v>-3.9300000000000002E-2</v>
      </c>
      <c r="D407" s="1366">
        <v>3.3999999999999998E-3</v>
      </c>
      <c r="E407" s="1366">
        <v>3.7666666666666664E-3</v>
      </c>
      <c r="F407" s="5">
        <v>3.908333333333334E-3</v>
      </c>
      <c r="G407" s="5">
        <v>3.8375000000000002E-3</v>
      </c>
      <c r="H407" s="1366">
        <v>4.1916666666666665E-3</v>
      </c>
      <c r="I407" s="1366">
        <f t="shared" si="18"/>
        <v>-4.7699999999999999E-2</v>
      </c>
      <c r="J407" s="1366">
        <f t="shared" si="16"/>
        <v>-4.81375E-2</v>
      </c>
      <c r="K407" s="1366">
        <f t="shared" si="17"/>
        <v>-4.3491666666666665E-2</v>
      </c>
    </row>
    <row r="408" spans="1:11" x14ac:dyDescent="0.55000000000000004">
      <c r="A408" s="295">
        <v>21824</v>
      </c>
      <c r="B408" s="1368">
        <v>1.2800000000000001E-2</v>
      </c>
      <c r="C408" s="1366">
        <v>1.5699999999999999E-2</v>
      </c>
      <c r="D408" s="1366">
        <v>3.5000000000000005E-3</v>
      </c>
      <c r="E408" s="1366">
        <v>3.8083333333333337E-3</v>
      </c>
      <c r="F408" s="5">
        <v>3.966666666666667E-3</v>
      </c>
      <c r="G408" s="5">
        <v>3.8875000000000003E-3</v>
      </c>
      <c r="H408" s="1366">
        <v>4.1333333333333335E-3</v>
      </c>
      <c r="I408" s="1366">
        <f t="shared" si="18"/>
        <v>9.2999999999999992E-3</v>
      </c>
      <c r="J408" s="1366">
        <f t="shared" si="16"/>
        <v>8.9125000000000003E-3</v>
      </c>
      <c r="K408" s="1366">
        <f t="shared" si="17"/>
        <v>1.1566666666666666E-2</v>
      </c>
    </row>
    <row r="409" spans="1:11" x14ac:dyDescent="0.55000000000000004">
      <c r="A409" s="295">
        <v>21855</v>
      </c>
      <c r="B409" s="1368">
        <v>1.8599999999999998E-2</v>
      </c>
      <c r="C409" s="1366">
        <v>9.9999999999999829E-5</v>
      </c>
      <c r="D409" s="1366">
        <v>3.5000000000000005E-3</v>
      </c>
      <c r="E409" s="1366">
        <v>3.7999999999999996E-3</v>
      </c>
      <c r="F409" s="5">
        <v>3.9166666666666664E-3</v>
      </c>
      <c r="G409" s="5">
        <v>3.858333333333333E-3</v>
      </c>
      <c r="H409" s="1366">
        <v>4.0833333333333338E-3</v>
      </c>
      <c r="I409" s="1366">
        <f t="shared" si="18"/>
        <v>1.5099999999999999E-2</v>
      </c>
      <c r="J409" s="1366">
        <f t="shared" si="16"/>
        <v>1.4741666666666665E-2</v>
      </c>
      <c r="K409" s="1366">
        <f t="shared" si="17"/>
        <v>-3.9833333333333335E-3</v>
      </c>
    </row>
    <row r="410" spans="1:11" x14ac:dyDescent="0.55000000000000004">
      <c r="A410" s="295">
        <v>21885</v>
      </c>
      <c r="B410" s="1368">
        <v>2.92E-2</v>
      </c>
      <c r="C410" s="1366">
        <v>2.3E-2</v>
      </c>
      <c r="D410" s="1366">
        <v>3.5999999999999999E-3</v>
      </c>
      <c r="E410" s="1366">
        <v>3.8166666666666666E-3</v>
      </c>
      <c r="F410" s="5">
        <v>3.9500000000000004E-3</v>
      </c>
      <c r="G410" s="5">
        <v>3.8833333333333333E-3</v>
      </c>
      <c r="H410" s="1366">
        <v>4.1333333333333335E-3</v>
      </c>
      <c r="I410" s="1366">
        <f t="shared" si="18"/>
        <v>2.5600000000000001E-2</v>
      </c>
      <c r="J410" s="1366">
        <f t="shared" si="16"/>
        <v>2.5316666666666668E-2</v>
      </c>
      <c r="K410" s="1366">
        <f t="shared" si="17"/>
        <v>1.8866666666666667E-2</v>
      </c>
    </row>
    <row r="411" spans="1:11" x14ac:dyDescent="0.55000000000000004">
      <c r="A411" s="295">
        <v>21916</v>
      </c>
      <c r="B411" s="1368">
        <v>-7.0000000000000007E-2</v>
      </c>
      <c r="C411" s="1366">
        <v>-1.0800000000000001E-2</v>
      </c>
      <c r="D411" s="1366">
        <v>3.5000000000000005E-3</v>
      </c>
      <c r="E411" s="1366">
        <v>3.8416666666666673E-3</v>
      </c>
      <c r="F411" s="5">
        <v>3.9749999999999994E-3</v>
      </c>
      <c r="G411" s="5">
        <v>3.908333333333334E-3</v>
      </c>
      <c r="H411" s="1366">
        <v>4.1833333333333332E-3</v>
      </c>
      <c r="I411" s="1366">
        <f t="shared" si="18"/>
        <v>-7.350000000000001E-2</v>
      </c>
      <c r="J411" s="1366">
        <f t="shared" ref="J411:J474" si="19">B411-G411</f>
        <v>-7.390833333333334E-2</v>
      </c>
      <c r="K411" s="1366">
        <f t="shared" ref="K411:K474" si="20">$C411-H411</f>
        <v>-1.4983333333333335E-2</v>
      </c>
    </row>
    <row r="412" spans="1:11" x14ac:dyDescent="0.55000000000000004">
      <c r="A412" s="295">
        <v>21947</v>
      </c>
      <c r="B412" s="1368">
        <v>1.47E-2</v>
      </c>
      <c r="C412" s="1366">
        <v>1.8099999999999998E-2</v>
      </c>
      <c r="D412" s="1366">
        <v>3.7000000000000002E-3</v>
      </c>
      <c r="E412" s="1366">
        <v>3.7999999999999996E-3</v>
      </c>
      <c r="F412" s="5">
        <v>3.9250000000000005E-3</v>
      </c>
      <c r="G412" s="5">
        <v>3.8624999999999996E-3</v>
      </c>
      <c r="H412" s="1366">
        <v>4.1666666666666666E-3</v>
      </c>
      <c r="I412" s="1366">
        <f t="shared" si="18"/>
        <v>1.0999999999999999E-2</v>
      </c>
      <c r="J412" s="1366">
        <f t="shared" si="19"/>
        <v>1.08375E-2</v>
      </c>
      <c r="K412" s="1366">
        <f t="shared" si="20"/>
        <v>1.3933333333333332E-2</v>
      </c>
    </row>
    <row r="413" spans="1:11" x14ac:dyDescent="0.55000000000000004">
      <c r="A413" s="295">
        <v>21976</v>
      </c>
      <c r="B413" s="1368">
        <v>-1.23E-2</v>
      </c>
      <c r="C413" s="1366">
        <v>1.41E-2</v>
      </c>
      <c r="D413" s="1366">
        <v>3.5999999999999999E-3</v>
      </c>
      <c r="E413" s="1366">
        <v>3.741666666666667E-3</v>
      </c>
      <c r="F413" s="5">
        <v>3.8500000000000001E-3</v>
      </c>
      <c r="G413" s="5">
        <v>3.7958333333333338E-3</v>
      </c>
      <c r="H413" s="1366">
        <v>4.0916666666666671E-3</v>
      </c>
      <c r="I413" s="1366">
        <f t="shared" si="18"/>
        <v>-1.5900000000000001E-2</v>
      </c>
      <c r="J413" s="1366">
        <f t="shared" si="19"/>
        <v>-1.6095833333333334E-2</v>
      </c>
      <c r="K413" s="1366">
        <f t="shared" si="20"/>
        <v>1.0008333333333333E-2</v>
      </c>
    </row>
    <row r="414" spans="1:11" x14ac:dyDescent="0.55000000000000004">
      <c r="A414" s="295">
        <v>22007</v>
      </c>
      <c r="B414" s="1368">
        <v>-1.61E-2</v>
      </c>
      <c r="C414" s="1366">
        <v>7.4999999999999997E-3</v>
      </c>
      <c r="D414" s="1366">
        <v>3.2000000000000002E-3</v>
      </c>
      <c r="E414" s="1366">
        <v>3.7083333333333334E-3</v>
      </c>
      <c r="F414" s="5">
        <v>3.8166666666666666E-3</v>
      </c>
      <c r="G414" s="5">
        <v>3.7624999999999998E-3</v>
      </c>
      <c r="H414" s="1366">
        <v>3.9916666666666668E-3</v>
      </c>
      <c r="I414" s="1366">
        <f t="shared" si="18"/>
        <v>-1.9300000000000001E-2</v>
      </c>
      <c r="J414" s="1366">
        <f t="shared" si="19"/>
        <v>-1.9862499999999998E-2</v>
      </c>
      <c r="K414" s="1366">
        <f t="shared" si="20"/>
        <v>3.5083333333333329E-3</v>
      </c>
    </row>
    <row r="415" spans="1:11" x14ac:dyDescent="0.55000000000000004">
      <c r="A415" s="295">
        <v>22037</v>
      </c>
      <c r="B415" s="1368">
        <v>3.2599999999999997E-2</v>
      </c>
      <c r="C415" s="1366">
        <v>2.3300000000000001E-2</v>
      </c>
      <c r="D415" s="1366">
        <v>3.7000000000000002E-3</v>
      </c>
      <c r="E415" s="1366">
        <v>3.7166666666666663E-3</v>
      </c>
      <c r="F415" s="5">
        <v>3.8416666666666673E-3</v>
      </c>
      <c r="G415" s="5">
        <v>3.7791666666666668E-3</v>
      </c>
      <c r="H415" s="1366">
        <v>4.0500000000000006E-3</v>
      </c>
      <c r="I415" s="1366">
        <f t="shared" si="18"/>
        <v>2.8899999999999995E-2</v>
      </c>
      <c r="J415" s="1366">
        <f t="shared" si="19"/>
        <v>2.882083333333333E-2</v>
      </c>
      <c r="K415" s="1366">
        <f t="shared" si="20"/>
        <v>1.925E-2</v>
      </c>
    </row>
    <row r="416" spans="1:11" x14ac:dyDescent="0.55000000000000004">
      <c r="A416" s="295">
        <v>22068</v>
      </c>
      <c r="B416" s="1368">
        <v>2.1100000000000001E-2</v>
      </c>
      <c r="C416" s="1366">
        <v>4.0799999999999989E-2</v>
      </c>
      <c r="D416" s="1366">
        <v>3.3999999999999998E-3</v>
      </c>
      <c r="E416" s="1366">
        <v>3.7083333333333334E-3</v>
      </c>
      <c r="F416" s="5">
        <v>3.8333333333333331E-3</v>
      </c>
      <c r="G416" s="5">
        <v>3.7708333333333331E-3</v>
      </c>
      <c r="H416" s="1366">
        <v>4.0333333333333332E-3</v>
      </c>
      <c r="I416" s="1366">
        <f t="shared" si="18"/>
        <v>1.77E-2</v>
      </c>
      <c r="J416" s="1366">
        <f t="shared" si="19"/>
        <v>1.7329166666666666E-2</v>
      </c>
      <c r="K416" s="1366">
        <f t="shared" si="20"/>
        <v>3.6766666666666656E-2</v>
      </c>
    </row>
    <row r="417" spans="1:11" x14ac:dyDescent="0.55000000000000004">
      <c r="A417" s="295">
        <v>22098</v>
      </c>
      <c r="B417" s="1368">
        <v>-2.3400000000000001E-2</v>
      </c>
      <c r="C417" s="1366">
        <v>-0.01</v>
      </c>
      <c r="D417" s="1366">
        <v>3.2000000000000002E-3</v>
      </c>
      <c r="E417" s="1366">
        <v>3.6749999999999999E-3</v>
      </c>
      <c r="F417" s="5">
        <v>3.7999999999999996E-3</v>
      </c>
      <c r="G417" s="5">
        <v>3.7374999999999995E-3</v>
      </c>
      <c r="H417" s="1366">
        <v>3.9916666666666668E-3</v>
      </c>
      <c r="I417" s="1366">
        <f t="shared" si="18"/>
        <v>-2.6600000000000002E-2</v>
      </c>
      <c r="J417" s="1366">
        <f t="shared" si="19"/>
        <v>-2.7137500000000002E-2</v>
      </c>
      <c r="K417" s="1366">
        <f t="shared" si="20"/>
        <v>-1.3991666666666666E-2</v>
      </c>
    </row>
    <row r="418" spans="1:11" x14ac:dyDescent="0.55000000000000004">
      <c r="A418" s="295">
        <v>22129</v>
      </c>
      <c r="B418" s="1368">
        <v>3.1699999999999999E-2</v>
      </c>
      <c r="C418" s="1366">
        <v>5.0200000000000002E-2</v>
      </c>
      <c r="D418" s="1366">
        <v>3.3999999999999998E-3</v>
      </c>
      <c r="E418" s="1366">
        <v>3.5666666666666668E-3</v>
      </c>
      <c r="F418" s="5">
        <v>3.7000000000000006E-3</v>
      </c>
      <c r="G418" s="5">
        <v>3.6333333333333339E-3</v>
      </c>
      <c r="H418" s="1366">
        <v>3.8666666666666667E-3</v>
      </c>
      <c r="I418" s="1366">
        <f t="shared" si="18"/>
        <v>2.8299999999999999E-2</v>
      </c>
      <c r="J418" s="1366">
        <f t="shared" si="19"/>
        <v>2.8066666666666663E-2</v>
      </c>
      <c r="K418" s="1366">
        <f t="shared" si="20"/>
        <v>4.6333333333333337E-2</v>
      </c>
    </row>
    <row r="419" spans="1:11" x14ac:dyDescent="0.55000000000000004">
      <c r="A419" s="295">
        <v>22160</v>
      </c>
      <c r="B419" s="1368">
        <v>-5.8999999999999997E-2</v>
      </c>
      <c r="C419" s="1366">
        <v>-5.1400000000000008E-2</v>
      </c>
      <c r="D419" s="1366">
        <v>3.2000000000000002E-3</v>
      </c>
      <c r="E419" s="1366">
        <v>3.5416666666666669E-3</v>
      </c>
      <c r="F419" s="5">
        <v>3.6749999999999999E-3</v>
      </c>
      <c r="G419" s="5">
        <v>3.6083333333333332E-3</v>
      </c>
      <c r="H419" s="1366">
        <v>3.8083333333333337E-3</v>
      </c>
      <c r="I419" s="1366">
        <f t="shared" si="18"/>
        <v>-6.2199999999999998E-2</v>
      </c>
      <c r="J419" s="1366">
        <f t="shared" si="19"/>
        <v>-6.2608333333333335E-2</v>
      </c>
      <c r="K419" s="1366">
        <f t="shared" si="20"/>
        <v>-5.5208333333333345E-2</v>
      </c>
    </row>
    <row r="420" spans="1:11" x14ac:dyDescent="0.55000000000000004">
      <c r="A420" s="295">
        <v>22190</v>
      </c>
      <c r="B420" s="1368">
        <v>-6.9999999999999999E-4</v>
      </c>
      <c r="C420" s="1366">
        <v>-1.1999999999999997E-3</v>
      </c>
      <c r="D420" s="1366">
        <v>3.3E-3</v>
      </c>
      <c r="E420" s="1366">
        <v>3.5833333333333333E-3</v>
      </c>
      <c r="F420" s="5">
        <v>3.7000000000000006E-3</v>
      </c>
      <c r="G420" s="5">
        <v>3.6416666666666667E-3</v>
      </c>
      <c r="H420" s="1366">
        <v>3.8416666666666673E-3</v>
      </c>
      <c r="I420" s="1366">
        <f t="shared" si="18"/>
        <v>-4.0000000000000001E-3</v>
      </c>
      <c r="J420" s="1366">
        <f t="shared" si="19"/>
        <v>-4.3416666666666664E-3</v>
      </c>
      <c r="K420" s="1366">
        <f t="shared" si="20"/>
        <v>-5.0416666666666665E-3</v>
      </c>
    </row>
    <row r="421" spans="1:11" x14ac:dyDescent="0.55000000000000004">
      <c r="A421" s="295">
        <v>22221</v>
      </c>
      <c r="B421" s="1368">
        <v>4.65E-2</v>
      </c>
      <c r="C421" s="1366">
        <v>3.8599999999999995E-2</v>
      </c>
      <c r="D421" s="1366">
        <v>3.2000000000000002E-3</v>
      </c>
      <c r="E421" s="1366">
        <v>3.5916666666666662E-3</v>
      </c>
      <c r="F421" s="5">
        <v>3.725E-3</v>
      </c>
      <c r="G421" s="5">
        <v>3.6583333333333333E-3</v>
      </c>
      <c r="H421" s="1366">
        <v>3.8508333333333337E-3</v>
      </c>
      <c r="I421" s="1366">
        <f t="shared" si="18"/>
        <v>4.3299999999999998E-2</v>
      </c>
      <c r="J421" s="1366">
        <f t="shared" si="19"/>
        <v>4.2841666666666667E-2</v>
      </c>
      <c r="K421" s="1366">
        <f t="shared" si="20"/>
        <v>3.4749166666666664E-2</v>
      </c>
    </row>
    <row r="422" spans="1:11" x14ac:dyDescent="0.55000000000000004">
      <c r="A422" s="295">
        <v>22251</v>
      </c>
      <c r="B422" s="1368">
        <v>4.7899999999999998E-2</v>
      </c>
      <c r="C422" s="1366">
        <v>7.2399999999999992E-2</v>
      </c>
      <c r="D422" s="1366">
        <v>3.3E-3</v>
      </c>
      <c r="E422" s="1366">
        <v>3.6249999999999998E-3</v>
      </c>
      <c r="F422" s="5">
        <v>3.7499999999999999E-3</v>
      </c>
      <c r="G422" s="5">
        <v>3.6875000000000002E-3</v>
      </c>
      <c r="H422" s="1366">
        <v>3.875E-3</v>
      </c>
      <c r="I422" s="1366">
        <f t="shared" si="18"/>
        <v>4.4600000000000001E-2</v>
      </c>
      <c r="J422" s="1366">
        <f t="shared" si="19"/>
        <v>4.4212499999999995E-2</v>
      </c>
      <c r="K422" s="1366">
        <f t="shared" si="20"/>
        <v>6.8524999999999989E-2</v>
      </c>
    </row>
    <row r="423" spans="1:11" x14ac:dyDescent="0.55000000000000004">
      <c r="A423" s="295">
        <v>22282</v>
      </c>
      <c r="B423" s="1368">
        <v>6.4500000000000002E-2</v>
      </c>
      <c r="C423" s="1366">
        <v>6.1900000000000004E-2</v>
      </c>
      <c r="D423" s="1366">
        <v>3.3E-3</v>
      </c>
      <c r="E423" s="1366">
        <v>3.6000000000000003E-3</v>
      </c>
      <c r="F423" s="5">
        <v>3.7333333333333333E-3</v>
      </c>
      <c r="G423" s="5">
        <v>3.666666666666667E-3</v>
      </c>
      <c r="H423" s="1366">
        <v>3.8666666666666667E-3</v>
      </c>
      <c r="I423" s="1366">
        <f t="shared" si="18"/>
        <v>6.1200000000000004E-2</v>
      </c>
      <c r="J423" s="1366">
        <f t="shared" si="19"/>
        <v>6.0833333333333336E-2</v>
      </c>
      <c r="K423" s="1366">
        <f t="shared" si="20"/>
        <v>5.803333333333334E-2</v>
      </c>
    </row>
    <row r="424" spans="1:11" x14ac:dyDescent="0.55000000000000004">
      <c r="A424" s="295">
        <v>22313</v>
      </c>
      <c r="B424" s="1368">
        <v>3.1899999999999998E-2</v>
      </c>
      <c r="C424" s="1366">
        <v>3.5700000000000003E-2</v>
      </c>
      <c r="D424" s="1366">
        <v>3.0000000000000001E-3</v>
      </c>
      <c r="E424" s="1366">
        <v>3.5583333333333326E-3</v>
      </c>
      <c r="F424" s="5">
        <v>3.666666666666667E-3</v>
      </c>
      <c r="G424" s="5">
        <v>3.6124999999999994E-3</v>
      </c>
      <c r="H424" s="1366">
        <v>3.8250000000000003E-3</v>
      </c>
      <c r="I424" s="1366">
        <f t="shared" si="18"/>
        <v>2.8899999999999999E-2</v>
      </c>
      <c r="J424" s="1366">
        <f t="shared" si="19"/>
        <v>2.82875E-2</v>
      </c>
      <c r="K424" s="1366">
        <f t="shared" si="20"/>
        <v>3.1875000000000001E-2</v>
      </c>
    </row>
    <row r="425" spans="1:11" x14ac:dyDescent="0.55000000000000004">
      <c r="A425" s="295">
        <v>22341</v>
      </c>
      <c r="B425" s="1368">
        <v>2.7E-2</v>
      </c>
      <c r="C425" s="1366">
        <v>3.1899999999999998E-2</v>
      </c>
      <c r="D425" s="1366">
        <v>3.0999999999999999E-3</v>
      </c>
      <c r="E425" s="1366">
        <v>3.5166666666666662E-3</v>
      </c>
      <c r="F425" s="5">
        <v>3.6083333333333332E-3</v>
      </c>
      <c r="G425" s="5">
        <v>3.5624999999999997E-3</v>
      </c>
      <c r="H425" s="1366">
        <v>3.7333333333333333E-3</v>
      </c>
      <c r="I425" s="1366">
        <f t="shared" si="18"/>
        <v>2.3900000000000001E-2</v>
      </c>
      <c r="J425" s="1366">
        <f t="shared" si="19"/>
        <v>2.34375E-2</v>
      </c>
      <c r="K425" s="1366">
        <f t="shared" si="20"/>
        <v>2.8166666666666666E-2</v>
      </c>
    </row>
    <row r="426" spans="1:11" x14ac:dyDescent="0.55000000000000004">
      <c r="A426" s="295">
        <v>22372</v>
      </c>
      <c r="B426" s="1368">
        <v>5.1000000000000004E-3</v>
      </c>
      <c r="C426" s="1366">
        <v>1.09E-2</v>
      </c>
      <c r="D426" s="1366">
        <v>3.0999999999999999E-3</v>
      </c>
      <c r="E426" s="1366">
        <v>3.5416666666666669E-3</v>
      </c>
      <c r="F426" s="5">
        <v>3.6416666666666667E-3</v>
      </c>
      <c r="G426" s="5">
        <v>3.5916666666666671E-3</v>
      </c>
      <c r="H426" s="1366">
        <v>3.7333333333333333E-3</v>
      </c>
      <c r="I426" s="1366">
        <f t="shared" si="18"/>
        <v>2.0000000000000005E-3</v>
      </c>
      <c r="J426" s="1366">
        <f t="shared" si="19"/>
        <v>1.5083333333333333E-3</v>
      </c>
      <c r="K426" s="1366">
        <f t="shared" si="20"/>
        <v>7.1666666666666667E-3</v>
      </c>
    </row>
    <row r="427" spans="1:11" x14ac:dyDescent="0.55000000000000004">
      <c r="A427" s="295">
        <v>22402</v>
      </c>
      <c r="B427" s="1368">
        <v>2.3900000000000001E-2</v>
      </c>
      <c r="C427" s="1366">
        <v>1.3299999999999999E-2</v>
      </c>
      <c r="D427" s="1366">
        <v>3.3999999999999998E-3</v>
      </c>
      <c r="E427" s="1366">
        <v>3.5583333333333326E-3</v>
      </c>
      <c r="F427" s="5">
        <v>3.6749999999999999E-3</v>
      </c>
      <c r="G427" s="5">
        <v>3.6166666666666665E-3</v>
      </c>
      <c r="H427" s="1366">
        <v>3.7666666666666664E-3</v>
      </c>
      <c r="I427" s="1366">
        <f t="shared" si="18"/>
        <v>2.0500000000000001E-2</v>
      </c>
      <c r="J427" s="1366">
        <f t="shared" si="19"/>
        <v>2.0283333333333334E-2</v>
      </c>
      <c r="K427" s="1366">
        <f t="shared" si="20"/>
        <v>9.5333333333333329E-3</v>
      </c>
    </row>
    <row r="428" spans="1:11" x14ac:dyDescent="0.55000000000000004">
      <c r="A428" s="295">
        <v>22433</v>
      </c>
      <c r="B428" s="1368">
        <v>-2.75E-2</v>
      </c>
      <c r="C428" s="1366">
        <v>-2.2699999999999994E-2</v>
      </c>
      <c r="D428" s="1366">
        <v>3.2000000000000002E-3</v>
      </c>
      <c r="E428" s="1366">
        <v>3.6083333333333332E-3</v>
      </c>
      <c r="F428" s="5">
        <v>3.7083333333333334E-3</v>
      </c>
      <c r="G428" s="5">
        <v>3.6583333333333333E-3</v>
      </c>
      <c r="H428" s="1366">
        <v>3.8083333333333337E-3</v>
      </c>
      <c r="I428" s="1366">
        <f t="shared" si="18"/>
        <v>-3.0700000000000002E-2</v>
      </c>
      <c r="J428" s="1366">
        <f t="shared" si="19"/>
        <v>-3.1158333333333333E-2</v>
      </c>
      <c r="K428" s="1366">
        <f t="shared" si="20"/>
        <v>-2.6508333333333328E-2</v>
      </c>
    </row>
    <row r="429" spans="1:11" x14ac:dyDescent="0.55000000000000004">
      <c r="A429" s="295">
        <v>22463</v>
      </c>
      <c r="B429" s="1368">
        <v>3.4200000000000001E-2</v>
      </c>
      <c r="C429" s="1366">
        <v>4.24E-2</v>
      </c>
      <c r="D429" s="1366">
        <v>3.3E-3</v>
      </c>
      <c r="E429" s="1366">
        <v>3.6749999999999999E-3</v>
      </c>
      <c r="F429" s="5">
        <v>3.7750000000000001E-3</v>
      </c>
      <c r="G429" s="5">
        <v>3.725E-3</v>
      </c>
      <c r="H429" s="1366">
        <v>3.875E-3</v>
      </c>
      <c r="I429" s="1366">
        <f t="shared" si="18"/>
        <v>3.09E-2</v>
      </c>
      <c r="J429" s="1366">
        <f t="shared" si="19"/>
        <v>3.0475000000000002E-2</v>
      </c>
      <c r="K429" s="1366">
        <f t="shared" si="20"/>
        <v>3.8525000000000004E-2</v>
      </c>
    </row>
    <row r="430" spans="1:11" x14ac:dyDescent="0.55000000000000004">
      <c r="A430" s="295">
        <v>22494</v>
      </c>
      <c r="B430" s="1368">
        <v>2.4299999999999999E-2</v>
      </c>
      <c r="C430" s="1366">
        <v>4.5400000000000003E-2</v>
      </c>
      <c r="D430" s="1366">
        <v>3.3E-3</v>
      </c>
      <c r="E430" s="1366">
        <v>3.7083333333333334E-3</v>
      </c>
      <c r="F430" s="5">
        <v>3.8083333333333337E-3</v>
      </c>
      <c r="G430" s="5">
        <v>3.7583333333333336E-3</v>
      </c>
      <c r="H430" s="1366">
        <v>3.9416666666666671E-3</v>
      </c>
      <c r="I430" s="1366">
        <f t="shared" si="18"/>
        <v>2.0999999999999998E-2</v>
      </c>
      <c r="J430" s="1366">
        <f t="shared" si="19"/>
        <v>2.0541666666666666E-2</v>
      </c>
      <c r="K430" s="1366">
        <f t="shared" si="20"/>
        <v>4.1458333333333333E-2</v>
      </c>
    </row>
    <row r="431" spans="1:11" x14ac:dyDescent="0.55000000000000004">
      <c r="A431" s="295">
        <v>22525</v>
      </c>
      <c r="B431" s="1368">
        <v>-1.84E-2</v>
      </c>
      <c r="C431" s="1366">
        <v>-6.6999999999999994E-3</v>
      </c>
      <c r="D431" s="1366">
        <v>3.2000000000000002E-3</v>
      </c>
      <c r="E431" s="1366">
        <v>3.7083333333333334E-3</v>
      </c>
      <c r="F431" s="5">
        <v>3.8250000000000003E-3</v>
      </c>
      <c r="G431" s="5">
        <v>3.7666666666666669E-3</v>
      </c>
      <c r="H431" s="1366">
        <v>3.9416666666666671E-3</v>
      </c>
      <c r="I431" s="1366">
        <f t="shared" si="18"/>
        <v>-2.1600000000000001E-2</v>
      </c>
      <c r="J431" s="1366">
        <f t="shared" si="19"/>
        <v>-2.2166666666666668E-2</v>
      </c>
      <c r="K431" s="1366">
        <f t="shared" si="20"/>
        <v>-1.0641666666666667E-2</v>
      </c>
    </row>
    <row r="432" spans="1:11" x14ac:dyDescent="0.55000000000000004">
      <c r="A432" s="295">
        <v>22555</v>
      </c>
      <c r="B432" s="1368">
        <v>2.98E-2</v>
      </c>
      <c r="C432" s="1366">
        <v>4.8000000000000001E-2</v>
      </c>
      <c r="D432" s="1366">
        <v>3.3999999999999998E-3</v>
      </c>
      <c r="E432" s="1366">
        <v>3.6833333333333336E-3</v>
      </c>
      <c r="F432" s="5">
        <v>3.7999999999999996E-3</v>
      </c>
      <c r="G432" s="5">
        <v>3.7416666666666666E-3</v>
      </c>
      <c r="H432" s="1366">
        <v>3.9250000000000005E-3</v>
      </c>
      <c r="I432" s="1366">
        <f t="shared" si="18"/>
        <v>2.64E-2</v>
      </c>
      <c r="J432" s="1366">
        <f t="shared" si="19"/>
        <v>2.6058333333333333E-2</v>
      </c>
      <c r="K432" s="1366">
        <f t="shared" si="20"/>
        <v>4.4075000000000003E-2</v>
      </c>
    </row>
    <row r="433" spans="1:11" x14ac:dyDescent="0.55000000000000004">
      <c r="A433" s="295">
        <v>22586</v>
      </c>
      <c r="B433" s="1368">
        <v>4.4699999999999997E-2</v>
      </c>
      <c r="C433" s="1366">
        <v>3.3500000000000002E-2</v>
      </c>
      <c r="D433" s="1366">
        <v>3.2000000000000002E-3</v>
      </c>
      <c r="E433" s="1366">
        <v>3.6583333333333329E-3</v>
      </c>
      <c r="F433" s="5">
        <v>3.7833333333333334E-3</v>
      </c>
      <c r="G433" s="5">
        <v>3.7208333333333334E-3</v>
      </c>
      <c r="H433" s="1366">
        <v>3.8999999999999994E-3</v>
      </c>
      <c r="I433" s="1366">
        <f t="shared" si="18"/>
        <v>4.1499999999999995E-2</v>
      </c>
      <c r="J433" s="1366">
        <f t="shared" si="19"/>
        <v>4.0979166666666664E-2</v>
      </c>
      <c r="K433" s="1366">
        <f t="shared" si="20"/>
        <v>2.9600000000000001E-2</v>
      </c>
    </row>
    <row r="434" spans="1:11" x14ac:dyDescent="0.55000000000000004">
      <c r="A434" s="295">
        <v>22616</v>
      </c>
      <c r="B434" s="1368">
        <v>4.5999999999999999E-3</v>
      </c>
      <c r="C434" s="1366">
        <v>-2.92E-2</v>
      </c>
      <c r="D434" s="1366">
        <v>3.0999999999999999E-3</v>
      </c>
      <c r="E434" s="1366">
        <v>3.6833333333333336E-3</v>
      </c>
      <c r="F434" s="5">
        <v>3.7999999999999996E-3</v>
      </c>
      <c r="G434" s="5">
        <v>3.7416666666666666E-3</v>
      </c>
      <c r="H434" s="1366">
        <v>3.875E-3</v>
      </c>
      <c r="I434" s="1366">
        <f t="shared" si="18"/>
        <v>1.5E-3</v>
      </c>
      <c r="J434" s="1366">
        <f t="shared" si="19"/>
        <v>8.5833333333333334E-4</v>
      </c>
      <c r="K434" s="1366">
        <f t="shared" si="20"/>
        <v>-3.3075E-2</v>
      </c>
    </row>
    <row r="435" spans="1:11" x14ac:dyDescent="0.55000000000000004">
      <c r="A435" s="295">
        <v>22647</v>
      </c>
      <c r="B435" s="1368">
        <v>-3.6600000000000001E-2</v>
      </c>
      <c r="C435" s="1366">
        <v>-3.6600000000000001E-2</v>
      </c>
      <c r="D435" s="1366">
        <v>3.7000000000000002E-3</v>
      </c>
      <c r="E435" s="1366">
        <v>3.6833333333333336E-3</v>
      </c>
      <c r="F435" s="5">
        <v>3.7916666666666667E-3</v>
      </c>
      <c r="G435" s="5">
        <v>3.7375000000000004E-3</v>
      </c>
      <c r="H435" s="1366">
        <v>3.875E-3</v>
      </c>
      <c r="I435" s="1366">
        <f t="shared" si="18"/>
        <v>-4.0300000000000002E-2</v>
      </c>
      <c r="J435" s="1366">
        <f t="shared" si="19"/>
        <v>-4.0337499999999998E-2</v>
      </c>
      <c r="K435" s="1366">
        <f t="shared" si="20"/>
        <v>-4.0474999999999997E-2</v>
      </c>
    </row>
    <row r="436" spans="1:11" x14ac:dyDescent="0.55000000000000004">
      <c r="A436" s="295">
        <v>22678</v>
      </c>
      <c r="B436" s="1368">
        <v>2.0899999999999998E-2</v>
      </c>
      <c r="C436" s="1366">
        <v>3.0000000000000006E-2</v>
      </c>
      <c r="D436" s="1366">
        <v>3.2000000000000002E-3</v>
      </c>
      <c r="E436" s="1366">
        <v>3.6833333333333336E-3</v>
      </c>
      <c r="F436" s="5">
        <v>3.7999999999999996E-3</v>
      </c>
      <c r="G436" s="5">
        <v>3.7416666666666666E-3</v>
      </c>
      <c r="H436" s="1366">
        <v>3.8833333333333337E-3</v>
      </c>
      <c r="I436" s="1366">
        <f t="shared" si="18"/>
        <v>1.7699999999999997E-2</v>
      </c>
      <c r="J436" s="1366">
        <f t="shared" si="19"/>
        <v>1.7158333333333331E-2</v>
      </c>
      <c r="K436" s="1366">
        <f t="shared" si="20"/>
        <v>2.6116666666666673E-2</v>
      </c>
    </row>
    <row r="437" spans="1:11" x14ac:dyDescent="0.55000000000000004">
      <c r="A437" s="295">
        <v>22706</v>
      </c>
      <c r="B437" s="1368">
        <v>-4.5999999999999999E-3</v>
      </c>
      <c r="C437" s="1366">
        <v>8.0999999999999996E-3</v>
      </c>
      <c r="D437" s="1366">
        <v>3.3E-3</v>
      </c>
      <c r="E437" s="1366">
        <v>3.6583333333333329E-3</v>
      </c>
      <c r="F437" s="5">
        <v>3.7750000000000001E-3</v>
      </c>
      <c r="G437" s="5">
        <v>3.7166666666666663E-3</v>
      </c>
      <c r="H437" s="1366">
        <v>3.8666666666666667E-3</v>
      </c>
      <c r="I437" s="1366">
        <f t="shared" si="18"/>
        <v>-7.9000000000000008E-3</v>
      </c>
      <c r="J437" s="1366">
        <f t="shared" si="19"/>
        <v>-8.3166666666666667E-3</v>
      </c>
      <c r="K437" s="1366">
        <f t="shared" si="20"/>
        <v>4.2333333333333329E-3</v>
      </c>
    </row>
    <row r="438" spans="1:11" x14ac:dyDescent="0.55000000000000004">
      <c r="A438" s="295">
        <v>22737</v>
      </c>
      <c r="B438" s="1368">
        <v>-6.0699999999999997E-2</v>
      </c>
      <c r="C438" s="1366">
        <v>-3.5300000000000005E-2</v>
      </c>
      <c r="D438" s="1366">
        <v>3.3E-3</v>
      </c>
      <c r="E438" s="1366">
        <v>3.6083333333333332E-3</v>
      </c>
      <c r="F438" s="5">
        <v>3.741666666666667E-3</v>
      </c>
      <c r="G438" s="5">
        <v>3.6750000000000003E-3</v>
      </c>
      <c r="H438" s="1366">
        <v>3.8250000000000003E-3</v>
      </c>
      <c r="I438" s="1366">
        <f t="shared" si="18"/>
        <v>-6.4000000000000001E-2</v>
      </c>
      <c r="J438" s="1366">
        <f t="shared" si="19"/>
        <v>-6.4375000000000002E-2</v>
      </c>
      <c r="K438" s="1366">
        <f t="shared" si="20"/>
        <v>-3.9125000000000007E-2</v>
      </c>
    </row>
    <row r="439" spans="1:11" x14ac:dyDescent="0.55000000000000004">
      <c r="A439" s="295">
        <v>22767</v>
      </c>
      <c r="B439" s="1368">
        <v>-8.1100000000000005E-2</v>
      </c>
      <c r="C439" s="1366">
        <v>-9.1200000000000003E-2</v>
      </c>
      <c r="D439" s="1366">
        <v>3.2000000000000002E-3</v>
      </c>
      <c r="E439" s="1366">
        <v>3.5666666666666668E-3</v>
      </c>
      <c r="F439" s="5">
        <v>3.6916666666666664E-3</v>
      </c>
      <c r="G439" s="5">
        <v>3.6291666666666668E-3</v>
      </c>
      <c r="H439" s="1366">
        <v>3.7583333333333331E-3</v>
      </c>
      <c r="I439" s="1366">
        <f t="shared" si="18"/>
        <v>-8.43E-2</v>
      </c>
      <c r="J439" s="1366">
        <f t="shared" si="19"/>
        <v>-8.4729166666666675E-2</v>
      </c>
      <c r="K439" s="1366">
        <f t="shared" si="20"/>
        <v>-9.4958333333333339E-2</v>
      </c>
    </row>
    <row r="440" spans="1:11" x14ac:dyDescent="0.55000000000000004">
      <c r="A440" s="295">
        <v>22798</v>
      </c>
      <c r="B440" s="1368">
        <v>-8.0299999999999996E-2</v>
      </c>
      <c r="C440" s="1366">
        <v>-5.4799999999999995E-2</v>
      </c>
      <c r="D440" s="1366">
        <v>3.0000000000000001E-3</v>
      </c>
      <c r="E440" s="1366">
        <v>3.5666666666666668E-3</v>
      </c>
      <c r="F440" s="5">
        <v>3.7000000000000006E-3</v>
      </c>
      <c r="G440" s="5">
        <v>3.6333333333333339E-3</v>
      </c>
      <c r="H440" s="1366">
        <v>3.7333333333333333E-3</v>
      </c>
      <c r="I440" s="1366">
        <f t="shared" si="18"/>
        <v>-8.3299999999999999E-2</v>
      </c>
      <c r="J440" s="1366">
        <f t="shared" si="19"/>
        <v>-8.3933333333333332E-2</v>
      </c>
      <c r="K440" s="1366">
        <f t="shared" si="20"/>
        <v>-5.8533333333333326E-2</v>
      </c>
    </row>
    <row r="441" spans="1:11" x14ac:dyDescent="0.55000000000000004">
      <c r="A441" s="295">
        <v>22828</v>
      </c>
      <c r="B441" s="1368">
        <v>6.5199999999999994E-2</v>
      </c>
      <c r="C441" s="1366">
        <v>6.8899999999999989E-2</v>
      </c>
      <c r="D441" s="1366">
        <v>3.3999999999999998E-3</v>
      </c>
      <c r="E441" s="1366">
        <v>3.6166666666666665E-3</v>
      </c>
      <c r="F441" s="5">
        <v>3.741666666666667E-3</v>
      </c>
      <c r="G441" s="5">
        <v>3.6791666666666665E-3</v>
      </c>
      <c r="H441" s="1366">
        <v>3.7499999999999999E-3</v>
      </c>
      <c r="I441" s="1366">
        <f t="shared" si="18"/>
        <v>6.1799999999999994E-2</v>
      </c>
      <c r="J441" s="1366">
        <f t="shared" si="19"/>
        <v>6.152083333333333E-2</v>
      </c>
      <c r="K441" s="1366">
        <f t="shared" si="20"/>
        <v>6.5149999999999986E-2</v>
      </c>
    </row>
    <row r="442" spans="1:11" x14ac:dyDescent="0.55000000000000004">
      <c r="A442" s="295">
        <v>22859</v>
      </c>
      <c r="B442" s="1368">
        <v>2.0799999999999999E-2</v>
      </c>
      <c r="C442" s="1366">
        <v>2.7099999999999999E-2</v>
      </c>
      <c r="D442" s="1366">
        <v>3.3999999999999998E-3</v>
      </c>
      <c r="E442" s="1366">
        <v>3.6249999999999998E-3</v>
      </c>
      <c r="F442" s="5">
        <v>3.741666666666667E-3</v>
      </c>
      <c r="G442" s="5">
        <v>3.6833333333333336E-3</v>
      </c>
      <c r="H442" s="1366">
        <v>3.7750000000000001E-3</v>
      </c>
      <c r="I442" s="1366">
        <f t="shared" si="18"/>
        <v>1.7399999999999999E-2</v>
      </c>
      <c r="J442" s="1366">
        <f t="shared" si="19"/>
        <v>1.7116666666666665E-2</v>
      </c>
      <c r="K442" s="1366">
        <f t="shared" si="20"/>
        <v>2.3324999999999999E-2</v>
      </c>
    </row>
    <row r="443" spans="1:11" x14ac:dyDescent="0.55000000000000004">
      <c r="A443" s="295">
        <v>22890</v>
      </c>
      <c r="B443" s="1368">
        <v>-4.65E-2</v>
      </c>
      <c r="C443" s="1366">
        <v>-3.3399999999999999E-2</v>
      </c>
      <c r="D443" s="1366">
        <v>3.0000000000000001E-3</v>
      </c>
      <c r="E443" s="1366">
        <v>3.6000000000000003E-3</v>
      </c>
      <c r="F443" s="5">
        <v>3.7166666666666663E-3</v>
      </c>
      <c r="G443" s="5">
        <v>3.6583333333333333E-3</v>
      </c>
      <c r="H443" s="1366">
        <v>3.7583333333333331E-3</v>
      </c>
      <c r="I443" s="1366">
        <f t="shared" si="18"/>
        <v>-4.9500000000000002E-2</v>
      </c>
      <c r="J443" s="1366">
        <f t="shared" si="19"/>
        <v>-5.0158333333333333E-2</v>
      </c>
      <c r="K443" s="1366">
        <f t="shared" si="20"/>
        <v>-3.7158333333333335E-2</v>
      </c>
    </row>
    <row r="444" spans="1:11" x14ac:dyDescent="0.55000000000000004">
      <c r="A444" s="295">
        <v>22920</v>
      </c>
      <c r="B444" s="1368">
        <v>6.4000000000000003E-3</v>
      </c>
      <c r="C444" s="1366">
        <v>-1.3999999999999998E-3</v>
      </c>
      <c r="D444" s="1366">
        <v>3.5000000000000005E-3</v>
      </c>
      <c r="E444" s="1366">
        <v>3.5666666666666668E-3</v>
      </c>
      <c r="F444" s="5">
        <v>3.6749999999999999E-3</v>
      </c>
      <c r="G444" s="5">
        <v>3.6208333333333331E-3</v>
      </c>
      <c r="H444" s="1366">
        <v>3.741666666666667E-3</v>
      </c>
      <c r="I444" s="1366">
        <f t="shared" si="18"/>
        <v>2.8999999999999998E-3</v>
      </c>
      <c r="J444" s="1366">
        <f t="shared" si="19"/>
        <v>2.7791666666666672E-3</v>
      </c>
      <c r="K444" s="1366">
        <f t="shared" si="20"/>
        <v>-5.1416666666666668E-3</v>
      </c>
    </row>
    <row r="445" spans="1:11" x14ac:dyDescent="0.55000000000000004">
      <c r="A445" s="295">
        <v>22951</v>
      </c>
      <c r="B445" s="1368">
        <v>0.1086</v>
      </c>
      <c r="C445" s="1366">
        <v>7.6800000000000007E-2</v>
      </c>
      <c r="D445" s="1366">
        <v>3.0999999999999999E-3</v>
      </c>
      <c r="E445" s="1366">
        <v>3.5416666666666669E-3</v>
      </c>
      <c r="F445" s="5">
        <v>3.666666666666667E-3</v>
      </c>
      <c r="G445" s="5">
        <v>3.604166666666667E-3</v>
      </c>
      <c r="H445" s="1366">
        <v>3.7083333333333334E-3</v>
      </c>
      <c r="I445" s="1366">
        <f t="shared" si="18"/>
        <v>0.1055</v>
      </c>
      <c r="J445" s="1366">
        <f t="shared" si="19"/>
        <v>0.10499583333333333</v>
      </c>
      <c r="K445" s="1366">
        <f t="shared" si="20"/>
        <v>7.309166666666668E-2</v>
      </c>
    </row>
    <row r="446" spans="1:11" x14ac:dyDescent="0.55000000000000004">
      <c r="A446" s="295">
        <v>22981</v>
      </c>
      <c r="B446" s="1368">
        <v>1.5299999999999999E-2</v>
      </c>
      <c r="C446" s="1366">
        <v>3.1199999999999995E-2</v>
      </c>
      <c r="D446" s="1366">
        <v>3.2000000000000002E-3</v>
      </c>
      <c r="E446" s="1366">
        <v>3.5333333333333332E-3</v>
      </c>
      <c r="F446" s="5">
        <v>3.65E-3</v>
      </c>
      <c r="G446" s="5">
        <v>3.5916666666666662E-3</v>
      </c>
      <c r="H446" s="1366">
        <v>3.7000000000000006E-3</v>
      </c>
      <c r="I446" s="1366">
        <f t="shared" si="18"/>
        <v>1.21E-2</v>
      </c>
      <c r="J446" s="1366">
        <f t="shared" si="19"/>
        <v>1.1708333333333333E-2</v>
      </c>
      <c r="K446" s="1366">
        <f t="shared" si="20"/>
        <v>2.7499999999999993E-2</v>
      </c>
    </row>
    <row r="447" spans="1:11" x14ac:dyDescent="0.55000000000000004">
      <c r="A447" s="295">
        <v>23012</v>
      </c>
      <c r="B447" s="1368">
        <v>5.0599999999999999E-2</v>
      </c>
      <c r="C447" s="1366">
        <v>5.5800000000000002E-2</v>
      </c>
      <c r="D447" s="1366">
        <v>3.2000000000000002E-3</v>
      </c>
      <c r="E447" s="1366">
        <v>3.5083333333333334E-3</v>
      </c>
      <c r="F447" s="5">
        <v>3.6416666666666667E-3</v>
      </c>
      <c r="G447" s="5">
        <v>3.5750000000000005E-3</v>
      </c>
      <c r="H447" s="1366">
        <v>3.6583333333333329E-3</v>
      </c>
      <c r="I447" s="1366">
        <f t="shared" si="18"/>
        <v>4.7399999999999998E-2</v>
      </c>
      <c r="J447" s="1366">
        <f t="shared" si="19"/>
        <v>4.7024999999999997E-2</v>
      </c>
      <c r="K447" s="1366">
        <f t="shared" si="20"/>
        <v>5.2141666666666669E-2</v>
      </c>
    </row>
    <row r="448" spans="1:11" x14ac:dyDescent="0.55000000000000004">
      <c r="A448" s="295">
        <v>23043</v>
      </c>
      <c r="B448" s="1368">
        <v>-2.3900000000000001E-2</v>
      </c>
      <c r="C448" s="1366">
        <v>-2.06E-2</v>
      </c>
      <c r="D448" s="1366">
        <v>2.8999999999999998E-3</v>
      </c>
      <c r="E448" s="1366">
        <v>3.4916666666666668E-3</v>
      </c>
      <c r="F448" s="5">
        <v>3.6333333333333335E-3</v>
      </c>
      <c r="G448" s="5">
        <v>3.5625000000000001E-3</v>
      </c>
      <c r="H448" s="1366">
        <v>3.6416666666666667E-3</v>
      </c>
      <c r="I448" s="1366">
        <f t="shared" si="18"/>
        <v>-2.6800000000000001E-2</v>
      </c>
      <c r="J448" s="1366">
        <f t="shared" si="19"/>
        <v>-2.7462500000000001E-2</v>
      </c>
      <c r="K448" s="1366">
        <f t="shared" si="20"/>
        <v>-2.4241666666666668E-2</v>
      </c>
    </row>
    <row r="449" spans="1:11" x14ac:dyDescent="0.55000000000000004">
      <c r="A449" s="295">
        <v>23071</v>
      </c>
      <c r="B449" s="1368">
        <v>3.6999999999999998E-2</v>
      </c>
      <c r="C449" s="1366">
        <v>1.8600000000000002E-2</v>
      </c>
      <c r="D449" s="1366">
        <v>3.0999999999999999E-3</v>
      </c>
      <c r="E449" s="1366">
        <v>3.4916666666666668E-3</v>
      </c>
      <c r="F449" s="5">
        <v>3.6166666666666665E-3</v>
      </c>
      <c r="G449" s="5">
        <v>3.5541666666666664E-3</v>
      </c>
      <c r="H449" s="1366">
        <v>3.6416666666666667E-3</v>
      </c>
      <c r="I449" s="1366">
        <f t="shared" si="18"/>
        <v>3.39E-2</v>
      </c>
      <c r="J449" s="1366">
        <f t="shared" si="19"/>
        <v>3.3445833333333334E-2</v>
      </c>
      <c r="K449" s="1366">
        <f t="shared" si="20"/>
        <v>1.4958333333333336E-2</v>
      </c>
    </row>
    <row r="450" spans="1:11" x14ac:dyDescent="0.55000000000000004">
      <c r="A450" s="295">
        <v>23102</v>
      </c>
      <c r="B450" s="1368">
        <v>0.05</v>
      </c>
      <c r="C450" s="1366">
        <v>2.3200000000000002E-2</v>
      </c>
      <c r="D450" s="1366">
        <v>3.3999999999999998E-3</v>
      </c>
      <c r="E450" s="1366">
        <v>3.5083333333333334E-3</v>
      </c>
      <c r="F450" s="5">
        <v>3.6249999999999998E-3</v>
      </c>
      <c r="G450" s="5">
        <v>3.5666666666666668E-3</v>
      </c>
      <c r="H450" s="1366">
        <v>3.6416666666666667E-3</v>
      </c>
      <c r="I450" s="1366">
        <f t="shared" si="18"/>
        <v>4.6600000000000003E-2</v>
      </c>
      <c r="J450" s="1366">
        <f t="shared" si="19"/>
        <v>4.6433333333333333E-2</v>
      </c>
      <c r="K450" s="1366">
        <f t="shared" si="20"/>
        <v>1.9558333333333334E-2</v>
      </c>
    </row>
    <row r="451" spans="1:11" x14ac:dyDescent="0.55000000000000004">
      <c r="A451" s="295">
        <v>23132</v>
      </c>
      <c r="B451" s="1368">
        <v>1.9300000000000001E-2</v>
      </c>
      <c r="C451" s="1366">
        <v>7.000000000000001E-3</v>
      </c>
      <c r="D451" s="1366">
        <v>3.3E-3</v>
      </c>
      <c r="E451" s="1366">
        <v>3.5166666666666662E-3</v>
      </c>
      <c r="F451" s="5">
        <v>3.6333333333333335E-3</v>
      </c>
      <c r="G451" s="5">
        <v>3.5750000000000001E-3</v>
      </c>
      <c r="H451" s="1366">
        <v>3.6416666666666667E-3</v>
      </c>
      <c r="I451" s="1366">
        <f t="shared" si="18"/>
        <v>1.6E-2</v>
      </c>
      <c r="J451" s="1366">
        <f t="shared" si="19"/>
        <v>1.5725000000000003E-2</v>
      </c>
      <c r="K451" s="1366">
        <f t="shared" si="20"/>
        <v>3.3583333333333343E-3</v>
      </c>
    </row>
    <row r="452" spans="1:11" x14ac:dyDescent="0.55000000000000004">
      <c r="A452" s="295">
        <v>23163</v>
      </c>
      <c r="B452" s="1368">
        <v>-1.8800000000000001E-2</v>
      </c>
      <c r="C452" s="1366">
        <v>-1.2299999999999998E-2</v>
      </c>
      <c r="D452" s="1366">
        <v>3.0000000000000001E-3</v>
      </c>
      <c r="E452" s="1366">
        <v>3.5250000000000004E-3</v>
      </c>
      <c r="F452" s="5">
        <v>3.6333333333333335E-3</v>
      </c>
      <c r="G452" s="5">
        <v>3.5791666666666667E-3</v>
      </c>
      <c r="H452" s="1366">
        <v>3.6416666666666667E-3</v>
      </c>
      <c r="I452" s="1366">
        <f t="shared" ref="I452:I515" si="21">B452-D452</f>
        <v>-2.18E-2</v>
      </c>
      <c r="J452" s="1366">
        <f t="shared" si="19"/>
        <v>-2.2379166666666669E-2</v>
      </c>
      <c r="K452" s="1366">
        <f t="shared" si="20"/>
        <v>-1.5941666666666666E-2</v>
      </c>
    </row>
    <row r="453" spans="1:11" x14ac:dyDescent="0.55000000000000004">
      <c r="A453" s="295">
        <v>23193</v>
      </c>
      <c r="B453" s="1368">
        <v>-2.2000000000000001E-3</v>
      </c>
      <c r="C453" s="1366">
        <v>1.23E-2</v>
      </c>
      <c r="D453" s="1366">
        <v>3.5999999999999999E-3</v>
      </c>
      <c r="E453" s="1366">
        <v>3.5499999999999998E-3</v>
      </c>
      <c r="F453" s="5">
        <v>3.6583333333333329E-3</v>
      </c>
      <c r="G453" s="5">
        <v>3.6041666666666661E-3</v>
      </c>
      <c r="H453" s="1366">
        <v>3.6583333333333329E-3</v>
      </c>
      <c r="I453" s="1366">
        <f t="shared" si="21"/>
        <v>-5.7999999999999996E-3</v>
      </c>
      <c r="J453" s="1366">
        <f t="shared" si="19"/>
        <v>-5.8041666666666658E-3</v>
      </c>
      <c r="K453" s="1366">
        <f t="shared" si="20"/>
        <v>8.6416666666666673E-3</v>
      </c>
    </row>
    <row r="454" spans="1:11" x14ac:dyDescent="0.55000000000000004">
      <c r="A454" s="295">
        <v>23224</v>
      </c>
      <c r="B454" s="1368">
        <v>5.3499999999999999E-2</v>
      </c>
      <c r="C454" s="1366">
        <v>4.2500000000000003E-2</v>
      </c>
      <c r="D454" s="1366">
        <v>3.3E-3</v>
      </c>
      <c r="E454" s="1366">
        <v>3.5750000000000001E-3</v>
      </c>
      <c r="F454" s="5">
        <v>3.666666666666667E-3</v>
      </c>
      <c r="G454" s="5">
        <v>3.6208333333333331E-3</v>
      </c>
      <c r="H454" s="1366">
        <v>3.65E-3</v>
      </c>
      <c r="I454" s="1366">
        <f t="shared" si="21"/>
        <v>5.0200000000000002E-2</v>
      </c>
      <c r="J454" s="1366">
        <f t="shared" si="19"/>
        <v>4.9879166666666669E-2</v>
      </c>
      <c r="K454" s="1366">
        <f t="shared" si="20"/>
        <v>3.8850000000000003E-2</v>
      </c>
    </row>
    <row r="455" spans="1:11" x14ac:dyDescent="0.55000000000000004">
      <c r="A455" s="295">
        <v>23255</v>
      </c>
      <c r="B455" s="1368">
        <v>-9.7000000000000003E-3</v>
      </c>
      <c r="C455" s="1366">
        <v>-2.58E-2</v>
      </c>
      <c r="D455" s="1366">
        <v>3.3999999999999998E-3</v>
      </c>
      <c r="E455" s="1366">
        <v>3.5916666666666662E-3</v>
      </c>
      <c r="F455" s="5">
        <v>3.6749999999999999E-3</v>
      </c>
      <c r="G455" s="5">
        <v>3.633333333333333E-3</v>
      </c>
      <c r="H455" s="1366">
        <v>3.666666666666667E-3</v>
      </c>
      <c r="I455" s="1366">
        <f t="shared" si="21"/>
        <v>-1.3100000000000001E-2</v>
      </c>
      <c r="J455" s="1366">
        <f t="shared" si="19"/>
        <v>-1.3333333333333332E-2</v>
      </c>
      <c r="K455" s="1366">
        <f t="shared" si="20"/>
        <v>-2.9466666666666669E-2</v>
      </c>
    </row>
    <row r="456" spans="1:11" x14ac:dyDescent="0.55000000000000004">
      <c r="A456" s="295">
        <v>23285</v>
      </c>
      <c r="B456" s="1368">
        <v>3.39E-2</v>
      </c>
      <c r="C456" s="1366">
        <v>-3.3E-3</v>
      </c>
      <c r="D456" s="1366">
        <v>3.3999999999999998E-3</v>
      </c>
      <c r="E456" s="1366">
        <v>3.6000000000000003E-3</v>
      </c>
      <c r="F456" s="5">
        <v>3.6916666666666664E-3</v>
      </c>
      <c r="G456" s="5">
        <v>3.6458333333333338E-3</v>
      </c>
      <c r="H456" s="1366">
        <v>3.6749999999999999E-3</v>
      </c>
      <c r="I456" s="1366">
        <f t="shared" si="21"/>
        <v>3.0499999999999999E-2</v>
      </c>
      <c r="J456" s="1366">
        <f t="shared" si="19"/>
        <v>3.0254166666666665E-2</v>
      </c>
      <c r="K456" s="1366">
        <f t="shared" si="20"/>
        <v>-6.9750000000000003E-3</v>
      </c>
    </row>
    <row r="457" spans="1:11" x14ac:dyDescent="0.55000000000000004">
      <c r="A457" s="295">
        <v>23316</v>
      </c>
      <c r="B457" s="1368">
        <v>-4.5999999999999999E-3</v>
      </c>
      <c r="C457" s="1366">
        <v>-8.199999999999999E-3</v>
      </c>
      <c r="D457" s="1366">
        <v>3.2000000000000002E-3</v>
      </c>
      <c r="E457" s="1366">
        <v>3.6083333333333332E-3</v>
      </c>
      <c r="F457" s="5">
        <v>3.7000000000000006E-3</v>
      </c>
      <c r="G457" s="5">
        <v>3.6541666666666671E-3</v>
      </c>
      <c r="H457" s="1366">
        <v>3.6833333333333336E-3</v>
      </c>
      <c r="I457" s="1366">
        <f t="shared" si="21"/>
        <v>-7.7999999999999996E-3</v>
      </c>
      <c r="J457" s="1366">
        <f t="shared" si="19"/>
        <v>-8.2541666666666666E-3</v>
      </c>
      <c r="K457" s="1366">
        <f t="shared" si="20"/>
        <v>-1.1883333333333333E-2</v>
      </c>
    </row>
    <row r="458" spans="1:11" x14ac:dyDescent="0.55000000000000004">
      <c r="A458" s="295">
        <v>23346</v>
      </c>
      <c r="B458" s="1368">
        <v>2.6200000000000001E-2</v>
      </c>
      <c r="C458" s="1366">
        <v>3.1699999999999999E-2</v>
      </c>
      <c r="D458" s="1366">
        <v>3.5999999999999999E-3</v>
      </c>
      <c r="E458" s="1366">
        <v>3.6249999999999998E-3</v>
      </c>
      <c r="F458" s="5">
        <v>3.7166666666666663E-3</v>
      </c>
      <c r="G458" s="5">
        <v>3.6708333333333332E-3</v>
      </c>
      <c r="H458" s="1366">
        <v>3.7166666666666663E-3</v>
      </c>
      <c r="I458" s="1366">
        <f t="shared" si="21"/>
        <v>2.2600000000000002E-2</v>
      </c>
      <c r="J458" s="1366">
        <f t="shared" si="19"/>
        <v>2.252916666666667E-2</v>
      </c>
      <c r="K458" s="1366">
        <f t="shared" si="20"/>
        <v>2.7983333333333332E-2</v>
      </c>
    </row>
    <row r="459" spans="1:11" x14ac:dyDescent="0.55000000000000004">
      <c r="A459" s="295">
        <v>23377</v>
      </c>
      <c r="B459" s="1368">
        <v>2.8299999999999999E-2</v>
      </c>
      <c r="C459" s="1366">
        <v>1.2699999999999999E-2</v>
      </c>
      <c r="D459" s="1366">
        <v>3.5000000000000005E-3</v>
      </c>
      <c r="E459" s="1366">
        <v>3.6416666666666667E-3</v>
      </c>
      <c r="F459" s="5">
        <v>3.741666666666667E-3</v>
      </c>
      <c r="G459" s="5">
        <v>3.6916666666666669E-3</v>
      </c>
      <c r="H459" s="1366">
        <v>3.741666666666667E-3</v>
      </c>
      <c r="I459" s="1366">
        <f t="shared" si="21"/>
        <v>2.4799999999999999E-2</v>
      </c>
      <c r="J459" s="1366">
        <f t="shared" si="19"/>
        <v>2.4608333333333333E-2</v>
      </c>
      <c r="K459" s="1366">
        <f t="shared" si="20"/>
        <v>8.958333333333332E-3</v>
      </c>
    </row>
    <row r="460" spans="1:11" x14ac:dyDescent="0.55000000000000004">
      <c r="A460" s="295">
        <v>23408</v>
      </c>
      <c r="B460" s="1368">
        <v>1.47E-2</v>
      </c>
      <c r="C460" s="1366">
        <v>3.2000000000000002E-3</v>
      </c>
      <c r="D460" s="1366">
        <v>3.2000000000000002E-3</v>
      </c>
      <c r="E460" s="1366">
        <v>3.6333333333333335E-3</v>
      </c>
      <c r="F460" s="5">
        <v>3.7166666666666663E-3</v>
      </c>
      <c r="G460" s="5">
        <v>3.6749999999999999E-3</v>
      </c>
      <c r="H460" s="1366">
        <v>3.7499999999999999E-3</v>
      </c>
      <c r="I460" s="1366">
        <f t="shared" si="21"/>
        <v>1.15E-2</v>
      </c>
      <c r="J460" s="1366">
        <f t="shared" si="19"/>
        <v>1.1025E-2</v>
      </c>
      <c r="K460" s="1366">
        <f t="shared" si="20"/>
        <v>-5.4999999999999971E-4</v>
      </c>
    </row>
    <row r="461" spans="1:11" x14ac:dyDescent="0.55000000000000004">
      <c r="A461" s="295">
        <v>23437</v>
      </c>
      <c r="B461" s="1368">
        <v>1.6500000000000001E-2</v>
      </c>
      <c r="C461" s="1366">
        <v>-3.5000000000000005E-3</v>
      </c>
      <c r="D461" s="1366">
        <v>3.7000000000000002E-3</v>
      </c>
      <c r="E461" s="1366">
        <v>3.65E-3</v>
      </c>
      <c r="F461" s="5">
        <v>3.725E-3</v>
      </c>
      <c r="G461" s="5">
        <v>3.6875000000000002E-3</v>
      </c>
      <c r="H461" s="1366">
        <v>3.7583333333333331E-3</v>
      </c>
      <c r="I461" s="1366">
        <f t="shared" si="21"/>
        <v>1.2800000000000001E-2</v>
      </c>
      <c r="J461" s="1366">
        <f t="shared" si="19"/>
        <v>1.2812500000000001E-2</v>
      </c>
      <c r="K461" s="1366">
        <f t="shared" si="20"/>
        <v>-7.2583333333333337E-3</v>
      </c>
    </row>
    <row r="462" spans="1:11" x14ac:dyDescent="0.55000000000000004">
      <c r="A462" s="295">
        <v>23468</v>
      </c>
      <c r="B462" s="1368">
        <v>7.4999999999999997E-3</v>
      </c>
      <c r="C462" s="1366">
        <v>6.6999999999999994E-3</v>
      </c>
      <c r="D462" s="1366">
        <v>3.5000000000000005E-3</v>
      </c>
      <c r="E462" s="1366">
        <v>3.666666666666667E-3</v>
      </c>
      <c r="F462" s="5">
        <v>3.741666666666667E-3</v>
      </c>
      <c r="G462" s="5">
        <v>3.7041666666666672E-3</v>
      </c>
      <c r="H462" s="1366">
        <v>3.7666666666666664E-3</v>
      </c>
      <c r="I462" s="1366">
        <f t="shared" si="21"/>
        <v>3.9999999999999992E-3</v>
      </c>
      <c r="J462" s="1366">
        <f t="shared" si="19"/>
        <v>3.7958333333333325E-3</v>
      </c>
      <c r="K462" s="1366">
        <f t="shared" si="20"/>
        <v>2.9333333333333329E-3</v>
      </c>
    </row>
    <row r="463" spans="1:11" x14ac:dyDescent="0.55000000000000004">
      <c r="A463" s="295">
        <v>23498</v>
      </c>
      <c r="B463" s="1368">
        <v>1.6199999999999999E-2</v>
      </c>
      <c r="C463" s="1366">
        <v>3.2000000000000002E-3</v>
      </c>
      <c r="D463" s="1366">
        <v>3.2000000000000002E-3</v>
      </c>
      <c r="E463" s="1366">
        <v>3.6749999999999999E-3</v>
      </c>
      <c r="F463" s="5">
        <v>3.7499999999999999E-3</v>
      </c>
      <c r="G463" s="5">
        <v>3.7124999999999997E-3</v>
      </c>
      <c r="H463" s="1366">
        <v>3.7750000000000001E-3</v>
      </c>
      <c r="I463" s="1366">
        <f t="shared" si="21"/>
        <v>1.2999999999999999E-2</v>
      </c>
      <c r="J463" s="1366">
        <f t="shared" si="19"/>
        <v>1.2487499999999999E-2</v>
      </c>
      <c r="K463" s="1366">
        <f t="shared" si="20"/>
        <v>-5.7499999999999999E-4</v>
      </c>
    </row>
    <row r="464" spans="1:11" x14ac:dyDescent="0.55000000000000004">
      <c r="A464" s="295">
        <v>23529</v>
      </c>
      <c r="B464" s="1368">
        <v>1.78E-2</v>
      </c>
      <c r="C464" s="1366">
        <v>2.3399999999999997E-2</v>
      </c>
      <c r="D464" s="1366">
        <v>3.8E-3</v>
      </c>
      <c r="E464" s="1366">
        <v>3.6749999999999999E-3</v>
      </c>
      <c r="F464" s="5">
        <v>3.7583333333333331E-3</v>
      </c>
      <c r="G464" s="5">
        <v>3.7166666666666663E-3</v>
      </c>
      <c r="H464" s="1366">
        <v>3.7916666666666667E-3</v>
      </c>
      <c r="I464" s="1366">
        <f t="shared" si="21"/>
        <v>1.4E-2</v>
      </c>
      <c r="J464" s="1366">
        <f t="shared" si="19"/>
        <v>1.4083333333333333E-2</v>
      </c>
      <c r="K464" s="1366">
        <f t="shared" si="20"/>
        <v>1.9608333333333332E-2</v>
      </c>
    </row>
    <row r="465" spans="1:11" x14ac:dyDescent="0.55000000000000004">
      <c r="A465" s="295">
        <v>23559</v>
      </c>
      <c r="B465" s="1368">
        <v>1.95E-2</v>
      </c>
      <c r="C465" s="1366">
        <v>4.7100000000000003E-2</v>
      </c>
      <c r="D465" s="1366">
        <v>3.5000000000000005E-3</v>
      </c>
      <c r="E465" s="1366">
        <v>3.666666666666667E-3</v>
      </c>
      <c r="F465" s="5">
        <v>3.7499999999999999E-3</v>
      </c>
      <c r="G465" s="5">
        <v>3.7083333333333334E-3</v>
      </c>
      <c r="H465" s="1366">
        <v>3.7833333333333334E-3</v>
      </c>
      <c r="I465" s="1366">
        <f t="shared" si="21"/>
        <v>1.6E-2</v>
      </c>
      <c r="J465" s="1366">
        <f t="shared" si="19"/>
        <v>1.5791666666666666E-2</v>
      </c>
      <c r="K465" s="1366">
        <f t="shared" si="20"/>
        <v>4.331666666666667E-2</v>
      </c>
    </row>
    <row r="466" spans="1:11" x14ac:dyDescent="0.55000000000000004">
      <c r="A466" s="295">
        <v>23590</v>
      </c>
      <c r="B466" s="1368">
        <v>-1.18E-2</v>
      </c>
      <c r="C466" s="1366">
        <v>3.1000000000000003E-3</v>
      </c>
      <c r="D466" s="1366">
        <v>3.5000000000000005E-3</v>
      </c>
      <c r="E466" s="1366">
        <v>3.6749999999999999E-3</v>
      </c>
      <c r="F466" s="5">
        <v>3.741666666666667E-3</v>
      </c>
      <c r="G466" s="5">
        <v>3.7083333333333334E-3</v>
      </c>
      <c r="H466" s="1366">
        <v>3.7833333333333334E-3</v>
      </c>
      <c r="I466" s="1366">
        <f t="shared" si="21"/>
        <v>-1.5300000000000001E-2</v>
      </c>
      <c r="J466" s="1366">
        <f t="shared" si="19"/>
        <v>-1.5508333333333332E-2</v>
      </c>
      <c r="K466" s="1366">
        <f t="shared" si="20"/>
        <v>-6.833333333333331E-4</v>
      </c>
    </row>
    <row r="467" spans="1:11" x14ac:dyDescent="0.55000000000000004">
      <c r="A467" s="295">
        <v>23621</v>
      </c>
      <c r="B467" s="1368">
        <v>3.0099999999999998E-2</v>
      </c>
      <c r="C467" s="1366">
        <v>1.7000000000000001E-2</v>
      </c>
      <c r="D467" s="1366">
        <v>3.3999999999999998E-3</v>
      </c>
      <c r="E467" s="1366">
        <v>3.6833333333333336E-3</v>
      </c>
      <c r="F467" s="5">
        <v>3.7333333333333333E-3</v>
      </c>
      <c r="G467" s="5">
        <v>3.7083333333333334E-3</v>
      </c>
      <c r="H467" s="1366">
        <v>3.7750000000000001E-3</v>
      </c>
      <c r="I467" s="1366">
        <f t="shared" si="21"/>
        <v>2.6699999999999998E-2</v>
      </c>
      <c r="J467" s="1366">
        <f t="shared" si="19"/>
        <v>2.6391666666666664E-2</v>
      </c>
      <c r="K467" s="1366">
        <f t="shared" si="20"/>
        <v>1.3225000000000001E-2</v>
      </c>
    </row>
    <row r="468" spans="1:11" x14ac:dyDescent="0.55000000000000004">
      <c r="A468" s="295">
        <v>23651</v>
      </c>
      <c r="B468" s="1368">
        <v>9.5999999999999992E-3</v>
      </c>
      <c r="C468" s="1366">
        <v>1.6500000000000001E-2</v>
      </c>
      <c r="D468" s="1366">
        <v>3.3999999999999998E-3</v>
      </c>
      <c r="E468" s="1366">
        <v>3.6833333333333336E-3</v>
      </c>
      <c r="F468" s="5">
        <v>3.741666666666667E-3</v>
      </c>
      <c r="G468" s="5">
        <v>3.7125000000000001E-3</v>
      </c>
      <c r="H468" s="1366">
        <v>3.7583333333333331E-3</v>
      </c>
      <c r="I468" s="1366">
        <f t="shared" si="21"/>
        <v>6.1999999999999989E-3</v>
      </c>
      <c r="J468" s="1366">
        <f t="shared" si="19"/>
        <v>5.8874999999999986E-3</v>
      </c>
      <c r="K468" s="1366">
        <f t="shared" si="20"/>
        <v>1.2741666666666669E-2</v>
      </c>
    </row>
    <row r="469" spans="1:11" x14ac:dyDescent="0.55000000000000004">
      <c r="A469" s="295">
        <v>23682</v>
      </c>
      <c r="B469" s="1368">
        <v>5.0000000000000001E-4</v>
      </c>
      <c r="C469" s="1366">
        <v>1.14E-2</v>
      </c>
      <c r="D469" s="1366">
        <v>3.5000000000000005E-3</v>
      </c>
      <c r="E469" s="1366">
        <v>3.6916666666666664E-3</v>
      </c>
      <c r="F469" s="5">
        <v>3.741666666666667E-3</v>
      </c>
      <c r="G469" s="5">
        <v>3.7166666666666672E-3</v>
      </c>
      <c r="H469" s="1366">
        <v>3.7750000000000001E-3</v>
      </c>
      <c r="I469" s="1366">
        <f t="shared" si="21"/>
        <v>-3.0000000000000005E-3</v>
      </c>
      <c r="J469" s="1366">
        <f t="shared" si="19"/>
        <v>-3.2166666666666672E-3</v>
      </c>
      <c r="K469" s="1366">
        <f t="shared" si="20"/>
        <v>7.6249999999999998E-3</v>
      </c>
    </row>
    <row r="470" spans="1:11" x14ac:dyDescent="0.55000000000000004">
      <c r="A470" s="295">
        <v>23712</v>
      </c>
      <c r="B470" s="1368">
        <v>5.5999999999999999E-3</v>
      </c>
      <c r="C470" s="1366">
        <v>8.6E-3</v>
      </c>
      <c r="D470" s="1366">
        <v>3.5000000000000005E-3</v>
      </c>
      <c r="E470" s="1366">
        <v>3.7000000000000006E-3</v>
      </c>
      <c r="F470" s="5">
        <v>3.7499999999999999E-3</v>
      </c>
      <c r="G470" s="5">
        <v>3.7250000000000004E-3</v>
      </c>
      <c r="H470" s="1366">
        <v>3.7833333333333334E-3</v>
      </c>
      <c r="I470" s="1366">
        <f t="shared" si="21"/>
        <v>2.0999999999999994E-3</v>
      </c>
      <c r="J470" s="1366">
        <f t="shared" si="19"/>
        <v>1.8749999999999995E-3</v>
      </c>
      <c r="K470" s="1366">
        <f t="shared" si="20"/>
        <v>4.816666666666667E-3</v>
      </c>
    </row>
    <row r="471" spans="1:11" x14ac:dyDescent="0.55000000000000004">
      <c r="A471" s="295">
        <v>23743</v>
      </c>
      <c r="B471" s="1368">
        <v>3.4500000000000003E-2</v>
      </c>
      <c r="C471" s="1366">
        <v>3.7100000000000001E-2</v>
      </c>
      <c r="D471" s="1366">
        <v>3.3E-3</v>
      </c>
      <c r="E471" s="1366">
        <v>3.6916666666666664E-3</v>
      </c>
      <c r="F471" s="5">
        <v>3.7333333333333333E-3</v>
      </c>
      <c r="G471" s="5">
        <v>3.7124999999999997E-3</v>
      </c>
      <c r="H471" s="1366">
        <v>3.7750000000000001E-3</v>
      </c>
      <c r="I471" s="1366">
        <f t="shared" si="21"/>
        <v>3.1200000000000002E-2</v>
      </c>
      <c r="J471" s="1366">
        <f t="shared" si="19"/>
        <v>3.0787500000000002E-2</v>
      </c>
      <c r="K471" s="1366">
        <f t="shared" si="20"/>
        <v>3.3325E-2</v>
      </c>
    </row>
    <row r="472" spans="1:11" x14ac:dyDescent="0.55000000000000004">
      <c r="A472" s="295">
        <v>23774</v>
      </c>
      <c r="B472" s="1368">
        <v>3.0999999999999999E-3</v>
      </c>
      <c r="C472" s="1366">
        <v>8.9999999999999998E-4</v>
      </c>
      <c r="D472" s="1366">
        <v>3.2000000000000002E-3</v>
      </c>
      <c r="E472" s="1366">
        <v>3.6749999999999999E-3</v>
      </c>
      <c r="F472" s="5">
        <v>3.7166666666666663E-3</v>
      </c>
      <c r="G472" s="5">
        <v>3.6958333333333331E-3</v>
      </c>
      <c r="H472" s="1366">
        <v>3.7583333333333331E-3</v>
      </c>
      <c r="I472" s="1366">
        <f t="shared" si="21"/>
        <v>-1.0000000000000026E-4</v>
      </c>
      <c r="J472" s="1366">
        <f t="shared" si="19"/>
        <v>-5.958333333333332E-4</v>
      </c>
      <c r="K472" s="1366">
        <f t="shared" si="20"/>
        <v>-2.8583333333333334E-3</v>
      </c>
    </row>
    <row r="473" spans="1:11" x14ac:dyDescent="0.55000000000000004">
      <c r="A473" s="295">
        <v>23802</v>
      </c>
      <c r="B473" s="1368">
        <v>-1.3299999999999999E-2</v>
      </c>
      <c r="C473" s="1366">
        <v>6.9999999999999988E-4</v>
      </c>
      <c r="D473" s="1366">
        <v>3.8E-3</v>
      </c>
      <c r="E473" s="1366">
        <v>3.6833333333333336E-3</v>
      </c>
      <c r="F473" s="5">
        <v>3.7333333333333333E-3</v>
      </c>
      <c r="G473" s="5">
        <v>3.7083333333333334E-3</v>
      </c>
      <c r="H473" s="1366">
        <v>3.7499999999999999E-3</v>
      </c>
      <c r="I473" s="1366">
        <f t="shared" si="21"/>
        <v>-1.7100000000000001E-2</v>
      </c>
      <c r="J473" s="1366">
        <f t="shared" si="19"/>
        <v>-1.7008333333333334E-2</v>
      </c>
      <c r="K473" s="1366">
        <f t="shared" si="20"/>
        <v>-3.0499999999999998E-3</v>
      </c>
    </row>
    <row r="474" spans="1:11" x14ac:dyDescent="0.55000000000000004">
      <c r="A474" s="295">
        <v>23833</v>
      </c>
      <c r="B474" s="1368">
        <v>3.56E-2</v>
      </c>
      <c r="C474" s="1366">
        <v>1.09E-2</v>
      </c>
      <c r="D474" s="1366">
        <v>3.3E-3</v>
      </c>
      <c r="E474" s="1366">
        <v>3.6916666666666664E-3</v>
      </c>
      <c r="F474" s="5">
        <v>3.7333333333333333E-3</v>
      </c>
      <c r="G474" s="5">
        <v>3.7124999999999997E-3</v>
      </c>
      <c r="H474" s="1366">
        <v>3.741666666666667E-3</v>
      </c>
      <c r="I474" s="1366">
        <f t="shared" si="21"/>
        <v>3.2300000000000002E-2</v>
      </c>
      <c r="J474" s="1366">
        <f t="shared" si="19"/>
        <v>3.1887499999999999E-2</v>
      </c>
      <c r="K474" s="1366">
        <f t="shared" si="20"/>
        <v>7.1583333333333325E-3</v>
      </c>
    </row>
    <row r="475" spans="1:11" x14ac:dyDescent="0.55000000000000004">
      <c r="A475" s="295">
        <v>23863</v>
      </c>
      <c r="B475" s="1368">
        <v>-3.0000000000000001E-3</v>
      </c>
      <c r="C475" s="1366">
        <v>-8.3999999999999995E-3</v>
      </c>
      <c r="D475" s="1366">
        <v>3.3E-3</v>
      </c>
      <c r="E475" s="1366">
        <v>3.7000000000000006E-3</v>
      </c>
      <c r="F475" s="5">
        <v>3.741666666666667E-3</v>
      </c>
      <c r="G475" s="5">
        <v>3.7208333333333338E-3</v>
      </c>
      <c r="H475" s="1366">
        <v>3.7499999999999999E-3</v>
      </c>
      <c r="I475" s="1366">
        <f t="shared" si="21"/>
        <v>-6.3E-3</v>
      </c>
      <c r="J475" s="1366">
        <f t="shared" ref="J475:J538" si="22">B475-G475</f>
        <v>-6.7208333333333339E-3</v>
      </c>
      <c r="K475" s="1366">
        <f t="shared" ref="K475:K538" si="23">$C475-H475</f>
        <v>-1.2149999999999999E-2</v>
      </c>
    </row>
    <row r="476" spans="1:11" x14ac:dyDescent="0.55000000000000004">
      <c r="A476" s="295">
        <v>23894</v>
      </c>
      <c r="B476" s="1368">
        <v>-4.7300000000000002E-2</v>
      </c>
      <c r="C476" s="1366">
        <v>-3.4000000000000002E-2</v>
      </c>
      <c r="D476" s="1366">
        <v>3.8E-3</v>
      </c>
      <c r="E476" s="1366">
        <v>3.7166666666666663E-3</v>
      </c>
      <c r="F476" s="5">
        <v>3.7666666666666664E-3</v>
      </c>
      <c r="G476" s="5">
        <v>3.7416666666666666E-3</v>
      </c>
      <c r="H476" s="1366">
        <v>3.7666666666666664E-3</v>
      </c>
      <c r="I476" s="1366">
        <f t="shared" si="21"/>
        <v>-5.11E-2</v>
      </c>
      <c r="J476" s="1366">
        <f t="shared" si="22"/>
        <v>-5.1041666666666666E-2</v>
      </c>
      <c r="K476" s="1366">
        <f t="shared" si="23"/>
        <v>-3.7766666666666671E-2</v>
      </c>
    </row>
    <row r="477" spans="1:11" x14ac:dyDescent="0.55000000000000004">
      <c r="A477" s="295">
        <v>23924</v>
      </c>
      <c r="B477" s="1368">
        <v>1.47E-2</v>
      </c>
      <c r="C477" s="1366">
        <v>1.0500000000000001E-2</v>
      </c>
      <c r="D477" s="1366">
        <v>3.3999999999999998E-3</v>
      </c>
      <c r="E477" s="1366">
        <v>3.7333333333333333E-3</v>
      </c>
      <c r="F477" s="5">
        <v>3.7999999999999996E-3</v>
      </c>
      <c r="G477" s="5">
        <v>3.7666666666666664E-3</v>
      </c>
      <c r="H477" s="1366">
        <v>3.7833333333333334E-3</v>
      </c>
      <c r="I477" s="1366">
        <f t="shared" si="21"/>
        <v>1.1299999999999999E-2</v>
      </c>
      <c r="J477" s="1366">
        <f t="shared" si="22"/>
        <v>1.0933333333333333E-2</v>
      </c>
      <c r="K477" s="1366">
        <f t="shared" si="23"/>
        <v>6.7166666666666677E-3</v>
      </c>
    </row>
    <row r="478" spans="1:11" x14ac:dyDescent="0.55000000000000004">
      <c r="A478" s="295">
        <v>23955</v>
      </c>
      <c r="B478" s="1368">
        <v>2.7199999999999998E-2</v>
      </c>
      <c r="C478" s="1366">
        <v>9.7000000000000003E-3</v>
      </c>
      <c r="D478" s="1366">
        <v>3.7000000000000002E-3</v>
      </c>
      <c r="E478" s="1366">
        <v>3.741666666666667E-3</v>
      </c>
      <c r="F478" s="5">
        <v>3.8250000000000003E-3</v>
      </c>
      <c r="G478" s="5">
        <v>3.7833333333333334E-3</v>
      </c>
      <c r="H478" s="1366">
        <v>3.8166666666666666E-3</v>
      </c>
      <c r="I478" s="1366">
        <f t="shared" si="21"/>
        <v>2.35E-2</v>
      </c>
      <c r="J478" s="1366">
        <f t="shared" si="22"/>
        <v>2.3416666666666665E-2</v>
      </c>
      <c r="K478" s="1366">
        <f t="shared" si="23"/>
        <v>5.8833333333333342E-3</v>
      </c>
    </row>
    <row r="479" spans="1:11" x14ac:dyDescent="0.55000000000000004">
      <c r="A479" s="295">
        <v>23986</v>
      </c>
      <c r="B479" s="1368">
        <v>3.3399999999999999E-2</v>
      </c>
      <c r="C479" s="1366">
        <v>1.9400000000000001E-2</v>
      </c>
      <c r="D479" s="1366">
        <v>3.5000000000000005E-3</v>
      </c>
      <c r="E479" s="1366">
        <v>3.7666666666666664E-3</v>
      </c>
      <c r="F479" s="5">
        <v>3.858333333333333E-3</v>
      </c>
      <c r="G479" s="5">
        <v>3.8124999999999999E-3</v>
      </c>
      <c r="H479" s="1366">
        <v>3.858333333333333E-3</v>
      </c>
      <c r="I479" s="1366">
        <f t="shared" si="21"/>
        <v>2.9899999999999999E-2</v>
      </c>
      <c r="J479" s="1366">
        <f t="shared" si="22"/>
        <v>2.9587499999999999E-2</v>
      </c>
      <c r="K479" s="1366">
        <f t="shared" si="23"/>
        <v>1.5541666666666667E-2</v>
      </c>
    </row>
    <row r="480" spans="1:11" x14ac:dyDescent="0.55000000000000004">
      <c r="A480" s="295">
        <v>24016</v>
      </c>
      <c r="B480" s="1368">
        <v>2.8899999999999999E-2</v>
      </c>
      <c r="C480" s="1366">
        <v>1.2900000000000002E-2</v>
      </c>
      <c r="D480" s="1366">
        <v>3.3999999999999998E-3</v>
      </c>
      <c r="E480" s="1366">
        <v>3.7999999999999996E-3</v>
      </c>
      <c r="F480" s="5">
        <v>3.8833333333333337E-3</v>
      </c>
      <c r="G480" s="5">
        <v>3.8416666666666664E-3</v>
      </c>
      <c r="H480" s="1366">
        <v>3.8833333333333337E-3</v>
      </c>
      <c r="I480" s="1366">
        <f t="shared" si="21"/>
        <v>2.5499999999999998E-2</v>
      </c>
      <c r="J480" s="1366">
        <f t="shared" si="22"/>
        <v>2.5058333333333332E-2</v>
      </c>
      <c r="K480" s="1366">
        <f t="shared" si="23"/>
        <v>9.0166666666666676E-3</v>
      </c>
    </row>
    <row r="481" spans="1:11" x14ac:dyDescent="0.55000000000000004">
      <c r="A481" s="295">
        <v>24047</v>
      </c>
      <c r="B481" s="1368">
        <v>-3.0999999999999999E-3</v>
      </c>
      <c r="C481" s="1366">
        <v>-1.1599999999999999E-2</v>
      </c>
      <c r="D481" s="1366">
        <v>3.7000000000000002E-3</v>
      </c>
      <c r="E481" s="1366">
        <v>3.8333333333333331E-3</v>
      </c>
      <c r="F481" s="5">
        <v>3.908333333333334E-3</v>
      </c>
      <c r="G481" s="5">
        <v>3.8708333333333333E-3</v>
      </c>
      <c r="H481" s="1366">
        <v>3.9250000000000005E-3</v>
      </c>
      <c r="I481" s="1366">
        <f t="shared" si="21"/>
        <v>-6.8000000000000005E-3</v>
      </c>
      <c r="J481" s="1366">
        <f t="shared" si="22"/>
        <v>-6.9708333333333332E-3</v>
      </c>
      <c r="K481" s="1366">
        <f t="shared" si="23"/>
        <v>-1.5525000000000001E-2</v>
      </c>
    </row>
    <row r="482" spans="1:11" x14ac:dyDescent="0.55000000000000004">
      <c r="A482" s="295">
        <v>24077</v>
      </c>
      <c r="B482" s="1368">
        <v>1.06E-2</v>
      </c>
      <c r="C482" s="1366">
        <v>-7.9999999999999993E-4</v>
      </c>
      <c r="D482" s="1366">
        <v>3.7000000000000002E-3</v>
      </c>
      <c r="E482" s="1366">
        <v>3.8999999999999994E-3</v>
      </c>
      <c r="F482" s="5">
        <v>4.0000000000000001E-3</v>
      </c>
      <c r="G482" s="5">
        <v>3.9499999999999995E-3</v>
      </c>
      <c r="H482" s="1366">
        <v>4.0249999999999999E-3</v>
      </c>
      <c r="I482" s="1366">
        <f t="shared" si="21"/>
        <v>6.8999999999999999E-3</v>
      </c>
      <c r="J482" s="1366">
        <f t="shared" si="22"/>
        <v>6.6500000000000005E-3</v>
      </c>
      <c r="K482" s="1366">
        <f t="shared" si="23"/>
        <v>-4.8249999999999994E-3</v>
      </c>
    </row>
    <row r="483" spans="1:11" x14ac:dyDescent="0.55000000000000004">
      <c r="A483" s="295">
        <v>24108</v>
      </c>
      <c r="B483" s="1368">
        <v>6.1999999999999998E-3</v>
      </c>
      <c r="C483" s="1366">
        <v>-2.9699999999999997E-2</v>
      </c>
      <c r="D483" s="1366">
        <v>3.8E-3</v>
      </c>
      <c r="E483" s="1366">
        <v>3.9500000000000004E-3</v>
      </c>
      <c r="F483" s="5">
        <v>4.0249999999999999E-3</v>
      </c>
      <c r="G483" s="5">
        <v>3.9875000000000006E-3</v>
      </c>
      <c r="H483" s="1366">
        <v>4.0500000000000006E-3</v>
      </c>
      <c r="I483" s="1366">
        <f t="shared" si="21"/>
        <v>2.3999999999999998E-3</v>
      </c>
      <c r="J483" s="1366">
        <f t="shared" si="22"/>
        <v>2.2124999999999992E-3</v>
      </c>
      <c r="K483" s="1366">
        <f t="shared" si="23"/>
        <v>-3.3749999999999995E-2</v>
      </c>
    </row>
    <row r="484" spans="1:11" x14ac:dyDescent="0.55000000000000004">
      <c r="A484" s="295">
        <v>24139</v>
      </c>
      <c r="B484" s="1368">
        <v>-1.3100000000000001E-2</v>
      </c>
      <c r="C484" s="1366">
        <v>-4.1399999999999999E-2</v>
      </c>
      <c r="D484" s="1366">
        <v>3.3999999999999998E-3</v>
      </c>
      <c r="E484" s="1366">
        <v>3.9833333333333335E-3</v>
      </c>
      <c r="F484" s="5">
        <v>4.0833333333333338E-3</v>
      </c>
      <c r="G484" s="5">
        <v>4.0333333333333341E-3</v>
      </c>
      <c r="H484" s="1366">
        <v>4.0999999999999995E-3</v>
      </c>
      <c r="I484" s="1366">
        <f t="shared" si="21"/>
        <v>-1.6500000000000001E-2</v>
      </c>
      <c r="J484" s="1366">
        <f t="shared" si="22"/>
        <v>-1.7133333333333334E-2</v>
      </c>
      <c r="K484" s="1366">
        <f t="shared" si="23"/>
        <v>-4.5499999999999999E-2</v>
      </c>
    </row>
    <row r="485" spans="1:11" x14ac:dyDescent="0.55000000000000004">
      <c r="A485" s="295">
        <v>24167</v>
      </c>
      <c r="B485" s="1368">
        <v>-2.0500000000000001E-2</v>
      </c>
      <c r="C485" s="1366">
        <v>-4.5000000000000005E-3</v>
      </c>
      <c r="D485" s="1366">
        <v>4.0000000000000001E-3</v>
      </c>
      <c r="E485" s="1366">
        <v>4.0999999999999995E-3</v>
      </c>
      <c r="F485" s="5">
        <v>4.208333333333333E-3</v>
      </c>
      <c r="G485" s="5">
        <v>4.1541666666666663E-3</v>
      </c>
      <c r="H485" s="1366">
        <v>4.2833333333333326E-3</v>
      </c>
      <c r="I485" s="1366">
        <f t="shared" si="21"/>
        <v>-2.4500000000000001E-2</v>
      </c>
      <c r="J485" s="1366">
        <f t="shared" si="22"/>
        <v>-2.4654166666666668E-2</v>
      </c>
      <c r="K485" s="1366">
        <f t="shared" si="23"/>
        <v>-8.783333333333334E-3</v>
      </c>
    </row>
    <row r="486" spans="1:11" x14ac:dyDescent="0.55000000000000004">
      <c r="A486" s="295">
        <v>24198</v>
      </c>
      <c r="B486" s="1368">
        <v>2.1999999999999999E-2</v>
      </c>
      <c r="C486" s="1366">
        <v>1.72E-2</v>
      </c>
      <c r="D486" s="1366">
        <v>3.5999999999999999E-3</v>
      </c>
      <c r="E486" s="1366">
        <v>4.1083333333333336E-3</v>
      </c>
      <c r="F486" s="5">
        <v>4.2500000000000003E-3</v>
      </c>
      <c r="G486" s="5">
        <v>4.179166666666667E-3</v>
      </c>
      <c r="H486" s="1366">
        <v>4.3750000000000004E-3</v>
      </c>
      <c r="I486" s="1366">
        <f t="shared" si="21"/>
        <v>1.84E-2</v>
      </c>
      <c r="J486" s="1366">
        <f t="shared" si="22"/>
        <v>1.7820833333333331E-2</v>
      </c>
      <c r="K486" s="1366">
        <f t="shared" si="23"/>
        <v>1.2825E-2</v>
      </c>
    </row>
    <row r="487" spans="1:11" x14ac:dyDescent="0.55000000000000004">
      <c r="A487" s="295">
        <v>24228</v>
      </c>
      <c r="B487" s="1368">
        <v>-4.9200000000000001E-2</v>
      </c>
      <c r="C487" s="1366">
        <v>-2.9600000000000001E-2</v>
      </c>
      <c r="D487" s="1366">
        <v>4.1000000000000003E-3</v>
      </c>
      <c r="E487" s="1366">
        <v>4.15E-3</v>
      </c>
      <c r="F487" s="5">
        <v>4.2500000000000003E-3</v>
      </c>
      <c r="G487" s="5">
        <v>4.2000000000000006E-3</v>
      </c>
      <c r="H487" s="1366">
        <v>4.3750000000000004E-3</v>
      </c>
      <c r="I487" s="1366">
        <f t="shared" si="21"/>
        <v>-5.33E-2</v>
      </c>
      <c r="J487" s="1366">
        <f t="shared" si="22"/>
        <v>-5.3400000000000003E-2</v>
      </c>
      <c r="K487" s="1366">
        <f t="shared" si="23"/>
        <v>-3.3975000000000005E-2</v>
      </c>
    </row>
    <row r="488" spans="1:11" x14ac:dyDescent="0.55000000000000004">
      <c r="A488" s="295">
        <v>24259</v>
      </c>
      <c r="B488" s="1368">
        <v>-1.46E-2</v>
      </c>
      <c r="C488" s="1366">
        <v>-1.8099999999999998E-2</v>
      </c>
      <c r="D488" s="1366">
        <v>3.8999999999999994E-3</v>
      </c>
      <c r="E488" s="1366">
        <v>4.2250000000000005E-3</v>
      </c>
      <c r="F488" s="5">
        <v>4.3E-3</v>
      </c>
      <c r="G488" s="5">
        <v>4.2624999999999998E-3</v>
      </c>
      <c r="H488" s="1366">
        <v>4.5000000000000005E-3</v>
      </c>
      <c r="I488" s="1366">
        <f t="shared" si="21"/>
        <v>-1.8499999999999999E-2</v>
      </c>
      <c r="J488" s="1366">
        <f t="shared" si="22"/>
        <v>-1.8862500000000001E-2</v>
      </c>
      <c r="K488" s="1366">
        <f t="shared" si="23"/>
        <v>-2.2599999999999999E-2</v>
      </c>
    </row>
    <row r="489" spans="1:11" x14ac:dyDescent="0.55000000000000004">
      <c r="A489" s="295">
        <v>24289</v>
      </c>
      <c r="B489" s="1368">
        <v>-1.2E-2</v>
      </c>
      <c r="C489" s="1366">
        <v>9.0000000000000019E-4</v>
      </c>
      <c r="D489" s="1366">
        <v>3.8E-3</v>
      </c>
      <c r="E489" s="1366">
        <v>4.3E-3</v>
      </c>
      <c r="F489" s="5">
        <v>4.3750000000000004E-3</v>
      </c>
      <c r="G489" s="5">
        <v>4.3374999999999993E-3</v>
      </c>
      <c r="H489" s="1366">
        <v>4.5416666666666669E-3</v>
      </c>
      <c r="I489" s="1366">
        <f t="shared" si="21"/>
        <v>-1.5800000000000002E-2</v>
      </c>
      <c r="J489" s="1366">
        <f t="shared" si="22"/>
        <v>-1.6337499999999998E-2</v>
      </c>
      <c r="K489" s="1366">
        <f t="shared" si="23"/>
        <v>-3.6416666666666667E-3</v>
      </c>
    </row>
    <row r="490" spans="1:11" x14ac:dyDescent="0.55000000000000004">
      <c r="A490" s="295">
        <v>24320</v>
      </c>
      <c r="B490" s="1368">
        <v>-7.2499999999999995E-2</v>
      </c>
      <c r="C490" s="1366">
        <v>-8.7499999999999994E-2</v>
      </c>
      <c r="D490" s="1366">
        <v>4.3E-3</v>
      </c>
      <c r="E490" s="1366">
        <v>4.4249999999999992E-3</v>
      </c>
      <c r="F490" s="5">
        <v>4.4833333333333331E-3</v>
      </c>
      <c r="G490" s="5">
        <v>4.4541666666666662E-3</v>
      </c>
      <c r="H490" s="1366">
        <v>4.6500000000000005E-3</v>
      </c>
      <c r="I490" s="1366">
        <f t="shared" si="21"/>
        <v>-7.6799999999999993E-2</v>
      </c>
      <c r="J490" s="1366">
        <f t="shared" si="22"/>
        <v>-7.6954166666666657E-2</v>
      </c>
      <c r="K490" s="1366">
        <f t="shared" si="23"/>
        <v>-9.2149999999999996E-2</v>
      </c>
    </row>
    <row r="491" spans="1:11" x14ac:dyDescent="0.55000000000000004">
      <c r="A491" s="295">
        <v>24351</v>
      </c>
      <c r="B491" s="1368">
        <v>-5.3E-3</v>
      </c>
      <c r="C491" s="1366">
        <v>4.7500000000000001E-2</v>
      </c>
      <c r="D491" s="1366">
        <v>4.1000000000000003E-3</v>
      </c>
      <c r="E491" s="1366">
        <v>4.5750000000000001E-3</v>
      </c>
      <c r="F491" s="5">
        <v>4.6500000000000005E-3</v>
      </c>
      <c r="G491" s="5">
        <v>4.6125000000000003E-3</v>
      </c>
      <c r="H491" s="1366">
        <v>4.8416666666666669E-3</v>
      </c>
      <c r="I491" s="1366">
        <f t="shared" si="21"/>
        <v>-9.4000000000000004E-3</v>
      </c>
      <c r="J491" s="1366">
        <f t="shared" si="22"/>
        <v>-9.9125000000000012E-3</v>
      </c>
      <c r="K491" s="1366">
        <f t="shared" si="23"/>
        <v>4.2658333333333333E-2</v>
      </c>
    </row>
    <row r="492" spans="1:11" x14ac:dyDescent="0.55000000000000004">
      <c r="A492" s="295">
        <v>24381</v>
      </c>
      <c r="B492" s="1368">
        <v>4.9399999999999999E-2</v>
      </c>
      <c r="C492" s="1366">
        <v>9.7000000000000017E-2</v>
      </c>
      <c r="D492" s="1366">
        <v>4.0000000000000001E-3</v>
      </c>
      <c r="E492" s="1366">
        <v>4.5083333333333338E-3</v>
      </c>
      <c r="F492" s="5">
        <v>4.5833333333333334E-3</v>
      </c>
      <c r="G492" s="5">
        <v>4.5458333333333331E-3</v>
      </c>
      <c r="H492" s="1366">
        <v>4.783333333333333E-3</v>
      </c>
      <c r="I492" s="1366">
        <f t="shared" si="21"/>
        <v>4.5399999999999996E-2</v>
      </c>
      <c r="J492" s="1366">
        <f t="shared" si="22"/>
        <v>4.4854166666666667E-2</v>
      </c>
      <c r="K492" s="1366">
        <f t="shared" si="23"/>
        <v>9.2216666666666683E-2</v>
      </c>
    </row>
    <row r="493" spans="1:11" x14ac:dyDescent="0.55000000000000004">
      <c r="A493" s="295">
        <v>24412</v>
      </c>
      <c r="B493" s="1368">
        <v>9.4999999999999998E-3</v>
      </c>
      <c r="C493" s="1366">
        <v>-7.6E-3</v>
      </c>
      <c r="D493" s="1366">
        <v>3.8E-3</v>
      </c>
      <c r="E493" s="1366">
        <v>4.4583333333333332E-3</v>
      </c>
      <c r="F493" s="5">
        <v>4.5500000000000002E-3</v>
      </c>
      <c r="G493" s="5">
        <v>4.5041666666666667E-3</v>
      </c>
      <c r="H493" s="1366">
        <v>4.6916666666666669E-3</v>
      </c>
      <c r="I493" s="1366">
        <f t="shared" si="21"/>
        <v>5.7000000000000002E-3</v>
      </c>
      <c r="J493" s="1366">
        <f t="shared" si="22"/>
        <v>4.995833333333333E-3</v>
      </c>
      <c r="K493" s="1366">
        <f t="shared" si="23"/>
        <v>-1.2291666666666666E-2</v>
      </c>
    </row>
    <row r="494" spans="1:11" x14ac:dyDescent="0.55000000000000004">
      <c r="A494" s="295">
        <v>24442</v>
      </c>
      <c r="B494" s="1368">
        <v>2.0000000000000001E-4</v>
      </c>
      <c r="C494" s="1366">
        <v>2.2099999999999998E-2</v>
      </c>
      <c r="D494" s="1366">
        <v>3.8999999999999994E-3</v>
      </c>
      <c r="E494" s="1366">
        <v>4.4916666666666664E-3</v>
      </c>
      <c r="F494" s="5">
        <v>4.5666666666666668E-3</v>
      </c>
      <c r="G494" s="5">
        <v>4.5291666666666666E-3</v>
      </c>
      <c r="H494" s="1366">
        <v>4.725E-3</v>
      </c>
      <c r="I494" s="1366">
        <f t="shared" si="21"/>
        <v>-3.6999999999999993E-3</v>
      </c>
      <c r="J494" s="1366">
        <f t="shared" si="22"/>
        <v>-4.3291666666666669E-3</v>
      </c>
      <c r="K494" s="1366">
        <f t="shared" si="23"/>
        <v>1.7374999999999998E-2</v>
      </c>
    </row>
    <row r="495" spans="1:11" x14ac:dyDescent="0.55000000000000004">
      <c r="A495" s="295">
        <v>24473</v>
      </c>
      <c r="B495" s="1368">
        <v>7.9799999999999996E-2</v>
      </c>
      <c r="C495" s="1366">
        <v>2.7100000000000003E-2</v>
      </c>
      <c r="D495" s="1366">
        <v>4.0000000000000001E-3</v>
      </c>
      <c r="E495" s="1366">
        <v>4.3333333333333331E-3</v>
      </c>
      <c r="F495" s="5">
        <v>4.4166666666666668E-3</v>
      </c>
      <c r="G495" s="5">
        <v>4.3750000000000004E-3</v>
      </c>
      <c r="H495" s="1366">
        <v>4.5500000000000002E-3</v>
      </c>
      <c r="I495" s="1366">
        <f t="shared" si="21"/>
        <v>7.5799999999999992E-2</v>
      </c>
      <c r="J495" s="1366">
        <f t="shared" si="22"/>
        <v>7.5424999999999992E-2</v>
      </c>
      <c r="K495" s="1366">
        <f t="shared" si="23"/>
        <v>2.2550000000000001E-2</v>
      </c>
    </row>
    <row r="496" spans="1:11" x14ac:dyDescent="0.55000000000000004">
      <c r="A496" s="295">
        <v>24504</v>
      </c>
      <c r="B496" s="1368">
        <v>7.1999999999999998E-3</v>
      </c>
      <c r="C496" s="1366">
        <v>-1.5699999999999999E-2</v>
      </c>
      <c r="D496" s="1366">
        <v>3.3999999999999998E-3</v>
      </c>
      <c r="E496" s="1366">
        <v>4.1916666666666665E-3</v>
      </c>
      <c r="F496" s="5">
        <v>4.3166666666666666E-3</v>
      </c>
      <c r="G496" s="5">
        <v>4.2541666666666665E-3</v>
      </c>
      <c r="H496" s="1366">
        <v>4.4000000000000003E-3</v>
      </c>
      <c r="I496" s="1366">
        <f t="shared" si="21"/>
        <v>3.8E-3</v>
      </c>
      <c r="J496" s="1366">
        <f t="shared" si="22"/>
        <v>2.9458333333333333E-3</v>
      </c>
      <c r="K496" s="1366">
        <f t="shared" si="23"/>
        <v>-2.01E-2</v>
      </c>
    </row>
    <row r="497" spans="1:11" x14ac:dyDescent="0.55000000000000004">
      <c r="A497" s="295">
        <v>24532</v>
      </c>
      <c r="B497" s="1368">
        <v>4.0899999999999999E-2</v>
      </c>
      <c r="C497" s="1366">
        <v>1.9700000000000002E-2</v>
      </c>
      <c r="D497" s="1366">
        <v>3.8999999999999994E-3</v>
      </c>
      <c r="E497" s="1366">
        <v>4.2750000000000002E-3</v>
      </c>
      <c r="F497" s="5">
        <v>4.3583333333333339E-3</v>
      </c>
      <c r="G497" s="5">
        <v>4.3166666666666666E-3</v>
      </c>
      <c r="H497" s="1366">
        <v>4.5333333333333337E-3</v>
      </c>
      <c r="I497" s="1366">
        <f t="shared" si="21"/>
        <v>3.6999999999999998E-2</v>
      </c>
      <c r="J497" s="1366">
        <f t="shared" si="22"/>
        <v>3.6583333333333329E-2</v>
      </c>
      <c r="K497" s="1366">
        <f t="shared" si="23"/>
        <v>1.5166666666666669E-2</v>
      </c>
    </row>
    <row r="498" spans="1:11" x14ac:dyDescent="0.55000000000000004">
      <c r="A498" s="295">
        <v>24563</v>
      </c>
      <c r="B498" s="1368">
        <v>4.3700000000000003E-2</v>
      </c>
      <c r="C498" s="1366">
        <v>2.0199999999999999E-2</v>
      </c>
      <c r="D498" s="1366">
        <v>3.5000000000000005E-3</v>
      </c>
      <c r="E498" s="1366">
        <v>4.2583333333333336E-3</v>
      </c>
      <c r="F498" s="5">
        <v>4.3833333333333328E-3</v>
      </c>
      <c r="G498" s="5">
        <v>4.3208333333333328E-3</v>
      </c>
      <c r="H498" s="1366">
        <v>4.5166666666666662E-3</v>
      </c>
      <c r="I498" s="1366">
        <f t="shared" si="21"/>
        <v>4.02E-2</v>
      </c>
      <c r="J498" s="1366">
        <f t="shared" si="22"/>
        <v>3.9379166666666673E-2</v>
      </c>
      <c r="K498" s="1366">
        <f t="shared" si="23"/>
        <v>1.5683333333333334E-2</v>
      </c>
    </row>
    <row r="499" spans="1:11" x14ac:dyDescent="0.55000000000000004">
      <c r="A499" s="295">
        <v>24593</v>
      </c>
      <c r="B499" s="1368">
        <v>-4.7699999999999999E-2</v>
      </c>
      <c r="C499" s="1366">
        <v>-5.0600000000000006E-2</v>
      </c>
      <c r="D499" s="1366">
        <v>4.3E-3</v>
      </c>
      <c r="E499" s="1366">
        <v>4.3666666666666671E-3</v>
      </c>
      <c r="F499" s="5">
        <v>4.5166666666666662E-3</v>
      </c>
      <c r="G499" s="5">
        <v>4.4416666666666667E-3</v>
      </c>
      <c r="H499" s="1366">
        <v>4.7166666666666668E-3</v>
      </c>
      <c r="I499" s="1366">
        <f t="shared" si="21"/>
        <v>-5.1999999999999998E-2</v>
      </c>
      <c r="J499" s="1366">
        <f t="shared" si="22"/>
        <v>-5.2141666666666669E-2</v>
      </c>
      <c r="K499" s="1366">
        <f t="shared" si="23"/>
        <v>-5.5316666666666674E-2</v>
      </c>
    </row>
    <row r="500" spans="1:11" x14ac:dyDescent="0.55000000000000004">
      <c r="A500" s="295">
        <v>24624</v>
      </c>
      <c r="B500" s="1368">
        <v>1.9E-2</v>
      </c>
      <c r="C500" s="1366">
        <v>-1.3100000000000001E-2</v>
      </c>
      <c r="D500" s="1366">
        <v>3.8999999999999994E-3</v>
      </c>
      <c r="E500" s="1366">
        <v>4.5333333333333337E-3</v>
      </c>
      <c r="F500" s="5">
        <v>4.6916666666666669E-3</v>
      </c>
      <c r="G500" s="5">
        <v>4.6125000000000003E-3</v>
      </c>
      <c r="H500" s="1366">
        <v>4.8666666666666667E-3</v>
      </c>
      <c r="I500" s="1366">
        <f t="shared" si="21"/>
        <v>1.5100000000000001E-2</v>
      </c>
      <c r="J500" s="1366">
        <f t="shared" si="22"/>
        <v>1.4387499999999999E-2</v>
      </c>
      <c r="K500" s="1366">
        <f t="shared" si="23"/>
        <v>-1.7966666666666666E-2</v>
      </c>
    </row>
    <row r="501" spans="1:11" x14ac:dyDescent="0.55000000000000004">
      <c r="A501" s="295">
        <v>24654</v>
      </c>
      <c r="B501" s="1368">
        <v>4.6800000000000001E-2</v>
      </c>
      <c r="C501" s="1366">
        <v>2.0399999999999995E-2</v>
      </c>
      <c r="D501" s="1366">
        <v>4.3E-3</v>
      </c>
      <c r="E501" s="1366">
        <v>4.6500000000000005E-3</v>
      </c>
      <c r="F501" s="5">
        <v>4.7666666666666664E-3</v>
      </c>
      <c r="G501" s="5">
        <v>4.7083333333333335E-3</v>
      </c>
      <c r="H501" s="1366">
        <v>4.9500000000000004E-3</v>
      </c>
      <c r="I501" s="1366">
        <f t="shared" si="21"/>
        <v>4.2500000000000003E-2</v>
      </c>
      <c r="J501" s="1366">
        <f t="shared" si="22"/>
        <v>4.2091666666666666E-2</v>
      </c>
      <c r="K501" s="1366">
        <f t="shared" si="23"/>
        <v>1.5449999999999995E-2</v>
      </c>
    </row>
    <row r="502" spans="1:11" x14ac:dyDescent="0.55000000000000004">
      <c r="A502" s="295">
        <v>24685</v>
      </c>
      <c r="B502" s="1368">
        <v>-7.0000000000000001E-3</v>
      </c>
      <c r="C502" s="1366">
        <v>-6.5000000000000006E-3</v>
      </c>
      <c r="D502" s="1366">
        <v>4.1999999999999997E-3</v>
      </c>
      <c r="E502" s="1366">
        <v>4.6833333333333336E-3</v>
      </c>
      <c r="F502" s="5">
        <v>4.7999999999999996E-3</v>
      </c>
      <c r="G502" s="5">
        <v>4.7416666666666666E-3</v>
      </c>
      <c r="H502" s="1366">
        <v>4.9666666666666661E-3</v>
      </c>
      <c r="I502" s="1366">
        <f t="shared" si="21"/>
        <v>-1.12E-2</v>
      </c>
      <c r="J502" s="1366">
        <f t="shared" si="22"/>
        <v>-1.1741666666666668E-2</v>
      </c>
      <c r="K502" s="1366">
        <f t="shared" si="23"/>
        <v>-1.1466666666666667E-2</v>
      </c>
    </row>
    <row r="503" spans="1:11" x14ac:dyDescent="0.55000000000000004">
      <c r="A503" s="295">
        <v>24716</v>
      </c>
      <c r="B503" s="1368">
        <v>3.4200000000000001E-2</v>
      </c>
      <c r="C503" s="1366">
        <v>-3.7000000000000002E-3</v>
      </c>
      <c r="D503" s="1366">
        <v>4.0000000000000001E-3</v>
      </c>
      <c r="E503" s="1366">
        <v>4.7083333333333335E-3</v>
      </c>
      <c r="F503" s="5">
        <v>4.8916666666666666E-3</v>
      </c>
      <c r="G503" s="5">
        <v>4.8000000000000004E-3</v>
      </c>
      <c r="H503" s="1366">
        <v>5.0416666666666665E-3</v>
      </c>
      <c r="I503" s="1366">
        <f t="shared" si="21"/>
        <v>3.0200000000000001E-2</v>
      </c>
      <c r="J503" s="1366">
        <f t="shared" si="22"/>
        <v>2.9400000000000003E-2</v>
      </c>
      <c r="K503" s="1366">
        <f t="shared" si="23"/>
        <v>-8.7416666666666667E-3</v>
      </c>
    </row>
    <row r="504" spans="1:11" x14ac:dyDescent="0.55000000000000004">
      <c r="A504" s="295">
        <v>24746</v>
      </c>
      <c r="B504" s="1368">
        <v>-2.76E-2</v>
      </c>
      <c r="C504" s="1366">
        <v>-5.7200000000000001E-2</v>
      </c>
      <c r="D504" s="1366">
        <v>4.4999999999999997E-3</v>
      </c>
      <c r="E504" s="1366">
        <v>4.8500000000000001E-3</v>
      </c>
      <c r="F504" s="5">
        <v>5.0083333333333334E-3</v>
      </c>
      <c r="G504" s="5">
        <v>4.9291666666666668E-3</v>
      </c>
      <c r="H504" s="1366">
        <v>5.1500000000000001E-3</v>
      </c>
      <c r="I504" s="1366">
        <f t="shared" si="21"/>
        <v>-3.2099999999999997E-2</v>
      </c>
      <c r="J504" s="1366">
        <f t="shared" si="22"/>
        <v>-3.2529166666666665E-2</v>
      </c>
      <c r="K504" s="1366">
        <f t="shared" si="23"/>
        <v>-6.2350000000000003E-2</v>
      </c>
    </row>
    <row r="505" spans="1:11" x14ac:dyDescent="0.55000000000000004">
      <c r="A505" s="295">
        <v>24777</v>
      </c>
      <c r="B505" s="1368">
        <v>6.4999999999999997E-3</v>
      </c>
      <c r="C505" s="1366">
        <v>2.9300000000000003E-2</v>
      </c>
      <c r="D505" s="1366">
        <v>4.4999999999999997E-3</v>
      </c>
      <c r="E505" s="1366">
        <v>5.058333333333334E-3</v>
      </c>
      <c r="F505" s="5">
        <v>5.1916666666666665E-3</v>
      </c>
      <c r="G505" s="5">
        <v>5.1249999999999993E-3</v>
      </c>
      <c r="H505" s="1366">
        <v>5.4000000000000003E-3</v>
      </c>
      <c r="I505" s="1366">
        <f t="shared" si="21"/>
        <v>2E-3</v>
      </c>
      <c r="J505" s="1366">
        <f t="shared" si="22"/>
        <v>1.3750000000000004E-3</v>
      </c>
      <c r="K505" s="1366">
        <f t="shared" si="23"/>
        <v>2.3900000000000005E-2</v>
      </c>
    </row>
    <row r="506" spans="1:11" x14ac:dyDescent="0.55000000000000004">
      <c r="A506" s="295">
        <v>24807</v>
      </c>
      <c r="B506" s="1368">
        <v>2.7799999999999998E-2</v>
      </c>
      <c r="C506" s="1366">
        <v>2.86E-2</v>
      </c>
      <c r="D506" s="1366">
        <v>4.4000000000000003E-3</v>
      </c>
      <c r="E506" s="1366">
        <v>5.1583333333333333E-3</v>
      </c>
      <c r="F506" s="5">
        <v>5.2916666666666667E-3</v>
      </c>
      <c r="G506" s="5">
        <v>5.2249999999999996E-3</v>
      </c>
      <c r="H506" s="1366">
        <v>5.5583333333333327E-3</v>
      </c>
      <c r="I506" s="1366">
        <f t="shared" si="21"/>
        <v>2.3399999999999997E-2</v>
      </c>
      <c r="J506" s="1366">
        <f t="shared" si="22"/>
        <v>2.2574999999999998E-2</v>
      </c>
      <c r="K506" s="1366">
        <f t="shared" si="23"/>
        <v>2.3041666666666669E-2</v>
      </c>
    </row>
    <row r="507" spans="1:11" x14ac:dyDescent="0.55000000000000004">
      <c r="A507" s="295">
        <v>24838</v>
      </c>
      <c r="B507" s="1368">
        <v>-4.2500000000000003E-2</v>
      </c>
      <c r="C507" s="1366">
        <v>8.199999999999999E-3</v>
      </c>
      <c r="D507" s="1366">
        <v>5.0000000000000001E-3</v>
      </c>
      <c r="E507" s="1366">
        <v>5.1416666666666668E-3</v>
      </c>
      <c r="F507" s="5">
        <v>5.241666666666667E-3</v>
      </c>
      <c r="G507" s="5">
        <v>5.1916666666666665E-3</v>
      </c>
      <c r="H507" s="1366">
        <v>5.45E-3</v>
      </c>
      <c r="I507" s="1366">
        <f t="shared" si="21"/>
        <v>-4.7500000000000001E-2</v>
      </c>
      <c r="J507" s="1366">
        <f t="shared" si="22"/>
        <v>-4.7691666666666667E-2</v>
      </c>
      <c r="K507" s="1366">
        <f t="shared" si="23"/>
        <v>2.749999999999999E-3</v>
      </c>
    </row>
    <row r="508" spans="1:11" x14ac:dyDescent="0.55000000000000004">
      <c r="A508" s="295">
        <v>24869</v>
      </c>
      <c r="B508" s="1368">
        <v>-2.6100000000000002E-2</v>
      </c>
      <c r="C508" s="1366">
        <v>-2.3300000000000001E-2</v>
      </c>
      <c r="D508" s="1366">
        <v>4.1999999999999997E-3</v>
      </c>
      <c r="E508" s="1366">
        <v>5.0833333333333329E-3</v>
      </c>
      <c r="F508" s="5">
        <v>5.2249999999999996E-3</v>
      </c>
      <c r="G508" s="5">
        <v>5.1541666666666663E-3</v>
      </c>
      <c r="H508" s="1366">
        <v>5.3083333333333342E-3</v>
      </c>
      <c r="I508" s="1366">
        <f t="shared" si="21"/>
        <v>-3.0300000000000001E-2</v>
      </c>
      <c r="J508" s="1366">
        <f t="shared" si="22"/>
        <v>-3.1254166666666666E-2</v>
      </c>
      <c r="K508" s="1366">
        <f t="shared" si="23"/>
        <v>-2.8608333333333336E-2</v>
      </c>
    </row>
    <row r="509" spans="1:11" x14ac:dyDescent="0.55000000000000004">
      <c r="A509" s="295">
        <v>24898</v>
      </c>
      <c r="B509" s="1368">
        <v>1.0999999999999999E-2</v>
      </c>
      <c r="C509" s="1366">
        <v>-3.9900000000000005E-2</v>
      </c>
      <c r="D509" s="1366">
        <v>4.3E-3</v>
      </c>
      <c r="E509" s="1366">
        <v>5.0916666666666662E-3</v>
      </c>
      <c r="F509" s="5">
        <v>5.2333333333333329E-3</v>
      </c>
      <c r="G509" s="5">
        <v>5.1624999999999996E-3</v>
      </c>
      <c r="H509" s="1366">
        <v>5.3416666666666664E-3</v>
      </c>
      <c r="I509" s="1366">
        <f t="shared" si="21"/>
        <v>6.6999999999999994E-3</v>
      </c>
      <c r="J509" s="1366">
        <f t="shared" si="22"/>
        <v>5.8374999999999998E-3</v>
      </c>
      <c r="K509" s="1366">
        <f t="shared" si="23"/>
        <v>-4.5241666666666673E-2</v>
      </c>
    </row>
    <row r="510" spans="1:11" x14ac:dyDescent="0.55000000000000004">
      <c r="A510" s="295">
        <v>24929</v>
      </c>
      <c r="B510" s="1368">
        <v>8.3400000000000002E-2</v>
      </c>
      <c r="C510" s="1366">
        <v>2.75E-2</v>
      </c>
      <c r="D510" s="1366">
        <v>4.8999999999999998E-3</v>
      </c>
      <c r="E510" s="1366">
        <v>5.1749999999999999E-3</v>
      </c>
      <c r="F510" s="5">
        <v>5.3166666666666666E-3</v>
      </c>
      <c r="G510" s="5">
        <v>5.2458333333333333E-3</v>
      </c>
      <c r="H510" s="1366">
        <v>5.4833333333333331E-3</v>
      </c>
      <c r="I510" s="1366">
        <f t="shared" si="21"/>
        <v>7.85E-2</v>
      </c>
      <c r="J510" s="1366">
        <f t="shared" si="22"/>
        <v>7.8154166666666663E-2</v>
      </c>
      <c r="K510" s="1366">
        <f t="shared" si="23"/>
        <v>2.2016666666666667E-2</v>
      </c>
    </row>
    <row r="511" spans="1:11" x14ac:dyDescent="0.55000000000000004">
      <c r="A511" s="295">
        <v>24959</v>
      </c>
      <c r="B511" s="1368">
        <v>1.61E-2</v>
      </c>
      <c r="C511" s="1366">
        <v>-6.1999999999999998E-3</v>
      </c>
      <c r="D511" s="1366">
        <v>4.5999999999999999E-3</v>
      </c>
      <c r="E511" s="1366">
        <v>5.2249999999999996E-3</v>
      </c>
      <c r="F511" s="5">
        <v>5.4000000000000003E-3</v>
      </c>
      <c r="G511" s="5">
        <v>5.3125000000000004E-3</v>
      </c>
      <c r="H511" s="1366">
        <v>5.5166666666666662E-3</v>
      </c>
      <c r="I511" s="1366">
        <f t="shared" si="21"/>
        <v>1.15E-2</v>
      </c>
      <c r="J511" s="1366">
        <f t="shared" si="22"/>
        <v>1.0787499999999998E-2</v>
      </c>
      <c r="K511" s="1366">
        <f t="shared" si="23"/>
        <v>-1.1716666666666667E-2</v>
      </c>
    </row>
    <row r="512" spans="1:11" x14ac:dyDescent="0.55000000000000004">
      <c r="A512" s="295">
        <v>24990</v>
      </c>
      <c r="B512" s="1368">
        <v>1.0500000000000001E-2</v>
      </c>
      <c r="C512" s="1366">
        <v>8.0700000000000008E-2</v>
      </c>
      <c r="D512" s="1366">
        <v>4.1999999999999997E-3</v>
      </c>
      <c r="E512" s="1366">
        <v>5.2333333333333329E-3</v>
      </c>
      <c r="F512" s="5">
        <v>5.416666666666666E-3</v>
      </c>
      <c r="G512" s="5">
        <v>5.3249999999999999E-3</v>
      </c>
      <c r="H512" s="1366">
        <v>5.5166666666666662E-3</v>
      </c>
      <c r="I512" s="1366">
        <f t="shared" si="21"/>
        <v>6.3000000000000009E-3</v>
      </c>
      <c r="J512" s="1366">
        <f t="shared" si="22"/>
        <v>5.1750000000000008E-3</v>
      </c>
      <c r="K512" s="1366">
        <f t="shared" si="23"/>
        <v>7.5183333333333338E-2</v>
      </c>
    </row>
    <row r="513" spans="1:11" x14ac:dyDescent="0.55000000000000004">
      <c r="A513" s="295">
        <v>25020</v>
      </c>
      <c r="B513" s="1368">
        <v>-1.72E-2</v>
      </c>
      <c r="C513" s="1366">
        <v>-6.9999999999999993E-3</v>
      </c>
      <c r="D513" s="1366">
        <v>4.7999999999999996E-3</v>
      </c>
      <c r="E513" s="1366">
        <v>5.1999999999999998E-3</v>
      </c>
      <c r="F513" s="5">
        <v>5.3749999999999996E-3</v>
      </c>
      <c r="G513" s="5">
        <v>5.2875000000000005E-3</v>
      </c>
      <c r="H513" s="1366">
        <v>5.4416666666666667E-3</v>
      </c>
      <c r="I513" s="1366">
        <f t="shared" si="21"/>
        <v>-2.1999999999999999E-2</v>
      </c>
      <c r="J513" s="1366">
        <f t="shared" si="22"/>
        <v>-2.2487500000000001E-2</v>
      </c>
      <c r="K513" s="1366">
        <f t="shared" si="23"/>
        <v>-1.2441666666666667E-2</v>
      </c>
    </row>
    <row r="514" spans="1:11" x14ac:dyDescent="0.55000000000000004">
      <c r="A514" s="295">
        <v>25051</v>
      </c>
      <c r="B514" s="1368">
        <v>1.6400000000000001E-2</v>
      </c>
      <c r="C514" s="1366">
        <v>4.0000000000000024E-4</v>
      </c>
      <c r="D514" s="1366">
        <v>4.1999999999999997E-3</v>
      </c>
      <c r="E514" s="1366">
        <v>5.0166666666666658E-3</v>
      </c>
      <c r="F514" s="5">
        <v>5.2083333333333339E-3</v>
      </c>
      <c r="G514" s="5">
        <v>5.1124999999999999E-3</v>
      </c>
      <c r="H514" s="1366">
        <v>5.2250000000000005E-3</v>
      </c>
      <c r="I514" s="1366">
        <f t="shared" si="21"/>
        <v>1.2200000000000003E-2</v>
      </c>
      <c r="J514" s="1366">
        <f t="shared" si="22"/>
        <v>1.1287500000000002E-2</v>
      </c>
      <c r="K514" s="1366">
        <f t="shared" si="23"/>
        <v>-4.8250000000000003E-3</v>
      </c>
    </row>
    <row r="515" spans="1:11" x14ac:dyDescent="0.55000000000000004">
      <c r="A515" s="295">
        <v>25082</v>
      </c>
      <c r="B515" s="1368">
        <v>0.04</v>
      </c>
      <c r="C515" s="1366">
        <v>0.01</v>
      </c>
      <c r="D515" s="1366">
        <v>4.4000000000000003E-3</v>
      </c>
      <c r="E515" s="1366">
        <v>4.9750000000000003E-3</v>
      </c>
      <c r="F515" s="5">
        <v>5.1916666666666665E-3</v>
      </c>
      <c r="G515" s="5">
        <v>5.0833333333333329E-3</v>
      </c>
      <c r="H515" s="1366">
        <v>5.2250000000000005E-3</v>
      </c>
      <c r="I515" s="1366">
        <f t="shared" si="21"/>
        <v>3.56E-2</v>
      </c>
      <c r="J515" s="1366">
        <f t="shared" si="22"/>
        <v>3.4916666666666665E-2</v>
      </c>
      <c r="K515" s="1366">
        <f t="shared" si="23"/>
        <v>4.7749999999999997E-3</v>
      </c>
    </row>
    <row r="516" spans="1:11" x14ac:dyDescent="0.55000000000000004">
      <c r="A516" s="295">
        <v>25112</v>
      </c>
      <c r="B516" s="1368">
        <v>8.6999999999999994E-3</v>
      </c>
      <c r="C516" s="1366">
        <v>8.6E-3</v>
      </c>
      <c r="D516" s="1366">
        <v>4.4999999999999997E-3</v>
      </c>
      <c r="E516" s="1366">
        <v>5.0749999999999997E-3</v>
      </c>
      <c r="F516" s="5">
        <v>5.2666666666666669E-3</v>
      </c>
      <c r="G516" s="5">
        <v>5.1708333333333337E-3</v>
      </c>
      <c r="H516" s="1366">
        <v>5.3333333333333332E-3</v>
      </c>
      <c r="I516" s="1366">
        <f t="shared" ref="I516:I579" si="24">B516-D516</f>
        <v>4.1999999999999997E-3</v>
      </c>
      <c r="J516" s="1366">
        <f t="shared" si="22"/>
        <v>3.5291666666666657E-3</v>
      </c>
      <c r="K516" s="1366">
        <f t="shared" si="23"/>
        <v>3.2666666666666669E-3</v>
      </c>
    </row>
    <row r="517" spans="1:11" x14ac:dyDescent="0.55000000000000004">
      <c r="A517" s="295">
        <v>25143</v>
      </c>
      <c r="B517" s="1368">
        <v>5.3100000000000001E-2</v>
      </c>
      <c r="C517" s="1366">
        <v>7.8099999999999989E-2</v>
      </c>
      <c r="D517" s="1366">
        <v>4.3E-3</v>
      </c>
      <c r="E517" s="1366">
        <v>5.1583333333333333E-3</v>
      </c>
      <c r="F517" s="5">
        <v>5.3749999999999996E-3</v>
      </c>
      <c r="G517" s="5">
        <v>5.266666666666666E-3</v>
      </c>
      <c r="H517" s="1366">
        <v>5.4916666666666673E-3</v>
      </c>
      <c r="I517" s="1366">
        <f t="shared" si="24"/>
        <v>4.8800000000000003E-2</v>
      </c>
      <c r="J517" s="1366">
        <f t="shared" si="22"/>
        <v>4.7833333333333339E-2</v>
      </c>
      <c r="K517" s="1366">
        <f t="shared" si="23"/>
        <v>7.2608333333333316E-2</v>
      </c>
    </row>
    <row r="518" spans="1:11" x14ac:dyDescent="0.55000000000000004">
      <c r="A518" s="295">
        <v>25173</v>
      </c>
      <c r="B518" s="1368">
        <v>-4.02E-2</v>
      </c>
      <c r="C518" s="1366">
        <v>-3.0899999999999997E-2</v>
      </c>
      <c r="D518" s="1366">
        <v>4.8999999999999998E-3</v>
      </c>
      <c r="E518" s="1366">
        <v>5.3749999999999996E-3</v>
      </c>
      <c r="F518" s="5">
        <v>5.5500000000000002E-3</v>
      </c>
      <c r="G518" s="5">
        <v>5.4625000000000003E-3</v>
      </c>
      <c r="H518" s="1366">
        <v>5.7250000000000001E-3</v>
      </c>
      <c r="I518" s="1366">
        <f t="shared" si="24"/>
        <v>-4.5100000000000001E-2</v>
      </c>
      <c r="J518" s="1366">
        <f t="shared" si="22"/>
        <v>-4.5662500000000002E-2</v>
      </c>
      <c r="K518" s="1366">
        <f t="shared" si="23"/>
        <v>-3.6624999999999998E-2</v>
      </c>
    </row>
    <row r="519" spans="1:11" x14ac:dyDescent="0.55000000000000004">
      <c r="A519" s="295">
        <v>25204</v>
      </c>
      <c r="B519" s="1368">
        <v>-6.7999999999999996E-3</v>
      </c>
      <c r="C519" s="1366">
        <v>1.6899999999999998E-2</v>
      </c>
      <c r="D519" s="1366">
        <v>5.0000000000000001E-3</v>
      </c>
      <c r="E519" s="1366">
        <v>5.4916666666666673E-3</v>
      </c>
      <c r="F519" s="5">
        <v>5.6083333333333341E-3</v>
      </c>
      <c r="G519" s="5">
        <v>5.5500000000000002E-3</v>
      </c>
      <c r="H519" s="1366">
        <v>5.8666666666666667E-3</v>
      </c>
      <c r="I519" s="1366">
        <f t="shared" si="24"/>
        <v>-1.18E-2</v>
      </c>
      <c r="J519" s="1366">
        <f t="shared" si="22"/>
        <v>-1.235E-2</v>
      </c>
      <c r="K519" s="1366">
        <f t="shared" si="23"/>
        <v>1.1033333333333332E-2</v>
      </c>
    </row>
    <row r="520" spans="1:11" x14ac:dyDescent="0.55000000000000004">
      <c r="A520" s="295">
        <v>25235</v>
      </c>
      <c r="B520" s="1368">
        <v>-4.2599999999999999E-2</v>
      </c>
      <c r="C520" s="1366">
        <v>-5.3200000000000004E-2</v>
      </c>
      <c r="D520" s="1366">
        <v>4.5999999999999999E-3</v>
      </c>
      <c r="E520" s="1366">
        <v>5.5500000000000002E-3</v>
      </c>
      <c r="F520" s="5">
        <v>5.6416666666666664E-3</v>
      </c>
      <c r="G520" s="5">
        <v>5.5958333333333329E-3</v>
      </c>
      <c r="H520" s="1366">
        <v>5.9416666666666663E-3</v>
      </c>
      <c r="I520" s="1366">
        <f t="shared" si="24"/>
        <v>-4.7199999999999999E-2</v>
      </c>
      <c r="J520" s="1366">
        <f t="shared" si="22"/>
        <v>-4.8195833333333334E-2</v>
      </c>
      <c r="K520" s="1366">
        <f t="shared" si="23"/>
        <v>-5.9141666666666669E-2</v>
      </c>
    </row>
    <row r="521" spans="1:11" x14ac:dyDescent="0.55000000000000004">
      <c r="A521" s="295">
        <v>25263</v>
      </c>
      <c r="B521" s="1368">
        <v>3.5900000000000001E-2</v>
      </c>
      <c r="C521" s="1366">
        <v>-9.6000000000000009E-3</v>
      </c>
      <c r="D521" s="1366">
        <v>4.7000000000000002E-3</v>
      </c>
      <c r="E521" s="1366">
        <v>5.7083333333333326E-3</v>
      </c>
      <c r="F521" s="5">
        <v>5.7916666666666672E-3</v>
      </c>
      <c r="G521" s="5">
        <v>5.7499999999999999E-3</v>
      </c>
      <c r="H521" s="1366">
        <v>6.0583333333333331E-3</v>
      </c>
      <c r="I521" s="1366">
        <f t="shared" si="24"/>
        <v>3.1200000000000002E-2</v>
      </c>
      <c r="J521" s="1366">
        <f t="shared" si="22"/>
        <v>3.0150000000000003E-2</v>
      </c>
      <c r="K521" s="1366">
        <f t="shared" si="23"/>
        <v>-1.5658333333333333E-2</v>
      </c>
    </row>
    <row r="522" spans="1:11" x14ac:dyDescent="0.55000000000000004">
      <c r="A522" s="295">
        <v>25294</v>
      </c>
      <c r="B522" s="1368">
        <v>2.29E-2</v>
      </c>
      <c r="C522" s="1366">
        <v>1.3899999999999999E-2</v>
      </c>
      <c r="D522" s="1366">
        <v>5.4999999999999997E-3</v>
      </c>
      <c r="E522" s="1366">
        <v>5.7416666666666658E-3</v>
      </c>
      <c r="F522" s="5">
        <v>5.8499999999999993E-3</v>
      </c>
      <c r="G522" s="5">
        <v>5.7958333333333334E-3</v>
      </c>
      <c r="H522" s="1366">
        <v>6.083333333333333E-3</v>
      </c>
      <c r="I522" s="1366">
        <f t="shared" si="24"/>
        <v>1.7399999999999999E-2</v>
      </c>
      <c r="J522" s="1366">
        <f t="shared" si="22"/>
        <v>1.7104166666666667E-2</v>
      </c>
      <c r="K522" s="1366">
        <f t="shared" si="23"/>
        <v>7.8166666666666662E-3</v>
      </c>
    </row>
    <row r="523" spans="1:11" x14ac:dyDescent="0.55000000000000004">
      <c r="A523" s="295">
        <v>25324</v>
      </c>
      <c r="B523" s="1368">
        <v>2.5999999999999999E-3</v>
      </c>
      <c r="C523" s="1366">
        <v>-5.9999999999999984E-4</v>
      </c>
      <c r="D523" s="1366">
        <v>4.7000000000000002E-3</v>
      </c>
      <c r="E523" s="1366">
        <v>5.6583333333333329E-3</v>
      </c>
      <c r="F523" s="5">
        <v>5.7999999999999996E-3</v>
      </c>
      <c r="G523" s="5">
        <v>5.7291666666666663E-3</v>
      </c>
      <c r="H523" s="1366">
        <v>5.966666666666667E-3</v>
      </c>
      <c r="I523" s="1366">
        <f t="shared" si="24"/>
        <v>-2.1000000000000003E-3</v>
      </c>
      <c r="J523" s="1366">
        <f t="shared" si="22"/>
        <v>-3.1291666666666664E-3</v>
      </c>
      <c r="K523" s="1366">
        <f t="shared" si="23"/>
        <v>-6.5666666666666668E-3</v>
      </c>
    </row>
    <row r="524" spans="1:11" x14ac:dyDescent="0.55000000000000004">
      <c r="A524" s="295">
        <v>25355</v>
      </c>
      <c r="B524" s="1368">
        <v>-5.4199999999999998E-2</v>
      </c>
      <c r="C524" s="1366">
        <v>-5.16E-2</v>
      </c>
      <c r="D524" s="1366">
        <v>5.4999999999999997E-3</v>
      </c>
      <c r="E524" s="1366">
        <v>5.816666666666667E-3</v>
      </c>
      <c r="F524" s="5">
        <v>5.9333333333333339E-3</v>
      </c>
      <c r="G524" s="5">
        <v>5.875E-3</v>
      </c>
      <c r="H524" s="1366">
        <v>6.1750000000000008E-3</v>
      </c>
      <c r="I524" s="1366">
        <f t="shared" si="24"/>
        <v>-5.9699999999999996E-2</v>
      </c>
      <c r="J524" s="1366">
        <f t="shared" si="22"/>
        <v>-6.0074999999999996E-2</v>
      </c>
      <c r="K524" s="1366">
        <f t="shared" si="23"/>
        <v>-5.7775E-2</v>
      </c>
    </row>
    <row r="525" spans="1:11" x14ac:dyDescent="0.55000000000000004">
      <c r="A525" s="295">
        <v>25385</v>
      </c>
      <c r="B525" s="1368">
        <v>-5.8700000000000002E-2</v>
      </c>
      <c r="C525" s="1366">
        <v>-3.6299999999999999E-2</v>
      </c>
      <c r="D525" s="1366">
        <v>5.1999999999999998E-3</v>
      </c>
      <c r="E525" s="1366">
        <v>5.8999999999999999E-3</v>
      </c>
      <c r="F525" s="5">
        <v>6.0333333333333341E-3</v>
      </c>
      <c r="G525" s="5">
        <v>5.966666666666667E-3</v>
      </c>
      <c r="H525" s="1366">
        <v>6.2666666666666669E-3</v>
      </c>
      <c r="I525" s="1366">
        <f t="shared" si="24"/>
        <v>-6.3899999999999998E-2</v>
      </c>
      <c r="J525" s="1366">
        <f t="shared" si="22"/>
        <v>-6.4666666666666664E-2</v>
      </c>
      <c r="K525" s="1366">
        <f t="shared" si="23"/>
        <v>-4.2566666666666669E-2</v>
      </c>
    </row>
    <row r="526" spans="1:11" x14ac:dyDescent="0.55000000000000004">
      <c r="A526" s="295">
        <v>25416</v>
      </c>
      <c r="B526" s="1368">
        <v>4.5400000000000003E-2</v>
      </c>
      <c r="C526" s="1366">
        <v>-1.1399999999999999E-2</v>
      </c>
      <c r="D526" s="1366">
        <v>4.7999999999999996E-3</v>
      </c>
      <c r="E526" s="1366">
        <v>5.8083333333333329E-3</v>
      </c>
      <c r="F526" s="5">
        <v>6.025E-3</v>
      </c>
      <c r="G526" s="5">
        <v>5.9166666666666664E-3</v>
      </c>
      <c r="H526" s="1366">
        <v>6.1999999999999998E-3</v>
      </c>
      <c r="I526" s="1366">
        <f t="shared" si="24"/>
        <v>4.0600000000000004E-2</v>
      </c>
      <c r="J526" s="1366">
        <f t="shared" si="22"/>
        <v>3.9483333333333336E-2</v>
      </c>
      <c r="K526" s="1366">
        <f t="shared" si="23"/>
        <v>-1.7599999999999998E-2</v>
      </c>
    </row>
    <row r="527" spans="1:11" x14ac:dyDescent="0.55000000000000004">
      <c r="A527" s="295">
        <v>25447</v>
      </c>
      <c r="B527" s="1368">
        <v>-2.3599999999999999E-2</v>
      </c>
      <c r="C527" s="1366">
        <v>-3.7200000000000004E-2</v>
      </c>
      <c r="D527" s="1366">
        <v>5.4999999999999997E-3</v>
      </c>
      <c r="E527" s="1366">
        <v>5.9499999999999996E-3</v>
      </c>
      <c r="F527" s="5">
        <v>6.1333333333333344E-3</v>
      </c>
      <c r="G527" s="5">
        <v>6.0416666666666674E-3</v>
      </c>
      <c r="H527" s="1366">
        <v>6.3583333333333339E-3</v>
      </c>
      <c r="I527" s="1366">
        <f t="shared" si="24"/>
        <v>-2.9100000000000001E-2</v>
      </c>
      <c r="J527" s="1366">
        <f t="shared" si="22"/>
        <v>-2.9641666666666667E-2</v>
      </c>
      <c r="K527" s="1366">
        <f t="shared" si="23"/>
        <v>-4.3558333333333338E-2</v>
      </c>
    </row>
    <row r="528" spans="1:11" x14ac:dyDescent="0.55000000000000004">
      <c r="A528" s="295">
        <v>25477</v>
      </c>
      <c r="B528" s="1368">
        <v>4.5900000000000003E-2</v>
      </c>
      <c r="C528" s="1366">
        <v>7.980000000000001E-2</v>
      </c>
      <c r="D528" s="1366">
        <v>5.7000000000000002E-3</v>
      </c>
      <c r="E528" s="1366">
        <v>6.1083333333333337E-3</v>
      </c>
      <c r="F528" s="5">
        <v>6.2750000000000002E-3</v>
      </c>
      <c r="G528" s="5">
        <v>6.1916666666666665E-3</v>
      </c>
      <c r="H528" s="1366">
        <v>6.6833333333333337E-3</v>
      </c>
      <c r="I528" s="1366">
        <f t="shared" si="24"/>
        <v>4.02E-2</v>
      </c>
      <c r="J528" s="1366">
        <f t="shared" si="22"/>
        <v>3.9708333333333339E-2</v>
      </c>
      <c r="K528" s="1366">
        <f t="shared" si="23"/>
        <v>7.3116666666666677E-2</v>
      </c>
    </row>
    <row r="529" spans="1:11" x14ac:dyDescent="0.55000000000000004">
      <c r="A529" s="295">
        <v>25508</v>
      </c>
      <c r="B529" s="1368">
        <v>-2.9700000000000001E-2</v>
      </c>
      <c r="C529" s="1366">
        <v>-5.8800000000000005E-2</v>
      </c>
      <c r="D529" s="1366">
        <v>4.8999999999999998E-3</v>
      </c>
      <c r="E529" s="1366">
        <v>6.1249999999999994E-3</v>
      </c>
      <c r="F529" s="5">
        <v>6.3166666666666675E-3</v>
      </c>
      <c r="G529" s="5">
        <v>6.2208333333333334E-3</v>
      </c>
      <c r="H529" s="1366">
        <v>6.6666666666666662E-3</v>
      </c>
      <c r="I529" s="1366">
        <f t="shared" si="24"/>
        <v>-3.4599999999999999E-2</v>
      </c>
      <c r="J529" s="1366">
        <f t="shared" si="22"/>
        <v>-3.5920833333333332E-2</v>
      </c>
      <c r="K529" s="1366">
        <f t="shared" si="23"/>
        <v>-6.5466666666666673E-2</v>
      </c>
    </row>
    <row r="530" spans="1:11" x14ac:dyDescent="0.55000000000000004">
      <c r="A530" s="295">
        <v>25538</v>
      </c>
      <c r="B530" s="1368">
        <v>-1.77E-2</v>
      </c>
      <c r="C530" s="1366">
        <v>-9.7000000000000003E-3</v>
      </c>
      <c r="D530" s="1366">
        <v>6.0000000000000001E-3</v>
      </c>
      <c r="E530" s="1366">
        <v>6.4333333333333334E-3</v>
      </c>
      <c r="F530" s="5">
        <v>6.6083333333333324E-3</v>
      </c>
      <c r="G530" s="5">
        <v>6.5208333333333333E-3</v>
      </c>
      <c r="H530" s="1366">
        <v>7.1583333333333334E-3</v>
      </c>
      <c r="I530" s="1366">
        <f t="shared" si="24"/>
        <v>-2.3699999999999999E-2</v>
      </c>
      <c r="J530" s="1366">
        <f t="shared" si="22"/>
        <v>-2.4220833333333334E-2</v>
      </c>
      <c r="K530" s="1366">
        <f t="shared" si="23"/>
        <v>-1.6858333333333333E-2</v>
      </c>
    </row>
    <row r="531" spans="1:11" x14ac:dyDescent="0.55000000000000004">
      <c r="A531" s="295">
        <v>25569</v>
      </c>
      <c r="B531" s="1368">
        <v>-7.4300000000000005E-2</v>
      </c>
      <c r="C531" s="1366">
        <v>-4.53E-2</v>
      </c>
      <c r="D531" s="1366">
        <v>5.5999999999999991E-3</v>
      </c>
      <c r="E531" s="1366">
        <v>6.5916666666666667E-3</v>
      </c>
      <c r="F531" s="5">
        <v>6.7916666666666672E-3</v>
      </c>
      <c r="G531" s="5">
        <v>6.6916666666666669E-3</v>
      </c>
      <c r="H531" s="1366">
        <v>7.2416666666666662E-3</v>
      </c>
      <c r="I531" s="1366">
        <f t="shared" si="24"/>
        <v>-7.9899999999999999E-2</v>
      </c>
      <c r="J531" s="1366">
        <f t="shared" si="22"/>
        <v>-8.099166666666667E-2</v>
      </c>
      <c r="K531" s="1366">
        <f t="shared" si="23"/>
        <v>-5.2541666666666667E-2</v>
      </c>
    </row>
    <row r="532" spans="1:11" x14ac:dyDescent="0.55000000000000004">
      <c r="A532" s="295">
        <v>25600</v>
      </c>
      <c r="B532" s="1368">
        <v>5.5800000000000002E-2</v>
      </c>
      <c r="C532" s="1366">
        <v>0.1053</v>
      </c>
      <c r="D532" s="1366">
        <v>5.1999999999999998E-3</v>
      </c>
      <c r="E532" s="1366">
        <v>6.6083333333333324E-3</v>
      </c>
      <c r="F532" s="5">
        <v>6.7750000000000006E-3</v>
      </c>
      <c r="G532" s="5">
        <v>6.6916666666666669E-3</v>
      </c>
      <c r="H532" s="1366">
        <v>7.0916666666666663E-3</v>
      </c>
      <c r="I532" s="1366">
        <f t="shared" si="24"/>
        <v>5.0600000000000006E-2</v>
      </c>
      <c r="J532" s="1366">
        <f t="shared" si="22"/>
        <v>4.9108333333333337E-2</v>
      </c>
      <c r="K532" s="1366">
        <f t="shared" si="23"/>
        <v>9.8208333333333342E-2</v>
      </c>
    </row>
    <row r="533" spans="1:11" x14ac:dyDescent="0.55000000000000004">
      <c r="A533" s="295">
        <v>25628</v>
      </c>
      <c r="B533" s="1368">
        <v>4.4000000000000003E-3</v>
      </c>
      <c r="C533" s="1366">
        <v>2.3200000000000002E-2</v>
      </c>
      <c r="D533" s="1366">
        <v>5.5999999999999991E-3</v>
      </c>
      <c r="E533" s="1366">
        <v>6.5333333333333328E-3</v>
      </c>
      <c r="F533" s="5">
        <v>6.7166666666666677E-3</v>
      </c>
      <c r="G533" s="5">
        <v>6.6250000000000007E-3</v>
      </c>
      <c r="H533" s="1366">
        <v>6.9249999999999997E-3</v>
      </c>
      <c r="I533" s="1366">
        <f t="shared" si="24"/>
        <v>-1.1999999999999988E-3</v>
      </c>
      <c r="J533" s="1366">
        <f t="shared" si="22"/>
        <v>-2.2250000000000004E-3</v>
      </c>
      <c r="K533" s="1366">
        <f t="shared" si="23"/>
        <v>1.6275000000000001E-2</v>
      </c>
    </row>
    <row r="534" spans="1:11" x14ac:dyDescent="0.55000000000000004">
      <c r="A534" s="295">
        <v>25659</v>
      </c>
      <c r="B534" s="1368">
        <v>-8.7499999999999994E-2</v>
      </c>
      <c r="C534" s="1366">
        <v>-9.2899999999999996E-2</v>
      </c>
      <c r="D534" s="1366">
        <v>5.4000000000000003E-3</v>
      </c>
      <c r="E534" s="1366">
        <v>6.5249999999999996E-3</v>
      </c>
      <c r="F534" s="5">
        <v>6.6916666666666661E-3</v>
      </c>
      <c r="G534" s="5">
        <v>6.6083333333333324E-3</v>
      </c>
      <c r="H534" s="1366">
        <v>6.9249999999999997E-3</v>
      </c>
      <c r="I534" s="1366">
        <f t="shared" si="24"/>
        <v>-9.2899999999999996E-2</v>
      </c>
      <c r="J534" s="1366">
        <f t="shared" si="22"/>
        <v>-9.4108333333333322E-2</v>
      </c>
      <c r="K534" s="1366">
        <f t="shared" si="23"/>
        <v>-9.9824999999999997E-2</v>
      </c>
    </row>
    <row r="535" spans="1:11" x14ac:dyDescent="0.55000000000000004">
      <c r="A535" s="295">
        <v>25689</v>
      </c>
      <c r="B535" s="1368">
        <v>-5.7799999999999997E-2</v>
      </c>
      <c r="C535" s="1366">
        <v>-5.1499999999999997E-2</v>
      </c>
      <c r="D535" s="1366">
        <v>5.4999999999999997E-3</v>
      </c>
      <c r="E535" s="1366">
        <v>6.7583333333333332E-3</v>
      </c>
      <c r="F535" s="5">
        <v>6.8666666666666668E-3</v>
      </c>
      <c r="G535" s="5">
        <v>6.8124999999999991E-3</v>
      </c>
      <c r="H535" s="1366">
        <v>7.2250000000000005E-3</v>
      </c>
      <c r="I535" s="1366">
        <f t="shared" si="24"/>
        <v>-6.3299999999999995E-2</v>
      </c>
      <c r="J535" s="1366">
        <f t="shared" si="22"/>
        <v>-6.4612499999999989E-2</v>
      </c>
      <c r="K535" s="1366">
        <f t="shared" si="23"/>
        <v>-5.8724999999999999E-2</v>
      </c>
    </row>
    <row r="536" spans="1:11" x14ac:dyDescent="0.55000000000000004">
      <c r="A536" s="295">
        <v>25720</v>
      </c>
      <c r="B536" s="1368">
        <v>-4.6600000000000003E-2</v>
      </c>
      <c r="C536" s="1366">
        <v>-5.8199999999999995E-2</v>
      </c>
      <c r="D536" s="1366">
        <v>6.4000000000000003E-3</v>
      </c>
      <c r="E536" s="1366">
        <v>7.0666666666666664E-3</v>
      </c>
      <c r="F536" s="5">
        <v>7.1500000000000001E-3</v>
      </c>
      <c r="G536" s="5">
        <v>7.1083333333333328E-3</v>
      </c>
      <c r="H536" s="1366">
        <v>7.5333333333333329E-3</v>
      </c>
      <c r="I536" s="1366">
        <f t="shared" si="24"/>
        <v>-5.3000000000000005E-2</v>
      </c>
      <c r="J536" s="1366">
        <f t="shared" si="22"/>
        <v>-5.3708333333333337E-2</v>
      </c>
      <c r="K536" s="1366">
        <f t="shared" si="23"/>
        <v>-6.5733333333333324E-2</v>
      </c>
    </row>
    <row r="537" spans="1:11" x14ac:dyDescent="0.55000000000000004">
      <c r="A537" s="295">
        <v>25750</v>
      </c>
      <c r="B537" s="1368">
        <v>7.6899999999999996E-2</v>
      </c>
      <c r="C537" s="1366">
        <v>9.7299999999999998E-2</v>
      </c>
      <c r="D537" s="1366">
        <v>5.8999999999999999E-3</v>
      </c>
      <c r="E537" s="1366">
        <v>7.0333333333333324E-3</v>
      </c>
      <c r="F537" s="5">
        <v>7.2000000000000007E-3</v>
      </c>
      <c r="G537" s="5">
        <v>7.116666666666667E-3</v>
      </c>
      <c r="H537" s="1366">
        <v>7.5500000000000003E-3</v>
      </c>
      <c r="I537" s="1366">
        <f t="shared" si="24"/>
        <v>7.0999999999999994E-2</v>
      </c>
      <c r="J537" s="1366">
        <f t="shared" si="22"/>
        <v>6.9783333333333336E-2</v>
      </c>
      <c r="K537" s="1366">
        <f t="shared" si="23"/>
        <v>8.9749999999999996E-2</v>
      </c>
    </row>
    <row r="538" spans="1:11" x14ac:dyDescent="0.55000000000000004">
      <c r="A538" s="295">
        <v>25781</v>
      </c>
      <c r="B538" s="1368">
        <v>4.7800000000000002E-2</v>
      </c>
      <c r="C538" s="1366">
        <v>5.8099999999999999E-2</v>
      </c>
      <c r="D538" s="1366">
        <v>5.7000000000000002E-3</v>
      </c>
      <c r="E538" s="1366">
        <v>6.7750000000000006E-3</v>
      </c>
      <c r="F538" s="5">
        <v>7.0750000000000006E-3</v>
      </c>
      <c r="G538" s="5">
        <v>6.9250000000000015E-3</v>
      </c>
      <c r="H538" s="1366">
        <v>7.4000000000000012E-3</v>
      </c>
      <c r="I538" s="1366">
        <f t="shared" si="24"/>
        <v>4.2099999999999999E-2</v>
      </c>
      <c r="J538" s="1366">
        <f t="shared" si="22"/>
        <v>4.0875000000000002E-2</v>
      </c>
      <c r="K538" s="1366">
        <f t="shared" si="23"/>
        <v>5.0699999999999995E-2</v>
      </c>
    </row>
    <row r="539" spans="1:11" x14ac:dyDescent="0.55000000000000004">
      <c r="A539" s="295">
        <v>25812</v>
      </c>
      <c r="B539" s="1368">
        <v>3.6200000000000003E-2</v>
      </c>
      <c r="C539" s="1366">
        <v>-1.14E-2</v>
      </c>
      <c r="D539" s="1366">
        <v>5.5999999999999991E-3</v>
      </c>
      <c r="E539" s="1366">
        <v>6.7416666666666666E-3</v>
      </c>
      <c r="F539" s="5">
        <v>7.058333333333334E-3</v>
      </c>
      <c r="G539" s="5">
        <v>6.9000000000000008E-3</v>
      </c>
      <c r="H539" s="1366">
        <v>7.3499999999999998E-3</v>
      </c>
      <c r="I539" s="1366">
        <f t="shared" si="24"/>
        <v>3.0600000000000002E-2</v>
      </c>
      <c r="J539" s="1366">
        <f t="shared" ref="J539:J602" si="25">B539-G539</f>
        <v>2.9300000000000003E-2</v>
      </c>
      <c r="K539" s="1366">
        <f t="shared" ref="K539:K602" si="26">$C539-H539</f>
        <v>-1.8749999999999999E-2</v>
      </c>
    </row>
    <row r="540" spans="1:11" x14ac:dyDescent="0.55000000000000004">
      <c r="A540" s="295">
        <v>25842</v>
      </c>
      <c r="B540" s="1368">
        <v>-8.3000000000000001E-3</v>
      </c>
      <c r="C540" s="1366">
        <v>-1.4900000000000002E-2</v>
      </c>
      <c r="D540" s="1366">
        <v>5.4999999999999997E-3</v>
      </c>
      <c r="E540" s="1366">
        <v>6.6916666666666661E-3</v>
      </c>
      <c r="F540" s="5">
        <v>7.0333333333333324E-3</v>
      </c>
      <c r="G540" s="5">
        <v>6.8624999999999988E-3</v>
      </c>
      <c r="H540" s="1366">
        <v>7.3000000000000001E-3</v>
      </c>
      <c r="I540" s="1366">
        <f t="shared" si="24"/>
        <v>-1.38E-2</v>
      </c>
      <c r="J540" s="1366">
        <f t="shared" si="25"/>
        <v>-1.5162499999999999E-2</v>
      </c>
      <c r="K540" s="1366">
        <f t="shared" si="26"/>
        <v>-2.2200000000000001E-2</v>
      </c>
    </row>
    <row r="541" spans="1:11" x14ac:dyDescent="0.55000000000000004">
      <c r="A541" s="295">
        <v>25873</v>
      </c>
      <c r="B541" s="1368">
        <v>5.0599999999999999E-2</v>
      </c>
      <c r="C541" s="1366">
        <v>9.7500000000000003E-2</v>
      </c>
      <c r="D541" s="1366">
        <v>5.7999999999999996E-3</v>
      </c>
      <c r="E541" s="1366">
        <v>6.7083333333333335E-3</v>
      </c>
      <c r="F541" s="5">
        <v>7.0166666666666667E-3</v>
      </c>
      <c r="G541" s="5">
        <v>6.8625000000000005E-3</v>
      </c>
      <c r="H541" s="1366">
        <v>7.324999999999999E-3</v>
      </c>
      <c r="I541" s="1366">
        <f t="shared" si="24"/>
        <v>4.48E-2</v>
      </c>
      <c r="J541" s="1366">
        <f t="shared" si="25"/>
        <v>4.3737499999999999E-2</v>
      </c>
      <c r="K541" s="1366">
        <f t="shared" si="26"/>
        <v>9.0175000000000005E-2</v>
      </c>
    </row>
    <row r="542" spans="1:11" x14ac:dyDescent="0.55000000000000004">
      <c r="A542" s="295">
        <v>25903</v>
      </c>
      <c r="B542" s="1368">
        <v>5.9700000000000003E-2</v>
      </c>
      <c r="C542" s="1366">
        <v>7.350000000000001E-2</v>
      </c>
      <c r="D542" s="1366">
        <v>5.3E-3</v>
      </c>
      <c r="E542" s="1366">
        <v>6.3666666666666663E-3</v>
      </c>
      <c r="F542" s="5">
        <v>6.7750000000000006E-3</v>
      </c>
      <c r="G542" s="5">
        <v>6.5708333333333339E-3</v>
      </c>
      <c r="H542" s="1366">
        <v>7.0666666666666664E-3</v>
      </c>
      <c r="I542" s="1366">
        <f t="shared" si="24"/>
        <v>5.4400000000000004E-2</v>
      </c>
      <c r="J542" s="1366">
        <f t="shared" si="25"/>
        <v>5.3129166666666672E-2</v>
      </c>
      <c r="K542" s="1366">
        <f t="shared" si="26"/>
        <v>6.6433333333333344E-2</v>
      </c>
    </row>
    <row r="543" spans="1:11" x14ac:dyDescent="0.55000000000000004">
      <c r="A543" s="295">
        <v>25934</v>
      </c>
      <c r="B543" s="1368">
        <v>4.3200000000000002E-2</v>
      </c>
      <c r="C543" s="1366">
        <v>2.5700000000000004E-2</v>
      </c>
      <c r="D543" s="1366">
        <v>5.1000000000000004E-3</v>
      </c>
      <c r="E543" s="1366">
        <v>6.1333333333333344E-3</v>
      </c>
      <c r="F543" s="5">
        <v>6.5833333333333334E-3</v>
      </c>
      <c r="G543" s="5">
        <v>6.3583333333333339E-3</v>
      </c>
      <c r="H543" s="1366">
        <v>6.7916666666666672E-3</v>
      </c>
      <c r="I543" s="1366">
        <f t="shared" si="24"/>
        <v>3.8100000000000002E-2</v>
      </c>
      <c r="J543" s="1366">
        <f t="shared" si="25"/>
        <v>3.6841666666666668E-2</v>
      </c>
      <c r="K543" s="1366">
        <f t="shared" si="26"/>
        <v>1.8908333333333336E-2</v>
      </c>
    </row>
    <row r="544" spans="1:11" x14ac:dyDescent="0.55000000000000004">
      <c r="A544" s="295">
        <v>25965</v>
      </c>
      <c r="B544" s="1368">
        <v>1.17E-2</v>
      </c>
      <c r="C544" s="1366">
        <v>-2.7699999999999999E-2</v>
      </c>
      <c r="D544" s="1366">
        <v>4.5999999999999999E-3</v>
      </c>
      <c r="E544" s="1366">
        <v>5.8999999999999999E-3</v>
      </c>
      <c r="F544" s="5">
        <v>6.391666666666667E-3</v>
      </c>
      <c r="G544" s="5">
        <v>6.145833333333333E-3</v>
      </c>
      <c r="H544" s="1366">
        <v>6.575000000000001E-3</v>
      </c>
      <c r="I544" s="1366">
        <f t="shared" si="24"/>
        <v>7.1000000000000004E-3</v>
      </c>
      <c r="J544" s="1366">
        <f t="shared" si="25"/>
        <v>5.5541666666666673E-3</v>
      </c>
      <c r="K544" s="1366">
        <f t="shared" si="26"/>
        <v>-3.4275E-2</v>
      </c>
    </row>
    <row r="545" spans="1:11" x14ac:dyDescent="0.55000000000000004">
      <c r="A545" s="295">
        <v>25993</v>
      </c>
      <c r="B545" s="1368">
        <v>3.9399999999999998E-2</v>
      </c>
      <c r="C545" s="1366">
        <v>3.3099999999999997E-2</v>
      </c>
      <c r="D545" s="1366">
        <v>5.5999999999999991E-3</v>
      </c>
      <c r="E545" s="1366">
        <v>6.0083333333333334E-3</v>
      </c>
      <c r="F545" s="5">
        <v>6.4416666666666667E-3</v>
      </c>
      <c r="G545" s="5">
        <v>6.2250000000000005E-3</v>
      </c>
      <c r="H545" s="1366">
        <v>6.7083333333333335E-3</v>
      </c>
      <c r="I545" s="1366">
        <f t="shared" si="24"/>
        <v>3.3799999999999997E-2</v>
      </c>
      <c r="J545" s="1366">
        <f t="shared" si="25"/>
        <v>3.3174999999999996E-2</v>
      </c>
      <c r="K545" s="1366">
        <f t="shared" si="26"/>
        <v>2.6391666666666664E-2</v>
      </c>
    </row>
    <row r="546" spans="1:11" x14ac:dyDescent="0.55000000000000004">
      <c r="A546" s="295">
        <v>26024</v>
      </c>
      <c r="B546" s="1368">
        <v>3.8899999999999997E-2</v>
      </c>
      <c r="C546" s="1366">
        <v>-3.49E-2</v>
      </c>
      <c r="D546" s="1366">
        <v>4.7999999999999996E-3</v>
      </c>
      <c r="E546" s="1366">
        <v>6.0416666666666665E-3</v>
      </c>
      <c r="F546" s="5">
        <v>6.45E-3</v>
      </c>
      <c r="G546" s="5">
        <v>6.2458333333333324E-3</v>
      </c>
      <c r="H546" s="1366">
        <v>6.7250000000000001E-3</v>
      </c>
      <c r="I546" s="1366">
        <f t="shared" si="24"/>
        <v>3.4099999999999998E-2</v>
      </c>
      <c r="J546" s="1366">
        <f t="shared" si="25"/>
        <v>3.2654166666666665E-2</v>
      </c>
      <c r="K546" s="1366">
        <f t="shared" si="26"/>
        <v>-4.1625000000000002E-2</v>
      </c>
    </row>
    <row r="547" spans="1:11" x14ac:dyDescent="0.55000000000000004">
      <c r="A547" s="295">
        <v>26054</v>
      </c>
      <c r="B547" s="1368">
        <v>-3.9100000000000003E-2</v>
      </c>
      <c r="C547" s="1366">
        <v>-3.5100000000000006E-2</v>
      </c>
      <c r="D547" s="1366">
        <v>4.7000000000000002E-3</v>
      </c>
      <c r="E547" s="1366">
        <v>6.2750000000000002E-3</v>
      </c>
      <c r="F547" s="5">
        <v>6.5333333333333328E-3</v>
      </c>
      <c r="G547" s="5">
        <v>6.4041666666666665E-3</v>
      </c>
      <c r="H547" s="1366">
        <v>6.9499999999999996E-3</v>
      </c>
      <c r="I547" s="1366">
        <f t="shared" si="24"/>
        <v>-4.3800000000000006E-2</v>
      </c>
      <c r="J547" s="1366">
        <f t="shared" si="25"/>
        <v>-4.5504166666666672E-2</v>
      </c>
      <c r="K547" s="1366">
        <f t="shared" si="26"/>
        <v>-4.2050000000000004E-2</v>
      </c>
    </row>
    <row r="548" spans="1:11" x14ac:dyDescent="0.55000000000000004">
      <c r="A548" s="295">
        <v>26085</v>
      </c>
      <c r="B548" s="1368">
        <v>3.3E-3</v>
      </c>
      <c r="C548" s="1366">
        <v>3.9800000000000002E-2</v>
      </c>
      <c r="D548" s="1366">
        <v>5.5999999999999991E-3</v>
      </c>
      <c r="E548" s="1366">
        <v>6.3666666666666663E-3</v>
      </c>
      <c r="F548" s="5">
        <v>6.6333333333333331E-3</v>
      </c>
      <c r="G548" s="5">
        <v>6.4999999999999988E-3</v>
      </c>
      <c r="H548" s="1366">
        <v>7.0416666666666657E-3</v>
      </c>
      <c r="I548" s="1366">
        <f t="shared" si="24"/>
        <v>-2.2999999999999991E-3</v>
      </c>
      <c r="J548" s="1366">
        <f t="shared" si="25"/>
        <v>-3.1999999999999989E-3</v>
      </c>
      <c r="K548" s="1366">
        <f t="shared" si="26"/>
        <v>3.2758333333333334E-2</v>
      </c>
    </row>
    <row r="549" spans="1:11" x14ac:dyDescent="0.55000000000000004">
      <c r="A549" s="295">
        <v>26115</v>
      </c>
      <c r="B549" s="1368">
        <v>-3.8699999999999998E-2</v>
      </c>
      <c r="C549" s="1366">
        <v>-2.2499999999999999E-2</v>
      </c>
      <c r="D549" s="1366">
        <v>5.1999999999999998E-3</v>
      </c>
      <c r="E549" s="1366">
        <v>6.3666666666666663E-3</v>
      </c>
      <c r="F549" s="5">
        <v>6.6333333333333331E-3</v>
      </c>
      <c r="G549" s="5">
        <v>6.4999999999999988E-3</v>
      </c>
      <c r="H549" s="1366">
        <v>7.0416666666666657E-3</v>
      </c>
      <c r="I549" s="1366">
        <f t="shared" si="24"/>
        <v>-4.3899999999999995E-2</v>
      </c>
      <c r="J549" s="1366">
        <f t="shared" si="25"/>
        <v>-4.5199999999999997E-2</v>
      </c>
      <c r="K549" s="1366">
        <f t="shared" si="26"/>
        <v>-2.9541666666666664E-2</v>
      </c>
    </row>
    <row r="550" spans="1:11" x14ac:dyDescent="0.55000000000000004">
      <c r="A550" s="295">
        <v>26146</v>
      </c>
      <c r="B550" s="1368">
        <v>3.8800000000000001E-2</v>
      </c>
      <c r="C550" s="1366">
        <v>-2.4699999999999996E-2</v>
      </c>
      <c r="D550" s="1366">
        <v>5.4999999999999997E-3</v>
      </c>
      <c r="E550" s="1366">
        <v>6.3249999999999999E-3</v>
      </c>
      <c r="F550" s="5">
        <v>6.6083333333333324E-3</v>
      </c>
      <c r="G550" s="5">
        <v>6.4666666666666657E-3</v>
      </c>
      <c r="H550" s="1366">
        <v>7.000000000000001E-3</v>
      </c>
      <c r="I550" s="1366">
        <f t="shared" si="24"/>
        <v>3.3300000000000003E-2</v>
      </c>
      <c r="J550" s="1366">
        <f t="shared" si="25"/>
        <v>3.2333333333333339E-2</v>
      </c>
      <c r="K550" s="1366">
        <f t="shared" si="26"/>
        <v>-3.1699999999999999E-2</v>
      </c>
    </row>
    <row r="551" spans="1:11" x14ac:dyDescent="0.55000000000000004">
      <c r="A551" s="295">
        <v>26177</v>
      </c>
      <c r="B551" s="1368">
        <v>-4.4000000000000003E-3</v>
      </c>
      <c r="C551" s="1366">
        <v>-1.4600000000000002E-2</v>
      </c>
      <c r="D551" s="1366">
        <v>5.0000000000000001E-3</v>
      </c>
      <c r="E551" s="1366">
        <v>6.1999999999999998E-3</v>
      </c>
      <c r="F551" s="5">
        <v>6.508333333333333E-3</v>
      </c>
      <c r="G551" s="5">
        <v>6.3541666666666659E-3</v>
      </c>
      <c r="H551" s="1366">
        <v>6.8166666666666662E-3</v>
      </c>
      <c r="I551" s="1366">
        <f t="shared" si="24"/>
        <v>-9.4000000000000004E-3</v>
      </c>
      <c r="J551" s="1366">
        <f t="shared" si="25"/>
        <v>-1.0754166666666665E-2</v>
      </c>
      <c r="K551" s="1366">
        <f t="shared" si="26"/>
        <v>-2.1416666666666667E-2</v>
      </c>
    </row>
    <row r="552" spans="1:11" x14ac:dyDescent="0.55000000000000004">
      <c r="A552" s="295">
        <v>26207</v>
      </c>
      <c r="B552" s="1368">
        <v>-3.9199999999999999E-2</v>
      </c>
      <c r="C552" s="1366">
        <v>1.7000000000000001E-2</v>
      </c>
      <c r="D552" s="1366">
        <v>4.7000000000000002E-3</v>
      </c>
      <c r="E552" s="1366">
        <v>6.1583333333333334E-3</v>
      </c>
      <c r="F552" s="5">
        <v>6.4083333333333336E-3</v>
      </c>
      <c r="G552" s="5">
        <v>6.2833333333333343E-3</v>
      </c>
      <c r="H552" s="1366">
        <v>6.7499999999999991E-3</v>
      </c>
      <c r="I552" s="1366">
        <f t="shared" si="24"/>
        <v>-4.3900000000000002E-2</v>
      </c>
      <c r="J552" s="1366">
        <f t="shared" si="25"/>
        <v>-4.5483333333333334E-2</v>
      </c>
      <c r="K552" s="1366">
        <f t="shared" si="26"/>
        <v>1.0250000000000002E-2</v>
      </c>
    </row>
    <row r="553" spans="1:11" x14ac:dyDescent="0.55000000000000004">
      <c r="A553" s="295">
        <v>26238</v>
      </c>
      <c r="B553" s="1368">
        <v>2.0000000000000001E-4</v>
      </c>
      <c r="C553" s="1366">
        <v>-5.5000000000000005E-3</v>
      </c>
      <c r="D553" s="1366">
        <v>5.1000000000000004E-3</v>
      </c>
      <c r="E553" s="1366">
        <v>6.0499999999999998E-3</v>
      </c>
      <c r="F553" s="5">
        <v>6.3E-3</v>
      </c>
      <c r="G553" s="5">
        <v>6.1749999999999991E-3</v>
      </c>
      <c r="H553" s="1366">
        <v>6.6333333333333331E-3</v>
      </c>
      <c r="I553" s="1366">
        <f t="shared" si="24"/>
        <v>-4.9000000000000007E-3</v>
      </c>
      <c r="J553" s="1366">
        <f t="shared" si="25"/>
        <v>-5.9749999999999994E-3</v>
      </c>
      <c r="K553" s="1366">
        <f t="shared" si="26"/>
        <v>-1.2133333333333333E-2</v>
      </c>
    </row>
    <row r="554" spans="1:11" x14ac:dyDescent="0.55000000000000004">
      <c r="A554" s="295">
        <v>26268</v>
      </c>
      <c r="B554" s="1368">
        <v>8.8800000000000004E-2</v>
      </c>
      <c r="C554" s="1366">
        <v>8.0600000000000005E-2</v>
      </c>
      <c r="D554" s="1366">
        <v>5.0000000000000001E-3</v>
      </c>
      <c r="E554" s="1366">
        <v>6.0416666666666665E-3</v>
      </c>
      <c r="F554" s="5">
        <v>6.3083333333333333E-3</v>
      </c>
      <c r="G554" s="5">
        <v>6.1749999999999991E-3</v>
      </c>
      <c r="H554" s="1366">
        <v>6.5833333333333334E-3</v>
      </c>
      <c r="I554" s="1366">
        <f t="shared" si="24"/>
        <v>8.3799999999999999E-2</v>
      </c>
      <c r="J554" s="1366">
        <f t="shared" si="25"/>
        <v>8.2625000000000004E-2</v>
      </c>
      <c r="K554" s="1366">
        <f t="shared" si="26"/>
        <v>7.4016666666666675E-2</v>
      </c>
    </row>
    <row r="555" spans="1:11" x14ac:dyDescent="0.55000000000000004">
      <c r="A555" s="295">
        <v>26299</v>
      </c>
      <c r="B555" s="1368">
        <v>2.06E-2</v>
      </c>
      <c r="C555" s="1366">
        <v>-7.4000000000000012E-3</v>
      </c>
      <c r="D555" s="1366">
        <v>5.0000000000000001E-3</v>
      </c>
      <c r="E555" s="1366">
        <v>5.9916666666666677E-3</v>
      </c>
      <c r="F555" s="5">
        <v>6.266666666666666E-3</v>
      </c>
      <c r="G555" s="5">
        <v>6.1291666666666664E-3</v>
      </c>
      <c r="H555" s="1366">
        <v>6.4916666666666664E-3</v>
      </c>
      <c r="I555" s="1366">
        <f t="shared" si="24"/>
        <v>1.5599999999999999E-2</v>
      </c>
      <c r="J555" s="1366">
        <f t="shared" si="25"/>
        <v>1.4470833333333334E-2</v>
      </c>
      <c r="K555" s="1366">
        <f t="shared" si="26"/>
        <v>-1.3891666666666667E-2</v>
      </c>
    </row>
    <row r="556" spans="1:11" x14ac:dyDescent="0.55000000000000004">
      <c r="A556" s="295">
        <v>26330</v>
      </c>
      <c r="B556" s="1368">
        <v>2.7699999999999999E-2</v>
      </c>
      <c r="C556" s="1366">
        <v>-2.4E-2</v>
      </c>
      <c r="D556" s="1366">
        <v>4.7000000000000002E-3</v>
      </c>
      <c r="E556" s="1366">
        <v>6.0583333333333331E-3</v>
      </c>
      <c r="F556" s="5">
        <v>6.266666666666666E-3</v>
      </c>
      <c r="G556" s="5">
        <v>6.1624999999999996E-3</v>
      </c>
      <c r="H556" s="1366">
        <v>6.4833333333333331E-3</v>
      </c>
      <c r="I556" s="1366">
        <f t="shared" si="24"/>
        <v>2.3E-2</v>
      </c>
      <c r="J556" s="1366">
        <f t="shared" si="25"/>
        <v>2.1537500000000001E-2</v>
      </c>
      <c r="K556" s="1366">
        <f t="shared" si="26"/>
        <v>-3.0483333333333335E-2</v>
      </c>
    </row>
    <row r="557" spans="1:11" x14ac:dyDescent="0.55000000000000004">
      <c r="A557" s="295">
        <v>26359</v>
      </c>
      <c r="B557" s="1368">
        <v>8.3000000000000001E-3</v>
      </c>
      <c r="C557" s="1366">
        <v>-3.5999999999999999E-3</v>
      </c>
      <c r="D557" s="1366">
        <v>4.8999999999999998E-3</v>
      </c>
      <c r="E557" s="1366">
        <v>6.0333333333333341E-3</v>
      </c>
      <c r="F557" s="5">
        <v>6.2750000000000002E-3</v>
      </c>
      <c r="G557" s="5">
        <v>6.1541666666666672E-3</v>
      </c>
      <c r="H557" s="1366">
        <v>6.4750000000000007E-3</v>
      </c>
      <c r="I557" s="1366">
        <f t="shared" si="24"/>
        <v>3.4000000000000002E-3</v>
      </c>
      <c r="J557" s="1366">
        <f t="shared" si="25"/>
        <v>2.1458333333333329E-3</v>
      </c>
      <c r="K557" s="1366">
        <f t="shared" si="26"/>
        <v>-1.0075000000000001E-2</v>
      </c>
    </row>
    <row r="558" spans="1:11" x14ac:dyDescent="0.55000000000000004">
      <c r="A558" s="295">
        <v>26390</v>
      </c>
      <c r="B558" s="1368">
        <v>6.7999999999999996E-3</v>
      </c>
      <c r="C558" s="1366">
        <v>-2.7700000000000006E-2</v>
      </c>
      <c r="D558" s="1366">
        <v>4.7999999999999996E-3</v>
      </c>
      <c r="E558" s="1366">
        <v>6.083333333333333E-3</v>
      </c>
      <c r="F558" s="5">
        <v>6.3083333333333333E-3</v>
      </c>
      <c r="G558" s="5">
        <v>6.1958333333333336E-3</v>
      </c>
      <c r="H558" s="1366">
        <v>6.5166666666666671E-3</v>
      </c>
      <c r="I558" s="1366">
        <f t="shared" si="24"/>
        <v>2E-3</v>
      </c>
      <c r="J558" s="1366">
        <f t="shared" si="25"/>
        <v>6.0416666666666605E-4</v>
      </c>
      <c r="K558" s="1366">
        <f t="shared" si="26"/>
        <v>-3.4216666666666673E-2</v>
      </c>
    </row>
    <row r="559" spans="1:11" x14ac:dyDescent="0.55000000000000004">
      <c r="A559" s="295">
        <v>26420</v>
      </c>
      <c r="B559" s="1368">
        <v>1.9699999999999999E-2</v>
      </c>
      <c r="C559" s="1366">
        <v>-1.7000000000000001E-3</v>
      </c>
      <c r="D559" s="1366">
        <v>5.4999999999999997E-3</v>
      </c>
      <c r="E559" s="1366">
        <v>6.083333333333333E-3</v>
      </c>
      <c r="F559" s="5">
        <v>6.3E-3</v>
      </c>
      <c r="G559" s="5">
        <v>6.1916666666666665E-3</v>
      </c>
      <c r="H559" s="1366">
        <v>6.5333333333333328E-3</v>
      </c>
      <c r="I559" s="1366">
        <f t="shared" si="24"/>
        <v>1.4199999999999999E-2</v>
      </c>
      <c r="J559" s="1366">
        <f t="shared" si="25"/>
        <v>1.3508333333333332E-2</v>
      </c>
      <c r="K559" s="1366">
        <f t="shared" si="26"/>
        <v>-8.2333333333333321E-3</v>
      </c>
    </row>
    <row r="560" spans="1:11" x14ac:dyDescent="0.55000000000000004">
      <c r="A560" s="295">
        <v>26451</v>
      </c>
      <c r="B560" s="1368">
        <v>-1.9400000000000001E-2</v>
      </c>
      <c r="C560" s="1366">
        <v>-2.1000000000000001E-2</v>
      </c>
      <c r="D560" s="1366">
        <v>4.8999999999999998E-3</v>
      </c>
      <c r="E560" s="1366">
        <v>6.025E-3</v>
      </c>
      <c r="F560" s="5">
        <v>6.2583333333333336E-3</v>
      </c>
      <c r="G560" s="5">
        <v>6.1416666666666677E-3</v>
      </c>
      <c r="H560" s="1366">
        <v>6.4750000000000007E-3</v>
      </c>
      <c r="I560" s="1366">
        <f t="shared" si="24"/>
        <v>-2.4300000000000002E-2</v>
      </c>
      <c r="J560" s="1366">
        <f t="shared" si="25"/>
        <v>-2.5541666666666667E-2</v>
      </c>
      <c r="K560" s="1366">
        <f t="shared" si="26"/>
        <v>-2.7475000000000003E-2</v>
      </c>
    </row>
    <row r="561" spans="1:11" x14ac:dyDescent="0.55000000000000004">
      <c r="A561" s="295">
        <v>26481</v>
      </c>
      <c r="B561" s="1368">
        <v>4.7999999999999996E-3</v>
      </c>
      <c r="C561" s="1366">
        <v>-1.4000000000000002E-3</v>
      </c>
      <c r="D561" s="1366">
        <v>5.1000000000000004E-3</v>
      </c>
      <c r="E561" s="1366">
        <v>6.0083333333333334E-3</v>
      </c>
      <c r="F561" s="5">
        <v>6.2500000000000003E-3</v>
      </c>
      <c r="G561" s="5">
        <v>6.1291666666666664E-3</v>
      </c>
      <c r="H561" s="1366">
        <v>6.5166666666666671E-3</v>
      </c>
      <c r="I561" s="1366">
        <f t="shared" si="24"/>
        <v>-3.0000000000000079E-4</v>
      </c>
      <c r="J561" s="1366">
        <f t="shared" si="25"/>
        <v>-1.3291666666666669E-3</v>
      </c>
      <c r="K561" s="1366">
        <f t="shared" si="26"/>
        <v>-7.9166666666666673E-3</v>
      </c>
    </row>
    <row r="562" spans="1:11" x14ac:dyDescent="0.55000000000000004">
      <c r="A562" s="295">
        <v>26512</v>
      </c>
      <c r="B562" s="1368">
        <v>3.6900000000000002E-2</v>
      </c>
      <c r="C562" s="1366">
        <v>5.74E-2</v>
      </c>
      <c r="D562" s="1366">
        <v>4.8999999999999998E-3</v>
      </c>
      <c r="E562" s="1366">
        <v>5.9916666666666677E-3</v>
      </c>
      <c r="F562" s="5">
        <v>6.1916666666666665E-3</v>
      </c>
      <c r="G562" s="5">
        <v>6.0916666666666662E-3</v>
      </c>
      <c r="H562" s="1366">
        <v>6.3666666666666672E-3</v>
      </c>
      <c r="I562" s="1366">
        <f t="shared" si="24"/>
        <v>3.2000000000000001E-2</v>
      </c>
      <c r="J562" s="1366">
        <f t="shared" si="25"/>
        <v>3.0808333333333337E-2</v>
      </c>
      <c r="K562" s="1366">
        <f t="shared" si="26"/>
        <v>5.1033333333333333E-2</v>
      </c>
    </row>
    <row r="563" spans="1:11" x14ac:dyDescent="0.55000000000000004">
      <c r="A563" s="295">
        <v>26543</v>
      </c>
      <c r="B563" s="1368">
        <v>-2.5000000000000001E-3</v>
      </c>
      <c r="C563" s="1366">
        <v>2.7000000000000001E-3</v>
      </c>
      <c r="D563" s="1366">
        <v>4.7000000000000002E-3</v>
      </c>
      <c r="E563" s="1366">
        <v>6.0166666666666667E-3</v>
      </c>
      <c r="F563" s="5">
        <v>6.1750000000000008E-3</v>
      </c>
      <c r="G563" s="5">
        <v>6.0958333333333333E-3</v>
      </c>
      <c r="H563" s="1366">
        <v>6.3416666666666665E-3</v>
      </c>
      <c r="I563" s="1366">
        <f t="shared" si="24"/>
        <v>-7.1999999999999998E-3</v>
      </c>
      <c r="J563" s="1366">
        <f t="shared" si="25"/>
        <v>-8.5958333333333338E-3</v>
      </c>
      <c r="K563" s="1366">
        <f t="shared" si="26"/>
        <v>-3.6416666666666663E-3</v>
      </c>
    </row>
    <row r="564" spans="1:11" x14ac:dyDescent="0.55000000000000004">
      <c r="A564" s="295">
        <v>26573</v>
      </c>
      <c r="B564" s="1368">
        <v>1.18E-2</v>
      </c>
      <c r="C564" s="1366">
        <v>6.5100000000000005E-2</v>
      </c>
      <c r="D564" s="1366">
        <v>5.1999999999999998E-3</v>
      </c>
      <c r="E564" s="1366">
        <v>6.0083333333333334E-3</v>
      </c>
      <c r="F564" s="5">
        <v>6.2083333333333331E-3</v>
      </c>
      <c r="G564" s="5">
        <v>6.1083333333333337E-3</v>
      </c>
      <c r="H564" s="1366">
        <v>6.3833333333333329E-3</v>
      </c>
      <c r="I564" s="1366">
        <f t="shared" si="24"/>
        <v>6.6E-3</v>
      </c>
      <c r="J564" s="1366">
        <f t="shared" si="25"/>
        <v>5.6916666666666661E-3</v>
      </c>
      <c r="K564" s="1366">
        <f t="shared" si="26"/>
        <v>5.8716666666666674E-2</v>
      </c>
    </row>
    <row r="565" spans="1:11" x14ac:dyDescent="0.55000000000000004">
      <c r="A565" s="295">
        <v>26604</v>
      </c>
      <c r="B565" s="1368">
        <v>4.8099999999999997E-2</v>
      </c>
      <c r="C565" s="1366">
        <v>6.3899999999999998E-2</v>
      </c>
      <c r="D565" s="1366">
        <v>4.7999999999999996E-3</v>
      </c>
      <c r="E565" s="1366">
        <v>5.9333333333333339E-3</v>
      </c>
      <c r="F565" s="5">
        <v>6.1583333333333334E-3</v>
      </c>
      <c r="G565" s="5">
        <v>6.0458333333333336E-3</v>
      </c>
      <c r="H565" s="1366">
        <v>6.333333333333334E-3</v>
      </c>
      <c r="I565" s="1366">
        <f t="shared" si="24"/>
        <v>4.3299999999999998E-2</v>
      </c>
      <c r="J565" s="1366">
        <f t="shared" si="25"/>
        <v>4.2054166666666663E-2</v>
      </c>
      <c r="K565" s="1366">
        <f t="shared" si="26"/>
        <v>5.7566666666666662E-2</v>
      </c>
    </row>
    <row r="566" spans="1:11" x14ac:dyDescent="0.55000000000000004">
      <c r="A566" s="295">
        <v>26634</v>
      </c>
      <c r="B566" s="1368">
        <v>1.4200000000000001E-2</v>
      </c>
      <c r="C566" s="1366">
        <v>-1.7399999999999999E-2</v>
      </c>
      <c r="D566" s="1366">
        <v>4.4999999999999997E-3</v>
      </c>
      <c r="E566" s="1366">
        <v>5.8999999999999999E-3</v>
      </c>
      <c r="F566" s="5">
        <v>6.1333333333333344E-3</v>
      </c>
      <c r="G566" s="5">
        <v>6.0166666666666667E-3</v>
      </c>
      <c r="H566" s="1366">
        <v>6.2333333333333338E-3</v>
      </c>
      <c r="I566" s="1366">
        <f t="shared" si="24"/>
        <v>9.7000000000000003E-3</v>
      </c>
      <c r="J566" s="1366">
        <f t="shared" si="25"/>
        <v>8.1833333333333341E-3</v>
      </c>
      <c r="K566" s="1366">
        <f t="shared" si="26"/>
        <v>-2.3633333333333333E-2</v>
      </c>
    </row>
    <row r="567" spans="1:11" x14ac:dyDescent="0.55000000000000004">
      <c r="A567" s="295">
        <v>26665</v>
      </c>
      <c r="B567" s="1368">
        <v>-1.49E-2</v>
      </c>
      <c r="C567" s="1366">
        <v>-4.3900000000000008E-2</v>
      </c>
      <c r="D567" s="1366">
        <v>5.4000000000000003E-3</v>
      </c>
      <c r="E567" s="1366">
        <v>5.9583333333333328E-3</v>
      </c>
      <c r="F567" s="5">
        <v>6.1416666666666668E-3</v>
      </c>
      <c r="G567" s="5">
        <v>6.0499999999999998E-3</v>
      </c>
      <c r="H567" s="1366">
        <v>6.2666666666666669E-3</v>
      </c>
      <c r="I567" s="1366">
        <f t="shared" si="24"/>
        <v>-2.0299999999999999E-2</v>
      </c>
      <c r="J567" s="1366">
        <f t="shared" si="25"/>
        <v>-2.095E-2</v>
      </c>
      <c r="K567" s="1366">
        <f t="shared" si="26"/>
        <v>-5.0166666666666679E-2</v>
      </c>
    </row>
    <row r="568" spans="1:11" x14ac:dyDescent="0.55000000000000004">
      <c r="A568" s="295">
        <v>26696</v>
      </c>
      <c r="B568" s="1368">
        <v>-3.5200000000000002E-2</v>
      </c>
      <c r="C568" s="1366">
        <v>-2.3399999999999997E-2</v>
      </c>
      <c r="D568" s="1366">
        <v>5.1000000000000004E-3</v>
      </c>
      <c r="E568" s="1366">
        <v>6.0166666666666667E-3</v>
      </c>
      <c r="F568" s="5">
        <v>6.2249999999999996E-3</v>
      </c>
      <c r="G568" s="5">
        <v>6.1208333333333332E-3</v>
      </c>
      <c r="H568" s="1366">
        <v>6.3499999999999997E-3</v>
      </c>
      <c r="I568" s="1366">
        <f t="shared" si="24"/>
        <v>-4.0300000000000002E-2</v>
      </c>
      <c r="J568" s="1366">
        <f t="shared" si="25"/>
        <v>-4.1320833333333334E-2</v>
      </c>
      <c r="K568" s="1366">
        <f t="shared" si="26"/>
        <v>-2.9749999999999999E-2</v>
      </c>
    </row>
    <row r="569" spans="1:11" x14ac:dyDescent="0.55000000000000004">
      <c r="A569" s="295">
        <v>26724</v>
      </c>
      <c r="B569" s="1368">
        <v>8.0000000000000004E-4</v>
      </c>
      <c r="C569" s="1366">
        <v>-1.3500000000000002E-2</v>
      </c>
      <c r="D569" s="1366">
        <v>5.5999999999999991E-3</v>
      </c>
      <c r="E569" s="1366">
        <v>6.0750000000000005E-3</v>
      </c>
      <c r="F569" s="5">
        <v>6.2416666666666662E-3</v>
      </c>
      <c r="G569" s="5">
        <v>6.1583333333333334E-3</v>
      </c>
      <c r="H569" s="1366">
        <v>6.3833333333333329E-3</v>
      </c>
      <c r="I569" s="1366">
        <f t="shared" si="24"/>
        <v>-4.7999999999999987E-3</v>
      </c>
      <c r="J569" s="1366">
        <f t="shared" si="25"/>
        <v>-5.358333333333333E-3</v>
      </c>
      <c r="K569" s="1366">
        <f t="shared" si="26"/>
        <v>-1.9883333333333336E-2</v>
      </c>
    </row>
    <row r="570" spans="1:11" x14ac:dyDescent="0.55000000000000004">
      <c r="A570" s="295">
        <v>26755</v>
      </c>
      <c r="B570" s="1368">
        <v>-3.8300000000000001E-2</v>
      </c>
      <c r="C570" s="1366">
        <v>-4.9000000000000007E-3</v>
      </c>
      <c r="D570" s="1366">
        <v>5.7000000000000002E-3</v>
      </c>
      <c r="E570" s="1366">
        <v>6.0499999999999998E-3</v>
      </c>
      <c r="F570" s="5">
        <v>6.2416666666666662E-3</v>
      </c>
      <c r="G570" s="5">
        <v>6.145833333333333E-3</v>
      </c>
      <c r="H570" s="1366">
        <v>6.3583333333333339E-3</v>
      </c>
      <c r="I570" s="1366">
        <f t="shared" si="24"/>
        <v>-4.3999999999999997E-2</v>
      </c>
      <c r="J570" s="1366">
        <f t="shared" si="25"/>
        <v>-4.4445833333333337E-2</v>
      </c>
      <c r="K570" s="1366">
        <f t="shared" si="26"/>
        <v>-1.1258333333333335E-2</v>
      </c>
    </row>
    <row r="571" spans="1:11" x14ac:dyDescent="0.55000000000000004">
      <c r="A571" s="295">
        <v>26785</v>
      </c>
      <c r="B571" s="1368">
        <v>-1.6299999999999999E-2</v>
      </c>
      <c r="C571" s="1366">
        <v>6.7000000000000002E-3</v>
      </c>
      <c r="D571" s="1366">
        <v>5.7999999999999996E-3</v>
      </c>
      <c r="E571" s="1366">
        <v>6.0750000000000005E-3</v>
      </c>
      <c r="F571" s="5">
        <v>6.2416666666666662E-3</v>
      </c>
      <c r="G571" s="5">
        <v>6.1583333333333334E-3</v>
      </c>
      <c r="H571" s="1366">
        <v>6.3583333333333339E-3</v>
      </c>
      <c r="I571" s="1366">
        <f t="shared" si="24"/>
        <v>-2.2099999999999998E-2</v>
      </c>
      <c r="J571" s="1366">
        <f t="shared" si="25"/>
        <v>-2.245833333333333E-2</v>
      </c>
      <c r="K571" s="1366">
        <f t="shared" si="26"/>
        <v>3.4166666666666633E-4</v>
      </c>
    </row>
    <row r="572" spans="1:11" x14ac:dyDescent="0.55000000000000004">
      <c r="A572" s="295">
        <v>26816</v>
      </c>
      <c r="B572" s="1368">
        <v>-4.0000000000000001E-3</v>
      </c>
      <c r="C572" s="1366">
        <v>-1.67E-2</v>
      </c>
      <c r="D572" s="1366">
        <v>5.4999999999999997E-3</v>
      </c>
      <c r="E572" s="1366">
        <v>6.1416666666666668E-3</v>
      </c>
      <c r="F572" s="5">
        <v>6.2916666666666668E-3</v>
      </c>
      <c r="G572" s="5">
        <v>6.2166666666666655E-3</v>
      </c>
      <c r="H572" s="1366">
        <v>6.4249999999999993E-3</v>
      </c>
      <c r="I572" s="1366">
        <f t="shared" si="24"/>
        <v>-9.4999999999999998E-3</v>
      </c>
      <c r="J572" s="1366">
        <f t="shared" si="25"/>
        <v>-1.0216666666666666E-2</v>
      </c>
      <c r="K572" s="1366">
        <f t="shared" si="26"/>
        <v>-2.3125E-2</v>
      </c>
    </row>
    <row r="573" spans="1:11" x14ac:dyDescent="0.55000000000000004">
      <c r="A573" s="295">
        <v>26846</v>
      </c>
      <c r="B573" s="1368">
        <v>4.07E-2</v>
      </c>
      <c r="C573" s="1366">
        <v>-1.9900000000000001E-2</v>
      </c>
      <c r="D573" s="1366">
        <v>6.0999999999999995E-3</v>
      </c>
      <c r="E573" s="1366">
        <v>6.2083333333333331E-3</v>
      </c>
      <c r="F573" s="5">
        <v>6.3666666666666663E-3</v>
      </c>
      <c r="G573" s="5">
        <v>6.2874999999999988E-3</v>
      </c>
      <c r="H573" s="1366">
        <v>6.5166666666666671E-3</v>
      </c>
      <c r="I573" s="1366">
        <f t="shared" si="24"/>
        <v>3.4599999999999999E-2</v>
      </c>
      <c r="J573" s="1366">
        <f t="shared" si="25"/>
        <v>3.4412499999999999E-2</v>
      </c>
      <c r="K573" s="1366">
        <f t="shared" si="26"/>
        <v>-2.6416666666666668E-2</v>
      </c>
    </row>
    <row r="574" spans="1:11" x14ac:dyDescent="0.55000000000000004">
      <c r="A574" s="295">
        <v>26877</v>
      </c>
      <c r="B574" s="1368">
        <v>-3.4099999999999998E-2</v>
      </c>
      <c r="C574" s="1366">
        <v>-2.8399999999999995E-2</v>
      </c>
      <c r="D574" s="1366">
        <v>6.1999999999999998E-3</v>
      </c>
      <c r="E574" s="1366">
        <v>6.4000000000000003E-3</v>
      </c>
      <c r="F574" s="5">
        <v>6.5333333333333328E-3</v>
      </c>
      <c r="G574" s="5">
        <v>6.4666666666666674E-3</v>
      </c>
      <c r="H574" s="1366">
        <v>6.6999999999999994E-3</v>
      </c>
      <c r="I574" s="1366">
        <f t="shared" si="24"/>
        <v>-4.0299999999999996E-2</v>
      </c>
      <c r="J574" s="1366">
        <f t="shared" si="25"/>
        <v>-4.0566666666666668E-2</v>
      </c>
      <c r="K574" s="1366">
        <f t="shared" si="26"/>
        <v>-3.5099999999999992E-2</v>
      </c>
    </row>
    <row r="575" spans="1:11" x14ac:dyDescent="0.55000000000000004">
      <c r="A575" s="295">
        <v>26908</v>
      </c>
      <c r="B575" s="1368">
        <v>4.2700000000000002E-2</v>
      </c>
      <c r="C575" s="1366">
        <v>7.7099999999999988E-2</v>
      </c>
      <c r="D575" s="1366">
        <v>5.4999999999999997E-3</v>
      </c>
      <c r="E575" s="1366">
        <v>6.3583333333333339E-3</v>
      </c>
      <c r="F575" s="5">
        <v>6.5500000000000003E-3</v>
      </c>
      <c r="G575" s="5">
        <v>6.4541666666666671E-3</v>
      </c>
      <c r="H575" s="1366">
        <v>6.6999999999999994E-3</v>
      </c>
      <c r="I575" s="1366">
        <f t="shared" si="24"/>
        <v>3.7200000000000004E-2</v>
      </c>
      <c r="J575" s="1366">
        <f t="shared" si="25"/>
        <v>3.6245833333333338E-2</v>
      </c>
      <c r="K575" s="1366">
        <f t="shared" si="26"/>
        <v>7.039999999999999E-2</v>
      </c>
    </row>
    <row r="576" spans="1:11" x14ac:dyDescent="0.55000000000000004">
      <c r="A576" s="295">
        <v>26938</v>
      </c>
      <c r="B576" s="1368">
        <v>1.6999999999999999E-3</v>
      </c>
      <c r="C576" s="1366">
        <v>-3.8800000000000001E-2</v>
      </c>
      <c r="D576" s="1366">
        <v>6.3E-3</v>
      </c>
      <c r="E576" s="1366">
        <v>6.3333333333333332E-3</v>
      </c>
      <c r="F576" s="5">
        <v>6.5333333333333328E-3</v>
      </c>
      <c r="G576" s="5">
        <v>6.4333333333333334E-3</v>
      </c>
      <c r="H576" s="1366">
        <v>6.6833333333333337E-3</v>
      </c>
      <c r="I576" s="1366">
        <f t="shared" si="24"/>
        <v>-4.5999999999999999E-3</v>
      </c>
      <c r="J576" s="1366">
        <f t="shared" si="25"/>
        <v>-4.7333333333333333E-3</v>
      </c>
      <c r="K576" s="1366">
        <f t="shared" si="26"/>
        <v>-4.5483333333333334E-2</v>
      </c>
    </row>
    <row r="577" spans="1:11" x14ac:dyDescent="0.55000000000000004">
      <c r="A577" s="295">
        <v>26969</v>
      </c>
      <c r="B577" s="1368">
        <v>-0.1109</v>
      </c>
      <c r="C577" s="1366">
        <v>-0.11720000000000001</v>
      </c>
      <c r="D577" s="1366">
        <v>5.5999999999999991E-3</v>
      </c>
      <c r="E577" s="1366">
        <v>6.391666666666667E-3</v>
      </c>
      <c r="F577" s="5">
        <v>6.5833333333333334E-3</v>
      </c>
      <c r="G577" s="5">
        <v>6.4874999999999993E-3</v>
      </c>
      <c r="H577" s="1366">
        <v>6.7916666666666672E-3</v>
      </c>
      <c r="I577" s="1366">
        <f t="shared" si="24"/>
        <v>-0.11649999999999999</v>
      </c>
      <c r="J577" s="1366">
        <f t="shared" si="25"/>
        <v>-0.11738749999999999</v>
      </c>
      <c r="K577" s="1366">
        <f t="shared" si="26"/>
        <v>-0.12399166666666668</v>
      </c>
    </row>
    <row r="578" spans="1:11" x14ac:dyDescent="0.55000000000000004">
      <c r="A578" s="295">
        <v>26999</v>
      </c>
      <c r="B578" s="1368">
        <v>1.9800000000000002E-2</v>
      </c>
      <c r="C578" s="1366">
        <v>3.7499999999999999E-2</v>
      </c>
      <c r="D578" s="1366">
        <v>6.0000000000000001E-3</v>
      </c>
      <c r="E578" s="1366">
        <v>6.4000000000000003E-3</v>
      </c>
      <c r="F578" s="5">
        <v>6.6E-3</v>
      </c>
      <c r="G578" s="5">
        <v>6.5000000000000006E-3</v>
      </c>
      <c r="H578" s="1366">
        <v>6.8666666666666668E-3</v>
      </c>
      <c r="I578" s="1366">
        <f t="shared" si="24"/>
        <v>1.3800000000000002E-2</v>
      </c>
      <c r="J578" s="1366">
        <f t="shared" si="25"/>
        <v>1.3300000000000001E-2</v>
      </c>
      <c r="K578" s="1366">
        <f t="shared" si="26"/>
        <v>3.0633333333333332E-2</v>
      </c>
    </row>
    <row r="579" spans="1:11" x14ac:dyDescent="0.55000000000000004">
      <c r="A579" s="295">
        <v>27030</v>
      </c>
      <c r="B579" s="1368">
        <v>-7.1999999999999998E-3</v>
      </c>
      <c r="C579" s="1366">
        <v>4.1799999999999997E-2</v>
      </c>
      <c r="D579" s="1366">
        <v>6.0999999999999995E-3</v>
      </c>
      <c r="E579" s="1366">
        <v>6.5249999999999996E-3</v>
      </c>
      <c r="F579" s="5">
        <v>6.6666666666666662E-3</v>
      </c>
      <c r="G579" s="5">
        <v>6.5958333333333329E-3</v>
      </c>
      <c r="H579" s="1366">
        <v>6.9666666666666661E-3</v>
      </c>
      <c r="I579" s="1366">
        <f t="shared" si="24"/>
        <v>-1.3299999999999999E-2</v>
      </c>
      <c r="J579" s="1366">
        <f t="shared" si="25"/>
        <v>-1.3795833333333334E-2</v>
      </c>
      <c r="K579" s="1366">
        <f t="shared" si="26"/>
        <v>3.4833333333333327E-2</v>
      </c>
    </row>
    <row r="580" spans="1:11" x14ac:dyDescent="0.55000000000000004">
      <c r="A580" s="295">
        <v>27061</v>
      </c>
      <c r="B580" s="1368">
        <v>-6.9999999999999999E-4</v>
      </c>
      <c r="C580" s="1366">
        <v>6.0000000000000001E-3</v>
      </c>
      <c r="D580" s="1366">
        <v>5.4999999999999997E-3</v>
      </c>
      <c r="E580" s="1366">
        <v>6.541666666666667E-3</v>
      </c>
      <c r="F580" s="5">
        <v>6.7083333333333335E-3</v>
      </c>
      <c r="G580" s="5">
        <v>6.6250000000000007E-3</v>
      </c>
      <c r="H580" s="1366">
        <v>7.0166666666666667E-3</v>
      </c>
      <c r="I580" s="1366">
        <f t="shared" ref="I580:I643" si="27">B580-D580</f>
        <v>-6.1999999999999998E-3</v>
      </c>
      <c r="J580" s="1366">
        <f t="shared" si="25"/>
        <v>-7.3250000000000008E-3</v>
      </c>
      <c r="K580" s="1366">
        <f t="shared" si="26"/>
        <v>-1.0166666666666666E-3</v>
      </c>
    </row>
    <row r="581" spans="1:11" x14ac:dyDescent="0.55000000000000004">
      <c r="A581" s="295">
        <v>27089</v>
      </c>
      <c r="B581" s="1368">
        <v>-2.0500000000000001E-2</v>
      </c>
      <c r="C581" s="1366">
        <v>-3.8900000000000004E-2</v>
      </c>
      <c r="D581" s="1366">
        <v>5.8999999999999999E-3</v>
      </c>
      <c r="E581" s="1366">
        <v>6.6749999999999995E-3</v>
      </c>
      <c r="F581" s="5">
        <v>6.8166666666666662E-3</v>
      </c>
      <c r="G581" s="5">
        <v>6.7458333333333328E-3</v>
      </c>
      <c r="H581" s="1366">
        <v>7.0500000000000007E-3</v>
      </c>
      <c r="I581" s="1366">
        <f t="shared" si="27"/>
        <v>-2.64E-2</v>
      </c>
      <c r="J581" s="1366">
        <f t="shared" si="25"/>
        <v>-2.7245833333333334E-2</v>
      </c>
      <c r="K581" s="1366">
        <f t="shared" si="26"/>
        <v>-4.5950000000000005E-2</v>
      </c>
    </row>
    <row r="582" spans="1:11" x14ac:dyDescent="0.55000000000000004">
      <c r="A582" s="295">
        <v>27120</v>
      </c>
      <c r="B582" s="1368">
        <v>-3.5900000000000001E-2</v>
      </c>
      <c r="C582" s="1366">
        <v>-0.12959999999999999</v>
      </c>
      <c r="D582" s="1366">
        <v>6.7999999999999996E-3</v>
      </c>
      <c r="E582" s="1366">
        <v>6.875E-3</v>
      </c>
      <c r="F582" s="5">
        <v>7.025E-3</v>
      </c>
      <c r="G582" s="5">
        <v>6.9500000000000004E-3</v>
      </c>
      <c r="H582" s="1366">
        <v>7.3083333333333333E-3</v>
      </c>
      <c r="I582" s="1366">
        <f t="shared" si="27"/>
        <v>-4.2700000000000002E-2</v>
      </c>
      <c r="J582" s="1366">
        <f t="shared" si="25"/>
        <v>-4.2849999999999999E-2</v>
      </c>
      <c r="K582" s="1366">
        <f t="shared" si="26"/>
        <v>-0.13690833333333333</v>
      </c>
    </row>
    <row r="583" spans="1:11" x14ac:dyDescent="0.55000000000000004">
      <c r="A583" s="295">
        <v>27150</v>
      </c>
      <c r="B583" s="1368">
        <v>-3.0200000000000001E-2</v>
      </c>
      <c r="C583" s="1366">
        <v>-4.8399999999999999E-2</v>
      </c>
      <c r="D583" s="1366">
        <v>6.7999999999999996E-3</v>
      </c>
      <c r="E583" s="1366">
        <v>6.9749999999999986E-3</v>
      </c>
      <c r="F583" s="5">
        <v>7.1500000000000001E-3</v>
      </c>
      <c r="G583" s="5">
        <v>7.0624999999999993E-3</v>
      </c>
      <c r="H583" s="1366">
        <v>7.4999999999999997E-3</v>
      </c>
      <c r="I583" s="1366">
        <f t="shared" si="27"/>
        <v>-3.6999999999999998E-2</v>
      </c>
      <c r="J583" s="1366">
        <f t="shared" si="25"/>
        <v>-3.7262500000000004E-2</v>
      </c>
      <c r="K583" s="1366">
        <f t="shared" si="26"/>
        <v>-5.5899999999999998E-2</v>
      </c>
    </row>
    <row r="584" spans="1:11" x14ac:dyDescent="0.55000000000000004">
      <c r="A584" s="295">
        <v>27181</v>
      </c>
      <c r="B584" s="1368">
        <v>-1.1299999999999999E-2</v>
      </c>
      <c r="C584" s="1366">
        <v>-5.6999999999999995E-2</v>
      </c>
      <c r="D584" s="1366">
        <v>6.0999999999999995E-3</v>
      </c>
      <c r="E584" s="1366">
        <v>7.058333333333334E-3</v>
      </c>
      <c r="F584" s="5">
        <v>7.2916666666666659E-3</v>
      </c>
      <c r="G584" s="5">
        <v>7.175E-3</v>
      </c>
      <c r="H584" s="1366">
        <v>7.7666666666666674E-3</v>
      </c>
      <c r="I584" s="1366">
        <f t="shared" si="27"/>
        <v>-1.7399999999999999E-2</v>
      </c>
      <c r="J584" s="1366">
        <f t="shared" si="25"/>
        <v>-1.8474999999999998E-2</v>
      </c>
      <c r="K584" s="1366">
        <f t="shared" si="26"/>
        <v>-6.4766666666666667E-2</v>
      </c>
    </row>
    <row r="585" spans="1:11" x14ac:dyDescent="0.55000000000000004">
      <c r="A585" s="295">
        <v>27211</v>
      </c>
      <c r="B585" s="1368">
        <v>-7.4200000000000002E-2</v>
      </c>
      <c r="C585" s="1366">
        <v>-8.8999999999999982E-3</v>
      </c>
      <c r="D585" s="1366">
        <v>7.1999999999999998E-3</v>
      </c>
      <c r="E585" s="1366">
        <v>7.2666666666666669E-3</v>
      </c>
      <c r="F585" s="5">
        <v>7.5083333333333339E-3</v>
      </c>
      <c r="G585" s="5">
        <v>7.3875E-3</v>
      </c>
      <c r="H585" s="1366">
        <v>8.0499999999999999E-3</v>
      </c>
      <c r="I585" s="1366">
        <f t="shared" si="27"/>
        <v>-8.14E-2</v>
      </c>
      <c r="J585" s="1366">
        <f t="shared" si="25"/>
        <v>-8.1587500000000007E-2</v>
      </c>
      <c r="K585" s="1366">
        <f t="shared" si="26"/>
        <v>-1.695E-2</v>
      </c>
    </row>
    <row r="586" spans="1:11" x14ac:dyDescent="0.55000000000000004">
      <c r="A586" s="295">
        <v>27242</v>
      </c>
      <c r="B586" s="1368">
        <v>-8.6400000000000005E-2</v>
      </c>
      <c r="C586" s="1366">
        <v>-8.7099999999999997E-2</v>
      </c>
      <c r="D586" s="1366">
        <v>6.5000000000000006E-3</v>
      </c>
      <c r="E586" s="1366">
        <v>7.4999999999999997E-3</v>
      </c>
      <c r="F586" s="5">
        <v>7.7333333333333334E-3</v>
      </c>
      <c r="G586" s="5">
        <v>7.6166666666666674E-3</v>
      </c>
      <c r="H586" s="1366">
        <v>8.3583333333333339E-3</v>
      </c>
      <c r="I586" s="1366">
        <f t="shared" si="27"/>
        <v>-9.290000000000001E-2</v>
      </c>
      <c r="J586" s="1366">
        <f t="shared" si="25"/>
        <v>-9.4016666666666665E-2</v>
      </c>
      <c r="K586" s="1366">
        <f t="shared" si="26"/>
        <v>-9.5458333333333326E-2</v>
      </c>
    </row>
    <row r="587" spans="1:11" x14ac:dyDescent="0.55000000000000004">
      <c r="A587" s="295">
        <v>27273</v>
      </c>
      <c r="B587" s="1368">
        <v>-0.1152</v>
      </c>
      <c r="C587" s="1366">
        <v>-8.6E-3</v>
      </c>
      <c r="D587" s="1366">
        <v>7.1000000000000004E-3</v>
      </c>
      <c r="E587" s="1366">
        <v>7.7000000000000002E-3</v>
      </c>
      <c r="F587" s="5">
        <v>8.0499999999999999E-3</v>
      </c>
      <c r="G587" s="5">
        <v>7.8750000000000001E-3</v>
      </c>
      <c r="H587" s="1366">
        <v>8.7083333333333353E-3</v>
      </c>
      <c r="I587" s="1366">
        <f t="shared" si="27"/>
        <v>-0.12229999999999999</v>
      </c>
      <c r="J587" s="1366">
        <f t="shared" si="25"/>
        <v>-0.12307499999999999</v>
      </c>
      <c r="K587" s="1366">
        <f t="shared" si="26"/>
        <v>-1.7308333333333335E-2</v>
      </c>
    </row>
    <row r="588" spans="1:11" x14ac:dyDescent="0.55000000000000004">
      <c r="A588" s="295">
        <v>27303</v>
      </c>
      <c r="B588" s="1368">
        <v>0.1681</v>
      </c>
      <c r="C588" s="1366">
        <v>0.11990000000000001</v>
      </c>
      <c r="D588" s="1366">
        <v>7.000000000000001E-3</v>
      </c>
      <c r="E588" s="1366">
        <v>7.7249999999999992E-3</v>
      </c>
      <c r="F588" s="5">
        <v>8.0333333333333333E-3</v>
      </c>
      <c r="G588" s="5">
        <v>7.8791666666666663E-3</v>
      </c>
      <c r="H588" s="1366">
        <v>8.9833333333333328E-3</v>
      </c>
      <c r="I588" s="1366">
        <f t="shared" si="27"/>
        <v>0.16109999999999999</v>
      </c>
      <c r="J588" s="1366">
        <f t="shared" si="25"/>
        <v>0.16022083333333334</v>
      </c>
      <c r="K588" s="1366">
        <f t="shared" si="26"/>
        <v>0.11091666666666668</v>
      </c>
    </row>
    <row r="589" spans="1:11" x14ac:dyDescent="0.55000000000000004">
      <c r="A589" s="295">
        <v>27334</v>
      </c>
      <c r="B589" s="1368">
        <v>-4.8899999999999999E-2</v>
      </c>
      <c r="C589" s="1366">
        <v>-1.1900000000000001E-2</v>
      </c>
      <c r="D589" s="1366">
        <v>6.1999999999999998E-3</v>
      </c>
      <c r="E589" s="1366">
        <v>7.4083333333333336E-3</v>
      </c>
      <c r="F589" s="5">
        <v>7.7833333333333331E-3</v>
      </c>
      <c r="G589" s="5">
        <v>7.5958333333333329E-3</v>
      </c>
      <c r="H589" s="1366">
        <v>8.7166666666666677E-3</v>
      </c>
      <c r="I589" s="1366">
        <f t="shared" si="27"/>
        <v>-5.5099999999999996E-2</v>
      </c>
      <c r="J589" s="1366">
        <f t="shared" si="25"/>
        <v>-5.6495833333333328E-2</v>
      </c>
      <c r="K589" s="1366">
        <f t="shared" si="26"/>
        <v>-2.0616666666666669E-2</v>
      </c>
    </row>
    <row r="590" spans="1:11" x14ac:dyDescent="0.55000000000000004">
      <c r="A590" s="295">
        <v>27364</v>
      </c>
      <c r="B590" s="1368">
        <v>-1.5599999999999999E-2</v>
      </c>
      <c r="C590" s="1366">
        <v>4.4000000000000003E-3</v>
      </c>
      <c r="D590" s="1366">
        <v>6.7000000000000002E-3</v>
      </c>
      <c r="E590" s="1366">
        <v>7.4083333333333336E-3</v>
      </c>
      <c r="F590" s="5">
        <v>7.6666666666666662E-3</v>
      </c>
      <c r="G590" s="5">
        <v>7.5374999999999991E-3</v>
      </c>
      <c r="H590" s="1366">
        <v>8.5583333333333327E-3</v>
      </c>
      <c r="I590" s="1366">
        <f t="shared" si="27"/>
        <v>-2.23E-2</v>
      </c>
      <c r="J590" s="1366">
        <f t="shared" si="25"/>
        <v>-2.3137499999999998E-2</v>
      </c>
      <c r="K590" s="1366">
        <f t="shared" si="26"/>
        <v>-4.1583333333333325E-3</v>
      </c>
    </row>
    <row r="591" spans="1:11" x14ac:dyDescent="0.55000000000000004">
      <c r="A591" s="295">
        <v>27395</v>
      </c>
      <c r="B591" s="1368">
        <v>0.12720000000000001</v>
      </c>
      <c r="C591" s="1366">
        <v>0.18969999999999998</v>
      </c>
      <c r="D591" s="1366">
        <v>6.7999999999999996E-3</v>
      </c>
      <c r="E591" s="1366">
        <v>7.358333333333333E-3</v>
      </c>
      <c r="F591" s="5">
        <v>7.6083333333333333E-3</v>
      </c>
      <c r="G591" s="5">
        <v>7.4833333333333332E-3</v>
      </c>
      <c r="H591" s="1366">
        <v>8.6416666666666673E-3</v>
      </c>
      <c r="I591" s="1366">
        <f t="shared" si="27"/>
        <v>0.12040000000000001</v>
      </c>
      <c r="J591" s="1366">
        <f t="shared" si="25"/>
        <v>0.11971666666666668</v>
      </c>
      <c r="K591" s="1366">
        <f t="shared" si="26"/>
        <v>0.18105833333333332</v>
      </c>
    </row>
    <row r="592" spans="1:11" x14ac:dyDescent="0.55000000000000004">
      <c r="A592" s="295">
        <v>27426</v>
      </c>
      <c r="B592" s="1368">
        <v>6.3799999999999996E-2</v>
      </c>
      <c r="C592" s="1366">
        <v>1.43E-2</v>
      </c>
      <c r="D592" s="1366">
        <v>6.0000000000000001E-3</v>
      </c>
      <c r="E592" s="1366">
        <v>7.1833333333333324E-3</v>
      </c>
      <c r="F592" s="5">
        <v>7.4250000000000002E-3</v>
      </c>
      <c r="G592" s="5">
        <v>7.3041666666666671E-3</v>
      </c>
      <c r="H592" s="1366">
        <v>8.3250000000000008E-3</v>
      </c>
      <c r="I592" s="1366">
        <f t="shared" si="27"/>
        <v>5.7799999999999997E-2</v>
      </c>
      <c r="J592" s="1366">
        <f t="shared" si="25"/>
        <v>5.6495833333333328E-2</v>
      </c>
      <c r="K592" s="1366">
        <f t="shared" si="26"/>
        <v>5.9749999999999994E-3</v>
      </c>
    </row>
    <row r="593" spans="1:11" x14ac:dyDescent="0.55000000000000004">
      <c r="A593" s="295">
        <v>27454</v>
      </c>
      <c r="B593" s="1368">
        <v>2.5399999999999999E-2</v>
      </c>
      <c r="C593" s="1366">
        <v>-2.1600000000000001E-2</v>
      </c>
      <c r="D593" s="1366">
        <v>6.6E-3</v>
      </c>
      <c r="E593" s="1366">
        <v>7.2250000000000005E-3</v>
      </c>
      <c r="F593" s="5">
        <v>7.4333333333333326E-3</v>
      </c>
      <c r="G593" s="5">
        <v>7.329166666666667E-3</v>
      </c>
      <c r="H593" s="1366">
        <v>8.1000000000000013E-3</v>
      </c>
      <c r="I593" s="1366">
        <f t="shared" si="27"/>
        <v>1.8799999999999997E-2</v>
      </c>
      <c r="J593" s="1366">
        <f t="shared" si="25"/>
        <v>1.8070833333333331E-2</v>
      </c>
      <c r="K593" s="1366">
        <f t="shared" si="26"/>
        <v>-2.9700000000000004E-2</v>
      </c>
    </row>
    <row r="594" spans="1:11" x14ac:dyDescent="0.55000000000000004">
      <c r="A594" s="295">
        <v>27485</v>
      </c>
      <c r="B594" s="1368">
        <v>5.0999999999999997E-2</v>
      </c>
      <c r="C594" s="1366">
        <v>-1.4000000000000002E-2</v>
      </c>
      <c r="D594" s="1366">
        <v>6.7000000000000002E-3</v>
      </c>
      <c r="E594" s="1366">
        <v>7.4583333333333324E-3</v>
      </c>
      <c r="F594" s="5">
        <v>7.658333333333333E-3</v>
      </c>
      <c r="G594" s="5">
        <v>7.5583333333333327E-3</v>
      </c>
      <c r="H594" s="1366">
        <v>8.3833333333333329E-3</v>
      </c>
      <c r="I594" s="1366">
        <f t="shared" si="27"/>
        <v>4.4299999999999999E-2</v>
      </c>
      <c r="J594" s="1366">
        <f t="shared" si="25"/>
        <v>4.3441666666666663E-2</v>
      </c>
      <c r="K594" s="1366">
        <f t="shared" si="26"/>
        <v>-2.2383333333333335E-2</v>
      </c>
    </row>
    <row r="595" spans="1:11" x14ac:dyDescent="0.55000000000000004">
      <c r="A595" s="295">
        <v>27515</v>
      </c>
      <c r="B595" s="1368">
        <v>4.7600000000000003E-2</v>
      </c>
      <c r="C595" s="1366">
        <v>8.6599999999999996E-2</v>
      </c>
      <c r="D595" s="1366">
        <v>6.7000000000000002E-3</v>
      </c>
      <c r="E595" s="1366">
        <v>7.4166666666666669E-3</v>
      </c>
      <c r="F595" s="5">
        <v>7.7000000000000002E-3</v>
      </c>
      <c r="G595" s="5">
        <v>7.5583333333333336E-3</v>
      </c>
      <c r="H595" s="1366">
        <v>8.5249999999999996E-3</v>
      </c>
      <c r="I595" s="1366">
        <f t="shared" si="27"/>
        <v>4.0900000000000006E-2</v>
      </c>
      <c r="J595" s="1366">
        <f t="shared" si="25"/>
        <v>4.004166666666667E-2</v>
      </c>
      <c r="K595" s="1366">
        <f t="shared" si="26"/>
        <v>7.8074999999999992E-2</v>
      </c>
    </row>
    <row r="596" spans="1:11" x14ac:dyDescent="0.55000000000000004">
      <c r="A596" s="295">
        <v>27546</v>
      </c>
      <c r="B596" s="1368">
        <v>4.7699999999999999E-2</v>
      </c>
      <c r="C596" s="1366">
        <v>0.1067</v>
      </c>
      <c r="D596" s="1366">
        <v>7.000000000000001E-3</v>
      </c>
      <c r="E596" s="1366">
        <v>7.3083333333333333E-3</v>
      </c>
      <c r="F596" s="5">
        <v>7.6083333333333333E-3</v>
      </c>
      <c r="G596" s="5">
        <v>7.4583333333333333E-3</v>
      </c>
      <c r="H596" s="1366">
        <v>8.416666666666666E-3</v>
      </c>
      <c r="I596" s="1366">
        <f t="shared" si="27"/>
        <v>4.07E-2</v>
      </c>
      <c r="J596" s="1366">
        <f t="shared" si="25"/>
        <v>4.0241666666666669E-2</v>
      </c>
      <c r="K596" s="1366">
        <f t="shared" si="26"/>
        <v>9.8283333333333334E-2</v>
      </c>
    </row>
    <row r="597" spans="1:11" x14ac:dyDescent="0.55000000000000004">
      <c r="A597" s="295">
        <v>27576</v>
      </c>
      <c r="B597" s="1368">
        <v>-6.4399999999999999E-2</v>
      </c>
      <c r="C597" s="1366">
        <v>-5.1000000000000004E-2</v>
      </c>
      <c r="D597" s="1366">
        <v>6.7999999999999996E-3</v>
      </c>
      <c r="E597" s="1366">
        <v>7.3666666666666672E-3</v>
      </c>
      <c r="F597" s="5">
        <v>7.6083333333333333E-3</v>
      </c>
      <c r="G597" s="5">
        <v>7.4875000000000002E-3</v>
      </c>
      <c r="H597" s="1366">
        <v>8.3416666666666656E-3</v>
      </c>
      <c r="I597" s="1366">
        <f t="shared" si="27"/>
        <v>-7.1199999999999999E-2</v>
      </c>
      <c r="J597" s="1366">
        <f t="shared" si="25"/>
        <v>-7.1887499999999993E-2</v>
      </c>
      <c r="K597" s="1366">
        <f t="shared" si="26"/>
        <v>-5.9341666666666668E-2</v>
      </c>
    </row>
    <row r="598" spans="1:11" x14ac:dyDescent="0.55000000000000004">
      <c r="A598" s="295">
        <v>27607</v>
      </c>
      <c r="B598" s="1368">
        <v>-1.7600000000000001E-2</v>
      </c>
      <c r="C598" s="1366">
        <v>-2.1199999999999997E-2</v>
      </c>
      <c r="D598" s="1366">
        <v>6.5000000000000006E-3</v>
      </c>
      <c r="E598" s="1366">
        <v>7.4583333333333324E-3</v>
      </c>
      <c r="F598" s="5">
        <v>7.691666666666667E-3</v>
      </c>
      <c r="G598" s="5">
        <v>7.5749999999999993E-3</v>
      </c>
      <c r="H598" s="1366">
        <v>8.4333333333333326E-3</v>
      </c>
      <c r="I598" s="1366">
        <f t="shared" si="27"/>
        <v>-2.4100000000000003E-2</v>
      </c>
      <c r="J598" s="1366">
        <f t="shared" si="25"/>
        <v>-2.5174999999999999E-2</v>
      </c>
      <c r="K598" s="1366">
        <f t="shared" si="26"/>
        <v>-2.9633333333333331E-2</v>
      </c>
    </row>
    <row r="599" spans="1:11" x14ac:dyDescent="0.55000000000000004">
      <c r="A599" s="295">
        <v>27638</v>
      </c>
      <c r="B599" s="1368">
        <v>-3.1199999999999999E-2</v>
      </c>
      <c r="C599" s="1366">
        <v>-4.9000000000000007E-3</v>
      </c>
      <c r="D599" s="1366">
        <v>7.3000000000000001E-3</v>
      </c>
      <c r="E599" s="1366">
        <v>7.4583333333333324E-3</v>
      </c>
      <c r="F599" s="5">
        <v>7.7916666666666664E-3</v>
      </c>
      <c r="G599" s="5">
        <v>7.6249999999999998E-3</v>
      </c>
      <c r="H599" s="1366">
        <v>8.4916666666666665E-3</v>
      </c>
      <c r="I599" s="1366">
        <f t="shared" si="27"/>
        <v>-3.85E-2</v>
      </c>
      <c r="J599" s="1366">
        <f t="shared" si="25"/>
        <v>-3.8824999999999998E-2</v>
      </c>
      <c r="K599" s="1366">
        <f t="shared" si="26"/>
        <v>-1.3391666666666666E-2</v>
      </c>
    </row>
    <row r="600" spans="1:11" x14ac:dyDescent="0.55000000000000004">
      <c r="A600" s="295">
        <v>27668</v>
      </c>
      <c r="B600" s="1368">
        <v>6.5299999999999997E-2</v>
      </c>
      <c r="C600" s="1366">
        <v>7.0800000000000002E-2</v>
      </c>
      <c r="D600" s="1366">
        <v>7.1999999999999998E-3</v>
      </c>
      <c r="E600" s="1366">
        <v>7.3833333333333329E-3</v>
      </c>
      <c r="F600" s="5">
        <v>7.7666666666666674E-3</v>
      </c>
      <c r="G600" s="5">
        <v>7.575000000000001E-3</v>
      </c>
      <c r="H600" s="1366">
        <v>8.4666666666666675E-3</v>
      </c>
      <c r="I600" s="1366">
        <f t="shared" si="27"/>
        <v>5.8099999999999999E-2</v>
      </c>
      <c r="J600" s="1366">
        <f t="shared" si="25"/>
        <v>5.7724999999999999E-2</v>
      </c>
      <c r="K600" s="1366">
        <f t="shared" si="26"/>
        <v>6.2333333333333338E-2</v>
      </c>
    </row>
    <row r="601" spans="1:11" x14ac:dyDescent="0.55000000000000004">
      <c r="A601" s="295">
        <v>27699</v>
      </c>
      <c r="B601" s="1368">
        <v>2.8199999999999999E-2</v>
      </c>
      <c r="C601" s="1366">
        <v>3.5000000000000003E-2</v>
      </c>
      <c r="D601" s="1366">
        <v>6.0999999999999995E-3</v>
      </c>
      <c r="E601" s="1366">
        <v>7.3166666666666658E-3</v>
      </c>
      <c r="F601" s="5">
        <v>7.691666666666667E-3</v>
      </c>
      <c r="G601" s="5">
        <v>7.5041666666666659E-3</v>
      </c>
      <c r="H601" s="1366">
        <v>8.3666666666666663E-3</v>
      </c>
      <c r="I601" s="1366">
        <f t="shared" si="27"/>
        <v>2.2100000000000002E-2</v>
      </c>
      <c r="J601" s="1366">
        <f t="shared" si="25"/>
        <v>2.0695833333333333E-2</v>
      </c>
      <c r="K601" s="1366">
        <f t="shared" si="26"/>
        <v>2.6633333333333335E-2</v>
      </c>
    </row>
    <row r="602" spans="1:11" x14ac:dyDescent="0.55000000000000004">
      <c r="A602" s="295">
        <v>27729</v>
      </c>
      <c r="B602" s="1368">
        <v>-8.0999999999999996E-3</v>
      </c>
      <c r="C602" s="1366">
        <v>7.6999999999999994E-3</v>
      </c>
      <c r="D602" s="1366">
        <v>7.4999999999999997E-3</v>
      </c>
      <c r="E602" s="1366">
        <v>7.324999999999999E-3</v>
      </c>
      <c r="F602" s="5">
        <v>7.7125000000000006E-3</v>
      </c>
      <c r="G602" s="5">
        <v>7.5187500000000011E-3</v>
      </c>
      <c r="H602" s="1366">
        <v>8.4249999999999985E-3</v>
      </c>
      <c r="I602" s="1366">
        <f t="shared" si="27"/>
        <v>-1.5599999999999999E-2</v>
      </c>
      <c r="J602" s="1366">
        <f t="shared" si="25"/>
        <v>-1.5618750000000001E-2</v>
      </c>
      <c r="K602" s="1366">
        <f t="shared" si="26"/>
        <v>-7.2499999999999908E-4</v>
      </c>
    </row>
    <row r="603" spans="1:11" x14ac:dyDescent="0.55000000000000004">
      <c r="A603" s="295">
        <v>27760</v>
      </c>
      <c r="B603" s="1368">
        <v>0.1217</v>
      </c>
      <c r="C603" s="1366">
        <v>8.9400000000000007E-2</v>
      </c>
      <c r="D603" s="1366">
        <v>6.5000000000000006E-3</v>
      </c>
      <c r="E603" s="1366">
        <v>7.1666666666666667E-3</v>
      </c>
      <c r="F603" s="5">
        <v>7.6083333333333333E-3</v>
      </c>
      <c r="G603" s="5">
        <v>7.3875E-3</v>
      </c>
      <c r="H603" s="1366">
        <v>8.2500000000000004E-3</v>
      </c>
      <c r="I603" s="1366">
        <f t="shared" si="27"/>
        <v>0.1152</v>
      </c>
      <c r="J603" s="1366">
        <f t="shared" ref="J603:J666" si="28">B603-G603</f>
        <v>0.1143125</v>
      </c>
      <c r="K603" s="1366">
        <f t="shared" ref="K603:K666" si="29">$C603-H603</f>
        <v>8.115E-2</v>
      </c>
    </row>
    <row r="604" spans="1:11" x14ac:dyDescent="0.55000000000000004">
      <c r="A604" s="295">
        <v>27791</v>
      </c>
      <c r="B604" s="1368">
        <v>-8.3999999999999995E-3</v>
      </c>
      <c r="C604" s="1366">
        <v>-3.56E-2</v>
      </c>
      <c r="D604" s="1366">
        <v>6.1000000000000004E-3</v>
      </c>
      <c r="E604" s="1366">
        <v>7.1250000000000003E-3</v>
      </c>
      <c r="F604" s="5">
        <v>7.5166666666666663E-3</v>
      </c>
      <c r="G604" s="5">
        <v>7.3208333333333328E-3</v>
      </c>
      <c r="H604" s="1366">
        <v>8.0916666666666671E-3</v>
      </c>
      <c r="I604" s="1366">
        <f t="shared" si="27"/>
        <v>-1.4499999999999999E-2</v>
      </c>
      <c r="J604" s="1366">
        <f t="shared" si="28"/>
        <v>-1.5720833333333333E-2</v>
      </c>
      <c r="K604" s="1366">
        <f t="shared" si="29"/>
        <v>-4.369166666666667E-2</v>
      </c>
    </row>
    <row r="605" spans="1:11" x14ac:dyDescent="0.55000000000000004">
      <c r="A605" s="295">
        <v>27820</v>
      </c>
      <c r="B605" s="1368">
        <v>3.3700000000000001E-2</v>
      </c>
      <c r="C605" s="1366">
        <v>0.01</v>
      </c>
      <c r="D605" s="1366">
        <v>7.1000000000000004E-3</v>
      </c>
      <c r="E605" s="1366">
        <v>7.0999999999999995E-3</v>
      </c>
      <c r="F605" s="5">
        <v>7.5083333333333339E-3</v>
      </c>
      <c r="G605" s="5">
        <v>7.3041666666666671E-3</v>
      </c>
      <c r="H605" s="1366">
        <v>8.0583333333333323E-3</v>
      </c>
      <c r="I605" s="1366">
        <f t="shared" si="27"/>
        <v>2.6599999999999999E-2</v>
      </c>
      <c r="J605" s="1366">
        <f t="shared" si="28"/>
        <v>2.6395833333333334E-2</v>
      </c>
      <c r="K605" s="1366">
        <f t="shared" si="29"/>
        <v>1.9416666666666679E-3</v>
      </c>
    </row>
    <row r="606" spans="1:11" x14ac:dyDescent="0.55000000000000004">
      <c r="A606" s="295">
        <v>27851</v>
      </c>
      <c r="B606" s="1368">
        <v>-7.7999999999999996E-3</v>
      </c>
      <c r="C606" s="1366">
        <v>3.7000000000000002E-3</v>
      </c>
      <c r="D606" s="1366">
        <v>6.4000000000000003E-3</v>
      </c>
      <c r="E606" s="1366">
        <v>7.000000000000001E-3</v>
      </c>
      <c r="F606" s="5">
        <v>7.4083333333333336E-3</v>
      </c>
      <c r="G606" s="5">
        <v>7.2041666666666669E-3</v>
      </c>
      <c r="H606" s="1366">
        <v>7.9416666666666663E-3</v>
      </c>
      <c r="I606" s="1366">
        <f t="shared" si="27"/>
        <v>-1.4200000000000001E-2</v>
      </c>
      <c r="J606" s="1366">
        <f t="shared" si="28"/>
        <v>-1.5004166666666666E-2</v>
      </c>
      <c r="K606" s="1366">
        <f t="shared" si="29"/>
        <v>-4.2416666666666662E-3</v>
      </c>
    </row>
    <row r="607" spans="1:11" x14ac:dyDescent="0.55000000000000004">
      <c r="A607" s="295">
        <v>27881</v>
      </c>
      <c r="B607" s="1368">
        <v>-1.11E-2</v>
      </c>
      <c r="C607" s="1366">
        <v>-1.3899999999999999E-2</v>
      </c>
      <c r="D607" s="1366">
        <v>5.8999999999999999E-3</v>
      </c>
      <c r="E607" s="1366">
        <v>7.1500000000000001E-3</v>
      </c>
      <c r="F607" s="5">
        <v>7.4333333333333326E-3</v>
      </c>
      <c r="G607" s="5">
        <v>7.2916666666666659E-3</v>
      </c>
      <c r="H607" s="1366">
        <v>7.9583333333333346E-3</v>
      </c>
      <c r="I607" s="1366">
        <f t="shared" si="27"/>
        <v>-1.7000000000000001E-2</v>
      </c>
      <c r="J607" s="1366">
        <f t="shared" si="28"/>
        <v>-1.8391666666666667E-2</v>
      </c>
      <c r="K607" s="1366">
        <f t="shared" si="29"/>
        <v>-2.1858333333333334E-2</v>
      </c>
    </row>
    <row r="608" spans="1:11" x14ac:dyDescent="0.55000000000000004">
      <c r="A608" s="295">
        <v>27912</v>
      </c>
      <c r="B608" s="1368">
        <v>4.4299999999999999E-2</v>
      </c>
      <c r="C608" s="1366">
        <v>3.3700000000000001E-2</v>
      </c>
      <c r="D608" s="1366">
        <v>7.3000000000000001E-3</v>
      </c>
      <c r="E608" s="1366">
        <v>7.1833333333333324E-3</v>
      </c>
      <c r="F608" s="5">
        <v>7.4083333333333336E-3</v>
      </c>
      <c r="G608" s="5">
        <v>7.2958333333333321E-3</v>
      </c>
      <c r="H608" s="1366">
        <v>7.9499999999999987E-3</v>
      </c>
      <c r="I608" s="1366">
        <f t="shared" si="27"/>
        <v>3.6999999999999998E-2</v>
      </c>
      <c r="J608" s="1366">
        <f t="shared" si="28"/>
        <v>3.7004166666666664E-2</v>
      </c>
      <c r="K608" s="1366">
        <f t="shared" si="29"/>
        <v>2.5750000000000002E-2</v>
      </c>
    </row>
    <row r="609" spans="1:11" x14ac:dyDescent="0.55000000000000004">
      <c r="A609" s="295">
        <v>27942</v>
      </c>
      <c r="B609" s="1368">
        <v>-4.7999999999999996E-3</v>
      </c>
      <c r="C609" s="1366">
        <v>3.4099999999999998E-2</v>
      </c>
      <c r="D609" s="1366">
        <v>6.5000000000000006E-3</v>
      </c>
      <c r="E609" s="1366">
        <v>7.1333333333333335E-3</v>
      </c>
      <c r="F609" s="5">
        <v>7.3416666666666673E-3</v>
      </c>
      <c r="G609" s="5">
        <v>7.2375000000000009E-3</v>
      </c>
      <c r="H609" s="1366">
        <v>7.8083333333333329E-3</v>
      </c>
      <c r="I609" s="1366">
        <f t="shared" si="27"/>
        <v>-1.1300000000000001E-2</v>
      </c>
      <c r="J609" s="1366">
        <f t="shared" si="28"/>
        <v>-1.20375E-2</v>
      </c>
      <c r="K609" s="1366">
        <f t="shared" si="29"/>
        <v>2.6291666666666665E-2</v>
      </c>
    </row>
    <row r="610" spans="1:11" x14ac:dyDescent="0.55000000000000004">
      <c r="A610" s="295">
        <v>27973</v>
      </c>
      <c r="B610" s="1368">
        <v>-1.8E-3</v>
      </c>
      <c r="C610" s="1366">
        <v>3.8300000000000001E-2</v>
      </c>
      <c r="D610" s="1366">
        <v>6.8999999999999999E-3</v>
      </c>
      <c r="E610" s="1366">
        <v>7.0416666666666657E-3</v>
      </c>
      <c r="F610" s="5">
        <v>7.2166666666666664E-3</v>
      </c>
      <c r="G610" s="5">
        <v>7.1291666666666665E-3</v>
      </c>
      <c r="H610" s="1366">
        <v>7.6083333333333333E-3</v>
      </c>
      <c r="I610" s="1366">
        <f t="shared" si="27"/>
        <v>-8.6999999999999994E-3</v>
      </c>
      <c r="J610" s="1366">
        <f t="shared" si="28"/>
        <v>-8.9291666666666668E-3</v>
      </c>
      <c r="K610" s="1366">
        <f t="shared" si="29"/>
        <v>3.0691666666666666E-2</v>
      </c>
    </row>
    <row r="611" spans="1:11" x14ac:dyDescent="0.55000000000000004">
      <c r="A611" s="295">
        <v>28004</v>
      </c>
      <c r="B611" s="1368">
        <v>2.58E-2</v>
      </c>
      <c r="C611" s="1366">
        <v>3.8100000000000002E-2</v>
      </c>
      <c r="D611" s="1366">
        <v>6.4000000000000003E-3</v>
      </c>
      <c r="E611" s="1366">
        <v>6.9833333333333336E-3</v>
      </c>
      <c r="F611" s="5">
        <v>7.1166666666666652E-3</v>
      </c>
      <c r="G611" s="5">
        <v>7.0499999999999998E-3</v>
      </c>
      <c r="H611" s="1366">
        <v>7.4166666666666669E-3</v>
      </c>
      <c r="I611" s="1366">
        <f t="shared" si="27"/>
        <v>1.9400000000000001E-2</v>
      </c>
      <c r="J611" s="1366">
        <f t="shared" si="28"/>
        <v>1.8749999999999999E-2</v>
      </c>
      <c r="K611" s="1366">
        <f t="shared" si="29"/>
        <v>3.0683333333333333E-2</v>
      </c>
    </row>
    <row r="612" spans="1:11" x14ac:dyDescent="0.55000000000000004">
      <c r="A612" s="295">
        <v>28034</v>
      </c>
      <c r="B612" s="1368">
        <v>-1.8599999999999998E-2</v>
      </c>
      <c r="C612" s="1366">
        <v>-2.1000000000000003E-3</v>
      </c>
      <c r="D612" s="1366">
        <v>6.0999999999999995E-3</v>
      </c>
      <c r="E612" s="1366">
        <v>6.9333333333333339E-3</v>
      </c>
      <c r="F612" s="5">
        <v>7.0666666666666664E-3</v>
      </c>
      <c r="G612" s="5">
        <v>6.9999999999999993E-3</v>
      </c>
      <c r="H612" s="1366">
        <v>7.324999999999999E-3</v>
      </c>
      <c r="I612" s="1366">
        <f t="shared" si="27"/>
        <v>-2.47E-2</v>
      </c>
      <c r="J612" s="1366">
        <f t="shared" si="28"/>
        <v>-2.5599999999999998E-2</v>
      </c>
      <c r="K612" s="1366">
        <f t="shared" si="29"/>
        <v>-9.4249999999999994E-3</v>
      </c>
    </row>
    <row r="613" spans="1:11" x14ac:dyDescent="0.55000000000000004">
      <c r="A613" s="295">
        <v>28065</v>
      </c>
      <c r="B613" s="1368">
        <v>-4.1000000000000003E-3</v>
      </c>
      <c r="C613" s="1366">
        <v>2.6800000000000001E-2</v>
      </c>
      <c r="D613" s="1366">
        <v>6.6E-3</v>
      </c>
      <c r="E613" s="1366">
        <v>6.875E-3</v>
      </c>
      <c r="F613" s="5">
        <v>7.0500000000000007E-3</v>
      </c>
      <c r="G613" s="5">
        <v>6.9624999999999999E-3</v>
      </c>
      <c r="H613" s="1366">
        <v>7.3000000000000001E-3</v>
      </c>
      <c r="I613" s="1366">
        <f t="shared" si="27"/>
        <v>-1.0700000000000001E-2</v>
      </c>
      <c r="J613" s="1366">
        <f t="shared" si="28"/>
        <v>-1.1062499999999999E-2</v>
      </c>
      <c r="K613" s="1366">
        <f t="shared" si="29"/>
        <v>1.95E-2</v>
      </c>
    </row>
    <row r="614" spans="1:11" x14ac:dyDescent="0.55000000000000004">
      <c r="A614" s="295">
        <v>28095</v>
      </c>
      <c r="B614" s="1368">
        <v>5.6099999999999997E-2</v>
      </c>
      <c r="C614" s="1366">
        <v>6.3100000000000003E-2</v>
      </c>
      <c r="D614" s="1366">
        <v>6.3E-3</v>
      </c>
      <c r="E614" s="1366">
        <v>6.6500000000000005E-3</v>
      </c>
      <c r="F614" s="5">
        <v>6.870833333333333E-3</v>
      </c>
      <c r="G614" s="5">
        <v>6.7604166666666663E-3</v>
      </c>
      <c r="H614" s="1366">
        <v>7.1833333333333324E-3</v>
      </c>
      <c r="I614" s="1366">
        <f t="shared" si="27"/>
        <v>4.9799999999999997E-2</v>
      </c>
      <c r="J614" s="1366">
        <f t="shared" si="28"/>
        <v>4.9339583333333333E-2</v>
      </c>
      <c r="K614" s="1366">
        <f t="shared" si="29"/>
        <v>5.591666666666667E-2</v>
      </c>
    </row>
    <row r="615" spans="1:11" x14ac:dyDescent="0.55000000000000004">
      <c r="A615" s="295">
        <v>28126</v>
      </c>
      <c r="B615" s="1368">
        <v>-4.7300000000000002E-2</v>
      </c>
      <c r="C615" s="1366">
        <v>3.5000000000000005E-3</v>
      </c>
      <c r="D615" s="1366">
        <v>5.8999999999999999E-3</v>
      </c>
      <c r="E615" s="1366">
        <v>6.6333333333333331E-3</v>
      </c>
      <c r="F615" s="5">
        <v>6.8000000000000005E-3</v>
      </c>
      <c r="G615" s="5">
        <v>6.7166666666666659E-3</v>
      </c>
      <c r="H615" s="1366">
        <v>7.1749999999999991E-3</v>
      </c>
      <c r="I615" s="1366">
        <f t="shared" si="27"/>
        <v>-5.3200000000000004E-2</v>
      </c>
      <c r="J615" s="1366">
        <f t="shared" si="28"/>
        <v>-5.4016666666666671E-2</v>
      </c>
      <c r="K615" s="1366">
        <f t="shared" si="29"/>
        <v>-3.6749999999999986E-3</v>
      </c>
    </row>
    <row r="616" spans="1:11" x14ac:dyDescent="0.55000000000000004">
      <c r="A616" s="295">
        <v>28157</v>
      </c>
      <c r="B616" s="1368">
        <v>-1.8200000000000001E-2</v>
      </c>
      <c r="C616" s="1366">
        <v>-3.7200000000000004E-2</v>
      </c>
      <c r="D616" s="1366">
        <v>5.7000000000000002E-3</v>
      </c>
      <c r="E616" s="1366">
        <v>6.6999999999999994E-3</v>
      </c>
      <c r="F616" s="5">
        <v>6.8833333333333333E-3</v>
      </c>
      <c r="G616" s="5">
        <v>6.7916666666666672E-3</v>
      </c>
      <c r="H616" s="1366">
        <v>7.2083333333333331E-3</v>
      </c>
      <c r="I616" s="1366">
        <f t="shared" si="27"/>
        <v>-2.3900000000000001E-2</v>
      </c>
      <c r="J616" s="1366">
        <f t="shared" si="28"/>
        <v>-2.4991666666666669E-2</v>
      </c>
      <c r="K616" s="1366">
        <f t="shared" si="29"/>
        <v>-4.4408333333333334E-2</v>
      </c>
    </row>
    <row r="617" spans="1:11" x14ac:dyDescent="0.55000000000000004">
      <c r="A617" s="295">
        <v>28185</v>
      </c>
      <c r="B617" s="1368">
        <v>-1.0500000000000001E-2</v>
      </c>
      <c r="C617" s="1366">
        <v>1.0200000000000001E-2</v>
      </c>
      <c r="D617" s="1366">
        <v>6.5000000000000006E-3</v>
      </c>
      <c r="E617" s="1366">
        <v>6.7499999999999991E-3</v>
      </c>
      <c r="F617" s="5">
        <v>6.8999999999999999E-3</v>
      </c>
      <c r="G617" s="5">
        <v>6.8249999999999986E-3</v>
      </c>
      <c r="H617" s="1366">
        <v>7.2499999999999995E-3</v>
      </c>
      <c r="I617" s="1366">
        <f t="shared" si="27"/>
        <v>-1.7000000000000001E-2</v>
      </c>
      <c r="J617" s="1366">
        <f t="shared" si="28"/>
        <v>-1.7325E-2</v>
      </c>
      <c r="K617" s="1366">
        <f t="shared" si="29"/>
        <v>2.9500000000000012E-3</v>
      </c>
    </row>
    <row r="618" spans="1:11" x14ac:dyDescent="0.55000000000000004">
      <c r="A618" s="295">
        <v>28216</v>
      </c>
      <c r="B618" s="1368">
        <v>4.1999999999999997E-3</v>
      </c>
      <c r="C618" s="1366">
        <v>2.0900000000000002E-2</v>
      </c>
      <c r="D618" s="1366">
        <v>6.0999999999999995E-3</v>
      </c>
      <c r="E618" s="1366">
        <v>6.6999999999999994E-3</v>
      </c>
      <c r="F618" s="5">
        <v>6.8999999999999999E-3</v>
      </c>
      <c r="G618" s="5">
        <v>6.7999999999999996E-3</v>
      </c>
      <c r="H618" s="1366">
        <v>7.2583333333333345E-3</v>
      </c>
      <c r="I618" s="1366">
        <f t="shared" si="27"/>
        <v>-1.8999999999999998E-3</v>
      </c>
      <c r="J618" s="1366">
        <f t="shared" si="28"/>
        <v>-2.5999999999999999E-3</v>
      </c>
      <c r="K618" s="1366">
        <f t="shared" si="29"/>
        <v>1.3641666666666667E-2</v>
      </c>
    </row>
    <row r="619" spans="1:11" x14ac:dyDescent="0.55000000000000004">
      <c r="A619" s="295">
        <v>28246</v>
      </c>
      <c r="B619" s="1368">
        <v>-1.9599999999999999E-2</v>
      </c>
      <c r="C619" s="1366">
        <v>2.1099999999999997E-2</v>
      </c>
      <c r="D619" s="1366">
        <v>6.7000000000000002E-3</v>
      </c>
      <c r="E619" s="1366">
        <v>6.7083333333333335E-3</v>
      </c>
      <c r="F619" s="5">
        <v>6.8999999999999999E-3</v>
      </c>
      <c r="G619" s="5">
        <v>6.8041666666666667E-3</v>
      </c>
      <c r="H619" s="1366">
        <v>7.2583333333333345E-3</v>
      </c>
      <c r="I619" s="1366">
        <f t="shared" si="27"/>
        <v>-2.63E-2</v>
      </c>
      <c r="J619" s="1366">
        <f t="shared" si="28"/>
        <v>-2.6404166666666666E-2</v>
      </c>
      <c r="K619" s="1366">
        <f t="shared" si="29"/>
        <v>1.3841666666666662E-2</v>
      </c>
    </row>
    <row r="620" spans="1:11" x14ac:dyDescent="0.55000000000000004">
      <c r="A620" s="295">
        <v>28277</v>
      </c>
      <c r="B620" s="1368">
        <v>4.9399999999999999E-2</v>
      </c>
      <c r="C620" s="1366">
        <v>5.3099999999999994E-2</v>
      </c>
      <c r="D620" s="1366">
        <v>6.1999999999999998E-3</v>
      </c>
      <c r="E620" s="1366">
        <v>6.6249999999999998E-3</v>
      </c>
      <c r="F620" s="5">
        <v>6.8250000000000003E-3</v>
      </c>
      <c r="G620" s="5">
        <v>6.7250000000000001E-3</v>
      </c>
      <c r="H620" s="1366">
        <v>7.1500000000000001E-3</v>
      </c>
      <c r="I620" s="1366">
        <f t="shared" si="27"/>
        <v>4.3200000000000002E-2</v>
      </c>
      <c r="J620" s="1366">
        <f t="shared" si="28"/>
        <v>4.2674999999999998E-2</v>
      </c>
      <c r="K620" s="1366">
        <f t="shared" si="29"/>
        <v>4.5949999999999991E-2</v>
      </c>
    </row>
    <row r="621" spans="1:11" x14ac:dyDescent="0.55000000000000004">
      <c r="A621" s="295">
        <v>28307</v>
      </c>
      <c r="B621" s="1368">
        <v>-1.24E-2</v>
      </c>
      <c r="C621" s="1366">
        <v>1.6399999999999998E-2</v>
      </c>
      <c r="D621" s="1366">
        <v>5.8999999999999999E-3</v>
      </c>
      <c r="E621" s="1366">
        <v>6.6166666666666674E-3</v>
      </c>
      <c r="F621" s="5">
        <v>6.7666666666666665E-3</v>
      </c>
      <c r="G621" s="5">
        <v>6.6916666666666669E-3</v>
      </c>
      <c r="H621" s="1366">
        <v>7.0916666666666663E-3</v>
      </c>
      <c r="I621" s="1366">
        <f t="shared" si="27"/>
        <v>-1.83E-2</v>
      </c>
      <c r="J621" s="1366">
        <f t="shared" si="28"/>
        <v>-1.9091666666666667E-2</v>
      </c>
      <c r="K621" s="1366">
        <f t="shared" si="29"/>
        <v>9.3083333333333317E-3</v>
      </c>
    </row>
    <row r="622" spans="1:11" x14ac:dyDescent="0.55000000000000004">
      <c r="A622" s="295">
        <v>28338</v>
      </c>
      <c r="B622" s="1368">
        <v>-1.72E-2</v>
      </c>
      <c r="C622" s="1366">
        <v>-3.5300000000000005E-2</v>
      </c>
      <c r="D622" s="1366">
        <v>6.7000000000000002E-3</v>
      </c>
      <c r="E622" s="1366">
        <v>6.6500000000000005E-3</v>
      </c>
      <c r="F622" s="5">
        <v>6.8083333333333329E-3</v>
      </c>
      <c r="G622" s="5">
        <v>6.7291666666666663E-3</v>
      </c>
      <c r="H622" s="1366">
        <v>7.0750000000000006E-3</v>
      </c>
      <c r="I622" s="1366">
        <f t="shared" si="27"/>
        <v>-2.3900000000000001E-2</v>
      </c>
      <c r="J622" s="1366">
        <f t="shared" si="28"/>
        <v>-2.3929166666666668E-2</v>
      </c>
      <c r="K622" s="1366">
        <f t="shared" si="29"/>
        <v>-4.2375000000000003E-2</v>
      </c>
    </row>
    <row r="623" spans="1:11" x14ac:dyDescent="0.55000000000000004">
      <c r="A623" s="295">
        <v>28369</v>
      </c>
      <c r="B623" s="1368">
        <v>1.6000000000000001E-3</v>
      </c>
      <c r="C623" s="1366">
        <v>2.4699999999999996E-2</v>
      </c>
      <c r="D623" s="1366">
        <v>6.0999999999999995E-3</v>
      </c>
      <c r="E623" s="1366">
        <v>6.6E-3</v>
      </c>
      <c r="F623" s="5">
        <v>6.7916666666666672E-3</v>
      </c>
      <c r="G623" s="5">
        <v>6.695833333333334E-3</v>
      </c>
      <c r="H623" s="1366">
        <v>7.0500000000000007E-3</v>
      </c>
      <c r="I623" s="1366">
        <f t="shared" si="27"/>
        <v>-4.4999999999999997E-3</v>
      </c>
      <c r="J623" s="1366">
        <f t="shared" si="28"/>
        <v>-5.0958333333333342E-3</v>
      </c>
      <c r="K623" s="1366">
        <f t="shared" si="29"/>
        <v>1.7649999999999996E-2</v>
      </c>
    </row>
    <row r="624" spans="1:11" x14ac:dyDescent="0.55000000000000004">
      <c r="A624" s="295">
        <v>28399</v>
      </c>
      <c r="B624" s="1368">
        <v>-3.9E-2</v>
      </c>
      <c r="C624" s="1366">
        <v>-2.9600000000000001E-2</v>
      </c>
      <c r="D624" s="1366">
        <v>6.3E-3</v>
      </c>
      <c r="E624" s="1366">
        <v>6.6999999999999994E-3</v>
      </c>
      <c r="F624" s="5">
        <v>6.8833333333333333E-3</v>
      </c>
      <c r="G624" s="5">
        <v>6.7916666666666672E-3</v>
      </c>
      <c r="H624" s="1366">
        <v>7.1749999999999991E-3</v>
      </c>
      <c r="I624" s="1366">
        <f t="shared" si="27"/>
        <v>-4.53E-2</v>
      </c>
      <c r="J624" s="1366">
        <f t="shared" si="28"/>
        <v>-4.5791666666666668E-2</v>
      </c>
      <c r="K624" s="1366">
        <f t="shared" si="29"/>
        <v>-3.6775000000000002E-2</v>
      </c>
    </row>
    <row r="625" spans="1:11" x14ac:dyDescent="0.55000000000000004">
      <c r="A625" s="295">
        <v>28430</v>
      </c>
      <c r="B625" s="1368">
        <v>3.1600000000000003E-2</v>
      </c>
      <c r="C625" s="1366">
        <v>3.8100000000000002E-2</v>
      </c>
      <c r="D625" s="1366">
        <v>6.3E-3</v>
      </c>
      <c r="E625" s="1366">
        <v>6.7333333333333334E-3</v>
      </c>
      <c r="F625" s="5">
        <v>6.9499999999999996E-3</v>
      </c>
      <c r="G625" s="5">
        <v>6.841666666666666E-3</v>
      </c>
      <c r="H625" s="1366">
        <v>7.2000000000000007E-3</v>
      </c>
      <c r="I625" s="1366">
        <f t="shared" si="27"/>
        <v>2.5300000000000003E-2</v>
      </c>
      <c r="J625" s="1366">
        <f t="shared" si="28"/>
        <v>2.4758333333333337E-2</v>
      </c>
      <c r="K625" s="1366">
        <f t="shared" si="29"/>
        <v>3.09E-2</v>
      </c>
    </row>
    <row r="626" spans="1:11" x14ac:dyDescent="0.55000000000000004">
      <c r="A626" s="295">
        <v>28460</v>
      </c>
      <c r="B626" s="1368">
        <v>7.4999999999999997E-3</v>
      </c>
      <c r="C626" s="1366">
        <v>1.8999999999999998E-3</v>
      </c>
      <c r="D626" s="1366">
        <v>6.1999999999999998E-3</v>
      </c>
      <c r="E626" s="1366">
        <v>6.8250000000000003E-3</v>
      </c>
      <c r="F626" s="5">
        <v>7.0041666666666655E-3</v>
      </c>
      <c r="G626" s="5">
        <v>6.9145833333333325E-3</v>
      </c>
      <c r="H626" s="1366">
        <v>7.2000000000000007E-3</v>
      </c>
      <c r="I626" s="1366">
        <f t="shared" si="27"/>
        <v>1.2999999999999999E-3</v>
      </c>
      <c r="J626" s="1366">
        <f t="shared" si="28"/>
        <v>5.8541666666666724E-4</v>
      </c>
      <c r="K626" s="1366">
        <f t="shared" si="29"/>
        <v>-5.3000000000000009E-3</v>
      </c>
    </row>
    <row r="627" spans="1:11" x14ac:dyDescent="0.55000000000000004">
      <c r="A627" s="295">
        <v>28491</v>
      </c>
      <c r="B627" s="1368">
        <v>-5.74E-2</v>
      </c>
      <c r="C627" s="1366">
        <v>-5.33E-2</v>
      </c>
      <c r="D627" s="1366">
        <v>6.8999999999999999E-3</v>
      </c>
      <c r="E627" s="1366">
        <v>7.0083333333333334E-3</v>
      </c>
      <c r="F627" s="5">
        <v>7.1583333333333334E-3</v>
      </c>
      <c r="G627" s="5">
        <v>7.083333333333333E-3</v>
      </c>
      <c r="H627" s="1366">
        <v>7.4333333333333326E-3</v>
      </c>
      <c r="I627" s="1366">
        <f t="shared" si="27"/>
        <v>-6.4299999999999996E-2</v>
      </c>
      <c r="J627" s="1366">
        <f t="shared" si="28"/>
        <v>-6.4483333333333337E-2</v>
      </c>
      <c r="K627" s="1366">
        <f t="shared" si="29"/>
        <v>-6.0733333333333334E-2</v>
      </c>
    </row>
    <row r="628" spans="1:11" x14ac:dyDescent="0.55000000000000004">
      <c r="A628" s="295">
        <v>28522</v>
      </c>
      <c r="B628" s="1368">
        <v>-2.0299999999999999E-2</v>
      </c>
      <c r="C628" s="1366">
        <v>-6.1999999999999998E-3</v>
      </c>
      <c r="D628" s="1366">
        <v>6.0000000000000001E-3</v>
      </c>
      <c r="E628" s="1366">
        <v>7.058333333333334E-3</v>
      </c>
      <c r="F628" s="5">
        <v>7.2083333333333331E-3</v>
      </c>
      <c r="G628" s="5">
        <v>7.1333333333333335E-3</v>
      </c>
      <c r="H628" s="1366">
        <v>7.4750000000000007E-3</v>
      </c>
      <c r="I628" s="1366">
        <f t="shared" si="27"/>
        <v>-2.6299999999999997E-2</v>
      </c>
      <c r="J628" s="1366">
        <f t="shared" si="28"/>
        <v>-2.743333333333333E-2</v>
      </c>
      <c r="K628" s="1366">
        <f t="shared" si="29"/>
        <v>-1.3675E-2</v>
      </c>
    </row>
    <row r="629" spans="1:11" x14ac:dyDescent="0.55000000000000004">
      <c r="A629" s="295">
        <v>28550</v>
      </c>
      <c r="B629" s="1368">
        <v>2.9399999999999999E-2</v>
      </c>
      <c r="C629" s="1366">
        <v>3.0899999999999997E-2</v>
      </c>
      <c r="D629" s="1366">
        <v>6.8999999999999999E-3</v>
      </c>
      <c r="E629" s="1366">
        <v>7.058333333333334E-3</v>
      </c>
      <c r="F629" s="5">
        <v>7.2166666666666664E-3</v>
      </c>
      <c r="G629" s="5">
        <v>7.1375000000000015E-3</v>
      </c>
      <c r="H629" s="1366">
        <v>7.483333333333334E-3</v>
      </c>
      <c r="I629" s="1366">
        <f t="shared" si="27"/>
        <v>2.2499999999999999E-2</v>
      </c>
      <c r="J629" s="1366">
        <f t="shared" si="28"/>
        <v>2.2262499999999998E-2</v>
      </c>
      <c r="K629" s="1366">
        <f t="shared" si="29"/>
        <v>2.3416666666666662E-2</v>
      </c>
    </row>
    <row r="630" spans="1:11" x14ac:dyDescent="0.55000000000000004">
      <c r="A630" s="295">
        <v>28581</v>
      </c>
      <c r="B630" s="1368">
        <v>9.0200000000000002E-2</v>
      </c>
      <c r="C630" s="1366">
        <v>1.06E-2</v>
      </c>
      <c r="D630" s="1366">
        <v>6.3E-3</v>
      </c>
      <c r="E630" s="1366">
        <v>7.1333333333333335E-3</v>
      </c>
      <c r="F630" s="5">
        <v>7.2750000000000002E-3</v>
      </c>
      <c r="G630" s="5">
        <v>7.2041666666666669E-3</v>
      </c>
      <c r="H630" s="1366">
        <v>7.5749999999999993E-3</v>
      </c>
      <c r="I630" s="1366">
        <f t="shared" si="27"/>
        <v>8.3900000000000002E-2</v>
      </c>
      <c r="J630" s="1366">
        <f t="shared" si="28"/>
        <v>8.2995833333333338E-2</v>
      </c>
      <c r="K630" s="1366">
        <f t="shared" si="29"/>
        <v>3.0250000000000008E-3</v>
      </c>
    </row>
    <row r="631" spans="1:11" x14ac:dyDescent="0.55000000000000004">
      <c r="A631" s="295">
        <v>28611</v>
      </c>
      <c r="B631" s="1368">
        <v>9.1999999999999998E-3</v>
      </c>
      <c r="C631" s="1366">
        <v>4.3E-3</v>
      </c>
      <c r="D631" s="1366">
        <v>7.4999999999999997E-3</v>
      </c>
      <c r="E631" s="1366">
        <v>7.2416666666666662E-3</v>
      </c>
      <c r="F631" s="5">
        <v>7.3666666666666672E-3</v>
      </c>
      <c r="G631" s="5">
        <v>7.3041666666666671E-3</v>
      </c>
      <c r="H631" s="1366">
        <v>7.6833333333333345E-3</v>
      </c>
      <c r="I631" s="1366">
        <f t="shared" si="27"/>
        <v>1.7000000000000001E-3</v>
      </c>
      <c r="J631" s="1366">
        <f t="shared" si="28"/>
        <v>1.8958333333333327E-3</v>
      </c>
      <c r="K631" s="1366">
        <f t="shared" si="29"/>
        <v>-3.3833333333333345E-3</v>
      </c>
    </row>
    <row r="632" spans="1:11" x14ac:dyDescent="0.55000000000000004">
      <c r="A632" s="295">
        <v>28642</v>
      </c>
      <c r="B632" s="1368">
        <v>-1.38E-2</v>
      </c>
      <c r="C632" s="1366">
        <v>3.5999999999999999E-3</v>
      </c>
      <c r="D632" s="1366">
        <v>6.8999999999999999E-3</v>
      </c>
      <c r="E632" s="1366">
        <v>7.3000000000000001E-3</v>
      </c>
      <c r="F632" s="5">
        <v>7.4583333333333324E-3</v>
      </c>
      <c r="G632" s="5">
        <v>7.3791666666666658E-3</v>
      </c>
      <c r="H632" s="1366">
        <v>7.8333333333333328E-3</v>
      </c>
      <c r="I632" s="1366">
        <f t="shared" si="27"/>
        <v>-2.07E-2</v>
      </c>
      <c r="J632" s="1366">
        <f t="shared" si="28"/>
        <v>-2.1179166666666666E-2</v>
      </c>
      <c r="K632" s="1366">
        <f t="shared" si="29"/>
        <v>-4.2333333333333329E-3</v>
      </c>
    </row>
    <row r="633" spans="1:11" x14ac:dyDescent="0.55000000000000004">
      <c r="A633" s="295">
        <v>28672</v>
      </c>
      <c r="B633" s="1368">
        <v>5.8299999999999998E-2</v>
      </c>
      <c r="C633" s="1366">
        <v>3.1600000000000003E-2</v>
      </c>
      <c r="D633" s="1366">
        <v>7.3000000000000001E-3</v>
      </c>
      <c r="E633" s="1366">
        <v>7.4000000000000012E-3</v>
      </c>
      <c r="F633" s="5">
        <v>7.5583333333333336E-3</v>
      </c>
      <c r="G633" s="5">
        <v>7.4791666666666678E-3</v>
      </c>
      <c r="H633" s="1366">
        <v>7.9249999999999998E-3</v>
      </c>
      <c r="I633" s="1366">
        <f t="shared" si="27"/>
        <v>5.0999999999999997E-2</v>
      </c>
      <c r="J633" s="1366">
        <f t="shared" si="28"/>
        <v>5.0820833333333329E-2</v>
      </c>
      <c r="K633" s="1366">
        <f t="shared" si="29"/>
        <v>2.3675000000000002E-2</v>
      </c>
    </row>
    <row r="634" spans="1:11" x14ac:dyDescent="0.55000000000000004">
      <c r="A634" s="295">
        <v>28703</v>
      </c>
      <c r="B634" s="1368">
        <v>3.0099999999999998E-2</v>
      </c>
      <c r="C634" s="1366">
        <v>-3.0000000000000079E-4</v>
      </c>
      <c r="D634" s="1366">
        <v>7.000000000000001E-3</v>
      </c>
      <c r="E634" s="1366">
        <v>7.2416666666666662E-3</v>
      </c>
      <c r="F634" s="5">
        <v>7.4666666666666666E-3</v>
      </c>
      <c r="G634" s="5">
        <v>7.354166666666666E-3</v>
      </c>
      <c r="H634" s="1366">
        <v>7.7666666666666674E-3</v>
      </c>
      <c r="I634" s="1366">
        <f t="shared" si="27"/>
        <v>2.3099999999999996E-2</v>
      </c>
      <c r="J634" s="1366">
        <f t="shared" si="28"/>
        <v>2.2745833333333333E-2</v>
      </c>
      <c r="K634" s="1366">
        <f t="shared" si="29"/>
        <v>-8.0666666666666682E-3</v>
      </c>
    </row>
    <row r="635" spans="1:11" x14ac:dyDescent="0.55000000000000004">
      <c r="A635" s="295">
        <v>28734</v>
      </c>
      <c r="B635" s="1368">
        <v>-3.2000000000000002E-3</v>
      </c>
      <c r="C635" s="1366">
        <v>-5.6000000000000008E-3</v>
      </c>
      <c r="D635" s="1366">
        <v>6.5000000000000006E-3</v>
      </c>
      <c r="E635" s="1366">
        <v>7.2416666666666662E-3</v>
      </c>
      <c r="F635" s="5">
        <v>7.4333333333333326E-3</v>
      </c>
      <c r="G635" s="5">
        <v>7.3374999999999994E-3</v>
      </c>
      <c r="H635" s="1366">
        <v>7.7333333333333334E-3</v>
      </c>
      <c r="I635" s="1366">
        <f t="shared" si="27"/>
        <v>-9.7000000000000003E-3</v>
      </c>
      <c r="J635" s="1366">
        <f t="shared" si="28"/>
        <v>-1.05375E-2</v>
      </c>
      <c r="K635" s="1366">
        <f t="shared" si="29"/>
        <v>-1.3333333333333334E-2</v>
      </c>
    </row>
    <row r="636" spans="1:11" x14ac:dyDescent="0.55000000000000004">
      <c r="A636" s="295">
        <v>28764</v>
      </c>
      <c r="B636" s="1368">
        <v>-8.72E-2</v>
      </c>
      <c r="C636" s="1366">
        <v>-6.8400000000000002E-2</v>
      </c>
      <c r="D636" s="1366">
        <v>7.3000000000000001E-3</v>
      </c>
      <c r="E636" s="1366">
        <v>7.4083333333333336E-3</v>
      </c>
      <c r="F636" s="5">
        <v>7.5583333333333336E-3</v>
      </c>
      <c r="G636" s="5">
        <v>7.4833333333333332E-3</v>
      </c>
      <c r="H636" s="1366">
        <v>7.8833333333333342E-3</v>
      </c>
      <c r="I636" s="1366">
        <f t="shared" si="27"/>
        <v>-9.4500000000000001E-2</v>
      </c>
      <c r="J636" s="1366">
        <f t="shared" si="28"/>
        <v>-9.4683333333333328E-2</v>
      </c>
      <c r="K636" s="1366">
        <f t="shared" si="29"/>
        <v>-7.6283333333333342E-2</v>
      </c>
    </row>
    <row r="637" spans="1:11" x14ac:dyDescent="0.55000000000000004">
      <c r="A637" s="295">
        <v>28795</v>
      </c>
      <c r="B637" s="1368">
        <v>2.1499999999999998E-2</v>
      </c>
      <c r="C637" s="1366">
        <v>3.56E-2</v>
      </c>
      <c r="D637" s="1366">
        <v>7.1000000000000004E-3</v>
      </c>
      <c r="E637" s="1366">
        <v>7.5249999999999996E-3</v>
      </c>
      <c r="F637" s="5">
        <v>7.7000000000000002E-3</v>
      </c>
      <c r="G637" s="5">
        <v>7.6124999999999995E-3</v>
      </c>
      <c r="H637" s="1366">
        <v>8.0666666666666664E-3</v>
      </c>
      <c r="I637" s="1366">
        <f t="shared" si="27"/>
        <v>1.4399999999999998E-2</v>
      </c>
      <c r="J637" s="1366">
        <f t="shared" si="28"/>
        <v>1.3887499999999999E-2</v>
      </c>
      <c r="K637" s="1366">
        <f t="shared" si="29"/>
        <v>2.7533333333333333E-2</v>
      </c>
    </row>
    <row r="638" spans="1:11" x14ac:dyDescent="0.55000000000000004">
      <c r="A638" s="295">
        <v>28825</v>
      </c>
      <c r="B638" s="1368">
        <v>1.9599999999999999E-2</v>
      </c>
      <c r="C638" s="1366">
        <v>-1.49E-2</v>
      </c>
      <c r="D638" s="1366">
        <v>6.7999999999999996E-3</v>
      </c>
      <c r="E638" s="1366">
        <v>7.6333333333333331E-3</v>
      </c>
      <c r="F638" s="5">
        <v>7.7749999999999998E-3</v>
      </c>
      <c r="G638" s="5">
        <v>7.7041666666666665E-3</v>
      </c>
      <c r="H638" s="1366">
        <v>8.083333333333333E-3</v>
      </c>
      <c r="I638" s="1366">
        <f t="shared" si="27"/>
        <v>1.2799999999999999E-2</v>
      </c>
      <c r="J638" s="1366">
        <f t="shared" si="28"/>
        <v>1.1895833333333333E-2</v>
      </c>
      <c r="K638" s="1366">
        <f t="shared" si="29"/>
        <v>-2.2983333333333335E-2</v>
      </c>
    </row>
    <row r="639" spans="1:11" x14ac:dyDescent="0.55000000000000004">
      <c r="A639" s="295">
        <v>28856</v>
      </c>
      <c r="B639" s="1368">
        <v>4.4299999999999999E-2</v>
      </c>
      <c r="C639" s="1366">
        <v>6.9199999999999998E-2</v>
      </c>
      <c r="D639" s="1366">
        <v>7.9000000000000008E-3</v>
      </c>
      <c r="E639" s="1366">
        <v>7.7083333333333335E-3</v>
      </c>
      <c r="F639" s="5">
        <v>7.9000000000000008E-3</v>
      </c>
      <c r="G639" s="5">
        <v>7.8041666666666676E-3</v>
      </c>
      <c r="H639" s="1366">
        <v>8.2500000000000004E-3</v>
      </c>
      <c r="I639" s="1366">
        <f t="shared" si="27"/>
        <v>3.6400000000000002E-2</v>
      </c>
      <c r="J639" s="1366">
        <f t="shared" si="28"/>
        <v>3.6495833333333332E-2</v>
      </c>
      <c r="K639" s="1366">
        <f t="shared" si="29"/>
        <v>6.0949999999999997E-2</v>
      </c>
    </row>
    <row r="640" spans="1:11" x14ac:dyDescent="0.55000000000000004">
      <c r="A640" s="295">
        <v>28887</v>
      </c>
      <c r="B640" s="1368">
        <v>-3.2099999999999997E-2</v>
      </c>
      <c r="C640" s="1366">
        <v>-2.12E-2</v>
      </c>
      <c r="D640" s="1366">
        <v>6.5000000000000006E-3</v>
      </c>
      <c r="E640" s="1366">
        <v>7.7166666666666659E-3</v>
      </c>
      <c r="F640" s="5">
        <v>7.9166666666666656E-3</v>
      </c>
      <c r="G640" s="5">
        <v>7.8166666666666662E-3</v>
      </c>
      <c r="H640" s="1366">
        <v>8.199999999999999E-3</v>
      </c>
      <c r="I640" s="1366">
        <f t="shared" si="27"/>
        <v>-3.8599999999999995E-2</v>
      </c>
      <c r="J640" s="1366">
        <f t="shared" si="28"/>
        <v>-3.9916666666666663E-2</v>
      </c>
      <c r="K640" s="1366">
        <f t="shared" si="29"/>
        <v>-2.9399999999999999E-2</v>
      </c>
    </row>
    <row r="641" spans="1:11" x14ac:dyDescent="0.55000000000000004">
      <c r="A641" s="295">
        <v>28915</v>
      </c>
      <c r="B641" s="1368">
        <v>5.96E-2</v>
      </c>
      <c r="C641" s="1366">
        <v>1.9599999999999999E-2</v>
      </c>
      <c r="D641" s="1366">
        <v>7.4000000000000003E-3</v>
      </c>
      <c r="E641" s="1366">
        <v>7.8083333333333329E-3</v>
      </c>
      <c r="F641" s="5">
        <v>8.0083333333333326E-3</v>
      </c>
      <c r="G641" s="5">
        <v>7.9083333333333332E-3</v>
      </c>
      <c r="H641" s="1366">
        <v>8.3666666666666663E-3</v>
      </c>
      <c r="I641" s="1366">
        <f t="shared" si="27"/>
        <v>5.2199999999999996E-2</v>
      </c>
      <c r="J641" s="1366">
        <f t="shared" si="28"/>
        <v>5.1691666666666664E-2</v>
      </c>
      <c r="K641" s="1366">
        <f t="shared" si="29"/>
        <v>1.1233333333333333E-2</v>
      </c>
    </row>
    <row r="642" spans="1:11" x14ac:dyDescent="0.55000000000000004">
      <c r="A642" s="295">
        <v>28946</v>
      </c>
      <c r="B642" s="1368">
        <v>6.3E-3</v>
      </c>
      <c r="C642" s="1366">
        <v>-2.4899999999999999E-2</v>
      </c>
      <c r="D642" s="1366">
        <v>7.6E-3</v>
      </c>
      <c r="E642" s="1366">
        <v>7.8166666666666679E-3</v>
      </c>
      <c r="F642" s="5">
        <v>8.0416666666666674E-3</v>
      </c>
      <c r="G642" s="5">
        <v>7.9291666666666677E-3</v>
      </c>
      <c r="H642" s="1366">
        <v>8.416666666666666E-3</v>
      </c>
      <c r="I642" s="1366">
        <f t="shared" si="27"/>
        <v>-1.2999999999999999E-3</v>
      </c>
      <c r="J642" s="1366">
        <f t="shared" si="28"/>
        <v>-1.6291666666666677E-3</v>
      </c>
      <c r="K642" s="1366">
        <f t="shared" si="29"/>
        <v>-3.3316666666666661E-2</v>
      </c>
    </row>
    <row r="643" spans="1:11" x14ac:dyDescent="0.55000000000000004">
      <c r="A643" s="295">
        <v>28976</v>
      </c>
      <c r="B643" s="1368">
        <v>-2.1700000000000001E-2</v>
      </c>
      <c r="C643" s="1366">
        <v>1.4999999999999999E-2</v>
      </c>
      <c r="D643" s="1366">
        <v>7.7000000000000002E-3</v>
      </c>
      <c r="E643" s="1366">
        <v>7.9166666666666656E-3</v>
      </c>
      <c r="F643" s="5">
        <v>8.2166666666666673E-3</v>
      </c>
      <c r="G643" s="5">
        <v>8.0666666666666664E-3</v>
      </c>
      <c r="H643" s="1366">
        <v>8.5833333333333334E-3</v>
      </c>
      <c r="I643" s="1366">
        <f t="shared" si="27"/>
        <v>-2.9400000000000003E-2</v>
      </c>
      <c r="J643" s="1366">
        <f t="shared" si="28"/>
        <v>-2.9766666666666667E-2</v>
      </c>
      <c r="K643" s="1366">
        <f t="shared" si="29"/>
        <v>6.416666666666666E-3</v>
      </c>
    </row>
    <row r="644" spans="1:11" x14ac:dyDescent="0.55000000000000004">
      <c r="A644" s="295">
        <v>29007</v>
      </c>
      <c r="B644" s="1368">
        <v>4.3499999999999997E-2</v>
      </c>
      <c r="C644" s="1366">
        <v>3.8600000000000002E-2</v>
      </c>
      <c r="D644" s="1366">
        <v>7.1000000000000004E-3</v>
      </c>
      <c r="E644" s="1366">
        <v>7.7416666666666658E-3</v>
      </c>
      <c r="F644" s="5">
        <v>8.0499999999999999E-3</v>
      </c>
      <c r="G644" s="5">
        <v>7.8958333333333328E-3</v>
      </c>
      <c r="H644" s="1366">
        <v>8.4500000000000009E-3</v>
      </c>
      <c r="I644" s="1366">
        <f t="shared" ref="I644:I707" si="30">B644-D644</f>
        <v>3.6399999999999995E-2</v>
      </c>
      <c r="J644" s="1366">
        <f t="shared" si="28"/>
        <v>3.5604166666666666E-2</v>
      </c>
      <c r="K644" s="1366">
        <f t="shared" si="29"/>
        <v>3.0150000000000003E-2</v>
      </c>
    </row>
    <row r="645" spans="1:11" x14ac:dyDescent="0.55000000000000004">
      <c r="A645" s="295">
        <v>29037</v>
      </c>
      <c r="B645" s="1368">
        <v>1.34E-2</v>
      </c>
      <c r="C645" s="1366">
        <v>3.4200000000000001E-2</v>
      </c>
      <c r="D645" s="1366">
        <v>7.6E-3</v>
      </c>
      <c r="E645" s="1366">
        <v>7.6666666666666662E-3</v>
      </c>
      <c r="F645" s="5">
        <v>7.9083333333333332E-3</v>
      </c>
      <c r="G645" s="5">
        <v>7.7875000000000002E-3</v>
      </c>
      <c r="H645" s="1366">
        <v>8.3166666666666667E-3</v>
      </c>
      <c r="I645" s="1366">
        <f t="shared" si="30"/>
        <v>5.8000000000000005E-3</v>
      </c>
      <c r="J645" s="1366">
        <f t="shared" si="28"/>
        <v>5.6125000000000003E-3</v>
      </c>
      <c r="K645" s="1366">
        <f t="shared" si="29"/>
        <v>2.5883333333333335E-2</v>
      </c>
    </row>
    <row r="646" spans="1:11" x14ac:dyDescent="0.55000000000000004">
      <c r="A646" s="295">
        <v>29068</v>
      </c>
      <c r="B646" s="1368">
        <v>5.7700000000000001E-2</v>
      </c>
      <c r="C646" s="1366">
        <v>1.0200000000000001E-2</v>
      </c>
      <c r="D646" s="1366">
        <v>7.3000000000000001E-3</v>
      </c>
      <c r="E646" s="1366">
        <v>7.691666666666667E-3</v>
      </c>
      <c r="F646" s="5">
        <v>7.9416666666666663E-3</v>
      </c>
      <c r="G646" s="5">
        <v>7.8166666666666662E-3</v>
      </c>
      <c r="H646" s="1366">
        <v>8.4500000000000009E-3</v>
      </c>
      <c r="I646" s="1366">
        <f t="shared" si="30"/>
        <v>5.04E-2</v>
      </c>
      <c r="J646" s="1366">
        <f t="shared" si="28"/>
        <v>4.9883333333333335E-2</v>
      </c>
      <c r="K646" s="1366">
        <f t="shared" si="29"/>
        <v>1.7499999999999998E-3</v>
      </c>
    </row>
    <row r="647" spans="1:11" x14ac:dyDescent="0.55000000000000004">
      <c r="A647" s="295">
        <v>29099</v>
      </c>
      <c r="B647" s="1368">
        <v>4.3E-3</v>
      </c>
      <c r="C647" s="1366">
        <v>-1.77E-2</v>
      </c>
      <c r="D647" s="1366">
        <v>6.7999999999999996E-3</v>
      </c>
      <c r="E647" s="1366">
        <v>7.8666666666666659E-3</v>
      </c>
      <c r="F647" s="5">
        <v>8.083333333333333E-3</v>
      </c>
      <c r="G647" s="5">
        <v>7.9749999999999995E-3</v>
      </c>
      <c r="H647" s="1366">
        <v>8.6333333333333331E-3</v>
      </c>
      <c r="I647" s="1366">
        <f t="shared" si="30"/>
        <v>-2.4999999999999996E-3</v>
      </c>
      <c r="J647" s="1366">
        <f t="shared" si="28"/>
        <v>-3.6749999999999994E-3</v>
      </c>
      <c r="K647" s="1366">
        <f t="shared" si="29"/>
        <v>-2.6333333333333334E-2</v>
      </c>
    </row>
    <row r="648" spans="1:11" x14ac:dyDescent="0.55000000000000004">
      <c r="A648" s="295">
        <v>29129</v>
      </c>
      <c r="B648" s="1368">
        <v>-6.4000000000000001E-2</v>
      </c>
      <c r="C648" s="1366">
        <v>-5.0499999999999996E-2</v>
      </c>
      <c r="D648" s="1366">
        <v>8.2000000000000007E-3</v>
      </c>
      <c r="E648" s="1366">
        <v>8.4416666666666668E-3</v>
      </c>
      <c r="F648" s="5">
        <v>8.7166666666666677E-3</v>
      </c>
      <c r="G648" s="5">
        <v>8.5791666666666672E-3</v>
      </c>
      <c r="H648" s="1366">
        <v>9.5000000000000015E-3</v>
      </c>
      <c r="I648" s="1366">
        <f t="shared" si="30"/>
        <v>-7.22E-2</v>
      </c>
      <c r="J648" s="1366">
        <f t="shared" si="28"/>
        <v>-7.2579166666666667E-2</v>
      </c>
      <c r="K648" s="1366">
        <f t="shared" si="29"/>
        <v>-0.06</v>
      </c>
    </row>
    <row r="649" spans="1:11" x14ac:dyDescent="0.55000000000000004">
      <c r="A649" s="295">
        <v>29160</v>
      </c>
      <c r="B649" s="1368">
        <v>4.7500000000000001E-2</v>
      </c>
      <c r="C649" s="1366">
        <v>6.0699999999999997E-2</v>
      </c>
      <c r="D649" s="1366">
        <v>8.3000000000000001E-3</v>
      </c>
      <c r="E649" s="1366">
        <v>8.9666666666666662E-3</v>
      </c>
      <c r="F649" s="5">
        <v>9.3500000000000007E-3</v>
      </c>
      <c r="G649" s="5">
        <v>9.1583333333333326E-3</v>
      </c>
      <c r="H649" s="1366">
        <v>9.9083333333333332E-3</v>
      </c>
      <c r="I649" s="1366">
        <f t="shared" si="30"/>
        <v>3.9199999999999999E-2</v>
      </c>
      <c r="J649" s="1366">
        <f t="shared" si="28"/>
        <v>3.834166666666667E-2</v>
      </c>
      <c r="K649" s="1366">
        <f t="shared" si="29"/>
        <v>5.0791666666666666E-2</v>
      </c>
    </row>
    <row r="650" spans="1:11" x14ac:dyDescent="0.55000000000000004">
      <c r="A650" s="295">
        <v>29190</v>
      </c>
      <c r="B650" s="1368">
        <v>2.1399999999999999E-2</v>
      </c>
      <c r="C650" s="1366">
        <v>2.2000000000000006E-3</v>
      </c>
      <c r="D650" s="1366">
        <v>8.3000000000000001E-3</v>
      </c>
      <c r="E650" s="1366">
        <v>8.9499999999999996E-3</v>
      </c>
      <c r="F650" s="5">
        <v>9.2916666666666668E-3</v>
      </c>
      <c r="G650" s="5">
        <v>9.1208333333333332E-3</v>
      </c>
      <c r="H650" s="1366">
        <v>1.0125E-2</v>
      </c>
      <c r="I650" s="1366">
        <f t="shared" si="30"/>
        <v>1.3099999999999999E-2</v>
      </c>
      <c r="J650" s="1366">
        <f t="shared" si="28"/>
        <v>1.2279166666666666E-2</v>
      </c>
      <c r="K650" s="1366">
        <f t="shared" si="29"/>
        <v>-7.9249999999999998E-3</v>
      </c>
    </row>
    <row r="651" spans="1:11" x14ac:dyDescent="0.55000000000000004">
      <c r="A651" s="295">
        <v>29221</v>
      </c>
      <c r="B651" s="1368">
        <v>6.2199999999999998E-2</v>
      </c>
      <c r="C651" s="1366">
        <v>-2.3E-3</v>
      </c>
      <c r="D651" s="1366">
        <v>8.3000000000000001E-3</v>
      </c>
      <c r="E651" s="1366">
        <v>9.2416666666666671E-3</v>
      </c>
      <c r="F651" s="5">
        <v>9.633333333333334E-3</v>
      </c>
      <c r="G651" s="5">
        <v>9.4375000000000014E-3</v>
      </c>
      <c r="H651" s="1366">
        <v>1.0177083333333335E-2</v>
      </c>
      <c r="I651" s="1366">
        <f t="shared" si="30"/>
        <v>5.3899999999999997E-2</v>
      </c>
      <c r="J651" s="1366">
        <f t="shared" si="28"/>
        <v>5.2762499999999997E-2</v>
      </c>
      <c r="K651" s="1366">
        <f t="shared" si="29"/>
        <v>-1.2477083333333335E-2</v>
      </c>
    </row>
    <row r="652" spans="1:11" x14ac:dyDescent="0.55000000000000004">
      <c r="A652" s="295">
        <v>29252</v>
      </c>
      <c r="B652" s="1368">
        <v>-1E-4</v>
      </c>
      <c r="C652" s="1366">
        <v>-2.4700000000000003E-2</v>
      </c>
      <c r="D652" s="1366">
        <v>8.3999999999999995E-3</v>
      </c>
      <c r="E652" s="1366">
        <v>1.0316666666666667E-2</v>
      </c>
      <c r="F652" s="5">
        <v>1.0608333333333332E-2</v>
      </c>
      <c r="G652" s="5">
        <v>1.0462500000000001E-2</v>
      </c>
      <c r="H652" s="1366">
        <v>1.1028333333333333E-2</v>
      </c>
      <c r="I652" s="1366">
        <f t="shared" si="30"/>
        <v>-8.4999999999999989E-3</v>
      </c>
      <c r="J652" s="1366">
        <f t="shared" si="28"/>
        <v>-1.0562500000000001E-2</v>
      </c>
      <c r="K652" s="1366">
        <f t="shared" si="29"/>
        <v>-3.5728333333333334E-2</v>
      </c>
    </row>
    <row r="653" spans="1:11" x14ac:dyDescent="0.55000000000000004">
      <c r="A653" s="295">
        <v>29281</v>
      </c>
      <c r="B653" s="1368">
        <v>-9.7199999999999995E-2</v>
      </c>
      <c r="C653" s="1366">
        <v>-5.2900000000000003E-2</v>
      </c>
      <c r="D653" s="1366">
        <v>9.9000000000000008E-3</v>
      </c>
      <c r="E653" s="1366">
        <v>1.0800000000000001E-2</v>
      </c>
      <c r="F653" s="5">
        <v>1.1258333333333332E-2</v>
      </c>
      <c r="G653" s="5">
        <v>1.1029166666666668E-2</v>
      </c>
      <c r="H653" s="1366">
        <v>1.2158333333333333E-2</v>
      </c>
      <c r="I653" s="1366">
        <f t="shared" si="30"/>
        <v>-0.1071</v>
      </c>
      <c r="J653" s="1366">
        <f t="shared" si="28"/>
        <v>-0.10822916666666667</v>
      </c>
      <c r="K653" s="1366">
        <f t="shared" si="29"/>
        <v>-6.5058333333333329E-2</v>
      </c>
    </row>
    <row r="654" spans="1:11" x14ac:dyDescent="0.55000000000000004">
      <c r="A654" s="295">
        <v>29312</v>
      </c>
      <c r="B654" s="1368">
        <v>4.6199999999999998E-2</v>
      </c>
      <c r="C654" s="1366">
        <v>0.1186</v>
      </c>
      <c r="D654" s="1366">
        <v>0.01</v>
      </c>
      <c r="E654" s="1366">
        <v>1.0033333333333332E-2</v>
      </c>
      <c r="F654" s="5">
        <v>1.0883333333333333E-2</v>
      </c>
      <c r="G654" s="5">
        <v>1.0458333333333333E-2</v>
      </c>
      <c r="H654" s="1366">
        <v>1.1908333333333333E-2</v>
      </c>
      <c r="I654" s="1366">
        <f t="shared" si="30"/>
        <v>3.6199999999999996E-2</v>
      </c>
      <c r="J654" s="1366">
        <f t="shared" si="28"/>
        <v>3.5741666666666665E-2</v>
      </c>
      <c r="K654" s="1366">
        <f t="shared" si="29"/>
        <v>0.10669166666666666</v>
      </c>
    </row>
    <row r="655" spans="1:11" x14ac:dyDescent="0.55000000000000004">
      <c r="A655" s="295">
        <v>29342</v>
      </c>
      <c r="B655" s="1368">
        <v>5.1499999999999997E-2</v>
      </c>
      <c r="C655" s="1366">
        <v>3.2299999999999995E-2</v>
      </c>
      <c r="D655" s="1366">
        <v>8.6999999999999994E-3</v>
      </c>
      <c r="E655" s="1366">
        <v>9.1583333333333343E-3</v>
      </c>
      <c r="F655" s="5">
        <v>9.9249999999999998E-3</v>
      </c>
      <c r="G655" s="5">
        <v>9.541666666666667E-3</v>
      </c>
      <c r="H655" s="1366">
        <v>1.0613333333333334E-2</v>
      </c>
      <c r="I655" s="1366">
        <f t="shared" si="30"/>
        <v>4.2799999999999998E-2</v>
      </c>
      <c r="J655" s="1366">
        <f t="shared" si="28"/>
        <v>4.1958333333333334E-2</v>
      </c>
      <c r="K655" s="1366">
        <f t="shared" si="29"/>
        <v>2.168666666666666E-2</v>
      </c>
    </row>
    <row r="656" spans="1:11" x14ac:dyDescent="0.55000000000000004">
      <c r="A656" s="295">
        <v>29373</v>
      </c>
      <c r="B656" s="1368">
        <v>3.1600000000000003E-2</v>
      </c>
      <c r="C656" s="1366">
        <v>3.3700000000000001E-2</v>
      </c>
      <c r="D656" s="1366">
        <v>8.6E-3</v>
      </c>
      <c r="E656" s="1366">
        <v>8.8166666666666671E-3</v>
      </c>
      <c r="F656" s="5">
        <v>9.4916666666666673E-3</v>
      </c>
      <c r="G656" s="5">
        <v>9.1541666666666681E-3</v>
      </c>
      <c r="H656" s="1366">
        <v>1.033125E-2</v>
      </c>
      <c r="I656" s="1366">
        <f t="shared" si="30"/>
        <v>2.3000000000000003E-2</v>
      </c>
      <c r="J656" s="1366">
        <f t="shared" si="28"/>
        <v>2.2445833333333335E-2</v>
      </c>
      <c r="K656" s="1366">
        <f t="shared" si="29"/>
        <v>2.3368750000000001E-2</v>
      </c>
    </row>
    <row r="657" spans="1:11" x14ac:dyDescent="0.55000000000000004">
      <c r="A657" s="295">
        <v>29403</v>
      </c>
      <c r="B657" s="1368">
        <v>6.9599999999999995E-2</v>
      </c>
      <c r="C657" s="1366">
        <v>-4.0999999999999995E-3</v>
      </c>
      <c r="D657" s="1366">
        <v>8.3999999999999995E-3</v>
      </c>
      <c r="E657" s="1366">
        <v>9.2250000000000006E-3</v>
      </c>
      <c r="F657" s="5">
        <v>9.5250000000000005E-3</v>
      </c>
      <c r="G657" s="5">
        <v>9.3749999999999997E-3</v>
      </c>
      <c r="H657" s="1366">
        <v>1.0127083333333333E-2</v>
      </c>
      <c r="I657" s="1366">
        <f t="shared" si="30"/>
        <v>6.1199999999999997E-2</v>
      </c>
      <c r="J657" s="1366">
        <f t="shared" si="28"/>
        <v>6.0224999999999994E-2</v>
      </c>
      <c r="K657" s="1366">
        <f t="shared" si="29"/>
        <v>-1.4227083333333333E-2</v>
      </c>
    </row>
    <row r="658" spans="1:11" x14ac:dyDescent="0.55000000000000004">
      <c r="A658" s="295">
        <v>29434</v>
      </c>
      <c r="B658" s="1368">
        <v>1.01E-2</v>
      </c>
      <c r="C658" s="1366">
        <v>-1.3899999999999999E-2</v>
      </c>
      <c r="D658" s="1366">
        <v>8.0999999999999996E-3</v>
      </c>
      <c r="E658" s="1366">
        <v>9.7000000000000003E-3</v>
      </c>
      <c r="F658" s="5">
        <v>1.0075000000000001E-2</v>
      </c>
      <c r="G658" s="5">
        <v>9.8875000000000005E-3</v>
      </c>
      <c r="H658" s="1366">
        <v>1.0549999999999999E-2</v>
      </c>
      <c r="I658" s="1366">
        <f t="shared" si="30"/>
        <v>2E-3</v>
      </c>
      <c r="J658" s="1366">
        <f t="shared" si="28"/>
        <v>2.1249999999999915E-4</v>
      </c>
      <c r="K658" s="1366">
        <f t="shared" si="29"/>
        <v>-2.445E-2</v>
      </c>
    </row>
    <row r="659" spans="1:11" x14ac:dyDescent="0.55000000000000004">
      <c r="A659" s="295">
        <v>29465</v>
      </c>
      <c r="B659" s="1368">
        <v>2.9399999999999999E-2</v>
      </c>
      <c r="C659" s="1366">
        <v>-1.14E-2</v>
      </c>
      <c r="D659" s="1366">
        <v>9.7000000000000003E-3</v>
      </c>
      <c r="E659" s="1366">
        <v>1.0016666666666667E-2</v>
      </c>
      <c r="F659" s="5">
        <v>1.0433333333333333E-2</v>
      </c>
      <c r="G659" s="5">
        <v>1.0225E-2</v>
      </c>
      <c r="H659" s="1366">
        <v>1.1077083333333333E-2</v>
      </c>
      <c r="I659" s="1366">
        <f t="shared" si="30"/>
        <v>1.9699999999999999E-2</v>
      </c>
      <c r="J659" s="1366">
        <f t="shared" si="28"/>
        <v>1.9174999999999998E-2</v>
      </c>
      <c r="K659" s="1366">
        <f t="shared" si="29"/>
        <v>-2.2477083333333335E-2</v>
      </c>
    </row>
    <row r="660" spans="1:11" x14ac:dyDescent="0.55000000000000004">
      <c r="A660" s="295">
        <v>29495</v>
      </c>
      <c r="B660" s="1368">
        <v>2.0199999999999999E-2</v>
      </c>
      <c r="C660" s="1366">
        <v>2.7400000000000001E-2</v>
      </c>
      <c r="D660" s="1366">
        <v>9.7000000000000003E-3</v>
      </c>
      <c r="E660" s="1366">
        <v>1.0258333333333335E-2</v>
      </c>
      <c r="F660" s="5">
        <v>1.0566666666666667E-2</v>
      </c>
      <c r="G660" s="5">
        <v>1.04125E-2</v>
      </c>
      <c r="H660" s="1366">
        <v>1.1279999999999998E-2</v>
      </c>
      <c r="I660" s="1366">
        <f t="shared" si="30"/>
        <v>1.0499999999999999E-2</v>
      </c>
      <c r="J660" s="1366">
        <f t="shared" si="28"/>
        <v>9.7874999999999993E-3</v>
      </c>
      <c r="K660" s="1366">
        <f t="shared" si="29"/>
        <v>1.6120000000000002E-2</v>
      </c>
    </row>
    <row r="661" spans="1:11" x14ac:dyDescent="0.55000000000000004">
      <c r="A661" s="295">
        <v>29526</v>
      </c>
      <c r="B661" s="1368">
        <v>0.1065</v>
      </c>
      <c r="C661" s="1366">
        <v>5.0099999999999999E-2</v>
      </c>
      <c r="D661" s="1366">
        <v>9.1000000000000004E-3</v>
      </c>
      <c r="E661" s="1366">
        <v>1.0808333333333333E-2</v>
      </c>
      <c r="F661" s="5">
        <v>1.1116666666666665E-2</v>
      </c>
      <c r="G661" s="5">
        <v>1.09625E-2</v>
      </c>
      <c r="H661" s="1366">
        <v>1.1677083333333333E-2</v>
      </c>
      <c r="I661" s="1366">
        <f t="shared" si="30"/>
        <v>9.74E-2</v>
      </c>
      <c r="J661" s="1366">
        <f t="shared" si="28"/>
        <v>9.5537499999999997E-2</v>
      </c>
      <c r="K661" s="1366">
        <f t="shared" si="29"/>
        <v>3.8422916666666668E-2</v>
      </c>
    </row>
    <row r="662" spans="1:11" x14ac:dyDescent="0.55000000000000004">
      <c r="A662" s="295">
        <v>29556</v>
      </c>
      <c r="B662" s="1368">
        <v>-3.0200000000000001E-2</v>
      </c>
      <c r="C662" s="1366">
        <v>-1.4000000000000002E-3</v>
      </c>
      <c r="D662" s="1366">
        <v>1.0800000000000001E-2</v>
      </c>
      <c r="E662" s="1366">
        <v>1.1008333333333334E-2</v>
      </c>
      <c r="F662" s="5">
        <v>1.1483333333333332E-2</v>
      </c>
      <c r="G662" s="5">
        <v>1.1245833333333333E-2</v>
      </c>
      <c r="H662" s="1366">
        <v>1.2216666666666667E-2</v>
      </c>
      <c r="I662" s="1366">
        <f t="shared" si="30"/>
        <v>-4.1000000000000002E-2</v>
      </c>
      <c r="J662" s="1366">
        <f t="shared" si="28"/>
        <v>-4.1445833333333335E-2</v>
      </c>
      <c r="K662" s="1366">
        <f t="shared" si="29"/>
        <v>-1.3616666666666668E-2</v>
      </c>
    </row>
    <row r="663" spans="1:11" x14ac:dyDescent="0.55000000000000004">
      <c r="A663" s="295">
        <v>29587</v>
      </c>
      <c r="B663" s="1368">
        <v>-4.1799999999999997E-2</v>
      </c>
      <c r="C663" s="1366">
        <v>-1.8600000000000002E-2</v>
      </c>
      <c r="D663" s="1366">
        <v>9.4000000000000004E-3</v>
      </c>
      <c r="E663" s="1366">
        <v>1.0675E-2</v>
      </c>
      <c r="F663" s="5">
        <v>1.1266666666666668E-2</v>
      </c>
      <c r="G663" s="5">
        <v>1.0970833333333334E-2</v>
      </c>
      <c r="H663" s="1366">
        <v>1.1894999999999999E-2</v>
      </c>
      <c r="I663" s="1366">
        <f t="shared" si="30"/>
        <v>-5.1199999999999996E-2</v>
      </c>
      <c r="J663" s="1366">
        <f t="shared" si="28"/>
        <v>-5.2770833333333329E-2</v>
      </c>
      <c r="K663" s="1366">
        <f t="shared" si="29"/>
        <v>-3.0495000000000001E-2</v>
      </c>
    </row>
    <row r="664" spans="1:11" x14ac:dyDescent="0.55000000000000004">
      <c r="A664" s="295">
        <v>29618</v>
      </c>
      <c r="B664" s="1368">
        <v>1.7399999999999999E-2</v>
      </c>
      <c r="C664" s="1366">
        <v>-2.2400000000000003E-2</v>
      </c>
      <c r="D664" s="1366">
        <v>8.8000000000000005E-3</v>
      </c>
      <c r="E664" s="1366">
        <v>1.1125000000000001E-2</v>
      </c>
      <c r="F664" s="5">
        <v>1.1575E-2</v>
      </c>
      <c r="G664" s="5">
        <v>1.1350000000000001E-2</v>
      </c>
      <c r="H664" s="1366">
        <v>1.2233333333333334E-2</v>
      </c>
      <c r="I664" s="1366">
        <f t="shared" si="30"/>
        <v>8.5999999999999983E-3</v>
      </c>
      <c r="J664" s="1366">
        <f t="shared" si="28"/>
        <v>6.0499999999999981E-3</v>
      </c>
      <c r="K664" s="1366">
        <f t="shared" si="29"/>
        <v>-3.4633333333333335E-2</v>
      </c>
    </row>
    <row r="665" spans="1:11" x14ac:dyDescent="0.55000000000000004">
      <c r="A665" s="295">
        <v>29646</v>
      </c>
      <c r="B665" s="1368">
        <v>0.04</v>
      </c>
      <c r="C665" s="1366">
        <v>4.2000000000000003E-2</v>
      </c>
      <c r="D665" s="1366">
        <v>1.11E-2</v>
      </c>
      <c r="E665" s="1366">
        <v>1.1108333333333333E-2</v>
      </c>
      <c r="F665" s="5">
        <v>1.1583333333333334E-2</v>
      </c>
      <c r="G665" s="5">
        <v>1.1345833333333335E-2</v>
      </c>
      <c r="H665" s="1366">
        <v>1.2604166666666668E-2</v>
      </c>
      <c r="I665" s="1366">
        <f t="shared" si="30"/>
        <v>2.8900000000000002E-2</v>
      </c>
      <c r="J665" s="1366">
        <f t="shared" si="28"/>
        <v>2.8654166666666668E-2</v>
      </c>
      <c r="K665" s="1366">
        <f t="shared" si="29"/>
        <v>2.9395833333333336E-2</v>
      </c>
    </row>
    <row r="666" spans="1:11" x14ac:dyDescent="0.55000000000000004">
      <c r="A666" s="295">
        <v>29677</v>
      </c>
      <c r="B666" s="1368">
        <v>-1.9300000000000001E-2</v>
      </c>
      <c r="C666" s="1366">
        <v>-9.5999999999999992E-3</v>
      </c>
      <c r="D666" s="1366">
        <v>1.01E-2</v>
      </c>
      <c r="E666" s="1366">
        <v>1.1566666666666668E-2</v>
      </c>
      <c r="F666" s="5">
        <v>1.1991666666666668E-2</v>
      </c>
      <c r="G666" s="5">
        <v>1.1779166666666667E-2</v>
      </c>
      <c r="H666" s="1366">
        <v>1.2708333333333332E-2</v>
      </c>
      <c r="I666" s="1366">
        <f t="shared" si="30"/>
        <v>-2.9400000000000003E-2</v>
      </c>
      <c r="J666" s="1366">
        <f t="shared" si="28"/>
        <v>-3.1079166666666668E-2</v>
      </c>
      <c r="K666" s="1366">
        <f t="shared" si="29"/>
        <v>-2.2308333333333333E-2</v>
      </c>
    </row>
    <row r="667" spans="1:11" x14ac:dyDescent="0.55000000000000004">
      <c r="A667" s="295">
        <v>29707</v>
      </c>
      <c r="B667" s="1368">
        <v>2.5999999999999999E-3</v>
      </c>
      <c r="C667" s="1366">
        <v>2.9100000000000001E-2</v>
      </c>
      <c r="D667" s="1366">
        <v>1.04E-2</v>
      </c>
      <c r="E667" s="1366">
        <v>1.1933333333333334E-2</v>
      </c>
      <c r="F667" s="5">
        <v>1.24E-2</v>
      </c>
      <c r="G667" s="5">
        <v>1.2166666666666668E-2</v>
      </c>
      <c r="H667" s="1366">
        <v>1.3429999999999999E-2</v>
      </c>
      <c r="I667" s="1366">
        <f t="shared" si="30"/>
        <v>-7.7999999999999996E-3</v>
      </c>
      <c r="J667" s="1366">
        <f t="shared" ref="J667:J730" si="31">B667-G667</f>
        <v>-9.5666666666666678E-3</v>
      </c>
      <c r="K667" s="1366">
        <f t="shared" ref="K667:K730" si="32">$C667-H667</f>
        <v>1.5670000000000003E-2</v>
      </c>
    </row>
    <row r="668" spans="1:11" x14ac:dyDescent="0.55000000000000004">
      <c r="A668" s="295">
        <v>29738</v>
      </c>
      <c r="B668" s="1368">
        <v>-6.3E-3</v>
      </c>
      <c r="C668" s="1366">
        <v>2.7200000000000002E-2</v>
      </c>
      <c r="D668" s="1366">
        <v>1.09E-2</v>
      </c>
      <c r="E668" s="1366">
        <v>1.1458333333333333E-2</v>
      </c>
      <c r="F668" s="5">
        <v>1.2008333333333334E-2</v>
      </c>
      <c r="G668" s="5">
        <v>1.1733333333333333E-2</v>
      </c>
      <c r="H668" s="1366">
        <v>1.3160416666666667E-2</v>
      </c>
      <c r="I668" s="1366">
        <f t="shared" si="30"/>
        <v>-1.72E-2</v>
      </c>
      <c r="J668" s="1366">
        <f t="shared" si="31"/>
        <v>-1.8033333333333332E-2</v>
      </c>
      <c r="K668" s="1366">
        <f t="shared" si="32"/>
        <v>1.4039583333333334E-2</v>
      </c>
    </row>
    <row r="669" spans="1:11" x14ac:dyDescent="0.55000000000000004">
      <c r="A669" s="295">
        <v>29768</v>
      </c>
      <c r="B669" s="1368">
        <v>2.0999999999999999E-3</v>
      </c>
      <c r="C669" s="1366">
        <v>3.4099999999999998E-2</v>
      </c>
      <c r="D669" s="1366">
        <v>1.09E-2</v>
      </c>
      <c r="E669" s="1366">
        <v>1.1983333333333335E-2</v>
      </c>
      <c r="F669" s="5">
        <v>1.2324999999999999E-2</v>
      </c>
      <c r="G669" s="5">
        <v>1.2154166666666666E-2</v>
      </c>
      <c r="H669" s="1366">
        <v>1.3393333333333333E-2</v>
      </c>
      <c r="I669" s="1366">
        <f t="shared" si="30"/>
        <v>-8.8000000000000005E-3</v>
      </c>
      <c r="J669" s="1366">
        <f t="shared" si="31"/>
        <v>-1.0054166666666666E-2</v>
      </c>
      <c r="K669" s="1366">
        <f t="shared" si="32"/>
        <v>2.0706666666666665E-2</v>
      </c>
    </row>
    <row r="670" spans="1:11" x14ac:dyDescent="0.55000000000000004">
      <c r="A670" s="295">
        <v>29799</v>
      </c>
      <c r="B670" s="1368">
        <v>-5.7700000000000001E-2</v>
      </c>
      <c r="C670" s="1366">
        <v>-2.3999999999999994E-3</v>
      </c>
      <c r="D670" s="1366">
        <v>1.0999999999999999E-2</v>
      </c>
      <c r="E670" s="1366">
        <v>1.2408333333333334E-2</v>
      </c>
      <c r="F670" s="5">
        <v>1.2849999999999999E-2</v>
      </c>
      <c r="G670" s="5">
        <v>1.2629166666666667E-2</v>
      </c>
      <c r="H670" s="1366">
        <v>1.3706250000000001E-2</v>
      </c>
      <c r="I670" s="1366">
        <f t="shared" si="30"/>
        <v>-6.8699999999999997E-2</v>
      </c>
      <c r="J670" s="1366">
        <f t="shared" si="31"/>
        <v>-7.0329166666666665E-2</v>
      </c>
      <c r="K670" s="1366">
        <f t="shared" si="32"/>
        <v>-1.6106250000000003E-2</v>
      </c>
    </row>
    <row r="671" spans="1:11" x14ac:dyDescent="0.55000000000000004">
      <c r="A671" s="295">
        <v>29830</v>
      </c>
      <c r="B671" s="1368">
        <v>-4.9299999999999997E-2</v>
      </c>
      <c r="C671" s="1366">
        <v>-4.0899999999999999E-2</v>
      </c>
      <c r="D671" s="1366">
        <v>1.14E-2</v>
      </c>
      <c r="E671" s="1366">
        <v>1.2908333333333332E-2</v>
      </c>
      <c r="F671" s="5">
        <v>1.3291666666666667E-2</v>
      </c>
      <c r="G671" s="5">
        <v>1.3100000000000001E-2</v>
      </c>
      <c r="H671" s="1366">
        <v>1.4191666666666667E-2</v>
      </c>
      <c r="I671" s="1366">
        <f t="shared" si="30"/>
        <v>-6.0699999999999997E-2</v>
      </c>
      <c r="J671" s="1366">
        <f t="shared" si="31"/>
        <v>-6.2399999999999997E-2</v>
      </c>
      <c r="K671" s="1366">
        <f t="shared" si="32"/>
        <v>-5.5091666666666664E-2</v>
      </c>
    </row>
    <row r="672" spans="1:11" x14ac:dyDescent="0.55000000000000004">
      <c r="A672" s="295">
        <v>29860</v>
      </c>
      <c r="B672" s="1368">
        <v>5.3999999999999999E-2</v>
      </c>
      <c r="C672" s="1366">
        <v>6.1699999999999998E-2</v>
      </c>
      <c r="D672" s="1366">
        <v>1.1699999999999999E-2</v>
      </c>
      <c r="E672" s="1366">
        <v>1.2833333333333334E-2</v>
      </c>
      <c r="F672" s="5">
        <v>1.3183333333333333E-2</v>
      </c>
      <c r="G672" s="5">
        <v>1.3008333333333334E-2</v>
      </c>
      <c r="H672" s="1366">
        <v>1.4379166666666665E-2</v>
      </c>
      <c r="I672" s="1366">
        <f t="shared" si="30"/>
        <v>4.2300000000000004E-2</v>
      </c>
      <c r="J672" s="1366">
        <f t="shared" si="31"/>
        <v>4.0991666666666662E-2</v>
      </c>
      <c r="K672" s="1366">
        <f t="shared" si="32"/>
        <v>4.7320833333333333E-2</v>
      </c>
    </row>
    <row r="673" spans="1:11" x14ac:dyDescent="0.55000000000000004">
      <c r="A673" s="295">
        <v>29891</v>
      </c>
      <c r="B673" s="1368">
        <v>4.1300000000000003E-2</v>
      </c>
      <c r="C673" s="1366">
        <v>4.8100000000000004E-2</v>
      </c>
      <c r="D673" s="1366">
        <v>1.1299999999999999E-2</v>
      </c>
      <c r="E673" s="1366">
        <v>1.1850000000000001E-2</v>
      </c>
      <c r="F673" s="5">
        <v>1.2475E-2</v>
      </c>
      <c r="G673" s="5">
        <v>1.21625E-2</v>
      </c>
      <c r="H673" s="1366">
        <v>1.3679166666666666E-2</v>
      </c>
      <c r="I673" s="1366">
        <f t="shared" si="30"/>
        <v>3.0000000000000006E-2</v>
      </c>
      <c r="J673" s="1366">
        <f t="shared" si="31"/>
        <v>2.9137500000000004E-2</v>
      </c>
      <c r="K673" s="1366">
        <f t="shared" si="32"/>
        <v>3.4420833333333338E-2</v>
      </c>
    </row>
    <row r="674" spans="1:11" x14ac:dyDescent="0.55000000000000004">
      <c r="A674" s="295">
        <v>29921</v>
      </c>
      <c r="B674" s="1368">
        <v>-2.5600000000000001E-2</v>
      </c>
      <c r="C674" s="1366">
        <v>-3.0499999999999999E-2</v>
      </c>
      <c r="D674" s="1366">
        <v>0.01</v>
      </c>
      <c r="E674" s="1366">
        <v>1.1858333333333334E-2</v>
      </c>
      <c r="F674" s="5">
        <v>1.2500000000000001E-2</v>
      </c>
      <c r="G674" s="5">
        <v>1.2179166666666665E-2</v>
      </c>
      <c r="H674" s="1366">
        <v>1.3468333333333334E-2</v>
      </c>
      <c r="I674" s="1366">
        <f t="shared" si="30"/>
        <v>-3.56E-2</v>
      </c>
      <c r="J674" s="1366">
        <f t="shared" si="31"/>
        <v>-3.7779166666666669E-2</v>
      </c>
      <c r="K674" s="1366">
        <f t="shared" si="32"/>
        <v>-4.3968333333333331E-2</v>
      </c>
    </row>
    <row r="675" spans="1:11" x14ac:dyDescent="0.55000000000000004">
      <c r="A675" s="295">
        <v>29952</v>
      </c>
      <c r="B675" s="1368">
        <v>-1.3100000000000001E-2</v>
      </c>
      <c r="C675" s="1366">
        <v>3.7000000000000002E-3</v>
      </c>
      <c r="D675" s="1366">
        <v>1.0800000000000001E-2</v>
      </c>
      <c r="E675" s="1366">
        <v>1.265E-2</v>
      </c>
      <c r="F675" s="5">
        <v>1.3125E-2</v>
      </c>
      <c r="G675" s="5">
        <v>1.2887499999999998E-2</v>
      </c>
      <c r="H675" s="1366">
        <v>1.4000000000000002E-2</v>
      </c>
      <c r="I675" s="1366">
        <f t="shared" si="30"/>
        <v>-2.3900000000000001E-2</v>
      </c>
      <c r="J675" s="1366">
        <f t="shared" si="31"/>
        <v>-2.5987499999999997E-2</v>
      </c>
      <c r="K675" s="1366">
        <f t="shared" si="32"/>
        <v>-1.0300000000000002E-2</v>
      </c>
    </row>
    <row r="676" spans="1:11" x14ac:dyDescent="0.55000000000000004">
      <c r="A676" s="295">
        <v>29983</v>
      </c>
      <c r="B676" s="1368">
        <v>-5.5899999999999998E-2</v>
      </c>
      <c r="C676" s="1366">
        <v>-3.4999999999999996E-3</v>
      </c>
      <c r="D676" s="1366">
        <v>1.03E-2</v>
      </c>
      <c r="E676" s="1366">
        <v>1.2725E-2</v>
      </c>
      <c r="F676" s="5">
        <v>1.3100000000000001E-2</v>
      </c>
      <c r="G676" s="5">
        <v>1.29125E-2</v>
      </c>
      <c r="H676" s="1366">
        <v>1.4095833333333332E-2</v>
      </c>
      <c r="I676" s="1366">
        <f t="shared" si="30"/>
        <v>-6.6199999999999995E-2</v>
      </c>
      <c r="J676" s="1366">
        <f t="shared" si="31"/>
        <v>-6.8812499999999999E-2</v>
      </c>
      <c r="K676" s="1366">
        <f t="shared" si="32"/>
        <v>-1.7595833333333331E-2</v>
      </c>
    </row>
    <row r="677" spans="1:11" x14ac:dyDescent="0.55000000000000004">
      <c r="A677" s="295">
        <v>30011</v>
      </c>
      <c r="B677" s="1368">
        <v>-5.1999999999999998E-3</v>
      </c>
      <c r="C677" s="1366">
        <v>1.6800000000000002E-2</v>
      </c>
      <c r="D677" s="1366">
        <v>1.24E-2</v>
      </c>
      <c r="E677" s="1366">
        <v>1.2150000000000001E-2</v>
      </c>
      <c r="F677" s="5">
        <v>1.2675000000000001E-2</v>
      </c>
      <c r="G677" s="5">
        <v>1.24125E-2</v>
      </c>
      <c r="H677" s="1366">
        <v>1.3739999999999999E-2</v>
      </c>
      <c r="I677" s="1366">
        <f t="shared" si="30"/>
        <v>-1.7599999999999998E-2</v>
      </c>
      <c r="J677" s="1366">
        <f t="shared" si="31"/>
        <v>-1.76125E-2</v>
      </c>
      <c r="K677" s="1366">
        <f t="shared" si="32"/>
        <v>3.0600000000000037E-3</v>
      </c>
    </row>
    <row r="678" spans="1:11" x14ac:dyDescent="0.55000000000000004">
      <c r="A678" s="295">
        <v>30042</v>
      </c>
      <c r="B678" s="1368">
        <v>4.5199999999999997E-2</v>
      </c>
      <c r="C678" s="1366">
        <v>5.4800000000000001E-2</v>
      </c>
      <c r="D678" s="1366">
        <v>1.1199999999999998E-2</v>
      </c>
      <c r="E678" s="1366">
        <v>1.205E-2</v>
      </c>
      <c r="F678" s="5">
        <v>1.2416666666666666E-2</v>
      </c>
      <c r="G678" s="5">
        <v>1.2233333333333334E-2</v>
      </c>
      <c r="H678" s="1366">
        <v>1.3664583333333334E-2</v>
      </c>
      <c r="I678" s="1366">
        <f t="shared" si="30"/>
        <v>3.4000000000000002E-2</v>
      </c>
      <c r="J678" s="1366">
        <f t="shared" si="31"/>
        <v>3.2966666666666665E-2</v>
      </c>
      <c r="K678" s="1366">
        <f t="shared" si="32"/>
        <v>4.1135416666666667E-2</v>
      </c>
    </row>
    <row r="679" spans="1:11" x14ac:dyDescent="0.55000000000000004">
      <c r="A679" s="295">
        <v>30072</v>
      </c>
      <c r="B679" s="1368">
        <v>-3.4099999999999998E-2</v>
      </c>
      <c r="C679" s="1366">
        <v>-1.8700000000000001E-2</v>
      </c>
      <c r="D679" s="1366">
        <v>1.01E-2</v>
      </c>
      <c r="E679" s="1366">
        <v>1.1883333333333333E-2</v>
      </c>
      <c r="F679" s="5">
        <v>1.2308333333333333E-2</v>
      </c>
      <c r="G679" s="5">
        <v>1.2095833333333332E-2</v>
      </c>
      <c r="H679" s="1366">
        <v>1.3399999999999999E-2</v>
      </c>
      <c r="I679" s="1366">
        <f t="shared" si="30"/>
        <v>-4.4199999999999996E-2</v>
      </c>
      <c r="J679" s="1366">
        <f t="shared" si="31"/>
        <v>-4.6195833333333332E-2</v>
      </c>
      <c r="K679" s="1366">
        <f t="shared" si="32"/>
        <v>-3.2100000000000004E-2</v>
      </c>
    </row>
    <row r="680" spans="1:11" x14ac:dyDescent="0.55000000000000004">
      <c r="A680" s="295">
        <v>30103</v>
      </c>
      <c r="B680" s="1368">
        <v>-1.4999999999999999E-2</v>
      </c>
      <c r="C680" s="1366">
        <v>-1.6099999999999996E-2</v>
      </c>
      <c r="D680" s="1366">
        <v>1.2E-2</v>
      </c>
      <c r="E680" s="1366">
        <v>1.2341666666666666E-2</v>
      </c>
      <c r="F680" s="5">
        <v>1.2716666666666668E-2</v>
      </c>
      <c r="G680" s="5">
        <v>1.2529166666666668E-2</v>
      </c>
      <c r="H680" s="1366">
        <v>1.3616666666666666E-2</v>
      </c>
      <c r="I680" s="1366">
        <f t="shared" si="30"/>
        <v>-2.7E-2</v>
      </c>
      <c r="J680" s="1366">
        <f t="shared" si="31"/>
        <v>-2.7529166666666667E-2</v>
      </c>
      <c r="K680" s="1366">
        <f t="shared" si="32"/>
        <v>-2.9716666666666662E-2</v>
      </c>
    </row>
    <row r="681" spans="1:11" x14ac:dyDescent="0.55000000000000004">
      <c r="A681" s="295">
        <v>30133</v>
      </c>
      <c r="B681" s="1368">
        <v>-1.78E-2</v>
      </c>
      <c r="C681" s="1366">
        <v>-1.9800000000000002E-2</v>
      </c>
      <c r="D681" s="1366">
        <v>1.14E-2</v>
      </c>
      <c r="E681" s="1366">
        <v>1.2175E-2</v>
      </c>
      <c r="F681" s="5">
        <v>1.2675000000000001E-2</v>
      </c>
      <c r="G681" s="5">
        <v>1.2425000000000002E-2</v>
      </c>
      <c r="H681" s="1366">
        <v>1.3716666666666669E-2</v>
      </c>
      <c r="I681" s="1366">
        <f t="shared" si="30"/>
        <v>-2.92E-2</v>
      </c>
      <c r="J681" s="1366">
        <f t="shared" si="31"/>
        <v>-3.0225000000000002E-2</v>
      </c>
      <c r="K681" s="1366">
        <f t="shared" si="32"/>
        <v>-3.3516666666666667E-2</v>
      </c>
    </row>
    <row r="682" spans="1:11" x14ac:dyDescent="0.55000000000000004">
      <c r="A682" s="295">
        <v>30164</v>
      </c>
      <c r="B682" s="1368">
        <v>0.12139999999999999</v>
      </c>
      <c r="C682" s="1366">
        <v>0.1211</v>
      </c>
      <c r="D682" s="1366">
        <v>1.1199999999999998E-2</v>
      </c>
      <c r="E682" s="1366">
        <v>1.1425000000000001E-2</v>
      </c>
      <c r="F682" s="5">
        <v>1.2066666666666668E-2</v>
      </c>
      <c r="G682" s="5">
        <v>1.1745833333333336E-2</v>
      </c>
      <c r="H682" s="1366">
        <v>1.3266666666666666E-2</v>
      </c>
      <c r="I682" s="1366">
        <f t="shared" si="30"/>
        <v>0.11019999999999999</v>
      </c>
      <c r="J682" s="1366">
        <f t="shared" si="31"/>
        <v>0.10965416666666666</v>
      </c>
      <c r="K682" s="1366">
        <f t="shared" si="32"/>
        <v>0.10783333333333334</v>
      </c>
    </row>
    <row r="683" spans="1:11" x14ac:dyDescent="0.55000000000000004">
      <c r="A683" s="295">
        <v>30195</v>
      </c>
      <c r="B683" s="1368">
        <v>1.2500000000000001E-2</v>
      </c>
      <c r="C683" s="1366">
        <v>5.1999999999999998E-3</v>
      </c>
      <c r="D683" s="1366">
        <v>0.01</v>
      </c>
      <c r="E683" s="1366">
        <v>1.0783333333333334E-2</v>
      </c>
      <c r="F683" s="5">
        <v>1.1433333333333334E-2</v>
      </c>
      <c r="G683" s="5">
        <v>1.1108333333333333E-2</v>
      </c>
      <c r="H683" s="1366">
        <v>1.2875000000000001E-2</v>
      </c>
      <c r="I683" s="1366">
        <f t="shared" si="30"/>
        <v>2.5000000000000005E-3</v>
      </c>
      <c r="J683" s="1366">
        <f t="shared" si="31"/>
        <v>1.3916666666666678E-3</v>
      </c>
      <c r="K683" s="1366">
        <f t="shared" si="32"/>
        <v>-7.6750000000000013E-3</v>
      </c>
    </row>
    <row r="684" spans="1:11" x14ac:dyDescent="0.55000000000000004">
      <c r="A684" s="295">
        <v>30225</v>
      </c>
      <c r="B684" s="1368">
        <v>0.11509999999999999</v>
      </c>
      <c r="C684" s="1366">
        <v>6.59E-2</v>
      </c>
      <c r="D684" s="1366">
        <v>9.1000000000000004E-3</v>
      </c>
      <c r="E684" s="1366">
        <v>1.01E-2</v>
      </c>
      <c r="F684" s="5">
        <v>1.0808333333333333E-2</v>
      </c>
      <c r="G684" s="5">
        <v>1.0454166666666667E-2</v>
      </c>
      <c r="H684" s="1366">
        <v>1.2486666666666667E-2</v>
      </c>
      <c r="I684" s="1366">
        <f t="shared" si="30"/>
        <v>0.106</v>
      </c>
      <c r="J684" s="1366">
        <f t="shared" si="31"/>
        <v>0.10464583333333333</v>
      </c>
      <c r="K684" s="1366">
        <f t="shared" si="32"/>
        <v>5.3413333333333333E-2</v>
      </c>
    </row>
    <row r="685" spans="1:11" x14ac:dyDescent="0.55000000000000004">
      <c r="A685" s="295">
        <v>30256</v>
      </c>
      <c r="B685" s="1368">
        <v>4.0399999999999998E-2</v>
      </c>
      <c r="C685" s="1366">
        <v>1.6999999999999993E-3</v>
      </c>
      <c r="D685" s="1366">
        <v>9.4999999999999998E-3</v>
      </c>
      <c r="E685" s="1366">
        <v>9.7333333333333334E-3</v>
      </c>
      <c r="F685" s="5">
        <v>1.0425E-2</v>
      </c>
      <c r="G685" s="5">
        <v>1.0079166666666665E-2</v>
      </c>
      <c r="H685" s="1366">
        <v>1.2052083333333335E-2</v>
      </c>
      <c r="I685" s="1366">
        <f t="shared" si="30"/>
        <v>3.0899999999999997E-2</v>
      </c>
      <c r="J685" s="1366">
        <f t="shared" si="31"/>
        <v>3.0320833333333332E-2</v>
      </c>
      <c r="K685" s="1366">
        <f t="shared" si="32"/>
        <v>-1.0352083333333335E-2</v>
      </c>
    </row>
    <row r="686" spans="1:11" x14ac:dyDescent="0.55000000000000004">
      <c r="A686" s="295">
        <v>30286</v>
      </c>
      <c r="B686" s="1368">
        <v>1.9300000000000001E-2</v>
      </c>
      <c r="C686" s="1366">
        <v>3.5999999999999997E-2</v>
      </c>
      <c r="D686" s="1366">
        <v>9.2999999999999992E-3</v>
      </c>
      <c r="E686" s="1366">
        <v>9.8583333333333335E-3</v>
      </c>
      <c r="F686" s="5">
        <v>1.0366666666666666E-2</v>
      </c>
      <c r="G686" s="5">
        <v>1.01125E-2</v>
      </c>
      <c r="H686" s="1366">
        <v>1.2021333333333334E-2</v>
      </c>
      <c r="I686" s="1366">
        <f t="shared" si="30"/>
        <v>1.0000000000000002E-2</v>
      </c>
      <c r="J686" s="1366">
        <f t="shared" si="31"/>
        <v>9.1875000000000012E-3</v>
      </c>
      <c r="K686" s="1366">
        <f t="shared" si="32"/>
        <v>2.3978666666666662E-2</v>
      </c>
    </row>
    <row r="687" spans="1:11" x14ac:dyDescent="0.55000000000000004">
      <c r="A687" s="295">
        <v>30317</v>
      </c>
      <c r="B687" s="1368">
        <v>3.7199999999999997E-2</v>
      </c>
      <c r="C687" s="1366">
        <v>3.7199999999999997E-2</v>
      </c>
      <c r="D687" s="1366">
        <v>8.6999999999999994E-3</v>
      </c>
      <c r="E687" s="1366">
        <v>9.8249999999999987E-3</v>
      </c>
      <c r="F687" s="5">
        <v>1.0291666666666666E-2</v>
      </c>
      <c r="G687" s="5">
        <v>1.0058333333333334E-2</v>
      </c>
      <c r="H687" s="1366">
        <v>1.18675E-2</v>
      </c>
      <c r="I687" s="1366">
        <f t="shared" si="30"/>
        <v>2.8499999999999998E-2</v>
      </c>
      <c r="J687" s="1366">
        <f t="shared" si="31"/>
        <v>2.7141666666666661E-2</v>
      </c>
      <c r="K687" s="1366">
        <f t="shared" si="32"/>
        <v>2.5332499999999997E-2</v>
      </c>
    </row>
    <row r="688" spans="1:11" x14ac:dyDescent="0.55000000000000004">
      <c r="A688" s="295">
        <v>30348</v>
      </c>
      <c r="B688" s="1368">
        <v>2.29E-2</v>
      </c>
      <c r="C688" s="1366">
        <v>-4.9999999999999871E-4</v>
      </c>
      <c r="D688" s="1366">
        <v>8.0999999999999996E-3</v>
      </c>
      <c r="E688" s="1366">
        <v>1.0008333333333333E-2</v>
      </c>
      <c r="F688" s="5">
        <v>1.0483333333333334E-2</v>
      </c>
      <c r="G688" s="5">
        <v>1.0245833333333332E-2</v>
      </c>
      <c r="H688" s="1366">
        <v>1.1898250000000001E-2</v>
      </c>
      <c r="I688" s="1366">
        <f t="shared" si="30"/>
        <v>1.4800000000000001E-2</v>
      </c>
      <c r="J688" s="1366">
        <f t="shared" si="31"/>
        <v>1.2654166666666668E-2</v>
      </c>
      <c r="K688" s="1366">
        <f t="shared" si="32"/>
        <v>-1.239825E-2</v>
      </c>
    </row>
    <row r="689" spans="1:11" x14ac:dyDescent="0.55000000000000004">
      <c r="A689" s="295">
        <v>30376</v>
      </c>
      <c r="B689" s="1368">
        <v>3.6900000000000002E-2</v>
      </c>
      <c r="C689" s="1366">
        <v>1.7000000000000001E-3</v>
      </c>
      <c r="D689" s="1366">
        <v>8.8999999999999999E-3</v>
      </c>
      <c r="E689" s="1366">
        <v>9.7750000000000007E-3</v>
      </c>
      <c r="F689" s="5">
        <v>1.0266666666666667E-2</v>
      </c>
      <c r="G689" s="5">
        <v>1.0020833333333333E-2</v>
      </c>
      <c r="H689" s="1366">
        <v>1.1689499999999999E-2</v>
      </c>
      <c r="I689" s="1366">
        <f t="shared" si="30"/>
        <v>2.8000000000000004E-2</v>
      </c>
      <c r="J689" s="1366">
        <f t="shared" si="31"/>
        <v>2.6879166666666669E-2</v>
      </c>
      <c r="K689" s="1366">
        <f t="shared" si="32"/>
        <v>-9.9894999999999984E-3</v>
      </c>
    </row>
    <row r="690" spans="1:11" x14ac:dyDescent="0.55000000000000004">
      <c r="A690" s="295">
        <v>30407</v>
      </c>
      <c r="B690" s="1368">
        <v>7.8799999999999995E-2</v>
      </c>
      <c r="C690" s="1366">
        <v>5.7099999999999998E-2</v>
      </c>
      <c r="D690" s="1366">
        <v>8.5000000000000006E-3</v>
      </c>
      <c r="E690" s="1366">
        <v>9.5916666666666667E-3</v>
      </c>
      <c r="F690" s="5">
        <v>1.0050000000000002E-2</v>
      </c>
      <c r="G690" s="5">
        <v>9.8208333333333342E-3</v>
      </c>
      <c r="H690" s="1366">
        <v>1.1364583333333334E-2</v>
      </c>
      <c r="I690" s="1366">
        <f t="shared" si="30"/>
        <v>7.0300000000000001E-2</v>
      </c>
      <c r="J690" s="1366">
        <f t="shared" si="31"/>
        <v>6.8979166666666661E-2</v>
      </c>
      <c r="K690" s="1366">
        <f t="shared" si="32"/>
        <v>4.5735416666666667E-2</v>
      </c>
    </row>
    <row r="691" spans="1:11" x14ac:dyDescent="0.55000000000000004">
      <c r="A691" s="295">
        <v>30437</v>
      </c>
      <c r="B691" s="1368">
        <v>-8.6999999999999994E-3</v>
      </c>
      <c r="C691" s="1366">
        <v>1.2400000000000001E-2</v>
      </c>
      <c r="D691" s="1366">
        <v>9.1000000000000004E-3</v>
      </c>
      <c r="E691" s="1366">
        <v>9.5500000000000012E-3</v>
      </c>
      <c r="F691" s="5">
        <v>9.9583333333333329E-3</v>
      </c>
      <c r="G691" s="5">
        <v>9.7541666666666662E-3</v>
      </c>
      <c r="H691" s="1366">
        <v>1.1242833333333334E-2</v>
      </c>
      <c r="I691" s="1366">
        <f t="shared" si="30"/>
        <v>-1.78E-2</v>
      </c>
      <c r="J691" s="1366">
        <f t="shared" si="31"/>
        <v>-1.8454166666666667E-2</v>
      </c>
      <c r="K691" s="1366">
        <f t="shared" si="32"/>
        <v>1.1571666666666675E-3</v>
      </c>
    </row>
    <row r="692" spans="1:11" x14ac:dyDescent="0.55000000000000004">
      <c r="A692" s="295">
        <v>30468</v>
      </c>
      <c r="B692" s="1368">
        <v>3.8899999999999997E-2</v>
      </c>
      <c r="C692" s="1366">
        <v>-1.23E-2</v>
      </c>
      <c r="D692" s="1366">
        <v>8.9999999999999993E-3</v>
      </c>
      <c r="E692" s="1366">
        <v>9.7833333333333331E-3</v>
      </c>
      <c r="F692" s="5">
        <v>1.0125E-2</v>
      </c>
      <c r="G692" s="5">
        <v>9.9541666666666667E-3</v>
      </c>
      <c r="H692" s="1366">
        <v>1.1372750000000001E-2</v>
      </c>
      <c r="I692" s="1366">
        <f t="shared" si="30"/>
        <v>2.9899999999999996E-2</v>
      </c>
      <c r="J692" s="1366">
        <f t="shared" si="31"/>
        <v>2.894583333333333E-2</v>
      </c>
      <c r="K692" s="1366">
        <f t="shared" si="32"/>
        <v>-2.3672749999999999E-2</v>
      </c>
    </row>
    <row r="693" spans="1:11" x14ac:dyDescent="0.55000000000000004">
      <c r="A693" s="295">
        <v>30498</v>
      </c>
      <c r="B693" s="1368">
        <v>-2.9499999999999998E-2</v>
      </c>
      <c r="C693" s="1366">
        <v>3.39E-2</v>
      </c>
      <c r="D693" s="1366">
        <v>8.8000000000000005E-3</v>
      </c>
      <c r="E693" s="1366">
        <v>1.0125E-2</v>
      </c>
      <c r="F693" s="5">
        <v>1.0324999999999999E-2</v>
      </c>
      <c r="G693" s="5">
        <v>1.0225E-2</v>
      </c>
      <c r="H693" s="1366">
        <v>1.1310000000000001E-2</v>
      </c>
      <c r="I693" s="1366">
        <f t="shared" si="30"/>
        <v>-3.8300000000000001E-2</v>
      </c>
      <c r="J693" s="1366">
        <f t="shared" si="31"/>
        <v>-3.9724999999999996E-2</v>
      </c>
      <c r="K693" s="1366">
        <f t="shared" si="32"/>
        <v>2.2589999999999999E-2</v>
      </c>
    </row>
    <row r="694" spans="1:11" x14ac:dyDescent="0.55000000000000004">
      <c r="A694" s="295">
        <v>30529</v>
      </c>
      <c r="B694" s="1368">
        <v>1.4999999999999999E-2</v>
      </c>
      <c r="C694" s="1366">
        <v>4.0000000000000001E-3</v>
      </c>
      <c r="D694" s="1366">
        <v>1.03E-2</v>
      </c>
      <c r="E694" s="1366">
        <v>1.0425E-2</v>
      </c>
      <c r="F694" s="5">
        <v>1.06E-2</v>
      </c>
      <c r="G694" s="5">
        <v>1.0512500000000001E-2</v>
      </c>
      <c r="H694" s="1366">
        <v>1.1305833333333333E-2</v>
      </c>
      <c r="I694" s="1366">
        <f t="shared" si="30"/>
        <v>4.6999999999999993E-3</v>
      </c>
      <c r="J694" s="1366">
        <f t="shared" si="31"/>
        <v>4.4874999999999984E-3</v>
      </c>
      <c r="K694" s="1366">
        <f t="shared" si="32"/>
        <v>-7.3058333333333326E-3</v>
      </c>
    </row>
    <row r="695" spans="1:11" x14ac:dyDescent="0.55000000000000004">
      <c r="A695" s="295">
        <v>30560</v>
      </c>
      <c r="B695" s="1368">
        <v>1.38E-2</v>
      </c>
      <c r="C695" s="1366">
        <v>4.4500000000000005E-2</v>
      </c>
      <c r="D695" s="1366">
        <v>9.5999999999999992E-3</v>
      </c>
      <c r="E695" s="1366">
        <v>1.0308333333333333E-2</v>
      </c>
      <c r="F695" s="5">
        <v>1.0516666666666665E-2</v>
      </c>
      <c r="G695" s="5">
        <v>1.0412499999999998E-2</v>
      </c>
      <c r="H695" s="1366">
        <v>1.1197250000000001E-2</v>
      </c>
      <c r="I695" s="1366">
        <f t="shared" si="30"/>
        <v>4.2000000000000006E-3</v>
      </c>
      <c r="J695" s="1366">
        <f t="shared" si="31"/>
        <v>3.3875000000000016E-3</v>
      </c>
      <c r="K695" s="1366">
        <f t="shared" si="32"/>
        <v>3.3302750000000006E-2</v>
      </c>
    </row>
    <row r="696" spans="1:11" x14ac:dyDescent="0.55000000000000004">
      <c r="A696" s="295">
        <v>30590</v>
      </c>
      <c r="B696" s="1368">
        <v>-1.1599999999999999E-2</v>
      </c>
      <c r="C696" s="1366">
        <v>5.3199999999999997E-2</v>
      </c>
      <c r="D696" s="1366">
        <v>9.4999999999999998E-3</v>
      </c>
      <c r="E696" s="1366">
        <v>1.0208333333333333E-2</v>
      </c>
      <c r="F696" s="5">
        <v>1.0408333333333332E-2</v>
      </c>
      <c r="G696" s="5">
        <v>1.0308333333333333E-2</v>
      </c>
      <c r="H696" s="1366">
        <v>1.1043666666666667E-2</v>
      </c>
      <c r="I696" s="1366">
        <f t="shared" si="30"/>
        <v>-2.1100000000000001E-2</v>
      </c>
      <c r="J696" s="1366">
        <f t="shared" si="31"/>
        <v>-2.1908333333333332E-2</v>
      </c>
      <c r="K696" s="1366">
        <f t="shared" si="32"/>
        <v>4.215633333333333E-2</v>
      </c>
    </row>
    <row r="697" spans="1:11" x14ac:dyDescent="0.55000000000000004">
      <c r="A697" s="295">
        <v>30621</v>
      </c>
      <c r="B697" s="1368">
        <v>2.1100000000000001E-2</v>
      </c>
      <c r="C697" s="1366">
        <v>-2.0400000000000001E-2</v>
      </c>
      <c r="D697" s="1366">
        <v>9.4000000000000004E-3</v>
      </c>
      <c r="E697" s="1366">
        <v>1.0341666666666667E-2</v>
      </c>
      <c r="F697" s="5">
        <v>1.0508333333333333E-2</v>
      </c>
      <c r="G697" s="5">
        <v>1.0425E-2</v>
      </c>
      <c r="H697" s="1366">
        <v>1.1152749999999999E-2</v>
      </c>
      <c r="I697" s="1366">
        <f t="shared" si="30"/>
        <v>1.17E-2</v>
      </c>
      <c r="J697" s="1366">
        <f t="shared" si="31"/>
        <v>1.0675E-2</v>
      </c>
      <c r="K697" s="1366">
        <f t="shared" si="32"/>
        <v>-3.1552750000000004E-2</v>
      </c>
    </row>
    <row r="698" spans="1:11" x14ac:dyDescent="0.55000000000000004">
      <c r="A698" s="295">
        <v>30651</v>
      </c>
      <c r="B698" s="1368">
        <v>-5.1999999999999998E-3</v>
      </c>
      <c r="C698" s="1366">
        <v>-2.2600000000000002E-2</v>
      </c>
      <c r="D698" s="1366">
        <v>9.4000000000000004E-3</v>
      </c>
      <c r="E698" s="1366">
        <v>1.0475000000000002E-2</v>
      </c>
      <c r="F698" s="5">
        <v>1.0633333333333333E-2</v>
      </c>
      <c r="G698" s="5">
        <v>1.0554166666666667E-2</v>
      </c>
      <c r="H698" s="1366">
        <v>1.126425E-2</v>
      </c>
      <c r="I698" s="1366">
        <f t="shared" si="30"/>
        <v>-1.46E-2</v>
      </c>
      <c r="J698" s="1366">
        <f t="shared" si="31"/>
        <v>-1.5754166666666666E-2</v>
      </c>
      <c r="K698" s="1366">
        <f t="shared" si="32"/>
        <v>-3.3864249999999999E-2</v>
      </c>
    </row>
    <row r="699" spans="1:11" x14ac:dyDescent="0.55000000000000004">
      <c r="A699" s="295">
        <v>30682</v>
      </c>
      <c r="B699" s="1368">
        <v>-5.5999999999999999E-3</v>
      </c>
      <c r="C699" s="1366">
        <v>4.82E-2</v>
      </c>
      <c r="D699" s="1366">
        <v>1.03E-2</v>
      </c>
      <c r="E699" s="1366">
        <v>1.0166666666666666E-2</v>
      </c>
      <c r="F699" s="5">
        <v>1.0591666666666668E-2</v>
      </c>
      <c r="G699" s="5">
        <v>1.0379166666666668E-2</v>
      </c>
      <c r="H699" s="1366">
        <v>1.1167083333333333E-2</v>
      </c>
      <c r="I699" s="1366">
        <f t="shared" si="30"/>
        <v>-1.5900000000000001E-2</v>
      </c>
      <c r="J699" s="1366">
        <f t="shared" si="31"/>
        <v>-1.5979166666666669E-2</v>
      </c>
      <c r="K699" s="1366">
        <f t="shared" si="32"/>
        <v>3.7032916666666665E-2</v>
      </c>
    </row>
    <row r="700" spans="1:11" x14ac:dyDescent="0.55000000000000004">
      <c r="A700" s="295">
        <v>30713</v>
      </c>
      <c r="B700" s="1368">
        <v>-3.5200000000000002E-2</v>
      </c>
      <c r="C700" s="1366">
        <v>-4.1100000000000005E-2</v>
      </c>
      <c r="D700" s="1366">
        <v>9.1999999999999998E-3</v>
      </c>
      <c r="E700" s="1366">
        <v>1.0066666666666666E-2</v>
      </c>
      <c r="F700" s="5">
        <v>1.0583333333333333E-2</v>
      </c>
      <c r="G700" s="5">
        <v>1.0324999999999999E-2</v>
      </c>
      <c r="H700" s="1366">
        <v>1.1164166666666666E-2</v>
      </c>
      <c r="I700" s="1366">
        <f t="shared" si="30"/>
        <v>-4.4400000000000002E-2</v>
      </c>
      <c r="J700" s="1366">
        <f t="shared" si="31"/>
        <v>-4.5525000000000003E-2</v>
      </c>
      <c r="K700" s="1366">
        <f t="shared" si="32"/>
        <v>-5.2264166666666667E-2</v>
      </c>
    </row>
    <row r="701" spans="1:11" x14ac:dyDescent="0.55000000000000004">
      <c r="A701" s="295">
        <v>30742</v>
      </c>
      <c r="B701" s="1368">
        <v>1.7299999999999999E-2</v>
      </c>
      <c r="C701" s="1366">
        <v>-5.4999999999999997E-3</v>
      </c>
      <c r="D701" s="1366">
        <v>9.7999999999999997E-3</v>
      </c>
      <c r="E701" s="1366">
        <v>1.0475000000000002E-2</v>
      </c>
      <c r="F701" s="5">
        <v>1.1016666666666668E-2</v>
      </c>
      <c r="G701" s="5">
        <v>1.0745833333333335E-2</v>
      </c>
      <c r="H701" s="1366">
        <v>1.1476916666666665E-2</v>
      </c>
      <c r="I701" s="1366">
        <f t="shared" si="30"/>
        <v>7.4999999999999997E-3</v>
      </c>
      <c r="J701" s="1366">
        <f t="shared" si="31"/>
        <v>6.5541666666666647E-3</v>
      </c>
      <c r="K701" s="1366">
        <f t="shared" si="32"/>
        <v>-1.6976916666666664E-2</v>
      </c>
    </row>
    <row r="702" spans="1:11" x14ac:dyDescent="0.55000000000000004">
      <c r="A702" s="295">
        <v>30773</v>
      </c>
      <c r="B702" s="1368">
        <v>9.4999999999999998E-3</v>
      </c>
      <c r="C702" s="1366">
        <v>1.5900000000000001E-2</v>
      </c>
      <c r="D702" s="1366">
        <v>1.04E-2</v>
      </c>
      <c r="E702" s="1366">
        <v>1.0675E-2</v>
      </c>
      <c r="F702" s="5">
        <v>1.1233333333333333E-2</v>
      </c>
      <c r="G702" s="5">
        <v>1.0954166666666668E-2</v>
      </c>
      <c r="H702" s="1366">
        <v>1.1774166666666665E-2</v>
      </c>
      <c r="I702" s="1366">
        <f t="shared" si="30"/>
        <v>-8.9999999999999976E-4</v>
      </c>
      <c r="J702" s="1366">
        <f t="shared" si="31"/>
        <v>-1.4541666666666678E-3</v>
      </c>
      <c r="K702" s="1366">
        <f t="shared" si="32"/>
        <v>4.1258333333333355E-3</v>
      </c>
    </row>
    <row r="703" spans="1:11" x14ac:dyDescent="0.55000000000000004">
      <c r="A703" s="295">
        <v>30803</v>
      </c>
      <c r="B703" s="1368">
        <v>-5.5399999999999998E-2</v>
      </c>
      <c r="C703" s="1366">
        <v>-2.3E-2</v>
      </c>
      <c r="D703" s="1366">
        <v>1.03E-2</v>
      </c>
      <c r="E703" s="1366">
        <v>1.1066666666666667E-2</v>
      </c>
      <c r="F703" s="5">
        <v>1.175E-2</v>
      </c>
      <c r="G703" s="5">
        <v>1.1408333333333333E-2</v>
      </c>
      <c r="H703" s="1366">
        <v>1.2399583333333332E-2</v>
      </c>
      <c r="I703" s="1366">
        <f t="shared" si="30"/>
        <v>-6.5699999999999995E-2</v>
      </c>
      <c r="J703" s="1366">
        <f t="shared" si="31"/>
        <v>-6.6808333333333331E-2</v>
      </c>
      <c r="K703" s="1366">
        <f t="shared" si="32"/>
        <v>-3.5399583333333332E-2</v>
      </c>
    </row>
    <row r="704" spans="1:11" x14ac:dyDescent="0.55000000000000004">
      <c r="A704" s="295">
        <v>30834</v>
      </c>
      <c r="B704" s="1368">
        <v>2.1700000000000001E-2</v>
      </c>
      <c r="C704" s="1366">
        <v>6.9000000000000008E-3</v>
      </c>
      <c r="D704" s="1366">
        <v>1.06E-2</v>
      </c>
      <c r="E704" s="1366">
        <v>1.1291666666666667E-2</v>
      </c>
      <c r="F704" s="5">
        <v>1.1941666666666666E-2</v>
      </c>
      <c r="G704" s="5">
        <v>1.1616666666666666E-2</v>
      </c>
      <c r="H704" s="1366">
        <v>1.2580916666666666E-2</v>
      </c>
      <c r="I704" s="1366">
        <f t="shared" si="30"/>
        <v>1.11E-2</v>
      </c>
      <c r="J704" s="1366">
        <f t="shared" si="31"/>
        <v>1.0083333333333335E-2</v>
      </c>
      <c r="K704" s="1366">
        <f t="shared" si="32"/>
        <v>-5.6809166666666648E-3</v>
      </c>
    </row>
    <row r="705" spans="1:11" x14ac:dyDescent="0.55000000000000004">
      <c r="A705" s="295">
        <v>30864</v>
      </c>
      <c r="B705" s="1368">
        <v>-1.24E-2</v>
      </c>
      <c r="C705" s="1366">
        <v>4.3299999999999998E-2</v>
      </c>
      <c r="D705" s="1366">
        <v>1.1599999999999999E-2</v>
      </c>
      <c r="E705" s="1366">
        <v>1.1199999999999998E-2</v>
      </c>
      <c r="F705" s="5">
        <v>1.1766666666666665E-2</v>
      </c>
      <c r="G705" s="5">
        <v>1.1483333333333332E-2</v>
      </c>
      <c r="H705" s="1366">
        <v>1.2383750000000001E-2</v>
      </c>
      <c r="I705" s="1366">
        <f t="shared" si="30"/>
        <v>-2.4E-2</v>
      </c>
      <c r="J705" s="1366">
        <f t="shared" si="31"/>
        <v>-2.3883333333333333E-2</v>
      </c>
      <c r="K705" s="1366">
        <f t="shared" si="32"/>
        <v>3.0916249999999999E-2</v>
      </c>
    </row>
    <row r="706" spans="1:11" x14ac:dyDescent="0.55000000000000004">
      <c r="A706" s="295">
        <v>30895</v>
      </c>
      <c r="B706" s="1368">
        <v>0.1104</v>
      </c>
      <c r="C706" s="1366">
        <v>6.4600000000000005E-2</v>
      </c>
      <c r="D706" s="1366">
        <v>1.06E-2</v>
      </c>
      <c r="E706" s="1366">
        <v>1.0725E-2</v>
      </c>
      <c r="F706" s="5">
        <v>1.1225000000000001E-2</v>
      </c>
      <c r="G706" s="5">
        <v>1.0975000000000002E-2</v>
      </c>
      <c r="H706" s="1366">
        <v>1.202425E-2</v>
      </c>
      <c r="I706" s="1366">
        <f t="shared" si="30"/>
        <v>9.98E-2</v>
      </c>
      <c r="J706" s="1366">
        <f t="shared" si="31"/>
        <v>9.9424999999999999E-2</v>
      </c>
      <c r="K706" s="1366">
        <f t="shared" si="32"/>
        <v>5.2575750000000004E-2</v>
      </c>
    </row>
    <row r="707" spans="1:11" x14ac:dyDescent="0.55000000000000004">
      <c r="A707" s="295">
        <v>30926</v>
      </c>
      <c r="B707" s="1368">
        <v>2.0000000000000001E-4</v>
      </c>
      <c r="C707" s="1366">
        <v>4.3800000000000006E-2</v>
      </c>
      <c r="D707" s="1366">
        <v>9.4000000000000004E-3</v>
      </c>
      <c r="E707" s="1366">
        <v>1.0549999999999999E-2</v>
      </c>
      <c r="F707" s="5">
        <v>1.1058333333333331E-2</v>
      </c>
      <c r="G707" s="5">
        <v>1.0804166666666665E-2</v>
      </c>
      <c r="H707" s="1366">
        <v>1.1822833333333333E-2</v>
      </c>
      <c r="I707" s="1366">
        <f t="shared" si="30"/>
        <v>-9.1999999999999998E-3</v>
      </c>
      <c r="J707" s="1366">
        <f t="shared" si="31"/>
        <v>-1.0604166666666665E-2</v>
      </c>
      <c r="K707" s="1366">
        <f t="shared" si="32"/>
        <v>3.1977166666666675E-2</v>
      </c>
    </row>
    <row r="708" spans="1:11" x14ac:dyDescent="0.55000000000000004">
      <c r="A708" s="295">
        <v>30956</v>
      </c>
      <c r="B708" s="1368">
        <v>3.8999999999999998E-3</v>
      </c>
      <c r="C708" s="1366">
        <v>2.7199999999999998E-2</v>
      </c>
      <c r="D708" s="1366">
        <v>1.0800000000000001E-2</v>
      </c>
      <c r="E708" s="1366">
        <v>1.0525E-2</v>
      </c>
      <c r="F708" s="5">
        <v>1.0925000000000001E-2</v>
      </c>
      <c r="G708" s="5">
        <v>1.0725E-2</v>
      </c>
      <c r="H708" s="1366">
        <v>1.1524666666666666E-2</v>
      </c>
      <c r="I708" s="1366">
        <f t="shared" ref="I708:I771" si="33">B708-D708</f>
        <v>-6.9000000000000008E-3</v>
      </c>
      <c r="J708" s="1366">
        <f t="shared" si="31"/>
        <v>-6.8250000000000003E-3</v>
      </c>
      <c r="K708" s="1366">
        <f t="shared" si="32"/>
        <v>1.5675333333333333E-2</v>
      </c>
    </row>
    <row r="709" spans="1:11" x14ac:dyDescent="0.55000000000000004">
      <c r="A709" s="295">
        <v>30987</v>
      </c>
      <c r="B709" s="1368">
        <v>-1.12E-2</v>
      </c>
      <c r="C709" s="1366">
        <v>2.7000000000000003E-2</v>
      </c>
      <c r="D709" s="1366">
        <v>9.1000000000000004E-3</v>
      </c>
      <c r="E709" s="1366">
        <v>1.0241666666666666E-2</v>
      </c>
      <c r="F709" s="5">
        <v>1.0549999999999999E-2</v>
      </c>
      <c r="G709" s="5">
        <v>1.0395833333333333E-2</v>
      </c>
      <c r="H709" s="1366">
        <v>1.1038916666666667E-2</v>
      </c>
      <c r="I709" s="1366">
        <f t="shared" si="33"/>
        <v>-2.0299999999999999E-2</v>
      </c>
      <c r="J709" s="1366">
        <f t="shared" si="31"/>
        <v>-2.1595833333333335E-2</v>
      </c>
      <c r="K709" s="1366">
        <f t="shared" si="32"/>
        <v>1.5961083333333334E-2</v>
      </c>
    </row>
    <row r="710" spans="1:11" x14ac:dyDescent="0.55000000000000004">
      <c r="A710" s="295">
        <v>31017</v>
      </c>
      <c r="B710" s="1368">
        <v>2.63E-2</v>
      </c>
      <c r="C710" s="1366">
        <v>3.1599999999999996E-2</v>
      </c>
      <c r="D710" s="1366">
        <v>9.7999999999999997E-3</v>
      </c>
      <c r="E710" s="1366">
        <v>1.0108333333333335E-2</v>
      </c>
      <c r="F710" s="5">
        <v>1.0416666666666668E-2</v>
      </c>
      <c r="G710" s="5">
        <v>1.0262500000000001E-2</v>
      </c>
      <c r="H710" s="1366">
        <v>1.0891249999999998E-2</v>
      </c>
      <c r="I710" s="1366">
        <f t="shared" si="33"/>
        <v>1.6500000000000001E-2</v>
      </c>
      <c r="J710" s="1366">
        <f t="shared" si="31"/>
        <v>1.60375E-2</v>
      </c>
      <c r="K710" s="1366">
        <f t="shared" si="32"/>
        <v>2.0708749999999998E-2</v>
      </c>
    </row>
    <row r="711" spans="1:11" x14ac:dyDescent="0.55000000000000004">
      <c r="A711" s="295">
        <v>31048</v>
      </c>
      <c r="B711" s="1368">
        <v>7.7899999999999997E-2</v>
      </c>
      <c r="C711" s="1366">
        <v>2.35E-2</v>
      </c>
      <c r="D711" s="1366">
        <v>9.5999999999999992E-3</v>
      </c>
      <c r="E711" s="1366">
        <v>1.0066666666666666E-2</v>
      </c>
      <c r="F711" s="5">
        <v>1.0358333333333334E-2</v>
      </c>
      <c r="G711" s="5">
        <v>1.0212499999999999E-2</v>
      </c>
      <c r="H711" s="1366">
        <v>1.0821583333333334E-2</v>
      </c>
      <c r="I711" s="1366">
        <f t="shared" si="33"/>
        <v>6.83E-2</v>
      </c>
      <c r="J711" s="1366">
        <f t="shared" si="31"/>
        <v>6.7687499999999998E-2</v>
      </c>
      <c r="K711" s="1366">
        <f t="shared" si="32"/>
        <v>1.2678416666666666E-2</v>
      </c>
    </row>
    <row r="712" spans="1:11" x14ac:dyDescent="0.55000000000000004">
      <c r="A712" s="295">
        <v>31079</v>
      </c>
      <c r="B712" s="1368">
        <v>1.2200000000000001E-2</v>
      </c>
      <c r="C712" s="1366">
        <v>1.9300000000000001E-2</v>
      </c>
      <c r="D712" s="1366">
        <v>8.2000000000000007E-3</v>
      </c>
      <c r="E712" s="1366">
        <v>1.0108333333333335E-2</v>
      </c>
      <c r="F712" s="5">
        <v>1.0408333333333332E-2</v>
      </c>
      <c r="G712" s="5">
        <v>1.0258333333333335E-2</v>
      </c>
      <c r="H712" s="1366">
        <v>1.0861833333333333E-2</v>
      </c>
      <c r="I712" s="1366">
        <f t="shared" si="33"/>
        <v>4.0000000000000001E-3</v>
      </c>
      <c r="J712" s="1366">
        <f t="shared" si="31"/>
        <v>1.9416666666666662E-3</v>
      </c>
      <c r="K712" s="1366">
        <f t="shared" si="32"/>
        <v>8.4381666666666685E-3</v>
      </c>
    </row>
    <row r="713" spans="1:11" x14ac:dyDescent="0.55000000000000004">
      <c r="A713" s="295">
        <v>31107</v>
      </c>
      <c r="B713" s="1368">
        <v>6.9999999999999999E-4</v>
      </c>
      <c r="C713" s="1366">
        <v>3.6200000000000003E-2</v>
      </c>
      <c r="D713" s="1366">
        <v>9.4000000000000004E-3</v>
      </c>
      <c r="E713" s="1366">
        <v>1.0466666666666666E-2</v>
      </c>
      <c r="F713" s="5">
        <v>1.0758333333333335E-2</v>
      </c>
      <c r="G713" s="5">
        <v>1.06125E-2</v>
      </c>
      <c r="H713" s="1366">
        <v>1.1501166666666666E-2</v>
      </c>
      <c r="I713" s="1366">
        <f t="shared" si="33"/>
        <v>-8.7000000000000011E-3</v>
      </c>
      <c r="J713" s="1366">
        <f t="shared" si="31"/>
        <v>-9.9125000000000012E-3</v>
      </c>
      <c r="K713" s="1366">
        <f t="shared" si="32"/>
        <v>2.4698833333333337E-2</v>
      </c>
    </row>
    <row r="714" spans="1:11" x14ac:dyDescent="0.55000000000000004">
      <c r="A714" s="295">
        <v>31138</v>
      </c>
      <c r="B714" s="1368">
        <v>-8.9999999999999998E-4</v>
      </c>
      <c r="C714" s="1366">
        <v>2.07E-2</v>
      </c>
      <c r="D714" s="1366">
        <v>1.0200000000000001E-2</v>
      </c>
      <c r="E714" s="1366">
        <v>1.0191666666666668E-2</v>
      </c>
      <c r="F714" s="5">
        <v>1.0574999999999999E-2</v>
      </c>
      <c r="G714" s="5">
        <v>1.0383333333333333E-2</v>
      </c>
      <c r="H714" s="1366">
        <v>1.1322250000000001E-2</v>
      </c>
      <c r="I714" s="1366">
        <f t="shared" si="33"/>
        <v>-1.11E-2</v>
      </c>
      <c r="J714" s="1366">
        <f t="shared" si="31"/>
        <v>-1.1283333333333333E-2</v>
      </c>
      <c r="K714" s="1366">
        <f t="shared" si="32"/>
        <v>9.3777499999999989E-3</v>
      </c>
    </row>
    <row r="715" spans="1:11" x14ac:dyDescent="0.55000000000000004">
      <c r="A715" s="295">
        <v>31168</v>
      </c>
      <c r="B715" s="1368">
        <v>5.7799999999999997E-2</v>
      </c>
      <c r="C715" s="1366">
        <v>6.0600000000000008E-2</v>
      </c>
      <c r="D715" s="1366">
        <v>9.7000000000000003E-3</v>
      </c>
      <c r="E715" s="1366">
        <v>9.7666666666666666E-3</v>
      </c>
      <c r="F715" s="5">
        <v>1.0250000000000002E-2</v>
      </c>
      <c r="G715" s="5">
        <v>1.0008333333333334E-2</v>
      </c>
      <c r="H715" s="1366">
        <v>1.0978416666666666E-2</v>
      </c>
      <c r="I715" s="1366">
        <f t="shared" si="33"/>
        <v>4.8099999999999997E-2</v>
      </c>
      <c r="J715" s="1366">
        <f t="shared" si="31"/>
        <v>4.7791666666666663E-2</v>
      </c>
      <c r="K715" s="1366">
        <f t="shared" si="32"/>
        <v>4.9621583333333344E-2</v>
      </c>
    </row>
    <row r="716" spans="1:11" x14ac:dyDescent="0.55000000000000004">
      <c r="A716" s="295">
        <v>31199</v>
      </c>
      <c r="B716" s="1368">
        <v>1.5699999999999999E-2</v>
      </c>
      <c r="C716" s="1366">
        <v>2.7900000000000001E-2</v>
      </c>
      <c r="D716" s="1366">
        <v>8.0000000000000002E-3</v>
      </c>
      <c r="E716" s="1366">
        <v>9.116666666666667E-3</v>
      </c>
      <c r="F716" s="5">
        <v>9.5500000000000012E-3</v>
      </c>
      <c r="G716" s="5">
        <v>9.3333333333333341E-3</v>
      </c>
      <c r="H716" s="1366">
        <v>1.0119583333333333E-2</v>
      </c>
      <c r="I716" s="1366">
        <f t="shared" si="33"/>
        <v>7.6999999999999985E-3</v>
      </c>
      <c r="J716" s="1366">
        <f t="shared" si="31"/>
        <v>6.3666666666666646E-3</v>
      </c>
      <c r="K716" s="1366">
        <f t="shared" si="32"/>
        <v>1.7780416666666667E-2</v>
      </c>
    </row>
    <row r="717" spans="1:11" x14ac:dyDescent="0.55000000000000004">
      <c r="A717" s="295">
        <v>31229</v>
      </c>
      <c r="B717" s="1368">
        <v>-1.5E-3</v>
      </c>
      <c r="C717" s="1366">
        <v>-4.2700000000000002E-2</v>
      </c>
      <c r="D717" s="1366">
        <v>9.4000000000000004E-3</v>
      </c>
      <c r="E717" s="1366">
        <v>9.141666666666666E-3</v>
      </c>
      <c r="F717" s="5">
        <v>9.5166666666666663E-3</v>
      </c>
      <c r="G717" s="5">
        <v>9.3291666666666662E-3</v>
      </c>
      <c r="H717" s="1366">
        <v>1.0053750000000002E-2</v>
      </c>
      <c r="I717" s="1366">
        <f t="shared" si="33"/>
        <v>-1.09E-2</v>
      </c>
      <c r="J717" s="1366">
        <f t="shared" si="31"/>
        <v>-1.0829166666666666E-2</v>
      </c>
      <c r="K717" s="1366">
        <f t="shared" si="32"/>
        <v>-5.2753750000000002E-2</v>
      </c>
    </row>
    <row r="718" spans="1:11" x14ac:dyDescent="0.55000000000000004">
      <c r="A718" s="295">
        <v>31260</v>
      </c>
      <c r="B718" s="1368">
        <v>-8.5000000000000006E-3</v>
      </c>
      <c r="C718" s="1366">
        <v>1.8099999999999998E-2</v>
      </c>
      <c r="D718" s="1366">
        <v>8.5000000000000006E-3</v>
      </c>
      <c r="E718" s="1366">
        <v>9.208333333333334E-3</v>
      </c>
      <c r="F718" s="5">
        <v>9.5583333333333336E-3</v>
      </c>
      <c r="G718" s="5">
        <v>9.3833333333333338E-3</v>
      </c>
      <c r="H718" s="1366">
        <v>1.0114416666666666E-2</v>
      </c>
      <c r="I718" s="1366">
        <f t="shared" si="33"/>
        <v>-1.7000000000000001E-2</v>
      </c>
      <c r="J718" s="1366">
        <f t="shared" si="31"/>
        <v>-1.7883333333333334E-2</v>
      </c>
      <c r="K718" s="1366">
        <f t="shared" si="32"/>
        <v>7.9855833333333324E-3</v>
      </c>
    </row>
    <row r="719" spans="1:11" x14ac:dyDescent="0.55000000000000004">
      <c r="A719" s="295">
        <v>31291</v>
      </c>
      <c r="B719" s="1368">
        <v>-3.1300000000000001E-2</v>
      </c>
      <c r="C719" s="1366">
        <v>-5.21E-2</v>
      </c>
      <c r="D719" s="1366">
        <v>8.8000000000000005E-3</v>
      </c>
      <c r="E719" s="1366">
        <v>9.2250000000000006E-3</v>
      </c>
      <c r="F719" s="5">
        <v>9.5500000000000012E-3</v>
      </c>
      <c r="G719" s="5">
        <v>9.3875E-3</v>
      </c>
      <c r="H719" s="1366">
        <v>1.0110083333333332E-2</v>
      </c>
      <c r="I719" s="1366">
        <f t="shared" si="33"/>
        <v>-4.0100000000000004E-2</v>
      </c>
      <c r="J719" s="1366">
        <f t="shared" si="31"/>
        <v>-4.0687500000000001E-2</v>
      </c>
      <c r="K719" s="1366">
        <f t="shared" si="32"/>
        <v>-6.2210083333333333E-2</v>
      </c>
    </row>
    <row r="720" spans="1:11" x14ac:dyDescent="0.55000000000000004">
      <c r="A720" s="295">
        <v>31321</v>
      </c>
      <c r="B720" s="1368">
        <v>4.6199999999999998E-2</v>
      </c>
      <c r="C720" s="1366">
        <v>6.3799999999999996E-2</v>
      </c>
      <c r="D720" s="1366">
        <v>8.8999999999999999E-3</v>
      </c>
      <c r="E720" s="1366">
        <v>9.1833333333333333E-3</v>
      </c>
      <c r="F720" s="5">
        <v>9.5416666666666653E-3</v>
      </c>
      <c r="G720" s="5">
        <v>9.362500000000001E-3</v>
      </c>
      <c r="H720" s="1366">
        <v>1.0011583333333334E-2</v>
      </c>
      <c r="I720" s="1366">
        <f t="shared" si="33"/>
        <v>3.73E-2</v>
      </c>
      <c r="J720" s="1366">
        <f t="shared" si="31"/>
        <v>3.6837499999999995E-2</v>
      </c>
      <c r="K720" s="1366">
        <f t="shared" si="32"/>
        <v>5.3788416666666658E-2</v>
      </c>
    </row>
    <row r="721" spans="1:11" x14ac:dyDescent="0.55000000000000004">
      <c r="A721" s="295">
        <v>31352</v>
      </c>
      <c r="B721" s="1368">
        <v>6.8599999999999994E-2</v>
      </c>
      <c r="C721" s="1366">
        <v>5.2200000000000003E-2</v>
      </c>
      <c r="D721" s="1366">
        <v>8.0999999999999996E-3</v>
      </c>
      <c r="E721" s="1366">
        <v>8.7916666666666681E-3</v>
      </c>
      <c r="F721" s="5">
        <v>9.2250000000000006E-3</v>
      </c>
      <c r="G721" s="5">
        <v>9.0083333333333335E-3</v>
      </c>
      <c r="H721" s="1366">
        <v>9.5949999999999994E-3</v>
      </c>
      <c r="I721" s="1366">
        <f t="shared" si="33"/>
        <v>6.0499999999999998E-2</v>
      </c>
      <c r="J721" s="1366">
        <f t="shared" si="31"/>
        <v>5.9591666666666661E-2</v>
      </c>
      <c r="K721" s="1366">
        <f t="shared" si="32"/>
        <v>4.2605000000000004E-2</v>
      </c>
    </row>
    <row r="722" spans="1:11" x14ac:dyDescent="0.55000000000000004">
      <c r="A722" s="295">
        <v>31382</v>
      </c>
      <c r="B722" s="1368">
        <v>4.8399999999999999E-2</v>
      </c>
      <c r="C722" s="1366">
        <v>6.9400000000000003E-2</v>
      </c>
      <c r="D722" s="1366">
        <v>8.6E-3</v>
      </c>
      <c r="E722" s="1366">
        <v>8.4666666666666675E-3</v>
      </c>
      <c r="F722" s="5">
        <v>8.8583333333333344E-3</v>
      </c>
      <c r="G722" s="5">
        <v>8.6625000000000001E-3</v>
      </c>
      <c r="H722" s="1366">
        <v>9.173333333333332E-3</v>
      </c>
      <c r="I722" s="1366">
        <f t="shared" si="33"/>
        <v>3.9800000000000002E-2</v>
      </c>
      <c r="J722" s="1366">
        <f t="shared" si="31"/>
        <v>3.9737499999999995E-2</v>
      </c>
      <c r="K722" s="1366">
        <f t="shared" si="32"/>
        <v>6.0226666666666671E-2</v>
      </c>
    </row>
    <row r="723" spans="1:11" x14ac:dyDescent="0.55000000000000004">
      <c r="A723" s="295">
        <v>31413</v>
      </c>
      <c r="B723" s="1368">
        <v>5.5999999999999999E-3</v>
      </c>
      <c r="C723" s="1366">
        <v>2.9300000000000003E-2</v>
      </c>
      <c r="D723" s="1366">
        <v>7.9000000000000008E-3</v>
      </c>
      <c r="E723" s="1366">
        <v>8.3750000000000005E-3</v>
      </c>
      <c r="F723" s="5">
        <v>8.7166666666666677E-3</v>
      </c>
      <c r="G723" s="5">
        <v>8.5458333333333341E-3</v>
      </c>
      <c r="H723" s="1366">
        <v>8.9988333333333344E-3</v>
      </c>
      <c r="I723" s="1366">
        <f t="shared" si="33"/>
        <v>-2.3000000000000008E-3</v>
      </c>
      <c r="J723" s="1366">
        <f t="shared" si="31"/>
        <v>-2.9458333333333342E-3</v>
      </c>
      <c r="K723" s="1366">
        <f t="shared" si="32"/>
        <v>2.0301166666666669E-2</v>
      </c>
    </row>
    <row r="724" spans="1:11" x14ac:dyDescent="0.55000000000000004">
      <c r="A724" s="295">
        <v>31444</v>
      </c>
      <c r="B724" s="1368">
        <v>7.4700000000000003E-2</v>
      </c>
      <c r="C724" s="1366">
        <v>6.2300000000000001E-2</v>
      </c>
      <c r="D724" s="1366">
        <v>7.3000000000000001E-3</v>
      </c>
      <c r="E724" s="1366">
        <v>8.0583333333333323E-3</v>
      </c>
      <c r="F724" s="5">
        <v>8.4416666666666668E-3</v>
      </c>
      <c r="G724" s="5">
        <v>8.2500000000000004E-3</v>
      </c>
      <c r="H724" s="1366">
        <v>8.5969166666666659E-3</v>
      </c>
      <c r="I724" s="1366">
        <f t="shared" si="33"/>
        <v>6.7400000000000002E-2</v>
      </c>
      <c r="J724" s="1366">
        <f t="shared" si="31"/>
        <v>6.6450000000000009E-2</v>
      </c>
      <c r="K724" s="1366">
        <f t="shared" si="32"/>
        <v>5.3703083333333332E-2</v>
      </c>
    </row>
    <row r="725" spans="1:11" x14ac:dyDescent="0.55000000000000004">
      <c r="A725" s="295">
        <v>31472</v>
      </c>
      <c r="B725" s="1368">
        <v>5.5800000000000002E-2</v>
      </c>
      <c r="C725" s="1366">
        <v>5.1400000000000008E-2</v>
      </c>
      <c r="D725" s="1366">
        <v>7.1000000000000004E-3</v>
      </c>
      <c r="E725" s="1366">
        <v>7.4999999999999997E-3</v>
      </c>
      <c r="F725" s="5">
        <v>7.9083333333333332E-3</v>
      </c>
      <c r="G725" s="5">
        <v>7.7041666666666673E-3</v>
      </c>
      <c r="H725" s="1366">
        <v>7.9274999999999988E-3</v>
      </c>
      <c r="I725" s="1366">
        <f t="shared" si="33"/>
        <v>4.87E-2</v>
      </c>
      <c r="J725" s="1366">
        <f t="shared" si="31"/>
        <v>4.8095833333333338E-2</v>
      </c>
      <c r="K725" s="1366">
        <f t="shared" si="32"/>
        <v>4.3472500000000011E-2</v>
      </c>
    </row>
    <row r="726" spans="1:11" x14ac:dyDescent="0.55000000000000004">
      <c r="A726" s="295">
        <v>31503</v>
      </c>
      <c r="B726" s="1368">
        <v>-1.1299999999999999E-2</v>
      </c>
      <c r="C726" s="1366">
        <v>-3.3300000000000003E-2</v>
      </c>
      <c r="D726" s="1366">
        <v>6.3E-3</v>
      </c>
      <c r="E726" s="1366">
        <v>7.324999999999999E-3</v>
      </c>
      <c r="F726" s="5">
        <v>7.6750000000000004E-3</v>
      </c>
      <c r="G726" s="5">
        <v>7.4999999999999997E-3</v>
      </c>
      <c r="H726" s="1366">
        <v>7.609083333333334E-3</v>
      </c>
      <c r="I726" s="1366">
        <f t="shared" si="33"/>
        <v>-1.7599999999999998E-2</v>
      </c>
      <c r="J726" s="1366">
        <f t="shared" si="31"/>
        <v>-1.8799999999999997E-2</v>
      </c>
      <c r="K726" s="1366">
        <f t="shared" si="32"/>
        <v>-4.0909083333333339E-2</v>
      </c>
    </row>
    <row r="727" spans="1:11" x14ac:dyDescent="0.55000000000000004">
      <c r="A727" s="295">
        <v>31533</v>
      </c>
      <c r="B727" s="1368">
        <v>5.3199999999999997E-2</v>
      </c>
      <c r="C727" s="1366">
        <v>5.2500000000000012E-2</v>
      </c>
      <c r="D727" s="1366">
        <v>6.1999999999999998E-3</v>
      </c>
      <c r="E727" s="1366">
        <v>7.5749999999999993E-3</v>
      </c>
      <c r="F727" s="5">
        <v>7.8583333333333335E-3</v>
      </c>
      <c r="G727" s="5">
        <v>7.7166666666666659E-3</v>
      </c>
      <c r="H727" s="1366">
        <v>7.9722500000000002E-3</v>
      </c>
      <c r="I727" s="1366">
        <f t="shared" si="33"/>
        <v>4.7E-2</v>
      </c>
      <c r="J727" s="1366">
        <f t="shared" si="31"/>
        <v>4.5483333333333334E-2</v>
      </c>
      <c r="K727" s="1366">
        <f t="shared" si="32"/>
        <v>4.4527750000000012E-2</v>
      </c>
    </row>
    <row r="728" spans="1:11" x14ac:dyDescent="0.55000000000000004">
      <c r="A728" s="295">
        <v>31564</v>
      </c>
      <c r="B728" s="1368">
        <v>1.6899999999999998E-2</v>
      </c>
      <c r="C728" s="1366">
        <v>5.9699999999999996E-2</v>
      </c>
      <c r="D728" s="1366">
        <v>7.000000000000001E-3</v>
      </c>
      <c r="E728" s="1366">
        <v>7.6083333333333333E-3</v>
      </c>
      <c r="F728" s="5">
        <v>7.9083333333333332E-3</v>
      </c>
      <c r="G728" s="5">
        <v>7.7583333333333341E-3</v>
      </c>
      <c r="H728" s="1366">
        <v>8.0456666666666662E-3</v>
      </c>
      <c r="I728" s="1366">
        <f t="shared" si="33"/>
        <v>9.8999999999999973E-3</v>
      </c>
      <c r="J728" s="1366">
        <f t="shared" si="31"/>
        <v>9.1416666666666643E-3</v>
      </c>
      <c r="K728" s="1366">
        <f t="shared" si="32"/>
        <v>5.165433333333333E-2</v>
      </c>
    </row>
    <row r="729" spans="1:11" x14ac:dyDescent="0.55000000000000004">
      <c r="A729" s="295">
        <v>31594</v>
      </c>
      <c r="B729" s="1368">
        <v>-5.5899999999999998E-2</v>
      </c>
      <c r="C729" s="1366">
        <v>2.8300000000000002E-2</v>
      </c>
      <c r="D729" s="1366">
        <v>6.6E-3</v>
      </c>
      <c r="E729" s="1366">
        <v>7.4000000000000012E-3</v>
      </c>
      <c r="F729" s="5">
        <v>7.7333333333333334E-3</v>
      </c>
      <c r="G729" s="5">
        <v>7.5666666666666669E-3</v>
      </c>
      <c r="H729" s="1366">
        <v>7.7954166666666666E-3</v>
      </c>
      <c r="I729" s="1366">
        <f t="shared" si="33"/>
        <v>-6.25E-2</v>
      </c>
      <c r="J729" s="1366">
        <f t="shared" si="31"/>
        <v>-6.3466666666666671E-2</v>
      </c>
      <c r="K729" s="1366">
        <f t="shared" si="32"/>
        <v>2.0504583333333336E-2</v>
      </c>
    </row>
    <row r="730" spans="1:11" x14ac:dyDescent="0.55000000000000004">
      <c r="A730" s="295">
        <v>31625</v>
      </c>
      <c r="B730" s="1368">
        <v>7.4200000000000002E-2</v>
      </c>
      <c r="C730" s="1366">
        <v>8.8399999999999992E-2</v>
      </c>
      <c r="D730" s="1366">
        <v>6.3E-3</v>
      </c>
      <c r="E730" s="1366">
        <v>7.2666666666666669E-3</v>
      </c>
      <c r="F730" s="5">
        <v>7.6833333333333345E-3</v>
      </c>
      <c r="G730" s="5">
        <v>7.4750000000000007E-3</v>
      </c>
      <c r="H730" s="1366">
        <v>7.7555833333333322E-3</v>
      </c>
      <c r="I730" s="1366">
        <f t="shared" si="33"/>
        <v>6.7900000000000002E-2</v>
      </c>
      <c r="J730" s="1366">
        <f t="shared" si="31"/>
        <v>6.6725000000000007E-2</v>
      </c>
      <c r="K730" s="1366">
        <f t="shared" si="32"/>
        <v>8.0644416666666663E-2</v>
      </c>
    </row>
    <row r="731" spans="1:11" x14ac:dyDescent="0.55000000000000004">
      <c r="A731" s="295">
        <v>31656</v>
      </c>
      <c r="B731" s="1368">
        <v>-8.2699999999999996E-2</v>
      </c>
      <c r="C731" s="1366">
        <v>-0.11370000000000001</v>
      </c>
      <c r="D731" s="1366">
        <v>6.5000000000000006E-3</v>
      </c>
      <c r="E731" s="1366">
        <v>7.4083333333333336E-3</v>
      </c>
      <c r="F731" s="5">
        <v>7.7999999999999988E-3</v>
      </c>
      <c r="G731" s="5">
        <v>7.6041666666666662E-3</v>
      </c>
      <c r="H731" s="1366">
        <v>7.9194166666666666E-3</v>
      </c>
      <c r="I731" s="1366">
        <f t="shared" si="33"/>
        <v>-8.9200000000000002E-2</v>
      </c>
      <c r="J731" s="1366">
        <f t="shared" ref="J731:J794" si="34">B731-G731</f>
        <v>-9.0304166666666658E-2</v>
      </c>
      <c r="K731" s="1366">
        <f t="shared" ref="K731:K794" si="35">$C731-H731</f>
        <v>-0.12161941666666667</v>
      </c>
    </row>
    <row r="732" spans="1:11" x14ac:dyDescent="0.55000000000000004">
      <c r="A732" s="295">
        <v>31686</v>
      </c>
      <c r="B732" s="1368">
        <v>5.7700000000000001E-2</v>
      </c>
      <c r="C732" s="1366">
        <v>5.050000000000001E-2</v>
      </c>
      <c r="D732" s="1366">
        <v>6.8999999999999999E-3</v>
      </c>
      <c r="E732" s="1366">
        <v>7.3833333333333329E-3</v>
      </c>
      <c r="F732" s="5">
        <v>7.7749999999999998E-3</v>
      </c>
      <c r="G732" s="5">
        <v>7.5791666666666655E-3</v>
      </c>
      <c r="H732" s="1366">
        <v>7.9395000000000004E-3</v>
      </c>
      <c r="I732" s="1366">
        <f t="shared" si="33"/>
        <v>5.0799999999999998E-2</v>
      </c>
      <c r="J732" s="1366">
        <f t="shared" si="34"/>
        <v>5.0120833333333337E-2</v>
      </c>
      <c r="K732" s="1366">
        <f t="shared" si="35"/>
        <v>4.2560500000000008E-2</v>
      </c>
    </row>
    <row r="733" spans="1:11" x14ac:dyDescent="0.55000000000000004">
      <c r="A733" s="295">
        <v>31717</v>
      </c>
      <c r="B733" s="1368">
        <v>2.4299999999999999E-2</v>
      </c>
      <c r="C733" s="1366">
        <v>2.1099999999999997E-2</v>
      </c>
      <c r="D733" s="1366">
        <v>5.8999999999999999E-3</v>
      </c>
      <c r="E733" s="1366">
        <v>7.2333333333333329E-3</v>
      </c>
      <c r="F733" s="5">
        <v>7.6666666666666662E-3</v>
      </c>
      <c r="G733" s="5">
        <v>7.4499999999999992E-3</v>
      </c>
      <c r="H733" s="1366">
        <v>7.744749999999999E-3</v>
      </c>
      <c r="I733" s="1366">
        <f t="shared" si="33"/>
        <v>1.84E-2</v>
      </c>
      <c r="J733" s="1366">
        <f t="shared" si="34"/>
        <v>1.685E-2</v>
      </c>
      <c r="K733" s="1366">
        <f t="shared" si="35"/>
        <v>1.3355249999999999E-2</v>
      </c>
    </row>
    <row r="734" spans="1:11" x14ac:dyDescent="0.55000000000000004">
      <c r="A734" s="295">
        <v>31747</v>
      </c>
      <c r="B734" s="1368">
        <v>-2.5499999999999998E-2</v>
      </c>
      <c r="C734" s="1366">
        <v>-2.5399999999999999E-2</v>
      </c>
      <c r="D734" s="1366">
        <v>7.000000000000001E-3</v>
      </c>
      <c r="E734" s="1366">
        <v>7.0750000000000006E-3</v>
      </c>
      <c r="F734" s="5">
        <v>7.5166666666666663E-3</v>
      </c>
      <c r="G734" s="5">
        <v>7.2958333333333321E-3</v>
      </c>
      <c r="H734" s="1366">
        <v>7.5995833333333341E-3</v>
      </c>
      <c r="I734" s="1366">
        <f t="shared" si="33"/>
        <v>-3.2500000000000001E-2</v>
      </c>
      <c r="J734" s="1366">
        <f t="shared" si="34"/>
        <v>-3.279583333333333E-2</v>
      </c>
      <c r="K734" s="1366">
        <f t="shared" si="35"/>
        <v>-3.2999583333333332E-2</v>
      </c>
    </row>
    <row r="735" spans="1:11" x14ac:dyDescent="0.55000000000000004">
      <c r="A735" s="295">
        <v>31778</v>
      </c>
      <c r="B735" s="1368">
        <v>0.13469999999999999</v>
      </c>
      <c r="C735" s="1366">
        <v>9.8400000000000001E-2</v>
      </c>
      <c r="D735" s="1366">
        <v>6.4000000000000003E-3</v>
      </c>
      <c r="E735" s="1366">
        <v>6.9666666666666661E-3</v>
      </c>
      <c r="F735" s="5">
        <v>7.3833333333333329E-3</v>
      </c>
      <c r="G735" s="5">
        <v>7.175E-3</v>
      </c>
      <c r="H735" s="1366">
        <v>7.4537500000000003E-3</v>
      </c>
      <c r="I735" s="1366">
        <f t="shared" si="33"/>
        <v>0.1283</v>
      </c>
      <c r="J735" s="1366">
        <f t="shared" si="34"/>
        <v>0.127525</v>
      </c>
      <c r="K735" s="1366">
        <f t="shared" si="35"/>
        <v>9.0946250000000006E-2</v>
      </c>
    </row>
    <row r="736" spans="1:11" x14ac:dyDescent="0.55000000000000004">
      <c r="A736" s="295">
        <v>31809</v>
      </c>
      <c r="B736" s="1368">
        <v>3.95E-2</v>
      </c>
      <c r="C736" s="1366">
        <v>-3.0100000000000002E-2</v>
      </c>
      <c r="D736" s="1366">
        <v>5.8999999999999999E-3</v>
      </c>
      <c r="E736" s="1366">
        <v>6.9833333333333336E-3</v>
      </c>
      <c r="F736" s="5">
        <v>7.4000000000000012E-3</v>
      </c>
      <c r="G736" s="5">
        <v>7.1916666666666674E-3</v>
      </c>
      <c r="H736" s="1366">
        <v>7.5030833333333338E-3</v>
      </c>
      <c r="I736" s="1366">
        <f t="shared" si="33"/>
        <v>3.3599999999999998E-2</v>
      </c>
      <c r="J736" s="1366">
        <f t="shared" si="34"/>
        <v>3.2308333333333335E-2</v>
      </c>
      <c r="K736" s="1366">
        <f t="shared" si="35"/>
        <v>-3.7603083333333336E-2</v>
      </c>
    </row>
    <row r="737" spans="1:11" x14ac:dyDescent="0.55000000000000004">
      <c r="A737" s="295">
        <v>31837</v>
      </c>
      <c r="B737" s="1368">
        <v>2.8899999999999999E-2</v>
      </c>
      <c r="C737" s="1366">
        <v>-1.89E-2</v>
      </c>
      <c r="D737" s="1366">
        <v>6.6E-3</v>
      </c>
      <c r="E737" s="1366">
        <v>6.9666666666666661E-3</v>
      </c>
      <c r="F737" s="5">
        <v>7.3666666666666672E-3</v>
      </c>
      <c r="G737" s="5">
        <v>7.1666666666666667E-3</v>
      </c>
      <c r="H737" s="1366">
        <v>7.4409166666666669E-3</v>
      </c>
      <c r="I737" s="1366">
        <f t="shared" si="33"/>
        <v>2.23E-2</v>
      </c>
      <c r="J737" s="1366">
        <f t="shared" si="34"/>
        <v>2.1733333333333334E-2</v>
      </c>
      <c r="K737" s="1366">
        <f t="shared" si="35"/>
        <v>-2.6340916666666665E-2</v>
      </c>
    </row>
    <row r="738" spans="1:11" x14ac:dyDescent="0.55000000000000004">
      <c r="A738" s="295">
        <v>31868</v>
      </c>
      <c r="B738" s="1368">
        <v>-8.8999999999999999E-3</v>
      </c>
      <c r="C738" s="1366">
        <v>-4.1399999999999999E-2</v>
      </c>
      <c r="D738" s="1366">
        <v>6.5000000000000006E-3</v>
      </c>
      <c r="E738" s="1366">
        <v>7.3749999999999996E-3</v>
      </c>
      <c r="F738" s="5">
        <v>7.6250000000000007E-3</v>
      </c>
      <c r="G738" s="5">
        <v>7.4999999999999997E-3</v>
      </c>
      <c r="H738" s="1366">
        <v>7.7940833333333334E-3</v>
      </c>
      <c r="I738" s="1366">
        <f t="shared" si="33"/>
        <v>-1.54E-2</v>
      </c>
      <c r="J738" s="1366">
        <f t="shared" si="34"/>
        <v>-1.6399999999999998E-2</v>
      </c>
      <c r="K738" s="1366">
        <f t="shared" si="35"/>
        <v>-4.9194083333333333E-2</v>
      </c>
    </row>
    <row r="739" spans="1:11" x14ac:dyDescent="0.55000000000000004">
      <c r="A739" s="295">
        <v>31898</v>
      </c>
      <c r="B739" s="1368">
        <v>8.6999999999999994E-3</v>
      </c>
      <c r="C739" s="1366">
        <v>-6.4000000000000003E-3</v>
      </c>
      <c r="D739" s="1366">
        <v>6.6E-3</v>
      </c>
      <c r="E739" s="1366">
        <v>7.7749999999999998E-3</v>
      </c>
      <c r="F739" s="5">
        <v>7.9916666666666678E-3</v>
      </c>
      <c r="G739" s="5">
        <v>7.8833333333333325E-3</v>
      </c>
      <c r="H739" s="1366">
        <v>8.2208333333333335E-3</v>
      </c>
      <c r="I739" s="1366">
        <f t="shared" si="33"/>
        <v>2.0999999999999994E-3</v>
      </c>
      <c r="J739" s="1366">
        <f t="shared" si="34"/>
        <v>8.1666666666666693E-4</v>
      </c>
      <c r="K739" s="1366">
        <f t="shared" si="35"/>
        <v>-1.4620833333333333E-2</v>
      </c>
    </row>
    <row r="740" spans="1:11" x14ac:dyDescent="0.55000000000000004">
      <c r="A740" s="295">
        <v>31929</v>
      </c>
      <c r="B740" s="1368">
        <v>5.0500000000000003E-2</v>
      </c>
      <c r="C740" s="1366">
        <v>4.3899999999999995E-2</v>
      </c>
      <c r="D740" s="1366">
        <v>7.4999999999999997E-3</v>
      </c>
      <c r="E740" s="1366">
        <v>7.7666666666666674E-3</v>
      </c>
      <c r="F740" s="5">
        <v>8.0416666666666674E-3</v>
      </c>
      <c r="G740" s="5">
        <v>7.904166666666667E-3</v>
      </c>
      <c r="H740" s="1366">
        <v>8.3485E-3</v>
      </c>
      <c r="I740" s="1366">
        <f t="shared" si="33"/>
        <v>4.3000000000000003E-2</v>
      </c>
      <c r="J740" s="1366">
        <f t="shared" si="34"/>
        <v>4.2595833333333333E-2</v>
      </c>
      <c r="K740" s="1366">
        <f t="shared" si="35"/>
        <v>3.5551499999999993E-2</v>
      </c>
    </row>
    <row r="741" spans="1:11" x14ac:dyDescent="0.55000000000000004">
      <c r="A741" s="295">
        <v>31959</v>
      </c>
      <c r="B741" s="1368">
        <v>5.0700000000000002E-2</v>
      </c>
      <c r="C741" s="1366">
        <v>-2.5000000000000005E-3</v>
      </c>
      <c r="D741" s="1366">
        <v>7.3000000000000001E-3</v>
      </c>
      <c r="E741" s="1366">
        <v>7.8500000000000011E-3</v>
      </c>
      <c r="F741" s="5">
        <v>8.0416666666666674E-3</v>
      </c>
      <c r="G741" s="5">
        <v>7.9458333333333343E-3</v>
      </c>
      <c r="H741" s="1366">
        <v>8.445833333333333E-3</v>
      </c>
      <c r="I741" s="1366">
        <f t="shared" si="33"/>
        <v>4.3400000000000001E-2</v>
      </c>
      <c r="J741" s="1366">
        <f t="shared" si="34"/>
        <v>4.2754166666666669E-2</v>
      </c>
      <c r="K741" s="1366">
        <f t="shared" si="35"/>
        <v>-1.0945833333333333E-2</v>
      </c>
    </row>
    <row r="742" spans="1:11" x14ac:dyDescent="0.55000000000000004">
      <c r="A742" s="295">
        <v>31990</v>
      </c>
      <c r="B742" s="1368">
        <v>3.73E-2</v>
      </c>
      <c r="C742" s="1366">
        <v>5.2699999999999997E-2</v>
      </c>
      <c r="D742" s="1366">
        <v>7.4999999999999997E-3</v>
      </c>
      <c r="E742" s="1366">
        <v>8.0583333333333323E-3</v>
      </c>
      <c r="F742" s="5">
        <v>8.2166666666666673E-3</v>
      </c>
      <c r="G742" s="5">
        <v>8.1374999999999989E-3</v>
      </c>
      <c r="H742" s="1366">
        <v>8.7027500000000004E-3</v>
      </c>
      <c r="I742" s="1366">
        <f t="shared" si="33"/>
        <v>2.98E-2</v>
      </c>
      <c r="J742" s="1366">
        <f t="shared" si="34"/>
        <v>2.9162500000000001E-2</v>
      </c>
      <c r="K742" s="1366">
        <f t="shared" si="35"/>
        <v>4.3997249999999995E-2</v>
      </c>
    </row>
    <row r="743" spans="1:11" x14ac:dyDescent="0.55000000000000004">
      <c r="A743" s="295">
        <v>32021</v>
      </c>
      <c r="B743" s="1368">
        <v>-2.1899999999999999E-2</v>
      </c>
      <c r="C743" s="1366">
        <v>2.0999999999999999E-3</v>
      </c>
      <c r="D743" s="1366">
        <v>7.4999999999999997E-3</v>
      </c>
      <c r="E743" s="1366">
        <v>8.4833333333333323E-3</v>
      </c>
      <c r="F743" s="5">
        <v>8.624999999999999E-3</v>
      </c>
      <c r="G743" s="5">
        <v>8.5541666666666665E-3</v>
      </c>
      <c r="H743" s="1366">
        <v>9.3135000000000006E-3</v>
      </c>
      <c r="I743" s="1366">
        <f t="shared" si="33"/>
        <v>-2.9399999999999999E-2</v>
      </c>
      <c r="J743" s="1366">
        <f t="shared" si="34"/>
        <v>-3.0454166666666664E-2</v>
      </c>
      <c r="K743" s="1366">
        <f t="shared" si="35"/>
        <v>-7.2135000000000012E-3</v>
      </c>
    </row>
    <row r="744" spans="1:11" x14ac:dyDescent="0.55000000000000004">
      <c r="A744" s="295">
        <v>32051</v>
      </c>
      <c r="B744" s="1368">
        <v>-0.21540000000000001</v>
      </c>
      <c r="C744" s="1366">
        <v>-7.0500000000000007E-2</v>
      </c>
      <c r="D744" s="1366">
        <v>7.9000000000000008E-3</v>
      </c>
      <c r="E744" s="1366">
        <v>8.7666666666666657E-3</v>
      </c>
      <c r="F744" s="5">
        <v>8.9499999999999996E-3</v>
      </c>
      <c r="G744" s="5">
        <v>8.8583333333333326E-3</v>
      </c>
      <c r="H744" s="1366">
        <v>9.4654999999999982E-3</v>
      </c>
      <c r="I744" s="1366">
        <f t="shared" si="33"/>
        <v>-0.2233</v>
      </c>
      <c r="J744" s="1366">
        <f t="shared" si="34"/>
        <v>-0.22425833333333334</v>
      </c>
      <c r="K744" s="1366">
        <f t="shared" si="35"/>
        <v>-7.9965500000000009E-2</v>
      </c>
    </row>
    <row r="745" spans="1:11" x14ac:dyDescent="0.55000000000000004">
      <c r="A745" s="295">
        <v>32082</v>
      </c>
      <c r="B745" s="1368">
        <v>-8.2400000000000001E-2</v>
      </c>
      <c r="C745" s="1366">
        <v>-5.5499999999999987E-2</v>
      </c>
      <c r="D745" s="1366">
        <v>7.4999999999999997E-3</v>
      </c>
      <c r="E745" s="1366">
        <v>8.3416666666666656E-3</v>
      </c>
      <c r="F745" s="5">
        <v>8.5583333333333327E-3</v>
      </c>
      <c r="G745" s="5">
        <v>8.4499999999999992E-3</v>
      </c>
      <c r="H745" s="1366">
        <v>9.0204166666666679E-3</v>
      </c>
      <c r="I745" s="1366">
        <f t="shared" si="33"/>
        <v>-8.9900000000000008E-2</v>
      </c>
      <c r="J745" s="1366">
        <f t="shared" si="34"/>
        <v>-9.085E-2</v>
      </c>
      <c r="K745" s="1366">
        <f t="shared" si="35"/>
        <v>-6.452041666666665E-2</v>
      </c>
    </row>
    <row r="746" spans="1:11" x14ac:dyDescent="0.55000000000000004">
      <c r="A746" s="295">
        <v>32112</v>
      </c>
      <c r="B746" s="1368">
        <v>7.6100000000000001E-2</v>
      </c>
      <c r="C746" s="1366">
        <v>1.0800000000000001E-2</v>
      </c>
      <c r="D746" s="1366">
        <v>7.7999999999999988E-3</v>
      </c>
      <c r="E746" s="1366">
        <v>8.4249999999999985E-3</v>
      </c>
      <c r="F746" s="5">
        <v>8.6083333333333342E-3</v>
      </c>
      <c r="G746" s="5">
        <v>8.5166666666666654E-3</v>
      </c>
      <c r="H746" s="1366">
        <v>9.1140000000000006E-3</v>
      </c>
      <c r="I746" s="1366">
        <f t="shared" si="33"/>
        <v>6.83E-2</v>
      </c>
      <c r="J746" s="1366">
        <f t="shared" si="34"/>
        <v>6.7583333333333329E-2</v>
      </c>
      <c r="K746" s="1366">
        <f t="shared" si="35"/>
        <v>1.686E-3</v>
      </c>
    </row>
    <row r="747" spans="1:11" x14ac:dyDescent="0.55000000000000004">
      <c r="A747" s="295">
        <v>32143</v>
      </c>
      <c r="B747" s="1368">
        <v>4.2099999999999999E-2</v>
      </c>
      <c r="C747" s="1366">
        <v>0.1153</v>
      </c>
      <c r="D747" s="1366">
        <v>7.1999999999999998E-3</v>
      </c>
      <c r="E747" s="1366">
        <v>8.2333333333333338E-3</v>
      </c>
      <c r="F747" s="5">
        <v>8.4083333333333336E-3</v>
      </c>
      <c r="G747" s="5">
        <v>8.3208333333333329E-3</v>
      </c>
      <c r="H747" s="1366">
        <v>8.9983333333333339E-3</v>
      </c>
      <c r="I747" s="1366">
        <f t="shared" si="33"/>
        <v>3.49E-2</v>
      </c>
      <c r="J747" s="1366">
        <f t="shared" si="34"/>
        <v>3.3779166666666666E-2</v>
      </c>
      <c r="K747" s="1366">
        <f t="shared" si="35"/>
        <v>0.10630166666666667</v>
      </c>
    </row>
    <row r="748" spans="1:11" x14ac:dyDescent="0.55000000000000004">
      <c r="A748" s="295">
        <v>32174</v>
      </c>
      <c r="B748" s="1368">
        <v>4.6600000000000003E-2</v>
      </c>
      <c r="C748" s="1366">
        <v>-1.7500000000000002E-2</v>
      </c>
      <c r="D748" s="1366">
        <v>7.1000000000000004E-3</v>
      </c>
      <c r="E748" s="1366">
        <v>7.8333333333333328E-3</v>
      </c>
      <c r="F748" s="5">
        <v>8.0000000000000002E-3</v>
      </c>
      <c r="G748" s="5">
        <v>7.9166666666666656E-3</v>
      </c>
      <c r="H748" s="1366">
        <v>8.4295833333333341E-3</v>
      </c>
      <c r="I748" s="1366">
        <f t="shared" si="33"/>
        <v>3.95E-2</v>
      </c>
      <c r="J748" s="1366">
        <f t="shared" si="34"/>
        <v>3.8683333333333333E-2</v>
      </c>
      <c r="K748" s="1366">
        <f t="shared" si="35"/>
        <v>-2.5929583333333336E-2</v>
      </c>
    </row>
    <row r="749" spans="1:11" x14ac:dyDescent="0.55000000000000004">
      <c r="A749" s="295">
        <v>32203</v>
      </c>
      <c r="B749" s="1368">
        <v>-3.09E-2</v>
      </c>
      <c r="C749" s="1366">
        <v>-5.2699999999999997E-2</v>
      </c>
      <c r="D749" s="1366">
        <v>7.1999999999999998E-3</v>
      </c>
      <c r="E749" s="1366">
        <v>7.8250000000000004E-3</v>
      </c>
      <c r="F749" s="5">
        <v>7.9916666666666678E-3</v>
      </c>
      <c r="G749" s="5">
        <v>7.9083333333333332E-3</v>
      </c>
      <c r="H749" s="1366">
        <v>8.3956666666666676E-3</v>
      </c>
      <c r="I749" s="1366">
        <f t="shared" si="33"/>
        <v>-3.8100000000000002E-2</v>
      </c>
      <c r="J749" s="1366">
        <f t="shared" si="34"/>
        <v>-3.8808333333333334E-2</v>
      </c>
      <c r="K749" s="1366">
        <f t="shared" si="35"/>
        <v>-6.1095666666666666E-2</v>
      </c>
    </row>
    <row r="750" spans="1:11" x14ac:dyDescent="0.55000000000000004">
      <c r="A750" s="295">
        <v>32234</v>
      </c>
      <c r="B750" s="1368">
        <v>1.11E-2</v>
      </c>
      <c r="C750" s="1366">
        <v>1.9000000000000006E-3</v>
      </c>
      <c r="D750" s="1366">
        <v>7.000000000000001E-3</v>
      </c>
      <c r="E750" s="1366">
        <v>8.0583333333333323E-3</v>
      </c>
      <c r="F750" s="5">
        <v>8.2166666666666673E-3</v>
      </c>
      <c r="G750" s="5">
        <v>8.1374999999999989E-3</v>
      </c>
      <c r="H750" s="1366">
        <v>8.7683333333333328E-3</v>
      </c>
      <c r="I750" s="1366">
        <f t="shared" si="33"/>
        <v>4.0999999999999995E-3</v>
      </c>
      <c r="J750" s="1366">
        <f t="shared" si="34"/>
        <v>2.9625000000000016E-3</v>
      </c>
      <c r="K750" s="1366">
        <f t="shared" si="35"/>
        <v>-6.8683333333333322E-3</v>
      </c>
    </row>
    <row r="751" spans="1:11" x14ac:dyDescent="0.55000000000000004">
      <c r="A751" s="295">
        <v>32264</v>
      </c>
      <c r="B751" s="1368">
        <v>8.6E-3</v>
      </c>
      <c r="C751" s="1366">
        <v>4.5999999999999999E-2</v>
      </c>
      <c r="D751" s="1366">
        <v>7.7999999999999988E-3</v>
      </c>
      <c r="E751" s="1366">
        <v>8.2500000000000004E-3</v>
      </c>
      <c r="F751" s="5">
        <v>8.416666666666666E-3</v>
      </c>
      <c r="G751" s="5">
        <v>8.3333333333333332E-3</v>
      </c>
      <c r="H751" s="1366">
        <v>8.9932500000000012E-3</v>
      </c>
      <c r="I751" s="1366">
        <f t="shared" si="33"/>
        <v>8.0000000000000123E-4</v>
      </c>
      <c r="J751" s="1366">
        <f t="shared" si="34"/>
        <v>2.6666666666666679E-4</v>
      </c>
      <c r="K751" s="1366">
        <f t="shared" si="35"/>
        <v>3.7006749999999998E-2</v>
      </c>
    </row>
    <row r="752" spans="1:11" x14ac:dyDescent="0.55000000000000004">
      <c r="A752" s="295">
        <v>32295</v>
      </c>
      <c r="B752" s="1368">
        <v>4.5900000000000003E-2</v>
      </c>
      <c r="C752" s="1366">
        <v>3.15E-2</v>
      </c>
      <c r="D752" s="1366">
        <v>7.6E-3</v>
      </c>
      <c r="E752" s="1366">
        <v>8.2166666666666673E-3</v>
      </c>
      <c r="F752" s="5">
        <v>8.4416666666666668E-3</v>
      </c>
      <c r="G752" s="5">
        <v>8.329166666666667E-3</v>
      </c>
      <c r="H752" s="1366">
        <v>9.0045833333333332E-3</v>
      </c>
      <c r="I752" s="1366">
        <f t="shared" si="33"/>
        <v>3.8300000000000001E-2</v>
      </c>
      <c r="J752" s="1366">
        <f t="shared" si="34"/>
        <v>3.7570833333333338E-2</v>
      </c>
      <c r="K752" s="1366">
        <f t="shared" si="35"/>
        <v>2.2495416666666667E-2</v>
      </c>
    </row>
    <row r="753" spans="1:11" x14ac:dyDescent="0.55000000000000004">
      <c r="A753" s="295">
        <v>32325</v>
      </c>
      <c r="B753" s="1368">
        <v>-3.8E-3</v>
      </c>
      <c r="C753" s="1366">
        <v>1.6999999999999993E-3</v>
      </c>
      <c r="D753" s="1366">
        <v>7.1000000000000004E-3</v>
      </c>
      <c r="E753" s="1366">
        <v>8.3000000000000001E-3</v>
      </c>
      <c r="F753" s="5">
        <v>8.5500000000000003E-3</v>
      </c>
      <c r="G753" s="5">
        <v>8.4250000000000002E-3</v>
      </c>
      <c r="H753" s="1366">
        <v>9.1866666666666659E-3</v>
      </c>
      <c r="I753" s="1366">
        <f t="shared" si="33"/>
        <v>-1.09E-2</v>
      </c>
      <c r="J753" s="1366">
        <f t="shared" si="34"/>
        <v>-1.2225E-2</v>
      </c>
      <c r="K753" s="1366">
        <f t="shared" si="35"/>
        <v>-7.4866666666666666E-3</v>
      </c>
    </row>
    <row r="754" spans="1:11" x14ac:dyDescent="0.55000000000000004">
      <c r="A754" s="295">
        <v>32356</v>
      </c>
      <c r="B754" s="1368">
        <v>-3.39E-2</v>
      </c>
      <c r="C754" s="1366">
        <v>-1.37E-2</v>
      </c>
      <c r="D754" s="1366">
        <v>8.3000000000000001E-3</v>
      </c>
      <c r="E754" s="1366">
        <v>8.4249999999999985E-3</v>
      </c>
      <c r="F754" s="5">
        <v>8.6416666666666656E-3</v>
      </c>
      <c r="G754" s="5">
        <v>8.533333333333332E-3</v>
      </c>
      <c r="H754" s="1366">
        <v>9.3080000000000003E-3</v>
      </c>
      <c r="I754" s="1366">
        <f t="shared" si="33"/>
        <v>-4.2200000000000001E-2</v>
      </c>
      <c r="J754" s="1366">
        <f t="shared" si="34"/>
        <v>-4.243333333333333E-2</v>
      </c>
      <c r="K754" s="1366">
        <f t="shared" si="35"/>
        <v>-2.3008000000000001E-2</v>
      </c>
    </row>
    <row r="755" spans="1:11" x14ac:dyDescent="0.55000000000000004">
      <c r="A755" s="295">
        <v>32387</v>
      </c>
      <c r="B755" s="1368">
        <v>4.2599999999999999E-2</v>
      </c>
      <c r="C755" s="1366">
        <v>4.1299999999999996E-2</v>
      </c>
      <c r="D755" s="1366">
        <v>7.6E-3</v>
      </c>
      <c r="E755" s="1366">
        <v>8.1833333333333341E-3</v>
      </c>
      <c r="F755" s="5">
        <v>8.3833333333333329E-3</v>
      </c>
      <c r="G755" s="5">
        <v>8.2833333333333335E-3</v>
      </c>
      <c r="H755" s="1366">
        <v>8.8885000000000006E-3</v>
      </c>
      <c r="I755" s="1366">
        <f t="shared" si="33"/>
        <v>3.4999999999999996E-2</v>
      </c>
      <c r="J755" s="1366">
        <f t="shared" si="34"/>
        <v>3.4316666666666662E-2</v>
      </c>
      <c r="K755" s="1366">
        <f t="shared" si="35"/>
        <v>3.2411499999999996E-2</v>
      </c>
    </row>
    <row r="756" spans="1:11" x14ac:dyDescent="0.55000000000000004">
      <c r="A756" s="295">
        <v>32417</v>
      </c>
      <c r="B756" s="1368">
        <v>2.7799999999999998E-2</v>
      </c>
      <c r="C756" s="1366">
        <v>2.6199999999999998E-2</v>
      </c>
      <c r="D756" s="1366">
        <v>7.6E-3</v>
      </c>
      <c r="E756" s="1366">
        <v>7.9166666666666656E-3</v>
      </c>
      <c r="F756" s="5">
        <v>8.083333333333333E-3</v>
      </c>
      <c r="G756" s="5">
        <v>8.0000000000000002E-3</v>
      </c>
      <c r="H756" s="1366">
        <v>8.3178333333333351E-3</v>
      </c>
      <c r="I756" s="1366">
        <f t="shared" si="33"/>
        <v>2.0199999999999999E-2</v>
      </c>
      <c r="J756" s="1366">
        <f t="shared" si="34"/>
        <v>1.9799999999999998E-2</v>
      </c>
      <c r="K756" s="1366">
        <f t="shared" si="35"/>
        <v>1.7882166666666664E-2</v>
      </c>
    </row>
    <row r="757" spans="1:11" x14ac:dyDescent="0.55000000000000004">
      <c r="A757" s="295">
        <v>32448</v>
      </c>
      <c r="B757" s="1368">
        <v>-1.43E-2</v>
      </c>
      <c r="C757" s="1366">
        <v>-7.899999999999999E-3</v>
      </c>
      <c r="D757" s="1366">
        <v>7.000000000000001E-3</v>
      </c>
      <c r="E757" s="1366">
        <v>7.8750000000000001E-3</v>
      </c>
      <c r="F757" s="5">
        <v>8.1000000000000013E-3</v>
      </c>
      <c r="G757" s="5">
        <v>7.9875000000000015E-3</v>
      </c>
      <c r="H757" s="1366">
        <v>8.241666666666668E-3</v>
      </c>
      <c r="I757" s="1366">
        <f t="shared" si="33"/>
        <v>-2.1299999999999999E-2</v>
      </c>
      <c r="J757" s="1366">
        <f t="shared" si="34"/>
        <v>-2.2287500000000002E-2</v>
      </c>
      <c r="K757" s="1366">
        <f t="shared" si="35"/>
        <v>-1.6141666666666665E-2</v>
      </c>
    </row>
    <row r="758" spans="1:11" x14ac:dyDescent="0.55000000000000004">
      <c r="A758" s="295">
        <v>32478</v>
      </c>
      <c r="B758" s="1368">
        <v>1.7399999999999999E-2</v>
      </c>
      <c r="C758" s="1366">
        <v>6.3E-3</v>
      </c>
      <c r="D758" s="1366">
        <v>7.4999999999999997E-3</v>
      </c>
      <c r="E758" s="1366">
        <v>7.9749999999999995E-3</v>
      </c>
      <c r="F758" s="5">
        <v>8.175E-3</v>
      </c>
      <c r="G758" s="5">
        <v>8.0750000000000006E-3</v>
      </c>
      <c r="H758" s="1366">
        <v>8.3765833333333331E-3</v>
      </c>
      <c r="I758" s="1366">
        <f t="shared" si="33"/>
        <v>9.8999999999999991E-3</v>
      </c>
      <c r="J758" s="1366">
        <f t="shared" si="34"/>
        <v>9.3249999999999982E-3</v>
      </c>
      <c r="K758" s="1366">
        <f t="shared" si="35"/>
        <v>-2.0765833333333331E-3</v>
      </c>
    </row>
    <row r="759" spans="1:11" x14ac:dyDescent="0.55000000000000004">
      <c r="A759" s="295">
        <v>32509</v>
      </c>
      <c r="B759" s="1368">
        <v>7.3200000000000001E-2</v>
      </c>
      <c r="C759" s="1366">
        <v>5.7100000000000012E-2</v>
      </c>
      <c r="D759" s="1366">
        <v>8.0000000000000002E-3</v>
      </c>
      <c r="E759" s="1366">
        <v>8.0166666666666667E-3</v>
      </c>
      <c r="F759" s="5">
        <v>8.175E-3</v>
      </c>
      <c r="G759" s="5">
        <v>8.0958333333333334E-3</v>
      </c>
      <c r="H759" s="1366">
        <v>8.404E-3</v>
      </c>
      <c r="I759" s="1366">
        <f t="shared" si="33"/>
        <v>6.5200000000000008E-2</v>
      </c>
      <c r="J759" s="1366">
        <f t="shared" si="34"/>
        <v>6.5104166666666671E-2</v>
      </c>
      <c r="K759" s="1366">
        <f t="shared" si="35"/>
        <v>4.869600000000001E-2</v>
      </c>
    </row>
    <row r="760" spans="1:11" x14ac:dyDescent="0.55000000000000004">
      <c r="A760" s="295">
        <v>32540</v>
      </c>
      <c r="B760" s="1368">
        <v>-2.4899999999999999E-2</v>
      </c>
      <c r="C760" s="1366">
        <v>-2.1499999999999998E-2</v>
      </c>
      <c r="D760" s="1366">
        <v>6.8999999999999999E-3</v>
      </c>
      <c r="E760" s="1366">
        <v>8.0333333333333333E-3</v>
      </c>
      <c r="F760" s="5">
        <v>8.1916666666666665E-3</v>
      </c>
      <c r="G760" s="5">
        <v>8.1124999999999999E-3</v>
      </c>
      <c r="H760" s="1366">
        <v>8.382916666666667E-3</v>
      </c>
      <c r="I760" s="1366">
        <f t="shared" si="33"/>
        <v>-3.1799999999999995E-2</v>
      </c>
      <c r="J760" s="1366">
        <f t="shared" si="34"/>
        <v>-3.30125E-2</v>
      </c>
      <c r="K760" s="1366">
        <f t="shared" si="35"/>
        <v>-2.9882916666666665E-2</v>
      </c>
    </row>
    <row r="761" spans="1:11" x14ac:dyDescent="0.55000000000000004">
      <c r="A761" s="295">
        <v>32568</v>
      </c>
      <c r="B761" s="1368">
        <v>2.3300000000000001E-2</v>
      </c>
      <c r="C761" s="1366">
        <v>2.69E-2</v>
      </c>
      <c r="D761" s="1366">
        <v>7.9000000000000008E-3</v>
      </c>
      <c r="E761" s="1366">
        <v>8.1666666666666676E-3</v>
      </c>
      <c r="F761" s="5">
        <v>8.3166666666666667E-3</v>
      </c>
      <c r="G761" s="5">
        <v>8.241666666666668E-3</v>
      </c>
      <c r="H761" s="1366">
        <v>8.5345000000000004E-3</v>
      </c>
      <c r="I761" s="1366">
        <f t="shared" si="33"/>
        <v>1.54E-2</v>
      </c>
      <c r="J761" s="1366">
        <f t="shared" si="34"/>
        <v>1.5058333333333333E-2</v>
      </c>
      <c r="K761" s="1366">
        <f t="shared" si="35"/>
        <v>1.83655E-2</v>
      </c>
    </row>
    <row r="762" spans="1:11" x14ac:dyDescent="0.55000000000000004">
      <c r="A762" s="295">
        <v>32599</v>
      </c>
      <c r="B762" s="1368">
        <v>5.1900000000000002E-2</v>
      </c>
      <c r="C762" s="1366">
        <v>6.3399999999999998E-2</v>
      </c>
      <c r="D762" s="1366">
        <v>7.000000000000001E-3</v>
      </c>
      <c r="E762" s="1366">
        <v>8.1583333333333334E-3</v>
      </c>
      <c r="F762" s="5">
        <v>8.2833333333333318E-3</v>
      </c>
      <c r="G762" s="5">
        <v>8.2208333333333335E-3</v>
      </c>
      <c r="H762" s="1366">
        <v>8.4920833333333341E-3</v>
      </c>
      <c r="I762" s="1366">
        <f t="shared" si="33"/>
        <v>4.4900000000000002E-2</v>
      </c>
      <c r="J762" s="1366">
        <f t="shared" si="34"/>
        <v>4.3679166666666672E-2</v>
      </c>
      <c r="K762" s="1366">
        <f t="shared" si="35"/>
        <v>5.4907916666666667E-2</v>
      </c>
    </row>
    <row r="763" spans="1:11" x14ac:dyDescent="0.55000000000000004">
      <c r="A763" s="295">
        <v>32629</v>
      </c>
      <c r="B763" s="1368">
        <v>4.0500000000000001E-2</v>
      </c>
      <c r="C763" s="1366">
        <v>5.7999999999999996E-2</v>
      </c>
      <c r="D763" s="1366">
        <v>8.0000000000000002E-3</v>
      </c>
      <c r="E763" s="1366">
        <v>7.9749999999999995E-3</v>
      </c>
      <c r="F763" s="5">
        <v>8.1250000000000003E-3</v>
      </c>
      <c r="G763" s="5">
        <v>8.0499999999999999E-3</v>
      </c>
      <c r="H763" s="1366">
        <v>8.3340833333333322E-3</v>
      </c>
      <c r="I763" s="1366">
        <f t="shared" si="33"/>
        <v>3.2500000000000001E-2</v>
      </c>
      <c r="J763" s="1366">
        <f t="shared" si="34"/>
        <v>3.245E-2</v>
      </c>
      <c r="K763" s="1366">
        <f t="shared" si="35"/>
        <v>4.9665916666666664E-2</v>
      </c>
    </row>
    <row r="764" spans="1:11" x14ac:dyDescent="0.55000000000000004">
      <c r="A764" s="295">
        <v>32660</v>
      </c>
      <c r="B764" s="1368">
        <v>-5.7000000000000002E-3</v>
      </c>
      <c r="C764" s="1366">
        <v>1.61E-2</v>
      </c>
      <c r="D764" s="1366">
        <v>7.000000000000001E-3</v>
      </c>
      <c r="E764" s="1366">
        <v>7.5833333333333334E-3</v>
      </c>
      <c r="F764" s="5">
        <v>7.7416666666666658E-3</v>
      </c>
      <c r="G764" s="5">
        <v>7.6624999999999992E-3</v>
      </c>
      <c r="H764" s="1366">
        <v>8.0485000000000001E-3</v>
      </c>
      <c r="I764" s="1366">
        <f t="shared" si="33"/>
        <v>-1.2700000000000001E-2</v>
      </c>
      <c r="J764" s="1366">
        <f t="shared" si="34"/>
        <v>-1.3362499999999999E-2</v>
      </c>
      <c r="K764" s="1366">
        <f t="shared" si="35"/>
        <v>8.0514999999999996E-3</v>
      </c>
    </row>
    <row r="765" spans="1:11" x14ac:dyDescent="0.55000000000000004">
      <c r="A765" s="295">
        <v>32690</v>
      </c>
      <c r="B765" s="1368">
        <v>9.0300000000000005E-2</v>
      </c>
      <c r="C765" s="1366">
        <v>8.0399999999999985E-2</v>
      </c>
      <c r="D765" s="1366">
        <v>6.7999999999999996E-3</v>
      </c>
      <c r="E765" s="1366">
        <v>7.4416666666666667E-3</v>
      </c>
      <c r="F765" s="5">
        <v>7.6166666666666674E-3</v>
      </c>
      <c r="G765" s="5">
        <v>7.5291666666666666E-3</v>
      </c>
      <c r="H765" s="1366">
        <v>7.9204166666666659E-3</v>
      </c>
      <c r="I765" s="1366">
        <f t="shared" si="33"/>
        <v>8.3500000000000005E-2</v>
      </c>
      <c r="J765" s="1366">
        <f t="shared" si="34"/>
        <v>8.2770833333333335E-2</v>
      </c>
      <c r="K765" s="1366">
        <f t="shared" si="35"/>
        <v>7.2479583333333319E-2</v>
      </c>
    </row>
    <row r="766" spans="1:11" x14ac:dyDescent="0.55000000000000004">
      <c r="A766" s="295">
        <v>32721</v>
      </c>
      <c r="B766" s="1368">
        <v>1.95E-2</v>
      </c>
      <c r="C766" s="1366">
        <v>-5.6999999999999993E-3</v>
      </c>
      <c r="D766" s="1366">
        <v>6.6E-3</v>
      </c>
      <c r="E766" s="1366">
        <v>7.4666666666666666E-3</v>
      </c>
      <c r="F766" s="5">
        <v>7.6166666666666674E-3</v>
      </c>
      <c r="G766" s="5">
        <v>7.5416666666666661E-3</v>
      </c>
      <c r="H766" s="1366">
        <v>7.9289999999999985E-3</v>
      </c>
      <c r="I766" s="1366">
        <f t="shared" si="33"/>
        <v>1.29E-2</v>
      </c>
      <c r="J766" s="1366">
        <f t="shared" si="34"/>
        <v>1.1958333333333335E-2</v>
      </c>
      <c r="K766" s="1366">
        <f t="shared" si="35"/>
        <v>-1.3628999999999999E-2</v>
      </c>
    </row>
    <row r="767" spans="1:11" x14ac:dyDescent="0.55000000000000004">
      <c r="A767" s="295">
        <v>32752</v>
      </c>
      <c r="B767" s="1368">
        <v>-4.1000000000000003E-3</v>
      </c>
      <c r="C767" s="1366">
        <v>1.7000000000000001E-2</v>
      </c>
      <c r="D767" s="1366">
        <v>6.5000000000000006E-3</v>
      </c>
      <c r="E767" s="1366">
        <v>7.5083333333333339E-3</v>
      </c>
      <c r="F767" s="5">
        <v>7.691666666666667E-3</v>
      </c>
      <c r="G767" s="5">
        <v>7.6E-3</v>
      </c>
      <c r="H767" s="1366">
        <v>7.9866666666666662E-3</v>
      </c>
      <c r="I767" s="1366">
        <f t="shared" si="33"/>
        <v>-1.0600000000000002E-2</v>
      </c>
      <c r="J767" s="1366">
        <f t="shared" si="34"/>
        <v>-1.17E-2</v>
      </c>
      <c r="K767" s="1366">
        <f t="shared" si="35"/>
        <v>9.013333333333335E-3</v>
      </c>
    </row>
    <row r="768" spans="1:11" x14ac:dyDescent="0.55000000000000004">
      <c r="A768" s="295">
        <v>32782</v>
      </c>
      <c r="B768" s="1368">
        <v>-2.3199999999999998E-2</v>
      </c>
      <c r="C768" s="1366">
        <v>4.5000000000000005E-3</v>
      </c>
      <c r="D768" s="1366">
        <v>7.1999999999999998E-3</v>
      </c>
      <c r="E768" s="1366">
        <v>7.4333333333333326E-3</v>
      </c>
      <c r="F768" s="5">
        <v>7.658333333333333E-3</v>
      </c>
      <c r="G768" s="5">
        <v>7.5458333333333323E-3</v>
      </c>
      <c r="H768" s="1366">
        <v>7.948499999999999E-3</v>
      </c>
      <c r="I768" s="1366">
        <f t="shared" si="33"/>
        <v>-3.0399999999999996E-2</v>
      </c>
      <c r="J768" s="1366">
        <f t="shared" si="34"/>
        <v>-3.074583333333333E-2</v>
      </c>
      <c r="K768" s="1366">
        <f t="shared" si="35"/>
        <v>-3.4484999999999984E-3</v>
      </c>
    </row>
    <row r="769" spans="1:11" x14ac:dyDescent="0.55000000000000004">
      <c r="A769" s="295">
        <v>32813</v>
      </c>
      <c r="B769" s="1368">
        <v>2.0400000000000001E-2</v>
      </c>
      <c r="C769" s="1366">
        <v>3.3599999999999998E-2</v>
      </c>
      <c r="D769" s="1366">
        <v>6.4000000000000003E-3</v>
      </c>
      <c r="E769" s="1366">
        <v>7.4083333333333336E-3</v>
      </c>
      <c r="F769" s="5">
        <v>7.6166666666666674E-3</v>
      </c>
      <c r="G769" s="5">
        <v>7.5125000000000001E-3</v>
      </c>
      <c r="H769" s="1366">
        <v>7.929750000000001E-3</v>
      </c>
      <c r="I769" s="1366">
        <f t="shared" si="33"/>
        <v>1.4000000000000002E-2</v>
      </c>
      <c r="J769" s="1366">
        <f t="shared" si="34"/>
        <v>1.2887500000000001E-2</v>
      </c>
      <c r="K769" s="1366">
        <f t="shared" si="35"/>
        <v>2.5670249999999999E-2</v>
      </c>
    </row>
    <row r="770" spans="1:11" x14ac:dyDescent="0.55000000000000004">
      <c r="A770" s="295">
        <v>32843</v>
      </c>
      <c r="B770" s="1368">
        <v>2.4E-2</v>
      </c>
      <c r="C770" s="1366">
        <v>7.3099999999999998E-2</v>
      </c>
      <c r="D770" s="1366">
        <v>6.4000000000000003E-3</v>
      </c>
      <c r="E770" s="1366">
        <v>7.3833333333333329E-3</v>
      </c>
      <c r="F770" s="5">
        <v>7.5916666666666667E-3</v>
      </c>
      <c r="G770" s="5">
        <v>7.4875000000000002E-3</v>
      </c>
      <c r="H770" s="1366">
        <v>7.8612500000000002E-3</v>
      </c>
      <c r="I770" s="1366">
        <f t="shared" si="33"/>
        <v>1.7600000000000001E-2</v>
      </c>
      <c r="J770" s="1366">
        <f t="shared" si="34"/>
        <v>1.6512499999999999E-2</v>
      </c>
      <c r="K770" s="1366">
        <f t="shared" si="35"/>
        <v>6.5238749999999998E-2</v>
      </c>
    </row>
    <row r="771" spans="1:11" x14ac:dyDescent="0.55000000000000004">
      <c r="A771" s="295">
        <v>32874</v>
      </c>
      <c r="B771" s="1368">
        <v>-6.7100000000000007E-2</v>
      </c>
      <c r="C771" s="1366">
        <v>-8.09E-2</v>
      </c>
      <c r="D771" s="1366">
        <v>7.3000000000000001E-3</v>
      </c>
      <c r="E771" s="1366">
        <v>7.4916666666666664E-3</v>
      </c>
      <c r="F771" s="5">
        <v>7.7249999999999992E-3</v>
      </c>
      <c r="G771" s="5">
        <v>7.6083333333333324E-3</v>
      </c>
      <c r="H771" s="1366">
        <v>7.9564166666666672E-3</v>
      </c>
      <c r="I771" s="1366">
        <f t="shared" si="33"/>
        <v>-7.4400000000000008E-2</v>
      </c>
      <c r="J771" s="1366">
        <f t="shared" si="34"/>
        <v>-7.4708333333333335E-2</v>
      </c>
      <c r="K771" s="1366">
        <f t="shared" si="35"/>
        <v>-8.885641666666666E-2</v>
      </c>
    </row>
    <row r="772" spans="1:11" x14ac:dyDescent="0.55000000000000004">
      <c r="A772" s="295">
        <v>32905</v>
      </c>
      <c r="B772" s="1368">
        <v>1.29E-2</v>
      </c>
      <c r="C772" s="1366">
        <v>-1.09E-2</v>
      </c>
      <c r="D772" s="1366">
        <v>6.6E-3</v>
      </c>
      <c r="E772" s="1366">
        <v>7.6833333333333345E-3</v>
      </c>
      <c r="F772" s="5">
        <v>7.8666666666666659E-3</v>
      </c>
      <c r="G772" s="5">
        <v>7.7750000000000007E-3</v>
      </c>
      <c r="H772" s="1366">
        <v>8.1302500000000003E-3</v>
      </c>
      <c r="I772" s="1366">
        <f t="shared" ref="I772:I835" si="36">B772-D772</f>
        <v>6.3E-3</v>
      </c>
      <c r="J772" s="1366">
        <f t="shared" si="34"/>
        <v>5.1249999999999993E-3</v>
      </c>
      <c r="K772" s="1366">
        <f t="shared" si="35"/>
        <v>-1.9030249999999999E-2</v>
      </c>
    </row>
    <row r="773" spans="1:11" x14ac:dyDescent="0.55000000000000004">
      <c r="A773" s="295">
        <v>32933</v>
      </c>
      <c r="B773" s="1368">
        <v>2.6499999999999999E-2</v>
      </c>
      <c r="C773" s="1366">
        <v>1.8700000000000001E-2</v>
      </c>
      <c r="D773" s="1366">
        <v>7.1000000000000004E-3</v>
      </c>
      <c r="E773" s="1366">
        <v>7.8083333333333329E-3</v>
      </c>
      <c r="F773" s="5">
        <v>7.9249999999999998E-3</v>
      </c>
      <c r="G773" s="5">
        <v>7.8666666666666659E-3</v>
      </c>
      <c r="H773" s="1366">
        <v>8.2053333333333318E-3</v>
      </c>
      <c r="I773" s="1366">
        <f t="shared" si="36"/>
        <v>1.9400000000000001E-2</v>
      </c>
      <c r="J773" s="1366">
        <f t="shared" si="34"/>
        <v>1.8633333333333335E-2</v>
      </c>
      <c r="K773" s="1366">
        <f t="shared" si="35"/>
        <v>1.049466666666667E-2</v>
      </c>
    </row>
    <row r="774" spans="1:11" x14ac:dyDescent="0.55000000000000004">
      <c r="A774" s="295">
        <v>32964</v>
      </c>
      <c r="B774" s="1368">
        <v>-2.4899999999999999E-2</v>
      </c>
      <c r="C774" s="1366">
        <v>-3.85E-2</v>
      </c>
      <c r="D774" s="1366">
        <v>7.4999999999999997E-3</v>
      </c>
      <c r="E774" s="1366">
        <v>7.8833333333333342E-3</v>
      </c>
      <c r="F774" s="5">
        <v>8.0333333333333333E-3</v>
      </c>
      <c r="G774" s="5">
        <v>7.9583333333333346E-3</v>
      </c>
      <c r="H774" s="1366">
        <v>8.2587500000000005E-3</v>
      </c>
      <c r="I774" s="1366">
        <f t="shared" si="36"/>
        <v>-3.2399999999999998E-2</v>
      </c>
      <c r="J774" s="1366">
        <f t="shared" si="34"/>
        <v>-3.2858333333333337E-2</v>
      </c>
      <c r="K774" s="1366">
        <f t="shared" si="35"/>
        <v>-4.6758750000000002E-2</v>
      </c>
    </row>
    <row r="775" spans="1:11" x14ac:dyDescent="0.55000000000000004">
      <c r="A775" s="295">
        <v>32994</v>
      </c>
      <c r="B775" s="1368">
        <v>9.7500000000000003E-2</v>
      </c>
      <c r="C775" s="1366">
        <v>6.8200000000000011E-2</v>
      </c>
      <c r="D775" s="1366">
        <v>7.4999999999999997E-3</v>
      </c>
      <c r="E775" s="1366">
        <v>7.8916666666666666E-3</v>
      </c>
      <c r="F775" s="5">
        <v>8.083333333333333E-3</v>
      </c>
      <c r="G775" s="5">
        <v>7.9874999999999998E-3</v>
      </c>
      <c r="H775" s="1366">
        <v>8.3382500000000002E-3</v>
      </c>
      <c r="I775" s="1366">
        <f t="shared" si="36"/>
        <v>0.09</v>
      </c>
      <c r="J775" s="1366">
        <f t="shared" si="34"/>
        <v>8.9512500000000009E-2</v>
      </c>
      <c r="K775" s="1366">
        <f t="shared" si="35"/>
        <v>5.9861750000000012E-2</v>
      </c>
    </row>
    <row r="776" spans="1:11" x14ac:dyDescent="0.55000000000000004">
      <c r="A776" s="295">
        <v>33025</v>
      </c>
      <c r="B776" s="1368">
        <v>-6.7000000000000002E-3</v>
      </c>
      <c r="C776" s="1366">
        <v>-2.1099999999999997E-2</v>
      </c>
      <c r="D776" s="1366">
        <v>6.7999999999999996E-3</v>
      </c>
      <c r="E776" s="1366">
        <v>7.7166666666666659E-3</v>
      </c>
      <c r="F776" s="5">
        <v>7.9083333333333332E-3</v>
      </c>
      <c r="G776" s="5">
        <v>7.8125E-3</v>
      </c>
      <c r="H776" s="1366">
        <v>8.175E-3</v>
      </c>
      <c r="I776" s="1366">
        <f t="shared" si="36"/>
        <v>-1.35E-2</v>
      </c>
      <c r="J776" s="1366">
        <f t="shared" si="34"/>
        <v>-1.4512500000000001E-2</v>
      </c>
      <c r="K776" s="1366">
        <f t="shared" si="35"/>
        <v>-2.9274999999999995E-2</v>
      </c>
    </row>
    <row r="777" spans="1:11" x14ac:dyDescent="0.55000000000000004">
      <c r="A777" s="295">
        <v>33055</v>
      </c>
      <c r="B777" s="1368">
        <v>-3.2000000000000002E-3</v>
      </c>
      <c r="C777" s="1366">
        <v>-3.1999999999999997E-3</v>
      </c>
      <c r="D777" s="1366">
        <v>7.4000000000000003E-3</v>
      </c>
      <c r="E777" s="1366">
        <v>7.7000000000000002E-3</v>
      </c>
      <c r="F777" s="5">
        <v>7.8916666666666666E-3</v>
      </c>
      <c r="G777" s="5">
        <v>7.7958333333333326E-3</v>
      </c>
      <c r="H777" s="1366">
        <v>8.1317500000000001E-3</v>
      </c>
      <c r="I777" s="1366">
        <f t="shared" si="36"/>
        <v>-1.06E-2</v>
      </c>
      <c r="J777" s="1366">
        <f t="shared" si="34"/>
        <v>-1.0995833333333333E-2</v>
      </c>
      <c r="K777" s="1366">
        <f t="shared" si="35"/>
        <v>-1.133175E-2</v>
      </c>
    </row>
    <row r="778" spans="1:11" x14ac:dyDescent="0.55000000000000004">
      <c r="A778" s="295">
        <v>33086</v>
      </c>
      <c r="B778" s="1368">
        <v>-9.0399999999999994E-2</v>
      </c>
      <c r="C778" s="1366">
        <v>-7.9199999999999993E-2</v>
      </c>
      <c r="D778" s="1366">
        <v>7.1000000000000004E-3</v>
      </c>
      <c r="E778" s="1366">
        <v>7.8416666666666669E-3</v>
      </c>
      <c r="F778" s="5">
        <v>8.0250000000000009E-3</v>
      </c>
      <c r="G778" s="5">
        <v>7.9333333333333339E-3</v>
      </c>
      <c r="H778" s="1366">
        <v>8.2464166666666658E-3</v>
      </c>
      <c r="I778" s="1366">
        <f t="shared" si="36"/>
        <v>-9.7499999999999989E-2</v>
      </c>
      <c r="J778" s="1366">
        <f t="shared" si="34"/>
        <v>-9.8333333333333328E-2</v>
      </c>
      <c r="K778" s="1366">
        <f t="shared" si="35"/>
        <v>-8.7446416666666665E-2</v>
      </c>
    </row>
    <row r="779" spans="1:11" x14ac:dyDescent="0.55000000000000004">
      <c r="A779" s="295">
        <v>33117</v>
      </c>
      <c r="B779" s="1368">
        <v>-4.87E-2</v>
      </c>
      <c r="C779" s="1366">
        <v>4.1100000000000005E-2</v>
      </c>
      <c r="D779" s="1366">
        <v>6.8999999999999999E-3</v>
      </c>
      <c r="E779" s="1366">
        <v>7.966666666666667E-3</v>
      </c>
      <c r="F779" s="5">
        <v>8.1416666666666651E-3</v>
      </c>
      <c r="G779" s="5">
        <v>8.0541666666666661E-3</v>
      </c>
      <c r="H779" s="1366">
        <v>8.4306666666666662E-3</v>
      </c>
      <c r="I779" s="1366">
        <f t="shared" si="36"/>
        <v>-5.5599999999999997E-2</v>
      </c>
      <c r="J779" s="1366">
        <f t="shared" si="34"/>
        <v>-5.6754166666666668E-2</v>
      </c>
      <c r="K779" s="1366">
        <f t="shared" si="35"/>
        <v>3.2669333333333342E-2</v>
      </c>
    </row>
    <row r="780" spans="1:11" x14ac:dyDescent="0.55000000000000004">
      <c r="A780" s="295">
        <v>33147</v>
      </c>
      <c r="B780" s="1368">
        <v>-4.3E-3</v>
      </c>
      <c r="C780" s="1366">
        <v>6.5299999999999997E-2</v>
      </c>
      <c r="D780" s="1366">
        <v>8.0999999999999996E-3</v>
      </c>
      <c r="E780" s="1366">
        <v>7.9416666666666663E-3</v>
      </c>
      <c r="F780" s="5">
        <v>8.1416666666666651E-3</v>
      </c>
      <c r="G780" s="5">
        <v>8.0416666666666657E-3</v>
      </c>
      <c r="H780" s="1366">
        <v>8.3855000000000006E-3</v>
      </c>
      <c r="I780" s="1366">
        <f t="shared" si="36"/>
        <v>-1.24E-2</v>
      </c>
      <c r="J780" s="1366">
        <f t="shared" si="34"/>
        <v>-1.2341666666666666E-2</v>
      </c>
      <c r="K780" s="1366">
        <f t="shared" si="35"/>
        <v>5.6914499999999993E-2</v>
      </c>
    </row>
    <row r="781" spans="1:11" x14ac:dyDescent="0.55000000000000004">
      <c r="A781" s="295">
        <v>33178</v>
      </c>
      <c r="B781" s="1368">
        <v>6.4600000000000005E-2</v>
      </c>
      <c r="C781" s="1366">
        <v>1.9299999999999998E-2</v>
      </c>
      <c r="D781" s="1366">
        <v>7.1000000000000004E-3</v>
      </c>
      <c r="E781" s="1366">
        <v>7.7499999999999999E-3</v>
      </c>
      <c r="F781" s="5">
        <v>7.9916666666666678E-3</v>
      </c>
      <c r="G781" s="5">
        <v>7.8708333333333338E-3</v>
      </c>
      <c r="H781" s="1366">
        <v>8.2603333333333331E-3</v>
      </c>
      <c r="I781" s="1366">
        <f t="shared" si="36"/>
        <v>5.7500000000000002E-2</v>
      </c>
      <c r="J781" s="1366">
        <f t="shared" si="34"/>
        <v>5.6729166666666671E-2</v>
      </c>
      <c r="K781" s="1366">
        <f t="shared" si="35"/>
        <v>1.1039666666666665E-2</v>
      </c>
    </row>
    <row r="782" spans="1:11" x14ac:dyDescent="0.55000000000000004">
      <c r="A782" s="295">
        <v>33208</v>
      </c>
      <c r="B782" s="1368">
        <v>2.7900000000000001E-2</v>
      </c>
      <c r="C782" s="1366">
        <v>8.6E-3</v>
      </c>
      <c r="D782" s="1366">
        <v>7.1999999999999998E-3</v>
      </c>
      <c r="E782" s="1366">
        <v>7.5416666666666679E-3</v>
      </c>
      <c r="F782" s="5">
        <v>7.8250000000000004E-3</v>
      </c>
      <c r="G782" s="5">
        <v>7.6833333333333345E-3</v>
      </c>
      <c r="H782" s="1366">
        <v>8.1091666666666656E-3</v>
      </c>
      <c r="I782" s="1366">
        <f t="shared" si="36"/>
        <v>2.0700000000000003E-2</v>
      </c>
      <c r="J782" s="1366">
        <f t="shared" si="34"/>
        <v>2.0216666666666668E-2</v>
      </c>
      <c r="K782" s="1366">
        <f t="shared" si="35"/>
        <v>4.9083333333333444E-4</v>
      </c>
    </row>
    <row r="783" spans="1:11" x14ac:dyDescent="0.55000000000000004">
      <c r="A783" s="295">
        <v>33239</v>
      </c>
      <c r="B783" s="1368">
        <v>4.36E-2</v>
      </c>
      <c r="C783" s="1366">
        <v>-3.0100000000000002E-2</v>
      </c>
      <c r="D783" s="1366">
        <v>7.1000000000000004E-3</v>
      </c>
      <c r="E783" s="1366">
        <v>7.5333333333333329E-3</v>
      </c>
      <c r="F783" s="5">
        <v>7.8083333333333329E-3</v>
      </c>
      <c r="G783" s="5">
        <v>7.6708333333333333E-3</v>
      </c>
      <c r="H783" s="1366">
        <v>8.0939166666666659E-3</v>
      </c>
      <c r="I783" s="1366">
        <f t="shared" si="36"/>
        <v>3.6499999999999998E-2</v>
      </c>
      <c r="J783" s="1366">
        <f t="shared" si="34"/>
        <v>3.5929166666666665E-2</v>
      </c>
      <c r="K783" s="1366">
        <f t="shared" si="35"/>
        <v>-3.8193916666666668E-2</v>
      </c>
    </row>
    <row r="784" spans="1:11" x14ac:dyDescent="0.55000000000000004">
      <c r="A784" s="295">
        <v>33270</v>
      </c>
      <c r="B784" s="1368">
        <v>7.1499999999999994E-2</v>
      </c>
      <c r="C784" s="1366">
        <v>3.49E-2</v>
      </c>
      <c r="D784" s="1366">
        <v>6.4000000000000003E-3</v>
      </c>
      <c r="E784" s="1366">
        <v>7.358333333333333E-3</v>
      </c>
      <c r="F784" s="5">
        <v>7.6333333333333331E-3</v>
      </c>
      <c r="G784" s="5">
        <v>7.4958333333333326E-3</v>
      </c>
      <c r="H784" s="1366">
        <v>7.8978333333333331E-3</v>
      </c>
      <c r="I784" s="1366">
        <f t="shared" si="36"/>
        <v>6.5099999999999991E-2</v>
      </c>
      <c r="J784" s="1366">
        <f t="shared" si="34"/>
        <v>6.4004166666666668E-2</v>
      </c>
      <c r="K784" s="1366">
        <f t="shared" si="35"/>
        <v>2.7002166666666667E-2</v>
      </c>
    </row>
    <row r="785" spans="1:11" x14ac:dyDescent="0.55000000000000004">
      <c r="A785" s="295">
        <v>33298</v>
      </c>
      <c r="B785" s="1368">
        <v>2.4199999999999999E-2</v>
      </c>
      <c r="C785" s="1366">
        <v>1.9799999999999998E-2</v>
      </c>
      <c r="D785" s="1366">
        <v>6.4000000000000003E-3</v>
      </c>
      <c r="E785" s="1366">
        <v>7.4416666666666667E-3</v>
      </c>
      <c r="F785" s="5">
        <v>7.6750000000000004E-3</v>
      </c>
      <c r="G785" s="5">
        <v>7.5583333333333336E-3</v>
      </c>
      <c r="H785" s="1366">
        <v>7.9608333333333337E-3</v>
      </c>
      <c r="I785" s="1366">
        <f t="shared" si="36"/>
        <v>1.78E-2</v>
      </c>
      <c r="J785" s="1366">
        <f t="shared" si="34"/>
        <v>1.6641666666666666E-2</v>
      </c>
      <c r="K785" s="1366">
        <f t="shared" si="35"/>
        <v>1.1839166666666665E-2</v>
      </c>
    </row>
    <row r="786" spans="1:11" x14ac:dyDescent="0.55000000000000004">
      <c r="A786" s="295">
        <v>33329</v>
      </c>
      <c r="B786" s="1368">
        <v>2.3999999999999998E-3</v>
      </c>
      <c r="C786" s="1366">
        <v>-1.6200000000000003E-2</v>
      </c>
      <c r="D786" s="1366">
        <v>7.6E-3</v>
      </c>
      <c r="E786" s="1366">
        <v>7.3833333333333329E-3</v>
      </c>
      <c r="F786" s="5">
        <v>7.5999999999999991E-3</v>
      </c>
      <c r="G786" s="5">
        <v>7.4916666666666656E-3</v>
      </c>
      <c r="H786" s="1366">
        <v>7.8870833333333328E-3</v>
      </c>
      <c r="I786" s="1366">
        <f t="shared" si="36"/>
        <v>-5.1999999999999998E-3</v>
      </c>
      <c r="J786" s="1366">
        <f t="shared" si="34"/>
        <v>-5.0916666666666662E-3</v>
      </c>
      <c r="K786" s="1366">
        <f t="shared" si="35"/>
        <v>-2.4087083333333335E-2</v>
      </c>
    </row>
    <row r="787" spans="1:11" x14ac:dyDescent="0.55000000000000004">
      <c r="A787" s="295">
        <v>33359</v>
      </c>
      <c r="B787" s="1368">
        <v>4.3099999999999999E-2</v>
      </c>
      <c r="C787" s="1366">
        <v>-1.2999999999999998E-2</v>
      </c>
      <c r="D787" s="1366">
        <v>6.7999999999999996E-3</v>
      </c>
      <c r="E787" s="1366">
        <v>7.3833333333333329E-3</v>
      </c>
      <c r="F787" s="5">
        <v>7.6250000000000007E-3</v>
      </c>
      <c r="G787" s="5">
        <v>7.5041666666666677E-3</v>
      </c>
      <c r="H787" s="1366">
        <v>7.8602499999999992E-3</v>
      </c>
      <c r="I787" s="1366">
        <f t="shared" si="36"/>
        <v>3.6299999999999999E-2</v>
      </c>
      <c r="J787" s="1366">
        <f t="shared" si="34"/>
        <v>3.5595833333333333E-2</v>
      </c>
      <c r="K787" s="1366">
        <f t="shared" si="35"/>
        <v>-2.0860249999999997E-2</v>
      </c>
    </row>
    <row r="788" spans="1:11" x14ac:dyDescent="0.55000000000000004">
      <c r="A788" s="295">
        <v>33390</v>
      </c>
      <c r="B788" s="1368">
        <v>-4.58E-2</v>
      </c>
      <c r="C788" s="1366">
        <v>-1.3899999999999999E-2</v>
      </c>
      <c r="D788" s="1366">
        <v>6.3E-3</v>
      </c>
      <c r="E788" s="1366">
        <v>7.5083333333333339E-3</v>
      </c>
      <c r="F788" s="5">
        <v>7.7333333333333334E-3</v>
      </c>
      <c r="G788" s="5">
        <v>7.6208333333333336E-3</v>
      </c>
      <c r="H788" s="1366">
        <v>7.9862500000000003E-3</v>
      </c>
      <c r="I788" s="1366">
        <f t="shared" si="36"/>
        <v>-5.21E-2</v>
      </c>
      <c r="J788" s="1366">
        <f t="shared" si="34"/>
        <v>-5.3420833333333334E-2</v>
      </c>
      <c r="K788" s="1366">
        <f t="shared" si="35"/>
        <v>-2.1886249999999999E-2</v>
      </c>
    </row>
    <row r="789" spans="1:11" x14ac:dyDescent="0.55000000000000004">
      <c r="A789" s="295">
        <v>33420</v>
      </c>
      <c r="B789" s="1368">
        <v>4.6600000000000003E-2</v>
      </c>
      <c r="C789" s="1366">
        <v>3.0700000000000002E-2</v>
      </c>
      <c r="D789" s="1366">
        <v>7.6E-3</v>
      </c>
      <c r="E789" s="1366">
        <v>7.4999999999999997E-3</v>
      </c>
      <c r="F789" s="5">
        <v>7.7083333333333335E-3</v>
      </c>
      <c r="G789" s="5">
        <v>7.6041666666666671E-3</v>
      </c>
      <c r="H789" s="1366">
        <v>7.9564166666666672E-3</v>
      </c>
      <c r="I789" s="1366">
        <f t="shared" si="36"/>
        <v>3.9E-2</v>
      </c>
      <c r="J789" s="1366">
        <f t="shared" si="34"/>
        <v>3.8995833333333334E-2</v>
      </c>
      <c r="K789" s="1366">
        <f t="shared" si="35"/>
        <v>2.2743583333333334E-2</v>
      </c>
    </row>
    <row r="790" spans="1:11" x14ac:dyDescent="0.55000000000000004">
      <c r="A790" s="295">
        <v>33451</v>
      </c>
      <c r="B790" s="1368">
        <v>2.3699999999999999E-2</v>
      </c>
      <c r="C790" s="1366">
        <v>2.58E-2</v>
      </c>
      <c r="D790" s="1366">
        <v>6.7999999999999996E-3</v>
      </c>
      <c r="E790" s="1366">
        <v>7.2916666666666659E-3</v>
      </c>
      <c r="F790" s="5">
        <v>7.4916666666666664E-3</v>
      </c>
      <c r="G790" s="5">
        <v>7.3916666666666662E-3</v>
      </c>
      <c r="H790" s="1366">
        <v>7.7541666666666662E-3</v>
      </c>
      <c r="I790" s="1366">
        <f t="shared" si="36"/>
        <v>1.6899999999999998E-2</v>
      </c>
      <c r="J790" s="1366">
        <f t="shared" si="34"/>
        <v>1.6308333333333334E-2</v>
      </c>
      <c r="K790" s="1366">
        <f t="shared" si="35"/>
        <v>1.8045833333333334E-2</v>
      </c>
    </row>
    <row r="791" spans="1:11" x14ac:dyDescent="0.55000000000000004">
      <c r="A791" s="295">
        <v>33482</v>
      </c>
      <c r="B791" s="1368">
        <v>-1.67E-2</v>
      </c>
      <c r="C791" s="1366">
        <v>2.0199999999999999E-2</v>
      </c>
      <c r="D791" s="1366">
        <v>6.7999999999999996E-3</v>
      </c>
      <c r="E791" s="1366">
        <v>7.1749999999999991E-3</v>
      </c>
      <c r="F791" s="5">
        <v>7.3833333333333329E-3</v>
      </c>
      <c r="G791" s="5">
        <v>7.2791666666666656E-3</v>
      </c>
      <c r="H791" s="1366">
        <v>7.6383333333333338E-3</v>
      </c>
      <c r="I791" s="1366">
        <f t="shared" si="36"/>
        <v>-2.35E-2</v>
      </c>
      <c r="J791" s="1366">
        <f t="shared" si="34"/>
        <v>-2.3979166666666666E-2</v>
      </c>
      <c r="K791" s="1366">
        <f t="shared" si="35"/>
        <v>1.2561666666666665E-2</v>
      </c>
    </row>
    <row r="792" spans="1:11" x14ac:dyDescent="0.55000000000000004">
      <c r="A792" s="295">
        <v>33512</v>
      </c>
      <c r="B792" s="1368">
        <v>1.34E-2</v>
      </c>
      <c r="C792" s="1366">
        <v>0.02</v>
      </c>
      <c r="D792" s="1366">
        <v>6.5000000000000006E-3</v>
      </c>
      <c r="E792" s="1366">
        <v>7.1250000000000003E-3</v>
      </c>
      <c r="F792" s="5">
        <v>7.358333333333333E-3</v>
      </c>
      <c r="G792" s="5">
        <v>7.2416666666666662E-3</v>
      </c>
      <c r="H792" s="1366">
        <v>7.6007500000000007E-3</v>
      </c>
      <c r="I792" s="1366">
        <f t="shared" si="36"/>
        <v>6.8999999999999999E-3</v>
      </c>
      <c r="J792" s="1366">
        <f t="shared" si="34"/>
        <v>6.1583333333333342E-3</v>
      </c>
      <c r="K792" s="1366">
        <f t="shared" si="35"/>
        <v>1.2399250000000001E-2</v>
      </c>
    </row>
    <row r="793" spans="1:11" x14ac:dyDescent="0.55000000000000004">
      <c r="A793" s="295">
        <v>33543</v>
      </c>
      <c r="B793" s="1368">
        <v>-4.0300000000000002E-2</v>
      </c>
      <c r="C793" s="1366">
        <v>-9.7999999999999997E-3</v>
      </c>
      <c r="D793" s="1366">
        <v>6.0000000000000001E-3</v>
      </c>
      <c r="E793" s="1366">
        <v>7.0666666666666664E-3</v>
      </c>
      <c r="F793" s="5">
        <v>7.3166666666666658E-3</v>
      </c>
      <c r="G793" s="5">
        <v>7.1916666666666665E-3</v>
      </c>
      <c r="H793" s="1366">
        <v>7.5445833333333337E-3</v>
      </c>
      <c r="I793" s="1366">
        <f t="shared" si="36"/>
        <v>-4.6300000000000001E-2</v>
      </c>
      <c r="J793" s="1366">
        <f t="shared" si="34"/>
        <v>-4.7491666666666668E-2</v>
      </c>
      <c r="K793" s="1366">
        <f t="shared" si="35"/>
        <v>-1.7344583333333333E-2</v>
      </c>
    </row>
    <row r="794" spans="1:11" x14ac:dyDescent="0.55000000000000004">
      <c r="A794" s="295">
        <v>33573</v>
      </c>
      <c r="B794" s="1368">
        <v>0.1144</v>
      </c>
      <c r="C794" s="1366">
        <v>7.3300000000000004E-2</v>
      </c>
      <c r="D794" s="1366">
        <v>6.7999999999999996E-3</v>
      </c>
      <c r="E794" s="1366">
        <v>6.9249999999999997E-3</v>
      </c>
      <c r="F794" s="5">
        <v>7.1749999999999991E-3</v>
      </c>
      <c r="G794" s="5">
        <v>7.0499999999999998E-3</v>
      </c>
      <c r="H794" s="1366">
        <v>7.4162500000000001E-3</v>
      </c>
      <c r="I794" s="1366">
        <f t="shared" si="36"/>
        <v>0.1076</v>
      </c>
      <c r="J794" s="1366">
        <f t="shared" si="34"/>
        <v>0.10735</v>
      </c>
      <c r="K794" s="1366">
        <f t="shared" si="35"/>
        <v>6.5883750000000005E-2</v>
      </c>
    </row>
    <row r="795" spans="1:11" x14ac:dyDescent="0.55000000000000004">
      <c r="A795" s="295">
        <v>33604</v>
      </c>
      <c r="B795" s="1368">
        <v>-1.8599999999999998E-2</v>
      </c>
      <c r="C795" s="1366">
        <v>-5.3600000000000002E-2</v>
      </c>
      <c r="D795" s="1366">
        <v>6.0999999999999995E-3</v>
      </c>
      <c r="E795" s="1366">
        <v>6.8333333333333328E-3</v>
      </c>
      <c r="F795" s="5">
        <v>7.0916666666666663E-3</v>
      </c>
      <c r="G795" s="5">
        <v>6.9624999999999991E-3</v>
      </c>
      <c r="H795" s="1366">
        <v>7.3602500000000005E-3</v>
      </c>
      <c r="I795" s="1366">
        <f t="shared" si="36"/>
        <v>-2.47E-2</v>
      </c>
      <c r="J795" s="1366">
        <f t="shared" ref="J795:J858" si="37">B795-G795</f>
        <v>-2.5562499999999998E-2</v>
      </c>
      <c r="K795" s="1366">
        <f t="shared" ref="K795:K858" si="38">$C795-H795</f>
        <v>-6.0960250000000001E-2</v>
      </c>
    </row>
    <row r="796" spans="1:11" x14ac:dyDescent="0.55000000000000004">
      <c r="A796" s="295">
        <v>33635</v>
      </c>
      <c r="B796" s="1368">
        <v>1.2999999999999999E-2</v>
      </c>
      <c r="C796" s="1366">
        <v>-2.7300000000000001E-2</v>
      </c>
      <c r="D796" s="1366">
        <v>5.8999999999999999E-3</v>
      </c>
      <c r="E796" s="1366">
        <v>6.9083333333333332E-3</v>
      </c>
      <c r="F796" s="5">
        <v>7.2250000000000005E-3</v>
      </c>
      <c r="G796" s="5">
        <v>7.0666666666666664E-3</v>
      </c>
      <c r="H796" s="1366">
        <v>7.4420833333333335E-3</v>
      </c>
      <c r="I796" s="1366">
        <f t="shared" si="36"/>
        <v>7.0999999999999995E-3</v>
      </c>
      <c r="J796" s="1366">
        <f t="shared" si="37"/>
        <v>5.933333333333333E-3</v>
      </c>
      <c r="K796" s="1366">
        <f t="shared" si="38"/>
        <v>-3.4742083333333333E-2</v>
      </c>
    </row>
    <row r="797" spans="1:11" x14ac:dyDescent="0.55000000000000004">
      <c r="A797" s="295">
        <v>33664</v>
      </c>
      <c r="B797" s="1368">
        <v>-1.9400000000000001E-2</v>
      </c>
      <c r="C797" s="1366">
        <v>-1.43E-2</v>
      </c>
      <c r="D797" s="1366">
        <v>6.7000000000000002E-3</v>
      </c>
      <c r="E797" s="1366">
        <v>6.9583333333333329E-3</v>
      </c>
      <c r="F797" s="5">
        <v>7.2750000000000002E-3</v>
      </c>
      <c r="G797" s="5">
        <v>7.116666666666667E-3</v>
      </c>
      <c r="H797" s="1366">
        <v>7.4727500000000002E-3</v>
      </c>
      <c r="I797" s="1366">
        <f t="shared" si="36"/>
        <v>-2.6100000000000002E-2</v>
      </c>
      <c r="J797" s="1366">
        <f t="shared" si="37"/>
        <v>-2.6516666666666668E-2</v>
      </c>
      <c r="K797" s="1366">
        <f t="shared" si="38"/>
        <v>-2.177275E-2</v>
      </c>
    </row>
    <row r="798" spans="1:11" x14ac:dyDescent="0.55000000000000004">
      <c r="A798" s="295">
        <v>33695</v>
      </c>
      <c r="B798" s="1368">
        <v>2.9399999999999999E-2</v>
      </c>
      <c r="C798" s="1366">
        <v>6.4500000000000002E-2</v>
      </c>
      <c r="D798" s="1366">
        <v>6.5000000000000006E-3</v>
      </c>
      <c r="E798" s="1366">
        <v>6.9416666666666672E-3</v>
      </c>
      <c r="F798" s="5">
        <v>7.2416666666666662E-3</v>
      </c>
      <c r="G798" s="5">
        <v>7.0916666666666671E-3</v>
      </c>
      <c r="H798" s="1366">
        <v>7.4380833333333339E-3</v>
      </c>
      <c r="I798" s="1366">
        <f t="shared" si="36"/>
        <v>2.2899999999999997E-2</v>
      </c>
      <c r="J798" s="1366">
        <f t="shared" si="37"/>
        <v>2.2308333333333333E-2</v>
      </c>
      <c r="K798" s="1366">
        <f t="shared" si="38"/>
        <v>5.7061916666666671E-2</v>
      </c>
    </row>
    <row r="799" spans="1:11" x14ac:dyDescent="0.55000000000000004">
      <c r="A799" s="295">
        <v>33725</v>
      </c>
      <c r="B799" s="1368">
        <v>4.8999999999999998E-3</v>
      </c>
      <c r="C799" s="1366">
        <v>-1.5000000000000005E-3</v>
      </c>
      <c r="D799" s="1366">
        <v>6.0999999999999995E-3</v>
      </c>
      <c r="E799" s="1366">
        <v>6.8999999999999999E-3</v>
      </c>
      <c r="F799" s="5">
        <v>7.1916666666666674E-3</v>
      </c>
      <c r="G799" s="5">
        <v>7.0458333333333336E-3</v>
      </c>
      <c r="H799" s="1366">
        <v>7.3995833333333335E-3</v>
      </c>
      <c r="I799" s="1366">
        <f t="shared" si="36"/>
        <v>-1.1999999999999997E-3</v>
      </c>
      <c r="J799" s="1366">
        <f t="shared" si="37"/>
        <v>-2.1458333333333338E-3</v>
      </c>
      <c r="K799" s="1366">
        <f t="shared" si="38"/>
        <v>-8.899583333333334E-3</v>
      </c>
    </row>
    <row r="800" spans="1:11" x14ac:dyDescent="0.55000000000000004">
      <c r="A800" s="295">
        <v>33756</v>
      </c>
      <c r="B800" s="1368">
        <v>-1.49E-2</v>
      </c>
      <c r="C800" s="1366">
        <v>1.41E-2</v>
      </c>
      <c r="D800" s="1366">
        <v>6.7000000000000002E-3</v>
      </c>
      <c r="E800" s="1366">
        <v>6.8500000000000002E-3</v>
      </c>
      <c r="F800" s="5">
        <v>7.1333333333333335E-3</v>
      </c>
      <c r="G800" s="5">
        <v>6.9916666666666669E-3</v>
      </c>
      <c r="H800" s="1366">
        <v>7.3230833333333325E-3</v>
      </c>
      <c r="I800" s="1366">
        <f t="shared" si="36"/>
        <v>-2.1600000000000001E-2</v>
      </c>
      <c r="J800" s="1366">
        <f t="shared" si="37"/>
        <v>-2.1891666666666667E-2</v>
      </c>
      <c r="K800" s="1366">
        <f t="shared" si="38"/>
        <v>6.7769166666666672E-3</v>
      </c>
    </row>
    <row r="801" spans="1:11" x14ac:dyDescent="0.55000000000000004">
      <c r="A801" s="295">
        <v>33786</v>
      </c>
      <c r="B801" s="1368">
        <v>4.0899999999999999E-2</v>
      </c>
      <c r="C801" s="1366">
        <v>7.9000000000000001E-2</v>
      </c>
      <c r="D801" s="1366">
        <v>6.3E-3</v>
      </c>
      <c r="E801" s="1366">
        <v>6.7250000000000001E-3</v>
      </c>
      <c r="F801" s="5">
        <v>6.9749999999999986E-3</v>
      </c>
      <c r="G801" s="5">
        <v>6.8499999999999993E-3</v>
      </c>
      <c r="H801" s="1366">
        <v>7.1492500000000002E-3</v>
      </c>
      <c r="I801" s="1366">
        <f t="shared" si="36"/>
        <v>3.4599999999999999E-2</v>
      </c>
      <c r="J801" s="1366">
        <f t="shared" si="37"/>
        <v>3.4049999999999997E-2</v>
      </c>
      <c r="K801" s="1366">
        <f t="shared" si="38"/>
        <v>7.1850750000000005E-2</v>
      </c>
    </row>
    <row r="802" spans="1:11" x14ac:dyDescent="0.55000000000000004">
      <c r="A802" s="295">
        <v>33817</v>
      </c>
      <c r="B802" s="1368">
        <v>-2.0500000000000001E-2</v>
      </c>
      <c r="C802" s="1366">
        <v>-7.4000000000000012E-3</v>
      </c>
      <c r="D802" s="1366">
        <v>6.0000000000000001E-3</v>
      </c>
      <c r="E802" s="1366">
        <v>6.6249999999999998E-3</v>
      </c>
      <c r="F802" s="5">
        <v>6.8416666666666669E-3</v>
      </c>
      <c r="G802" s="5">
        <v>6.7333333333333334E-3</v>
      </c>
      <c r="H802" s="1366">
        <v>7.031333333333333E-3</v>
      </c>
      <c r="I802" s="1366">
        <f t="shared" si="36"/>
        <v>-2.6500000000000003E-2</v>
      </c>
      <c r="J802" s="1366">
        <f t="shared" si="37"/>
        <v>-2.7233333333333335E-2</v>
      </c>
      <c r="K802" s="1366">
        <f t="shared" si="38"/>
        <v>-1.4431333333333334E-2</v>
      </c>
    </row>
    <row r="803" spans="1:11" x14ac:dyDescent="0.55000000000000004">
      <c r="A803" s="295">
        <v>33848</v>
      </c>
      <c r="B803" s="1368">
        <v>1.18E-2</v>
      </c>
      <c r="C803" s="1366">
        <v>7.2999999999999983E-3</v>
      </c>
      <c r="D803" s="1366">
        <v>5.7999999999999996E-3</v>
      </c>
      <c r="E803" s="1366">
        <v>6.6E-3</v>
      </c>
      <c r="F803" s="5">
        <v>6.8083333333333329E-3</v>
      </c>
      <c r="G803" s="5">
        <v>6.7041666666666664E-3</v>
      </c>
      <c r="H803" s="1366">
        <v>7.0059166666666664E-3</v>
      </c>
      <c r="I803" s="1366">
        <f t="shared" si="36"/>
        <v>6.0000000000000001E-3</v>
      </c>
      <c r="J803" s="1366">
        <f t="shared" si="37"/>
        <v>5.0958333333333333E-3</v>
      </c>
      <c r="K803" s="1366">
        <f t="shared" si="38"/>
        <v>2.9408333333333196E-4</v>
      </c>
    </row>
    <row r="804" spans="1:11" x14ac:dyDescent="0.55000000000000004">
      <c r="A804" s="295">
        <v>33878</v>
      </c>
      <c r="B804" s="1368">
        <v>3.5000000000000001E-3</v>
      </c>
      <c r="C804" s="1366">
        <v>-9.3999999999999986E-3</v>
      </c>
      <c r="D804" s="1366">
        <v>5.7000000000000002E-3</v>
      </c>
      <c r="E804" s="1366">
        <v>6.6583333333333338E-3</v>
      </c>
      <c r="F804" s="5">
        <v>6.9333333333333339E-3</v>
      </c>
      <c r="G804" s="5">
        <v>6.7958333333333343E-3</v>
      </c>
      <c r="H804" s="1366">
        <v>7.1056666666666664E-3</v>
      </c>
      <c r="I804" s="1366">
        <f t="shared" si="36"/>
        <v>-2.2000000000000001E-3</v>
      </c>
      <c r="J804" s="1366">
        <f t="shared" si="37"/>
        <v>-3.2958333333333342E-3</v>
      </c>
      <c r="K804" s="1366">
        <f t="shared" si="38"/>
        <v>-1.6505666666666665E-2</v>
      </c>
    </row>
    <row r="805" spans="1:11" x14ac:dyDescent="0.55000000000000004">
      <c r="A805" s="295">
        <v>33909</v>
      </c>
      <c r="B805" s="1368">
        <v>3.4099999999999998E-2</v>
      </c>
      <c r="C805" s="1366">
        <v>-1.5000000000000005E-3</v>
      </c>
      <c r="D805" s="1366">
        <v>6.0999999999999995E-3</v>
      </c>
      <c r="E805" s="1366">
        <v>6.7499999999999991E-3</v>
      </c>
      <c r="F805" s="5">
        <v>7.000000000000001E-3</v>
      </c>
      <c r="G805" s="5">
        <v>6.875E-3</v>
      </c>
      <c r="H805" s="1366">
        <v>7.1925833333333329E-3</v>
      </c>
      <c r="I805" s="1366">
        <f t="shared" si="36"/>
        <v>2.7999999999999997E-2</v>
      </c>
      <c r="J805" s="1366">
        <f t="shared" si="37"/>
        <v>2.7224999999999999E-2</v>
      </c>
      <c r="K805" s="1366">
        <f t="shared" si="38"/>
        <v>-8.6925833333333334E-3</v>
      </c>
    </row>
    <row r="806" spans="1:11" x14ac:dyDescent="0.55000000000000004">
      <c r="A806" s="295">
        <v>33939</v>
      </c>
      <c r="B806" s="1368">
        <v>1.23E-2</v>
      </c>
      <c r="C806" s="1366">
        <v>3.5799999999999998E-2</v>
      </c>
      <c r="D806" s="1366">
        <v>6.3E-3</v>
      </c>
      <c r="E806" s="1366">
        <v>6.6500000000000005E-3</v>
      </c>
      <c r="F806" s="5">
        <v>6.8666666666666668E-3</v>
      </c>
      <c r="G806" s="5">
        <v>6.7583333333333332E-3</v>
      </c>
      <c r="H806" s="1366">
        <v>7.0420833333333334E-3</v>
      </c>
      <c r="I806" s="1366">
        <f t="shared" si="36"/>
        <v>6.0000000000000001E-3</v>
      </c>
      <c r="J806" s="1366">
        <f t="shared" si="37"/>
        <v>5.541666666666667E-3</v>
      </c>
      <c r="K806" s="1366">
        <f t="shared" si="38"/>
        <v>2.8757916666666664E-2</v>
      </c>
    </row>
    <row r="807" spans="1:11" x14ac:dyDescent="0.55000000000000004">
      <c r="A807" s="295">
        <v>33970</v>
      </c>
      <c r="B807" s="1368">
        <v>8.3999999999999995E-3</v>
      </c>
      <c r="C807" s="1366">
        <v>1.5699999999999999E-2</v>
      </c>
      <c r="D807" s="1366">
        <v>5.8999999999999999E-3</v>
      </c>
      <c r="E807" s="1366">
        <v>6.5916666666666667E-3</v>
      </c>
      <c r="F807" s="5">
        <v>6.7583333333333332E-3</v>
      </c>
      <c r="G807" s="5">
        <v>6.6749999999999995E-3</v>
      </c>
      <c r="H807" s="1366">
        <v>6.9009166666666663E-3</v>
      </c>
      <c r="I807" s="1366">
        <f t="shared" si="36"/>
        <v>2.4999999999999996E-3</v>
      </c>
      <c r="J807" s="1366">
        <f t="shared" si="37"/>
        <v>1.725E-3</v>
      </c>
      <c r="K807" s="1366">
        <f t="shared" si="38"/>
        <v>8.7990833333333324E-3</v>
      </c>
    </row>
    <row r="808" spans="1:11" x14ac:dyDescent="0.55000000000000004">
      <c r="A808" s="295">
        <v>34001</v>
      </c>
      <c r="B808" s="1368">
        <v>1.3599999999999999E-2</v>
      </c>
      <c r="C808" s="1366">
        <v>7.2099999999999997E-2</v>
      </c>
      <c r="D808" s="1366">
        <v>5.4999999999999997E-3</v>
      </c>
      <c r="E808" s="1366">
        <v>6.4249999999999993E-3</v>
      </c>
      <c r="F808" s="5">
        <v>6.5833333333333334E-3</v>
      </c>
      <c r="G808" s="5">
        <v>6.5041666666666668E-3</v>
      </c>
      <c r="H808" s="1366">
        <v>6.7039166666666671E-3</v>
      </c>
      <c r="I808" s="1366">
        <f t="shared" si="36"/>
        <v>8.0999999999999996E-3</v>
      </c>
      <c r="J808" s="1366">
        <f t="shared" si="37"/>
        <v>7.0958333333333325E-3</v>
      </c>
      <c r="K808" s="1366">
        <f t="shared" si="38"/>
        <v>6.5396083333333327E-2</v>
      </c>
    </row>
    <row r="809" spans="1:11" x14ac:dyDescent="0.55000000000000004">
      <c r="A809" s="295">
        <v>34029</v>
      </c>
      <c r="B809" s="1368">
        <v>2.1100000000000001E-2</v>
      </c>
      <c r="C809" s="1366">
        <v>1.7999999999999999E-2</v>
      </c>
      <c r="D809" s="1366">
        <v>6.3E-3</v>
      </c>
      <c r="E809" s="1366">
        <v>6.3166666666666675E-3</v>
      </c>
      <c r="F809" s="5">
        <v>6.4333333333333334E-3</v>
      </c>
      <c r="G809" s="5">
        <v>6.3749999999999996E-3</v>
      </c>
      <c r="H809" s="1366">
        <v>6.5854999999999993E-3</v>
      </c>
      <c r="I809" s="1366">
        <f t="shared" si="36"/>
        <v>1.4800000000000001E-2</v>
      </c>
      <c r="J809" s="1366">
        <f t="shared" si="37"/>
        <v>1.4725000000000002E-2</v>
      </c>
      <c r="K809" s="1366">
        <f t="shared" si="38"/>
        <v>1.1414499999999999E-2</v>
      </c>
    </row>
    <row r="810" spans="1:11" x14ac:dyDescent="0.55000000000000004">
      <c r="A810" s="295">
        <v>34060</v>
      </c>
      <c r="B810" s="1368">
        <v>-2.4199999999999999E-2</v>
      </c>
      <c r="C810" s="1366">
        <v>-2.6999999999999993E-3</v>
      </c>
      <c r="D810" s="1366">
        <v>5.7000000000000002E-3</v>
      </c>
      <c r="E810" s="1366">
        <v>6.2166666666666672E-3</v>
      </c>
      <c r="F810" s="5">
        <v>6.3499999999999997E-3</v>
      </c>
      <c r="G810" s="5">
        <v>6.2833333333333343E-3</v>
      </c>
      <c r="H810" s="1366">
        <v>6.514666666666666E-3</v>
      </c>
      <c r="I810" s="1366">
        <f t="shared" si="36"/>
        <v>-2.9899999999999999E-2</v>
      </c>
      <c r="J810" s="1366">
        <f t="shared" si="37"/>
        <v>-3.0483333333333335E-2</v>
      </c>
      <c r="K810" s="1366">
        <f t="shared" si="38"/>
        <v>-9.2146666666666661E-3</v>
      </c>
    </row>
    <row r="811" spans="1:11" x14ac:dyDescent="0.55000000000000004">
      <c r="A811" s="295">
        <v>34090</v>
      </c>
      <c r="B811" s="1368">
        <v>2.6800000000000001E-2</v>
      </c>
      <c r="C811" s="1366">
        <v>-1.9099999999999999E-2</v>
      </c>
      <c r="D811" s="1366">
        <v>5.1999999999999998E-3</v>
      </c>
      <c r="E811" s="1366">
        <v>6.1916666666666665E-3</v>
      </c>
      <c r="F811" s="5">
        <v>6.3416666666666665E-3</v>
      </c>
      <c r="G811" s="5">
        <v>6.2666666666666669E-3</v>
      </c>
      <c r="H811" s="1366">
        <v>6.5491666666666667E-3</v>
      </c>
      <c r="I811" s="1366">
        <f t="shared" si="36"/>
        <v>2.1600000000000001E-2</v>
      </c>
      <c r="J811" s="1366">
        <f t="shared" si="37"/>
        <v>2.0533333333333334E-2</v>
      </c>
      <c r="K811" s="1366">
        <f t="shared" si="38"/>
        <v>-2.5649166666666667E-2</v>
      </c>
    </row>
    <row r="812" spans="1:11" x14ac:dyDescent="0.55000000000000004">
      <c r="A812" s="295">
        <v>34121</v>
      </c>
      <c r="B812" s="1368">
        <v>2.8999999999999998E-3</v>
      </c>
      <c r="C812" s="1366">
        <v>4.6300000000000001E-2</v>
      </c>
      <c r="D812" s="1366">
        <v>6.1999999999999998E-3</v>
      </c>
      <c r="E812" s="1366">
        <v>6.1083333333333337E-3</v>
      </c>
      <c r="F812" s="5">
        <v>6.2583333333333336E-3</v>
      </c>
      <c r="G812" s="5">
        <v>6.1833333333333341E-3</v>
      </c>
      <c r="H812" s="1366">
        <v>6.4693333333333339E-3</v>
      </c>
      <c r="I812" s="1366">
        <f t="shared" si="36"/>
        <v>-3.3E-3</v>
      </c>
      <c r="J812" s="1366">
        <f t="shared" si="37"/>
        <v>-3.2833333333333343E-3</v>
      </c>
      <c r="K812" s="1366">
        <f t="shared" si="38"/>
        <v>3.9830666666666667E-2</v>
      </c>
    </row>
    <row r="813" spans="1:11" x14ac:dyDescent="0.55000000000000004">
      <c r="A813" s="295">
        <v>34151</v>
      </c>
      <c r="B813" s="1368">
        <v>-4.0000000000000001E-3</v>
      </c>
      <c r="C813" s="1366">
        <v>2.2599999999999999E-2</v>
      </c>
      <c r="D813" s="1366">
        <v>5.4000000000000003E-3</v>
      </c>
      <c r="E813" s="1366">
        <v>5.9750000000000003E-3</v>
      </c>
      <c r="F813" s="5">
        <v>6.1249999999999994E-3</v>
      </c>
      <c r="G813" s="5">
        <v>6.0499999999999998E-3</v>
      </c>
      <c r="H813" s="1366">
        <v>6.284500000000001E-3</v>
      </c>
      <c r="I813" s="1366">
        <f t="shared" si="36"/>
        <v>-9.4000000000000004E-3</v>
      </c>
      <c r="J813" s="1366">
        <f t="shared" si="37"/>
        <v>-1.005E-2</v>
      </c>
      <c r="K813" s="1366">
        <f t="shared" si="38"/>
        <v>1.6315499999999997E-2</v>
      </c>
    </row>
    <row r="814" spans="1:11" x14ac:dyDescent="0.55000000000000004">
      <c r="A814" s="295">
        <v>34182</v>
      </c>
      <c r="B814" s="1368">
        <v>3.7900000000000003E-2</v>
      </c>
      <c r="C814" s="1366">
        <v>4.8399999999999999E-2</v>
      </c>
      <c r="D814" s="1366">
        <v>5.5999999999999991E-3</v>
      </c>
      <c r="E814" s="1366">
        <v>5.7083333333333326E-3</v>
      </c>
      <c r="F814" s="5">
        <v>5.8833333333333324E-3</v>
      </c>
      <c r="G814" s="5">
        <v>5.7958333333333334E-3</v>
      </c>
      <c r="H814" s="1366">
        <v>6.0587500000000008E-3</v>
      </c>
      <c r="I814" s="1366">
        <f t="shared" si="36"/>
        <v>3.2300000000000002E-2</v>
      </c>
      <c r="J814" s="1366">
        <f t="shared" si="37"/>
        <v>3.210416666666667E-2</v>
      </c>
      <c r="K814" s="1366">
        <f t="shared" si="38"/>
        <v>4.2341249999999997E-2</v>
      </c>
    </row>
    <row r="815" spans="1:11" x14ac:dyDescent="0.55000000000000004">
      <c r="A815" s="295">
        <v>34213</v>
      </c>
      <c r="B815" s="1368">
        <v>-7.7000000000000002E-3</v>
      </c>
      <c r="C815" s="1366">
        <v>-2E-3</v>
      </c>
      <c r="D815" s="1366">
        <v>5.0000000000000001E-3</v>
      </c>
      <c r="E815" s="1366">
        <v>5.5500000000000002E-3</v>
      </c>
      <c r="F815" s="5">
        <v>5.7083333333333326E-3</v>
      </c>
      <c r="G815" s="5">
        <v>5.6291666666666677E-3</v>
      </c>
      <c r="H815" s="1366">
        <v>5.8635000000000007E-3</v>
      </c>
      <c r="I815" s="1366">
        <f t="shared" si="36"/>
        <v>-1.2699999999999999E-2</v>
      </c>
      <c r="J815" s="1366">
        <f t="shared" si="37"/>
        <v>-1.3329166666666668E-2</v>
      </c>
      <c r="K815" s="1366">
        <f t="shared" si="38"/>
        <v>-7.8635000000000007E-3</v>
      </c>
    </row>
    <row r="816" spans="1:11" x14ac:dyDescent="0.55000000000000004">
      <c r="A816" s="295">
        <v>34243</v>
      </c>
      <c r="B816" s="1368">
        <v>2.07E-2</v>
      </c>
      <c r="C816" s="1366">
        <v>-2.1000000000000003E-3</v>
      </c>
      <c r="D816" s="1366">
        <v>4.8999999999999998E-3</v>
      </c>
      <c r="E816" s="1366">
        <v>5.5583333333333327E-3</v>
      </c>
      <c r="F816" s="5">
        <v>5.7250000000000001E-3</v>
      </c>
      <c r="G816" s="5">
        <v>5.6416666666666672E-3</v>
      </c>
      <c r="H816" s="1366">
        <v>5.8567500000000008E-3</v>
      </c>
      <c r="I816" s="1366">
        <f t="shared" si="36"/>
        <v>1.5800000000000002E-2</v>
      </c>
      <c r="J816" s="1366">
        <f t="shared" si="37"/>
        <v>1.5058333333333333E-2</v>
      </c>
      <c r="K816" s="1366">
        <f t="shared" si="38"/>
        <v>-7.956750000000002E-3</v>
      </c>
    </row>
    <row r="817" spans="1:11" x14ac:dyDescent="0.55000000000000004">
      <c r="A817" s="295">
        <v>34274</v>
      </c>
      <c r="B817" s="1368">
        <v>-9.4999999999999998E-3</v>
      </c>
      <c r="C817" s="1366">
        <v>-5.0700000000000002E-2</v>
      </c>
      <c r="D817" s="1366">
        <v>5.3E-3</v>
      </c>
      <c r="E817" s="1366">
        <v>5.7749999999999998E-3</v>
      </c>
      <c r="F817" s="5">
        <v>5.9333333333333339E-3</v>
      </c>
      <c r="G817" s="5">
        <v>5.8541666666666672E-3</v>
      </c>
      <c r="H817" s="1366">
        <v>6.0670833333333332E-3</v>
      </c>
      <c r="I817" s="1366">
        <f t="shared" si="36"/>
        <v>-1.4800000000000001E-2</v>
      </c>
      <c r="J817" s="1366">
        <f t="shared" si="37"/>
        <v>-1.5354166666666667E-2</v>
      </c>
      <c r="K817" s="1366">
        <f t="shared" si="38"/>
        <v>-5.6767083333333336E-2</v>
      </c>
    </row>
    <row r="818" spans="1:11" x14ac:dyDescent="0.55000000000000004">
      <c r="A818" s="295">
        <v>34304</v>
      </c>
      <c r="B818" s="1368">
        <v>1.21E-2</v>
      </c>
      <c r="C818" s="1366">
        <v>-5.3E-3</v>
      </c>
      <c r="D818" s="1366">
        <v>5.4999999999999997E-3</v>
      </c>
      <c r="E818" s="1366">
        <v>5.7749999999999998E-3</v>
      </c>
      <c r="F818" s="5">
        <v>5.9333333333333339E-3</v>
      </c>
      <c r="G818" s="5">
        <v>5.8541666666666672E-3</v>
      </c>
      <c r="H818" s="1366">
        <v>6.1131666666666661E-3</v>
      </c>
      <c r="I818" s="1366">
        <f t="shared" si="36"/>
        <v>6.6E-3</v>
      </c>
      <c r="J818" s="1366">
        <f t="shared" si="37"/>
        <v>6.2458333333333324E-3</v>
      </c>
      <c r="K818" s="1366">
        <f t="shared" si="38"/>
        <v>-1.1413166666666665E-2</v>
      </c>
    </row>
    <row r="819" spans="1:11" x14ac:dyDescent="0.55000000000000004">
      <c r="A819" s="295">
        <v>34335</v>
      </c>
      <c r="B819" s="1368">
        <v>3.4000000000000002E-2</v>
      </c>
      <c r="C819" s="1366">
        <v>7.1999999999999998E-3</v>
      </c>
      <c r="D819" s="1366">
        <v>5.4999999999999997E-3</v>
      </c>
      <c r="E819" s="1366">
        <v>5.7666666666666665E-3</v>
      </c>
      <c r="F819" s="5">
        <v>5.9333333333333339E-3</v>
      </c>
      <c r="G819" s="5">
        <v>5.8499999999999993E-3</v>
      </c>
      <c r="H819" s="1366">
        <v>6.1104166666666668E-3</v>
      </c>
      <c r="I819" s="1366">
        <f t="shared" si="36"/>
        <v>2.8500000000000004E-2</v>
      </c>
      <c r="J819" s="1366">
        <f t="shared" si="37"/>
        <v>2.8150000000000001E-2</v>
      </c>
      <c r="K819" s="1366">
        <f t="shared" si="38"/>
        <v>1.089583333333333E-3</v>
      </c>
    </row>
    <row r="820" spans="1:11" x14ac:dyDescent="0.55000000000000004">
      <c r="A820" s="295">
        <v>34366</v>
      </c>
      <c r="B820" s="1368">
        <v>-2.7099999999999999E-2</v>
      </c>
      <c r="C820" s="1366">
        <v>-5.67E-2</v>
      </c>
      <c r="D820" s="1366">
        <v>4.8999999999999998E-3</v>
      </c>
      <c r="E820" s="1366">
        <v>5.8999999999999999E-3</v>
      </c>
      <c r="F820" s="5">
        <v>6.0750000000000005E-3</v>
      </c>
      <c r="G820" s="5">
        <v>5.9874999999999998E-3</v>
      </c>
      <c r="H820" s="1366">
        <v>6.2052499999999998E-3</v>
      </c>
      <c r="I820" s="1366">
        <f t="shared" si="36"/>
        <v>-3.2000000000000001E-2</v>
      </c>
      <c r="J820" s="1366">
        <f t="shared" si="37"/>
        <v>-3.3087499999999999E-2</v>
      </c>
      <c r="K820" s="1366">
        <f t="shared" si="38"/>
        <v>-6.2905249999999996E-2</v>
      </c>
    </row>
    <row r="821" spans="1:11" x14ac:dyDescent="0.55000000000000004">
      <c r="A821" s="295">
        <v>34394</v>
      </c>
      <c r="B821" s="1368">
        <v>-4.36E-2</v>
      </c>
      <c r="C821" s="1366">
        <v>-3.3800000000000004E-2</v>
      </c>
      <c r="D821" s="1366">
        <v>5.7999999999999996E-3</v>
      </c>
      <c r="E821" s="1366">
        <v>5.8999999999999999E-3</v>
      </c>
      <c r="F821" s="5">
        <v>6.0750000000000005E-3</v>
      </c>
      <c r="G821" s="5">
        <v>5.9874999999999998E-3</v>
      </c>
      <c r="H821" s="1366">
        <v>6.527666666666666E-3</v>
      </c>
      <c r="I821" s="1366">
        <f t="shared" si="36"/>
        <v>-4.9399999999999999E-2</v>
      </c>
      <c r="J821" s="1366">
        <f t="shared" si="37"/>
        <v>-4.95875E-2</v>
      </c>
      <c r="K821" s="1366">
        <f t="shared" si="38"/>
        <v>-4.0327666666666671E-2</v>
      </c>
    </row>
    <row r="822" spans="1:11" x14ac:dyDescent="0.55000000000000004">
      <c r="A822" s="295">
        <v>34425</v>
      </c>
      <c r="B822" s="1368">
        <v>1.2800000000000001E-2</v>
      </c>
      <c r="C822" s="1366">
        <v>2.46E-2</v>
      </c>
      <c r="D822" s="1366">
        <v>5.7000000000000002E-3</v>
      </c>
      <c r="E822" s="1366">
        <v>6.2333333333333338E-3</v>
      </c>
      <c r="F822" s="5">
        <v>6.4083333333333336E-3</v>
      </c>
      <c r="G822" s="5">
        <v>6.3208333333333337E-3</v>
      </c>
      <c r="H822" s="1366">
        <v>6.8514166666666662E-3</v>
      </c>
      <c r="I822" s="1366">
        <f t="shared" si="36"/>
        <v>7.1000000000000004E-3</v>
      </c>
      <c r="J822" s="1366">
        <f t="shared" si="37"/>
        <v>6.4791666666666669E-3</v>
      </c>
      <c r="K822" s="1366">
        <f t="shared" si="38"/>
        <v>1.7748583333333335E-2</v>
      </c>
    </row>
    <row r="823" spans="1:11" x14ac:dyDescent="0.55000000000000004">
      <c r="A823" s="295">
        <v>34455</v>
      </c>
      <c r="B823" s="1368">
        <v>1.6400000000000001E-2</v>
      </c>
      <c r="C823" s="1366">
        <v>-2.6800000000000001E-2</v>
      </c>
      <c r="D823" s="1366">
        <v>6.3E-3</v>
      </c>
      <c r="E823" s="1366">
        <v>6.6583333333333338E-3</v>
      </c>
      <c r="F823" s="5">
        <v>6.8250000000000003E-3</v>
      </c>
      <c r="G823" s="5">
        <v>6.7416666666666666E-3</v>
      </c>
      <c r="H823" s="1366">
        <v>6.9384999999999994E-3</v>
      </c>
      <c r="I823" s="1366">
        <f t="shared" si="36"/>
        <v>1.0100000000000001E-2</v>
      </c>
      <c r="J823" s="1366">
        <f t="shared" si="37"/>
        <v>9.6583333333333347E-3</v>
      </c>
      <c r="K823" s="1366">
        <f t="shared" si="38"/>
        <v>-3.3738499999999998E-2</v>
      </c>
    </row>
    <row r="824" spans="1:11" x14ac:dyDescent="0.55000000000000004">
      <c r="A824" s="295">
        <v>34486</v>
      </c>
      <c r="B824" s="1368">
        <v>-2.4500000000000001E-2</v>
      </c>
      <c r="C824" s="1366">
        <v>2.0999999999999994E-3</v>
      </c>
      <c r="D824" s="1366">
        <v>6.0999999999999995E-3</v>
      </c>
      <c r="E824" s="1366">
        <v>6.6416666666666672E-3</v>
      </c>
      <c r="F824" s="5">
        <v>6.8083333333333329E-3</v>
      </c>
      <c r="G824" s="5">
        <v>6.7250000000000001E-3</v>
      </c>
      <c r="H824" s="1366">
        <v>6.9234166666666663E-3</v>
      </c>
      <c r="I824" s="1366">
        <f t="shared" si="36"/>
        <v>-3.0600000000000002E-2</v>
      </c>
      <c r="J824" s="1366">
        <f t="shared" si="37"/>
        <v>-3.1225000000000003E-2</v>
      </c>
      <c r="K824" s="1366">
        <f t="shared" si="38"/>
        <v>-4.8234166666666668E-3</v>
      </c>
    </row>
    <row r="825" spans="1:11" x14ac:dyDescent="0.55000000000000004">
      <c r="A825" s="295">
        <v>34516</v>
      </c>
      <c r="B825" s="1368">
        <v>3.2800000000000003E-2</v>
      </c>
      <c r="C825" s="1366">
        <v>3.3599999999999998E-2</v>
      </c>
      <c r="D825" s="1366">
        <v>6.0000000000000001E-3</v>
      </c>
      <c r="E825" s="1366">
        <v>6.7583333333333332E-3</v>
      </c>
      <c r="F825" s="5">
        <v>6.9249999999999997E-3</v>
      </c>
      <c r="G825" s="5">
        <v>6.841666666666666E-3</v>
      </c>
      <c r="H825" s="1366">
        <v>7.0627500000000013E-3</v>
      </c>
      <c r="I825" s="1366">
        <f t="shared" si="36"/>
        <v>2.6800000000000004E-2</v>
      </c>
      <c r="J825" s="1366">
        <f t="shared" si="37"/>
        <v>2.5958333333333337E-2</v>
      </c>
      <c r="K825" s="1366">
        <f t="shared" si="38"/>
        <v>2.6537249999999998E-2</v>
      </c>
    </row>
    <row r="826" spans="1:11" x14ac:dyDescent="0.55000000000000004">
      <c r="A826" s="295">
        <v>34547</v>
      </c>
      <c r="B826" s="1368">
        <v>4.1000000000000002E-2</v>
      </c>
      <c r="C826" s="1366">
        <v>-2.7999999999999995E-3</v>
      </c>
      <c r="D826" s="1366">
        <v>6.6E-3</v>
      </c>
      <c r="E826" s="1366">
        <v>6.7250000000000001E-3</v>
      </c>
      <c r="F826" s="5">
        <v>6.875E-3</v>
      </c>
      <c r="G826" s="5">
        <v>6.7999999999999996E-3</v>
      </c>
      <c r="H826" s="1366">
        <v>7.0058333333333335E-3</v>
      </c>
      <c r="I826" s="1366">
        <f t="shared" si="36"/>
        <v>3.44E-2</v>
      </c>
      <c r="J826" s="1366">
        <f t="shared" si="37"/>
        <v>3.4200000000000001E-2</v>
      </c>
      <c r="K826" s="1366">
        <f t="shared" si="38"/>
        <v>-9.8058333333333331E-3</v>
      </c>
    </row>
    <row r="827" spans="1:11" x14ac:dyDescent="0.55000000000000004">
      <c r="A827" s="295">
        <v>34578</v>
      </c>
      <c r="B827" s="1368">
        <v>-2.4500000000000001E-2</v>
      </c>
      <c r="C827" s="1366">
        <v>-2.5399999999999999E-2</v>
      </c>
      <c r="D827" s="1366">
        <v>6.0999999999999995E-3</v>
      </c>
      <c r="E827" s="1366">
        <v>6.9499999999999996E-3</v>
      </c>
      <c r="F827" s="5">
        <v>7.0750000000000006E-3</v>
      </c>
      <c r="G827" s="5">
        <v>7.0124999999999996E-3</v>
      </c>
      <c r="H827" s="1366">
        <v>7.1869166666666661E-3</v>
      </c>
      <c r="I827" s="1366">
        <f t="shared" si="36"/>
        <v>-3.0600000000000002E-2</v>
      </c>
      <c r="J827" s="1366">
        <f t="shared" si="37"/>
        <v>-3.1512499999999999E-2</v>
      </c>
      <c r="K827" s="1366">
        <f t="shared" si="38"/>
        <v>-3.2586916666666667E-2</v>
      </c>
    </row>
    <row r="828" spans="1:11" x14ac:dyDescent="0.55000000000000004">
      <c r="A828" s="295">
        <v>34608</v>
      </c>
      <c r="B828" s="1368">
        <v>2.2499999999999999E-2</v>
      </c>
      <c r="C828" s="1366">
        <v>8.6E-3</v>
      </c>
      <c r="D828" s="1366">
        <v>6.6E-3</v>
      </c>
      <c r="E828" s="1366">
        <v>7.1416666666666677E-3</v>
      </c>
      <c r="F828" s="5">
        <v>7.2583333333333345E-3</v>
      </c>
      <c r="G828" s="5">
        <v>7.2000000000000007E-3</v>
      </c>
      <c r="H828" s="1366">
        <v>7.376999999999999E-3</v>
      </c>
      <c r="I828" s="1366">
        <f t="shared" si="36"/>
        <v>1.5899999999999997E-2</v>
      </c>
      <c r="J828" s="1366">
        <f t="shared" si="37"/>
        <v>1.5299999999999998E-2</v>
      </c>
      <c r="K828" s="1366">
        <f t="shared" si="38"/>
        <v>1.223000000000001E-3</v>
      </c>
    </row>
    <row r="829" spans="1:11" x14ac:dyDescent="0.55000000000000004">
      <c r="A829" s="295">
        <v>34639</v>
      </c>
      <c r="B829" s="1368">
        <v>-3.6400000000000002E-2</v>
      </c>
      <c r="C829" s="1366">
        <v>-1.46E-2</v>
      </c>
      <c r="D829" s="1366">
        <v>6.4000000000000003E-3</v>
      </c>
      <c r="E829" s="1366">
        <v>7.2333333333333329E-3</v>
      </c>
      <c r="F829" s="5">
        <v>7.358333333333333E-3</v>
      </c>
      <c r="G829" s="5">
        <v>7.2958333333333321E-3</v>
      </c>
      <c r="H829" s="1366">
        <v>7.4862499999999998E-3</v>
      </c>
      <c r="I829" s="1366">
        <f t="shared" si="36"/>
        <v>-4.2800000000000005E-2</v>
      </c>
      <c r="J829" s="1366">
        <f t="shared" si="37"/>
        <v>-4.3695833333333337E-2</v>
      </c>
      <c r="K829" s="1366">
        <f t="shared" si="38"/>
        <v>-2.2086250000000002E-2</v>
      </c>
    </row>
    <row r="830" spans="1:11" x14ac:dyDescent="0.55000000000000004">
      <c r="A830" s="295">
        <v>34669</v>
      </c>
      <c r="B830" s="1368">
        <v>1.4800000000000001E-2</v>
      </c>
      <c r="C830" s="1366">
        <v>5.1999999999999998E-3</v>
      </c>
      <c r="D830" s="1366">
        <v>6.6E-3</v>
      </c>
      <c r="E830" s="1366">
        <v>7.0500000000000007E-3</v>
      </c>
      <c r="F830" s="5">
        <v>7.1833333333333324E-3</v>
      </c>
      <c r="G830" s="5">
        <v>7.116666666666667E-3</v>
      </c>
      <c r="H830" s="1366">
        <v>7.3067500000000007E-3</v>
      </c>
      <c r="I830" s="1366">
        <f t="shared" si="36"/>
        <v>8.2000000000000007E-3</v>
      </c>
      <c r="J830" s="1366">
        <f t="shared" si="37"/>
        <v>7.6833333333333337E-3</v>
      </c>
      <c r="K830" s="1366">
        <f t="shared" si="38"/>
        <v>-2.106750000000001E-3</v>
      </c>
    </row>
    <row r="831" spans="1:11" x14ac:dyDescent="0.55000000000000004">
      <c r="A831" s="295">
        <v>34700</v>
      </c>
      <c r="B831" s="1368">
        <v>2.5899999999999999E-2</v>
      </c>
      <c r="C831" s="1366">
        <v>7.7900000000000011E-2</v>
      </c>
      <c r="D831" s="1366">
        <v>7.000000000000001E-3</v>
      </c>
      <c r="E831" s="1366">
        <v>7.0500000000000007E-3</v>
      </c>
      <c r="F831" s="5">
        <v>7.1666666666666667E-3</v>
      </c>
      <c r="G831" s="5">
        <v>7.1083333333333346E-3</v>
      </c>
      <c r="H831" s="1366">
        <v>7.2879166666666665E-3</v>
      </c>
      <c r="I831" s="1366">
        <f t="shared" si="36"/>
        <v>1.89E-2</v>
      </c>
      <c r="J831" s="1366">
        <f t="shared" si="37"/>
        <v>1.8791666666666665E-2</v>
      </c>
      <c r="K831" s="1366">
        <f t="shared" si="38"/>
        <v>7.0612083333333339E-2</v>
      </c>
    </row>
    <row r="832" spans="1:11" x14ac:dyDescent="0.55000000000000004">
      <c r="A832" s="295">
        <v>34731</v>
      </c>
      <c r="B832" s="1368">
        <v>3.9E-2</v>
      </c>
      <c r="C832" s="1366">
        <v>-1.5000000000000005E-3</v>
      </c>
      <c r="D832" s="1366">
        <v>5.8999999999999999E-3</v>
      </c>
      <c r="E832" s="1366">
        <v>6.8833333333333333E-3</v>
      </c>
      <c r="F832" s="5">
        <v>6.9916666666666669E-3</v>
      </c>
      <c r="G832" s="5">
        <v>6.937500000000001E-3</v>
      </c>
      <c r="H832" s="1366">
        <v>7.1083333333333328E-3</v>
      </c>
      <c r="I832" s="1366">
        <f t="shared" si="36"/>
        <v>3.3099999999999997E-2</v>
      </c>
      <c r="J832" s="1366">
        <f t="shared" si="37"/>
        <v>3.2062500000000001E-2</v>
      </c>
      <c r="K832" s="1366">
        <f t="shared" si="38"/>
        <v>-8.6083333333333324E-3</v>
      </c>
    </row>
    <row r="833" spans="1:11" x14ac:dyDescent="0.55000000000000004">
      <c r="A833" s="295">
        <v>34759</v>
      </c>
      <c r="B833" s="1368">
        <v>2.9499999999999998E-2</v>
      </c>
      <c r="C833" s="1366">
        <v>-6.0000000000000001E-3</v>
      </c>
      <c r="D833" s="1366">
        <v>6.4000000000000003E-3</v>
      </c>
      <c r="E833" s="1366">
        <v>6.7666666666666665E-3</v>
      </c>
      <c r="F833" s="5">
        <v>6.8666666666666668E-3</v>
      </c>
      <c r="G833" s="5">
        <v>6.8166666666666662E-3</v>
      </c>
      <c r="H833" s="1366">
        <v>6.9785833333333332E-3</v>
      </c>
      <c r="I833" s="1366">
        <f t="shared" si="36"/>
        <v>2.3099999999999999E-2</v>
      </c>
      <c r="J833" s="1366">
        <f t="shared" si="37"/>
        <v>2.2683333333333333E-2</v>
      </c>
      <c r="K833" s="1366">
        <f t="shared" si="38"/>
        <v>-1.2978583333333333E-2</v>
      </c>
    </row>
    <row r="834" spans="1:11" x14ac:dyDescent="0.55000000000000004">
      <c r="A834" s="295">
        <v>34790</v>
      </c>
      <c r="B834" s="1368">
        <v>2.9399999999999999E-2</v>
      </c>
      <c r="C834" s="1366">
        <v>3.6500000000000005E-2</v>
      </c>
      <c r="D834" s="1366">
        <v>5.7999999999999996E-3</v>
      </c>
      <c r="E834" s="1366">
        <v>6.6916666666666661E-3</v>
      </c>
      <c r="F834" s="5">
        <v>6.7666666666666665E-3</v>
      </c>
      <c r="G834" s="5">
        <v>6.7291666666666663E-3</v>
      </c>
      <c r="H834" s="1366">
        <v>6.8982499999999999E-3</v>
      </c>
      <c r="I834" s="1366">
        <f t="shared" si="36"/>
        <v>2.3599999999999999E-2</v>
      </c>
      <c r="J834" s="1366">
        <f t="shared" si="37"/>
        <v>2.2670833333333335E-2</v>
      </c>
      <c r="K834" s="1366">
        <f t="shared" si="38"/>
        <v>2.9601750000000003E-2</v>
      </c>
    </row>
    <row r="835" spans="1:11" x14ac:dyDescent="0.55000000000000004">
      <c r="A835" s="295">
        <v>34820</v>
      </c>
      <c r="B835" s="1368">
        <v>0.04</v>
      </c>
      <c r="C835" s="1366">
        <v>3.1600000000000003E-2</v>
      </c>
      <c r="D835" s="1366">
        <v>6.5000000000000006E-3</v>
      </c>
      <c r="E835" s="1366">
        <v>6.3750000000000005E-3</v>
      </c>
      <c r="F835" s="5">
        <v>6.45E-3</v>
      </c>
      <c r="G835" s="5">
        <v>6.4125000000000007E-3</v>
      </c>
      <c r="H835" s="1366">
        <v>6.6102499999999998E-3</v>
      </c>
      <c r="I835" s="1366">
        <f t="shared" si="36"/>
        <v>3.3500000000000002E-2</v>
      </c>
      <c r="J835" s="1366">
        <f t="shared" si="37"/>
        <v>3.3587499999999999E-2</v>
      </c>
      <c r="K835" s="1366">
        <f t="shared" si="38"/>
        <v>2.4989750000000005E-2</v>
      </c>
    </row>
    <row r="836" spans="1:11" x14ac:dyDescent="0.55000000000000004">
      <c r="A836" s="295">
        <v>34851</v>
      </c>
      <c r="B836" s="1368">
        <v>2.3199999999999998E-2</v>
      </c>
      <c r="C836" s="1366">
        <v>4.6999999999999993E-3</v>
      </c>
      <c r="D836" s="1366">
        <v>5.4000000000000003E-3</v>
      </c>
      <c r="E836" s="1366">
        <v>6.083333333333333E-3</v>
      </c>
      <c r="F836" s="5">
        <v>6.1916666666666665E-3</v>
      </c>
      <c r="G836" s="5">
        <v>6.1375000000000006E-3</v>
      </c>
      <c r="H836" s="1366">
        <v>6.3360000000000005E-3</v>
      </c>
      <c r="I836" s="1366">
        <f t="shared" ref="I836:I899" si="39">B836-D836</f>
        <v>1.7799999999999996E-2</v>
      </c>
      <c r="J836" s="1366">
        <f t="shared" si="37"/>
        <v>1.7062499999999998E-2</v>
      </c>
      <c r="K836" s="1366">
        <f t="shared" si="38"/>
        <v>-1.6360000000000012E-3</v>
      </c>
    </row>
    <row r="837" spans="1:11" x14ac:dyDescent="0.55000000000000004">
      <c r="A837" s="295">
        <v>34881</v>
      </c>
      <c r="B837" s="1368">
        <v>3.32E-2</v>
      </c>
      <c r="C837" s="1366">
        <v>2.5500000000000002E-2</v>
      </c>
      <c r="D837" s="1366">
        <v>5.5999999999999991E-3</v>
      </c>
      <c r="E837" s="1366">
        <v>6.1750000000000008E-3</v>
      </c>
      <c r="F837" s="5">
        <v>6.2833333333333326E-3</v>
      </c>
      <c r="G837" s="5">
        <v>6.2291666666666667E-3</v>
      </c>
      <c r="H837" s="1366">
        <v>6.4079166666666668E-3</v>
      </c>
      <c r="I837" s="1366">
        <f t="shared" si="39"/>
        <v>2.76E-2</v>
      </c>
      <c r="J837" s="1366">
        <f t="shared" si="37"/>
        <v>2.6970833333333333E-2</v>
      </c>
      <c r="K837" s="1366">
        <f t="shared" si="38"/>
        <v>1.9092083333333336E-2</v>
      </c>
    </row>
    <row r="838" spans="1:11" x14ac:dyDescent="0.55000000000000004">
      <c r="A838" s="295">
        <v>34912</v>
      </c>
      <c r="B838" s="1368">
        <v>2.5000000000000001E-3</v>
      </c>
      <c r="C838" s="1366">
        <v>2.0200000000000006E-2</v>
      </c>
      <c r="D838" s="1366">
        <v>5.7000000000000002E-3</v>
      </c>
      <c r="E838" s="1366">
        <v>6.3083333333333333E-3</v>
      </c>
      <c r="F838" s="5">
        <v>6.4083333333333336E-3</v>
      </c>
      <c r="G838" s="5">
        <v>6.3583333333333339E-3</v>
      </c>
      <c r="H838" s="1366">
        <v>6.5322500000000007E-3</v>
      </c>
      <c r="I838" s="1366">
        <f t="shared" si="39"/>
        <v>-3.2000000000000002E-3</v>
      </c>
      <c r="J838" s="1366">
        <f t="shared" si="37"/>
        <v>-3.8583333333333338E-3</v>
      </c>
      <c r="K838" s="1366">
        <f t="shared" si="38"/>
        <v>1.3667750000000006E-2</v>
      </c>
    </row>
    <row r="839" spans="1:11" x14ac:dyDescent="0.55000000000000004">
      <c r="A839" s="295">
        <v>34943</v>
      </c>
      <c r="B839" s="1368">
        <v>4.2200000000000001E-2</v>
      </c>
      <c r="C839" s="1366">
        <v>6.3799999999999996E-2</v>
      </c>
      <c r="D839" s="1366">
        <v>5.1999999999999998E-3</v>
      </c>
      <c r="E839" s="1366">
        <v>6.0999999999999995E-3</v>
      </c>
      <c r="F839" s="5">
        <v>6.2083333333333331E-3</v>
      </c>
      <c r="G839" s="5">
        <v>6.1541666666666672E-3</v>
      </c>
      <c r="H839" s="1366">
        <v>6.3499999999999997E-3</v>
      </c>
      <c r="I839" s="1366">
        <f t="shared" si="39"/>
        <v>3.7000000000000005E-2</v>
      </c>
      <c r="J839" s="1366">
        <f t="shared" si="37"/>
        <v>3.6045833333333333E-2</v>
      </c>
      <c r="K839" s="1366">
        <f t="shared" si="38"/>
        <v>5.7449999999999994E-2</v>
      </c>
    </row>
    <row r="840" spans="1:11" x14ac:dyDescent="0.55000000000000004">
      <c r="A840" s="295">
        <v>34973</v>
      </c>
      <c r="B840" s="1368">
        <v>-3.5999999999999999E-3</v>
      </c>
      <c r="C840" s="1366">
        <v>2.3799999999999998E-2</v>
      </c>
      <c r="D840" s="1366">
        <v>5.7000000000000002E-3</v>
      </c>
      <c r="E840" s="1366">
        <v>5.9333333333333339E-3</v>
      </c>
      <c r="F840" s="5">
        <v>6.0583333333333331E-3</v>
      </c>
      <c r="G840" s="5">
        <v>5.9958333333333339E-3</v>
      </c>
      <c r="H840" s="1366">
        <v>6.2238333333333338E-3</v>
      </c>
      <c r="I840" s="1366">
        <f t="shared" si="39"/>
        <v>-9.2999999999999992E-3</v>
      </c>
      <c r="J840" s="1366">
        <f t="shared" si="37"/>
        <v>-9.5958333333333347E-3</v>
      </c>
      <c r="K840" s="1366">
        <f t="shared" si="38"/>
        <v>1.7576166666666664E-2</v>
      </c>
    </row>
    <row r="841" spans="1:11" x14ac:dyDescent="0.55000000000000004">
      <c r="A841" s="295">
        <v>35004</v>
      </c>
      <c r="B841" s="1368">
        <v>4.3900000000000002E-2</v>
      </c>
      <c r="C841" s="1366">
        <v>1.3599999999999999E-2</v>
      </c>
      <c r="D841" s="1366">
        <v>5.1000000000000004E-3</v>
      </c>
      <c r="E841" s="1366">
        <v>5.8499999999999993E-3</v>
      </c>
      <c r="F841" s="5">
        <v>5.9833333333333327E-3</v>
      </c>
      <c r="G841" s="5">
        <v>5.9166666666666656E-3</v>
      </c>
      <c r="H841" s="1366">
        <v>6.1999999999999998E-3</v>
      </c>
      <c r="I841" s="1366">
        <f t="shared" si="39"/>
        <v>3.8800000000000001E-2</v>
      </c>
      <c r="J841" s="1366">
        <f t="shared" si="37"/>
        <v>3.7983333333333334E-2</v>
      </c>
      <c r="K841" s="1366">
        <f t="shared" si="38"/>
        <v>7.3999999999999995E-3</v>
      </c>
    </row>
    <row r="842" spans="1:11" x14ac:dyDescent="0.55000000000000004">
      <c r="A842" s="295">
        <v>35034</v>
      </c>
      <c r="B842" s="1368">
        <v>1.9300000000000001E-2</v>
      </c>
      <c r="C842" s="1366">
        <v>7.0800000000000002E-2</v>
      </c>
      <c r="D842" s="1366">
        <v>4.8999999999999998E-3</v>
      </c>
      <c r="E842" s="1366">
        <v>5.6833333333333336E-3</v>
      </c>
      <c r="F842" s="5">
        <v>5.8250000000000003E-3</v>
      </c>
      <c r="G842" s="5">
        <v>5.754166666666667E-3</v>
      </c>
      <c r="H842" s="1366">
        <v>6.0447499999999998E-3</v>
      </c>
      <c r="I842" s="1366">
        <f t="shared" si="39"/>
        <v>1.4400000000000001E-2</v>
      </c>
      <c r="J842" s="1366">
        <f t="shared" si="37"/>
        <v>1.3545833333333333E-2</v>
      </c>
      <c r="K842" s="1366">
        <f t="shared" si="38"/>
        <v>6.475525E-2</v>
      </c>
    </row>
    <row r="843" spans="1:11" x14ac:dyDescent="0.55000000000000004">
      <c r="A843" s="295">
        <v>35065</v>
      </c>
      <c r="B843" s="1368">
        <v>3.4000000000000002E-2</v>
      </c>
      <c r="C843" s="1366">
        <v>1.29E-2</v>
      </c>
      <c r="D843" s="1366">
        <v>5.4000000000000003E-3</v>
      </c>
      <c r="E843" s="1366">
        <v>5.6750000000000004E-3</v>
      </c>
      <c r="F843" s="5">
        <v>5.8250000000000003E-3</v>
      </c>
      <c r="G843" s="5">
        <v>5.7499999999999999E-3</v>
      </c>
      <c r="H843" s="1366">
        <v>6.005666666666667E-3</v>
      </c>
      <c r="I843" s="1366">
        <f t="shared" si="39"/>
        <v>2.86E-2</v>
      </c>
      <c r="J843" s="1366">
        <f t="shared" si="37"/>
        <v>2.8250000000000004E-2</v>
      </c>
      <c r="K843" s="1366">
        <f t="shared" si="38"/>
        <v>6.894333333333333E-3</v>
      </c>
    </row>
    <row r="844" spans="1:11" x14ac:dyDescent="0.55000000000000004">
      <c r="A844" s="295">
        <v>35096</v>
      </c>
      <c r="B844" s="1368">
        <v>9.2999999999999992E-3</v>
      </c>
      <c r="C844" s="1366">
        <v>-3.95E-2</v>
      </c>
      <c r="D844" s="1366">
        <v>4.7999999999999996E-3</v>
      </c>
      <c r="E844" s="1366">
        <v>5.8250000000000003E-3</v>
      </c>
      <c r="F844" s="5">
        <v>5.966666666666667E-3</v>
      </c>
      <c r="G844" s="5">
        <v>5.8958333333333337E-3</v>
      </c>
      <c r="H844" s="1366">
        <v>6.1250000000000002E-3</v>
      </c>
      <c r="I844" s="1366">
        <f t="shared" si="39"/>
        <v>4.4999999999999997E-3</v>
      </c>
      <c r="J844" s="1366">
        <f t="shared" si="37"/>
        <v>3.4041666666666656E-3</v>
      </c>
      <c r="K844" s="1366">
        <f t="shared" si="38"/>
        <v>-4.5624999999999999E-2</v>
      </c>
    </row>
    <row r="845" spans="1:11" x14ac:dyDescent="0.55000000000000004">
      <c r="A845" s="295">
        <v>35125</v>
      </c>
      <c r="B845" s="1368">
        <v>9.5999999999999992E-3</v>
      </c>
      <c r="C845" s="1366">
        <v>-2.0299999999999999E-2</v>
      </c>
      <c r="D845" s="1366">
        <v>5.1999999999999998E-3</v>
      </c>
      <c r="E845" s="1366">
        <v>6.1249999999999994E-3</v>
      </c>
      <c r="F845" s="5">
        <v>6.266666666666666E-3</v>
      </c>
      <c r="G845" s="5">
        <v>6.1958333333333327E-3</v>
      </c>
      <c r="H845" s="1366">
        <v>6.4353333333333337E-3</v>
      </c>
      <c r="I845" s="1366">
        <f t="shared" si="39"/>
        <v>4.3999999999999994E-3</v>
      </c>
      <c r="J845" s="1366">
        <f t="shared" si="37"/>
        <v>3.4041666666666665E-3</v>
      </c>
      <c r="K845" s="1366">
        <f t="shared" si="38"/>
        <v>-2.6735333333333333E-2</v>
      </c>
    </row>
    <row r="846" spans="1:11" x14ac:dyDescent="0.55000000000000004">
      <c r="A846" s="295">
        <v>35156</v>
      </c>
      <c r="B846" s="1368">
        <v>1.47E-2</v>
      </c>
      <c r="C846" s="1366">
        <v>1.0999999999999999E-2</v>
      </c>
      <c r="D846" s="1366">
        <v>5.8999999999999999E-3</v>
      </c>
      <c r="E846" s="1366">
        <v>6.2500000000000003E-3</v>
      </c>
      <c r="F846" s="5">
        <v>6.4000000000000003E-3</v>
      </c>
      <c r="G846" s="5">
        <v>6.3250000000000008E-3</v>
      </c>
      <c r="H846" s="1366">
        <v>6.5698333333333338E-3</v>
      </c>
      <c r="I846" s="1366">
        <f t="shared" si="39"/>
        <v>8.7999999999999988E-3</v>
      </c>
      <c r="J846" s="1366">
        <f t="shared" si="37"/>
        <v>8.3749999999999988E-3</v>
      </c>
      <c r="K846" s="1366">
        <f t="shared" si="38"/>
        <v>4.4301666666666656E-3</v>
      </c>
    </row>
    <row r="847" spans="1:11" x14ac:dyDescent="0.55000000000000004">
      <c r="A847" s="295">
        <v>35186</v>
      </c>
      <c r="B847" s="1368">
        <v>2.58E-2</v>
      </c>
      <c r="C847" s="1366">
        <v>-2.4999999999999996E-3</v>
      </c>
      <c r="D847" s="1366">
        <v>5.7999999999999996E-3</v>
      </c>
      <c r="E847" s="1366">
        <v>6.3499999999999997E-3</v>
      </c>
      <c r="F847" s="5">
        <v>6.4749999999999999E-3</v>
      </c>
      <c r="G847" s="5">
        <v>6.4124999999999998E-3</v>
      </c>
      <c r="H847" s="1366">
        <v>6.6504166666666665E-3</v>
      </c>
      <c r="I847" s="1366">
        <f t="shared" si="39"/>
        <v>0.02</v>
      </c>
      <c r="J847" s="1366">
        <f t="shared" si="37"/>
        <v>1.9387500000000002E-2</v>
      </c>
      <c r="K847" s="1366">
        <f t="shared" si="38"/>
        <v>-9.1504166666666661E-3</v>
      </c>
    </row>
    <row r="848" spans="1:11" x14ac:dyDescent="0.55000000000000004">
      <c r="A848" s="295">
        <v>35217</v>
      </c>
      <c r="B848" s="1368">
        <v>3.8E-3</v>
      </c>
      <c r="C848" s="1366">
        <v>4.1599999999999998E-2</v>
      </c>
      <c r="D848" s="1366">
        <v>5.4000000000000003E-3</v>
      </c>
      <c r="E848" s="1366">
        <v>6.4249999999999993E-3</v>
      </c>
      <c r="F848" s="5">
        <v>6.5583333333333335E-3</v>
      </c>
      <c r="G848" s="5">
        <v>6.4916666666666664E-3</v>
      </c>
      <c r="H848" s="1366">
        <v>6.7200000000000003E-3</v>
      </c>
      <c r="I848" s="1366">
        <f t="shared" si="39"/>
        <v>-1.6000000000000003E-3</v>
      </c>
      <c r="J848" s="1366">
        <f t="shared" si="37"/>
        <v>-2.6916666666666664E-3</v>
      </c>
      <c r="K848" s="1366">
        <f t="shared" si="38"/>
        <v>3.4879999999999994E-2</v>
      </c>
    </row>
    <row r="849" spans="1:11" x14ac:dyDescent="0.55000000000000004">
      <c r="A849" s="295">
        <v>35247</v>
      </c>
      <c r="B849" s="1368">
        <v>-4.4200000000000003E-2</v>
      </c>
      <c r="C849" s="1366">
        <v>-6.2800000000000009E-2</v>
      </c>
      <c r="D849" s="1366">
        <v>6.1999999999999998E-3</v>
      </c>
      <c r="E849" s="1366">
        <v>6.3750000000000005E-3</v>
      </c>
      <c r="F849" s="5">
        <v>6.5166666666666671E-3</v>
      </c>
      <c r="G849" s="5">
        <v>6.4458333333333338E-3</v>
      </c>
      <c r="H849" s="1366">
        <v>6.6876666666666664E-3</v>
      </c>
      <c r="I849" s="1366">
        <f t="shared" si="39"/>
        <v>-5.04E-2</v>
      </c>
      <c r="J849" s="1366">
        <f t="shared" si="37"/>
        <v>-5.0645833333333334E-2</v>
      </c>
      <c r="K849" s="1366">
        <f t="shared" si="38"/>
        <v>-6.948766666666667E-2</v>
      </c>
    </row>
    <row r="850" spans="1:11" x14ac:dyDescent="0.55000000000000004">
      <c r="A850" s="295">
        <v>35278</v>
      </c>
      <c r="B850" s="1368">
        <v>2.1100000000000001E-2</v>
      </c>
      <c r="C850" s="1366">
        <v>2.1299999999999999E-2</v>
      </c>
      <c r="D850" s="1366">
        <v>5.7000000000000002E-3</v>
      </c>
      <c r="E850" s="1366">
        <v>6.2166666666666672E-3</v>
      </c>
      <c r="F850" s="5">
        <v>6.3583333333333339E-3</v>
      </c>
      <c r="G850" s="5">
        <v>6.2875000000000006E-3</v>
      </c>
      <c r="H850" s="1366">
        <v>6.5318333333333331E-3</v>
      </c>
      <c r="I850" s="1366">
        <f t="shared" si="39"/>
        <v>1.54E-2</v>
      </c>
      <c r="J850" s="1366">
        <f t="shared" si="37"/>
        <v>1.4812499999999999E-2</v>
      </c>
      <c r="K850" s="1366">
        <f t="shared" si="38"/>
        <v>1.4768166666666666E-2</v>
      </c>
    </row>
    <row r="851" spans="1:11" x14ac:dyDescent="0.55000000000000004">
      <c r="A851" s="295">
        <v>35309</v>
      </c>
      <c r="B851" s="1368">
        <v>5.6300000000000003E-2</v>
      </c>
      <c r="C851" s="1366">
        <v>9.4999999999999998E-3</v>
      </c>
      <c r="D851" s="1366">
        <v>6.0000000000000001E-3</v>
      </c>
      <c r="E851" s="1366">
        <v>6.3833333333333329E-3</v>
      </c>
      <c r="F851" s="5">
        <v>6.5166666666666671E-3</v>
      </c>
      <c r="G851" s="5">
        <v>6.45E-3</v>
      </c>
      <c r="H851" s="1366">
        <v>6.6812499999999997E-3</v>
      </c>
      <c r="I851" s="1366">
        <f t="shared" si="39"/>
        <v>5.0300000000000004E-2</v>
      </c>
      <c r="J851" s="1366">
        <f t="shared" si="37"/>
        <v>4.9850000000000005E-2</v>
      </c>
      <c r="K851" s="1366">
        <f t="shared" si="38"/>
        <v>2.8187500000000001E-3</v>
      </c>
    </row>
    <row r="852" spans="1:11" x14ac:dyDescent="0.55000000000000004">
      <c r="A852" s="295">
        <v>35339</v>
      </c>
      <c r="B852" s="1368">
        <v>2.76E-2</v>
      </c>
      <c r="C852" s="1366">
        <v>5.0799999999999998E-2</v>
      </c>
      <c r="D852" s="1366">
        <v>5.7999999999999996E-3</v>
      </c>
      <c r="E852" s="1366">
        <v>6.1583333333333334E-3</v>
      </c>
      <c r="F852" s="5">
        <v>6.3166666666666675E-3</v>
      </c>
      <c r="G852" s="5">
        <v>6.2375E-3</v>
      </c>
      <c r="H852" s="1366">
        <v>6.4820833333333336E-3</v>
      </c>
      <c r="I852" s="1366">
        <f t="shared" si="39"/>
        <v>2.18E-2</v>
      </c>
      <c r="J852" s="1366">
        <f t="shared" si="37"/>
        <v>2.13625E-2</v>
      </c>
      <c r="K852" s="1366">
        <f t="shared" si="38"/>
        <v>4.4317916666666665E-2</v>
      </c>
    </row>
    <row r="853" spans="1:11" x14ac:dyDescent="0.55000000000000004">
      <c r="A853" s="295">
        <v>35370</v>
      </c>
      <c r="B853" s="1368">
        <v>7.5600000000000001E-2</v>
      </c>
      <c r="C853" s="1366">
        <v>2.1099999999999997E-2</v>
      </c>
      <c r="D853" s="1366">
        <v>5.1999999999999998E-3</v>
      </c>
      <c r="E853" s="1366">
        <v>5.9166666666666664E-3</v>
      </c>
      <c r="F853" s="5">
        <v>6.0916666666666662E-3</v>
      </c>
      <c r="G853" s="5">
        <v>6.0041666666666663E-3</v>
      </c>
      <c r="H853" s="1366">
        <v>6.2527500000000005E-3</v>
      </c>
      <c r="I853" s="1366">
        <f t="shared" si="39"/>
        <v>7.0400000000000004E-2</v>
      </c>
      <c r="J853" s="1366">
        <f t="shared" si="37"/>
        <v>6.9595833333333329E-2</v>
      </c>
      <c r="K853" s="1366">
        <f t="shared" si="38"/>
        <v>1.4847249999999996E-2</v>
      </c>
    </row>
    <row r="854" spans="1:11" x14ac:dyDescent="0.55000000000000004">
      <c r="A854" s="295">
        <v>35400</v>
      </c>
      <c r="B854" s="1368">
        <v>-1.9800000000000002E-2</v>
      </c>
      <c r="C854" s="1366">
        <v>-6.000000000000001E-3</v>
      </c>
      <c r="D854" s="1366">
        <v>5.5999999999999991E-3</v>
      </c>
      <c r="E854" s="1366">
        <v>6.0000000000000001E-3</v>
      </c>
      <c r="F854" s="5">
        <v>6.1750000000000008E-3</v>
      </c>
      <c r="G854" s="5">
        <v>6.0875E-3</v>
      </c>
      <c r="H854" s="1366">
        <v>6.3091666666666669E-3</v>
      </c>
      <c r="I854" s="1366">
        <f t="shared" si="39"/>
        <v>-2.5399999999999999E-2</v>
      </c>
      <c r="J854" s="1366">
        <f t="shared" si="37"/>
        <v>-2.5887500000000001E-2</v>
      </c>
      <c r="K854" s="1366">
        <f t="shared" si="38"/>
        <v>-1.2309166666666668E-2</v>
      </c>
    </row>
    <row r="855" spans="1:11" x14ac:dyDescent="0.55000000000000004">
      <c r="A855" s="295">
        <v>35431</v>
      </c>
      <c r="B855" s="1368">
        <v>6.25E-2</v>
      </c>
      <c r="C855" s="1366">
        <v>6.6E-3</v>
      </c>
      <c r="D855" s="1366">
        <v>5.5999999999999991E-3</v>
      </c>
      <c r="E855" s="1366">
        <v>6.1833333333333332E-3</v>
      </c>
      <c r="F855" s="5">
        <v>6.3583333333333339E-3</v>
      </c>
      <c r="G855" s="5">
        <v>6.2708333333333331E-3</v>
      </c>
      <c r="H855" s="1366">
        <v>6.4722500000000006E-3</v>
      </c>
      <c r="I855" s="1366">
        <f t="shared" si="39"/>
        <v>5.6899999999999999E-2</v>
      </c>
      <c r="J855" s="1366">
        <f t="shared" si="37"/>
        <v>5.6229166666666663E-2</v>
      </c>
      <c r="K855" s="1366">
        <f t="shared" si="38"/>
        <v>1.2774999999999939E-4</v>
      </c>
    </row>
    <row r="856" spans="1:11" x14ac:dyDescent="0.55000000000000004">
      <c r="A856" s="295">
        <v>35462</v>
      </c>
      <c r="B856" s="1368">
        <v>7.7999999999999996E-3</v>
      </c>
      <c r="C856" s="1366">
        <v>-9.5000000000000015E-3</v>
      </c>
      <c r="D856" s="1366">
        <v>5.1000000000000004E-3</v>
      </c>
      <c r="E856" s="1366">
        <v>6.0916666666666662E-3</v>
      </c>
      <c r="F856" s="5">
        <v>6.2833333333333326E-3</v>
      </c>
      <c r="G856" s="5">
        <v>6.1874999999999994E-3</v>
      </c>
      <c r="H856" s="1366">
        <v>6.368833333333334E-3</v>
      </c>
      <c r="I856" s="1366">
        <f t="shared" si="39"/>
        <v>2.6999999999999993E-3</v>
      </c>
      <c r="J856" s="1366">
        <f t="shared" si="37"/>
        <v>1.6125000000000002E-3</v>
      </c>
      <c r="K856" s="1366">
        <f t="shared" si="38"/>
        <v>-1.5868833333333335E-2</v>
      </c>
    </row>
    <row r="857" spans="1:11" x14ac:dyDescent="0.55000000000000004">
      <c r="A857" s="295">
        <v>35490</v>
      </c>
      <c r="B857" s="1368">
        <v>-4.1099999999999998E-2</v>
      </c>
      <c r="C857" s="1366">
        <v>-3.0099999999999998E-2</v>
      </c>
      <c r="D857" s="1366">
        <v>5.8999999999999999E-3</v>
      </c>
      <c r="E857" s="1366">
        <v>6.2916666666666668E-3</v>
      </c>
      <c r="F857" s="5">
        <v>6.4749999999999999E-3</v>
      </c>
      <c r="G857" s="5">
        <v>6.3833333333333329E-3</v>
      </c>
      <c r="H857" s="1366">
        <v>6.5545833333333333E-3</v>
      </c>
      <c r="I857" s="1366">
        <f t="shared" si="39"/>
        <v>-4.7E-2</v>
      </c>
      <c r="J857" s="1366">
        <f t="shared" si="37"/>
        <v>-4.7483333333333329E-2</v>
      </c>
      <c r="K857" s="1366">
        <f t="shared" si="38"/>
        <v>-3.6654583333333331E-2</v>
      </c>
    </row>
    <row r="858" spans="1:11" x14ac:dyDescent="0.55000000000000004">
      <c r="A858" s="295">
        <v>35521</v>
      </c>
      <c r="B858" s="1368">
        <v>5.9700000000000003E-2</v>
      </c>
      <c r="C858" s="1366">
        <v>-1.4999999999999999E-2</v>
      </c>
      <c r="D858" s="1366">
        <v>5.8999999999999999E-3</v>
      </c>
      <c r="E858" s="1366">
        <v>6.4416666666666667E-3</v>
      </c>
      <c r="F858" s="5">
        <v>6.6083333333333324E-3</v>
      </c>
      <c r="G858" s="5">
        <v>6.5249999999999996E-3</v>
      </c>
      <c r="H858" s="1366">
        <v>6.6973333333333329E-3</v>
      </c>
      <c r="I858" s="1366">
        <f t="shared" si="39"/>
        <v>5.3800000000000001E-2</v>
      </c>
      <c r="J858" s="1366">
        <f t="shared" si="37"/>
        <v>5.3175E-2</v>
      </c>
      <c r="K858" s="1366">
        <f t="shared" si="38"/>
        <v>-2.1697333333333332E-2</v>
      </c>
    </row>
    <row r="859" spans="1:11" x14ac:dyDescent="0.55000000000000004">
      <c r="A859" s="295">
        <v>35551</v>
      </c>
      <c r="B859" s="1368">
        <v>6.0900000000000003E-2</v>
      </c>
      <c r="C859" s="1366">
        <v>4.2299999999999997E-2</v>
      </c>
      <c r="D859" s="1366">
        <v>5.7999999999999996E-3</v>
      </c>
      <c r="E859" s="1366">
        <v>6.3166666666666675E-3</v>
      </c>
      <c r="F859" s="5">
        <v>6.5000000000000006E-3</v>
      </c>
      <c r="G859" s="5">
        <v>6.4083333333333336E-3</v>
      </c>
      <c r="H859" s="1366">
        <v>6.5754166666666669E-3</v>
      </c>
      <c r="I859" s="1366">
        <f t="shared" si="39"/>
        <v>5.5100000000000003E-2</v>
      </c>
      <c r="J859" s="1366">
        <f t="shared" ref="J859:J922" si="40">B859-G859</f>
        <v>5.4491666666666667E-2</v>
      </c>
      <c r="K859" s="1366">
        <f t="shared" ref="K859:K922" si="41">$C859-H859</f>
        <v>3.572458333333333E-2</v>
      </c>
    </row>
    <row r="860" spans="1:11" x14ac:dyDescent="0.55000000000000004">
      <c r="A860" s="295">
        <v>35582</v>
      </c>
      <c r="B860" s="1368">
        <v>4.48E-2</v>
      </c>
      <c r="C860" s="1366">
        <v>3.1399999999999997E-2</v>
      </c>
      <c r="D860" s="1366">
        <v>5.8999999999999999E-3</v>
      </c>
      <c r="E860" s="1366">
        <v>6.1750000000000008E-3</v>
      </c>
      <c r="F860" s="5">
        <v>6.3499999999999997E-3</v>
      </c>
      <c r="G860" s="5">
        <v>6.2624999999999998E-3</v>
      </c>
      <c r="H860" s="1366">
        <v>6.437333333333334E-3</v>
      </c>
      <c r="I860" s="1366">
        <f t="shared" si="39"/>
        <v>3.8899999999999997E-2</v>
      </c>
      <c r="J860" s="1366">
        <f t="shared" si="40"/>
        <v>3.8537500000000002E-2</v>
      </c>
      <c r="K860" s="1366">
        <f t="shared" si="41"/>
        <v>2.4962666666666664E-2</v>
      </c>
    </row>
    <row r="861" spans="1:11" x14ac:dyDescent="0.55000000000000004">
      <c r="A861" s="295">
        <v>35612</v>
      </c>
      <c r="B861" s="1368">
        <v>7.9600000000000004E-2</v>
      </c>
      <c r="C861" s="1366">
        <v>2.3E-2</v>
      </c>
      <c r="D861" s="1366">
        <v>5.7999999999999996E-3</v>
      </c>
      <c r="E861" s="1366">
        <v>5.9499999999999996E-3</v>
      </c>
      <c r="F861" s="5">
        <v>6.1333333333333344E-3</v>
      </c>
      <c r="G861" s="5">
        <v>6.0416666666666674E-3</v>
      </c>
      <c r="H861" s="1366">
        <v>6.2409166666666663E-3</v>
      </c>
      <c r="I861" s="1366">
        <f t="shared" si="39"/>
        <v>7.3800000000000004E-2</v>
      </c>
      <c r="J861" s="1366">
        <f t="shared" si="40"/>
        <v>7.3558333333333337E-2</v>
      </c>
      <c r="K861" s="1366">
        <f t="shared" si="41"/>
        <v>1.6759083333333334E-2</v>
      </c>
    </row>
    <row r="862" spans="1:11" x14ac:dyDescent="0.55000000000000004">
      <c r="A862" s="295">
        <v>35643</v>
      </c>
      <c r="B862" s="1368">
        <v>-5.6000000000000001E-2</v>
      </c>
      <c r="C862" s="1366">
        <v>-1.83E-2</v>
      </c>
      <c r="D862" s="1366">
        <v>4.8999999999999998E-3</v>
      </c>
      <c r="E862" s="1366">
        <v>6.0166666666666667E-3</v>
      </c>
      <c r="F862" s="5">
        <v>6.1666666666666667E-3</v>
      </c>
      <c r="G862" s="5">
        <v>6.0916666666666662E-3</v>
      </c>
      <c r="H862" s="1366">
        <v>6.2475833333333333E-3</v>
      </c>
      <c r="I862" s="1366">
        <f t="shared" si="39"/>
        <v>-6.0900000000000003E-2</v>
      </c>
      <c r="J862" s="1366">
        <f t="shared" si="40"/>
        <v>-6.209166666666667E-2</v>
      </c>
      <c r="K862" s="1366">
        <f t="shared" si="41"/>
        <v>-2.4547583333333334E-2</v>
      </c>
    </row>
    <row r="863" spans="1:11" x14ac:dyDescent="0.55000000000000004">
      <c r="A863" s="295">
        <v>35674</v>
      </c>
      <c r="B863" s="1368">
        <v>5.4800000000000001E-2</v>
      </c>
      <c r="C863" s="1366">
        <v>4.3299999999999998E-2</v>
      </c>
      <c r="D863" s="1366">
        <v>5.7999999999999996E-3</v>
      </c>
      <c r="E863" s="1366">
        <v>5.9499999999999996E-3</v>
      </c>
      <c r="F863" s="5">
        <v>6.116666666666667E-3</v>
      </c>
      <c r="G863" s="5">
        <v>6.0333333333333324E-3</v>
      </c>
      <c r="H863" s="1366">
        <v>6.2285833333333342E-3</v>
      </c>
      <c r="I863" s="1366">
        <f t="shared" si="39"/>
        <v>4.9000000000000002E-2</v>
      </c>
      <c r="J863" s="1366">
        <f t="shared" si="40"/>
        <v>4.8766666666666666E-2</v>
      </c>
      <c r="K863" s="1366">
        <f t="shared" si="41"/>
        <v>3.7071416666666662E-2</v>
      </c>
    </row>
    <row r="864" spans="1:11" x14ac:dyDescent="0.55000000000000004">
      <c r="A864" s="295">
        <v>35704</v>
      </c>
      <c r="B864" s="1368">
        <v>-3.3399999999999999E-2</v>
      </c>
      <c r="C864" s="1366">
        <v>9.7999999999999997E-3</v>
      </c>
      <c r="D864" s="1366">
        <v>5.4000000000000003E-3</v>
      </c>
      <c r="E864" s="1366">
        <v>5.8333333333333336E-3</v>
      </c>
      <c r="F864" s="5">
        <v>6.0000000000000001E-3</v>
      </c>
      <c r="G864" s="5">
        <v>5.9166666666666664E-3</v>
      </c>
      <c r="H864" s="1366">
        <v>6.130416666666666E-3</v>
      </c>
      <c r="I864" s="1366">
        <f t="shared" si="39"/>
        <v>-3.8800000000000001E-2</v>
      </c>
      <c r="J864" s="1366">
        <f t="shared" si="40"/>
        <v>-3.9316666666666666E-2</v>
      </c>
      <c r="K864" s="1366">
        <f t="shared" si="41"/>
        <v>3.6695833333333337E-3</v>
      </c>
    </row>
    <row r="865" spans="1:11" x14ac:dyDescent="0.55000000000000004">
      <c r="A865" s="295">
        <v>35735</v>
      </c>
      <c r="B865" s="1368">
        <v>4.6300000000000001E-2</v>
      </c>
      <c r="C865" s="1366">
        <v>7.0700000000000013E-2</v>
      </c>
      <c r="D865" s="1366">
        <v>4.7000000000000002E-3</v>
      </c>
      <c r="E865" s="1366">
        <v>5.7250000000000001E-3</v>
      </c>
      <c r="F865" s="5">
        <v>5.8916666666666674E-3</v>
      </c>
      <c r="G865" s="5">
        <v>5.8083333333333329E-3</v>
      </c>
      <c r="H865" s="1366">
        <v>6.0390000000000001E-3</v>
      </c>
      <c r="I865" s="1366">
        <f t="shared" si="39"/>
        <v>4.1599999999999998E-2</v>
      </c>
      <c r="J865" s="1366">
        <f t="shared" si="40"/>
        <v>4.0491666666666669E-2</v>
      </c>
      <c r="K865" s="1366">
        <f t="shared" si="41"/>
        <v>6.466100000000001E-2</v>
      </c>
    </row>
    <row r="866" spans="1:11" x14ac:dyDescent="0.55000000000000004">
      <c r="A866" s="295">
        <v>35765</v>
      </c>
      <c r="B866" s="1368">
        <v>1.72E-2</v>
      </c>
      <c r="C866" s="1366">
        <v>7.5200000000000003E-2</v>
      </c>
      <c r="D866" s="1366">
        <v>5.4000000000000003E-3</v>
      </c>
      <c r="E866" s="1366">
        <v>5.6333333333333339E-3</v>
      </c>
      <c r="F866" s="5">
        <v>5.8250000000000003E-3</v>
      </c>
      <c r="G866" s="5">
        <v>5.7291666666666671E-3</v>
      </c>
      <c r="H866" s="1366">
        <v>5.9696666666666665E-3</v>
      </c>
      <c r="I866" s="1366">
        <f t="shared" si="39"/>
        <v>1.18E-2</v>
      </c>
      <c r="J866" s="1366">
        <f t="shared" si="40"/>
        <v>1.1470833333333333E-2</v>
      </c>
      <c r="K866" s="1366">
        <f t="shared" si="41"/>
        <v>6.9230333333333338E-2</v>
      </c>
    </row>
    <row r="867" spans="1:11" x14ac:dyDescent="0.55000000000000004">
      <c r="A867" s="295">
        <v>35796</v>
      </c>
      <c r="B867" s="1368">
        <v>1.11E-2</v>
      </c>
      <c r="C867" s="1366">
        <v>-3.95E-2</v>
      </c>
      <c r="D867" s="1366">
        <v>4.7999999999999996E-3</v>
      </c>
      <c r="E867" s="1366">
        <v>5.5083333333333338E-3</v>
      </c>
      <c r="F867" s="5">
        <v>5.6833333333333336E-3</v>
      </c>
      <c r="G867" s="5">
        <v>5.5958333333333329E-3</v>
      </c>
      <c r="H867" s="1366">
        <v>5.8783333333333335E-3</v>
      </c>
      <c r="I867" s="1366">
        <f t="shared" si="39"/>
        <v>6.3000000000000009E-3</v>
      </c>
      <c r="J867" s="1366">
        <f t="shared" si="40"/>
        <v>5.5041666666666676E-3</v>
      </c>
      <c r="K867" s="1366">
        <f t="shared" si="41"/>
        <v>-4.5378333333333333E-2</v>
      </c>
    </row>
    <row r="868" spans="1:11" x14ac:dyDescent="0.55000000000000004">
      <c r="A868" s="295">
        <v>35827</v>
      </c>
      <c r="B868" s="1368">
        <v>7.2099999999999997E-2</v>
      </c>
      <c r="C868" s="1366">
        <v>3.4099999999999998E-2</v>
      </c>
      <c r="D868" s="1366">
        <v>4.4000000000000003E-3</v>
      </c>
      <c r="E868" s="1366">
        <v>5.5583333333333327E-3</v>
      </c>
      <c r="F868" s="5">
        <v>5.7333333333333333E-3</v>
      </c>
      <c r="G868" s="5">
        <v>5.6458333333333334E-3</v>
      </c>
      <c r="H868" s="1366">
        <v>5.9315833333333338E-3</v>
      </c>
      <c r="I868" s="1366">
        <f t="shared" si="39"/>
        <v>6.7699999999999996E-2</v>
      </c>
      <c r="J868" s="1366">
        <f t="shared" si="40"/>
        <v>6.6454166666666661E-2</v>
      </c>
      <c r="K868" s="1366">
        <f t="shared" si="41"/>
        <v>2.8168416666666665E-2</v>
      </c>
    </row>
    <row r="869" spans="1:11" x14ac:dyDescent="0.55000000000000004">
      <c r="A869" s="295">
        <v>35855</v>
      </c>
      <c r="B869" s="1368">
        <v>5.1200000000000002E-2</v>
      </c>
      <c r="C869" s="1366">
        <v>6.4199999999999993E-2</v>
      </c>
      <c r="D869" s="1366">
        <v>5.1999999999999998E-3</v>
      </c>
      <c r="E869" s="1366">
        <v>5.5916666666666667E-3</v>
      </c>
      <c r="F869" s="5">
        <v>5.7749999999999998E-3</v>
      </c>
      <c r="G869" s="5">
        <v>5.6833333333333336E-3</v>
      </c>
      <c r="H869" s="1366">
        <v>5.9681666666666668E-3</v>
      </c>
      <c r="I869" s="1366">
        <f t="shared" si="39"/>
        <v>4.5999999999999999E-2</v>
      </c>
      <c r="J869" s="1366">
        <f t="shared" si="40"/>
        <v>4.5516666666666671E-2</v>
      </c>
      <c r="K869" s="1366">
        <f t="shared" si="41"/>
        <v>5.823183333333333E-2</v>
      </c>
    </row>
    <row r="870" spans="1:11" x14ac:dyDescent="0.55000000000000004">
      <c r="A870" s="295">
        <v>35886</v>
      </c>
      <c r="B870" s="1368">
        <v>1.01E-2</v>
      </c>
      <c r="C870" s="1366">
        <v>-1.9300000000000001E-2</v>
      </c>
      <c r="D870" s="1366">
        <v>4.8999999999999998E-3</v>
      </c>
      <c r="E870" s="1366">
        <v>5.5750000000000001E-3</v>
      </c>
      <c r="F870" s="5">
        <v>5.7500000000000008E-3</v>
      </c>
      <c r="G870" s="5">
        <v>5.6625E-3</v>
      </c>
      <c r="H870" s="1366">
        <v>5.9682500000000005E-3</v>
      </c>
      <c r="I870" s="1366">
        <f t="shared" si="39"/>
        <v>5.1999999999999998E-3</v>
      </c>
      <c r="J870" s="1366">
        <f t="shared" si="40"/>
        <v>4.4374999999999996E-3</v>
      </c>
      <c r="K870" s="1366">
        <f t="shared" si="41"/>
        <v>-2.5268250000000003E-2</v>
      </c>
    </row>
    <row r="871" spans="1:11" x14ac:dyDescent="0.55000000000000004">
      <c r="A871" s="295">
        <v>35916</v>
      </c>
      <c r="B871" s="1368">
        <v>-1.72E-2</v>
      </c>
      <c r="C871" s="1366">
        <v>-5.0000000000000001E-3</v>
      </c>
      <c r="D871" s="1366">
        <v>4.7999999999999996E-3</v>
      </c>
      <c r="E871" s="1366">
        <v>5.5750000000000001E-3</v>
      </c>
      <c r="F871" s="5">
        <v>5.7583333333333332E-3</v>
      </c>
      <c r="G871" s="5">
        <v>5.6666666666666662E-3</v>
      </c>
      <c r="H871" s="1366">
        <v>5.9691666666666669E-3</v>
      </c>
      <c r="I871" s="1366">
        <f t="shared" si="39"/>
        <v>-2.1999999999999999E-2</v>
      </c>
      <c r="J871" s="1366">
        <f t="shared" si="40"/>
        <v>-2.2866666666666667E-2</v>
      </c>
      <c r="K871" s="1366">
        <f t="shared" si="41"/>
        <v>-1.0969166666666667E-2</v>
      </c>
    </row>
    <row r="872" spans="1:11" x14ac:dyDescent="0.55000000000000004">
      <c r="A872" s="295">
        <v>35947</v>
      </c>
      <c r="B872" s="1368">
        <v>4.0599999999999997E-2</v>
      </c>
      <c r="C872" s="1366">
        <v>3.6900000000000002E-2</v>
      </c>
      <c r="D872" s="1366">
        <v>5.1999999999999998E-3</v>
      </c>
      <c r="E872" s="1366">
        <v>5.4416666666666667E-3</v>
      </c>
      <c r="F872" s="5">
        <v>5.6500000000000005E-3</v>
      </c>
      <c r="G872" s="5">
        <v>5.545833333333334E-3</v>
      </c>
      <c r="H872" s="1366">
        <v>5.8636666666666672E-3</v>
      </c>
      <c r="I872" s="1366">
        <f t="shared" si="39"/>
        <v>3.5400000000000001E-2</v>
      </c>
      <c r="J872" s="1366">
        <f t="shared" si="40"/>
        <v>3.5054166666666664E-2</v>
      </c>
      <c r="K872" s="1366">
        <f t="shared" si="41"/>
        <v>3.1036333333333336E-2</v>
      </c>
    </row>
    <row r="873" spans="1:11" x14ac:dyDescent="0.55000000000000004">
      <c r="A873" s="295">
        <v>35977</v>
      </c>
      <c r="B873" s="1368">
        <v>-1.06E-2</v>
      </c>
      <c r="C873" s="1366">
        <v>-4.9299999999999997E-2</v>
      </c>
      <c r="D873" s="1366">
        <v>4.8999999999999998E-3</v>
      </c>
      <c r="E873" s="1366">
        <v>5.4583333333333324E-3</v>
      </c>
      <c r="F873" s="5">
        <v>5.6500000000000005E-3</v>
      </c>
      <c r="G873" s="5">
        <v>5.5541666666666665E-3</v>
      </c>
      <c r="H873" s="1366">
        <v>5.8534166666666665E-3</v>
      </c>
      <c r="I873" s="1366">
        <f t="shared" si="39"/>
        <v>-1.55E-2</v>
      </c>
      <c r="J873" s="1366">
        <f t="shared" si="40"/>
        <v>-1.6154166666666667E-2</v>
      </c>
      <c r="K873" s="1366">
        <f t="shared" si="41"/>
        <v>-5.5153416666666663E-2</v>
      </c>
    </row>
    <row r="874" spans="1:11" x14ac:dyDescent="0.55000000000000004">
      <c r="A874" s="295">
        <v>36008</v>
      </c>
      <c r="B874" s="1368">
        <v>-0.14460000000000001</v>
      </c>
      <c r="C874" s="1366">
        <v>1.61E-2</v>
      </c>
      <c r="D874" s="1366">
        <v>4.7999999999999996E-3</v>
      </c>
      <c r="E874" s="1366">
        <v>5.4333333333333334E-3</v>
      </c>
      <c r="F874" s="5">
        <v>5.6416666666666664E-3</v>
      </c>
      <c r="G874" s="5">
        <v>5.5374999999999999E-3</v>
      </c>
      <c r="H874" s="1366">
        <v>5.8349166666666662E-3</v>
      </c>
      <c r="I874" s="1366">
        <f t="shared" si="39"/>
        <v>-0.14940000000000001</v>
      </c>
      <c r="J874" s="1366">
        <f t="shared" si="40"/>
        <v>-0.15013750000000001</v>
      </c>
      <c r="K874" s="1366">
        <f t="shared" si="41"/>
        <v>1.0265083333333334E-2</v>
      </c>
    </row>
    <row r="875" spans="1:11" x14ac:dyDescent="0.55000000000000004">
      <c r="A875" s="295">
        <v>36039</v>
      </c>
      <c r="B875" s="1368">
        <v>6.4100000000000004E-2</v>
      </c>
      <c r="C875" s="1366">
        <v>8.3499999999999991E-2</v>
      </c>
      <c r="D875" s="1366">
        <v>4.4000000000000003E-3</v>
      </c>
      <c r="E875" s="1366">
        <v>5.3333333333333332E-3</v>
      </c>
      <c r="F875" s="5">
        <v>5.5666666666666668E-3</v>
      </c>
      <c r="G875" s="5">
        <v>5.4499999999999991E-3</v>
      </c>
      <c r="H875" s="1366">
        <v>5.780166666666667E-3</v>
      </c>
      <c r="I875" s="1366">
        <f t="shared" si="39"/>
        <v>5.9700000000000003E-2</v>
      </c>
      <c r="J875" s="1366">
        <f t="shared" si="40"/>
        <v>5.8650000000000008E-2</v>
      </c>
      <c r="K875" s="1366">
        <f t="shared" si="41"/>
        <v>7.7719833333333321E-2</v>
      </c>
    </row>
    <row r="876" spans="1:11" x14ac:dyDescent="0.55000000000000004">
      <c r="A876" s="295">
        <v>36069</v>
      </c>
      <c r="B876" s="1368">
        <v>8.1299999999999997E-2</v>
      </c>
      <c r="C876" s="1366">
        <v>-1.66E-2</v>
      </c>
      <c r="D876" s="1366">
        <v>4.1999999999999997E-3</v>
      </c>
      <c r="E876" s="1366">
        <v>5.3083333333333342E-3</v>
      </c>
      <c r="F876" s="5">
        <v>5.5833333333333334E-3</v>
      </c>
      <c r="G876" s="5">
        <v>5.4458333333333338E-3</v>
      </c>
      <c r="H876" s="1366">
        <v>5.7962499999999993E-3</v>
      </c>
      <c r="I876" s="1366">
        <f t="shared" si="39"/>
        <v>7.7100000000000002E-2</v>
      </c>
      <c r="J876" s="1366">
        <f t="shared" si="40"/>
        <v>7.5854166666666667E-2</v>
      </c>
      <c r="K876" s="1366">
        <f t="shared" si="41"/>
        <v>-2.2396249999999999E-2</v>
      </c>
    </row>
    <row r="877" spans="1:11" x14ac:dyDescent="0.55000000000000004">
      <c r="A877" s="295">
        <v>36100</v>
      </c>
      <c r="B877" s="1368">
        <v>6.0600000000000001E-2</v>
      </c>
      <c r="C877" s="1366">
        <v>1.3399999999999999E-2</v>
      </c>
      <c r="D877" s="1366">
        <v>4.4999999999999997E-3</v>
      </c>
      <c r="E877" s="1366">
        <v>5.3416666666666664E-3</v>
      </c>
      <c r="F877" s="5">
        <v>5.6583333333333329E-3</v>
      </c>
      <c r="G877" s="5">
        <v>5.5000000000000005E-3</v>
      </c>
      <c r="H877" s="1366">
        <v>5.8635833333333335E-3</v>
      </c>
      <c r="I877" s="1366">
        <f t="shared" si="39"/>
        <v>5.6100000000000004E-2</v>
      </c>
      <c r="J877" s="1366">
        <f t="shared" si="40"/>
        <v>5.5100000000000003E-2</v>
      </c>
      <c r="K877" s="1366">
        <f t="shared" si="41"/>
        <v>7.5364166666666652E-3</v>
      </c>
    </row>
    <row r="878" spans="1:11" x14ac:dyDescent="0.55000000000000004">
      <c r="A878" s="295">
        <v>36130</v>
      </c>
      <c r="B878" s="1368">
        <v>5.7599999999999998E-2</v>
      </c>
      <c r="C878" s="1366">
        <v>2.9500000000000002E-2</v>
      </c>
      <c r="D878" s="1366">
        <v>4.4999999999999997E-3</v>
      </c>
      <c r="E878" s="1366">
        <v>5.1833333333333332E-3</v>
      </c>
      <c r="F878" s="5">
        <v>5.541666666666667E-3</v>
      </c>
      <c r="G878" s="5">
        <v>5.3625000000000001E-3</v>
      </c>
      <c r="H878" s="1366">
        <v>5.7568333333333334E-3</v>
      </c>
      <c r="I878" s="1366">
        <f t="shared" si="39"/>
        <v>5.3100000000000001E-2</v>
      </c>
      <c r="J878" s="1366">
        <f t="shared" si="40"/>
        <v>5.2237499999999999E-2</v>
      </c>
      <c r="K878" s="1366">
        <f t="shared" si="41"/>
        <v>2.3743166666666669E-2</v>
      </c>
    </row>
    <row r="879" spans="1:11" x14ac:dyDescent="0.55000000000000004">
      <c r="A879" s="295">
        <v>36161</v>
      </c>
      <c r="B879" s="1368">
        <v>4.1799999999999997E-2</v>
      </c>
      <c r="C879" s="1366">
        <v>-4.5100000000000001E-2</v>
      </c>
      <c r="D879" s="1366">
        <v>4.1999999999999997E-3</v>
      </c>
      <c r="E879" s="1366">
        <v>5.1999999999999998E-3</v>
      </c>
      <c r="F879" s="5">
        <v>5.5666666666666668E-3</v>
      </c>
      <c r="G879" s="5">
        <v>5.3833333333333337E-3</v>
      </c>
      <c r="H879" s="1366">
        <v>5.8083333333333329E-3</v>
      </c>
      <c r="I879" s="1366">
        <f t="shared" si="39"/>
        <v>3.7599999999999995E-2</v>
      </c>
      <c r="J879" s="1366">
        <f t="shared" si="40"/>
        <v>3.6416666666666667E-2</v>
      </c>
      <c r="K879" s="1366">
        <f t="shared" si="41"/>
        <v>-5.0908333333333333E-2</v>
      </c>
    </row>
    <row r="880" spans="1:11" x14ac:dyDescent="0.55000000000000004">
      <c r="A880" s="295">
        <v>36192</v>
      </c>
      <c r="B880" s="1368">
        <v>-3.1099999999999999E-2</v>
      </c>
      <c r="C880" s="1366">
        <v>-3.6400000000000002E-2</v>
      </c>
      <c r="D880" s="1366">
        <v>4.0000000000000001E-3</v>
      </c>
      <c r="E880" s="1366">
        <v>5.3333333333333332E-3</v>
      </c>
      <c r="F880" s="5">
        <v>5.6583333333333329E-3</v>
      </c>
      <c r="G880" s="5">
        <v>5.4958333333333335E-3</v>
      </c>
      <c r="H880" s="1366">
        <v>5.8964999999999998E-3</v>
      </c>
      <c r="I880" s="1366">
        <f t="shared" si="39"/>
        <v>-3.5099999999999999E-2</v>
      </c>
      <c r="J880" s="1366">
        <f t="shared" si="40"/>
        <v>-3.6595833333333334E-2</v>
      </c>
      <c r="K880" s="1366">
        <f t="shared" si="41"/>
        <v>-4.2296500000000001E-2</v>
      </c>
    </row>
    <row r="881" spans="1:11" x14ac:dyDescent="0.55000000000000004">
      <c r="A881" s="295">
        <v>36220</v>
      </c>
      <c r="B881" s="1368">
        <v>0.04</v>
      </c>
      <c r="C881" s="1366">
        <v>-1.4800000000000001E-2</v>
      </c>
      <c r="D881" s="1366">
        <v>5.3E-3</v>
      </c>
      <c r="E881" s="1366">
        <v>5.5166666666666662E-3</v>
      </c>
      <c r="F881" s="5">
        <v>5.816666666666667E-3</v>
      </c>
      <c r="G881" s="5">
        <v>5.6666666666666662E-3</v>
      </c>
      <c r="H881" s="1366">
        <v>6.0460000000000002E-3</v>
      </c>
      <c r="I881" s="1366">
        <f t="shared" si="39"/>
        <v>3.4700000000000002E-2</v>
      </c>
      <c r="J881" s="1366">
        <f t="shared" si="40"/>
        <v>3.4333333333333334E-2</v>
      </c>
      <c r="K881" s="1366">
        <f t="shared" si="41"/>
        <v>-2.0846E-2</v>
      </c>
    </row>
    <row r="882" spans="1:11" x14ac:dyDescent="0.55000000000000004">
      <c r="A882" s="295">
        <v>36251</v>
      </c>
      <c r="B882" s="1368">
        <v>3.8699999999999998E-2</v>
      </c>
      <c r="C882" s="1366">
        <v>8.8399999999999992E-2</v>
      </c>
      <c r="D882" s="1366">
        <v>4.7999999999999996E-3</v>
      </c>
      <c r="E882" s="1366">
        <v>5.5333333333333337E-3</v>
      </c>
      <c r="F882" s="5">
        <v>5.7999999999999996E-3</v>
      </c>
      <c r="G882" s="5">
        <v>5.6666666666666662E-3</v>
      </c>
      <c r="H882" s="1366">
        <v>6.0119166666666671E-3</v>
      </c>
      <c r="I882" s="1366">
        <f t="shared" si="39"/>
        <v>3.39E-2</v>
      </c>
      <c r="J882" s="1366">
        <f t="shared" si="40"/>
        <v>3.3033333333333331E-2</v>
      </c>
      <c r="K882" s="1366">
        <f t="shared" si="41"/>
        <v>8.238808333333332E-2</v>
      </c>
    </row>
    <row r="883" spans="1:11" x14ac:dyDescent="0.55000000000000004">
      <c r="A883" s="295">
        <v>36281</v>
      </c>
      <c r="B883" s="1368">
        <v>-2.3599999999999999E-2</v>
      </c>
      <c r="C883" s="1366">
        <v>6.0899999999999996E-2</v>
      </c>
      <c r="D883" s="1366">
        <v>4.4999999999999997E-3</v>
      </c>
      <c r="E883" s="1366">
        <v>5.7749999999999998E-3</v>
      </c>
      <c r="F883" s="5">
        <v>6.025E-3</v>
      </c>
      <c r="G883" s="5">
        <v>5.9000000000000007E-3</v>
      </c>
      <c r="H883" s="1366">
        <v>6.2141666666666664E-3</v>
      </c>
      <c r="I883" s="1366">
        <f t="shared" si="39"/>
        <v>-2.81E-2</v>
      </c>
      <c r="J883" s="1366">
        <f t="shared" si="40"/>
        <v>-2.9499999999999998E-2</v>
      </c>
      <c r="K883" s="1366">
        <f t="shared" si="41"/>
        <v>5.4685833333333329E-2</v>
      </c>
    </row>
    <row r="884" spans="1:11" x14ac:dyDescent="0.55000000000000004">
      <c r="A884" s="295">
        <v>36312</v>
      </c>
      <c r="B884" s="1368">
        <v>5.5500000000000001E-2</v>
      </c>
      <c r="C884" s="1366">
        <v>-3.32E-2</v>
      </c>
      <c r="D884" s="1366">
        <v>5.4999999999999997E-3</v>
      </c>
      <c r="E884" s="1366">
        <v>6.025E-3</v>
      </c>
      <c r="F884" s="5">
        <v>6.266666666666666E-3</v>
      </c>
      <c r="G884" s="5">
        <v>6.145833333333333E-3</v>
      </c>
      <c r="H884" s="1366">
        <v>6.445416666666667E-3</v>
      </c>
      <c r="I884" s="1366">
        <f t="shared" si="39"/>
        <v>0.05</v>
      </c>
      <c r="J884" s="1366">
        <f t="shared" si="40"/>
        <v>4.9354166666666671E-2</v>
      </c>
      <c r="K884" s="1366">
        <f t="shared" si="41"/>
        <v>-3.9645416666666669E-2</v>
      </c>
    </row>
    <row r="885" spans="1:11" x14ac:dyDescent="0.55000000000000004">
      <c r="A885" s="295">
        <v>36342</v>
      </c>
      <c r="B885" s="1368">
        <v>-3.1199999999999999E-2</v>
      </c>
      <c r="C885" s="1366">
        <v>-1.14E-2</v>
      </c>
      <c r="D885" s="1366">
        <v>5.1000000000000004E-3</v>
      </c>
      <c r="E885" s="1366">
        <v>5.9916666666666677E-3</v>
      </c>
      <c r="F885" s="5">
        <v>6.2333333333333338E-3</v>
      </c>
      <c r="G885" s="5">
        <v>6.1125000000000007E-3</v>
      </c>
      <c r="H885" s="1366">
        <v>6.4182499999999995E-3</v>
      </c>
      <c r="I885" s="1366">
        <f t="shared" si="39"/>
        <v>-3.6299999999999999E-2</v>
      </c>
      <c r="J885" s="1366">
        <f t="shared" si="40"/>
        <v>-3.7312499999999998E-2</v>
      </c>
      <c r="K885" s="1366">
        <f t="shared" si="41"/>
        <v>-1.7818250000000001E-2</v>
      </c>
    </row>
    <row r="886" spans="1:11" x14ac:dyDescent="0.55000000000000004">
      <c r="A886" s="295">
        <v>36373</v>
      </c>
      <c r="B886" s="1368">
        <v>-4.8999999999999998E-3</v>
      </c>
      <c r="C886" s="1366">
        <v>1.1699999999999999E-2</v>
      </c>
      <c r="D886" s="1366">
        <v>5.4000000000000003E-3</v>
      </c>
      <c r="E886" s="1366">
        <v>6.1666666666666667E-3</v>
      </c>
      <c r="F886" s="5">
        <v>6.4000000000000003E-3</v>
      </c>
      <c r="G886" s="5">
        <v>6.2833333333333343E-3</v>
      </c>
      <c r="H886" s="1366">
        <v>6.5894166666666662E-3</v>
      </c>
      <c r="I886" s="1366">
        <f t="shared" si="39"/>
        <v>-1.03E-2</v>
      </c>
      <c r="J886" s="1366">
        <f t="shared" si="40"/>
        <v>-1.1183333333333333E-2</v>
      </c>
      <c r="K886" s="1366">
        <f t="shared" si="41"/>
        <v>5.1105833333333324E-3</v>
      </c>
    </row>
    <row r="887" spans="1:11" x14ac:dyDescent="0.55000000000000004">
      <c r="A887" s="295">
        <v>36404</v>
      </c>
      <c r="B887" s="1368">
        <v>-2.7400000000000001E-2</v>
      </c>
      <c r="C887" s="1366">
        <v>-4.8000000000000001E-2</v>
      </c>
      <c r="D887" s="1366">
        <v>5.1999999999999998E-3</v>
      </c>
      <c r="E887" s="1366">
        <v>6.1583333333333334E-3</v>
      </c>
      <c r="F887" s="5">
        <v>6.4000000000000003E-3</v>
      </c>
      <c r="G887" s="5">
        <v>6.2791666666666664E-3</v>
      </c>
      <c r="H887" s="1366">
        <v>6.6099166666666667E-3</v>
      </c>
      <c r="I887" s="1366">
        <f t="shared" si="39"/>
        <v>-3.2600000000000004E-2</v>
      </c>
      <c r="J887" s="1366">
        <f t="shared" si="40"/>
        <v>-3.367916666666667E-2</v>
      </c>
      <c r="K887" s="1366">
        <f t="shared" si="41"/>
        <v>-5.4609916666666668E-2</v>
      </c>
    </row>
    <row r="888" spans="1:11" x14ac:dyDescent="0.55000000000000004">
      <c r="A888" s="295">
        <v>36434</v>
      </c>
      <c r="B888" s="1368">
        <v>6.3299999999999995E-2</v>
      </c>
      <c r="C888" s="1366">
        <v>1.5699999999999999E-2</v>
      </c>
      <c r="D888" s="1366">
        <v>5.0000000000000001E-3</v>
      </c>
      <c r="E888" s="1366">
        <v>6.2916666666666668E-3</v>
      </c>
      <c r="F888" s="5">
        <v>6.4916666666666664E-3</v>
      </c>
      <c r="G888" s="5">
        <v>6.391666666666667E-3</v>
      </c>
      <c r="H888" s="1366">
        <v>6.7205833333333327E-3</v>
      </c>
      <c r="I888" s="1366">
        <f t="shared" si="39"/>
        <v>5.8299999999999998E-2</v>
      </c>
      <c r="J888" s="1366">
        <f t="shared" si="40"/>
        <v>5.6908333333333325E-2</v>
      </c>
      <c r="K888" s="1366">
        <f t="shared" si="41"/>
        <v>8.9794166666666668E-3</v>
      </c>
    </row>
    <row r="889" spans="1:11" x14ac:dyDescent="0.55000000000000004">
      <c r="A889" s="295">
        <v>36465</v>
      </c>
      <c r="B889" s="1368">
        <v>2.0299999999999999E-2</v>
      </c>
      <c r="C889" s="1366">
        <v>-7.7300000000000008E-2</v>
      </c>
      <c r="D889" s="1366">
        <v>5.5999999999999991E-3</v>
      </c>
      <c r="E889" s="1366">
        <v>6.1333333333333344E-3</v>
      </c>
      <c r="F889" s="5">
        <v>6.3499999999999997E-3</v>
      </c>
      <c r="G889" s="5">
        <v>6.2416666666666679E-3</v>
      </c>
      <c r="H889" s="1366">
        <v>6.6095833333333328E-3</v>
      </c>
      <c r="I889" s="1366">
        <f t="shared" si="39"/>
        <v>1.47E-2</v>
      </c>
      <c r="J889" s="1366">
        <f t="shared" si="40"/>
        <v>1.4058333333333331E-2</v>
      </c>
      <c r="K889" s="1366">
        <f t="shared" si="41"/>
        <v>-8.3909583333333343E-2</v>
      </c>
    </row>
    <row r="890" spans="1:11" x14ac:dyDescent="0.55000000000000004">
      <c r="A890" s="295">
        <v>36495</v>
      </c>
      <c r="B890" s="1368">
        <v>5.8900000000000001E-2</v>
      </c>
      <c r="C890" s="1366">
        <v>9.2999999999999992E-3</v>
      </c>
      <c r="D890" s="1366">
        <v>5.4999999999999997E-3</v>
      </c>
      <c r="E890" s="1366">
        <v>6.2916666666666668E-3</v>
      </c>
      <c r="F890" s="5">
        <v>6.4833333333333331E-3</v>
      </c>
      <c r="G890" s="5">
        <v>6.3874999999999991E-3</v>
      </c>
      <c r="H890" s="1366">
        <v>6.7658333333333329E-3</v>
      </c>
      <c r="I890" s="1366">
        <f t="shared" si="39"/>
        <v>5.3400000000000003E-2</v>
      </c>
      <c r="J890" s="1366">
        <f t="shared" si="40"/>
        <v>5.2512500000000004E-2</v>
      </c>
      <c r="K890" s="1366">
        <f t="shared" si="41"/>
        <v>2.5341666666666663E-3</v>
      </c>
    </row>
    <row r="891" spans="1:11" x14ac:dyDescent="0.55000000000000004">
      <c r="A891" s="295">
        <v>36526</v>
      </c>
      <c r="B891" s="1368">
        <v>-5.0200000000000002E-2</v>
      </c>
      <c r="C891" s="1366">
        <v>0.1085</v>
      </c>
      <c r="D891" s="1366">
        <v>5.7000000000000002E-3</v>
      </c>
      <c r="E891" s="1366">
        <v>6.4833333333333331E-3</v>
      </c>
      <c r="F891" s="5">
        <v>6.6333333333333331E-3</v>
      </c>
      <c r="G891" s="5">
        <v>6.5583333333333327E-3</v>
      </c>
      <c r="H891" s="1366">
        <v>6.9562500000000006E-3</v>
      </c>
      <c r="I891" s="1366">
        <f t="shared" si="39"/>
        <v>-5.5900000000000005E-2</v>
      </c>
      <c r="J891" s="1366">
        <f t="shared" si="40"/>
        <v>-5.6758333333333334E-2</v>
      </c>
      <c r="K891" s="1366">
        <f t="shared" si="41"/>
        <v>0.10154375</v>
      </c>
    </row>
    <row r="892" spans="1:11" x14ac:dyDescent="0.55000000000000004">
      <c r="A892" s="295">
        <v>36557</v>
      </c>
      <c r="B892" s="1368">
        <v>-1.89E-2</v>
      </c>
      <c r="C892" s="1366">
        <v>-5.7800000000000004E-2</v>
      </c>
      <c r="D892" s="1366">
        <v>5.1000000000000004E-3</v>
      </c>
      <c r="E892" s="1366">
        <v>6.4000000000000003E-3</v>
      </c>
      <c r="F892" s="5">
        <v>6.5166666666666671E-3</v>
      </c>
      <c r="G892" s="5">
        <v>6.4583333333333333E-3</v>
      </c>
      <c r="H892" s="1366">
        <v>6.8737499999999997E-3</v>
      </c>
      <c r="I892" s="1366">
        <f t="shared" si="39"/>
        <v>-2.4E-2</v>
      </c>
      <c r="J892" s="1366">
        <f t="shared" si="40"/>
        <v>-2.5358333333333333E-2</v>
      </c>
      <c r="K892" s="1366">
        <f t="shared" si="41"/>
        <v>-6.4673750000000002E-2</v>
      </c>
    </row>
    <row r="893" spans="1:11" x14ac:dyDescent="0.55000000000000004">
      <c r="A893" s="295">
        <v>36586</v>
      </c>
      <c r="B893" s="1368">
        <v>9.7799999999999998E-2</v>
      </c>
      <c r="C893" s="1366">
        <v>3.49E-2</v>
      </c>
      <c r="D893" s="1366">
        <v>5.4000000000000003E-3</v>
      </c>
      <c r="E893" s="1366">
        <v>6.4000000000000003E-3</v>
      </c>
      <c r="F893" s="5">
        <v>6.5249999999999996E-3</v>
      </c>
      <c r="G893" s="5">
        <v>6.4624999999999995E-3</v>
      </c>
      <c r="H893" s="1366">
        <v>6.9058333333333341E-3</v>
      </c>
      <c r="I893" s="1366">
        <f t="shared" si="39"/>
        <v>9.2399999999999996E-2</v>
      </c>
      <c r="J893" s="1366">
        <f t="shared" si="40"/>
        <v>9.1337500000000002E-2</v>
      </c>
      <c r="K893" s="1366">
        <f t="shared" si="41"/>
        <v>2.7994166666666667E-2</v>
      </c>
    </row>
    <row r="894" spans="1:11" x14ac:dyDescent="0.55000000000000004">
      <c r="A894" s="295">
        <v>36617</v>
      </c>
      <c r="B894" s="1368">
        <v>-3.0099999999999998E-2</v>
      </c>
      <c r="C894" s="1366">
        <v>7.9399999999999998E-2</v>
      </c>
      <c r="D894" s="1366">
        <v>4.7000000000000002E-3</v>
      </c>
      <c r="E894" s="1366">
        <v>6.3666666666666663E-3</v>
      </c>
      <c r="F894" s="5">
        <v>6.5166666666666671E-3</v>
      </c>
      <c r="G894" s="5">
        <v>6.4416666666666667E-3</v>
      </c>
      <c r="H894" s="1366">
        <v>6.8982499999999999E-3</v>
      </c>
      <c r="I894" s="1366">
        <f t="shared" si="39"/>
        <v>-3.4799999999999998E-2</v>
      </c>
      <c r="J894" s="1366">
        <f t="shared" si="40"/>
        <v>-3.6541666666666667E-2</v>
      </c>
      <c r="K894" s="1366">
        <f t="shared" si="41"/>
        <v>7.2501750000000004E-2</v>
      </c>
    </row>
    <row r="895" spans="1:11" x14ac:dyDescent="0.55000000000000004">
      <c r="A895" s="295">
        <v>36647</v>
      </c>
      <c r="B895" s="1368">
        <v>-2.0500000000000001E-2</v>
      </c>
      <c r="C895" s="1366">
        <v>4.8599999999999997E-2</v>
      </c>
      <c r="D895" s="1366">
        <v>5.5999999999999991E-3</v>
      </c>
      <c r="E895" s="1366">
        <v>6.6583333333333338E-3</v>
      </c>
      <c r="F895" s="5">
        <v>6.8666666666666668E-3</v>
      </c>
      <c r="G895" s="5">
        <v>6.7625000000000003E-3</v>
      </c>
      <c r="H895" s="1366">
        <v>7.2435833333333336E-3</v>
      </c>
      <c r="I895" s="1366">
        <f t="shared" si="39"/>
        <v>-2.6099999999999998E-2</v>
      </c>
      <c r="J895" s="1366">
        <f t="shared" si="40"/>
        <v>-2.7262500000000002E-2</v>
      </c>
      <c r="K895" s="1366">
        <f t="shared" si="41"/>
        <v>4.1356416666666666E-2</v>
      </c>
    </row>
    <row r="896" spans="1:11" x14ac:dyDescent="0.55000000000000004">
      <c r="A896" s="295">
        <v>36678</v>
      </c>
      <c r="B896" s="1368">
        <v>2.47E-2</v>
      </c>
      <c r="C896" s="1366">
        <v>-5.7500000000000002E-2</v>
      </c>
      <c r="D896" s="1366">
        <v>5.1999999999999998E-3</v>
      </c>
      <c r="E896" s="1366">
        <v>6.391666666666667E-3</v>
      </c>
      <c r="F896" s="5">
        <v>6.5583333333333335E-3</v>
      </c>
      <c r="G896" s="5">
        <v>6.4749999999999999E-3</v>
      </c>
      <c r="H896" s="1366">
        <v>6.9795833333333333E-3</v>
      </c>
      <c r="I896" s="1366">
        <f t="shared" si="39"/>
        <v>1.95E-2</v>
      </c>
      <c r="J896" s="1366">
        <f t="shared" si="40"/>
        <v>1.8224999999999998E-2</v>
      </c>
      <c r="K896" s="1366">
        <f t="shared" si="41"/>
        <v>-6.447958333333334E-2</v>
      </c>
    </row>
    <row r="897" spans="1:11" x14ac:dyDescent="0.55000000000000004">
      <c r="A897" s="295">
        <v>36708</v>
      </c>
      <c r="B897" s="1368">
        <v>-1.5599999999999999E-2</v>
      </c>
      <c r="C897" s="1366">
        <v>6.7699999999999996E-2</v>
      </c>
      <c r="D897" s="1366">
        <v>5.1999999999999998E-3</v>
      </c>
      <c r="E897" s="1366">
        <v>6.3750000000000005E-3</v>
      </c>
      <c r="F897" s="5">
        <v>6.508333333333333E-3</v>
      </c>
      <c r="G897" s="5">
        <v>6.4416666666666667E-3</v>
      </c>
      <c r="H897" s="1366">
        <v>6.8820000000000001E-3</v>
      </c>
      <c r="I897" s="1366">
        <f t="shared" si="39"/>
        <v>-2.0799999999999999E-2</v>
      </c>
      <c r="J897" s="1366">
        <f t="shared" si="40"/>
        <v>-2.2041666666666668E-2</v>
      </c>
      <c r="K897" s="1366">
        <f t="shared" si="41"/>
        <v>6.0817999999999997E-2</v>
      </c>
    </row>
    <row r="898" spans="1:11" x14ac:dyDescent="0.55000000000000004">
      <c r="A898" s="295">
        <v>36739</v>
      </c>
      <c r="B898" s="1368">
        <v>6.2100000000000002E-2</v>
      </c>
      <c r="C898" s="1366">
        <v>0.13720000000000002</v>
      </c>
      <c r="D898" s="1366">
        <v>5.0000000000000001E-3</v>
      </c>
      <c r="E898" s="1366">
        <v>6.2916666666666668E-3</v>
      </c>
      <c r="F898" s="5">
        <v>6.4166666666666669E-3</v>
      </c>
      <c r="G898" s="5">
        <v>6.3541666666666677E-3</v>
      </c>
      <c r="H898" s="1366">
        <v>6.7739166666666677E-3</v>
      </c>
      <c r="I898" s="1366">
        <f t="shared" si="39"/>
        <v>5.7100000000000005E-2</v>
      </c>
      <c r="J898" s="1366">
        <f t="shared" si="40"/>
        <v>5.5745833333333335E-2</v>
      </c>
      <c r="K898" s="1366">
        <f t="shared" si="41"/>
        <v>0.13042608333333336</v>
      </c>
    </row>
    <row r="899" spans="1:11" x14ac:dyDescent="0.55000000000000004">
      <c r="A899" s="295">
        <v>36770</v>
      </c>
      <c r="B899" s="1368">
        <v>-5.28E-2</v>
      </c>
      <c r="C899" s="1366">
        <v>9.1499999999999998E-2</v>
      </c>
      <c r="D899" s="1366">
        <v>4.5999999999999999E-3</v>
      </c>
      <c r="E899" s="1366">
        <v>6.3499999999999997E-3</v>
      </c>
      <c r="F899" s="5">
        <v>6.5249999999999996E-3</v>
      </c>
      <c r="G899" s="5">
        <v>6.4375000000000005E-3</v>
      </c>
      <c r="H899" s="1366">
        <v>6.8533333333333337E-3</v>
      </c>
      <c r="I899" s="1366">
        <f t="shared" si="39"/>
        <v>-5.74E-2</v>
      </c>
      <c r="J899" s="1366">
        <f t="shared" si="40"/>
        <v>-5.9237499999999998E-2</v>
      </c>
      <c r="K899" s="1366">
        <f t="shared" si="41"/>
        <v>8.4646666666666662E-2</v>
      </c>
    </row>
    <row r="900" spans="1:11" x14ac:dyDescent="0.55000000000000004">
      <c r="A900" s="295">
        <v>36800</v>
      </c>
      <c r="B900" s="1368">
        <v>-4.1999999999999997E-3</v>
      </c>
      <c r="C900" s="1366">
        <v>-3.5699999999999996E-2</v>
      </c>
      <c r="D900" s="1366">
        <v>5.3E-3</v>
      </c>
      <c r="E900" s="1366">
        <v>6.2916666666666668E-3</v>
      </c>
      <c r="F900" s="5">
        <v>6.508333333333333E-3</v>
      </c>
      <c r="G900" s="5">
        <v>6.3999999999999994E-3</v>
      </c>
      <c r="H900" s="1366">
        <v>6.7868333333333331E-3</v>
      </c>
      <c r="I900" s="1366">
        <f t="shared" ref="I900:I963" si="42">B900-D900</f>
        <v>-9.4999999999999998E-3</v>
      </c>
      <c r="J900" s="1366">
        <f t="shared" si="40"/>
        <v>-1.0599999999999998E-2</v>
      </c>
      <c r="K900" s="1366">
        <f t="shared" si="41"/>
        <v>-4.2486833333333328E-2</v>
      </c>
    </row>
    <row r="901" spans="1:11" x14ac:dyDescent="0.55000000000000004">
      <c r="A901" s="295">
        <v>36831</v>
      </c>
      <c r="B901" s="1368">
        <v>-7.8799999999999995E-2</v>
      </c>
      <c r="C901" s="1366">
        <v>-1.32E-2</v>
      </c>
      <c r="D901" s="1366">
        <v>4.7999999999999996E-3</v>
      </c>
      <c r="E901" s="1366">
        <v>6.2083333333333331E-3</v>
      </c>
      <c r="F901" s="5">
        <v>6.4583333333333333E-3</v>
      </c>
      <c r="G901" s="5">
        <v>6.3333333333333332E-3</v>
      </c>
      <c r="H901" s="1366">
        <v>6.7716666666666654E-3</v>
      </c>
      <c r="I901" s="1366">
        <f t="shared" si="42"/>
        <v>-8.3599999999999994E-2</v>
      </c>
      <c r="J901" s="1366">
        <f t="shared" si="40"/>
        <v>-8.5133333333333325E-2</v>
      </c>
      <c r="K901" s="1366">
        <f t="shared" si="41"/>
        <v>-1.9971666666666665E-2</v>
      </c>
    </row>
    <row r="902" spans="1:11" x14ac:dyDescent="0.55000000000000004">
      <c r="A902" s="295">
        <v>36861</v>
      </c>
      <c r="B902" s="1368">
        <v>4.8999999999999998E-3</v>
      </c>
      <c r="C902" s="1366">
        <v>9.820000000000001E-2</v>
      </c>
      <c r="D902" s="1366">
        <v>4.4999999999999997E-3</v>
      </c>
      <c r="E902" s="1366">
        <v>6.0083333333333334E-3</v>
      </c>
      <c r="F902" s="5">
        <v>6.2333333333333338E-3</v>
      </c>
      <c r="G902" s="5">
        <v>6.1208333333333332E-3</v>
      </c>
      <c r="H902" s="1366">
        <v>6.5465000000000002E-3</v>
      </c>
      <c r="I902" s="1366">
        <f t="shared" si="42"/>
        <v>4.0000000000000018E-4</v>
      </c>
      <c r="J902" s="1366">
        <f t="shared" si="40"/>
        <v>-1.2208333333333333E-3</v>
      </c>
      <c r="K902" s="1366">
        <f t="shared" si="41"/>
        <v>9.1653500000000013E-2</v>
      </c>
    </row>
    <row r="903" spans="1:11" x14ac:dyDescent="0.55000000000000004">
      <c r="A903" s="295">
        <v>36892</v>
      </c>
      <c r="B903" s="1368">
        <v>3.5499999999999997E-2</v>
      </c>
      <c r="C903" s="1366">
        <v>-9.6699999999999994E-2</v>
      </c>
      <c r="D903" s="1366">
        <v>4.8999999999999998E-3</v>
      </c>
      <c r="E903" s="1366">
        <v>5.9583333333333328E-3</v>
      </c>
      <c r="F903" s="5">
        <v>6.1500000000000001E-3</v>
      </c>
      <c r="G903" s="5">
        <v>6.0541666666666669E-3</v>
      </c>
      <c r="H903" s="1366">
        <v>6.4988333333333339E-3</v>
      </c>
      <c r="I903" s="1366">
        <f t="shared" si="42"/>
        <v>3.0599999999999995E-2</v>
      </c>
      <c r="J903" s="1366">
        <f t="shared" si="40"/>
        <v>2.9445833333333331E-2</v>
      </c>
      <c r="K903" s="1366">
        <f t="shared" si="41"/>
        <v>-0.10319883333333332</v>
      </c>
    </row>
    <row r="904" spans="1:11" x14ac:dyDescent="0.55000000000000004">
      <c r="A904" s="295">
        <v>36923</v>
      </c>
      <c r="B904" s="1368">
        <v>-9.1200000000000003E-2</v>
      </c>
      <c r="C904" s="1366">
        <v>3.5299999999999998E-2</v>
      </c>
      <c r="D904" s="1366">
        <v>4.1999999999999997E-3</v>
      </c>
      <c r="E904" s="1366">
        <v>5.9166666666666664E-3</v>
      </c>
      <c r="F904" s="5">
        <v>6.0999999999999995E-3</v>
      </c>
      <c r="G904" s="5">
        <v>6.0083333333333334E-3</v>
      </c>
      <c r="H904" s="1366">
        <v>6.4490833333333327E-3</v>
      </c>
      <c r="I904" s="1366">
        <f t="shared" si="42"/>
        <v>-9.5399999999999999E-2</v>
      </c>
      <c r="J904" s="1366">
        <f t="shared" si="40"/>
        <v>-9.7208333333333341E-2</v>
      </c>
      <c r="K904" s="1366">
        <f t="shared" si="41"/>
        <v>2.8850916666666664E-2</v>
      </c>
    </row>
    <row r="905" spans="1:11" x14ac:dyDescent="0.55000000000000004">
      <c r="A905" s="295">
        <v>36951</v>
      </c>
      <c r="B905" s="1368">
        <v>-6.3399999999999998E-2</v>
      </c>
      <c r="C905" s="1366">
        <v>-6.3E-3</v>
      </c>
      <c r="D905" s="1366">
        <v>4.4999999999999997E-3</v>
      </c>
      <c r="E905" s="1366">
        <v>5.816666666666667E-3</v>
      </c>
      <c r="F905" s="5">
        <v>6.0166666666666667E-3</v>
      </c>
      <c r="G905" s="5">
        <v>5.9166666666666664E-3</v>
      </c>
      <c r="H905" s="1366">
        <v>6.3935833333333336E-3</v>
      </c>
      <c r="I905" s="1366">
        <f t="shared" si="42"/>
        <v>-6.7900000000000002E-2</v>
      </c>
      <c r="J905" s="1366">
        <f t="shared" si="40"/>
        <v>-6.9316666666666665E-2</v>
      </c>
      <c r="K905" s="1366">
        <f t="shared" si="41"/>
        <v>-1.2693583333333334E-2</v>
      </c>
    </row>
    <row r="906" spans="1:11" x14ac:dyDescent="0.55000000000000004">
      <c r="A906" s="295">
        <v>36982</v>
      </c>
      <c r="B906" s="1368">
        <v>7.7700000000000005E-2</v>
      </c>
      <c r="C906" s="1366">
        <v>6.0499999999999998E-2</v>
      </c>
      <c r="D906" s="1366">
        <v>4.7000000000000002E-3</v>
      </c>
      <c r="E906" s="1366">
        <v>6.0000000000000001E-3</v>
      </c>
      <c r="F906" s="5">
        <v>6.1916666666666665E-3</v>
      </c>
      <c r="G906" s="5">
        <v>6.0958333333333333E-3</v>
      </c>
      <c r="H906" s="1366">
        <v>6.6033333333333335E-3</v>
      </c>
      <c r="I906" s="1366">
        <f t="shared" si="42"/>
        <v>7.3000000000000009E-2</v>
      </c>
      <c r="J906" s="1366">
        <f t="shared" si="40"/>
        <v>7.1604166666666677E-2</v>
      </c>
      <c r="K906" s="1366">
        <f t="shared" si="41"/>
        <v>5.3896666666666662E-2</v>
      </c>
    </row>
    <row r="907" spans="1:11" x14ac:dyDescent="0.55000000000000004">
      <c r="A907" s="295">
        <v>37012</v>
      </c>
      <c r="B907" s="1368">
        <v>6.7000000000000002E-3</v>
      </c>
      <c r="C907" s="1366">
        <v>-3.4300000000000004E-2</v>
      </c>
      <c r="D907" s="1366">
        <v>5.0000000000000001E-3</v>
      </c>
      <c r="E907" s="1366">
        <v>6.0750000000000005E-3</v>
      </c>
      <c r="F907" s="5">
        <v>6.2500000000000003E-3</v>
      </c>
      <c r="G907" s="5">
        <v>6.1624999999999996E-3</v>
      </c>
      <c r="H907" s="1366">
        <v>6.6629166666666659E-3</v>
      </c>
      <c r="I907" s="1366">
        <f t="shared" si="42"/>
        <v>1.7000000000000001E-3</v>
      </c>
      <c r="J907" s="1366">
        <f t="shared" si="40"/>
        <v>5.3750000000000065E-4</v>
      </c>
      <c r="K907" s="1366">
        <f t="shared" si="41"/>
        <v>-4.0962916666666668E-2</v>
      </c>
    </row>
    <row r="908" spans="1:11" x14ac:dyDescent="0.55000000000000004">
      <c r="A908" s="295">
        <v>37043</v>
      </c>
      <c r="B908" s="1368">
        <v>-2.4299999999999999E-2</v>
      </c>
      <c r="C908" s="1366">
        <v>-7.9100000000000004E-2</v>
      </c>
      <c r="D908" s="1366">
        <v>4.7000000000000002E-3</v>
      </c>
      <c r="E908" s="1366">
        <v>5.9833333333333327E-3</v>
      </c>
      <c r="F908" s="5">
        <v>6.116666666666667E-3</v>
      </c>
      <c r="G908" s="5">
        <v>6.0499999999999998E-3</v>
      </c>
      <c r="H908" s="1366">
        <v>6.5459999999999997E-3</v>
      </c>
      <c r="I908" s="1366">
        <f t="shared" si="42"/>
        <v>-2.8999999999999998E-2</v>
      </c>
      <c r="J908" s="1366">
        <f t="shared" si="40"/>
        <v>-3.0349999999999999E-2</v>
      </c>
      <c r="K908" s="1366">
        <f t="shared" si="41"/>
        <v>-8.5646E-2</v>
      </c>
    </row>
    <row r="909" spans="1:11" x14ac:dyDescent="0.55000000000000004">
      <c r="A909" s="295">
        <v>37073</v>
      </c>
      <c r="B909" s="1368">
        <v>-9.7999999999999997E-3</v>
      </c>
      <c r="C909" s="1366">
        <v>-4.4799999999999993E-2</v>
      </c>
      <c r="D909" s="1366">
        <v>5.1999999999999998E-3</v>
      </c>
      <c r="E909" s="1366">
        <v>5.9416666666666663E-3</v>
      </c>
      <c r="F909" s="5">
        <v>6.0583333333333331E-3</v>
      </c>
      <c r="G909" s="5">
        <v>6.0000000000000001E-3</v>
      </c>
      <c r="H909" s="1366">
        <v>6.4940833333333335E-3</v>
      </c>
      <c r="I909" s="1366">
        <f t="shared" si="42"/>
        <v>-1.4999999999999999E-2</v>
      </c>
      <c r="J909" s="1366">
        <f t="shared" si="40"/>
        <v>-1.5800000000000002E-2</v>
      </c>
      <c r="K909" s="1366">
        <f t="shared" si="41"/>
        <v>-5.1294083333333323E-2</v>
      </c>
    </row>
    <row r="910" spans="1:11" x14ac:dyDescent="0.55000000000000004">
      <c r="A910" s="295">
        <v>37104</v>
      </c>
      <c r="B910" s="1368">
        <v>-6.2600000000000003E-2</v>
      </c>
      <c r="C910" s="1366">
        <v>-2.9000000000000005E-2</v>
      </c>
      <c r="D910" s="1366">
        <v>4.5999999999999999E-3</v>
      </c>
      <c r="E910" s="1366">
        <v>6.0000000000000001E-3</v>
      </c>
      <c r="F910" s="5">
        <v>5.9250000000000006E-3</v>
      </c>
      <c r="G910" s="5">
        <v>5.9624999999999991E-3</v>
      </c>
      <c r="H910" s="1366">
        <v>6.3285833333333328E-3</v>
      </c>
      <c r="I910" s="1366">
        <f t="shared" si="42"/>
        <v>-6.720000000000001E-2</v>
      </c>
      <c r="J910" s="1366">
        <f t="shared" si="40"/>
        <v>-6.8562499999999998E-2</v>
      </c>
      <c r="K910" s="1366">
        <f t="shared" si="41"/>
        <v>-3.5328583333333337E-2</v>
      </c>
    </row>
    <row r="911" spans="1:11" x14ac:dyDescent="0.55000000000000004">
      <c r="A911" s="295">
        <v>37135</v>
      </c>
      <c r="B911" s="1368">
        <v>-8.0799999999999997E-2</v>
      </c>
      <c r="C911" s="1366">
        <v>-0.1152</v>
      </c>
      <c r="D911" s="1366">
        <v>4.1000000000000003E-3</v>
      </c>
      <c r="E911" s="1366">
        <v>5.9750000000000003E-3</v>
      </c>
      <c r="F911" s="5">
        <v>6.0583333333333331E-3</v>
      </c>
      <c r="G911" s="5">
        <v>6.0166666666666667E-3</v>
      </c>
      <c r="H911" s="1366">
        <v>6.4227500000000005E-3</v>
      </c>
      <c r="I911" s="1366">
        <f t="shared" si="42"/>
        <v>-8.4900000000000003E-2</v>
      </c>
      <c r="J911" s="1366">
        <f t="shared" si="40"/>
        <v>-8.6816666666666667E-2</v>
      </c>
      <c r="K911" s="1366">
        <f t="shared" si="41"/>
        <v>-0.12162275</v>
      </c>
    </row>
    <row r="912" spans="1:11" x14ac:dyDescent="0.55000000000000004">
      <c r="A912" s="295">
        <v>37165</v>
      </c>
      <c r="B912" s="1368">
        <v>1.9099999999999999E-2</v>
      </c>
      <c r="C912" s="1366">
        <v>-1.7000000000000001E-3</v>
      </c>
      <c r="D912" s="1366">
        <v>4.7999999999999996E-3</v>
      </c>
      <c r="E912" s="1366">
        <v>5.8583333333333334E-3</v>
      </c>
      <c r="F912" s="5">
        <v>5.9416666666666663E-3</v>
      </c>
      <c r="G912" s="5">
        <v>5.8999999999999999E-3</v>
      </c>
      <c r="H912" s="1366">
        <v>6.3725833333333334E-3</v>
      </c>
      <c r="I912" s="1366">
        <f t="shared" si="42"/>
        <v>1.43E-2</v>
      </c>
      <c r="J912" s="1366">
        <f t="shared" si="40"/>
        <v>1.32E-2</v>
      </c>
      <c r="K912" s="1366">
        <f t="shared" si="41"/>
        <v>-8.0725833333333344E-3</v>
      </c>
    </row>
    <row r="913" spans="1:11" x14ac:dyDescent="0.55000000000000004">
      <c r="A913" s="295">
        <v>37196</v>
      </c>
      <c r="B913" s="1368">
        <v>7.6700000000000004E-2</v>
      </c>
      <c r="C913" s="1366">
        <v>-5.5199999999999999E-2</v>
      </c>
      <c r="D913" s="1366">
        <v>4.1000000000000003E-3</v>
      </c>
      <c r="E913" s="1366">
        <v>5.8083333333333329E-3</v>
      </c>
      <c r="F913" s="5">
        <v>5.841666666666666E-3</v>
      </c>
      <c r="G913" s="5">
        <v>5.8250000000000003E-3</v>
      </c>
      <c r="H913" s="1366">
        <v>6.2872499999999994E-3</v>
      </c>
      <c r="I913" s="1366">
        <f t="shared" si="42"/>
        <v>7.2599999999999998E-2</v>
      </c>
      <c r="J913" s="1366">
        <f t="shared" si="40"/>
        <v>7.0875000000000007E-2</v>
      </c>
      <c r="K913" s="1366">
        <f t="shared" si="41"/>
        <v>-6.148725E-2</v>
      </c>
    </row>
    <row r="914" spans="1:11" x14ac:dyDescent="0.55000000000000004">
      <c r="A914" s="295">
        <v>37226</v>
      </c>
      <c r="B914" s="1368">
        <v>8.8000000000000005E-3</v>
      </c>
      <c r="C914" s="1366">
        <v>2.6000000000000002E-2</v>
      </c>
      <c r="D914" s="1366">
        <v>4.5999999999999999E-3</v>
      </c>
      <c r="E914" s="1366">
        <v>5.6333333333333339E-3</v>
      </c>
      <c r="F914" s="5">
        <v>5.9916666666666677E-3</v>
      </c>
      <c r="G914" s="5">
        <v>5.8125000000000008E-3</v>
      </c>
      <c r="H914" s="1366">
        <v>6.5259166666666668E-3</v>
      </c>
      <c r="I914" s="1366">
        <f t="shared" si="42"/>
        <v>4.2000000000000006E-3</v>
      </c>
      <c r="J914" s="1366">
        <f t="shared" si="40"/>
        <v>2.9874999999999997E-3</v>
      </c>
      <c r="K914" s="1366">
        <f t="shared" si="41"/>
        <v>1.9474083333333336E-2</v>
      </c>
    </row>
    <row r="915" spans="1:11" x14ac:dyDescent="0.55000000000000004">
      <c r="A915" s="295">
        <v>37257</v>
      </c>
      <c r="B915" s="1368">
        <v>-1.46E-2</v>
      </c>
      <c r="C915" s="1366">
        <v>-5.6499999999999995E-2</v>
      </c>
      <c r="D915" s="1366">
        <v>4.7999999999999996E-3</v>
      </c>
      <c r="E915" s="1366">
        <v>5.4583333333333324E-3</v>
      </c>
      <c r="F915" s="5">
        <v>5.8583333333333334E-3</v>
      </c>
      <c r="G915" s="5">
        <v>5.6583333333333329E-3</v>
      </c>
      <c r="H915" s="1366">
        <v>6.3869166666666666E-3</v>
      </c>
      <c r="I915" s="1366">
        <f t="shared" si="42"/>
        <v>-1.9400000000000001E-2</v>
      </c>
      <c r="J915" s="1366">
        <f t="shared" si="40"/>
        <v>-2.0258333333333333E-2</v>
      </c>
      <c r="K915" s="1366">
        <f t="shared" si="41"/>
        <v>-6.2886916666666667E-2</v>
      </c>
    </row>
    <row r="916" spans="1:11" x14ac:dyDescent="0.55000000000000004">
      <c r="A916" s="295">
        <v>37288</v>
      </c>
      <c r="B916" s="1368">
        <v>-1.9300000000000001E-2</v>
      </c>
      <c r="C916" s="1366">
        <v>-2.35E-2</v>
      </c>
      <c r="D916" s="1366">
        <v>4.3E-3</v>
      </c>
      <c r="E916" s="1366">
        <v>5.4250000000000001E-3</v>
      </c>
      <c r="F916" s="5">
        <v>5.7916666666666672E-3</v>
      </c>
      <c r="G916" s="5">
        <v>5.6083333333333332E-3</v>
      </c>
      <c r="H916" s="1366">
        <v>6.2833333333333326E-3</v>
      </c>
      <c r="I916" s="1366">
        <f t="shared" si="42"/>
        <v>-2.3600000000000003E-2</v>
      </c>
      <c r="J916" s="1366">
        <f t="shared" si="40"/>
        <v>-2.4908333333333334E-2</v>
      </c>
      <c r="K916" s="1366">
        <f t="shared" si="41"/>
        <v>-2.9783333333333332E-2</v>
      </c>
    </row>
    <row r="917" spans="1:11" x14ac:dyDescent="0.55000000000000004">
      <c r="A917" s="295">
        <v>37316</v>
      </c>
      <c r="B917" s="1368">
        <v>3.7600000000000001E-2</v>
      </c>
      <c r="C917" s="1366">
        <v>0.12229999999999999</v>
      </c>
      <c r="D917" s="1366">
        <v>4.3E-3</v>
      </c>
      <c r="E917" s="1366">
        <v>5.6750000000000004E-3</v>
      </c>
      <c r="F917" s="5">
        <v>6.0166666666666667E-3</v>
      </c>
      <c r="G917" s="5">
        <v>5.8458333333333331E-3</v>
      </c>
      <c r="H917" s="1366">
        <v>6.4529166666666667E-3</v>
      </c>
      <c r="I917" s="1366">
        <f t="shared" si="42"/>
        <v>3.3300000000000003E-2</v>
      </c>
      <c r="J917" s="1366">
        <f t="shared" si="40"/>
        <v>3.1754166666666667E-2</v>
      </c>
      <c r="K917" s="1366">
        <f t="shared" si="41"/>
        <v>0.11584708333333332</v>
      </c>
    </row>
    <row r="918" spans="1:11" x14ac:dyDescent="0.55000000000000004">
      <c r="A918" s="295">
        <v>37347</v>
      </c>
      <c r="B918" s="1368">
        <v>-6.0600000000000001E-2</v>
      </c>
      <c r="C918" s="1366">
        <v>-1.7100000000000001E-2</v>
      </c>
      <c r="D918" s="1366">
        <v>5.4000000000000003E-3</v>
      </c>
      <c r="E918" s="1366">
        <v>5.6333333333333339E-3</v>
      </c>
      <c r="F918" s="5">
        <v>5.966666666666667E-3</v>
      </c>
      <c r="G918" s="5">
        <v>5.8000000000000005E-3</v>
      </c>
      <c r="H918" s="1366">
        <v>6.3159166666666667E-3</v>
      </c>
      <c r="I918" s="1366">
        <f t="shared" si="42"/>
        <v>-6.6000000000000003E-2</v>
      </c>
      <c r="J918" s="1366">
        <f t="shared" si="40"/>
        <v>-6.6400000000000001E-2</v>
      </c>
      <c r="K918" s="1366">
        <f t="shared" si="41"/>
        <v>-2.3415916666666668E-2</v>
      </c>
    </row>
    <row r="919" spans="1:11" x14ac:dyDescent="0.55000000000000004">
      <c r="A919" s="295">
        <v>37377</v>
      </c>
      <c r="B919" s="1368">
        <v>-7.4000000000000003E-3</v>
      </c>
      <c r="C919" s="1366">
        <v>-9.0200000000000002E-2</v>
      </c>
      <c r="D919" s="1366">
        <v>4.8999999999999998E-3</v>
      </c>
      <c r="E919" s="1366">
        <v>5.6249999999999998E-3</v>
      </c>
      <c r="F919" s="5">
        <v>6.0000000000000001E-3</v>
      </c>
      <c r="G919" s="5">
        <v>5.8125000000000008E-3</v>
      </c>
      <c r="H919" s="1366">
        <v>6.2723333333333329E-3</v>
      </c>
      <c r="I919" s="1366">
        <f t="shared" si="42"/>
        <v>-1.23E-2</v>
      </c>
      <c r="J919" s="1366">
        <f t="shared" si="40"/>
        <v>-1.3212500000000002E-2</v>
      </c>
      <c r="K919" s="1366">
        <f t="shared" si="41"/>
        <v>-9.647233333333334E-2</v>
      </c>
    </row>
    <row r="920" spans="1:11" x14ac:dyDescent="0.55000000000000004">
      <c r="A920" s="295">
        <v>37408</v>
      </c>
      <c r="B920" s="1368">
        <v>-7.1199999999999999E-2</v>
      </c>
      <c r="C920" s="1366">
        <v>-7.1000000000000008E-2</v>
      </c>
      <c r="D920" s="1366">
        <v>4.4000000000000003E-3</v>
      </c>
      <c r="E920" s="1366">
        <v>5.5333333333333337E-3</v>
      </c>
      <c r="F920" s="5">
        <v>5.8999999999999999E-3</v>
      </c>
      <c r="G920" s="5">
        <v>5.7166666666666668E-3</v>
      </c>
      <c r="H920" s="1366">
        <v>6.1804166666666674E-3</v>
      </c>
      <c r="I920" s="1366">
        <f t="shared" si="42"/>
        <v>-7.5600000000000001E-2</v>
      </c>
      <c r="J920" s="1366">
        <f t="shared" si="40"/>
        <v>-7.6916666666666661E-2</v>
      </c>
      <c r="K920" s="1366">
        <f t="shared" si="41"/>
        <v>-7.7180416666666668E-2</v>
      </c>
    </row>
    <row r="921" spans="1:11" x14ac:dyDescent="0.55000000000000004">
      <c r="A921" s="295">
        <v>37438</v>
      </c>
      <c r="B921" s="1368">
        <v>-7.8E-2</v>
      </c>
      <c r="C921" s="1366">
        <v>-0.13799999999999998</v>
      </c>
      <c r="D921" s="1366">
        <v>5.1000000000000004E-3</v>
      </c>
      <c r="E921" s="1366">
        <v>5.4416666666666667E-3</v>
      </c>
      <c r="F921" s="5">
        <v>5.816666666666667E-3</v>
      </c>
      <c r="G921" s="5">
        <v>5.6291666666666677E-3</v>
      </c>
      <c r="H921" s="1366">
        <v>6.1008333333333331E-3</v>
      </c>
      <c r="I921" s="1366">
        <f t="shared" si="42"/>
        <v>-8.3100000000000007E-2</v>
      </c>
      <c r="J921" s="1366">
        <f t="shared" si="40"/>
        <v>-8.3629166666666671E-2</v>
      </c>
      <c r="K921" s="1366">
        <f t="shared" si="41"/>
        <v>-0.14410083333333332</v>
      </c>
    </row>
    <row r="922" spans="1:11" x14ac:dyDescent="0.55000000000000004">
      <c r="A922" s="295">
        <v>37469</v>
      </c>
      <c r="B922" s="1368">
        <v>6.6E-3</v>
      </c>
      <c r="C922" s="1366">
        <v>3.5000000000000003E-2</v>
      </c>
      <c r="D922" s="1366">
        <v>4.4000000000000003E-3</v>
      </c>
      <c r="E922" s="1366">
        <v>5.3083333333333342E-3</v>
      </c>
      <c r="F922" s="5">
        <v>5.6999999999999993E-3</v>
      </c>
      <c r="G922" s="5">
        <v>5.5041666666666668E-3</v>
      </c>
      <c r="H922" s="1366">
        <v>5.9787500000000006E-3</v>
      </c>
      <c r="I922" s="1366">
        <f t="shared" si="42"/>
        <v>2.1999999999999997E-3</v>
      </c>
      <c r="J922" s="1366">
        <f t="shared" si="40"/>
        <v>1.0958333333333332E-3</v>
      </c>
      <c r="K922" s="1366">
        <f t="shared" si="41"/>
        <v>2.9021250000000002E-2</v>
      </c>
    </row>
    <row r="923" spans="1:11" x14ac:dyDescent="0.55000000000000004">
      <c r="A923" s="295">
        <v>37500</v>
      </c>
      <c r="B923" s="1368">
        <v>-0.1087</v>
      </c>
      <c r="C923" s="1366">
        <v>-0.12830000000000003</v>
      </c>
      <c r="D923" s="1366">
        <v>4.1999999999999997E-3</v>
      </c>
      <c r="E923" s="1366">
        <v>5.1250000000000011E-3</v>
      </c>
      <c r="F923" s="5">
        <v>5.5249999999999995E-3</v>
      </c>
      <c r="G923" s="5">
        <v>5.3249999999999999E-3</v>
      </c>
      <c r="H923" s="1366">
        <v>5.9062500000000009E-3</v>
      </c>
      <c r="I923" s="1366">
        <f t="shared" si="42"/>
        <v>-0.1129</v>
      </c>
      <c r="J923" s="1366">
        <f t="shared" ref="J923:J986" si="43">B923-G923</f>
        <v>-0.114025</v>
      </c>
      <c r="K923" s="1366">
        <f t="shared" ref="K923:K986" si="44">$C923-H923</f>
        <v>-0.13420625000000003</v>
      </c>
    </row>
    <row r="924" spans="1:11" x14ac:dyDescent="0.55000000000000004">
      <c r="A924" s="295">
        <v>37530</v>
      </c>
      <c r="B924" s="1368">
        <v>8.7999999999999995E-2</v>
      </c>
      <c r="C924" s="1366">
        <v>-1.7299999999999999E-2</v>
      </c>
      <c r="D924" s="1366">
        <v>4.0000000000000001E-3</v>
      </c>
      <c r="E924" s="1366">
        <v>5.2749999999999993E-3</v>
      </c>
      <c r="F924" s="5">
        <v>5.6166666666666665E-3</v>
      </c>
      <c r="G924" s="5">
        <v>5.4458333333333329E-3</v>
      </c>
      <c r="H924" s="1366">
        <v>6.0162499999999999E-3</v>
      </c>
      <c r="I924" s="1366">
        <f t="shared" si="42"/>
        <v>8.3999999999999991E-2</v>
      </c>
      <c r="J924" s="1366">
        <f t="shared" si="43"/>
        <v>8.2554166666666665E-2</v>
      </c>
      <c r="K924" s="1366">
        <f t="shared" si="44"/>
        <v>-2.331625E-2</v>
      </c>
    </row>
    <row r="925" spans="1:11" x14ac:dyDescent="0.55000000000000004">
      <c r="A925" s="295">
        <v>37561</v>
      </c>
      <c r="B925" s="1368">
        <v>5.8900000000000001E-2</v>
      </c>
      <c r="C925" s="1366">
        <v>2.4900000000000002E-2</v>
      </c>
      <c r="D925" s="1366">
        <v>4.0000000000000001E-3</v>
      </c>
      <c r="E925" s="1366">
        <v>5.2583333333333327E-3</v>
      </c>
      <c r="F925" s="5">
        <v>5.5916666666666667E-3</v>
      </c>
      <c r="G925" s="5">
        <v>5.4250000000000001E-3</v>
      </c>
      <c r="H925" s="1366">
        <v>5.9523333333333338E-3</v>
      </c>
      <c r="I925" s="1366">
        <f t="shared" si="42"/>
        <v>5.4900000000000004E-2</v>
      </c>
      <c r="J925" s="1366">
        <f t="shared" si="43"/>
        <v>5.3475000000000002E-2</v>
      </c>
      <c r="K925" s="1366">
        <f t="shared" si="44"/>
        <v>1.8947666666666668E-2</v>
      </c>
    </row>
    <row r="926" spans="1:11" x14ac:dyDescent="0.55000000000000004">
      <c r="A926" s="295">
        <v>37591</v>
      </c>
      <c r="B926" s="1368">
        <v>-5.8700000000000002E-2</v>
      </c>
      <c r="C926" s="1366">
        <v>4.1599999999999998E-2</v>
      </c>
      <c r="D926" s="1366">
        <v>4.4999999999999997E-3</v>
      </c>
      <c r="E926" s="1366">
        <v>5.1749999999999999E-3</v>
      </c>
      <c r="F926" s="5">
        <v>5.5249999999999995E-3</v>
      </c>
      <c r="G926" s="5">
        <v>5.3499999999999989E-3</v>
      </c>
      <c r="H926" s="1366">
        <v>5.896416666666667E-3</v>
      </c>
      <c r="I926" s="1366">
        <f t="shared" si="42"/>
        <v>-6.3200000000000006E-2</v>
      </c>
      <c r="J926" s="1366">
        <f t="shared" si="43"/>
        <v>-6.4049999999999996E-2</v>
      </c>
      <c r="K926" s="1366">
        <f t="shared" si="44"/>
        <v>3.570358333333333E-2</v>
      </c>
    </row>
    <row r="927" spans="1:11" x14ac:dyDescent="0.55000000000000004">
      <c r="A927" s="295">
        <v>37622</v>
      </c>
      <c r="B927" s="1368">
        <v>-2.6200000000000001E-2</v>
      </c>
      <c r="C927" s="1366">
        <v>-2.9200000000000004E-2</v>
      </c>
      <c r="D927" s="1366">
        <v>4.1000000000000003E-3</v>
      </c>
      <c r="E927" s="1366">
        <v>5.1416666666666668E-3</v>
      </c>
      <c r="F927" s="5">
        <v>5.4916666666666673E-3</v>
      </c>
      <c r="G927" s="5">
        <v>5.3166666666666675E-3</v>
      </c>
      <c r="H927" s="1366">
        <v>5.886916666666667E-3</v>
      </c>
      <c r="I927" s="1366">
        <f t="shared" si="42"/>
        <v>-3.0300000000000001E-2</v>
      </c>
      <c r="J927" s="1366">
        <f t="shared" si="43"/>
        <v>-3.1516666666666665E-2</v>
      </c>
      <c r="K927" s="1366">
        <f t="shared" si="44"/>
        <v>-3.5086916666666669E-2</v>
      </c>
    </row>
    <row r="928" spans="1:11" x14ac:dyDescent="0.55000000000000004">
      <c r="A928" s="295">
        <v>37653</v>
      </c>
      <c r="B928" s="1368">
        <v>-1.4999999999999999E-2</v>
      </c>
      <c r="C928" s="1366">
        <v>-4.8999999999999995E-2</v>
      </c>
      <c r="D928" s="1366">
        <v>3.8E-3</v>
      </c>
      <c r="E928" s="1366">
        <v>4.9583333333333337E-3</v>
      </c>
      <c r="F928" s="5">
        <v>5.2833333333333335E-3</v>
      </c>
      <c r="G928" s="5">
        <v>5.1208333333333331E-3</v>
      </c>
      <c r="H928" s="1366">
        <v>5.7775833333333325E-3</v>
      </c>
      <c r="I928" s="1366">
        <f t="shared" si="42"/>
        <v>-1.8800000000000001E-2</v>
      </c>
      <c r="J928" s="1366">
        <f t="shared" si="43"/>
        <v>-2.0120833333333331E-2</v>
      </c>
      <c r="K928" s="1366">
        <f t="shared" si="44"/>
        <v>-5.4777583333333324E-2</v>
      </c>
    </row>
    <row r="929" spans="1:11" x14ac:dyDescent="0.55000000000000004">
      <c r="A929" s="295">
        <v>37681</v>
      </c>
      <c r="B929" s="1368">
        <v>9.7000000000000003E-3</v>
      </c>
      <c r="C929" s="1366">
        <v>5.050000000000001E-2</v>
      </c>
      <c r="D929" s="1366">
        <v>4.0000000000000001E-3</v>
      </c>
      <c r="E929" s="1366">
        <v>4.9083333333333331E-3</v>
      </c>
      <c r="F929" s="5">
        <v>5.2333333333333329E-3</v>
      </c>
      <c r="G929" s="5">
        <v>5.0708333333333334E-3</v>
      </c>
      <c r="H929" s="1366">
        <v>5.6626666666666665E-3</v>
      </c>
      <c r="I929" s="1366">
        <f t="shared" si="42"/>
        <v>5.7000000000000002E-3</v>
      </c>
      <c r="J929" s="1366">
        <f t="shared" si="43"/>
        <v>4.6291666666666668E-3</v>
      </c>
      <c r="K929" s="1366">
        <f t="shared" si="44"/>
        <v>4.483733333333334E-2</v>
      </c>
    </row>
    <row r="930" spans="1:11" x14ac:dyDescent="0.55000000000000004">
      <c r="A930" s="295">
        <v>37712</v>
      </c>
      <c r="B930" s="1368">
        <v>8.2400000000000001E-2</v>
      </c>
      <c r="C930" s="1366">
        <v>8.8500000000000009E-2</v>
      </c>
      <c r="D930" s="1366">
        <v>4.0000000000000001E-3</v>
      </c>
      <c r="E930" s="1366">
        <v>4.783333333333333E-3</v>
      </c>
      <c r="F930" s="5">
        <v>5.1833333333333332E-3</v>
      </c>
      <c r="G930" s="5">
        <v>4.9833333333333327E-3</v>
      </c>
      <c r="H930" s="1366">
        <v>5.5400833333333335E-3</v>
      </c>
      <c r="I930" s="1366">
        <f t="shared" si="42"/>
        <v>7.8399999999999997E-2</v>
      </c>
      <c r="J930" s="1366">
        <f t="shared" si="43"/>
        <v>7.7416666666666661E-2</v>
      </c>
      <c r="K930" s="1366">
        <f t="shared" si="44"/>
        <v>8.2959916666666675E-2</v>
      </c>
    </row>
    <row r="931" spans="1:11" x14ac:dyDescent="0.55000000000000004">
      <c r="A931" s="295">
        <v>37742</v>
      </c>
      <c r="B931" s="1368">
        <v>5.2699999999999997E-2</v>
      </c>
      <c r="C931" s="1366">
        <v>0.1021</v>
      </c>
      <c r="D931" s="1366">
        <v>3.8999999999999994E-3</v>
      </c>
      <c r="E931" s="1366">
        <v>4.3499999999999997E-3</v>
      </c>
      <c r="F931" s="5">
        <v>4.875E-3</v>
      </c>
      <c r="G931" s="5">
        <v>4.6125000000000003E-3</v>
      </c>
      <c r="H931" s="1366">
        <v>5.3103333333333336E-3</v>
      </c>
      <c r="I931" s="1366">
        <f t="shared" si="42"/>
        <v>4.8799999999999996E-2</v>
      </c>
      <c r="J931" s="1366">
        <f t="shared" si="43"/>
        <v>4.8087499999999998E-2</v>
      </c>
      <c r="K931" s="1366">
        <f t="shared" si="44"/>
        <v>9.6789666666666663E-2</v>
      </c>
    </row>
    <row r="932" spans="1:11" x14ac:dyDescent="0.55000000000000004">
      <c r="A932" s="295">
        <v>37773</v>
      </c>
      <c r="B932" s="1368">
        <v>1.2800000000000001E-2</v>
      </c>
      <c r="C932" s="1366">
        <v>1.1900000000000001E-2</v>
      </c>
      <c r="D932" s="1366">
        <v>3.5999999999999999E-3</v>
      </c>
      <c r="E932" s="1366">
        <v>4.1416666666666659E-3</v>
      </c>
      <c r="F932" s="5">
        <v>4.7666666666666664E-3</v>
      </c>
      <c r="G932" s="5">
        <v>4.4541666666666662E-3</v>
      </c>
      <c r="H932" s="1366">
        <v>5.1729999999999996E-3</v>
      </c>
      <c r="I932" s="1366">
        <f t="shared" si="42"/>
        <v>9.1999999999999998E-3</v>
      </c>
      <c r="J932" s="1366">
        <f t="shared" si="43"/>
        <v>8.3458333333333336E-3</v>
      </c>
      <c r="K932" s="1366">
        <f t="shared" si="44"/>
        <v>6.7270000000000012E-3</v>
      </c>
    </row>
    <row r="933" spans="1:11" x14ac:dyDescent="0.55000000000000004">
      <c r="A933" s="295">
        <v>37803</v>
      </c>
      <c r="B933" s="1368">
        <v>1.7600000000000001E-2</v>
      </c>
      <c r="C933" s="1366">
        <v>-6.5000000000000002E-2</v>
      </c>
      <c r="D933" s="1366">
        <v>3.8E-3</v>
      </c>
      <c r="E933" s="1366">
        <v>4.5750000000000001E-3</v>
      </c>
      <c r="F933" s="5">
        <v>5.058333333333334E-3</v>
      </c>
      <c r="G933" s="5">
        <v>4.816666666666667E-3</v>
      </c>
      <c r="H933" s="1366">
        <v>5.4568333333333326E-3</v>
      </c>
      <c r="I933" s="1366">
        <f t="shared" si="42"/>
        <v>1.3800000000000002E-2</v>
      </c>
      <c r="J933" s="1366">
        <f t="shared" si="43"/>
        <v>1.2783333333333334E-2</v>
      </c>
      <c r="K933" s="1366">
        <f t="shared" si="44"/>
        <v>-7.045683333333333E-2</v>
      </c>
    </row>
    <row r="934" spans="1:11" x14ac:dyDescent="0.55000000000000004">
      <c r="A934" s="295">
        <v>37834</v>
      </c>
      <c r="B934" s="1368">
        <v>1.95E-2</v>
      </c>
      <c r="C934" s="1366">
        <v>1.7499999999999998E-2</v>
      </c>
      <c r="D934" s="1366">
        <v>4.1999999999999997E-3</v>
      </c>
      <c r="E934" s="1366">
        <v>4.8916666666666666E-3</v>
      </c>
      <c r="F934" s="5">
        <v>5.2583333333333327E-3</v>
      </c>
      <c r="G934" s="5">
        <v>5.0749999999999997E-3</v>
      </c>
      <c r="H934" s="1366">
        <v>5.6591666666666674E-3</v>
      </c>
      <c r="I934" s="1366">
        <f t="shared" si="42"/>
        <v>1.5300000000000001E-2</v>
      </c>
      <c r="J934" s="1366">
        <f t="shared" si="43"/>
        <v>1.4425E-2</v>
      </c>
      <c r="K934" s="1366">
        <f t="shared" si="44"/>
        <v>1.1840833333333332E-2</v>
      </c>
    </row>
    <row r="935" spans="1:11" x14ac:dyDescent="0.55000000000000004">
      <c r="A935" s="295">
        <v>37865</v>
      </c>
      <c r="B935" s="1368">
        <v>-1.06E-2</v>
      </c>
      <c r="C935" s="1366">
        <v>4.5699999999999991E-2</v>
      </c>
      <c r="D935" s="1366">
        <v>4.5999999999999999E-3</v>
      </c>
      <c r="E935" s="1366">
        <v>4.7666666666666664E-3</v>
      </c>
      <c r="F935" s="5">
        <v>5.1083333333333336E-3</v>
      </c>
      <c r="G935" s="5">
        <v>4.9375E-3</v>
      </c>
      <c r="H935" s="1366">
        <v>5.4869166666666669E-3</v>
      </c>
      <c r="I935" s="1366">
        <f t="shared" si="42"/>
        <v>-1.52E-2</v>
      </c>
      <c r="J935" s="1366">
        <f t="shared" si="43"/>
        <v>-1.5537499999999999E-2</v>
      </c>
      <c r="K935" s="1366">
        <f t="shared" si="44"/>
        <v>4.0213083333333323E-2</v>
      </c>
    </row>
    <row r="936" spans="1:11" x14ac:dyDescent="0.55000000000000004">
      <c r="A936" s="295">
        <v>37895</v>
      </c>
      <c r="B936" s="1368">
        <v>5.6599999999999998E-2</v>
      </c>
      <c r="C936" s="1366">
        <v>1.1199999999999998E-2</v>
      </c>
      <c r="D936" s="1366">
        <v>4.1000000000000003E-3</v>
      </c>
      <c r="E936" s="1366">
        <v>4.7500000000000007E-3</v>
      </c>
      <c r="F936" s="5">
        <v>5.0916666666666662E-3</v>
      </c>
      <c r="G936" s="5">
        <v>4.9208333333333335E-3</v>
      </c>
      <c r="H936" s="1366">
        <v>5.3500000000000006E-3</v>
      </c>
      <c r="I936" s="1366">
        <f t="shared" si="42"/>
        <v>5.2499999999999998E-2</v>
      </c>
      <c r="J936" s="1366">
        <f t="shared" si="43"/>
        <v>5.1679166666666665E-2</v>
      </c>
      <c r="K936" s="1366">
        <f t="shared" si="44"/>
        <v>5.8499999999999976E-3</v>
      </c>
    </row>
    <row r="937" spans="1:11" x14ac:dyDescent="0.55000000000000004">
      <c r="A937" s="295">
        <v>37926</v>
      </c>
      <c r="B937" s="1368">
        <v>8.8000000000000005E-3</v>
      </c>
      <c r="C937" s="1366">
        <v>-5.0000000000000001E-4</v>
      </c>
      <c r="D937" s="1366">
        <v>3.8999999999999994E-3</v>
      </c>
      <c r="E937" s="1366">
        <v>4.7083333333333335E-3</v>
      </c>
      <c r="F937" s="5">
        <v>5.0666666666666672E-3</v>
      </c>
      <c r="G937" s="5">
        <v>4.8875000000000004E-3</v>
      </c>
      <c r="H937" s="1366">
        <v>5.3093333333333334E-3</v>
      </c>
      <c r="I937" s="1366">
        <f t="shared" si="42"/>
        <v>4.9000000000000016E-3</v>
      </c>
      <c r="J937" s="1366">
        <f t="shared" si="43"/>
        <v>3.9125000000000002E-3</v>
      </c>
      <c r="K937" s="1366">
        <f t="shared" si="44"/>
        <v>-5.809333333333333E-3</v>
      </c>
    </row>
    <row r="938" spans="1:11" x14ac:dyDescent="0.55000000000000004">
      <c r="A938" s="295">
        <v>37956</v>
      </c>
      <c r="B938" s="1368">
        <v>5.2400000000000002E-2</v>
      </c>
      <c r="C938" s="1366">
        <v>6.7499999999999991E-2</v>
      </c>
      <c r="D938" s="1366">
        <v>4.7000000000000002E-3</v>
      </c>
      <c r="E938" s="1366">
        <v>4.7083333333333335E-3</v>
      </c>
      <c r="F938" s="5">
        <v>5.0166666666666658E-3</v>
      </c>
      <c r="G938" s="5">
        <v>4.8624999999999996E-3</v>
      </c>
      <c r="H938" s="1366">
        <v>5.2325000000000002E-3</v>
      </c>
      <c r="I938" s="1366">
        <f t="shared" si="42"/>
        <v>4.7699999999999999E-2</v>
      </c>
      <c r="J938" s="1366">
        <f t="shared" si="43"/>
        <v>4.7537500000000003E-2</v>
      </c>
      <c r="K938" s="1366">
        <f t="shared" si="44"/>
        <v>6.226749999999999E-2</v>
      </c>
    </row>
    <row r="939" spans="1:11" x14ac:dyDescent="0.55000000000000004">
      <c r="A939" s="295">
        <v>37987</v>
      </c>
      <c r="B939" s="1368">
        <v>1.84E-2</v>
      </c>
      <c r="C939" s="1366">
        <v>2.1599999999999998E-2</v>
      </c>
      <c r="D939" s="1366">
        <v>4.1999999999999997E-3</v>
      </c>
      <c r="E939" s="1366">
        <v>4.6166666666666665E-3</v>
      </c>
      <c r="F939" s="5">
        <v>4.9249999999999997E-3</v>
      </c>
      <c r="G939" s="5">
        <v>4.7708333333333327E-3</v>
      </c>
      <c r="H939" s="1366">
        <v>5.1280833333333335E-3</v>
      </c>
      <c r="I939" s="1366">
        <f t="shared" si="42"/>
        <v>1.4200000000000001E-2</v>
      </c>
      <c r="J939" s="1366">
        <f t="shared" si="43"/>
        <v>1.3629166666666668E-2</v>
      </c>
      <c r="K939" s="1366">
        <f t="shared" si="44"/>
        <v>1.6471916666666662E-2</v>
      </c>
    </row>
    <row r="940" spans="1:11" x14ac:dyDescent="0.55000000000000004">
      <c r="A940" s="295">
        <v>38018</v>
      </c>
      <c r="B940" s="1368">
        <v>1.3899999999999999E-2</v>
      </c>
      <c r="C940" s="1366">
        <v>1.8100000000000002E-2</v>
      </c>
      <c r="D940" s="1366">
        <v>3.8E-3</v>
      </c>
      <c r="E940" s="1366">
        <v>4.5833333333333334E-3</v>
      </c>
      <c r="F940" s="5">
        <v>4.8916666666666666E-3</v>
      </c>
      <c r="G940" s="5">
        <v>4.7375000000000004E-3</v>
      </c>
      <c r="H940" s="1366">
        <v>5.1250000000000011E-3</v>
      </c>
      <c r="I940" s="1366">
        <f t="shared" si="42"/>
        <v>1.01E-2</v>
      </c>
      <c r="J940" s="1366">
        <f t="shared" si="43"/>
        <v>9.1624999999999988E-3</v>
      </c>
      <c r="K940" s="1366">
        <f t="shared" si="44"/>
        <v>1.2975E-2</v>
      </c>
    </row>
    <row r="941" spans="1:11" x14ac:dyDescent="0.55000000000000004">
      <c r="A941" s="295">
        <v>38047</v>
      </c>
      <c r="B941" s="1368">
        <v>-1.5100000000000001E-2</v>
      </c>
      <c r="C941" s="1366">
        <v>1.04E-2</v>
      </c>
      <c r="D941" s="1366">
        <v>4.3E-3</v>
      </c>
      <c r="E941" s="1366">
        <v>4.4416666666666667E-3</v>
      </c>
      <c r="F941" s="5">
        <v>4.7500000000000007E-3</v>
      </c>
      <c r="G941" s="5">
        <v>4.5958333333333337E-3</v>
      </c>
      <c r="H941" s="1366">
        <v>4.9753333333333333E-3</v>
      </c>
      <c r="I941" s="1366">
        <f t="shared" si="42"/>
        <v>-1.9400000000000001E-2</v>
      </c>
      <c r="J941" s="1366">
        <f t="shared" si="43"/>
        <v>-1.9695833333333336E-2</v>
      </c>
      <c r="K941" s="1366">
        <f t="shared" si="44"/>
        <v>5.4246666666666662E-3</v>
      </c>
    </row>
    <row r="942" spans="1:11" x14ac:dyDescent="0.55000000000000004">
      <c r="A942" s="295">
        <v>38078</v>
      </c>
      <c r="B942" s="1368">
        <v>-1.5699999999999999E-2</v>
      </c>
      <c r="C942" s="1366">
        <v>-3.6199999999999996E-2</v>
      </c>
      <c r="D942" s="1366">
        <v>3.8999999999999994E-3</v>
      </c>
      <c r="E942" s="1366">
        <v>4.7750000000000006E-3</v>
      </c>
      <c r="F942" s="5">
        <v>5.0833333333333329E-3</v>
      </c>
      <c r="G942" s="5">
        <v>4.9291666666666668E-3</v>
      </c>
      <c r="H942" s="1366">
        <v>5.2710000000000005E-3</v>
      </c>
      <c r="I942" s="1366">
        <f t="shared" si="42"/>
        <v>-1.9599999999999999E-2</v>
      </c>
      <c r="J942" s="1366">
        <f t="shared" si="43"/>
        <v>-2.0629166666666664E-2</v>
      </c>
      <c r="K942" s="1366">
        <f t="shared" si="44"/>
        <v>-4.1470999999999994E-2</v>
      </c>
    </row>
    <row r="943" spans="1:11" x14ac:dyDescent="0.55000000000000004">
      <c r="A943" s="295">
        <v>38108</v>
      </c>
      <c r="B943" s="1368">
        <v>1.37E-2</v>
      </c>
      <c r="C943" s="1366">
        <v>7.9000000000000008E-3</v>
      </c>
      <c r="D943" s="1366">
        <v>4.0000000000000001E-3</v>
      </c>
      <c r="E943" s="1366">
        <v>5.0333333333333332E-3</v>
      </c>
      <c r="F943" s="5">
        <v>5.3333333333333332E-3</v>
      </c>
      <c r="G943" s="5">
        <v>5.1833333333333332E-3</v>
      </c>
      <c r="H943" s="1366">
        <v>5.5170833333333339E-3</v>
      </c>
      <c r="I943" s="1366">
        <f t="shared" si="42"/>
        <v>9.7000000000000003E-3</v>
      </c>
      <c r="J943" s="1366">
        <f t="shared" si="43"/>
        <v>8.5166666666666672E-3</v>
      </c>
      <c r="K943" s="1366">
        <f t="shared" si="44"/>
        <v>2.3829166666666669E-3</v>
      </c>
    </row>
    <row r="944" spans="1:11" x14ac:dyDescent="0.55000000000000004">
      <c r="A944" s="295">
        <v>38139</v>
      </c>
      <c r="B944" s="1368">
        <v>1.9400000000000001E-2</v>
      </c>
      <c r="C944" s="1366">
        <v>1.55E-2</v>
      </c>
      <c r="D944" s="1366">
        <v>4.7999999999999996E-3</v>
      </c>
      <c r="E944" s="1366">
        <v>5.0083333333333334E-3</v>
      </c>
      <c r="F944" s="5">
        <v>5.1749999999999999E-3</v>
      </c>
      <c r="G944" s="5">
        <v>5.0916666666666662E-3</v>
      </c>
      <c r="H944" s="1366">
        <v>5.3876666666666673E-3</v>
      </c>
      <c r="I944" s="1366">
        <f t="shared" si="42"/>
        <v>1.4600000000000002E-2</v>
      </c>
      <c r="J944" s="1366">
        <f t="shared" si="43"/>
        <v>1.4308333333333334E-2</v>
      </c>
      <c r="K944" s="1366">
        <f t="shared" si="44"/>
        <v>1.0112333333333333E-2</v>
      </c>
    </row>
    <row r="945" spans="1:11" x14ac:dyDescent="0.55000000000000004">
      <c r="A945" s="295">
        <v>38169</v>
      </c>
      <c r="B945" s="1368">
        <v>-3.3099999999999997E-2</v>
      </c>
      <c r="C945" s="1366">
        <v>1.7299999999999999E-2</v>
      </c>
      <c r="D945" s="1366">
        <v>4.3E-3</v>
      </c>
      <c r="E945" s="1366">
        <v>4.8500000000000001E-3</v>
      </c>
      <c r="F945" s="5">
        <v>5.0166666666666658E-3</v>
      </c>
      <c r="G945" s="5">
        <v>4.933333333333333E-3</v>
      </c>
      <c r="H945" s="1366">
        <v>5.2270000000000007E-3</v>
      </c>
      <c r="I945" s="1366">
        <f t="shared" si="42"/>
        <v>-3.7399999999999996E-2</v>
      </c>
      <c r="J945" s="1366">
        <f t="shared" si="43"/>
        <v>-3.8033333333333329E-2</v>
      </c>
      <c r="K945" s="1366">
        <f t="shared" si="44"/>
        <v>1.2072999999999999E-2</v>
      </c>
    </row>
    <row r="946" spans="1:11" x14ac:dyDescent="0.55000000000000004">
      <c r="A946" s="295">
        <v>38200</v>
      </c>
      <c r="B946" s="1368">
        <v>4.0000000000000001E-3</v>
      </c>
      <c r="C946" s="1366">
        <v>3.9300000000000002E-2</v>
      </c>
      <c r="D946" s="1366">
        <v>4.4999999999999997E-3</v>
      </c>
      <c r="E946" s="1366">
        <v>4.7083333333333335E-3</v>
      </c>
      <c r="F946" s="5">
        <v>4.8916666666666666E-3</v>
      </c>
      <c r="G946" s="5">
        <v>4.8000000000000004E-3</v>
      </c>
      <c r="H946" s="1366">
        <v>5.1234999999999996E-3</v>
      </c>
      <c r="I946" s="1366">
        <f t="shared" si="42"/>
        <v>-4.9999999999999958E-4</v>
      </c>
      <c r="J946" s="1366">
        <f t="shared" si="43"/>
        <v>-8.0000000000000036E-4</v>
      </c>
      <c r="K946" s="1366">
        <f t="shared" si="44"/>
        <v>3.4176499999999999E-2</v>
      </c>
    </row>
    <row r="947" spans="1:11" x14ac:dyDescent="0.55000000000000004">
      <c r="A947" s="295">
        <v>38231</v>
      </c>
      <c r="B947" s="1368">
        <v>1.0800000000000001E-2</v>
      </c>
      <c r="C947" s="1366">
        <v>9.1000000000000004E-3</v>
      </c>
      <c r="D947" s="1366">
        <v>4.0000000000000001E-3</v>
      </c>
      <c r="E947" s="1366">
        <v>4.5500000000000002E-3</v>
      </c>
      <c r="F947" s="5">
        <v>4.7750000000000006E-3</v>
      </c>
      <c r="G947" s="5">
        <v>4.6625000000000008E-3</v>
      </c>
      <c r="H947" s="1366">
        <v>4.9853333333333329E-3</v>
      </c>
      <c r="I947" s="1366">
        <f t="shared" si="42"/>
        <v>6.8000000000000005E-3</v>
      </c>
      <c r="J947" s="1366">
        <f t="shared" si="43"/>
        <v>6.1374999999999997E-3</v>
      </c>
      <c r="K947" s="1366">
        <f t="shared" si="44"/>
        <v>4.1146666666666675E-3</v>
      </c>
    </row>
    <row r="948" spans="1:11" x14ac:dyDescent="0.55000000000000004">
      <c r="A948" s="295">
        <v>38261</v>
      </c>
      <c r="B948" s="1368">
        <v>1.5299999999999999E-2</v>
      </c>
      <c r="C948" s="1366">
        <v>4.9499999999999995E-2</v>
      </c>
      <c r="D948" s="1366">
        <v>3.8E-3</v>
      </c>
      <c r="E948" s="1366">
        <v>4.5583333333333335E-3</v>
      </c>
      <c r="F948" s="5">
        <v>4.7416666666666666E-3</v>
      </c>
      <c r="G948" s="5">
        <v>4.6499999999999996E-3</v>
      </c>
      <c r="H948" s="1366">
        <v>4.9920833333333327E-3</v>
      </c>
      <c r="I948" s="1366">
        <f t="shared" si="42"/>
        <v>1.15E-2</v>
      </c>
      <c r="J948" s="1366">
        <f t="shared" si="43"/>
        <v>1.065E-2</v>
      </c>
      <c r="K948" s="1366">
        <f t="shared" si="44"/>
        <v>4.4507916666666661E-2</v>
      </c>
    </row>
    <row r="949" spans="1:11" x14ac:dyDescent="0.55000000000000004">
      <c r="A949" s="295">
        <v>38292</v>
      </c>
      <c r="B949" s="1368">
        <v>4.0500000000000001E-2</v>
      </c>
      <c r="C949" s="1366">
        <v>4.07E-2</v>
      </c>
      <c r="D949" s="1366">
        <v>4.1000000000000003E-3</v>
      </c>
      <c r="E949" s="1366">
        <v>4.5999999999999999E-3</v>
      </c>
      <c r="F949" s="5">
        <v>4.7666666666666664E-3</v>
      </c>
      <c r="G949" s="5">
        <v>4.6833333333333328E-3</v>
      </c>
      <c r="H949" s="1366">
        <v>4.9627500000000001E-3</v>
      </c>
      <c r="I949" s="1366">
        <f t="shared" si="42"/>
        <v>3.6400000000000002E-2</v>
      </c>
      <c r="J949" s="1366">
        <f t="shared" si="43"/>
        <v>3.581666666666667E-2</v>
      </c>
      <c r="K949" s="1366">
        <f t="shared" si="44"/>
        <v>3.5737249999999998E-2</v>
      </c>
    </row>
    <row r="950" spans="1:11" x14ac:dyDescent="0.55000000000000004">
      <c r="A950" s="295">
        <v>38322</v>
      </c>
      <c r="B950" s="1368">
        <v>3.4000000000000002E-2</v>
      </c>
      <c r="C950" s="1366">
        <v>2.6499999999999999E-2</v>
      </c>
      <c r="D950" s="1366">
        <v>4.3E-3</v>
      </c>
      <c r="E950" s="1366">
        <v>4.5583333333333335E-3</v>
      </c>
      <c r="F950" s="5">
        <v>4.7416666666666666E-3</v>
      </c>
      <c r="G950" s="5">
        <v>4.6499999999999996E-3</v>
      </c>
      <c r="H950" s="1366">
        <v>4.938916666666667E-3</v>
      </c>
      <c r="I950" s="1366">
        <f t="shared" si="42"/>
        <v>2.9700000000000004E-2</v>
      </c>
      <c r="J950" s="1366">
        <f t="shared" si="43"/>
        <v>2.9350000000000001E-2</v>
      </c>
      <c r="K950" s="1366">
        <f t="shared" si="44"/>
        <v>2.1561083333333331E-2</v>
      </c>
    </row>
    <row r="951" spans="1:11" x14ac:dyDescent="0.55000000000000004">
      <c r="A951" s="295">
        <v>38353</v>
      </c>
      <c r="B951" s="1368">
        <v>-2.4400000000000002E-2</v>
      </c>
      <c r="C951" s="1366">
        <v>2.2099999999999998E-2</v>
      </c>
      <c r="D951" s="1366">
        <v>4.1000000000000003E-3</v>
      </c>
      <c r="E951" s="1366">
        <v>4.4666666666666674E-3</v>
      </c>
      <c r="F951" s="5">
        <v>4.6500000000000005E-3</v>
      </c>
      <c r="G951" s="5">
        <v>4.5583333333333335E-3</v>
      </c>
      <c r="H951" s="1366">
        <v>4.827916666666667E-3</v>
      </c>
      <c r="I951" s="1366">
        <f t="shared" si="42"/>
        <v>-2.8500000000000001E-2</v>
      </c>
      <c r="J951" s="1366">
        <f t="shared" si="43"/>
        <v>-2.8958333333333336E-2</v>
      </c>
      <c r="K951" s="1366">
        <f t="shared" si="44"/>
        <v>1.727208333333333E-2</v>
      </c>
    </row>
    <row r="952" spans="1:11" x14ac:dyDescent="0.55000000000000004">
      <c r="A952" s="295">
        <v>38384</v>
      </c>
      <c r="B952" s="1368">
        <v>2.1000000000000001E-2</v>
      </c>
      <c r="C952" s="1366">
        <v>1.9699999999999999E-2</v>
      </c>
      <c r="D952" s="1366">
        <v>3.5000000000000005E-3</v>
      </c>
      <c r="E952" s="1366">
        <v>4.3333333333333331E-3</v>
      </c>
      <c r="F952" s="5">
        <v>4.5333333333333337E-3</v>
      </c>
      <c r="G952" s="5">
        <v>4.4333333333333334E-3</v>
      </c>
      <c r="H952" s="1366">
        <v>4.6785000000000004E-3</v>
      </c>
      <c r="I952" s="1366">
        <f t="shared" si="42"/>
        <v>1.7500000000000002E-2</v>
      </c>
      <c r="J952" s="1366">
        <f t="shared" si="43"/>
        <v>1.6566666666666667E-2</v>
      </c>
      <c r="K952" s="1366">
        <f t="shared" si="44"/>
        <v>1.5021499999999998E-2</v>
      </c>
    </row>
    <row r="953" spans="1:11" x14ac:dyDescent="0.55000000000000004">
      <c r="A953" s="295">
        <v>38412</v>
      </c>
      <c r="B953" s="1368">
        <v>-1.77E-2</v>
      </c>
      <c r="C953" s="1366">
        <v>1.0800000000000001E-2</v>
      </c>
      <c r="D953" s="1366">
        <v>4.1000000000000003E-3</v>
      </c>
      <c r="E953" s="1366">
        <v>4.5000000000000005E-3</v>
      </c>
      <c r="F953" s="5">
        <v>4.6999999999999993E-3</v>
      </c>
      <c r="G953" s="5">
        <v>4.5999999999999999E-3</v>
      </c>
      <c r="H953" s="1366">
        <v>4.855333333333333E-3</v>
      </c>
      <c r="I953" s="1366">
        <f t="shared" si="42"/>
        <v>-2.18E-2</v>
      </c>
      <c r="J953" s="1366">
        <f t="shared" si="43"/>
        <v>-2.23E-2</v>
      </c>
      <c r="K953" s="1366">
        <f t="shared" si="44"/>
        <v>5.9446666666666675E-3</v>
      </c>
    </row>
    <row r="954" spans="1:11" x14ac:dyDescent="0.55000000000000004">
      <c r="A954" s="295">
        <v>38443</v>
      </c>
      <c r="B954" s="1368">
        <v>-1.9E-2</v>
      </c>
      <c r="C954" s="1366">
        <v>3.2100000000000004E-2</v>
      </c>
      <c r="D954" s="1366">
        <v>3.8999999999999994E-3</v>
      </c>
      <c r="E954" s="1366">
        <v>4.4416666666666667E-3</v>
      </c>
      <c r="F954" s="5">
        <v>4.5333333333333337E-3</v>
      </c>
      <c r="G954" s="5">
        <v>4.4875000000000002E-3</v>
      </c>
      <c r="H954" s="1366">
        <v>4.7079166666666667E-3</v>
      </c>
      <c r="I954" s="1366">
        <f t="shared" si="42"/>
        <v>-2.29E-2</v>
      </c>
      <c r="J954" s="1366">
        <f t="shared" si="43"/>
        <v>-2.3487500000000001E-2</v>
      </c>
      <c r="K954" s="1366">
        <f t="shared" si="44"/>
        <v>2.7392083333333338E-2</v>
      </c>
    </row>
    <row r="955" spans="1:11" x14ac:dyDescent="0.55000000000000004">
      <c r="A955" s="295">
        <v>38473</v>
      </c>
      <c r="B955" s="1368">
        <v>3.1800000000000002E-2</v>
      </c>
      <c r="C955" s="1366">
        <v>7.9999999999999993E-4</v>
      </c>
      <c r="D955" s="1366">
        <v>4.0000000000000001E-3</v>
      </c>
      <c r="E955" s="1366">
        <v>4.2916666666666667E-3</v>
      </c>
      <c r="F955" s="5">
        <v>4.4083333333333335E-3</v>
      </c>
      <c r="G955" s="5">
        <v>4.3500000000000006E-3</v>
      </c>
      <c r="H955" s="1366">
        <v>4.6162499999999997E-3</v>
      </c>
      <c r="I955" s="1366">
        <f t="shared" si="42"/>
        <v>2.7800000000000002E-2</v>
      </c>
      <c r="J955" s="1366">
        <f t="shared" si="43"/>
        <v>2.7450000000000002E-2</v>
      </c>
      <c r="K955" s="1366">
        <f t="shared" si="44"/>
        <v>-3.8162499999999998E-3</v>
      </c>
    </row>
    <row r="956" spans="1:11" x14ac:dyDescent="0.55000000000000004">
      <c r="A956" s="295">
        <v>38504</v>
      </c>
      <c r="B956" s="1368">
        <v>1.4E-3</v>
      </c>
      <c r="C956" s="1366">
        <v>5.7599999999999998E-2</v>
      </c>
      <c r="D956" s="1366">
        <v>3.5999999999999999E-3</v>
      </c>
      <c r="E956" s="1366">
        <v>4.1333333333333335E-3</v>
      </c>
      <c r="F956" s="5">
        <v>4.1833333333333332E-3</v>
      </c>
      <c r="G956" s="5">
        <v>4.1583333333333325E-3</v>
      </c>
      <c r="H956" s="1366">
        <v>4.5019166666666671E-3</v>
      </c>
      <c r="I956" s="1366">
        <f t="shared" si="42"/>
        <v>-2.1999999999999997E-3</v>
      </c>
      <c r="J956" s="1366">
        <f t="shared" si="43"/>
        <v>-2.7583333333333323E-3</v>
      </c>
      <c r="K956" s="1366">
        <f t="shared" si="44"/>
        <v>5.309808333333333E-2</v>
      </c>
    </row>
    <row r="957" spans="1:11" x14ac:dyDescent="0.55000000000000004">
      <c r="A957" s="295">
        <v>38534</v>
      </c>
      <c r="B957" s="1368">
        <v>3.7199999999999997E-2</v>
      </c>
      <c r="C957" s="1366">
        <v>2.3300000000000001E-2</v>
      </c>
      <c r="D957" s="1366">
        <v>3.3999999999999998E-3</v>
      </c>
      <c r="E957" s="1366">
        <v>4.2166666666666663E-3</v>
      </c>
      <c r="F957" s="5">
        <v>4.2833333333333326E-3</v>
      </c>
      <c r="G957" s="5">
        <v>4.2499999999999994E-3</v>
      </c>
      <c r="H957" s="1366">
        <v>4.5829166666666674E-3</v>
      </c>
      <c r="I957" s="1366">
        <f t="shared" si="42"/>
        <v>3.3799999999999997E-2</v>
      </c>
      <c r="J957" s="1366">
        <f t="shared" si="43"/>
        <v>3.295E-2</v>
      </c>
      <c r="K957" s="1366">
        <f t="shared" si="44"/>
        <v>1.8717083333333336E-2</v>
      </c>
    </row>
    <row r="958" spans="1:11" x14ac:dyDescent="0.55000000000000004">
      <c r="A958" s="295">
        <v>38565</v>
      </c>
      <c r="B958" s="1368">
        <v>-9.1000000000000004E-3</v>
      </c>
      <c r="C958" s="1366">
        <v>7.3000000000000001E-3</v>
      </c>
      <c r="D958" s="1366">
        <v>4.0000000000000001E-3</v>
      </c>
      <c r="E958" s="1366">
        <v>4.2416666666666662E-3</v>
      </c>
      <c r="F958" s="5">
        <v>4.3333333333333331E-3</v>
      </c>
      <c r="G958" s="5">
        <v>4.2874999999999996E-3</v>
      </c>
      <c r="H958" s="1366">
        <v>4.5909166666666668E-3</v>
      </c>
      <c r="I958" s="1366">
        <f t="shared" si="42"/>
        <v>-1.3100000000000001E-2</v>
      </c>
      <c r="J958" s="1366">
        <f t="shared" si="43"/>
        <v>-1.33875E-2</v>
      </c>
      <c r="K958" s="1366">
        <f t="shared" si="44"/>
        <v>2.7090833333333333E-3</v>
      </c>
    </row>
    <row r="959" spans="1:11" x14ac:dyDescent="0.55000000000000004">
      <c r="A959" s="295">
        <v>38596</v>
      </c>
      <c r="B959" s="1368">
        <v>8.0999999999999996E-3</v>
      </c>
      <c r="C959" s="1366">
        <v>4.0199999999999993E-2</v>
      </c>
      <c r="D959" s="1366">
        <v>3.5000000000000005E-3</v>
      </c>
      <c r="E959" s="1366">
        <v>4.2750000000000002E-3</v>
      </c>
      <c r="F959" s="5">
        <v>4.3666666666666671E-3</v>
      </c>
      <c r="G959" s="5">
        <v>4.3208333333333336E-3</v>
      </c>
      <c r="H959" s="1366">
        <v>4.5853333333333328E-3</v>
      </c>
      <c r="I959" s="1366">
        <f t="shared" si="42"/>
        <v>4.5999999999999991E-3</v>
      </c>
      <c r="J959" s="1366">
        <f t="shared" si="43"/>
        <v>3.7791666666666659E-3</v>
      </c>
      <c r="K959" s="1366">
        <f t="shared" si="44"/>
        <v>3.5614666666666663E-2</v>
      </c>
    </row>
    <row r="960" spans="1:11" x14ac:dyDescent="0.55000000000000004">
      <c r="A960" s="295">
        <v>38626</v>
      </c>
      <c r="B960" s="1368">
        <v>-1.67E-2</v>
      </c>
      <c r="C960" s="1366">
        <v>-6.1699999999999998E-2</v>
      </c>
      <c r="D960" s="1366">
        <v>3.8999999999999994E-3</v>
      </c>
      <c r="E960" s="1366">
        <v>4.45E-3</v>
      </c>
      <c r="F960" s="5">
        <v>4.5500000000000002E-3</v>
      </c>
      <c r="G960" s="5">
        <v>4.5000000000000005E-3</v>
      </c>
      <c r="H960" s="1366">
        <v>4.8123333333333334E-3</v>
      </c>
      <c r="I960" s="1366">
        <f t="shared" si="42"/>
        <v>-2.06E-2</v>
      </c>
      <c r="J960" s="1366">
        <f t="shared" si="43"/>
        <v>-2.12E-2</v>
      </c>
      <c r="K960" s="1366">
        <f t="shared" si="44"/>
        <v>-6.6512333333333326E-2</v>
      </c>
    </row>
    <row r="961" spans="1:11" x14ac:dyDescent="0.55000000000000004">
      <c r="A961" s="295">
        <v>38657</v>
      </c>
      <c r="B961" s="1368">
        <v>3.78E-2</v>
      </c>
      <c r="C961" s="1366">
        <v>-3.8999999999999994E-3</v>
      </c>
      <c r="D961" s="1366">
        <v>3.8999999999999994E-3</v>
      </c>
      <c r="E961" s="1366">
        <v>4.5208333333333333E-3</v>
      </c>
      <c r="F961" s="5">
        <v>4.6249999999999998E-3</v>
      </c>
      <c r="G961" s="5">
        <v>4.5729166666666661E-3</v>
      </c>
      <c r="H961" s="1366">
        <v>4.8986666666666666E-3</v>
      </c>
      <c r="I961" s="1366">
        <f t="shared" si="42"/>
        <v>3.39E-2</v>
      </c>
      <c r="J961" s="1366">
        <f t="shared" si="43"/>
        <v>3.3227083333333338E-2</v>
      </c>
      <c r="K961" s="1366">
        <f t="shared" si="44"/>
        <v>-8.7986666666666664E-3</v>
      </c>
    </row>
    <row r="962" spans="1:11" x14ac:dyDescent="0.55000000000000004">
      <c r="A962" s="295">
        <v>38687</v>
      </c>
      <c r="B962" s="1368">
        <v>2.9999999999999997E-4</v>
      </c>
      <c r="C962" s="1366">
        <v>1.0999999999999999E-2</v>
      </c>
      <c r="D962" s="1366">
        <v>3.8999999999999994E-3</v>
      </c>
      <c r="E962" s="1366">
        <v>4.4833333333333331E-3</v>
      </c>
      <c r="F962" s="5">
        <v>4.5916666666666666E-3</v>
      </c>
      <c r="G962" s="5">
        <v>4.5374999999999999E-3</v>
      </c>
      <c r="H962" s="1366">
        <v>4.8481666666666664E-3</v>
      </c>
      <c r="I962" s="1366">
        <f t="shared" si="42"/>
        <v>-3.5999999999999995E-3</v>
      </c>
      <c r="J962" s="1366">
        <f t="shared" si="43"/>
        <v>-4.2374999999999999E-3</v>
      </c>
      <c r="K962" s="1366">
        <f t="shared" si="44"/>
        <v>6.1518333333333329E-3</v>
      </c>
    </row>
    <row r="963" spans="1:11" x14ac:dyDescent="0.55000000000000004">
      <c r="A963" s="295">
        <v>38718</v>
      </c>
      <c r="B963" s="1368">
        <v>2.6499999999999999E-2</v>
      </c>
      <c r="C963" s="1366">
        <v>2.6347999999999996E-2</v>
      </c>
      <c r="D963" s="1366">
        <v>4.0000000000000001E-3</v>
      </c>
      <c r="E963" s="1366">
        <v>4.4083333333333335E-3</v>
      </c>
      <c r="F963" s="5">
        <v>4.5416666666666669E-3</v>
      </c>
      <c r="G963" s="5">
        <v>4.4749999999999998E-3</v>
      </c>
      <c r="H963" s="1366">
        <v>4.7916666666666672E-3</v>
      </c>
      <c r="I963" s="1366">
        <f t="shared" si="42"/>
        <v>2.2499999999999999E-2</v>
      </c>
      <c r="J963" s="1366">
        <f t="shared" si="43"/>
        <v>2.2024999999999999E-2</v>
      </c>
      <c r="K963" s="1366">
        <f t="shared" si="44"/>
        <v>2.155633333333333E-2</v>
      </c>
    </row>
    <row r="964" spans="1:11" x14ac:dyDescent="0.55000000000000004">
      <c r="A964" s="295">
        <v>38749</v>
      </c>
      <c r="B964" s="1368">
        <v>2.7000000000000001E-3</v>
      </c>
      <c r="C964" s="1366">
        <v>9.5270000000000007E-3</v>
      </c>
      <c r="D964" s="1366">
        <v>3.5999999999999999E-3</v>
      </c>
      <c r="E964" s="1366">
        <v>4.4583333333333332E-3</v>
      </c>
      <c r="F964" s="5">
        <v>4.5916666666666666E-3</v>
      </c>
      <c r="G964" s="5">
        <v>4.5250000000000004E-3</v>
      </c>
      <c r="H964" s="1366">
        <v>4.8500000000000001E-3</v>
      </c>
      <c r="I964" s="1366">
        <f t="shared" ref="I964:I1027" si="45">B964-D964</f>
        <v>-8.9999999999999976E-4</v>
      </c>
      <c r="J964" s="1366">
        <f t="shared" si="43"/>
        <v>-1.8250000000000002E-3</v>
      </c>
      <c r="K964" s="1366">
        <f t="shared" si="44"/>
        <v>4.6770000000000006E-3</v>
      </c>
    </row>
    <row r="965" spans="1:11" x14ac:dyDescent="0.55000000000000004">
      <c r="A965" s="295">
        <v>38777</v>
      </c>
      <c r="B965" s="1368">
        <v>1.24E-2</v>
      </c>
      <c r="C965" s="1366">
        <v>-4.6344999999999997E-2</v>
      </c>
      <c r="D965" s="1366">
        <v>3.8999999999999994E-3</v>
      </c>
      <c r="E965" s="1366">
        <v>4.5999999999999999E-3</v>
      </c>
      <c r="F965" s="5">
        <v>4.725E-3</v>
      </c>
      <c r="G965" s="5">
        <v>4.6624999999999991E-3</v>
      </c>
      <c r="H965" s="1366">
        <v>4.9833333333333335E-3</v>
      </c>
      <c r="I965" s="1366">
        <f t="shared" si="45"/>
        <v>8.5000000000000006E-3</v>
      </c>
      <c r="J965" s="1366">
        <f t="shared" si="43"/>
        <v>7.7375000000000005E-3</v>
      </c>
      <c r="K965" s="1366">
        <f t="shared" si="44"/>
        <v>-5.132833333333333E-2</v>
      </c>
    </row>
    <row r="966" spans="1:11" x14ac:dyDescent="0.55000000000000004">
      <c r="A966" s="295">
        <v>38808</v>
      </c>
      <c r="B966" s="1368">
        <v>1.34E-2</v>
      </c>
      <c r="C966" s="1366">
        <v>1.7167000000000002E-2</v>
      </c>
      <c r="D966" s="1366">
        <v>3.8999999999999994E-3</v>
      </c>
      <c r="E966" s="1366">
        <v>4.8666666666666667E-3</v>
      </c>
      <c r="F966" s="5">
        <v>5.0000000000000001E-3</v>
      </c>
      <c r="G966" s="5">
        <v>4.933333333333333E-3</v>
      </c>
      <c r="H966" s="1366">
        <v>5.241666666666667E-3</v>
      </c>
      <c r="I966" s="1366">
        <f t="shared" si="45"/>
        <v>9.5000000000000015E-3</v>
      </c>
      <c r="J966" s="1366">
        <f t="shared" si="43"/>
        <v>8.4666666666666675E-3</v>
      </c>
      <c r="K966" s="1366">
        <f t="shared" si="44"/>
        <v>1.1925333333333335E-2</v>
      </c>
    </row>
    <row r="967" spans="1:11" x14ac:dyDescent="0.55000000000000004">
      <c r="A967" s="295">
        <v>38838</v>
      </c>
      <c r="B967" s="1368">
        <v>-2.8799999999999999E-2</v>
      </c>
      <c r="C967" s="1366">
        <v>1.4280999999999999E-2</v>
      </c>
      <c r="D967" s="1366">
        <v>4.7999999999999996E-3</v>
      </c>
      <c r="E967" s="1366">
        <v>4.9583333333333337E-3</v>
      </c>
      <c r="F967" s="5">
        <v>5.1083333333333336E-3</v>
      </c>
      <c r="G967" s="5">
        <v>5.0333333333333341E-3</v>
      </c>
      <c r="H967" s="1366">
        <v>5.3500000000000006E-3</v>
      </c>
      <c r="I967" s="1366">
        <f t="shared" si="45"/>
        <v>-3.3599999999999998E-2</v>
      </c>
      <c r="J967" s="1366">
        <f t="shared" si="43"/>
        <v>-3.3833333333333333E-2</v>
      </c>
      <c r="K967" s="1366">
        <f t="shared" si="44"/>
        <v>8.930999999999998E-3</v>
      </c>
    </row>
    <row r="968" spans="1:11" x14ac:dyDescent="0.55000000000000004">
      <c r="A968" s="295">
        <v>38869</v>
      </c>
      <c r="B968" s="1368">
        <v>1.4E-3</v>
      </c>
      <c r="C968" s="1366">
        <v>2.4157999999999999E-2</v>
      </c>
      <c r="D968" s="1366">
        <v>4.4000000000000003E-3</v>
      </c>
      <c r="E968" s="1366">
        <v>4.9083333333333331E-3</v>
      </c>
      <c r="F968" s="5">
        <v>5.0916666666666662E-3</v>
      </c>
      <c r="G968" s="5">
        <v>5.0000000000000001E-3</v>
      </c>
      <c r="H968" s="1366">
        <v>5.3333333333333332E-3</v>
      </c>
      <c r="I968" s="1366">
        <f t="shared" si="45"/>
        <v>-3.0000000000000001E-3</v>
      </c>
      <c r="J968" s="1366">
        <f t="shared" si="43"/>
        <v>-3.5999999999999999E-3</v>
      </c>
      <c r="K968" s="1366">
        <f t="shared" si="44"/>
        <v>1.8824666666666667E-2</v>
      </c>
    </row>
    <row r="969" spans="1:11" x14ac:dyDescent="0.55000000000000004">
      <c r="A969" s="295">
        <v>38899</v>
      </c>
      <c r="B969" s="1368">
        <v>6.1999999999999998E-3</v>
      </c>
      <c r="C969" s="1366">
        <v>5.1109000000000002E-2</v>
      </c>
      <c r="D969" s="1366">
        <v>4.4999999999999997E-3</v>
      </c>
      <c r="E969" s="1366">
        <v>4.875E-3</v>
      </c>
      <c r="F969" s="5">
        <v>5.0666666666666672E-3</v>
      </c>
      <c r="G969" s="5">
        <v>4.9708333333333332E-3</v>
      </c>
      <c r="H969" s="1366">
        <v>5.3083333333333342E-3</v>
      </c>
      <c r="I969" s="1366">
        <f t="shared" si="45"/>
        <v>1.7000000000000001E-3</v>
      </c>
      <c r="J969" s="1366">
        <f t="shared" si="43"/>
        <v>1.2291666666666666E-3</v>
      </c>
      <c r="K969" s="1366">
        <f t="shared" si="44"/>
        <v>4.580066666666667E-2</v>
      </c>
    </row>
    <row r="970" spans="1:11" x14ac:dyDescent="0.55000000000000004">
      <c r="A970" s="295">
        <v>38930</v>
      </c>
      <c r="B970" s="1368">
        <v>2.3800000000000002E-2</v>
      </c>
      <c r="C970" s="1366">
        <v>2.7122E-2</v>
      </c>
      <c r="D970" s="1366">
        <v>4.3E-3</v>
      </c>
      <c r="E970" s="1366">
        <v>4.7333333333333333E-3</v>
      </c>
      <c r="F970" s="5">
        <v>4.9249999999999997E-3</v>
      </c>
      <c r="G970" s="5">
        <v>4.8291666666666665E-3</v>
      </c>
      <c r="H970" s="1366">
        <v>5.1666666666666675E-3</v>
      </c>
      <c r="I970" s="1366">
        <f t="shared" si="45"/>
        <v>1.9500000000000003E-2</v>
      </c>
      <c r="J970" s="1366">
        <f t="shared" si="43"/>
        <v>1.8970833333333336E-2</v>
      </c>
      <c r="K970" s="1366">
        <f t="shared" si="44"/>
        <v>2.1955333333333334E-2</v>
      </c>
    </row>
    <row r="971" spans="1:11" x14ac:dyDescent="0.55000000000000004">
      <c r="A971" s="295">
        <v>38961</v>
      </c>
      <c r="B971" s="1368">
        <v>2.58E-2</v>
      </c>
      <c r="C971" s="1366">
        <v>-1.7362000000000002E-2</v>
      </c>
      <c r="D971" s="1366">
        <v>3.8999999999999994E-3</v>
      </c>
      <c r="E971" s="1366">
        <v>4.5916666666666666E-3</v>
      </c>
      <c r="F971" s="5">
        <v>4.7916666666666672E-3</v>
      </c>
      <c r="G971" s="5">
        <v>4.6916666666666669E-3</v>
      </c>
      <c r="H971" s="1366">
        <v>5.0000000000000001E-3</v>
      </c>
      <c r="I971" s="1366">
        <f t="shared" si="45"/>
        <v>2.1899999999999999E-2</v>
      </c>
      <c r="J971" s="1366">
        <f t="shared" si="43"/>
        <v>2.1108333333333333E-2</v>
      </c>
      <c r="K971" s="1366">
        <f t="shared" si="44"/>
        <v>-2.2362000000000003E-2</v>
      </c>
    </row>
    <row r="972" spans="1:11" x14ac:dyDescent="0.55000000000000004">
      <c r="A972" s="295">
        <v>38991</v>
      </c>
      <c r="B972" s="1368">
        <v>3.2599999999999997E-2</v>
      </c>
      <c r="C972" s="1366">
        <v>5.6025999999999999E-2</v>
      </c>
      <c r="D972" s="1366">
        <v>4.1999999999999997E-3</v>
      </c>
      <c r="E972" s="1366">
        <v>4.5916666666666666E-3</v>
      </c>
      <c r="F972" s="5">
        <v>4.783333333333333E-3</v>
      </c>
      <c r="G972" s="5">
        <v>4.6874999999999998E-3</v>
      </c>
      <c r="H972" s="1366">
        <v>4.9833333333333335E-3</v>
      </c>
      <c r="I972" s="1366">
        <f t="shared" si="45"/>
        <v>2.8399999999999998E-2</v>
      </c>
      <c r="J972" s="1366">
        <f t="shared" si="43"/>
        <v>2.7912499999999996E-2</v>
      </c>
      <c r="K972" s="1366">
        <f t="shared" si="44"/>
        <v>5.1042666666666667E-2</v>
      </c>
    </row>
    <row r="973" spans="1:11" x14ac:dyDescent="0.55000000000000004">
      <c r="A973" s="295">
        <v>39022</v>
      </c>
      <c r="B973" s="1368">
        <v>1.9E-2</v>
      </c>
      <c r="C973" s="1366">
        <v>2.1404999999999997E-2</v>
      </c>
      <c r="D973" s="1366">
        <v>3.8999999999999994E-3</v>
      </c>
      <c r="E973" s="1366">
        <v>4.4416666666666667E-3</v>
      </c>
      <c r="F973" s="5">
        <v>4.6416666666666663E-3</v>
      </c>
      <c r="G973" s="5">
        <v>4.5416666666666669E-3</v>
      </c>
      <c r="H973" s="1366">
        <v>4.8333333333333336E-3</v>
      </c>
      <c r="I973" s="1366">
        <f t="shared" si="45"/>
        <v>1.5100000000000001E-2</v>
      </c>
      <c r="J973" s="1366">
        <f t="shared" si="43"/>
        <v>1.4458333333333333E-2</v>
      </c>
      <c r="K973" s="1366">
        <f t="shared" si="44"/>
        <v>1.6571666666666665E-2</v>
      </c>
    </row>
    <row r="974" spans="1:11" x14ac:dyDescent="0.55000000000000004">
      <c r="A974" s="295">
        <v>39052</v>
      </c>
      <c r="B974" s="1368">
        <v>1.4E-2</v>
      </c>
      <c r="C974" s="1366">
        <v>1.1817000000000001E-2</v>
      </c>
      <c r="D974" s="1366">
        <v>3.5999999999999999E-3</v>
      </c>
      <c r="E974" s="1366">
        <v>4.4083333333333335E-3</v>
      </c>
      <c r="F974" s="5">
        <v>4.6500000000000005E-3</v>
      </c>
      <c r="G974" s="5">
        <v>4.5291666666666666E-3</v>
      </c>
      <c r="H974" s="1366">
        <v>4.8416666666666669E-3</v>
      </c>
      <c r="I974" s="1366">
        <f t="shared" si="45"/>
        <v>1.04E-2</v>
      </c>
      <c r="J974" s="1366">
        <f t="shared" si="43"/>
        <v>9.4708333333333346E-3</v>
      </c>
      <c r="K974" s="1366">
        <f t="shared" si="44"/>
        <v>6.9753333333333343E-3</v>
      </c>
    </row>
    <row r="975" spans="1:11" x14ac:dyDescent="0.55000000000000004">
      <c r="A975" s="295">
        <v>39083</v>
      </c>
      <c r="B975" s="1368">
        <v>1.5100000000000001E-2</v>
      </c>
      <c r="C975" s="1366">
        <v>-1.134E-3</v>
      </c>
      <c r="D975" s="1366">
        <v>4.3E-3</v>
      </c>
      <c r="E975" s="1366">
        <v>4.5000000000000005E-3</v>
      </c>
      <c r="F975" s="5">
        <v>4.7916666666666672E-3</v>
      </c>
      <c r="G975" s="5">
        <v>4.6458333333333334E-3</v>
      </c>
      <c r="H975" s="1366">
        <v>4.9666666666666661E-3</v>
      </c>
      <c r="I975" s="1366">
        <f t="shared" si="45"/>
        <v>1.0800000000000001E-2</v>
      </c>
      <c r="J975" s="1366">
        <f t="shared" si="43"/>
        <v>1.0454166666666667E-2</v>
      </c>
      <c r="K975" s="1366">
        <f t="shared" si="44"/>
        <v>-6.1006666666666657E-3</v>
      </c>
    </row>
    <row r="976" spans="1:11" x14ac:dyDescent="0.55000000000000004">
      <c r="A976" s="295">
        <v>39114</v>
      </c>
      <c r="B976" s="1368">
        <v>-1.9599999999999999E-2</v>
      </c>
      <c r="C976" s="1366">
        <v>5.0340999999999997E-2</v>
      </c>
      <c r="D976" s="1366">
        <v>3.8E-3</v>
      </c>
      <c r="E976" s="1366">
        <v>4.4916666666666664E-3</v>
      </c>
      <c r="F976" s="5">
        <v>4.7666666666666664E-3</v>
      </c>
      <c r="G976" s="5">
        <v>4.6291666666666668E-3</v>
      </c>
      <c r="H976" s="1366">
        <v>4.9166666666666673E-3</v>
      </c>
      <c r="I976" s="1366">
        <f t="shared" si="45"/>
        <v>-2.3400000000000001E-2</v>
      </c>
      <c r="J976" s="1366">
        <f t="shared" si="43"/>
        <v>-2.4229166666666666E-2</v>
      </c>
      <c r="K976" s="1366">
        <f t="shared" si="44"/>
        <v>4.542433333333333E-2</v>
      </c>
    </row>
    <row r="977" spans="1:11" x14ac:dyDescent="0.55000000000000004">
      <c r="A977" s="295">
        <v>39142</v>
      </c>
      <c r="B977" s="1368">
        <v>1.12E-2</v>
      </c>
      <c r="C977" s="1366">
        <v>4.1373E-2</v>
      </c>
      <c r="D977" s="1366">
        <v>3.8999999999999994E-3</v>
      </c>
      <c r="E977" s="1366">
        <v>4.4166666666666668E-3</v>
      </c>
      <c r="F977" s="5">
        <v>4.7166666666666668E-3</v>
      </c>
      <c r="G977" s="5">
        <v>4.5666666666666668E-3</v>
      </c>
      <c r="H977" s="1366">
        <v>4.8750000000000009E-3</v>
      </c>
      <c r="I977" s="1366">
        <f t="shared" si="45"/>
        <v>7.3000000000000009E-3</v>
      </c>
      <c r="J977" s="1366">
        <f t="shared" si="43"/>
        <v>6.6333333333333331E-3</v>
      </c>
      <c r="K977" s="1366">
        <f t="shared" si="44"/>
        <v>3.6498000000000003E-2</v>
      </c>
    </row>
    <row r="978" spans="1:11" x14ac:dyDescent="0.55000000000000004">
      <c r="A978" s="295">
        <v>39173</v>
      </c>
      <c r="B978" s="1368">
        <v>4.4299999999999999E-2</v>
      </c>
      <c r="C978" s="1366">
        <v>4.3758999999999999E-2</v>
      </c>
      <c r="D978" s="1366">
        <v>4.1999999999999997E-3</v>
      </c>
      <c r="E978" s="1366">
        <v>4.5583333333333335E-3</v>
      </c>
      <c r="F978" s="5">
        <v>4.8583333333333334E-3</v>
      </c>
      <c r="G978" s="5">
        <v>4.7083333333333335E-3</v>
      </c>
      <c r="H978" s="1366">
        <v>4.9750000000000003E-3</v>
      </c>
      <c r="I978" s="1366">
        <f t="shared" si="45"/>
        <v>4.0099999999999997E-2</v>
      </c>
      <c r="J978" s="1366">
        <f t="shared" si="43"/>
        <v>3.9591666666666664E-2</v>
      </c>
      <c r="K978" s="1366">
        <f t="shared" si="44"/>
        <v>3.8783999999999999E-2</v>
      </c>
    </row>
    <row r="979" spans="1:11" x14ac:dyDescent="0.55000000000000004">
      <c r="A979" s="295">
        <v>39203</v>
      </c>
      <c r="B979" s="1368">
        <v>3.49E-2</v>
      </c>
      <c r="C979" s="1366">
        <v>5.1450000000000003E-3</v>
      </c>
      <c r="D979" s="1366">
        <v>4.1000000000000003E-3</v>
      </c>
      <c r="E979" s="1366">
        <v>4.5583333333333335E-3</v>
      </c>
      <c r="F979" s="5">
        <v>4.875E-3</v>
      </c>
      <c r="G979" s="5">
        <v>4.7166666666666668E-3</v>
      </c>
      <c r="H979" s="1366">
        <v>4.9916666666666668E-3</v>
      </c>
      <c r="I979" s="1366">
        <f t="shared" si="45"/>
        <v>3.0800000000000001E-2</v>
      </c>
      <c r="J979" s="1366">
        <f t="shared" si="43"/>
        <v>3.0183333333333333E-2</v>
      </c>
      <c r="K979" s="1366">
        <f t="shared" si="44"/>
        <v>1.5333333333333345E-4</v>
      </c>
    </row>
    <row r="980" spans="1:11" x14ac:dyDescent="0.55000000000000004">
      <c r="A980" s="295">
        <v>39234</v>
      </c>
      <c r="B980" s="1368">
        <v>-1.66E-2</v>
      </c>
      <c r="C980" s="1366">
        <v>-5.0620999999999999E-2</v>
      </c>
      <c r="D980" s="1366">
        <v>4.0000000000000001E-3</v>
      </c>
      <c r="E980" s="1366">
        <v>4.8249999999999996E-4</v>
      </c>
      <c r="F980" s="5">
        <v>5.1416666666666668E-3</v>
      </c>
      <c r="G980" s="5">
        <v>2.8120833333333335E-3</v>
      </c>
      <c r="H980" s="1366">
        <v>5.2500000000000003E-3</v>
      </c>
      <c r="I980" s="1366">
        <f t="shared" si="45"/>
        <v>-2.06E-2</v>
      </c>
      <c r="J980" s="1366">
        <f t="shared" si="43"/>
        <v>-1.9412083333333333E-2</v>
      </c>
      <c r="K980" s="1366">
        <f t="shared" si="44"/>
        <v>-5.5870999999999997E-2</v>
      </c>
    </row>
    <row r="981" spans="1:11" x14ac:dyDescent="0.55000000000000004">
      <c r="A981" s="295">
        <v>39264</v>
      </c>
      <c r="B981" s="1368">
        <v>-3.1E-2</v>
      </c>
      <c r="C981" s="1366">
        <v>-3.5666000000000003E-2</v>
      </c>
      <c r="D981" s="1366">
        <v>4.5999999999999999E-3</v>
      </c>
      <c r="E981" s="1366">
        <v>4.7750000000000006E-3</v>
      </c>
      <c r="F981" s="5">
        <v>5.0749999999999997E-3</v>
      </c>
      <c r="G981" s="5">
        <v>4.9249999999999997E-3</v>
      </c>
      <c r="H981" s="1366">
        <v>5.2083333333333339E-3</v>
      </c>
      <c r="I981" s="1366">
        <f t="shared" si="45"/>
        <v>-3.56E-2</v>
      </c>
      <c r="J981" s="1366">
        <f t="shared" si="43"/>
        <v>-3.5924999999999999E-2</v>
      </c>
      <c r="K981" s="1366">
        <f t="shared" si="44"/>
        <v>-4.0874333333333339E-2</v>
      </c>
    </row>
    <row r="982" spans="1:11" x14ac:dyDescent="0.55000000000000004">
      <c r="A982" s="295">
        <v>39295</v>
      </c>
      <c r="B982" s="1368">
        <v>1.4999999999999999E-2</v>
      </c>
      <c r="C982" s="1366">
        <v>2.0955999999999995E-2</v>
      </c>
      <c r="D982" s="1366">
        <v>4.1999999999999997E-3</v>
      </c>
      <c r="E982" s="1366">
        <v>4.8249999999999994E-3</v>
      </c>
      <c r="F982" s="5">
        <v>5.0499999999999998E-3</v>
      </c>
      <c r="G982" s="5">
        <v>4.9375E-3</v>
      </c>
      <c r="H982" s="1366">
        <v>5.1999999999999998E-3</v>
      </c>
      <c r="I982" s="1366">
        <f t="shared" si="45"/>
        <v>1.0800000000000001E-2</v>
      </c>
      <c r="J982" s="1366">
        <f t="shared" si="43"/>
        <v>1.0062499999999999E-2</v>
      </c>
      <c r="K982" s="1366">
        <f t="shared" si="44"/>
        <v>1.5755999999999996E-2</v>
      </c>
    </row>
    <row r="983" spans="1:11" x14ac:dyDescent="0.55000000000000004">
      <c r="A983" s="295">
        <v>39326</v>
      </c>
      <c r="B983" s="1368">
        <v>3.7400000000000003E-2</v>
      </c>
      <c r="C983" s="1366">
        <v>3.5427E-2</v>
      </c>
      <c r="D983" s="1366">
        <v>3.7000000000000002E-3</v>
      </c>
      <c r="E983" s="1366">
        <v>4.783333333333333E-3</v>
      </c>
      <c r="F983" s="5">
        <v>5.0166666666666658E-3</v>
      </c>
      <c r="G983" s="5">
        <v>4.8999999999999998E-3</v>
      </c>
      <c r="H983" s="1366">
        <v>5.1500000000000001E-3</v>
      </c>
      <c r="I983" s="1366">
        <f t="shared" si="45"/>
        <v>3.3700000000000001E-2</v>
      </c>
      <c r="J983" s="1366">
        <f t="shared" si="43"/>
        <v>3.2500000000000001E-2</v>
      </c>
      <c r="K983" s="1366">
        <f t="shared" si="44"/>
        <v>3.0276999999999998E-2</v>
      </c>
    </row>
    <row r="984" spans="1:11" x14ac:dyDescent="0.55000000000000004">
      <c r="A984" s="295">
        <v>39356</v>
      </c>
      <c r="B984" s="1368">
        <v>1.5900000000000001E-2</v>
      </c>
      <c r="C984" s="1366">
        <v>6.8641000000000008E-2</v>
      </c>
      <c r="D984" s="1366">
        <v>4.3E-3</v>
      </c>
      <c r="E984" s="1366">
        <v>4.7166666666666668E-3</v>
      </c>
      <c r="F984" s="5">
        <v>4.9500000000000004E-3</v>
      </c>
      <c r="G984" s="5">
        <v>4.8333333333333336E-3</v>
      </c>
      <c r="H984" s="1366">
        <v>5.0916666666666662E-3</v>
      </c>
      <c r="I984" s="1366">
        <f t="shared" si="45"/>
        <v>1.1600000000000001E-2</v>
      </c>
      <c r="J984" s="1366">
        <f t="shared" si="43"/>
        <v>1.1066666666666667E-2</v>
      </c>
      <c r="K984" s="1366">
        <f t="shared" si="44"/>
        <v>6.3549333333333347E-2</v>
      </c>
    </row>
    <row r="985" spans="1:11" x14ac:dyDescent="0.55000000000000004">
      <c r="A985" s="295">
        <v>39387</v>
      </c>
      <c r="B985" s="1368">
        <v>-4.1799999999999997E-2</v>
      </c>
      <c r="C985" s="1366">
        <v>3.405E-3</v>
      </c>
      <c r="D985" s="1366">
        <v>3.8999999999999994E-3</v>
      </c>
      <c r="E985" s="1366">
        <v>4.5333333333333337E-3</v>
      </c>
      <c r="F985" s="5">
        <v>4.816666666666667E-3</v>
      </c>
      <c r="G985" s="5">
        <v>4.6750000000000003E-3</v>
      </c>
      <c r="H985" s="1366">
        <v>4.9750000000000003E-3</v>
      </c>
      <c r="I985" s="1366">
        <f t="shared" si="45"/>
        <v>-4.5699999999999998E-2</v>
      </c>
      <c r="J985" s="1366">
        <f t="shared" si="43"/>
        <v>-4.6474999999999995E-2</v>
      </c>
      <c r="K985" s="1366">
        <f t="shared" si="44"/>
        <v>-1.5700000000000002E-3</v>
      </c>
    </row>
    <row r="986" spans="1:11" x14ac:dyDescent="0.55000000000000004">
      <c r="A986" s="295">
        <v>39417</v>
      </c>
      <c r="B986" s="1368">
        <v>-6.8999999999999999E-3</v>
      </c>
      <c r="C986" s="1366">
        <v>2.7539999999999999E-3</v>
      </c>
      <c r="D986" s="1366">
        <v>3.7000000000000002E-3</v>
      </c>
      <c r="E986" s="1366">
        <v>4.5750000000000001E-3</v>
      </c>
      <c r="F986" s="5">
        <v>4.9249999999999997E-3</v>
      </c>
      <c r="G986" s="5">
        <v>4.7499999999999999E-3</v>
      </c>
      <c r="H986" s="1366">
        <v>5.1333333333333335E-3</v>
      </c>
      <c r="I986" s="1366">
        <f t="shared" si="45"/>
        <v>-1.06E-2</v>
      </c>
      <c r="J986" s="1366">
        <f t="shared" si="43"/>
        <v>-1.1650000000000001E-2</v>
      </c>
      <c r="K986" s="1366">
        <f t="shared" si="44"/>
        <v>-2.3793333333333336E-3</v>
      </c>
    </row>
    <row r="987" spans="1:11" x14ac:dyDescent="0.55000000000000004">
      <c r="A987" s="295">
        <v>39448</v>
      </c>
      <c r="B987" s="1368">
        <v>-0.06</v>
      </c>
      <c r="C987" s="1366">
        <v>-6.8132999999999999E-2</v>
      </c>
      <c r="D987" s="1366">
        <v>4.0000000000000001E-3</v>
      </c>
      <c r="E987" s="1366">
        <v>4.4416666666666667E-3</v>
      </c>
      <c r="F987" s="5">
        <v>4.816666666666667E-3</v>
      </c>
      <c r="G987" s="5">
        <v>4.6291666666666668E-3</v>
      </c>
      <c r="H987" s="1366">
        <v>5.0166666666666658E-3</v>
      </c>
      <c r="I987" s="1366">
        <f t="shared" si="45"/>
        <v>-6.4000000000000001E-2</v>
      </c>
      <c r="J987" s="1366">
        <f t="shared" ref="J987:J1050" si="46">B987-G987</f>
        <v>-6.4629166666666668E-2</v>
      </c>
      <c r="K987" s="1366">
        <f t="shared" ref="K987:K1050" si="47">$C987-H987</f>
        <v>-7.3149666666666668E-2</v>
      </c>
    </row>
    <row r="988" spans="1:11" x14ac:dyDescent="0.55000000000000004">
      <c r="A988" s="295">
        <v>39479</v>
      </c>
      <c r="B988" s="1368">
        <v>-3.2500000000000001E-2</v>
      </c>
      <c r="C988" s="1366">
        <v>-4.9955999999999993E-2</v>
      </c>
      <c r="D988" s="1366">
        <v>3.3999999999999998E-3</v>
      </c>
      <c r="E988" s="1366">
        <v>4.6083333333333341E-3</v>
      </c>
      <c r="F988" s="5">
        <v>4.9750000000000003E-3</v>
      </c>
      <c r="G988" s="5">
        <v>4.7916666666666672E-3</v>
      </c>
      <c r="H988" s="1366">
        <v>5.1749999999999999E-3</v>
      </c>
      <c r="I988" s="1366">
        <f t="shared" si="45"/>
        <v>-3.5900000000000001E-2</v>
      </c>
      <c r="J988" s="1366">
        <f t="shared" si="46"/>
        <v>-3.7291666666666667E-2</v>
      </c>
      <c r="K988" s="1366">
        <f t="shared" si="47"/>
        <v>-5.5130999999999993E-2</v>
      </c>
    </row>
    <row r="989" spans="1:11" x14ac:dyDescent="0.55000000000000004">
      <c r="A989" s="295">
        <v>39508</v>
      </c>
      <c r="B989" s="1368">
        <v>-4.3E-3</v>
      </c>
      <c r="C989" s="1366">
        <v>1.7056000000000002E-2</v>
      </c>
      <c r="D989" s="1366">
        <v>3.7000000000000002E-3</v>
      </c>
      <c r="E989" s="1366">
        <v>4.5916666666666666E-3</v>
      </c>
      <c r="F989" s="5">
        <v>4.9166666666666673E-3</v>
      </c>
      <c r="G989" s="5">
        <v>4.754166666666667E-3</v>
      </c>
      <c r="H989" s="1366">
        <v>5.1749999999999999E-3</v>
      </c>
      <c r="I989" s="1366">
        <f t="shared" si="45"/>
        <v>-8.0000000000000002E-3</v>
      </c>
      <c r="J989" s="1366">
        <f t="shared" si="46"/>
        <v>-9.054166666666667E-3</v>
      </c>
      <c r="K989" s="1366">
        <f t="shared" si="47"/>
        <v>1.1881000000000003E-2</v>
      </c>
    </row>
    <row r="990" spans="1:11" x14ac:dyDescent="0.55000000000000004">
      <c r="A990" s="295">
        <v>39539</v>
      </c>
      <c r="B990" s="1368">
        <v>4.87E-2</v>
      </c>
      <c r="C990" s="1366">
        <v>5.5163000000000004E-2</v>
      </c>
      <c r="D990" s="1366">
        <v>3.5000000000000005E-3</v>
      </c>
      <c r="E990" s="1366">
        <v>4.6249999999999998E-3</v>
      </c>
      <c r="F990" s="5">
        <v>4.9416666666666663E-3</v>
      </c>
      <c r="G990" s="5">
        <v>4.783333333333333E-3</v>
      </c>
      <c r="H990" s="1366">
        <v>5.241666666666667E-3</v>
      </c>
      <c r="I990" s="1366">
        <f t="shared" si="45"/>
        <v>4.5199999999999997E-2</v>
      </c>
      <c r="J990" s="1366">
        <f t="shared" si="46"/>
        <v>4.3916666666666666E-2</v>
      </c>
      <c r="K990" s="1366">
        <f t="shared" si="47"/>
        <v>4.9921333333333338E-2</v>
      </c>
    </row>
    <row r="991" spans="1:11" x14ac:dyDescent="0.55000000000000004">
      <c r="A991" s="295">
        <v>39569</v>
      </c>
      <c r="B991" s="1368">
        <v>1.2999999999999999E-2</v>
      </c>
      <c r="C991" s="1366">
        <v>3.1987000000000002E-2</v>
      </c>
      <c r="D991" s="1366">
        <v>3.7000000000000002E-3</v>
      </c>
      <c r="E991" s="1366">
        <v>4.6416666666666663E-3</v>
      </c>
      <c r="F991" s="5">
        <v>5.0000000000000001E-3</v>
      </c>
      <c r="G991" s="5">
        <v>4.8208333333333332E-3</v>
      </c>
      <c r="H991" s="1366">
        <v>5.2249999999999996E-3</v>
      </c>
      <c r="I991" s="1366">
        <f t="shared" si="45"/>
        <v>9.2999999999999992E-3</v>
      </c>
      <c r="J991" s="1366">
        <f t="shared" si="46"/>
        <v>8.1791666666666662E-3</v>
      </c>
      <c r="K991" s="1366">
        <f t="shared" si="47"/>
        <v>2.6762000000000001E-2</v>
      </c>
    </row>
    <row r="992" spans="1:11" x14ac:dyDescent="0.55000000000000004">
      <c r="A992" s="295">
        <v>39600</v>
      </c>
      <c r="B992" s="1368">
        <v>-8.43E-2</v>
      </c>
      <c r="C992" s="1366">
        <v>-8.6680000000000004E-3</v>
      </c>
      <c r="D992" s="1366">
        <v>4.0000000000000001E-3</v>
      </c>
      <c r="E992" s="1366">
        <v>4.7333333333333333E-3</v>
      </c>
      <c r="F992" s="5">
        <v>5.0916666666666662E-3</v>
      </c>
      <c r="G992" s="5">
        <v>4.9124999999999993E-3</v>
      </c>
      <c r="H992" s="1366">
        <v>5.3166666666666666E-3</v>
      </c>
      <c r="I992" s="1366">
        <f t="shared" si="45"/>
        <v>-8.8300000000000003E-2</v>
      </c>
      <c r="J992" s="1366">
        <f t="shared" si="46"/>
        <v>-8.92125E-2</v>
      </c>
      <c r="K992" s="1366">
        <f t="shared" si="47"/>
        <v>-1.3984666666666666E-2</v>
      </c>
    </row>
    <row r="993" spans="1:11" x14ac:dyDescent="0.55000000000000004">
      <c r="A993" s="295">
        <v>39630</v>
      </c>
      <c r="B993" s="1368">
        <v>-8.3999999999999995E-3</v>
      </c>
      <c r="C993" s="1366">
        <v>-6.1108000000000003E-2</v>
      </c>
      <c r="D993" s="1366">
        <v>3.8999999999999994E-3</v>
      </c>
      <c r="E993" s="1366">
        <v>4.725E-3</v>
      </c>
      <c r="F993" s="5">
        <v>5.0416666666666665E-3</v>
      </c>
      <c r="G993" s="5">
        <v>4.8833333333333333E-3</v>
      </c>
      <c r="H993" s="1366">
        <v>5.3333333333333332E-3</v>
      </c>
      <c r="I993" s="1366">
        <f t="shared" si="45"/>
        <v>-1.2299999999999998E-2</v>
      </c>
      <c r="J993" s="1366">
        <f t="shared" si="46"/>
        <v>-1.3283333333333333E-2</v>
      </c>
      <c r="K993" s="1366">
        <f t="shared" si="47"/>
        <v>-6.6441333333333338E-2</v>
      </c>
    </row>
    <row r="994" spans="1:11" x14ac:dyDescent="0.55000000000000004">
      <c r="A994" s="295">
        <v>39661</v>
      </c>
      <c r="B994" s="1368">
        <v>1.4500000000000001E-2</v>
      </c>
      <c r="C994" s="1366">
        <v>-1.6601999999999999E-2</v>
      </c>
      <c r="D994" s="1366">
        <v>3.5999999999999999E-3</v>
      </c>
      <c r="E994" s="1366">
        <v>4.6999999999999993E-3</v>
      </c>
      <c r="F994" s="5">
        <v>5.0083333333333334E-3</v>
      </c>
      <c r="G994" s="5">
        <v>4.8541666666666664E-3</v>
      </c>
      <c r="H994" s="1366">
        <v>5.3083333333333342E-3</v>
      </c>
      <c r="I994" s="1366">
        <f t="shared" si="45"/>
        <v>1.09E-2</v>
      </c>
      <c r="J994" s="1366">
        <f t="shared" si="46"/>
        <v>9.6458333333333344E-3</v>
      </c>
      <c r="K994" s="1366">
        <f t="shared" si="47"/>
        <v>-2.1910333333333334E-2</v>
      </c>
    </row>
    <row r="995" spans="1:11" x14ac:dyDescent="0.55000000000000004">
      <c r="A995" s="295">
        <v>39692</v>
      </c>
      <c r="B995" s="1368">
        <v>-8.9099999999999999E-2</v>
      </c>
      <c r="C995" s="1366">
        <v>-0.11482300000000001</v>
      </c>
      <c r="D995" s="1366">
        <v>3.8999999999999994E-3</v>
      </c>
      <c r="E995" s="1366">
        <v>4.7083333333333335E-3</v>
      </c>
      <c r="F995" s="5">
        <v>5.0250000000000008E-3</v>
      </c>
      <c r="G995" s="5">
        <v>4.8666666666666667E-3</v>
      </c>
      <c r="H995" s="1366">
        <v>5.4083333333333336E-3</v>
      </c>
      <c r="I995" s="1366">
        <f t="shared" si="45"/>
        <v>-9.2999999999999999E-2</v>
      </c>
      <c r="J995" s="1366">
        <f t="shared" si="46"/>
        <v>-9.3966666666666671E-2</v>
      </c>
      <c r="K995" s="1366">
        <f t="shared" si="47"/>
        <v>-0.12023133333333334</v>
      </c>
    </row>
    <row r="996" spans="1:11" x14ac:dyDescent="0.55000000000000004">
      <c r="A996" s="295">
        <v>39722</v>
      </c>
      <c r="B996" s="1368">
        <v>-0.16789999999999999</v>
      </c>
      <c r="C996" s="1366">
        <v>-0.116128</v>
      </c>
      <c r="D996" s="1366">
        <v>3.7000000000000002E-3</v>
      </c>
      <c r="E996" s="1366">
        <v>5.2333333333333329E-3</v>
      </c>
      <c r="F996" s="5">
        <v>5.6583333333333329E-3</v>
      </c>
      <c r="G996" s="5">
        <v>5.4458333333333329E-3</v>
      </c>
      <c r="H996" s="1366">
        <v>6.3E-3</v>
      </c>
      <c r="I996" s="1366">
        <f t="shared" si="45"/>
        <v>-0.1716</v>
      </c>
      <c r="J996" s="1366">
        <f t="shared" si="46"/>
        <v>-0.17334583333333334</v>
      </c>
      <c r="K996" s="1366">
        <f t="shared" si="47"/>
        <v>-0.122428</v>
      </c>
    </row>
    <row r="997" spans="1:11" x14ac:dyDescent="0.55000000000000004">
      <c r="A997" s="295">
        <v>39753</v>
      </c>
      <c r="B997" s="1368">
        <v>-7.1800000000000003E-2</v>
      </c>
      <c r="C997" s="1366">
        <v>2.7894000000000002E-2</v>
      </c>
      <c r="D997" s="1366">
        <v>3.5999999999999999E-3</v>
      </c>
      <c r="E997" s="1366">
        <v>5.1000000000000004E-3</v>
      </c>
      <c r="F997" s="5">
        <v>5.6083333333333341E-3</v>
      </c>
      <c r="G997" s="5">
        <v>5.3541666666666668E-3</v>
      </c>
      <c r="H997" s="1366">
        <v>6.3333333333333332E-3</v>
      </c>
      <c r="I997" s="1366">
        <f t="shared" si="45"/>
        <v>-7.5400000000000009E-2</v>
      </c>
      <c r="J997" s="1366">
        <f t="shared" si="46"/>
        <v>-7.7154166666666663E-2</v>
      </c>
      <c r="K997" s="1366">
        <f t="shared" si="47"/>
        <v>2.1560666666666669E-2</v>
      </c>
    </row>
    <row r="998" spans="1:11" x14ac:dyDescent="0.55000000000000004">
      <c r="A998" s="295">
        <v>39783</v>
      </c>
      <c r="B998" s="1368">
        <v>1.06E-2</v>
      </c>
      <c r="C998" s="1366">
        <v>-1.6796999999999999E-2</v>
      </c>
      <c r="D998" s="1366">
        <v>3.3E-3</v>
      </c>
      <c r="E998" s="1366">
        <v>4.2166666666666663E-3</v>
      </c>
      <c r="F998" s="5">
        <v>4.841666666666666E-3</v>
      </c>
      <c r="G998" s="5">
        <v>4.5291666666666666E-3</v>
      </c>
      <c r="H998" s="1366">
        <v>5.45E-3</v>
      </c>
      <c r="I998" s="1366">
        <f t="shared" si="45"/>
        <v>7.3000000000000001E-3</v>
      </c>
      <c r="J998" s="1366">
        <f t="shared" si="46"/>
        <v>6.0708333333333335E-3</v>
      </c>
      <c r="K998" s="1366">
        <f t="shared" si="47"/>
        <v>-2.2246999999999999E-2</v>
      </c>
    </row>
    <row r="999" spans="1:11" x14ac:dyDescent="0.55000000000000004">
      <c r="A999" s="295">
        <v>39814</v>
      </c>
      <c r="B999" s="1368">
        <v>-8.43E-2</v>
      </c>
      <c r="C999" s="1366">
        <v>-4.5409999999999999E-3</v>
      </c>
      <c r="D999" s="1366">
        <v>2.3999999999999998E-3</v>
      </c>
      <c r="E999" s="1366">
        <v>4.208333333333333E-3</v>
      </c>
      <c r="F999" s="5">
        <v>4.8666666666666667E-3</v>
      </c>
      <c r="G999" s="5">
        <v>4.5374999999999999E-3</v>
      </c>
      <c r="H999" s="1366">
        <v>5.3249999999999999E-3</v>
      </c>
      <c r="I999" s="1366">
        <f t="shared" si="45"/>
        <v>-8.6699999999999999E-2</v>
      </c>
      <c r="J999" s="1366">
        <f t="shared" si="46"/>
        <v>-8.88375E-2</v>
      </c>
      <c r="K999" s="1366">
        <f t="shared" si="47"/>
        <v>-9.8659999999999998E-3</v>
      </c>
    </row>
    <row r="1000" spans="1:11" x14ac:dyDescent="0.55000000000000004">
      <c r="A1000" s="295">
        <v>39845</v>
      </c>
      <c r="B1000" s="1368">
        <v>-0.1065</v>
      </c>
      <c r="C1000" s="1366">
        <v>-0.12570800000000001</v>
      </c>
      <c r="D1000" s="1366">
        <v>3.0000000000000001E-3</v>
      </c>
      <c r="E1000" s="1366">
        <v>4.3916666666666661E-3</v>
      </c>
      <c r="F1000" s="5">
        <v>5.0166666666666658E-3</v>
      </c>
      <c r="G1000" s="5">
        <v>4.7041666666666655E-3</v>
      </c>
      <c r="H1000" s="1366">
        <v>5.2500000000000003E-3</v>
      </c>
      <c r="I1000" s="1366">
        <f t="shared" si="45"/>
        <v>-0.1095</v>
      </c>
      <c r="J1000" s="1366">
        <f t="shared" si="46"/>
        <v>-0.11120416666666666</v>
      </c>
      <c r="K1000" s="1366">
        <f t="shared" si="47"/>
        <v>-0.13095800000000002</v>
      </c>
    </row>
    <row r="1001" spans="1:11" x14ac:dyDescent="0.55000000000000004">
      <c r="A1001" s="295">
        <v>39873</v>
      </c>
      <c r="B1001" s="1368">
        <v>8.7599999999999997E-2</v>
      </c>
      <c r="C1001" s="1366">
        <v>2.5255E-2</v>
      </c>
      <c r="D1001" s="1366">
        <v>3.5000000000000005E-3</v>
      </c>
      <c r="E1001" s="1366">
        <v>4.5833333333333334E-3</v>
      </c>
      <c r="F1001" s="5">
        <v>5.0916666666666662E-3</v>
      </c>
      <c r="G1001" s="5">
        <v>4.8374999999999998E-3</v>
      </c>
      <c r="H1001" s="1366">
        <v>5.3500000000000006E-3</v>
      </c>
      <c r="I1001" s="1366">
        <f t="shared" si="45"/>
        <v>8.4099999999999994E-2</v>
      </c>
      <c r="J1001" s="1366">
        <f t="shared" si="46"/>
        <v>8.2762500000000003E-2</v>
      </c>
      <c r="K1001" s="1366">
        <f t="shared" si="47"/>
        <v>1.9904999999999999E-2</v>
      </c>
    </row>
    <row r="1002" spans="1:11" x14ac:dyDescent="0.55000000000000004">
      <c r="A1002" s="295">
        <v>39904</v>
      </c>
      <c r="B1002" s="1368">
        <v>9.5699999999999993E-2</v>
      </c>
      <c r="C1002" s="1366">
        <v>8.4620000000000008E-3</v>
      </c>
      <c r="D1002" s="1366">
        <v>2.8999999999999998E-3</v>
      </c>
      <c r="E1002" s="1366">
        <v>4.4916666666666664E-3</v>
      </c>
      <c r="F1002" s="5">
        <v>5.1416666666666668E-3</v>
      </c>
      <c r="G1002" s="5">
        <v>4.816666666666667E-3</v>
      </c>
      <c r="H1002" s="1366">
        <v>5.4000000000000003E-3</v>
      </c>
      <c r="I1002" s="1366">
        <f t="shared" si="45"/>
        <v>9.2799999999999994E-2</v>
      </c>
      <c r="J1002" s="1366">
        <f t="shared" si="46"/>
        <v>9.088333333333333E-2</v>
      </c>
      <c r="K1002" s="1366">
        <f t="shared" si="47"/>
        <v>3.0620000000000005E-3</v>
      </c>
    </row>
    <row r="1003" spans="1:11" x14ac:dyDescent="0.55000000000000004">
      <c r="A1003" s="295">
        <v>39934</v>
      </c>
      <c r="B1003" s="1368">
        <v>5.5899999999999998E-2</v>
      </c>
      <c r="C1003" s="1366">
        <v>3.5286999999999999E-2</v>
      </c>
      <c r="D1003" s="1366">
        <v>3.3E-3</v>
      </c>
      <c r="E1003" s="1366">
        <v>4.6166666666666665E-3</v>
      </c>
      <c r="F1003" s="5">
        <v>5.1999999999999998E-3</v>
      </c>
      <c r="G1003" s="5">
        <v>4.9083333333333331E-3</v>
      </c>
      <c r="H1003" s="1366">
        <v>5.4083333333333336E-3</v>
      </c>
      <c r="I1003" s="1366">
        <f t="shared" si="45"/>
        <v>5.2600000000000001E-2</v>
      </c>
      <c r="J1003" s="1366">
        <f t="shared" si="46"/>
        <v>5.0991666666666664E-2</v>
      </c>
      <c r="K1003" s="1366">
        <f t="shared" si="47"/>
        <v>2.9878666666666664E-2</v>
      </c>
    </row>
    <row r="1004" spans="1:11" x14ac:dyDescent="0.55000000000000004">
      <c r="A1004" s="295">
        <v>39965</v>
      </c>
      <c r="B1004" s="1368">
        <v>2E-3</v>
      </c>
      <c r="C1004" s="1366">
        <v>5.5202000000000001E-2</v>
      </c>
      <c r="D1004" s="1366">
        <v>3.8E-3</v>
      </c>
      <c r="E1004" s="1366">
        <v>4.6750000000000003E-3</v>
      </c>
      <c r="F1004" s="5">
        <v>5.1000000000000004E-3</v>
      </c>
      <c r="G1004" s="5">
        <v>4.8875000000000004E-3</v>
      </c>
      <c r="H1004" s="1366">
        <v>5.1666666666666675E-3</v>
      </c>
      <c r="I1004" s="1366">
        <f t="shared" si="45"/>
        <v>-1.8E-3</v>
      </c>
      <c r="J1004" s="1366">
        <f t="shared" si="46"/>
        <v>-2.8875000000000003E-3</v>
      </c>
      <c r="K1004" s="1366">
        <f t="shared" si="47"/>
        <v>5.0035333333333334E-2</v>
      </c>
    </row>
    <row r="1005" spans="1:11" x14ac:dyDescent="0.55000000000000004">
      <c r="A1005" s="295">
        <v>39995</v>
      </c>
      <c r="B1005" s="1368">
        <v>7.5600000000000001E-2</v>
      </c>
      <c r="C1005" s="1366">
        <v>4.0755E-2</v>
      </c>
      <c r="D1005" s="1366">
        <v>3.5999999999999999E-3</v>
      </c>
      <c r="E1005" s="1366">
        <v>4.5083333333333338E-3</v>
      </c>
      <c r="F1005" s="5">
        <v>4.7583333333333332E-3</v>
      </c>
      <c r="G1005" s="5">
        <v>4.6333333333333339E-3</v>
      </c>
      <c r="H1005" s="1366">
        <v>4.9750000000000003E-3</v>
      </c>
      <c r="I1005" s="1366">
        <f t="shared" si="45"/>
        <v>7.1999999999999995E-2</v>
      </c>
      <c r="J1005" s="1366">
        <f t="shared" si="46"/>
        <v>7.0966666666666664E-2</v>
      </c>
      <c r="K1005" s="1366">
        <f t="shared" si="47"/>
        <v>3.5779999999999999E-2</v>
      </c>
    </row>
    <row r="1006" spans="1:11" x14ac:dyDescent="0.55000000000000004">
      <c r="A1006" s="295">
        <v>40026</v>
      </c>
      <c r="B1006" s="1368">
        <v>3.61E-2</v>
      </c>
      <c r="C1006" s="1366">
        <v>5.4599999999999996E-3</v>
      </c>
      <c r="D1006" s="1366">
        <v>3.5999999999999999E-3</v>
      </c>
      <c r="E1006" s="1366">
        <v>4.3833333333333328E-3</v>
      </c>
      <c r="F1006" s="5">
        <v>4.5416666666666669E-3</v>
      </c>
      <c r="G1006" s="5">
        <v>4.4624999999999995E-3</v>
      </c>
      <c r="H1006" s="1366">
        <v>4.7583333333333332E-3</v>
      </c>
      <c r="I1006" s="1366">
        <f t="shared" si="45"/>
        <v>3.2500000000000001E-2</v>
      </c>
      <c r="J1006" s="1366">
        <f t="shared" si="46"/>
        <v>3.1637499999999999E-2</v>
      </c>
      <c r="K1006" s="1366">
        <f t="shared" si="47"/>
        <v>7.0166666666666641E-4</v>
      </c>
    </row>
    <row r="1007" spans="1:11" x14ac:dyDescent="0.55000000000000004">
      <c r="A1007" s="295">
        <v>40057</v>
      </c>
      <c r="B1007" s="1368">
        <v>3.73E-2</v>
      </c>
      <c r="C1007" s="1366">
        <v>1.4283999999999998E-2</v>
      </c>
      <c r="D1007" s="1366">
        <v>3.3999999999999998E-3</v>
      </c>
      <c r="E1007" s="1366">
        <v>4.2750000000000002E-3</v>
      </c>
      <c r="F1007" s="5">
        <v>4.3416666666666664E-3</v>
      </c>
      <c r="G1007" s="5">
        <v>4.3083333333333333E-3</v>
      </c>
      <c r="H1007" s="1366">
        <v>4.6083333333333341E-3</v>
      </c>
      <c r="I1007" s="1366">
        <f t="shared" si="45"/>
        <v>3.39E-2</v>
      </c>
      <c r="J1007" s="1366">
        <f t="shared" si="46"/>
        <v>3.2991666666666669E-2</v>
      </c>
      <c r="K1007" s="1366">
        <f t="shared" si="47"/>
        <v>9.675666666666664E-3</v>
      </c>
    </row>
    <row r="1008" spans="1:11" x14ac:dyDescent="0.55000000000000004">
      <c r="A1008" s="295">
        <v>40087</v>
      </c>
      <c r="B1008" s="1368">
        <v>-1.8599999999999998E-2</v>
      </c>
      <c r="C1008" s="1366">
        <v>-2.8427000000000001E-2</v>
      </c>
      <c r="D1008" s="1366">
        <v>3.3E-3</v>
      </c>
      <c r="E1008" s="1366">
        <v>4.2916666666666667E-3</v>
      </c>
      <c r="F1008" s="5">
        <v>4.3666666666666671E-3</v>
      </c>
      <c r="G1008" s="5">
        <v>4.3291666666666669E-3</v>
      </c>
      <c r="H1008" s="1366">
        <v>4.6249999999999998E-3</v>
      </c>
      <c r="I1008" s="1366">
        <f t="shared" si="45"/>
        <v>-2.1899999999999999E-2</v>
      </c>
      <c r="J1008" s="1366">
        <f t="shared" si="46"/>
        <v>-2.2929166666666667E-2</v>
      </c>
      <c r="K1008" s="1366">
        <f t="shared" si="47"/>
        <v>-3.3051999999999998E-2</v>
      </c>
    </row>
    <row r="1009" spans="1:11" x14ac:dyDescent="0.55000000000000004">
      <c r="A1009" s="295">
        <v>40118</v>
      </c>
      <c r="B1009" s="1368">
        <v>0.06</v>
      </c>
      <c r="C1009" s="1366">
        <v>4.5586000000000002E-2</v>
      </c>
      <c r="D1009" s="1366">
        <v>3.5000000000000005E-3</v>
      </c>
      <c r="E1009" s="1366">
        <v>4.3250000000000007E-3</v>
      </c>
      <c r="F1009" s="5">
        <v>4.4083333333333335E-3</v>
      </c>
      <c r="G1009" s="5">
        <v>4.3666666666666671E-3</v>
      </c>
      <c r="H1009" s="1366">
        <v>4.6999999999999993E-3</v>
      </c>
      <c r="I1009" s="1366">
        <f t="shared" si="45"/>
        <v>5.6499999999999995E-2</v>
      </c>
      <c r="J1009" s="1366">
        <f t="shared" si="46"/>
        <v>5.5633333333333333E-2</v>
      </c>
      <c r="K1009" s="1366">
        <f t="shared" si="47"/>
        <v>4.0886000000000006E-2</v>
      </c>
    </row>
    <row r="1010" spans="1:11" x14ac:dyDescent="0.55000000000000004">
      <c r="A1010" s="295">
        <v>40148</v>
      </c>
      <c r="B1010" s="1368">
        <v>1.9300000000000001E-2</v>
      </c>
      <c r="C1010" s="1366">
        <v>5.5813000000000008E-2</v>
      </c>
      <c r="D1010" s="1366">
        <v>3.3999999999999998E-3</v>
      </c>
      <c r="E1010" s="1366">
        <v>4.3833333333333328E-3</v>
      </c>
      <c r="F1010" s="5">
        <v>4.5333333333333337E-3</v>
      </c>
      <c r="G1010" s="5">
        <v>4.4583333333333332E-3</v>
      </c>
      <c r="H1010" s="1366">
        <v>4.8249999999999994E-3</v>
      </c>
      <c r="I1010" s="1366">
        <f t="shared" si="45"/>
        <v>1.5900000000000001E-2</v>
      </c>
      <c r="J1010" s="1366">
        <f t="shared" si="46"/>
        <v>1.4841666666666668E-2</v>
      </c>
      <c r="K1010" s="1366">
        <f t="shared" si="47"/>
        <v>5.0988000000000006E-2</v>
      </c>
    </row>
    <row r="1011" spans="1:11" x14ac:dyDescent="0.55000000000000004">
      <c r="A1011" s="295">
        <v>40179</v>
      </c>
      <c r="B1011" s="1368">
        <v>-3.5999999999999997E-2</v>
      </c>
      <c r="C1011" s="1366">
        <v>-4.7493E-2</v>
      </c>
      <c r="D1011" s="1366">
        <v>3.5999999999999999E-3</v>
      </c>
      <c r="E1011" s="1366">
        <v>4.3833333333333328E-3</v>
      </c>
      <c r="F1011" s="5">
        <v>4.5833333333333334E-3</v>
      </c>
      <c r="G1011" s="5">
        <v>4.4833333333333331E-3</v>
      </c>
      <c r="H1011" s="1366">
        <v>4.8083333333333329E-3</v>
      </c>
      <c r="I1011" s="1366">
        <f t="shared" si="45"/>
        <v>-3.9599999999999996E-2</v>
      </c>
      <c r="J1011" s="1366">
        <f t="shared" si="46"/>
        <v>-4.048333333333333E-2</v>
      </c>
      <c r="K1011" s="1366">
        <f t="shared" si="47"/>
        <v>-5.2301333333333332E-2</v>
      </c>
    </row>
    <row r="1012" spans="1:11" x14ac:dyDescent="0.55000000000000004">
      <c r="A1012" s="295">
        <v>40210</v>
      </c>
      <c r="B1012" s="1368">
        <v>3.1E-2</v>
      </c>
      <c r="C1012" s="1366">
        <v>-1.4896E-2</v>
      </c>
      <c r="D1012" s="1366">
        <v>3.3E-3</v>
      </c>
      <c r="E1012" s="1366">
        <v>4.4583333333333332E-3</v>
      </c>
      <c r="F1012" s="5">
        <v>4.6833333333333336E-3</v>
      </c>
      <c r="G1012" s="5">
        <v>4.570833333333333E-3</v>
      </c>
      <c r="H1012" s="1366">
        <v>4.8916666666666666E-3</v>
      </c>
      <c r="I1012" s="1366">
        <f t="shared" si="45"/>
        <v>2.7699999999999999E-2</v>
      </c>
      <c r="J1012" s="1366">
        <f t="shared" si="46"/>
        <v>2.6429166666666667E-2</v>
      </c>
      <c r="K1012" s="1366">
        <f t="shared" si="47"/>
        <v>-1.9787666666666665E-2</v>
      </c>
    </row>
    <row r="1013" spans="1:11" x14ac:dyDescent="0.55000000000000004">
      <c r="A1013" s="295">
        <v>40238</v>
      </c>
      <c r="B1013" s="1368">
        <v>6.0299999999999999E-2</v>
      </c>
      <c r="C1013" s="1366">
        <v>2.7978000000000006E-2</v>
      </c>
      <c r="D1013" s="1366">
        <v>4.0000000000000001E-3</v>
      </c>
      <c r="E1013" s="1366">
        <v>4.3916666666666661E-3</v>
      </c>
      <c r="F1013" s="5">
        <v>4.6416666666666663E-3</v>
      </c>
      <c r="G1013" s="5">
        <v>4.5166666666666662E-3</v>
      </c>
      <c r="H1013" s="1366">
        <v>4.8666666666666667E-3</v>
      </c>
      <c r="I1013" s="1366">
        <f t="shared" si="45"/>
        <v>5.6300000000000003E-2</v>
      </c>
      <c r="J1013" s="1366">
        <f t="shared" si="46"/>
        <v>5.5783333333333331E-2</v>
      </c>
      <c r="K1013" s="1366">
        <f t="shared" si="47"/>
        <v>2.3111333333333338E-2</v>
      </c>
    </row>
    <row r="1014" spans="1:11" x14ac:dyDescent="0.55000000000000004">
      <c r="A1014" s="295">
        <v>40269</v>
      </c>
      <c r="B1014" s="1368">
        <v>1.5800000000000002E-2</v>
      </c>
      <c r="C1014" s="1366">
        <v>2.8058E-2</v>
      </c>
      <c r="D1014" s="1366">
        <v>3.8E-3</v>
      </c>
      <c r="E1014" s="1366">
        <v>4.4083333333333335E-3</v>
      </c>
      <c r="F1014" s="5">
        <v>4.6416666666666663E-3</v>
      </c>
      <c r="G1014" s="5">
        <v>4.5250000000000004E-3</v>
      </c>
      <c r="H1014" s="1366">
        <v>4.841666666666666E-3</v>
      </c>
      <c r="I1014" s="1366">
        <f t="shared" si="45"/>
        <v>1.2000000000000002E-2</v>
      </c>
      <c r="J1014" s="1366">
        <f t="shared" si="46"/>
        <v>1.1275E-2</v>
      </c>
      <c r="K1014" s="1366">
        <f t="shared" si="47"/>
        <v>2.3216333333333332E-2</v>
      </c>
    </row>
    <row r="1015" spans="1:11" x14ac:dyDescent="0.55000000000000004">
      <c r="A1015" s="295">
        <v>40299</v>
      </c>
      <c r="B1015" s="1368">
        <v>-7.9899999999999999E-2</v>
      </c>
      <c r="C1015" s="1366">
        <v>-5.7599999999999998E-2</v>
      </c>
      <c r="D1015" s="1366">
        <v>3.3999999999999998E-3</v>
      </c>
      <c r="E1015" s="1366">
        <v>4.1333333333333335E-3</v>
      </c>
      <c r="F1015" s="5">
        <v>4.3750000000000004E-3</v>
      </c>
      <c r="G1015" s="5">
        <v>4.2541666666666665E-3</v>
      </c>
      <c r="H1015" s="1366">
        <v>4.5833333333333334E-3</v>
      </c>
      <c r="I1015" s="1366">
        <f t="shared" si="45"/>
        <v>-8.3299999999999999E-2</v>
      </c>
      <c r="J1015" s="1366">
        <f t="shared" si="46"/>
        <v>-8.4154166666666669E-2</v>
      </c>
      <c r="K1015" s="1366">
        <f t="shared" si="47"/>
        <v>-6.2183333333333334E-2</v>
      </c>
    </row>
    <row r="1016" spans="1:11" x14ac:dyDescent="0.55000000000000004">
      <c r="A1016" s="295">
        <v>40330</v>
      </c>
      <c r="B1016" s="1368">
        <v>-5.2299999999999999E-2</v>
      </c>
      <c r="C1016" s="1366">
        <v>-6.3599999999999993E-3</v>
      </c>
      <c r="D1016" s="1366">
        <v>3.7000000000000002E-3</v>
      </c>
      <c r="E1016" s="1366">
        <v>4.0666666666666663E-3</v>
      </c>
      <c r="F1016" s="5">
        <v>4.3E-3</v>
      </c>
      <c r="G1016" s="5">
        <v>4.1833333333333332E-3</v>
      </c>
      <c r="H1016" s="1366">
        <v>4.5500000000000002E-3</v>
      </c>
      <c r="I1016" s="1366">
        <f t="shared" si="45"/>
        <v>-5.6000000000000001E-2</v>
      </c>
      <c r="J1016" s="1366">
        <f t="shared" si="46"/>
        <v>-5.648333333333333E-2</v>
      </c>
      <c r="K1016" s="1366">
        <f t="shared" si="47"/>
        <v>-1.091E-2</v>
      </c>
    </row>
    <row r="1017" spans="1:11" x14ac:dyDescent="0.55000000000000004">
      <c r="A1017" s="295">
        <v>40360</v>
      </c>
      <c r="B1017" s="1368">
        <v>7.0099999999999996E-2</v>
      </c>
      <c r="C1017" s="1366">
        <v>7.741300000000001E-2</v>
      </c>
      <c r="D1017" s="1366">
        <v>3.0999999999999999E-3</v>
      </c>
      <c r="E1017" s="1366">
        <v>3.933333333333333E-3</v>
      </c>
      <c r="F1017" s="5">
        <v>4.1333333333333335E-3</v>
      </c>
      <c r="G1017" s="5">
        <v>4.0333333333333332E-3</v>
      </c>
      <c r="H1017" s="1366">
        <v>4.3833333333333328E-3</v>
      </c>
      <c r="I1017" s="1366">
        <f t="shared" si="45"/>
        <v>6.699999999999999E-2</v>
      </c>
      <c r="J1017" s="1366">
        <f t="shared" si="46"/>
        <v>6.6066666666666662E-2</v>
      </c>
      <c r="K1017" s="1366">
        <f t="shared" si="47"/>
        <v>7.3029666666666673E-2</v>
      </c>
    </row>
    <row r="1018" spans="1:11" x14ac:dyDescent="0.55000000000000004">
      <c r="A1018" s="295">
        <v>40391</v>
      </c>
      <c r="B1018" s="1368">
        <v>-4.5100000000000001E-2</v>
      </c>
      <c r="C1018" s="1366">
        <v>1.2496E-2</v>
      </c>
      <c r="D1018" s="1366">
        <v>3.2000000000000002E-3</v>
      </c>
      <c r="E1018" s="1366">
        <v>3.741666666666667E-3</v>
      </c>
      <c r="F1018" s="5">
        <v>3.933333333333333E-3</v>
      </c>
      <c r="G1018" s="5">
        <v>3.8375000000000002E-3</v>
      </c>
      <c r="H1018" s="1366">
        <v>4.1749999999999999E-3</v>
      </c>
      <c r="I1018" s="1366">
        <f t="shared" si="45"/>
        <v>-4.8300000000000003E-2</v>
      </c>
      <c r="J1018" s="1366">
        <f t="shared" si="46"/>
        <v>-4.8937500000000002E-2</v>
      </c>
      <c r="K1018" s="1366">
        <f t="shared" si="47"/>
        <v>8.3210000000000003E-3</v>
      </c>
    </row>
    <row r="1019" spans="1:11" x14ac:dyDescent="0.55000000000000004">
      <c r="A1019" s="295">
        <v>40422</v>
      </c>
      <c r="B1019" s="1368">
        <v>8.9200000000000002E-2</v>
      </c>
      <c r="C1019" s="1366">
        <v>2.9575000000000001E-2</v>
      </c>
      <c r="D1019" s="1366">
        <v>2.5999999999999999E-3</v>
      </c>
      <c r="E1019" s="1366">
        <v>3.7750000000000001E-3</v>
      </c>
      <c r="F1019" s="5">
        <v>3.933333333333333E-3</v>
      </c>
      <c r="G1019" s="5">
        <v>3.8541666666666663E-3</v>
      </c>
      <c r="H1019" s="1366">
        <v>4.1749999999999999E-3</v>
      </c>
      <c r="I1019" s="1366">
        <f t="shared" si="45"/>
        <v>8.6599999999999996E-2</v>
      </c>
      <c r="J1019" s="1366">
        <f t="shared" si="46"/>
        <v>8.5345833333333329E-2</v>
      </c>
      <c r="K1019" s="1366">
        <f t="shared" si="47"/>
        <v>2.5399999999999999E-2</v>
      </c>
    </row>
    <row r="1020" spans="1:11" x14ac:dyDescent="0.55000000000000004">
      <c r="A1020" s="295">
        <v>40452</v>
      </c>
      <c r="B1020" s="1368">
        <v>3.7999999999999999E-2</v>
      </c>
      <c r="C1020" s="1366">
        <v>1.2868999999999998E-2</v>
      </c>
      <c r="D1020" s="1366">
        <v>2.7000000000000001E-3</v>
      </c>
      <c r="E1020" s="1366">
        <v>3.8999999999999994E-3</v>
      </c>
      <c r="F1020" s="5">
        <v>4.0249999999999999E-3</v>
      </c>
      <c r="G1020" s="5">
        <v>3.9624999999999999E-3</v>
      </c>
      <c r="H1020" s="1366">
        <v>4.2500000000000003E-3</v>
      </c>
      <c r="I1020" s="1366">
        <f t="shared" si="45"/>
        <v>3.5299999999999998E-2</v>
      </c>
      <c r="J1020" s="1366">
        <f t="shared" si="46"/>
        <v>3.4037499999999998E-2</v>
      </c>
      <c r="K1020" s="1366">
        <f t="shared" si="47"/>
        <v>8.6189999999999982E-3</v>
      </c>
    </row>
    <row r="1021" spans="1:11" x14ac:dyDescent="0.55000000000000004">
      <c r="A1021" s="295">
        <v>40483</v>
      </c>
      <c r="B1021" s="1368">
        <v>1E-4</v>
      </c>
      <c r="C1021" s="1366">
        <v>-3.2323000000000005E-2</v>
      </c>
      <c r="D1021" s="1366">
        <v>3.2000000000000002E-3</v>
      </c>
      <c r="E1021" s="1366">
        <v>4.0583333333333331E-3</v>
      </c>
      <c r="F1021" s="5">
        <v>4.2250000000000005E-3</v>
      </c>
      <c r="G1021" s="5">
        <v>4.1416666666666668E-3</v>
      </c>
      <c r="H1021" s="1366">
        <v>4.4749999999999998E-3</v>
      </c>
      <c r="I1021" s="1366">
        <f t="shared" si="45"/>
        <v>-3.1000000000000003E-3</v>
      </c>
      <c r="J1021" s="1366">
        <f t="shared" si="46"/>
        <v>-4.0416666666666665E-3</v>
      </c>
      <c r="K1021" s="1366">
        <f t="shared" si="47"/>
        <v>-3.6798000000000004E-2</v>
      </c>
    </row>
    <row r="1022" spans="1:11" x14ac:dyDescent="0.55000000000000004">
      <c r="A1022" s="295">
        <v>40513</v>
      </c>
      <c r="B1022" s="1368">
        <v>6.6799999999999998E-2</v>
      </c>
      <c r="C1022" s="1366">
        <v>3.1150999999999998E-2</v>
      </c>
      <c r="D1022" s="1366">
        <v>3.2000000000000002E-3</v>
      </c>
      <c r="E1022" s="1366">
        <v>4.1833333333333332E-3</v>
      </c>
      <c r="F1022" s="5">
        <v>4.3833333333333328E-3</v>
      </c>
      <c r="G1022" s="5">
        <v>4.2833333333333326E-3</v>
      </c>
      <c r="H1022" s="1366">
        <v>4.6333333333333331E-3</v>
      </c>
      <c r="I1022" s="1366">
        <f t="shared" si="45"/>
        <v>6.3600000000000004E-2</v>
      </c>
      <c r="J1022" s="1366">
        <f t="shared" si="46"/>
        <v>6.2516666666666665E-2</v>
      </c>
      <c r="K1022" s="1366">
        <f t="shared" si="47"/>
        <v>2.6517666666666665E-2</v>
      </c>
    </row>
    <row r="1023" spans="1:11" x14ac:dyDescent="0.55000000000000004">
      <c r="A1023" s="295">
        <v>40544</v>
      </c>
      <c r="B1023" s="5">
        <v>2.3699999999999999E-2</v>
      </c>
      <c r="C1023" s="1366">
        <v>1.4241E-2</v>
      </c>
      <c r="D1023" s="1366">
        <v>3.5000000000000001E-3</v>
      </c>
      <c r="E1023" s="1366">
        <v>4.1999999999999997E-3</v>
      </c>
      <c r="F1023" s="5">
        <v>4.3833333333333328E-3</v>
      </c>
      <c r="G1023" s="5">
        <v>4.2916666666666667E-3</v>
      </c>
      <c r="H1023" s="1366">
        <v>4.6416666666666663E-3</v>
      </c>
      <c r="I1023" s="1366">
        <f t="shared" si="45"/>
        <v>2.0199999999999999E-2</v>
      </c>
      <c r="J1023" s="1366">
        <f t="shared" si="46"/>
        <v>1.9408333333333333E-2</v>
      </c>
      <c r="K1023" s="1366">
        <f t="shared" si="47"/>
        <v>9.5993333333333347E-3</v>
      </c>
    </row>
    <row r="1024" spans="1:11" x14ac:dyDescent="0.55000000000000004">
      <c r="A1024" s="295">
        <v>40575</v>
      </c>
      <c r="B1024" s="5">
        <v>3.4299999999999997E-2</v>
      </c>
      <c r="C1024" s="1366">
        <v>1.1235E-2</v>
      </c>
      <c r="D1024" s="1366">
        <v>3.2000000000000002E-3</v>
      </c>
      <c r="E1024" s="1366">
        <v>4.3499999999999997E-3</v>
      </c>
      <c r="F1024" s="5">
        <v>4.4749999999999998E-3</v>
      </c>
      <c r="G1024" s="5">
        <v>4.4125000000000006E-3</v>
      </c>
      <c r="H1024" s="1366">
        <v>4.7333333333333333E-3</v>
      </c>
      <c r="I1024" s="1366">
        <f t="shared" si="45"/>
        <v>3.1099999999999996E-2</v>
      </c>
      <c r="J1024" s="1366">
        <f t="shared" si="46"/>
        <v>2.9887499999999997E-2</v>
      </c>
      <c r="K1024" s="1366">
        <f t="shared" si="47"/>
        <v>6.5016666666666669E-3</v>
      </c>
    </row>
    <row r="1025" spans="1:11" x14ac:dyDescent="0.55000000000000004">
      <c r="A1025" s="295">
        <v>40603</v>
      </c>
      <c r="B1025" s="5">
        <v>4.0000000000000002E-4</v>
      </c>
      <c r="C1025" s="1366">
        <v>1.474E-3</v>
      </c>
      <c r="D1025" s="1366">
        <v>3.5999999999999999E-3</v>
      </c>
      <c r="E1025" s="1366">
        <v>4.2750000000000002E-3</v>
      </c>
      <c r="F1025" s="5">
        <v>4.4000000000000003E-3</v>
      </c>
      <c r="G1025" s="5">
        <v>4.3374999999999993E-3</v>
      </c>
      <c r="H1025" s="1366">
        <v>4.6333333333333331E-3</v>
      </c>
      <c r="I1025" s="1366">
        <f t="shared" si="45"/>
        <v>-3.1999999999999997E-3</v>
      </c>
      <c r="J1025" s="1366">
        <f t="shared" si="46"/>
        <v>-3.9374999999999992E-3</v>
      </c>
      <c r="K1025" s="1366">
        <f t="shared" si="47"/>
        <v>-3.159333333333333E-3</v>
      </c>
    </row>
    <row r="1026" spans="1:11" x14ac:dyDescent="0.55000000000000004">
      <c r="A1026" s="295">
        <v>40634</v>
      </c>
      <c r="B1026" s="5">
        <v>2.9600000000000001E-2</v>
      </c>
      <c r="C1026" s="1366">
        <v>4.1877999999999999E-2</v>
      </c>
      <c r="D1026" s="1366">
        <v>3.3999999999999998E-3</v>
      </c>
      <c r="E1026" s="1366">
        <v>4.3E-3</v>
      </c>
      <c r="F1026" s="5">
        <v>4.4083333333333335E-3</v>
      </c>
      <c r="G1026" s="5">
        <v>4.3541666666666668E-3</v>
      </c>
      <c r="H1026" s="1366">
        <v>4.6249999999999998E-3</v>
      </c>
      <c r="I1026" s="1366">
        <f t="shared" si="45"/>
        <v>2.6200000000000001E-2</v>
      </c>
      <c r="J1026" s="1366">
        <f t="shared" si="46"/>
        <v>2.5245833333333335E-2</v>
      </c>
      <c r="K1026" s="1366">
        <f t="shared" si="47"/>
        <v>3.7253000000000001E-2</v>
      </c>
    </row>
    <row r="1027" spans="1:11" x14ac:dyDescent="0.55000000000000004">
      <c r="A1027" s="295">
        <v>40664</v>
      </c>
      <c r="B1027" s="5">
        <v>-1.1299999999999999E-2</v>
      </c>
      <c r="C1027" s="1366">
        <v>1.9754000000000001E-2</v>
      </c>
      <c r="D1027" s="1366">
        <v>3.5999999999999999E-3</v>
      </c>
      <c r="E1027" s="1366">
        <v>4.1333333333333335E-3</v>
      </c>
      <c r="F1027" s="5">
        <v>4.2166666666666663E-3</v>
      </c>
      <c r="G1027" s="5">
        <v>4.1749999999999999E-3</v>
      </c>
      <c r="H1027" s="1366">
        <v>4.4333333333333334E-3</v>
      </c>
      <c r="I1027" s="1366">
        <f t="shared" si="45"/>
        <v>-1.49E-2</v>
      </c>
      <c r="J1027" s="1366">
        <f t="shared" si="46"/>
        <v>-1.5474999999999999E-2</v>
      </c>
      <c r="K1027" s="1366">
        <f t="shared" si="47"/>
        <v>1.5320666666666666E-2</v>
      </c>
    </row>
    <row r="1028" spans="1:11" x14ac:dyDescent="0.55000000000000004">
      <c r="A1028" s="295">
        <v>40695</v>
      </c>
      <c r="B1028" s="5">
        <v>-1.67E-2</v>
      </c>
      <c r="C1028" s="1366">
        <v>-1.2830000000000003E-3</v>
      </c>
      <c r="D1028" s="1366">
        <v>3.2000000000000002E-3</v>
      </c>
      <c r="E1028" s="1366">
        <v>4.1583333333333333E-3</v>
      </c>
      <c r="F1028" s="5">
        <v>4.1999999999999997E-3</v>
      </c>
      <c r="G1028" s="5">
        <v>4.179166666666667E-3</v>
      </c>
      <c r="H1028" s="1366">
        <v>4.3833333333333328E-3</v>
      </c>
      <c r="I1028" s="1366">
        <f t="shared" ref="I1028:I1091" si="48">B1028-D1028</f>
        <v>-1.9900000000000001E-2</v>
      </c>
      <c r="J1028" s="1366">
        <f t="shared" si="46"/>
        <v>-2.0879166666666667E-2</v>
      </c>
      <c r="K1028" s="1366">
        <f t="shared" si="47"/>
        <v>-5.6663333333333331E-3</v>
      </c>
    </row>
    <row r="1029" spans="1:11" x14ac:dyDescent="0.55000000000000004">
      <c r="A1029" s="295">
        <v>40725</v>
      </c>
      <c r="B1029" s="5">
        <v>-2.0299999999999999E-2</v>
      </c>
      <c r="C1029" s="1366">
        <v>-7.5380000000000013E-3</v>
      </c>
      <c r="D1029" s="1366">
        <v>3.2000000000000002E-3</v>
      </c>
      <c r="E1029" s="1366">
        <v>4.1083333333333336E-3</v>
      </c>
      <c r="F1029" s="5">
        <v>4.1916666666666665E-3</v>
      </c>
      <c r="G1029" s="5">
        <v>4.15E-3</v>
      </c>
      <c r="H1029" s="1366">
        <v>4.3916666666666661E-3</v>
      </c>
      <c r="I1029" s="1366">
        <f t="shared" si="48"/>
        <v>-2.35E-2</v>
      </c>
      <c r="J1029" s="1366">
        <f t="shared" si="46"/>
        <v>-2.445E-2</v>
      </c>
      <c r="K1029" s="1366">
        <f t="shared" si="47"/>
        <v>-1.1929666666666668E-2</v>
      </c>
    </row>
    <row r="1030" spans="1:11" x14ac:dyDescent="0.55000000000000004">
      <c r="A1030" s="295">
        <v>40756</v>
      </c>
      <c r="B1030" s="5">
        <v>-5.4300000000000001E-2</v>
      </c>
      <c r="C1030" s="1366">
        <v>2.0388E-2</v>
      </c>
      <c r="D1030" s="1366">
        <v>3.3999999999999998E-3</v>
      </c>
      <c r="E1030" s="1366">
        <v>3.6416666666666667E-3</v>
      </c>
      <c r="F1030" s="5">
        <v>3.725E-3</v>
      </c>
      <c r="G1030" s="5">
        <v>3.6833333333333336E-3</v>
      </c>
      <c r="H1030" s="1366">
        <v>3.908333333333334E-3</v>
      </c>
      <c r="I1030" s="1366">
        <f t="shared" si="48"/>
        <v>-5.7700000000000001E-2</v>
      </c>
      <c r="J1030" s="1366">
        <f t="shared" si="46"/>
        <v>-5.7983333333333331E-2</v>
      </c>
      <c r="K1030" s="1366">
        <f t="shared" si="47"/>
        <v>1.6479666666666667E-2</v>
      </c>
    </row>
    <row r="1031" spans="1:11" x14ac:dyDescent="0.55000000000000004">
      <c r="A1031" s="295">
        <v>40787</v>
      </c>
      <c r="B1031" s="5">
        <v>-7.0300000000000001E-2</v>
      </c>
      <c r="C1031" s="1366">
        <v>2.271E-3</v>
      </c>
      <c r="D1031" s="1366">
        <v>2.5999999999999999E-3</v>
      </c>
      <c r="E1031" s="1366">
        <v>3.4083333333333331E-3</v>
      </c>
      <c r="F1031" s="5">
        <v>3.5250000000000004E-3</v>
      </c>
      <c r="G1031" s="5">
        <v>3.4666666666666669E-3</v>
      </c>
      <c r="H1031" s="1366">
        <v>3.7333333333333333E-3</v>
      </c>
      <c r="I1031" s="1366">
        <f t="shared" si="48"/>
        <v>-7.2900000000000006E-2</v>
      </c>
      <c r="J1031" s="1366">
        <f t="shared" si="46"/>
        <v>-7.3766666666666675E-2</v>
      </c>
      <c r="K1031" s="1366">
        <f t="shared" si="47"/>
        <v>-1.4623333333333333E-3</v>
      </c>
    </row>
    <row r="1032" spans="1:11" x14ac:dyDescent="0.55000000000000004">
      <c r="A1032" s="295">
        <v>40817</v>
      </c>
      <c r="B1032" s="5">
        <v>0.10929999999999999</v>
      </c>
      <c r="C1032" s="1366">
        <v>3.8747000000000004E-2</v>
      </c>
      <c r="D1032" s="1366">
        <v>2.2000000000000001E-3</v>
      </c>
      <c r="E1032" s="1366">
        <v>3.3166666666666665E-3</v>
      </c>
      <c r="F1032" s="5">
        <v>3.4666666666666669E-3</v>
      </c>
      <c r="G1032" s="5">
        <v>3.3916666666666665E-3</v>
      </c>
      <c r="H1032" s="1366">
        <v>3.7666666666666664E-3</v>
      </c>
      <c r="I1032" s="1366">
        <f t="shared" si="48"/>
        <v>0.1071</v>
      </c>
      <c r="J1032" s="1366">
        <f t="shared" si="46"/>
        <v>0.10590833333333333</v>
      </c>
      <c r="K1032" s="1366">
        <f t="shared" si="47"/>
        <v>3.4980333333333335E-2</v>
      </c>
    </row>
    <row r="1033" spans="1:11" x14ac:dyDescent="0.55000000000000004">
      <c r="A1033" s="295">
        <v>40848</v>
      </c>
      <c r="B1033" s="5">
        <v>-2.2000000000000001E-3</v>
      </c>
      <c r="C1033" s="1366">
        <v>8.0140000000000003E-3</v>
      </c>
      <c r="D1033" s="1366">
        <v>2.3999999999999998E-3</v>
      </c>
      <c r="E1033" s="1366">
        <v>3.225E-3</v>
      </c>
      <c r="F1033" s="5">
        <v>3.3083333333333337E-3</v>
      </c>
      <c r="G1033" s="5">
        <v>3.2666666666666664E-3</v>
      </c>
      <c r="H1033" s="1366">
        <v>3.5416666666666669E-3</v>
      </c>
      <c r="I1033" s="1366">
        <f t="shared" si="48"/>
        <v>-4.5999999999999999E-3</v>
      </c>
      <c r="J1033" s="1366">
        <f t="shared" si="46"/>
        <v>-5.4666666666666665E-3</v>
      </c>
      <c r="K1033" s="1366">
        <f t="shared" si="47"/>
        <v>4.4723333333333334E-3</v>
      </c>
    </row>
    <row r="1034" spans="1:11" x14ac:dyDescent="0.55000000000000004">
      <c r="A1034" s="295">
        <v>40878</v>
      </c>
      <c r="B1034" s="5">
        <v>1.0200000000000001E-2</v>
      </c>
      <c r="C1034" s="1366">
        <v>3.3766999999999998E-2</v>
      </c>
      <c r="D1034" s="1366">
        <v>2.2000000000000001E-3</v>
      </c>
      <c r="E1034" s="1366">
        <v>3.2750000000000001E-3</v>
      </c>
      <c r="F1034" s="5">
        <v>3.3583333333333338E-3</v>
      </c>
      <c r="G1034" s="5">
        <v>3.3166666666666665E-3</v>
      </c>
      <c r="H1034" s="1366">
        <v>3.6083333333333332E-3</v>
      </c>
      <c r="I1034" s="1366">
        <f t="shared" si="48"/>
        <v>8.0000000000000002E-3</v>
      </c>
      <c r="J1034" s="1366">
        <f t="shared" si="46"/>
        <v>6.8833333333333342E-3</v>
      </c>
      <c r="K1034" s="1366">
        <f t="shared" si="47"/>
        <v>3.0158666666666667E-2</v>
      </c>
    </row>
    <row r="1035" spans="1:11" x14ac:dyDescent="0.55000000000000004">
      <c r="A1035" s="295">
        <v>40909</v>
      </c>
      <c r="B1035" s="5">
        <v>4.48E-2</v>
      </c>
      <c r="C1035" s="1366">
        <v>-3.3237000000000003E-2</v>
      </c>
      <c r="D1035" s="1366">
        <v>2.0999999999999999E-3</v>
      </c>
      <c r="E1035" s="1366">
        <v>3.3416666666666668E-3</v>
      </c>
      <c r="F1035" s="5">
        <v>3.3416666666666668E-3</v>
      </c>
      <c r="G1035" s="5">
        <v>3.3416666666666668E-3</v>
      </c>
      <c r="H1035" s="1366">
        <v>3.6166666666666665E-3</v>
      </c>
      <c r="I1035" s="1366">
        <f t="shared" si="48"/>
        <v>4.2700000000000002E-2</v>
      </c>
      <c r="J1035" s="1366">
        <f t="shared" si="46"/>
        <v>4.1458333333333333E-2</v>
      </c>
      <c r="K1035" s="1366">
        <f t="shared" si="47"/>
        <v>-3.6853666666666667E-2</v>
      </c>
    </row>
    <row r="1036" spans="1:11" x14ac:dyDescent="0.55000000000000004">
      <c r="A1036" s="295">
        <v>40940</v>
      </c>
      <c r="B1036" s="5">
        <v>4.3200000000000002E-2</v>
      </c>
      <c r="C1036" s="1366">
        <v>3.4509999999999996E-3</v>
      </c>
      <c r="D1036" s="1366">
        <v>2E-3</v>
      </c>
      <c r="E1036" s="1366">
        <v>3.3250000000000003E-3</v>
      </c>
      <c r="F1036" s="5">
        <v>3.3250000000000003E-3</v>
      </c>
      <c r="G1036" s="5">
        <v>3.3250000000000003E-3</v>
      </c>
      <c r="H1036" s="1366">
        <v>3.6333333333333335E-3</v>
      </c>
      <c r="I1036" s="1366">
        <f t="shared" si="48"/>
        <v>4.1200000000000001E-2</v>
      </c>
      <c r="J1036" s="1366">
        <f t="shared" si="46"/>
        <v>3.9875000000000001E-2</v>
      </c>
      <c r="K1036" s="1366">
        <f t="shared" si="47"/>
        <v>-1.8233333333333383E-4</v>
      </c>
    </row>
    <row r="1037" spans="1:11" x14ac:dyDescent="0.55000000000000004">
      <c r="A1037" s="295">
        <v>40969</v>
      </c>
      <c r="B1037" s="5">
        <v>3.2899999999999999E-2</v>
      </c>
      <c r="C1037" s="1366">
        <v>1.372E-2</v>
      </c>
      <c r="D1037" s="1366">
        <v>2.2000000000000001E-3</v>
      </c>
      <c r="E1037" s="1366">
        <v>3.3249999999999998E-3</v>
      </c>
      <c r="F1037" s="1366">
        <v>3.4499999999999999E-3</v>
      </c>
      <c r="G1037" s="1366">
        <v>3.3874999999999999E-3</v>
      </c>
      <c r="H1037" s="1366">
        <v>3.7333333333333333E-3</v>
      </c>
      <c r="I1037" s="1366">
        <f t="shared" si="48"/>
        <v>3.0699999999999998E-2</v>
      </c>
      <c r="J1037" s="1366">
        <f t="shared" si="46"/>
        <v>2.9512499999999997E-2</v>
      </c>
      <c r="K1037" s="1366">
        <f t="shared" si="47"/>
        <v>9.9866666666666663E-3</v>
      </c>
    </row>
    <row r="1038" spans="1:11" x14ac:dyDescent="0.55000000000000004">
      <c r="A1038" s="295">
        <v>41000</v>
      </c>
      <c r="B1038" s="5">
        <v>-6.3E-3</v>
      </c>
      <c r="C1038" s="1366">
        <v>2.1237000000000002E-2</v>
      </c>
      <c r="D1038" s="1366">
        <v>2.5000000000000001E-3</v>
      </c>
      <c r="E1038" s="1366">
        <v>3.3000000000000004E-3</v>
      </c>
      <c r="F1038" s="1366">
        <v>3.4000000000000002E-3</v>
      </c>
      <c r="G1038" s="1366">
        <v>3.3500000000000005E-3</v>
      </c>
      <c r="H1038" s="1366">
        <v>3.6666666666666666E-3</v>
      </c>
      <c r="I1038" s="1366">
        <f t="shared" si="48"/>
        <v>-8.8000000000000005E-3</v>
      </c>
      <c r="J1038" s="1366">
        <f t="shared" si="46"/>
        <v>-9.6500000000000006E-3</v>
      </c>
      <c r="K1038" s="1366">
        <f t="shared" si="47"/>
        <v>1.7570333333333337E-2</v>
      </c>
    </row>
    <row r="1039" spans="1:11" x14ac:dyDescent="0.55000000000000004">
      <c r="A1039" s="295">
        <v>41030</v>
      </c>
      <c r="B1039" s="5">
        <v>-6.0100000000000001E-2</v>
      </c>
      <c r="C1039" s="1366">
        <v>2.1609999999999997E-3</v>
      </c>
      <c r="D1039" s="1366">
        <v>2.3E-3</v>
      </c>
      <c r="E1039" s="1366">
        <v>3.1666666666666666E-3</v>
      </c>
      <c r="F1039" s="1366">
        <v>3.2583333333333336E-3</v>
      </c>
      <c r="G1039" s="1366">
        <v>3.2125000000000001E-3</v>
      </c>
      <c r="H1039" s="1366">
        <v>3.5000000000000001E-3</v>
      </c>
      <c r="I1039" s="1366">
        <f t="shared" si="48"/>
        <v>-6.2399999999999997E-2</v>
      </c>
      <c r="J1039" s="1366">
        <f t="shared" si="46"/>
        <v>-6.3312499999999994E-2</v>
      </c>
      <c r="K1039" s="1366">
        <f t="shared" si="47"/>
        <v>-1.3390000000000003E-3</v>
      </c>
    </row>
    <row r="1040" spans="1:11" x14ac:dyDescent="0.55000000000000004">
      <c r="A1040" s="295">
        <v>41061</v>
      </c>
      <c r="B1040" s="5">
        <v>4.1200000000000001E-2</v>
      </c>
      <c r="C1040" s="1366">
        <v>4.1003999999999999E-2</v>
      </c>
      <c r="D1040" s="1366">
        <v>1.8E-3</v>
      </c>
      <c r="E1040" s="1366">
        <v>3.0333333333333336E-3</v>
      </c>
      <c r="F1040" s="1366">
        <v>3.15E-3</v>
      </c>
      <c r="G1040" s="1366">
        <v>3.091666666666667E-3</v>
      </c>
      <c r="H1040" s="1366">
        <v>3.4000000000000002E-3</v>
      </c>
      <c r="I1040" s="1366">
        <f t="shared" si="48"/>
        <v>3.9399999999999998E-2</v>
      </c>
      <c r="J1040" s="1366">
        <f t="shared" si="46"/>
        <v>3.8108333333333334E-2</v>
      </c>
      <c r="K1040" s="1366">
        <f t="shared" si="47"/>
        <v>3.7603999999999999E-2</v>
      </c>
    </row>
    <row r="1041" spans="1:11" x14ac:dyDescent="0.55000000000000004">
      <c r="A1041" s="295">
        <v>41091</v>
      </c>
      <c r="B1041" s="5">
        <v>1.3899999999999999E-2</v>
      </c>
      <c r="C1041" s="1366">
        <v>2.8439000000000002E-2</v>
      </c>
      <c r="D1041" s="1366">
        <v>2E-3</v>
      </c>
      <c r="E1041" s="1366">
        <v>2.8333333333333335E-3</v>
      </c>
      <c r="F1041" s="1366">
        <v>2.9499999999999999E-3</v>
      </c>
      <c r="G1041" s="1366">
        <v>2.8916666666666665E-3</v>
      </c>
      <c r="H1041" s="1366">
        <v>3.2750000000000001E-3</v>
      </c>
      <c r="I1041" s="1366">
        <f t="shared" si="48"/>
        <v>1.1899999999999999E-2</v>
      </c>
      <c r="J1041" s="1366">
        <f t="shared" si="46"/>
        <v>1.1008333333333332E-2</v>
      </c>
      <c r="K1041" s="1366">
        <f t="shared" si="47"/>
        <v>2.5164000000000002E-2</v>
      </c>
    </row>
    <row r="1042" spans="1:11" x14ac:dyDescent="0.55000000000000004">
      <c r="A1042" s="295">
        <v>41122</v>
      </c>
      <c r="B1042" s="5">
        <v>2.2499999999999999E-2</v>
      </c>
      <c r="C1042" s="1366">
        <v>-4.4720999999999997E-2</v>
      </c>
      <c r="D1042" s="1366">
        <v>1.8E-3</v>
      </c>
      <c r="E1042" s="1366">
        <v>2.8999999999999998E-3</v>
      </c>
      <c r="F1042" s="1366">
        <v>3.0083333333333333E-3</v>
      </c>
      <c r="G1042" s="1366">
        <v>2.9541666666666666E-3</v>
      </c>
      <c r="H1042" s="1366">
        <v>3.3333333333333335E-3</v>
      </c>
      <c r="I1042" s="1366">
        <f t="shared" si="48"/>
        <v>2.07E-2</v>
      </c>
      <c r="J1042" s="1366">
        <f t="shared" si="46"/>
        <v>1.9545833333333332E-2</v>
      </c>
      <c r="K1042" s="1366">
        <f t="shared" si="47"/>
        <v>-4.8054333333333331E-2</v>
      </c>
    </row>
    <row r="1043" spans="1:11" x14ac:dyDescent="0.55000000000000004">
      <c r="A1043" s="295">
        <v>41153</v>
      </c>
      <c r="B1043" s="5">
        <v>2.58E-2</v>
      </c>
      <c r="C1043" s="1366">
        <v>1.2281E-2</v>
      </c>
      <c r="D1043" s="1366">
        <v>1.6999999999999999E-3</v>
      </c>
      <c r="E1043" s="1366">
        <v>2.9083333333333335E-3</v>
      </c>
      <c r="F1043" s="1366">
        <v>3.0666666666666668E-3</v>
      </c>
      <c r="G1043" s="1366">
        <v>2.9875000000000001E-3</v>
      </c>
      <c r="H1043" s="1366">
        <v>3.3500000000000001E-3</v>
      </c>
      <c r="I1043" s="1366">
        <f t="shared" si="48"/>
        <v>2.41E-2</v>
      </c>
      <c r="J1043" s="1366">
        <f t="shared" si="46"/>
        <v>2.2812499999999999E-2</v>
      </c>
      <c r="K1043" s="1366">
        <f t="shared" si="47"/>
        <v>8.9309999999999997E-3</v>
      </c>
    </row>
    <row r="1044" spans="1:11" x14ac:dyDescent="0.55000000000000004">
      <c r="A1044" s="295">
        <v>41183</v>
      </c>
      <c r="B1044" s="5">
        <v>-1.8499999999999999E-2</v>
      </c>
      <c r="C1044" s="1366">
        <v>1.7240000000000002E-2</v>
      </c>
      <c r="D1044" s="1366">
        <v>2.0999999999999999E-3</v>
      </c>
      <c r="E1044" s="1366">
        <v>2.891666666666667E-3</v>
      </c>
      <c r="F1044" s="1366">
        <v>3.0249999999999999E-3</v>
      </c>
      <c r="G1044" s="1366">
        <v>2.9583333333333336E-3</v>
      </c>
      <c r="H1044" s="1366">
        <v>3.2583333333333336E-3</v>
      </c>
      <c r="I1044" s="1366">
        <f t="shared" si="48"/>
        <v>-2.06E-2</v>
      </c>
      <c r="J1044" s="1366">
        <f t="shared" si="46"/>
        <v>-2.1458333333333333E-2</v>
      </c>
      <c r="K1044" s="1366">
        <f t="shared" si="47"/>
        <v>1.3981666666666668E-2</v>
      </c>
    </row>
    <row r="1045" spans="1:11" x14ac:dyDescent="0.55000000000000004">
      <c r="A1045" s="295">
        <v>41214</v>
      </c>
      <c r="B1045" s="5">
        <v>5.7999999999999996E-3</v>
      </c>
      <c r="C1045" s="1366">
        <v>-4.6427999999999997E-2</v>
      </c>
      <c r="D1045" s="1366">
        <v>1.9E-3</v>
      </c>
      <c r="E1045" s="1366">
        <v>2.9166666666666668E-3</v>
      </c>
      <c r="F1045" s="1366">
        <v>2.9750000000000002E-3</v>
      </c>
      <c r="G1045" s="1366">
        <v>2.9458333333333333E-3</v>
      </c>
      <c r="H1045" s="1366">
        <v>3.1999999999999997E-3</v>
      </c>
      <c r="I1045" s="1366">
        <f t="shared" si="48"/>
        <v>3.8999999999999998E-3</v>
      </c>
      <c r="J1045" s="1366">
        <f t="shared" si="46"/>
        <v>2.8541666666666663E-3</v>
      </c>
      <c r="K1045" s="1366">
        <f t="shared" si="47"/>
        <v>-4.9627999999999999E-2</v>
      </c>
    </row>
    <row r="1046" spans="1:11" x14ac:dyDescent="0.55000000000000004">
      <c r="A1046" s="295">
        <v>41244</v>
      </c>
      <c r="B1046" s="5">
        <v>9.1000000000000004E-3</v>
      </c>
      <c r="C1046" s="1366">
        <v>1.108E-3</v>
      </c>
      <c r="D1046" s="1366">
        <v>1.9E-3</v>
      </c>
      <c r="E1046" s="1366">
        <v>3.0416666666666665E-3</v>
      </c>
      <c r="F1046" s="1366">
        <v>3.0833333333333333E-3</v>
      </c>
      <c r="G1046" s="1366">
        <v>3.0625000000000001E-3</v>
      </c>
      <c r="H1046" s="1366">
        <v>3.3333333333333335E-3</v>
      </c>
      <c r="I1046" s="1366">
        <f t="shared" si="48"/>
        <v>7.2000000000000007E-3</v>
      </c>
      <c r="J1046" s="1366">
        <f t="shared" si="46"/>
        <v>6.0375000000000003E-3</v>
      </c>
      <c r="K1046" s="1366">
        <f t="shared" si="47"/>
        <v>-2.2253333333333335E-3</v>
      </c>
    </row>
    <row r="1047" spans="1:11" x14ac:dyDescent="0.55000000000000004">
      <c r="A1047" s="295">
        <v>41275</v>
      </c>
      <c r="B1047" s="5">
        <v>5.1799999999999999E-2</v>
      </c>
      <c r="C1047" s="1366">
        <v>3.5099999999999999E-2</v>
      </c>
      <c r="D1047" s="1366">
        <v>2.2000000000000001E-3</v>
      </c>
      <c r="E1047" s="1366">
        <v>3.1666666666666666E-3</v>
      </c>
      <c r="F1047" s="1366">
        <v>3.225E-3</v>
      </c>
      <c r="G1047" s="1366">
        <v>3.1958333333333335E-3</v>
      </c>
      <c r="H1047" s="1366">
        <v>3.4583333333333337E-3</v>
      </c>
      <c r="I1047" s="1366">
        <f t="shared" si="48"/>
        <v>4.9599999999999998E-2</v>
      </c>
      <c r="J1047" s="1366">
        <f t="shared" si="46"/>
        <v>4.8604166666666664E-2</v>
      </c>
      <c r="K1047" s="1366">
        <f t="shared" si="47"/>
        <v>3.1641666666666665E-2</v>
      </c>
    </row>
    <row r="1048" spans="1:11" x14ac:dyDescent="0.55000000000000004">
      <c r="A1048" s="295">
        <v>41306</v>
      </c>
      <c r="B1048" s="5">
        <v>1.3599999999999999E-2</v>
      </c>
      <c r="C1048" s="1366">
        <v>3.39E-2</v>
      </c>
      <c r="D1048" s="1366">
        <v>2.2000000000000001E-3</v>
      </c>
      <c r="E1048" s="1366">
        <v>3.2499999999999999E-3</v>
      </c>
      <c r="F1048" s="1366">
        <v>3.2916666666666667E-3</v>
      </c>
      <c r="G1048" s="1366">
        <v>3.2708333333333331E-3</v>
      </c>
      <c r="H1048" s="1366">
        <v>3.4833333333333331E-3</v>
      </c>
      <c r="I1048" s="1366">
        <f t="shared" si="48"/>
        <v>1.1399999999999999E-2</v>
      </c>
      <c r="J1048" s="1366">
        <f t="shared" si="46"/>
        <v>1.0329166666666667E-2</v>
      </c>
      <c r="K1048" s="1366">
        <f t="shared" si="47"/>
        <v>3.0416666666666668E-2</v>
      </c>
    </row>
    <row r="1049" spans="1:11" x14ac:dyDescent="0.55000000000000004">
      <c r="A1049" s="295">
        <v>41334</v>
      </c>
      <c r="B1049" s="5">
        <v>3.7499999999999999E-2</v>
      </c>
      <c r="C1049" s="1366">
        <v>5.3999999999999999E-2</v>
      </c>
      <c r="D1049" s="1366">
        <v>2.0999999999999999E-3</v>
      </c>
      <c r="E1049" s="1366">
        <v>3.1666666666666666E-3</v>
      </c>
      <c r="F1049" s="1366">
        <v>3.225E-3</v>
      </c>
      <c r="G1049" s="1366">
        <v>3.1958333333333335E-3</v>
      </c>
      <c r="H1049" s="1366">
        <v>3.4583333333333337E-3</v>
      </c>
      <c r="I1049" s="1366">
        <f t="shared" si="48"/>
        <v>3.5400000000000001E-2</v>
      </c>
      <c r="J1049" s="1366">
        <f t="shared" si="46"/>
        <v>3.4304166666666663E-2</v>
      </c>
      <c r="K1049" s="1366">
        <f t="shared" si="47"/>
        <v>5.0541666666666665E-2</v>
      </c>
    </row>
    <row r="1050" spans="1:11" x14ac:dyDescent="0.55000000000000004">
      <c r="A1050" s="295">
        <v>41365</v>
      </c>
      <c r="B1050" s="5">
        <v>1.9300000000000001E-2</v>
      </c>
      <c r="C1050" s="1366">
        <v>5.8999999999999997E-2</v>
      </c>
      <c r="D1050" s="1366">
        <v>2.5999999999999999E-3</v>
      </c>
      <c r="E1050" s="1366">
        <v>3.1083333333333332E-3</v>
      </c>
      <c r="F1050" s="1366">
        <v>3.1416666666666663E-3</v>
      </c>
      <c r="G1050" s="1366">
        <v>3.1249999999999997E-3</v>
      </c>
      <c r="H1050" s="1366">
        <v>3.3333333333333335E-3</v>
      </c>
      <c r="I1050" s="1366">
        <f t="shared" si="48"/>
        <v>1.67E-2</v>
      </c>
      <c r="J1050" s="1366">
        <f t="shared" si="46"/>
        <v>1.6175000000000002E-2</v>
      </c>
      <c r="K1050" s="1366">
        <f t="shared" si="47"/>
        <v>5.5666666666666663E-2</v>
      </c>
    </row>
    <row r="1051" spans="1:11" x14ac:dyDescent="0.55000000000000004">
      <c r="A1051" s="295">
        <v>41395</v>
      </c>
      <c r="B1051" s="5">
        <v>2.3400000000000001E-2</v>
      </c>
      <c r="C1051" s="1366">
        <v>-8.9599999999999999E-2</v>
      </c>
      <c r="D1051" s="1366">
        <v>2.3E-3</v>
      </c>
      <c r="E1051" s="1366">
        <v>3.2416666666666666E-3</v>
      </c>
      <c r="F1051" s="1366">
        <v>3.283333333333333E-3</v>
      </c>
      <c r="G1051" s="1366">
        <v>3.2624999999999998E-3</v>
      </c>
      <c r="H1051" s="1366">
        <v>3.4750000000000002E-3</v>
      </c>
      <c r="I1051" s="1366">
        <f t="shared" si="48"/>
        <v>2.1100000000000001E-2</v>
      </c>
      <c r="J1051" s="1366">
        <f t="shared" ref="J1051:J1114" si="49">B1051-G1051</f>
        <v>2.0137500000000003E-2</v>
      </c>
      <c r="K1051" s="1366">
        <f t="shared" ref="K1051:K1075" si="50">$C1051-H1051</f>
        <v>-9.3075000000000005E-2</v>
      </c>
    </row>
    <row r="1052" spans="1:11" x14ac:dyDescent="0.55000000000000004">
      <c r="A1052" s="295">
        <v>41426</v>
      </c>
      <c r="B1052" s="5">
        <v>-1.34E-2</v>
      </c>
      <c r="C1052" s="1366">
        <v>1.14E-2</v>
      </c>
      <c r="D1052" s="1366">
        <v>2.3999999999999998E-3</v>
      </c>
      <c r="E1052" s="1366">
        <v>3.5583333333333335E-3</v>
      </c>
      <c r="F1052" s="1366">
        <v>3.6000000000000003E-3</v>
      </c>
      <c r="G1052" s="1366">
        <v>3.5791666666666671E-3</v>
      </c>
      <c r="H1052" s="1366">
        <v>3.7750000000000001E-3</v>
      </c>
      <c r="I1052" s="1366">
        <f t="shared" si="48"/>
        <v>-1.5800000000000002E-2</v>
      </c>
      <c r="J1052" s="1366">
        <f t="shared" si="49"/>
        <v>-1.6979166666666667E-2</v>
      </c>
      <c r="K1052" s="1366">
        <f t="shared" si="50"/>
        <v>7.6249999999999998E-3</v>
      </c>
    </row>
    <row r="1053" spans="1:11" x14ac:dyDescent="0.55000000000000004">
      <c r="A1053" s="295">
        <v>41456</v>
      </c>
      <c r="B1053" s="5">
        <v>5.0900000000000001E-2</v>
      </c>
      <c r="C1053" s="1366">
        <v>3.85E-2</v>
      </c>
      <c r="D1053" s="1366">
        <v>3.0000000000000001E-3</v>
      </c>
      <c r="E1053" s="1366">
        <v>3.6166666666666669E-3</v>
      </c>
      <c r="F1053" s="1366">
        <v>3.7166666666666667E-3</v>
      </c>
      <c r="G1053" s="1366">
        <v>3.666666666666667E-3</v>
      </c>
      <c r="H1053" s="1366">
        <v>3.9000000000000003E-3</v>
      </c>
      <c r="I1053" s="1366">
        <f t="shared" si="48"/>
        <v>4.7899999999999998E-2</v>
      </c>
      <c r="J1053" s="1366">
        <f t="shared" si="49"/>
        <v>4.7233333333333336E-2</v>
      </c>
      <c r="K1053" s="1366">
        <f t="shared" si="50"/>
        <v>3.4599999999999999E-2</v>
      </c>
    </row>
    <row r="1054" spans="1:11" x14ac:dyDescent="0.55000000000000004">
      <c r="A1054" s="295">
        <v>41487</v>
      </c>
      <c r="B1054" s="5">
        <v>-2.9000000000000001E-2</v>
      </c>
      <c r="C1054" s="1366">
        <v>-0.05</v>
      </c>
      <c r="D1054" s="1366">
        <v>2.8E-3</v>
      </c>
      <c r="E1054" s="1366">
        <v>3.7833333333333334E-3</v>
      </c>
      <c r="F1054" s="1366">
        <v>3.8583333333333334E-3</v>
      </c>
      <c r="G1054" s="1366">
        <v>3.8208333333333332E-3</v>
      </c>
      <c r="H1054" s="1366">
        <v>3.9416666666666671E-3</v>
      </c>
      <c r="I1054" s="1366">
        <f t="shared" si="48"/>
        <v>-3.1800000000000002E-2</v>
      </c>
      <c r="J1054" s="1366">
        <f t="shared" si="49"/>
        <v>-3.2820833333333334E-2</v>
      </c>
      <c r="K1054" s="1366">
        <f t="shared" si="50"/>
        <v>-5.3941666666666672E-2</v>
      </c>
    </row>
    <row r="1055" spans="1:11" x14ac:dyDescent="0.55000000000000004">
      <c r="A1055" s="295">
        <v>41518</v>
      </c>
      <c r="B1055" s="5">
        <v>3.1399999999999997E-2</v>
      </c>
      <c r="C1055" s="1366">
        <v>1.0800000000000001E-2</v>
      </c>
      <c r="D1055" s="1366">
        <v>2.8999999999999998E-3</v>
      </c>
      <c r="E1055" s="1366">
        <v>3.8666666666666663E-3</v>
      </c>
      <c r="F1055" s="1366">
        <v>3.9083333333333331E-3</v>
      </c>
      <c r="G1055" s="1366">
        <v>3.8874999999999995E-3</v>
      </c>
      <c r="H1055" s="1366">
        <v>4.0000000000000001E-3</v>
      </c>
      <c r="I1055" s="1366">
        <f t="shared" si="48"/>
        <v>2.8499999999999998E-2</v>
      </c>
      <c r="J1055" s="1366">
        <f t="shared" si="49"/>
        <v>2.7512499999999999E-2</v>
      </c>
      <c r="K1055" s="1366">
        <f t="shared" si="50"/>
        <v>6.8000000000000005E-3</v>
      </c>
    </row>
    <row r="1056" spans="1:11" x14ac:dyDescent="0.55000000000000004">
      <c r="A1056" s="295">
        <v>41548</v>
      </c>
      <c r="B1056" s="5">
        <v>4.5999999999999999E-2</v>
      </c>
      <c r="C1056" s="1366">
        <v>3.7699999999999997E-2</v>
      </c>
      <c r="D1056" s="1366">
        <v>2.8999999999999998E-3</v>
      </c>
      <c r="E1056" s="1366">
        <v>3.7750000000000001E-3</v>
      </c>
      <c r="F1056" s="1366">
        <v>3.8250000000000003E-3</v>
      </c>
      <c r="G1056" s="1366">
        <v>3.8000000000000004E-3</v>
      </c>
      <c r="H1056" s="1366">
        <v>3.9166666666666664E-3</v>
      </c>
      <c r="I1056" s="1366">
        <f t="shared" si="48"/>
        <v>4.3099999999999999E-2</v>
      </c>
      <c r="J1056" s="1366">
        <f t="shared" si="49"/>
        <v>4.2200000000000001E-2</v>
      </c>
      <c r="K1056" s="1366">
        <f t="shared" si="50"/>
        <v>3.3783333333333332E-2</v>
      </c>
    </row>
    <row r="1057" spans="1:11" x14ac:dyDescent="0.55000000000000004">
      <c r="A1057" s="295">
        <v>41579</v>
      </c>
      <c r="B1057" s="5">
        <v>3.0499999999999999E-2</v>
      </c>
      <c r="C1057" s="1366">
        <v>-1.9900000000000001E-2</v>
      </c>
      <c r="D1057" s="1366">
        <v>2.7000000000000001E-3</v>
      </c>
      <c r="E1057" s="1366">
        <v>3.8583333333333334E-3</v>
      </c>
      <c r="F1057" s="1366">
        <v>3.8916666666666665E-3</v>
      </c>
      <c r="G1057" s="1366">
        <v>3.875E-3</v>
      </c>
      <c r="H1057" s="1366">
        <v>3.9750000000000002E-3</v>
      </c>
      <c r="I1057" s="1366">
        <f t="shared" si="48"/>
        <v>2.7799999999999998E-2</v>
      </c>
      <c r="J1057" s="1366">
        <f t="shared" si="49"/>
        <v>2.6624999999999999E-2</v>
      </c>
      <c r="K1057" s="1366">
        <f t="shared" si="50"/>
        <v>-2.3875E-2</v>
      </c>
    </row>
    <row r="1058" spans="1:11" x14ac:dyDescent="0.55000000000000004">
      <c r="A1058" s="295">
        <v>41609</v>
      </c>
      <c r="B1058" s="5">
        <v>2.53E-2</v>
      </c>
      <c r="C1058" s="1366">
        <v>7.6E-3</v>
      </c>
      <c r="D1058" s="1366">
        <v>3.0999999999999999E-3</v>
      </c>
      <c r="E1058" s="1366">
        <v>3.8499999999999997E-3</v>
      </c>
      <c r="F1058" s="1366">
        <v>3.9000000000000003E-3</v>
      </c>
      <c r="G1058" s="1366">
        <v>3.875E-3</v>
      </c>
      <c r="H1058" s="1366">
        <v>4.0083333333333334E-3</v>
      </c>
      <c r="I1058" s="1366">
        <f t="shared" si="48"/>
        <v>2.2200000000000001E-2</v>
      </c>
      <c r="J1058" s="1366">
        <f t="shared" si="49"/>
        <v>2.1425E-2</v>
      </c>
      <c r="K1058" s="1366">
        <f t="shared" si="50"/>
        <v>3.5916666666666666E-3</v>
      </c>
    </row>
    <row r="1059" spans="1:11" x14ac:dyDescent="0.55000000000000004">
      <c r="A1059" s="295">
        <v>41640</v>
      </c>
      <c r="B1059" s="5">
        <v>-3.4599999999999999E-2</v>
      </c>
      <c r="C1059" s="1366">
        <v>2.81E-2</v>
      </c>
      <c r="D1059" s="1366">
        <v>3.2000000000000002E-3</v>
      </c>
      <c r="E1059" s="1366">
        <v>3.741666666666667E-3</v>
      </c>
      <c r="F1059" s="1366">
        <v>3.7750000000000001E-3</v>
      </c>
      <c r="G1059" s="1366">
        <v>3.7583333333333336E-3</v>
      </c>
      <c r="H1059" s="1366">
        <v>3.8583333333333334E-3</v>
      </c>
      <c r="I1059" s="1366">
        <f t="shared" si="48"/>
        <v>-3.78E-2</v>
      </c>
      <c r="J1059" s="1366">
        <f t="shared" si="49"/>
        <v>-3.8358333333333335E-2</v>
      </c>
      <c r="K1059" s="1366">
        <f t="shared" si="50"/>
        <v>2.4241666666666668E-2</v>
      </c>
    </row>
    <row r="1060" spans="1:11" x14ac:dyDescent="0.55000000000000004">
      <c r="A1060" s="295">
        <v>41671</v>
      </c>
      <c r="B1060" s="5">
        <v>4.5699999999999998E-2</v>
      </c>
      <c r="C1060" s="1366">
        <v>3.3500000000000002E-2</v>
      </c>
      <c r="D1060" s="1366">
        <v>2.5999999999999999E-3</v>
      </c>
      <c r="E1060" s="1366">
        <v>3.708333333333333E-3</v>
      </c>
      <c r="F1060" s="1366">
        <v>3.7166666666666667E-3</v>
      </c>
      <c r="G1060" s="1366">
        <v>3.7124999999999997E-3</v>
      </c>
      <c r="H1060" s="1366">
        <v>3.7750000000000001E-3</v>
      </c>
      <c r="I1060" s="1366">
        <f t="shared" si="48"/>
        <v>4.3099999999999999E-2</v>
      </c>
      <c r="J1060" s="1366">
        <f t="shared" si="49"/>
        <v>4.1987499999999997E-2</v>
      </c>
      <c r="K1060" s="1366">
        <f t="shared" si="50"/>
        <v>2.9725000000000001E-2</v>
      </c>
    </row>
    <row r="1061" spans="1:11" x14ac:dyDescent="0.55000000000000004">
      <c r="A1061" s="295">
        <v>41699</v>
      </c>
      <c r="B1061" s="1366">
        <v>8.3999999999999995E-3</v>
      </c>
      <c r="C1061" s="1366">
        <v>3.3700000000000001E-2</v>
      </c>
      <c r="D1061" s="1366">
        <v>2.8999999999999998E-3</v>
      </c>
      <c r="E1061" s="1366">
        <v>3.65E-3</v>
      </c>
      <c r="F1061" s="1366">
        <v>3.7000000000000002E-3</v>
      </c>
      <c r="G1061" s="1366">
        <v>3.6750000000000003E-3</v>
      </c>
      <c r="H1061" s="1368">
        <v>3.7583333333333336E-3</v>
      </c>
      <c r="I1061" s="1366">
        <f t="shared" si="48"/>
        <v>5.4999999999999997E-3</v>
      </c>
      <c r="J1061" s="1366">
        <f t="shared" si="49"/>
        <v>4.7249999999999992E-3</v>
      </c>
      <c r="K1061" s="1366">
        <f t="shared" si="50"/>
        <v>2.9941666666666669E-2</v>
      </c>
    </row>
    <row r="1062" spans="1:11" x14ac:dyDescent="0.55000000000000004">
      <c r="A1062" s="295">
        <v>41730</v>
      </c>
      <c r="B1062" s="5">
        <v>7.4000000000000003E-3</v>
      </c>
      <c r="C1062" s="1366">
        <v>4.2599999999999999E-2</v>
      </c>
      <c r="D1062" s="1366">
        <v>2.8E-3</v>
      </c>
      <c r="E1062" s="1366">
        <v>3.5333333333333332E-3</v>
      </c>
      <c r="F1062" s="1366">
        <v>3.6083333333333332E-3</v>
      </c>
      <c r="G1062" s="1366">
        <v>3.570833333333333E-3</v>
      </c>
      <c r="H1062" s="1368">
        <v>3.6749999999999999E-3</v>
      </c>
      <c r="I1062" s="1366">
        <f t="shared" si="48"/>
        <v>4.5999999999999999E-3</v>
      </c>
      <c r="J1062" s="1366">
        <f t="shared" si="49"/>
        <v>3.8291666666666673E-3</v>
      </c>
      <c r="K1062" s="1366">
        <f t="shared" si="50"/>
        <v>3.8925000000000001E-2</v>
      </c>
    </row>
    <row r="1063" spans="1:11" x14ac:dyDescent="0.55000000000000004">
      <c r="A1063" s="302">
        <v>41760</v>
      </c>
      <c r="B1063" s="5">
        <v>2.35E-2</v>
      </c>
      <c r="C1063" s="1366">
        <v>-1.0500000000000001E-2</v>
      </c>
      <c r="D1063" s="1366">
        <v>2.8E-3</v>
      </c>
      <c r="E1063" s="1366">
        <v>3.4666666666666665E-3</v>
      </c>
      <c r="F1063" s="1366">
        <v>3.5000000000000001E-3</v>
      </c>
      <c r="G1063" s="1366">
        <v>3.4833333333333331E-3</v>
      </c>
      <c r="H1063" s="1368">
        <v>3.5499999999999998E-3</v>
      </c>
      <c r="I1063" s="1366">
        <f t="shared" si="48"/>
        <v>2.07E-2</v>
      </c>
      <c r="J1063" s="1366">
        <f t="shared" si="49"/>
        <v>2.0016666666666669E-2</v>
      </c>
      <c r="K1063" s="1366">
        <f t="shared" si="50"/>
        <v>-1.405E-2</v>
      </c>
    </row>
    <row r="1064" spans="1:11" x14ac:dyDescent="0.55000000000000004">
      <c r="A1064" s="302">
        <v>41791</v>
      </c>
      <c r="B1064" s="5">
        <v>2.07E-2</v>
      </c>
      <c r="C1064" s="1366">
        <v>4.48E-2</v>
      </c>
      <c r="D1064" s="1366">
        <v>2.5000000000000001E-3</v>
      </c>
      <c r="E1064" s="1366">
        <v>3.5416666666666669E-3</v>
      </c>
      <c r="F1064" s="1366">
        <v>3.5499999999999998E-3</v>
      </c>
      <c r="G1064" s="1366">
        <v>3.5458333333333331E-3</v>
      </c>
      <c r="H1064" s="1368">
        <v>3.5750000000000001E-3</v>
      </c>
      <c r="I1064" s="1366">
        <f t="shared" si="48"/>
        <v>1.8200000000000001E-2</v>
      </c>
      <c r="J1064" s="1366">
        <f t="shared" si="49"/>
        <v>1.7154166666666665E-2</v>
      </c>
      <c r="K1064" s="1366">
        <f t="shared" si="50"/>
        <v>4.1224999999999998E-2</v>
      </c>
    </row>
    <row r="1065" spans="1:11" x14ac:dyDescent="0.55000000000000004">
      <c r="A1065" s="302">
        <v>41821</v>
      </c>
      <c r="B1065" s="5">
        <v>-1.38E-2</v>
      </c>
      <c r="C1065" s="1366">
        <v>-6.8000000000000005E-2</v>
      </c>
      <c r="D1065" s="1366">
        <v>2.7000000000000001E-3</v>
      </c>
      <c r="E1065" s="1366">
        <v>3.4666666666666665E-3</v>
      </c>
      <c r="F1065" s="1366">
        <v>3.5000000000000001E-3</v>
      </c>
      <c r="G1065" s="1366">
        <v>3.4833333333333331E-3</v>
      </c>
      <c r="H1065" s="1368">
        <v>3.5249999999999999E-3</v>
      </c>
      <c r="I1065" s="1366">
        <f t="shared" si="48"/>
        <v>-1.6500000000000001E-2</v>
      </c>
      <c r="J1065" s="1366">
        <f t="shared" si="49"/>
        <v>-1.7283333333333331E-2</v>
      </c>
      <c r="K1065" s="1366">
        <f t="shared" si="50"/>
        <v>-7.1525000000000005E-2</v>
      </c>
    </row>
    <row r="1066" spans="1:11" x14ac:dyDescent="0.55000000000000004">
      <c r="A1066" s="302">
        <v>41852</v>
      </c>
      <c r="B1066" s="5">
        <v>0.04</v>
      </c>
      <c r="C1066" s="1366">
        <v>4.9500000000000002E-2</v>
      </c>
      <c r="D1066" s="1366">
        <v>2.5999999999999999E-3</v>
      </c>
      <c r="E1066" s="1366">
        <v>3.4000000000000002E-3</v>
      </c>
      <c r="F1066" s="1366">
        <v>3.4166666666666668E-3</v>
      </c>
      <c r="G1066" s="1366">
        <v>3.4083333333333335E-3</v>
      </c>
      <c r="H1066" s="1368">
        <v>3.4416666666666671E-3</v>
      </c>
      <c r="I1066" s="1366">
        <f t="shared" si="48"/>
        <v>3.7400000000000003E-2</v>
      </c>
      <c r="J1066" s="1366">
        <f t="shared" si="49"/>
        <v>3.6591666666666668E-2</v>
      </c>
      <c r="K1066" s="1366">
        <f t="shared" si="50"/>
        <v>4.6058333333333333E-2</v>
      </c>
    </row>
    <row r="1067" spans="1:11" x14ac:dyDescent="0.55000000000000004">
      <c r="A1067" s="302">
        <v>41883</v>
      </c>
      <c r="B1067" s="5">
        <v>-1.4E-2</v>
      </c>
      <c r="C1067" s="1366">
        <v>-1.8599999999999998E-2</v>
      </c>
      <c r="D1067" s="1366">
        <v>2.3E-3</v>
      </c>
      <c r="E1067" s="1366">
        <v>3.4249999999999997E-3</v>
      </c>
      <c r="F1067" s="1366">
        <v>3.4916666666666668E-3</v>
      </c>
      <c r="G1067" s="1366">
        <v>3.4583333333333332E-3</v>
      </c>
      <c r="H1067" s="1368">
        <v>3.5333333333333332E-3</v>
      </c>
      <c r="I1067" s="1366">
        <f t="shared" si="48"/>
        <v>-1.6300000000000002E-2</v>
      </c>
      <c r="J1067" s="1366">
        <f t="shared" si="49"/>
        <v>-1.7458333333333333E-2</v>
      </c>
      <c r="K1067" s="1366">
        <f t="shared" si="50"/>
        <v>-2.2133333333333331E-2</v>
      </c>
    </row>
    <row r="1068" spans="1:11" x14ac:dyDescent="0.55000000000000004">
      <c r="A1068" s="302">
        <v>41913</v>
      </c>
      <c r="B1068" s="5">
        <v>2.4400000000000002E-2</v>
      </c>
      <c r="C1068" s="1366">
        <v>8.0199999999999994E-2</v>
      </c>
      <c r="D1068" s="1366">
        <v>2.5000000000000001E-3</v>
      </c>
      <c r="E1068" s="1366">
        <v>3.2666666666666664E-3</v>
      </c>
      <c r="F1068" s="1366">
        <v>3.3249999999999998E-3</v>
      </c>
      <c r="G1068" s="1366">
        <v>3.2958333333333329E-3</v>
      </c>
      <c r="H1068" s="1368">
        <v>3.3833333333333332E-3</v>
      </c>
      <c r="I1068" s="1366">
        <f t="shared" si="48"/>
        <v>2.1900000000000003E-2</v>
      </c>
      <c r="J1068" s="1366">
        <f t="shared" si="49"/>
        <v>2.1104166666666667E-2</v>
      </c>
      <c r="K1068" s="1366">
        <f t="shared" si="50"/>
        <v>7.6816666666666658E-2</v>
      </c>
    </row>
    <row r="1069" spans="1:11" x14ac:dyDescent="0.55000000000000004">
      <c r="A1069" s="302">
        <v>41944</v>
      </c>
      <c r="B1069" s="5">
        <v>2.69E-2</v>
      </c>
      <c r="C1069" s="1366">
        <v>1.2E-2</v>
      </c>
      <c r="D1069" s="1366">
        <v>2.3E-3</v>
      </c>
      <c r="E1069" s="1366">
        <v>3.2666666666666664E-3</v>
      </c>
      <c r="F1069" s="1366">
        <v>3.3666666666666667E-3</v>
      </c>
      <c r="G1069" s="1366">
        <v>3.3166666666666665E-3</v>
      </c>
      <c r="H1069" s="1368">
        <v>3.4083333333333331E-3</v>
      </c>
      <c r="I1069" s="1366">
        <f t="shared" si="48"/>
        <v>2.46E-2</v>
      </c>
      <c r="J1069" s="1366">
        <f t="shared" si="49"/>
        <v>2.3583333333333335E-2</v>
      </c>
      <c r="K1069" s="1366">
        <f t="shared" si="50"/>
        <v>8.5916666666666676E-3</v>
      </c>
    </row>
    <row r="1070" spans="1:11" x14ac:dyDescent="0.55000000000000004">
      <c r="A1070" s="302">
        <v>41974</v>
      </c>
      <c r="B1070" s="5">
        <v>-2.5000000000000001E-3</v>
      </c>
      <c r="C1070" s="1366">
        <v>3.5000000000000003E-2</v>
      </c>
      <c r="D1070" s="1366">
        <v>2.2000000000000001E-3</v>
      </c>
      <c r="E1070" s="1366">
        <v>3.1583333333333337E-3</v>
      </c>
      <c r="F1070" s="1366">
        <v>3.2416666666666666E-3</v>
      </c>
      <c r="G1070" s="1366">
        <v>3.2000000000000002E-3</v>
      </c>
      <c r="H1070" s="1368">
        <v>3.2916666666666667E-3</v>
      </c>
      <c r="I1070" s="1366">
        <f t="shared" si="48"/>
        <v>-4.7000000000000002E-3</v>
      </c>
      <c r="J1070" s="1366">
        <f t="shared" si="49"/>
        <v>-5.7000000000000002E-3</v>
      </c>
      <c r="K1070" s="1366">
        <f t="shared" si="50"/>
        <v>3.1708333333333338E-2</v>
      </c>
    </row>
    <row r="1071" spans="1:11" x14ac:dyDescent="0.55000000000000004">
      <c r="A1071" s="302">
        <v>42005</v>
      </c>
      <c r="B1071" s="1366">
        <v>-0.03</v>
      </c>
      <c r="C1071" s="1366">
        <v>2.3300000000000001E-2</v>
      </c>
      <c r="D1071" s="1366">
        <v>2E-3</v>
      </c>
      <c r="E1071" s="1366">
        <v>2.8833333333333332E-3</v>
      </c>
      <c r="F1071" s="1366">
        <v>2.9499999999999999E-3</v>
      </c>
      <c r="G1071" s="1366">
        <v>2.9166666666666664E-3</v>
      </c>
      <c r="H1071" s="1368">
        <v>2.9833333333333331E-3</v>
      </c>
      <c r="I1071" s="1366">
        <f t="shared" si="48"/>
        <v>-3.2000000000000001E-2</v>
      </c>
      <c r="J1071" s="1366">
        <f t="shared" si="49"/>
        <v>-3.2916666666666664E-2</v>
      </c>
      <c r="K1071" s="1366">
        <f t="shared" si="50"/>
        <v>2.0316666666666667E-2</v>
      </c>
    </row>
    <row r="1072" spans="1:11" x14ac:dyDescent="0.55000000000000004">
      <c r="A1072" s="302">
        <v>42036</v>
      </c>
      <c r="B1072" s="5">
        <v>5.7500000000000002E-2</v>
      </c>
      <c r="C1072" s="1366">
        <v>-6.3299999999999995E-2</v>
      </c>
      <c r="D1072" s="1366">
        <v>1.5E-3</v>
      </c>
      <c r="E1072" s="1366">
        <v>3.0083333333333333E-3</v>
      </c>
      <c r="F1072" s="1366">
        <v>3.0333333333333336E-3</v>
      </c>
      <c r="G1072" s="1366">
        <v>3.0208333333333337E-3</v>
      </c>
      <c r="H1072" s="1368">
        <v>3.0583333333333335E-3</v>
      </c>
      <c r="I1072" s="1366">
        <f t="shared" si="48"/>
        <v>5.6000000000000001E-2</v>
      </c>
      <c r="J1072" s="1366">
        <f t="shared" si="49"/>
        <v>5.4479166666666669E-2</v>
      </c>
      <c r="K1072" s="1366">
        <f t="shared" si="50"/>
        <v>-6.6358333333333325E-2</v>
      </c>
    </row>
    <row r="1073" spans="1:11" x14ac:dyDescent="0.55000000000000004">
      <c r="A1073" s="302">
        <v>42064</v>
      </c>
      <c r="B1073" s="5">
        <v>-1.5800000000000002E-2</v>
      </c>
      <c r="C1073" s="1366">
        <v>-4.8999999999999998E-3</v>
      </c>
      <c r="D1073" s="1366">
        <v>2.0999999999999999E-3</v>
      </c>
      <c r="E1073" s="1366">
        <v>3.0333333333333336E-3</v>
      </c>
      <c r="F1073" s="1366">
        <v>3.0833333333333333E-3</v>
      </c>
      <c r="G1073" s="1366">
        <v>3.0583333333333335E-3</v>
      </c>
      <c r="H1073" s="1368">
        <v>3.1166666666666669E-3</v>
      </c>
      <c r="I1073" s="1366">
        <f t="shared" si="48"/>
        <v>-1.7900000000000003E-2</v>
      </c>
      <c r="J1073" s="1366">
        <f t="shared" si="49"/>
        <v>-1.8858333333333335E-2</v>
      </c>
      <c r="K1073" s="1366">
        <f t="shared" si="50"/>
        <v>-8.0166666666666667E-3</v>
      </c>
    </row>
    <row r="1074" spans="1:11" x14ac:dyDescent="0.55000000000000004">
      <c r="A1074" s="302">
        <v>42095</v>
      </c>
      <c r="B1074" s="5">
        <v>9.5999999999999992E-3</v>
      </c>
      <c r="C1074" s="1366">
        <v>-1.29E-2</v>
      </c>
      <c r="D1074" s="1366">
        <v>1.9E-3</v>
      </c>
      <c r="E1074" s="1366">
        <v>2.9333333333333334E-3</v>
      </c>
      <c r="F1074" s="1366">
        <v>3.0333333333333336E-3</v>
      </c>
      <c r="G1074" s="1366">
        <v>2.9833333333333335E-3</v>
      </c>
      <c r="H1074" s="1366">
        <v>3.1249999999999997E-3</v>
      </c>
      <c r="I1074" s="1366">
        <f t="shared" si="48"/>
        <v>7.6999999999999994E-3</v>
      </c>
      <c r="J1074" s="1366">
        <f t="shared" si="49"/>
        <v>6.6166666666666657E-3</v>
      </c>
      <c r="K1074" s="1366">
        <f t="shared" si="50"/>
        <v>-1.6025000000000001E-2</v>
      </c>
    </row>
    <row r="1075" spans="1:11" x14ac:dyDescent="0.55000000000000004">
      <c r="A1075" s="302">
        <v>42125</v>
      </c>
      <c r="B1075" s="5">
        <v>1.29E-2</v>
      </c>
      <c r="C1075" s="1366">
        <v>6.4999999999999997E-3</v>
      </c>
      <c r="D1075" s="1366">
        <v>2E-3</v>
      </c>
      <c r="E1075" s="1366">
        <v>3.316666666666667E-3</v>
      </c>
      <c r="F1075" s="1366">
        <v>3.4000000000000002E-3</v>
      </c>
      <c r="G1075" s="1366">
        <v>3.3583333333333338E-3</v>
      </c>
      <c r="H1075" s="1366">
        <v>3.4750000000000002E-3</v>
      </c>
      <c r="I1075" s="1366">
        <f t="shared" si="48"/>
        <v>1.09E-2</v>
      </c>
      <c r="J1075" s="1366">
        <f t="shared" si="49"/>
        <v>9.541666666666667E-3</v>
      </c>
      <c r="K1075" s="1366">
        <f t="shared" si="50"/>
        <v>3.0249999999999995E-3</v>
      </c>
    </row>
    <row r="1076" spans="1:11" x14ac:dyDescent="0.55000000000000004">
      <c r="A1076" s="302">
        <v>42156</v>
      </c>
      <c r="B1076" s="1366">
        <v>-1.9400000000000001E-2</v>
      </c>
      <c r="C1076" s="1366">
        <v>-0.06</v>
      </c>
      <c r="D1076" s="1366">
        <v>2.3E-3</v>
      </c>
      <c r="E1076" s="1366">
        <v>3.4916666666666668E-3</v>
      </c>
      <c r="F1076" s="1366">
        <v>3.5583333333333326E-3</v>
      </c>
      <c r="G1076" s="1366">
        <f t="shared" ref="G1076:G1107" si="51">AVERAGE(E1076:F1076)</f>
        <v>3.5249999999999995E-3</v>
      </c>
      <c r="H1076" s="1366">
        <v>3.6583333333333329E-3</v>
      </c>
      <c r="I1076" s="1366">
        <f t="shared" si="48"/>
        <v>-2.1700000000000001E-2</v>
      </c>
      <c r="J1076" s="1366">
        <f t="shared" si="49"/>
        <v>-2.2925000000000001E-2</v>
      </c>
      <c r="K1076" s="1366">
        <f t="shared" ref="K1076:K1107" si="52">C1076-H1076</f>
        <v>-6.3658333333333331E-2</v>
      </c>
    </row>
    <row r="1077" spans="1:11" x14ac:dyDescent="0.55000000000000004">
      <c r="A1077" s="302">
        <v>42186</v>
      </c>
      <c r="B1077" s="1366">
        <v>2.1000000000000001E-2</v>
      </c>
      <c r="C1077" s="1366">
        <v>4.8099999999999997E-2</v>
      </c>
      <c r="D1077" s="1366">
        <v>2.3999999999999998E-3</v>
      </c>
      <c r="E1077" s="1366">
        <v>3.4583333333333337E-3</v>
      </c>
      <c r="F1077" s="1366">
        <v>3.5416666666666669E-3</v>
      </c>
      <c r="G1077" s="1366">
        <f t="shared" si="51"/>
        <v>3.5000000000000005E-3</v>
      </c>
      <c r="H1077" s="1366">
        <v>3.666666666666667E-3</v>
      </c>
      <c r="I1077" s="1366">
        <f t="shared" si="48"/>
        <v>1.8600000000000002E-2</v>
      </c>
      <c r="J1077" s="1366">
        <f t="shared" si="49"/>
        <v>1.7500000000000002E-2</v>
      </c>
      <c r="K1077" s="1366">
        <f t="shared" si="52"/>
        <v>4.4433333333333332E-2</v>
      </c>
    </row>
    <row r="1078" spans="1:11" x14ac:dyDescent="0.55000000000000004">
      <c r="A1078" s="302">
        <v>42217</v>
      </c>
      <c r="B1078" s="1366">
        <v>-6.0299999999999999E-2</v>
      </c>
      <c r="C1078" s="1366">
        <v>-3.9699999999999999E-2</v>
      </c>
      <c r="D1078" s="1366">
        <v>2.2000000000000001E-3</v>
      </c>
      <c r="E1078" s="1366">
        <v>3.3666666666666667E-3</v>
      </c>
      <c r="F1078" s="1366">
        <v>3.4416666666666667E-3</v>
      </c>
      <c r="G1078" s="1366">
        <f t="shared" si="51"/>
        <v>3.4041666666666665E-3</v>
      </c>
      <c r="H1078" s="1366">
        <v>3.5416666666666669E-3</v>
      </c>
      <c r="I1078" s="1366">
        <f t="shared" si="48"/>
        <v>-6.25E-2</v>
      </c>
      <c r="J1078" s="1366">
        <f t="shared" si="49"/>
        <v>-6.3704166666666673E-2</v>
      </c>
      <c r="K1078" s="1366">
        <f t="shared" si="52"/>
        <v>-4.3241666666666664E-2</v>
      </c>
    </row>
    <row r="1079" spans="1:11" x14ac:dyDescent="0.55000000000000004">
      <c r="A1079" s="302">
        <v>42248</v>
      </c>
      <c r="B1079" s="1366">
        <v>-2.47E-2</v>
      </c>
      <c r="C1079" s="1366">
        <v>2.9000000000000001E-2</v>
      </c>
      <c r="D1079" s="1366">
        <v>2.0999999999999999E-3</v>
      </c>
      <c r="E1079" s="1366">
        <v>3.3916666666666665E-3</v>
      </c>
      <c r="F1079" s="1366">
        <v>3.5083333333333334E-3</v>
      </c>
      <c r="G1079" s="1366">
        <f t="shared" si="51"/>
        <v>3.4499999999999999E-3</v>
      </c>
      <c r="H1079" s="1366">
        <v>3.6583333333333329E-3</v>
      </c>
      <c r="I1079" s="1366">
        <f t="shared" si="48"/>
        <v>-2.6800000000000001E-2</v>
      </c>
      <c r="J1079" s="1366">
        <f t="shared" si="49"/>
        <v>-2.8150000000000001E-2</v>
      </c>
      <c r="K1079" s="1366">
        <f t="shared" si="52"/>
        <v>2.5341666666666669E-2</v>
      </c>
    </row>
    <row r="1080" spans="1:11" x14ac:dyDescent="0.55000000000000004">
      <c r="A1080" s="302">
        <v>42278</v>
      </c>
      <c r="B1080" s="1366">
        <v>8.4400000000000003E-2</v>
      </c>
      <c r="C1080" s="1366">
        <v>1.0800000000000001E-2</v>
      </c>
      <c r="D1080" s="1366">
        <v>2.0999999999999999E-3</v>
      </c>
      <c r="E1080" s="1366">
        <v>3.2916666666666667E-3</v>
      </c>
      <c r="F1080" s="1366">
        <v>3.4250000000000001E-3</v>
      </c>
      <c r="G1080" s="1366">
        <f t="shared" si="51"/>
        <v>3.3583333333333334E-3</v>
      </c>
      <c r="H1080" s="1366">
        <v>3.5750000000000001E-3</v>
      </c>
      <c r="I1080" s="1366">
        <f t="shared" si="48"/>
        <v>8.2299999999999998E-2</v>
      </c>
      <c r="J1080" s="1366">
        <f t="shared" si="49"/>
        <v>8.1041666666666665E-2</v>
      </c>
      <c r="K1080" s="1366">
        <f t="shared" si="52"/>
        <v>7.2250000000000005E-3</v>
      </c>
    </row>
    <row r="1081" spans="1:11" x14ac:dyDescent="0.55000000000000004">
      <c r="A1081" s="302">
        <v>42309</v>
      </c>
      <c r="B1081" s="1366">
        <v>3.0000000000000001E-3</v>
      </c>
      <c r="C1081" s="1366">
        <v>-2.1299999999999999E-2</v>
      </c>
      <c r="D1081" s="1366">
        <v>2.2000000000000001E-3</v>
      </c>
      <c r="E1081" s="1366">
        <v>3.3833333333333332E-3</v>
      </c>
      <c r="F1081" s="1366">
        <v>3.5083333333333334E-3</v>
      </c>
      <c r="G1081" s="1366">
        <f t="shared" si="51"/>
        <v>3.4458333333333333E-3</v>
      </c>
      <c r="H1081" s="1366">
        <v>3.666666666666667E-3</v>
      </c>
      <c r="I1081" s="1366">
        <f t="shared" si="48"/>
        <v>7.9999999999999993E-4</v>
      </c>
      <c r="J1081" s="1366">
        <f t="shared" si="49"/>
        <v>-4.4583333333333324E-4</v>
      </c>
      <c r="K1081" s="1366">
        <f t="shared" si="52"/>
        <v>-2.4966666666666665E-2</v>
      </c>
    </row>
    <row r="1082" spans="1:11" x14ac:dyDescent="0.55000000000000004">
      <c r="A1082" s="302">
        <v>42339</v>
      </c>
      <c r="B1082" s="1366">
        <v>-1.5800000000000002E-2</v>
      </c>
      <c r="C1082" s="1366">
        <v>2.1600000000000001E-2</v>
      </c>
      <c r="D1082" s="1366">
        <v>2.2000000000000001E-3</v>
      </c>
      <c r="E1082" s="1366">
        <v>3.3083333333333333E-3</v>
      </c>
      <c r="F1082" s="1366">
        <v>3.4666666666666669E-3</v>
      </c>
      <c r="G1082" s="1366">
        <f t="shared" si="51"/>
        <v>3.3874999999999999E-3</v>
      </c>
      <c r="H1082" s="1366">
        <v>3.6249999999999998E-3</v>
      </c>
      <c r="I1082" s="1366">
        <f t="shared" si="48"/>
        <v>-1.8000000000000002E-2</v>
      </c>
      <c r="J1082" s="1366">
        <f t="shared" si="49"/>
        <v>-1.9187500000000003E-2</v>
      </c>
      <c r="K1082" s="1366">
        <f t="shared" si="52"/>
        <v>1.7975000000000001E-2</v>
      </c>
    </row>
    <row r="1083" spans="1:11" x14ac:dyDescent="0.55000000000000004">
      <c r="A1083" s="302">
        <v>42370</v>
      </c>
      <c r="B1083" s="1366">
        <v>-4.9599999999999998E-2</v>
      </c>
      <c r="C1083" s="1366">
        <v>4.9222952667868664E-2</v>
      </c>
      <c r="D1083" s="1366">
        <v>2.0999999999999999E-3</v>
      </c>
      <c r="E1083" s="1366">
        <v>3.3333333333333331E-3</v>
      </c>
      <c r="F1083" s="1366">
        <v>3.4333333333333334E-3</v>
      </c>
      <c r="G1083" s="1366">
        <f t="shared" si="51"/>
        <v>3.3833333333333332E-3</v>
      </c>
      <c r="H1083" s="1366">
        <v>3.5583333333333326E-3</v>
      </c>
      <c r="I1083" s="1366">
        <f t="shared" si="48"/>
        <v>-5.1699999999999996E-2</v>
      </c>
      <c r="J1083" s="1366">
        <f t="shared" si="49"/>
        <v>-5.2983333333333334E-2</v>
      </c>
      <c r="K1083" s="1366">
        <f t="shared" si="52"/>
        <v>4.5664619334535334E-2</v>
      </c>
    </row>
    <row r="1084" spans="1:11" x14ac:dyDescent="0.55000000000000004">
      <c r="A1084" s="302">
        <v>42401</v>
      </c>
      <c r="B1084" s="1366">
        <v>-1.2999999999999999E-3</v>
      </c>
      <c r="C1084" s="1366">
        <v>1.94081804074543E-2</v>
      </c>
      <c r="D1084" s="1366">
        <v>2E-3</v>
      </c>
      <c r="E1084" s="1366">
        <v>3.3E-3</v>
      </c>
      <c r="F1084" s="1366">
        <v>3.3166666666666665E-3</v>
      </c>
      <c r="G1084" s="1366">
        <f t="shared" si="51"/>
        <v>3.3083333333333333E-3</v>
      </c>
      <c r="H1084" s="1366">
        <v>3.4250000000000001E-3</v>
      </c>
      <c r="I1084" s="1366">
        <f t="shared" si="48"/>
        <v>-3.3E-3</v>
      </c>
      <c r="J1084" s="1366">
        <f t="shared" si="49"/>
        <v>-4.6083333333333332E-3</v>
      </c>
      <c r="K1084" s="1366">
        <f t="shared" si="52"/>
        <v>1.5983180407454299E-2</v>
      </c>
    </row>
    <row r="1085" spans="1:11" x14ac:dyDescent="0.55000000000000004">
      <c r="A1085" s="302">
        <v>42430</v>
      </c>
      <c r="B1085" s="1366">
        <v>6.7799999999999999E-2</v>
      </c>
      <c r="C1085" s="1366">
        <v>8.14E-2</v>
      </c>
      <c r="D1085" s="1366">
        <v>1.8E-3</v>
      </c>
      <c r="E1085" s="1366">
        <v>3.1833333333333332E-3</v>
      </c>
      <c r="F1085" s="1366">
        <v>3.2583333333333336E-3</v>
      </c>
      <c r="G1085" s="1366">
        <f t="shared" si="51"/>
        <v>3.2208333333333334E-3</v>
      </c>
      <c r="H1085" s="1366">
        <v>3.4666666666666669E-3</v>
      </c>
      <c r="I1085" s="1366">
        <f t="shared" si="48"/>
        <v>6.6000000000000003E-2</v>
      </c>
      <c r="J1085" s="1366">
        <f t="shared" si="49"/>
        <v>6.457916666666666E-2</v>
      </c>
      <c r="K1085" s="1366">
        <f t="shared" si="52"/>
        <v>7.7933333333333327E-2</v>
      </c>
    </row>
    <row r="1086" spans="1:11" x14ac:dyDescent="0.55000000000000004">
      <c r="A1086" s="302">
        <v>42461</v>
      </c>
      <c r="B1086" s="1366">
        <v>3.8999999999999998E-3</v>
      </c>
      <c r="C1086" s="1366">
        <v>-2.41E-2</v>
      </c>
      <c r="D1086" s="1366">
        <v>1.6999999999999999E-3</v>
      </c>
      <c r="E1086" s="1366">
        <v>3.1833333333333332E-3</v>
      </c>
      <c r="F1086" s="1366">
        <v>3.2583333333333336E-3</v>
      </c>
      <c r="G1086" s="1366">
        <f t="shared" si="51"/>
        <v>3.2208333333333334E-3</v>
      </c>
      <c r="H1086" s="1366">
        <v>3.4666666666666669E-3</v>
      </c>
      <c r="I1086" s="1366">
        <f t="shared" si="48"/>
        <v>2.1999999999999997E-3</v>
      </c>
      <c r="J1086" s="1366">
        <f t="shared" si="49"/>
        <v>6.7916666666666646E-4</v>
      </c>
      <c r="K1086" s="1366">
        <f t="shared" si="52"/>
        <v>-2.7566666666666666E-2</v>
      </c>
    </row>
    <row r="1087" spans="1:11" x14ac:dyDescent="0.55000000000000004">
      <c r="A1087" s="302">
        <v>42491</v>
      </c>
      <c r="B1087" s="1366">
        <v>1.7999999999999999E-2</v>
      </c>
      <c r="C1087" s="1366">
        <v>1.5100000000000001E-2</v>
      </c>
      <c r="D1087" s="1366">
        <v>2E-3</v>
      </c>
      <c r="E1087" s="1366">
        <v>3.0416666666666665E-3</v>
      </c>
      <c r="F1087" s="1366">
        <v>3.0833333333333333E-3</v>
      </c>
      <c r="G1087" s="1366">
        <f t="shared" si="51"/>
        <v>3.0625000000000001E-3</v>
      </c>
      <c r="H1087" s="1366">
        <v>3.2750000000000001E-3</v>
      </c>
      <c r="I1087" s="1366">
        <f t="shared" si="48"/>
        <v>1.6E-2</v>
      </c>
      <c r="J1087" s="1366">
        <f t="shared" si="49"/>
        <v>1.4937499999999999E-2</v>
      </c>
      <c r="K1087" s="1366">
        <f t="shared" si="52"/>
        <v>1.1825E-2</v>
      </c>
    </row>
    <row r="1088" spans="1:11" x14ac:dyDescent="0.55000000000000004">
      <c r="A1088" s="302">
        <v>42522</v>
      </c>
      <c r="B1088" s="1366">
        <v>2.5999999999999999E-3</v>
      </c>
      <c r="C1088" s="1366">
        <v>7.7899999999999997E-2</v>
      </c>
      <c r="D1088" s="1366">
        <v>1.8E-3</v>
      </c>
      <c r="E1088" s="1366">
        <v>2.9166666666666668E-3</v>
      </c>
      <c r="F1088" s="1366">
        <v>3.0000000000000001E-3</v>
      </c>
      <c r="G1088" s="1366">
        <f t="shared" si="51"/>
        <v>2.9583333333333336E-3</v>
      </c>
      <c r="H1088" s="1366">
        <v>3.15E-3</v>
      </c>
      <c r="I1088" s="1366">
        <f t="shared" si="48"/>
        <v>7.9999999999999993E-4</v>
      </c>
      <c r="J1088" s="1366">
        <f t="shared" si="49"/>
        <v>-3.5833333333333377E-4</v>
      </c>
      <c r="K1088" s="1366">
        <f t="shared" si="52"/>
        <v>7.4749999999999997E-2</v>
      </c>
    </row>
    <row r="1089" spans="1:11" x14ac:dyDescent="0.55000000000000004">
      <c r="A1089" s="302">
        <v>42552</v>
      </c>
      <c r="B1089" s="1366">
        <v>3.6900000000000002E-2</v>
      </c>
      <c r="C1089" s="1366">
        <v>-8.0000000000000002E-3</v>
      </c>
      <c r="D1089" s="1366">
        <v>1.4E-3</v>
      </c>
      <c r="E1089" s="1366">
        <v>2.7333333333333337E-3</v>
      </c>
      <c r="F1089" s="1366">
        <v>2.8250000000000003E-3</v>
      </c>
      <c r="G1089" s="1366">
        <f t="shared" si="51"/>
        <v>2.7791666666666668E-3</v>
      </c>
      <c r="H1089" s="1366">
        <v>2.9749999999999998E-3</v>
      </c>
      <c r="I1089" s="1366">
        <f t="shared" si="48"/>
        <v>3.5500000000000004E-2</v>
      </c>
      <c r="J1089" s="1366">
        <f t="shared" si="49"/>
        <v>3.4120833333333336E-2</v>
      </c>
      <c r="K1089" s="1366">
        <f t="shared" si="52"/>
        <v>-1.0975E-2</v>
      </c>
    </row>
    <row r="1090" spans="1:11" x14ac:dyDescent="0.55000000000000004">
      <c r="A1090" s="302">
        <v>42583</v>
      </c>
      <c r="B1090" s="1366">
        <v>1.4E-3</v>
      </c>
      <c r="C1090" s="1366">
        <v>-5.5100000000000003E-2</v>
      </c>
      <c r="D1090" s="1366">
        <v>1.6000000000000001E-3</v>
      </c>
      <c r="E1090" s="1366">
        <v>2.7666666666666668E-3</v>
      </c>
      <c r="F1090" s="1366">
        <v>2.8499999999999997E-3</v>
      </c>
      <c r="G1090" s="1366">
        <f t="shared" si="51"/>
        <v>2.8083333333333333E-3</v>
      </c>
      <c r="H1090" s="1366">
        <v>2.9916666666666663E-3</v>
      </c>
      <c r="I1090" s="1366">
        <f t="shared" si="48"/>
        <v>-2.0000000000000009E-4</v>
      </c>
      <c r="J1090" s="1366">
        <f t="shared" si="49"/>
        <v>-1.4083333333333333E-3</v>
      </c>
      <c r="K1090" s="1366">
        <f t="shared" si="52"/>
        <v>-5.8091666666666666E-2</v>
      </c>
    </row>
    <row r="1091" spans="1:11" x14ac:dyDescent="0.55000000000000004">
      <c r="A1091" s="302">
        <v>42614</v>
      </c>
      <c r="B1091" s="1366">
        <v>2.0000000000000001E-4</v>
      </c>
      <c r="C1091" s="1366">
        <v>4.0000000000000001E-3</v>
      </c>
      <c r="D1091" s="1366">
        <v>1.5E-3</v>
      </c>
      <c r="E1091" s="1366">
        <v>2.8416666666666668E-3</v>
      </c>
      <c r="F1091" s="1366">
        <v>2.9166666666666668E-3</v>
      </c>
      <c r="G1091" s="1366">
        <f t="shared" si="51"/>
        <v>2.879166666666667E-3</v>
      </c>
      <c r="H1091" s="1366">
        <v>3.0499999999999998E-3</v>
      </c>
      <c r="I1091" s="1366">
        <f t="shared" si="48"/>
        <v>-1.2999999999999999E-3</v>
      </c>
      <c r="J1091" s="1366">
        <f t="shared" si="49"/>
        <v>-2.6791666666666669E-3</v>
      </c>
      <c r="K1091" s="1366">
        <f t="shared" si="52"/>
        <v>9.5000000000000032E-4</v>
      </c>
    </row>
    <row r="1092" spans="1:11" x14ac:dyDescent="0.55000000000000004">
      <c r="A1092" s="302">
        <v>42644</v>
      </c>
      <c r="B1092" s="1366">
        <v>-1.8200000000000001E-2</v>
      </c>
      <c r="C1092" s="1366">
        <v>8.6E-3</v>
      </c>
      <c r="D1092" s="1366">
        <v>1.6000000000000001E-3</v>
      </c>
      <c r="E1092" s="1366">
        <v>2.8416666666666668E-3</v>
      </c>
      <c r="F1092" s="1366">
        <v>2.9166666666666668E-3</v>
      </c>
      <c r="G1092" s="1366">
        <f t="shared" si="51"/>
        <v>2.879166666666667E-3</v>
      </c>
      <c r="H1092" s="1366">
        <v>3.0499999999999998E-3</v>
      </c>
      <c r="I1092" s="1366">
        <f t="shared" ref="I1092:I1155" si="53">B1092-D1092</f>
        <v>-1.9800000000000002E-2</v>
      </c>
      <c r="J1092" s="1366">
        <f t="shared" si="49"/>
        <v>-2.107916666666667E-2</v>
      </c>
      <c r="K1092" s="1366">
        <f t="shared" si="52"/>
        <v>5.5500000000000002E-3</v>
      </c>
    </row>
    <row r="1093" spans="1:11" x14ac:dyDescent="0.55000000000000004">
      <c r="A1093" s="302">
        <v>42675</v>
      </c>
      <c r="B1093" s="1366">
        <v>3.6999999999999998E-2</v>
      </c>
      <c r="C1093" s="1366">
        <v>-5.3900000000000003E-2</v>
      </c>
      <c r="D1093" s="1366">
        <v>1.8E-3</v>
      </c>
      <c r="E1093" s="1366">
        <v>3.2166666666666667E-3</v>
      </c>
      <c r="F1093" s="1366">
        <v>3.2750000000000001E-3</v>
      </c>
      <c r="G1093" s="1366">
        <f t="shared" si="51"/>
        <v>3.2458333333333332E-3</v>
      </c>
      <c r="H1093" s="1366">
        <v>3.4000000000000002E-3</v>
      </c>
      <c r="I1093" s="1366">
        <f t="shared" si="53"/>
        <v>3.5199999999999995E-2</v>
      </c>
      <c r="J1093" s="1366">
        <f t="shared" si="49"/>
        <v>3.3754166666666668E-2</v>
      </c>
      <c r="K1093" s="1366">
        <f t="shared" si="52"/>
        <v>-5.7300000000000004E-2</v>
      </c>
    </row>
    <row r="1094" spans="1:11" x14ac:dyDescent="0.55000000000000004">
      <c r="A1094" s="302">
        <v>42705</v>
      </c>
      <c r="B1094" s="1366">
        <v>1.9800000000000002E-2</v>
      </c>
      <c r="C1094" s="1366">
        <v>4.9399999999999999E-2</v>
      </c>
      <c r="D1094" s="1366">
        <v>2.2000000000000001E-3</v>
      </c>
      <c r="E1094" s="1366">
        <v>3.3833333333333332E-3</v>
      </c>
      <c r="F1094" s="1366">
        <v>3.4333333333333334E-3</v>
      </c>
      <c r="G1094" s="1366">
        <f t="shared" si="51"/>
        <v>3.4083333333333335E-3</v>
      </c>
      <c r="H1094" s="1366">
        <v>3.5583333333333326E-3</v>
      </c>
      <c r="I1094" s="1366">
        <f t="shared" si="53"/>
        <v>1.7600000000000001E-2</v>
      </c>
      <c r="J1094" s="1366">
        <f t="shared" si="49"/>
        <v>1.6391666666666669E-2</v>
      </c>
      <c r="K1094" s="1366">
        <f t="shared" si="52"/>
        <v>4.5841666666666669E-2</v>
      </c>
    </row>
    <row r="1095" spans="1:11" x14ac:dyDescent="0.55000000000000004">
      <c r="A1095" s="302">
        <v>42736</v>
      </c>
      <c r="B1095" s="1366">
        <v>1.9E-2</v>
      </c>
      <c r="C1095" s="1366">
        <v>1.26E-2</v>
      </c>
      <c r="D1095" s="1366">
        <v>2.3999999999999998E-3</v>
      </c>
      <c r="E1095" s="1366">
        <v>3.2666666666666664E-3</v>
      </c>
      <c r="F1095" s="1366">
        <v>3.3166666666666665E-3</v>
      </c>
      <c r="G1095" s="1366">
        <f t="shared" si="51"/>
        <v>3.2916666666666667E-3</v>
      </c>
      <c r="H1095" s="1366">
        <v>3.4499999999999999E-3</v>
      </c>
      <c r="I1095" s="1366">
        <f t="shared" si="53"/>
        <v>1.66E-2</v>
      </c>
      <c r="J1095" s="1366">
        <f t="shared" si="49"/>
        <v>1.5708333333333331E-2</v>
      </c>
      <c r="K1095" s="1366">
        <f t="shared" si="52"/>
        <v>9.1500000000000001E-3</v>
      </c>
    </row>
    <row r="1096" spans="1:11" x14ac:dyDescent="0.55000000000000004">
      <c r="A1096" s="302">
        <v>42767</v>
      </c>
      <c r="B1096" s="1366">
        <v>3.9699999999999999E-2</v>
      </c>
      <c r="C1096" s="1366">
        <v>5.2600000000000001E-2</v>
      </c>
      <c r="D1096" s="1366">
        <v>2.0999999999999999E-3</v>
      </c>
      <c r="E1096" s="1366">
        <v>3.2916666666666667E-3</v>
      </c>
      <c r="F1096" s="1366">
        <v>3.3416666666666668E-3</v>
      </c>
      <c r="G1096" s="1366">
        <f t="shared" si="51"/>
        <v>3.3166666666666665E-3</v>
      </c>
      <c r="H1096" s="1366">
        <v>3.4250000000000001E-3</v>
      </c>
      <c r="I1096" s="1366">
        <f t="shared" si="53"/>
        <v>3.7600000000000001E-2</v>
      </c>
      <c r="J1096" s="1366">
        <f t="shared" si="49"/>
        <v>3.638333333333333E-2</v>
      </c>
      <c r="K1096" s="1366">
        <f t="shared" si="52"/>
        <v>4.9175000000000003E-2</v>
      </c>
    </row>
    <row r="1097" spans="1:11" x14ac:dyDescent="0.55000000000000004">
      <c r="A1097" s="302">
        <v>42795</v>
      </c>
      <c r="B1097" s="1366">
        <v>1.1999999999999999E-3</v>
      </c>
      <c r="C1097" s="1366">
        <v>2.98E-2</v>
      </c>
      <c r="D1097" s="1366">
        <v>2.3E-3</v>
      </c>
      <c r="E1097" s="1366">
        <v>3.2916666666666667E-3</v>
      </c>
      <c r="F1097" s="1366">
        <v>3.3416666666666668E-3</v>
      </c>
      <c r="G1097" s="1366">
        <f t="shared" si="51"/>
        <v>3.3166666666666665E-3</v>
      </c>
      <c r="H1097" s="1366">
        <v>3.4833333333333331E-3</v>
      </c>
      <c r="I1097" s="1366">
        <f t="shared" si="53"/>
        <v>-1.1000000000000001E-3</v>
      </c>
      <c r="J1097" s="1366">
        <f t="shared" si="49"/>
        <v>-2.1166666666666669E-3</v>
      </c>
      <c r="K1097" s="1366">
        <f t="shared" si="52"/>
        <v>2.6316666666666669E-2</v>
      </c>
    </row>
    <row r="1098" spans="1:11" x14ac:dyDescent="0.55000000000000004">
      <c r="A1098" s="302">
        <v>42826</v>
      </c>
      <c r="B1098" s="1366">
        <v>1.03E-2</v>
      </c>
      <c r="C1098" s="1366">
        <v>7.7999999999999996E-3</v>
      </c>
      <c r="D1098" s="1366">
        <v>2.0999999999999999E-3</v>
      </c>
      <c r="E1098" s="1366">
        <v>3.225E-3</v>
      </c>
      <c r="F1098" s="1366">
        <v>3.2750000000000001E-3</v>
      </c>
      <c r="G1098" s="1366">
        <f t="shared" si="51"/>
        <v>3.2500000000000003E-3</v>
      </c>
      <c r="H1098" s="1366">
        <v>3.4333333333333334E-3</v>
      </c>
      <c r="I1098" s="1366">
        <f t="shared" si="53"/>
        <v>8.2000000000000007E-3</v>
      </c>
      <c r="J1098" s="1366">
        <f t="shared" si="49"/>
        <v>7.0499999999999998E-3</v>
      </c>
      <c r="K1098" s="1366">
        <f t="shared" si="52"/>
        <v>4.3666666666666663E-3</v>
      </c>
    </row>
    <row r="1099" spans="1:11" x14ac:dyDescent="0.55000000000000004">
      <c r="A1099" s="302">
        <v>42856</v>
      </c>
      <c r="B1099" s="1366">
        <v>1.41E-2</v>
      </c>
      <c r="C1099" s="1366">
        <v>4.2200000000000001E-2</v>
      </c>
      <c r="D1099" s="1366">
        <v>2.3999999999999998E-3</v>
      </c>
      <c r="E1099" s="1366">
        <v>3.2083333333333334E-3</v>
      </c>
      <c r="F1099" s="1366">
        <v>3.2750000000000001E-3</v>
      </c>
      <c r="G1099" s="1366">
        <f t="shared" si="51"/>
        <v>3.241666666666667E-3</v>
      </c>
      <c r="H1099" s="1366">
        <v>3.4416666666666667E-3</v>
      </c>
      <c r="I1099" s="1366">
        <f t="shared" si="53"/>
        <v>1.17E-2</v>
      </c>
      <c r="J1099" s="1366">
        <f t="shared" si="49"/>
        <v>1.0858333333333333E-2</v>
      </c>
      <c r="K1099" s="1366">
        <f t="shared" si="52"/>
        <v>3.8758333333333332E-2</v>
      </c>
    </row>
    <row r="1100" spans="1:11" x14ac:dyDescent="0.55000000000000004">
      <c r="A1100" s="302">
        <v>42887</v>
      </c>
      <c r="B1100" s="1366">
        <v>6.1999999999999998E-3</v>
      </c>
      <c r="C1100" s="1366">
        <v>-2.7E-2</v>
      </c>
      <c r="D1100" s="1366">
        <v>2.0999999999999999E-3</v>
      </c>
      <c r="E1100" s="1366">
        <v>3.0666666666666672E-3</v>
      </c>
      <c r="F1100" s="1366">
        <v>3.1416666666666663E-3</v>
      </c>
      <c r="G1100" s="1366">
        <f t="shared" si="51"/>
        <v>3.1041666666666665E-3</v>
      </c>
      <c r="H1100" s="1366">
        <v>3.283333333333333E-3</v>
      </c>
      <c r="I1100" s="1366">
        <f t="shared" si="53"/>
        <v>4.0999999999999995E-3</v>
      </c>
      <c r="J1100" s="1366">
        <f t="shared" si="49"/>
        <v>3.0958333333333332E-3</v>
      </c>
      <c r="K1100" s="1366">
        <f t="shared" si="52"/>
        <v>-3.0283333333333332E-2</v>
      </c>
    </row>
    <row r="1101" spans="1:11" x14ac:dyDescent="0.55000000000000004">
      <c r="A1101" s="302">
        <v>42917</v>
      </c>
      <c r="B1101" s="1366">
        <v>2.06E-2</v>
      </c>
      <c r="C1101" s="1366">
        <v>2.4400000000000002E-2</v>
      </c>
      <c r="D1101" s="1366">
        <v>2.2000000000000001E-3</v>
      </c>
      <c r="E1101" s="1366">
        <v>3.15E-3</v>
      </c>
      <c r="F1101" s="1366">
        <v>3.225E-3</v>
      </c>
      <c r="G1101" s="1366">
        <f t="shared" si="51"/>
        <v>3.1875000000000002E-3</v>
      </c>
      <c r="H1101" s="1366">
        <v>3.3749999999999995E-3</v>
      </c>
      <c r="I1101" s="1366">
        <f t="shared" si="53"/>
        <v>1.84E-2</v>
      </c>
      <c r="J1101" s="1366">
        <f t="shared" si="49"/>
        <v>1.7412500000000001E-2</v>
      </c>
      <c r="K1101" s="1366">
        <f t="shared" si="52"/>
        <v>2.1025000000000002E-2</v>
      </c>
    </row>
    <row r="1102" spans="1:11" x14ac:dyDescent="0.55000000000000004">
      <c r="A1102" s="302">
        <v>42948</v>
      </c>
      <c r="B1102" s="1366">
        <v>3.0999999999999999E-3</v>
      </c>
      <c r="C1102" s="1366">
        <v>3.2399999999999998E-2</v>
      </c>
      <c r="D1102" s="1366">
        <v>2.2000000000000001E-3</v>
      </c>
      <c r="E1102" s="1366">
        <v>3.0833333333333333E-3</v>
      </c>
      <c r="F1102" s="1366">
        <v>3.1666666666666666E-3</v>
      </c>
      <c r="G1102" s="1366">
        <f t="shared" si="51"/>
        <v>3.1250000000000002E-3</v>
      </c>
      <c r="H1102" s="1366">
        <v>3.3250000000000003E-3</v>
      </c>
      <c r="I1102" s="1366">
        <f t="shared" si="53"/>
        <v>8.9999999999999976E-4</v>
      </c>
      <c r="J1102" s="1366">
        <f t="shared" si="49"/>
        <v>-2.5000000000000282E-5</v>
      </c>
      <c r="K1102" s="1366">
        <f t="shared" si="52"/>
        <v>2.9074999999999997E-2</v>
      </c>
    </row>
    <row r="1103" spans="1:11" x14ac:dyDescent="0.55000000000000004">
      <c r="A1103" s="302">
        <v>42979</v>
      </c>
      <c r="B1103" s="1366">
        <v>2.06E-2</v>
      </c>
      <c r="C1103" s="1366">
        <v>-2.7300000000000001E-2</v>
      </c>
      <c r="D1103" s="1366">
        <v>1.9E-3</v>
      </c>
      <c r="E1103" s="1366">
        <v>3.0249999999999999E-3</v>
      </c>
      <c r="F1103" s="1366">
        <v>3.0999999999999999E-3</v>
      </c>
      <c r="G1103" s="1366">
        <f t="shared" si="51"/>
        <v>3.0625000000000001E-3</v>
      </c>
      <c r="H1103" s="1366">
        <v>3.2166666666666667E-3</v>
      </c>
      <c r="I1103" s="1366">
        <f t="shared" si="53"/>
        <v>1.8700000000000001E-2</v>
      </c>
      <c r="J1103" s="1366">
        <f t="shared" si="49"/>
        <v>1.7537500000000001E-2</v>
      </c>
      <c r="K1103" s="1366">
        <f t="shared" si="52"/>
        <v>-3.0516666666666668E-2</v>
      </c>
    </row>
    <row r="1104" spans="1:11" x14ac:dyDescent="0.55000000000000004">
      <c r="A1104" s="302">
        <v>43009</v>
      </c>
      <c r="B1104" s="1366">
        <v>2.3300000000000001E-2</v>
      </c>
      <c r="C1104" s="1366">
        <v>3.9E-2</v>
      </c>
      <c r="D1104" s="1366">
        <v>2.2000000000000001E-3</v>
      </c>
      <c r="E1104" s="1366">
        <v>3.0000000000000001E-3</v>
      </c>
      <c r="F1104" s="1366">
        <v>3.1166666666666669E-3</v>
      </c>
      <c r="G1104" s="1366">
        <f t="shared" si="51"/>
        <v>3.0583333333333335E-3</v>
      </c>
      <c r="H1104" s="1366">
        <v>3.2583333333333336E-3</v>
      </c>
      <c r="I1104" s="1366">
        <f t="shared" si="53"/>
        <v>2.1100000000000001E-2</v>
      </c>
      <c r="J1104" s="1366">
        <f t="shared" si="49"/>
        <v>2.0241666666666668E-2</v>
      </c>
      <c r="K1104" s="1366">
        <f t="shared" si="52"/>
        <v>3.5741666666666665E-2</v>
      </c>
    </row>
    <row r="1105" spans="1:11" x14ac:dyDescent="0.55000000000000004">
      <c r="A1105" s="302">
        <v>43040</v>
      </c>
      <c r="B1105" s="1366">
        <v>3.0700000000000002E-2</v>
      </c>
      <c r="C1105" s="1366">
        <v>2.75E-2</v>
      </c>
      <c r="D1105" s="1366">
        <v>2.0999999999999999E-3</v>
      </c>
      <c r="E1105" s="1366">
        <v>3.0000000000000001E-3</v>
      </c>
      <c r="F1105" s="1366">
        <v>3.1166666666666669E-3</v>
      </c>
      <c r="G1105" s="1366">
        <f t="shared" si="51"/>
        <v>3.0583333333333335E-3</v>
      </c>
      <c r="H1105" s="1366">
        <v>3.2583333333333336E-3</v>
      </c>
      <c r="I1105" s="1366">
        <f t="shared" si="53"/>
        <v>2.86E-2</v>
      </c>
      <c r="J1105" s="1366">
        <f t="shared" si="49"/>
        <v>2.7641666666666669E-2</v>
      </c>
      <c r="K1105" s="1366">
        <f t="shared" si="52"/>
        <v>2.4241666666666668E-2</v>
      </c>
    </row>
    <row r="1106" spans="1:11" x14ac:dyDescent="0.55000000000000004">
      <c r="A1106" s="302">
        <v>43070</v>
      </c>
      <c r="B1106" s="1366">
        <v>1.11E-2</v>
      </c>
      <c r="C1106" s="1366">
        <v>-6.13E-2</v>
      </c>
      <c r="D1106" s="1366">
        <v>2E-3</v>
      </c>
      <c r="E1106" s="1366">
        <v>2.9249999999999996E-3</v>
      </c>
      <c r="F1106" s="1366">
        <v>3.0083333333333333E-3</v>
      </c>
      <c r="G1106" s="1366">
        <f t="shared" si="51"/>
        <v>2.9666666666666665E-3</v>
      </c>
      <c r="H1106" s="1366">
        <v>3.1583333333333337E-3</v>
      </c>
      <c r="I1106" s="1366">
        <f t="shared" si="53"/>
        <v>9.1000000000000004E-3</v>
      </c>
      <c r="J1106" s="1366">
        <f t="shared" si="49"/>
        <v>8.1333333333333344E-3</v>
      </c>
      <c r="K1106" s="1366">
        <f t="shared" si="52"/>
        <v>-6.445833333333334E-2</v>
      </c>
    </row>
    <row r="1107" spans="1:11" x14ac:dyDescent="0.55000000000000004">
      <c r="A1107" s="302">
        <v>43101</v>
      </c>
      <c r="B1107" s="1366">
        <v>5.7299999999999997E-2</v>
      </c>
      <c r="C1107" s="1366">
        <v>-3.0700000000000002E-2</v>
      </c>
      <c r="D1107" s="1366">
        <v>2.3999999999999998E-3</v>
      </c>
      <c r="E1107" s="1366">
        <v>2.9249999999999996E-3</v>
      </c>
      <c r="F1107" s="1366">
        <v>3.0083333333333333E-3</v>
      </c>
      <c r="G1107" s="1366">
        <f t="shared" si="51"/>
        <v>2.9666666666666665E-3</v>
      </c>
      <c r="H1107" s="1366">
        <v>3.1583333333333337E-3</v>
      </c>
      <c r="I1107" s="1366">
        <f t="shared" si="53"/>
        <v>5.4899999999999997E-2</v>
      </c>
      <c r="J1107" s="1366">
        <f t="shared" si="49"/>
        <v>5.4333333333333331E-2</v>
      </c>
      <c r="K1107" s="1366">
        <f t="shared" si="52"/>
        <v>-3.3858333333333338E-2</v>
      </c>
    </row>
    <row r="1108" spans="1:11" x14ac:dyDescent="0.55000000000000004">
      <c r="A1108" s="302">
        <v>43132</v>
      </c>
      <c r="B1108" s="1366">
        <v>-3.6900000000000002E-2</v>
      </c>
      <c r="C1108" s="1366">
        <v>-3.8399999999999997E-2</v>
      </c>
      <c r="D1108" s="1366">
        <v>2.2000000000000001E-3</v>
      </c>
      <c r="E1108" s="1366">
        <v>2.9583333333333332E-3</v>
      </c>
      <c r="F1108" s="1366">
        <v>3.0666666666666672E-3</v>
      </c>
      <c r="G1108" s="1366">
        <f t="shared" ref="G1108:G1139" si="54">AVERAGE(E1108:F1108)</f>
        <v>3.0125000000000004E-3</v>
      </c>
      <c r="H1108" s="1366">
        <v>3.2166666666666667E-3</v>
      </c>
      <c r="I1108" s="1366">
        <f t="shared" si="53"/>
        <v>-3.9100000000000003E-2</v>
      </c>
      <c r="J1108" s="1366">
        <f t="shared" si="49"/>
        <v>-3.9912500000000004E-2</v>
      </c>
      <c r="K1108" s="1366">
        <f t="shared" ref="K1108:K1139" si="55">C1108-H1108</f>
        <v>-4.1616666666666663E-2</v>
      </c>
    </row>
    <row r="1109" spans="1:11" x14ac:dyDescent="0.55000000000000004">
      <c r="A1109" s="302">
        <v>43160</v>
      </c>
      <c r="B1109" s="1366">
        <v>-2.5399999999999999E-2</v>
      </c>
      <c r="C1109" s="1366">
        <v>3.7699999999999997E-2</v>
      </c>
      <c r="D1109" s="1366">
        <v>2.3999999999999998E-3</v>
      </c>
      <c r="E1109" s="1366">
        <v>3.225E-3</v>
      </c>
      <c r="F1109" s="1366">
        <v>3.3250000000000003E-3</v>
      </c>
      <c r="G1109" s="1366">
        <f t="shared" si="54"/>
        <v>3.2750000000000001E-3</v>
      </c>
      <c r="H1109" s="1366">
        <v>3.4416666666666667E-3</v>
      </c>
      <c r="I1109" s="1366">
        <f t="shared" si="53"/>
        <v>-2.7799999999999998E-2</v>
      </c>
      <c r="J1109" s="1366">
        <f t="shared" si="49"/>
        <v>-2.8674999999999999E-2</v>
      </c>
      <c r="K1109" s="1366">
        <f t="shared" si="55"/>
        <v>3.4258333333333328E-2</v>
      </c>
    </row>
    <row r="1110" spans="1:11" x14ac:dyDescent="0.55000000000000004">
      <c r="A1110" s="302">
        <v>43191</v>
      </c>
      <c r="B1110" s="1366">
        <v>3.8E-3</v>
      </c>
      <c r="C1110" s="1366">
        <v>2.1000000000000001E-2</v>
      </c>
      <c r="D1110" s="1366">
        <v>2.5000000000000001E-3</v>
      </c>
      <c r="E1110" s="1366">
        <v>3.2083333333333334E-3</v>
      </c>
      <c r="F1110" s="1366">
        <v>3.3416666666666668E-3</v>
      </c>
      <c r="G1110" s="1366">
        <f t="shared" si="54"/>
        <v>3.2750000000000001E-3</v>
      </c>
      <c r="H1110" s="1366">
        <v>3.4749999999999998E-3</v>
      </c>
      <c r="I1110" s="1366">
        <f t="shared" si="53"/>
        <v>1.2999999999999999E-3</v>
      </c>
      <c r="J1110" s="1366">
        <f t="shared" si="49"/>
        <v>5.2499999999999986E-4</v>
      </c>
      <c r="K1110" s="1366">
        <f t="shared" si="55"/>
        <v>1.7525000000000002E-2</v>
      </c>
    </row>
    <row r="1111" spans="1:11" x14ac:dyDescent="0.55000000000000004">
      <c r="A1111" s="302">
        <v>43221</v>
      </c>
      <c r="B1111" s="1366">
        <v>2.41E-2</v>
      </c>
      <c r="C1111" s="1366">
        <v>-1.14E-2</v>
      </c>
      <c r="D1111" s="1366">
        <v>2.5000000000000001E-3</v>
      </c>
      <c r="E1111" s="1366">
        <v>3.3250000000000003E-3</v>
      </c>
      <c r="F1111" s="1366">
        <v>3.4333333333333334E-3</v>
      </c>
      <c r="G1111" s="1366">
        <f t="shared" si="54"/>
        <v>3.3791666666666666E-3</v>
      </c>
      <c r="H1111" s="1366">
        <v>3.5666666666666668E-3</v>
      </c>
      <c r="I1111" s="1366">
        <f t="shared" si="53"/>
        <v>2.1600000000000001E-2</v>
      </c>
      <c r="J1111" s="1366">
        <f t="shared" si="49"/>
        <v>2.0720833333333334E-2</v>
      </c>
      <c r="K1111" s="1366">
        <f t="shared" si="55"/>
        <v>-1.4966666666666666E-2</v>
      </c>
    </row>
    <row r="1112" spans="1:11" x14ac:dyDescent="0.55000000000000004">
      <c r="A1112" s="302">
        <v>43252</v>
      </c>
      <c r="B1112" s="1366">
        <v>6.1999999999999998E-3</v>
      </c>
      <c r="C1112" s="1366">
        <v>2.7300000000000001E-2</v>
      </c>
      <c r="D1112" s="1366">
        <v>2.3E-3</v>
      </c>
      <c r="E1112" s="1366">
        <v>3.3E-3</v>
      </c>
      <c r="F1112" s="1366">
        <v>3.4250000000000001E-3</v>
      </c>
      <c r="G1112" s="1366">
        <f t="shared" si="54"/>
        <v>3.3625E-3</v>
      </c>
      <c r="H1112" s="1366">
        <v>3.5583333333333326E-3</v>
      </c>
      <c r="I1112" s="1366">
        <f t="shared" si="53"/>
        <v>3.8999999999999998E-3</v>
      </c>
      <c r="J1112" s="1366">
        <f t="shared" si="49"/>
        <v>2.8374999999999997E-3</v>
      </c>
      <c r="K1112" s="1366">
        <f t="shared" si="55"/>
        <v>2.3741666666666668E-2</v>
      </c>
    </row>
    <row r="1113" spans="1:11" x14ac:dyDescent="0.55000000000000004">
      <c r="A1113" s="302">
        <v>43282</v>
      </c>
      <c r="B1113" s="1366">
        <v>3.7199999999999997E-2</v>
      </c>
      <c r="C1113" s="1366">
        <v>1.8599999999999998E-2</v>
      </c>
      <c r="D1113" s="1366">
        <v>2.5000000000000001E-3</v>
      </c>
      <c r="E1113" s="1366">
        <v>3.225E-3</v>
      </c>
      <c r="F1113" s="1366">
        <v>3.3916666666666665E-3</v>
      </c>
      <c r="G1113" s="1366">
        <f t="shared" si="54"/>
        <v>3.3083333333333333E-3</v>
      </c>
      <c r="H1113" s="1366">
        <v>3.5583333333333326E-3</v>
      </c>
      <c r="I1113" s="1366">
        <f t="shared" si="53"/>
        <v>3.4699999999999995E-2</v>
      </c>
      <c r="J1113" s="1366">
        <f t="shared" si="49"/>
        <v>3.3891666666666667E-2</v>
      </c>
      <c r="K1113" s="1366">
        <f t="shared" si="55"/>
        <v>1.5041666666666665E-2</v>
      </c>
    </row>
    <row r="1114" spans="1:11" x14ac:dyDescent="0.55000000000000004">
      <c r="A1114" s="302">
        <v>43313</v>
      </c>
      <c r="B1114" s="1366">
        <v>3.2599999999999997E-2</v>
      </c>
      <c r="C1114" s="1366">
        <v>1.1299999999999999E-2</v>
      </c>
      <c r="D1114" s="1366">
        <v>2.5000000000000001E-3</v>
      </c>
      <c r="E1114" s="1366">
        <v>3.2333333333333329E-3</v>
      </c>
      <c r="F1114" s="1366">
        <v>3.3749999999999995E-3</v>
      </c>
      <c r="G1114" s="1366">
        <f t="shared" si="54"/>
        <v>3.3041666666666662E-3</v>
      </c>
      <c r="H1114" s="1366">
        <v>3.5499999999999998E-3</v>
      </c>
      <c r="I1114" s="1366">
        <f t="shared" si="53"/>
        <v>3.0099999999999998E-2</v>
      </c>
      <c r="J1114" s="1366">
        <f t="shared" si="49"/>
        <v>2.929583333333333E-2</v>
      </c>
      <c r="K1114" s="1366">
        <f t="shared" si="55"/>
        <v>7.7499999999999999E-3</v>
      </c>
    </row>
    <row r="1115" spans="1:11" x14ac:dyDescent="0.55000000000000004">
      <c r="A1115" s="302">
        <v>43344</v>
      </c>
      <c r="B1115" s="1366">
        <v>5.7000000000000002E-3</v>
      </c>
      <c r="C1115" s="1366">
        <v>-6.0000000000000001E-3</v>
      </c>
      <c r="D1115" s="1366">
        <v>2.2000000000000001E-3</v>
      </c>
      <c r="E1115" s="1366">
        <v>3.2333333333333329E-3</v>
      </c>
      <c r="F1115" s="1366">
        <v>3.3749999999999995E-3</v>
      </c>
      <c r="G1115" s="1366">
        <f t="shared" si="54"/>
        <v>3.3041666666666662E-3</v>
      </c>
      <c r="H1115" s="1366">
        <v>3.5499999999999998E-3</v>
      </c>
      <c r="I1115" s="1366">
        <f t="shared" si="53"/>
        <v>3.5000000000000001E-3</v>
      </c>
      <c r="J1115" s="1366">
        <f t="shared" ref="J1115:J1178" si="56">B1115-G1115</f>
        <v>2.395833333333334E-3</v>
      </c>
      <c r="K1115" s="1366">
        <f t="shared" si="55"/>
        <v>-9.5499999999999995E-3</v>
      </c>
    </row>
    <row r="1116" spans="1:11" x14ac:dyDescent="0.55000000000000004">
      <c r="A1116" s="302">
        <v>43374</v>
      </c>
      <c r="B1116" s="1366">
        <v>-6.8400000000000002E-2</v>
      </c>
      <c r="C1116" s="1366">
        <v>1.95E-2</v>
      </c>
      <c r="D1116" s="1366">
        <v>3.0000000000000001E-3</v>
      </c>
      <c r="E1116" s="1366">
        <v>3.4499999999999999E-3</v>
      </c>
      <c r="F1116" s="1366">
        <v>0</v>
      </c>
      <c r="G1116" s="1366">
        <f t="shared" si="54"/>
        <v>1.725E-3</v>
      </c>
      <c r="H1116" s="1366">
        <v>3.7083333333333334E-3</v>
      </c>
      <c r="I1116" s="1366">
        <f t="shared" si="53"/>
        <v>-7.1400000000000005E-2</v>
      </c>
      <c r="J1116" s="1366">
        <f t="shared" si="56"/>
        <v>-7.0125000000000007E-2</v>
      </c>
      <c r="K1116" s="1366">
        <f t="shared" si="55"/>
        <v>1.5791666666666666E-2</v>
      </c>
    </row>
    <row r="1117" spans="1:11" x14ac:dyDescent="0.55000000000000004">
      <c r="A1117" s="302">
        <v>43405</v>
      </c>
      <c r="B1117" s="1366">
        <v>2.0400000000000001E-2</v>
      </c>
      <c r="C1117" s="1366">
        <v>3.5499999999999997E-2</v>
      </c>
      <c r="D1117" s="1366">
        <v>2.8E-3</v>
      </c>
      <c r="E1117" s="1366">
        <v>3.5166666666666662E-3</v>
      </c>
      <c r="F1117" s="1366">
        <v>3.6416666666666667E-3</v>
      </c>
      <c r="G1117" s="1366">
        <f t="shared" si="54"/>
        <v>3.5791666666666663E-3</v>
      </c>
      <c r="H1117" s="1366">
        <v>3.7666666666666664E-3</v>
      </c>
      <c r="I1117" s="1366">
        <f t="shared" si="53"/>
        <v>1.7600000000000001E-2</v>
      </c>
      <c r="J1117" s="1366">
        <f t="shared" si="56"/>
        <v>1.6820833333333333E-2</v>
      </c>
      <c r="K1117" s="1366">
        <f t="shared" si="55"/>
        <v>3.1733333333333329E-2</v>
      </c>
    </row>
    <row r="1118" spans="1:11" x14ac:dyDescent="0.55000000000000004">
      <c r="A1118" s="302">
        <v>43435</v>
      </c>
      <c r="B1118" s="1366">
        <v>-9.0300000000000005E-2</v>
      </c>
      <c r="C1118" s="1367">
        <v>-4.0099999999999997E-2</v>
      </c>
      <c r="D1118" s="1366">
        <v>2.7000000000000001E-3</v>
      </c>
      <c r="E1118" s="1366">
        <v>3.3499999999999997E-3</v>
      </c>
      <c r="F1118" s="1366">
        <v>3.5000000000000005E-3</v>
      </c>
      <c r="G1118" s="1366">
        <f t="shared" si="54"/>
        <v>3.4250000000000001E-3</v>
      </c>
      <c r="H1118" s="1366">
        <v>3.6416666666666667E-3</v>
      </c>
      <c r="I1118" s="1366">
        <f t="shared" si="53"/>
        <v>-9.2999999999999999E-2</v>
      </c>
      <c r="J1118" s="1366">
        <f t="shared" si="56"/>
        <v>-9.3725000000000003E-2</v>
      </c>
      <c r="K1118" s="1366">
        <f t="shared" si="55"/>
        <v>-4.3741666666666665E-2</v>
      </c>
    </row>
    <row r="1119" spans="1:11" x14ac:dyDescent="0.55000000000000004">
      <c r="A1119" s="302">
        <v>43466</v>
      </c>
      <c r="B1119" s="1366">
        <v>8.0100000000000005E-2</v>
      </c>
      <c r="C1119" s="1367">
        <v>4.8399999999999999E-2</v>
      </c>
      <c r="D1119" s="1366">
        <v>2.5000000000000001E-3</v>
      </c>
      <c r="E1119" s="1366">
        <v>3.2750000000000001E-3</v>
      </c>
      <c r="F1119" s="1366">
        <v>3.4499999999999999E-3</v>
      </c>
      <c r="G1119" s="1366">
        <f t="shared" si="54"/>
        <v>3.3625E-3</v>
      </c>
      <c r="H1119" s="1366">
        <v>3.6249999999999998E-3</v>
      </c>
      <c r="I1119" s="1366">
        <f t="shared" si="53"/>
        <v>7.7600000000000002E-2</v>
      </c>
      <c r="J1119" s="1366">
        <f t="shared" si="56"/>
        <v>7.67375E-2</v>
      </c>
      <c r="K1119" s="1366">
        <f t="shared" si="55"/>
        <v>4.4774999999999995E-2</v>
      </c>
    </row>
    <row r="1120" spans="1:11" x14ac:dyDescent="0.55000000000000004">
      <c r="A1120" s="302">
        <v>43497</v>
      </c>
      <c r="B1120" s="1366">
        <v>3.2099999999999997E-2</v>
      </c>
      <c r="C1120" s="1367">
        <v>4.1099999999999998E-2</v>
      </c>
      <c r="D1120" s="1366">
        <v>2.2000000000000001E-3</v>
      </c>
      <c r="E1120" s="1366">
        <v>3.1583333333333337E-3</v>
      </c>
      <c r="F1120" s="1366">
        <v>3.3250000000000003E-3</v>
      </c>
      <c r="G1120" s="1366">
        <f t="shared" si="54"/>
        <v>3.241666666666667E-3</v>
      </c>
      <c r="H1120" s="1366">
        <v>3.5416666666666669E-3</v>
      </c>
      <c r="I1120" s="1366">
        <f t="shared" si="53"/>
        <v>2.9899999999999996E-2</v>
      </c>
      <c r="J1120" s="1366">
        <f t="shared" si="56"/>
        <v>2.885833333333333E-2</v>
      </c>
      <c r="K1120" s="1366">
        <f t="shared" si="55"/>
        <v>3.7558333333333332E-2</v>
      </c>
    </row>
    <row r="1121" spans="1:11" x14ac:dyDescent="0.55000000000000004">
      <c r="A1121" s="302">
        <v>43525</v>
      </c>
      <c r="B1121" s="1366">
        <v>1.9400000000000001E-2</v>
      </c>
      <c r="C1121" s="1367">
        <v>2.8799999999999999E-2</v>
      </c>
      <c r="D1121" s="1366">
        <v>2.3E-3</v>
      </c>
      <c r="E1121" s="1366">
        <v>3.1583333333333337E-3</v>
      </c>
      <c r="F1121" s="1366">
        <v>3.3250000000000003E-3</v>
      </c>
      <c r="G1121" s="1366">
        <f t="shared" si="54"/>
        <v>3.241666666666667E-3</v>
      </c>
      <c r="H1121" s="1366">
        <v>3.5416666666666669E-3</v>
      </c>
      <c r="I1121" s="1366">
        <f t="shared" si="53"/>
        <v>1.7100000000000001E-2</v>
      </c>
      <c r="J1121" s="1366">
        <f t="shared" si="56"/>
        <v>1.6158333333333334E-2</v>
      </c>
      <c r="K1121" s="1366">
        <f t="shared" si="55"/>
        <v>2.5258333333333334E-2</v>
      </c>
    </row>
    <row r="1122" spans="1:11" x14ac:dyDescent="0.55000000000000004">
      <c r="A1122" s="302">
        <v>43556</v>
      </c>
      <c r="B1122" s="1366">
        <v>4.0500000000000001E-2</v>
      </c>
      <c r="C1122" s="1367">
        <v>9.2999999999999992E-3</v>
      </c>
      <c r="D1122" s="1366">
        <v>2.3E-3</v>
      </c>
      <c r="E1122" s="1366">
        <v>3.075E-3</v>
      </c>
      <c r="F1122" s="1366">
        <v>3.2083333333333334E-3</v>
      </c>
      <c r="G1122" s="1366">
        <f t="shared" si="54"/>
        <v>3.1416666666666667E-3</v>
      </c>
      <c r="H1122" s="1366">
        <v>3.4000000000000002E-3</v>
      </c>
      <c r="I1122" s="1366">
        <f t="shared" si="53"/>
        <v>3.8199999999999998E-2</v>
      </c>
      <c r="J1122" s="1366">
        <f t="shared" si="56"/>
        <v>3.7358333333333334E-2</v>
      </c>
      <c r="K1122" s="1366">
        <f t="shared" si="55"/>
        <v>5.899999999999999E-3</v>
      </c>
    </row>
    <row r="1123" spans="1:11" x14ac:dyDescent="0.55000000000000004">
      <c r="A1123" s="302">
        <v>43586</v>
      </c>
      <c r="B1123" s="1366">
        <v>-6.3500000000000001E-2</v>
      </c>
      <c r="C1123" s="1367">
        <v>-7.7999999999999996E-3</v>
      </c>
      <c r="D1123" s="1366">
        <v>2.3E-3</v>
      </c>
      <c r="E1123" s="1366">
        <v>3.0583333333333335E-3</v>
      </c>
      <c r="F1123" s="1366">
        <v>3.1666666666666666E-3</v>
      </c>
      <c r="G1123" s="1366">
        <f t="shared" si="54"/>
        <v>3.1124999999999998E-3</v>
      </c>
      <c r="H1123" s="1366">
        <v>3.3166666666666665E-3</v>
      </c>
      <c r="I1123" s="1366">
        <f t="shared" si="53"/>
        <v>-6.5799999999999997E-2</v>
      </c>
      <c r="J1123" s="1366">
        <f t="shared" si="56"/>
        <v>-6.6612500000000005E-2</v>
      </c>
      <c r="K1123" s="1366">
        <f t="shared" si="55"/>
        <v>-1.1116666666666667E-2</v>
      </c>
    </row>
    <row r="1124" spans="1:11" x14ac:dyDescent="0.55000000000000004">
      <c r="A1124" s="302">
        <v>43617</v>
      </c>
      <c r="B1124" s="1366">
        <v>7.0499999999999993E-2</v>
      </c>
      <c r="C1124" s="1367">
        <v>3.2199999999999999E-2</v>
      </c>
      <c r="D1124" s="1366">
        <v>1.8E-3</v>
      </c>
      <c r="E1124" s="1366">
        <v>3.0583333333333335E-3</v>
      </c>
      <c r="F1124" s="1366">
        <v>3.1666666666666666E-3</v>
      </c>
      <c r="G1124" s="1366">
        <f t="shared" si="54"/>
        <v>3.1124999999999998E-3</v>
      </c>
      <c r="H1124" s="1366">
        <v>3.3166666666666665E-3</v>
      </c>
      <c r="I1124" s="1366">
        <f t="shared" si="53"/>
        <v>6.8699999999999997E-2</v>
      </c>
      <c r="J1124" s="1366">
        <f t="shared" si="56"/>
        <v>6.7387499999999989E-2</v>
      </c>
      <c r="K1124" s="1366">
        <f t="shared" si="55"/>
        <v>2.8883333333333334E-2</v>
      </c>
    </row>
    <row r="1125" spans="1:11" x14ac:dyDescent="0.55000000000000004">
      <c r="A1125" s="302">
        <v>43647</v>
      </c>
      <c r="B1125" s="1366">
        <v>1.44E-2</v>
      </c>
      <c r="C1125" s="1367">
        <v>-2.7000000000000001E-3</v>
      </c>
      <c r="D1125" s="1366">
        <v>2.0999999999999999E-3</v>
      </c>
      <c r="E1125" s="1366">
        <v>2.7416666666666666E-3</v>
      </c>
      <c r="F1125" s="1366">
        <v>2.8833333333333332E-3</v>
      </c>
      <c r="G1125" s="1366">
        <f t="shared" si="54"/>
        <v>2.8124999999999999E-3</v>
      </c>
      <c r="H1125" s="1366">
        <v>3.075E-3</v>
      </c>
      <c r="I1125" s="1366">
        <f t="shared" si="53"/>
        <v>1.23E-2</v>
      </c>
      <c r="J1125" s="1366">
        <f t="shared" si="56"/>
        <v>1.1587500000000001E-2</v>
      </c>
      <c r="K1125" s="1366">
        <f t="shared" si="55"/>
        <v>-5.7750000000000006E-3</v>
      </c>
    </row>
    <row r="1126" spans="1:11" x14ac:dyDescent="0.55000000000000004">
      <c r="A1126" s="302">
        <v>43678</v>
      </c>
      <c r="B1126" s="1366">
        <v>-1.5800000000000002E-2</v>
      </c>
      <c r="C1126" s="1367">
        <v>5.1299999999999998E-2</v>
      </c>
      <c r="D1126" s="1366">
        <v>1.9E-3</v>
      </c>
      <c r="E1126" s="1366">
        <v>2.7416666666666666E-3</v>
      </c>
      <c r="F1126" s="1366">
        <v>2.8833333333333332E-3</v>
      </c>
      <c r="G1126" s="1366">
        <f t="shared" si="54"/>
        <v>2.8124999999999999E-3</v>
      </c>
      <c r="H1126" s="1366">
        <v>3.075E-3</v>
      </c>
      <c r="I1126" s="1366">
        <f t="shared" si="53"/>
        <v>-1.77E-2</v>
      </c>
      <c r="J1126" s="1366">
        <f t="shared" si="56"/>
        <v>-1.8612500000000001E-2</v>
      </c>
      <c r="K1126" s="1366">
        <f t="shared" si="55"/>
        <v>4.8224999999999997E-2</v>
      </c>
    </row>
    <row r="1127" spans="1:11" x14ac:dyDescent="0.55000000000000004">
      <c r="A1127" s="302">
        <v>43709</v>
      </c>
      <c r="B1127" s="1366">
        <v>1.8700000000000001E-2</v>
      </c>
      <c r="C1127" s="1367">
        <v>4.2500000000000003E-2</v>
      </c>
      <c r="D1127" s="1366">
        <v>1.5E-3</v>
      </c>
      <c r="E1127" s="1366">
        <v>2.4833333333333331E-3</v>
      </c>
      <c r="F1127" s="1366">
        <v>2.5666666666666667E-3</v>
      </c>
      <c r="G1127" s="1366">
        <f t="shared" si="54"/>
        <v>2.5249999999999999E-3</v>
      </c>
      <c r="H1127" s="1366">
        <v>2.7416666666666666E-3</v>
      </c>
      <c r="I1127" s="1366">
        <f t="shared" si="53"/>
        <v>1.72E-2</v>
      </c>
      <c r="J1127" s="1366">
        <f t="shared" si="56"/>
        <v>1.6175000000000002E-2</v>
      </c>
      <c r="K1127" s="1366">
        <f t="shared" si="55"/>
        <v>3.975833333333334E-2</v>
      </c>
    </row>
    <row r="1128" spans="1:11" x14ac:dyDescent="0.55000000000000004">
      <c r="A1128" s="302">
        <v>43739</v>
      </c>
      <c r="B1128" s="1366">
        <v>2.1700000000000001E-2</v>
      </c>
      <c r="C1128" s="1367">
        <v>-7.7000000000000002E-3</v>
      </c>
      <c r="D1128" s="1366">
        <v>1.6000000000000001E-3</v>
      </c>
      <c r="E1128" s="1366">
        <v>2.5249999999999999E-3</v>
      </c>
      <c r="F1128" s="1366">
        <v>2.6083333333333332E-3</v>
      </c>
      <c r="G1128" s="1366">
        <f t="shared" si="54"/>
        <v>2.5666666666666667E-3</v>
      </c>
      <c r="H1128" s="1366">
        <v>2.8083333333333333E-3</v>
      </c>
      <c r="I1128" s="1366">
        <f t="shared" si="53"/>
        <v>2.01E-2</v>
      </c>
      <c r="J1128" s="1366">
        <f t="shared" si="56"/>
        <v>1.9133333333333336E-2</v>
      </c>
      <c r="K1128" s="1366">
        <f t="shared" si="55"/>
        <v>-1.0508333333333333E-2</v>
      </c>
    </row>
    <row r="1129" spans="1:11" x14ac:dyDescent="0.55000000000000004">
      <c r="A1129" s="302">
        <v>43770</v>
      </c>
      <c r="B1129" s="1366">
        <v>3.6299999999999999E-2</v>
      </c>
      <c r="C1129" s="1367">
        <v>-1.8599999999999998E-2</v>
      </c>
      <c r="D1129" s="1366">
        <v>1.6000000000000001E-3</v>
      </c>
      <c r="E1129" s="1366">
        <v>2.558333333333333E-3</v>
      </c>
      <c r="F1129" s="1366">
        <v>2.6416666666666667E-3</v>
      </c>
      <c r="G1129" s="1366">
        <f t="shared" si="54"/>
        <v>2.5999999999999999E-3</v>
      </c>
      <c r="H1129" s="1366">
        <v>2.8583333333333334E-3</v>
      </c>
      <c r="I1129" s="1366">
        <f t="shared" si="53"/>
        <v>3.4700000000000002E-2</v>
      </c>
      <c r="J1129" s="1366">
        <f t="shared" si="56"/>
        <v>3.3700000000000001E-2</v>
      </c>
      <c r="K1129" s="1366">
        <f t="shared" si="55"/>
        <v>-2.1458333333333333E-2</v>
      </c>
    </row>
    <row r="1130" spans="1:11" x14ac:dyDescent="0.55000000000000004">
      <c r="A1130" s="302">
        <v>43800</v>
      </c>
      <c r="B1130" s="1366">
        <v>3.0200000000000001E-2</v>
      </c>
      <c r="C1130" s="1367">
        <v>3.4299999999999997E-2</v>
      </c>
      <c r="D1130" s="1366">
        <v>1.8E-3</v>
      </c>
      <c r="E1130" s="1366">
        <v>2.5083333333333329E-3</v>
      </c>
      <c r="F1130" s="1366">
        <v>2.5916666666666666E-3</v>
      </c>
      <c r="G1130" s="1366">
        <f t="shared" si="54"/>
        <v>2.5499999999999997E-3</v>
      </c>
      <c r="H1130" s="1366">
        <v>2.8333333333333331E-3</v>
      </c>
      <c r="I1130" s="1366">
        <f t="shared" si="53"/>
        <v>2.8400000000000002E-2</v>
      </c>
      <c r="J1130" s="1366">
        <f t="shared" si="56"/>
        <v>2.7650000000000001E-2</v>
      </c>
      <c r="K1130" s="1366">
        <f t="shared" si="55"/>
        <v>3.1466666666666664E-2</v>
      </c>
    </row>
    <row r="1131" spans="1:11" x14ac:dyDescent="0.55000000000000004">
      <c r="A1131" s="302">
        <v>43831</v>
      </c>
      <c r="B1131" s="1366">
        <v>-4.0000000000000002E-4</v>
      </c>
      <c r="C1131" s="1367">
        <v>6.6500000000000004E-2</v>
      </c>
      <c r="D1131" s="1366">
        <v>2E-3</v>
      </c>
      <c r="E1131" s="1366">
        <v>2.3499999999999997E-3</v>
      </c>
      <c r="F1131" s="1366">
        <v>2.3916666666666665E-3</v>
      </c>
      <c r="G1131" s="1366">
        <f t="shared" si="54"/>
        <v>2.3708333333333333E-3</v>
      </c>
      <c r="H1131" s="1366">
        <v>2.6083333333333332E-3</v>
      </c>
      <c r="I1131" s="1366">
        <f t="shared" si="53"/>
        <v>-2.4000000000000002E-3</v>
      </c>
      <c r="J1131" s="1366">
        <f t="shared" si="56"/>
        <v>-2.7708333333333335E-3</v>
      </c>
      <c r="K1131" s="1366">
        <f t="shared" si="55"/>
        <v>6.3891666666666666E-2</v>
      </c>
    </row>
    <row r="1132" spans="1:11" x14ac:dyDescent="0.55000000000000004">
      <c r="A1132" s="302">
        <v>43862</v>
      </c>
      <c r="B1132" s="1366">
        <v>-8.2299999999999998E-2</v>
      </c>
      <c r="C1132" s="1367">
        <v>-9.8500000000000004E-2</v>
      </c>
      <c r="D1132" s="1366">
        <v>1.5E-3</v>
      </c>
      <c r="E1132" s="1366">
        <v>2.4499999999999999E-3</v>
      </c>
      <c r="F1132" s="1366">
        <v>2.5166666666666666E-3</v>
      </c>
      <c r="G1132" s="1366">
        <f t="shared" si="54"/>
        <v>2.4833333333333331E-3</v>
      </c>
      <c r="H1132" s="1366">
        <v>2.7416666666666666E-3</v>
      </c>
      <c r="I1132" s="1366">
        <f t="shared" si="53"/>
        <v>-8.3799999999999999E-2</v>
      </c>
      <c r="J1132" s="1366">
        <f t="shared" si="56"/>
        <v>-8.4783333333333336E-2</v>
      </c>
      <c r="K1132" s="1366">
        <f t="shared" si="55"/>
        <v>-0.10124166666666667</v>
      </c>
    </row>
    <row r="1133" spans="1:11" x14ac:dyDescent="0.55000000000000004">
      <c r="A1133" s="302">
        <v>43891</v>
      </c>
      <c r="B1133" s="1366">
        <v>-0.1235</v>
      </c>
      <c r="C1133" s="1367">
        <v>-9.9900000000000003E-2</v>
      </c>
      <c r="D1133" s="1366">
        <v>1.23E-3</v>
      </c>
      <c r="E1133" s="1366">
        <v>2.316666666666667E-3</v>
      </c>
      <c r="F1133" s="1366">
        <v>2.3750000000000004E-3</v>
      </c>
      <c r="G1133" s="1366">
        <f t="shared" si="54"/>
        <v>2.3458333333333335E-3</v>
      </c>
      <c r="H1133" s="1366">
        <v>2.5916666666666666E-3</v>
      </c>
      <c r="I1133" s="1366">
        <f t="shared" si="53"/>
        <v>-0.12472999999999999</v>
      </c>
      <c r="J1133" s="1366">
        <f t="shared" si="56"/>
        <v>-0.12584583333333332</v>
      </c>
      <c r="K1133" s="1366">
        <f t="shared" si="55"/>
        <v>-0.10249166666666668</v>
      </c>
    </row>
    <row r="1134" spans="1:11" x14ac:dyDescent="0.55000000000000004">
      <c r="A1134" s="302">
        <v>43922</v>
      </c>
      <c r="B1134" s="1366">
        <v>0.12820000000000001</v>
      </c>
      <c r="C1134" s="1367">
        <v>3.2300000000000002E-2</v>
      </c>
      <c r="D1134" s="1366">
        <v>8.9999999999999998E-4</v>
      </c>
      <c r="E1134" s="1366">
        <v>2.0250000000000003E-3</v>
      </c>
      <c r="F1134" s="1366">
        <v>2.2916666666666667E-3</v>
      </c>
      <c r="G1134" s="1366">
        <f t="shared" si="54"/>
        <v>2.1583333333333333E-3</v>
      </c>
      <c r="H1134" s="1366">
        <v>2.6583333333333333E-3</v>
      </c>
      <c r="I1134" s="1366">
        <f t="shared" si="53"/>
        <v>0.1273</v>
      </c>
      <c r="J1134" s="1366">
        <f t="shared" si="56"/>
        <v>0.12604166666666666</v>
      </c>
      <c r="K1134" s="1366">
        <f t="shared" si="55"/>
        <v>2.964166666666667E-2</v>
      </c>
    </row>
    <row r="1135" spans="1:11" x14ac:dyDescent="0.55000000000000004">
      <c r="A1135" s="302">
        <v>43952</v>
      </c>
      <c r="B1135" s="1366">
        <v>4.7600000000000003E-2</v>
      </c>
      <c r="C1135" s="1367">
        <v>4.3499999999999997E-2</v>
      </c>
      <c r="D1135" s="1366">
        <v>8.9999999999999998E-4</v>
      </c>
      <c r="E1135" s="1366">
        <v>2.075E-3</v>
      </c>
      <c r="F1135" s="1366">
        <v>2.2666666666666668E-3</v>
      </c>
      <c r="G1135" s="1366">
        <f t="shared" si="54"/>
        <v>2.1708333333333336E-3</v>
      </c>
      <c r="H1135" s="1366">
        <v>2.6166666666666664E-3</v>
      </c>
      <c r="I1135" s="1366">
        <f t="shared" si="53"/>
        <v>4.6700000000000005E-2</v>
      </c>
      <c r="J1135" s="1366">
        <f t="shared" si="56"/>
        <v>4.5429166666666673E-2</v>
      </c>
      <c r="K1135" s="1366">
        <f t="shared" si="55"/>
        <v>4.0883333333333327E-2</v>
      </c>
    </row>
    <row r="1136" spans="1:11" x14ac:dyDescent="0.55000000000000004">
      <c r="A1136" s="302">
        <v>43983</v>
      </c>
      <c r="B1136" s="1366">
        <v>1.9900000000000001E-2</v>
      </c>
      <c r="C1136" s="1367">
        <v>-4.65E-2</v>
      </c>
      <c r="D1136" s="1366">
        <v>8.9999999999999998E-4</v>
      </c>
      <c r="E1136" s="1366">
        <v>2.0083333333333333E-3</v>
      </c>
      <c r="F1136" s="1366">
        <v>2.1916666666666664E-3</v>
      </c>
      <c r="G1136" s="1366">
        <f t="shared" si="54"/>
        <v>2.0999999999999999E-3</v>
      </c>
      <c r="H1136" s="1366">
        <v>2.558333333333333E-3</v>
      </c>
      <c r="I1136" s="1366">
        <f t="shared" si="53"/>
        <v>1.9E-2</v>
      </c>
      <c r="J1136" s="1366">
        <f t="shared" si="56"/>
        <v>1.78E-2</v>
      </c>
      <c r="K1136" s="1366">
        <f t="shared" si="55"/>
        <v>-4.9058333333333336E-2</v>
      </c>
    </row>
    <row r="1137" spans="1:11" x14ac:dyDescent="0.55000000000000004">
      <c r="A1137" s="302">
        <v>44013</v>
      </c>
      <c r="B1137" s="1366">
        <v>5.6399999999999999E-2</v>
      </c>
      <c r="C1137" s="1367">
        <v>7.8200000000000006E-2</v>
      </c>
      <c r="D1137" s="1366">
        <v>1E-3</v>
      </c>
      <c r="E1137" s="1366">
        <v>1.6916666666666666E-3</v>
      </c>
      <c r="F1137" s="1366">
        <v>1.8166666666666667E-3</v>
      </c>
      <c r="G1137" s="1366">
        <f t="shared" si="54"/>
        <v>1.7541666666666667E-3</v>
      </c>
      <c r="H1137" s="1366">
        <v>2.1333333333333334E-3</v>
      </c>
      <c r="I1137" s="1366">
        <f t="shared" si="53"/>
        <v>5.5399999999999998E-2</v>
      </c>
      <c r="J1137" s="1366">
        <f t="shared" si="56"/>
        <v>5.4645833333333331E-2</v>
      </c>
      <c r="K1137" s="1366">
        <f t="shared" si="55"/>
        <v>7.6066666666666671E-2</v>
      </c>
    </row>
    <row r="1138" spans="1:11" x14ac:dyDescent="0.55000000000000004">
      <c r="A1138" s="302">
        <v>44044</v>
      </c>
      <c r="B1138" s="1366">
        <v>7.1900000000000006E-2</v>
      </c>
      <c r="C1138" s="1367">
        <v>-2.6499999999999999E-2</v>
      </c>
      <c r="D1138" s="1366">
        <v>8.0000000000000004E-4</v>
      </c>
      <c r="E1138" s="1366">
        <v>1.8749999999999999E-3</v>
      </c>
      <c r="F1138" s="1366">
        <v>1.9750000000000002E-3</v>
      </c>
      <c r="G1138" s="1366">
        <f t="shared" si="54"/>
        <v>1.9250000000000001E-3</v>
      </c>
      <c r="H1138" s="1366">
        <v>2.2750000000000001E-3</v>
      </c>
      <c r="I1138" s="1366">
        <f t="shared" si="53"/>
        <v>7.110000000000001E-2</v>
      </c>
      <c r="J1138" s="1366">
        <f t="shared" si="56"/>
        <v>6.9975000000000009E-2</v>
      </c>
      <c r="K1138" s="1366">
        <f t="shared" si="55"/>
        <v>-2.8774999999999998E-2</v>
      </c>
    </row>
    <row r="1139" spans="1:11" x14ac:dyDescent="0.55000000000000004">
      <c r="A1139" s="302">
        <v>44075</v>
      </c>
      <c r="B1139" s="1366">
        <v>-3.7999999999999999E-2</v>
      </c>
      <c r="C1139" s="1367">
        <v>1.1208634977297001E-2</v>
      </c>
      <c r="D1139" s="1366">
        <v>0</v>
      </c>
      <c r="E1139" s="1366">
        <v>1.9250000000000001E-3</v>
      </c>
      <c r="F1139" s="1366">
        <v>2.0583333333333335E-3</v>
      </c>
      <c r="G1139" s="1366">
        <f t="shared" si="54"/>
        <v>1.9916666666666668E-3</v>
      </c>
      <c r="H1139" s="1366">
        <v>2.3666666666666667E-3</v>
      </c>
      <c r="I1139" s="1366">
        <f t="shared" si="53"/>
        <v>-3.7999999999999999E-2</v>
      </c>
      <c r="J1139" s="1366">
        <f t="shared" si="56"/>
        <v>-3.9991666666666668E-2</v>
      </c>
      <c r="K1139" s="1366">
        <f t="shared" si="55"/>
        <v>8.8419683106303344E-3</v>
      </c>
    </row>
    <row r="1140" spans="1:11" x14ac:dyDescent="0.55000000000000004">
      <c r="A1140" s="302">
        <v>44105</v>
      </c>
      <c r="B1140" s="1366">
        <v>-2.6599999999999999E-2</v>
      </c>
      <c r="C1140" s="1367">
        <v>5.04E-2</v>
      </c>
      <c r="D1140" s="1366">
        <v>8.9999999999999998E-4</v>
      </c>
      <c r="E1140" s="1366">
        <v>1.9583333333333332E-3</v>
      </c>
      <c r="F1140" s="1366">
        <v>2.1250000000000002E-3</v>
      </c>
      <c r="G1140" s="1366">
        <f t="shared" ref="G1140:G1171" si="57">AVERAGE(E1140:F1140)</f>
        <v>2.0416666666666665E-3</v>
      </c>
      <c r="H1140" s="1366">
        <v>2.4583333333333336E-3</v>
      </c>
      <c r="I1140" s="1366">
        <f t="shared" si="53"/>
        <v>-2.75E-2</v>
      </c>
      <c r="J1140" s="1366">
        <f t="shared" si="56"/>
        <v>-2.8641666666666666E-2</v>
      </c>
      <c r="K1140" s="1366">
        <f t="shared" ref="K1140:K1171" si="58">C1140-H1140</f>
        <v>4.7941666666666667E-2</v>
      </c>
    </row>
    <row r="1141" spans="1:11" x14ac:dyDescent="0.55000000000000004">
      <c r="A1141" s="302">
        <v>44136</v>
      </c>
      <c r="B1141" s="1366">
        <v>0.1095</v>
      </c>
      <c r="C1141" s="1367">
        <v>7.3522810716743856E-3</v>
      </c>
      <c r="D1141" s="1366">
        <v>1.1000000000000001E-3</v>
      </c>
      <c r="E1141" s="1366">
        <v>1.9166666666666666E-3</v>
      </c>
      <c r="F1141" s="1366">
        <v>2.0583333333333335E-3</v>
      </c>
      <c r="G1141" s="1366">
        <f t="shared" si="57"/>
        <v>1.9875000000000001E-3</v>
      </c>
      <c r="H1141" s="1366">
        <v>2.3750000000000004E-3</v>
      </c>
      <c r="I1141" s="1366">
        <f t="shared" si="53"/>
        <v>0.1084</v>
      </c>
      <c r="J1141" s="1366">
        <f t="shared" si="56"/>
        <v>0.1075125</v>
      </c>
      <c r="K1141" s="1366">
        <f t="shared" si="58"/>
        <v>4.9772810716743852E-3</v>
      </c>
    </row>
    <row r="1142" spans="1:11" x14ac:dyDescent="0.55000000000000004">
      <c r="A1142" s="302">
        <v>44166</v>
      </c>
      <c r="B1142" s="1366">
        <v>3.8399999999999997E-2</v>
      </c>
      <c r="C1142" s="1367">
        <v>7.0325529758781969E-3</v>
      </c>
      <c r="D1142" s="1366">
        <v>1.1000000000000001E-3</v>
      </c>
      <c r="E1142" s="1366">
        <v>1.8833333333333332E-3</v>
      </c>
      <c r="F1142" s="1366">
        <v>2.0333333333333332E-3</v>
      </c>
      <c r="G1142" s="1366">
        <f t="shared" si="57"/>
        <v>1.9583333333333332E-3</v>
      </c>
      <c r="H1142" s="1366">
        <v>2.3083333333333332E-3</v>
      </c>
      <c r="I1142" s="1366">
        <f t="shared" si="53"/>
        <v>3.73E-2</v>
      </c>
      <c r="J1142" s="1366">
        <f t="shared" si="56"/>
        <v>3.6441666666666664E-2</v>
      </c>
      <c r="K1142" s="1366">
        <f t="shared" si="58"/>
        <v>4.7242196425448637E-3</v>
      </c>
    </row>
    <row r="1143" spans="1:11" x14ac:dyDescent="0.55000000000000004">
      <c r="A1143" s="302">
        <v>44197</v>
      </c>
      <c r="B1143" s="1366">
        <v>-1.01E-2</v>
      </c>
      <c r="C1143" s="1367">
        <v>-9.1490879490143378E-3</v>
      </c>
      <c r="D1143" s="1366">
        <v>1.1000000000000001E-3</v>
      </c>
      <c r="E1143" s="1366">
        <v>2.0416666666666669E-3</v>
      </c>
      <c r="F1143" s="1366">
        <v>2.1749999999999999E-3</v>
      </c>
      <c r="G1143" s="1366">
        <f t="shared" si="57"/>
        <v>2.1083333333333336E-3</v>
      </c>
      <c r="H1143" s="1366">
        <v>2.4250000000000001E-3</v>
      </c>
      <c r="I1143" s="1366">
        <f t="shared" si="53"/>
        <v>-1.12E-2</v>
      </c>
      <c r="J1143" s="1366">
        <f t="shared" si="56"/>
        <v>-1.2208333333333333E-2</v>
      </c>
      <c r="K1143" s="1366">
        <f t="shared" si="58"/>
        <v>-1.1574087949014338E-2</v>
      </c>
    </row>
    <row r="1144" spans="1:11" x14ac:dyDescent="0.55000000000000004">
      <c r="A1144" s="302">
        <v>44228</v>
      </c>
      <c r="B1144" s="1366">
        <v>2.76E-2</v>
      </c>
      <c r="C1144" s="1367">
        <v>-6.0949635783169254E-2</v>
      </c>
      <c r="D1144" s="1366">
        <v>1.1999999999999999E-3</v>
      </c>
      <c r="E1144" s="1366">
        <v>2.2500000000000003E-3</v>
      </c>
      <c r="F1144" s="1366">
        <v>2.3583333333333334E-3</v>
      </c>
      <c r="G1144" s="1366">
        <f t="shared" si="57"/>
        <v>2.304166666666667E-3</v>
      </c>
      <c r="H1144" s="1366">
        <v>2.575E-3</v>
      </c>
      <c r="I1144" s="1366">
        <f t="shared" si="53"/>
        <v>2.64E-2</v>
      </c>
      <c r="J1144" s="1366">
        <f t="shared" si="56"/>
        <v>2.5295833333333333E-2</v>
      </c>
      <c r="K1144" s="1366">
        <f t="shared" si="58"/>
        <v>-6.3524635783169248E-2</v>
      </c>
    </row>
    <row r="1145" spans="1:11" x14ac:dyDescent="0.55000000000000004">
      <c r="A1145" s="302">
        <v>44256</v>
      </c>
      <c r="B1145" s="1366">
        <v>4.3799999999999999E-2</v>
      </c>
      <c r="C1145" s="1367">
        <v>0.10498835014976989</v>
      </c>
      <c r="D1145" s="1366">
        <v>1.8E-3</v>
      </c>
      <c r="E1145" s="1366">
        <v>2.5333333333333336E-3</v>
      </c>
      <c r="F1145" s="1366">
        <v>2.6416666666666667E-3</v>
      </c>
      <c r="G1145" s="1366">
        <f t="shared" si="57"/>
        <v>2.5875000000000004E-3</v>
      </c>
      <c r="H1145" s="1366">
        <v>2.8666666666666667E-3</v>
      </c>
      <c r="I1145" s="1366">
        <f t="shared" si="53"/>
        <v>4.1999999999999996E-2</v>
      </c>
      <c r="J1145" s="1366">
        <f t="shared" si="56"/>
        <v>4.1212499999999999E-2</v>
      </c>
      <c r="K1145" s="1366">
        <f t="shared" si="58"/>
        <v>0.10212168348310321</v>
      </c>
    </row>
    <row r="1146" spans="1:11" x14ac:dyDescent="0.55000000000000004">
      <c r="A1146" s="302">
        <v>44287</v>
      </c>
      <c r="B1146" s="1366">
        <v>5.3400000000000003E-2</v>
      </c>
      <c r="C1146" s="1367">
        <v>4.2771092437836097E-2</v>
      </c>
      <c r="D1146" s="1366">
        <v>1.9E-3</v>
      </c>
      <c r="E1146" s="1366">
        <v>2.4166666666666668E-3</v>
      </c>
      <c r="F1146" s="1366">
        <v>2.5249999999999999E-3</v>
      </c>
      <c r="G1146" s="1366">
        <f t="shared" si="57"/>
        <v>2.4708333333333336E-3</v>
      </c>
      <c r="H1146" s="1366">
        <v>2.7499999999999998E-3</v>
      </c>
      <c r="I1146" s="1366">
        <f t="shared" si="53"/>
        <v>5.1500000000000004E-2</v>
      </c>
      <c r="J1146" s="1366">
        <f t="shared" si="56"/>
        <v>5.0929166666666671E-2</v>
      </c>
      <c r="K1146" s="1366">
        <f t="shared" si="58"/>
        <v>4.0021092437836095E-2</v>
      </c>
    </row>
    <row r="1147" spans="1:11" x14ac:dyDescent="0.55000000000000004">
      <c r="A1147" s="302">
        <v>44317</v>
      </c>
      <c r="B1147" s="1366">
        <v>7.0000000000000001E-3</v>
      </c>
      <c r="C1147" s="1367">
        <v>-2.3727991736619838E-2</v>
      </c>
      <c r="D1147" s="1366">
        <v>1.8E-3</v>
      </c>
      <c r="E1147" s="1366">
        <v>2.4666666666666669E-3</v>
      </c>
      <c r="F1147" s="1366">
        <v>2.558333333333333E-3</v>
      </c>
      <c r="G1147" s="1366">
        <f t="shared" si="57"/>
        <v>2.5125E-3</v>
      </c>
      <c r="H1147" s="1366">
        <v>2.7750000000000001E-3</v>
      </c>
      <c r="I1147" s="1366">
        <f t="shared" si="53"/>
        <v>5.1999999999999998E-3</v>
      </c>
      <c r="J1147" s="1366">
        <f t="shared" si="56"/>
        <v>4.4875000000000002E-3</v>
      </c>
      <c r="K1147" s="1366">
        <f t="shared" si="58"/>
        <v>-2.6502991736619838E-2</v>
      </c>
    </row>
    <row r="1148" spans="1:11" x14ac:dyDescent="0.55000000000000004">
      <c r="A1148" s="302">
        <v>44348</v>
      </c>
      <c r="B1148" s="1366">
        <v>2.3300000000000001E-2</v>
      </c>
      <c r="C1148" s="1367">
        <v>-2.1629631904666716E-2</v>
      </c>
      <c r="D1148" s="1366">
        <v>1.6999999999999999E-3</v>
      </c>
      <c r="E1148" s="1366">
        <v>2.3250000000000002E-3</v>
      </c>
      <c r="F1148" s="1366">
        <v>2.4250000000000001E-3</v>
      </c>
      <c r="G1148" s="1366">
        <f t="shared" si="57"/>
        <v>2.3750000000000004E-3</v>
      </c>
      <c r="H1148" s="1366">
        <v>2.6333333333333334E-3</v>
      </c>
      <c r="I1148" s="1366">
        <f t="shared" si="53"/>
        <v>2.1600000000000001E-2</v>
      </c>
      <c r="J1148" s="1366">
        <f t="shared" si="56"/>
        <v>2.0924999999999999E-2</v>
      </c>
      <c r="K1148" s="1366">
        <f t="shared" si="58"/>
        <v>-2.4262965238000051E-2</v>
      </c>
    </row>
    <row r="1149" spans="1:11" x14ac:dyDescent="0.55000000000000004">
      <c r="A1149" s="302">
        <v>44378</v>
      </c>
      <c r="B1149" s="1366">
        <v>2.3800000000000002E-2</v>
      </c>
      <c r="C1149" s="1367">
        <v>3.8580129254477007E-2</v>
      </c>
      <c r="D1149" s="1366">
        <v>1.6000000000000001E-3</v>
      </c>
      <c r="E1149" s="1366">
        <v>2.1416666666666663E-3</v>
      </c>
      <c r="F1149" s="1366">
        <v>2.2583333333333331E-3</v>
      </c>
      <c r="G1149" s="1366">
        <f t="shared" si="57"/>
        <v>2.1999999999999997E-3</v>
      </c>
      <c r="H1149" s="1366">
        <v>2.4583333333333336E-3</v>
      </c>
      <c r="I1149" s="1366">
        <f t="shared" si="53"/>
        <v>2.2200000000000001E-2</v>
      </c>
      <c r="J1149" s="1366">
        <f t="shared" si="56"/>
        <v>2.1600000000000001E-2</v>
      </c>
      <c r="K1149" s="1366">
        <f t="shared" si="58"/>
        <v>3.6121795921143673E-2</v>
      </c>
    </row>
    <row r="1150" spans="1:11" x14ac:dyDescent="0.55000000000000004">
      <c r="A1150" s="302">
        <v>44409</v>
      </c>
      <c r="B1150" s="1366">
        <v>3.04E-2</v>
      </c>
      <c r="C1150" s="1367">
        <v>3.9754994769648354E-2</v>
      </c>
      <c r="D1150" s="1366">
        <v>1.5E-3</v>
      </c>
      <c r="E1150" s="1366">
        <v>2.1250000000000002E-3</v>
      </c>
      <c r="F1150" s="1366">
        <v>2.2750000000000001E-3</v>
      </c>
      <c r="G1150" s="1366">
        <f t="shared" si="57"/>
        <v>2.2000000000000001E-3</v>
      </c>
      <c r="H1150" s="1366">
        <v>2.4583333333333336E-3</v>
      </c>
      <c r="I1150" s="1366">
        <f t="shared" si="53"/>
        <v>2.8899999999999999E-2</v>
      </c>
      <c r="J1150" s="1366">
        <f t="shared" si="56"/>
        <v>2.8199999999999999E-2</v>
      </c>
      <c r="K1150" s="1366">
        <f t="shared" si="58"/>
        <v>3.7296661436315021E-2</v>
      </c>
    </row>
    <row r="1151" spans="1:11" x14ac:dyDescent="0.55000000000000004">
      <c r="A1151" s="302">
        <v>44440</v>
      </c>
      <c r="B1151" s="1366">
        <v>-4.65E-2</v>
      </c>
      <c r="C1151" s="1367">
        <v>-6.1694618844009501E-2</v>
      </c>
      <c r="D1151" s="1366">
        <v>1.4E-3</v>
      </c>
      <c r="E1151" s="1366">
        <v>2.1083333333333332E-3</v>
      </c>
      <c r="F1151" s="1366">
        <v>2.2750000000000001E-3</v>
      </c>
      <c r="G1151" s="1366">
        <f t="shared" si="57"/>
        <v>2.1916666666666664E-3</v>
      </c>
      <c r="H1151" s="1366">
        <v>2.4666666666666669E-3</v>
      </c>
      <c r="I1151" s="1366">
        <f t="shared" si="53"/>
        <v>-4.7899999999999998E-2</v>
      </c>
      <c r="J1151" s="1366">
        <f t="shared" si="56"/>
        <v>-4.8691666666666668E-2</v>
      </c>
      <c r="K1151" s="1366">
        <f t="shared" si="58"/>
        <v>-6.4161285510676166E-2</v>
      </c>
    </row>
    <row r="1152" spans="1:11" x14ac:dyDescent="0.55000000000000004">
      <c r="A1152" s="302">
        <v>44470</v>
      </c>
      <c r="B1152" s="1366">
        <v>7.0099999999999996E-2</v>
      </c>
      <c r="C1152" s="1367">
        <v>4.7338249999999998E-2</v>
      </c>
      <c r="D1152" s="1366">
        <v>1.5E-3</v>
      </c>
      <c r="E1152" s="1366">
        <v>2.2333333333333337E-3</v>
      </c>
      <c r="F1152" s="1366">
        <v>2.3833333333333332E-3</v>
      </c>
      <c r="G1152" s="1366">
        <f t="shared" si="57"/>
        <v>2.3083333333333332E-3</v>
      </c>
      <c r="H1152" s="1366">
        <v>2.575E-3</v>
      </c>
      <c r="I1152" s="1366">
        <f t="shared" si="53"/>
        <v>6.8599999999999994E-2</v>
      </c>
      <c r="J1152" s="1366">
        <f t="shared" si="56"/>
        <v>6.7791666666666667E-2</v>
      </c>
      <c r="K1152" s="1366">
        <f t="shared" si="58"/>
        <v>4.4763249999999997E-2</v>
      </c>
    </row>
    <row r="1153" spans="1:11" x14ac:dyDescent="0.55000000000000004">
      <c r="A1153" s="302">
        <v>44501</v>
      </c>
      <c r="B1153" s="1366">
        <v>-6.8999999999999999E-3</v>
      </c>
      <c r="C1153" s="1367">
        <v>-1.6393896390234163E-2</v>
      </c>
      <c r="D1153" s="1366">
        <v>1.6999999999999999E-3</v>
      </c>
      <c r="E1153" s="1366">
        <v>2.1833333333333336E-3</v>
      </c>
      <c r="F1153" s="1366">
        <v>2.3083333333333332E-3</v>
      </c>
      <c r="G1153" s="1366">
        <f t="shared" si="57"/>
        <v>2.2458333333333332E-3</v>
      </c>
      <c r="H1153" s="1366">
        <v>2.5166666666666666E-3</v>
      </c>
      <c r="I1153" s="1366">
        <f t="shared" si="53"/>
        <v>-8.6E-3</v>
      </c>
      <c r="J1153" s="1366">
        <f t="shared" si="56"/>
        <v>-9.1458333333333322E-3</v>
      </c>
      <c r="K1153" s="1366">
        <f t="shared" si="58"/>
        <v>-1.891056305690083E-2</v>
      </c>
    </row>
    <row r="1154" spans="1:11" x14ac:dyDescent="0.55000000000000004">
      <c r="A1154" s="302">
        <v>44531</v>
      </c>
      <c r="B1154" s="1366">
        <v>4.48E-2</v>
      </c>
      <c r="C1154" s="1366">
        <v>9.6216364270722721E-2</v>
      </c>
      <c r="D1154" s="1366">
        <v>1.5E-3</v>
      </c>
      <c r="E1154" s="1366">
        <v>2.2000000000000001E-3</v>
      </c>
      <c r="F1154" s="1366">
        <v>2.3083333333333332E-3</v>
      </c>
      <c r="G1154" s="1366">
        <f t="shared" si="57"/>
        <v>2.2541666666666665E-3</v>
      </c>
      <c r="H1154" s="1366">
        <v>2.5333333333333336E-3</v>
      </c>
      <c r="I1154" s="1366">
        <f t="shared" si="53"/>
        <v>4.3299999999999998E-2</v>
      </c>
      <c r="J1154" s="1366">
        <f t="shared" si="56"/>
        <v>4.2545833333333331E-2</v>
      </c>
      <c r="K1154" s="1366">
        <f t="shared" si="58"/>
        <v>9.3683030937389389E-2</v>
      </c>
    </row>
    <row r="1155" spans="1:11" x14ac:dyDescent="0.55000000000000004">
      <c r="A1155" s="302">
        <v>44562</v>
      </c>
      <c r="B1155" s="1366">
        <v>-5.1700000000000003E-2</v>
      </c>
      <c r="C1155" s="1366">
        <v>-3.2749444684625581E-2</v>
      </c>
      <c r="D1155" s="1366">
        <v>1.6999999999999999E-3</v>
      </c>
      <c r="E1155" s="1366">
        <v>2.4416666666666666E-3</v>
      </c>
      <c r="F1155" s="1366">
        <v>2.5166666666666666E-3</v>
      </c>
      <c r="G1155" s="1366">
        <f t="shared" si="57"/>
        <v>2.4791666666666668E-3</v>
      </c>
      <c r="H1155" s="1366">
        <v>2.7750000000000001E-3</v>
      </c>
      <c r="I1155" s="1366">
        <f t="shared" si="53"/>
        <v>-5.3400000000000003E-2</v>
      </c>
      <c r="J1155" s="1366">
        <f t="shared" si="56"/>
        <v>-5.4179166666666667E-2</v>
      </c>
      <c r="K1155" s="1366">
        <f t="shared" si="58"/>
        <v>-3.5524444684625581E-2</v>
      </c>
    </row>
    <row r="1156" spans="1:11" x14ac:dyDescent="0.55000000000000004">
      <c r="A1156" s="302">
        <v>44593</v>
      </c>
      <c r="B1156" s="1366">
        <v>-2.9899999999999999E-2</v>
      </c>
      <c r="C1156" s="1366">
        <v>-3.4091901875676428E-2</v>
      </c>
      <c r="D1156" s="1366">
        <v>1.6999999999999999E-3</v>
      </c>
      <c r="E1156" s="1366">
        <v>2.708333333333333E-3</v>
      </c>
      <c r="F1156" s="1366">
        <v>2.7999999999999995E-3</v>
      </c>
      <c r="G1156" s="1366">
        <f t="shared" si="57"/>
        <v>2.754166666666666E-3</v>
      </c>
      <c r="H1156" s="1366">
        <v>3.0666666666666672E-3</v>
      </c>
      <c r="I1156" s="1366">
        <f t="shared" ref="I1156:I1191" si="59">B1156-D1156</f>
        <v>-3.1599999999999996E-2</v>
      </c>
      <c r="J1156" s="1366">
        <f t="shared" si="56"/>
        <v>-3.2654166666666665E-2</v>
      </c>
      <c r="K1156" s="1366">
        <f t="shared" si="58"/>
        <v>-3.7158568542343097E-2</v>
      </c>
    </row>
    <row r="1157" spans="1:11" x14ac:dyDescent="0.55000000000000004">
      <c r="A1157" s="302">
        <v>44621</v>
      </c>
      <c r="B1157" s="1366">
        <v>3.7100000000000001E-2</v>
      </c>
      <c r="C1157" s="1366">
        <v>0.1034017927240516</v>
      </c>
      <c r="D1157" s="1366">
        <v>2E-3</v>
      </c>
      <c r="E1157" s="1366">
        <v>2.8583333333333334E-3</v>
      </c>
      <c r="F1157" s="1366">
        <v>3.0166666666666671E-3</v>
      </c>
      <c r="G1157" s="1366">
        <f t="shared" si="57"/>
        <v>2.9375E-3</v>
      </c>
      <c r="H1157" s="1366">
        <v>3.3166666666666665E-3</v>
      </c>
      <c r="I1157" s="1366">
        <f t="shared" si="59"/>
        <v>3.5099999999999999E-2</v>
      </c>
      <c r="J1157" s="1366">
        <f t="shared" si="56"/>
        <v>3.4162499999999998E-2</v>
      </c>
      <c r="K1157" s="1366">
        <f t="shared" si="58"/>
        <v>0.10008512605738494</v>
      </c>
    </row>
    <row r="1158" spans="1:11" x14ac:dyDescent="0.55000000000000004">
      <c r="A1158" s="302">
        <v>44652</v>
      </c>
      <c r="B1158" s="1366">
        <v>-8.72E-2</v>
      </c>
      <c r="C1158" s="1366">
        <v>-4.2501222696682647E-2</v>
      </c>
      <c r="D1158" s="1366">
        <v>2.0999999999999999E-3</v>
      </c>
      <c r="E1158" s="1366">
        <v>3.1250000000000002E-3</v>
      </c>
      <c r="F1158" s="1366">
        <v>3.2666666666666664E-3</v>
      </c>
      <c r="G1158" s="1366">
        <f t="shared" si="57"/>
        <v>3.1958333333333335E-3</v>
      </c>
      <c r="H1158" s="1366">
        <v>3.5833333333333333E-3</v>
      </c>
      <c r="I1158" s="1366">
        <f t="shared" si="59"/>
        <v>-8.9300000000000004E-2</v>
      </c>
      <c r="J1158" s="1366">
        <f t="shared" si="56"/>
        <v>-9.0395833333333328E-2</v>
      </c>
      <c r="K1158" s="1366">
        <f t="shared" si="58"/>
        <v>-4.6084556030015981E-2</v>
      </c>
    </row>
    <row r="1159" spans="1:11" x14ac:dyDescent="0.55000000000000004">
      <c r="A1159" s="302">
        <v>44682</v>
      </c>
      <c r="B1159" s="1366">
        <v>1.8E-3</v>
      </c>
      <c r="C1159" s="1366">
        <v>4.3040973370551114E-2</v>
      </c>
      <c r="D1159" s="1366">
        <v>2.8E-3</v>
      </c>
      <c r="E1159" s="1366">
        <v>3.4416666666666667E-3</v>
      </c>
      <c r="F1159" s="1366">
        <v>3.6333333333333335E-3</v>
      </c>
      <c r="G1159" s="1366">
        <f t="shared" si="57"/>
        <v>3.5374999999999998E-3</v>
      </c>
      <c r="H1159" s="1366">
        <v>3.9583333333333328E-3</v>
      </c>
      <c r="I1159" s="1366">
        <f t="shared" si="59"/>
        <v>-1E-3</v>
      </c>
      <c r="J1159" s="1366">
        <f t="shared" si="56"/>
        <v>-1.7374999999999999E-3</v>
      </c>
      <c r="K1159" s="1366">
        <f t="shared" si="58"/>
        <v>3.9082640037217779E-2</v>
      </c>
    </row>
    <row r="1160" spans="1:11" x14ac:dyDescent="0.55000000000000004">
      <c r="A1160" s="302">
        <v>44713</v>
      </c>
      <c r="B1160" s="1366">
        <v>-8.2500000000000004E-2</v>
      </c>
      <c r="C1160" s="1366">
        <v>-4.972550324722623E-2</v>
      </c>
      <c r="D1160" s="1366">
        <v>2.8E-3</v>
      </c>
      <c r="E1160" s="1366">
        <v>3.5333333333333332E-3</v>
      </c>
      <c r="F1160" s="1366">
        <v>3.741666666666667E-3</v>
      </c>
      <c r="G1160" s="1366">
        <f t="shared" si="57"/>
        <v>3.6375000000000001E-3</v>
      </c>
      <c r="H1160" s="1366">
        <v>4.0500000000000006E-3</v>
      </c>
      <c r="I1160" s="1366">
        <f t="shared" si="59"/>
        <v>-8.5300000000000001E-2</v>
      </c>
      <c r="J1160" s="1366">
        <f t="shared" si="56"/>
        <v>-8.6137500000000006E-2</v>
      </c>
      <c r="K1160" s="1366">
        <f t="shared" si="58"/>
        <v>-5.3775503247226228E-2</v>
      </c>
    </row>
    <row r="1161" spans="1:11" x14ac:dyDescent="0.55000000000000004">
      <c r="A1161" s="302">
        <v>44743</v>
      </c>
      <c r="B1161" s="1366">
        <v>9.2200000000000004E-2</v>
      </c>
      <c r="C1161" s="1366">
        <v>5.4986062858527911E-2</v>
      </c>
      <c r="D1161" s="1366">
        <v>2.7000000000000001E-3</v>
      </c>
      <c r="E1161" s="1366">
        <v>3.3833333333333332E-3</v>
      </c>
      <c r="F1161" s="1366">
        <v>3.6416666666666667E-3</v>
      </c>
      <c r="G1161" s="1366">
        <f t="shared" si="57"/>
        <v>3.5125E-3</v>
      </c>
      <c r="H1161" s="1366">
        <v>3.9833333333333335E-3</v>
      </c>
      <c r="I1161" s="1366">
        <f t="shared" si="59"/>
        <v>8.950000000000001E-2</v>
      </c>
      <c r="J1161" s="1366">
        <f t="shared" si="56"/>
        <v>8.8687500000000002E-2</v>
      </c>
      <c r="K1161" s="1366">
        <f t="shared" si="58"/>
        <v>5.1002729525194579E-2</v>
      </c>
    </row>
    <row r="1162" spans="1:11" x14ac:dyDescent="0.55000000000000004">
      <c r="A1162" s="302">
        <v>44774</v>
      </c>
      <c r="B1162" s="1366">
        <v>-4.0800000000000003E-2</v>
      </c>
      <c r="C1162" s="1367">
        <v>5.1000000000000004E-3</v>
      </c>
      <c r="D1162" s="1366">
        <v>2.8999999999999998E-3</v>
      </c>
      <c r="E1162" s="1366">
        <v>3.3916666666666665E-3</v>
      </c>
      <c r="F1162" s="1366">
        <v>3.6333333333333335E-3</v>
      </c>
      <c r="G1162" s="1366">
        <f t="shared" si="57"/>
        <v>3.5125E-3</v>
      </c>
      <c r="H1162" s="1366">
        <v>3.966666666666667E-3</v>
      </c>
      <c r="I1162" s="1366">
        <f t="shared" si="59"/>
        <v>-4.3700000000000003E-2</v>
      </c>
      <c r="J1162" s="1366">
        <f t="shared" si="56"/>
        <v>-4.4312500000000005E-2</v>
      </c>
      <c r="K1162" s="1366">
        <f t="shared" si="58"/>
        <v>1.1333333333333334E-3</v>
      </c>
    </row>
    <row r="1163" spans="1:11" x14ac:dyDescent="0.55000000000000004">
      <c r="A1163" s="302">
        <v>44805</v>
      </c>
      <c r="B1163" s="1366">
        <v>-9.2100000000000001E-2</v>
      </c>
      <c r="C1163" s="1367">
        <v>-0.1131647994987349</v>
      </c>
      <c r="D1163" s="1366">
        <v>2.8999999999999998E-3</v>
      </c>
      <c r="E1163" s="1366">
        <v>3.8083333333333337E-3</v>
      </c>
      <c r="F1163" s="1366">
        <v>4.0500000000000006E-3</v>
      </c>
      <c r="G1163" s="1366">
        <f t="shared" si="57"/>
        <v>3.9291666666666676E-3</v>
      </c>
      <c r="H1163" s="1366">
        <v>4.3833333333333328E-3</v>
      </c>
      <c r="I1163" s="1366">
        <f t="shared" si="59"/>
        <v>-9.5000000000000001E-2</v>
      </c>
      <c r="J1163" s="1366">
        <f t="shared" si="56"/>
        <v>-9.6029166666666665E-2</v>
      </c>
      <c r="K1163" s="1366">
        <f t="shared" si="58"/>
        <v>-0.11754813283206823</v>
      </c>
    </row>
    <row r="1164" spans="1:11" x14ac:dyDescent="0.55000000000000004">
      <c r="A1164" s="302">
        <v>44835</v>
      </c>
      <c r="B1164" s="1366">
        <v>8.1000000000000003E-2</v>
      </c>
      <c r="C1164" s="1367">
        <v>1.6754063521819712E-2</v>
      </c>
      <c r="D1164" s="1366">
        <v>3.5000000000000001E-3</v>
      </c>
      <c r="E1164" s="1366">
        <v>4.2500000000000003E-3</v>
      </c>
      <c r="F1164" s="1366">
        <v>4.5000000000000005E-3</v>
      </c>
      <c r="G1164" s="1366">
        <f t="shared" si="57"/>
        <v>4.3750000000000004E-3</v>
      </c>
      <c r="H1164" s="1366">
        <v>4.8999999999999998E-3</v>
      </c>
      <c r="I1164" s="1366">
        <f t="shared" si="59"/>
        <v>7.7499999999999999E-2</v>
      </c>
      <c r="J1164" s="1366">
        <f t="shared" si="56"/>
        <v>7.6624999999999999E-2</v>
      </c>
      <c r="K1164" s="1366">
        <f t="shared" si="58"/>
        <v>1.1854063521819712E-2</v>
      </c>
    </row>
    <row r="1165" spans="1:11" x14ac:dyDescent="0.55000000000000004">
      <c r="A1165" s="302">
        <v>44866</v>
      </c>
      <c r="B1165" s="1366">
        <v>5.5899999999999998E-2</v>
      </c>
      <c r="C1165" s="1367">
        <v>6.9878999321193083E-2</v>
      </c>
      <c r="D1165" s="1366">
        <v>3.5999999999999999E-3</v>
      </c>
      <c r="E1165" s="1366">
        <v>4.0833333333333338E-3</v>
      </c>
      <c r="F1165" s="1366">
        <v>4.3583333333333339E-3</v>
      </c>
      <c r="G1165" s="1366">
        <f t="shared" si="57"/>
        <v>4.2208333333333334E-3</v>
      </c>
      <c r="H1165" s="1366">
        <v>4.7916666666666672E-3</v>
      </c>
      <c r="I1165" s="1366">
        <f t="shared" si="59"/>
        <v>5.2299999999999999E-2</v>
      </c>
      <c r="J1165" s="1366">
        <f t="shared" si="56"/>
        <v>5.1679166666666665E-2</v>
      </c>
      <c r="K1165" s="1366">
        <f t="shared" si="58"/>
        <v>6.5087332654526417E-2</v>
      </c>
    </row>
    <row r="1166" spans="1:11" x14ac:dyDescent="0.55000000000000004">
      <c r="A1166" s="302">
        <v>44896</v>
      </c>
      <c r="B1166" s="1366">
        <v>-5.7599999999999998E-2</v>
      </c>
      <c r="C1166" s="1367">
        <v>-4.9005438196876444E-3</v>
      </c>
      <c r="D1166" s="1366">
        <v>3.3E-3</v>
      </c>
      <c r="E1166" s="1366">
        <v>3.6749999999999999E-3</v>
      </c>
      <c r="F1166" s="1366">
        <v>3.9583333333333328E-3</v>
      </c>
      <c r="G1166" s="1366">
        <f t="shared" si="57"/>
        <v>3.8166666666666661E-3</v>
      </c>
      <c r="H1166" s="1366">
        <v>4.3916666666666661E-3</v>
      </c>
      <c r="I1166" s="1366">
        <f t="shared" si="59"/>
        <v>-6.0899999999999996E-2</v>
      </c>
      <c r="J1166" s="1366">
        <f t="shared" si="56"/>
        <v>-6.1416666666666661E-2</v>
      </c>
      <c r="K1166" s="1366">
        <f t="shared" si="58"/>
        <v>-9.2922104863543097E-3</v>
      </c>
    </row>
    <row r="1167" spans="1:11" x14ac:dyDescent="0.55000000000000004">
      <c r="A1167" s="302">
        <v>44927</v>
      </c>
      <c r="B1167" s="1366">
        <v>6.2834280180287985E-2</v>
      </c>
      <c r="C1167" s="1367">
        <v>-2.0053973164907601E-2</v>
      </c>
      <c r="D1167" s="1366">
        <v>3.0500000000000002E-3</v>
      </c>
      <c r="E1167" s="1366">
        <v>3.666666666666667E-3</v>
      </c>
      <c r="F1167" s="1366">
        <v>3.933333333333333E-3</v>
      </c>
      <c r="G1167" s="1366">
        <f t="shared" si="57"/>
        <v>3.8E-3</v>
      </c>
      <c r="H1167" s="1366">
        <v>4.3333333333333331E-3</v>
      </c>
      <c r="I1167" s="1366">
        <f t="shared" si="59"/>
        <v>5.9784280180287988E-2</v>
      </c>
      <c r="J1167" s="1366">
        <f t="shared" si="56"/>
        <v>5.9034280180287987E-2</v>
      </c>
      <c r="K1167" s="1366">
        <f t="shared" si="58"/>
        <v>-2.4387306498240932E-2</v>
      </c>
    </row>
    <row r="1168" spans="1:11" x14ac:dyDescent="0.55000000000000004">
      <c r="A1168" s="302">
        <v>44958</v>
      </c>
      <c r="B1168" s="1366">
        <v>-2.4399784626571001E-2</v>
      </c>
      <c r="C1168" s="1366">
        <v>-5.8515916753658248E-2</v>
      </c>
      <c r="D1168" s="1366">
        <v>3.1666666666666666E-3</v>
      </c>
      <c r="E1168" s="1366">
        <v>3.7999999999999996E-3</v>
      </c>
      <c r="F1168" s="1366">
        <v>4.0333333333333332E-3</v>
      </c>
      <c r="G1168" s="1366">
        <f t="shared" si="57"/>
        <v>3.9166666666666664E-3</v>
      </c>
      <c r="H1168" s="1366">
        <v>4.4083333333333335E-3</v>
      </c>
      <c r="I1168" s="1366">
        <f t="shared" si="59"/>
        <v>-2.7566451293237669E-2</v>
      </c>
      <c r="J1168" s="1366">
        <f t="shared" si="56"/>
        <v>-2.8316451293237666E-2</v>
      </c>
      <c r="K1168" s="1366">
        <f t="shared" si="58"/>
        <v>-6.2924250086991582E-2</v>
      </c>
    </row>
    <row r="1169" spans="1:11" x14ac:dyDescent="0.55000000000000004">
      <c r="A1169" s="302">
        <v>44986</v>
      </c>
      <c r="B1169" s="1366">
        <v>3.671430929974763E-2</v>
      </c>
      <c r="C1169" s="1367">
        <v>4.8888461879563666E-2</v>
      </c>
      <c r="D1169" s="1366">
        <v>3.1416666666666667E-3</v>
      </c>
      <c r="E1169" s="1366">
        <v>3.8333333333333331E-3</v>
      </c>
      <c r="F1169" s="1366">
        <v>4.1166666666666669E-3</v>
      </c>
      <c r="G1169" s="1366">
        <f t="shared" si="57"/>
        <v>3.9750000000000002E-3</v>
      </c>
      <c r="H1169" s="1366">
        <v>4.4916666666666664E-3</v>
      </c>
      <c r="I1169" s="1366">
        <f t="shared" si="59"/>
        <v>3.3572642633080962E-2</v>
      </c>
      <c r="J1169" s="1366">
        <f t="shared" si="56"/>
        <v>3.2739309299747631E-2</v>
      </c>
      <c r="K1169" s="1366">
        <f t="shared" si="58"/>
        <v>4.4396795212897001E-2</v>
      </c>
    </row>
    <row r="1170" spans="1:11" x14ac:dyDescent="0.55000000000000004">
      <c r="A1170" s="302">
        <v>45017</v>
      </c>
      <c r="B1170" s="1366">
        <v>7.187926921795095E-3</v>
      </c>
      <c r="C1170" s="1367">
        <v>1.8900454189947589E-2</v>
      </c>
      <c r="D1170" s="1366">
        <v>3.0666666666666668E-3</v>
      </c>
      <c r="E1170" s="1366">
        <v>3.725E-3</v>
      </c>
      <c r="F1170" s="1366">
        <v>4.0166666666666666E-3</v>
      </c>
      <c r="G1170" s="1366">
        <f t="shared" si="57"/>
        <v>3.8708333333333333E-3</v>
      </c>
      <c r="H1170" s="1366">
        <v>4.2750000000000002E-3</v>
      </c>
      <c r="I1170" s="1366">
        <f t="shared" si="59"/>
        <v>4.1212602551284287E-3</v>
      </c>
      <c r="J1170" s="1366">
        <f t="shared" si="56"/>
        <v>3.3170935884617616E-3</v>
      </c>
      <c r="K1170" s="1366">
        <f t="shared" si="58"/>
        <v>1.4625454189947588E-2</v>
      </c>
    </row>
    <row r="1171" spans="1:11" x14ac:dyDescent="0.55000000000000004">
      <c r="A1171" s="302">
        <v>45047</v>
      </c>
      <c r="B1171" s="1366">
        <v>4.3468278013294162E-3</v>
      </c>
      <c r="C1171" s="1367">
        <v>-5.808742857255407E-2</v>
      </c>
      <c r="D1171" s="1366">
        <v>3.2166666666666667E-3</v>
      </c>
      <c r="E1171" s="1366">
        <v>3.8916666666666665E-3</v>
      </c>
      <c r="F1171" s="1366">
        <v>4.2166666666666663E-3</v>
      </c>
      <c r="G1171" s="1366">
        <f t="shared" si="57"/>
        <v>4.054166666666666E-3</v>
      </c>
      <c r="H1171" s="1366">
        <v>4.4666666666666674E-3</v>
      </c>
      <c r="I1171" s="1366">
        <f t="shared" si="59"/>
        <v>1.1301611346627495E-3</v>
      </c>
      <c r="J1171" s="1366">
        <f t="shared" si="56"/>
        <v>2.9266113466275018E-4</v>
      </c>
      <c r="K1171" s="1366">
        <f t="shared" si="58"/>
        <v>-6.2554095239220731E-2</v>
      </c>
    </row>
    <row r="1172" spans="1:11" x14ac:dyDescent="0.55000000000000004">
      <c r="A1172" s="302">
        <v>45078</v>
      </c>
      <c r="B1172" s="1366">
        <v>6.6075546772891333E-2</v>
      </c>
      <c r="C1172" s="1367">
        <v>1.6571769130428848E-2</v>
      </c>
      <c r="D1172" s="1366">
        <v>3.225E-3</v>
      </c>
      <c r="E1172" s="1366">
        <v>3.875E-3</v>
      </c>
      <c r="F1172" s="1366">
        <v>4.1833333333333332E-3</v>
      </c>
      <c r="G1172" s="1366">
        <f t="shared" ref="G1172:G1203" si="60">AVERAGE(E1172:F1172)</f>
        <v>4.029166666666667E-3</v>
      </c>
      <c r="H1172" s="1366">
        <v>4.4833333333333331E-3</v>
      </c>
      <c r="I1172" s="1366">
        <f t="shared" si="59"/>
        <v>6.2850546772891328E-2</v>
      </c>
      <c r="J1172" s="1366">
        <f t="shared" si="56"/>
        <v>6.2046380106224666E-2</v>
      </c>
      <c r="K1172" s="1366">
        <f t="shared" ref="K1172:K1191" si="61">C1172-H1172</f>
        <v>1.2088435797095516E-2</v>
      </c>
    </row>
    <row r="1173" spans="1:11" x14ac:dyDescent="0.55000000000000004">
      <c r="A1173" s="302">
        <v>45108</v>
      </c>
      <c r="B1173" s="1366">
        <v>3.2124539863823791E-2</v>
      </c>
      <c r="C1173" s="1367">
        <v>2.4677982673831367E-2</v>
      </c>
      <c r="D1173" s="1366">
        <v>3.3E-3</v>
      </c>
      <c r="E1173" s="1366">
        <v>3.8833333333333337E-3</v>
      </c>
      <c r="F1173" s="1366">
        <v>4.2250000000000005E-3</v>
      </c>
      <c r="G1173" s="1366">
        <f t="shared" si="60"/>
        <v>4.0541666666666669E-3</v>
      </c>
      <c r="H1173" s="1366">
        <v>4.5083333333333338E-3</v>
      </c>
      <c r="I1173" s="1366">
        <f t="shared" si="59"/>
        <v>2.882453986382379E-2</v>
      </c>
      <c r="J1173" s="1366">
        <f t="shared" si="56"/>
        <v>2.8070373197157123E-2</v>
      </c>
      <c r="K1173" s="1366">
        <f t="shared" si="61"/>
        <v>2.0169649340498034E-2</v>
      </c>
    </row>
    <row r="1174" spans="1:11" x14ac:dyDescent="0.55000000000000004">
      <c r="A1174" s="302">
        <v>45139</v>
      </c>
      <c r="B1174" s="1366">
        <v>-1.5921117042355312E-2</v>
      </c>
      <c r="C1174" s="1367">
        <v>-6.1407585600431719E-2</v>
      </c>
      <c r="D1174" s="1366">
        <v>3.5666666666666668E-3</v>
      </c>
      <c r="E1174" s="1366">
        <v>4.1333333333333335E-3</v>
      </c>
      <c r="F1174" s="1366">
        <v>4.4749999999999998E-3</v>
      </c>
      <c r="G1174" s="1366">
        <f t="shared" si="60"/>
        <v>4.3041666666666662E-3</v>
      </c>
      <c r="H1174" s="1366">
        <v>4.7666666666666664E-3</v>
      </c>
      <c r="I1174" s="1366">
        <f t="shared" si="59"/>
        <v>-1.9487783709021978E-2</v>
      </c>
      <c r="J1174" s="1366">
        <f t="shared" si="56"/>
        <v>-2.0225283709021977E-2</v>
      </c>
      <c r="K1174" s="1366">
        <f t="shared" si="61"/>
        <v>-6.6174252267098388E-2</v>
      </c>
    </row>
    <row r="1175" spans="1:11" x14ac:dyDescent="0.55000000000000004">
      <c r="A1175" s="302">
        <v>45170</v>
      </c>
      <c r="B1175" s="1366">
        <v>-4.7678193308121432E-2</v>
      </c>
      <c r="C1175" s="1367">
        <v>-5.5938029835102841E-2</v>
      </c>
      <c r="D1175" s="1366">
        <v>3.7249999999999996E-3</v>
      </c>
      <c r="E1175" s="1366">
        <v>4.2750000000000002E-3</v>
      </c>
      <c r="F1175" s="1366">
        <v>4.5916666666666666E-3</v>
      </c>
      <c r="G1175" s="1366">
        <f t="shared" si="60"/>
        <v>4.4333333333333334E-3</v>
      </c>
      <c r="H1175" s="1366">
        <v>4.8833333333333333E-3</v>
      </c>
      <c r="I1175" s="1366">
        <f t="shared" si="59"/>
        <v>-5.1403193308121431E-2</v>
      </c>
      <c r="J1175" s="1366">
        <f t="shared" si="56"/>
        <v>-5.2111526641454763E-2</v>
      </c>
      <c r="K1175" s="1366">
        <f t="shared" si="61"/>
        <v>-6.0821363168436171E-2</v>
      </c>
    </row>
    <row r="1176" spans="1:11" x14ac:dyDescent="0.55000000000000004">
      <c r="A1176" s="302">
        <v>45200</v>
      </c>
      <c r="B1176" s="1366">
        <v>-2.7391275195366223E-2</v>
      </c>
      <c r="C1176" s="1367">
        <v>1.2938105908166913E-2</v>
      </c>
      <c r="D1176" s="1366">
        <v>4.1250000000000002E-3</v>
      </c>
      <c r="E1176" s="1366">
        <v>4.6750000000000003E-3</v>
      </c>
      <c r="F1176" s="1366">
        <v>4.9750000000000003E-3</v>
      </c>
      <c r="G1176" s="1366">
        <f t="shared" si="60"/>
        <v>4.8250000000000003E-3</v>
      </c>
      <c r="H1176" s="1366">
        <v>5.2833333333333335E-3</v>
      </c>
      <c r="I1176" s="1366">
        <f t="shared" si="59"/>
        <v>-3.151627519536622E-2</v>
      </c>
      <c r="J1176" s="1366">
        <f t="shared" si="56"/>
        <v>-3.2216275195366226E-2</v>
      </c>
      <c r="K1176" s="1366">
        <f t="shared" si="61"/>
        <v>7.6547725748335798E-3</v>
      </c>
    </row>
    <row r="1177" spans="1:11" x14ac:dyDescent="0.55000000000000004">
      <c r="A1177" s="302">
        <v>45231</v>
      </c>
      <c r="B1177" s="1366">
        <v>8.6885005042911731E-2</v>
      </c>
      <c r="C1177" s="1367">
        <v>5.1596357201230389E-2</v>
      </c>
      <c r="D1177" s="1366">
        <v>3.8833333333333333E-3</v>
      </c>
      <c r="E1177" s="1366">
        <v>4.4000000000000003E-3</v>
      </c>
      <c r="F1177" s="1366">
        <v>4.725E-3</v>
      </c>
      <c r="G1177" s="1366">
        <f t="shared" si="60"/>
        <v>4.5625000000000006E-3</v>
      </c>
      <c r="H1177" s="1366">
        <v>5.0416666666666665E-3</v>
      </c>
      <c r="I1177" s="1366">
        <f t="shared" si="59"/>
        <v>8.3001671709578395E-2</v>
      </c>
      <c r="J1177" s="1366">
        <f t="shared" si="56"/>
        <v>8.2322505042911734E-2</v>
      </c>
      <c r="K1177" s="1366">
        <f t="shared" si="61"/>
        <v>4.6554690534563722E-2</v>
      </c>
    </row>
    <row r="1178" spans="1:11" x14ac:dyDescent="0.55000000000000004">
      <c r="A1178" s="302">
        <v>45261</v>
      </c>
      <c r="B1178" s="1366">
        <v>4.5430619636360636E-2</v>
      </c>
      <c r="C1178" s="1367">
        <v>1.9135473384982917E-2</v>
      </c>
      <c r="D1178" s="1366">
        <v>3.4499999999999999E-3</v>
      </c>
      <c r="E1178" s="1366">
        <v>3.9500000000000004E-3</v>
      </c>
      <c r="F1178" s="1366">
        <v>4.2166666666666663E-3</v>
      </c>
      <c r="G1178" s="1366">
        <f t="shared" si="60"/>
        <v>4.0833333333333329E-3</v>
      </c>
      <c r="H1178" s="1366">
        <v>4.5249999999999995E-3</v>
      </c>
      <c r="I1178" s="1366">
        <f t="shared" si="59"/>
        <v>4.1980619636360635E-2</v>
      </c>
      <c r="J1178" s="1366">
        <f t="shared" si="56"/>
        <v>4.1347286303027302E-2</v>
      </c>
      <c r="K1178" s="1366">
        <f t="shared" si="61"/>
        <v>1.4610473384982918E-2</v>
      </c>
    </row>
    <row r="1179" spans="1:11" x14ac:dyDescent="0.55000000000000004">
      <c r="A1179" s="302">
        <v>45292</v>
      </c>
      <c r="B1179" s="1366">
        <v>3.3416506662096612E-2</v>
      </c>
      <c r="C1179" s="1367">
        <v>-2.7985270217307665E-2</v>
      </c>
      <c r="D1179" s="1366">
        <v>3.5499999999999998E-3</v>
      </c>
      <c r="E1179" s="1366">
        <v>4.0583333333333331E-3</v>
      </c>
      <c r="F1179" s="1366">
        <v>4.2750000000000002E-3</v>
      </c>
      <c r="G1179" s="1366">
        <f t="shared" si="60"/>
        <v>4.1666666666666666E-3</v>
      </c>
      <c r="H1179" s="1366">
        <v>4.5666666666666668E-3</v>
      </c>
      <c r="I1179" s="1366">
        <f t="shared" si="59"/>
        <v>2.9866506662096611E-2</v>
      </c>
      <c r="J1179" s="1366">
        <f t="shared" ref="J1179:J1191" si="62">B1179-G1179</f>
        <v>2.9249839995429947E-2</v>
      </c>
      <c r="K1179" s="1366">
        <f t="shared" si="61"/>
        <v>-3.2551936883974328E-2</v>
      </c>
    </row>
    <row r="1180" spans="1:11" x14ac:dyDescent="0.55000000000000004">
      <c r="A1180" s="302">
        <v>45323</v>
      </c>
      <c r="B1180" s="1366">
        <v>5.3395839403964196E-2</v>
      </c>
      <c r="C1180" s="1367">
        <v>8.9510353613748046E-3</v>
      </c>
      <c r="D1180" s="1366">
        <v>3.65E-3</v>
      </c>
      <c r="E1180" s="1366">
        <v>4.1916666666666665E-3</v>
      </c>
      <c r="F1180" s="1366">
        <v>4.3750000000000004E-3</v>
      </c>
      <c r="G1180" s="1366">
        <f t="shared" si="60"/>
        <v>4.2833333333333334E-3</v>
      </c>
      <c r="H1180" s="1366">
        <v>4.6333333333333331E-3</v>
      </c>
      <c r="I1180" s="1366">
        <f t="shared" si="59"/>
        <v>4.9745839403964195E-2</v>
      </c>
      <c r="J1180" s="1366">
        <f t="shared" si="62"/>
        <v>4.9112506070630862E-2</v>
      </c>
      <c r="K1180" s="1366">
        <f t="shared" si="61"/>
        <v>4.3177020280414716E-3</v>
      </c>
    </row>
    <row r="1181" spans="1:11" x14ac:dyDescent="0.55000000000000004">
      <c r="A1181" s="302">
        <v>45352</v>
      </c>
      <c r="B1181" s="1366">
        <v>3.2174693616317418E-2</v>
      </c>
      <c r="C1181" s="1367">
        <v>6.580172568165521E-2</v>
      </c>
      <c r="D1181" s="1366">
        <v>3.6333333333333335E-3</v>
      </c>
      <c r="E1181" s="1366">
        <v>4.1749999999999999E-3</v>
      </c>
      <c r="F1181" s="1366">
        <v>4.3833333333333328E-3</v>
      </c>
      <c r="G1181" s="1366">
        <f t="shared" si="60"/>
        <v>4.2791666666666664E-3</v>
      </c>
      <c r="H1181" s="1366">
        <v>4.6249999999999998E-3</v>
      </c>
      <c r="I1181" s="1366">
        <f t="shared" si="59"/>
        <v>2.8541360282984086E-2</v>
      </c>
      <c r="J1181" s="1366">
        <f t="shared" si="62"/>
        <v>2.7895526949650751E-2</v>
      </c>
      <c r="K1181" s="1366">
        <f t="shared" si="61"/>
        <v>6.1176725681655213E-2</v>
      </c>
    </row>
    <row r="1182" spans="1:11" x14ac:dyDescent="0.55000000000000004">
      <c r="A1182" s="302">
        <v>45383</v>
      </c>
      <c r="B1182" s="1366">
        <v>-4.0845049452488791E-2</v>
      </c>
      <c r="C1182" s="1367">
        <v>1.6367007821592686E-2</v>
      </c>
      <c r="D1182" s="1366">
        <v>3.8833333333333337E-3</v>
      </c>
      <c r="E1182" s="1366">
        <v>4.4000000000000003E-3</v>
      </c>
      <c r="F1182" s="1366">
        <v>4.5833333333333334E-3</v>
      </c>
      <c r="G1182" s="1366">
        <f t="shared" si="60"/>
        <v>4.4916666666666664E-3</v>
      </c>
      <c r="H1182" s="1366">
        <v>4.8249999999999994E-3</v>
      </c>
      <c r="I1182" s="1366">
        <f t="shared" si="59"/>
        <v>-4.4728382785822127E-2</v>
      </c>
      <c r="J1182" s="1366">
        <f t="shared" si="62"/>
        <v>-4.5336716119155455E-2</v>
      </c>
      <c r="K1182" s="1366">
        <f t="shared" si="61"/>
        <v>1.1542007821592686E-2</v>
      </c>
    </row>
    <row r="1183" spans="1:11" x14ac:dyDescent="0.55000000000000004">
      <c r="A1183" s="302">
        <v>45413</v>
      </c>
      <c r="B1183" s="1366">
        <v>4.1129837851065609E-2</v>
      </c>
      <c r="C1183" s="1367">
        <v>8.4575803688738321E-2</v>
      </c>
      <c r="D1183" s="1366">
        <v>3.8500000000000001E-3</v>
      </c>
      <c r="E1183" s="1366">
        <v>4.3750000000000004E-3</v>
      </c>
      <c r="F1183" s="1366">
        <v>4.5416666666666669E-3</v>
      </c>
      <c r="G1183" s="1366">
        <f t="shared" si="60"/>
        <v>4.4583333333333332E-3</v>
      </c>
      <c r="H1183" s="1366">
        <v>4.783333333333333E-3</v>
      </c>
      <c r="I1183" s="1366">
        <f t="shared" si="59"/>
        <v>3.727983785106561E-2</v>
      </c>
      <c r="J1183" s="1366">
        <f t="shared" si="62"/>
        <v>3.6671504517732274E-2</v>
      </c>
      <c r="K1183" s="1366">
        <f t="shared" si="61"/>
        <v>7.9792470355404987E-2</v>
      </c>
    </row>
    <row r="1184" spans="1:11" x14ac:dyDescent="0.55000000000000004">
      <c r="A1184" s="302">
        <v>45444</v>
      </c>
      <c r="B1184" s="1366">
        <v>4.0001043959389859E-2</v>
      </c>
      <c r="C1184" s="1367">
        <v>-5.5254466292122981E-2</v>
      </c>
      <c r="D1184" s="1366">
        <v>3.7000000000000006E-3</v>
      </c>
      <c r="E1184" s="1366">
        <v>4.2750000000000002E-3</v>
      </c>
      <c r="F1184" s="1366">
        <v>4.4583333333333332E-3</v>
      </c>
      <c r="G1184" s="1366">
        <f t="shared" si="60"/>
        <v>4.3666666666666663E-3</v>
      </c>
      <c r="H1184" s="1366">
        <v>4.6750000000000003E-3</v>
      </c>
      <c r="I1184" s="1366">
        <f t="shared" si="59"/>
        <v>3.6301043959389857E-2</v>
      </c>
      <c r="J1184" s="1366">
        <f t="shared" si="62"/>
        <v>3.5634377292723195E-2</v>
      </c>
      <c r="K1184" s="1366">
        <f t="shared" si="61"/>
        <v>-5.9929466292122979E-2</v>
      </c>
    </row>
    <row r="1185" spans="1:11" x14ac:dyDescent="0.55000000000000004">
      <c r="A1185" s="302">
        <v>45474</v>
      </c>
      <c r="B1185" s="1366">
        <v>1.2172518192850479E-2</v>
      </c>
      <c r="C1185" s="1367">
        <v>6.7640495776813456E-2</v>
      </c>
      <c r="D1185" s="1366">
        <v>3.6249999999999998E-3</v>
      </c>
      <c r="E1185" s="1366">
        <v>4.1999999999999997E-3</v>
      </c>
      <c r="F1185" s="1366">
        <v>4.4166666666666668E-3</v>
      </c>
      <c r="G1185" s="1366">
        <f t="shared" si="60"/>
        <v>4.3083333333333333E-3</v>
      </c>
      <c r="H1185" s="1366">
        <v>4.6416666666666663E-3</v>
      </c>
      <c r="I1185" s="1366">
        <f t="shared" si="59"/>
        <v>8.5475181928504791E-3</v>
      </c>
      <c r="J1185" s="1366">
        <f t="shared" si="62"/>
        <v>7.8641848595171447E-3</v>
      </c>
      <c r="K1185" s="1366">
        <f t="shared" si="61"/>
        <v>6.2998829110146787E-2</v>
      </c>
    </row>
    <row r="1186" spans="1:11" x14ac:dyDescent="0.55000000000000004">
      <c r="A1186" s="302">
        <v>45505</v>
      </c>
      <c r="B1186" s="1366">
        <v>2.4256373790769947E-2</v>
      </c>
      <c r="C1186" s="1367">
        <v>4.8574851624052985E-2</v>
      </c>
      <c r="D1186" s="1366">
        <v>3.4583333333333337E-3</v>
      </c>
      <c r="E1186" s="1366">
        <v>4.0583333333333331E-3</v>
      </c>
      <c r="F1186" s="1366">
        <v>4.2666666666666669E-3</v>
      </c>
      <c r="G1186" s="1366">
        <f t="shared" si="60"/>
        <v>4.1624999999999995E-3</v>
      </c>
      <c r="H1186" s="1366">
        <v>4.4833333333333331E-3</v>
      </c>
      <c r="I1186" s="1366">
        <f t="shared" si="59"/>
        <v>2.0798040457436613E-2</v>
      </c>
      <c r="J1186" s="1366">
        <f t="shared" si="62"/>
        <v>2.0093873790769948E-2</v>
      </c>
      <c r="K1186" s="1366">
        <f t="shared" si="61"/>
        <v>4.4091518290719653E-2</v>
      </c>
    </row>
    <row r="1187" spans="1:11" x14ac:dyDescent="0.55000000000000004">
      <c r="A1187" s="302">
        <v>45536</v>
      </c>
      <c r="B1187" s="1366">
        <v>2.1357000687759534E-2</v>
      </c>
      <c r="C1187" s="1367">
        <v>6.5911885079184815E-2</v>
      </c>
      <c r="D1187" s="1366">
        <v>3.3666666666666667E-3</v>
      </c>
      <c r="E1187" s="1366">
        <v>3.8999999999999994E-3</v>
      </c>
      <c r="F1187" s="1366">
        <v>4.1166666666666669E-3</v>
      </c>
      <c r="G1187" s="1366">
        <f t="shared" si="60"/>
        <v>4.0083333333333334E-3</v>
      </c>
      <c r="H1187" s="1366">
        <v>4.3333333333333331E-3</v>
      </c>
      <c r="I1187" s="1366">
        <f t="shared" si="59"/>
        <v>1.7990334021092867E-2</v>
      </c>
      <c r="J1187" s="1366">
        <f t="shared" si="62"/>
        <v>1.7348667354426202E-2</v>
      </c>
      <c r="K1187" s="1366">
        <f t="shared" si="61"/>
        <v>6.157855174585148E-2</v>
      </c>
    </row>
    <row r="1188" spans="1:11" x14ac:dyDescent="0.55000000000000004">
      <c r="A1188" s="302">
        <v>45566</v>
      </c>
      <c r="B1188" s="1366">
        <v>-9.0680016846352851E-3</v>
      </c>
      <c r="C1188" s="1366">
        <v>-1.0334190854331935E-2</v>
      </c>
      <c r="D1188" s="1366">
        <v>3.65E-3</v>
      </c>
      <c r="E1188" s="1366">
        <v>4.1250000000000002E-3</v>
      </c>
      <c r="F1188" s="1366">
        <v>4.3083333333333333E-3</v>
      </c>
      <c r="G1188" s="1366">
        <f t="shared" si="60"/>
        <v>4.2166666666666672E-3</v>
      </c>
      <c r="H1188" s="1366">
        <v>4.5083333333333338E-3</v>
      </c>
      <c r="I1188" s="1366">
        <f t="shared" si="59"/>
        <v>-1.2718001684635286E-2</v>
      </c>
      <c r="J1188" s="1366">
        <f t="shared" si="62"/>
        <v>-1.3284668351301952E-2</v>
      </c>
      <c r="K1188" s="1366">
        <f t="shared" si="61"/>
        <v>-1.4842524187665268E-2</v>
      </c>
    </row>
    <row r="1189" spans="1:11" x14ac:dyDescent="0.55000000000000004">
      <c r="A1189" s="302">
        <v>45597</v>
      </c>
      <c r="B1189" s="1366">
        <v>5.8700597259107257E-2</v>
      </c>
      <c r="C1189" s="1366">
        <v>3.6716914091028764E-2</v>
      </c>
      <c r="D1189" s="1366">
        <v>3.7833333333333334E-3</v>
      </c>
      <c r="E1189" s="1366">
        <v>4.2833333333333326E-3</v>
      </c>
      <c r="F1189" s="1366">
        <v>4.4416666666666667E-3</v>
      </c>
      <c r="G1189" s="1366">
        <f t="shared" si="60"/>
        <v>4.3625000000000001E-3</v>
      </c>
      <c r="H1189" s="1366">
        <v>4.6333333333333331E-3</v>
      </c>
      <c r="I1189" s="1366">
        <f t="shared" si="59"/>
        <v>5.4917263925773924E-2</v>
      </c>
      <c r="J1189" s="1366">
        <f t="shared" si="62"/>
        <v>5.4338097259107258E-2</v>
      </c>
      <c r="K1189" s="1366">
        <f t="shared" si="61"/>
        <v>3.2083580757695435E-2</v>
      </c>
    </row>
    <row r="1190" spans="1:11" x14ac:dyDescent="0.55000000000000004">
      <c r="A1190" s="302">
        <v>45627</v>
      </c>
      <c r="B1190" s="1366">
        <v>-1.9725367483346717E-2</v>
      </c>
      <c r="C1190" s="1366">
        <v>-7.9292330737182559E-2</v>
      </c>
      <c r="D1190" s="1366">
        <v>3.8166666666666666E-3</v>
      </c>
      <c r="E1190" s="1366">
        <v>4.3333333333333331E-3</v>
      </c>
      <c r="F1190" s="1366">
        <v>4.4749999999999998E-3</v>
      </c>
      <c r="G1190" s="1366">
        <f t="shared" si="60"/>
        <v>4.4041666666666665E-3</v>
      </c>
      <c r="H1190" s="1366">
        <v>4.6500000000000005E-3</v>
      </c>
      <c r="I1190" s="1366">
        <f t="shared" si="59"/>
        <v>-2.3542034150013384E-2</v>
      </c>
      <c r="J1190" s="1366">
        <f t="shared" si="62"/>
        <v>-2.4129534150013385E-2</v>
      </c>
      <c r="K1190" s="1366">
        <f t="shared" si="61"/>
        <v>-8.3942330737182561E-2</v>
      </c>
    </row>
    <row r="1191" spans="1:11" x14ac:dyDescent="0.55000000000000004">
      <c r="A1191" s="302">
        <v>45658</v>
      </c>
      <c r="B1191" s="1366">
        <v>2.7847352271019865E-2</v>
      </c>
      <c r="C1191" s="1366">
        <v>2.9450232862519039E-2</v>
      </c>
      <c r="D1191" s="1366">
        <v>4.0416666666666665E-3</v>
      </c>
      <c r="E1191" s="1366">
        <v>4.5666666666666668E-3</v>
      </c>
      <c r="F1191" s="1366">
        <v>4.725E-3</v>
      </c>
      <c r="G1191" s="1366">
        <f t="shared" si="60"/>
        <v>4.6458333333333334E-3</v>
      </c>
      <c r="H1191" s="1366">
        <v>4.8999999999999998E-3</v>
      </c>
      <c r="I1191" s="1366">
        <f t="shared" si="59"/>
        <v>2.3805685604353199E-2</v>
      </c>
      <c r="J1191" s="1366">
        <f t="shared" si="62"/>
        <v>2.320151893768653E-2</v>
      </c>
      <c r="K1191" s="1366">
        <f t="shared" si="61"/>
        <v>2.4550232862519041E-2</v>
      </c>
    </row>
  </sheetData>
  <mergeCells count="1">
    <mergeCell ref="I1:J1"/>
  </mergeCells>
  <pageMargins left="0.7" right="0.7" top="0.75" bottom="0.75" header="0.3" footer="0.3"/>
  <pageSetup scale="4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EEBA-1745-4681-8577-1C680AF8626F}">
  <sheetPr codeName="Sheet53"/>
  <dimension ref="A1:J1190"/>
  <sheetViews>
    <sheetView view="pageBreakPreview" zoomScaleNormal="100" zoomScaleSheetLayoutView="100" workbookViewId="0">
      <pane ySplit="1" topLeftCell="A1161" activePane="bottomLeft" state="frozen"/>
      <selection activeCell="A1193" sqref="A1193"/>
      <selection pane="bottomLeft" activeCell="B1192" sqref="B1192"/>
    </sheetView>
  </sheetViews>
  <sheetFormatPr defaultColWidth="9.9453125" defaultRowHeight="13.8" x14ac:dyDescent="0.45"/>
  <cols>
    <col min="1" max="1" width="10.89453125" style="1370" customWidth="1"/>
    <col min="2" max="2" width="10.89453125" style="1371" bestFit="1" customWidth="1"/>
    <col min="3" max="3" width="27.7890625" style="1370" bestFit="1" customWidth="1"/>
    <col min="4" max="4" width="7.578125" style="1370" customWidth="1"/>
    <col min="5" max="5" width="8.83984375" style="1370" bestFit="1" customWidth="1"/>
    <col min="6" max="6" width="9.5234375" style="1370" bestFit="1" customWidth="1"/>
    <col min="7" max="7" width="10.62890625" style="1370" customWidth="1"/>
    <col min="8" max="8" width="10.3671875" style="1370" bestFit="1" customWidth="1"/>
    <col min="9" max="9" width="10.1015625" style="1370" bestFit="1" customWidth="1"/>
    <col min="10" max="10" width="10.47265625" style="1371" bestFit="1" customWidth="1"/>
    <col min="11" max="16384" width="9.9453125" style="1370"/>
  </cols>
  <sheetData>
    <row r="1" spans="1:10" ht="41.4" x14ac:dyDescent="0.45">
      <c r="A1" s="1379" t="s">
        <v>7146</v>
      </c>
      <c r="B1" s="1378" t="s">
        <v>7140</v>
      </c>
      <c r="C1" s="1379" t="s">
        <v>7145</v>
      </c>
      <c r="D1" s="1379" t="s">
        <v>75</v>
      </c>
      <c r="E1" s="1379" t="s">
        <v>7144</v>
      </c>
      <c r="F1" s="1379" t="s">
        <v>7143</v>
      </c>
      <c r="G1" s="1379" t="s">
        <v>7142</v>
      </c>
      <c r="H1" s="1376" t="s">
        <v>7141</v>
      </c>
      <c r="I1" s="1370" t="s">
        <v>1140</v>
      </c>
      <c r="J1" s="1378" t="s">
        <v>7140</v>
      </c>
    </row>
    <row r="2" spans="1:10" x14ac:dyDescent="0.45">
      <c r="B2" s="1371">
        <v>9498</v>
      </c>
      <c r="C2" s="1370" t="s">
        <v>7139</v>
      </c>
      <c r="F2" s="1377">
        <v>0</v>
      </c>
      <c r="H2" s="1376">
        <v>3.0999999999999999E-3</v>
      </c>
      <c r="I2" s="1373">
        <f t="shared" ref="I2:I65" si="0">F2-H2</f>
        <v>-3.0999999999999999E-3</v>
      </c>
      <c r="J2" s="1371">
        <v>9498</v>
      </c>
    </row>
    <row r="3" spans="1:10" x14ac:dyDescent="0.45">
      <c r="B3" s="1371">
        <v>9529</v>
      </c>
      <c r="C3" s="1370" t="s">
        <v>7139</v>
      </c>
      <c r="F3" s="1377">
        <v>-3.85E-2</v>
      </c>
      <c r="H3" s="1376">
        <v>2.8E-3</v>
      </c>
      <c r="I3" s="1373">
        <f t="shared" si="0"/>
        <v>-4.1299999999999996E-2</v>
      </c>
      <c r="J3" s="1371">
        <v>9529</v>
      </c>
    </row>
    <row r="4" spans="1:10" x14ac:dyDescent="0.45">
      <c r="B4" s="1371">
        <v>9557</v>
      </c>
      <c r="C4" s="1370" t="s">
        <v>7139</v>
      </c>
      <c r="F4" s="1377">
        <v>-5.7500000000000002E-2</v>
      </c>
      <c r="H4" s="1376">
        <v>3.2000000000000002E-3</v>
      </c>
      <c r="I4" s="1373">
        <f t="shared" si="0"/>
        <v>-6.0700000000000004E-2</v>
      </c>
      <c r="J4" s="1371">
        <v>9557</v>
      </c>
    </row>
    <row r="5" spans="1:10" x14ac:dyDescent="0.45">
      <c r="B5" s="1371">
        <v>9588</v>
      </c>
      <c r="C5" s="1370" t="s">
        <v>7139</v>
      </c>
      <c r="F5" s="1377">
        <v>2.53E-2</v>
      </c>
      <c r="H5" s="1376">
        <v>3.0000000000000001E-3</v>
      </c>
      <c r="I5" s="1373">
        <f t="shared" si="0"/>
        <v>2.23E-2</v>
      </c>
      <c r="J5" s="1371">
        <v>9588</v>
      </c>
    </row>
    <row r="6" spans="1:10" x14ac:dyDescent="0.45">
      <c r="B6" s="1371">
        <v>9618</v>
      </c>
      <c r="C6" s="1370" t="s">
        <v>7139</v>
      </c>
      <c r="F6" s="1377">
        <v>1.7899999999999999E-2</v>
      </c>
      <c r="H6" s="1376">
        <v>2.8E-3</v>
      </c>
      <c r="I6" s="1373">
        <f t="shared" si="0"/>
        <v>1.5099999999999999E-2</v>
      </c>
      <c r="J6" s="1371">
        <v>9618</v>
      </c>
    </row>
    <row r="7" spans="1:10" x14ac:dyDescent="0.45">
      <c r="B7" s="1371">
        <v>9649</v>
      </c>
      <c r="C7" s="1370" t="s">
        <v>7139</v>
      </c>
      <c r="F7" s="1377">
        <v>4.5699999999999998E-2</v>
      </c>
      <c r="H7" s="1376">
        <v>3.3E-3</v>
      </c>
      <c r="I7" s="1373">
        <f t="shared" si="0"/>
        <v>4.24E-2</v>
      </c>
      <c r="J7" s="1371">
        <v>9649</v>
      </c>
    </row>
    <row r="8" spans="1:10" x14ac:dyDescent="0.45">
      <c r="B8" s="1371">
        <v>9679</v>
      </c>
      <c r="C8" s="1370" t="s">
        <v>7139</v>
      </c>
      <c r="F8" s="1377">
        <v>4.7899999999999998E-2</v>
      </c>
      <c r="H8" s="1376">
        <v>3.0999999999999999E-3</v>
      </c>
      <c r="I8" s="1373">
        <f t="shared" si="0"/>
        <v>4.48E-2</v>
      </c>
      <c r="J8" s="1371">
        <v>9679</v>
      </c>
    </row>
    <row r="9" spans="1:10" x14ac:dyDescent="0.45">
      <c r="B9" s="1371">
        <v>9710</v>
      </c>
      <c r="C9" s="1370" t="s">
        <v>7139</v>
      </c>
      <c r="F9" s="1377">
        <v>2.4799999999999999E-2</v>
      </c>
      <c r="H9" s="1376">
        <v>3.0999999999999999E-3</v>
      </c>
      <c r="I9" s="1373">
        <f t="shared" si="0"/>
        <v>2.1700000000000001E-2</v>
      </c>
      <c r="J9" s="1371">
        <v>9710</v>
      </c>
    </row>
    <row r="10" spans="1:10" x14ac:dyDescent="0.45">
      <c r="B10" s="1371">
        <v>9741</v>
      </c>
      <c r="C10" s="1370" t="s">
        <v>7139</v>
      </c>
      <c r="F10" s="1377">
        <v>2.52E-2</v>
      </c>
      <c r="H10" s="1376">
        <v>3.0000000000000001E-3</v>
      </c>
      <c r="I10" s="1373">
        <f t="shared" si="0"/>
        <v>2.2200000000000001E-2</v>
      </c>
      <c r="J10" s="1371">
        <v>9741</v>
      </c>
    </row>
    <row r="11" spans="1:10" x14ac:dyDescent="0.45">
      <c r="B11" s="1371">
        <v>9771</v>
      </c>
      <c r="C11" s="1370" t="s">
        <v>7139</v>
      </c>
      <c r="F11" s="1377">
        <v>-2.8400000000000002E-2</v>
      </c>
      <c r="H11" s="1376">
        <v>3.0000000000000001E-3</v>
      </c>
      <c r="I11" s="1373">
        <f t="shared" si="0"/>
        <v>-3.1400000000000004E-2</v>
      </c>
      <c r="J11" s="1371">
        <v>9771</v>
      </c>
    </row>
    <row r="12" spans="1:10" x14ac:dyDescent="0.45">
      <c r="B12" s="1371">
        <v>9802</v>
      </c>
      <c r="C12" s="1370" t="s">
        <v>7139</v>
      </c>
      <c r="F12" s="1377">
        <v>3.4700000000000002E-2</v>
      </c>
      <c r="H12" s="1376">
        <v>3.0999999999999999E-3</v>
      </c>
      <c r="I12" s="1373">
        <f t="shared" si="0"/>
        <v>3.1600000000000003E-2</v>
      </c>
      <c r="J12" s="1371">
        <v>9802</v>
      </c>
    </row>
    <row r="13" spans="1:10" x14ac:dyDescent="0.45">
      <c r="B13" s="1371">
        <v>9832</v>
      </c>
      <c r="C13" s="1370" t="s">
        <v>7139</v>
      </c>
      <c r="F13" s="1377">
        <v>1.9599999999999999E-2</v>
      </c>
      <c r="H13" s="1376">
        <v>3.0000000000000001E-3</v>
      </c>
      <c r="I13" s="1373">
        <f t="shared" si="0"/>
        <v>1.66E-2</v>
      </c>
      <c r="J13" s="1371">
        <v>9832</v>
      </c>
    </row>
    <row r="14" spans="1:10" x14ac:dyDescent="0.45">
      <c r="B14" s="1371">
        <v>9863</v>
      </c>
      <c r="C14" s="1370" t="s">
        <v>7139</v>
      </c>
      <c r="F14" s="1377">
        <v>-1.9300000000000001E-2</v>
      </c>
      <c r="H14" s="1376">
        <v>3.0000000000000001E-3</v>
      </c>
      <c r="I14" s="1373">
        <f t="shared" si="0"/>
        <v>-2.23E-2</v>
      </c>
      <c r="J14" s="1371">
        <v>9863</v>
      </c>
    </row>
    <row r="15" spans="1:10" x14ac:dyDescent="0.45">
      <c r="B15" s="1371">
        <v>9894</v>
      </c>
      <c r="C15" s="1370" t="s">
        <v>7139</v>
      </c>
      <c r="F15" s="1377">
        <v>5.3699999999999998E-2</v>
      </c>
      <c r="H15" s="1376">
        <v>2.7000000000000001E-3</v>
      </c>
      <c r="I15" s="1373">
        <f t="shared" si="0"/>
        <v>5.0999999999999997E-2</v>
      </c>
      <c r="J15" s="1371">
        <v>9894</v>
      </c>
    </row>
    <row r="16" spans="1:10" x14ac:dyDescent="0.45">
      <c r="B16" s="1371">
        <v>9922</v>
      </c>
      <c r="C16" s="1370" t="s">
        <v>7139</v>
      </c>
      <c r="F16" s="1377">
        <v>8.6999999999999994E-3</v>
      </c>
      <c r="H16" s="1376">
        <v>2.8999999999999998E-3</v>
      </c>
      <c r="I16" s="1373">
        <f t="shared" si="0"/>
        <v>5.7999999999999996E-3</v>
      </c>
      <c r="J16" s="1371">
        <v>9922</v>
      </c>
    </row>
    <row r="17" spans="2:10" x14ac:dyDescent="0.45">
      <c r="B17" s="1371">
        <v>9953</v>
      </c>
      <c r="C17" s="1370" t="s">
        <v>7139</v>
      </c>
      <c r="F17" s="1377">
        <v>2.01E-2</v>
      </c>
      <c r="H17" s="1376">
        <v>2.7000000000000001E-3</v>
      </c>
      <c r="I17" s="1373">
        <f t="shared" si="0"/>
        <v>1.7399999999999999E-2</v>
      </c>
      <c r="J17" s="1371">
        <v>9953</v>
      </c>
    </row>
    <row r="18" spans="2:10" x14ac:dyDescent="0.45">
      <c r="B18" s="1371">
        <v>9983</v>
      </c>
      <c r="C18" s="1370" t="s">
        <v>7139</v>
      </c>
      <c r="F18" s="1377">
        <v>6.0699999999999997E-2</v>
      </c>
      <c r="H18" s="1376">
        <v>2.8E-3</v>
      </c>
      <c r="I18" s="1373">
        <f t="shared" si="0"/>
        <v>5.79E-2</v>
      </c>
      <c r="J18" s="1371">
        <v>9983</v>
      </c>
    </row>
    <row r="19" spans="2:10" x14ac:dyDescent="0.45">
      <c r="B19" s="1371">
        <v>10014</v>
      </c>
      <c r="C19" s="1370" t="s">
        <v>7139</v>
      </c>
      <c r="F19" s="1377">
        <v>-6.7000000000000002E-3</v>
      </c>
      <c r="H19" s="1376">
        <v>2.7000000000000001E-3</v>
      </c>
      <c r="I19" s="1373">
        <f t="shared" si="0"/>
        <v>-9.4000000000000004E-3</v>
      </c>
      <c r="J19" s="1371">
        <v>10014</v>
      </c>
    </row>
    <row r="20" spans="2:10" x14ac:dyDescent="0.45">
      <c r="B20" s="1371">
        <v>10044</v>
      </c>
      <c r="C20" s="1370" t="s">
        <v>7139</v>
      </c>
      <c r="F20" s="1377">
        <v>6.7000000000000004E-2</v>
      </c>
      <c r="H20" s="1376">
        <v>2.7000000000000001E-3</v>
      </c>
      <c r="I20" s="1373">
        <f t="shared" si="0"/>
        <v>6.430000000000001E-2</v>
      </c>
      <c r="J20" s="1371">
        <v>10044</v>
      </c>
    </row>
    <row r="21" spans="2:10" x14ac:dyDescent="0.45">
      <c r="B21" s="1371">
        <v>10075</v>
      </c>
      <c r="C21" s="1370" t="s">
        <v>7139</v>
      </c>
      <c r="F21" s="1377">
        <v>5.1499999999999997E-2</v>
      </c>
      <c r="H21" s="1376">
        <v>2.8999999999999998E-3</v>
      </c>
      <c r="I21" s="1373">
        <f t="shared" si="0"/>
        <v>4.8599999999999997E-2</v>
      </c>
      <c r="J21" s="1371">
        <v>10075</v>
      </c>
    </row>
    <row r="22" spans="2:10" x14ac:dyDescent="0.45">
      <c r="B22" s="1371">
        <v>10106</v>
      </c>
      <c r="C22" s="1370" t="s">
        <v>7139</v>
      </c>
      <c r="F22" s="1377">
        <v>4.4999999999999998E-2</v>
      </c>
      <c r="H22" s="1376">
        <v>2.7000000000000001E-3</v>
      </c>
      <c r="I22" s="1373">
        <f t="shared" si="0"/>
        <v>4.2299999999999997E-2</v>
      </c>
      <c r="J22" s="1371">
        <v>10106</v>
      </c>
    </row>
    <row r="23" spans="2:10" x14ac:dyDescent="0.45">
      <c r="B23" s="1371">
        <v>10136</v>
      </c>
      <c r="C23" s="1370" t="s">
        <v>7139</v>
      </c>
      <c r="F23" s="1377">
        <v>-5.0200000000000002E-2</v>
      </c>
      <c r="H23" s="1376">
        <v>2.8E-3</v>
      </c>
      <c r="I23" s="1373">
        <f t="shared" si="0"/>
        <v>-5.2999999999999999E-2</v>
      </c>
      <c r="J23" s="1371">
        <v>10136</v>
      </c>
    </row>
    <row r="24" spans="2:10" x14ac:dyDescent="0.45">
      <c r="B24" s="1371">
        <v>10167</v>
      </c>
      <c r="C24" s="1370" t="s">
        <v>7139</v>
      </c>
      <c r="F24" s="1377">
        <v>7.2099999999999997E-2</v>
      </c>
      <c r="H24" s="1376">
        <v>2.7000000000000001E-3</v>
      </c>
      <c r="I24" s="1373">
        <f t="shared" si="0"/>
        <v>6.9400000000000003E-2</v>
      </c>
      <c r="J24" s="1371">
        <v>10167</v>
      </c>
    </row>
    <row r="25" spans="2:10" x14ac:dyDescent="0.45">
      <c r="B25" s="1371">
        <v>10197</v>
      </c>
      <c r="C25" s="1370" t="s">
        <v>7139</v>
      </c>
      <c r="F25" s="1377">
        <v>2.7900000000000001E-2</v>
      </c>
      <c r="H25" s="1376">
        <v>2.7000000000000001E-3</v>
      </c>
      <c r="I25" s="1373">
        <f t="shared" si="0"/>
        <v>2.52E-2</v>
      </c>
      <c r="J25" s="1371">
        <v>10197</v>
      </c>
    </row>
    <row r="26" spans="2:10" x14ac:dyDescent="0.45">
      <c r="B26" s="1371">
        <v>10228</v>
      </c>
      <c r="C26" s="1370" t="s">
        <v>7139</v>
      </c>
      <c r="F26" s="1377">
        <v>-4.0000000000000001E-3</v>
      </c>
      <c r="H26" s="1373">
        <v>2.7000000000000001E-3</v>
      </c>
      <c r="I26" s="1373">
        <f t="shared" si="0"/>
        <v>-6.7000000000000002E-3</v>
      </c>
      <c r="J26" s="1371">
        <v>10228</v>
      </c>
    </row>
    <row r="27" spans="2:10" x14ac:dyDescent="0.45">
      <c r="B27" s="1371">
        <v>10259</v>
      </c>
      <c r="C27" s="1370" t="s">
        <v>7139</v>
      </c>
      <c r="F27" s="1377">
        <v>-1.2500000000000001E-2</v>
      </c>
      <c r="H27" s="1373">
        <v>2.5000000000000001E-3</v>
      </c>
      <c r="I27" s="1373">
        <f t="shared" si="0"/>
        <v>-1.5000000000000001E-2</v>
      </c>
      <c r="J27" s="1371">
        <v>10259</v>
      </c>
    </row>
    <row r="28" spans="2:10" x14ac:dyDescent="0.45">
      <c r="B28" s="1371">
        <v>10288</v>
      </c>
      <c r="C28" s="1370" t="s">
        <v>7139</v>
      </c>
      <c r="F28" s="1377">
        <v>0.1101</v>
      </c>
      <c r="H28" s="1373">
        <v>2.7000000000000001E-3</v>
      </c>
      <c r="I28" s="1373">
        <f t="shared" si="0"/>
        <v>0.10740000000000001</v>
      </c>
      <c r="J28" s="1371">
        <v>10288</v>
      </c>
    </row>
    <row r="29" spans="2:10" x14ac:dyDescent="0.45">
      <c r="B29" s="1371">
        <v>10319</v>
      </c>
      <c r="C29" s="1370" t="s">
        <v>7139</v>
      </c>
      <c r="F29" s="1377">
        <v>3.4500000000000003E-2</v>
      </c>
      <c r="H29" s="1373">
        <v>2.5999999999999999E-3</v>
      </c>
      <c r="I29" s="1373">
        <f t="shared" si="0"/>
        <v>3.1900000000000005E-2</v>
      </c>
      <c r="J29" s="1371">
        <v>10319</v>
      </c>
    </row>
    <row r="30" spans="2:10" x14ac:dyDescent="0.45">
      <c r="B30" s="1371">
        <v>10349</v>
      </c>
      <c r="C30" s="1370" t="s">
        <v>7139</v>
      </c>
      <c r="F30" s="1377">
        <v>1.9699999999999999E-2</v>
      </c>
      <c r="H30" s="1373">
        <v>2.7000000000000001E-3</v>
      </c>
      <c r="I30" s="1373">
        <f t="shared" si="0"/>
        <v>1.6999999999999998E-2</v>
      </c>
      <c r="J30" s="1371">
        <v>10349</v>
      </c>
    </row>
    <row r="31" spans="2:10" x14ac:dyDescent="0.45">
      <c r="B31" s="1371">
        <v>10380</v>
      </c>
      <c r="C31" s="1370" t="s">
        <v>7139</v>
      </c>
      <c r="F31" s="1377">
        <v>-3.85E-2</v>
      </c>
      <c r="H31" s="1373">
        <v>2.7000000000000001E-3</v>
      </c>
      <c r="I31" s="1373">
        <f t="shared" si="0"/>
        <v>-4.1200000000000001E-2</v>
      </c>
      <c r="J31" s="1371">
        <v>10380</v>
      </c>
    </row>
    <row r="32" spans="2:10" x14ac:dyDescent="0.45">
      <c r="B32" s="1371">
        <v>10410</v>
      </c>
      <c r="C32" s="1370" t="s">
        <v>7139</v>
      </c>
      <c r="F32" s="1377">
        <v>1.41E-2</v>
      </c>
      <c r="H32" s="1373">
        <v>2.7000000000000001E-3</v>
      </c>
      <c r="I32" s="1373">
        <f t="shared" si="0"/>
        <v>1.14E-2</v>
      </c>
      <c r="J32" s="1371">
        <v>10410</v>
      </c>
    </row>
    <row r="33" spans="2:10" x14ac:dyDescent="0.45">
      <c r="B33" s="1371">
        <v>10441</v>
      </c>
      <c r="C33" s="1370" t="s">
        <v>7139</v>
      </c>
      <c r="F33" s="1377">
        <v>8.0299999999999996E-2</v>
      </c>
      <c r="H33" s="1373">
        <v>2.8999999999999998E-3</v>
      </c>
      <c r="I33" s="1373">
        <f t="shared" si="0"/>
        <v>7.7399999999999997E-2</v>
      </c>
      <c r="J33" s="1371">
        <v>10441</v>
      </c>
    </row>
    <row r="34" spans="2:10" x14ac:dyDescent="0.45">
      <c r="B34" s="1371">
        <v>10472</v>
      </c>
      <c r="C34" s="1370" t="s">
        <v>7139</v>
      </c>
      <c r="F34" s="1377">
        <v>2.5899999999999999E-2</v>
      </c>
      <c r="H34" s="1373">
        <v>2.7000000000000001E-3</v>
      </c>
      <c r="I34" s="1373">
        <f t="shared" si="0"/>
        <v>2.3199999999999998E-2</v>
      </c>
      <c r="J34" s="1371">
        <v>10472</v>
      </c>
    </row>
    <row r="35" spans="2:10" x14ac:dyDescent="0.45">
      <c r="B35" s="1371">
        <v>10502</v>
      </c>
      <c r="C35" s="1370" t="s">
        <v>7139</v>
      </c>
      <c r="F35" s="1377">
        <v>1.6799999999999999E-2</v>
      </c>
      <c r="H35" s="1373">
        <v>3.0000000000000001E-3</v>
      </c>
      <c r="I35" s="1373">
        <f t="shared" si="0"/>
        <v>1.38E-2</v>
      </c>
      <c r="J35" s="1371">
        <v>10502</v>
      </c>
    </row>
    <row r="36" spans="2:10" x14ac:dyDescent="0.45">
      <c r="B36" s="1371">
        <v>10533</v>
      </c>
      <c r="C36" s="1370" t="s">
        <v>7139</v>
      </c>
      <c r="F36" s="1377">
        <v>0.12920000000000001</v>
      </c>
      <c r="H36" s="1373">
        <v>2.7000000000000001E-3</v>
      </c>
      <c r="I36" s="1373">
        <f t="shared" si="0"/>
        <v>0.1265</v>
      </c>
      <c r="J36" s="1371">
        <v>10533</v>
      </c>
    </row>
    <row r="37" spans="2:10" x14ac:dyDescent="0.45">
      <c r="B37" s="1371">
        <v>10563</v>
      </c>
      <c r="C37" s="1370" t="s">
        <v>7139</v>
      </c>
      <c r="F37" s="1377">
        <v>4.8999999999999998E-3</v>
      </c>
      <c r="H37" s="1373">
        <v>2.8999999999999998E-3</v>
      </c>
      <c r="I37" s="1373">
        <f t="shared" si="0"/>
        <v>2E-3</v>
      </c>
      <c r="J37" s="1371">
        <v>10563</v>
      </c>
    </row>
    <row r="38" spans="2:10" x14ac:dyDescent="0.45">
      <c r="B38" s="1371">
        <v>10594</v>
      </c>
      <c r="C38" s="1370" t="s">
        <v>7139</v>
      </c>
      <c r="F38" s="1377">
        <v>5.8299999999999998E-2</v>
      </c>
      <c r="H38" s="1373">
        <v>2.8999999999999998E-3</v>
      </c>
      <c r="I38" s="1373">
        <f t="shared" si="0"/>
        <v>5.5399999999999998E-2</v>
      </c>
      <c r="J38" s="1371">
        <v>10594</v>
      </c>
    </row>
    <row r="39" spans="2:10" x14ac:dyDescent="0.45">
      <c r="B39" s="1371">
        <v>10625</v>
      </c>
      <c r="C39" s="1370" t="s">
        <v>7139</v>
      </c>
      <c r="F39" s="1377">
        <v>-1.9E-3</v>
      </c>
      <c r="H39" s="1373">
        <v>2.7000000000000001E-3</v>
      </c>
      <c r="I39" s="1373">
        <f t="shared" si="0"/>
        <v>-4.5999999999999999E-3</v>
      </c>
      <c r="J39" s="1371">
        <v>10625</v>
      </c>
    </row>
    <row r="40" spans="2:10" x14ac:dyDescent="0.45">
      <c r="B40" s="1371">
        <v>10653</v>
      </c>
      <c r="C40" s="1370" t="s">
        <v>7139</v>
      </c>
      <c r="F40" s="1377">
        <v>-1.1999999999999999E-3</v>
      </c>
      <c r="H40" s="1373">
        <v>2.8E-3</v>
      </c>
      <c r="I40" s="1373">
        <f t="shared" si="0"/>
        <v>-4.0000000000000001E-3</v>
      </c>
      <c r="J40" s="1371">
        <v>10653</v>
      </c>
    </row>
    <row r="41" spans="2:10" x14ac:dyDescent="0.45">
      <c r="B41" s="1371">
        <v>10684</v>
      </c>
      <c r="C41" s="1370" t="s">
        <v>7139</v>
      </c>
      <c r="F41" s="1377">
        <v>1.7600000000000001E-2</v>
      </c>
      <c r="H41" s="1373">
        <v>3.3999999999999998E-3</v>
      </c>
      <c r="I41" s="1373">
        <f t="shared" si="0"/>
        <v>1.4200000000000001E-2</v>
      </c>
      <c r="J41" s="1371">
        <v>10684</v>
      </c>
    </row>
    <row r="42" spans="2:10" x14ac:dyDescent="0.45">
      <c r="B42" s="1371">
        <v>10714</v>
      </c>
      <c r="C42" s="1370" t="s">
        <v>7139</v>
      </c>
      <c r="F42" s="1377">
        <v>-3.6200000000000003E-2</v>
      </c>
      <c r="H42" s="1373">
        <v>3.0000000000000001E-3</v>
      </c>
      <c r="I42" s="1373">
        <f t="shared" si="0"/>
        <v>-3.9200000000000006E-2</v>
      </c>
      <c r="J42" s="1371">
        <v>10714</v>
      </c>
    </row>
    <row r="43" spans="2:10" x14ac:dyDescent="0.45">
      <c r="B43" s="1371">
        <v>10745</v>
      </c>
      <c r="C43" s="1370" t="s">
        <v>7139</v>
      </c>
      <c r="F43" s="1377">
        <v>0.114</v>
      </c>
      <c r="H43" s="1373">
        <v>2.8999999999999998E-3</v>
      </c>
      <c r="I43" s="1373">
        <f t="shared" si="0"/>
        <v>0.1111</v>
      </c>
      <c r="J43" s="1371">
        <v>10745</v>
      </c>
    </row>
    <row r="44" spans="2:10" x14ac:dyDescent="0.45">
      <c r="B44" s="1371">
        <v>10775</v>
      </c>
      <c r="C44" s="1370" t="s">
        <v>7139</v>
      </c>
      <c r="F44" s="1377">
        <v>4.7100000000000003E-2</v>
      </c>
      <c r="H44" s="1373">
        <v>3.2000000000000002E-3</v>
      </c>
      <c r="I44" s="1373">
        <f t="shared" si="0"/>
        <v>4.3900000000000002E-2</v>
      </c>
      <c r="J44" s="1371">
        <v>10775</v>
      </c>
    </row>
    <row r="45" spans="2:10" x14ac:dyDescent="0.45">
      <c r="B45" s="1371">
        <v>10806</v>
      </c>
      <c r="C45" s="1370" t="s">
        <v>7139</v>
      </c>
      <c r="F45" s="1377">
        <v>0.1028</v>
      </c>
      <c r="H45" s="1373">
        <v>3.0000000000000001E-3</v>
      </c>
      <c r="I45" s="1373">
        <f t="shared" si="0"/>
        <v>9.98E-2</v>
      </c>
      <c r="J45" s="1371">
        <v>10806</v>
      </c>
    </row>
    <row r="46" spans="2:10" x14ac:dyDescent="0.45">
      <c r="B46" s="1371">
        <v>10837</v>
      </c>
      <c r="C46" s="1370" t="s">
        <v>7139</v>
      </c>
      <c r="F46" s="1377">
        <v>-4.7600000000000003E-2</v>
      </c>
      <c r="H46" s="1373">
        <v>3.2000000000000002E-3</v>
      </c>
      <c r="I46" s="1373">
        <f t="shared" si="0"/>
        <v>-5.0800000000000005E-2</v>
      </c>
      <c r="J46" s="1371">
        <v>10837</v>
      </c>
    </row>
    <row r="47" spans="2:10" x14ac:dyDescent="0.45">
      <c r="B47" s="1371">
        <v>10867</v>
      </c>
      <c r="C47" s="1370" t="s">
        <v>7139</v>
      </c>
      <c r="F47" s="1377">
        <v>-0.1973</v>
      </c>
      <c r="H47" s="1373">
        <v>3.0999999999999999E-3</v>
      </c>
      <c r="I47" s="1373">
        <f t="shared" si="0"/>
        <v>-0.20039999999999999</v>
      </c>
      <c r="J47" s="1371">
        <v>10867</v>
      </c>
    </row>
    <row r="48" spans="2:10" x14ac:dyDescent="0.45">
      <c r="B48" s="1371">
        <v>10898</v>
      </c>
      <c r="C48" s="1370" t="s">
        <v>7139</v>
      </c>
      <c r="F48" s="1377">
        <v>-0.1246</v>
      </c>
      <c r="H48" s="1373">
        <v>2.5999999999999999E-3</v>
      </c>
      <c r="I48" s="1373">
        <f t="shared" si="0"/>
        <v>-0.12720000000000001</v>
      </c>
      <c r="J48" s="1371">
        <v>10898</v>
      </c>
    </row>
    <row r="49" spans="2:10" x14ac:dyDescent="0.45">
      <c r="B49" s="1371">
        <v>10928</v>
      </c>
      <c r="C49" s="1370" t="s">
        <v>7139</v>
      </c>
      <c r="F49" s="1377">
        <v>2.8199999999999999E-2</v>
      </c>
      <c r="H49" s="1373">
        <v>3.0999999999999999E-3</v>
      </c>
      <c r="I49" s="1373">
        <f t="shared" si="0"/>
        <v>2.5100000000000001E-2</v>
      </c>
      <c r="J49" s="1371">
        <v>10928</v>
      </c>
    </row>
    <row r="50" spans="2:10" x14ac:dyDescent="0.45">
      <c r="B50" s="1371">
        <v>10959</v>
      </c>
      <c r="C50" s="1370" t="s">
        <v>7139</v>
      </c>
      <c r="F50" s="1377">
        <v>6.3899999999999998E-2</v>
      </c>
      <c r="H50" s="1373">
        <v>2.8999999999999998E-3</v>
      </c>
      <c r="I50" s="1373">
        <f t="shared" si="0"/>
        <v>6.0999999999999999E-2</v>
      </c>
      <c r="J50" s="1371">
        <v>10959</v>
      </c>
    </row>
    <row r="51" spans="2:10" x14ac:dyDescent="0.45">
      <c r="B51" s="1371">
        <v>10990</v>
      </c>
      <c r="C51" s="1370" t="s">
        <v>7139</v>
      </c>
      <c r="F51" s="1377">
        <v>2.5899999999999999E-2</v>
      </c>
      <c r="H51" s="1373">
        <v>2.5999999999999999E-3</v>
      </c>
      <c r="I51" s="1373">
        <f t="shared" si="0"/>
        <v>2.3300000000000001E-2</v>
      </c>
      <c r="J51" s="1371">
        <v>10990</v>
      </c>
    </row>
    <row r="52" spans="2:10" x14ac:dyDescent="0.45">
      <c r="B52" s="1371">
        <v>11018</v>
      </c>
      <c r="C52" s="1370" t="s">
        <v>7139</v>
      </c>
      <c r="F52" s="1377">
        <v>8.1199999999999994E-2</v>
      </c>
      <c r="H52" s="1373">
        <v>2.8999999999999998E-3</v>
      </c>
      <c r="I52" s="1373">
        <f t="shared" si="0"/>
        <v>7.8299999999999995E-2</v>
      </c>
      <c r="J52" s="1371">
        <v>11018</v>
      </c>
    </row>
    <row r="53" spans="2:10" x14ac:dyDescent="0.45">
      <c r="B53" s="1371">
        <v>11049</v>
      </c>
      <c r="C53" s="1370" t="s">
        <v>7139</v>
      </c>
      <c r="F53" s="1377">
        <v>-8.0000000000000002E-3</v>
      </c>
      <c r="H53" s="1373">
        <v>2.7000000000000001E-3</v>
      </c>
      <c r="I53" s="1373">
        <f t="shared" si="0"/>
        <v>-1.0700000000000001E-2</v>
      </c>
      <c r="J53" s="1371">
        <v>11049</v>
      </c>
    </row>
    <row r="54" spans="2:10" x14ac:dyDescent="0.45">
      <c r="B54" s="1371">
        <v>11079</v>
      </c>
      <c r="C54" s="1370" t="s">
        <v>7139</v>
      </c>
      <c r="F54" s="1377">
        <v>-9.5999999999999992E-3</v>
      </c>
      <c r="H54" s="1373">
        <v>2.7000000000000001E-3</v>
      </c>
      <c r="I54" s="1373">
        <f t="shared" si="0"/>
        <v>-1.2299999999999998E-2</v>
      </c>
      <c r="J54" s="1371">
        <v>11079</v>
      </c>
    </row>
    <row r="55" spans="2:10" x14ac:dyDescent="0.45">
      <c r="B55" s="1371">
        <v>11110</v>
      </c>
      <c r="C55" s="1370" t="s">
        <v>7139</v>
      </c>
      <c r="F55" s="1377">
        <v>-0.16250000000000001</v>
      </c>
      <c r="H55" s="1373">
        <v>2.8999999999999998E-3</v>
      </c>
      <c r="I55" s="1373">
        <f t="shared" si="0"/>
        <v>-0.16539999999999999</v>
      </c>
      <c r="J55" s="1371">
        <v>11110</v>
      </c>
    </row>
    <row r="56" spans="2:10" x14ac:dyDescent="0.45">
      <c r="B56" s="1371">
        <v>11140</v>
      </c>
      <c r="C56" s="1370" t="s">
        <v>7139</v>
      </c>
      <c r="F56" s="1377">
        <v>3.8600000000000002E-2</v>
      </c>
      <c r="H56" s="1373">
        <v>2.8E-3</v>
      </c>
      <c r="I56" s="1373">
        <f t="shared" si="0"/>
        <v>3.5800000000000005E-2</v>
      </c>
      <c r="J56" s="1371">
        <v>11140</v>
      </c>
    </row>
    <row r="57" spans="2:10" x14ac:dyDescent="0.45">
      <c r="B57" s="1371">
        <v>11171</v>
      </c>
      <c r="C57" s="1370" t="s">
        <v>7139</v>
      </c>
      <c r="F57" s="1377">
        <v>1.41E-2</v>
      </c>
      <c r="H57" s="1373">
        <v>2.5999999999999999E-3</v>
      </c>
      <c r="I57" s="1373">
        <f t="shared" si="0"/>
        <v>1.15E-2</v>
      </c>
      <c r="J57" s="1371">
        <v>11171</v>
      </c>
    </row>
    <row r="58" spans="2:10" x14ac:dyDescent="0.45">
      <c r="B58" s="1371">
        <v>11202</v>
      </c>
      <c r="C58" s="1370" t="s">
        <v>7139</v>
      </c>
      <c r="F58" s="1377">
        <v>-0.12820000000000001</v>
      </c>
      <c r="H58" s="1373">
        <v>2.8999999999999998E-3</v>
      </c>
      <c r="I58" s="1373">
        <f t="shared" si="0"/>
        <v>-0.13109999999999999</v>
      </c>
      <c r="J58" s="1371">
        <v>11202</v>
      </c>
    </row>
    <row r="59" spans="2:10" x14ac:dyDescent="0.45">
      <c r="B59" s="1371">
        <v>11232</v>
      </c>
      <c r="C59" s="1370" t="s">
        <v>7139</v>
      </c>
      <c r="F59" s="1377">
        <v>-8.5500000000000007E-2</v>
      </c>
      <c r="H59" s="1373">
        <v>2.7000000000000001E-3</v>
      </c>
      <c r="I59" s="1373">
        <f t="shared" si="0"/>
        <v>-8.8200000000000001E-2</v>
      </c>
      <c r="J59" s="1371">
        <v>11232</v>
      </c>
    </row>
    <row r="60" spans="2:10" x14ac:dyDescent="0.45">
      <c r="B60" s="1371">
        <v>11263</v>
      </c>
      <c r="C60" s="1370" t="s">
        <v>7139</v>
      </c>
      <c r="F60" s="1377">
        <v>-8.8999999999999999E-3</v>
      </c>
      <c r="H60" s="1373">
        <v>2.5999999999999999E-3</v>
      </c>
      <c r="I60" s="1373">
        <f t="shared" si="0"/>
        <v>-1.15E-2</v>
      </c>
      <c r="J60" s="1371">
        <v>11263</v>
      </c>
    </row>
    <row r="61" spans="2:10" x14ac:dyDescent="0.45">
      <c r="B61" s="1371">
        <v>11293</v>
      </c>
      <c r="C61" s="1370" t="s">
        <v>7139</v>
      </c>
      <c r="F61" s="1377">
        <v>-7.0599999999999996E-2</v>
      </c>
      <c r="H61" s="1373">
        <v>2.8E-3</v>
      </c>
      <c r="I61" s="1373">
        <f t="shared" si="0"/>
        <v>-7.3399999999999993E-2</v>
      </c>
      <c r="J61" s="1371">
        <v>11293</v>
      </c>
    </row>
    <row r="62" spans="2:10" x14ac:dyDescent="0.45">
      <c r="B62" s="1371">
        <v>11324</v>
      </c>
      <c r="C62" s="1370" t="s">
        <v>7139</v>
      </c>
      <c r="F62" s="1377">
        <v>5.0200000000000002E-2</v>
      </c>
      <c r="H62" s="1373">
        <v>2.8E-3</v>
      </c>
      <c r="I62" s="1373">
        <f t="shared" si="0"/>
        <v>4.7400000000000005E-2</v>
      </c>
      <c r="J62" s="1371">
        <v>11324</v>
      </c>
    </row>
    <row r="63" spans="2:10" x14ac:dyDescent="0.45">
      <c r="B63" s="1371">
        <v>11355</v>
      </c>
      <c r="C63" s="1370" t="s">
        <v>7139</v>
      </c>
      <c r="F63" s="1377">
        <v>0.1193</v>
      </c>
      <c r="H63" s="1373">
        <v>2.5999999999999999E-3</v>
      </c>
      <c r="I63" s="1373">
        <f t="shared" si="0"/>
        <v>0.1167</v>
      </c>
      <c r="J63" s="1371">
        <v>11355</v>
      </c>
    </row>
    <row r="64" spans="2:10" x14ac:dyDescent="0.45">
      <c r="B64" s="1371">
        <v>11383</v>
      </c>
      <c r="C64" s="1370" t="s">
        <v>7139</v>
      </c>
      <c r="F64" s="1377">
        <v>-6.7500000000000004E-2</v>
      </c>
      <c r="H64" s="1373">
        <v>2.8999999999999998E-3</v>
      </c>
      <c r="I64" s="1373">
        <f t="shared" si="0"/>
        <v>-7.0400000000000004E-2</v>
      </c>
      <c r="J64" s="1371">
        <v>11383</v>
      </c>
    </row>
    <row r="65" spans="2:10" x14ac:dyDescent="0.45">
      <c r="B65" s="1371">
        <v>11414</v>
      </c>
      <c r="C65" s="1370" t="s">
        <v>7139</v>
      </c>
      <c r="F65" s="1377">
        <v>-9.35E-2</v>
      </c>
      <c r="H65" s="1373">
        <v>2.7000000000000001E-3</v>
      </c>
      <c r="I65" s="1373">
        <f t="shared" si="0"/>
        <v>-9.6199999999999994E-2</v>
      </c>
      <c r="J65" s="1371">
        <v>11414</v>
      </c>
    </row>
    <row r="66" spans="2:10" x14ac:dyDescent="0.45">
      <c r="B66" s="1371">
        <v>11444</v>
      </c>
      <c r="C66" s="1370" t="s">
        <v>7139</v>
      </c>
      <c r="F66" s="1377">
        <v>-0.12790000000000001</v>
      </c>
      <c r="H66" s="1373">
        <v>2.5999999999999999E-3</v>
      </c>
      <c r="I66" s="1373">
        <f t="shared" ref="I66:I129" si="1">F66-H66</f>
        <v>-0.1305</v>
      </c>
      <c r="J66" s="1371">
        <v>11444</v>
      </c>
    </row>
    <row r="67" spans="2:10" x14ac:dyDescent="0.45">
      <c r="B67" s="1371">
        <v>11475</v>
      </c>
      <c r="C67" s="1370" t="s">
        <v>7139</v>
      </c>
      <c r="F67" s="1377">
        <v>0.1421</v>
      </c>
      <c r="H67" s="1373">
        <v>2.8E-3</v>
      </c>
      <c r="I67" s="1373">
        <f t="shared" si="1"/>
        <v>0.13930000000000001</v>
      </c>
      <c r="J67" s="1371">
        <v>11475</v>
      </c>
    </row>
    <row r="68" spans="2:10" x14ac:dyDescent="0.45">
      <c r="B68" s="1371">
        <v>11505</v>
      </c>
      <c r="C68" s="1370" t="s">
        <v>7139</v>
      </c>
      <c r="F68" s="1377">
        <v>-7.22E-2</v>
      </c>
      <c r="H68" s="1373">
        <v>2.7000000000000001E-3</v>
      </c>
      <c r="I68" s="1373">
        <f t="shared" si="1"/>
        <v>-7.4899999999999994E-2</v>
      </c>
      <c r="J68" s="1371">
        <v>11505</v>
      </c>
    </row>
    <row r="69" spans="2:10" x14ac:dyDescent="0.45">
      <c r="B69" s="1371">
        <v>11536</v>
      </c>
      <c r="C69" s="1370" t="s">
        <v>7139</v>
      </c>
      <c r="F69" s="1377">
        <v>1.8200000000000001E-2</v>
      </c>
      <c r="H69" s="1373">
        <v>2.7000000000000001E-3</v>
      </c>
      <c r="I69" s="1373">
        <f t="shared" si="1"/>
        <v>1.55E-2</v>
      </c>
      <c r="J69" s="1371">
        <v>11536</v>
      </c>
    </row>
    <row r="70" spans="2:10" x14ac:dyDescent="0.45">
      <c r="B70" s="1371">
        <v>11567</v>
      </c>
      <c r="C70" s="1370" t="s">
        <v>7139</v>
      </c>
      <c r="F70" s="1377">
        <v>-0.29730000000000001</v>
      </c>
      <c r="H70" s="1373">
        <v>2.7000000000000001E-3</v>
      </c>
      <c r="I70" s="1373">
        <f t="shared" si="1"/>
        <v>-0.3</v>
      </c>
      <c r="J70" s="1371">
        <v>11567</v>
      </c>
    </row>
    <row r="71" spans="2:10" x14ac:dyDescent="0.45">
      <c r="B71" s="1371">
        <v>11597</v>
      </c>
      <c r="C71" s="1370" t="s">
        <v>7139</v>
      </c>
      <c r="F71" s="1377">
        <v>8.9599999999999999E-2</v>
      </c>
      <c r="H71" s="1373">
        <v>2.8999999999999998E-3</v>
      </c>
      <c r="I71" s="1373">
        <f t="shared" si="1"/>
        <v>8.6699999999999999E-2</v>
      </c>
      <c r="J71" s="1371">
        <v>11597</v>
      </c>
    </row>
    <row r="72" spans="2:10" x14ac:dyDescent="0.45">
      <c r="B72" s="1371">
        <v>11628</v>
      </c>
      <c r="C72" s="1370" t="s">
        <v>7139</v>
      </c>
      <c r="F72" s="1377">
        <v>-7.9799999999999996E-2</v>
      </c>
      <c r="H72" s="1373">
        <v>3.0999999999999999E-3</v>
      </c>
      <c r="I72" s="1373">
        <f t="shared" si="1"/>
        <v>-8.2900000000000001E-2</v>
      </c>
      <c r="J72" s="1371">
        <v>11628</v>
      </c>
    </row>
    <row r="73" spans="2:10" x14ac:dyDescent="0.45">
      <c r="B73" s="1371">
        <v>11658</v>
      </c>
      <c r="C73" s="1370" t="s">
        <v>7139</v>
      </c>
      <c r="F73" s="1377">
        <v>-0.14000000000000001</v>
      </c>
      <c r="H73" s="1373">
        <v>3.2000000000000002E-3</v>
      </c>
      <c r="I73" s="1373">
        <f t="shared" si="1"/>
        <v>-0.14320000000000002</v>
      </c>
      <c r="J73" s="1371">
        <v>11658</v>
      </c>
    </row>
    <row r="74" spans="2:10" x14ac:dyDescent="0.45">
      <c r="B74" s="1371">
        <v>11689</v>
      </c>
      <c r="C74" s="1370" t="s">
        <v>7139</v>
      </c>
      <c r="F74" s="1377">
        <v>-2.7099999999999999E-2</v>
      </c>
      <c r="H74" s="1373">
        <v>3.2000000000000002E-3</v>
      </c>
      <c r="I74" s="1373">
        <f t="shared" si="1"/>
        <v>-3.0300000000000001E-2</v>
      </c>
      <c r="J74" s="1371">
        <v>11689</v>
      </c>
    </row>
    <row r="75" spans="2:10" x14ac:dyDescent="0.45">
      <c r="B75" s="1371">
        <v>11720</v>
      </c>
      <c r="C75" s="1370" t="s">
        <v>7139</v>
      </c>
      <c r="F75" s="1377">
        <v>5.7000000000000002E-2</v>
      </c>
      <c r="H75" s="1373">
        <v>3.2000000000000002E-3</v>
      </c>
      <c r="I75" s="1373">
        <f t="shared" si="1"/>
        <v>5.3800000000000001E-2</v>
      </c>
      <c r="J75" s="1371">
        <v>11720</v>
      </c>
    </row>
    <row r="76" spans="2:10" x14ac:dyDescent="0.45">
      <c r="B76" s="1371">
        <v>11749</v>
      </c>
      <c r="C76" s="1370" t="s">
        <v>7139</v>
      </c>
      <c r="F76" s="1377">
        <v>-0.1158</v>
      </c>
      <c r="H76" s="1373">
        <v>3.0999999999999999E-3</v>
      </c>
      <c r="I76" s="1373">
        <f t="shared" si="1"/>
        <v>-0.11890000000000001</v>
      </c>
      <c r="J76" s="1371">
        <v>11749</v>
      </c>
    </row>
    <row r="77" spans="2:10" x14ac:dyDescent="0.45">
      <c r="B77" s="1371">
        <v>11780</v>
      </c>
      <c r="C77" s="1370" t="s">
        <v>7139</v>
      </c>
      <c r="F77" s="1377">
        <v>-0.19969999999999999</v>
      </c>
      <c r="H77" s="1373">
        <v>3.0000000000000001E-3</v>
      </c>
      <c r="I77" s="1373">
        <f t="shared" si="1"/>
        <v>-0.20269999999999999</v>
      </c>
      <c r="J77" s="1371">
        <v>11780</v>
      </c>
    </row>
    <row r="78" spans="2:10" x14ac:dyDescent="0.45">
      <c r="B78" s="1371">
        <v>11810</v>
      </c>
      <c r="C78" s="1370" t="s">
        <v>7139</v>
      </c>
      <c r="F78" s="1377">
        <v>-0.21959999999999999</v>
      </c>
      <c r="H78" s="1373">
        <v>2.8E-3</v>
      </c>
      <c r="I78" s="1373">
        <f t="shared" si="1"/>
        <v>-0.22239999999999999</v>
      </c>
      <c r="J78" s="1371">
        <v>11810</v>
      </c>
    </row>
    <row r="79" spans="2:10" x14ac:dyDescent="0.45">
      <c r="B79" s="1371">
        <v>11841</v>
      </c>
      <c r="C79" s="1370" t="s">
        <v>7139</v>
      </c>
      <c r="F79" s="1377">
        <v>-2.2000000000000001E-3</v>
      </c>
      <c r="H79" s="1373">
        <v>2.8E-3</v>
      </c>
      <c r="I79" s="1373">
        <f t="shared" si="1"/>
        <v>-5.0000000000000001E-3</v>
      </c>
      <c r="J79" s="1371">
        <v>11841</v>
      </c>
    </row>
    <row r="80" spans="2:10" x14ac:dyDescent="0.45">
      <c r="B80" s="1371">
        <v>11871</v>
      </c>
      <c r="C80" s="1370" t="s">
        <v>7139</v>
      </c>
      <c r="F80" s="1377">
        <v>0.38150000000000001</v>
      </c>
      <c r="H80" s="1373">
        <v>2.8E-3</v>
      </c>
      <c r="I80" s="1373">
        <f t="shared" si="1"/>
        <v>0.37869999999999998</v>
      </c>
      <c r="J80" s="1371">
        <v>11871</v>
      </c>
    </row>
    <row r="81" spans="2:10" x14ac:dyDescent="0.45">
      <c r="B81" s="1371">
        <v>11902</v>
      </c>
      <c r="C81" s="1370" t="s">
        <v>7139</v>
      </c>
      <c r="F81" s="1377">
        <v>0.38690000000000002</v>
      </c>
      <c r="H81" s="1373">
        <v>2.8E-3</v>
      </c>
      <c r="I81" s="1373">
        <f t="shared" si="1"/>
        <v>0.3841</v>
      </c>
      <c r="J81" s="1371">
        <v>11902</v>
      </c>
    </row>
    <row r="82" spans="2:10" x14ac:dyDescent="0.45">
      <c r="B82" s="1371">
        <v>11933</v>
      </c>
      <c r="C82" s="1370" t="s">
        <v>7139</v>
      </c>
      <c r="F82" s="1377">
        <v>-3.4599999999999999E-2</v>
      </c>
      <c r="H82" s="1373">
        <v>2.5999999999999999E-3</v>
      </c>
      <c r="I82" s="1373">
        <f t="shared" si="1"/>
        <v>-3.7199999999999997E-2</v>
      </c>
      <c r="J82" s="1371">
        <v>11933</v>
      </c>
    </row>
    <row r="83" spans="2:10" x14ac:dyDescent="0.45">
      <c r="B83" s="1371">
        <v>11963</v>
      </c>
      <c r="C83" s="1370" t="s">
        <v>7139</v>
      </c>
      <c r="F83" s="1377">
        <v>-0.13489999999999999</v>
      </c>
      <c r="H83" s="1373">
        <v>2.7000000000000001E-3</v>
      </c>
      <c r="I83" s="1373">
        <f t="shared" si="1"/>
        <v>-0.1376</v>
      </c>
      <c r="J83" s="1371">
        <v>11963</v>
      </c>
    </row>
    <row r="84" spans="2:10" x14ac:dyDescent="0.45">
      <c r="B84" s="1371">
        <v>11994</v>
      </c>
      <c r="C84" s="1370" t="s">
        <v>7139</v>
      </c>
      <c r="F84" s="1377">
        <v>-4.1700000000000001E-2</v>
      </c>
      <c r="H84" s="1373">
        <v>2.5999999999999999E-3</v>
      </c>
      <c r="I84" s="1373">
        <f t="shared" si="1"/>
        <v>-4.4299999999999999E-2</v>
      </c>
      <c r="J84" s="1371">
        <v>11994</v>
      </c>
    </row>
    <row r="85" spans="2:10" x14ac:dyDescent="0.45">
      <c r="B85" s="1371">
        <v>12024</v>
      </c>
      <c r="C85" s="1370" t="s">
        <v>7139</v>
      </c>
      <c r="F85" s="1377">
        <v>5.6500000000000002E-2</v>
      </c>
      <c r="H85" s="1373">
        <v>2.7000000000000001E-3</v>
      </c>
      <c r="I85" s="1373">
        <f t="shared" si="1"/>
        <v>5.3800000000000001E-2</v>
      </c>
      <c r="J85" s="1371">
        <v>12024</v>
      </c>
    </row>
    <row r="86" spans="2:10" x14ac:dyDescent="0.45">
      <c r="B86" s="1371">
        <v>12055</v>
      </c>
      <c r="C86" s="1370" t="s">
        <v>7139</v>
      </c>
      <c r="F86" s="1372">
        <v>8.6999999999999994E-3</v>
      </c>
      <c r="H86" s="1376">
        <v>2.7000000000000001E-3</v>
      </c>
      <c r="I86" s="1373">
        <f t="shared" si="1"/>
        <v>5.9999999999999993E-3</v>
      </c>
      <c r="J86" s="1371">
        <v>12055</v>
      </c>
    </row>
    <row r="87" spans="2:10" x14ac:dyDescent="0.45">
      <c r="B87" s="1371">
        <v>12086</v>
      </c>
      <c r="C87" s="1370" t="s">
        <v>7139</v>
      </c>
      <c r="F87" s="1372">
        <v>-0.1772</v>
      </c>
      <c r="H87" s="1373">
        <v>2.3E-3</v>
      </c>
      <c r="I87" s="1373">
        <f t="shared" si="1"/>
        <v>-0.17949999999999999</v>
      </c>
      <c r="J87" s="1371">
        <v>12086</v>
      </c>
    </row>
    <row r="88" spans="2:10" x14ac:dyDescent="0.45">
      <c r="B88" s="1371">
        <v>12114</v>
      </c>
      <c r="C88" s="1370" t="s">
        <v>7139</v>
      </c>
      <c r="F88" s="1372">
        <v>3.5299999999999998E-2</v>
      </c>
      <c r="H88" s="1373">
        <v>2.7000000000000001E-3</v>
      </c>
      <c r="I88" s="1373">
        <f t="shared" si="1"/>
        <v>3.2599999999999997E-2</v>
      </c>
      <c r="J88" s="1371">
        <v>12114</v>
      </c>
    </row>
    <row r="89" spans="2:10" x14ac:dyDescent="0.45">
      <c r="B89" s="1371">
        <v>12145</v>
      </c>
      <c r="C89" s="1370" t="s">
        <v>7139</v>
      </c>
      <c r="F89" s="1372">
        <v>0.42559999999999998</v>
      </c>
      <c r="H89" s="1373">
        <v>2.5000000000000001E-3</v>
      </c>
      <c r="I89" s="1373">
        <f t="shared" si="1"/>
        <v>0.42309999999999998</v>
      </c>
      <c r="J89" s="1371">
        <v>12145</v>
      </c>
    </row>
    <row r="90" spans="2:10" x14ac:dyDescent="0.45">
      <c r="B90" s="1371">
        <v>12175</v>
      </c>
      <c r="C90" s="1370" t="s">
        <v>7139</v>
      </c>
      <c r="F90" s="1372">
        <v>0.16830000000000001</v>
      </c>
      <c r="H90" s="1373">
        <v>2.8E-3</v>
      </c>
      <c r="I90" s="1373">
        <f t="shared" si="1"/>
        <v>0.16550000000000001</v>
      </c>
      <c r="J90" s="1371">
        <v>12175</v>
      </c>
    </row>
    <row r="91" spans="2:10" x14ac:dyDescent="0.45">
      <c r="B91" s="1371">
        <v>12206</v>
      </c>
      <c r="C91" s="1370" t="s">
        <v>7139</v>
      </c>
      <c r="F91" s="1372">
        <v>0.1338</v>
      </c>
      <c r="H91" s="1373">
        <v>2.5000000000000001E-3</v>
      </c>
      <c r="I91" s="1373">
        <f t="shared" si="1"/>
        <v>0.1313</v>
      </c>
      <c r="J91" s="1371">
        <v>12206</v>
      </c>
    </row>
    <row r="92" spans="2:10" x14ac:dyDescent="0.45">
      <c r="B92" s="1371">
        <v>12236</v>
      </c>
      <c r="C92" s="1370" t="s">
        <v>7139</v>
      </c>
      <c r="F92" s="1372">
        <v>-8.6199999999999999E-2</v>
      </c>
      <c r="H92" s="1373">
        <v>2.5999999999999999E-3</v>
      </c>
      <c r="I92" s="1373">
        <f t="shared" si="1"/>
        <v>-8.8800000000000004E-2</v>
      </c>
      <c r="J92" s="1371">
        <v>12236</v>
      </c>
    </row>
    <row r="93" spans="2:10" x14ac:dyDescent="0.45">
      <c r="B93" s="1371">
        <v>12267</v>
      </c>
      <c r="C93" s="1370" t="s">
        <v>7139</v>
      </c>
      <c r="F93" s="1372">
        <v>0.1206</v>
      </c>
      <c r="H93" s="1373">
        <v>2.5999999999999999E-3</v>
      </c>
      <c r="I93" s="1373">
        <f t="shared" si="1"/>
        <v>0.11799999999999999</v>
      </c>
      <c r="J93" s="1371">
        <v>12267</v>
      </c>
    </row>
    <row r="94" spans="2:10" x14ac:dyDescent="0.45">
      <c r="B94" s="1371">
        <v>12298</v>
      </c>
      <c r="C94" s="1370" t="s">
        <v>7139</v>
      </c>
      <c r="F94" s="1372">
        <v>-0.1118</v>
      </c>
      <c r="H94" s="1373">
        <v>2.5000000000000001E-3</v>
      </c>
      <c r="I94" s="1373">
        <f t="shared" si="1"/>
        <v>-0.1143</v>
      </c>
      <c r="J94" s="1371">
        <v>12298</v>
      </c>
    </row>
    <row r="95" spans="2:10" x14ac:dyDescent="0.45">
      <c r="B95" s="1371">
        <v>12328</v>
      </c>
      <c r="C95" s="1370" t="s">
        <v>7139</v>
      </c>
      <c r="F95" s="1372">
        <v>-8.5500000000000007E-2</v>
      </c>
      <c r="H95" s="1373">
        <v>2.5999999999999999E-3</v>
      </c>
      <c r="I95" s="1373">
        <f t="shared" si="1"/>
        <v>-8.8100000000000012E-2</v>
      </c>
      <c r="J95" s="1371">
        <v>12328</v>
      </c>
    </row>
    <row r="96" spans="2:10" x14ac:dyDescent="0.45">
      <c r="B96" s="1371">
        <v>12359</v>
      </c>
      <c r="C96" s="1370" t="s">
        <v>7139</v>
      </c>
      <c r="F96" s="1372">
        <v>0.11269999999999999</v>
      </c>
      <c r="H96" s="1373">
        <v>2.5000000000000001E-3</v>
      </c>
      <c r="I96" s="1373">
        <f t="shared" si="1"/>
        <v>0.11019999999999999</v>
      </c>
      <c r="J96" s="1371">
        <v>12359</v>
      </c>
    </row>
    <row r="97" spans="2:10" x14ac:dyDescent="0.45">
      <c r="B97" s="1371">
        <v>12389</v>
      </c>
      <c r="C97" s="1370" t="s">
        <v>7139</v>
      </c>
      <c r="F97" s="1372">
        <v>2.53E-2</v>
      </c>
      <c r="H97" s="1373">
        <v>2.8E-3</v>
      </c>
      <c r="I97" s="1373">
        <f t="shared" si="1"/>
        <v>2.2499999999999999E-2</v>
      </c>
      <c r="J97" s="1371">
        <v>12389</v>
      </c>
    </row>
    <row r="98" spans="2:10" x14ac:dyDescent="0.45">
      <c r="B98" s="1371">
        <v>12420</v>
      </c>
      <c r="C98" s="1370" t="s">
        <v>7139</v>
      </c>
      <c r="F98" s="1372">
        <v>0.1069</v>
      </c>
      <c r="H98" s="1373">
        <v>2.8999999999999998E-3</v>
      </c>
      <c r="I98" s="1373">
        <f t="shared" si="1"/>
        <v>0.104</v>
      </c>
      <c r="J98" s="1371">
        <v>12420</v>
      </c>
    </row>
    <row r="99" spans="2:10" x14ac:dyDescent="0.45">
      <c r="B99" s="1371">
        <v>12451</v>
      </c>
      <c r="C99" s="1370" t="s">
        <v>7139</v>
      </c>
      <c r="F99" s="1372">
        <v>-3.2199999999999999E-2</v>
      </c>
      <c r="H99" s="1373">
        <v>2.3999999999999998E-3</v>
      </c>
      <c r="I99" s="1373">
        <f t="shared" si="1"/>
        <v>-3.4599999999999999E-2</v>
      </c>
      <c r="J99" s="1371">
        <v>12451</v>
      </c>
    </row>
    <row r="100" spans="2:10" x14ac:dyDescent="0.45">
      <c r="B100" s="1371">
        <v>12479</v>
      </c>
      <c r="C100" s="1370" t="s">
        <v>7139</v>
      </c>
      <c r="F100" s="1372">
        <v>0</v>
      </c>
      <c r="H100" s="1373">
        <v>2.7000000000000001E-3</v>
      </c>
      <c r="I100" s="1373">
        <f t="shared" si="1"/>
        <v>-2.7000000000000001E-3</v>
      </c>
      <c r="J100" s="1371">
        <v>12479</v>
      </c>
    </row>
    <row r="101" spans="2:10" x14ac:dyDescent="0.45">
      <c r="B101" s="1371">
        <v>12510</v>
      </c>
      <c r="C101" s="1370" t="s">
        <v>7139</v>
      </c>
      <c r="F101" s="1372">
        <v>-2.5100000000000001E-2</v>
      </c>
      <c r="H101" s="1373">
        <v>2.5000000000000001E-3</v>
      </c>
      <c r="I101" s="1373">
        <f t="shared" si="1"/>
        <v>-2.76E-2</v>
      </c>
      <c r="J101" s="1371">
        <v>12510</v>
      </c>
    </row>
    <row r="102" spans="2:10" x14ac:dyDescent="0.45">
      <c r="B102" s="1371">
        <v>12540</v>
      </c>
      <c r="C102" s="1370" t="s">
        <v>7139</v>
      </c>
      <c r="F102" s="1372">
        <v>-7.3599999999999999E-2</v>
      </c>
      <c r="H102" s="1373">
        <v>2.5000000000000001E-3</v>
      </c>
      <c r="I102" s="1373">
        <f t="shared" si="1"/>
        <v>-7.6100000000000001E-2</v>
      </c>
      <c r="J102" s="1371">
        <v>12540</v>
      </c>
    </row>
    <row r="103" spans="2:10" x14ac:dyDescent="0.45">
      <c r="B103" s="1371">
        <v>12571</v>
      </c>
      <c r="C103" s="1370" t="s">
        <v>7139</v>
      </c>
      <c r="F103" s="1372">
        <v>2.29E-2</v>
      </c>
      <c r="H103" s="1373">
        <v>2.3999999999999998E-3</v>
      </c>
      <c r="I103" s="1373">
        <f t="shared" si="1"/>
        <v>2.0500000000000001E-2</v>
      </c>
      <c r="J103" s="1371">
        <v>12571</v>
      </c>
    </row>
    <row r="104" spans="2:10" x14ac:dyDescent="0.45">
      <c r="B104" s="1371">
        <v>12601</v>
      </c>
      <c r="C104" s="1370" t="s">
        <v>7139</v>
      </c>
      <c r="F104" s="1372">
        <v>-0.1132</v>
      </c>
      <c r="H104" s="1373">
        <v>2.3999999999999998E-3</v>
      </c>
      <c r="I104" s="1373">
        <f t="shared" si="1"/>
        <v>-0.11559999999999999</v>
      </c>
      <c r="J104" s="1371">
        <v>12601</v>
      </c>
    </row>
    <row r="105" spans="2:10" x14ac:dyDescent="0.45">
      <c r="B105" s="1371">
        <v>12632</v>
      </c>
      <c r="C105" s="1370" t="s">
        <v>7139</v>
      </c>
      <c r="F105" s="1372">
        <v>6.1100000000000002E-2</v>
      </c>
      <c r="H105" s="1373">
        <v>2.3999999999999998E-3</v>
      </c>
      <c r="I105" s="1373">
        <f t="shared" si="1"/>
        <v>5.8700000000000002E-2</v>
      </c>
      <c r="J105" s="1371">
        <v>12632</v>
      </c>
    </row>
    <row r="106" spans="2:10" x14ac:dyDescent="0.45">
      <c r="B106" s="1371">
        <v>12663</v>
      </c>
      <c r="C106" s="1370" t="s">
        <v>7139</v>
      </c>
      <c r="F106" s="1372">
        <v>-3.3E-3</v>
      </c>
      <c r="H106" s="1373">
        <v>2.3E-3</v>
      </c>
      <c r="I106" s="1373">
        <f t="shared" si="1"/>
        <v>-5.5999999999999999E-3</v>
      </c>
      <c r="J106" s="1371">
        <v>12663</v>
      </c>
    </row>
    <row r="107" spans="2:10" x14ac:dyDescent="0.45">
      <c r="B107" s="1371">
        <v>12693</v>
      </c>
      <c r="C107" s="1370" t="s">
        <v>7139</v>
      </c>
      <c r="F107" s="1372">
        <v>-2.86E-2</v>
      </c>
      <c r="H107" s="1373">
        <v>2.7000000000000001E-3</v>
      </c>
      <c r="I107" s="1373">
        <f t="shared" si="1"/>
        <v>-3.1300000000000001E-2</v>
      </c>
      <c r="J107" s="1371">
        <v>12693</v>
      </c>
    </row>
    <row r="108" spans="2:10" x14ac:dyDescent="0.45">
      <c r="B108" s="1371">
        <v>12724</v>
      </c>
      <c r="C108" s="1370" t="s">
        <v>7139</v>
      </c>
      <c r="F108" s="1372">
        <v>9.4200000000000006E-2</v>
      </c>
      <c r="H108" s="1373">
        <v>2.5000000000000001E-3</v>
      </c>
      <c r="I108" s="1373">
        <f t="shared" si="1"/>
        <v>9.1700000000000004E-2</v>
      </c>
      <c r="J108" s="1371">
        <v>12724</v>
      </c>
    </row>
    <row r="109" spans="2:10" x14ac:dyDescent="0.45">
      <c r="B109" s="1371">
        <v>12754</v>
      </c>
      <c r="C109" s="1370" t="s">
        <v>7139</v>
      </c>
      <c r="F109" s="1372">
        <v>-1E-3</v>
      </c>
      <c r="H109" s="1373">
        <v>2.5000000000000001E-3</v>
      </c>
      <c r="I109" s="1373">
        <f t="shared" si="1"/>
        <v>-3.5000000000000001E-3</v>
      </c>
      <c r="J109" s="1371">
        <v>12754</v>
      </c>
    </row>
    <row r="110" spans="2:10" x14ac:dyDescent="0.45">
      <c r="B110" s="1371">
        <v>12785</v>
      </c>
      <c r="C110" s="1370" t="s">
        <v>7139</v>
      </c>
      <c r="F110" s="1372">
        <v>-4.1099999999999998E-2</v>
      </c>
      <c r="H110" s="1373">
        <v>2.5000000000000001E-3</v>
      </c>
      <c r="I110" s="1373">
        <f t="shared" si="1"/>
        <v>-4.36E-2</v>
      </c>
      <c r="J110" s="1371">
        <v>12785</v>
      </c>
    </row>
    <row r="111" spans="2:10" x14ac:dyDescent="0.45">
      <c r="B111" s="1371">
        <v>12816</v>
      </c>
      <c r="C111" s="1370" t="s">
        <v>7139</v>
      </c>
      <c r="F111" s="1372">
        <v>-3.4099999999999998E-2</v>
      </c>
      <c r="H111" s="1373">
        <v>2.0999999999999999E-3</v>
      </c>
      <c r="I111" s="1373">
        <f t="shared" si="1"/>
        <v>-3.6199999999999996E-2</v>
      </c>
      <c r="J111" s="1371">
        <v>12816</v>
      </c>
    </row>
    <row r="112" spans="2:10" x14ac:dyDescent="0.45">
      <c r="B112" s="1371">
        <v>12844</v>
      </c>
      <c r="C112" s="1370" t="s">
        <v>7139</v>
      </c>
      <c r="F112" s="1372">
        <v>-2.86E-2</v>
      </c>
      <c r="H112" s="1373">
        <v>2.2000000000000001E-3</v>
      </c>
      <c r="I112" s="1373">
        <f t="shared" si="1"/>
        <v>-3.0800000000000001E-2</v>
      </c>
      <c r="J112" s="1371">
        <v>12844</v>
      </c>
    </row>
    <row r="113" spans="2:10" x14ac:dyDescent="0.45">
      <c r="B113" s="1371">
        <v>12875</v>
      </c>
      <c r="C113" s="1370" t="s">
        <v>7139</v>
      </c>
      <c r="F113" s="1372">
        <v>9.8000000000000004E-2</v>
      </c>
      <c r="H113" s="1373">
        <v>2.3E-3</v>
      </c>
      <c r="I113" s="1373">
        <f t="shared" si="1"/>
        <v>9.5700000000000007E-2</v>
      </c>
      <c r="J113" s="1371">
        <v>12875</v>
      </c>
    </row>
    <row r="114" spans="2:10" x14ac:dyDescent="0.45">
      <c r="B114" s="1371">
        <v>12905</v>
      </c>
      <c r="C114" s="1370" t="s">
        <v>7139</v>
      </c>
      <c r="F114" s="1372">
        <v>4.0899999999999999E-2</v>
      </c>
      <c r="H114" s="1373">
        <v>2.3E-3</v>
      </c>
      <c r="I114" s="1373">
        <f t="shared" si="1"/>
        <v>3.8599999999999995E-2</v>
      </c>
      <c r="J114" s="1371">
        <v>12905</v>
      </c>
    </row>
    <row r="115" spans="2:10" x14ac:dyDescent="0.45">
      <c r="B115" s="1371">
        <v>12936</v>
      </c>
      <c r="C115" s="1370" t="s">
        <v>7139</v>
      </c>
      <c r="F115" s="1372">
        <v>6.9900000000000004E-2</v>
      </c>
      <c r="H115" s="1373">
        <v>2.2000000000000001E-3</v>
      </c>
      <c r="I115" s="1373">
        <f t="shared" si="1"/>
        <v>6.770000000000001E-2</v>
      </c>
      <c r="J115" s="1371">
        <v>12936</v>
      </c>
    </row>
    <row r="116" spans="2:10" x14ac:dyDescent="0.45">
      <c r="B116" s="1371">
        <v>12966</v>
      </c>
      <c r="C116" s="1370" t="s">
        <v>7139</v>
      </c>
      <c r="F116" s="1372">
        <v>8.5000000000000006E-2</v>
      </c>
      <c r="H116" s="1373">
        <v>2.3999999999999998E-3</v>
      </c>
      <c r="I116" s="1373">
        <f t="shared" si="1"/>
        <v>8.2600000000000007E-2</v>
      </c>
      <c r="J116" s="1371">
        <v>12966</v>
      </c>
    </row>
    <row r="117" spans="2:10" x14ac:dyDescent="0.45">
      <c r="B117" s="1371">
        <v>12997</v>
      </c>
      <c r="C117" s="1370" t="s">
        <v>7139</v>
      </c>
      <c r="F117" s="1372">
        <v>2.8000000000000001E-2</v>
      </c>
      <c r="H117" s="1373">
        <v>2.3E-3</v>
      </c>
      <c r="I117" s="1373">
        <f t="shared" si="1"/>
        <v>2.5700000000000001E-2</v>
      </c>
      <c r="J117" s="1371">
        <v>12997</v>
      </c>
    </row>
    <row r="118" spans="2:10" x14ac:dyDescent="0.45">
      <c r="B118" s="1371">
        <v>13028</v>
      </c>
      <c r="C118" s="1370" t="s">
        <v>7139</v>
      </c>
      <c r="F118" s="1372">
        <v>2.5600000000000001E-2</v>
      </c>
      <c r="H118" s="1373">
        <v>2.3E-3</v>
      </c>
      <c r="I118" s="1373">
        <f t="shared" si="1"/>
        <v>2.3300000000000001E-2</v>
      </c>
      <c r="J118" s="1371">
        <v>13028</v>
      </c>
    </row>
    <row r="119" spans="2:10" x14ac:dyDescent="0.45">
      <c r="B119" s="1371">
        <v>13058</v>
      </c>
      <c r="C119" s="1370" t="s">
        <v>7139</v>
      </c>
      <c r="F119" s="1372">
        <v>7.7700000000000005E-2</v>
      </c>
      <c r="H119" s="1373">
        <v>2.3E-3</v>
      </c>
      <c r="I119" s="1373">
        <f t="shared" si="1"/>
        <v>7.5400000000000009E-2</v>
      </c>
      <c r="J119" s="1371">
        <v>13058</v>
      </c>
    </row>
    <row r="120" spans="2:10" x14ac:dyDescent="0.45">
      <c r="B120" s="1371">
        <v>13089</v>
      </c>
      <c r="C120" s="1370" t="s">
        <v>7139</v>
      </c>
      <c r="F120" s="1372">
        <v>4.7399999999999998E-2</v>
      </c>
      <c r="H120" s="1373">
        <v>2.3999999999999998E-3</v>
      </c>
      <c r="I120" s="1373">
        <f t="shared" si="1"/>
        <v>4.4999999999999998E-2</v>
      </c>
      <c r="J120" s="1371">
        <v>13089</v>
      </c>
    </row>
    <row r="121" spans="2:10" x14ac:dyDescent="0.45">
      <c r="B121" s="1371">
        <v>13119</v>
      </c>
      <c r="C121" s="1370" t="s">
        <v>7139</v>
      </c>
      <c r="F121" s="1372">
        <v>3.9399999999999998E-2</v>
      </c>
      <c r="H121" s="1373">
        <v>2.3999999999999998E-3</v>
      </c>
      <c r="I121" s="1373">
        <f t="shared" si="1"/>
        <v>3.6999999999999998E-2</v>
      </c>
      <c r="J121" s="1371">
        <v>13119</v>
      </c>
    </row>
    <row r="122" spans="2:10" x14ac:dyDescent="0.45">
      <c r="B122" s="1371">
        <v>13150</v>
      </c>
      <c r="C122" s="1370" t="s">
        <v>7139</v>
      </c>
      <c r="F122" s="1372">
        <v>6.7000000000000004E-2</v>
      </c>
      <c r="H122" s="1373">
        <v>2.3999999999999998E-3</v>
      </c>
      <c r="I122" s="1373">
        <f t="shared" si="1"/>
        <v>6.4600000000000005E-2</v>
      </c>
      <c r="J122" s="1371">
        <v>13150</v>
      </c>
    </row>
    <row r="123" spans="2:10" x14ac:dyDescent="0.45">
      <c r="B123" s="1371">
        <v>13181</v>
      </c>
      <c r="C123" s="1370" t="s">
        <v>7139</v>
      </c>
      <c r="F123" s="1372">
        <v>2.24E-2</v>
      </c>
      <c r="H123" s="1373">
        <v>2.3E-3</v>
      </c>
      <c r="I123" s="1373">
        <f t="shared" si="1"/>
        <v>2.01E-2</v>
      </c>
      <c r="J123" s="1371">
        <v>13181</v>
      </c>
    </row>
    <row r="124" spans="2:10" x14ac:dyDescent="0.45">
      <c r="B124" s="1371">
        <v>13210</v>
      </c>
      <c r="C124" s="1370" t="s">
        <v>7139</v>
      </c>
      <c r="F124" s="1372">
        <v>2.6800000000000001E-2</v>
      </c>
      <c r="H124" s="1373">
        <v>2.3999999999999998E-3</v>
      </c>
      <c r="I124" s="1373">
        <f t="shared" si="1"/>
        <v>2.4400000000000002E-2</v>
      </c>
      <c r="J124" s="1371">
        <v>13210</v>
      </c>
    </row>
    <row r="125" spans="2:10" x14ac:dyDescent="0.45">
      <c r="B125" s="1371">
        <v>13241</v>
      </c>
      <c r="C125" s="1370" t="s">
        <v>7139</v>
      </c>
      <c r="F125" s="1372">
        <v>-7.51E-2</v>
      </c>
      <c r="H125" s="1373">
        <v>2.2000000000000001E-3</v>
      </c>
      <c r="I125" s="1373">
        <f t="shared" si="1"/>
        <v>-7.7299999999999994E-2</v>
      </c>
      <c r="J125" s="1371">
        <v>13241</v>
      </c>
    </row>
    <row r="126" spans="2:10" x14ac:dyDescent="0.45">
      <c r="B126" s="1371">
        <v>13271</v>
      </c>
      <c r="C126" s="1370" t="s">
        <v>7139</v>
      </c>
      <c r="F126" s="1372">
        <v>5.45E-2</v>
      </c>
      <c r="H126" s="1373">
        <v>2.2000000000000001E-3</v>
      </c>
      <c r="I126" s="1373">
        <f t="shared" si="1"/>
        <v>5.2299999999999999E-2</v>
      </c>
      <c r="J126" s="1371">
        <v>13271</v>
      </c>
    </row>
    <row r="127" spans="2:10" x14ac:dyDescent="0.45">
      <c r="B127" s="1371">
        <v>13302</v>
      </c>
      <c r="C127" s="1370" t="s">
        <v>7139</v>
      </c>
      <c r="F127" s="1372">
        <v>3.3300000000000003E-2</v>
      </c>
      <c r="H127" s="1373">
        <v>2.3999999999999998E-3</v>
      </c>
      <c r="I127" s="1373">
        <f t="shared" si="1"/>
        <v>3.0900000000000004E-2</v>
      </c>
      <c r="J127" s="1371">
        <v>13302</v>
      </c>
    </row>
    <row r="128" spans="2:10" x14ac:dyDescent="0.45">
      <c r="B128" s="1371">
        <v>13332</v>
      </c>
      <c r="C128" s="1370" t="s">
        <v>7139</v>
      </c>
      <c r="F128" s="1372">
        <v>7.0099999999999996E-2</v>
      </c>
      <c r="H128" s="1373">
        <v>2.3E-3</v>
      </c>
      <c r="I128" s="1373">
        <f t="shared" si="1"/>
        <v>6.7799999999999999E-2</v>
      </c>
      <c r="J128" s="1371">
        <v>13332</v>
      </c>
    </row>
    <row r="129" spans="2:10" x14ac:dyDescent="0.45">
      <c r="B129" s="1371">
        <v>13363</v>
      </c>
      <c r="C129" s="1370" t="s">
        <v>7139</v>
      </c>
      <c r="F129" s="1372">
        <v>1.5100000000000001E-2</v>
      </c>
      <c r="H129" s="1373">
        <v>2.3E-3</v>
      </c>
      <c r="I129" s="1373">
        <f t="shared" si="1"/>
        <v>1.2800000000000001E-2</v>
      </c>
      <c r="J129" s="1371">
        <v>13363</v>
      </c>
    </row>
    <row r="130" spans="2:10" x14ac:dyDescent="0.45">
      <c r="B130" s="1371">
        <v>13394</v>
      </c>
      <c r="C130" s="1370" t="s">
        <v>7139</v>
      </c>
      <c r="F130" s="1372">
        <v>3.0999999999999999E-3</v>
      </c>
      <c r="H130" s="1373">
        <v>2.0999999999999999E-3</v>
      </c>
      <c r="I130" s="1373">
        <f t="shared" ref="I130:I193" si="2">F130-H130</f>
        <v>1E-3</v>
      </c>
      <c r="J130" s="1371">
        <v>13394</v>
      </c>
    </row>
    <row r="131" spans="2:10" x14ac:dyDescent="0.45">
      <c r="B131" s="1371">
        <v>13424</v>
      </c>
      <c r="C131" s="1370" t="s">
        <v>7139</v>
      </c>
      <c r="F131" s="1372">
        <v>7.7499999999999999E-2</v>
      </c>
      <c r="H131" s="1373">
        <v>2.3E-3</v>
      </c>
      <c r="I131" s="1373">
        <f t="shared" si="2"/>
        <v>7.5200000000000003E-2</v>
      </c>
      <c r="J131" s="1371">
        <v>13424</v>
      </c>
    </row>
    <row r="132" spans="2:10" x14ac:dyDescent="0.45">
      <c r="B132" s="1371">
        <v>13455</v>
      </c>
      <c r="C132" s="1370" t="s">
        <v>7139</v>
      </c>
      <c r="F132" s="1372">
        <v>1.34E-2</v>
      </c>
      <c r="H132" s="1373">
        <v>2.2000000000000001E-3</v>
      </c>
      <c r="I132" s="1373">
        <f t="shared" si="2"/>
        <v>1.12E-2</v>
      </c>
      <c r="J132" s="1371">
        <v>13455</v>
      </c>
    </row>
    <row r="133" spans="2:10" x14ac:dyDescent="0.45">
      <c r="B133" s="1371">
        <v>13485</v>
      </c>
      <c r="C133" s="1370" t="s">
        <v>7139</v>
      </c>
      <c r="F133" s="1372">
        <v>-2.8999999999999998E-3</v>
      </c>
      <c r="H133" s="1373">
        <v>2.2000000000000001E-3</v>
      </c>
      <c r="I133" s="1373">
        <f t="shared" si="2"/>
        <v>-5.1000000000000004E-3</v>
      </c>
      <c r="J133" s="1371">
        <v>13485</v>
      </c>
    </row>
    <row r="134" spans="2:10" x14ac:dyDescent="0.45">
      <c r="B134" s="1371">
        <v>13516</v>
      </c>
      <c r="C134" s="1370" t="s">
        <v>7139</v>
      </c>
      <c r="F134" s="1372">
        <v>3.9E-2</v>
      </c>
      <c r="H134" s="1373">
        <v>2.0999999999999999E-3</v>
      </c>
      <c r="I134" s="1373">
        <f t="shared" si="2"/>
        <v>3.6900000000000002E-2</v>
      </c>
      <c r="J134" s="1371">
        <v>13516</v>
      </c>
    </row>
    <row r="135" spans="2:10" x14ac:dyDescent="0.45">
      <c r="B135" s="1371">
        <v>13547</v>
      </c>
      <c r="C135" s="1370" t="s">
        <v>7139</v>
      </c>
      <c r="F135" s="1372">
        <v>1.9099999999999999E-2</v>
      </c>
      <c r="H135" s="1373">
        <v>2E-3</v>
      </c>
      <c r="I135" s="1373">
        <f t="shared" si="2"/>
        <v>1.7099999999999997E-2</v>
      </c>
      <c r="J135" s="1371">
        <v>13547</v>
      </c>
    </row>
    <row r="136" spans="2:10" x14ac:dyDescent="0.45">
      <c r="B136" s="1371">
        <v>13575</v>
      </c>
      <c r="C136" s="1370" t="s">
        <v>7139</v>
      </c>
      <c r="F136" s="1372">
        <v>-7.7000000000000002E-3</v>
      </c>
      <c r="H136" s="1373">
        <v>2.2000000000000001E-3</v>
      </c>
      <c r="I136" s="1373">
        <f t="shared" si="2"/>
        <v>-9.9000000000000008E-3</v>
      </c>
      <c r="J136" s="1371">
        <v>13575</v>
      </c>
    </row>
    <row r="137" spans="2:10" x14ac:dyDescent="0.45">
      <c r="B137" s="1371">
        <v>13606</v>
      </c>
      <c r="C137" s="1370" t="s">
        <v>7139</v>
      </c>
      <c r="F137" s="1372">
        <v>-8.09E-2</v>
      </c>
      <c r="H137" s="1373">
        <v>2.3E-3</v>
      </c>
      <c r="I137" s="1373">
        <f t="shared" si="2"/>
        <v>-8.3199999999999996E-2</v>
      </c>
      <c r="J137" s="1371">
        <v>13606</v>
      </c>
    </row>
    <row r="138" spans="2:10" x14ac:dyDescent="0.45">
      <c r="B138" s="1371">
        <v>13636</v>
      </c>
      <c r="C138" s="1370" t="s">
        <v>7139</v>
      </c>
      <c r="F138" s="1372">
        <v>-2.3999999999999998E-3</v>
      </c>
      <c r="H138" s="1373">
        <v>2.2000000000000001E-3</v>
      </c>
      <c r="I138" s="1373">
        <f t="shared" si="2"/>
        <v>-4.5999999999999999E-3</v>
      </c>
      <c r="J138" s="1371">
        <v>13636</v>
      </c>
    </row>
    <row r="139" spans="2:10" x14ac:dyDescent="0.45">
      <c r="B139" s="1371">
        <v>13667</v>
      </c>
      <c r="C139" s="1370" t="s">
        <v>7139</v>
      </c>
      <c r="F139" s="1372">
        <v>-5.04E-2</v>
      </c>
      <c r="H139" s="1373">
        <v>2.5000000000000001E-3</v>
      </c>
      <c r="I139" s="1373">
        <f t="shared" si="2"/>
        <v>-5.2900000000000003E-2</v>
      </c>
      <c r="J139" s="1371">
        <v>13667</v>
      </c>
    </row>
    <row r="140" spans="2:10" x14ac:dyDescent="0.45">
      <c r="B140" s="1371">
        <v>13697</v>
      </c>
      <c r="C140" s="1370" t="s">
        <v>7139</v>
      </c>
      <c r="F140" s="1372">
        <v>0.1045</v>
      </c>
      <c r="H140" s="1373">
        <v>2.3999999999999998E-3</v>
      </c>
      <c r="I140" s="1373">
        <f t="shared" si="2"/>
        <v>0.1021</v>
      </c>
      <c r="J140" s="1371">
        <v>13697</v>
      </c>
    </row>
    <row r="141" spans="2:10" x14ac:dyDescent="0.45">
      <c r="B141" s="1371">
        <v>13728</v>
      </c>
      <c r="C141" s="1370" t="s">
        <v>7139</v>
      </c>
      <c r="F141" s="1372">
        <v>-4.8300000000000003E-2</v>
      </c>
      <c r="H141" s="1373">
        <v>2.3E-3</v>
      </c>
      <c r="I141" s="1373">
        <f t="shared" si="2"/>
        <v>-5.0600000000000006E-2</v>
      </c>
      <c r="J141" s="1371">
        <v>13728</v>
      </c>
    </row>
    <row r="142" spans="2:10" x14ac:dyDescent="0.45">
      <c r="B142" s="1371">
        <v>13759</v>
      </c>
      <c r="C142" s="1370" t="s">
        <v>7139</v>
      </c>
      <c r="F142" s="1372">
        <v>-0.14030000000000001</v>
      </c>
      <c r="H142" s="1373">
        <v>2.3E-3</v>
      </c>
      <c r="I142" s="1373">
        <f t="shared" si="2"/>
        <v>-0.1426</v>
      </c>
      <c r="J142" s="1371">
        <v>13759</v>
      </c>
    </row>
    <row r="143" spans="2:10" x14ac:dyDescent="0.45">
      <c r="B143" s="1371">
        <v>13789</v>
      </c>
      <c r="C143" s="1370" t="s">
        <v>7139</v>
      </c>
      <c r="F143" s="1372">
        <v>-9.8100000000000007E-2</v>
      </c>
      <c r="H143" s="1373">
        <v>2.3E-3</v>
      </c>
      <c r="I143" s="1373">
        <f t="shared" si="2"/>
        <v>-0.1004</v>
      </c>
      <c r="J143" s="1371">
        <v>13789</v>
      </c>
    </row>
    <row r="144" spans="2:10" x14ac:dyDescent="0.45">
      <c r="B144" s="1371">
        <v>13820</v>
      </c>
      <c r="C144" s="1370" t="s">
        <v>7139</v>
      </c>
      <c r="F144" s="1372">
        <v>-8.6599999999999996E-2</v>
      </c>
      <c r="H144" s="1373">
        <v>2.3999999999999998E-3</v>
      </c>
      <c r="I144" s="1373">
        <f t="shared" si="2"/>
        <v>-8.8999999999999996E-2</v>
      </c>
      <c r="J144" s="1371">
        <v>13820</v>
      </c>
    </row>
    <row r="145" spans="2:10" x14ac:dyDescent="0.45">
      <c r="B145" s="1371">
        <v>13850</v>
      </c>
      <c r="C145" s="1370" t="s">
        <v>7139</v>
      </c>
      <c r="F145" s="1372">
        <v>-4.5900000000000003E-2</v>
      </c>
      <c r="H145" s="1373">
        <v>2.3E-3</v>
      </c>
      <c r="I145" s="1373">
        <f t="shared" si="2"/>
        <v>-4.8200000000000007E-2</v>
      </c>
      <c r="J145" s="1371">
        <v>13850</v>
      </c>
    </row>
    <row r="146" spans="2:10" x14ac:dyDescent="0.45">
      <c r="B146" s="1371">
        <v>13881</v>
      </c>
      <c r="C146" s="1370" t="s">
        <v>7139</v>
      </c>
      <c r="F146" s="1372">
        <v>1.52E-2</v>
      </c>
      <c r="H146" s="1373">
        <v>2.3E-3</v>
      </c>
      <c r="I146" s="1373">
        <f t="shared" si="2"/>
        <v>1.29E-2</v>
      </c>
      <c r="J146" s="1371">
        <v>13881</v>
      </c>
    </row>
    <row r="147" spans="2:10" x14ac:dyDescent="0.45">
      <c r="B147" s="1371">
        <v>13912</v>
      </c>
      <c r="C147" s="1370" t="s">
        <v>7139</v>
      </c>
      <c r="F147" s="1372">
        <v>6.7400000000000002E-2</v>
      </c>
      <c r="H147" s="1373">
        <v>2.0999999999999999E-3</v>
      </c>
      <c r="I147" s="1373">
        <f t="shared" si="2"/>
        <v>6.5299999999999997E-2</v>
      </c>
      <c r="J147" s="1371">
        <v>13912</v>
      </c>
    </row>
    <row r="148" spans="2:10" x14ac:dyDescent="0.45">
      <c r="B148" s="1371">
        <v>13940</v>
      </c>
      <c r="C148" s="1370" t="s">
        <v>7139</v>
      </c>
      <c r="F148" s="1372">
        <v>-0.2487</v>
      </c>
      <c r="H148" s="1373">
        <v>2.3E-3</v>
      </c>
      <c r="I148" s="1373">
        <f t="shared" si="2"/>
        <v>-0.251</v>
      </c>
      <c r="J148" s="1371">
        <v>13940</v>
      </c>
    </row>
    <row r="149" spans="2:10" x14ac:dyDescent="0.45">
      <c r="B149" s="1371">
        <v>13971</v>
      </c>
      <c r="C149" s="1370" t="s">
        <v>7139</v>
      </c>
      <c r="F149" s="1372">
        <v>0.1447</v>
      </c>
      <c r="H149" s="1373">
        <v>2.2000000000000001E-3</v>
      </c>
      <c r="I149" s="1373">
        <f t="shared" si="2"/>
        <v>0.14249999999999999</v>
      </c>
      <c r="J149" s="1371">
        <v>13971</v>
      </c>
    </row>
    <row r="150" spans="2:10" x14ac:dyDescent="0.45">
      <c r="B150" s="1371">
        <v>14001</v>
      </c>
      <c r="C150" s="1370" t="s">
        <v>7139</v>
      </c>
      <c r="F150" s="1372">
        <v>-3.3000000000000002E-2</v>
      </c>
      <c r="H150" s="1373">
        <v>2.2000000000000001E-3</v>
      </c>
      <c r="I150" s="1373">
        <f t="shared" si="2"/>
        <v>-3.5200000000000002E-2</v>
      </c>
      <c r="J150" s="1371">
        <v>14001</v>
      </c>
    </row>
    <row r="151" spans="2:10" x14ac:dyDescent="0.45">
      <c r="B151" s="1371">
        <v>14032</v>
      </c>
      <c r="C151" s="1370" t="s">
        <v>7139</v>
      </c>
      <c r="F151" s="1372">
        <v>0.25030000000000002</v>
      </c>
      <c r="H151" s="1373">
        <v>2.0999999999999999E-3</v>
      </c>
      <c r="I151" s="1373">
        <f t="shared" si="2"/>
        <v>0.24820000000000003</v>
      </c>
      <c r="J151" s="1371">
        <v>14032</v>
      </c>
    </row>
    <row r="152" spans="2:10" x14ac:dyDescent="0.45">
      <c r="B152" s="1371">
        <v>14062</v>
      </c>
      <c r="C152" s="1370" t="s">
        <v>7139</v>
      </c>
      <c r="F152" s="1372">
        <v>7.4399999999999994E-2</v>
      </c>
      <c r="H152" s="1373">
        <v>2.0999999999999999E-3</v>
      </c>
      <c r="I152" s="1373">
        <f t="shared" si="2"/>
        <v>7.2299999999999989E-2</v>
      </c>
      <c r="J152" s="1371">
        <v>14062</v>
      </c>
    </row>
    <row r="153" spans="2:10" x14ac:dyDescent="0.45">
      <c r="B153" s="1371">
        <v>14093</v>
      </c>
      <c r="C153" s="1370" t="s">
        <v>7139</v>
      </c>
      <c r="F153" s="1372">
        <v>-2.2599999999999999E-2</v>
      </c>
      <c r="H153" s="1373">
        <v>2.2000000000000001E-3</v>
      </c>
      <c r="I153" s="1373">
        <f t="shared" si="2"/>
        <v>-2.4799999999999999E-2</v>
      </c>
      <c r="J153" s="1371">
        <v>14093</v>
      </c>
    </row>
    <row r="154" spans="2:10" x14ac:dyDescent="0.45">
      <c r="B154" s="1371">
        <v>14124</v>
      </c>
      <c r="C154" s="1370" t="s">
        <v>7139</v>
      </c>
      <c r="F154" s="1372">
        <v>1.66E-2</v>
      </c>
      <c r="H154" s="1373">
        <v>2.0999999999999999E-3</v>
      </c>
      <c r="I154" s="1373">
        <f t="shared" si="2"/>
        <v>1.4500000000000001E-2</v>
      </c>
      <c r="J154" s="1371">
        <v>14124</v>
      </c>
    </row>
    <row r="155" spans="2:10" x14ac:dyDescent="0.45">
      <c r="B155" s="1371">
        <v>14154</v>
      </c>
      <c r="C155" s="1370" t="s">
        <v>7139</v>
      </c>
      <c r="F155" s="1372">
        <v>7.7600000000000002E-2</v>
      </c>
      <c r="H155" s="1373">
        <v>2.2000000000000001E-3</v>
      </c>
      <c r="I155" s="1373">
        <f t="shared" si="2"/>
        <v>7.5400000000000009E-2</v>
      </c>
      <c r="J155" s="1371">
        <v>14154</v>
      </c>
    </row>
    <row r="156" spans="2:10" x14ac:dyDescent="0.45">
      <c r="B156" s="1371">
        <v>14185</v>
      </c>
      <c r="C156" s="1370" t="s">
        <v>7139</v>
      </c>
      <c r="F156" s="1372">
        <v>-2.7300000000000001E-2</v>
      </c>
      <c r="H156" s="1373">
        <v>2.0999999999999999E-3</v>
      </c>
      <c r="I156" s="1373">
        <f t="shared" si="2"/>
        <v>-2.9400000000000003E-2</v>
      </c>
      <c r="J156" s="1371">
        <v>14185</v>
      </c>
    </row>
    <row r="157" spans="2:10" x14ac:dyDescent="0.45">
      <c r="B157" s="1371">
        <v>14215</v>
      </c>
      <c r="C157" s="1370" t="s">
        <v>7139</v>
      </c>
      <c r="F157" s="1372">
        <v>4.0099999999999997E-2</v>
      </c>
      <c r="H157" s="1373">
        <v>2.2000000000000001E-3</v>
      </c>
      <c r="I157" s="1373">
        <f t="shared" si="2"/>
        <v>3.7899999999999996E-2</v>
      </c>
      <c r="J157" s="1371">
        <v>14215</v>
      </c>
    </row>
    <row r="158" spans="2:10" x14ac:dyDescent="0.45">
      <c r="B158" s="1371">
        <v>14246</v>
      </c>
      <c r="C158" s="1370" t="s">
        <v>7139</v>
      </c>
      <c r="F158" s="1372">
        <v>-6.7400000000000002E-2</v>
      </c>
      <c r="H158" s="1373">
        <v>2.0999999999999999E-3</v>
      </c>
      <c r="I158" s="1373">
        <f t="shared" si="2"/>
        <v>-6.9500000000000006E-2</v>
      </c>
      <c r="J158" s="1371">
        <v>14246</v>
      </c>
    </row>
    <row r="159" spans="2:10" x14ac:dyDescent="0.45">
      <c r="B159" s="1371">
        <v>14277</v>
      </c>
      <c r="C159" s="1370" t="s">
        <v>7139</v>
      </c>
      <c r="F159" s="1372">
        <v>3.9E-2</v>
      </c>
      <c r="H159" s="1373">
        <v>1.9E-3</v>
      </c>
      <c r="I159" s="1373">
        <f t="shared" si="2"/>
        <v>3.7100000000000001E-2</v>
      </c>
      <c r="J159" s="1371">
        <v>14277</v>
      </c>
    </row>
    <row r="160" spans="2:10" x14ac:dyDescent="0.45">
      <c r="B160" s="1371">
        <v>14305</v>
      </c>
      <c r="C160" s="1370" t="s">
        <v>7139</v>
      </c>
      <c r="F160" s="1372">
        <v>-0.13389999999999999</v>
      </c>
      <c r="H160" s="1373">
        <v>2.0999999999999999E-3</v>
      </c>
      <c r="I160" s="1373">
        <f t="shared" si="2"/>
        <v>-0.13599999999999998</v>
      </c>
      <c r="J160" s="1371">
        <v>14305</v>
      </c>
    </row>
    <row r="161" spans="2:10" x14ac:dyDescent="0.45">
      <c r="B161" s="1371">
        <v>14336</v>
      </c>
      <c r="C161" s="1370" t="s">
        <v>7139</v>
      </c>
      <c r="F161" s="1372">
        <v>-2.7000000000000001E-3</v>
      </c>
      <c r="H161" s="1373">
        <v>1.9E-3</v>
      </c>
      <c r="I161" s="1373">
        <f t="shared" si="2"/>
        <v>-4.5999999999999999E-3</v>
      </c>
      <c r="J161" s="1371">
        <v>14336</v>
      </c>
    </row>
    <row r="162" spans="2:10" x14ac:dyDescent="0.45">
      <c r="B162" s="1371">
        <v>14366</v>
      </c>
      <c r="C162" s="1370" t="s">
        <v>7139</v>
      </c>
      <c r="F162" s="1372">
        <v>7.3300000000000004E-2</v>
      </c>
      <c r="H162" s="1373">
        <v>2E-3</v>
      </c>
      <c r="I162" s="1373">
        <f t="shared" si="2"/>
        <v>7.1300000000000002E-2</v>
      </c>
      <c r="J162" s="1371">
        <v>14366</v>
      </c>
    </row>
    <row r="163" spans="2:10" x14ac:dyDescent="0.45">
      <c r="B163" s="1371">
        <v>14397</v>
      </c>
      <c r="C163" s="1370" t="s">
        <v>7139</v>
      </c>
      <c r="F163" s="1372">
        <v>-6.1199999999999997E-2</v>
      </c>
      <c r="H163" s="1373">
        <v>1.8E-3</v>
      </c>
      <c r="I163" s="1373">
        <f t="shared" si="2"/>
        <v>-6.3E-2</v>
      </c>
      <c r="J163" s="1371">
        <v>14397</v>
      </c>
    </row>
    <row r="164" spans="2:10" x14ac:dyDescent="0.45">
      <c r="B164" s="1371">
        <v>14427</v>
      </c>
      <c r="C164" s="1370" t="s">
        <v>7139</v>
      </c>
      <c r="F164" s="1372">
        <v>0.1105</v>
      </c>
      <c r="H164" s="1373">
        <v>1.9E-3</v>
      </c>
      <c r="I164" s="1373">
        <f t="shared" si="2"/>
        <v>0.1086</v>
      </c>
      <c r="J164" s="1371">
        <v>14427</v>
      </c>
    </row>
    <row r="165" spans="2:10" x14ac:dyDescent="0.45">
      <c r="B165" s="1371">
        <v>14458</v>
      </c>
      <c r="C165" s="1370" t="s">
        <v>7139</v>
      </c>
      <c r="F165" s="1372">
        <v>-6.4799999999999996E-2</v>
      </c>
      <c r="H165" s="1373">
        <v>1.8E-3</v>
      </c>
      <c r="I165" s="1373">
        <f t="shared" si="2"/>
        <v>-6.6599999999999993E-2</v>
      </c>
      <c r="J165" s="1371">
        <v>14458</v>
      </c>
    </row>
    <row r="166" spans="2:10" x14ac:dyDescent="0.45">
      <c r="B166" s="1371">
        <v>14489</v>
      </c>
      <c r="C166" s="1370" t="s">
        <v>7139</v>
      </c>
      <c r="F166" s="1372">
        <v>0.1673</v>
      </c>
      <c r="H166" s="1373">
        <v>1.9E-3</v>
      </c>
      <c r="I166" s="1373">
        <f t="shared" si="2"/>
        <v>0.16539999999999999</v>
      </c>
      <c r="J166" s="1371">
        <v>14489</v>
      </c>
    </row>
    <row r="167" spans="2:10" x14ac:dyDescent="0.45">
      <c r="B167" s="1371">
        <v>14519</v>
      </c>
      <c r="C167" s="1370" t="s">
        <v>7139</v>
      </c>
      <c r="F167" s="1372">
        <v>-1.23E-2</v>
      </c>
      <c r="H167" s="1373">
        <v>2.3E-3</v>
      </c>
      <c r="I167" s="1373">
        <f t="shared" si="2"/>
        <v>-1.46E-2</v>
      </c>
      <c r="J167" s="1371">
        <v>14519</v>
      </c>
    </row>
    <row r="168" spans="2:10" x14ac:dyDescent="0.45">
      <c r="B168" s="1371">
        <v>14550</v>
      </c>
      <c r="C168" s="1370" t="s">
        <v>7139</v>
      </c>
      <c r="F168" s="1372">
        <v>-3.9800000000000002E-2</v>
      </c>
      <c r="H168" s="1373">
        <v>2E-3</v>
      </c>
      <c r="I168" s="1373">
        <f t="shared" si="2"/>
        <v>-4.1800000000000004E-2</v>
      </c>
      <c r="J168" s="1371">
        <v>14550</v>
      </c>
    </row>
    <row r="169" spans="2:10" x14ac:dyDescent="0.45">
      <c r="B169" s="1371">
        <v>14580</v>
      </c>
      <c r="C169" s="1370" t="s">
        <v>7139</v>
      </c>
      <c r="F169" s="1372">
        <v>2.7E-2</v>
      </c>
      <c r="H169" s="1373">
        <v>1.9E-3</v>
      </c>
      <c r="I169" s="1373">
        <f t="shared" si="2"/>
        <v>2.5100000000000001E-2</v>
      </c>
      <c r="J169" s="1371">
        <v>14580</v>
      </c>
    </row>
    <row r="170" spans="2:10" x14ac:dyDescent="0.45">
      <c r="B170" s="1371">
        <v>14611</v>
      </c>
      <c r="C170" s="1370" t="s">
        <v>7139</v>
      </c>
      <c r="F170" s="1372">
        <v>-3.3599999999999998E-2</v>
      </c>
      <c r="H170" s="1373">
        <v>2E-3</v>
      </c>
      <c r="I170" s="1373">
        <f t="shared" si="2"/>
        <v>-3.56E-2</v>
      </c>
      <c r="J170" s="1371">
        <v>14611</v>
      </c>
    </row>
    <row r="171" spans="2:10" x14ac:dyDescent="0.45">
      <c r="B171" s="1371">
        <v>14642</v>
      </c>
      <c r="C171" s="1370" t="s">
        <v>7139</v>
      </c>
      <c r="F171" s="1372">
        <v>1.3299999999999999E-2</v>
      </c>
      <c r="H171" s="1373">
        <v>1.8E-3</v>
      </c>
      <c r="I171" s="1373">
        <f t="shared" si="2"/>
        <v>1.15E-2</v>
      </c>
      <c r="J171" s="1371">
        <v>14642</v>
      </c>
    </row>
    <row r="172" spans="2:10" x14ac:dyDescent="0.45">
      <c r="B172" s="1371">
        <v>14671</v>
      </c>
      <c r="C172" s="1370" t="s">
        <v>7139</v>
      </c>
      <c r="F172" s="1372">
        <v>1.24E-2</v>
      </c>
      <c r="H172" s="1373">
        <v>1.9E-3</v>
      </c>
      <c r="I172" s="1373">
        <f t="shared" si="2"/>
        <v>1.0499999999999999E-2</v>
      </c>
      <c r="J172" s="1371">
        <v>14671</v>
      </c>
    </row>
    <row r="173" spans="2:10" x14ac:dyDescent="0.45">
      <c r="B173" s="1371">
        <v>14702</v>
      </c>
      <c r="C173" s="1370" t="s">
        <v>7139</v>
      </c>
      <c r="F173" s="1372">
        <v>-2.3999999999999998E-3</v>
      </c>
      <c r="H173" s="1373">
        <v>1.8E-3</v>
      </c>
      <c r="I173" s="1373">
        <f t="shared" si="2"/>
        <v>-4.1999999999999997E-3</v>
      </c>
      <c r="J173" s="1371">
        <v>14702</v>
      </c>
    </row>
    <row r="174" spans="2:10" x14ac:dyDescent="0.45">
      <c r="B174" s="1371">
        <v>14732</v>
      </c>
      <c r="C174" s="1370" t="s">
        <v>7139</v>
      </c>
      <c r="F174" s="1372">
        <v>-0.22889999999999999</v>
      </c>
      <c r="H174" s="1373">
        <v>1.9E-3</v>
      </c>
      <c r="I174" s="1373">
        <f t="shared" si="2"/>
        <v>-0.23080000000000001</v>
      </c>
      <c r="J174" s="1371">
        <v>14732</v>
      </c>
    </row>
    <row r="175" spans="2:10" x14ac:dyDescent="0.45">
      <c r="B175" s="1371">
        <v>14763</v>
      </c>
      <c r="C175" s="1370" t="s">
        <v>7139</v>
      </c>
      <c r="F175" s="1372">
        <v>8.09E-2</v>
      </c>
      <c r="H175" s="1373">
        <v>1.9E-3</v>
      </c>
      <c r="I175" s="1373">
        <f t="shared" si="2"/>
        <v>7.9000000000000001E-2</v>
      </c>
      <c r="J175" s="1371">
        <v>14763</v>
      </c>
    </row>
    <row r="176" spans="2:10" x14ac:dyDescent="0.45">
      <c r="B176" s="1371">
        <v>14793</v>
      </c>
      <c r="C176" s="1370" t="s">
        <v>7139</v>
      </c>
      <c r="F176" s="1372">
        <v>3.4099999999999998E-2</v>
      </c>
      <c r="H176" s="1373">
        <v>2E-3</v>
      </c>
      <c r="I176" s="1373">
        <f t="shared" si="2"/>
        <v>3.2099999999999997E-2</v>
      </c>
      <c r="J176" s="1371">
        <v>14793</v>
      </c>
    </row>
    <row r="177" spans="2:10" x14ac:dyDescent="0.45">
      <c r="B177" s="1371">
        <v>14824</v>
      </c>
      <c r="C177" s="1370" t="s">
        <v>7139</v>
      </c>
      <c r="F177" s="1372">
        <v>3.5000000000000003E-2</v>
      </c>
      <c r="H177" s="1373">
        <v>1.9E-3</v>
      </c>
      <c r="I177" s="1373">
        <f t="shared" si="2"/>
        <v>3.3100000000000004E-2</v>
      </c>
      <c r="J177" s="1371">
        <v>14824</v>
      </c>
    </row>
    <row r="178" spans="2:10" x14ac:dyDescent="0.45">
      <c r="B178" s="1371">
        <v>14855</v>
      </c>
      <c r="C178" s="1370" t="s">
        <v>7139</v>
      </c>
      <c r="F178" s="1372">
        <v>1.23E-2</v>
      </c>
      <c r="H178" s="1373">
        <v>1.8E-3</v>
      </c>
      <c r="I178" s="1373">
        <f t="shared" si="2"/>
        <v>1.0500000000000001E-2</v>
      </c>
      <c r="J178" s="1371">
        <v>14855</v>
      </c>
    </row>
    <row r="179" spans="2:10" x14ac:dyDescent="0.45">
      <c r="B179" s="1371">
        <v>14885</v>
      </c>
      <c r="C179" s="1370" t="s">
        <v>7139</v>
      </c>
      <c r="F179" s="1372">
        <v>4.2200000000000001E-2</v>
      </c>
      <c r="H179" s="1373">
        <v>1.8E-3</v>
      </c>
      <c r="I179" s="1373">
        <f t="shared" si="2"/>
        <v>4.0399999999999998E-2</v>
      </c>
      <c r="J179" s="1371">
        <v>14885</v>
      </c>
    </row>
    <row r="180" spans="2:10" x14ac:dyDescent="0.45">
      <c r="B180" s="1371">
        <v>14916</v>
      </c>
      <c r="C180" s="1370" t="s">
        <v>7139</v>
      </c>
      <c r="F180" s="1372">
        <v>-3.1600000000000003E-2</v>
      </c>
      <c r="H180" s="1373">
        <v>1.8E-3</v>
      </c>
      <c r="I180" s="1373">
        <f t="shared" si="2"/>
        <v>-3.3400000000000006E-2</v>
      </c>
      <c r="J180" s="1371">
        <v>14916</v>
      </c>
    </row>
    <row r="181" spans="2:10" x14ac:dyDescent="0.45">
      <c r="B181" s="1371">
        <v>14946</v>
      </c>
      <c r="C181" s="1370" t="s">
        <v>7139</v>
      </c>
      <c r="F181" s="1372">
        <v>8.9999999999999998E-4</v>
      </c>
      <c r="H181" s="1373">
        <v>1.6999999999999999E-3</v>
      </c>
      <c r="I181" s="1373">
        <f t="shared" si="2"/>
        <v>-7.9999999999999993E-4</v>
      </c>
      <c r="J181" s="1371">
        <v>14946</v>
      </c>
    </row>
    <row r="182" spans="2:10" x14ac:dyDescent="0.45">
      <c r="B182" s="1371">
        <v>14977</v>
      </c>
      <c r="C182" s="1370" t="s">
        <v>7139</v>
      </c>
      <c r="F182" s="1372">
        <v>-4.6300000000000001E-2</v>
      </c>
      <c r="H182" s="1373">
        <v>1.6000000000000001E-3</v>
      </c>
      <c r="I182" s="1373">
        <f t="shared" si="2"/>
        <v>-4.7899999999999998E-2</v>
      </c>
      <c r="J182" s="1371">
        <v>14977</v>
      </c>
    </row>
    <row r="183" spans="2:10" x14ac:dyDescent="0.45">
      <c r="B183" s="1371">
        <v>15008</v>
      </c>
      <c r="C183" s="1370" t="s">
        <v>7139</v>
      </c>
      <c r="F183" s="1372">
        <v>-6.0000000000000001E-3</v>
      </c>
      <c r="H183" s="1373">
        <v>1.6000000000000001E-3</v>
      </c>
      <c r="I183" s="1373">
        <f t="shared" si="2"/>
        <v>-7.6E-3</v>
      </c>
      <c r="J183" s="1371">
        <v>15008</v>
      </c>
    </row>
    <row r="184" spans="2:10" x14ac:dyDescent="0.45">
      <c r="B184" s="1371">
        <v>15036</v>
      </c>
      <c r="C184" s="1370" t="s">
        <v>7139</v>
      </c>
      <c r="F184" s="1372">
        <v>7.1000000000000004E-3</v>
      </c>
      <c r="H184" s="1373">
        <v>1.8E-3</v>
      </c>
      <c r="I184" s="1373">
        <f t="shared" si="2"/>
        <v>5.3000000000000009E-3</v>
      </c>
      <c r="J184" s="1371">
        <v>15036</v>
      </c>
    </row>
    <row r="185" spans="2:10" x14ac:dyDescent="0.45">
      <c r="B185" s="1371">
        <v>15067</v>
      </c>
      <c r="C185" s="1370" t="s">
        <v>7139</v>
      </c>
      <c r="F185" s="1372">
        <v>-6.1199999999999997E-2</v>
      </c>
      <c r="H185" s="1373">
        <v>1.6999999999999999E-3</v>
      </c>
      <c r="I185" s="1373">
        <f t="shared" si="2"/>
        <v>-6.2899999999999998E-2</v>
      </c>
      <c r="J185" s="1371">
        <v>15067</v>
      </c>
    </row>
    <row r="186" spans="2:10" x14ac:dyDescent="0.45">
      <c r="B186" s="1371">
        <v>15097</v>
      </c>
      <c r="C186" s="1370" t="s">
        <v>7139</v>
      </c>
      <c r="F186" s="1372">
        <v>1.83E-2</v>
      </c>
      <c r="H186" s="1373">
        <v>1.6999999999999999E-3</v>
      </c>
      <c r="I186" s="1373">
        <f t="shared" si="2"/>
        <v>1.66E-2</v>
      </c>
      <c r="J186" s="1371">
        <v>15097</v>
      </c>
    </row>
    <row r="187" spans="2:10" x14ac:dyDescent="0.45">
      <c r="B187" s="1371">
        <v>15128</v>
      </c>
      <c r="C187" s="1370" t="s">
        <v>7139</v>
      </c>
      <c r="F187" s="1372">
        <v>5.7799999999999997E-2</v>
      </c>
      <c r="H187" s="1373">
        <v>1.6000000000000001E-3</v>
      </c>
      <c r="I187" s="1373">
        <f t="shared" si="2"/>
        <v>5.62E-2</v>
      </c>
      <c r="J187" s="1371">
        <v>15128</v>
      </c>
    </row>
    <row r="188" spans="2:10" x14ac:dyDescent="0.45">
      <c r="B188" s="1371">
        <v>15158</v>
      </c>
      <c r="C188" s="1370" t="s">
        <v>7139</v>
      </c>
      <c r="F188" s="1372">
        <v>5.79E-2</v>
      </c>
      <c r="H188" s="1373">
        <v>1.6000000000000001E-3</v>
      </c>
      <c r="I188" s="1373">
        <f t="shared" si="2"/>
        <v>5.6300000000000003E-2</v>
      </c>
      <c r="J188" s="1371">
        <v>15158</v>
      </c>
    </row>
    <row r="189" spans="2:10" x14ac:dyDescent="0.45">
      <c r="B189" s="1371">
        <v>15189</v>
      </c>
      <c r="C189" s="1370" t="s">
        <v>7139</v>
      </c>
      <c r="F189" s="1372">
        <v>1E-3</v>
      </c>
      <c r="H189" s="1373">
        <v>1.6000000000000001E-3</v>
      </c>
      <c r="I189" s="1373">
        <f t="shared" si="2"/>
        <v>-6.0000000000000006E-4</v>
      </c>
      <c r="J189" s="1371">
        <v>15189</v>
      </c>
    </row>
    <row r="190" spans="2:10" x14ac:dyDescent="0.45">
      <c r="B190" s="1371">
        <v>15220</v>
      </c>
      <c r="C190" s="1370" t="s">
        <v>7139</v>
      </c>
      <c r="F190" s="1372">
        <v>-6.7999999999999996E-3</v>
      </c>
      <c r="H190" s="1373">
        <v>1.6000000000000001E-3</v>
      </c>
      <c r="I190" s="1373">
        <f t="shared" si="2"/>
        <v>-8.3999999999999995E-3</v>
      </c>
      <c r="J190" s="1371">
        <v>15220</v>
      </c>
    </row>
    <row r="191" spans="2:10" x14ac:dyDescent="0.45">
      <c r="B191" s="1371">
        <v>15250</v>
      </c>
      <c r="C191" s="1370" t="s">
        <v>7139</v>
      </c>
      <c r="F191" s="1372">
        <v>-6.5699999999999995E-2</v>
      </c>
      <c r="H191" s="1373">
        <v>1.6000000000000001E-3</v>
      </c>
      <c r="I191" s="1373">
        <f t="shared" si="2"/>
        <v>-6.7299999999999999E-2</v>
      </c>
      <c r="J191" s="1371">
        <v>15250</v>
      </c>
    </row>
    <row r="192" spans="2:10" x14ac:dyDescent="0.45">
      <c r="B192" s="1371">
        <v>15281</v>
      </c>
      <c r="C192" s="1370" t="s">
        <v>7139</v>
      </c>
      <c r="F192" s="1372">
        <v>-2.8400000000000002E-2</v>
      </c>
      <c r="H192" s="1373">
        <v>1.4E-3</v>
      </c>
      <c r="I192" s="1373">
        <f t="shared" si="2"/>
        <v>-2.98E-2</v>
      </c>
      <c r="J192" s="1371">
        <v>15281</v>
      </c>
    </row>
    <row r="193" spans="2:10" x14ac:dyDescent="0.45">
      <c r="B193" s="1371">
        <v>15311</v>
      </c>
      <c r="C193" s="1370" t="s">
        <v>7139</v>
      </c>
      <c r="F193" s="1372">
        <v>-4.07E-2</v>
      </c>
      <c r="H193" s="1373">
        <v>1.6000000000000001E-3</v>
      </c>
      <c r="I193" s="1373">
        <f t="shared" si="2"/>
        <v>-4.2299999999999997E-2</v>
      </c>
      <c r="J193" s="1371">
        <v>15311</v>
      </c>
    </row>
    <row r="194" spans="2:10" x14ac:dyDescent="0.45">
      <c r="B194" s="1371">
        <v>15342</v>
      </c>
      <c r="C194" s="1370" t="s">
        <v>7139</v>
      </c>
      <c r="F194" s="1372">
        <v>1.61E-2</v>
      </c>
      <c r="H194" s="1373">
        <v>2.0999999999999999E-3</v>
      </c>
      <c r="I194" s="1373">
        <f t="shared" ref="I194:I257" si="3">F194-H194</f>
        <v>1.4E-2</v>
      </c>
      <c r="J194" s="1371">
        <v>15342</v>
      </c>
    </row>
    <row r="195" spans="2:10" x14ac:dyDescent="0.45">
      <c r="B195" s="1371">
        <v>15373</v>
      </c>
      <c r="C195" s="1370" t="s">
        <v>7139</v>
      </c>
      <c r="F195" s="1372">
        <v>-1.5900000000000001E-2</v>
      </c>
      <c r="H195" s="1373">
        <v>1.9E-3</v>
      </c>
      <c r="I195" s="1373">
        <f t="shared" si="3"/>
        <v>-1.78E-2</v>
      </c>
      <c r="J195" s="1371">
        <v>15373</v>
      </c>
    </row>
    <row r="196" spans="2:10" x14ac:dyDescent="0.45">
      <c r="B196" s="1371">
        <v>15401</v>
      </c>
      <c r="C196" s="1370" t="s">
        <v>7139</v>
      </c>
      <c r="F196" s="1372">
        <v>-6.5199999999999994E-2</v>
      </c>
      <c r="H196" s="1373">
        <v>2.0999999999999999E-3</v>
      </c>
      <c r="I196" s="1373">
        <f t="shared" si="3"/>
        <v>-6.7299999999999999E-2</v>
      </c>
      <c r="J196" s="1371">
        <v>15401</v>
      </c>
    </row>
    <row r="197" spans="2:10" x14ac:dyDescent="0.45">
      <c r="B197" s="1371">
        <v>15432</v>
      </c>
      <c r="C197" s="1370" t="s">
        <v>7139</v>
      </c>
      <c r="F197" s="1372">
        <v>-3.9899999999999998E-2</v>
      </c>
      <c r="H197" s="1373">
        <v>2E-3</v>
      </c>
      <c r="I197" s="1373">
        <f t="shared" si="3"/>
        <v>-4.19E-2</v>
      </c>
      <c r="J197" s="1371">
        <v>15432</v>
      </c>
    </row>
    <row r="198" spans="2:10" x14ac:dyDescent="0.45">
      <c r="B198" s="1371">
        <v>15462</v>
      </c>
      <c r="C198" s="1370" t="s">
        <v>7139</v>
      </c>
      <c r="F198" s="1372">
        <v>7.9600000000000004E-2</v>
      </c>
      <c r="H198" s="1373">
        <v>1.9E-3</v>
      </c>
      <c r="I198" s="1373">
        <f t="shared" si="3"/>
        <v>7.7700000000000005E-2</v>
      </c>
      <c r="J198" s="1371">
        <v>15462</v>
      </c>
    </row>
    <row r="199" spans="2:10" x14ac:dyDescent="0.45">
      <c r="B199" s="1371">
        <v>15493</v>
      </c>
      <c r="C199" s="1370" t="s">
        <v>7139</v>
      </c>
      <c r="F199" s="1372">
        <v>2.2100000000000002E-2</v>
      </c>
      <c r="H199" s="1373">
        <v>2.0999999999999999E-3</v>
      </c>
      <c r="I199" s="1373">
        <f t="shared" si="3"/>
        <v>0.02</v>
      </c>
      <c r="J199" s="1371">
        <v>15493</v>
      </c>
    </row>
    <row r="200" spans="2:10" x14ac:dyDescent="0.45">
      <c r="B200" s="1371">
        <v>15523</v>
      </c>
      <c r="C200" s="1370" t="s">
        <v>7139</v>
      </c>
      <c r="F200" s="1372">
        <v>3.3700000000000001E-2</v>
      </c>
      <c r="H200" s="1373">
        <v>2.0999999999999999E-3</v>
      </c>
      <c r="I200" s="1373">
        <f t="shared" si="3"/>
        <v>3.1600000000000003E-2</v>
      </c>
      <c r="J200" s="1371">
        <v>15523</v>
      </c>
    </row>
    <row r="201" spans="2:10" x14ac:dyDescent="0.45">
      <c r="B201" s="1371">
        <v>15554</v>
      </c>
      <c r="C201" s="1370" t="s">
        <v>7139</v>
      </c>
      <c r="F201" s="1372">
        <v>1.6400000000000001E-2</v>
      </c>
      <c r="H201" s="1373">
        <v>2.0999999999999999E-3</v>
      </c>
      <c r="I201" s="1373">
        <f t="shared" si="3"/>
        <v>1.4300000000000002E-2</v>
      </c>
      <c r="J201" s="1371">
        <v>15554</v>
      </c>
    </row>
    <row r="202" spans="2:10" x14ac:dyDescent="0.45">
      <c r="B202" s="1371">
        <v>15585</v>
      </c>
      <c r="C202" s="1370" t="s">
        <v>7139</v>
      </c>
      <c r="F202" s="1372">
        <v>2.9000000000000001E-2</v>
      </c>
      <c r="H202" s="1373">
        <v>2E-3</v>
      </c>
      <c r="I202" s="1373">
        <f t="shared" si="3"/>
        <v>2.7000000000000003E-2</v>
      </c>
      <c r="J202" s="1371">
        <v>15585</v>
      </c>
    </row>
    <row r="203" spans="2:10" x14ac:dyDescent="0.45">
      <c r="B203" s="1371">
        <v>15615</v>
      </c>
      <c r="C203" s="1370" t="s">
        <v>7139</v>
      </c>
      <c r="F203" s="1372">
        <v>6.7799999999999999E-2</v>
      </c>
      <c r="H203" s="1373">
        <v>2.0999999999999999E-3</v>
      </c>
      <c r="I203" s="1373">
        <f t="shared" si="3"/>
        <v>6.5699999999999995E-2</v>
      </c>
      <c r="J203" s="1371">
        <v>15615</v>
      </c>
    </row>
    <row r="204" spans="2:10" x14ac:dyDescent="0.45">
      <c r="B204" s="1371">
        <v>15646</v>
      </c>
      <c r="C204" s="1370" t="s">
        <v>7139</v>
      </c>
      <c r="F204" s="1372">
        <v>-2.0999999999999999E-3</v>
      </c>
      <c r="H204" s="1373">
        <v>2E-3</v>
      </c>
      <c r="I204" s="1373">
        <f t="shared" si="3"/>
        <v>-4.0999999999999995E-3</v>
      </c>
      <c r="J204" s="1371">
        <v>15646</v>
      </c>
    </row>
    <row r="205" spans="2:10" x14ac:dyDescent="0.45">
      <c r="B205" s="1371">
        <v>15676</v>
      </c>
      <c r="C205" s="1370" t="s">
        <v>7139</v>
      </c>
      <c r="F205" s="1372">
        <v>5.4899999999999997E-2</v>
      </c>
      <c r="H205" s="1373">
        <v>2.0999999999999999E-3</v>
      </c>
      <c r="I205" s="1373">
        <f t="shared" si="3"/>
        <v>5.28E-2</v>
      </c>
      <c r="J205" s="1371">
        <v>15676</v>
      </c>
    </row>
    <row r="206" spans="2:10" x14ac:dyDescent="0.45">
      <c r="B206" s="1371">
        <v>15707</v>
      </c>
      <c r="C206" s="1370" t="s">
        <v>7139</v>
      </c>
      <c r="F206" s="1372">
        <v>7.3700000000000002E-2</v>
      </c>
      <c r="H206" s="1373">
        <v>2E-3</v>
      </c>
      <c r="I206" s="1373">
        <f t="shared" si="3"/>
        <v>7.17E-2</v>
      </c>
      <c r="J206" s="1371">
        <v>15707</v>
      </c>
    </row>
    <row r="207" spans="2:10" x14ac:dyDescent="0.45">
      <c r="B207" s="1371">
        <v>15738</v>
      </c>
      <c r="C207" s="1370" t="s">
        <v>7139</v>
      </c>
      <c r="F207" s="1372">
        <v>5.8299999999999998E-2</v>
      </c>
      <c r="H207" s="1373">
        <v>1.9E-3</v>
      </c>
      <c r="I207" s="1373">
        <f t="shared" si="3"/>
        <v>5.6399999999999999E-2</v>
      </c>
      <c r="J207" s="1371">
        <v>15738</v>
      </c>
    </row>
    <row r="208" spans="2:10" x14ac:dyDescent="0.45">
      <c r="B208" s="1371">
        <v>15766</v>
      </c>
      <c r="C208" s="1370" t="s">
        <v>7139</v>
      </c>
      <c r="F208" s="1372">
        <v>5.45E-2</v>
      </c>
      <c r="H208" s="1373">
        <v>2.0999999999999999E-3</v>
      </c>
      <c r="I208" s="1373">
        <f t="shared" si="3"/>
        <v>5.2400000000000002E-2</v>
      </c>
      <c r="J208" s="1371">
        <v>15766</v>
      </c>
    </row>
    <row r="209" spans="2:10" x14ac:dyDescent="0.45">
      <c r="B209" s="1371">
        <v>15797</v>
      </c>
      <c r="C209" s="1370" t="s">
        <v>7139</v>
      </c>
      <c r="F209" s="1372">
        <v>3.5000000000000001E-3</v>
      </c>
      <c r="H209" s="1373">
        <v>2E-3</v>
      </c>
      <c r="I209" s="1373">
        <f t="shared" si="3"/>
        <v>1.5E-3</v>
      </c>
      <c r="J209" s="1371">
        <v>15797</v>
      </c>
    </row>
    <row r="210" spans="2:10" x14ac:dyDescent="0.45">
      <c r="B210" s="1371">
        <v>15827</v>
      </c>
      <c r="C210" s="1370" t="s">
        <v>7139</v>
      </c>
      <c r="F210" s="1372">
        <v>5.5199999999999999E-2</v>
      </c>
      <c r="H210" s="1373">
        <v>1.9E-3</v>
      </c>
      <c r="I210" s="1373">
        <f t="shared" si="3"/>
        <v>5.33E-2</v>
      </c>
      <c r="J210" s="1371">
        <v>15827</v>
      </c>
    </row>
    <row r="211" spans="2:10" x14ac:dyDescent="0.45">
      <c r="B211" s="1371">
        <v>15858</v>
      </c>
      <c r="C211" s="1370" t="s">
        <v>7139</v>
      </c>
      <c r="F211" s="1372">
        <v>2.23E-2</v>
      </c>
      <c r="H211" s="1373">
        <v>2.0999999999999999E-3</v>
      </c>
      <c r="I211" s="1373">
        <f t="shared" si="3"/>
        <v>2.0199999999999999E-2</v>
      </c>
      <c r="J211" s="1371">
        <v>15858</v>
      </c>
    </row>
    <row r="212" spans="2:10" x14ac:dyDescent="0.45">
      <c r="B212" s="1371">
        <v>15888</v>
      </c>
      <c r="C212" s="1370" t="s">
        <v>7139</v>
      </c>
      <c r="F212" s="1372">
        <v>-5.2600000000000001E-2</v>
      </c>
      <c r="H212" s="1373">
        <v>2.0999999999999999E-3</v>
      </c>
      <c r="I212" s="1373">
        <f t="shared" si="3"/>
        <v>-5.4699999999999999E-2</v>
      </c>
      <c r="J212" s="1371">
        <v>15888</v>
      </c>
    </row>
    <row r="213" spans="2:10" x14ac:dyDescent="0.45">
      <c r="B213" s="1371">
        <v>15919</v>
      </c>
      <c r="C213" s="1370" t="s">
        <v>7139</v>
      </c>
      <c r="F213" s="1372">
        <v>1.7100000000000001E-2</v>
      </c>
      <c r="H213" s="1373">
        <v>2.0999999999999999E-3</v>
      </c>
      <c r="I213" s="1373">
        <f t="shared" si="3"/>
        <v>1.5000000000000001E-2</v>
      </c>
      <c r="J213" s="1371">
        <v>15919</v>
      </c>
    </row>
    <row r="214" spans="2:10" x14ac:dyDescent="0.45">
      <c r="B214" s="1371">
        <v>15950</v>
      </c>
      <c r="C214" s="1370" t="s">
        <v>7139</v>
      </c>
      <c r="F214" s="1372">
        <v>2.63E-2</v>
      </c>
      <c r="H214" s="1373">
        <v>2E-3</v>
      </c>
      <c r="I214" s="1373">
        <f t="shared" si="3"/>
        <v>2.4300000000000002E-2</v>
      </c>
      <c r="J214" s="1371">
        <v>15950</v>
      </c>
    </row>
    <row r="215" spans="2:10" x14ac:dyDescent="0.45">
      <c r="B215" s="1371">
        <v>15980</v>
      </c>
      <c r="C215" s="1370" t="s">
        <v>7139</v>
      </c>
      <c r="F215" s="1372">
        <v>-1.0800000000000001E-2</v>
      </c>
      <c r="H215" s="1373">
        <v>2E-3</v>
      </c>
      <c r="I215" s="1373">
        <f t="shared" si="3"/>
        <v>-1.2800000000000001E-2</v>
      </c>
      <c r="J215" s="1371">
        <v>15980</v>
      </c>
    </row>
    <row r="216" spans="2:10" x14ac:dyDescent="0.45">
      <c r="B216" s="1371">
        <v>16011</v>
      </c>
      <c r="C216" s="1370" t="s">
        <v>7139</v>
      </c>
      <c r="F216" s="1372">
        <v>-6.54E-2</v>
      </c>
      <c r="H216" s="1373">
        <v>2.0999999999999999E-3</v>
      </c>
      <c r="I216" s="1373">
        <f t="shared" si="3"/>
        <v>-6.7500000000000004E-2</v>
      </c>
      <c r="J216" s="1371">
        <v>16011</v>
      </c>
    </row>
    <row r="217" spans="2:10" x14ac:dyDescent="0.45">
      <c r="B217" s="1371">
        <v>16041</v>
      </c>
      <c r="C217" s="1370" t="s">
        <v>7139</v>
      </c>
      <c r="F217" s="1372">
        <v>6.1699999999999998E-2</v>
      </c>
      <c r="H217" s="1373">
        <v>2.0999999999999999E-3</v>
      </c>
      <c r="I217" s="1373">
        <f t="shared" si="3"/>
        <v>5.96E-2</v>
      </c>
      <c r="J217" s="1371">
        <v>16041</v>
      </c>
    </row>
    <row r="218" spans="2:10" x14ac:dyDescent="0.45">
      <c r="B218" s="1371">
        <v>16072</v>
      </c>
      <c r="C218" s="1370" t="s">
        <v>7139</v>
      </c>
      <c r="F218" s="1372">
        <v>1.7100000000000001E-2</v>
      </c>
      <c r="H218" s="1373">
        <v>2.0999999999999999E-3</v>
      </c>
      <c r="I218" s="1373">
        <f t="shared" si="3"/>
        <v>1.5000000000000001E-2</v>
      </c>
      <c r="J218" s="1371">
        <v>16072</v>
      </c>
    </row>
    <row r="219" spans="2:10" x14ac:dyDescent="0.45">
      <c r="B219" s="1371">
        <v>16103</v>
      </c>
      <c r="C219" s="1370" t="s">
        <v>7139</v>
      </c>
      <c r="F219" s="1372">
        <v>4.1999999999999997E-3</v>
      </c>
      <c r="H219" s="1373">
        <v>2E-3</v>
      </c>
      <c r="I219" s="1373">
        <f t="shared" si="3"/>
        <v>2.1999999999999997E-3</v>
      </c>
      <c r="J219" s="1371">
        <v>16103</v>
      </c>
    </row>
    <row r="220" spans="2:10" x14ac:dyDescent="0.45">
      <c r="B220" s="1371">
        <v>16132</v>
      </c>
      <c r="C220" s="1370" t="s">
        <v>7139</v>
      </c>
      <c r="F220" s="1372">
        <v>1.95E-2</v>
      </c>
      <c r="H220" s="1373">
        <v>2.0999999999999999E-3</v>
      </c>
      <c r="I220" s="1373">
        <f t="shared" si="3"/>
        <v>1.7399999999999999E-2</v>
      </c>
      <c r="J220" s="1371">
        <v>16132</v>
      </c>
    </row>
    <row r="221" spans="2:10" x14ac:dyDescent="0.45">
      <c r="B221" s="1371">
        <v>16163</v>
      </c>
      <c r="C221" s="1370" t="s">
        <v>7139</v>
      </c>
      <c r="F221" s="1372">
        <v>-0.01</v>
      </c>
      <c r="H221" s="1373">
        <v>2E-3</v>
      </c>
      <c r="I221" s="1373">
        <f t="shared" si="3"/>
        <v>-1.2E-2</v>
      </c>
      <c r="J221" s="1371">
        <v>16163</v>
      </c>
    </row>
    <row r="222" spans="2:10" x14ac:dyDescent="0.45">
      <c r="B222" s="1371">
        <v>16193</v>
      </c>
      <c r="C222" s="1370" t="s">
        <v>7139</v>
      </c>
      <c r="F222" s="1372">
        <v>5.0500000000000003E-2</v>
      </c>
      <c r="H222" s="1373">
        <v>2.2000000000000001E-3</v>
      </c>
      <c r="I222" s="1373">
        <f t="shared" si="3"/>
        <v>4.8300000000000003E-2</v>
      </c>
      <c r="J222" s="1371">
        <v>16193</v>
      </c>
    </row>
    <row r="223" spans="2:10" x14ac:dyDescent="0.45">
      <c r="B223" s="1371">
        <v>16224</v>
      </c>
      <c r="C223" s="1370" t="s">
        <v>7139</v>
      </c>
      <c r="F223" s="1372">
        <v>5.4300000000000001E-2</v>
      </c>
      <c r="H223" s="1373">
        <v>2E-3</v>
      </c>
      <c r="I223" s="1373">
        <f t="shared" si="3"/>
        <v>5.2299999999999999E-2</v>
      </c>
      <c r="J223" s="1371">
        <v>16224</v>
      </c>
    </row>
    <row r="224" spans="2:10" x14ac:dyDescent="0.45">
      <c r="B224" s="1371">
        <v>16254</v>
      </c>
      <c r="C224" s="1370" t="s">
        <v>7139</v>
      </c>
      <c r="F224" s="1372">
        <v>-1.9300000000000001E-2</v>
      </c>
      <c r="H224" s="1373">
        <v>2.0999999999999999E-3</v>
      </c>
      <c r="I224" s="1373">
        <f t="shared" si="3"/>
        <v>-2.1400000000000002E-2</v>
      </c>
      <c r="J224" s="1371">
        <v>16254</v>
      </c>
    </row>
    <row r="225" spans="2:10" x14ac:dyDescent="0.45">
      <c r="B225" s="1371">
        <v>16285</v>
      </c>
      <c r="C225" s="1370" t="s">
        <v>7139</v>
      </c>
      <c r="F225" s="1372">
        <v>1.5699999999999999E-2</v>
      </c>
      <c r="H225" s="1373">
        <v>2.0999999999999999E-3</v>
      </c>
      <c r="I225" s="1373">
        <f t="shared" si="3"/>
        <v>1.3599999999999999E-2</v>
      </c>
      <c r="J225" s="1371">
        <v>16285</v>
      </c>
    </row>
    <row r="226" spans="2:10" x14ac:dyDescent="0.45">
      <c r="B226" s="1371">
        <v>16316</v>
      </c>
      <c r="C226" s="1370" t="s">
        <v>7139</v>
      </c>
      <c r="F226" s="1372">
        <v>-8.0000000000000004E-4</v>
      </c>
      <c r="H226" s="1373">
        <v>2E-3</v>
      </c>
      <c r="I226" s="1373">
        <f t="shared" si="3"/>
        <v>-2.8E-3</v>
      </c>
      <c r="J226" s="1371">
        <v>16316</v>
      </c>
    </row>
    <row r="227" spans="2:10" x14ac:dyDescent="0.45">
      <c r="B227" s="1371">
        <v>16346</v>
      </c>
      <c r="C227" s="1370" t="s">
        <v>7139</v>
      </c>
      <c r="F227" s="1372">
        <v>2.3E-3</v>
      </c>
      <c r="H227" s="1373">
        <v>2.0999999999999999E-3</v>
      </c>
      <c r="I227" s="1373">
        <f t="shared" si="3"/>
        <v>2.0000000000000009E-4</v>
      </c>
      <c r="J227" s="1371">
        <v>16346</v>
      </c>
    </row>
    <row r="228" spans="2:10" x14ac:dyDescent="0.45">
      <c r="B228" s="1371">
        <v>16377</v>
      </c>
      <c r="C228" s="1370" t="s">
        <v>7139</v>
      </c>
      <c r="F228" s="1372">
        <v>1.3299999999999999E-2</v>
      </c>
      <c r="H228" s="1373">
        <v>2E-3</v>
      </c>
      <c r="I228" s="1373">
        <f t="shared" si="3"/>
        <v>1.1299999999999999E-2</v>
      </c>
      <c r="J228" s="1371">
        <v>16377</v>
      </c>
    </row>
    <row r="229" spans="2:10" x14ac:dyDescent="0.45">
      <c r="B229" s="1371">
        <v>16407</v>
      </c>
      <c r="C229" s="1370" t="s">
        <v>7139</v>
      </c>
      <c r="F229" s="1372">
        <v>3.7400000000000003E-2</v>
      </c>
      <c r="H229" s="1373">
        <v>2E-3</v>
      </c>
      <c r="I229" s="1373">
        <f t="shared" si="3"/>
        <v>3.5400000000000001E-2</v>
      </c>
      <c r="J229" s="1371">
        <v>16407</v>
      </c>
    </row>
    <row r="230" spans="2:10" x14ac:dyDescent="0.45">
      <c r="B230" s="1371">
        <v>16438</v>
      </c>
      <c r="C230" s="1370" t="s">
        <v>7139</v>
      </c>
      <c r="F230" s="1372">
        <v>1.5800000000000002E-2</v>
      </c>
      <c r="H230" s="1373">
        <v>2.0999999999999999E-3</v>
      </c>
      <c r="I230" s="1373">
        <f t="shared" si="3"/>
        <v>1.3700000000000002E-2</v>
      </c>
      <c r="J230" s="1371">
        <v>16438</v>
      </c>
    </row>
    <row r="231" spans="2:10" x14ac:dyDescent="0.45">
      <c r="B231" s="1371">
        <v>16469</v>
      </c>
      <c r="C231" s="1370" t="s">
        <v>7139</v>
      </c>
      <c r="F231" s="1372">
        <v>6.83E-2</v>
      </c>
      <c r="H231" s="1373">
        <v>1.8E-3</v>
      </c>
      <c r="I231" s="1373">
        <f t="shared" si="3"/>
        <v>6.6500000000000004E-2</v>
      </c>
      <c r="J231" s="1371">
        <v>16469</v>
      </c>
    </row>
    <row r="232" spans="2:10" x14ac:dyDescent="0.45">
      <c r="B232" s="1371">
        <v>16497</v>
      </c>
      <c r="C232" s="1370" t="s">
        <v>7139</v>
      </c>
      <c r="F232" s="1372">
        <v>-4.41E-2</v>
      </c>
      <c r="H232" s="1373">
        <v>2E-3</v>
      </c>
      <c r="I232" s="1373">
        <f t="shared" si="3"/>
        <v>-4.6100000000000002E-2</v>
      </c>
      <c r="J232" s="1371">
        <v>16497</v>
      </c>
    </row>
    <row r="233" spans="2:10" x14ac:dyDescent="0.45">
      <c r="B233" s="1371">
        <v>16528</v>
      </c>
      <c r="C233" s="1370" t="s">
        <v>7139</v>
      </c>
      <c r="F233" s="1372">
        <v>9.0200000000000002E-2</v>
      </c>
      <c r="H233" s="1373">
        <v>1.9E-3</v>
      </c>
      <c r="I233" s="1373">
        <f t="shared" si="3"/>
        <v>8.8300000000000003E-2</v>
      </c>
      <c r="J233" s="1371">
        <v>16528</v>
      </c>
    </row>
    <row r="234" spans="2:10" x14ac:dyDescent="0.45">
      <c r="B234" s="1371">
        <v>16558</v>
      </c>
      <c r="C234" s="1370" t="s">
        <v>7139</v>
      </c>
      <c r="F234" s="1372">
        <v>1.95E-2</v>
      </c>
      <c r="H234" s="1373">
        <v>1.9E-3</v>
      </c>
      <c r="I234" s="1373">
        <f t="shared" si="3"/>
        <v>1.7600000000000001E-2</v>
      </c>
      <c r="J234" s="1371">
        <v>16558</v>
      </c>
    </row>
    <row r="235" spans="2:10" x14ac:dyDescent="0.45">
      <c r="B235" s="1371">
        <v>16589</v>
      </c>
      <c r="C235" s="1370" t="s">
        <v>7139</v>
      </c>
      <c r="F235" s="1372">
        <v>-6.9999999999999999E-4</v>
      </c>
      <c r="H235" s="1373">
        <v>1.9E-3</v>
      </c>
      <c r="I235" s="1373">
        <f t="shared" si="3"/>
        <v>-2.5999999999999999E-3</v>
      </c>
      <c r="J235" s="1371">
        <v>16589</v>
      </c>
    </row>
    <row r="236" spans="2:10" x14ac:dyDescent="0.45">
      <c r="B236" s="1371">
        <v>16619</v>
      </c>
      <c r="C236" s="1370" t="s">
        <v>7139</v>
      </c>
      <c r="F236" s="1372">
        <v>-1.7999999999999999E-2</v>
      </c>
      <c r="H236" s="1373">
        <v>1.8E-3</v>
      </c>
      <c r="I236" s="1373">
        <f t="shared" si="3"/>
        <v>-1.9799999999999998E-2</v>
      </c>
      <c r="J236" s="1371">
        <v>16619</v>
      </c>
    </row>
    <row r="237" spans="2:10" x14ac:dyDescent="0.45">
      <c r="B237" s="1371">
        <v>16650</v>
      </c>
      <c r="C237" s="1370" t="s">
        <v>7139</v>
      </c>
      <c r="F237" s="1372">
        <v>6.4100000000000004E-2</v>
      </c>
      <c r="H237" s="1373">
        <v>1.9E-3</v>
      </c>
      <c r="I237" s="1373">
        <f t="shared" si="3"/>
        <v>6.2200000000000005E-2</v>
      </c>
      <c r="J237" s="1371">
        <v>16650</v>
      </c>
    </row>
    <row r="238" spans="2:10" x14ac:dyDescent="0.45">
      <c r="B238" s="1371">
        <v>16681</v>
      </c>
      <c r="C238" s="1370" t="s">
        <v>7139</v>
      </c>
      <c r="F238" s="1372">
        <v>4.3799999999999999E-2</v>
      </c>
      <c r="H238" s="1373">
        <v>1.8E-3</v>
      </c>
      <c r="I238" s="1373">
        <f t="shared" si="3"/>
        <v>4.1999999999999996E-2</v>
      </c>
      <c r="J238" s="1371">
        <v>16681</v>
      </c>
    </row>
    <row r="239" spans="2:10" x14ac:dyDescent="0.45">
      <c r="B239" s="1371">
        <v>16711</v>
      </c>
      <c r="C239" s="1370" t="s">
        <v>7139</v>
      </c>
      <c r="F239" s="1372">
        <v>3.2199999999999999E-2</v>
      </c>
      <c r="H239" s="1373">
        <v>1.9E-3</v>
      </c>
      <c r="I239" s="1373">
        <f t="shared" si="3"/>
        <v>3.0300000000000001E-2</v>
      </c>
      <c r="J239" s="1371">
        <v>16711</v>
      </c>
    </row>
    <row r="240" spans="2:10" x14ac:dyDescent="0.45">
      <c r="B240" s="1371">
        <v>16742</v>
      </c>
      <c r="C240" s="1370" t="s">
        <v>7139</v>
      </c>
      <c r="F240" s="1372">
        <v>3.9600000000000003E-2</v>
      </c>
      <c r="H240" s="1373">
        <v>1.8E-3</v>
      </c>
      <c r="I240" s="1373">
        <f t="shared" si="3"/>
        <v>3.78E-2</v>
      </c>
      <c r="J240" s="1371">
        <v>16742</v>
      </c>
    </row>
    <row r="241" spans="2:10" x14ac:dyDescent="0.45">
      <c r="B241" s="1371">
        <v>16772</v>
      </c>
      <c r="C241" s="1370" t="s">
        <v>7139</v>
      </c>
      <c r="F241" s="1372">
        <v>1.1599999999999999E-2</v>
      </c>
      <c r="H241" s="1373">
        <v>1.8E-3</v>
      </c>
      <c r="I241" s="1373">
        <f t="shared" si="3"/>
        <v>9.7999999999999997E-3</v>
      </c>
      <c r="J241" s="1371">
        <v>16772</v>
      </c>
    </row>
    <row r="242" spans="2:10" x14ac:dyDescent="0.45">
      <c r="B242" s="1371">
        <v>16803</v>
      </c>
      <c r="C242" s="1370" t="s">
        <v>7139</v>
      </c>
      <c r="F242" s="1372">
        <v>7.1400000000000005E-2</v>
      </c>
      <c r="H242" s="1373">
        <v>1.6999999999999999E-3</v>
      </c>
      <c r="I242" s="1373">
        <f t="shared" si="3"/>
        <v>6.9700000000000012E-2</v>
      </c>
      <c r="J242" s="1371">
        <v>16803</v>
      </c>
    </row>
    <row r="243" spans="2:10" x14ac:dyDescent="0.45">
      <c r="B243" s="1371">
        <v>16834</v>
      </c>
      <c r="C243" s="1370" t="s">
        <v>7139</v>
      </c>
      <c r="F243" s="1372">
        <v>-6.4100000000000004E-2</v>
      </c>
      <c r="H243" s="1373">
        <v>1.5E-3</v>
      </c>
      <c r="I243" s="1373">
        <f t="shared" si="3"/>
        <v>-6.5600000000000006E-2</v>
      </c>
      <c r="J243" s="1371">
        <v>16834</v>
      </c>
    </row>
    <row r="244" spans="2:10" x14ac:dyDescent="0.45">
      <c r="B244" s="1371">
        <v>16862</v>
      </c>
      <c r="C244" s="1370" t="s">
        <v>7139</v>
      </c>
      <c r="F244" s="1372">
        <v>4.8000000000000001E-2</v>
      </c>
      <c r="H244" s="1373">
        <v>1.6000000000000001E-3</v>
      </c>
      <c r="I244" s="1373">
        <f t="shared" si="3"/>
        <v>4.6400000000000004E-2</v>
      </c>
      <c r="J244" s="1371">
        <v>16862</v>
      </c>
    </row>
    <row r="245" spans="2:10" x14ac:dyDescent="0.45">
      <c r="B245" s="1371">
        <v>16893</v>
      </c>
      <c r="C245" s="1370" t="s">
        <v>7139</v>
      </c>
      <c r="F245" s="1372">
        <v>3.9300000000000002E-2</v>
      </c>
      <c r="H245" s="1373">
        <v>1.6999999999999999E-3</v>
      </c>
      <c r="I245" s="1373">
        <f t="shared" si="3"/>
        <v>3.7600000000000001E-2</v>
      </c>
      <c r="J245" s="1371">
        <v>16893</v>
      </c>
    </row>
    <row r="246" spans="2:10" x14ac:dyDescent="0.45">
      <c r="B246" s="1371">
        <v>16923</v>
      </c>
      <c r="C246" s="1370" t="s">
        <v>7139</v>
      </c>
      <c r="F246" s="1372">
        <v>2.8799999999999999E-2</v>
      </c>
      <c r="H246" s="1373">
        <v>1.8E-3</v>
      </c>
      <c r="I246" s="1373">
        <f t="shared" si="3"/>
        <v>2.7E-2</v>
      </c>
      <c r="J246" s="1371">
        <v>16923</v>
      </c>
    </row>
    <row r="247" spans="2:10" x14ac:dyDescent="0.45">
      <c r="B247" s="1371">
        <v>16954</v>
      </c>
      <c r="C247" s="1370" t="s">
        <v>7139</v>
      </c>
      <c r="F247" s="1372">
        <v>-3.6999999999999998E-2</v>
      </c>
      <c r="H247" s="1373">
        <v>1.6000000000000001E-3</v>
      </c>
      <c r="I247" s="1373">
        <f t="shared" si="3"/>
        <v>-3.8599999999999995E-2</v>
      </c>
      <c r="J247" s="1371">
        <v>16954</v>
      </c>
    </row>
    <row r="248" spans="2:10" x14ac:dyDescent="0.45">
      <c r="B248" s="1371">
        <v>16984</v>
      </c>
      <c r="C248" s="1370" t="s">
        <v>7139</v>
      </c>
      <c r="F248" s="1372">
        <v>-2.3900000000000001E-2</v>
      </c>
      <c r="H248" s="1373">
        <v>1.9E-3</v>
      </c>
      <c r="I248" s="1373">
        <f t="shared" si="3"/>
        <v>-2.58E-2</v>
      </c>
      <c r="J248" s="1371">
        <v>16984</v>
      </c>
    </row>
    <row r="249" spans="2:10" x14ac:dyDescent="0.45">
      <c r="B249" s="1371">
        <v>17015</v>
      </c>
      <c r="C249" s="1370" t="s">
        <v>7139</v>
      </c>
      <c r="F249" s="1372">
        <v>-6.7400000000000002E-2</v>
      </c>
      <c r="H249" s="1373">
        <v>1.6999999999999999E-3</v>
      </c>
      <c r="I249" s="1373">
        <f t="shared" si="3"/>
        <v>-6.9099999999999995E-2</v>
      </c>
      <c r="J249" s="1371">
        <v>17015</v>
      </c>
    </row>
    <row r="250" spans="2:10" x14ac:dyDescent="0.45">
      <c r="B250" s="1371">
        <v>17046</v>
      </c>
      <c r="C250" s="1370" t="s">
        <v>7139</v>
      </c>
      <c r="F250" s="1372">
        <v>-9.9699999999999997E-2</v>
      </c>
      <c r="H250" s="1373">
        <v>1.8E-3</v>
      </c>
      <c r="I250" s="1373">
        <f t="shared" si="3"/>
        <v>-0.10149999999999999</v>
      </c>
      <c r="J250" s="1371">
        <v>17046</v>
      </c>
    </row>
    <row r="251" spans="2:10" x14ac:dyDescent="0.45">
      <c r="B251" s="1371">
        <v>17076</v>
      </c>
      <c r="C251" s="1370" t="s">
        <v>7139</v>
      </c>
      <c r="F251" s="1372">
        <v>-6.0000000000000001E-3</v>
      </c>
      <c r="H251" s="1373">
        <v>1.9E-3</v>
      </c>
      <c r="I251" s="1373">
        <f t="shared" si="3"/>
        <v>-7.9000000000000008E-3</v>
      </c>
      <c r="J251" s="1371">
        <v>17076</v>
      </c>
    </row>
    <row r="252" spans="2:10" x14ac:dyDescent="0.45">
      <c r="B252" s="1371">
        <v>17107</v>
      </c>
      <c r="C252" s="1370" t="s">
        <v>7139</v>
      </c>
      <c r="F252" s="1372">
        <v>-2.7000000000000001E-3</v>
      </c>
      <c r="H252" s="1373">
        <v>1.8E-3</v>
      </c>
      <c r="I252" s="1373">
        <f t="shared" si="3"/>
        <v>-4.5000000000000005E-3</v>
      </c>
      <c r="J252" s="1371">
        <v>17107</v>
      </c>
    </row>
    <row r="253" spans="2:10" x14ac:dyDescent="0.45">
      <c r="B253" s="1371">
        <v>17137</v>
      </c>
      <c r="C253" s="1370" t="s">
        <v>7139</v>
      </c>
      <c r="F253" s="1372">
        <v>4.5699999999999998E-2</v>
      </c>
      <c r="H253" s="1373">
        <v>1.9E-3</v>
      </c>
      <c r="I253" s="1373">
        <f t="shared" si="3"/>
        <v>4.3799999999999999E-2</v>
      </c>
      <c r="J253" s="1371">
        <v>17137</v>
      </c>
    </row>
    <row r="254" spans="2:10" x14ac:dyDescent="0.45">
      <c r="B254" s="1371">
        <v>17168</v>
      </c>
      <c r="C254" s="1370" t="s">
        <v>7139</v>
      </c>
      <c r="F254" s="1372">
        <v>2.5499999999999998E-2</v>
      </c>
      <c r="H254" s="1373">
        <v>1.8E-3</v>
      </c>
      <c r="I254" s="1373">
        <f t="shared" si="3"/>
        <v>2.3699999999999999E-2</v>
      </c>
      <c r="J254" s="1371">
        <v>17168</v>
      </c>
    </row>
    <row r="255" spans="2:10" x14ac:dyDescent="0.45">
      <c r="B255" s="1371">
        <v>17199</v>
      </c>
      <c r="C255" s="1370" t="s">
        <v>7139</v>
      </c>
      <c r="F255" s="1372">
        <v>-7.7000000000000002E-3</v>
      </c>
      <c r="H255" s="1373">
        <v>1.6000000000000001E-3</v>
      </c>
      <c r="I255" s="1373">
        <f t="shared" si="3"/>
        <v>-9.300000000000001E-3</v>
      </c>
      <c r="J255" s="1371">
        <v>17199</v>
      </c>
    </row>
    <row r="256" spans="2:10" x14ac:dyDescent="0.45">
      <c r="B256" s="1371">
        <v>17227</v>
      </c>
      <c r="C256" s="1370" t="s">
        <v>7139</v>
      </c>
      <c r="F256" s="1372">
        <v>-1.49E-2</v>
      </c>
      <c r="H256" s="1373">
        <v>1.8E-3</v>
      </c>
      <c r="I256" s="1373">
        <f t="shared" si="3"/>
        <v>-1.67E-2</v>
      </c>
      <c r="J256" s="1371">
        <v>17227</v>
      </c>
    </row>
    <row r="257" spans="2:10" x14ac:dyDescent="0.45">
      <c r="B257" s="1371">
        <v>17258</v>
      </c>
      <c r="C257" s="1370" t="s">
        <v>7139</v>
      </c>
      <c r="F257" s="1372">
        <v>-3.6299999999999999E-2</v>
      </c>
      <c r="H257" s="1373">
        <v>1.6999999999999999E-3</v>
      </c>
      <c r="I257" s="1373">
        <f t="shared" si="3"/>
        <v>-3.7999999999999999E-2</v>
      </c>
      <c r="J257" s="1371">
        <v>17258</v>
      </c>
    </row>
    <row r="258" spans="2:10" x14ac:dyDescent="0.45">
      <c r="B258" s="1371">
        <v>17288</v>
      </c>
      <c r="C258" s="1370" t="s">
        <v>7139</v>
      </c>
      <c r="F258" s="1372">
        <v>1.4E-3</v>
      </c>
      <c r="H258" s="1373">
        <v>1.6999999999999999E-3</v>
      </c>
      <c r="I258" s="1373">
        <f t="shared" ref="I258:I321" si="4">F258-H258</f>
        <v>-2.9999999999999992E-4</v>
      </c>
      <c r="J258" s="1371">
        <v>17288</v>
      </c>
    </row>
    <row r="259" spans="2:10" x14ac:dyDescent="0.45">
      <c r="B259" s="1371">
        <v>17319</v>
      </c>
      <c r="C259" s="1370" t="s">
        <v>7139</v>
      </c>
      <c r="F259" s="1372">
        <v>5.5399999999999998E-2</v>
      </c>
      <c r="H259" s="1373">
        <v>1.9E-3</v>
      </c>
      <c r="I259" s="1373">
        <f t="shared" si="4"/>
        <v>5.3499999999999999E-2</v>
      </c>
      <c r="J259" s="1371">
        <v>17319</v>
      </c>
    </row>
    <row r="260" spans="2:10" x14ac:dyDescent="0.45">
      <c r="B260" s="1371">
        <v>17349</v>
      </c>
      <c r="C260" s="1370" t="s">
        <v>7139</v>
      </c>
      <c r="F260" s="1372">
        <v>3.8100000000000002E-2</v>
      </c>
      <c r="H260" s="1373">
        <v>1.8E-3</v>
      </c>
      <c r="I260" s="1373">
        <f t="shared" si="4"/>
        <v>3.6299999999999999E-2</v>
      </c>
      <c r="J260" s="1371">
        <v>17349</v>
      </c>
    </row>
    <row r="261" spans="2:10" x14ac:dyDescent="0.45">
      <c r="B261" s="1371">
        <v>17380</v>
      </c>
      <c r="C261" s="1370" t="s">
        <v>7139</v>
      </c>
      <c r="F261" s="1372">
        <v>-2.0299999999999999E-2</v>
      </c>
      <c r="H261" s="1373">
        <v>1.6999999999999999E-3</v>
      </c>
      <c r="I261" s="1373">
        <f t="shared" si="4"/>
        <v>-2.1999999999999999E-2</v>
      </c>
      <c r="J261" s="1371">
        <v>17380</v>
      </c>
    </row>
    <row r="262" spans="2:10" x14ac:dyDescent="0.45">
      <c r="B262" s="1371">
        <v>17411</v>
      </c>
      <c r="C262" s="1370" t="s">
        <v>7139</v>
      </c>
      <c r="F262" s="1372">
        <v>-1.11E-2</v>
      </c>
      <c r="H262" s="1373">
        <v>1.8E-3</v>
      </c>
      <c r="I262" s="1373">
        <f t="shared" si="4"/>
        <v>-1.29E-2</v>
      </c>
      <c r="J262" s="1371">
        <v>17411</v>
      </c>
    </row>
    <row r="263" spans="2:10" x14ac:dyDescent="0.45">
      <c r="B263" s="1371">
        <v>17441</v>
      </c>
      <c r="C263" s="1370" t="s">
        <v>7139</v>
      </c>
      <c r="F263" s="1372">
        <v>2.3800000000000002E-2</v>
      </c>
      <c r="H263" s="1373">
        <v>1.8E-3</v>
      </c>
      <c r="I263" s="1373">
        <f t="shared" si="4"/>
        <v>2.2000000000000002E-2</v>
      </c>
      <c r="J263" s="1371">
        <v>17441</v>
      </c>
    </row>
    <row r="264" spans="2:10" x14ac:dyDescent="0.45">
      <c r="B264" s="1371">
        <v>17472</v>
      </c>
      <c r="C264" s="1370" t="s">
        <v>7139</v>
      </c>
      <c r="F264" s="1372">
        <v>-1.7500000000000002E-2</v>
      </c>
      <c r="H264" s="1373">
        <v>1.6999999999999999E-3</v>
      </c>
      <c r="I264" s="1373">
        <f t="shared" si="4"/>
        <v>-1.9200000000000002E-2</v>
      </c>
      <c r="J264" s="1371">
        <v>17472</v>
      </c>
    </row>
    <row r="265" spans="2:10" x14ac:dyDescent="0.45">
      <c r="B265" s="1371">
        <v>17502</v>
      </c>
      <c r="C265" s="1370" t="s">
        <v>7139</v>
      </c>
      <c r="F265" s="1372">
        <v>2.3300000000000001E-2</v>
      </c>
      <c r="H265" s="1373">
        <v>2.0999999999999999E-3</v>
      </c>
      <c r="I265" s="1373">
        <f t="shared" si="4"/>
        <v>2.12E-2</v>
      </c>
      <c r="J265" s="1371">
        <v>17502</v>
      </c>
    </row>
    <row r="266" spans="2:10" x14ac:dyDescent="0.45">
      <c r="B266" s="1371">
        <v>17533</v>
      </c>
      <c r="C266" s="1370" t="s">
        <v>7139</v>
      </c>
      <c r="F266" s="1372">
        <v>-3.7900000000000003E-2</v>
      </c>
      <c r="H266" s="1373">
        <v>2E-3</v>
      </c>
      <c r="I266" s="1373">
        <f t="shared" si="4"/>
        <v>-3.9900000000000005E-2</v>
      </c>
      <c r="J266" s="1371">
        <v>17533</v>
      </c>
    </row>
    <row r="267" spans="2:10" x14ac:dyDescent="0.45">
      <c r="B267" s="1371">
        <v>17564</v>
      </c>
      <c r="C267" s="1370" t="s">
        <v>7139</v>
      </c>
      <c r="F267" s="1372">
        <v>-3.8800000000000001E-2</v>
      </c>
      <c r="H267" s="1373">
        <v>1.9E-3</v>
      </c>
      <c r="I267" s="1373">
        <f t="shared" si="4"/>
        <v>-4.07E-2</v>
      </c>
      <c r="J267" s="1371">
        <v>17564</v>
      </c>
    </row>
    <row r="268" spans="2:10" x14ac:dyDescent="0.45">
      <c r="B268" s="1371">
        <v>17593</v>
      </c>
      <c r="C268" s="1370" t="s">
        <v>7139</v>
      </c>
      <c r="F268" s="1372">
        <v>7.9299999999999995E-2</v>
      </c>
      <c r="H268" s="1373">
        <v>2.2000000000000001E-3</v>
      </c>
      <c r="I268" s="1373">
        <f t="shared" si="4"/>
        <v>7.7100000000000002E-2</v>
      </c>
      <c r="J268" s="1371">
        <v>17593</v>
      </c>
    </row>
    <row r="269" spans="2:10" x14ac:dyDescent="0.45">
      <c r="B269" s="1371">
        <v>17624</v>
      </c>
      <c r="C269" s="1370" t="s">
        <v>7139</v>
      </c>
      <c r="F269" s="1372">
        <v>2.92E-2</v>
      </c>
      <c r="H269" s="1373">
        <v>2E-3</v>
      </c>
      <c r="I269" s="1373">
        <f t="shared" si="4"/>
        <v>2.7200000000000002E-2</v>
      </c>
      <c r="J269" s="1371">
        <v>17624</v>
      </c>
    </row>
    <row r="270" spans="2:10" x14ac:dyDescent="0.45">
      <c r="B270" s="1371">
        <v>17654</v>
      </c>
      <c r="C270" s="1370" t="s">
        <v>7139</v>
      </c>
      <c r="F270" s="1372">
        <v>8.7900000000000006E-2</v>
      </c>
      <c r="H270" s="1373">
        <v>1.8E-3</v>
      </c>
      <c r="I270" s="1373">
        <f t="shared" si="4"/>
        <v>8.610000000000001E-2</v>
      </c>
      <c r="J270" s="1371">
        <v>17654</v>
      </c>
    </row>
    <row r="271" spans="2:10" x14ac:dyDescent="0.45">
      <c r="B271" s="1371">
        <v>17685</v>
      </c>
      <c r="C271" s="1370" t="s">
        <v>7139</v>
      </c>
      <c r="F271" s="1372">
        <v>5.4000000000000003E-3</v>
      </c>
      <c r="H271" s="1373">
        <v>2.0999999999999999E-3</v>
      </c>
      <c r="I271" s="1373">
        <f t="shared" si="4"/>
        <v>3.3000000000000004E-3</v>
      </c>
      <c r="J271" s="1371">
        <v>17685</v>
      </c>
    </row>
    <row r="272" spans="2:10" x14ac:dyDescent="0.45">
      <c r="B272" s="1371">
        <v>17715</v>
      </c>
      <c r="C272" s="1370" t="s">
        <v>7139</v>
      </c>
      <c r="F272" s="1372">
        <v>-5.0799999999999998E-2</v>
      </c>
      <c r="H272" s="1373">
        <v>1.9E-3</v>
      </c>
      <c r="I272" s="1373">
        <f t="shared" si="4"/>
        <v>-5.2699999999999997E-2</v>
      </c>
      <c r="J272" s="1371">
        <v>17715</v>
      </c>
    </row>
    <row r="273" spans="2:10" x14ac:dyDescent="0.45">
      <c r="B273" s="1371">
        <v>17746</v>
      </c>
      <c r="C273" s="1370" t="s">
        <v>7139</v>
      </c>
      <c r="F273" s="1372">
        <v>1.5800000000000002E-2</v>
      </c>
      <c r="H273" s="1373">
        <v>2.0999999999999999E-3</v>
      </c>
      <c r="I273" s="1373">
        <f t="shared" si="4"/>
        <v>1.3700000000000002E-2</v>
      </c>
      <c r="J273" s="1371">
        <v>17746</v>
      </c>
    </row>
    <row r="274" spans="2:10" x14ac:dyDescent="0.45">
      <c r="B274" s="1371">
        <v>17777</v>
      </c>
      <c r="C274" s="1370" t="s">
        <v>7139</v>
      </c>
      <c r="F274" s="1372">
        <v>-2.76E-2</v>
      </c>
      <c r="H274" s="1373">
        <v>2E-3</v>
      </c>
      <c r="I274" s="1373">
        <f t="shared" si="4"/>
        <v>-2.9600000000000001E-2</v>
      </c>
      <c r="J274" s="1371">
        <v>17777</v>
      </c>
    </row>
    <row r="275" spans="2:10" x14ac:dyDescent="0.45">
      <c r="B275" s="1371">
        <v>17807</v>
      </c>
      <c r="C275" s="1370" t="s">
        <v>7139</v>
      </c>
      <c r="F275" s="1372">
        <v>7.0999999999999994E-2</v>
      </c>
      <c r="H275" s="1373">
        <v>1.9E-3</v>
      </c>
      <c r="I275" s="1373">
        <f t="shared" si="4"/>
        <v>6.9099999999999995E-2</v>
      </c>
      <c r="J275" s="1371">
        <v>17807</v>
      </c>
    </row>
    <row r="276" spans="2:10" x14ac:dyDescent="0.45">
      <c r="B276" s="1371">
        <v>17838</v>
      </c>
      <c r="C276" s="1370" t="s">
        <v>7139</v>
      </c>
      <c r="F276" s="1372">
        <v>-9.6100000000000005E-2</v>
      </c>
      <c r="H276" s="1373">
        <v>2.0999999999999999E-3</v>
      </c>
      <c r="I276" s="1373">
        <f t="shared" si="4"/>
        <v>-9.820000000000001E-2</v>
      </c>
      <c r="J276" s="1371">
        <v>17838</v>
      </c>
    </row>
    <row r="277" spans="2:10" x14ac:dyDescent="0.45">
      <c r="B277" s="1371">
        <v>17868</v>
      </c>
      <c r="C277" s="1370" t="s">
        <v>7139</v>
      </c>
      <c r="F277" s="1372">
        <v>3.4599999999999999E-2</v>
      </c>
      <c r="H277" s="1373">
        <v>2E-3</v>
      </c>
      <c r="I277" s="1373">
        <f t="shared" si="4"/>
        <v>3.2599999999999997E-2</v>
      </c>
      <c r="J277" s="1371">
        <v>17868</v>
      </c>
    </row>
    <row r="278" spans="2:10" x14ac:dyDescent="0.45">
      <c r="B278" s="1371">
        <v>17899</v>
      </c>
      <c r="C278" s="1370" t="s">
        <v>7139</v>
      </c>
      <c r="F278" s="1372">
        <v>3.8999999999999998E-3</v>
      </c>
      <c r="H278" s="1373">
        <v>2E-3</v>
      </c>
      <c r="I278" s="1373">
        <f t="shared" si="4"/>
        <v>1.8999999999999998E-3</v>
      </c>
      <c r="J278" s="1371">
        <v>17899</v>
      </c>
    </row>
    <row r="279" spans="2:10" x14ac:dyDescent="0.45">
      <c r="B279" s="1371">
        <v>17930</v>
      </c>
      <c r="C279" s="1370" t="s">
        <v>7139</v>
      </c>
      <c r="F279" s="1372">
        <v>-2.9600000000000001E-2</v>
      </c>
      <c r="H279" s="1373">
        <v>1.8E-3</v>
      </c>
      <c r="I279" s="1373">
        <f t="shared" si="4"/>
        <v>-3.1400000000000004E-2</v>
      </c>
      <c r="J279" s="1371">
        <v>17930</v>
      </c>
    </row>
    <row r="280" spans="2:10" x14ac:dyDescent="0.45">
      <c r="B280" s="1371">
        <v>17958</v>
      </c>
      <c r="C280" s="1370" t="s">
        <v>7139</v>
      </c>
      <c r="F280" s="1372">
        <v>3.2800000000000003E-2</v>
      </c>
      <c r="H280" s="1373">
        <v>1.9E-3</v>
      </c>
      <c r="I280" s="1373">
        <f t="shared" si="4"/>
        <v>3.0900000000000004E-2</v>
      </c>
      <c r="J280" s="1371">
        <v>17958</v>
      </c>
    </row>
    <row r="281" spans="2:10" x14ac:dyDescent="0.45">
      <c r="B281" s="1371">
        <v>17989</v>
      </c>
      <c r="C281" s="1370" t="s">
        <v>7139</v>
      </c>
      <c r="F281" s="1372">
        <v>-1.7899999999999999E-2</v>
      </c>
      <c r="H281" s="1373">
        <v>1.8E-3</v>
      </c>
      <c r="I281" s="1373">
        <f t="shared" si="4"/>
        <v>-1.9699999999999999E-2</v>
      </c>
      <c r="J281" s="1371">
        <v>17989</v>
      </c>
    </row>
    <row r="282" spans="2:10" x14ac:dyDescent="0.45">
      <c r="B282" s="1371">
        <v>18019</v>
      </c>
      <c r="C282" s="1370" t="s">
        <v>7139</v>
      </c>
      <c r="F282" s="1372">
        <v>-2.58E-2</v>
      </c>
      <c r="H282" s="1373">
        <v>2E-3</v>
      </c>
      <c r="I282" s="1373">
        <f t="shared" si="4"/>
        <v>-2.7799999999999998E-2</v>
      </c>
      <c r="J282" s="1371">
        <v>18019</v>
      </c>
    </row>
    <row r="283" spans="2:10" x14ac:dyDescent="0.45">
      <c r="B283" s="1371">
        <v>18050</v>
      </c>
      <c r="C283" s="1370" t="s">
        <v>7139</v>
      </c>
      <c r="F283" s="1372">
        <v>1.4E-3</v>
      </c>
      <c r="H283" s="1373">
        <v>1.9E-3</v>
      </c>
      <c r="I283" s="1373">
        <f t="shared" si="4"/>
        <v>-5.0000000000000001E-4</v>
      </c>
      <c r="J283" s="1371">
        <v>18050</v>
      </c>
    </row>
    <row r="284" spans="2:10" x14ac:dyDescent="0.45">
      <c r="B284" s="1371">
        <v>18080</v>
      </c>
      <c r="C284" s="1370" t="s">
        <v>7139</v>
      </c>
      <c r="F284" s="1372">
        <v>6.5000000000000002E-2</v>
      </c>
      <c r="H284" s="1373">
        <v>1.6999999999999999E-3</v>
      </c>
      <c r="I284" s="1373">
        <f t="shared" si="4"/>
        <v>6.3300000000000009E-2</v>
      </c>
      <c r="J284" s="1371">
        <v>18080</v>
      </c>
    </row>
    <row r="285" spans="2:10" x14ac:dyDescent="0.45">
      <c r="B285" s="1371">
        <v>18111</v>
      </c>
      <c r="C285" s="1370" t="s">
        <v>7139</v>
      </c>
      <c r="F285" s="1372">
        <v>2.1899999999999999E-2</v>
      </c>
      <c r="H285" s="1373">
        <v>1.9E-3</v>
      </c>
      <c r="I285" s="1373">
        <f t="shared" si="4"/>
        <v>0.02</v>
      </c>
      <c r="J285" s="1371">
        <v>18111</v>
      </c>
    </row>
    <row r="286" spans="2:10" x14ac:dyDescent="0.45">
      <c r="B286" s="1371">
        <v>18142</v>
      </c>
      <c r="C286" s="1370" t="s">
        <v>7139</v>
      </c>
      <c r="F286" s="1372">
        <v>2.63E-2</v>
      </c>
      <c r="H286" s="1373">
        <v>1.6999999999999999E-3</v>
      </c>
      <c r="I286" s="1373">
        <f t="shared" si="4"/>
        <v>2.46E-2</v>
      </c>
      <c r="J286" s="1371">
        <v>18142</v>
      </c>
    </row>
    <row r="287" spans="2:10" x14ac:dyDescent="0.45">
      <c r="B287" s="1371">
        <v>18172</v>
      </c>
      <c r="C287" s="1370" t="s">
        <v>7139</v>
      </c>
      <c r="F287" s="1372">
        <v>3.4000000000000002E-2</v>
      </c>
      <c r="H287" s="1373">
        <v>1.8E-3</v>
      </c>
      <c r="I287" s="1373">
        <f t="shared" si="4"/>
        <v>3.2199999999999999E-2</v>
      </c>
      <c r="J287" s="1371">
        <v>18172</v>
      </c>
    </row>
    <row r="288" spans="2:10" x14ac:dyDescent="0.45">
      <c r="B288" s="1371">
        <v>18203</v>
      </c>
      <c r="C288" s="1370" t="s">
        <v>7139</v>
      </c>
      <c r="F288" s="1372">
        <v>1.7500000000000002E-2</v>
      </c>
      <c r="H288" s="1373">
        <v>1.6999999999999999E-3</v>
      </c>
      <c r="I288" s="1373">
        <f t="shared" si="4"/>
        <v>1.5800000000000002E-2</v>
      </c>
      <c r="J288" s="1371">
        <v>18203</v>
      </c>
    </row>
    <row r="289" spans="2:10" x14ac:dyDescent="0.45">
      <c r="B289" s="1371">
        <v>18233</v>
      </c>
      <c r="C289" s="1370" t="s">
        <v>7139</v>
      </c>
      <c r="F289" s="1372">
        <v>4.8599999999999997E-2</v>
      </c>
      <c r="H289" s="1373">
        <v>1.6999999999999999E-3</v>
      </c>
      <c r="I289" s="1373">
        <f t="shared" si="4"/>
        <v>4.6899999999999997E-2</v>
      </c>
      <c r="J289" s="1371">
        <v>18233</v>
      </c>
    </row>
    <row r="290" spans="2:10" x14ac:dyDescent="0.45">
      <c r="B290" s="1371">
        <v>18264</v>
      </c>
      <c r="C290" s="1370" t="s">
        <v>7139</v>
      </c>
      <c r="F290" s="1372">
        <v>1.9699999999999999E-2</v>
      </c>
      <c r="H290" s="1373">
        <v>1.8E-3</v>
      </c>
      <c r="I290" s="1373">
        <f t="shared" si="4"/>
        <v>1.7899999999999999E-2</v>
      </c>
      <c r="J290" s="1371">
        <v>18264</v>
      </c>
    </row>
    <row r="291" spans="2:10" x14ac:dyDescent="0.45">
      <c r="B291" s="1371">
        <v>18295</v>
      </c>
      <c r="C291" s="1370" t="s">
        <v>7139</v>
      </c>
      <c r="F291" s="1372">
        <v>1.9900000000000001E-2</v>
      </c>
      <c r="H291" s="1373">
        <v>1.6000000000000001E-3</v>
      </c>
      <c r="I291" s="1373">
        <f t="shared" si="4"/>
        <v>1.83E-2</v>
      </c>
      <c r="J291" s="1371">
        <v>18295</v>
      </c>
    </row>
    <row r="292" spans="2:10" x14ac:dyDescent="0.45">
      <c r="B292" s="1371">
        <v>18323</v>
      </c>
      <c r="C292" s="1370" t="s">
        <v>7139</v>
      </c>
      <c r="F292" s="1372">
        <v>7.0000000000000001E-3</v>
      </c>
      <c r="H292" s="1373">
        <v>1.8E-3</v>
      </c>
      <c r="I292" s="1373">
        <f t="shared" si="4"/>
        <v>5.1999999999999998E-3</v>
      </c>
      <c r="J292" s="1371">
        <v>18323</v>
      </c>
    </row>
    <row r="293" spans="2:10" x14ac:dyDescent="0.45">
      <c r="B293" s="1371">
        <v>18354</v>
      </c>
      <c r="C293" s="1370" t="s">
        <v>7139</v>
      </c>
      <c r="F293" s="1372">
        <v>4.8599999999999997E-2</v>
      </c>
      <c r="H293" s="1373">
        <v>1.6000000000000001E-3</v>
      </c>
      <c r="I293" s="1373">
        <f t="shared" si="4"/>
        <v>4.7E-2</v>
      </c>
      <c r="J293" s="1371">
        <v>18354</v>
      </c>
    </row>
    <row r="294" spans="2:10" x14ac:dyDescent="0.45">
      <c r="B294" s="1371">
        <v>18384</v>
      </c>
      <c r="C294" s="1370" t="s">
        <v>7139</v>
      </c>
      <c r="F294" s="1372">
        <v>5.0900000000000001E-2</v>
      </c>
      <c r="H294" s="1373">
        <v>1.9E-3</v>
      </c>
      <c r="I294" s="1373">
        <f t="shared" si="4"/>
        <v>4.9000000000000002E-2</v>
      </c>
      <c r="J294" s="1371">
        <v>18384</v>
      </c>
    </row>
    <row r="295" spans="2:10" x14ac:dyDescent="0.45">
      <c r="B295" s="1371">
        <v>18415</v>
      </c>
      <c r="C295" s="1370" t="s">
        <v>7139</v>
      </c>
      <c r="F295" s="1372">
        <v>-5.4800000000000001E-2</v>
      </c>
      <c r="H295" s="1373">
        <v>1.6999999999999999E-3</v>
      </c>
      <c r="I295" s="1373">
        <f t="shared" si="4"/>
        <v>-5.6500000000000002E-2</v>
      </c>
      <c r="J295" s="1371">
        <v>18415</v>
      </c>
    </row>
    <row r="296" spans="2:10" x14ac:dyDescent="0.45">
      <c r="B296" s="1371">
        <v>18445</v>
      </c>
      <c r="C296" s="1370" t="s">
        <v>7139</v>
      </c>
      <c r="F296" s="1372">
        <v>1.1900000000000001E-2</v>
      </c>
      <c r="H296" s="1373">
        <v>1.8E-3</v>
      </c>
      <c r="I296" s="1373">
        <f t="shared" si="4"/>
        <v>1.0100000000000001E-2</v>
      </c>
      <c r="J296" s="1371">
        <v>18445</v>
      </c>
    </row>
    <row r="297" spans="2:10" x14ac:dyDescent="0.45">
      <c r="B297" s="1371">
        <v>18476</v>
      </c>
      <c r="C297" s="1370" t="s">
        <v>7139</v>
      </c>
      <c r="F297" s="1372">
        <v>4.4299999999999999E-2</v>
      </c>
      <c r="H297" s="1373">
        <v>1.8E-3</v>
      </c>
      <c r="I297" s="1373">
        <f t="shared" si="4"/>
        <v>4.2499999999999996E-2</v>
      </c>
      <c r="J297" s="1371">
        <v>18476</v>
      </c>
    </row>
    <row r="298" spans="2:10" x14ac:dyDescent="0.45">
      <c r="B298" s="1371">
        <v>18507</v>
      </c>
      <c r="C298" s="1370" t="s">
        <v>7139</v>
      </c>
      <c r="F298" s="1372">
        <v>5.9200000000000003E-2</v>
      </c>
      <c r="H298" s="1373">
        <v>1.6999999999999999E-3</v>
      </c>
      <c r="I298" s="1373">
        <f t="shared" si="4"/>
        <v>5.7500000000000002E-2</v>
      </c>
      <c r="J298" s="1371">
        <v>18507</v>
      </c>
    </row>
    <row r="299" spans="2:10" x14ac:dyDescent="0.45">
      <c r="B299" s="1371">
        <v>18537</v>
      </c>
      <c r="C299" s="1370" t="s">
        <v>7139</v>
      </c>
      <c r="F299" s="1372">
        <v>9.2999999999999992E-3</v>
      </c>
      <c r="H299" s="1373">
        <v>1.9E-3</v>
      </c>
      <c r="I299" s="1373">
        <f t="shared" si="4"/>
        <v>7.3999999999999995E-3</v>
      </c>
      <c r="J299" s="1371">
        <v>18537</v>
      </c>
    </row>
    <row r="300" spans="2:10" x14ac:dyDescent="0.45">
      <c r="B300" s="1371">
        <v>18568</v>
      </c>
      <c r="C300" s="1370" t="s">
        <v>7139</v>
      </c>
      <c r="F300" s="1372">
        <v>1.6899999999999998E-2</v>
      </c>
      <c r="H300" s="1373">
        <v>1.8E-3</v>
      </c>
      <c r="I300" s="1373">
        <f t="shared" si="4"/>
        <v>1.5099999999999999E-2</v>
      </c>
      <c r="J300" s="1371">
        <v>18568</v>
      </c>
    </row>
    <row r="301" spans="2:10" x14ac:dyDescent="0.45">
      <c r="B301" s="1371">
        <v>18598</v>
      </c>
      <c r="C301" s="1370" t="s">
        <v>7139</v>
      </c>
      <c r="F301" s="1372">
        <v>5.1299999999999998E-2</v>
      </c>
      <c r="H301" s="1373">
        <v>1.8E-3</v>
      </c>
      <c r="I301" s="1373">
        <f t="shared" si="4"/>
        <v>4.9499999999999995E-2</v>
      </c>
      <c r="J301" s="1371">
        <v>18598</v>
      </c>
    </row>
    <row r="302" spans="2:10" x14ac:dyDescent="0.45">
      <c r="B302" s="1371">
        <v>18629</v>
      </c>
      <c r="C302" s="1370" t="s">
        <v>7139</v>
      </c>
      <c r="F302" s="1372">
        <v>6.3700000000000007E-2</v>
      </c>
      <c r="H302" s="1373">
        <v>2E-3</v>
      </c>
      <c r="I302" s="1373">
        <f t="shared" si="4"/>
        <v>6.1700000000000005E-2</v>
      </c>
      <c r="J302" s="1371">
        <v>18629</v>
      </c>
    </row>
    <row r="303" spans="2:10" x14ac:dyDescent="0.45">
      <c r="B303" s="1371">
        <v>18660</v>
      </c>
      <c r="C303" s="1370" t="s">
        <v>7139</v>
      </c>
      <c r="F303" s="1372">
        <v>1.5699999999999999E-2</v>
      </c>
      <c r="H303" s="1373">
        <v>1.6999999999999999E-3</v>
      </c>
      <c r="I303" s="1373">
        <f t="shared" si="4"/>
        <v>1.3999999999999999E-2</v>
      </c>
      <c r="J303" s="1371">
        <v>18660</v>
      </c>
    </row>
    <row r="304" spans="2:10" x14ac:dyDescent="0.45">
      <c r="B304" s="1371">
        <v>18688</v>
      </c>
      <c r="C304" s="1370" t="s">
        <v>7139</v>
      </c>
      <c r="F304" s="1372">
        <v>-1.5599999999999999E-2</v>
      </c>
      <c r="H304" s="1373">
        <v>1.9E-3</v>
      </c>
      <c r="I304" s="1373">
        <f t="shared" si="4"/>
        <v>-1.7499999999999998E-2</v>
      </c>
      <c r="J304" s="1371">
        <v>18688</v>
      </c>
    </row>
    <row r="305" spans="2:10" x14ac:dyDescent="0.45">
      <c r="B305" s="1371">
        <v>18719</v>
      </c>
      <c r="C305" s="1370" t="s">
        <v>7139</v>
      </c>
      <c r="F305" s="1372">
        <v>5.0900000000000001E-2</v>
      </c>
      <c r="H305" s="1373">
        <v>2E-3</v>
      </c>
      <c r="I305" s="1373">
        <f t="shared" si="4"/>
        <v>4.8899999999999999E-2</v>
      </c>
      <c r="J305" s="1371">
        <v>18719</v>
      </c>
    </row>
    <row r="306" spans="2:10" x14ac:dyDescent="0.45">
      <c r="B306" s="1371">
        <v>18749</v>
      </c>
      <c r="C306" s="1370" t="s">
        <v>7139</v>
      </c>
      <c r="F306" s="1372">
        <v>-2.9899999999999999E-2</v>
      </c>
      <c r="H306" s="1373">
        <v>2.0999999999999999E-3</v>
      </c>
      <c r="I306" s="1373">
        <f t="shared" si="4"/>
        <v>-3.2000000000000001E-2</v>
      </c>
      <c r="J306" s="1371">
        <v>18749</v>
      </c>
    </row>
    <row r="307" spans="2:10" x14ac:dyDescent="0.45">
      <c r="B307" s="1371">
        <v>18780</v>
      </c>
      <c r="C307" s="1370" t="s">
        <v>7139</v>
      </c>
      <c r="F307" s="1372">
        <v>-2.2800000000000001E-2</v>
      </c>
      <c r="H307" s="1373">
        <v>2E-3</v>
      </c>
      <c r="I307" s="1373">
        <f t="shared" si="4"/>
        <v>-2.4800000000000003E-2</v>
      </c>
      <c r="J307" s="1371">
        <v>18780</v>
      </c>
    </row>
    <row r="308" spans="2:10" x14ac:dyDescent="0.45">
      <c r="B308" s="1371">
        <v>18810</v>
      </c>
      <c r="C308" s="1370" t="s">
        <v>7139</v>
      </c>
      <c r="F308" s="1372">
        <v>7.1099999999999997E-2</v>
      </c>
      <c r="H308" s="1373">
        <v>2.3E-3</v>
      </c>
      <c r="I308" s="1373">
        <f t="shared" si="4"/>
        <v>6.88E-2</v>
      </c>
      <c r="J308" s="1371">
        <v>18810</v>
      </c>
    </row>
    <row r="309" spans="2:10" x14ac:dyDescent="0.45">
      <c r="B309" s="1371">
        <v>18841</v>
      </c>
      <c r="C309" s="1370" t="s">
        <v>7139</v>
      </c>
      <c r="F309" s="1372">
        <v>4.7800000000000002E-2</v>
      </c>
      <c r="H309" s="1373">
        <v>2.0999999999999999E-3</v>
      </c>
      <c r="I309" s="1373">
        <f t="shared" si="4"/>
        <v>4.5700000000000005E-2</v>
      </c>
      <c r="J309" s="1371">
        <v>18841</v>
      </c>
    </row>
    <row r="310" spans="2:10" x14ac:dyDescent="0.45">
      <c r="B310" s="1371">
        <v>18872</v>
      </c>
      <c r="C310" s="1370" t="s">
        <v>7139</v>
      </c>
      <c r="F310" s="1372">
        <v>1.2999999999999999E-3</v>
      </c>
      <c r="H310" s="1373">
        <v>1.9E-3</v>
      </c>
      <c r="I310" s="1373">
        <f t="shared" si="4"/>
        <v>-6.0000000000000006E-4</v>
      </c>
      <c r="J310" s="1371">
        <v>18872</v>
      </c>
    </row>
    <row r="311" spans="2:10" x14ac:dyDescent="0.45">
      <c r="B311" s="1371">
        <v>18902</v>
      </c>
      <c r="C311" s="1370" t="s">
        <v>7139</v>
      </c>
      <c r="F311" s="1372">
        <v>-1.03E-2</v>
      </c>
      <c r="H311" s="1373">
        <v>2.3E-3</v>
      </c>
      <c r="I311" s="1373">
        <f t="shared" si="4"/>
        <v>-1.26E-2</v>
      </c>
      <c r="J311" s="1371">
        <v>18902</v>
      </c>
    </row>
    <row r="312" spans="2:10" x14ac:dyDescent="0.45">
      <c r="B312" s="1371">
        <v>18933</v>
      </c>
      <c r="C312" s="1370" t="s">
        <v>7139</v>
      </c>
      <c r="F312" s="1372">
        <v>9.5999999999999992E-3</v>
      </c>
      <c r="H312" s="1373">
        <v>2.0999999999999999E-3</v>
      </c>
      <c r="I312" s="1373">
        <f t="shared" si="4"/>
        <v>7.4999999999999997E-3</v>
      </c>
      <c r="J312" s="1371">
        <v>18933</v>
      </c>
    </row>
    <row r="313" spans="2:10" x14ac:dyDescent="0.45">
      <c r="B313" s="1371">
        <v>18963</v>
      </c>
      <c r="C313" s="1370" t="s">
        <v>7139</v>
      </c>
      <c r="F313" s="1372">
        <v>4.24E-2</v>
      </c>
      <c r="H313" s="1373">
        <v>2.2000000000000001E-3</v>
      </c>
      <c r="I313" s="1373">
        <f t="shared" si="4"/>
        <v>4.02E-2</v>
      </c>
      <c r="J313" s="1371">
        <v>18963</v>
      </c>
    </row>
    <row r="314" spans="2:10" x14ac:dyDescent="0.45">
      <c r="B314" s="1371">
        <v>18994</v>
      </c>
      <c r="C314" s="1370" t="s">
        <v>7139</v>
      </c>
      <c r="F314" s="1372">
        <v>1.8100000000000002E-2</v>
      </c>
      <c r="H314" s="1373">
        <v>2.3E-3</v>
      </c>
      <c r="I314" s="1373">
        <f t="shared" si="4"/>
        <v>1.5800000000000002E-2</v>
      </c>
      <c r="J314" s="1371">
        <v>18994</v>
      </c>
    </row>
    <row r="315" spans="2:10" x14ac:dyDescent="0.45">
      <c r="B315" s="1371">
        <v>19025</v>
      </c>
      <c r="C315" s="1370" t="s">
        <v>7139</v>
      </c>
      <c r="F315" s="1372">
        <v>-2.8199999999999999E-2</v>
      </c>
      <c r="H315" s="1373">
        <v>2.0999999999999999E-3</v>
      </c>
      <c r="I315" s="1373">
        <f t="shared" si="4"/>
        <v>-3.0300000000000001E-2</v>
      </c>
      <c r="J315" s="1371">
        <v>19025</v>
      </c>
    </row>
    <row r="316" spans="2:10" x14ac:dyDescent="0.45">
      <c r="B316" s="1371">
        <v>19054</v>
      </c>
      <c r="C316" s="1370" t="s">
        <v>7139</v>
      </c>
      <c r="F316" s="1372">
        <v>5.0299999999999997E-2</v>
      </c>
      <c r="H316" s="1373">
        <v>2.3E-3</v>
      </c>
      <c r="I316" s="1373">
        <f t="shared" si="4"/>
        <v>4.8000000000000001E-2</v>
      </c>
      <c r="J316" s="1371">
        <v>19054</v>
      </c>
    </row>
    <row r="317" spans="2:10" x14ac:dyDescent="0.45">
      <c r="B317" s="1371">
        <v>19085</v>
      </c>
      <c r="C317" s="1370" t="s">
        <v>7139</v>
      </c>
      <c r="F317" s="1372">
        <v>-4.02E-2</v>
      </c>
      <c r="H317" s="1373">
        <v>2.2000000000000001E-3</v>
      </c>
      <c r="I317" s="1373">
        <f t="shared" si="4"/>
        <v>-4.24E-2</v>
      </c>
      <c r="J317" s="1371">
        <v>19085</v>
      </c>
    </row>
    <row r="318" spans="2:10" x14ac:dyDescent="0.45">
      <c r="B318" s="1371">
        <v>19115</v>
      </c>
      <c r="C318" s="1370" t="s">
        <v>7139</v>
      </c>
      <c r="F318" s="1372">
        <v>3.4299999999999997E-2</v>
      </c>
      <c r="H318" s="1373">
        <v>2E-3</v>
      </c>
      <c r="I318" s="1373">
        <f t="shared" si="4"/>
        <v>3.2299999999999995E-2</v>
      </c>
      <c r="J318" s="1371">
        <v>19115</v>
      </c>
    </row>
    <row r="319" spans="2:10" x14ac:dyDescent="0.45">
      <c r="B319" s="1371">
        <v>19146</v>
      </c>
      <c r="C319" s="1370" t="s">
        <v>7139</v>
      </c>
      <c r="F319" s="1372">
        <v>4.9000000000000002E-2</v>
      </c>
      <c r="H319" s="1373">
        <v>2.2000000000000001E-3</v>
      </c>
      <c r="I319" s="1373">
        <f t="shared" si="4"/>
        <v>4.6800000000000001E-2</v>
      </c>
      <c r="J319" s="1371">
        <v>19146</v>
      </c>
    </row>
    <row r="320" spans="2:10" x14ac:dyDescent="0.45">
      <c r="B320" s="1371">
        <v>19176</v>
      </c>
      <c r="C320" s="1370" t="s">
        <v>7139</v>
      </c>
      <c r="F320" s="1372">
        <v>1.9599999999999999E-2</v>
      </c>
      <c r="H320" s="1373">
        <v>2.2000000000000001E-3</v>
      </c>
      <c r="I320" s="1373">
        <f t="shared" si="4"/>
        <v>1.7399999999999999E-2</v>
      </c>
      <c r="J320" s="1371">
        <v>19176</v>
      </c>
    </row>
    <row r="321" spans="2:10" x14ac:dyDescent="0.45">
      <c r="B321" s="1371">
        <v>19207</v>
      </c>
      <c r="C321" s="1370" t="s">
        <v>7139</v>
      </c>
      <c r="F321" s="1372">
        <v>-7.1000000000000004E-3</v>
      </c>
      <c r="H321" s="1373">
        <v>2.0999999999999999E-3</v>
      </c>
      <c r="I321" s="1373">
        <f t="shared" si="4"/>
        <v>-9.1999999999999998E-3</v>
      </c>
      <c r="J321" s="1371">
        <v>19207</v>
      </c>
    </row>
    <row r="322" spans="2:10" x14ac:dyDescent="0.45">
      <c r="B322" s="1371">
        <v>19238</v>
      </c>
      <c r="C322" s="1370" t="s">
        <v>7139</v>
      </c>
      <c r="F322" s="1372">
        <v>-1.7600000000000001E-2</v>
      </c>
      <c r="H322" s="1373">
        <v>2.3E-3</v>
      </c>
      <c r="I322" s="1373">
        <f t="shared" ref="I322:I385" si="5">F322-H322</f>
        <v>-1.9900000000000001E-2</v>
      </c>
      <c r="J322" s="1371">
        <v>19238</v>
      </c>
    </row>
    <row r="323" spans="2:10" x14ac:dyDescent="0.45">
      <c r="B323" s="1371">
        <v>19268</v>
      </c>
      <c r="C323" s="1370" t="s">
        <v>7139</v>
      </c>
      <c r="F323" s="1372">
        <v>2E-3</v>
      </c>
      <c r="H323" s="1373">
        <v>2.3E-3</v>
      </c>
      <c r="I323" s="1373">
        <f t="shared" si="5"/>
        <v>-2.9999999999999992E-4</v>
      </c>
      <c r="J323" s="1371">
        <v>19268</v>
      </c>
    </row>
    <row r="324" spans="2:10" x14ac:dyDescent="0.45">
      <c r="B324" s="1371">
        <v>19299</v>
      </c>
      <c r="C324" s="1370" t="s">
        <v>7139</v>
      </c>
      <c r="F324" s="1372">
        <v>5.7099999999999998E-2</v>
      </c>
      <c r="H324" s="1373">
        <v>2.0999999999999999E-3</v>
      </c>
      <c r="I324" s="1373">
        <f t="shared" si="5"/>
        <v>5.5E-2</v>
      </c>
      <c r="J324" s="1371">
        <v>19299</v>
      </c>
    </row>
    <row r="325" spans="2:10" x14ac:dyDescent="0.45">
      <c r="B325" s="1371">
        <v>19329</v>
      </c>
      <c r="C325" s="1370" t="s">
        <v>7139</v>
      </c>
      <c r="F325" s="1372">
        <v>3.8199999999999998E-2</v>
      </c>
      <c r="H325" s="1373">
        <v>2.3999999999999998E-3</v>
      </c>
      <c r="I325" s="1373">
        <f t="shared" si="5"/>
        <v>3.5799999999999998E-2</v>
      </c>
      <c r="J325" s="1371">
        <v>19329</v>
      </c>
    </row>
    <row r="326" spans="2:10" x14ac:dyDescent="0.45">
      <c r="B326" s="1371">
        <v>19360</v>
      </c>
      <c r="C326" s="1370" t="s">
        <v>7139</v>
      </c>
      <c r="F326" s="1372">
        <v>-4.8999999999999998E-3</v>
      </c>
      <c r="H326" s="1373">
        <v>2.3E-3</v>
      </c>
      <c r="I326" s="1373">
        <f t="shared" si="5"/>
        <v>-7.1999999999999998E-3</v>
      </c>
      <c r="J326" s="1371">
        <v>19360</v>
      </c>
    </row>
    <row r="327" spans="2:10" x14ac:dyDescent="0.45">
      <c r="B327" s="1371">
        <v>19391</v>
      </c>
      <c r="C327" s="1370" t="s">
        <v>7139</v>
      </c>
      <c r="F327" s="1372">
        <v>-1.06E-2</v>
      </c>
      <c r="H327" s="1373">
        <v>2.0999999999999999E-3</v>
      </c>
      <c r="I327" s="1373">
        <f t="shared" si="5"/>
        <v>-1.2699999999999999E-2</v>
      </c>
      <c r="J327" s="1371">
        <v>19391</v>
      </c>
    </row>
    <row r="328" spans="2:10" x14ac:dyDescent="0.45">
      <c r="B328" s="1371">
        <v>19419</v>
      </c>
      <c r="C328" s="1370" t="s">
        <v>7139</v>
      </c>
      <c r="F328" s="1372">
        <v>-2.12E-2</v>
      </c>
      <c r="H328" s="1373">
        <v>2.5000000000000001E-3</v>
      </c>
      <c r="I328" s="1373">
        <f t="shared" si="5"/>
        <v>-2.3699999999999999E-2</v>
      </c>
      <c r="J328" s="1371">
        <v>19419</v>
      </c>
    </row>
    <row r="329" spans="2:10" x14ac:dyDescent="0.45">
      <c r="B329" s="1371">
        <v>19450</v>
      </c>
      <c r="C329" s="1370" t="s">
        <v>7139</v>
      </c>
      <c r="F329" s="1372">
        <v>-2.3699999999999999E-2</v>
      </c>
      <c r="H329" s="1373">
        <v>2.3999999999999998E-3</v>
      </c>
      <c r="I329" s="1373">
        <f t="shared" si="5"/>
        <v>-2.6099999999999998E-2</v>
      </c>
      <c r="J329" s="1371">
        <v>19450</v>
      </c>
    </row>
    <row r="330" spans="2:10" x14ac:dyDescent="0.45">
      <c r="B330" s="1371">
        <v>19480</v>
      </c>
      <c r="C330" s="1370" t="s">
        <v>7139</v>
      </c>
      <c r="F330" s="1372">
        <v>7.7000000000000002E-3</v>
      </c>
      <c r="H330" s="1373">
        <v>2.3999999999999998E-3</v>
      </c>
      <c r="I330" s="1373">
        <f t="shared" si="5"/>
        <v>5.3000000000000009E-3</v>
      </c>
      <c r="J330" s="1371">
        <v>19480</v>
      </c>
    </row>
    <row r="331" spans="2:10" x14ac:dyDescent="0.45">
      <c r="B331" s="1371">
        <v>19511</v>
      </c>
      <c r="C331" s="1370" t="s">
        <v>7139</v>
      </c>
      <c r="F331" s="1372">
        <v>-1.34E-2</v>
      </c>
      <c r="H331" s="1373">
        <v>2.7000000000000001E-3</v>
      </c>
      <c r="I331" s="1373">
        <f t="shared" si="5"/>
        <v>-1.61E-2</v>
      </c>
      <c r="J331" s="1371">
        <v>19511</v>
      </c>
    </row>
    <row r="332" spans="2:10" x14ac:dyDescent="0.45">
      <c r="B332" s="1371">
        <v>19541</v>
      </c>
      <c r="C332" s="1370" t="s">
        <v>7139</v>
      </c>
      <c r="F332" s="1372">
        <v>2.7300000000000001E-2</v>
      </c>
      <c r="H332" s="1373">
        <v>2.5000000000000001E-3</v>
      </c>
      <c r="I332" s="1373">
        <f t="shared" si="5"/>
        <v>2.4800000000000003E-2</v>
      </c>
      <c r="J332" s="1371">
        <v>19541</v>
      </c>
    </row>
    <row r="333" spans="2:10" x14ac:dyDescent="0.45">
      <c r="B333" s="1371">
        <v>19572</v>
      </c>
      <c r="C333" s="1370" t="s">
        <v>7139</v>
      </c>
      <c r="F333" s="1372">
        <v>-5.0099999999999999E-2</v>
      </c>
      <c r="H333" s="1373">
        <v>2.5000000000000001E-3</v>
      </c>
      <c r="I333" s="1373">
        <f t="shared" si="5"/>
        <v>-5.2600000000000001E-2</v>
      </c>
      <c r="J333" s="1371">
        <v>19572</v>
      </c>
    </row>
    <row r="334" spans="2:10" x14ac:dyDescent="0.45">
      <c r="B334" s="1371">
        <v>19603</v>
      </c>
      <c r="C334" s="1370" t="s">
        <v>7139</v>
      </c>
      <c r="F334" s="1372">
        <v>3.3999999999999998E-3</v>
      </c>
      <c r="H334" s="1373">
        <v>2.5000000000000001E-3</v>
      </c>
      <c r="I334" s="1373">
        <f t="shared" si="5"/>
        <v>8.9999999999999976E-4</v>
      </c>
      <c r="J334" s="1371">
        <v>19603</v>
      </c>
    </row>
    <row r="335" spans="2:10" x14ac:dyDescent="0.45">
      <c r="B335" s="1371">
        <v>19633</v>
      </c>
      <c r="C335" s="1370" t="s">
        <v>7139</v>
      </c>
      <c r="F335" s="1372">
        <v>5.3999999999999999E-2</v>
      </c>
      <c r="H335" s="1373">
        <v>2.3E-3</v>
      </c>
      <c r="I335" s="1373">
        <f t="shared" si="5"/>
        <v>5.1699999999999996E-2</v>
      </c>
      <c r="J335" s="1371">
        <v>19633</v>
      </c>
    </row>
    <row r="336" spans="2:10" x14ac:dyDescent="0.45">
      <c r="B336" s="1371">
        <v>19664</v>
      </c>
      <c r="C336" s="1370" t="s">
        <v>7139</v>
      </c>
      <c r="F336" s="1372">
        <v>2.0400000000000001E-2</v>
      </c>
      <c r="H336" s="1373">
        <v>2.3999999999999998E-3</v>
      </c>
      <c r="I336" s="1373">
        <f t="shared" si="5"/>
        <v>1.8000000000000002E-2</v>
      </c>
      <c r="J336" s="1371">
        <v>19664</v>
      </c>
    </row>
    <row r="337" spans="2:10" x14ac:dyDescent="0.45">
      <c r="B337" s="1371">
        <v>19694</v>
      </c>
      <c r="C337" s="1370" t="s">
        <v>7139</v>
      </c>
      <c r="F337" s="1372">
        <v>5.1999999999999998E-3</v>
      </c>
      <c r="H337" s="1373">
        <v>2.3999999999999998E-3</v>
      </c>
      <c r="I337" s="1373">
        <f t="shared" si="5"/>
        <v>2.8E-3</v>
      </c>
      <c r="J337" s="1371">
        <v>19694</v>
      </c>
    </row>
    <row r="338" spans="2:10" x14ac:dyDescent="0.45">
      <c r="B338" s="1371">
        <v>19725</v>
      </c>
      <c r="C338" s="1370" t="s">
        <v>7139</v>
      </c>
      <c r="F338" s="1372">
        <v>5.3600000000000002E-2</v>
      </c>
      <c r="H338" s="1373">
        <v>2.3E-3</v>
      </c>
      <c r="I338" s="1373">
        <f t="shared" si="5"/>
        <v>5.1299999999999998E-2</v>
      </c>
      <c r="J338" s="1371">
        <v>19725</v>
      </c>
    </row>
    <row r="339" spans="2:10" x14ac:dyDescent="0.45">
      <c r="B339" s="1371">
        <v>19756</v>
      </c>
      <c r="C339" s="1370" t="s">
        <v>7139</v>
      </c>
      <c r="F339" s="1372">
        <v>1.11E-2</v>
      </c>
      <c r="H339" s="1373">
        <v>2.2000000000000001E-3</v>
      </c>
      <c r="I339" s="1373">
        <f t="shared" si="5"/>
        <v>8.8999999999999999E-3</v>
      </c>
      <c r="J339" s="1371">
        <v>19756</v>
      </c>
    </row>
    <row r="340" spans="2:10" x14ac:dyDescent="0.45">
      <c r="B340" s="1371">
        <v>19784</v>
      </c>
      <c r="C340" s="1370" t="s">
        <v>7139</v>
      </c>
      <c r="F340" s="1372">
        <v>3.2500000000000001E-2</v>
      </c>
      <c r="H340" s="1373">
        <v>2.5000000000000001E-3</v>
      </c>
      <c r="I340" s="1373">
        <f t="shared" si="5"/>
        <v>3.0000000000000002E-2</v>
      </c>
      <c r="J340" s="1371">
        <v>19784</v>
      </c>
    </row>
    <row r="341" spans="2:10" x14ac:dyDescent="0.45">
      <c r="B341" s="1371">
        <v>19815</v>
      </c>
      <c r="C341" s="1370" t="s">
        <v>7139</v>
      </c>
      <c r="F341" s="1372">
        <v>5.16E-2</v>
      </c>
      <c r="H341" s="1373">
        <v>2.2000000000000001E-3</v>
      </c>
      <c r="I341" s="1373">
        <f t="shared" si="5"/>
        <v>4.9399999999999999E-2</v>
      </c>
      <c r="J341" s="1371">
        <v>19815</v>
      </c>
    </row>
    <row r="342" spans="2:10" x14ac:dyDescent="0.45">
      <c r="B342" s="1371">
        <v>19845</v>
      </c>
      <c r="C342" s="1370" t="s">
        <v>7139</v>
      </c>
      <c r="F342" s="1372">
        <v>4.1799999999999997E-2</v>
      </c>
      <c r="H342" s="1373">
        <v>2E-3</v>
      </c>
      <c r="I342" s="1373">
        <f t="shared" si="5"/>
        <v>3.9799999999999995E-2</v>
      </c>
      <c r="J342" s="1371">
        <v>19845</v>
      </c>
    </row>
    <row r="343" spans="2:10" x14ac:dyDescent="0.45">
      <c r="B343" s="1371">
        <v>19876</v>
      </c>
      <c r="C343" s="1370" t="s">
        <v>7139</v>
      </c>
      <c r="F343" s="1372">
        <v>3.0999999999999999E-3</v>
      </c>
      <c r="H343" s="1373">
        <v>2.5000000000000001E-3</v>
      </c>
      <c r="I343" s="1373">
        <f t="shared" si="5"/>
        <v>5.9999999999999984E-4</v>
      </c>
      <c r="J343" s="1371">
        <v>19876</v>
      </c>
    </row>
    <row r="344" spans="2:10" x14ac:dyDescent="0.45">
      <c r="B344" s="1371">
        <v>19906</v>
      </c>
      <c r="C344" s="1370" t="s">
        <v>7139</v>
      </c>
      <c r="F344" s="1372">
        <v>5.8900000000000001E-2</v>
      </c>
      <c r="H344" s="1373">
        <v>2.2000000000000001E-3</v>
      </c>
      <c r="I344" s="1373">
        <f t="shared" si="5"/>
        <v>5.67E-2</v>
      </c>
      <c r="J344" s="1371">
        <v>19906</v>
      </c>
    </row>
    <row r="345" spans="2:10" x14ac:dyDescent="0.45">
      <c r="B345" s="1371">
        <v>19937</v>
      </c>
      <c r="C345" s="1370" t="s">
        <v>7139</v>
      </c>
      <c r="F345" s="1372">
        <v>-2.75E-2</v>
      </c>
      <c r="H345" s="1373">
        <v>2.3E-3</v>
      </c>
      <c r="I345" s="1373">
        <f t="shared" si="5"/>
        <v>-2.98E-2</v>
      </c>
      <c r="J345" s="1371">
        <v>19937</v>
      </c>
    </row>
    <row r="346" spans="2:10" x14ac:dyDescent="0.45">
      <c r="B346" s="1371">
        <v>19968</v>
      </c>
      <c r="C346" s="1370" t="s">
        <v>7139</v>
      </c>
      <c r="F346" s="1372">
        <v>8.5099999999999995E-2</v>
      </c>
      <c r="H346" s="1373">
        <v>2.2000000000000001E-3</v>
      </c>
      <c r="I346" s="1373">
        <f t="shared" si="5"/>
        <v>8.2900000000000001E-2</v>
      </c>
      <c r="J346" s="1371">
        <v>19968</v>
      </c>
    </row>
    <row r="347" spans="2:10" x14ac:dyDescent="0.45">
      <c r="B347" s="1371">
        <v>19998</v>
      </c>
      <c r="C347" s="1370" t="s">
        <v>7139</v>
      </c>
      <c r="F347" s="1372">
        <v>-1.67E-2</v>
      </c>
      <c r="H347" s="1373">
        <v>2.0999999999999999E-3</v>
      </c>
      <c r="I347" s="1373">
        <f t="shared" si="5"/>
        <v>-1.8800000000000001E-2</v>
      </c>
      <c r="J347" s="1371">
        <v>19998</v>
      </c>
    </row>
    <row r="348" spans="2:10" x14ac:dyDescent="0.45">
      <c r="B348" s="1371">
        <v>20029</v>
      </c>
      <c r="C348" s="1370" t="s">
        <v>7139</v>
      </c>
      <c r="F348" s="1372">
        <v>9.0899999999999995E-2</v>
      </c>
      <c r="H348" s="1373">
        <v>2.3E-3</v>
      </c>
      <c r="I348" s="1373">
        <f t="shared" si="5"/>
        <v>8.8599999999999998E-2</v>
      </c>
      <c r="J348" s="1371">
        <v>20029</v>
      </c>
    </row>
    <row r="349" spans="2:10" x14ac:dyDescent="0.45">
      <c r="B349" s="1371">
        <v>20059</v>
      </c>
      <c r="C349" s="1370" t="s">
        <v>7139</v>
      </c>
      <c r="F349" s="1372">
        <v>5.3400000000000003E-2</v>
      </c>
      <c r="H349" s="1373">
        <v>2.3E-3</v>
      </c>
      <c r="I349" s="1373">
        <f t="shared" si="5"/>
        <v>5.1100000000000007E-2</v>
      </c>
      <c r="J349" s="1371">
        <v>20059</v>
      </c>
    </row>
    <row r="350" spans="2:10" x14ac:dyDescent="0.45">
      <c r="B350" s="1371">
        <v>20090</v>
      </c>
      <c r="C350" s="1370" t="s">
        <v>7139</v>
      </c>
      <c r="F350" s="1372">
        <v>1.9699999999999999E-2</v>
      </c>
      <c r="H350" s="1373">
        <v>2.2000000000000001E-3</v>
      </c>
      <c r="I350" s="1373">
        <f t="shared" si="5"/>
        <v>1.7499999999999998E-2</v>
      </c>
      <c r="J350" s="1371">
        <v>20090</v>
      </c>
    </row>
    <row r="351" spans="2:10" x14ac:dyDescent="0.45">
      <c r="B351" s="1371">
        <v>20121</v>
      </c>
      <c r="C351" s="1370" t="s">
        <v>7139</v>
      </c>
      <c r="F351" s="1372">
        <v>9.7999999999999997E-3</v>
      </c>
      <c r="H351" s="1373">
        <v>2.2000000000000001E-3</v>
      </c>
      <c r="I351" s="1373">
        <f t="shared" si="5"/>
        <v>7.5999999999999991E-3</v>
      </c>
      <c r="J351" s="1371">
        <v>20121</v>
      </c>
    </row>
    <row r="352" spans="2:10" x14ac:dyDescent="0.45">
      <c r="B352" s="1371">
        <v>20149</v>
      </c>
      <c r="C352" s="1370" t="s">
        <v>7139</v>
      </c>
      <c r="F352" s="1372">
        <v>-3.0000000000000001E-3</v>
      </c>
      <c r="H352" s="1373">
        <v>2.3999999999999998E-3</v>
      </c>
      <c r="I352" s="1373">
        <f t="shared" si="5"/>
        <v>-5.4000000000000003E-3</v>
      </c>
      <c r="J352" s="1371">
        <v>20149</v>
      </c>
    </row>
    <row r="353" spans="2:10" x14ac:dyDescent="0.45">
      <c r="B353" s="1371">
        <v>20180</v>
      </c>
      <c r="C353" s="1370" t="s">
        <v>7139</v>
      </c>
      <c r="F353" s="1372">
        <v>3.9600000000000003E-2</v>
      </c>
      <c r="H353" s="1373">
        <v>2.2000000000000001E-3</v>
      </c>
      <c r="I353" s="1373">
        <f t="shared" si="5"/>
        <v>3.7400000000000003E-2</v>
      </c>
      <c r="J353" s="1371">
        <v>20180</v>
      </c>
    </row>
    <row r="354" spans="2:10" x14ac:dyDescent="0.45">
      <c r="B354" s="1371">
        <v>20210</v>
      </c>
      <c r="C354" s="1370" t="s">
        <v>7139</v>
      </c>
      <c r="F354" s="1372">
        <v>5.4999999999999997E-3</v>
      </c>
      <c r="H354" s="1373">
        <v>2.5000000000000001E-3</v>
      </c>
      <c r="I354" s="1373">
        <f t="shared" si="5"/>
        <v>2.9999999999999996E-3</v>
      </c>
      <c r="J354" s="1371">
        <v>20210</v>
      </c>
    </row>
    <row r="355" spans="2:10" x14ac:dyDescent="0.45">
      <c r="B355" s="1371">
        <v>20241</v>
      </c>
      <c r="C355" s="1370" t="s">
        <v>7139</v>
      </c>
      <c r="F355" s="1372">
        <v>8.4099999999999994E-2</v>
      </c>
      <c r="H355" s="1373">
        <v>2.3E-3</v>
      </c>
      <c r="I355" s="1373">
        <f t="shared" si="5"/>
        <v>8.1799999999999998E-2</v>
      </c>
      <c r="J355" s="1371">
        <v>20241</v>
      </c>
    </row>
    <row r="356" spans="2:10" x14ac:dyDescent="0.45">
      <c r="B356" s="1371">
        <v>20271</v>
      </c>
      <c r="C356" s="1370" t="s">
        <v>7139</v>
      </c>
      <c r="F356" s="1372">
        <v>6.2199999999999998E-2</v>
      </c>
      <c r="H356" s="1373">
        <v>2.3E-3</v>
      </c>
      <c r="I356" s="1373">
        <f t="shared" si="5"/>
        <v>5.9899999999999995E-2</v>
      </c>
      <c r="J356" s="1371">
        <v>20271</v>
      </c>
    </row>
    <row r="357" spans="2:10" x14ac:dyDescent="0.45">
      <c r="B357" s="1371">
        <v>20302</v>
      </c>
      <c r="C357" s="1370" t="s">
        <v>7139</v>
      </c>
      <c r="F357" s="1372">
        <v>-2.5000000000000001E-3</v>
      </c>
      <c r="H357" s="1373">
        <v>2.7000000000000001E-3</v>
      </c>
      <c r="I357" s="1373">
        <f t="shared" si="5"/>
        <v>-5.1999999999999998E-3</v>
      </c>
      <c r="J357" s="1371">
        <v>20302</v>
      </c>
    </row>
    <row r="358" spans="2:10" x14ac:dyDescent="0.45">
      <c r="B358" s="1371">
        <v>20333</v>
      </c>
      <c r="C358" s="1370" t="s">
        <v>7139</v>
      </c>
      <c r="F358" s="1372">
        <v>1.2999999999999999E-2</v>
      </c>
      <c r="H358" s="1373">
        <v>2.3999999999999998E-3</v>
      </c>
      <c r="I358" s="1373">
        <f t="shared" si="5"/>
        <v>1.06E-2</v>
      </c>
      <c r="J358" s="1371">
        <v>20333</v>
      </c>
    </row>
    <row r="359" spans="2:10" x14ac:dyDescent="0.45">
      <c r="B359" s="1371">
        <v>20363</v>
      </c>
      <c r="C359" s="1370" t="s">
        <v>7139</v>
      </c>
      <c r="F359" s="1372">
        <v>-2.8400000000000002E-2</v>
      </c>
      <c r="H359" s="1373">
        <v>2.5000000000000001E-3</v>
      </c>
      <c r="I359" s="1373">
        <f t="shared" si="5"/>
        <v>-3.09E-2</v>
      </c>
      <c r="J359" s="1371">
        <v>20363</v>
      </c>
    </row>
    <row r="360" spans="2:10" x14ac:dyDescent="0.45">
      <c r="B360" s="1371">
        <v>20394</v>
      </c>
      <c r="C360" s="1370" t="s">
        <v>7139</v>
      </c>
      <c r="F360" s="1372">
        <v>8.2699999999999996E-2</v>
      </c>
      <c r="H360" s="1373">
        <v>2.3999999999999998E-3</v>
      </c>
      <c r="I360" s="1373">
        <f t="shared" si="5"/>
        <v>8.0299999999999996E-2</v>
      </c>
      <c r="J360" s="1371">
        <v>20394</v>
      </c>
    </row>
    <row r="361" spans="2:10" x14ac:dyDescent="0.45">
      <c r="B361" s="1371">
        <v>20424</v>
      </c>
      <c r="C361" s="1370" t="s">
        <v>7139</v>
      </c>
      <c r="F361" s="1372">
        <v>1.5E-3</v>
      </c>
      <c r="H361" s="1373">
        <v>2.3999999999999998E-3</v>
      </c>
      <c r="I361" s="1373">
        <f t="shared" si="5"/>
        <v>-8.9999999999999976E-4</v>
      </c>
      <c r="J361" s="1371">
        <v>20424</v>
      </c>
    </row>
    <row r="362" spans="2:10" x14ac:dyDescent="0.45">
      <c r="B362" s="1371">
        <v>20455</v>
      </c>
      <c r="C362" s="1370" t="s">
        <v>7139</v>
      </c>
      <c r="F362" s="1372">
        <v>-3.4700000000000002E-2</v>
      </c>
      <c r="H362" s="1373">
        <v>2.5000000000000001E-3</v>
      </c>
      <c r="I362" s="1373">
        <f t="shared" si="5"/>
        <v>-3.7200000000000004E-2</v>
      </c>
      <c r="J362" s="1371">
        <v>20455</v>
      </c>
    </row>
    <row r="363" spans="2:10" x14ac:dyDescent="0.45">
      <c r="B363" s="1371">
        <v>20486</v>
      </c>
      <c r="C363" s="1370" t="s">
        <v>7139</v>
      </c>
      <c r="F363" s="1372">
        <v>4.1300000000000003E-2</v>
      </c>
      <c r="H363" s="1373">
        <v>2.3E-3</v>
      </c>
      <c r="I363" s="1373">
        <f t="shared" si="5"/>
        <v>3.9000000000000007E-2</v>
      </c>
      <c r="J363" s="1371">
        <v>20486</v>
      </c>
    </row>
    <row r="364" spans="2:10" x14ac:dyDescent="0.45">
      <c r="B364" s="1371">
        <v>20515</v>
      </c>
      <c r="C364" s="1370" t="s">
        <v>7139</v>
      </c>
      <c r="F364" s="1372">
        <v>7.0999999999999994E-2</v>
      </c>
      <c r="H364" s="1373">
        <v>2.3E-3</v>
      </c>
      <c r="I364" s="1373">
        <f t="shared" si="5"/>
        <v>6.8699999999999997E-2</v>
      </c>
      <c r="J364" s="1371">
        <v>20515</v>
      </c>
    </row>
    <row r="365" spans="2:10" x14ac:dyDescent="0.45">
      <c r="B365" s="1371">
        <v>20546</v>
      </c>
      <c r="C365" s="1370" t="s">
        <v>7139</v>
      </c>
      <c r="F365" s="1372">
        <v>-4.0000000000000002E-4</v>
      </c>
      <c r="H365" s="1373">
        <v>2.5999999999999999E-3</v>
      </c>
      <c r="I365" s="1373">
        <f t="shared" si="5"/>
        <v>-3.0000000000000001E-3</v>
      </c>
      <c r="J365" s="1371">
        <v>20546</v>
      </c>
    </row>
    <row r="366" spans="2:10" x14ac:dyDescent="0.45">
      <c r="B366" s="1371">
        <v>20576</v>
      </c>
      <c r="C366" s="1370" t="s">
        <v>7139</v>
      </c>
      <c r="F366" s="1372">
        <v>-5.9299999999999999E-2</v>
      </c>
      <c r="H366" s="1373">
        <v>2.5999999999999999E-3</v>
      </c>
      <c r="I366" s="1373">
        <f t="shared" si="5"/>
        <v>-6.1899999999999997E-2</v>
      </c>
      <c r="J366" s="1371">
        <v>20576</v>
      </c>
    </row>
    <row r="367" spans="2:10" x14ac:dyDescent="0.45">
      <c r="B367" s="1371">
        <v>20607</v>
      </c>
      <c r="C367" s="1370" t="s">
        <v>7139</v>
      </c>
      <c r="F367" s="1372">
        <v>4.0899999999999999E-2</v>
      </c>
      <c r="H367" s="1373">
        <v>2.3E-3</v>
      </c>
      <c r="I367" s="1373">
        <f t="shared" si="5"/>
        <v>3.8599999999999995E-2</v>
      </c>
      <c r="J367" s="1371">
        <v>20607</v>
      </c>
    </row>
    <row r="368" spans="2:10" x14ac:dyDescent="0.45">
      <c r="B368" s="1371">
        <v>20637</v>
      </c>
      <c r="C368" s="1370" t="s">
        <v>7139</v>
      </c>
      <c r="F368" s="1372">
        <v>5.2999999999999999E-2</v>
      </c>
      <c r="H368" s="1373">
        <v>2.5999999999999999E-3</v>
      </c>
      <c r="I368" s="1373">
        <f t="shared" si="5"/>
        <v>5.04E-2</v>
      </c>
      <c r="J368" s="1371">
        <v>20637</v>
      </c>
    </row>
    <row r="369" spans="2:10" x14ac:dyDescent="0.45">
      <c r="B369" s="1371">
        <v>20668</v>
      </c>
      <c r="C369" s="1370" t="s">
        <v>7139</v>
      </c>
      <c r="F369" s="1372">
        <v>-3.2800000000000003E-2</v>
      </c>
      <c r="H369" s="1373">
        <v>2.5999999999999999E-3</v>
      </c>
      <c r="I369" s="1373">
        <f t="shared" si="5"/>
        <v>-3.5400000000000001E-2</v>
      </c>
      <c r="J369" s="1371">
        <v>20668</v>
      </c>
    </row>
    <row r="370" spans="2:10" x14ac:dyDescent="0.45">
      <c r="B370" s="1371">
        <v>20699</v>
      </c>
      <c r="C370" s="1370" t="s">
        <v>7139</v>
      </c>
      <c r="F370" s="1372">
        <v>-4.3999999999999997E-2</v>
      </c>
      <c r="H370" s="1373">
        <v>2.5000000000000001E-3</v>
      </c>
      <c r="I370" s="1373">
        <f t="shared" si="5"/>
        <v>-4.65E-2</v>
      </c>
      <c r="J370" s="1371">
        <v>20699</v>
      </c>
    </row>
    <row r="371" spans="2:10" x14ac:dyDescent="0.45">
      <c r="B371" s="1371">
        <v>20729</v>
      </c>
      <c r="C371" s="1370" t="s">
        <v>7139</v>
      </c>
      <c r="F371" s="1372">
        <v>6.6E-3</v>
      </c>
      <c r="H371" s="1373">
        <v>2.8999999999999998E-3</v>
      </c>
      <c r="I371" s="1373">
        <f t="shared" si="5"/>
        <v>3.7000000000000002E-3</v>
      </c>
      <c r="J371" s="1371">
        <v>20729</v>
      </c>
    </row>
    <row r="372" spans="2:10" x14ac:dyDescent="0.45">
      <c r="B372" s="1371">
        <v>20760</v>
      </c>
      <c r="C372" s="1370" t="s">
        <v>7139</v>
      </c>
      <c r="F372" s="1372">
        <v>-5.0000000000000001E-3</v>
      </c>
      <c r="H372" s="1373">
        <v>2.7000000000000001E-3</v>
      </c>
      <c r="I372" s="1373">
        <f t="shared" si="5"/>
        <v>-7.7000000000000002E-3</v>
      </c>
      <c r="J372" s="1371">
        <v>20760</v>
      </c>
    </row>
    <row r="373" spans="2:10" x14ac:dyDescent="0.45">
      <c r="B373" s="1371">
        <v>20790</v>
      </c>
      <c r="C373" s="1370" t="s">
        <v>7139</v>
      </c>
      <c r="F373" s="1372">
        <v>3.6999999999999998E-2</v>
      </c>
      <c r="H373" s="1373">
        <v>2.8E-3</v>
      </c>
      <c r="I373" s="1373">
        <f t="shared" si="5"/>
        <v>3.4200000000000001E-2</v>
      </c>
      <c r="J373" s="1371">
        <v>20790</v>
      </c>
    </row>
    <row r="374" spans="2:10" x14ac:dyDescent="0.45">
      <c r="B374" s="1371">
        <v>20821</v>
      </c>
      <c r="C374" s="1370" t="s">
        <v>7139</v>
      </c>
      <c r="F374" s="1372">
        <v>-4.0099999999999997E-2</v>
      </c>
      <c r="H374" s="1373">
        <v>2.8999999999999998E-3</v>
      </c>
      <c r="I374" s="1373">
        <f t="shared" si="5"/>
        <v>-4.2999999999999997E-2</v>
      </c>
      <c r="J374" s="1371">
        <v>20821</v>
      </c>
    </row>
    <row r="375" spans="2:10" x14ac:dyDescent="0.45">
      <c r="B375" s="1371">
        <v>20852</v>
      </c>
      <c r="C375" s="1370" t="s">
        <v>7139</v>
      </c>
      <c r="F375" s="1372">
        <v>-2.64E-2</v>
      </c>
      <c r="H375" s="1373">
        <v>2.5000000000000001E-3</v>
      </c>
      <c r="I375" s="1373">
        <f t="shared" si="5"/>
        <v>-2.8899999999999999E-2</v>
      </c>
      <c r="J375" s="1371">
        <v>20852</v>
      </c>
    </row>
    <row r="376" spans="2:10" x14ac:dyDescent="0.45">
      <c r="B376" s="1371">
        <v>20880</v>
      </c>
      <c r="C376" s="1370" t="s">
        <v>7139</v>
      </c>
      <c r="F376" s="1372">
        <v>2.1499999999999998E-2</v>
      </c>
      <c r="H376" s="1373">
        <v>2.5999999999999999E-3</v>
      </c>
      <c r="I376" s="1373">
        <f t="shared" si="5"/>
        <v>1.89E-2</v>
      </c>
      <c r="J376" s="1371">
        <v>20880</v>
      </c>
    </row>
    <row r="377" spans="2:10" x14ac:dyDescent="0.45">
      <c r="B377" s="1371">
        <v>20911</v>
      </c>
      <c r="C377" s="1370" t="s">
        <v>7139</v>
      </c>
      <c r="F377" s="1372">
        <v>3.8800000000000001E-2</v>
      </c>
      <c r="H377" s="1373">
        <v>2.8999999999999998E-3</v>
      </c>
      <c r="I377" s="1373">
        <f t="shared" si="5"/>
        <v>3.5900000000000001E-2</v>
      </c>
      <c r="J377" s="1371">
        <v>20911</v>
      </c>
    </row>
    <row r="378" spans="2:10" x14ac:dyDescent="0.45">
      <c r="B378" s="1371">
        <v>20941</v>
      </c>
      <c r="C378" s="1370" t="s">
        <v>7139</v>
      </c>
      <c r="F378" s="1372">
        <v>4.3700000000000003E-2</v>
      </c>
      <c r="H378" s="1373">
        <v>2.8999999999999998E-3</v>
      </c>
      <c r="I378" s="1373">
        <f t="shared" si="5"/>
        <v>4.0800000000000003E-2</v>
      </c>
      <c r="J378" s="1371">
        <v>20941</v>
      </c>
    </row>
    <row r="379" spans="2:10" x14ac:dyDescent="0.45">
      <c r="B379" s="1371">
        <v>20972</v>
      </c>
      <c r="C379" s="1370" t="s">
        <v>7139</v>
      </c>
      <c r="F379" s="1372">
        <v>4.0000000000000002E-4</v>
      </c>
      <c r="H379" s="1373">
        <v>2.5000000000000001E-3</v>
      </c>
      <c r="I379" s="1373">
        <f t="shared" si="5"/>
        <v>-2.0999999999999999E-3</v>
      </c>
      <c r="J379" s="1371">
        <v>20972</v>
      </c>
    </row>
    <row r="380" spans="2:10" x14ac:dyDescent="0.45">
      <c r="B380" s="1371">
        <v>21002</v>
      </c>
      <c r="C380" s="1370" t="s">
        <v>7139</v>
      </c>
      <c r="F380" s="1372">
        <v>1.3100000000000001E-2</v>
      </c>
      <c r="H380" s="1373">
        <v>3.3E-3</v>
      </c>
      <c r="I380" s="1373">
        <f t="shared" si="5"/>
        <v>9.7999999999999997E-3</v>
      </c>
      <c r="J380" s="1371">
        <v>21002</v>
      </c>
    </row>
    <row r="381" spans="2:10" x14ac:dyDescent="0.45">
      <c r="B381" s="1371">
        <v>21033</v>
      </c>
      <c r="C381" s="1370" t="s">
        <v>7139</v>
      </c>
      <c r="F381" s="1372">
        <v>-5.0500000000000003E-2</v>
      </c>
      <c r="H381" s="1373">
        <v>3.0000000000000001E-3</v>
      </c>
      <c r="I381" s="1373">
        <f t="shared" si="5"/>
        <v>-5.3500000000000006E-2</v>
      </c>
      <c r="J381" s="1371">
        <v>21033</v>
      </c>
    </row>
    <row r="382" spans="2:10" x14ac:dyDescent="0.45">
      <c r="B382" s="1371">
        <v>21064</v>
      </c>
      <c r="C382" s="1370" t="s">
        <v>7139</v>
      </c>
      <c r="F382" s="1372">
        <v>-6.0199999999999997E-2</v>
      </c>
      <c r="H382" s="1373">
        <v>3.0999999999999999E-3</v>
      </c>
      <c r="I382" s="1373">
        <f t="shared" si="5"/>
        <v>-6.3299999999999995E-2</v>
      </c>
      <c r="J382" s="1371">
        <v>21064</v>
      </c>
    </row>
    <row r="383" spans="2:10" x14ac:dyDescent="0.45">
      <c r="B383" s="1371">
        <v>21094</v>
      </c>
      <c r="C383" s="1370" t="s">
        <v>7139</v>
      </c>
      <c r="F383" s="1372">
        <v>-3.0200000000000001E-2</v>
      </c>
      <c r="H383" s="1373">
        <v>3.0999999999999999E-3</v>
      </c>
      <c r="I383" s="1373">
        <f t="shared" si="5"/>
        <v>-3.3300000000000003E-2</v>
      </c>
      <c r="J383" s="1371">
        <v>21094</v>
      </c>
    </row>
    <row r="384" spans="2:10" x14ac:dyDescent="0.45">
      <c r="B384" s="1371">
        <v>21125</v>
      </c>
      <c r="C384" s="1370" t="s">
        <v>7139</v>
      </c>
      <c r="F384" s="1372">
        <v>2.3099999999999999E-2</v>
      </c>
      <c r="H384" s="1373">
        <v>2.8999999999999998E-3</v>
      </c>
      <c r="I384" s="1373">
        <f t="shared" si="5"/>
        <v>2.0199999999999999E-2</v>
      </c>
      <c r="J384" s="1371">
        <v>21125</v>
      </c>
    </row>
    <row r="385" spans="2:10" x14ac:dyDescent="0.45">
      <c r="B385" s="1371">
        <v>21155</v>
      </c>
      <c r="C385" s="1370" t="s">
        <v>7139</v>
      </c>
      <c r="F385" s="1372">
        <v>-3.95E-2</v>
      </c>
      <c r="H385" s="1373">
        <v>2.8999999999999998E-3</v>
      </c>
      <c r="I385" s="1373">
        <f t="shared" si="5"/>
        <v>-4.24E-2</v>
      </c>
      <c r="J385" s="1371">
        <v>21155</v>
      </c>
    </row>
    <row r="386" spans="2:10" x14ac:dyDescent="0.45">
      <c r="B386" s="1371">
        <v>21186</v>
      </c>
      <c r="C386" s="1370" t="s">
        <v>7139</v>
      </c>
      <c r="F386" s="1372">
        <v>4.4499999999999998E-2</v>
      </c>
      <c r="H386" s="1373">
        <v>2.7000000000000001E-3</v>
      </c>
      <c r="I386" s="1373">
        <f t="shared" ref="I386:I449" si="6">F386-H386</f>
        <v>4.1799999999999997E-2</v>
      </c>
      <c r="J386" s="1371">
        <v>21186</v>
      </c>
    </row>
    <row r="387" spans="2:10" x14ac:dyDescent="0.45">
      <c r="B387" s="1371">
        <v>21217</v>
      </c>
      <c r="C387" s="1370" t="s">
        <v>7139</v>
      </c>
      <c r="F387" s="1372">
        <v>-1.41E-2</v>
      </c>
      <c r="H387" s="1373">
        <v>2.5000000000000001E-3</v>
      </c>
      <c r="I387" s="1373">
        <f t="shared" si="6"/>
        <v>-1.66E-2</v>
      </c>
      <c r="J387" s="1371">
        <v>21217</v>
      </c>
    </row>
    <row r="388" spans="2:10" x14ac:dyDescent="0.45">
      <c r="B388" s="1371">
        <v>21245</v>
      </c>
      <c r="C388" s="1370" t="s">
        <v>7139</v>
      </c>
      <c r="F388" s="1372">
        <v>3.2800000000000003E-2</v>
      </c>
      <c r="H388" s="1373">
        <v>2.7000000000000001E-3</v>
      </c>
      <c r="I388" s="1373">
        <f t="shared" si="6"/>
        <v>3.0100000000000002E-2</v>
      </c>
      <c r="J388" s="1371">
        <v>21245</v>
      </c>
    </row>
    <row r="389" spans="2:10" x14ac:dyDescent="0.45">
      <c r="B389" s="1371">
        <v>21276</v>
      </c>
      <c r="C389" s="1370" t="s">
        <v>7139</v>
      </c>
      <c r="F389" s="1372">
        <v>3.3700000000000001E-2</v>
      </c>
      <c r="H389" s="1373">
        <v>2.5999999999999999E-3</v>
      </c>
      <c r="I389" s="1373">
        <f t="shared" si="6"/>
        <v>3.1100000000000003E-2</v>
      </c>
      <c r="J389" s="1371">
        <v>21276</v>
      </c>
    </row>
    <row r="390" spans="2:10" x14ac:dyDescent="0.45">
      <c r="B390" s="1371">
        <v>21306</v>
      </c>
      <c r="C390" s="1370" t="s">
        <v>7139</v>
      </c>
      <c r="F390" s="1372">
        <v>2.12E-2</v>
      </c>
      <c r="H390" s="1373">
        <v>2.3999999999999998E-3</v>
      </c>
      <c r="I390" s="1373">
        <f t="shared" si="6"/>
        <v>1.8800000000000001E-2</v>
      </c>
      <c r="J390" s="1371">
        <v>21306</v>
      </c>
    </row>
    <row r="391" spans="2:10" x14ac:dyDescent="0.45">
      <c r="B391" s="1371">
        <v>21337</v>
      </c>
      <c r="C391" s="1370" t="s">
        <v>7139</v>
      </c>
      <c r="F391" s="1372">
        <v>2.7900000000000001E-2</v>
      </c>
      <c r="H391" s="1373">
        <v>2.7000000000000001E-3</v>
      </c>
      <c r="I391" s="1373">
        <f t="shared" si="6"/>
        <v>2.52E-2</v>
      </c>
      <c r="J391" s="1371">
        <v>21337</v>
      </c>
    </row>
    <row r="392" spans="2:10" x14ac:dyDescent="0.45">
      <c r="B392" s="1371">
        <v>21367</v>
      </c>
      <c r="C392" s="1370" t="s">
        <v>7139</v>
      </c>
      <c r="F392" s="1372">
        <v>4.4900000000000002E-2</v>
      </c>
      <c r="H392" s="1373">
        <v>2.7000000000000001E-3</v>
      </c>
      <c r="I392" s="1373">
        <f t="shared" si="6"/>
        <v>4.2200000000000001E-2</v>
      </c>
      <c r="J392" s="1371">
        <v>21367</v>
      </c>
    </row>
    <row r="393" spans="2:10" x14ac:dyDescent="0.45">
      <c r="B393" s="1371">
        <v>21398</v>
      </c>
      <c r="C393" s="1370" t="s">
        <v>7139</v>
      </c>
      <c r="F393" s="1372">
        <v>1.7600000000000001E-2</v>
      </c>
      <c r="H393" s="1373">
        <v>2.7000000000000001E-3</v>
      </c>
      <c r="I393" s="1373">
        <f t="shared" si="6"/>
        <v>1.49E-2</v>
      </c>
      <c r="J393" s="1371">
        <v>21398</v>
      </c>
    </row>
    <row r="394" spans="2:10" x14ac:dyDescent="0.45">
      <c r="B394" s="1371">
        <v>21429</v>
      </c>
      <c r="C394" s="1370" t="s">
        <v>7139</v>
      </c>
      <c r="F394" s="1372">
        <v>5.0099999999999999E-2</v>
      </c>
      <c r="H394" s="1373">
        <v>3.2000000000000002E-3</v>
      </c>
      <c r="I394" s="1373">
        <f t="shared" si="6"/>
        <v>4.6899999999999997E-2</v>
      </c>
      <c r="J394" s="1371">
        <v>21429</v>
      </c>
    </row>
    <row r="395" spans="2:10" x14ac:dyDescent="0.45">
      <c r="B395" s="1371">
        <v>21459</v>
      </c>
      <c r="C395" s="1370" t="s">
        <v>7139</v>
      </c>
      <c r="F395" s="1372">
        <v>2.7E-2</v>
      </c>
      <c r="H395" s="1373">
        <v>3.2000000000000002E-3</v>
      </c>
      <c r="I395" s="1373">
        <f t="shared" si="6"/>
        <v>2.3799999999999998E-2</v>
      </c>
      <c r="J395" s="1371">
        <v>21459</v>
      </c>
    </row>
    <row r="396" spans="2:10" x14ac:dyDescent="0.45">
      <c r="B396" s="1371">
        <v>21490</v>
      </c>
      <c r="C396" s="1370" t="s">
        <v>7139</v>
      </c>
      <c r="F396" s="1372">
        <v>2.8400000000000002E-2</v>
      </c>
      <c r="H396" s="1373">
        <v>2.8E-3</v>
      </c>
      <c r="I396" s="1373">
        <f t="shared" si="6"/>
        <v>2.5600000000000001E-2</v>
      </c>
      <c r="J396" s="1371">
        <v>21490</v>
      </c>
    </row>
    <row r="397" spans="2:10" x14ac:dyDescent="0.45">
      <c r="B397" s="1371">
        <v>21520</v>
      </c>
      <c r="C397" s="1370" t="s">
        <v>7139</v>
      </c>
      <c r="F397" s="1372">
        <v>5.3499999999999999E-2</v>
      </c>
      <c r="H397" s="1373">
        <v>3.3E-3</v>
      </c>
      <c r="I397" s="1373">
        <f t="shared" si="6"/>
        <v>5.0200000000000002E-2</v>
      </c>
      <c r="J397" s="1371">
        <v>21520</v>
      </c>
    </row>
    <row r="398" spans="2:10" x14ac:dyDescent="0.45">
      <c r="B398" s="1371">
        <v>21551</v>
      </c>
      <c r="C398" s="1370" t="s">
        <v>7139</v>
      </c>
      <c r="F398" s="1372">
        <v>5.3E-3</v>
      </c>
      <c r="H398" s="1373">
        <v>3.0999999999999999E-3</v>
      </c>
      <c r="I398" s="1373">
        <f t="shared" si="6"/>
        <v>2.2000000000000001E-3</v>
      </c>
      <c r="J398" s="1371">
        <v>21551</v>
      </c>
    </row>
    <row r="399" spans="2:10" x14ac:dyDescent="0.45">
      <c r="B399" s="1371">
        <v>21582</v>
      </c>
      <c r="C399" s="1370" t="s">
        <v>7139</v>
      </c>
      <c r="F399" s="1372">
        <v>4.8999999999999998E-3</v>
      </c>
      <c r="H399" s="1373">
        <v>3.0999999999999999E-3</v>
      </c>
      <c r="I399" s="1373">
        <f t="shared" si="6"/>
        <v>1.8E-3</v>
      </c>
      <c r="J399" s="1371">
        <v>21582</v>
      </c>
    </row>
    <row r="400" spans="2:10" x14ac:dyDescent="0.45">
      <c r="B400" s="1371">
        <v>21610</v>
      </c>
      <c r="C400" s="1370" t="s">
        <v>7139</v>
      </c>
      <c r="F400" s="1372">
        <v>2E-3</v>
      </c>
      <c r="H400" s="1373">
        <v>3.5000000000000001E-3</v>
      </c>
      <c r="I400" s="1373">
        <f t="shared" si="6"/>
        <v>-1.5E-3</v>
      </c>
      <c r="J400" s="1371">
        <v>21610</v>
      </c>
    </row>
    <row r="401" spans="2:10" x14ac:dyDescent="0.45">
      <c r="B401" s="1371">
        <v>21641</v>
      </c>
      <c r="C401" s="1370" t="s">
        <v>7139</v>
      </c>
      <c r="F401" s="1372">
        <v>4.02E-2</v>
      </c>
      <c r="H401" s="1373">
        <v>3.3E-3</v>
      </c>
      <c r="I401" s="1373">
        <f t="shared" si="6"/>
        <v>3.6900000000000002E-2</v>
      </c>
      <c r="J401" s="1371">
        <v>21641</v>
      </c>
    </row>
    <row r="402" spans="2:10" x14ac:dyDescent="0.45">
      <c r="B402" s="1371">
        <v>21671</v>
      </c>
      <c r="C402" s="1370" t="s">
        <v>7139</v>
      </c>
      <c r="F402" s="1372">
        <v>2.4E-2</v>
      </c>
      <c r="H402" s="1373">
        <v>3.3E-3</v>
      </c>
      <c r="I402" s="1373">
        <f t="shared" si="6"/>
        <v>2.07E-2</v>
      </c>
      <c r="J402" s="1371">
        <v>21671</v>
      </c>
    </row>
    <row r="403" spans="2:10" x14ac:dyDescent="0.45">
      <c r="B403" s="1371">
        <v>21702</v>
      </c>
      <c r="C403" s="1370" t="s">
        <v>7139</v>
      </c>
      <c r="F403" s="1372">
        <v>-2.2000000000000001E-3</v>
      </c>
      <c r="H403" s="1373">
        <v>3.5999999999999999E-3</v>
      </c>
      <c r="I403" s="1373">
        <f t="shared" si="6"/>
        <v>-5.7999999999999996E-3</v>
      </c>
      <c r="J403" s="1371">
        <v>21702</v>
      </c>
    </row>
    <row r="404" spans="2:10" x14ac:dyDescent="0.45">
      <c r="B404" s="1371">
        <v>21732</v>
      </c>
      <c r="C404" s="1370" t="s">
        <v>7139</v>
      </c>
      <c r="F404" s="1372">
        <v>3.6299999999999999E-2</v>
      </c>
      <c r="H404" s="1373">
        <v>3.5000000000000001E-3</v>
      </c>
      <c r="I404" s="1373">
        <f t="shared" si="6"/>
        <v>3.2799999999999996E-2</v>
      </c>
      <c r="J404" s="1371">
        <v>21732</v>
      </c>
    </row>
    <row r="405" spans="2:10" x14ac:dyDescent="0.45">
      <c r="B405" s="1371">
        <v>21763</v>
      </c>
      <c r="C405" s="1370" t="s">
        <v>7139</v>
      </c>
      <c r="F405" s="1372">
        <v>-1.0200000000000001E-2</v>
      </c>
      <c r="H405" s="1373">
        <v>3.5000000000000001E-3</v>
      </c>
      <c r="I405" s="1373">
        <f t="shared" si="6"/>
        <v>-1.37E-2</v>
      </c>
      <c r="J405" s="1371">
        <v>21763</v>
      </c>
    </row>
    <row r="406" spans="2:10" x14ac:dyDescent="0.45">
      <c r="B406" s="1371">
        <v>21794</v>
      </c>
      <c r="C406" s="1370" t="s">
        <v>7139</v>
      </c>
      <c r="F406" s="1372">
        <v>-4.4299999999999999E-2</v>
      </c>
      <c r="H406" s="1373">
        <v>3.3999999999999998E-3</v>
      </c>
      <c r="I406" s="1373">
        <f t="shared" si="6"/>
        <v>-4.7699999999999999E-2</v>
      </c>
      <c r="J406" s="1371">
        <v>21794</v>
      </c>
    </row>
    <row r="407" spans="2:10" x14ac:dyDescent="0.45">
      <c r="B407" s="1371">
        <v>21824</v>
      </c>
      <c r="C407" s="1370" t="s">
        <v>7139</v>
      </c>
      <c r="F407" s="1372">
        <v>1.2800000000000001E-2</v>
      </c>
      <c r="H407" s="1373">
        <v>3.5000000000000001E-3</v>
      </c>
      <c r="I407" s="1373">
        <f t="shared" si="6"/>
        <v>9.300000000000001E-3</v>
      </c>
      <c r="J407" s="1371">
        <v>21824</v>
      </c>
    </row>
    <row r="408" spans="2:10" x14ac:dyDescent="0.45">
      <c r="B408" s="1371">
        <v>21855</v>
      </c>
      <c r="C408" s="1370" t="s">
        <v>7139</v>
      </c>
      <c r="F408" s="1372">
        <v>1.8599999999999998E-2</v>
      </c>
      <c r="H408" s="1373">
        <v>3.5000000000000001E-3</v>
      </c>
      <c r="I408" s="1373">
        <f t="shared" si="6"/>
        <v>1.5099999999999999E-2</v>
      </c>
      <c r="J408" s="1371">
        <v>21855</v>
      </c>
    </row>
    <row r="409" spans="2:10" x14ac:dyDescent="0.45">
      <c r="B409" s="1371">
        <v>21885</v>
      </c>
      <c r="C409" s="1370" t="s">
        <v>7139</v>
      </c>
      <c r="F409" s="1372">
        <v>2.92E-2</v>
      </c>
      <c r="H409" s="1373">
        <v>3.5999999999999999E-3</v>
      </c>
      <c r="I409" s="1373">
        <f t="shared" si="6"/>
        <v>2.5600000000000001E-2</v>
      </c>
      <c r="J409" s="1371">
        <v>21885</v>
      </c>
    </row>
    <row r="410" spans="2:10" x14ac:dyDescent="0.45">
      <c r="B410" s="1371">
        <v>21916</v>
      </c>
      <c r="C410" s="1370" t="s">
        <v>7139</v>
      </c>
      <c r="F410" s="1372">
        <v>-7.0000000000000007E-2</v>
      </c>
      <c r="H410" s="1373">
        <v>3.5000000000000001E-3</v>
      </c>
      <c r="I410" s="1373">
        <f t="shared" si="6"/>
        <v>-7.350000000000001E-2</v>
      </c>
      <c r="J410" s="1371">
        <v>21916</v>
      </c>
    </row>
    <row r="411" spans="2:10" x14ac:dyDescent="0.45">
      <c r="B411" s="1371">
        <v>21947</v>
      </c>
      <c r="C411" s="1370" t="s">
        <v>7139</v>
      </c>
      <c r="F411" s="1372">
        <v>1.47E-2</v>
      </c>
      <c r="H411" s="1373">
        <v>3.7000000000000002E-3</v>
      </c>
      <c r="I411" s="1373">
        <f t="shared" si="6"/>
        <v>1.0999999999999999E-2</v>
      </c>
      <c r="J411" s="1371">
        <v>21947</v>
      </c>
    </row>
    <row r="412" spans="2:10" x14ac:dyDescent="0.45">
      <c r="B412" s="1371">
        <v>21976</v>
      </c>
      <c r="C412" s="1370" t="s">
        <v>7139</v>
      </c>
      <c r="F412" s="1372">
        <v>-1.23E-2</v>
      </c>
      <c r="H412" s="1373">
        <v>3.5999999999999999E-3</v>
      </c>
      <c r="I412" s="1373">
        <f t="shared" si="6"/>
        <v>-1.5900000000000001E-2</v>
      </c>
      <c r="J412" s="1371">
        <v>21976</v>
      </c>
    </row>
    <row r="413" spans="2:10" x14ac:dyDescent="0.45">
      <c r="B413" s="1371">
        <v>22007</v>
      </c>
      <c r="C413" s="1370" t="s">
        <v>7139</v>
      </c>
      <c r="F413" s="1372">
        <v>-1.61E-2</v>
      </c>
      <c r="H413" s="1373">
        <v>3.2000000000000002E-3</v>
      </c>
      <c r="I413" s="1373">
        <f t="shared" si="6"/>
        <v>-1.9300000000000001E-2</v>
      </c>
      <c r="J413" s="1371">
        <v>22007</v>
      </c>
    </row>
    <row r="414" spans="2:10" x14ac:dyDescent="0.45">
      <c r="B414" s="1371">
        <v>22037</v>
      </c>
      <c r="C414" s="1370" t="s">
        <v>7139</v>
      </c>
      <c r="F414" s="1372">
        <v>3.2599999999999997E-2</v>
      </c>
      <c r="H414" s="1373">
        <v>3.7000000000000002E-3</v>
      </c>
      <c r="I414" s="1373">
        <f t="shared" si="6"/>
        <v>2.8899999999999995E-2</v>
      </c>
      <c r="J414" s="1371">
        <v>22037</v>
      </c>
    </row>
    <row r="415" spans="2:10" x14ac:dyDescent="0.45">
      <c r="B415" s="1371">
        <v>22068</v>
      </c>
      <c r="C415" s="1370" t="s">
        <v>7139</v>
      </c>
      <c r="F415" s="1372">
        <v>2.1100000000000001E-2</v>
      </c>
      <c r="H415" s="1373">
        <v>3.3999999999999998E-3</v>
      </c>
      <c r="I415" s="1373">
        <f t="shared" si="6"/>
        <v>1.77E-2</v>
      </c>
      <c r="J415" s="1371">
        <v>22068</v>
      </c>
    </row>
    <row r="416" spans="2:10" x14ac:dyDescent="0.45">
      <c r="B416" s="1371">
        <v>22098</v>
      </c>
      <c r="C416" s="1370" t="s">
        <v>7139</v>
      </c>
      <c r="F416" s="1372">
        <v>-2.3400000000000001E-2</v>
      </c>
      <c r="H416" s="1373">
        <v>3.2000000000000002E-3</v>
      </c>
      <c r="I416" s="1373">
        <f t="shared" si="6"/>
        <v>-2.6600000000000002E-2</v>
      </c>
      <c r="J416" s="1371">
        <v>22098</v>
      </c>
    </row>
    <row r="417" spans="2:10" x14ac:dyDescent="0.45">
      <c r="B417" s="1371">
        <v>22129</v>
      </c>
      <c r="C417" s="1370" t="s">
        <v>7139</v>
      </c>
      <c r="F417" s="1372">
        <v>3.1699999999999999E-2</v>
      </c>
      <c r="H417" s="1373">
        <v>3.3999999999999998E-3</v>
      </c>
      <c r="I417" s="1373">
        <f t="shared" si="6"/>
        <v>2.8299999999999999E-2</v>
      </c>
      <c r="J417" s="1371">
        <v>22129</v>
      </c>
    </row>
    <row r="418" spans="2:10" x14ac:dyDescent="0.45">
      <c r="B418" s="1371">
        <v>22160</v>
      </c>
      <c r="C418" s="1370" t="s">
        <v>7139</v>
      </c>
      <c r="F418" s="1372">
        <v>-5.8999999999999997E-2</v>
      </c>
      <c r="H418" s="1373">
        <v>3.2000000000000002E-3</v>
      </c>
      <c r="I418" s="1373">
        <f t="shared" si="6"/>
        <v>-6.2199999999999998E-2</v>
      </c>
      <c r="J418" s="1371">
        <v>22160</v>
      </c>
    </row>
    <row r="419" spans="2:10" x14ac:dyDescent="0.45">
      <c r="B419" s="1371">
        <v>22190</v>
      </c>
      <c r="C419" s="1370" t="s">
        <v>7139</v>
      </c>
      <c r="F419" s="1372">
        <v>-6.9999999999999999E-4</v>
      </c>
      <c r="H419" s="1373">
        <v>3.3E-3</v>
      </c>
      <c r="I419" s="1373">
        <f t="shared" si="6"/>
        <v>-4.0000000000000001E-3</v>
      </c>
      <c r="J419" s="1371">
        <v>22190</v>
      </c>
    </row>
    <row r="420" spans="2:10" x14ac:dyDescent="0.45">
      <c r="B420" s="1371">
        <v>22221</v>
      </c>
      <c r="C420" s="1370" t="s">
        <v>7139</v>
      </c>
      <c r="F420" s="1372">
        <v>4.65E-2</v>
      </c>
      <c r="H420" s="1373">
        <v>3.2000000000000002E-3</v>
      </c>
      <c r="I420" s="1373">
        <f t="shared" si="6"/>
        <v>4.3299999999999998E-2</v>
      </c>
      <c r="J420" s="1371">
        <v>22221</v>
      </c>
    </row>
    <row r="421" spans="2:10" x14ac:dyDescent="0.45">
      <c r="B421" s="1371">
        <v>22251</v>
      </c>
      <c r="C421" s="1370" t="s">
        <v>7139</v>
      </c>
      <c r="F421" s="1372">
        <v>4.7899999999999998E-2</v>
      </c>
      <c r="H421" s="1373">
        <v>3.3E-3</v>
      </c>
      <c r="I421" s="1373">
        <f t="shared" si="6"/>
        <v>4.4600000000000001E-2</v>
      </c>
      <c r="J421" s="1371">
        <v>22251</v>
      </c>
    </row>
    <row r="422" spans="2:10" x14ac:dyDescent="0.45">
      <c r="B422" s="1371">
        <v>22282</v>
      </c>
      <c r="C422" s="1370" t="s">
        <v>7139</v>
      </c>
      <c r="F422" s="1372">
        <v>6.4500000000000002E-2</v>
      </c>
      <c r="H422" s="1373">
        <v>3.3E-3</v>
      </c>
      <c r="I422" s="1373">
        <f t="shared" si="6"/>
        <v>6.1200000000000004E-2</v>
      </c>
      <c r="J422" s="1371">
        <v>22282</v>
      </c>
    </row>
    <row r="423" spans="2:10" x14ac:dyDescent="0.45">
      <c r="B423" s="1371">
        <v>22313</v>
      </c>
      <c r="C423" s="1370" t="s">
        <v>7139</v>
      </c>
      <c r="F423" s="1372">
        <v>3.1899999999999998E-2</v>
      </c>
      <c r="H423" s="1373">
        <v>3.0000000000000001E-3</v>
      </c>
      <c r="I423" s="1373">
        <f t="shared" si="6"/>
        <v>2.8899999999999999E-2</v>
      </c>
      <c r="J423" s="1371">
        <v>22313</v>
      </c>
    </row>
    <row r="424" spans="2:10" x14ac:dyDescent="0.45">
      <c r="B424" s="1371">
        <v>22341</v>
      </c>
      <c r="C424" s="1370" t="s">
        <v>7139</v>
      </c>
      <c r="F424" s="1372">
        <v>2.7E-2</v>
      </c>
      <c r="H424" s="1373">
        <v>3.0999999999999999E-3</v>
      </c>
      <c r="I424" s="1373">
        <f t="shared" si="6"/>
        <v>2.3900000000000001E-2</v>
      </c>
      <c r="J424" s="1371">
        <v>22341</v>
      </c>
    </row>
    <row r="425" spans="2:10" x14ac:dyDescent="0.45">
      <c r="B425" s="1371">
        <v>22372</v>
      </c>
      <c r="C425" s="1370" t="s">
        <v>7139</v>
      </c>
      <c r="F425" s="1372">
        <v>5.1000000000000004E-3</v>
      </c>
      <c r="H425" s="1373">
        <v>3.0999999999999999E-3</v>
      </c>
      <c r="I425" s="1373">
        <f t="shared" si="6"/>
        <v>2.0000000000000005E-3</v>
      </c>
      <c r="J425" s="1371">
        <v>22372</v>
      </c>
    </row>
    <row r="426" spans="2:10" x14ac:dyDescent="0.45">
      <c r="B426" s="1371">
        <v>22402</v>
      </c>
      <c r="C426" s="1370" t="s">
        <v>7139</v>
      </c>
      <c r="F426" s="1372">
        <v>2.3900000000000001E-2</v>
      </c>
      <c r="H426" s="1373">
        <v>3.3999999999999998E-3</v>
      </c>
      <c r="I426" s="1373">
        <f t="shared" si="6"/>
        <v>2.0500000000000001E-2</v>
      </c>
      <c r="J426" s="1371">
        <v>22402</v>
      </c>
    </row>
    <row r="427" spans="2:10" x14ac:dyDescent="0.45">
      <c r="B427" s="1371">
        <v>22433</v>
      </c>
      <c r="C427" s="1370" t="s">
        <v>7139</v>
      </c>
      <c r="F427" s="1372">
        <v>-2.75E-2</v>
      </c>
      <c r="H427" s="1373">
        <v>3.2000000000000002E-3</v>
      </c>
      <c r="I427" s="1373">
        <f t="shared" si="6"/>
        <v>-3.0700000000000002E-2</v>
      </c>
      <c r="J427" s="1371">
        <v>22433</v>
      </c>
    </row>
    <row r="428" spans="2:10" x14ac:dyDescent="0.45">
      <c r="B428" s="1371">
        <v>22463</v>
      </c>
      <c r="C428" s="1370" t="s">
        <v>7139</v>
      </c>
      <c r="F428" s="1372">
        <v>3.4200000000000001E-2</v>
      </c>
      <c r="H428" s="1373">
        <v>3.3E-3</v>
      </c>
      <c r="I428" s="1373">
        <f t="shared" si="6"/>
        <v>3.09E-2</v>
      </c>
      <c r="J428" s="1371">
        <v>22463</v>
      </c>
    </row>
    <row r="429" spans="2:10" x14ac:dyDescent="0.45">
      <c r="B429" s="1371">
        <v>22494</v>
      </c>
      <c r="C429" s="1370" t="s">
        <v>7139</v>
      </c>
      <c r="F429" s="1372">
        <v>2.4299999999999999E-2</v>
      </c>
      <c r="H429" s="1373">
        <v>3.3E-3</v>
      </c>
      <c r="I429" s="1373">
        <f t="shared" si="6"/>
        <v>2.0999999999999998E-2</v>
      </c>
      <c r="J429" s="1371">
        <v>22494</v>
      </c>
    </row>
    <row r="430" spans="2:10" x14ac:dyDescent="0.45">
      <c r="B430" s="1371">
        <v>22525</v>
      </c>
      <c r="C430" s="1370" t="s">
        <v>7139</v>
      </c>
      <c r="F430" s="1372">
        <v>-1.84E-2</v>
      </c>
      <c r="H430" s="1373">
        <v>3.2000000000000002E-3</v>
      </c>
      <c r="I430" s="1373">
        <f t="shared" si="6"/>
        <v>-2.1600000000000001E-2</v>
      </c>
      <c r="J430" s="1371">
        <v>22525</v>
      </c>
    </row>
    <row r="431" spans="2:10" x14ac:dyDescent="0.45">
      <c r="B431" s="1371">
        <v>22555</v>
      </c>
      <c r="C431" s="1370" t="s">
        <v>7139</v>
      </c>
      <c r="F431" s="1372">
        <v>2.98E-2</v>
      </c>
      <c r="H431" s="1373">
        <v>3.3999999999999998E-3</v>
      </c>
      <c r="I431" s="1373">
        <f t="shared" si="6"/>
        <v>2.64E-2</v>
      </c>
      <c r="J431" s="1371">
        <v>22555</v>
      </c>
    </row>
    <row r="432" spans="2:10" x14ac:dyDescent="0.45">
      <c r="B432" s="1371">
        <v>22586</v>
      </c>
      <c r="C432" s="1370" t="s">
        <v>7139</v>
      </c>
      <c r="F432" s="1372">
        <v>4.4699999999999997E-2</v>
      </c>
      <c r="H432" s="1373">
        <v>3.2000000000000002E-3</v>
      </c>
      <c r="I432" s="1373">
        <f t="shared" si="6"/>
        <v>4.1499999999999995E-2</v>
      </c>
      <c r="J432" s="1371">
        <v>22586</v>
      </c>
    </row>
    <row r="433" spans="2:10" x14ac:dyDescent="0.45">
      <c r="B433" s="1371">
        <v>22616</v>
      </c>
      <c r="C433" s="1370" t="s">
        <v>7139</v>
      </c>
      <c r="F433" s="1372">
        <v>4.5999999999999999E-3</v>
      </c>
      <c r="H433" s="1373">
        <v>3.0999999999999999E-3</v>
      </c>
      <c r="I433" s="1373">
        <f t="shared" si="6"/>
        <v>1.5E-3</v>
      </c>
      <c r="J433" s="1371">
        <v>22616</v>
      </c>
    </row>
    <row r="434" spans="2:10" x14ac:dyDescent="0.45">
      <c r="B434" s="1371">
        <v>22647</v>
      </c>
      <c r="C434" s="1370" t="s">
        <v>7139</v>
      </c>
      <c r="F434" s="1372">
        <v>-3.6600000000000001E-2</v>
      </c>
      <c r="H434" s="1373">
        <v>3.7000000000000002E-3</v>
      </c>
      <c r="I434" s="1373">
        <f t="shared" si="6"/>
        <v>-4.0300000000000002E-2</v>
      </c>
      <c r="J434" s="1371">
        <v>22647</v>
      </c>
    </row>
    <row r="435" spans="2:10" x14ac:dyDescent="0.45">
      <c r="B435" s="1371">
        <v>22678</v>
      </c>
      <c r="C435" s="1370" t="s">
        <v>7139</v>
      </c>
      <c r="F435" s="1372">
        <v>2.0899999999999998E-2</v>
      </c>
      <c r="H435" s="1373">
        <v>3.2000000000000002E-3</v>
      </c>
      <c r="I435" s="1373">
        <f t="shared" si="6"/>
        <v>1.7699999999999997E-2</v>
      </c>
      <c r="J435" s="1371">
        <v>22678</v>
      </c>
    </row>
    <row r="436" spans="2:10" x14ac:dyDescent="0.45">
      <c r="B436" s="1371">
        <v>22706</v>
      </c>
      <c r="C436" s="1370" t="s">
        <v>7139</v>
      </c>
      <c r="F436" s="1372">
        <v>-4.5999999999999999E-3</v>
      </c>
      <c r="H436" s="1373">
        <v>3.3E-3</v>
      </c>
      <c r="I436" s="1373">
        <f t="shared" si="6"/>
        <v>-7.9000000000000008E-3</v>
      </c>
      <c r="J436" s="1371">
        <v>22706</v>
      </c>
    </row>
    <row r="437" spans="2:10" x14ac:dyDescent="0.45">
      <c r="B437" s="1371">
        <v>22737</v>
      </c>
      <c r="C437" s="1370" t="s">
        <v>7139</v>
      </c>
      <c r="F437" s="1372">
        <v>-6.0699999999999997E-2</v>
      </c>
      <c r="H437" s="1373">
        <v>3.3E-3</v>
      </c>
      <c r="I437" s="1373">
        <f t="shared" si="6"/>
        <v>-6.4000000000000001E-2</v>
      </c>
      <c r="J437" s="1371">
        <v>22737</v>
      </c>
    </row>
    <row r="438" spans="2:10" x14ac:dyDescent="0.45">
      <c r="B438" s="1371">
        <v>22767</v>
      </c>
      <c r="C438" s="1370" t="s">
        <v>7139</v>
      </c>
      <c r="F438" s="1372">
        <v>-8.1100000000000005E-2</v>
      </c>
      <c r="H438" s="1373">
        <v>3.2000000000000002E-3</v>
      </c>
      <c r="I438" s="1373">
        <f t="shared" si="6"/>
        <v>-8.43E-2</v>
      </c>
      <c r="J438" s="1371">
        <v>22767</v>
      </c>
    </row>
    <row r="439" spans="2:10" x14ac:dyDescent="0.45">
      <c r="B439" s="1371">
        <v>22798</v>
      </c>
      <c r="C439" s="1370" t="s">
        <v>7139</v>
      </c>
      <c r="F439" s="1372">
        <v>-8.0299999999999996E-2</v>
      </c>
      <c r="H439" s="1373">
        <v>3.0000000000000001E-3</v>
      </c>
      <c r="I439" s="1373">
        <f t="shared" si="6"/>
        <v>-8.3299999999999999E-2</v>
      </c>
      <c r="J439" s="1371">
        <v>22798</v>
      </c>
    </row>
    <row r="440" spans="2:10" x14ac:dyDescent="0.45">
      <c r="B440" s="1371">
        <v>22828</v>
      </c>
      <c r="C440" s="1370" t="s">
        <v>7139</v>
      </c>
      <c r="F440" s="1372">
        <v>6.5199999999999994E-2</v>
      </c>
      <c r="H440" s="1373">
        <v>3.3999999999999998E-3</v>
      </c>
      <c r="I440" s="1373">
        <f t="shared" si="6"/>
        <v>6.1799999999999994E-2</v>
      </c>
      <c r="J440" s="1371">
        <v>22828</v>
      </c>
    </row>
    <row r="441" spans="2:10" x14ac:dyDescent="0.45">
      <c r="B441" s="1371">
        <v>22859</v>
      </c>
      <c r="C441" s="1370" t="s">
        <v>7139</v>
      </c>
      <c r="F441" s="1372">
        <v>2.0799999999999999E-2</v>
      </c>
      <c r="H441" s="1373">
        <v>3.3999999999999998E-3</v>
      </c>
      <c r="I441" s="1373">
        <f t="shared" si="6"/>
        <v>1.7399999999999999E-2</v>
      </c>
      <c r="J441" s="1371">
        <v>22859</v>
      </c>
    </row>
    <row r="442" spans="2:10" x14ac:dyDescent="0.45">
      <c r="B442" s="1371">
        <v>22890</v>
      </c>
      <c r="C442" s="1370" t="s">
        <v>7139</v>
      </c>
      <c r="F442" s="1372">
        <v>-4.65E-2</v>
      </c>
      <c r="H442" s="1373">
        <v>3.0000000000000001E-3</v>
      </c>
      <c r="I442" s="1373">
        <f t="shared" si="6"/>
        <v>-4.9500000000000002E-2</v>
      </c>
      <c r="J442" s="1371">
        <v>22890</v>
      </c>
    </row>
    <row r="443" spans="2:10" x14ac:dyDescent="0.45">
      <c r="B443" s="1371">
        <v>22920</v>
      </c>
      <c r="C443" s="1370" t="s">
        <v>7139</v>
      </c>
      <c r="F443" s="1372">
        <v>6.4000000000000003E-3</v>
      </c>
      <c r="H443" s="1373">
        <v>3.5000000000000001E-3</v>
      </c>
      <c r="I443" s="1373">
        <f t="shared" si="6"/>
        <v>2.9000000000000002E-3</v>
      </c>
      <c r="J443" s="1371">
        <v>22920</v>
      </c>
    </row>
    <row r="444" spans="2:10" x14ac:dyDescent="0.45">
      <c r="B444" s="1371">
        <v>22951</v>
      </c>
      <c r="C444" s="1370" t="s">
        <v>7139</v>
      </c>
      <c r="F444" s="1372">
        <v>0.1086</v>
      </c>
      <c r="H444" s="1373">
        <v>3.0999999999999999E-3</v>
      </c>
      <c r="I444" s="1373">
        <f t="shared" si="6"/>
        <v>0.1055</v>
      </c>
      <c r="J444" s="1371">
        <v>22951</v>
      </c>
    </row>
    <row r="445" spans="2:10" x14ac:dyDescent="0.45">
      <c r="B445" s="1371">
        <v>22981</v>
      </c>
      <c r="C445" s="1370" t="s">
        <v>7139</v>
      </c>
      <c r="F445" s="1372">
        <v>1.5299999999999999E-2</v>
      </c>
      <c r="H445" s="1373">
        <v>3.2000000000000002E-3</v>
      </c>
      <c r="I445" s="1373">
        <f t="shared" si="6"/>
        <v>1.21E-2</v>
      </c>
      <c r="J445" s="1371">
        <v>22981</v>
      </c>
    </row>
    <row r="446" spans="2:10" x14ac:dyDescent="0.45">
      <c r="B446" s="1371">
        <v>23012</v>
      </c>
      <c r="C446" s="1370" t="s">
        <v>7139</v>
      </c>
      <c r="F446" s="1372">
        <v>5.0599999999999999E-2</v>
      </c>
      <c r="H446" s="1373">
        <v>3.2000000000000002E-3</v>
      </c>
      <c r="I446" s="1373">
        <f t="shared" si="6"/>
        <v>4.7399999999999998E-2</v>
      </c>
      <c r="J446" s="1371">
        <v>23012</v>
      </c>
    </row>
    <row r="447" spans="2:10" x14ac:dyDescent="0.45">
      <c r="B447" s="1371">
        <v>23043</v>
      </c>
      <c r="C447" s="1370" t="s">
        <v>7139</v>
      </c>
      <c r="F447" s="1372">
        <v>-2.3900000000000001E-2</v>
      </c>
      <c r="H447" s="1373">
        <v>2.8999999999999998E-3</v>
      </c>
      <c r="I447" s="1373">
        <f t="shared" si="6"/>
        <v>-2.6800000000000001E-2</v>
      </c>
      <c r="J447" s="1371">
        <v>23043</v>
      </c>
    </row>
    <row r="448" spans="2:10" x14ac:dyDescent="0.45">
      <c r="B448" s="1371">
        <v>23071</v>
      </c>
      <c r="C448" s="1370" t="s">
        <v>7139</v>
      </c>
      <c r="F448" s="1372">
        <v>3.6999999999999998E-2</v>
      </c>
      <c r="H448" s="1373">
        <v>3.0999999999999999E-3</v>
      </c>
      <c r="I448" s="1373">
        <f t="shared" si="6"/>
        <v>3.39E-2</v>
      </c>
      <c r="J448" s="1371">
        <v>23071</v>
      </c>
    </row>
    <row r="449" spans="2:10" x14ac:dyDescent="0.45">
      <c r="B449" s="1371">
        <v>23102</v>
      </c>
      <c r="C449" s="1370" t="s">
        <v>7139</v>
      </c>
      <c r="F449" s="1372">
        <v>0.05</v>
      </c>
      <c r="H449" s="1373">
        <v>3.3999999999999998E-3</v>
      </c>
      <c r="I449" s="1373">
        <f t="shared" si="6"/>
        <v>4.6600000000000003E-2</v>
      </c>
      <c r="J449" s="1371">
        <v>23102</v>
      </c>
    </row>
    <row r="450" spans="2:10" x14ac:dyDescent="0.45">
      <c r="B450" s="1371">
        <v>23132</v>
      </c>
      <c r="C450" s="1370" t="s">
        <v>7139</v>
      </c>
      <c r="F450" s="1372">
        <v>1.9300000000000001E-2</v>
      </c>
      <c r="H450" s="1373">
        <v>3.3E-3</v>
      </c>
      <c r="I450" s="1373">
        <f t="shared" ref="I450:I513" si="7">F450-H450</f>
        <v>1.6E-2</v>
      </c>
      <c r="J450" s="1371">
        <v>23132</v>
      </c>
    </row>
    <row r="451" spans="2:10" x14ac:dyDescent="0.45">
      <c r="B451" s="1371">
        <v>23163</v>
      </c>
      <c r="C451" s="1370" t="s">
        <v>7139</v>
      </c>
      <c r="F451" s="1372">
        <v>-1.8800000000000001E-2</v>
      </c>
      <c r="H451" s="1373">
        <v>3.0000000000000001E-3</v>
      </c>
      <c r="I451" s="1373">
        <f t="shared" si="7"/>
        <v>-2.18E-2</v>
      </c>
      <c r="J451" s="1371">
        <v>23163</v>
      </c>
    </row>
    <row r="452" spans="2:10" x14ac:dyDescent="0.45">
      <c r="B452" s="1371">
        <v>23193</v>
      </c>
      <c r="C452" s="1370" t="s">
        <v>7139</v>
      </c>
      <c r="F452" s="1372">
        <v>-2.2000000000000001E-3</v>
      </c>
      <c r="H452" s="1373">
        <v>3.5999999999999999E-3</v>
      </c>
      <c r="I452" s="1373">
        <f t="shared" si="7"/>
        <v>-5.7999999999999996E-3</v>
      </c>
      <c r="J452" s="1371">
        <v>23193</v>
      </c>
    </row>
    <row r="453" spans="2:10" x14ac:dyDescent="0.45">
      <c r="B453" s="1371">
        <v>23224</v>
      </c>
      <c r="C453" s="1370" t="s">
        <v>7139</v>
      </c>
      <c r="F453" s="1372">
        <v>5.3499999999999999E-2</v>
      </c>
      <c r="H453" s="1373">
        <v>3.3E-3</v>
      </c>
      <c r="I453" s="1373">
        <f t="shared" si="7"/>
        <v>5.0200000000000002E-2</v>
      </c>
      <c r="J453" s="1371">
        <v>23224</v>
      </c>
    </row>
    <row r="454" spans="2:10" x14ac:dyDescent="0.45">
      <c r="B454" s="1371">
        <v>23255</v>
      </c>
      <c r="C454" s="1370" t="s">
        <v>7139</v>
      </c>
      <c r="F454" s="1372">
        <v>-9.7000000000000003E-3</v>
      </c>
      <c r="H454" s="1373">
        <v>3.3999999999999998E-3</v>
      </c>
      <c r="I454" s="1373">
        <f t="shared" si="7"/>
        <v>-1.3100000000000001E-2</v>
      </c>
      <c r="J454" s="1371">
        <v>23255</v>
      </c>
    </row>
    <row r="455" spans="2:10" x14ac:dyDescent="0.45">
      <c r="B455" s="1371">
        <v>23285</v>
      </c>
      <c r="C455" s="1370" t="s">
        <v>7139</v>
      </c>
      <c r="F455" s="1372">
        <v>3.39E-2</v>
      </c>
      <c r="H455" s="1373">
        <v>3.3999999999999998E-3</v>
      </c>
      <c r="I455" s="1373">
        <f t="shared" si="7"/>
        <v>3.0499999999999999E-2</v>
      </c>
      <c r="J455" s="1371">
        <v>23285</v>
      </c>
    </row>
    <row r="456" spans="2:10" x14ac:dyDescent="0.45">
      <c r="B456" s="1371">
        <v>23316</v>
      </c>
      <c r="C456" s="1370" t="s">
        <v>7139</v>
      </c>
      <c r="F456" s="1372">
        <v>-4.5999999999999999E-3</v>
      </c>
      <c r="H456" s="1373">
        <v>3.2000000000000002E-3</v>
      </c>
      <c r="I456" s="1373">
        <f t="shared" si="7"/>
        <v>-7.7999999999999996E-3</v>
      </c>
      <c r="J456" s="1371">
        <v>23316</v>
      </c>
    </row>
    <row r="457" spans="2:10" x14ac:dyDescent="0.45">
      <c r="B457" s="1371">
        <v>23346</v>
      </c>
      <c r="C457" s="1370" t="s">
        <v>7139</v>
      </c>
      <c r="F457" s="1372">
        <v>2.6200000000000001E-2</v>
      </c>
      <c r="H457" s="1373">
        <v>3.5999999999999999E-3</v>
      </c>
      <c r="I457" s="1373">
        <f t="shared" si="7"/>
        <v>2.2600000000000002E-2</v>
      </c>
      <c r="J457" s="1371">
        <v>23346</v>
      </c>
    </row>
    <row r="458" spans="2:10" x14ac:dyDescent="0.45">
      <c r="B458" s="1371">
        <v>23377</v>
      </c>
      <c r="C458" s="1370" t="s">
        <v>7139</v>
      </c>
      <c r="F458" s="1372">
        <v>2.8299999999999999E-2</v>
      </c>
      <c r="H458" s="1373">
        <v>3.5000000000000001E-3</v>
      </c>
      <c r="I458" s="1373">
        <f t="shared" si="7"/>
        <v>2.4799999999999999E-2</v>
      </c>
      <c r="J458" s="1371">
        <v>23377</v>
      </c>
    </row>
    <row r="459" spans="2:10" x14ac:dyDescent="0.45">
      <c r="B459" s="1371">
        <v>23408</v>
      </c>
      <c r="C459" s="1370" t="s">
        <v>7139</v>
      </c>
      <c r="F459" s="1372">
        <v>1.47E-2</v>
      </c>
      <c r="H459" s="1373">
        <v>3.2000000000000002E-3</v>
      </c>
      <c r="I459" s="1373">
        <f t="shared" si="7"/>
        <v>1.15E-2</v>
      </c>
      <c r="J459" s="1371">
        <v>23408</v>
      </c>
    </row>
    <row r="460" spans="2:10" x14ac:dyDescent="0.45">
      <c r="B460" s="1371">
        <v>23437</v>
      </c>
      <c r="C460" s="1370" t="s">
        <v>7139</v>
      </c>
      <c r="F460" s="1372">
        <v>1.6500000000000001E-2</v>
      </c>
      <c r="H460" s="1373">
        <v>3.7000000000000002E-3</v>
      </c>
      <c r="I460" s="1373">
        <f t="shared" si="7"/>
        <v>1.2800000000000001E-2</v>
      </c>
      <c r="J460" s="1371">
        <v>23437</v>
      </c>
    </row>
    <row r="461" spans="2:10" x14ac:dyDescent="0.45">
      <c r="B461" s="1371">
        <v>23468</v>
      </c>
      <c r="C461" s="1370" t="s">
        <v>7139</v>
      </c>
      <c r="F461" s="1372">
        <v>7.4999999999999997E-3</v>
      </c>
      <c r="H461" s="1373">
        <v>3.5000000000000001E-3</v>
      </c>
      <c r="I461" s="1373">
        <f t="shared" si="7"/>
        <v>4.0000000000000001E-3</v>
      </c>
      <c r="J461" s="1371">
        <v>23468</v>
      </c>
    </row>
    <row r="462" spans="2:10" x14ac:dyDescent="0.45">
      <c r="B462" s="1371">
        <v>23498</v>
      </c>
      <c r="C462" s="1370" t="s">
        <v>7139</v>
      </c>
      <c r="F462" s="1372">
        <v>1.6199999999999999E-2</v>
      </c>
      <c r="H462" s="1373">
        <v>3.2000000000000002E-3</v>
      </c>
      <c r="I462" s="1373">
        <f t="shared" si="7"/>
        <v>1.2999999999999999E-2</v>
      </c>
      <c r="J462" s="1371">
        <v>23498</v>
      </c>
    </row>
    <row r="463" spans="2:10" x14ac:dyDescent="0.45">
      <c r="B463" s="1371">
        <v>23529</v>
      </c>
      <c r="C463" s="1370" t="s">
        <v>7139</v>
      </c>
      <c r="F463" s="1372">
        <v>1.78E-2</v>
      </c>
      <c r="H463" s="1373">
        <v>3.8E-3</v>
      </c>
      <c r="I463" s="1373">
        <f t="shared" si="7"/>
        <v>1.4E-2</v>
      </c>
      <c r="J463" s="1371">
        <v>23529</v>
      </c>
    </row>
    <row r="464" spans="2:10" x14ac:dyDescent="0.45">
      <c r="B464" s="1371">
        <v>23559</v>
      </c>
      <c r="C464" s="1370" t="s">
        <v>7139</v>
      </c>
      <c r="F464" s="1372">
        <v>1.95E-2</v>
      </c>
      <c r="H464" s="1373">
        <v>3.5000000000000001E-3</v>
      </c>
      <c r="I464" s="1373">
        <f t="shared" si="7"/>
        <v>1.6E-2</v>
      </c>
      <c r="J464" s="1371">
        <v>23559</v>
      </c>
    </row>
    <row r="465" spans="2:10" x14ac:dyDescent="0.45">
      <c r="B465" s="1371">
        <v>23590</v>
      </c>
      <c r="C465" s="1370" t="s">
        <v>7139</v>
      </c>
      <c r="F465" s="1372">
        <v>-1.18E-2</v>
      </c>
      <c r="H465" s="1373">
        <v>3.5000000000000001E-3</v>
      </c>
      <c r="I465" s="1373">
        <f t="shared" si="7"/>
        <v>-1.5299999999999999E-2</v>
      </c>
      <c r="J465" s="1371">
        <v>23590</v>
      </c>
    </row>
    <row r="466" spans="2:10" x14ac:dyDescent="0.45">
      <c r="B466" s="1371">
        <v>23621</v>
      </c>
      <c r="C466" s="1370" t="s">
        <v>7139</v>
      </c>
      <c r="F466" s="1372">
        <v>3.0099999999999998E-2</v>
      </c>
      <c r="H466" s="1373">
        <v>3.3999999999999998E-3</v>
      </c>
      <c r="I466" s="1373">
        <f t="shared" si="7"/>
        <v>2.6699999999999998E-2</v>
      </c>
      <c r="J466" s="1371">
        <v>23621</v>
      </c>
    </row>
    <row r="467" spans="2:10" x14ac:dyDescent="0.45">
      <c r="B467" s="1371">
        <v>23651</v>
      </c>
      <c r="C467" s="1370" t="s">
        <v>7139</v>
      </c>
      <c r="F467" s="1372">
        <v>9.5999999999999992E-3</v>
      </c>
      <c r="H467" s="1373">
        <v>3.3999999999999998E-3</v>
      </c>
      <c r="I467" s="1373">
        <f t="shared" si="7"/>
        <v>6.1999999999999989E-3</v>
      </c>
      <c r="J467" s="1371">
        <v>23651</v>
      </c>
    </row>
    <row r="468" spans="2:10" x14ac:dyDescent="0.45">
      <c r="B468" s="1371">
        <v>23682</v>
      </c>
      <c r="C468" s="1370" t="s">
        <v>7139</v>
      </c>
      <c r="F468" s="1372">
        <v>5.0000000000000001E-4</v>
      </c>
      <c r="H468" s="1373">
        <v>3.5000000000000001E-3</v>
      </c>
      <c r="I468" s="1373">
        <f t="shared" si="7"/>
        <v>-3.0000000000000001E-3</v>
      </c>
      <c r="J468" s="1371">
        <v>23682</v>
      </c>
    </row>
    <row r="469" spans="2:10" x14ac:dyDescent="0.45">
      <c r="B469" s="1371">
        <v>23712</v>
      </c>
      <c r="C469" s="1370" t="s">
        <v>7139</v>
      </c>
      <c r="F469" s="1372">
        <v>5.5999999999999999E-3</v>
      </c>
      <c r="H469" s="1373">
        <v>3.5000000000000001E-3</v>
      </c>
      <c r="I469" s="1373">
        <f t="shared" si="7"/>
        <v>2.0999999999999999E-3</v>
      </c>
      <c r="J469" s="1371">
        <v>23712</v>
      </c>
    </row>
    <row r="470" spans="2:10" x14ac:dyDescent="0.45">
      <c r="B470" s="1371">
        <v>23743</v>
      </c>
      <c r="C470" s="1370" t="s">
        <v>7139</v>
      </c>
      <c r="F470" s="1372">
        <v>3.4500000000000003E-2</v>
      </c>
      <c r="H470" s="1373">
        <v>3.3E-3</v>
      </c>
      <c r="I470" s="1373">
        <f t="shared" si="7"/>
        <v>3.1200000000000002E-2</v>
      </c>
      <c r="J470" s="1371">
        <v>23743</v>
      </c>
    </row>
    <row r="471" spans="2:10" x14ac:dyDescent="0.45">
      <c r="B471" s="1371">
        <v>23774</v>
      </c>
      <c r="C471" s="1370" t="s">
        <v>7139</v>
      </c>
      <c r="F471" s="1372">
        <v>3.0999999999999999E-3</v>
      </c>
      <c r="H471" s="1373">
        <v>3.2000000000000002E-3</v>
      </c>
      <c r="I471" s="1373">
        <f t="shared" si="7"/>
        <v>-1.0000000000000026E-4</v>
      </c>
      <c r="J471" s="1371">
        <v>23774</v>
      </c>
    </row>
    <row r="472" spans="2:10" x14ac:dyDescent="0.45">
      <c r="B472" s="1371">
        <v>23802</v>
      </c>
      <c r="C472" s="1370" t="s">
        <v>7139</v>
      </c>
      <c r="F472" s="1372">
        <v>-1.3299999999999999E-2</v>
      </c>
      <c r="H472" s="1373">
        <v>3.8E-3</v>
      </c>
      <c r="I472" s="1373">
        <f t="shared" si="7"/>
        <v>-1.7100000000000001E-2</v>
      </c>
      <c r="J472" s="1371">
        <v>23802</v>
      </c>
    </row>
    <row r="473" spans="2:10" x14ac:dyDescent="0.45">
      <c r="B473" s="1371">
        <v>23833</v>
      </c>
      <c r="C473" s="1370" t="s">
        <v>7139</v>
      </c>
      <c r="F473" s="1372">
        <v>3.56E-2</v>
      </c>
      <c r="H473" s="1373">
        <v>3.3E-3</v>
      </c>
      <c r="I473" s="1373">
        <f t="shared" si="7"/>
        <v>3.2300000000000002E-2</v>
      </c>
      <c r="J473" s="1371">
        <v>23833</v>
      </c>
    </row>
    <row r="474" spans="2:10" x14ac:dyDescent="0.45">
      <c r="B474" s="1371">
        <v>23863</v>
      </c>
      <c r="C474" s="1370" t="s">
        <v>7139</v>
      </c>
      <c r="F474" s="1372">
        <v>-3.0000000000000001E-3</v>
      </c>
      <c r="H474" s="1373">
        <v>3.3E-3</v>
      </c>
      <c r="I474" s="1373">
        <f t="shared" si="7"/>
        <v>-6.3E-3</v>
      </c>
      <c r="J474" s="1371">
        <v>23863</v>
      </c>
    </row>
    <row r="475" spans="2:10" x14ac:dyDescent="0.45">
      <c r="B475" s="1371">
        <v>23894</v>
      </c>
      <c r="C475" s="1370" t="s">
        <v>7139</v>
      </c>
      <c r="F475" s="1372">
        <v>-4.7300000000000002E-2</v>
      </c>
      <c r="H475" s="1373">
        <v>3.8E-3</v>
      </c>
      <c r="I475" s="1373">
        <f t="shared" si="7"/>
        <v>-5.11E-2</v>
      </c>
      <c r="J475" s="1371">
        <v>23894</v>
      </c>
    </row>
    <row r="476" spans="2:10" x14ac:dyDescent="0.45">
      <c r="B476" s="1371">
        <v>23924</v>
      </c>
      <c r="C476" s="1370" t="s">
        <v>7139</v>
      </c>
      <c r="F476" s="1372">
        <v>1.47E-2</v>
      </c>
      <c r="H476" s="1373">
        <v>3.3999999999999998E-3</v>
      </c>
      <c r="I476" s="1373">
        <f t="shared" si="7"/>
        <v>1.1299999999999999E-2</v>
      </c>
      <c r="J476" s="1371">
        <v>23924</v>
      </c>
    </row>
    <row r="477" spans="2:10" x14ac:dyDescent="0.45">
      <c r="B477" s="1371">
        <v>23955</v>
      </c>
      <c r="C477" s="1370" t="s">
        <v>7139</v>
      </c>
      <c r="F477" s="1372">
        <v>2.7199999999999998E-2</v>
      </c>
      <c r="H477" s="1373">
        <v>3.7000000000000002E-3</v>
      </c>
      <c r="I477" s="1373">
        <f t="shared" si="7"/>
        <v>2.35E-2</v>
      </c>
      <c r="J477" s="1371">
        <v>23955</v>
      </c>
    </row>
    <row r="478" spans="2:10" x14ac:dyDescent="0.45">
      <c r="B478" s="1371">
        <v>23986</v>
      </c>
      <c r="C478" s="1370" t="s">
        <v>7139</v>
      </c>
      <c r="F478" s="1372">
        <v>3.3399999999999999E-2</v>
      </c>
      <c r="H478" s="1373">
        <v>3.5000000000000001E-3</v>
      </c>
      <c r="I478" s="1373">
        <f t="shared" si="7"/>
        <v>2.9899999999999999E-2</v>
      </c>
      <c r="J478" s="1371">
        <v>23986</v>
      </c>
    </row>
    <row r="479" spans="2:10" x14ac:dyDescent="0.45">
      <c r="B479" s="1371">
        <v>24016</v>
      </c>
      <c r="C479" s="1370" t="s">
        <v>7139</v>
      </c>
      <c r="F479" s="1372">
        <v>2.8899999999999999E-2</v>
      </c>
      <c r="H479" s="1373">
        <v>3.3999999999999998E-3</v>
      </c>
      <c r="I479" s="1373">
        <f t="shared" si="7"/>
        <v>2.5499999999999998E-2</v>
      </c>
      <c r="J479" s="1371">
        <v>24016</v>
      </c>
    </row>
    <row r="480" spans="2:10" x14ac:dyDescent="0.45">
      <c r="B480" s="1371">
        <v>24047</v>
      </c>
      <c r="C480" s="1370" t="s">
        <v>7139</v>
      </c>
      <c r="F480" s="1372">
        <v>-3.0999999999999999E-3</v>
      </c>
      <c r="H480" s="1373">
        <v>3.7000000000000002E-3</v>
      </c>
      <c r="I480" s="1373">
        <f t="shared" si="7"/>
        <v>-6.8000000000000005E-3</v>
      </c>
      <c r="J480" s="1371">
        <v>24047</v>
      </c>
    </row>
    <row r="481" spans="2:10" x14ac:dyDescent="0.45">
      <c r="B481" s="1371">
        <v>24077</v>
      </c>
      <c r="C481" s="1370" t="s">
        <v>7139</v>
      </c>
      <c r="F481" s="1372">
        <v>1.06E-2</v>
      </c>
      <c r="H481" s="1373">
        <v>3.7000000000000002E-3</v>
      </c>
      <c r="I481" s="1373">
        <f t="shared" si="7"/>
        <v>6.8999999999999999E-3</v>
      </c>
      <c r="J481" s="1371">
        <v>24077</v>
      </c>
    </row>
    <row r="482" spans="2:10" x14ac:dyDescent="0.45">
      <c r="B482" s="1371">
        <v>24108</v>
      </c>
      <c r="C482" s="1370" t="s">
        <v>7139</v>
      </c>
      <c r="F482" s="1372">
        <v>6.1999999999999998E-3</v>
      </c>
      <c r="H482" s="1373">
        <v>3.8E-3</v>
      </c>
      <c r="I482" s="1373">
        <f t="shared" si="7"/>
        <v>2.3999999999999998E-3</v>
      </c>
      <c r="J482" s="1371">
        <v>24108</v>
      </c>
    </row>
    <row r="483" spans="2:10" x14ac:dyDescent="0.45">
      <c r="B483" s="1371">
        <v>24139</v>
      </c>
      <c r="C483" s="1370" t="s">
        <v>7139</v>
      </c>
      <c r="F483" s="1372">
        <v>-1.3100000000000001E-2</v>
      </c>
      <c r="H483" s="1373">
        <v>3.3999999999999998E-3</v>
      </c>
      <c r="I483" s="1373">
        <f t="shared" si="7"/>
        <v>-1.6500000000000001E-2</v>
      </c>
      <c r="J483" s="1371">
        <v>24139</v>
      </c>
    </row>
    <row r="484" spans="2:10" x14ac:dyDescent="0.45">
      <c r="B484" s="1371">
        <v>24167</v>
      </c>
      <c r="C484" s="1370" t="s">
        <v>7139</v>
      </c>
      <c r="F484" s="1372">
        <v>-2.0500000000000001E-2</v>
      </c>
      <c r="H484" s="1373">
        <v>4.0000000000000001E-3</v>
      </c>
      <c r="I484" s="1373">
        <f t="shared" si="7"/>
        <v>-2.4500000000000001E-2</v>
      </c>
      <c r="J484" s="1371">
        <v>24167</v>
      </c>
    </row>
    <row r="485" spans="2:10" x14ac:dyDescent="0.45">
      <c r="B485" s="1371">
        <v>24198</v>
      </c>
      <c r="C485" s="1370" t="s">
        <v>7139</v>
      </c>
      <c r="F485" s="1372">
        <v>2.1999999999999999E-2</v>
      </c>
      <c r="H485" s="1373">
        <v>3.5999999999999999E-3</v>
      </c>
      <c r="I485" s="1373">
        <f t="shared" si="7"/>
        <v>1.84E-2</v>
      </c>
      <c r="J485" s="1371">
        <v>24198</v>
      </c>
    </row>
    <row r="486" spans="2:10" x14ac:dyDescent="0.45">
      <c r="B486" s="1371">
        <v>24228</v>
      </c>
      <c r="C486" s="1370" t="s">
        <v>7139</v>
      </c>
      <c r="F486" s="1372">
        <v>-4.9200000000000001E-2</v>
      </c>
      <c r="H486" s="1373">
        <v>4.1000000000000003E-3</v>
      </c>
      <c r="I486" s="1373">
        <f t="shared" si="7"/>
        <v>-5.33E-2</v>
      </c>
      <c r="J486" s="1371">
        <v>24228</v>
      </c>
    </row>
    <row r="487" spans="2:10" x14ac:dyDescent="0.45">
      <c r="B487" s="1371">
        <v>24259</v>
      </c>
      <c r="C487" s="1370" t="s">
        <v>7139</v>
      </c>
      <c r="F487" s="1372">
        <v>-1.46E-2</v>
      </c>
      <c r="H487" s="1373">
        <v>3.8999999999999998E-3</v>
      </c>
      <c r="I487" s="1373">
        <f t="shared" si="7"/>
        <v>-1.8499999999999999E-2</v>
      </c>
      <c r="J487" s="1371">
        <v>24259</v>
      </c>
    </row>
    <row r="488" spans="2:10" x14ac:dyDescent="0.45">
      <c r="B488" s="1371">
        <v>24289</v>
      </c>
      <c r="C488" s="1370" t="s">
        <v>7139</v>
      </c>
      <c r="F488" s="1372">
        <v>-1.2E-2</v>
      </c>
      <c r="H488" s="1373">
        <v>3.8E-3</v>
      </c>
      <c r="I488" s="1373">
        <f t="shared" si="7"/>
        <v>-1.5800000000000002E-2</v>
      </c>
      <c r="J488" s="1371">
        <v>24289</v>
      </c>
    </row>
    <row r="489" spans="2:10" x14ac:dyDescent="0.45">
      <c r="B489" s="1371">
        <v>24320</v>
      </c>
      <c r="C489" s="1370" t="s">
        <v>7139</v>
      </c>
      <c r="F489" s="1372">
        <v>-7.2499999999999995E-2</v>
      </c>
      <c r="H489" s="1373">
        <v>4.3E-3</v>
      </c>
      <c r="I489" s="1373">
        <f t="shared" si="7"/>
        <v>-7.6799999999999993E-2</v>
      </c>
      <c r="J489" s="1371">
        <v>24320</v>
      </c>
    </row>
    <row r="490" spans="2:10" x14ac:dyDescent="0.45">
      <c r="B490" s="1371">
        <v>24351</v>
      </c>
      <c r="C490" s="1370" t="s">
        <v>7139</v>
      </c>
      <c r="F490" s="1372">
        <v>-5.3E-3</v>
      </c>
      <c r="H490" s="1373">
        <v>4.1000000000000003E-3</v>
      </c>
      <c r="I490" s="1373">
        <f t="shared" si="7"/>
        <v>-9.4000000000000004E-3</v>
      </c>
      <c r="J490" s="1371">
        <v>24351</v>
      </c>
    </row>
    <row r="491" spans="2:10" x14ac:dyDescent="0.45">
      <c r="B491" s="1371">
        <v>24381</v>
      </c>
      <c r="C491" s="1370" t="s">
        <v>7139</v>
      </c>
      <c r="F491" s="1372">
        <v>4.9399999999999999E-2</v>
      </c>
      <c r="H491" s="1373">
        <v>4.0000000000000001E-3</v>
      </c>
      <c r="I491" s="1373">
        <f t="shared" si="7"/>
        <v>4.5399999999999996E-2</v>
      </c>
      <c r="J491" s="1371">
        <v>24381</v>
      </c>
    </row>
    <row r="492" spans="2:10" x14ac:dyDescent="0.45">
      <c r="B492" s="1371">
        <v>24412</v>
      </c>
      <c r="C492" s="1370" t="s">
        <v>7139</v>
      </c>
      <c r="F492" s="1372">
        <v>9.4999999999999998E-3</v>
      </c>
      <c r="H492" s="1373">
        <v>3.8E-3</v>
      </c>
      <c r="I492" s="1373">
        <f t="shared" si="7"/>
        <v>5.7000000000000002E-3</v>
      </c>
      <c r="J492" s="1371">
        <v>24412</v>
      </c>
    </row>
    <row r="493" spans="2:10" x14ac:dyDescent="0.45">
      <c r="B493" s="1371">
        <v>24442</v>
      </c>
      <c r="C493" s="1370" t="s">
        <v>7139</v>
      </c>
      <c r="F493" s="1372">
        <v>2.0000000000000001E-4</v>
      </c>
      <c r="H493" s="1373">
        <v>3.8999999999999998E-3</v>
      </c>
      <c r="I493" s="1373">
        <f t="shared" si="7"/>
        <v>-3.6999999999999997E-3</v>
      </c>
      <c r="J493" s="1371">
        <v>24442</v>
      </c>
    </row>
    <row r="494" spans="2:10" x14ac:dyDescent="0.45">
      <c r="B494" s="1371">
        <v>24473</v>
      </c>
      <c r="C494" s="1370" t="s">
        <v>7139</v>
      </c>
      <c r="F494" s="1372">
        <v>7.9799999999999996E-2</v>
      </c>
      <c r="H494" s="1373">
        <v>4.0000000000000001E-3</v>
      </c>
      <c r="I494" s="1373">
        <f t="shared" si="7"/>
        <v>7.5799999999999992E-2</v>
      </c>
      <c r="J494" s="1371">
        <v>24473</v>
      </c>
    </row>
    <row r="495" spans="2:10" x14ac:dyDescent="0.45">
      <c r="B495" s="1371">
        <v>24504</v>
      </c>
      <c r="C495" s="1370" t="s">
        <v>7139</v>
      </c>
      <c r="F495" s="1372">
        <v>7.1999999999999998E-3</v>
      </c>
      <c r="H495" s="1373">
        <v>3.3999999999999998E-3</v>
      </c>
      <c r="I495" s="1373">
        <f t="shared" si="7"/>
        <v>3.8E-3</v>
      </c>
      <c r="J495" s="1371">
        <v>24504</v>
      </c>
    </row>
    <row r="496" spans="2:10" x14ac:dyDescent="0.45">
      <c r="B496" s="1371">
        <v>24532</v>
      </c>
      <c r="C496" s="1370" t="s">
        <v>7139</v>
      </c>
      <c r="F496" s="1372">
        <v>4.0899999999999999E-2</v>
      </c>
      <c r="H496" s="1373">
        <v>3.8999999999999998E-3</v>
      </c>
      <c r="I496" s="1373">
        <f t="shared" si="7"/>
        <v>3.6999999999999998E-2</v>
      </c>
      <c r="J496" s="1371">
        <v>24532</v>
      </c>
    </row>
    <row r="497" spans="2:10" x14ac:dyDescent="0.45">
      <c r="B497" s="1371">
        <v>24563</v>
      </c>
      <c r="C497" s="1370" t="s">
        <v>7139</v>
      </c>
      <c r="F497" s="1372">
        <v>4.3700000000000003E-2</v>
      </c>
      <c r="H497" s="1373">
        <v>3.5000000000000001E-3</v>
      </c>
      <c r="I497" s="1373">
        <f t="shared" si="7"/>
        <v>4.02E-2</v>
      </c>
      <c r="J497" s="1371">
        <v>24563</v>
      </c>
    </row>
    <row r="498" spans="2:10" x14ac:dyDescent="0.45">
      <c r="B498" s="1371">
        <v>24593</v>
      </c>
      <c r="C498" s="1370" t="s">
        <v>7139</v>
      </c>
      <c r="F498" s="1372">
        <v>-4.7699999999999999E-2</v>
      </c>
      <c r="H498" s="1373">
        <v>4.3E-3</v>
      </c>
      <c r="I498" s="1373">
        <f t="shared" si="7"/>
        <v>-5.1999999999999998E-2</v>
      </c>
      <c r="J498" s="1371">
        <v>24593</v>
      </c>
    </row>
    <row r="499" spans="2:10" x14ac:dyDescent="0.45">
      <c r="B499" s="1371">
        <v>24624</v>
      </c>
      <c r="C499" s="1370" t="s">
        <v>7139</v>
      </c>
      <c r="F499" s="1372">
        <v>1.9E-2</v>
      </c>
      <c r="H499" s="1373">
        <v>3.8999999999999998E-3</v>
      </c>
      <c r="I499" s="1373">
        <f t="shared" si="7"/>
        <v>1.5099999999999999E-2</v>
      </c>
      <c r="J499" s="1371">
        <v>24624</v>
      </c>
    </row>
    <row r="500" spans="2:10" x14ac:dyDescent="0.45">
      <c r="B500" s="1371">
        <v>24654</v>
      </c>
      <c r="C500" s="1370" t="s">
        <v>7139</v>
      </c>
      <c r="F500" s="1372">
        <v>4.6800000000000001E-2</v>
      </c>
      <c r="H500" s="1373">
        <v>4.3E-3</v>
      </c>
      <c r="I500" s="1373">
        <f t="shared" si="7"/>
        <v>4.2500000000000003E-2</v>
      </c>
      <c r="J500" s="1371">
        <v>24654</v>
      </c>
    </row>
    <row r="501" spans="2:10" x14ac:dyDescent="0.45">
      <c r="B501" s="1371">
        <v>24685</v>
      </c>
      <c r="C501" s="1370" t="s">
        <v>7139</v>
      </c>
      <c r="F501" s="1372">
        <v>-7.0000000000000001E-3</v>
      </c>
      <c r="H501" s="1373">
        <v>4.1999999999999997E-3</v>
      </c>
      <c r="I501" s="1373">
        <f t="shared" si="7"/>
        <v>-1.12E-2</v>
      </c>
      <c r="J501" s="1371">
        <v>24685</v>
      </c>
    </row>
    <row r="502" spans="2:10" x14ac:dyDescent="0.45">
      <c r="B502" s="1371">
        <v>24716</v>
      </c>
      <c r="C502" s="1370" t="s">
        <v>7139</v>
      </c>
      <c r="F502" s="1372">
        <v>3.4200000000000001E-2</v>
      </c>
      <c r="H502" s="1373">
        <v>4.0000000000000001E-3</v>
      </c>
      <c r="I502" s="1373">
        <f t="shared" si="7"/>
        <v>3.0200000000000001E-2</v>
      </c>
      <c r="J502" s="1371">
        <v>24716</v>
      </c>
    </row>
    <row r="503" spans="2:10" x14ac:dyDescent="0.45">
      <c r="B503" s="1371">
        <v>24746</v>
      </c>
      <c r="C503" s="1370" t="s">
        <v>7139</v>
      </c>
      <c r="F503" s="1372">
        <v>-2.76E-2</v>
      </c>
      <c r="H503" s="1373">
        <v>4.4999999999999997E-3</v>
      </c>
      <c r="I503" s="1373">
        <f t="shared" si="7"/>
        <v>-3.2099999999999997E-2</v>
      </c>
      <c r="J503" s="1371">
        <v>24746</v>
      </c>
    </row>
    <row r="504" spans="2:10" x14ac:dyDescent="0.45">
      <c r="B504" s="1371">
        <v>24777</v>
      </c>
      <c r="C504" s="1370" t="s">
        <v>7139</v>
      </c>
      <c r="F504" s="1372">
        <v>6.4999999999999997E-3</v>
      </c>
      <c r="H504" s="1373">
        <v>4.4999999999999997E-3</v>
      </c>
      <c r="I504" s="1373">
        <f t="shared" si="7"/>
        <v>2E-3</v>
      </c>
      <c r="J504" s="1371">
        <v>24777</v>
      </c>
    </row>
    <row r="505" spans="2:10" x14ac:dyDescent="0.45">
      <c r="B505" s="1371">
        <v>24807</v>
      </c>
      <c r="C505" s="1370" t="s">
        <v>7139</v>
      </c>
      <c r="F505" s="1372">
        <v>2.7799999999999998E-2</v>
      </c>
      <c r="H505" s="1373">
        <v>4.4000000000000003E-3</v>
      </c>
      <c r="I505" s="1373">
        <f t="shared" si="7"/>
        <v>2.3399999999999997E-2</v>
      </c>
      <c r="J505" s="1371">
        <v>24807</v>
      </c>
    </row>
    <row r="506" spans="2:10" x14ac:dyDescent="0.45">
      <c r="B506" s="1371">
        <v>24838</v>
      </c>
      <c r="C506" s="1370" t="s">
        <v>7139</v>
      </c>
      <c r="F506" s="1372">
        <v>-4.2500000000000003E-2</v>
      </c>
      <c r="H506" s="1373">
        <v>5.0000000000000001E-3</v>
      </c>
      <c r="I506" s="1373">
        <f t="shared" si="7"/>
        <v>-4.7500000000000001E-2</v>
      </c>
      <c r="J506" s="1371">
        <v>24838</v>
      </c>
    </row>
    <row r="507" spans="2:10" x14ac:dyDescent="0.45">
      <c r="B507" s="1371">
        <v>24869</v>
      </c>
      <c r="C507" s="1370" t="s">
        <v>7139</v>
      </c>
      <c r="F507" s="1372">
        <v>-2.6100000000000002E-2</v>
      </c>
      <c r="H507" s="1373">
        <v>4.1999999999999997E-3</v>
      </c>
      <c r="I507" s="1373">
        <f t="shared" si="7"/>
        <v>-3.0300000000000001E-2</v>
      </c>
      <c r="J507" s="1371">
        <v>24869</v>
      </c>
    </row>
    <row r="508" spans="2:10" x14ac:dyDescent="0.45">
      <c r="B508" s="1371">
        <v>24898</v>
      </c>
      <c r="C508" s="1370" t="s">
        <v>7139</v>
      </c>
      <c r="F508" s="1372">
        <v>1.0999999999999999E-2</v>
      </c>
      <c r="H508" s="1373">
        <v>4.3E-3</v>
      </c>
      <c r="I508" s="1373">
        <f t="shared" si="7"/>
        <v>6.6999999999999994E-3</v>
      </c>
      <c r="J508" s="1371">
        <v>24898</v>
      </c>
    </row>
    <row r="509" spans="2:10" x14ac:dyDescent="0.45">
      <c r="B509" s="1371">
        <v>24929</v>
      </c>
      <c r="C509" s="1370" t="s">
        <v>7139</v>
      </c>
      <c r="F509" s="1372">
        <v>8.3400000000000002E-2</v>
      </c>
      <c r="H509" s="1373">
        <v>4.8999999999999998E-3</v>
      </c>
      <c r="I509" s="1373">
        <f t="shared" si="7"/>
        <v>7.85E-2</v>
      </c>
      <c r="J509" s="1371">
        <v>24929</v>
      </c>
    </row>
    <row r="510" spans="2:10" x14ac:dyDescent="0.45">
      <c r="B510" s="1371">
        <v>24959</v>
      </c>
      <c r="C510" s="1370" t="s">
        <v>7139</v>
      </c>
      <c r="F510" s="1372">
        <v>1.61E-2</v>
      </c>
      <c r="H510" s="1373">
        <v>4.5999999999999999E-3</v>
      </c>
      <c r="I510" s="1373">
        <f t="shared" si="7"/>
        <v>1.15E-2</v>
      </c>
      <c r="J510" s="1371">
        <v>24959</v>
      </c>
    </row>
    <row r="511" spans="2:10" x14ac:dyDescent="0.45">
      <c r="B511" s="1371">
        <v>24990</v>
      </c>
      <c r="C511" s="1370" t="s">
        <v>7139</v>
      </c>
      <c r="F511" s="1372">
        <v>1.0500000000000001E-2</v>
      </c>
      <c r="H511" s="1373">
        <v>4.1999999999999997E-3</v>
      </c>
      <c r="I511" s="1373">
        <f t="shared" si="7"/>
        <v>6.3000000000000009E-3</v>
      </c>
      <c r="J511" s="1371">
        <v>24990</v>
      </c>
    </row>
    <row r="512" spans="2:10" x14ac:dyDescent="0.45">
      <c r="B512" s="1371">
        <v>25020</v>
      </c>
      <c r="C512" s="1370" t="s">
        <v>7139</v>
      </c>
      <c r="F512" s="1372">
        <v>-1.72E-2</v>
      </c>
      <c r="H512" s="1373">
        <v>4.7999999999999996E-3</v>
      </c>
      <c r="I512" s="1373">
        <f t="shared" si="7"/>
        <v>-2.1999999999999999E-2</v>
      </c>
      <c r="J512" s="1371">
        <v>25020</v>
      </c>
    </row>
    <row r="513" spans="2:10" x14ac:dyDescent="0.45">
      <c r="B513" s="1371">
        <v>25051</v>
      </c>
      <c r="C513" s="1370" t="s">
        <v>7139</v>
      </c>
      <c r="F513" s="1372">
        <v>1.6400000000000001E-2</v>
      </c>
      <c r="H513" s="1373">
        <v>4.1999999999999997E-3</v>
      </c>
      <c r="I513" s="1373">
        <f t="shared" si="7"/>
        <v>1.2200000000000003E-2</v>
      </c>
      <c r="J513" s="1371">
        <v>25051</v>
      </c>
    </row>
    <row r="514" spans="2:10" x14ac:dyDescent="0.45">
      <c r="B514" s="1371">
        <v>25082</v>
      </c>
      <c r="C514" s="1370" t="s">
        <v>7139</v>
      </c>
      <c r="F514" s="1372">
        <v>0.04</v>
      </c>
      <c r="H514" s="1373">
        <v>4.4000000000000003E-3</v>
      </c>
      <c r="I514" s="1373">
        <f t="shared" ref="I514:I577" si="8">F514-H514</f>
        <v>3.56E-2</v>
      </c>
      <c r="J514" s="1371">
        <v>25082</v>
      </c>
    </row>
    <row r="515" spans="2:10" x14ac:dyDescent="0.45">
      <c r="B515" s="1371">
        <v>25112</v>
      </c>
      <c r="C515" s="1370" t="s">
        <v>7139</v>
      </c>
      <c r="F515" s="1372">
        <v>8.6999999999999994E-3</v>
      </c>
      <c r="H515" s="1373">
        <v>4.4999999999999997E-3</v>
      </c>
      <c r="I515" s="1373">
        <f t="shared" si="8"/>
        <v>4.1999999999999997E-3</v>
      </c>
      <c r="J515" s="1371">
        <v>25112</v>
      </c>
    </row>
    <row r="516" spans="2:10" x14ac:dyDescent="0.45">
      <c r="B516" s="1371">
        <v>25143</v>
      </c>
      <c r="C516" s="1370" t="s">
        <v>7139</v>
      </c>
      <c r="F516" s="1372">
        <v>5.3100000000000001E-2</v>
      </c>
      <c r="H516" s="1373">
        <v>4.3E-3</v>
      </c>
      <c r="I516" s="1373">
        <f t="shared" si="8"/>
        <v>4.8800000000000003E-2</v>
      </c>
      <c r="J516" s="1371">
        <v>25143</v>
      </c>
    </row>
    <row r="517" spans="2:10" x14ac:dyDescent="0.45">
      <c r="B517" s="1371">
        <v>25173</v>
      </c>
      <c r="C517" s="1370" t="s">
        <v>7139</v>
      </c>
      <c r="F517" s="1372">
        <v>-4.02E-2</v>
      </c>
      <c r="H517" s="1373">
        <v>4.8999999999999998E-3</v>
      </c>
      <c r="I517" s="1373">
        <f t="shared" si="8"/>
        <v>-4.5100000000000001E-2</v>
      </c>
      <c r="J517" s="1371">
        <v>25173</v>
      </c>
    </row>
    <row r="518" spans="2:10" x14ac:dyDescent="0.45">
      <c r="B518" s="1371">
        <v>25204</v>
      </c>
      <c r="C518" s="1370" t="s">
        <v>7139</v>
      </c>
      <c r="F518" s="1372">
        <v>-6.7999999999999996E-3</v>
      </c>
      <c r="H518" s="1373">
        <v>5.0000000000000001E-3</v>
      </c>
      <c r="I518" s="1373">
        <f t="shared" si="8"/>
        <v>-1.18E-2</v>
      </c>
      <c r="J518" s="1371">
        <v>25204</v>
      </c>
    </row>
    <row r="519" spans="2:10" x14ac:dyDescent="0.45">
      <c r="B519" s="1371">
        <v>25235</v>
      </c>
      <c r="C519" s="1370" t="s">
        <v>7139</v>
      </c>
      <c r="F519" s="1372">
        <v>-4.2599999999999999E-2</v>
      </c>
      <c r="H519" s="1373">
        <v>4.5999999999999999E-3</v>
      </c>
      <c r="I519" s="1373">
        <f t="shared" si="8"/>
        <v>-4.7199999999999999E-2</v>
      </c>
      <c r="J519" s="1371">
        <v>25235</v>
      </c>
    </row>
    <row r="520" spans="2:10" x14ac:dyDescent="0.45">
      <c r="B520" s="1371">
        <v>25263</v>
      </c>
      <c r="C520" s="1370" t="s">
        <v>7139</v>
      </c>
      <c r="F520" s="1372">
        <v>3.5900000000000001E-2</v>
      </c>
      <c r="H520" s="1373">
        <v>4.7000000000000002E-3</v>
      </c>
      <c r="I520" s="1373">
        <f t="shared" si="8"/>
        <v>3.1200000000000002E-2</v>
      </c>
      <c r="J520" s="1371">
        <v>25263</v>
      </c>
    </row>
    <row r="521" spans="2:10" x14ac:dyDescent="0.45">
      <c r="B521" s="1371">
        <v>25294</v>
      </c>
      <c r="C521" s="1370" t="s">
        <v>7139</v>
      </c>
      <c r="F521" s="1372">
        <v>2.29E-2</v>
      </c>
      <c r="H521" s="1373">
        <v>5.4999999999999997E-3</v>
      </c>
      <c r="I521" s="1373">
        <f t="shared" si="8"/>
        <v>1.7399999999999999E-2</v>
      </c>
      <c r="J521" s="1371">
        <v>25294</v>
      </c>
    </row>
    <row r="522" spans="2:10" x14ac:dyDescent="0.45">
      <c r="B522" s="1371">
        <v>25324</v>
      </c>
      <c r="C522" s="1370" t="s">
        <v>7139</v>
      </c>
      <c r="F522" s="1372">
        <v>2.5999999999999999E-3</v>
      </c>
      <c r="H522" s="1373">
        <v>4.7000000000000002E-3</v>
      </c>
      <c r="I522" s="1373">
        <f t="shared" si="8"/>
        <v>-2.1000000000000003E-3</v>
      </c>
      <c r="J522" s="1371">
        <v>25324</v>
      </c>
    </row>
    <row r="523" spans="2:10" x14ac:dyDescent="0.45">
      <c r="B523" s="1371">
        <v>25355</v>
      </c>
      <c r="C523" s="1370" t="s">
        <v>7139</v>
      </c>
      <c r="F523" s="1372">
        <v>-5.4199999999999998E-2</v>
      </c>
      <c r="H523" s="1373">
        <v>5.4999999999999997E-3</v>
      </c>
      <c r="I523" s="1373">
        <f t="shared" si="8"/>
        <v>-5.9699999999999996E-2</v>
      </c>
      <c r="J523" s="1371">
        <v>25355</v>
      </c>
    </row>
    <row r="524" spans="2:10" x14ac:dyDescent="0.45">
      <c r="B524" s="1371">
        <v>25385</v>
      </c>
      <c r="C524" s="1370" t="s">
        <v>7139</v>
      </c>
      <c r="F524" s="1372">
        <v>-5.8700000000000002E-2</v>
      </c>
      <c r="H524" s="1373">
        <v>5.1999999999999998E-3</v>
      </c>
      <c r="I524" s="1373">
        <f t="shared" si="8"/>
        <v>-6.3899999999999998E-2</v>
      </c>
      <c r="J524" s="1371">
        <v>25385</v>
      </c>
    </row>
    <row r="525" spans="2:10" x14ac:dyDescent="0.45">
      <c r="B525" s="1371">
        <v>25416</v>
      </c>
      <c r="C525" s="1370" t="s">
        <v>7139</v>
      </c>
      <c r="F525" s="1372">
        <v>4.5400000000000003E-2</v>
      </c>
      <c r="H525" s="1373">
        <v>4.7999999999999996E-3</v>
      </c>
      <c r="I525" s="1373">
        <f t="shared" si="8"/>
        <v>4.0600000000000004E-2</v>
      </c>
      <c r="J525" s="1371">
        <v>25416</v>
      </c>
    </row>
    <row r="526" spans="2:10" x14ac:dyDescent="0.45">
      <c r="B526" s="1371">
        <v>25447</v>
      </c>
      <c r="C526" s="1370" t="s">
        <v>7139</v>
      </c>
      <c r="F526" s="1372">
        <v>-2.3599999999999999E-2</v>
      </c>
      <c r="H526" s="1373">
        <v>5.4999999999999997E-3</v>
      </c>
      <c r="I526" s="1373">
        <f t="shared" si="8"/>
        <v>-2.9100000000000001E-2</v>
      </c>
      <c r="J526" s="1371">
        <v>25447</v>
      </c>
    </row>
    <row r="527" spans="2:10" x14ac:dyDescent="0.45">
      <c r="B527" s="1371">
        <v>25477</v>
      </c>
      <c r="C527" s="1370" t="s">
        <v>7139</v>
      </c>
      <c r="F527" s="1372">
        <v>4.5900000000000003E-2</v>
      </c>
      <c r="H527" s="1373">
        <v>5.7000000000000002E-3</v>
      </c>
      <c r="I527" s="1373">
        <f t="shared" si="8"/>
        <v>4.02E-2</v>
      </c>
      <c r="J527" s="1371">
        <v>25477</v>
      </c>
    </row>
    <row r="528" spans="2:10" x14ac:dyDescent="0.45">
      <c r="B528" s="1371">
        <v>25508</v>
      </c>
      <c r="C528" s="1370" t="s">
        <v>7139</v>
      </c>
      <c r="F528" s="1372">
        <v>-2.9700000000000001E-2</v>
      </c>
      <c r="H528" s="1373">
        <v>4.8999999999999998E-3</v>
      </c>
      <c r="I528" s="1373">
        <f t="shared" si="8"/>
        <v>-3.4599999999999999E-2</v>
      </c>
      <c r="J528" s="1371">
        <v>25508</v>
      </c>
    </row>
    <row r="529" spans="2:10" x14ac:dyDescent="0.45">
      <c r="B529" s="1371">
        <v>25538</v>
      </c>
      <c r="C529" s="1370" t="s">
        <v>7139</v>
      </c>
      <c r="F529" s="1372">
        <v>-1.77E-2</v>
      </c>
      <c r="H529" s="1373">
        <v>6.0000000000000001E-3</v>
      </c>
      <c r="I529" s="1373">
        <f t="shared" si="8"/>
        <v>-2.3699999999999999E-2</v>
      </c>
      <c r="J529" s="1371">
        <v>25538</v>
      </c>
    </row>
    <row r="530" spans="2:10" x14ac:dyDescent="0.45">
      <c r="B530" s="1371">
        <v>25569</v>
      </c>
      <c r="C530" s="1370" t="s">
        <v>7139</v>
      </c>
      <c r="F530" s="1372">
        <v>-7.4300000000000005E-2</v>
      </c>
      <c r="H530" s="1373">
        <v>5.5999999999999999E-3</v>
      </c>
      <c r="I530" s="1373">
        <f t="shared" si="8"/>
        <v>-7.9899999999999999E-2</v>
      </c>
      <c r="J530" s="1371">
        <v>25569</v>
      </c>
    </row>
    <row r="531" spans="2:10" x14ac:dyDescent="0.45">
      <c r="B531" s="1371">
        <v>25600</v>
      </c>
      <c r="C531" s="1370" t="s">
        <v>7139</v>
      </c>
      <c r="F531" s="1372">
        <v>5.8599999999999999E-2</v>
      </c>
      <c r="H531" s="1373">
        <v>5.1999999999999998E-3</v>
      </c>
      <c r="I531" s="1373">
        <f t="shared" si="8"/>
        <v>5.3400000000000003E-2</v>
      </c>
      <c r="J531" s="1371">
        <v>25600</v>
      </c>
    </row>
    <row r="532" spans="2:10" x14ac:dyDescent="0.45">
      <c r="B532" s="1371">
        <v>25628</v>
      </c>
      <c r="C532" s="1370" t="s">
        <v>7139</v>
      </c>
      <c r="F532" s="1372">
        <v>3.0000000000000001E-3</v>
      </c>
      <c r="H532" s="1373">
        <v>5.5999999999999999E-3</v>
      </c>
      <c r="I532" s="1373">
        <f t="shared" si="8"/>
        <v>-2.5999999999999999E-3</v>
      </c>
      <c r="J532" s="1371">
        <v>25628</v>
      </c>
    </row>
    <row r="533" spans="2:10" x14ac:dyDescent="0.45">
      <c r="B533" s="1371">
        <v>25659</v>
      </c>
      <c r="C533" s="1370" t="s">
        <v>7139</v>
      </c>
      <c r="F533" s="1372">
        <v>-8.8900000000000007E-2</v>
      </c>
      <c r="H533" s="1373">
        <v>5.4000000000000003E-3</v>
      </c>
      <c r="I533" s="1373">
        <f t="shared" si="8"/>
        <v>-9.4300000000000009E-2</v>
      </c>
      <c r="J533" s="1371">
        <v>25659</v>
      </c>
    </row>
    <row r="534" spans="2:10" x14ac:dyDescent="0.45">
      <c r="B534" s="1371">
        <v>25689</v>
      </c>
      <c r="C534" s="1370" t="s">
        <v>7139</v>
      </c>
      <c r="F534" s="1372">
        <v>-5.4699999999999999E-2</v>
      </c>
      <c r="H534" s="1373">
        <v>5.4999999999999997E-3</v>
      </c>
      <c r="I534" s="1373">
        <f t="shared" si="8"/>
        <v>-6.0199999999999997E-2</v>
      </c>
      <c r="J534" s="1371">
        <v>25689</v>
      </c>
    </row>
    <row r="535" spans="2:10" x14ac:dyDescent="0.45">
      <c r="B535" s="1371">
        <v>25720</v>
      </c>
      <c r="C535" s="1370" t="s">
        <v>7139</v>
      </c>
      <c r="F535" s="1372">
        <v>-4.82E-2</v>
      </c>
      <c r="H535" s="1373">
        <v>6.4000000000000003E-3</v>
      </c>
      <c r="I535" s="1373">
        <f t="shared" si="8"/>
        <v>-5.4600000000000003E-2</v>
      </c>
      <c r="J535" s="1371">
        <v>25720</v>
      </c>
    </row>
    <row r="536" spans="2:10" x14ac:dyDescent="0.45">
      <c r="B536" s="1371">
        <v>25750</v>
      </c>
      <c r="C536" s="1370" t="s">
        <v>7139</v>
      </c>
      <c r="F536" s="1372">
        <v>7.5200000000000003E-2</v>
      </c>
      <c r="H536" s="1373">
        <v>5.8999999999999999E-3</v>
      </c>
      <c r="I536" s="1373">
        <f t="shared" si="8"/>
        <v>6.93E-2</v>
      </c>
      <c r="J536" s="1371">
        <v>25750</v>
      </c>
    </row>
    <row r="537" spans="2:10" x14ac:dyDescent="0.45">
      <c r="B537" s="1371">
        <v>25781</v>
      </c>
      <c r="C537" s="1370" t="s">
        <v>7139</v>
      </c>
      <c r="F537" s="1372">
        <v>5.0900000000000001E-2</v>
      </c>
      <c r="H537" s="1373">
        <v>5.7000000000000002E-3</v>
      </c>
      <c r="I537" s="1373">
        <f t="shared" si="8"/>
        <v>4.5200000000000004E-2</v>
      </c>
      <c r="J537" s="1371">
        <v>25781</v>
      </c>
    </row>
    <row r="538" spans="2:10" x14ac:dyDescent="0.45">
      <c r="B538" s="1371">
        <v>25812</v>
      </c>
      <c r="C538" s="1370" t="s">
        <v>7139</v>
      </c>
      <c r="F538" s="1372">
        <v>3.4700000000000002E-2</v>
      </c>
      <c r="H538" s="1373">
        <v>5.5999999999999999E-3</v>
      </c>
      <c r="I538" s="1373">
        <f t="shared" si="8"/>
        <v>2.9100000000000001E-2</v>
      </c>
      <c r="J538" s="1371">
        <v>25812</v>
      </c>
    </row>
    <row r="539" spans="2:10" x14ac:dyDescent="0.45">
      <c r="B539" s="1371">
        <v>25842</v>
      </c>
      <c r="C539" s="1370" t="s">
        <v>7139</v>
      </c>
      <c r="F539" s="1372">
        <v>-9.7000000000000003E-3</v>
      </c>
      <c r="H539" s="1373">
        <v>5.4999999999999997E-3</v>
      </c>
      <c r="I539" s="1373">
        <f t="shared" si="8"/>
        <v>-1.52E-2</v>
      </c>
      <c r="J539" s="1371">
        <v>25842</v>
      </c>
    </row>
    <row r="540" spans="2:10" x14ac:dyDescent="0.45">
      <c r="B540" s="1371">
        <v>25873</v>
      </c>
      <c r="C540" s="1370" t="s">
        <v>7139</v>
      </c>
      <c r="F540" s="1372">
        <v>5.3600000000000002E-2</v>
      </c>
      <c r="H540" s="1373">
        <v>5.7999999999999996E-3</v>
      </c>
      <c r="I540" s="1373">
        <f t="shared" si="8"/>
        <v>4.7800000000000002E-2</v>
      </c>
      <c r="J540" s="1371">
        <v>25873</v>
      </c>
    </row>
    <row r="541" spans="2:10" x14ac:dyDescent="0.45">
      <c r="B541" s="1371">
        <v>25903</v>
      </c>
      <c r="C541" s="1370" t="s">
        <v>7139</v>
      </c>
      <c r="F541" s="1372">
        <v>5.8400000000000001E-2</v>
      </c>
      <c r="H541" s="1373">
        <v>5.3E-3</v>
      </c>
      <c r="I541" s="1373">
        <f t="shared" si="8"/>
        <v>5.3100000000000001E-2</v>
      </c>
      <c r="J541" s="1371">
        <v>25903</v>
      </c>
    </row>
    <row r="542" spans="2:10" x14ac:dyDescent="0.45">
      <c r="B542" s="1371">
        <v>25934</v>
      </c>
      <c r="C542" s="1370" t="s">
        <v>7139</v>
      </c>
      <c r="F542" s="1372">
        <v>4.19E-2</v>
      </c>
      <c r="H542" s="1373">
        <v>5.1000000000000004E-3</v>
      </c>
      <c r="I542" s="1373">
        <f t="shared" si="8"/>
        <v>3.6799999999999999E-2</v>
      </c>
      <c r="J542" s="1371">
        <v>25934</v>
      </c>
    </row>
    <row r="543" spans="2:10" x14ac:dyDescent="0.45">
      <c r="B543" s="1371">
        <v>25965</v>
      </c>
      <c r="C543" s="1370" t="s">
        <v>7139</v>
      </c>
      <c r="F543" s="1372">
        <v>1.41E-2</v>
      </c>
      <c r="H543" s="1373">
        <v>4.5999999999999999E-3</v>
      </c>
      <c r="I543" s="1373">
        <f t="shared" si="8"/>
        <v>9.4999999999999998E-3</v>
      </c>
      <c r="J543" s="1371">
        <v>25965</v>
      </c>
    </row>
    <row r="544" spans="2:10" x14ac:dyDescent="0.45">
      <c r="B544" s="1371">
        <v>25993</v>
      </c>
      <c r="C544" s="1370" t="s">
        <v>7139</v>
      </c>
      <c r="F544" s="1372">
        <v>3.8199999999999998E-2</v>
      </c>
      <c r="H544" s="1373">
        <v>5.5999999999999999E-3</v>
      </c>
      <c r="I544" s="1373">
        <f t="shared" si="8"/>
        <v>3.2599999999999997E-2</v>
      </c>
      <c r="J544" s="1371">
        <v>25993</v>
      </c>
    </row>
    <row r="545" spans="2:10" x14ac:dyDescent="0.45">
      <c r="B545" s="1371">
        <v>26024</v>
      </c>
      <c r="C545" s="1370" t="s">
        <v>7139</v>
      </c>
      <c r="F545" s="1372">
        <v>3.7699999999999997E-2</v>
      </c>
      <c r="H545" s="1373">
        <v>4.7999999999999996E-3</v>
      </c>
      <c r="I545" s="1373">
        <f t="shared" si="8"/>
        <v>3.2899999999999999E-2</v>
      </c>
      <c r="J545" s="1371">
        <v>26024</v>
      </c>
    </row>
    <row r="546" spans="2:10" x14ac:dyDescent="0.45">
      <c r="B546" s="1371">
        <v>26054</v>
      </c>
      <c r="C546" s="1370" t="s">
        <v>7139</v>
      </c>
      <c r="F546" s="1372">
        <v>-3.6700000000000003E-2</v>
      </c>
      <c r="H546" s="1373">
        <v>4.7000000000000002E-3</v>
      </c>
      <c r="I546" s="1373">
        <f t="shared" si="8"/>
        <v>-4.1400000000000006E-2</v>
      </c>
      <c r="J546" s="1371">
        <v>26054</v>
      </c>
    </row>
    <row r="547" spans="2:10" x14ac:dyDescent="0.45">
      <c r="B547" s="1371">
        <v>26085</v>
      </c>
      <c r="C547" s="1370" t="s">
        <v>7139</v>
      </c>
      <c r="F547" s="1372">
        <v>2.0999999999999999E-3</v>
      </c>
      <c r="H547" s="1373">
        <v>5.5999999999999999E-3</v>
      </c>
      <c r="I547" s="1373">
        <f t="shared" si="8"/>
        <v>-3.5000000000000001E-3</v>
      </c>
      <c r="J547" s="1371">
        <v>26085</v>
      </c>
    </row>
    <row r="548" spans="2:10" x14ac:dyDescent="0.45">
      <c r="B548" s="1371">
        <v>26115</v>
      </c>
      <c r="C548" s="1370" t="s">
        <v>7139</v>
      </c>
      <c r="F548" s="1372">
        <v>-3.9899999999999998E-2</v>
      </c>
      <c r="H548" s="1373">
        <v>5.1999999999999998E-3</v>
      </c>
      <c r="I548" s="1373">
        <f t="shared" si="8"/>
        <v>-4.5100000000000001E-2</v>
      </c>
      <c r="J548" s="1371">
        <v>26115</v>
      </c>
    </row>
    <row r="549" spans="2:10" x14ac:dyDescent="0.45">
      <c r="B549" s="1371">
        <v>26146</v>
      </c>
      <c r="C549" s="1370" t="s">
        <v>7139</v>
      </c>
      <c r="F549" s="1372">
        <v>4.1200000000000001E-2</v>
      </c>
      <c r="H549" s="1373">
        <v>5.4999999999999997E-3</v>
      </c>
      <c r="I549" s="1373">
        <f t="shared" si="8"/>
        <v>3.5700000000000003E-2</v>
      </c>
      <c r="J549" s="1371">
        <v>26146</v>
      </c>
    </row>
    <row r="550" spans="2:10" x14ac:dyDescent="0.45">
      <c r="B550" s="1371">
        <v>26177</v>
      </c>
      <c r="C550" s="1370" t="s">
        <v>7139</v>
      </c>
      <c r="F550" s="1372">
        <v>-5.5999999999999999E-3</v>
      </c>
      <c r="H550" s="1373">
        <v>4.8999999999999998E-3</v>
      </c>
      <c r="I550" s="1373">
        <f t="shared" si="8"/>
        <v>-1.0499999999999999E-2</v>
      </c>
      <c r="J550" s="1371">
        <v>26177</v>
      </c>
    </row>
    <row r="551" spans="2:10" x14ac:dyDescent="0.45">
      <c r="B551" s="1371">
        <v>26207</v>
      </c>
      <c r="C551" s="1370" t="s">
        <v>7139</v>
      </c>
      <c r="F551" s="1372">
        <v>-4.0399999999999998E-2</v>
      </c>
      <c r="H551" s="1373">
        <v>4.7000000000000002E-3</v>
      </c>
      <c r="I551" s="1373">
        <f t="shared" si="8"/>
        <v>-4.5100000000000001E-2</v>
      </c>
      <c r="J551" s="1371">
        <v>26207</v>
      </c>
    </row>
    <row r="552" spans="2:10" x14ac:dyDescent="0.45">
      <c r="B552" s="1371">
        <v>26238</v>
      </c>
      <c r="C552" s="1370" t="s">
        <v>7139</v>
      </c>
      <c r="F552" s="1372">
        <v>2.7000000000000001E-3</v>
      </c>
      <c r="H552" s="1373">
        <v>5.1000000000000004E-3</v>
      </c>
      <c r="I552" s="1373">
        <f t="shared" si="8"/>
        <v>-2.4000000000000002E-3</v>
      </c>
      <c r="J552" s="1371">
        <v>26238</v>
      </c>
    </row>
    <row r="553" spans="2:10" x14ac:dyDescent="0.45">
      <c r="B553" s="1371">
        <v>26268</v>
      </c>
      <c r="C553" s="1370" t="s">
        <v>7139</v>
      </c>
      <c r="F553" s="1372">
        <v>8.77E-2</v>
      </c>
      <c r="H553" s="1373">
        <v>5.0000000000000001E-3</v>
      </c>
      <c r="I553" s="1373">
        <f t="shared" si="8"/>
        <v>8.2699999999999996E-2</v>
      </c>
      <c r="J553" s="1371">
        <v>26268</v>
      </c>
    </row>
    <row r="554" spans="2:10" x14ac:dyDescent="0.45">
      <c r="B554" s="1371">
        <v>26299</v>
      </c>
      <c r="C554" s="1370" t="s">
        <v>7139</v>
      </c>
      <c r="F554" s="1372">
        <v>1.9400000000000001E-2</v>
      </c>
      <c r="H554" s="1373">
        <v>5.0000000000000001E-3</v>
      </c>
      <c r="I554" s="1373">
        <f t="shared" si="8"/>
        <v>1.44E-2</v>
      </c>
      <c r="J554" s="1371">
        <v>26299</v>
      </c>
    </row>
    <row r="555" spans="2:10" x14ac:dyDescent="0.45">
      <c r="B555" s="1371">
        <v>26330</v>
      </c>
      <c r="C555" s="1370" t="s">
        <v>7139</v>
      </c>
      <c r="F555" s="1372">
        <v>2.9899999999999999E-2</v>
      </c>
      <c r="H555" s="1373">
        <v>4.7000000000000002E-3</v>
      </c>
      <c r="I555" s="1373">
        <f t="shared" si="8"/>
        <v>2.52E-2</v>
      </c>
      <c r="J555" s="1371">
        <v>26330</v>
      </c>
    </row>
    <row r="556" spans="2:10" x14ac:dyDescent="0.45">
      <c r="B556" s="1371">
        <v>26359</v>
      </c>
      <c r="C556" s="1370" t="s">
        <v>7139</v>
      </c>
      <c r="F556" s="1372">
        <v>7.1999999999999998E-3</v>
      </c>
      <c r="H556" s="1373">
        <v>4.8999999999999998E-3</v>
      </c>
      <c r="I556" s="1373">
        <f t="shared" si="8"/>
        <v>2.3E-3</v>
      </c>
      <c r="J556" s="1371">
        <v>26359</v>
      </c>
    </row>
    <row r="557" spans="2:10" x14ac:dyDescent="0.45">
      <c r="B557" s="1371">
        <v>26390</v>
      </c>
      <c r="C557" s="1370" t="s">
        <v>7139</v>
      </c>
      <c r="F557" s="1372">
        <v>5.7000000000000002E-3</v>
      </c>
      <c r="H557" s="1373">
        <v>4.7999999999999996E-3</v>
      </c>
      <c r="I557" s="1373">
        <f t="shared" si="8"/>
        <v>9.0000000000000063E-4</v>
      </c>
      <c r="J557" s="1371">
        <v>26390</v>
      </c>
    </row>
    <row r="558" spans="2:10" x14ac:dyDescent="0.45">
      <c r="B558" s="1371">
        <v>26420</v>
      </c>
      <c r="C558" s="1370" t="s">
        <v>7139</v>
      </c>
      <c r="F558" s="1372">
        <v>2.1899999999999999E-2</v>
      </c>
      <c r="H558" s="1373">
        <v>5.4999999999999997E-3</v>
      </c>
      <c r="I558" s="1373">
        <f t="shared" si="8"/>
        <v>1.6399999999999998E-2</v>
      </c>
      <c r="J558" s="1371">
        <v>26420</v>
      </c>
    </row>
    <row r="559" spans="2:10" x14ac:dyDescent="0.45">
      <c r="B559" s="1371">
        <v>26451</v>
      </c>
      <c r="C559" s="1370" t="s">
        <v>7139</v>
      </c>
      <c r="F559" s="1372">
        <v>-2.0500000000000001E-2</v>
      </c>
      <c r="H559" s="1373">
        <v>4.8999999999999998E-3</v>
      </c>
      <c r="I559" s="1373">
        <f t="shared" si="8"/>
        <v>-2.5399999999999999E-2</v>
      </c>
      <c r="J559" s="1371">
        <v>26451</v>
      </c>
    </row>
    <row r="560" spans="2:10" x14ac:dyDescent="0.45">
      <c r="B560" s="1371">
        <v>26481</v>
      </c>
      <c r="C560" s="1370" t="s">
        <v>7139</v>
      </c>
      <c r="F560" s="1372">
        <v>3.5999999999999999E-3</v>
      </c>
      <c r="H560" s="1373">
        <v>5.1000000000000004E-3</v>
      </c>
      <c r="I560" s="1373">
        <f t="shared" si="8"/>
        <v>-1.5000000000000005E-3</v>
      </c>
      <c r="J560" s="1371">
        <v>26481</v>
      </c>
    </row>
    <row r="561" spans="2:10" x14ac:dyDescent="0.45">
      <c r="B561" s="1371">
        <v>26512</v>
      </c>
      <c r="C561" s="1370" t="s">
        <v>7139</v>
      </c>
      <c r="F561" s="1372">
        <v>3.9100000000000003E-2</v>
      </c>
      <c r="H561" s="1373">
        <v>4.8999999999999998E-3</v>
      </c>
      <c r="I561" s="1373">
        <f t="shared" si="8"/>
        <v>3.4200000000000001E-2</v>
      </c>
      <c r="J561" s="1371">
        <v>26512</v>
      </c>
    </row>
    <row r="562" spans="2:10" x14ac:dyDescent="0.45">
      <c r="B562" s="1371">
        <v>26543</v>
      </c>
      <c r="C562" s="1370" t="s">
        <v>7139</v>
      </c>
      <c r="F562" s="1372">
        <v>-3.5999999999999999E-3</v>
      </c>
      <c r="H562" s="1373">
        <v>4.7000000000000002E-3</v>
      </c>
      <c r="I562" s="1373">
        <f t="shared" si="8"/>
        <v>-8.3000000000000001E-3</v>
      </c>
      <c r="J562" s="1371">
        <v>26543</v>
      </c>
    </row>
    <row r="563" spans="2:10" x14ac:dyDescent="0.45">
      <c r="B563" s="1371">
        <v>26573</v>
      </c>
      <c r="C563" s="1370" t="s">
        <v>7139</v>
      </c>
      <c r="F563" s="1372">
        <v>1.0699999999999999E-2</v>
      </c>
      <c r="H563" s="1373">
        <v>5.1999999999999998E-3</v>
      </c>
      <c r="I563" s="1373">
        <f t="shared" si="8"/>
        <v>5.4999999999999997E-3</v>
      </c>
      <c r="J563" s="1371">
        <v>26573</v>
      </c>
    </row>
    <row r="564" spans="2:10" x14ac:dyDescent="0.45">
      <c r="B564" s="1371">
        <v>26604</v>
      </c>
      <c r="C564" s="1370" t="s">
        <v>7139</v>
      </c>
      <c r="F564" s="1372">
        <v>5.0500000000000003E-2</v>
      </c>
      <c r="H564" s="1373">
        <v>4.7999999999999996E-3</v>
      </c>
      <c r="I564" s="1373">
        <f t="shared" si="8"/>
        <v>4.5700000000000005E-2</v>
      </c>
      <c r="J564" s="1371">
        <v>26604</v>
      </c>
    </row>
    <row r="565" spans="2:10" x14ac:dyDescent="0.45">
      <c r="B565" s="1371">
        <v>26634</v>
      </c>
      <c r="C565" s="1370" t="s">
        <v>7139</v>
      </c>
      <c r="F565" s="1372">
        <v>1.3100000000000001E-2</v>
      </c>
      <c r="H565" s="1373">
        <v>4.4999999999999997E-3</v>
      </c>
      <c r="I565" s="1373">
        <f t="shared" si="8"/>
        <v>8.6E-3</v>
      </c>
      <c r="J565" s="1371">
        <v>26634</v>
      </c>
    </row>
    <row r="566" spans="2:10" x14ac:dyDescent="0.45">
      <c r="B566" s="1371">
        <v>26665</v>
      </c>
      <c r="C566" s="1370" t="s">
        <v>7139</v>
      </c>
      <c r="F566" s="1372">
        <v>-1.5900000000000001E-2</v>
      </c>
      <c r="H566" s="1373">
        <v>5.4000000000000003E-3</v>
      </c>
      <c r="I566" s="1373">
        <f t="shared" si="8"/>
        <v>-2.1299999999999999E-2</v>
      </c>
      <c r="J566" s="1371">
        <v>26665</v>
      </c>
    </row>
    <row r="567" spans="2:10" x14ac:dyDescent="0.45">
      <c r="B567" s="1371">
        <v>26696</v>
      </c>
      <c r="C567" s="1370" t="s">
        <v>7139</v>
      </c>
      <c r="F567" s="1372">
        <v>-3.3300000000000003E-2</v>
      </c>
      <c r="H567" s="1373">
        <v>5.1000000000000004E-3</v>
      </c>
      <c r="I567" s="1373">
        <f t="shared" si="8"/>
        <v>-3.8400000000000004E-2</v>
      </c>
      <c r="J567" s="1371">
        <v>26696</v>
      </c>
    </row>
    <row r="568" spans="2:10" x14ac:dyDescent="0.45">
      <c r="B568" s="1371">
        <v>26724</v>
      </c>
      <c r="C568" s="1370" t="s">
        <v>7139</v>
      </c>
      <c r="F568" s="1372">
        <v>-2.0000000000000001E-4</v>
      </c>
      <c r="H568" s="1373">
        <v>5.5999999999999999E-3</v>
      </c>
      <c r="I568" s="1373">
        <f t="shared" si="8"/>
        <v>-5.7999999999999996E-3</v>
      </c>
      <c r="J568" s="1371">
        <v>26724</v>
      </c>
    </row>
    <row r="569" spans="2:10" x14ac:dyDescent="0.45">
      <c r="B569" s="1371">
        <v>26755</v>
      </c>
      <c r="C569" s="1370" t="s">
        <v>7139</v>
      </c>
      <c r="F569" s="1372">
        <v>-3.95E-2</v>
      </c>
      <c r="H569" s="1373">
        <v>5.7000000000000002E-3</v>
      </c>
      <c r="I569" s="1373">
        <f t="shared" si="8"/>
        <v>-4.5200000000000004E-2</v>
      </c>
      <c r="J569" s="1371">
        <v>26755</v>
      </c>
    </row>
    <row r="570" spans="2:10" x14ac:dyDescent="0.45">
      <c r="B570" s="1371">
        <v>26785</v>
      </c>
      <c r="C570" s="1370" t="s">
        <v>7139</v>
      </c>
      <c r="F570" s="1372">
        <v>-1.3899999999999999E-2</v>
      </c>
      <c r="H570" s="1373">
        <v>5.7999999999999996E-3</v>
      </c>
      <c r="I570" s="1373">
        <f t="shared" si="8"/>
        <v>-1.9699999999999999E-2</v>
      </c>
      <c r="J570" s="1371">
        <v>26785</v>
      </c>
    </row>
    <row r="571" spans="2:10" x14ac:dyDescent="0.45">
      <c r="B571" s="1371">
        <v>26816</v>
      </c>
      <c r="C571" s="1370" t="s">
        <v>7139</v>
      </c>
      <c r="F571" s="1372">
        <v>-5.1000000000000004E-3</v>
      </c>
      <c r="H571" s="1373">
        <v>5.4999999999999997E-3</v>
      </c>
      <c r="I571" s="1373">
        <f t="shared" si="8"/>
        <v>-1.06E-2</v>
      </c>
      <c r="J571" s="1371">
        <v>26816</v>
      </c>
    </row>
    <row r="572" spans="2:10" x14ac:dyDescent="0.45">
      <c r="B572" s="1371">
        <v>26846</v>
      </c>
      <c r="C572" s="1370" t="s">
        <v>7139</v>
      </c>
      <c r="F572" s="1372">
        <v>3.9399999999999998E-2</v>
      </c>
      <c r="H572" s="1373">
        <v>6.1000000000000004E-3</v>
      </c>
      <c r="I572" s="1373">
        <f t="shared" si="8"/>
        <v>3.3299999999999996E-2</v>
      </c>
      <c r="J572" s="1371">
        <v>26846</v>
      </c>
    </row>
    <row r="573" spans="2:10" x14ac:dyDescent="0.45">
      <c r="B573" s="1371">
        <v>26877</v>
      </c>
      <c r="C573" s="1370" t="s">
        <v>7139</v>
      </c>
      <c r="F573" s="1372">
        <v>-3.1800000000000002E-2</v>
      </c>
      <c r="H573" s="1373">
        <v>6.1999999999999998E-3</v>
      </c>
      <c r="I573" s="1373">
        <f t="shared" si="8"/>
        <v>-3.7999999999999999E-2</v>
      </c>
      <c r="J573" s="1371">
        <v>26877</v>
      </c>
    </row>
    <row r="574" spans="2:10" x14ac:dyDescent="0.45">
      <c r="B574" s="1371">
        <v>26908</v>
      </c>
      <c r="C574" s="1370" t="s">
        <v>7139</v>
      </c>
      <c r="F574" s="1372">
        <v>4.1500000000000002E-2</v>
      </c>
      <c r="H574" s="1373">
        <v>5.4999999999999997E-3</v>
      </c>
      <c r="I574" s="1373">
        <f t="shared" si="8"/>
        <v>3.6000000000000004E-2</v>
      </c>
      <c r="J574" s="1371">
        <v>26908</v>
      </c>
    </row>
    <row r="575" spans="2:10" x14ac:dyDescent="0.45">
      <c r="B575" s="1371">
        <v>26938</v>
      </c>
      <c r="C575" s="1370" t="s">
        <v>7139</v>
      </c>
      <c r="F575" s="1372">
        <v>2.9999999999999997E-4</v>
      </c>
      <c r="H575" s="1373">
        <v>6.3E-3</v>
      </c>
      <c r="I575" s="1373">
        <f t="shared" si="8"/>
        <v>-6.0000000000000001E-3</v>
      </c>
      <c r="J575" s="1371">
        <v>26938</v>
      </c>
    </row>
    <row r="576" spans="2:10" x14ac:dyDescent="0.45">
      <c r="B576" s="1371">
        <v>26969</v>
      </c>
      <c r="C576" s="1370" t="s">
        <v>7139</v>
      </c>
      <c r="F576" s="1372">
        <v>-0.1082</v>
      </c>
      <c r="H576" s="1373">
        <v>5.5999999999999999E-3</v>
      </c>
      <c r="I576" s="1373">
        <f t="shared" si="8"/>
        <v>-0.1138</v>
      </c>
      <c r="J576" s="1371">
        <v>26969</v>
      </c>
    </row>
    <row r="577" spans="2:10" x14ac:dyDescent="0.45">
      <c r="B577" s="1371">
        <v>26999</v>
      </c>
      <c r="C577" s="1370" t="s">
        <v>7139</v>
      </c>
      <c r="F577" s="1372">
        <v>1.83E-2</v>
      </c>
      <c r="H577" s="1373">
        <v>6.0000000000000001E-3</v>
      </c>
      <c r="I577" s="1373">
        <f t="shared" si="8"/>
        <v>1.23E-2</v>
      </c>
      <c r="J577" s="1371">
        <v>26999</v>
      </c>
    </row>
    <row r="578" spans="2:10" x14ac:dyDescent="0.45">
      <c r="B578" s="1371">
        <v>27030</v>
      </c>
      <c r="C578" s="1370" t="s">
        <v>7139</v>
      </c>
      <c r="F578" s="1372">
        <v>-8.5000000000000006E-3</v>
      </c>
      <c r="H578" s="1373">
        <v>6.1000000000000004E-3</v>
      </c>
      <c r="I578" s="1373">
        <f t="shared" ref="I578:I641" si="9">F578-H578</f>
        <v>-1.4600000000000002E-2</v>
      </c>
      <c r="J578" s="1371">
        <v>27030</v>
      </c>
    </row>
    <row r="579" spans="2:10" x14ac:dyDescent="0.45">
      <c r="B579" s="1371">
        <v>27061</v>
      </c>
      <c r="C579" s="1370" t="s">
        <v>7139</v>
      </c>
      <c r="F579" s="1372">
        <v>1.9E-3</v>
      </c>
      <c r="H579" s="1373">
        <v>5.4999999999999997E-3</v>
      </c>
      <c r="I579" s="1373">
        <f t="shared" si="9"/>
        <v>-3.5999999999999999E-3</v>
      </c>
      <c r="J579" s="1371">
        <v>27061</v>
      </c>
    </row>
    <row r="580" spans="2:10" x14ac:dyDescent="0.45">
      <c r="B580" s="1371">
        <v>27089</v>
      </c>
      <c r="C580" s="1370" t="s">
        <v>7139</v>
      </c>
      <c r="F580" s="1372">
        <v>-2.1700000000000001E-2</v>
      </c>
      <c r="H580" s="1373">
        <v>5.7999999999999996E-3</v>
      </c>
      <c r="I580" s="1373">
        <f t="shared" si="9"/>
        <v>-2.75E-2</v>
      </c>
      <c r="J580" s="1371">
        <v>27089</v>
      </c>
    </row>
    <row r="581" spans="2:10" x14ac:dyDescent="0.45">
      <c r="B581" s="1371">
        <v>27120</v>
      </c>
      <c r="C581" s="1370" t="s">
        <v>7139</v>
      </c>
      <c r="F581" s="1372">
        <v>-3.73E-2</v>
      </c>
      <c r="H581" s="1373">
        <v>6.7999999999999996E-3</v>
      </c>
      <c r="I581" s="1373">
        <f t="shared" si="9"/>
        <v>-4.41E-2</v>
      </c>
      <c r="J581" s="1371">
        <v>27120</v>
      </c>
    </row>
    <row r="582" spans="2:10" x14ac:dyDescent="0.45">
      <c r="B582" s="1371">
        <v>27150</v>
      </c>
      <c r="C582" s="1370" t="s">
        <v>7139</v>
      </c>
      <c r="F582" s="1372">
        <v>-2.7199999999999998E-2</v>
      </c>
      <c r="H582" s="1373">
        <v>6.7999999999999996E-3</v>
      </c>
      <c r="I582" s="1373">
        <f t="shared" si="9"/>
        <v>-3.3999999999999996E-2</v>
      </c>
      <c r="J582" s="1371">
        <v>27150</v>
      </c>
    </row>
    <row r="583" spans="2:10" x14ac:dyDescent="0.45">
      <c r="B583" s="1371">
        <v>27181</v>
      </c>
      <c r="C583" s="1370" t="s">
        <v>7139</v>
      </c>
      <c r="F583" s="1372">
        <v>-1.2800000000000001E-2</v>
      </c>
      <c r="H583" s="1373">
        <v>6.1000000000000004E-3</v>
      </c>
      <c r="I583" s="1373">
        <f t="shared" si="9"/>
        <v>-1.89E-2</v>
      </c>
      <c r="J583" s="1371">
        <v>27181</v>
      </c>
    </row>
    <row r="584" spans="2:10" x14ac:dyDescent="0.45">
      <c r="B584" s="1371">
        <v>27211</v>
      </c>
      <c r="C584" s="1370" t="s">
        <v>7139</v>
      </c>
      <c r="F584" s="1372">
        <v>-7.5899999999999995E-2</v>
      </c>
      <c r="H584" s="1373">
        <v>7.1999999999999998E-3</v>
      </c>
      <c r="I584" s="1373">
        <f t="shared" si="9"/>
        <v>-8.3099999999999993E-2</v>
      </c>
      <c r="J584" s="1371">
        <v>27211</v>
      </c>
    </row>
    <row r="585" spans="2:10" x14ac:dyDescent="0.45">
      <c r="B585" s="1371">
        <v>27242</v>
      </c>
      <c r="C585" s="1370" t="s">
        <v>7139</v>
      </c>
      <c r="F585" s="1372">
        <v>-8.2799999999999999E-2</v>
      </c>
      <c r="H585" s="1373">
        <v>6.4999999999999997E-3</v>
      </c>
      <c r="I585" s="1373">
        <f t="shared" si="9"/>
        <v>-8.9300000000000004E-2</v>
      </c>
      <c r="J585" s="1371">
        <v>27242</v>
      </c>
    </row>
    <row r="586" spans="2:10" x14ac:dyDescent="0.45">
      <c r="B586" s="1371">
        <v>27273</v>
      </c>
      <c r="C586" s="1370" t="s">
        <v>7139</v>
      </c>
      <c r="F586" s="1372">
        <v>-0.11700000000000001</v>
      </c>
      <c r="H586" s="1373">
        <v>7.1000000000000004E-3</v>
      </c>
      <c r="I586" s="1373">
        <f t="shared" si="9"/>
        <v>-0.1241</v>
      </c>
      <c r="J586" s="1371">
        <v>27273</v>
      </c>
    </row>
    <row r="587" spans="2:10" x14ac:dyDescent="0.45">
      <c r="B587" s="1371">
        <v>27303</v>
      </c>
      <c r="C587" s="1370" t="s">
        <v>7139</v>
      </c>
      <c r="F587" s="1372">
        <v>0.16569999999999999</v>
      </c>
      <c r="H587" s="1373">
        <v>7.0000000000000001E-3</v>
      </c>
      <c r="I587" s="1373">
        <f t="shared" si="9"/>
        <v>0.15869999999999998</v>
      </c>
      <c r="J587" s="1371">
        <v>27303</v>
      </c>
    </row>
    <row r="588" spans="2:10" x14ac:dyDescent="0.45">
      <c r="B588" s="1371">
        <v>27334</v>
      </c>
      <c r="C588" s="1370" t="s">
        <v>7139</v>
      </c>
      <c r="F588" s="1372">
        <v>-4.48E-2</v>
      </c>
      <c r="H588" s="1373">
        <v>6.1999999999999998E-3</v>
      </c>
      <c r="I588" s="1373">
        <f t="shared" si="9"/>
        <v>-5.0999999999999997E-2</v>
      </c>
      <c r="J588" s="1371">
        <v>27334</v>
      </c>
    </row>
    <row r="589" spans="2:10" x14ac:dyDescent="0.45">
      <c r="B589" s="1371">
        <v>27364</v>
      </c>
      <c r="C589" s="1370" t="s">
        <v>7139</v>
      </c>
      <c r="F589" s="1372">
        <v>-1.77E-2</v>
      </c>
      <c r="H589" s="1373">
        <v>6.7000000000000002E-3</v>
      </c>
      <c r="I589" s="1373">
        <f t="shared" si="9"/>
        <v>-2.4400000000000002E-2</v>
      </c>
      <c r="J589" s="1371">
        <v>27364</v>
      </c>
    </row>
    <row r="590" spans="2:10" x14ac:dyDescent="0.45">
      <c r="B590" s="1371">
        <v>27395</v>
      </c>
      <c r="C590" s="1370" t="s">
        <v>7139</v>
      </c>
      <c r="F590" s="1372">
        <v>0.12509999999999999</v>
      </c>
      <c r="H590" s="1373">
        <v>6.7999999999999996E-3</v>
      </c>
      <c r="I590" s="1373">
        <f t="shared" si="9"/>
        <v>0.11829999999999999</v>
      </c>
      <c r="J590" s="1371">
        <v>27395</v>
      </c>
    </row>
    <row r="591" spans="2:10" x14ac:dyDescent="0.45">
      <c r="B591" s="1371">
        <v>27426</v>
      </c>
      <c r="C591" s="1370" t="s">
        <v>7139</v>
      </c>
      <c r="F591" s="1372">
        <v>6.7400000000000002E-2</v>
      </c>
      <c r="H591" s="1373">
        <v>6.0000000000000001E-3</v>
      </c>
      <c r="I591" s="1373">
        <f t="shared" si="9"/>
        <v>6.1400000000000003E-2</v>
      </c>
      <c r="J591" s="1371">
        <v>27426</v>
      </c>
    </row>
    <row r="592" spans="2:10" x14ac:dyDescent="0.45">
      <c r="B592" s="1371">
        <v>27454</v>
      </c>
      <c r="C592" s="1370" t="s">
        <v>7139</v>
      </c>
      <c r="F592" s="1372">
        <v>2.3699999999999999E-2</v>
      </c>
      <c r="H592" s="1373">
        <v>6.6E-3</v>
      </c>
      <c r="I592" s="1373">
        <f t="shared" si="9"/>
        <v>1.7099999999999997E-2</v>
      </c>
      <c r="J592" s="1371">
        <v>27454</v>
      </c>
    </row>
    <row r="593" spans="2:10" x14ac:dyDescent="0.45">
      <c r="B593" s="1371">
        <v>27485</v>
      </c>
      <c r="C593" s="1370" t="s">
        <v>7139</v>
      </c>
      <c r="F593" s="1372">
        <v>4.9299999999999997E-2</v>
      </c>
      <c r="H593" s="1373">
        <v>6.7000000000000002E-3</v>
      </c>
      <c r="I593" s="1373">
        <f t="shared" si="9"/>
        <v>4.2599999999999999E-2</v>
      </c>
      <c r="J593" s="1371">
        <v>27485</v>
      </c>
    </row>
    <row r="594" spans="2:10" x14ac:dyDescent="0.45">
      <c r="B594" s="1371">
        <v>27515</v>
      </c>
      <c r="C594" s="1370" t="s">
        <v>7139</v>
      </c>
      <c r="F594" s="1372">
        <v>5.0900000000000001E-2</v>
      </c>
      <c r="H594" s="1373">
        <v>6.7000000000000002E-3</v>
      </c>
      <c r="I594" s="1373">
        <f t="shared" si="9"/>
        <v>4.4200000000000003E-2</v>
      </c>
      <c r="J594" s="1371">
        <v>27515</v>
      </c>
    </row>
    <row r="595" spans="2:10" x14ac:dyDescent="0.45">
      <c r="B595" s="1371">
        <v>27546</v>
      </c>
      <c r="C595" s="1370" t="s">
        <v>7139</v>
      </c>
      <c r="F595" s="1372">
        <v>4.6199999999999998E-2</v>
      </c>
      <c r="H595" s="1373">
        <v>7.0000000000000001E-3</v>
      </c>
      <c r="I595" s="1373">
        <f t="shared" si="9"/>
        <v>3.9199999999999999E-2</v>
      </c>
      <c r="J595" s="1371">
        <v>27546</v>
      </c>
    </row>
    <row r="596" spans="2:10" x14ac:dyDescent="0.45">
      <c r="B596" s="1371">
        <v>27576</v>
      </c>
      <c r="C596" s="1370" t="s">
        <v>7139</v>
      </c>
      <c r="F596" s="1372">
        <v>-6.59E-2</v>
      </c>
      <c r="H596" s="1373">
        <v>6.7999999999999996E-3</v>
      </c>
      <c r="I596" s="1373">
        <f t="shared" si="9"/>
        <v>-7.2700000000000001E-2</v>
      </c>
      <c r="J596" s="1371">
        <v>27576</v>
      </c>
    </row>
    <row r="597" spans="2:10" x14ac:dyDescent="0.45">
      <c r="B597" s="1371">
        <v>27607</v>
      </c>
      <c r="C597" s="1370" t="s">
        <v>7139</v>
      </c>
      <c r="F597" s="1372">
        <v>-1.44E-2</v>
      </c>
      <c r="H597" s="1373">
        <v>6.4999999999999997E-3</v>
      </c>
      <c r="I597" s="1373">
        <f t="shared" si="9"/>
        <v>-2.0899999999999998E-2</v>
      </c>
      <c r="J597" s="1371">
        <v>27607</v>
      </c>
    </row>
    <row r="598" spans="2:10" x14ac:dyDescent="0.45">
      <c r="B598" s="1371">
        <v>27638</v>
      </c>
      <c r="C598" s="1370" t="s">
        <v>7139</v>
      </c>
      <c r="F598" s="1372">
        <v>-3.2800000000000003E-2</v>
      </c>
      <c r="H598" s="1373">
        <v>7.3000000000000001E-3</v>
      </c>
      <c r="I598" s="1373">
        <f t="shared" si="9"/>
        <v>-4.0100000000000004E-2</v>
      </c>
      <c r="J598" s="1371">
        <v>27638</v>
      </c>
    </row>
    <row r="599" spans="2:10" x14ac:dyDescent="0.45">
      <c r="B599" s="1371">
        <v>27668</v>
      </c>
      <c r="C599" s="1370" t="s">
        <v>7139</v>
      </c>
      <c r="F599" s="1372">
        <v>6.3700000000000007E-2</v>
      </c>
      <c r="H599" s="1373">
        <v>7.1999999999999998E-3</v>
      </c>
      <c r="I599" s="1373">
        <f t="shared" si="9"/>
        <v>5.6500000000000009E-2</v>
      </c>
      <c r="J599" s="1371">
        <v>27668</v>
      </c>
    </row>
    <row r="600" spans="2:10" x14ac:dyDescent="0.45">
      <c r="B600" s="1371">
        <v>27699</v>
      </c>
      <c r="C600" s="1370" t="s">
        <v>7139</v>
      </c>
      <c r="F600" s="1372">
        <v>3.1300000000000001E-2</v>
      </c>
      <c r="H600" s="1373">
        <v>6.1000000000000004E-3</v>
      </c>
      <c r="I600" s="1373">
        <f t="shared" si="9"/>
        <v>2.52E-2</v>
      </c>
      <c r="J600" s="1371">
        <v>27699</v>
      </c>
    </row>
    <row r="601" spans="2:10" x14ac:dyDescent="0.45">
      <c r="B601" s="1371">
        <v>27729</v>
      </c>
      <c r="C601" s="1370" t="s">
        <v>7139</v>
      </c>
      <c r="F601" s="1372">
        <v>-9.5999999999999992E-3</v>
      </c>
      <c r="H601" s="1373">
        <v>7.4000000000000003E-3</v>
      </c>
      <c r="I601" s="1373">
        <f t="shared" si="9"/>
        <v>-1.7000000000000001E-2</v>
      </c>
      <c r="J601" s="1371">
        <v>27729</v>
      </c>
    </row>
    <row r="602" spans="2:10" x14ac:dyDescent="0.45">
      <c r="B602" s="1371">
        <v>27760</v>
      </c>
      <c r="C602" s="1370" t="s">
        <v>7139</v>
      </c>
      <c r="F602" s="1372">
        <v>0.11990000000000001</v>
      </c>
      <c r="H602" s="1373">
        <v>6.4999999999999997E-3</v>
      </c>
      <c r="I602" s="1373">
        <f t="shared" si="9"/>
        <v>0.1134</v>
      </c>
      <c r="J602" s="1371">
        <v>27760</v>
      </c>
    </row>
    <row r="603" spans="2:10" x14ac:dyDescent="0.45">
      <c r="B603" s="1371">
        <v>27791</v>
      </c>
      <c r="C603" s="1370" t="s">
        <v>7139</v>
      </c>
      <c r="F603" s="1372">
        <v>-5.7999999999999996E-3</v>
      </c>
      <c r="H603" s="1373">
        <v>6.0000000000000001E-3</v>
      </c>
      <c r="I603" s="1373">
        <f t="shared" si="9"/>
        <v>-1.18E-2</v>
      </c>
      <c r="J603" s="1371">
        <v>27791</v>
      </c>
    </row>
    <row r="604" spans="2:10" x14ac:dyDescent="0.45">
      <c r="B604" s="1371">
        <v>27820</v>
      </c>
      <c r="C604" s="1370" t="s">
        <v>7139</v>
      </c>
      <c r="F604" s="1372">
        <v>3.2599999999999997E-2</v>
      </c>
      <c r="H604" s="1373">
        <v>7.1000000000000004E-3</v>
      </c>
      <c r="I604" s="1373">
        <f t="shared" si="9"/>
        <v>2.5499999999999995E-2</v>
      </c>
      <c r="J604" s="1371">
        <v>27820</v>
      </c>
    </row>
    <row r="605" spans="2:10" x14ac:dyDescent="0.45">
      <c r="B605" s="1371">
        <v>27851</v>
      </c>
      <c r="C605" s="1370" t="s">
        <v>7139</v>
      </c>
      <c r="F605" s="1372">
        <v>-9.9000000000000008E-3</v>
      </c>
      <c r="H605" s="1373">
        <v>6.4000000000000003E-3</v>
      </c>
      <c r="I605" s="1373">
        <f t="shared" si="9"/>
        <v>-1.6300000000000002E-2</v>
      </c>
      <c r="J605" s="1371">
        <v>27851</v>
      </c>
    </row>
    <row r="606" spans="2:10" x14ac:dyDescent="0.45">
      <c r="B606" s="1371">
        <v>27881</v>
      </c>
      <c r="C606" s="1370" t="s">
        <v>7139</v>
      </c>
      <c r="F606" s="1372">
        <v>-7.3000000000000001E-3</v>
      </c>
      <c r="H606" s="1373">
        <v>5.8999999999999999E-3</v>
      </c>
      <c r="I606" s="1373">
        <f t="shared" si="9"/>
        <v>-1.32E-2</v>
      </c>
      <c r="J606" s="1371">
        <v>27881</v>
      </c>
    </row>
    <row r="607" spans="2:10" x14ac:dyDescent="0.45">
      <c r="B607" s="1371">
        <v>27912</v>
      </c>
      <c r="C607" s="1370" t="s">
        <v>7139</v>
      </c>
      <c r="F607" s="1372">
        <v>4.2700000000000002E-2</v>
      </c>
      <c r="H607" s="1373">
        <v>7.3000000000000001E-3</v>
      </c>
      <c r="I607" s="1373">
        <f t="shared" si="9"/>
        <v>3.5400000000000001E-2</v>
      </c>
      <c r="J607" s="1371">
        <v>27912</v>
      </c>
    </row>
    <row r="608" spans="2:10" x14ac:dyDescent="0.45">
      <c r="B608" s="1371">
        <v>27942</v>
      </c>
      <c r="C608" s="1370" t="s">
        <v>7139</v>
      </c>
      <c r="F608" s="1372">
        <v>-6.7999999999999996E-3</v>
      </c>
      <c r="H608" s="1373">
        <v>6.4999999999999997E-3</v>
      </c>
      <c r="I608" s="1373">
        <f t="shared" si="9"/>
        <v>-1.3299999999999999E-2</v>
      </c>
      <c r="J608" s="1371">
        <v>27942</v>
      </c>
    </row>
    <row r="609" spans="2:10" x14ac:dyDescent="0.45">
      <c r="B609" s="1371">
        <v>27973</v>
      </c>
      <c r="C609" s="1370" t="s">
        <v>7139</v>
      </c>
      <c r="F609" s="1372">
        <v>1.4E-3</v>
      </c>
      <c r="H609" s="1373">
        <v>6.8999999999999999E-3</v>
      </c>
      <c r="I609" s="1373">
        <f t="shared" si="9"/>
        <v>-5.4999999999999997E-3</v>
      </c>
      <c r="J609" s="1371">
        <v>27973</v>
      </c>
    </row>
    <row r="610" spans="2:10" x14ac:dyDescent="0.45">
      <c r="B610" s="1371">
        <v>28004</v>
      </c>
      <c r="C610" s="1370" t="s">
        <v>7139</v>
      </c>
      <c r="F610" s="1372">
        <v>2.47E-2</v>
      </c>
      <c r="H610" s="1373">
        <v>6.4000000000000003E-3</v>
      </c>
      <c r="I610" s="1373">
        <f t="shared" si="9"/>
        <v>1.83E-2</v>
      </c>
      <c r="J610" s="1371">
        <v>28004</v>
      </c>
    </row>
    <row r="611" spans="2:10" x14ac:dyDescent="0.45">
      <c r="B611" s="1371">
        <v>28034</v>
      </c>
      <c r="C611" s="1370" t="s">
        <v>7139</v>
      </c>
      <c r="F611" s="1372">
        <v>-2.06E-2</v>
      </c>
      <c r="H611" s="1373">
        <v>6.1000000000000004E-3</v>
      </c>
      <c r="I611" s="1373">
        <f t="shared" si="9"/>
        <v>-2.6700000000000002E-2</v>
      </c>
      <c r="J611" s="1371">
        <v>28034</v>
      </c>
    </row>
    <row r="612" spans="2:10" x14ac:dyDescent="0.45">
      <c r="B612" s="1371">
        <v>28065</v>
      </c>
      <c r="C612" s="1370" t="s">
        <v>7139</v>
      </c>
      <c r="F612" s="1372">
        <v>-8.9999999999999998E-4</v>
      </c>
      <c r="H612" s="1373">
        <v>6.6E-3</v>
      </c>
      <c r="I612" s="1373">
        <f t="shared" si="9"/>
        <v>-7.4999999999999997E-3</v>
      </c>
      <c r="J612" s="1371">
        <v>28065</v>
      </c>
    </row>
    <row r="613" spans="2:10" x14ac:dyDescent="0.45">
      <c r="B613" s="1371">
        <v>28095</v>
      </c>
      <c r="C613" s="1370" t="s">
        <v>7139</v>
      </c>
      <c r="F613" s="1372">
        <v>5.3999999999999999E-2</v>
      </c>
      <c r="H613" s="1373">
        <v>6.3E-3</v>
      </c>
      <c r="I613" s="1373">
        <f t="shared" si="9"/>
        <v>4.7699999999999999E-2</v>
      </c>
      <c r="J613" s="1371">
        <v>28095</v>
      </c>
    </row>
    <row r="614" spans="2:10" x14ac:dyDescent="0.45">
      <c r="B614" s="1371">
        <v>28126</v>
      </c>
      <c r="C614" s="1370" t="s">
        <v>7139</v>
      </c>
      <c r="F614" s="1372">
        <v>-4.8899999999999999E-2</v>
      </c>
      <c r="H614" s="1373">
        <v>5.8999999999999999E-3</v>
      </c>
      <c r="I614" s="1373">
        <f t="shared" si="9"/>
        <v>-5.4800000000000001E-2</v>
      </c>
      <c r="J614" s="1371">
        <v>28126</v>
      </c>
    </row>
    <row r="615" spans="2:10" x14ac:dyDescent="0.45">
      <c r="B615" s="1371">
        <v>28157</v>
      </c>
      <c r="C615" s="1370" t="s">
        <v>7139</v>
      </c>
      <c r="F615" s="1372">
        <v>-1.5100000000000001E-2</v>
      </c>
      <c r="H615" s="1373">
        <v>5.7000000000000002E-3</v>
      </c>
      <c r="I615" s="1373">
        <f t="shared" si="9"/>
        <v>-2.0799999999999999E-2</v>
      </c>
      <c r="J615" s="1371">
        <v>28157</v>
      </c>
    </row>
    <row r="616" spans="2:10" x14ac:dyDescent="0.45">
      <c r="B616" s="1371">
        <v>28185</v>
      </c>
      <c r="C616" s="1370" t="s">
        <v>7139</v>
      </c>
      <c r="F616" s="1372">
        <v>-1.1900000000000001E-2</v>
      </c>
      <c r="H616" s="1373">
        <v>6.4999999999999997E-3</v>
      </c>
      <c r="I616" s="1373">
        <f t="shared" si="9"/>
        <v>-1.84E-2</v>
      </c>
      <c r="J616" s="1371">
        <v>28185</v>
      </c>
    </row>
    <row r="617" spans="2:10" x14ac:dyDescent="0.45">
      <c r="B617" s="1371">
        <v>28216</v>
      </c>
      <c r="C617" s="1370" t="s">
        <v>7139</v>
      </c>
      <c r="F617" s="1372">
        <v>1.4E-3</v>
      </c>
      <c r="H617" s="1373">
        <v>6.1000000000000004E-3</v>
      </c>
      <c r="I617" s="1373">
        <f t="shared" si="9"/>
        <v>-4.7000000000000002E-3</v>
      </c>
      <c r="J617" s="1371">
        <v>28216</v>
      </c>
    </row>
    <row r="618" spans="2:10" x14ac:dyDescent="0.45">
      <c r="B618" s="1371">
        <v>28246</v>
      </c>
      <c r="C618" s="1370" t="s">
        <v>7139</v>
      </c>
      <c r="F618" s="1372">
        <v>-1.4999999999999999E-2</v>
      </c>
      <c r="H618" s="1373">
        <v>6.7000000000000002E-3</v>
      </c>
      <c r="I618" s="1373">
        <f t="shared" si="9"/>
        <v>-2.1700000000000001E-2</v>
      </c>
      <c r="J618" s="1371">
        <v>28246</v>
      </c>
    </row>
    <row r="619" spans="2:10" x14ac:dyDescent="0.45">
      <c r="B619" s="1371">
        <v>28277</v>
      </c>
      <c r="C619" s="1370" t="s">
        <v>7139</v>
      </c>
      <c r="F619" s="1372">
        <v>4.7500000000000001E-2</v>
      </c>
      <c r="H619" s="1373">
        <v>6.1999999999999998E-3</v>
      </c>
      <c r="I619" s="1373">
        <f t="shared" si="9"/>
        <v>4.1300000000000003E-2</v>
      </c>
      <c r="J619" s="1371">
        <v>28277</v>
      </c>
    </row>
    <row r="620" spans="2:10" x14ac:dyDescent="0.45">
      <c r="B620" s="1371">
        <v>28307</v>
      </c>
      <c r="C620" s="1370" t="s">
        <v>7139</v>
      </c>
      <c r="F620" s="1372">
        <v>-1.5100000000000001E-2</v>
      </c>
      <c r="H620" s="1373">
        <v>5.8999999999999999E-3</v>
      </c>
      <c r="I620" s="1373">
        <f t="shared" si="9"/>
        <v>-2.1000000000000001E-2</v>
      </c>
      <c r="J620" s="1371">
        <v>28307</v>
      </c>
    </row>
    <row r="621" spans="2:10" x14ac:dyDescent="0.45">
      <c r="B621" s="1371">
        <v>28338</v>
      </c>
      <c r="C621" s="1370" t="s">
        <v>7139</v>
      </c>
      <c r="F621" s="1372">
        <v>-1.3299999999999999E-2</v>
      </c>
      <c r="H621" s="1373">
        <v>6.7000000000000002E-3</v>
      </c>
      <c r="I621" s="1373">
        <f t="shared" si="9"/>
        <v>-0.02</v>
      </c>
      <c r="J621" s="1371">
        <v>28338</v>
      </c>
    </row>
    <row r="622" spans="2:10" x14ac:dyDescent="0.45">
      <c r="B622" s="1371">
        <v>28369</v>
      </c>
      <c r="C622" s="1370" t="s">
        <v>7139</v>
      </c>
      <c r="F622" s="1372">
        <v>0</v>
      </c>
      <c r="H622" s="1373">
        <v>6.1000000000000004E-3</v>
      </c>
      <c r="I622" s="1373">
        <f t="shared" si="9"/>
        <v>-6.1000000000000004E-3</v>
      </c>
      <c r="J622" s="1371">
        <v>28369</v>
      </c>
    </row>
    <row r="623" spans="2:10" x14ac:dyDescent="0.45">
      <c r="B623" s="1371">
        <v>28399</v>
      </c>
      <c r="C623" s="1370" t="s">
        <v>7139</v>
      </c>
      <c r="F623" s="1372">
        <v>-4.1500000000000002E-2</v>
      </c>
      <c r="H623" s="1373">
        <v>6.3E-3</v>
      </c>
      <c r="I623" s="1373">
        <f t="shared" si="9"/>
        <v>-4.7800000000000002E-2</v>
      </c>
      <c r="J623" s="1371">
        <v>28399</v>
      </c>
    </row>
    <row r="624" spans="2:10" x14ac:dyDescent="0.45">
      <c r="B624" s="1371">
        <v>28430</v>
      </c>
      <c r="C624" s="1370" t="s">
        <v>7139</v>
      </c>
      <c r="F624" s="1372">
        <v>3.6999999999999998E-2</v>
      </c>
      <c r="H624" s="1373">
        <v>6.3E-3</v>
      </c>
      <c r="I624" s="1373">
        <f t="shared" si="9"/>
        <v>3.0699999999999998E-2</v>
      </c>
      <c r="J624" s="1371">
        <v>28430</v>
      </c>
    </row>
    <row r="625" spans="2:10" x14ac:dyDescent="0.45">
      <c r="B625" s="1371">
        <v>28460</v>
      </c>
      <c r="C625" s="1370" t="s">
        <v>7139</v>
      </c>
      <c r="F625" s="1372">
        <v>4.7999999999999996E-3</v>
      </c>
      <c r="H625" s="1373">
        <v>6.1999999999999998E-3</v>
      </c>
      <c r="I625" s="1373">
        <f t="shared" si="9"/>
        <v>-1.4000000000000002E-3</v>
      </c>
      <c r="J625" s="1371">
        <v>28460</v>
      </c>
    </row>
    <row r="626" spans="2:10" x14ac:dyDescent="0.45">
      <c r="B626" s="1371">
        <v>28491</v>
      </c>
      <c r="C626" s="1370" t="s">
        <v>7139</v>
      </c>
      <c r="F626" s="1372">
        <v>-5.96E-2</v>
      </c>
      <c r="H626" s="1373">
        <v>6.8999999999999999E-3</v>
      </c>
      <c r="I626" s="1373">
        <f t="shared" si="9"/>
        <v>-6.6500000000000004E-2</v>
      </c>
      <c r="J626" s="1371">
        <v>28491</v>
      </c>
    </row>
    <row r="627" spans="2:10" x14ac:dyDescent="0.45">
      <c r="B627" s="1371">
        <v>28522</v>
      </c>
      <c r="C627" s="1370" t="s">
        <v>7139</v>
      </c>
      <c r="F627" s="1372">
        <v>-1.61E-2</v>
      </c>
      <c r="H627" s="1373">
        <v>6.0000000000000001E-3</v>
      </c>
      <c r="I627" s="1373">
        <f t="shared" si="9"/>
        <v>-2.2100000000000002E-2</v>
      </c>
      <c r="J627" s="1371">
        <v>28522</v>
      </c>
    </row>
    <row r="628" spans="2:10" x14ac:dyDescent="0.45">
      <c r="B628" s="1371">
        <v>28550</v>
      </c>
      <c r="C628" s="1370" t="s">
        <v>7139</v>
      </c>
      <c r="F628" s="1372">
        <v>2.76E-2</v>
      </c>
      <c r="H628" s="1373">
        <v>6.8999999999999999E-3</v>
      </c>
      <c r="I628" s="1373">
        <f t="shared" si="9"/>
        <v>2.07E-2</v>
      </c>
      <c r="J628" s="1371">
        <v>28550</v>
      </c>
    </row>
    <row r="629" spans="2:10" x14ac:dyDescent="0.45">
      <c r="B629" s="1371">
        <v>28581</v>
      </c>
      <c r="C629" s="1370" t="s">
        <v>7139</v>
      </c>
      <c r="F629" s="1372">
        <v>8.6999999999999994E-2</v>
      </c>
      <c r="H629" s="1373">
        <v>6.3E-3</v>
      </c>
      <c r="I629" s="1373">
        <f t="shared" si="9"/>
        <v>8.0699999999999994E-2</v>
      </c>
      <c r="J629" s="1371">
        <v>28581</v>
      </c>
    </row>
    <row r="630" spans="2:10" x14ac:dyDescent="0.45">
      <c r="B630" s="1371">
        <v>28611</v>
      </c>
      <c r="C630" s="1370" t="s">
        <v>7139</v>
      </c>
      <c r="F630" s="1372">
        <v>1.3599999999999999E-2</v>
      </c>
      <c r="H630" s="1373">
        <v>7.4999999999999997E-3</v>
      </c>
      <c r="I630" s="1373">
        <f t="shared" si="9"/>
        <v>6.0999999999999995E-3</v>
      </c>
      <c r="J630" s="1371">
        <v>28611</v>
      </c>
    </row>
    <row r="631" spans="2:10" x14ac:dyDescent="0.45">
      <c r="B631" s="1371">
        <v>28642</v>
      </c>
      <c r="C631" s="1370" t="s">
        <v>7139</v>
      </c>
      <c r="F631" s="1372">
        <v>-1.52E-2</v>
      </c>
      <c r="H631" s="1373">
        <v>6.8999999999999999E-3</v>
      </c>
      <c r="I631" s="1373">
        <f t="shared" si="9"/>
        <v>-2.2100000000000002E-2</v>
      </c>
      <c r="J631" s="1371">
        <v>28642</v>
      </c>
    </row>
    <row r="632" spans="2:10" x14ac:dyDescent="0.45">
      <c r="B632" s="1371">
        <v>28672</v>
      </c>
      <c r="C632" s="1370" t="s">
        <v>7139</v>
      </c>
      <c r="F632" s="1372">
        <v>5.6000000000000001E-2</v>
      </c>
      <c r="H632" s="1373">
        <v>7.3000000000000001E-3</v>
      </c>
      <c r="I632" s="1373">
        <f t="shared" si="9"/>
        <v>4.87E-2</v>
      </c>
      <c r="J632" s="1371">
        <v>28672</v>
      </c>
    </row>
    <row r="633" spans="2:10" x14ac:dyDescent="0.45">
      <c r="B633" s="1371">
        <v>28703</v>
      </c>
      <c r="C633" s="1370" t="s">
        <v>7139</v>
      </c>
      <c r="F633" s="1372">
        <v>3.4000000000000002E-2</v>
      </c>
      <c r="H633" s="1373">
        <v>7.0000000000000001E-3</v>
      </c>
      <c r="I633" s="1373">
        <f t="shared" si="9"/>
        <v>2.7000000000000003E-2</v>
      </c>
      <c r="J633" s="1371">
        <v>28703</v>
      </c>
    </row>
    <row r="634" spans="2:10" x14ac:dyDescent="0.45">
      <c r="B634" s="1371">
        <v>28734</v>
      </c>
      <c r="C634" s="1370" t="s">
        <v>7139</v>
      </c>
      <c r="F634" s="1372">
        <v>-4.7999999999999996E-3</v>
      </c>
      <c r="H634" s="1373">
        <v>6.4999999999999997E-3</v>
      </c>
      <c r="I634" s="1373">
        <f t="shared" si="9"/>
        <v>-1.1299999999999999E-2</v>
      </c>
      <c r="J634" s="1371">
        <v>28734</v>
      </c>
    </row>
    <row r="635" spans="2:10" x14ac:dyDescent="0.45">
      <c r="B635" s="1371">
        <v>28764</v>
      </c>
      <c r="C635" s="1370" t="s">
        <v>7139</v>
      </c>
      <c r="F635" s="1372">
        <v>-8.9099999999999999E-2</v>
      </c>
      <c r="H635" s="1373">
        <v>7.3000000000000001E-3</v>
      </c>
      <c r="I635" s="1373">
        <f t="shared" si="9"/>
        <v>-9.64E-2</v>
      </c>
      <c r="J635" s="1371">
        <v>28764</v>
      </c>
    </row>
    <row r="636" spans="2:10" x14ac:dyDescent="0.45">
      <c r="B636" s="1371">
        <v>28795</v>
      </c>
      <c r="C636" s="1370" t="s">
        <v>7139</v>
      </c>
      <c r="F636" s="1372">
        <v>2.5999999999999999E-2</v>
      </c>
      <c r="H636" s="1373">
        <v>7.1000000000000004E-3</v>
      </c>
      <c r="I636" s="1373">
        <f t="shared" si="9"/>
        <v>1.89E-2</v>
      </c>
      <c r="J636" s="1371">
        <v>28795</v>
      </c>
    </row>
    <row r="637" spans="2:10" x14ac:dyDescent="0.45">
      <c r="B637" s="1371">
        <v>28825</v>
      </c>
      <c r="C637" s="1370" t="s">
        <v>7139</v>
      </c>
      <c r="F637" s="1372">
        <v>1.72E-2</v>
      </c>
      <c r="H637" s="1373">
        <v>6.7999999999999996E-3</v>
      </c>
      <c r="I637" s="1373">
        <f t="shared" si="9"/>
        <v>1.04E-2</v>
      </c>
      <c r="J637" s="1371">
        <v>28825</v>
      </c>
    </row>
    <row r="638" spans="2:10" x14ac:dyDescent="0.45">
      <c r="B638" s="1371">
        <v>28856</v>
      </c>
      <c r="C638" s="1370" t="s">
        <v>7139</v>
      </c>
      <c r="F638" s="1372">
        <v>4.2099999999999999E-2</v>
      </c>
      <c r="H638" s="1373">
        <v>7.9000000000000008E-3</v>
      </c>
      <c r="I638" s="1373">
        <f t="shared" si="9"/>
        <v>3.4199999999999994E-2</v>
      </c>
      <c r="J638" s="1371">
        <v>28856</v>
      </c>
    </row>
    <row r="639" spans="2:10" x14ac:dyDescent="0.45">
      <c r="B639" s="1371">
        <v>28887</v>
      </c>
      <c r="C639" s="1370" t="s">
        <v>7139</v>
      </c>
      <c r="F639" s="1372">
        <v>-2.8400000000000002E-2</v>
      </c>
      <c r="H639" s="1373">
        <v>6.4999999999999997E-3</v>
      </c>
      <c r="I639" s="1373">
        <f t="shared" si="9"/>
        <v>-3.49E-2</v>
      </c>
      <c r="J639" s="1371">
        <v>28887</v>
      </c>
    </row>
    <row r="640" spans="2:10" x14ac:dyDescent="0.45">
      <c r="B640" s="1371">
        <v>28915</v>
      </c>
      <c r="C640" s="1370" t="s">
        <v>7139</v>
      </c>
      <c r="F640" s="1372">
        <v>5.7500000000000002E-2</v>
      </c>
      <c r="H640" s="1373">
        <v>7.4000000000000003E-3</v>
      </c>
      <c r="I640" s="1373">
        <f t="shared" si="9"/>
        <v>5.0100000000000006E-2</v>
      </c>
      <c r="J640" s="1371">
        <v>28915</v>
      </c>
    </row>
    <row r="641" spans="2:10" x14ac:dyDescent="0.45">
      <c r="B641" s="1371">
        <v>28946</v>
      </c>
      <c r="C641" s="1370" t="s">
        <v>7139</v>
      </c>
      <c r="F641" s="1372">
        <v>3.5999999999999999E-3</v>
      </c>
      <c r="H641" s="1373">
        <v>7.6E-3</v>
      </c>
      <c r="I641" s="1373">
        <f t="shared" si="9"/>
        <v>-4.0000000000000001E-3</v>
      </c>
      <c r="J641" s="1371">
        <v>28946</v>
      </c>
    </row>
    <row r="642" spans="2:10" x14ac:dyDescent="0.45">
      <c r="B642" s="1371">
        <v>28976</v>
      </c>
      <c r="C642" s="1370" t="s">
        <v>7139</v>
      </c>
      <c r="F642" s="1372">
        <v>-1.6799999999999999E-2</v>
      </c>
      <c r="H642" s="1373">
        <v>7.7000000000000002E-3</v>
      </c>
      <c r="I642" s="1373">
        <f t="shared" ref="I642:I705" si="10">F642-H642</f>
        <v>-2.4500000000000001E-2</v>
      </c>
      <c r="J642" s="1371">
        <v>28976</v>
      </c>
    </row>
    <row r="643" spans="2:10" x14ac:dyDescent="0.45">
      <c r="B643" s="1371">
        <v>29007</v>
      </c>
      <c r="C643" s="1370" t="s">
        <v>7139</v>
      </c>
      <c r="F643" s="1372">
        <v>4.1000000000000002E-2</v>
      </c>
      <c r="H643" s="1373">
        <v>7.1000000000000004E-3</v>
      </c>
      <c r="I643" s="1373">
        <f t="shared" si="10"/>
        <v>3.39E-2</v>
      </c>
      <c r="J643" s="1371">
        <v>29007</v>
      </c>
    </row>
    <row r="644" spans="2:10" x14ac:dyDescent="0.45">
      <c r="B644" s="1371">
        <v>29037</v>
      </c>
      <c r="C644" s="1370" t="s">
        <v>7139</v>
      </c>
      <c r="F644" s="1372">
        <v>1.0999999999999999E-2</v>
      </c>
      <c r="H644" s="1373">
        <v>7.6E-3</v>
      </c>
      <c r="I644" s="1373">
        <f t="shared" si="10"/>
        <v>3.3999999999999994E-3</v>
      </c>
      <c r="J644" s="1371">
        <v>29037</v>
      </c>
    </row>
    <row r="645" spans="2:10" x14ac:dyDescent="0.45">
      <c r="B645" s="1371">
        <v>29068</v>
      </c>
      <c r="C645" s="1370" t="s">
        <v>7139</v>
      </c>
      <c r="F645" s="1372">
        <v>6.1100000000000002E-2</v>
      </c>
      <c r="H645" s="1373">
        <v>7.3000000000000001E-3</v>
      </c>
      <c r="I645" s="1373">
        <f t="shared" si="10"/>
        <v>5.3800000000000001E-2</v>
      </c>
      <c r="J645" s="1371">
        <v>29068</v>
      </c>
    </row>
    <row r="646" spans="2:10" x14ac:dyDescent="0.45">
      <c r="B646" s="1371">
        <v>29099</v>
      </c>
      <c r="C646" s="1370" t="s">
        <v>7139</v>
      </c>
      <c r="F646" s="1372">
        <v>2.5000000000000001E-3</v>
      </c>
      <c r="H646" s="1373">
        <v>6.7999999999999996E-3</v>
      </c>
      <c r="I646" s="1373">
        <f t="shared" si="10"/>
        <v>-4.3E-3</v>
      </c>
      <c r="J646" s="1371">
        <v>29099</v>
      </c>
    </row>
    <row r="647" spans="2:10" x14ac:dyDescent="0.45">
      <c r="B647" s="1371">
        <v>29129</v>
      </c>
      <c r="C647" s="1370" t="s">
        <v>7139</v>
      </c>
      <c r="F647" s="1372">
        <v>-6.5600000000000006E-2</v>
      </c>
      <c r="H647" s="1373">
        <v>8.2000000000000007E-3</v>
      </c>
      <c r="I647" s="1373">
        <f t="shared" si="10"/>
        <v>-7.3800000000000004E-2</v>
      </c>
      <c r="J647" s="1371">
        <v>29129</v>
      </c>
    </row>
    <row r="648" spans="2:10" x14ac:dyDescent="0.45">
      <c r="B648" s="1371">
        <v>29160</v>
      </c>
      <c r="C648" s="1370" t="s">
        <v>7139</v>
      </c>
      <c r="F648" s="1372">
        <v>5.1400000000000001E-2</v>
      </c>
      <c r="H648" s="1373">
        <v>8.3000000000000001E-3</v>
      </c>
      <c r="I648" s="1373">
        <f t="shared" si="10"/>
        <v>4.3099999999999999E-2</v>
      </c>
      <c r="J648" s="1371">
        <v>29160</v>
      </c>
    </row>
    <row r="649" spans="2:10" x14ac:dyDescent="0.45">
      <c r="B649" s="1371">
        <v>29190</v>
      </c>
      <c r="C649" s="1370" t="s">
        <v>7139</v>
      </c>
      <c r="F649" s="1372">
        <v>1.9199999999999998E-2</v>
      </c>
      <c r="H649" s="1373">
        <v>8.3000000000000001E-3</v>
      </c>
      <c r="I649" s="1373">
        <f t="shared" si="10"/>
        <v>1.0899999999999998E-2</v>
      </c>
      <c r="J649" s="1371">
        <v>29190</v>
      </c>
    </row>
    <row r="650" spans="2:10" x14ac:dyDescent="0.45">
      <c r="B650" s="1371">
        <v>29221</v>
      </c>
      <c r="C650" s="1370" t="s">
        <v>7139</v>
      </c>
      <c r="F650" s="1372">
        <v>6.0999999999999999E-2</v>
      </c>
      <c r="H650" s="1373">
        <v>8.3000000000000001E-3</v>
      </c>
      <c r="I650" s="1373">
        <f t="shared" si="10"/>
        <v>5.2699999999999997E-2</v>
      </c>
      <c r="J650" s="1371">
        <v>29221</v>
      </c>
    </row>
    <row r="651" spans="2:10" x14ac:dyDescent="0.45">
      <c r="B651" s="1371">
        <v>29252</v>
      </c>
      <c r="C651" s="1370" t="s">
        <v>7139</v>
      </c>
      <c r="F651" s="1372">
        <v>3.0999999999999999E-3</v>
      </c>
      <c r="H651" s="1373">
        <v>8.3999999999999995E-3</v>
      </c>
      <c r="I651" s="1373">
        <f t="shared" si="10"/>
        <v>-5.2999999999999992E-3</v>
      </c>
      <c r="J651" s="1371">
        <v>29252</v>
      </c>
    </row>
    <row r="652" spans="2:10" x14ac:dyDescent="0.45">
      <c r="B652" s="1371">
        <v>29281</v>
      </c>
      <c r="C652" s="1370" t="s">
        <v>7139</v>
      </c>
      <c r="F652" s="1372">
        <v>-9.8699999999999996E-2</v>
      </c>
      <c r="H652" s="1373">
        <v>9.9000000000000008E-3</v>
      </c>
      <c r="I652" s="1373">
        <f t="shared" si="10"/>
        <v>-0.1086</v>
      </c>
      <c r="J652" s="1371">
        <v>29281</v>
      </c>
    </row>
    <row r="653" spans="2:10" x14ac:dyDescent="0.45">
      <c r="B653" s="1371">
        <v>29312</v>
      </c>
      <c r="C653" s="1370" t="s">
        <v>7139</v>
      </c>
      <c r="F653" s="1372">
        <v>4.2900000000000001E-2</v>
      </c>
      <c r="H653" s="1373">
        <v>0.01</v>
      </c>
      <c r="I653" s="1373">
        <f t="shared" si="10"/>
        <v>3.2899999999999999E-2</v>
      </c>
      <c r="J653" s="1371">
        <v>29312</v>
      </c>
    </row>
    <row r="654" spans="2:10" x14ac:dyDescent="0.45">
      <c r="B654" s="1371">
        <v>29342</v>
      </c>
      <c r="C654" s="1370" t="s">
        <v>7139</v>
      </c>
      <c r="F654" s="1372">
        <v>5.62E-2</v>
      </c>
      <c r="H654" s="1373">
        <v>8.6999999999999994E-3</v>
      </c>
      <c r="I654" s="1373">
        <f t="shared" si="10"/>
        <v>4.7500000000000001E-2</v>
      </c>
      <c r="J654" s="1371">
        <v>29342</v>
      </c>
    </row>
    <row r="655" spans="2:10" x14ac:dyDescent="0.45">
      <c r="B655" s="1371">
        <v>29373</v>
      </c>
      <c r="C655" s="1370" t="s">
        <v>7139</v>
      </c>
      <c r="F655" s="1372">
        <v>2.9600000000000001E-2</v>
      </c>
      <c r="H655" s="1373">
        <v>8.6E-3</v>
      </c>
      <c r="I655" s="1373">
        <f t="shared" si="10"/>
        <v>2.1000000000000001E-2</v>
      </c>
      <c r="J655" s="1371">
        <v>29373</v>
      </c>
    </row>
    <row r="656" spans="2:10" x14ac:dyDescent="0.45">
      <c r="B656" s="1371">
        <v>29403</v>
      </c>
      <c r="C656" s="1370" t="s">
        <v>7139</v>
      </c>
      <c r="F656" s="1372">
        <v>6.7599999999999993E-2</v>
      </c>
      <c r="H656" s="1373">
        <v>8.3999999999999995E-3</v>
      </c>
      <c r="I656" s="1373">
        <f t="shared" si="10"/>
        <v>5.9199999999999996E-2</v>
      </c>
      <c r="J656" s="1371">
        <v>29403</v>
      </c>
    </row>
    <row r="657" spans="2:10" x14ac:dyDescent="0.45">
      <c r="B657" s="1371">
        <v>29434</v>
      </c>
      <c r="C657" s="1370" t="s">
        <v>7139</v>
      </c>
      <c r="F657" s="1372">
        <v>1.3100000000000001E-2</v>
      </c>
      <c r="H657" s="1373">
        <v>8.0999999999999996E-3</v>
      </c>
      <c r="I657" s="1373">
        <f t="shared" si="10"/>
        <v>5.000000000000001E-3</v>
      </c>
      <c r="J657" s="1371">
        <v>29434</v>
      </c>
    </row>
    <row r="658" spans="2:10" x14ac:dyDescent="0.45">
      <c r="B658" s="1371">
        <v>29465</v>
      </c>
      <c r="C658" s="1370" t="s">
        <v>7139</v>
      </c>
      <c r="F658" s="1372">
        <v>2.81E-2</v>
      </c>
      <c r="H658" s="1373">
        <v>9.7000000000000003E-3</v>
      </c>
      <c r="I658" s="1373">
        <f t="shared" si="10"/>
        <v>1.84E-2</v>
      </c>
      <c r="J658" s="1371">
        <v>29465</v>
      </c>
    </row>
    <row r="659" spans="2:10" x14ac:dyDescent="0.45">
      <c r="B659" s="1371">
        <v>29495</v>
      </c>
      <c r="C659" s="1370" t="s">
        <v>7139</v>
      </c>
      <c r="F659" s="1372">
        <v>1.8700000000000001E-2</v>
      </c>
      <c r="H659" s="1373">
        <v>9.7000000000000003E-3</v>
      </c>
      <c r="I659" s="1373">
        <f t="shared" si="10"/>
        <v>9.0000000000000011E-3</v>
      </c>
      <c r="J659" s="1371">
        <v>29495</v>
      </c>
    </row>
    <row r="660" spans="2:10" x14ac:dyDescent="0.45">
      <c r="B660" s="1371">
        <v>29526</v>
      </c>
      <c r="C660" s="1370" t="s">
        <v>7139</v>
      </c>
      <c r="F660" s="1372">
        <v>0.1095</v>
      </c>
      <c r="H660" s="1373">
        <v>9.1000000000000004E-3</v>
      </c>
      <c r="I660" s="1373">
        <f t="shared" si="10"/>
        <v>0.1004</v>
      </c>
      <c r="J660" s="1371">
        <v>29526</v>
      </c>
    </row>
    <row r="661" spans="2:10" x14ac:dyDescent="0.45">
      <c r="B661" s="1371">
        <v>29556</v>
      </c>
      <c r="C661" s="1370" t="s">
        <v>7139</v>
      </c>
      <c r="F661" s="1372">
        <v>-3.15E-2</v>
      </c>
      <c r="H661" s="1373">
        <v>1.0800000000000001E-2</v>
      </c>
      <c r="I661" s="1373">
        <f t="shared" si="10"/>
        <v>-4.2300000000000004E-2</v>
      </c>
      <c r="J661" s="1371">
        <v>29556</v>
      </c>
    </row>
    <row r="662" spans="2:10" x14ac:dyDescent="0.45">
      <c r="B662" s="1371">
        <v>29587</v>
      </c>
      <c r="C662" s="1370" t="s">
        <v>7139</v>
      </c>
      <c r="F662" s="1372">
        <v>-4.3799999999999999E-2</v>
      </c>
      <c r="H662" s="1373">
        <v>9.4000000000000004E-3</v>
      </c>
      <c r="I662" s="1373">
        <f t="shared" si="10"/>
        <v>-5.3199999999999997E-2</v>
      </c>
      <c r="J662" s="1371">
        <v>29587</v>
      </c>
    </row>
    <row r="663" spans="2:10" x14ac:dyDescent="0.45">
      <c r="B663" s="1371">
        <v>29618</v>
      </c>
      <c r="C663" s="1370" t="s">
        <v>7139</v>
      </c>
      <c r="F663" s="1372">
        <v>2.0799999999999999E-2</v>
      </c>
      <c r="H663" s="1373">
        <v>8.8000000000000005E-3</v>
      </c>
      <c r="I663" s="1373">
        <f t="shared" si="10"/>
        <v>1.1999999999999999E-2</v>
      </c>
      <c r="J663" s="1371">
        <v>29618</v>
      </c>
    </row>
    <row r="664" spans="2:10" x14ac:dyDescent="0.45">
      <c r="B664" s="1371">
        <v>29646</v>
      </c>
      <c r="C664" s="1370" t="s">
        <v>7139</v>
      </c>
      <c r="F664" s="1372">
        <v>3.7999999999999999E-2</v>
      </c>
      <c r="H664" s="1373">
        <v>1.11E-2</v>
      </c>
      <c r="I664" s="1373">
        <f t="shared" si="10"/>
        <v>2.69E-2</v>
      </c>
      <c r="J664" s="1371">
        <v>29646</v>
      </c>
    </row>
    <row r="665" spans="2:10" x14ac:dyDescent="0.45">
      <c r="B665" s="1371">
        <v>29677</v>
      </c>
      <c r="C665" s="1370" t="s">
        <v>7139</v>
      </c>
      <c r="F665" s="1372">
        <v>-2.1299999999999999E-2</v>
      </c>
      <c r="H665" s="1373">
        <v>1.01E-2</v>
      </c>
      <c r="I665" s="1373">
        <f t="shared" si="10"/>
        <v>-3.1399999999999997E-2</v>
      </c>
      <c r="J665" s="1371">
        <v>29677</v>
      </c>
    </row>
    <row r="666" spans="2:10" x14ac:dyDescent="0.45">
      <c r="B666" s="1371">
        <v>29707</v>
      </c>
      <c r="C666" s="1370" t="s">
        <v>7139</v>
      </c>
      <c r="F666" s="1372">
        <v>6.1999999999999998E-3</v>
      </c>
      <c r="H666" s="1373">
        <v>1.04E-2</v>
      </c>
      <c r="I666" s="1373">
        <f t="shared" si="10"/>
        <v>-4.1999999999999997E-3</v>
      </c>
      <c r="J666" s="1371">
        <v>29707</v>
      </c>
    </row>
    <row r="667" spans="2:10" x14ac:dyDescent="0.45">
      <c r="B667" s="1371">
        <v>29738</v>
      </c>
      <c r="C667" s="1370" t="s">
        <v>7139</v>
      </c>
      <c r="F667" s="1372">
        <v>-8.0000000000000002E-3</v>
      </c>
      <c r="H667" s="1373">
        <v>1.09E-2</v>
      </c>
      <c r="I667" s="1373">
        <f t="shared" si="10"/>
        <v>-1.89E-2</v>
      </c>
      <c r="J667" s="1371">
        <v>29738</v>
      </c>
    </row>
    <row r="668" spans="2:10" x14ac:dyDescent="0.45">
      <c r="B668" s="1371">
        <v>29768</v>
      </c>
      <c r="C668" s="1370" t="s">
        <v>7139</v>
      </c>
      <c r="F668" s="1372">
        <v>6.9999999999999999E-4</v>
      </c>
      <c r="H668" s="1373">
        <v>1.09E-2</v>
      </c>
      <c r="I668" s="1373">
        <f t="shared" si="10"/>
        <v>-1.0200000000000001E-2</v>
      </c>
      <c r="J668" s="1371">
        <v>29768</v>
      </c>
    </row>
    <row r="669" spans="2:10" x14ac:dyDescent="0.45">
      <c r="B669" s="1371">
        <v>29799</v>
      </c>
      <c r="C669" s="1370" t="s">
        <v>7139</v>
      </c>
      <c r="F669" s="1372">
        <v>-5.5399999999999998E-2</v>
      </c>
      <c r="H669" s="1373">
        <v>1.0999999999999999E-2</v>
      </c>
      <c r="I669" s="1373">
        <f t="shared" si="10"/>
        <v>-6.6400000000000001E-2</v>
      </c>
      <c r="J669" s="1371">
        <v>29799</v>
      </c>
    </row>
    <row r="670" spans="2:10" x14ac:dyDescent="0.45">
      <c r="B670" s="1371">
        <v>29830</v>
      </c>
      <c r="C670" s="1370" t="s">
        <v>7139</v>
      </c>
      <c r="F670" s="1372">
        <v>-5.0200000000000002E-2</v>
      </c>
      <c r="H670" s="1373">
        <v>1.14E-2</v>
      </c>
      <c r="I670" s="1373">
        <f t="shared" si="10"/>
        <v>-6.1600000000000002E-2</v>
      </c>
      <c r="J670" s="1371">
        <v>29830</v>
      </c>
    </row>
    <row r="671" spans="2:10" x14ac:dyDescent="0.45">
      <c r="B671" s="1371">
        <v>29860</v>
      </c>
      <c r="C671" s="1370" t="s">
        <v>7139</v>
      </c>
      <c r="F671" s="1372">
        <v>5.28E-2</v>
      </c>
      <c r="H671" s="1373">
        <v>1.17E-2</v>
      </c>
      <c r="I671" s="1373">
        <f t="shared" si="10"/>
        <v>4.1099999999999998E-2</v>
      </c>
      <c r="J671" s="1371">
        <v>29860</v>
      </c>
    </row>
    <row r="672" spans="2:10" x14ac:dyDescent="0.45">
      <c r="B672" s="1371">
        <v>29891</v>
      </c>
      <c r="C672" s="1370" t="s">
        <v>7139</v>
      </c>
      <c r="F672" s="1372">
        <v>4.41E-2</v>
      </c>
      <c r="H672" s="1373">
        <v>1.1299999999999999E-2</v>
      </c>
      <c r="I672" s="1373">
        <f t="shared" si="10"/>
        <v>3.2800000000000003E-2</v>
      </c>
      <c r="J672" s="1371">
        <v>29891</v>
      </c>
    </row>
    <row r="673" spans="2:10" x14ac:dyDescent="0.45">
      <c r="B673" s="1371">
        <v>29921</v>
      </c>
      <c r="C673" s="1370" t="s">
        <v>7139</v>
      </c>
      <c r="F673" s="1372">
        <v>-2.6499999999999999E-2</v>
      </c>
      <c r="H673" s="1373">
        <v>0.01</v>
      </c>
      <c r="I673" s="1373">
        <f t="shared" si="10"/>
        <v>-3.6499999999999998E-2</v>
      </c>
      <c r="J673" s="1371">
        <v>29921</v>
      </c>
    </row>
    <row r="674" spans="2:10" x14ac:dyDescent="0.45">
      <c r="B674" s="1371">
        <v>29952</v>
      </c>
      <c r="C674" s="1370" t="s">
        <v>7139</v>
      </c>
      <c r="F674" s="1372">
        <v>-1.6299999999999999E-2</v>
      </c>
      <c r="H674" s="1373">
        <v>1.0800000000000001E-2</v>
      </c>
      <c r="I674" s="1373">
        <f t="shared" si="10"/>
        <v>-2.7099999999999999E-2</v>
      </c>
      <c r="J674" s="1371">
        <v>29952</v>
      </c>
    </row>
    <row r="675" spans="2:10" x14ac:dyDescent="0.45">
      <c r="B675" s="1371">
        <v>29983</v>
      </c>
      <c r="C675" s="1370" t="s">
        <v>7139</v>
      </c>
      <c r="F675" s="1372">
        <v>-5.1200000000000002E-2</v>
      </c>
      <c r="H675" s="1373">
        <v>1.03E-2</v>
      </c>
      <c r="I675" s="1373">
        <f t="shared" si="10"/>
        <v>-6.1499999999999999E-2</v>
      </c>
      <c r="J675" s="1371">
        <v>29983</v>
      </c>
    </row>
    <row r="676" spans="2:10" x14ac:dyDescent="0.45">
      <c r="B676" s="1371">
        <v>30011</v>
      </c>
      <c r="C676" s="1370" t="s">
        <v>7139</v>
      </c>
      <c r="F676" s="1372">
        <v>-6.0000000000000001E-3</v>
      </c>
      <c r="H676" s="1373">
        <v>1.24E-2</v>
      </c>
      <c r="I676" s="1373">
        <f t="shared" si="10"/>
        <v>-1.84E-2</v>
      </c>
      <c r="J676" s="1371">
        <v>30011</v>
      </c>
    </row>
    <row r="677" spans="2:10" x14ac:dyDescent="0.45">
      <c r="B677" s="1371">
        <v>30042</v>
      </c>
      <c r="C677" s="1370" t="s">
        <v>7139</v>
      </c>
      <c r="F677" s="1372">
        <v>4.1399999999999999E-2</v>
      </c>
      <c r="H677" s="1373">
        <v>1.12E-2</v>
      </c>
      <c r="I677" s="1373">
        <f t="shared" si="10"/>
        <v>3.0199999999999998E-2</v>
      </c>
      <c r="J677" s="1371">
        <v>30042</v>
      </c>
    </row>
    <row r="678" spans="2:10" x14ac:dyDescent="0.45">
      <c r="B678" s="1371">
        <v>30072</v>
      </c>
      <c r="C678" s="1370" t="s">
        <v>7139</v>
      </c>
      <c r="F678" s="1372">
        <v>-2.8799999999999999E-2</v>
      </c>
      <c r="H678" s="1373">
        <v>1.01E-2</v>
      </c>
      <c r="I678" s="1373">
        <f t="shared" si="10"/>
        <v>-3.8899999999999997E-2</v>
      </c>
      <c r="J678" s="1371">
        <v>30072</v>
      </c>
    </row>
    <row r="679" spans="2:10" x14ac:dyDescent="0.45">
      <c r="B679" s="1371">
        <v>30103</v>
      </c>
      <c r="C679" s="1370" t="s">
        <v>7139</v>
      </c>
      <c r="F679" s="1372">
        <v>-1.7399999999999999E-2</v>
      </c>
      <c r="H679" s="1373">
        <v>1.2E-2</v>
      </c>
      <c r="I679" s="1373">
        <f t="shared" si="10"/>
        <v>-2.9399999999999999E-2</v>
      </c>
      <c r="J679" s="1371">
        <v>30103</v>
      </c>
    </row>
    <row r="680" spans="2:10" x14ac:dyDescent="0.45">
      <c r="B680" s="1371">
        <v>30133</v>
      </c>
      <c r="C680" s="1370" t="s">
        <v>7139</v>
      </c>
      <c r="F680" s="1372">
        <v>-2.1499999999999998E-2</v>
      </c>
      <c r="H680" s="1373">
        <v>1.14E-2</v>
      </c>
      <c r="I680" s="1373">
        <f t="shared" si="10"/>
        <v>-3.2899999999999999E-2</v>
      </c>
      <c r="J680" s="1371">
        <v>30133</v>
      </c>
    </row>
    <row r="681" spans="2:10" x14ac:dyDescent="0.45">
      <c r="B681" s="1371">
        <v>30164</v>
      </c>
      <c r="C681" s="1370" t="s">
        <v>7139</v>
      </c>
      <c r="F681" s="1372">
        <v>0.12670000000000001</v>
      </c>
      <c r="H681" s="1373">
        <v>1.12E-2</v>
      </c>
      <c r="I681" s="1373">
        <f t="shared" si="10"/>
        <v>0.11550000000000001</v>
      </c>
      <c r="J681" s="1371">
        <v>30164</v>
      </c>
    </row>
    <row r="682" spans="2:10" x14ac:dyDescent="0.45">
      <c r="B682" s="1371">
        <v>30195</v>
      </c>
      <c r="C682" s="1370" t="s">
        <v>7139</v>
      </c>
      <c r="F682" s="1372">
        <v>1.0999999999999999E-2</v>
      </c>
      <c r="H682" s="1373">
        <v>0.01</v>
      </c>
      <c r="I682" s="1373">
        <f t="shared" si="10"/>
        <v>9.9999999999999915E-4</v>
      </c>
      <c r="J682" s="1371">
        <v>30195</v>
      </c>
    </row>
    <row r="683" spans="2:10" x14ac:dyDescent="0.45">
      <c r="B683" s="1371">
        <v>30225</v>
      </c>
      <c r="C683" s="1370" t="s">
        <v>7139</v>
      </c>
      <c r="F683" s="1372">
        <v>0.11260000000000001</v>
      </c>
      <c r="H683" s="1373">
        <v>9.1000000000000004E-3</v>
      </c>
      <c r="I683" s="1373">
        <f t="shared" si="10"/>
        <v>0.10350000000000001</v>
      </c>
      <c r="J683" s="1371">
        <v>30225</v>
      </c>
    </row>
    <row r="684" spans="2:10" x14ac:dyDescent="0.45">
      <c r="B684" s="1371">
        <v>30256</v>
      </c>
      <c r="C684" s="1370" t="s">
        <v>7139</v>
      </c>
      <c r="F684" s="1372">
        <v>4.3799999999999999E-2</v>
      </c>
      <c r="H684" s="1373">
        <v>9.4000000000000004E-3</v>
      </c>
      <c r="I684" s="1373">
        <f t="shared" si="10"/>
        <v>3.44E-2</v>
      </c>
      <c r="J684" s="1371">
        <v>30256</v>
      </c>
    </row>
    <row r="685" spans="2:10" x14ac:dyDescent="0.45">
      <c r="B685" s="1371">
        <v>30286</v>
      </c>
      <c r="C685" s="1370" t="s">
        <v>7139</v>
      </c>
      <c r="F685" s="1372">
        <v>1.7299999999999999E-2</v>
      </c>
      <c r="H685" s="1373">
        <v>9.2999999999999992E-3</v>
      </c>
      <c r="I685" s="1373">
        <f t="shared" si="10"/>
        <v>8.0000000000000002E-3</v>
      </c>
      <c r="J685" s="1371">
        <v>30286</v>
      </c>
    </row>
    <row r="686" spans="2:10" x14ac:dyDescent="0.45">
      <c r="B686" s="1371">
        <v>30317</v>
      </c>
      <c r="C686" s="1370" t="s">
        <v>7139</v>
      </c>
      <c r="F686" s="1372">
        <v>3.4799999999999998E-2</v>
      </c>
      <c r="H686" s="1373">
        <v>8.6999999999999994E-3</v>
      </c>
      <c r="I686" s="1373">
        <f t="shared" si="10"/>
        <v>2.6099999999999998E-2</v>
      </c>
      <c r="J686" s="1371">
        <v>30317</v>
      </c>
    </row>
    <row r="687" spans="2:10" x14ac:dyDescent="0.45">
      <c r="B687" s="1371">
        <v>30348</v>
      </c>
      <c r="C687" s="1370" t="s">
        <v>7139</v>
      </c>
      <c r="F687" s="1372">
        <v>2.5999999999999999E-2</v>
      </c>
      <c r="H687" s="1373">
        <v>8.0999999999999996E-3</v>
      </c>
      <c r="I687" s="1373">
        <f t="shared" si="10"/>
        <v>1.7899999999999999E-2</v>
      </c>
      <c r="J687" s="1371">
        <v>30348</v>
      </c>
    </row>
    <row r="688" spans="2:10" x14ac:dyDescent="0.45">
      <c r="B688" s="1371">
        <v>30376</v>
      </c>
      <c r="C688" s="1370" t="s">
        <v>7139</v>
      </c>
      <c r="F688" s="1372">
        <v>3.6499999999999998E-2</v>
      </c>
      <c r="H688" s="1373">
        <v>8.8999999999999999E-3</v>
      </c>
      <c r="I688" s="1373">
        <f t="shared" si="10"/>
        <v>2.76E-2</v>
      </c>
      <c r="J688" s="1371">
        <v>30376</v>
      </c>
    </row>
    <row r="689" spans="2:10" x14ac:dyDescent="0.45">
      <c r="B689" s="1371">
        <v>30407</v>
      </c>
      <c r="C689" s="1370" t="s">
        <v>7139</v>
      </c>
      <c r="F689" s="1372">
        <v>7.5800000000000006E-2</v>
      </c>
      <c r="H689" s="1373">
        <v>8.5000000000000006E-3</v>
      </c>
      <c r="I689" s="1373">
        <f t="shared" si="10"/>
        <v>6.7299999999999999E-2</v>
      </c>
      <c r="J689" s="1371">
        <v>30407</v>
      </c>
    </row>
    <row r="690" spans="2:10" x14ac:dyDescent="0.45">
      <c r="B690" s="1371">
        <v>30437</v>
      </c>
      <c r="C690" s="1370" t="s">
        <v>7139</v>
      </c>
      <c r="F690" s="1372">
        <v>-5.1999999999999998E-3</v>
      </c>
      <c r="H690" s="1373">
        <v>9.1000000000000004E-3</v>
      </c>
      <c r="I690" s="1373">
        <f t="shared" si="10"/>
        <v>-1.43E-2</v>
      </c>
      <c r="J690" s="1371">
        <v>30437</v>
      </c>
    </row>
    <row r="691" spans="2:10" x14ac:dyDescent="0.45">
      <c r="B691" s="1371">
        <v>30468</v>
      </c>
      <c r="C691" s="1370" t="s">
        <v>7139</v>
      </c>
      <c r="F691" s="1372">
        <v>3.8199999999999998E-2</v>
      </c>
      <c r="H691" s="1373">
        <v>8.9999999999999993E-3</v>
      </c>
      <c r="I691" s="1373">
        <f t="shared" si="10"/>
        <v>2.9199999999999997E-2</v>
      </c>
      <c r="J691" s="1371">
        <v>30468</v>
      </c>
    </row>
    <row r="692" spans="2:10" x14ac:dyDescent="0.45">
      <c r="B692" s="1371">
        <v>30498</v>
      </c>
      <c r="C692" s="1370" t="s">
        <v>7139</v>
      </c>
      <c r="F692" s="1372">
        <v>-3.1300000000000001E-2</v>
      </c>
      <c r="H692" s="1373">
        <v>8.8000000000000005E-3</v>
      </c>
      <c r="I692" s="1373">
        <f t="shared" si="10"/>
        <v>-4.0100000000000004E-2</v>
      </c>
      <c r="J692" s="1371">
        <v>30498</v>
      </c>
    </row>
    <row r="693" spans="2:10" x14ac:dyDescent="0.45">
      <c r="B693" s="1371">
        <v>30529</v>
      </c>
      <c r="C693" s="1370" t="s">
        <v>7139</v>
      </c>
      <c r="F693" s="1372">
        <v>1.7000000000000001E-2</v>
      </c>
      <c r="H693" s="1373">
        <v>1.03E-2</v>
      </c>
      <c r="I693" s="1373">
        <f t="shared" si="10"/>
        <v>6.7000000000000011E-3</v>
      </c>
      <c r="J693" s="1371">
        <v>30529</v>
      </c>
    </row>
    <row r="694" spans="2:10" x14ac:dyDescent="0.45">
      <c r="B694" s="1371">
        <v>30560</v>
      </c>
      <c r="C694" s="1370" t="s">
        <v>7139</v>
      </c>
      <c r="F694" s="1372">
        <v>1.3599999999999999E-2</v>
      </c>
      <c r="H694" s="1373">
        <v>9.5999999999999992E-3</v>
      </c>
      <c r="I694" s="1373">
        <f t="shared" si="10"/>
        <v>4.0000000000000001E-3</v>
      </c>
      <c r="J694" s="1371">
        <v>30560</v>
      </c>
    </row>
    <row r="695" spans="2:10" x14ac:dyDescent="0.45">
      <c r="B695" s="1371">
        <v>30590</v>
      </c>
      <c r="C695" s="1370" t="s">
        <v>7139</v>
      </c>
      <c r="F695" s="1372">
        <v>-1.34E-2</v>
      </c>
      <c r="H695" s="1373">
        <v>9.4999999999999998E-3</v>
      </c>
      <c r="I695" s="1373">
        <f t="shared" si="10"/>
        <v>-2.29E-2</v>
      </c>
      <c r="J695" s="1371">
        <v>30590</v>
      </c>
    </row>
    <row r="696" spans="2:10" x14ac:dyDescent="0.45">
      <c r="B696" s="1371">
        <v>30621</v>
      </c>
      <c r="C696" s="1370" t="s">
        <v>7139</v>
      </c>
      <c r="F696" s="1372">
        <v>2.3300000000000001E-2</v>
      </c>
      <c r="H696" s="1373">
        <v>9.4000000000000004E-3</v>
      </c>
      <c r="I696" s="1373">
        <f t="shared" si="10"/>
        <v>1.3900000000000001E-2</v>
      </c>
      <c r="J696" s="1371">
        <v>30621</v>
      </c>
    </row>
    <row r="697" spans="2:10" x14ac:dyDescent="0.45">
      <c r="B697" s="1371">
        <v>30651</v>
      </c>
      <c r="C697" s="1370" t="s">
        <v>7139</v>
      </c>
      <c r="F697" s="1372">
        <v>-6.1000000000000004E-3</v>
      </c>
      <c r="H697" s="1373">
        <v>9.4000000000000004E-3</v>
      </c>
      <c r="I697" s="1373">
        <f t="shared" si="10"/>
        <v>-1.55E-2</v>
      </c>
      <c r="J697" s="1371">
        <v>30651</v>
      </c>
    </row>
    <row r="698" spans="2:10" x14ac:dyDescent="0.45">
      <c r="B698" s="1371">
        <v>30682</v>
      </c>
      <c r="C698" s="1370" t="s">
        <v>7139</v>
      </c>
      <c r="F698" s="1372">
        <v>-6.4999999999999997E-3</v>
      </c>
      <c r="H698" s="1373">
        <v>1.03E-2</v>
      </c>
      <c r="I698" s="1373">
        <f t="shared" si="10"/>
        <v>-1.6799999999999999E-2</v>
      </c>
      <c r="J698" s="1371">
        <v>30682</v>
      </c>
    </row>
    <row r="699" spans="2:10" x14ac:dyDescent="0.45">
      <c r="B699" s="1371">
        <v>30713</v>
      </c>
      <c r="C699" s="1370" t="s">
        <v>7139</v>
      </c>
      <c r="F699" s="1372">
        <v>-3.2800000000000003E-2</v>
      </c>
      <c r="H699" s="1373">
        <v>9.1999999999999998E-3</v>
      </c>
      <c r="I699" s="1373">
        <f t="shared" si="10"/>
        <v>-4.2000000000000003E-2</v>
      </c>
      <c r="J699" s="1371">
        <v>30713</v>
      </c>
    </row>
    <row r="700" spans="2:10" x14ac:dyDescent="0.45">
      <c r="B700" s="1371">
        <v>30742</v>
      </c>
      <c r="C700" s="1370" t="s">
        <v>7139</v>
      </c>
      <c r="F700" s="1372">
        <v>1.7100000000000001E-2</v>
      </c>
      <c r="H700" s="1373">
        <v>9.7999999999999997E-3</v>
      </c>
      <c r="I700" s="1373">
        <f t="shared" si="10"/>
        <v>7.3000000000000009E-3</v>
      </c>
      <c r="J700" s="1371">
        <v>30742</v>
      </c>
    </row>
    <row r="701" spans="2:10" x14ac:dyDescent="0.45">
      <c r="B701" s="1371">
        <v>30773</v>
      </c>
      <c r="C701" s="1370" t="s">
        <v>7139</v>
      </c>
      <c r="F701" s="1372">
        <v>6.8999999999999999E-3</v>
      </c>
      <c r="H701" s="1373">
        <v>1.04E-2</v>
      </c>
      <c r="I701" s="1373">
        <f t="shared" si="10"/>
        <v>-3.4999999999999996E-3</v>
      </c>
      <c r="J701" s="1371">
        <v>30773</v>
      </c>
    </row>
    <row r="702" spans="2:10" x14ac:dyDescent="0.45">
      <c r="B702" s="1371">
        <v>30803</v>
      </c>
      <c r="C702" s="1370" t="s">
        <v>7139</v>
      </c>
      <c r="F702" s="1372">
        <v>-5.3400000000000003E-2</v>
      </c>
      <c r="H702" s="1373">
        <v>1.03E-2</v>
      </c>
      <c r="I702" s="1373">
        <f t="shared" si="10"/>
        <v>-6.3700000000000007E-2</v>
      </c>
      <c r="J702" s="1371">
        <v>30803</v>
      </c>
    </row>
    <row r="703" spans="2:10" x14ac:dyDescent="0.45">
      <c r="B703" s="1371">
        <v>30834</v>
      </c>
      <c r="C703" s="1370" t="s">
        <v>7139</v>
      </c>
      <c r="F703" s="1372">
        <v>2.2100000000000002E-2</v>
      </c>
      <c r="H703" s="1373">
        <v>1.06E-2</v>
      </c>
      <c r="I703" s="1373">
        <f t="shared" si="10"/>
        <v>1.1500000000000002E-2</v>
      </c>
      <c r="J703" s="1371">
        <v>30834</v>
      </c>
    </row>
    <row r="704" spans="2:10" x14ac:dyDescent="0.45">
      <c r="B704" s="1371">
        <v>30864</v>
      </c>
      <c r="C704" s="1370" t="s">
        <v>7139</v>
      </c>
      <c r="F704" s="1372">
        <v>-1.43E-2</v>
      </c>
      <c r="H704" s="1373">
        <v>1.1599999999999999E-2</v>
      </c>
      <c r="I704" s="1373">
        <f t="shared" si="10"/>
        <v>-2.5899999999999999E-2</v>
      </c>
      <c r="J704" s="1371">
        <v>30864</v>
      </c>
    </row>
    <row r="705" spans="2:10" x14ac:dyDescent="0.45">
      <c r="B705" s="1371">
        <v>30895</v>
      </c>
      <c r="C705" s="1370" t="s">
        <v>7139</v>
      </c>
      <c r="F705" s="1372">
        <v>0.1125</v>
      </c>
      <c r="H705" s="1373">
        <v>1.06E-2</v>
      </c>
      <c r="I705" s="1373">
        <f t="shared" si="10"/>
        <v>0.1019</v>
      </c>
      <c r="J705" s="1371">
        <v>30895</v>
      </c>
    </row>
    <row r="706" spans="2:10" x14ac:dyDescent="0.45">
      <c r="B706" s="1371">
        <v>30926</v>
      </c>
      <c r="C706" s="1370" t="s">
        <v>7139</v>
      </c>
      <c r="F706" s="1372">
        <v>2.0000000000000001E-4</v>
      </c>
      <c r="H706" s="1373">
        <v>9.4000000000000004E-3</v>
      </c>
      <c r="I706" s="1373">
        <f t="shared" ref="I706:I769" si="11">F706-H706</f>
        <v>-9.1999999999999998E-3</v>
      </c>
      <c r="J706" s="1371">
        <v>30926</v>
      </c>
    </row>
    <row r="707" spans="2:10" x14ac:dyDescent="0.45">
      <c r="B707" s="1371">
        <v>30956</v>
      </c>
      <c r="C707" s="1370" t="s">
        <v>7139</v>
      </c>
      <c r="F707" s="1372">
        <v>2.5999999999999999E-3</v>
      </c>
      <c r="H707" s="1373">
        <v>1.0800000000000001E-2</v>
      </c>
      <c r="I707" s="1373">
        <f t="shared" si="11"/>
        <v>-8.2000000000000007E-3</v>
      </c>
      <c r="J707" s="1371">
        <v>30956</v>
      </c>
    </row>
    <row r="708" spans="2:10" x14ac:dyDescent="0.45">
      <c r="B708" s="1371">
        <v>30987</v>
      </c>
      <c r="C708" s="1370" t="s">
        <v>7139</v>
      </c>
      <c r="F708" s="1372">
        <v>-1.01E-2</v>
      </c>
      <c r="H708" s="1373">
        <v>9.1000000000000004E-3</v>
      </c>
      <c r="I708" s="1373">
        <f t="shared" si="11"/>
        <v>-1.9200000000000002E-2</v>
      </c>
      <c r="J708" s="1371">
        <v>30987</v>
      </c>
    </row>
    <row r="709" spans="2:10" x14ac:dyDescent="0.45">
      <c r="B709" s="1371">
        <v>31017</v>
      </c>
      <c r="C709" s="1370" t="s">
        <v>7139</v>
      </c>
      <c r="F709" s="1372">
        <v>2.53E-2</v>
      </c>
      <c r="H709" s="1373">
        <v>9.7999999999999997E-3</v>
      </c>
      <c r="I709" s="1373">
        <f t="shared" si="11"/>
        <v>1.55E-2</v>
      </c>
      <c r="J709" s="1371">
        <v>31017</v>
      </c>
    </row>
    <row r="710" spans="2:10" x14ac:dyDescent="0.45">
      <c r="B710" s="1371">
        <v>31048</v>
      </c>
      <c r="C710" s="1370" t="s">
        <v>7139</v>
      </c>
      <c r="F710" s="1372">
        <v>7.6799999999999993E-2</v>
      </c>
      <c r="H710" s="1373">
        <v>9.5999999999999992E-3</v>
      </c>
      <c r="I710" s="1373">
        <f t="shared" si="11"/>
        <v>6.7199999999999996E-2</v>
      </c>
      <c r="J710" s="1371">
        <v>31048</v>
      </c>
    </row>
    <row r="711" spans="2:10" x14ac:dyDescent="0.45">
      <c r="B711" s="1371">
        <v>31079</v>
      </c>
      <c r="C711" s="1370" t="s">
        <v>7139</v>
      </c>
      <c r="F711" s="1372">
        <v>1.37E-2</v>
      </c>
      <c r="H711" s="1373">
        <v>8.2000000000000007E-3</v>
      </c>
      <c r="I711" s="1373">
        <f t="shared" si="11"/>
        <v>5.4999999999999997E-3</v>
      </c>
      <c r="J711" s="1371">
        <v>31079</v>
      </c>
    </row>
    <row r="712" spans="2:10" x14ac:dyDescent="0.45">
      <c r="B712" s="1371">
        <v>31107</v>
      </c>
      <c r="C712" s="1370" t="s">
        <v>7139</v>
      </c>
      <c r="F712" s="1372">
        <v>1.8E-3</v>
      </c>
      <c r="H712" s="1373">
        <v>9.4000000000000004E-3</v>
      </c>
      <c r="I712" s="1373">
        <f t="shared" si="11"/>
        <v>-7.6000000000000009E-3</v>
      </c>
      <c r="J712" s="1371">
        <v>31107</v>
      </c>
    </row>
    <row r="713" spans="2:10" x14ac:dyDescent="0.45">
      <c r="B713" s="1371">
        <v>31138</v>
      </c>
      <c r="C713" s="1370" t="s">
        <v>7139</v>
      </c>
      <c r="F713" s="1372">
        <v>-3.2000000000000002E-3</v>
      </c>
      <c r="H713" s="1373">
        <v>1.0200000000000001E-2</v>
      </c>
      <c r="I713" s="1373">
        <f t="shared" si="11"/>
        <v>-1.34E-2</v>
      </c>
      <c r="J713" s="1371">
        <v>31138</v>
      </c>
    </row>
    <row r="714" spans="2:10" x14ac:dyDescent="0.45">
      <c r="B714" s="1371">
        <v>31168</v>
      </c>
      <c r="C714" s="1370" t="s">
        <v>7139</v>
      </c>
      <c r="F714" s="1372">
        <v>6.1499999999999999E-2</v>
      </c>
      <c r="H714" s="1373">
        <v>9.7000000000000003E-3</v>
      </c>
      <c r="I714" s="1373">
        <f t="shared" si="11"/>
        <v>5.1799999999999999E-2</v>
      </c>
      <c r="J714" s="1371">
        <v>31168</v>
      </c>
    </row>
    <row r="715" spans="2:10" x14ac:dyDescent="0.45">
      <c r="B715" s="1371">
        <v>31199</v>
      </c>
      <c r="C715" s="1370" t="s">
        <v>7139</v>
      </c>
      <c r="F715" s="1372">
        <v>1.5900000000000001E-2</v>
      </c>
      <c r="H715" s="1373">
        <v>8.0000000000000002E-3</v>
      </c>
      <c r="I715" s="1373">
        <f t="shared" si="11"/>
        <v>7.9000000000000008E-3</v>
      </c>
      <c r="J715" s="1371">
        <v>31199</v>
      </c>
    </row>
    <row r="716" spans="2:10" x14ac:dyDescent="0.45">
      <c r="B716" s="1371">
        <v>31229</v>
      </c>
      <c r="C716" s="1370" t="s">
        <v>7139</v>
      </c>
      <c r="F716" s="1372">
        <v>-2.5999999999999999E-3</v>
      </c>
      <c r="H716" s="1373">
        <v>9.4000000000000004E-3</v>
      </c>
      <c r="I716" s="1373">
        <f t="shared" si="11"/>
        <v>-1.2E-2</v>
      </c>
      <c r="J716" s="1371">
        <v>31229</v>
      </c>
    </row>
    <row r="717" spans="2:10" x14ac:dyDescent="0.45">
      <c r="B717" s="1371">
        <v>31260</v>
      </c>
      <c r="C717" s="1370" t="s">
        <v>7139</v>
      </c>
      <c r="F717" s="1372">
        <v>-6.1000000000000004E-3</v>
      </c>
      <c r="H717" s="1373">
        <v>8.5000000000000006E-3</v>
      </c>
      <c r="I717" s="1373">
        <f t="shared" si="11"/>
        <v>-1.4600000000000002E-2</v>
      </c>
      <c r="J717" s="1371">
        <v>31260</v>
      </c>
    </row>
    <row r="718" spans="2:10" x14ac:dyDescent="0.45">
      <c r="B718" s="1371">
        <v>31291</v>
      </c>
      <c r="C718" s="1370" t="s">
        <v>7139</v>
      </c>
      <c r="F718" s="1372">
        <v>-3.2099999999999997E-2</v>
      </c>
      <c r="H718" s="1373">
        <v>8.8000000000000005E-3</v>
      </c>
      <c r="I718" s="1373">
        <f t="shared" si="11"/>
        <v>-4.0899999999999999E-2</v>
      </c>
      <c r="J718" s="1371">
        <v>31291</v>
      </c>
    </row>
    <row r="719" spans="2:10" x14ac:dyDescent="0.45">
      <c r="B719" s="1371">
        <v>31321</v>
      </c>
      <c r="C719" s="1370" t="s">
        <v>7139</v>
      </c>
      <c r="F719" s="1372">
        <v>4.4699999999999997E-2</v>
      </c>
      <c r="H719" s="1373">
        <v>8.8999999999999999E-3</v>
      </c>
      <c r="I719" s="1373">
        <f t="shared" si="11"/>
        <v>3.5799999999999998E-2</v>
      </c>
      <c r="J719" s="1371">
        <v>31321</v>
      </c>
    </row>
    <row r="720" spans="2:10" x14ac:dyDescent="0.45">
      <c r="B720" s="1371">
        <v>31352</v>
      </c>
      <c r="C720" s="1370" t="s">
        <v>7139</v>
      </c>
      <c r="F720" s="1372">
        <v>7.1599999999999997E-2</v>
      </c>
      <c r="H720" s="1373">
        <v>8.0999999999999996E-3</v>
      </c>
      <c r="I720" s="1373">
        <f t="shared" si="11"/>
        <v>6.3500000000000001E-2</v>
      </c>
      <c r="J720" s="1371">
        <v>31352</v>
      </c>
    </row>
    <row r="721" spans="2:10" x14ac:dyDescent="0.45">
      <c r="B721" s="1371">
        <v>31382</v>
      </c>
      <c r="C721" s="1370" t="s">
        <v>7139</v>
      </c>
      <c r="F721" s="1372">
        <v>4.6699999999999998E-2</v>
      </c>
      <c r="H721" s="1373">
        <v>8.6E-3</v>
      </c>
      <c r="I721" s="1373">
        <f t="shared" si="11"/>
        <v>3.8099999999999995E-2</v>
      </c>
      <c r="J721" s="1371">
        <v>31382</v>
      </c>
    </row>
    <row r="722" spans="2:10" x14ac:dyDescent="0.45">
      <c r="B722" s="1371">
        <v>31413</v>
      </c>
      <c r="C722" s="1370" t="s">
        <v>7139</v>
      </c>
      <c r="F722" s="1372">
        <v>4.4000000000000003E-3</v>
      </c>
      <c r="H722" s="1373">
        <v>7.9000000000000008E-3</v>
      </c>
      <c r="I722" s="1373">
        <f t="shared" si="11"/>
        <v>-3.5000000000000005E-3</v>
      </c>
      <c r="J722" s="1371">
        <v>31413</v>
      </c>
    </row>
    <row r="723" spans="2:10" x14ac:dyDescent="0.45">
      <c r="B723" s="1371">
        <v>31444</v>
      </c>
      <c r="C723" s="1370" t="s">
        <v>7139</v>
      </c>
      <c r="F723" s="1372">
        <v>7.6100000000000001E-2</v>
      </c>
      <c r="H723" s="1373">
        <v>7.3000000000000001E-3</v>
      </c>
      <c r="I723" s="1373">
        <f t="shared" si="11"/>
        <v>6.88E-2</v>
      </c>
      <c r="J723" s="1371">
        <v>31444</v>
      </c>
    </row>
    <row r="724" spans="2:10" x14ac:dyDescent="0.45">
      <c r="B724" s="1371">
        <v>31472</v>
      </c>
      <c r="C724" s="1370" t="s">
        <v>7139</v>
      </c>
      <c r="F724" s="1372">
        <v>5.5399999999999998E-2</v>
      </c>
      <c r="H724" s="1373">
        <v>7.1000000000000004E-3</v>
      </c>
      <c r="I724" s="1373">
        <f t="shared" si="11"/>
        <v>4.8299999999999996E-2</v>
      </c>
      <c r="J724" s="1371">
        <v>31472</v>
      </c>
    </row>
    <row r="725" spans="2:10" x14ac:dyDescent="0.45">
      <c r="B725" s="1371">
        <v>31503</v>
      </c>
      <c r="C725" s="1370" t="s">
        <v>7139</v>
      </c>
      <c r="F725" s="1372">
        <v>-1.24E-2</v>
      </c>
      <c r="H725" s="1373">
        <v>6.3E-3</v>
      </c>
      <c r="I725" s="1373">
        <f t="shared" si="11"/>
        <v>-1.8700000000000001E-2</v>
      </c>
      <c r="J725" s="1371">
        <v>31503</v>
      </c>
    </row>
    <row r="726" spans="2:10" x14ac:dyDescent="0.45">
      <c r="B726" s="1371">
        <v>31533</v>
      </c>
      <c r="C726" s="1370" t="s">
        <v>7139</v>
      </c>
      <c r="F726" s="1372">
        <v>5.4899999999999997E-2</v>
      </c>
      <c r="H726" s="1373">
        <v>6.1999999999999998E-3</v>
      </c>
      <c r="I726" s="1373">
        <f t="shared" si="11"/>
        <v>4.87E-2</v>
      </c>
      <c r="J726" s="1371">
        <v>31533</v>
      </c>
    </row>
    <row r="727" spans="2:10" x14ac:dyDescent="0.45">
      <c r="B727" s="1371">
        <v>31564</v>
      </c>
      <c r="C727" s="1370" t="s">
        <v>7139</v>
      </c>
      <c r="F727" s="1372">
        <v>1.66E-2</v>
      </c>
      <c r="H727" s="1373">
        <v>7.0000000000000001E-3</v>
      </c>
      <c r="I727" s="1373">
        <f t="shared" si="11"/>
        <v>9.6000000000000009E-3</v>
      </c>
      <c r="J727" s="1371">
        <v>31564</v>
      </c>
    </row>
    <row r="728" spans="2:10" x14ac:dyDescent="0.45">
      <c r="B728" s="1371">
        <v>31594</v>
      </c>
      <c r="C728" s="1370" t="s">
        <v>7139</v>
      </c>
      <c r="F728" s="1372">
        <v>-5.6899999999999999E-2</v>
      </c>
      <c r="H728" s="1373">
        <v>6.6E-3</v>
      </c>
      <c r="I728" s="1373">
        <f t="shared" si="11"/>
        <v>-6.3500000000000001E-2</v>
      </c>
      <c r="J728" s="1371">
        <v>31594</v>
      </c>
    </row>
    <row r="729" spans="2:10" x14ac:dyDescent="0.45">
      <c r="B729" s="1371">
        <v>31625</v>
      </c>
      <c r="C729" s="1370" t="s">
        <v>7139</v>
      </c>
      <c r="F729" s="1372">
        <v>7.4800000000000005E-2</v>
      </c>
      <c r="H729" s="1373">
        <v>6.3E-3</v>
      </c>
      <c r="I729" s="1373">
        <f t="shared" si="11"/>
        <v>6.8500000000000005E-2</v>
      </c>
      <c r="J729" s="1371">
        <v>31625</v>
      </c>
    </row>
    <row r="730" spans="2:10" x14ac:dyDescent="0.45">
      <c r="B730" s="1371">
        <v>31656</v>
      </c>
      <c r="C730" s="1370" t="s">
        <v>7139</v>
      </c>
      <c r="F730" s="1372">
        <v>-8.2199999999999995E-2</v>
      </c>
      <c r="H730" s="1373">
        <v>6.4999999999999997E-3</v>
      </c>
      <c r="I730" s="1373">
        <f t="shared" si="11"/>
        <v>-8.8700000000000001E-2</v>
      </c>
      <c r="J730" s="1371">
        <v>31656</v>
      </c>
    </row>
    <row r="731" spans="2:10" x14ac:dyDescent="0.45">
      <c r="B731" s="1371">
        <v>31686</v>
      </c>
      <c r="C731" s="1370" t="s">
        <v>7139</v>
      </c>
      <c r="F731" s="1372">
        <v>5.5599999999999997E-2</v>
      </c>
      <c r="H731" s="1373">
        <v>6.8999999999999999E-3</v>
      </c>
      <c r="I731" s="1373">
        <f t="shared" si="11"/>
        <v>4.8699999999999993E-2</v>
      </c>
      <c r="J731" s="1371">
        <v>31686</v>
      </c>
    </row>
    <row r="732" spans="2:10" x14ac:dyDescent="0.45">
      <c r="B732" s="1371">
        <v>31717</v>
      </c>
      <c r="C732" s="1370" t="s">
        <v>7139</v>
      </c>
      <c r="F732" s="1372">
        <v>2.5600000000000001E-2</v>
      </c>
      <c r="H732" s="1373">
        <v>5.8999999999999999E-3</v>
      </c>
      <c r="I732" s="1373">
        <f t="shared" si="11"/>
        <v>1.9700000000000002E-2</v>
      </c>
      <c r="J732" s="1371">
        <v>31717</v>
      </c>
    </row>
    <row r="733" spans="2:10" x14ac:dyDescent="0.45">
      <c r="B733" s="1371">
        <v>31747</v>
      </c>
      <c r="C733" s="1370" t="s">
        <v>7139</v>
      </c>
      <c r="F733" s="1372">
        <v>-2.64E-2</v>
      </c>
      <c r="H733" s="1373">
        <v>7.0000000000000001E-3</v>
      </c>
      <c r="I733" s="1373">
        <f t="shared" si="11"/>
        <v>-3.3399999999999999E-2</v>
      </c>
      <c r="J733" s="1371">
        <v>31747</v>
      </c>
    </row>
    <row r="734" spans="2:10" x14ac:dyDescent="0.45">
      <c r="B734" s="1371">
        <v>31778</v>
      </c>
      <c r="C734" s="1370" t="s">
        <v>7139</v>
      </c>
      <c r="F734" s="1372">
        <v>0.1343</v>
      </c>
      <c r="H734" s="1373">
        <v>6.4000000000000003E-3</v>
      </c>
      <c r="I734" s="1373">
        <f t="shared" si="11"/>
        <v>0.12790000000000001</v>
      </c>
      <c r="J734" s="1371">
        <v>31778</v>
      </c>
    </row>
    <row r="735" spans="2:10" x14ac:dyDescent="0.45">
      <c r="B735" s="1371">
        <v>31809</v>
      </c>
      <c r="C735" s="1370" t="s">
        <v>7139</v>
      </c>
      <c r="F735" s="1372">
        <v>4.1300000000000003E-2</v>
      </c>
      <c r="H735" s="1373">
        <v>5.8999999999999999E-3</v>
      </c>
      <c r="I735" s="1373">
        <f t="shared" si="11"/>
        <v>3.5400000000000001E-2</v>
      </c>
      <c r="J735" s="1371">
        <v>31809</v>
      </c>
    </row>
    <row r="736" spans="2:10" x14ac:dyDescent="0.45">
      <c r="B736" s="1371">
        <v>31837</v>
      </c>
      <c r="C736" s="1370" t="s">
        <v>7139</v>
      </c>
      <c r="F736" s="1372">
        <v>2.7199999999999998E-2</v>
      </c>
      <c r="H736" s="1373">
        <v>6.6E-3</v>
      </c>
      <c r="I736" s="1373">
        <f t="shared" si="11"/>
        <v>2.06E-2</v>
      </c>
      <c r="J736" s="1371">
        <v>31837</v>
      </c>
    </row>
    <row r="737" spans="2:10" x14ac:dyDescent="0.45">
      <c r="B737" s="1371">
        <v>31868</v>
      </c>
      <c r="C737" s="1370" t="s">
        <v>7139</v>
      </c>
      <c r="F737" s="1372">
        <v>-8.8000000000000005E-3</v>
      </c>
      <c r="H737" s="1373">
        <v>6.4999999999999997E-3</v>
      </c>
      <c r="I737" s="1373">
        <f t="shared" si="11"/>
        <v>-1.5300000000000001E-2</v>
      </c>
      <c r="J737" s="1371">
        <v>31868</v>
      </c>
    </row>
    <row r="738" spans="2:10" x14ac:dyDescent="0.45">
      <c r="B738" s="1371">
        <v>31898</v>
      </c>
      <c r="C738" s="1370" t="s">
        <v>7139</v>
      </c>
      <c r="F738" s="1372">
        <v>1.03E-2</v>
      </c>
      <c r="H738" s="1373">
        <v>6.6E-3</v>
      </c>
      <c r="I738" s="1373">
        <f t="shared" si="11"/>
        <v>3.7000000000000002E-3</v>
      </c>
      <c r="J738" s="1371">
        <v>31898</v>
      </c>
    </row>
    <row r="739" spans="2:10" x14ac:dyDescent="0.45">
      <c r="B739" s="1371">
        <v>31929</v>
      </c>
      <c r="C739" s="1370" t="s">
        <v>7139</v>
      </c>
      <c r="F739" s="1372">
        <v>4.99E-2</v>
      </c>
      <c r="H739" s="1373">
        <v>7.4999999999999997E-3</v>
      </c>
      <c r="I739" s="1373">
        <f t="shared" si="11"/>
        <v>4.24E-2</v>
      </c>
      <c r="J739" s="1371">
        <v>31929</v>
      </c>
    </row>
    <row r="740" spans="2:10" x14ac:dyDescent="0.45">
      <c r="B740" s="1371">
        <v>31959</v>
      </c>
      <c r="C740" s="1370" t="s">
        <v>7139</v>
      </c>
      <c r="F740" s="1372">
        <v>4.9799999999999997E-2</v>
      </c>
      <c r="H740" s="1373">
        <v>7.3000000000000001E-3</v>
      </c>
      <c r="I740" s="1373">
        <f t="shared" si="11"/>
        <v>4.2499999999999996E-2</v>
      </c>
      <c r="J740" s="1371">
        <v>31959</v>
      </c>
    </row>
    <row r="741" spans="2:10" x14ac:dyDescent="0.45">
      <c r="B741" s="1371">
        <v>31990</v>
      </c>
      <c r="C741" s="1370" t="s">
        <v>7139</v>
      </c>
      <c r="F741" s="1372">
        <v>3.85E-2</v>
      </c>
      <c r="H741" s="1373">
        <v>7.4999999999999997E-3</v>
      </c>
      <c r="I741" s="1373">
        <f t="shared" si="11"/>
        <v>3.1E-2</v>
      </c>
      <c r="J741" s="1371">
        <v>31990</v>
      </c>
    </row>
    <row r="742" spans="2:10" x14ac:dyDescent="0.45">
      <c r="B742" s="1371">
        <v>32021</v>
      </c>
      <c r="C742" s="1370" t="s">
        <v>7139</v>
      </c>
      <c r="F742" s="1372">
        <v>-2.1999999999999999E-2</v>
      </c>
      <c r="H742" s="1373">
        <v>7.4999999999999997E-3</v>
      </c>
      <c r="I742" s="1373">
        <f t="shared" si="11"/>
        <v>-2.9499999999999998E-2</v>
      </c>
      <c r="J742" s="1371">
        <v>32021</v>
      </c>
    </row>
    <row r="743" spans="2:10" x14ac:dyDescent="0.45">
      <c r="B743" s="1371">
        <v>32051</v>
      </c>
      <c r="C743" s="1370" t="s">
        <v>7139</v>
      </c>
      <c r="F743" s="1372">
        <v>-0.2152</v>
      </c>
      <c r="H743" s="1373">
        <v>7.9000000000000008E-3</v>
      </c>
      <c r="I743" s="1373">
        <f t="shared" si="11"/>
        <v>-0.22309999999999999</v>
      </c>
      <c r="J743" s="1371">
        <v>32051</v>
      </c>
    </row>
    <row r="744" spans="2:10" x14ac:dyDescent="0.45">
      <c r="B744" s="1371">
        <v>32082</v>
      </c>
      <c r="C744" s="1370" t="s">
        <v>7139</v>
      </c>
      <c r="F744" s="1372">
        <v>-8.1900000000000001E-2</v>
      </c>
      <c r="H744" s="1373">
        <v>7.4999999999999997E-3</v>
      </c>
      <c r="I744" s="1373">
        <f t="shared" si="11"/>
        <v>-8.9400000000000007E-2</v>
      </c>
      <c r="J744" s="1371">
        <v>32082</v>
      </c>
    </row>
    <row r="745" spans="2:10" x14ac:dyDescent="0.45">
      <c r="B745" s="1371">
        <v>32112</v>
      </c>
      <c r="C745" s="1370" t="s">
        <v>7139</v>
      </c>
      <c r="F745" s="1372">
        <v>7.3800000000000004E-2</v>
      </c>
      <c r="H745" s="1373">
        <v>7.7999999999999996E-3</v>
      </c>
      <c r="I745" s="1373">
        <f t="shared" si="11"/>
        <v>6.6000000000000003E-2</v>
      </c>
      <c r="J745" s="1371">
        <v>32112</v>
      </c>
    </row>
    <row r="746" spans="2:10" x14ac:dyDescent="0.45">
      <c r="B746" s="1371">
        <v>32143</v>
      </c>
      <c r="C746" s="1370" t="s">
        <v>7139</v>
      </c>
      <c r="F746" s="1372">
        <v>4.2700000000000002E-2</v>
      </c>
      <c r="H746" s="1373">
        <v>7.1999999999999998E-3</v>
      </c>
      <c r="I746" s="1373">
        <f t="shared" si="11"/>
        <v>3.5500000000000004E-2</v>
      </c>
      <c r="J746" s="1371">
        <v>32143</v>
      </c>
    </row>
    <row r="747" spans="2:10" x14ac:dyDescent="0.45">
      <c r="B747" s="1371">
        <v>32174</v>
      </c>
      <c r="C747" s="1370" t="s">
        <v>7139</v>
      </c>
      <c r="F747" s="1372">
        <v>4.7E-2</v>
      </c>
      <c r="H747" s="1373">
        <v>7.1000000000000004E-3</v>
      </c>
      <c r="I747" s="1373">
        <f t="shared" si="11"/>
        <v>3.9899999999999998E-2</v>
      </c>
      <c r="J747" s="1371">
        <v>32174</v>
      </c>
    </row>
    <row r="748" spans="2:10" x14ac:dyDescent="0.45">
      <c r="B748" s="1371">
        <v>32203</v>
      </c>
      <c r="C748" s="1370" t="s">
        <v>7139</v>
      </c>
      <c r="F748" s="1372">
        <v>-3.0200000000000001E-2</v>
      </c>
      <c r="H748" s="1373">
        <v>7.1999999999999998E-3</v>
      </c>
      <c r="I748" s="1373">
        <f t="shared" si="11"/>
        <v>-3.7400000000000003E-2</v>
      </c>
      <c r="J748" s="1371">
        <v>32203</v>
      </c>
    </row>
    <row r="749" spans="2:10" x14ac:dyDescent="0.45">
      <c r="B749" s="1371">
        <v>32234</v>
      </c>
      <c r="C749" s="1370" t="s">
        <v>7139</v>
      </c>
      <c r="F749" s="1372">
        <v>1.0800000000000001E-2</v>
      </c>
      <c r="H749" s="1373">
        <v>7.0000000000000001E-3</v>
      </c>
      <c r="I749" s="1373">
        <f t="shared" si="11"/>
        <v>3.8000000000000004E-3</v>
      </c>
      <c r="J749" s="1371">
        <v>32234</v>
      </c>
    </row>
    <row r="750" spans="2:10" x14ac:dyDescent="0.45">
      <c r="B750" s="1371">
        <v>32264</v>
      </c>
      <c r="C750" s="1370" t="s">
        <v>7139</v>
      </c>
      <c r="F750" s="1372">
        <v>7.7999999999999996E-3</v>
      </c>
      <c r="H750" s="1373">
        <v>7.7999999999999996E-3</v>
      </c>
      <c r="I750" s="1373">
        <f t="shared" si="11"/>
        <v>0</v>
      </c>
      <c r="J750" s="1371">
        <v>32264</v>
      </c>
    </row>
    <row r="751" spans="2:10" x14ac:dyDescent="0.45">
      <c r="B751" s="1371">
        <v>32295</v>
      </c>
      <c r="C751" s="1370" t="s">
        <v>7139</v>
      </c>
      <c r="F751" s="1372">
        <v>4.6399999999999997E-2</v>
      </c>
      <c r="H751" s="1373">
        <v>7.6E-3</v>
      </c>
      <c r="I751" s="1373">
        <f t="shared" si="11"/>
        <v>3.8799999999999994E-2</v>
      </c>
      <c r="J751" s="1371">
        <v>32295</v>
      </c>
    </row>
    <row r="752" spans="2:10" x14ac:dyDescent="0.45">
      <c r="B752" s="1371">
        <v>32325</v>
      </c>
      <c r="C752" s="1370" t="s">
        <v>7139</v>
      </c>
      <c r="F752" s="1372">
        <v>-4.0000000000000001E-3</v>
      </c>
      <c r="H752" s="1373">
        <v>7.1000000000000004E-3</v>
      </c>
      <c r="I752" s="1373">
        <f t="shared" si="11"/>
        <v>-1.11E-2</v>
      </c>
      <c r="J752" s="1371">
        <v>32325</v>
      </c>
    </row>
    <row r="753" spans="2:10" x14ac:dyDescent="0.45">
      <c r="B753" s="1371">
        <v>32356</v>
      </c>
      <c r="C753" s="1370" t="s">
        <v>7139</v>
      </c>
      <c r="F753" s="1372">
        <v>-3.3099999999999997E-2</v>
      </c>
      <c r="H753" s="1373">
        <v>8.3000000000000001E-3</v>
      </c>
      <c r="I753" s="1373">
        <f t="shared" si="11"/>
        <v>-4.1399999999999999E-2</v>
      </c>
      <c r="J753" s="1371">
        <v>32356</v>
      </c>
    </row>
    <row r="754" spans="2:10" x14ac:dyDescent="0.45">
      <c r="B754" s="1371">
        <v>32387</v>
      </c>
      <c r="C754" s="1370" t="s">
        <v>7139</v>
      </c>
      <c r="F754" s="1372">
        <v>4.24E-2</v>
      </c>
      <c r="H754" s="1373">
        <v>7.6E-3</v>
      </c>
      <c r="I754" s="1373">
        <f t="shared" si="11"/>
        <v>3.4799999999999998E-2</v>
      </c>
      <c r="J754" s="1371">
        <v>32387</v>
      </c>
    </row>
    <row r="755" spans="2:10" x14ac:dyDescent="0.45">
      <c r="B755" s="1371">
        <v>32417</v>
      </c>
      <c r="C755" s="1370" t="s">
        <v>7139</v>
      </c>
      <c r="F755" s="1372">
        <v>2.7300000000000001E-2</v>
      </c>
      <c r="H755" s="1373">
        <v>7.6E-3</v>
      </c>
      <c r="I755" s="1373">
        <f t="shared" si="11"/>
        <v>1.9700000000000002E-2</v>
      </c>
      <c r="J755" s="1371">
        <v>32417</v>
      </c>
    </row>
    <row r="756" spans="2:10" x14ac:dyDescent="0.45">
      <c r="B756" s="1371">
        <v>32448</v>
      </c>
      <c r="C756" s="1370" t="s">
        <v>7139</v>
      </c>
      <c r="F756" s="1372">
        <v>-1.4200000000000001E-2</v>
      </c>
      <c r="H756" s="1373">
        <v>7.0000000000000001E-3</v>
      </c>
      <c r="I756" s="1373">
        <f t="shared" si="11"/>
        <v>-2.12E-2</v>
      </c>
      <c r="J756" s="1371">
        <v>32448</v>
      </c>
    </row>
    <row r="757" spans="2:10" x14ac:dyDescent="0.45">
      <c r="B757" s="1371">
        <v>32478</v>
      </c>
      <c r="C757" s="1370" t="s">
        <v>7139</v>
      </c>
      <c r="F757" s="1372">
        <v>1.8100000000000002E-2</v>
      </c>
      <c r="H757" s="1373">
        <v>7.4999999999999997E-3</v>
      </c>
      <c r="I757" s="1373">
        <f t="shared" si="11"/>
        <v>1.0600000000000002E-2</v>
      </c>
      <c r="J757" s="1371">
        <v>32478</v>
      </c>
    </row>
    <row r="758" spans="2:10" x14ac:dyDescent="0.45">
      <c r="B758" s="1371">
        <v>32509</v>
      </c>
      <c r="C758" s="1370" t="s">
        <v>7139</v>
      </c>
      <c r="F758" s="1372">
        <v>7.2300000000000003E-2</v>
      </c>
      <c r="H758" s="1373">
        <v>8.0000000000000002E-3</v>
      </c>
      <c r="I758" s="1373">
        <f t="shared" si="11"/>
        <v>6.4299999999999996E-2</v>
      </c>
      <c r="J758" s="1371">
        <v>32509</v>
      </c>
    </row>
    <row r="759" spans="2:10" x14ac:dyDescent="0.45">
      <c r="B759" s="1371">
        <v>32540</v>
      </c>
      <c r="C759" s="1370" t="s">
        <v>7139</v>
      </c>
      <c r="F759" s="1372">
        <v>-2.4899999999999999E-2</v>
      </c>
      <c r="H759" s="1373">
        <v>6.8999999999999999E-3</v>
      </c>
      <c r="I759" s="1373">
        <f t="shared" si="11"/>
        <v>-3.1799999999999995E-2</v>
      </c>
      <c r="J759" s="1371">
        <v>32540</v>
      </c>
    </row>
    <row r="760" spans="2:10" x14ac:dyDescent="0.45">
      <c r="B760" s="1371">
        <v>32568</v>
      </c>
      <c r="C760" s="1370" t="s">
        <v>7139</v>
      </c>
      <c r="F760" s="1372">
        <v>2.3599999999999999E-2</v>
      </c>
      <c r="H760" s="1373">
        <v>7.9000000000000008E-3</v>
      </c>
      <c r="I760" s="1373">
        <f t="shared" si="11"/>
        <v>1.5699999999999999E-2</v>
      </c>
      <c r="J760" s="1371">
        <v>32568</v>
      </c>
    </row>
    <row r="761" spans="2:10" x14ac:dyDescent="0.45">
      <c r="B761" s="1371">
        <v>32599</v>
      </c>
      <c r="C761" s="1370" t="s">
        <v>7139</v>
      </c>
      <c r="F761" s="1372">
        <v>5.16E-2</v>
      </c>
      <c r="H761" s="1373">
        <v>7.0000000000000001E-3</v>
      </c>
      <c r="I761" s="1373">
        <f t="shared" si="11"/>
        <v>4.4600000000000001E-2</v>
      </c>
      <c r="J761" s="1371">
        <v>32599</v>
      </c>
    </row>
    <row r="762" spans="2:10" x14ac:dyDescent="0.45">
      <c r="B762" s="1371">
        <v>32629</v>
      </c>
      <c r="C762" s="1370" t="s">
        <v>7139</v>
      </c>
      <c r="F762" s="1372">
        <v>4.02E-2</v>
      </c>
      <c r="H762" s="1373">
        <v>8.0000000000000002E-3</v>
      </c>
      <c r="I762" s="1373">
        <f t="shared" si="11"/>
        <v>3.2199999999999999E-2</v>
      </c>
      <c r="J762" s="1371">
        <v>32629</v>
      </c>
    </row>
    <row r="763" spans="2:10" x14ac:dyDescent="0.45">
      <c r="B763" s="1371">
        <v>32660</v>
      </c>
      <c r="C763" s="1370" t="s">
        <v>7139</v>
      </c>
      <c r="F763" s="1372">
        <v>-5.4000000000000003E-3</v>
      </c>
      <c r="H763" s="1373">
        <v>7.0000000000000001E-3</v>
      </c>
      <c r="I763" s="1373">
        <f t="shared" si="11"/>
        <v>-1.2400000000000001E-2</v>
      </c>
      <c r="J763" s="1371">
        <v>32660</v>
      </c>
    </row>
    <row r="764" spans="2:10" x14ac:dyDescent="0.45">
      <c r="B764" s="1371">
        <v>32690</v>
      </c>
      <c r="C764" s="1370" t="s">
        <v>7139</v>
      </c>
      <c r="F764" s="1372">
        <v>8.9800000000000005E-2</v>
      </c>
      <c r="H764" s="1373">
        <v>6.7999999999999996E-3</v>
      </c>
      <c r="I764" s="1373">
        <f t="shared" si="11"/>
        <v>8.3000000000000004E-2</v>
      </c>
      <c r="J764" s="1371">
        <v>32690</v>
      </c>
    </row>
    <row r="765" spans="2:10" x14ac:dyDescent="0.45">
      <c r="B765" s="1371">
        <v>32721</v>
      </c>
      <c r="C765" s="1370" t="s">
        <v>7139</v>
      </c>
      <c r="F765" s="1372">
        <v>1.9300000000000001E-2</v>
      </c>
      <c r="H765" s="1373">
        <v>6.6E-3</v>
      </c>
      <c r="I765" s="1373">
        <f t="shared" si="11"/>
        <v>1.2700000000000001E-2</v>
      </c>
      <c r="J765" s="1371">
        <v>32721</v>
      </c>
    </row>
    <row r="766" spans="2:10" x14ac:dyDescent="0.45">
      <c r="B766" s="1371">
        <v>32752</v>
      </c>
      <c r="C766" s="1370" t="s">
        <v>7139</v>
      </c>
      <c r="F766" s="1372">
        <v>-3.8999999999999998E-3</v>
      </c>
      <c r="H766" s="1373">
        <v>6.4999999999999997E-3</v>
      </c>
      <c r="I766" s="1373">
        <f t="shared" si="11"/>
        <v>-1.04E-2</v>
      </c>
      <c r="J766" s="1371">
        <v>32752</v>
      </c>
    </row>
    <row r="767" spans="2:10" x14ac:dyDescent="0.45">
      <c r="B767" s="1371">
        <v>32782</v>
      </c>
      <c r="C767" s="1370" t="s">
        <v>7139</v>
      </c>
      <c r="F767" s="1372">
        <v>-2.3300000000000001E-2</v>
      </c>
      <c r="H767" s="1373">
        <v>7.1999999999999998E-3</v>
      </c>
      <c r="I767" s="1373">
        <f t="shared" si="11"/>
        <v>-3.0499999999999999E-2</v>
      </c>
      <c r="J767" s="1371">
        <v>32782</v>
      </c>
    </row>
    <row r="768" spans="2:10" x14ac:dyDescent="0.45">
      <c r="B768" s="1371">
        <v>32813</v>
      </c>
      <c r="C768" s="1370" t="s">
        <v>7139</v>
      </c>
      <c r="F768" s="1372">
        <v>2.0799999999999999E-2</v>
      </c>
      <c r="H768" s="1373">
        <v>6.4000000000000003E-3</v>
      </c>
      <c r="I768" s="1373">
        <f t="shared" si="11"/>
        <v>1.44E-2</v>
      </c>
      <c r="J768" s="1371">
        <v>32813</v>
      </c>
    </row>
    <row r="769" spans="2:10" x14ac:dyDescent="0.45">
      <c r="B769" s="1371">
        <v>32843</v>
      </c>
      <c r="C769" s="1370" t="s">
        <v>7139</v>
      </c>
      <c r="F769" s="1372">
        <v>2.3599999999999999E-2</v>
      </c>
      <c r="H769" s="1373">
        <v>6.4000000000000003E-3</v>
      </c>
      <c r="I769" s="1373">
        <f t="shared" si="11"/>
        <v>1.72E-2</v>
      </c>
      <c r="J769" s="1371">
        <v>32843</v>
      </c>
    </row>
    <row r="770" spans="2:10" x14ac:dyDescent="0.45">
      <c r="B770" s="1371">
        <v>32874</v>
      </c>
      <c r="C770" s="1370" t="s">
        <v>7139</v>
      </c>
      <c r="F770" s="1372">
        <v>-6.7100000000000007E-2</v>
      </c>
      <c r="H770" s="1373">
        <v>7.3000000000000001E-3</v>
      </c>
      <c r="I770" s="1373">
        <f t="shared" ref="I770:I833" si="12">F770-H770</f>
        <v>-7.4400000000000008E-2</v>
      </c>
      <c r="J770" s="1371">
        <v>32874</v>
      </c>
    </row>
    <row r="771" spans="2:10" x14ac:dyDescent="0.45">
      <c r="B771" s="1371">
        <v>32905</v>
      </c>
      <c r="C771" s="1370" t="s">
        <v>7139</v>
      </c>
      <c r="F771" s="1372">
        <v>1.29E-2</v>
      </c>
      <c r="H771" s="1373">
        <v>6.6E-3</v>
      </c>
      <c r="I771" s="1373">
        <f t="shared" si="12"/>
        <v>6.3E-3</v>
      </c>
      <c r="J771" s="1371">
        <v>32905</v>
      </c>
    </row>
    <row r="772" spans="2:10" x14ac:dyDescent="0.45">
      <c r="B772" s="1371">
        <v>32933</v>
      </c>
      <c r="C772" s="1370" t="s">
        <v>7139</v>
      </c>
      <c r="F772" s="1372">
        <v>2.63E-2</v>
      </c>
      <c r="H772" s="1373">
        <v>7.1000000000000004E-3</v>
      </c>
      <c r="I772" s="1373">
        <f t="shared" si="12"/>
        <v>1.9200000000000002E-2</v>
      </c>
      <c r="J772" s="1371">
        <v>32933</v>
      </c>
    </row>
    <row r="773" spans="2:10" x14ac:dyDescent="0.45">
      <c r="B773" s="1371">
        <v>32964</v>
      </c>
      <c r="C773" s="1370" t="s">
        <v>7139</v>
      </c>
      <c r="F773" s="1372">
        <v>-2.47E-2</v>
      </c>
      <c r="H773" s="1373">
        <v>7.4999999999999997E-3</v>
      </c>
      <c r="I773" s="1373">
        <f t="shared" si="12"/>
        <v>-3.2199999999999999E-2</v>
      </c>
      <c r="J773" s="1371">
        <v>32964</v>
      </c>
    </row>
    <row r="774" spans="2:10" x14ac:dyDescent="0.45">
      <c r="B774" s="1371">
        <v>32994</v>
      </c>
      <c r="C774" s="1370" t="s">
        <v>7139</v>
      </c>
      <c r="F774" s="1372">
        <v>9.7500000000000003E-2</v>
      </c>
      <c r="H774" s="1373">
        <v>7.4999999999999997E-3</v>
      </c>
      <c r="I774" s="1373">
        <f t="shared" si="12"/>
        <v>0.09</v>
      </c>
      <c r="J774" s="1371">
        <v>32994</v>
      </c>
    </row>
    <row r="775" spans="2:10" x14ac:dyDescent="0.45">
      <c r="B775" s="1371">
        <v>33025</v>
      </c>
      <c r="C775" s="1370" t="s">
        <v>7139</v>
      </c>
      <c r="F775" s="1372">
        <v>-7.0000000000000001E-3</v>
      </c>
      <c r="H775" s="1373">
        <v>6.7999999999999996E-3</v>
      </c>
      <c r="I775" s="1373">
        <f t="shared" si="12"/>
        <v>-1.38E-2</v>
      </c>
      <c r="J775" s="1371">
        <v>33025</v>
      </c>
    </row>
    <row r="776" spans="2:10" x14ac:dyDescent="0.45">
      <c r="B776" s="1371">
        <v>33055</v>
      </c>
      <c r="C776" s="1370" t="s">
        <v>7139</v>
      </c>
      <c r="F776" s="1372">
        <v>-3.2000000000000002E-3</v>
      </c>
      <c r="H776" s="1373">
        <v>7.4000000000000003E-3</v>
      </c>
      <c r="I776" s="1373">
        <f t="shared" si="12"/>
        <v>-1.06E-2</v>
      </c>
      <c r="J776" s="1371">
        <v>33055</v>
      </c>
    </row>
    <row r="777" spans="2:10" x14ac:dyDescent="0.45">
      <c r="B777" s="1371">
        <v>33086</v>
      </c>
      <c r="C777" s="1370" t="s">
        <v>7139</v>
      </c>
      <c r="F777" s="1372">
        <v>-9.0300000000000005E-2</v>
      </c>
      <c r="H777" s="1373">
        <v>7.1000000000000004E-3</v>
      </c>
      <c r="I777" s="1373">
        <f t="shared" si="12"/>
        <v>-9.74E-2</v>
      </c>
      <c r="J777" s="1371">
        <v>33086</v>
      </c>
    </row>
    <row r="778" spans="2:10" x14ac:dyDescent="0.45">
      <c r="B778" s="1371">
        <v>33117</v>
      </c>
      <c r="C778" s="1370" t="s">
        <v>7139</v>
      </c>
      <c r="F778" s="1372">
        <v>-4.9200000000000001E-2</v>
      </c>
      <c r="H778" s="1373">
        <v>6.8999999999999999E-3</v>
      </c>
      <c r="I778" s="1373">
        <f t="shared" si="12"/>
        <v>-5.6099999999999997E-2</v>
      </c>
      <c r="J778" s="1371">
        <v>33117</v>
      </c>
    </row>
    <row r="779" spans="2:10" x14ac:dyDescent="0.45">
      <c r="B779" s="1371">
        <v>33147</v>
      </c>
      <c r="C779" s="1370" t="s">
        <v>7139</v>
      </c>
      <c r="F779" s="1372">
        <v>-3.7000000000000002E-3</v>
      </c>
      <c r="H779" s="1373">
        <v>8.0999999999999996E-3</v>
      </c>
      <c r="I779" s="1373">
        <f t="shared" si="12"/>
        <v>-1.18E-2</v>
      </c>
      <c r="J779" s="1371">
        <v>33147</v>
      </c>
    </row>
    <row r="780" spans="2:10" x14ac:dyDescent="0.45">
      <c r="B780" s="1371">
        <v>33178</v>
      </c>
      <c r="C780" s="1370" t="s">
        <v>7139</v>
      </c>
      <c r="F780" s="1372">
        <v>6.4399999999999999E-2</v>
      </c>
      <c r="H780" s="1373">
        <v>7.1000000000000004E-3</v>
      </c>
      <c r="I780" s="1373">
        <f t="shared" si="12"/>
        <v>5.7299999999999997E-2</v>
      </c>
      <c r="J780" s="1371">
        <v>33178</v>
      </c>
    </row>
    <row r="781" spans="2:10" x14ac:dyDescent="0.45">
      <c r="B781" s="1371">
        <v>33208</v>
      </c>
      <c r="C781" s="1370" t="s">
        <v>7139</v>
      </c>
      <c r="F781" s="1372">
        <v>2.7400000000000001E-2</v>
      </c>
      <c r="H781" s="1373">
        <v>7.1999999999999998E-3</v>
      </c>
      <c r="I781" s="1373">
        <f t="shared" si="12"/>
        <v>2.0200000000000003E-2</v>
      </c>
      <c r="J781" s="1371">
        <v>33208</v>
      </c>
    </row>
    <row r="782" spans="2:10" x14ac:dyDescent="0.45">
      <c r="B782" s="1371">
        <v>33239</v>
      </c>
      <c r="C782" s="1370" t="s">
        <v>7139</v>
      </c>
      <c r="F782" s="1372">
        <v>4.4200000000000003E-2</v>
      </c>
      <c r="H782" s="1373">
        <v>7.1000000000000004E-3</v>
      </c>
      <c r="I782" s="1373">
        <f t="shared" si="12"/>
        <v>3.7100000000000001E-2</v>
      </c>
      <c r="J782" s="1371">
        <v>33239</v>
      </c>
    </row>
    <row r="783" spans="2:10" x14ac:dyDescent="0.45">
      <c r="B783" s="1371">
        <v>33270</v>
      </c>
      <c r="C783" s="1370" t="s">
        <v>7139</v>
      </c>
      <c r="F783" s="1372">
        <v>7.1599999999999997E-2</v>
      </c>
      <c r="H783" s="1373">
        <v>6.4000000000000003E-3</v>
      </c>
      <c r="I783" s="1373">
        <f t="shared" si="12"/>
        <v>6.5199999999999994E-2</v>
      </c>
      <c r="J783" s="1371">
        <v>33270</v>
      </c>
    </row>
    <row r="784" spans="2:10" x14ac:dyDescent="0.45">
      <c r="B784" s="1371">
        <v>33298</v>
      </c>
      <c r="C784" s="1370" t="s">
        <v>7139</v>
      </c>
      <c r="F784" s="1372">
        <v>2.3800000000000002E-2</v>
      </c>
      <c r="H784" s="1373">
        <v>6.4000000000000003E-3</v>
      </c>
      <c r="I784" s="1373">
        <f t="shared" si="12"/>
        <v>1.7400000000000002E-2</v>
      </c>
      <c r="J784" s="1371">
        <v>33298</v>
      </c>
    </row>
    <row r="785" spans="2:10" x14ac:dyDescent="0.45">
      <c r="B785" s="1371">
        <v>33329</v>
      </c>
      <c r="C785" s="1370" t="s">
        <v>7139</v>
      </c>
      <c r="F785" s="1372">
        <v>2.8E-3</v>
      </c>
      <c r="H785" s="1373">
        <v>7.6E-3</v>
      </c>
      <c r="I785" s="1373">
        <f t="shared" si="12"/>
        <v>-4.8000000000000004E-3</v>
      </c>
      <c r="J785" s="1371">
        <v>33329</v>
      </c>
    </row>
    <row r="786" spans="2:10" x14ac:dyDescent="0.45">
      <c r="B786" s="1371">
        <v>33359</v>
      </c>
      <c r="C786" s="1370" t="s">
        <v>7139</v>
      </c>
      <c r="F786" s="1372">
        <v>4.2799999999999998E-2</v>
      </c>
      <c r="H786" s="1373">
        <v>6.7999999999999996E-3</v>
      </c>
      <c r="I786" s="1373">
        <f t="shared" si="12"/>
        <v>3.5999999999999997E-2</v>
      </c>
      <c r="J786" s="1371">
        <v>33359</v>
      </c>
    </row>
    <row r="787" spans="2:10" x14ac:dyDescent="0.45">
      <c r="B787" s="1371">
        <v>33390</v>
      </c>
      <c r="C787" s="1370" t="s">
        <v>7139</v>
      </c>
      <c r="F787" s="1372">
        <v>-4.5699999999999998E-2</v>
      </c>
      <c r="H787" s="1373">
        <v>6.3E-3</v>
      </c>
      <c r="I787" s="1373">
        <f t="shared" si="12"/>
        <v>-5.1999999999999998E-2</v>
      </c>
      <c r="J787" s="1371">
        <v>33390</v>
      </c>
    </row>
    <row r="788" spans="2:10" x14ac:dyDescent="0.45">
      <c r="B788" s="1371">
        <v>33420</v>
      </c>
      <c r="C788" s="1370" t="s">
        <v>7139</v>
      </c>
      <c r="F788" s="1372">
        <v>4.6800000000000001E-2</v>
      </c>
      <c r="H788" s="1373">
        <v>7.6E-3</v>
      </c>
      <c r="I788" s="1373">
        <f t="shared" si="12"/>
        <v>3.9199999999999999E-2</v>
      </c>
      <c r="J788" s="1371">
        <v>33420</v>
      </c>
    </row>
    <row r="789" spans="2:10" x14ac:dyDescent="0.45">
      <c r="B789" s="1371">
        <v>33451</v>
      </c>
      <c r="C789" s="1370" t="s">
        <v>7139</v>
      </c>
      <c r="F789" s="1372">
        <v>2.35E-2</v>
      </c>
      <c r="H789" s="1373">
        <v>6.7999999999999996E-3</v>
      </c>
      <c r="I789" s="1373">
        <f t="shared" si="12"/>
        <v>1.67E-2</v>
      </c>
      <c r="J789" s="1371">
        <v>33451</v>
      </c>
    </row>
    <row r="790" spans="2:10" x14ac:dyDescent="0.45">
      <c r="B790" s="1371">
        <v>33482</v>
      </c>
      <c r="C790" s="1370" t="s">
        <v>7139</v>
      </c>
      <c r="F790" s="1372">
        <v>-1.6400000000000001E-2</v>
      </c>
      <c r="H790" s="1373">
        <v>6.7999999999999996E-3</v>
      </c>
      <c r="I790" s="1373">
        <f t="shared" si="12"/>
        <v>-2.3200000000000002E-2</v>
      </c>
      <c r="J790" s="1371">
        <v>33482</v>
      </c>
    </row>
    <row r="791" spans="2:10" x14ac:dyDescent="0.45">
      <c r="B791" s="1371">
        <v>33512</v>
      </c>
      <c r="C791" s="1370" t="s">
        <v>7139</v>
      </c>
      <c r="F791" s="1372">
        <v>1.34E-2</v>
      </c>
      <c r="H791" s="1373">
        <v>6.4999999999999997E-3</v>
      </c>
      <c r="I791" s="1373">
        <f t="shared" si="12"/>
        <v>6.9000000000000008E-3</v>
      </c>
      <c r="J791" s="1371">
        <v>33512</v>
      </c>
    </row>
    <row r="792" spans="2:10" x14ac:dyDescent="0.45">
      <c r="B792" s="1371">
        <v>33543</v>
      </c>
      <c r="C792" s="1370" t="s">
        <v>7139</v>
      </c>
      <c r="F792" s="1372">
        <v>-4.0399999999999998E-2</v>
      </c>
      <c r="H792" s="1373">
        <v>6.0000000000000001E-3</v>
      </c>
      <c r="I792" s="1373">
        <f t="shared" si="12"/>
        <v>-4.6399999999999997E-2</v>
      </c>
      <c r="J792" s="1371">
        <v>33543</v>
      </c>
    </row>
    <row r="793" spans="2:10" x14ac:dyDescent="0.45">
      <c r="B793" s="1371">
        <v>33573</v>
      </c>
      <c r="C793" s="1370" t="s">
        <v>7139</v>
      </c>
      <c r="F793" s="1372">
        <v>0.1143</v>
      </c>
      <c r="H793" s="1373">
        <v>6.7999999999999996E-3</v>
      </c>
      <c r="I793" s="1373">
        <f t="shared" si="12"/>
        <v>0.1075</v>
      </c>
      <c r="J793" s="1371">
        <v>33573</v>
      </c>
    </row>
    <row r="794" spans="2:10" x14ac:dyDescent="0.45">
      <c r="B794" s="1371">
        <v>33604</v>
      </c>
      <c r="C794" s="1370" t="s">
        <v>7139</v>
      </c>
      <c r="F794" s="1372">
        <v>-1.8599999999999998E-2</v>
      </c>
      <c r="H794" s="1373">
        <v>6.1000000000000004E-3</v>
      </c>
      <c r="I794" s="1373">
        <f t="shared" si="12"/>
        <v>-2.47E-2</v>
      </c>
      <c r="J794" s="1371">
        <v>33604</v>
      </c>
    </row>
    <row r="795" spans="2:10" x14ac:dyDescent="0.45">
      <c r="B795" s="1371">
        <v>33635</v>
      </c>
      <c r="C795" s="1370" t="s">
        <v>7139</v>
      </c>
      <c r="F795" s="1372">
        <v>1.2800000000000001E-2</v>
      </c>
      <c r="H795" s="1373">
        <v>5.8999999999999999E-3</v>
      </c>
      <c r="I795" s="1373">
        <f t="shared" si="12"/>
        <v>6.9000000000000008E-3</v>
      </c>
      <c r="J795" s="1371">
        <v>33635</v>
      </c>
    </row>
    <row r="796" spans="2:10" x14ac:dyDescent="0.45">
      <c r="B796" s="1371">
        <v>33664</v>
      </c>
      <c r="C796" s="1370" t="s">
        <v>7139</v>
      </c>
      <c r="F796" s="1372">
        <v>-1.9599999999999999E-2</v>
      </c>
      <c r="H796" s="1373">
        <v>6.7000000000000002E-3</v>
      </c>
      <c r="I796" s="1373">
        <f t="shared" si="12"/>
        <v>-2.63E-2</v>
      </c>
      <c r="J796" s="1371">
        <v>33664</v>
      </c>
    </row>
    <row r="797" spans="2:10" x14ac:dyDescent="0.45">
      <c r="B797" s="1371">
        <v>33695</v>
      </c>
      <c r="C797" s="1370" t="s">
        <v>7139</v>
      </c>
      <c r="F797" s="1372">
        <v>2.9100000000000001E-2</v>
      </c>
      <c r="H797" s="1373">
        <v>6.4999999999999997E-3</v>
      </c>
      <c r="I797" s="1373">
        <f t="shared" si="12"/>
        <v>2.2600000000000002E-2</v>
      </c>
      <c r="J797" s="1371">
        <v>33695</v>
      </c>
    </row>
    <row r="798" spans="2:10" x14ac:dyDescent="0.45">
      <c r="B798" s="1371">
        <v>33725</v>
      </c>
      <c r="C798" s="1370" t="s">
        <v>7139</v>
      </c>
      <c r="F798" s="1372">
        <v>5.4000000000000003E-3</v>
      </c>
      <c r="H798" s="1373">
        <v>6.1000000000000004E-3</v>
      </c>
      <c r="I798" s="1373">
        <f t="shared" si="12"/>
        <v>-7.000000000000001E-4</v>
      </c>
      <c r="J798" s="1371">
        <v>33725</v>
      </c>
    </row>
    <row r="799" spans="2:10" x14ac:dyDescent="0.45">
      <c r="B799" s="1371">
        <v>33756</v>
      </c>
      <c r="C799" s="1370" t="s">
        <v>7139</v>
      </c>
      <c r="F799" s="1372">
        <v>-1.4500000000000001E-2</v>
      </c>
      <c r="H799" s="1373">
        <v>6.7000000000000002E-3</v>
      </c>
      <c r="I799" s="1373">
        <f t="shared" si="12"/>
        <v>-2.12E-2</v>
      </c>
      <c r="J799" s="1371">
        <v>33756</v>
      </c>
    </row>
    <row r="800" spans="2:10" x14ac:dyDescent="0.45">
      <c r="B800" s="1371">
        <v>33786</v>
      </c>
      <c r="C800" s="1370" t="s">
        <v>7139</v>
      </c>
      <c r="F800" s="1372">
        <v>4.0300000000000002E-2</v>
      </c>
      <c r="H800" s="1373">
        <v>6.3E-3</v>
      </c>
      <c r="I800" s="1373">
        <f t="shared" si="12"/>
        <v>3.4000000000000002E-2</v>
      </c>
      <c r="J800" s="1371">
        <v>33786</v>
      </c>
    </row>
    <row r="801" spans="2:10" x14ac:dyDescent="0.45">
      <c r="B801" s="1371">
        <v>33817</v>
      </c>
      <c r="C801" s="1370" t="s">
        <v>7139</v>
      </c>
      <c r="F801" s="1372">
        <v>-2.0199999999999999E-2</v>
      </c>
      <c r="H801" s="1373">
        <v>6.0000000000000001E-3</v>
      </c>
      <c r="I801" s="1373">
        <f t="shared" si="12"/>
        <v>-2.6200000000000001E-2</v>
      </c>
      <c r="J801" s="1371">
        <v>33817</v>
      </c>
    </row>
    <row r="802" spans="2:10" x14ac:dyDescent="0.45">
      <c r="B802" s="1371">
        <v>33848</v>
      </c>
      <c r="C802" s="1370" t="s">
        <v>7139</v>
      </c>
      <c r="F802" s="1372">
        <v>1.15E-2</v>
      </c>
      <c r="H802" s="1373">
        <v>5.7999999999999996E-3</v>
      </c>
      <c r="I802" s="1373">
        <f t="shared" si="12"/>
        <v>5.7000000000000002E-3</v>
      </c>
      <c r="J802" s="1371">
        <v>33848</v>
      </c>
    </row>
    <row r="803" spans="2:10" x14ac:dyDescent="0.45">
      <c r="B803" s="1371">
        <v>33878</v>
      </c>
      <c r="C803" s="1370" t="s">
        <v>7139</v>
      </c>
      <c r="F803" s="1372">
        <v>3.5999999999999999E-3</v>
      </c>
      <c r="H803" s="1373">
        <v>5.7000000000000002E-3</v>
      </c>
      <c r="I803" s="1373">
        <f t="shared" si="12"/>
        <v>-2.1000000000000003E-3</v>
      </c>
      <c r="J803" s="1371">
        <v>33878</v>
      </c>
    </row>
    <row r="804" spans="2:10" x14ac:dyDescent="0.45">
      <c r="B804" s="1371">
        <v>33909</v>
      </c>
      <c r="C804" s="1370" t="s">
        <v>7139</v>
      </c>
      <c r="F804" s="1372">
        <v>3.3700000000000001E-2</v>
      </c>
      <c r="H804" s="1373">
        <v>6.1000000000000004E-3</v>
      </c>
      <c r="I804" s="1373">
        <f t="shared" si="12"/>
        <v>2.76E-2</v>
      </c>
      <c r="J804" s="1371">
        <v>33909</v>
      </c>
    </row>
    <row r="805" spans="2:10" x14ac:dyDescent="0.45">
      <c r="B805" s="1371">
        <v>33939</v>
      </c>
      <c r="C805" s="1370" t="s">
        <v>7139</v>
      </c>
      <c r="F805" s="1372">
        <v>1.3100000000000001E-2</v>
      </c>
      <c r="H805" s="1373">
        <v>6.3E-3</v>
      </c>
      <c r="I805" s="1373">
        <f t="shared" si="12"/>
        <v>6.8000000000000005E-3</v>
      </c>
      <c r="J805" s="1371">
        <v>33939</v>
      </c>
    </row>
    <row r="806" spans="2:10" x14ac:dyDescent="0.45">
      <c r="B806" s="1371">
        <v>33970</v>
      </c>
      <c r="C806" s="1370" t="s">
        <v>7139</v>
      </c>
      <c r="F806" s="1372">
        <v>7.3000000000000001E-3</v>
      </c>
      <c r="H806" s="1373">
        <v>5.8999999999999999E-3</v>
      </c>
      <c r="I806" s="1373">
        <f t="shared" si="12"/>
        <v>1.4000000000000002E-3</v>
      </c>
      <c r="J806" s="1371">
        <v>33970</v>
      </c>
    </row>
    <row r="807" spans="2:10" x14ac:dyDescent="0.45">
      <c r="B807" s="1371">
        <v>34001</v>
      </c>
      <c r="C807" s="1370" t="s">
        <v>7139</v>
      </c>
      <c r="F807" s="1372">
        <v>1.35E-2</v>
      </c>
      <c r="H807" s="1373">
        <v>5.4999999999999997E-3</v>
      </c>
      <c r="I807" s="1373">
        <f t="shared" si="12"/>
        <v>8.0000000000000002E-3</v>
      </c>
      <c r="J807" s="1371">
        <v>34001</v>
      </c>
    </row>
    <row r="808" spans="2:10" x14ac:dyDescent="0.45">
      <c r="B808" s="1371">
        <v>34029</v>
      </c>
      <c r="C808" s="1370" t="s">
        <v>7139</v>
      </c>
      <c r="F808" s="1372">
        <v>2.1499999999999998E-2</v>
      </c>
      <c r="H808" s="1373">
        <v>6.3E-3</v>
      </c>
      <c r="I808" s="1373">
        <f t="shared" si="12"/>
        <v>1.5199999999999998E-2</v>
      </c>
      <c r="J808" s="1371">
        <v>34029</v>
      </c>
    </row>
    <row r="809" spans="2:10" x14ac:dyDescent="0.45">
      <c r="B809" s="1371">
        <v>34060</v>
      </c>
      <c r="C809" s="1370" t="s">
        <v>7139</v>
      </c>
      <c r="F809" s="1372">
        <v>-2.4500000000000001E-2</v>
      </c>
      <c r="H809" s="1373">
        <v>5.7000000000000002E-3</v>
      </c>
      <c r="I809" s="1373">
        <f t="shared" si="12"/>
        <v>-3.0200000000000001E-2</v>
      </c>
      <c r="J809" s="1371">
        <v>34060</v>
      </c>
    </row>
    <row r="810" spans="2:10" x14ac:dyDescent="0.45">
      <c r="B810" s="1371">
        <v>34090</v>
      </c>
      <c r="C810" s="1370" t="s">
        <v>7139</v>
      </c>
      <c r="F810" s="1372">
        <v>2.7E-2</v>
      </c>
      <c r="H810" s="1373">
        <v>5.1999999999999998E-3</v>
      </c>
      <c r="I810" s="1373">
        <f t="shared" si="12"/>
        <v>2.18E-2</v>
      </c>
      <c r="J810" s="1371">
        <v>34090</v>
      </c>
    </row>
    <row r="811" spans="2:10" x14ac:dyDescent="0.45">
      <c r="B811" s="1371">
        <v>34121</v>
      </c>
      <c r="C811" s="1370" t="s">
        <v>7139</v>
      </c>
      <c r="F811" s="1372">
        <v>3.3E-3</v>
      </c>
      <c r="H811" s="1373">
        <v>6.1999999999999998E-3</v>
      </c>
      <c r="I811" s="1373">
        <f t="shared" si="12"/>
        <v>-2.8999999999999998E-3</v>
      </c>
      <c r="J811" s="1371">
        <v>34121</v>
      </c>
    </row>
    <row r="812" spans="2:10" x14ac:dyDescent="0.45">
      <c r="B812" s="1371">
        <v>34151</v>
      </c>
      <c r="C812" s="1370" t="s">
        <v>7139</v>
      </c>
      <c r="F812" s="1372">
        <v>-4.7000000000000002E-3</v>
      </c>
      <c r="H812" s="1373">
        <v>5.4000000000000003E-3</v>
      </c>
      <c r="I812" s="1373">
        <f t="shared" si="12"/>
        <v>-1.0100000000000001E-2</v>
      </c>
      <c r="J812" s="1371">
        <v>34151</v>
      </c>
    </row>
    <row r="813" spans="2:10" x14ac:dyDescent="0.45">
      <c r="B813" s="1371">
        <v>34182</v>
      </c>
      <c r="C813" s="1370" t="s">
        <v>7139</v>
      </c>
      <c r="F813" s="1372">
        <v>3.8100000000000002E-2</v>
      </c>
      <c r="H813" s="1373">
        <v>5.5999999999999999E-3</v>
      </c>
      <c r="I813" s="1373">
        <f t="shared" si="12"/>
        <v>3.2500000000000001E-2</v>
      </c>
      <c r="J813" s="1371">
        <v>34182</v>
      </c>
    </row>
    <row r="814" spans="2:10" x14ac:dyDescent="0.45">
      <c r="B814" s="1371">
        <v>34213</v>
      </c>
      <c r="C814" s="1370" t="s">
        <v>7139</v>
      </c>
      <c r="F814" s="1372">
        <v>-7.4000000000000003E-3</v>
      </c>
      <c r="H814" s="1373">
        <v>5.0000000000000001E-3</v>
      </c>
      <c r="I814" s="1373">
        <f t="shared" si="12"/>
        <v>-1.2400000000000001E-2</v>
      </c>
      <c r="J814" s="1371">
        <v>34213</v>
      </c>
    </row>
    <row r="815" spans="2:10" x14ac:dyDescent="0.45">
      <c r="B815" s="1371">
        <v>34243</v>
      </c>
      <c r="C815" s="1370" t="s">
        <v>7139</v>
      </c>
      <c r="F815" s="1372">
        <v>2.0299999999999999E-2</v>
      </c>
      <c r="H815" s="1373">
        <v>4.8999999999999998E-3</v>
      </c>
      <c r="I815" s="1373">
        <f t="shared" si="12"/>
        <v>1.5399999999999999E-2</v>
      </c>
      <c r="J815" s="1371">
        <v>34243</v>
      </c>
    </row>
    <row r="816" spans="2:10" x14ac:dyDescent="0.45">
      <c r="B816" s="1371">
        <v>34274</v>
      </c>
      <c r="C816" s="1370" t="s">
        <v>7139</v>
      </c>
      <c r="F816" s="1372">
        <v>-9.4000000000000004E-3</v>
      </c>
      <c r="H816" s="1373">
        <v>5.3E-3</v>
      </c>
      <c r="I816" s="1373">
        <f t="shared" si="12"/>
        <v>-1.4700000000000001E-2</v>
      </c>
      <c r="J816" s="1371">
        <v>34274</v>
      </c>
    </row>
    <row r="817" spans="2:10" x14ac:dyDescent="0.45">
      <c r="B817" s="1371">
        <v>34304</v>
      </c>
      <c r="C817" s="1370" t="s">
        <v>7139</v>
      </c>
      <c r="F817" s="1372">
        <v>1.23E-2</v>
      </c>
      <c r="H817" s="1373">
        <v>5.4999999999999997E-3</v>
      </c>
      <c r="I817" s="1373">
        <f t="shared" si="12"/>
        <v>6.8000000000000005E-3</v>
      </c>
      <c r="J817" s="1371">
        <v>34304</v>
      </c>
    </row>
    <row r="818" spans="2:10" x14ac:dyDescent="0.45">
      <c r="B818" s="1371">
        <v>34335</v>
      </c>
      <c r="C818" s="1370" t="s">
        <v>7139</v>
      </c>
      <c r="F818" s="1372">
        <v>3.3500000000000002E-2</v>
      </c>
      <c r="H818" s="1373">
        <v>5.4999999999999997E-3</v>
      </c>
      <c r="I818" s="1373">
        <f t="shared" si="12"/>
        <v>2.8000000000000004E-2</v>
      </c>
      <c r="J818" s="1371">
        <v>34335</v>
      </c>
    </row>
    <row r="819" spans="2:10" x14ac:dyDescent="0.45">
      <c r="B819" s="1371">
        <v>34366</v>
      </c>
      <c r="C819" s="1370" t="s">
        <v>7139</v>
      </c>
      <c r="F819" s="1372">
        <v>-2.7E-2</v>
      </c>
      <c r="H819" s="1373">
        <v>4.8999999999999998E-3</v>
      </c>
      <c r="I819" s="1373">
        <f t="shared" si="12"/>
        <v>-3.1899999999999998E-2</v>
      </c>
      <c r="J819" s="1371">
        <v>34366</v>
      </c>
    </row>
    <row r="820" spans="2:10" x14ac:dyDescent="0.45">
      <c r="B820" s="1371">
        <v>34394</v>
      </c>
      <c r="C820" s="1370" t="s">
        <v>7139</v>
      </c>
      <c r="F820" s="1372">
        <v>-4.3499999999999997E-2</v>
      </c>
      <c r="H820" s="1373">
        <v>5.7999999999999996E-3</v>
      </c>
      <c r="I820" s="1373">
        <f t="shared" si="12"/>
        <v>-4.9299999999999997E-2</v>
      </c>
      <c r="J820" s="1371">
        <v>34394</v>
      </c>
    </row>
    <row r="821" spans="2:10" x14ac:dyDescent="0.45">
      <c r="B821" s="1371">
        <v>34425</v>
      </c>
      <c r="C821" s="1370" t="s">
        <v>7139</v>
      </c>
      <c r="F821" s="1372">
        <v>1.2999999999999999E-2</v>
      </c>
      <c r="H821" s="1373">
        <v>5.7000000000000002E-3</v>
      </c>
      <c r="I821" s="1373">
        <f t="shared" si="12"/>
        <v>7.2999999999999992E-3</v>
      </c>
      <c r="J821" s="1371">
        <v>34425</v>
      </c>
    </row>
    <row r="822" spans="2:10" x14ac:dyDescent="0.45">
      <c r="B822" s="1371">
        <v>34455</v>
      </c>
      <c r="C822" s="1370" t="s">
        <v>7139</v>
      </c>
      <c r="F822" s="1372">
        <v>1.6299999999999999E-2</v>
      </c>
      <c r="H822" s="1373">
        <v>6.3E-3</v>
      </c>
      <c r="I822" s="1373">
        <f t="shared" si="12"/>
        <v>9.9999999999999985E-3</v>
      </c>
      <c r="J822" s="1371">
        <v>34455</v>
      </c>
    </row>
    <row r="823" spans="2:10" x14ac:dyDescent="0.45">
      <c r="B823" s="1371">
        <v>34486</v>
      </c>
      <c r="C823" s="1370" t="s">
        <v>7139</v>
      </c>
      <c r="F823" s="1372">
        <v>-2.47E-2</v>
      </c>
      <c r="H823" s="1373">
        <v>6.1000000000000004E-3</v>
      </c>
      <c r="I823" s="1373">
        <f t="shared" si="12"/>
        <v>-3.0800000000000001E-2</v>
      </c>
      <c r="J823" s="1371">
        <v>34486</v>
      </c>
    </row>
    <row r="824" spans="2:10" x14ac:dyDescent="0.45">
      <c r="B824" s="1371">
        <v>34516</v>
      </c>
      <c r="C824" s="1370" t="s">
        <v>7139</v>
      </c>
      <c r="F824" s="1372">
        <v>3.3099999999999997E-2</v>
      </c>
      <c r="H824" s="1373">
        <v>6.0000000000000001E-3</v>
      </c>
      <c r="I824" s="1373">
        <f t="shared" si="12"/>
        <v>2.7099999999999999E-2</v>
      </c>
      <c r="J824" s="1371">
        <v>34516</v>
      </c>
    </row>
    <row r="825" spans="2:10" x14ac:dyDescent="0.45">
      <c r="B825" s="1371">
        <v>34547</v>
      </c>
      <c r="C825" s="1370" t="s">
        <v>7139</v>
      </c>
      <c r="F825" s="1372">
        <v>4.07E-2</v>
      </c>
      <c r="H825" s="1373">
        <v>6.6E-3</v>
      </c>
      <c r="I825" s="1373">
        <f t="shared" si="12"/>
        <v>3.4099999999999998E-2</v>
      </c>
      <c r="J825" s="1371">
        <v>34547</v>
      </c>
    </row>
    <row r="826" spans="2:10" x14ac:dyDescent="0.45">
      <c r="B826" s="1371">
        <v>34578</v>
      </c>
      <c r="C826" s="1370" t="s">
        <v>7139</v>
      </c>
      <c r="F826" s="1372">
        <v>-2.41E-2</v>
      </c>
      <c r="H826" s="1373">
        <v>6.1000000000000004E-3</v>
      </c>
      <c r="I826" s="1373">
        <f t="shared" si="12"/>
        <v>-3.0200000000000001E-2</v>
      </c>
      <c r="J826" s="1371">
        <v>34578</v>
      </c>
    </row>
    <row r="827" spans="2:10" x14ac:dyDescent="0.45">
      <c r="B827" s="1371">
        <v>34608</v>
      </c>
      <c r="C827" s="1370" t="s">
        <v>7139</v>
      </c>
      <c r="F827" s="1372">
        <v>2.29E-2</v>
      </c>
      <c r="H827" s="1373">
        <v>6.6E-3</v>
      </c>
      <c r="I827" s="1373">
        <f t="shared" si="12"/>
        <v>1.6300000000000002E-2</v>
      </c>
      <c r="J827" s="1371">
        <v>34608</v>
      </c>
    </row>
    <row r="828" spans="2:10" x14ac:dyDescent="0.45">
      <c r="B828" s="1371">
        <v>34639</v>
      </c>
      <c r="C828" s="1370" t="s">
        <v>7139</v>
      </c>
      <c r="F828" s="1372">
        <v>-3.6700000000000003E-2</v>
      </c>
      <c r="H828" s="1373">
        <v>6.4000000000000003E-3</v>
      </c>
      <c r="I828" s="1373">
        <f t="shared" si="12"/>
        <v>-4.3100000000000006E-2</v>
      </c>
      <c r="J828" s="1371">
        <v>34639</v>
      </c>
    </row>
    <row r="829" spans="2:10" x14ac:dyDescent="0.45">
      <c r="B829" s="1371">
        <v>34669</v>
      </c>
      <c r="C829" s="1370" t="s">
        <v>7139</v>
      </c>
      <c r="F829" s="1372">
        <v>1.46E-2</v>
      </c>
      <c r="H829" s="1373">
        <v>6.6E-3</v>
      </c>
      <c r="I829" s="1373">
        <f t="shared" si="12"/>
        <v>8.0000000000000002E-3</v>
      </c>
      <c r="J829" s="1371">
        <v>34669</v>
      </c>
    </row>
    <row r="830" spans="2:10" x14ac:dyDescent="0.45">
      <c r="B830" s="1371">
        <v>34700</v>
      </c>
      <c r="C830" s="1370" t="s">
        <v>7139</v>
      </c>
      <c r="F830" s="1372">
        <v>2.5999999999999999E-2</v>
      </c>
      <c r="H830" s="1373">
        <v>7.0000000000000001E-3</v>
      </c>
      <c r="I830" s="1373">
        <f t="shared" si="12"/>
        <v>1.9E-2</v>
      </c>
      <c r="J830" s="1371">
        <v>34700</v>
      </c>
    </row>
    <row r="831" spans="2:10" x14ac:dyDescent="0.45">
      <c r="B831" s="1371">
        <v>34731</v>
      </c>
      <c r="C831" s="1370" t="s">
        <v>7139</v>
      </c>
      <c r="F831" s="1372">
        <v>3.8800000000000001E-2</v>
      </c>
      <c r="H831" s="1373">
        <v>5.8999999999999999E-3</v>
      </c>
      <c r="I831" s="1373">
        <f t="shared" si="12"/>
        <v>3.2899999999999999E-2</v>
      </c>
      <c r="J831" s="1371">
        <v>34731</v>
      </c>
    </row>
    <row r="832" spans="2:10" x14ac:dyDescent="0.45">
      <c r="B832" s="1371">
        <v>34759</v>
      </c>
      <c r="C832" s="1370" t="s">
        <v>7139</v>
      </c>
      <c r="F832" s="1372">
        <v>2.9600000000000001E-2</v>
      </c>
      <c r="H832" s="1373">
        <v>6.4000000000000003E-3</v>
      </c>
      <c r="I832" s="1373">
        <f t="shared" si="12"/>
        <v>2.3200000000000002E-2</v>
      </c>
      <c r="J832" s="1371">
        <v>34759</v>
      </c>
    </row>
    <row r="833" spans="2:10" x14ac:dyDescent="0.45">
      <c r="B833" s="1371">
        <v>34790</v>
      </c>
      <c r="C833" s="1370" t="s">
        <v>7139</v>
      </c>
      <c r="F833" s="1372">
        <v>2.9100000000000001E-2</v>
      </c>
      <c r="H833" s="1373">
        <v>5.7999999999999996E-3</v>
      </c>
      <c r="I833" s="1373">
        <f t="shared" si="12"/>
        <v>2.3300000000000001E-2</v>
      </c>
      <c r="J833" s="1371">
        <v>34790</v>
      </c>
    </row>
    <row r="834" spans="2:10" x14ac:dyDescent="0.45">
      <c r="B834" s="1371">
        <v>34820</v>
      </c>
      <c r="C834" s="1370" t="s">
        <v>7139</v>
      </c>
      <c r="F834" s="1372">
        <v>3.95E-2</v>
      </c>
      <c r="H834" s="1373">
        <v>6.4999999999999997E-3</v>
      </c>
      <c r="I834" s="1373">
        <f t="shared" ref="I834:I897" si="13">F834-H834</f>
        <v>3.3000000000000002E-2</v>
      </c>
      <c r="J834" s="1371">
        <v>34820</v>
      </c>
    </row>
    <row r="835" spans="2:10" x14ac:dyDescent="0.45">
      <c r="B835" s="1371">
        <v>34851</v>
      </c>
      <c r="C835" s="1370" t="s">
        <v>7139</v>
      </c>
      <c r="F835" s="1372">
        <v>2.35E-2</v>
      </c>
      <c r="H835" s="1373">
        <v>5.4000000000000003E-3</v>
      </c>
      <c r="I835" s="1373">
        <f t="shared" si="13"/>
        <v>1.8099999999999998E-2</v>
      </c>
      <c r="J835" s="1371">
        <v>34851</v>
      </c>
    </row>
    <row r="836" spans="2:10" x14ac:dyDescent="0.45">
      <c r="B836" s="1371">
        <v>34881</v>
      </c>
      <c r="C836" s="1370" t="s">
        <v>7139</v>
      </c>
      <c r="F836" s="1372">
        <v>3.3300000000000003E-2</v>
      </c>
      <c r="H836" s="1373">
        <v>5.5999999999999999E-3</v>
      </c>
      <c r="I836" s="1373">
        <f t="shared" si="13"/>
        <v>2.7700000000000002E-2</v>
      </c>
      <c r="J836" s="1371">
        <v>34881</v>
      </c>
    </row>
    <row r="837" spans="2:10" x14ac:dyDescent="0.45">
      <c r="B837" s="1371">
        <v>34912</v>
      </c>
      <c r="C837" s="1370" t="s">
        <v>7139</v>
      </c>
      <c r="F837" s="1372">
        <v>2.7000000000000001E-3</v>
      </c>
      <c r="H837" s="1373">
        <v>5.7000000000000002E-3</v>
      </c>
      <c r="I837" s="1373">
        <f t="shared" si="13"/>
        <v>-3.0000000000000001E-3</v>
      </c>
      <c r="J837" s="1371">
        <v>34912</v>
      </c>
    </row>
    <row r="838" spans="2:10" x14ac:dyDescent="0.45">
      <c r="B838" s="1371">
        <v>34943</v>
      </c>
      <c r="C838" s="1370" t="s">
        <v>7139</v>
      </c>
      <c r="F838" s="1372">
        <v>4.19E-2</v>
      </c>
      <c r="H838" s="1373">
        <v>5.1999999999999998E-3</v>
      </c>
      <c r="I838" s="1373">
        <f t="shared" si="13"/>
        <v>3.6699999999999997E-2</v>
      </c>
      <c r="J838" s="1371">
        <v>34943</v>
      </c>
    </row>
    <row r="839" spans="2:10" x14ac:dyDescent="0.45">
      <c r="B839" s="1371">
        <v>34973</v>
      </c>
      <c r="C839" s="1370" t="s">
        <v>7139</v>
      </c>
      <c r="F839" s="1372">
        <v>-3.5000000000000001E-3</v>
      </c>
      <c r="H839" s="1373">
        <v>5.7000000000000002E-3</v>
      </c>
      <c r="I839" s="1373">
        <f t="shared" si="13"/>
        <v>-9.1999999999999998E-3</v>
      </c>
      <c r="J839" s="1371">
        <v>34973</v>
      </c>
    </row>
    <row r="840" spans="2:10" x14ac:dyDescent="0.45">
      <c r="B840" s="1371">
        <v>35004</v>
      </c>
      <c r="C840" s="1370" t="s">
        <v>7139</v>
      </c>
      <c r="F840" s="1372">
        <v>4.3999999999999997E-2</v>
      </c>
      <c r="H840" s="1373">
        <v>5.1000000000000004E-3</v>
      </c>
      <c r="I840" s="1373">
        <f t="shared" si="13"/>
        <v>3.8899999999999997E-2</v>
      </c>
      <c r="J840" s="1371">
        <v>35004</v>
      </c>
    </row>
    <row r="841" spans="2:10" x14ac:dyDescent="0.45">
      <c r="B841" s="1371">
        <v>35034</v>
      </c>
      <c r="C841" s="1370" t="s">
        <v>7139</v>
      </c>
      <c r="F841" s="1372">
        <v>1.8499999999999999E-2</v>
      </c>
      <c r="H841" s="1373">
        <v>4.8999999999999998E-3</v>
      </c>
      <c r="I841" s="1373">
        <f t="shared" si="13"/>
        <v>1.3599999999999999E-2</v>
      </c>
      <c r="J841" s="1371">
        <v>35034</v>
      </c>
    </row>
    <row r="842" spans="2:10" x14ac:dyDescent="0.45">
      <c r="B842" s="1371">
        <v>35065</v>
      </c>
      <c r="C842" s="1370" t="s">
        <v>7139</v>
      </c>
      <c r="F842" s="1372">
        <v>3.44E-2</v>
      </c>
      <c r="H842" s="1373">
        <v>5.4000000000000003E-3</v>
      </c>
      <c r="I842" s="1373">
        <f t="shared" si="13"/>
        <v>2.8999999999999998E-2</v>
      </c>
      <c r="J842" s="1371">
        <v>35065</v>
      </c>
    </row>
    <row r="843" spans="2:10" x14ac:dyDescent="0.45">
      <c r="B843" s="1371">
        <v>35096</v>
      </c>
      <c r="C843" s="1370" t="s">
        <v>7139</v>
      </c>
      <c r="F843" s="1372">
        <v>9.5999999999999992E-3</v>
      </c>
      <c r="H843" s="1373">
        <v>4.7999999999999996E-3</v>
      </c>
      <c r="I843" s="1373">
        <f t="shared" si="13"/>
        <v>4.7999999999999996E-3</v>
      </c>
      <c r="J843" s="1371">
        <v>35096</v>
      </c>
    </row>
    <row r="844" spans="2:10" x14ac:dyDescent="0.45">
      <c r="B844" s="1371">
        <v>35125</v>
      </c>
      <c r="C844" s="1370" t="s">
        <v>7139</v>
      </c>
      <c r="F844" s="1372">
        <v>9.5999999999999992E-3</v>
      </c>
      <c r="H844" s="1373">
        <v>5.1999999999999998E-3</v>
      </c>
      <c r="I844" s="1373">
        <f t="shared" si="13"/>
        <v>4.3999999999999994E-3</v>
      </c>
      <c r="J844" s="1371">
        <v>35125</v>
      </c>
    </row>
    <row r="845" spans="2:10" x14ac:dyDescent="0.45">
      <c r="B845" s="1371">
        <v>35156</v>
      </c>
      <c r="C845" s="1370" t="s">
        <v>7139</v>
      </c>
      <c r="F845" s="1372">
        <v>1.47E-2</v>
      </c>
      <c r="H845" s="1373">
        <v>5.8999999999999999E-3</v>
      </c>
      <c r="I845" s="1373">
        <f t="shared" si="13"/>
        <v>8.7999999999999988E-3</v>
      </c>
      <c r="J845" s="1371">
        <v>35156</v>
      </c>
    </row>
    <row r="846" spans="2:10" x14ac:dyDescent="0.45">
      <c r="B846" s="1371">
        <v>35186</v>
      </c>
      <c r="C846" s="1370" t="s">
        <v>7139</v>
      </c>
      <c r="F846" s="1372">
        <v>2.58E-2</v>
      </c>
      <c r="H846" s="1373">
        <v>5.7999999999999996E-3</v>
      </c>
      <c r="I846" s="1373">
        <f t="shared" si="13"/>
        <v>0.02</v>
      </c>
      <c r="J846" s="1371">
        <v>35186</v>
      </c>
    </row>
    <row r="847" spans="2:10" x14ac:dyDescent="0.45">
      <c r="B847" s="1371">
        <v>35217</v>
      </c>
      <c r="C847" s="1370" t="s">
        <v>7139</v>
      </c>
      <c r="F847" s="1372">
        <v>4.1000000000000003E-3</v>
      </c>
      <c r="H847" s="1373">
        <v>5.4000000000000003E-3</v>
      </c>
      <c r="I847" s="1373">
        <f t="shared" si="13"/>
        <v>-1.2999999999999999E-3</v>
      </c>
      <c r="J847" s="1371">
        <v>35217</v>
      </c>
    </row>
    <row r="848" spans="2:10" x14ac:dyDescent="0.45">
      <c r="B848" s="1371">
        <v>35247</v>
      </c>
      <c r="C848" s="1370" t="s">
        <v>7139</v>
      </c>
      <c r="F848" s="1372">
        <v>-4.4499999999999998E-2</v>
      </c>
      <c r="H848" s="1373">
        <v>6.1999999999999998E-3</v>
      </c>
      <c r="I848" s="1373">
        <f t="shared" si="13"/>
        <v>-5.0699999999999995E-2</v>
      </c>
      <c r="J848" s="1371">
        <v>35247</v>
      </c>
    </row>
    <row r="849" spans="2:10" x14ac:dyDescent="0.45">
      <c r="B849" s="1371">
        <v>35278</v>
      </c>
      <c r="C849" s="1370" t="s">
        <v>7139</v>
      </c>
      <c r="F849" s="1372">
        <v>2.12E-2</v>
      </c>
      <c r="H849" s="1373">
        <v>5.7000000000000002E-3</v>
      </c>
      <c r="I849" s="1373">
        <f t="shared" si="13"/>
        <v>1.55E-2</v>
      </c>
      <c r="J849" s="1371">
        <v>35278</v>
      </c>
    </row>
    <row r="850" spans="2:10" x14ac:dyDescent="0.45">
      <c r="B850" s="1371">
        <v>35309</v>
      </c>
      <c r="C850" s="1370" t="s">
        <v>7139</v>
      </c>
      <c r="F850" s="1372">
        <v>5.62E-2</v>
      </c>
      <c r="H850" s="1373">
        <v>6.0000000000000001E-3</v>
      </c>
      <c r="I850" s="1373">
        <f t="shared" si="13"/>
        <v>5.0200000000000002E-2</v>
      </c>
      <c r="J850" s="1371">
        <v>35309</v>
      </c>
    </row>
    <row r="851" spans="2:10" x14ac:dyDescent="0.45">
      <c r="B851" s="1371">
        <v>35339</v>
      </c>
      <c r="C851" s="1370" t="s">
        <v>7139</v>
      </c>
      <c r="F851" s="1372">
        <v>2.7400000000000001E-2</v>
      </c>
      <c r="H851" s="1373">
        <v>5.7999999999999996E-3</v>
      </c>
      <c r="I851" s="1373">
        <f t="shared" si="13"/>
        <v>2.1600000000000001E-2</v>
      </c>
      <c r="J851" s="1371">
        <v>35339</v>
      </c>
    </row>
    <row r="852" spans="2:10" x14ac:dyDescent="0.45">
      <c r="B852" s="1371">
        <v>35370</v>
      </c>
      <c r="C852" s="1370" t="s">
        <v>7139</v>
      </c>
      <c r="F852" s="1372">
        <v>7.5899999999999995E-2</v>
      </c>
      <c r="H852" s="1373">
        <v>5.1999999999999998E-3</v>
      </c>
      <c r="I852" s="1373">
        <f t="shared" si="13"/>
        <v>7.0699999999999999E-2</v>
      </c>
      <c r="J852" s="1371">
        <v>35370</v>
      </c>
    </row>
    <row r="853" spans="2:10" x14ac:dyDescent="0.45">
      <c r="B853" s="1371">
        <v>35400</v>
      </c>
      <c r="C853" s="1370" t="s">
        <v>7139</v>
      </c>
      <c r="F853" s="1372">
        <v>-1.9599999999999999E-2</v>
      </c>
      <c r="H853" s="1373">
        <v>5.5999999999999999E-3</v>
      </c>
      <c r="I853" s="1373">
        <f t="shared" si="13"/>
        <v>-2.52E-2</v>
      </c>
      <c r="J853" s="1371">
        <v>35400</v>
      </c>
    </row>
    <row r="854" spans="2:10" x14ac:dyDescent="0.45">
      <c r="B854" s="1371">
        <v>35431</v>
      </c>
      <c r="C854" s="1370" t="s">
        <v>7139</v>
      </c>
      <c r="F854" s="1372">
        <v>6.2100000000000002E-2</v>
      </c>
      <c r="H854" s="1373">
        <v>5.5999999999999999E-3</v>
      </c>
      <c r="I854" s="1373">
        <f t="shared" si="13"/>
        <v>5.6500000000000002E-2</v>
      </c>
      <c r="J854" s="1371">
        <v>35431</v>
      </c>
    </row>
    <row r="855" spans="2:10" x14ac:dyDescent="0.45">
      <c r="B855" s="1371">
        <v>35462</v>
      </c>
      <c r="C855" s="1370" t="s">
        <v>7139</v>
      </c>
      <c r="F855" s="1372">
        <v>8.0999999999999996E-3</v>
      </c>
      <c r="H855" s="1373">
        <v>5.1000000000000004E-3</v>
      </c>
      <c r="I855" s="1373">
        <f t="shared" si="13"/>
        <v>2.9999999999999992E-3</v>
      </c>
      <c r="J855" s="1371">
        <v>35462</v>
      </c>
    </row>
    <row r="856" spans="2:10" x14ac:dyDescent="0.45">
      <c r="B856" s="1371">
        <v>35490</v>
      </c>
      <c r="C856" s="1370" t="s">
        <v>7139</v>
      </c>
      <c r="F856" s="1372">
        <v>-4.1599999999999998E-2</v>
      </c>
      <c r="H856" s="1373">
        <v>5.8999999999999999E-3</v>
      </c>
      <c r="I856" s="1373">
        <f t="shared" si="13"/>
        <v>-4.7500000000000001E-2</v>
      </c>
      <c r="J856" s="1371">
        <v>35490</v>
      </c>
    </row>
    <row r="857" spans="2:10" x14ac:dyDescent="0.45">
      <c r="B857" s="1371">
        <v>35521</v>
      </c>
      <c r="C857" s="1370" t="s">
        <v>7139</v>
      </c>
      <c r="F857" s="1372">
        <v>5.9700000000000003E-2</v>
      </c>
      <c r="H857" s="1373">
        <v>5.8999999999999999E-3</v>
      </c>
      <c r="I857" s="1373">
        <f t="shared" si="13"/>
        <v>5.3800000000000001E-2</v>
      </c>
      <c r="J857" s="1371">
        <v>35521</v>
      </c>
    </row>
    <row r="858" spans="2:10" x14ac:dyDescent="0.45">
      <c r="B858" s="1371">
        <v>35551</v>
      </c>
      <c r="C858" s="1370" t="s">
        <v>7139</v>
      </c>
      <c r="F858" s="1372">
        <v>6.1400000000000003E-2</v>
      </c>
      <c r="H858" s="1373">
        <v>5.7999999999999996E-3</v>
      </c>
      <c r="I858" s="1373">
        <f t="shared" si="13"/>
        <v>5.5600000000000004E-2</v>
      </c>
      <c r="J858" s="1371">
        <v>35551</v>
      </c>
    </row>
    <row r="859" spans="2:10" x14ac:dyDescent="0.45">
      <c r="B859" s="1371">
        <v>35582</v>
      </c>
      <c r="C859" s="1370" t="s">
        <v>7139</v>
      </c>
      <c r="F859" s="1372">
        <v>4.4600000000000001E-2</v>
      </c>
      <c r="H859" s="1373">
        <v>5.8999999999999999E-3</v>
      </c>
      <c r="I859" s="1373">
        <f t="shared" si="13"/>
        <v>3.8699999999999998E-2</v>
      </c>
      <c r="J859" s="1371">
        <v>35582</v>
      </c>
    </row>
    <row r="860" spans="2:10" x14ac:dyDescent="0.45">
      <c r="B860" s="1371">
        <v>35612</v>
      </c>
      <c r="C860" s="1370" t="s">
        <v>7139</v>
      </c>
      <c r="F860" s="1372">
        <v>7.9399999999999998E-2</v>
      </c>
      <c r="H860" s="1373">
        <v>5.7999999999999996E-3</v>
      </c>
      <c r="I860" s="1373">
        <f t="shared" si="13"/>
        <v>7.3599999999999999E-2</v>
      </c>
      <c r="J860" s="1371">
        <v>35612</v>
      </c>
    </row>
    <row r="861" spans="2:10" x14ac:dyDescent="0.45">
      <c r="B861" s="1371">
        <v>35643</v>
      </c>
      <c r="C861" s="1370" t="s">
        <v>7139</v>
      </c>
      <c r="F861" s="1372">
        <v>-5.5599999999999997E-2</v>
      </c>
      <c r="H861" s="1373">
        <v>4.8999999999999998E-3</v>
      </c>
      <c r="I861" s="1373">
        <f t="shared" si="13"/>
        <v>-6.0499999999999998E-2</v>
      </c>
      <c r="J861" s="1371">
        <v>35643</v>
      </c>
    </row>
    <row r="862" spans="2:10" x14ac:dyDescent="0.45">
      <c r="B862" s="1371">
        <v>35674</v>
      </c>
      <c r="C862" s="1370" t="s">
        <v>7139</v>
      </c>
      <c r="F862" s="1372">
        <v>5.4800000000000001E-2</v>
      </c>
      <c r="H862" s="1373">
        <v>5.7999999999999996E-3</v>
      </c>
      <c r="I862" s="1373">
        <f t="shared" si="13"/>
        <v>4.9000000000000002E-2</v>
      </c>
      <c r="J862" s="1371">
        <v>35674</v>
      </c>
    </row>
    <row r="863" spans="2:10" x14ac:dyDescent="0.45">
      <c r="B863" s="1371">
        <v>35704</v>
      </c>
      <c r="C863" s="1370" t="s">
        <v>7139</v>
      </c>
      <c r="F863" s="1372">
        <v>-3.3399999999999999E-2</v>
      </c>
      <c r="H863" s="1373">
        <v>5.4000000000000003E-3</v>
      </c>
      <c r="I863" s="1373">
        <f t="shared" si="13"/>
        <v>-3.8800000000000001E-2</v>
      </c>
      <c r="J863" s="1371">
        <v>35704</v>
      </c>
    </row>
    <row r="864" spans="2:10" x14ac:dyDescent="0.45">
      <c r="B864" s="1371">
        <v>35735</v>
      </c>
      <c r="C864" s="1370" t="s">
        <v>7139</v>
      </c>
      <c r="F864" s="1372">
        <v>4.6300000000000001E-2</v>
      </c>
      <c r="H864" s="1373">
        <v>4.7000000000000002E-3</v>
      </c>
      <c r="I864" s="1373">
        <f t="shared" si="13"/>
        <v>4.1599999999999998E-2</v>
      </c>
      <c r="J864" s="1371">
        <v>35735</v>
      </c>
    </row>
    <row r="865" spans="2:10" x14ac:dyDescent="0.45">
      <c r="B865" s="1371">
        <v>35765</v>
      </c>
      <c r="C865" s="1370" t="s">
        <v>7139</v>
      </c>
      <c r="F865" s="1372">
        <v>1.72E-2</v>
      </c>
      <c r="H865" s="1373">
        <v>5.4000000000000003E-3</v>
      </c>
      <c r="I865" s="1373">
        <f t="shared" si="13"/>
        <v>1.18E-2</v>
      </c>
      <c r="J865" s="1371">
        <v>35765</v>
      </c>
    </row>
    <row r="866" spans="2:10" x14ac:dyDescent="0.45">
      <c r="B866" s="1371">
        <v>35796</v>
      </c>
      <c r="C866" s="1370" t="s">
        <v>7139</v>
      </c>
      <c r="F866" s="1372">
        <v>1.11E-2</v>
      </c>
      <c r="H866" s="1373">
        <v>4.7999999999999996E-3</v>
      </c>
      <c r="I866" s="1373">
        <f t="shared" si="13"/>
        <v>6.3000000000000009E-3</v>
      </c>
      <c r="J866" s="1371">
        <v>35796</v>
      </c>
    </row>
    <row r="867" spans="2:10" x14ac:dyDescent="0.45">
      <c r="B867" s="1371">
        <v>35827</v>
      </c>
      <c r="C867" s="1370" t="s">
        <v>7139</v>
      </c>
      <c r="F867" s="1372">
        <v>7.2099999999999997E-2</v>
      </c>
      <c r="H867" s="1373">
        <v>4.4000000000000003E-3</v>
      </c>
      <c r="I867" s="1373">
        <f t="shared" si="13"/>
        <v>6.7699999999999996E-2</v>
      </c>
      <c r="J867" s="1371">
        <v>35827</v>
      </c>
    </row>
    <row r="868" spans="2:10" x14ac:dyDescent="0.45">
      <c r="B868" s="1371">
        <v>35855</v>
      </c>
      <c r="C868" s="1370" t="s">
        <v>7139</v>
      </c>
      <c r="F868" s="1372">
        <v>5.1200000000000002E-2</v>
      </c>
      <c r="H868" s="1373">
        <v>5.1999999999999998E-3</v>
      </c>
      <c r="I868" s="1373">
        <f t="shared" si="13"/>
        <v>4.5999999999999999E-2</v>
      </c>
      <c r="J868" s="1371">
        <v>35855</v>
      </c>
    </row>
    <row r="869" spans="2:10" x14ac:dyDescent="0.45">
      <c r="B869" s="1371">
        <v>35886</v>
      </c>
      <c r="C869" s="1370" t="s">
        <v>7139</v>
      </c>
      <c r="F869" s="1372">
        <v>1.01E-2</v>
      </c>
      <c r="H869" s="1373">
        <v>4.8999999999999998E-3</v>
      </c>
      <c r="I869" s="1373">
        <f t="shared" si="13"/>
        <v>5.1999999999999998E-3</v>
      </c>
      <c r="J869" s="1371">
        <v>35886</v>
      </c>
    </row>
    <row r="870" spans="2:10" x14ac:dyDescent="0.45">
      <c r="B870" s="1371">
        <v>35916</v>
      </c>
      <c r="C870" s="1370" t="s">
        <v>7139</v>
      </c>
      <c r="F870" s="1372">
        <v>-1.72E-2</v>
      </c>
      <c r="H870" s="1373">
        <v>4.7999999999999996E-3</v>
      </c>
      <c r="I870" s="1373">
        <f t="shared" si="13"/>
        <v>-2.1999999999999999E-2</v>
      </c>
      <c r="J870" s="1371">
        <v>35916</v>
      </c>
    </row>
    <row r="871" spans="2:10" x14ac:dyDescent="0.45">
      <c r="B871" s="1371">
        <v>35947</v>
      </c>
      <c r="C871" s="1370" t="s">
        <v>7139</v>
      </c>
      <c r="F871" s="1372">
        <v>4.0599999999999997E-2</v>
      </c>
      <c r="H871" s="1373">
        <v>5.1999999999999998E-3</v>
      </c>
      <c r="I871" s="1373">
        <f t="shared" si="13"/>
        <v>3.5400000000000001E-2</v>
      </c>
      <c r="J871" s="1371">
        <v>35947</v>
      </c>
    </row>
    <row r="872" spans="2:10" x14ac:dyDescent="0.45">
      <c r="B872" s="1371">
        <v>35977</v>
      </c>
      <c r="C872" s="1370" t="s">
        <v>7139</v>
      </c>
      <c r="F872" s="1372">
        <v>-1.06E-2</v>
      </c>
      <c r="H872" s="1373">
        <v>4.8999999999999998E-3</v>
      </c>
      <c r="I872" s="1373">
        <f t="shared" si="13"/>
        <v>-1.55E-2</v>
      </c>
      <c r="J872" s="1371">
        <v>35977</v>
      </c>
    </row>
    <row r="873" spans="2:10" x14ac:dyDescent="0.45">
      <c r="B873" s="1371">
        <v>36008</v>
      </c>
      <c r="C873" s="1370" t="s">
        <v>7139</v>
      </c>
      <c r="F873" s="1372">
        <v>-0.14460000000000001</v>
      </c>
      <c r="H873" s="1373">
        <v>4.7999999999999996E-3</v>
      </c>
      <c r="I873" s="1373">
        <f t="shared" si="13"/>
        <v>-0.14940000000000001</v>
      </c>
      <c r="J873" s="1371">
        <v>36008</v>
      </c>
    </row>
    <row r="874" spans="2:10" x14ac:dyDescent="0.45">
      <c r="B874" s="1371">
        <v>36039</v>
      </c>
      <c r="C874" s="1370" t="s">
        <v>7139</v>
      </c>
      <c r="F874" s="1372">
        <v>6.4100000000000004E-2</v>
      </c>
      <c r="H874" s="1373">
        <v>4.4000000000000003E-3</v>
      </c>
      <c r="I874" s="1373">
        <f t="shared" si="13"/>
        <v>5.9700000000000003E-2</v>
      </c>
      <c r="J874" s="1371">
        <v>36039</v>
      </c>
    </row>
    <row r="875" spans="2:10" x14ac:dyDescent="0.45">
      <c r="B875" s="1371">
        <v>36069</v>
      </c>
      <c r="C875" s="1370" t="s">
        <v>7139</v>
      </c>
      <c r="F875" s="1372">
        <v>8.1299999999999997E-2</v>
      </c>
      <c r="H875" s="1373">
        <v>4.1999999999999997E-3</v>
      </c>
      <c r="I875" s="1373">
        <f t="shared" si="13"/>
        <v>7.7100000000000002E-2</v>
      </c>
      <c r="J875" s="1371">
        <v>36069</v>
      </c>
    </row>
    <row r="876" spans="2:10" x14ac:dyDescent="0.45">
      <c r="B876" s="1371">
        <v>36100</v>
      </c>
      <c r="C876" s="1370" t="s">
        <v>7139</v>
      </c>
      <c r="F876" s="1372">
        <v>6.0600000000000001E-2</v>
      </c>
      <c r="H876" s="1373">
        <v>4.4999999999999997E-3</v>
      </c>
      <c r="I876" s="1373">
        <f t="shared" si="13"/>
        <v>5.6100000000000004E-2</v>
      </c>
      <c r="J876" s="1371">
        <v>36100</v>
      </c>
    </row>
    <row r="877" spans="2:10" x14ac:dyDescent="0.45">
      <c r="B877" s="1371">
        <v>36130</v>
      </c>
      <c r="C877" s="1370" t="s">
        <v>7139</v>
      </c>
      <c r="F877" s="1372">
        <v>5.7599999999999998E-2</v>
      </c>
      <c r="H877" s="1373">
        <v>4.4999999999999997E-3</v>
      </c>
      <c r="I877" s="1373">
        <f t="shared" si="13"/>
        <v>5.3100000000000001E-2</v>
      </c>
      <c r="J877" s="1371">
        <v>36130</v>
      </c>
    </row>
    <row r="878" spans="2:10" x14ac:dyDescent="0.45">
      <c r="B878" s="1371">
        <v>36161</v>
      </c>
      <c r="C878" s="1370" t="s">
        <v>7139</v>
      </c>
      <c r="F878" s="1372">
        <v>4.1799999999999997E-2</v>
      </c>
      <c r="H878" s="1373">
        <v>4.1999999999999997E-3</v>
      </c>
      <c r="I878" s="1373">
        <f t="shared" si="13"/>
        <v>3.7599999999999995E-2</v>
      </c>
      <c r="J878" s="1371">
        <v>36161</v>
      </c>
    </row>
    <row r="879" spans="2:10" x14ac:dyDescent="0.45">
      <c r="B879" s="1371">
        <v>36192</v>
      </c>
      <c r="C879" s="1370" t="s">
        <v>7139</v>
      </c>
      <c r="F879" s="1372">
        <v>-3.1099999999999999E-2</v>
      </c>
      <c r="H879" s="1373">
        <v>4.0000000000000001E-3</v>
      </c>
      <c r="I879" s="1373">
        <f t="shared" si="13"/>
        <v>-3.5099999999999999E-2</v>
      </c>
      <c r="J879" s="1371">
        <v>36192</v>
      </c>
    </row>
    <row r="880" spans="2:10" x14ac:dyDescent="0.45">
      <c r="B880" s="1371">
        <v>36220</v>
      </c>
      <c r="C880" s="1370" t="s">
        <v>7139</v>
      </c>
      <c r="F880" s="1372">
        <v>0.04</v>
      </c>
      <c r="H880" s="1373">
        <v>5.3E-3</v>
      </c>
      <c r="I880" s="1373">
        <f t="shared" si="13"/>
        <v>3.4700000000000002E-2</v>
      </c>
      <c r="J880" s="1371">
        <v>36220</v>
      </c>
    </row>
    <row r="881" spans="2:10" x14ac:dyDescent="0.45">
      <c r="B881" s="1371">
        <v>36251</v>
      </c>
      <c r="C881" s="1370" t="s">
        <v>7139</v>
      </c>
      <c r="F881" s="1372">
        <v>3.8699999999999998E-2</v>
      </c>
      <c r="H881" s="1373">
        <v>4.7999999999999996E-3</v>
      </c>
      <c r="I881" s="1373">
        <f t="shared" si="13"/>
        <v>3.39E-2</v>
      </c>
      <c r="J881" s="1371">
        <v>36251</v>
      </c>
    </row>
    <row r="882" spans="2:10" x14ac:dyDescent="0.45">
      <c r="B882" s="1371">
        <v>36281</v>
      </c>
      <c r="C882" s="1370" t="s">
        <v>7139</v>
      </c>
      <c r="F882" s="1372">
        <v>-2.3599999999999999E-2</v>
      </c>
      <c r="H882" s="1373">
        <v>4.4999999999999997E-3</v>
      </c>
      <c r="I882" s="1373">
        <f t="shared" si="13"/>
        <v>-2.81E-2</v>
      </c>
      <c r="J882" s="1371">
        <v>36281</v>
      </c>
    </row>
    <row r="883" spans="2:10" x14ac:dyDescent="0.45">
      <c r="B883" s="1371">
        <v>36312</v>
      </c>
      <c r="C883" s="1370" t="s">
        <v>7139</v>
      </c>
      <c r="F883" s="1372">
        <v>5.5500000000000001E-2</v>
      </c>
      <c r="H883" s="1373">
        <v>5.4999999999999997E-3</v>
      </c>
      <c r="I883" s="1373">
        <f t="shared" si="13"/>
        <v>0.05</v>
      </c>
      <c r="J883" s="1371">
        <v>36312</v>
      </c>
    </row>
    <row r="884" spans="2:10" x14ac:dyDescent="0.45">
      <c r="B884" s="1371">
        <v>36342</v>
      </c>
      <c r="C884" s="1370" t="s">
        <v>7139</v>
      </c>
      <c r="F884" s="1372">
        <v>-3.1199999999999999E-2</v>
      </c>
      <c r="H884" s="1373">
        <v>5.1000000000000004E-3</v>
      </c>
      <c r="I884" s="1373">
        <f t="shared" si="13"/>
        <v>-3.6299999999999999E-2</v>
      </c>
      <c r="J884" s="1371">
        <v>36342</v>
      </c>
    </row>
    <row r="885" spans="2:10" x14ac:dyDescent="0.45">
      <c r="B885" s="1371">
        <v>36373</v>
      </c>
      <c r="C885" s="1370" t="s">
        <v>7139</v>
      </c>
      <c r="F885" s="1372">
        <v>-5.0000000000000001E-3</v>
      </c>
      <c r="H885" s="1373">
        <v>5.4000000000000003E-3</v>
      </c>
      <c r="I885" s="1373">
        <f t="shared" si="13"/>
        <v>-1.04E-2</v>
      </c>
      <c r="J885" s="1371">
        <v>36373</v>
      </c>
    </row>
    <row r="886" spans="2:10" x14ac:dyDescent="0.45">
      <c r="B886" s="1371">
        <v>36404</v>
      </c>
      <c r="C886" s="1370" t="s">
        <v>7139</v>
      </c>
      <c r="F886" s="1372">
        <v>-2.7400000000000001E-2</v>
      </c>
      <c r="H886" s="1373">
        <v>5.1999999999999998E-3</v>
      </c>
      <c r="I886" s="1373">
        <f t="shared" si="13"/>
        <v>-3.2600000000000004E-2</v>
      </c>
      <c r="J886" s="1371">
        <v>36404</v>
      </c>
    </row>
    <row r="887" spans="2:10" x14ac:dyDescent="0.45">
      <c r="B887" s="1371">
        <v>36434</v>
      </c>
      <c r="C887" s="1370" t="s">
        <v>7139</v>
      </c>
      <c r="F887" s="1372">
        <v>6.3299999999999995E-2</v>
      </c>
      <c r="H887" s="1373">
        <v>5.0000000000000001E-3</v>
      </c>
      <c r="I887" s="1373">
        <f t="shared" si="13"/>
        <v>5.8299999999999998E-2</v>
      </c>
      <c r="J887" s="1371">
        <v>36434</v>
      </c>
    </row>
    <row r="888" spans="2:10" x14ac:dyDescent="0.45">
      <c r="B888" s="1371">
        <v>36465</v>
      </c>
      <c r="C888" s="1370" t="s">
        <v>7139</v>
      </c>
      <c r="F888" s="1372">
        <v>2.0299999999999999E-2</v>
      </c>
      <c r="H888" s="1373">
        <v>5.5999999999999999E-3</v>
      </c>
      <c r="I888" s="1373">
        <f t="shared" si="13"/>
        <v>1.4699999999999998E-2</v>
      </c>
      <c r="J888" s="1371">
        <v>36465</v>
      </c>
    </row>
    <row r="889" spans="2:10" x14ac:dyDescent="0.45">
      <c r="B889" s="1371">
        <v>36495</v>
      </c>
      <c r="C889" s="1370" t="s">
        <v>7139</v>
      </c>
      <c r="F889" s="1372">
        <v>5.8900000000000001E-2</v>
      </c>
      <c r="H889" s="1373">
        <v>5.4999999999999997E-3</v>
      </c>
      <c r="I889" s="1373">
        <f t="shared" si="13"/>
        <v>5.3400000000000003E-2</v>
      </c>
      <c r="J889" s="1371">
        <v>36495</v>
      </c>
    </row>
    <row r="890" spans="2:10" x14ac:dyDescent="0.45">
      <c r="B890" s="1371">
        <v>36526</v>
      </c>
      <c r="C890" s="1370" t="s">
        <v>7139</v>
      </c>
      <c r="F890" s="1372">
        <v>-5.0200000000000002E-2</v>
      </c>
      <c r="H890" s="1373">
        <v>5.7000000000000002E-3</v>
      </c>
      <c r="I890" s="1373">
        <f t="shared" si="13"/>
        <v>-5.5900000000000005E-2</v>
      </c>
      <c r="J890" s="1371">
        <v>36526</v>
      </c>
    </row>
    <row r="891" spans="2:10" x14ac:dyDescent="0.45">
      <c r="B891" s="1371">
        <v>36557</v>
      </c>
      <c r="C891" s="1370" t="s">
        <v>7139</v>
      </c>
      <c r="F891" s="1372">
        <v>-1.89E-2</v>
      </c>
      <c r="H891" s="1373">
        <v>5.1000000000000004E-3</v>
      </c>
      <c r="I891" s="1373">
        <f t="shared" si="13"/>
        <v>-2.4E-2</v>
      </c>
      <c r="J891" s="1371">
        <v>36557</v>
      </c>
    </row>
    <row r="892" spans="2:10" x14ac:dyDescent="0.45">
      <c r="B892" s="1371">
        <v>36586</v>
      </c>
      <c r="C892" s="1370" t="s">
        <v>7139</v>
      </c>
      <c r="F892" s="1372">
        <v>9.7799999999999998E-2</v>
      </c>
      <c r="H892" s="1373">
        <v>5.4000000000000003E-3</v>
      </c>
      <c r="I892" s="1373">
        <f t="shared" si="13"/>
        <v>9.2399999999999996E-2</v>
      </c>
      <c r="J892" s="1371">
        <v>36586</v>
      </c>
    </row>
    <row r="893" spans="2:10" x14ac:dyDescent="0.45">
      <c r="B893" s="1371">
        <v>36617</v>
      </c>
      <c r="C893" s="1370" t="s">
        <v>7139</v>
      </c>
      <c r="F893" s="1372">
        <v>-3.0099999999999998E-2</v>
      </c>
      <c r="H893" s="1373">
        <v>4.7000000000000002E-3</v>
      </c>
      <c r="I893" s="1373">
        <f t="shared" si="13"/>
        <v>-3.4799999999999998E-2</v>
      </c>
      <c r="J893" s="1371">
        <v>36617</v>
      </c>
    </row>
    <row r="894" spans="2:10" x14ac:dyDescent="0.45">
      <c r="B894" s="1371">
        <v>36647</v>
      </c>
      <c r="C894" s="1370" t="s">
        <v>7139</v>
      </c>
      <c r="F894" s="1372">
        <v>-2.0500000000000001E-2</v>
      </c>
      <c r="H894" s="1373">
        <v>5.5999999999999999E-3</v>
      </c>
      <c r="I894" s="1373">
        <f t="shared" si="13"/>
        <v>-2.6100000000000002E-2</v>
      </c>
      <c r="J894" s="1371">
        <v>36647</v>
      </c>
    </row>
    <row r="895" spans="2:10" x14ac:dyDescent="0.45">
      <c r="B895" s="1371">
        <v>36678</v>
      </c>
      <c r="C895" s="1370" t="s">
        <v>7139</v>
      </c>
      <c r="F895" s="1372">
        <v>2.46E-2</v>
      </c>
      <c r="H895" s="1373">
        <v>5.1999999999999998E-3</v>
      </c>
      <c r="I895" s="1373">
        <f t="shared" si="13"/>
        <v>1.9400000000000001E-2</v>
      </c>
      <c r="J895" s="1371">
        <v>36678</v>
      </c>
    </row>
    <row r="896" spans="2:10" x14ac:dyDescent="0.45">
      <c r="B896" s="1371">
        <v>36708</v>
      </c>
      <c r="C896" s="1370" t="s">
        <v>7139</v>
      </c>
      <c r="F896" s="1372">
        <v>-1.5599999999999999E-2</v>
      </c>
      <c r="H896" s="1373">
        <v>5.1999999999999998E-3</v>
      </c>
      <c r="I896" s="1373">
        <f t="shared" si="13"/>
        <v>-2.0799999999999999E-2</v>
      </c>
      <c r="J896" s="1371">
        <v>36708</v>
      </c>
    </row>
    <row r="897" spans="2:10" x14ac:dyDescent="0.45">
      <c r="B897" s="1371">
        <v>36739</v>
      </c>
      <c r="C897" s="1370" t="s">
        <v>7139</v>
      </c>
      <c r="F897" s="1372">
        <v>6.2100000000000002E-2</v>
      </c>
      <c r="H897" s="1373">
        <v>5.0000000000000001E-3</v>
      </c>
      <c r="I897" s="1373">
        <f t="shared" si="13"/>
        <v>5.7100000000000005E-2</v>
      </c>
      <c r="J897" s="1371">
        <v>36739</v>
      </c>
    </row>
    <row r="898" spans="2:10" x14ac:dyDescent="0.45">
      <c r="B898" s="1371">
        <v>36770</v>
      </c>
      <c r="C898" s="1370" t="s">
        <v>7139</v>
      </c>
      <c r="F898" s="1372">
        <v>-5.28E-2</v>
      </c>
      <c r="H898" s="1373">
        <v>4.5999999999999999E-3</v>
      </c>
      <c r="I898" s="1373">
        <f t="shared" ref="I898:I961" si="14">F898-H898</f>
        <v>-5.74E-2</v>
      </c>
      <c r="J898" s="1371">
        <v>36770</v>
      </c>
    </row>
    <row r="899" spans="2:10" x14ac:dyDescent="0.45">
      <c r="B899" s="1371">
        <v>36800</v>
      </c>
      <c r="C899" s="1370" t="s">
        <v>7139</v>
      </c>
      <c r="F899" s="1372">
        <v>-4.1999999999999997E-3</v>
      </c>
      <c r="H899" s="1373">
        <v>5.3E-3</v>
      </c>
      <c r="I899" s="1373">
        <f t="shared" si="14"/>
        <v>-9.4999999999999998E-3</v>
      </c>
      <c r="J899" s="1371">
        <v>36800</v>
      </c>
    </row>
    <row r="900" spans="2:10" x14ac:dyDescent="0.45">
      <c r="B900" s="1371">
        <v>36831</v>
      </c>
      <c r="C900" s="1370" t="s">
        <v>7139</v>
      </c>
      <c r="F900" s="1372">
        <v>-7.8799999999999995E-2</v>
      </c>
      <c r="H900" s="1373">
        <v>4.7999999999999996E-3</v>
      </c>
      <c r="I900" s="1373">
        <f t="shared" si="14"/>
        <v>-8.3599999999999994E-2</v>
      </c>
      <c r="J900" s="1371">
        <v>36831</v>
      </c>
    </row>
    <row r="901" spans="2:10" x14ac:dyDescent="0.45">
      <c r="B901" s="1371">
        <v>36861</v>
      </c>
      <c r="C901" s="1370" t="s">
        <v>7139</v>
      </c>
      <c r="F901" s="1372">
        <v>4.8999999999999998E-3</v>
      </c>
      <c r="H901" s="1373">
        <v>4.4999999999999997E-3</v>
      </c>
      <c r="I901" s="1373">
        <f t="shared" si="14"/>
        <v>4.0000000000000018E-4</v>
      </c>
      <c r="J901" s="1371">
        <v>36861</v>
      </c>
    </row>
    <row r="902" spans="2:10" x14ac:dyDescent="0.45">
      <c r="B902" s="1371">
        <v>36892</v>
      </c>
      <c r="C902" s="1370" t="s">
        <v>7139</v>
      </c>
      <c r="F902" s="1372">
        <v>3.5499999999999997E-2</v>
      </c>
      <c r="H902" s="1373">
        <v>4.8999999999999998E-3</v>
      </c>
      <c r="I902" s="1373">
        <f t="shared" si="14"/>
        <v>3.0599999999999995E-2</v>
      </c>
      <c r="J902" s="1371">
        <v>36892</v>
      </c>
    </row>
    <row r="903" spans="2:10" x14ac:dyDescent="0.45">
      <c r="B903" s="1371">
        <v>36923</v>
      </c>
      <c r="C903" s="1370" t="s">
        <v>7139</v>
      </c>
      <c r="F903" s="1372">
        <v>-9.1200000000000003E-2</v>
      </c>
      <c r="H903" s="1373">
        <v>4.1999999999999997E-3</v>
      </c>
      <c r="I903" s="1373">
        <f t="shared" si="14"/>
        <v>-9.5399999999999999E-2</v>
      </c>
      <c r="J903" s="1371">
        <v>36923</v>
      </c>
    </row>
    <row r="904" spans="2:10" x14ac:dyDescent="0.45">
      <c r="B904" s="1371">
        <v>36951</v>
      </c>
      <c r="C904" s="1370" t="s">
        <v>7139</v>
      </c>
      <c r="F904" s="1372">
        <v>-6.3399999999999998E-2</v>
      </c>
      <c r="H904" s="1373">
        <v>4.4999999999999997E-3</v>
      </c>
      <c r="I904" s="1373">
        <f t="shared" si="14"/>
        <v>-6.7900000000000002E-2</v>
      </c>
      <c r="J904" s="1371">
        <v>36951</v>
      </c>
    </row>
    <row r="905" spans="2:10" x14ac:dyDescent="0.45">
      <c r="B905" s="1371">
        <v>36982</v>
      </c>
      <c r="C905" s="1370" t="s">
        <v>7139</v>
      </c>
      <c r="F905" s="1372">
        <v>7.7700000000000005E-2</v>
      </c>
      <c r="H905" s="1373">
        <v>4.7000000000000002E-3</v>
      </c>
      <c r="I905" s="1373">
        <f t="shared" si="14"/>
        <v>7.3000000000000009E-2</v>
      </c>
      <c r="J905" s="1371">
        <v>36982</v>
      </c>
    </row>
    <row r="906" spans="2:10" x14ac:dyDescent="0.45">
      <c r="B906" s="1371">
        <v>37012</v>
      </c>
      <c r="C906" s="1370" t="s">
        <v>7139</v>
      </c>
      <c r="F906" s="1372">
        <v>6.7000000000000002E-3</v>
      </c>
      <c r="H906" s="1373">
        <v>5.0000000000000001E-3</v>
      </c>
      <c r="I906" s="1373">
        <f t="shared" si="14"/>
        <v>1.7000000000000001E-3</v>
      </c>
      <c r="J906" s="1371">
        <v>37012</v>
      </c>
    </row>
    <row r="907" spans="2:10" x14ac:dyDescent="0.45">
      <c r="B907" s="1371">
        <v>37043</v>
      </c>
      <c r="C907" s="1370" t="s">
        <v>7139</v>
      </c>
      <c r="F907" s="1372">
        <v>-2.4299999999999999E-2</v>
      </c>
      <c r="H907" s="1373">
        <v>4.7000000000000002E-3</v>
      </c>
      <c r="I907" s="1373">
        <f t="shared" si="14"/>
        <v>-2.8999999999999998E-2</v>
      </c>
      <c r="J907" s="1371">
        <v>37043</v>
      </c>
    </row>
    <row r="908" spans="2:10" x14ac:dyDescent="0.45">
      <c r="B908" s="1371">
        <v>37073</v>
      </c>
      <c r="C908" s="1370" t="s">
        <v>7139</v>
      </c>
      <c r="F908" s="1372">
        <v>-9.7999999999999997E-3</v>
      </c>
      <c r="H908" s="1373">
        <v>5.1999999999999998E-3</v>
      </c>
      <c r="I908" s="1373">
        <f t="shared" si="14"/>
        <v>-1.4999999999999999E-2</v>
      </c>
      <c r="J908" s="1371">
        <v>37073</v>
      </c>
    </row>
    <row r="909" spans="2:10" x14ac:dyDescent="0.45">
      <c r="B909" s="1371">
        <v>37104</v>
      </c>
      <c r="C909" s="1370" t="s">
        <v>7139</v>
      </c>
      <c r="F909" s="1372">
        <v>-6.2600000000000003E-2</v>
      </c>
      <c r="H909" s="1373">
        <v>4.5999999999999999E-3</v>
      </c>
      <c r="I909" s="1373">
        <f t="shared" si="14"/>
        <v>-6.720000000000001E-2</v>
      </c>
      <c r="J909" s="1371">
        <v>37104</v>
      </c>
    </row>
    <row r="910" spans="2:10" x14ac:dyDescent="0.45">
      <c r="B910" s="1371">
        <v>37135</v>
      </c>
      <c r="C910" s="1370" t="s">
        <v>7139</v>
      </c>
      <c r="F910" s="1372">
        <v>-8.0799999999999997E-2</v>
      </c>
      <c r="H910" s="1373">
        <v>4.1000000000000003E-3</v>
      </c>
      <c r="I910" s="1373">
        <f t="shared" si="14"/>
        <v>-8.4900000000000003E-2</v>
      </c>
      <c r="J910" s="1371">
        <v>37135</v>
      </c>
    </row>
    <row r="911" spans="2:10" x14ac:dyDescent="0.45">
      <c r="B911" s="1371">
        <v>37165</v>
      </c>
      <c r="C911" s="1370" t="s">
        <v>7139</v>
      </c>
      <c r="F911" s="1372">
        <v>1.9099999999999999E-2</v>
      </c>
      <c r="H911" s="1373">
        <v>4.7999999999999996E-3</v>
      </c>
      <c r="I911" s="1373">
        <f t="shared" si="14"/>
        <v>1.43E-2</v>
      </c>
      <c r="J911" s="1371">
        <v>37165</v>
      </c>
    </row>
    <row r="912" spans="2:10" x14ac:dyDescent="0.45">
      <c r="B912" s="1371">
        <v>37196</v>
      </c>
      <c r="C912" s="1370" t="s">
        <v>7139</v>
      </c>
      <c r="F912" s="1372">
        <v>7.6700000000000004E-2</v>
      </c>
      <c r="H912" s="1373">
        <v>4.1000000000000003E-3</v>
      </c>
      <c r="I912" s="1373">
        <f t="shared" si="14"/>
        <v>7.2599999999999998E-2</v>
      </c>
      <c r="J912" s="1371">
        <v>37196</v>
      </c>
    </row>
    <row r="913" spans="2:10" x14ac:dyDescent="0.45">
      <c r="B913" s="1371">
        <v>37226</v>
      </c>
      <c r="C913" s="1370" t="s">
        <v>7139</v>
      </c>
      <c r="F913" s="1372">
        <v>8.8000000000000005E-3</v>
      </c>
      <c r="H913" s="1373">
        <v>4.5999999999999999E-3</v>
      </c>
      <c r="I913" s="1373">
        <f t="shared" si="14"/>
        <v>4.2000000000000006E-3</v>
      </c>
      <c r="J913" s="1371">
        <v>37226</v>
      </c>
    </row>
    <row r="914" spans="2:10" x14ac:dyDescent="0.45">
      <c r="B914" s="1371">
        <v>37257</v>
      </c>
      <c r="C914" s="1370" t="s">
        <v>7139</v>
      </c>
      <c r="F914" s="1372">
        <v>-1.46E-2</v>
      </c>
      <c r="H914" s="1373">
        <v>4.7999999999999996E-3</v>
      </c>
      <c r="I914" s="1373">
        <f t="shared" si="14"/>
        <v>-1.9400000000000001E-2</v>
      </c>
      <c r="J914" s="1371">
        <v>37257</v>
      </c>
    </row>
    <row r="915" spans="2:10" x14ac:dyDescent="0.45">
      <c r="B915" s="1371">
        <v>37288</v>
      </c>
      <c r="C915" s="1370" t="s">
        <v>7139</v>
      </c>
      <c r="F915" s="1372">
        <v>-1.9300000000000001E-2</v>
      </c>
      <c r="H915" s="1373">
        <v>4.3E-3</v>
      </c>
      <c r="I915" s="1373">
        <f t="shared" si="14"/>
        <v>-2.3600000000000003E-2</v>
      </c>
      <c r="J915" s="1371">
        <v>37288</v>
      </c>
    </row>
    <row r="916" spans="2:10" x14ac:dyDescent="0.45">
      <c r="B916" s="1371">
        <v>37316</v>
      </c>
      <c r="C916" s="1370" t="s">
        <v>7139</v>
      </c>
      <c r="F916" s="1372">
        <v>3.7600000000000001E-2</v>
      </c>
      <c r="H916" s="1373">
        <v>4.3E-3</v>
      </c>
      <c r="I916" s="1373">
        <f t="shared" si="14"/>
        <v>3.3300000000000003E-2</v>
      </c>
      <c r="J916" s="1371">
        <v>37316</v>
      </c>
    </row>
    <row r="917" spans="2:10" x14ac:dyDescent="0.45">
      <c r="B917" s="1371">
        <v>37347</v>
      </c>
      <c r="C917" s="1370" t="s">
        <v>7139</v>
      </c>
      <c r="F917" s="1372">
        <v>-6.0600000000000001E-2</v>
      </c>
      <c r="H917" s="1373">
        <v>5.4000000000000003E-3</v>
      </c>
      <c r="I917" s="1373">
        <f t="shared" si="14"/>
        <v>-6.6000000000000003E-2</v>
      </c>
      <c r="J917" s="1371">
        <v>37347</v>
      </c>
    </row>
    <row r="918" spans="2:10" x14ac:dyDescent="0.45">
      <c r="B918" s="1371">
        <v>37377</v>
      </c>
      <c r="C918" s="1370" t="s">
        <v>7139</v>
      </c>
      <c r="F918" s="1372">
        <v>-7.4000000000000003E-3</v>
      </c>
      <c r="H918" s="1373">
        <v>4.8999999999999998E-3</v>
      </c>
      <c r="I918" s="1373">
        <f t="shared" si="14"/>
        <v>-1.23E-2</v>
      </c>
      <c r="J918" s="1371">
        <v>37377</v>
      </c>
    </row>
    <row r="919" spans="2:10" x14ac:dyDescent="0.45">
      <c r="B919" s="1371">
        <v>37408</v>
      </c>
      <c r="C919" s="1370" t="s">
        <v>7139</v>
      </c>
      <c r="F919" s="1372">
        <v>-7.1199999999999999E-2</v>
      </c>
      <c r="H919" s="1373">
        <v>4.4000000000000003E-3</v>
      </c>
      <c r="I919" s="1373">
        <f t="shared" si="14"/>
        <v>-7.5600000000000001E-2</v>
      </c>
      <c r="J919" s="1371">
        <v>37408</v>
      </c>
    </row>
    <row r="920" spans="2:10" x14ac:dyDescent="0.45">
      <c r="B920" s="1371">
        <v>37438</v>
      </c>
      <c r="C920" s="1370" t="s">
        <v>7139</v>
      </c>
      <c r="F920" s="1372">
        <v>-7.8E-2</v>
      </c>
      <c r="H920" s="1373">
        <v>5.1000000000000004E-3</v>
      </c>
      <c r="I920" s="1373">
        <f t="shared" si="14"/>
        <v>-8.3100000000000007E-2</v>
      </c>
      <c r="J920" s="1371">
        <v>37438</v>
      </c>
    </row>
    <row r="921" spans="2:10" x14ac:dyDescent="0.45">
      <c r="B921" s="1371">
        <v>37469</v>
      </c>
      <c r="C921" s="1370" t="s">
        <v>7139</v>
      </c>
      <c r="F921" s="1372">
        <v>6.6E-3</v>
      </c>
      <c r="H921" s="1373">
        <v>4.4000000000000003E-3</v>
      </c>
      <c r="I921" s="1373">
        <f t="shared" si="14"/>
        <v>2.1999999999999997E-3</v>
      </c>
      <c r="J921" s="1371">
        <v>37469</v>
      </c>
    </row>
    <row r="922" spans="2:10" x14ac:dyDescent="0.45">
      <c r="B922" s="1371">
        <v>37500</v>
      </c>
      <c r="C922" s="1370" t="s">
        <v>7139</v>
      </c>
      <c r="F922" s="1372">
        <v>-0.1087</v>
      </c>
      <c r="H922" s="1373">
        <v>4.1999999999999997E-3</v>
      </c>
      <c r="I922" s="1373">
        <f t="shared" si="14"/>
        <v>-0.1129</v>
      </c>
      <c r="J922" s="1371">
        <v>37500</v>
      </c>
    </row>
    <row r="923" spans="2:10" x14ac:dyDescent="0.45">
      <c r="B923" s="1371">
        <v>37530</v>
      </c>
      <c r="C923" s="1370" t="s">
        <v>7139</v>
      </c>
      <c r="F923" s="1372">
        <v>8.7999999999999995E-2</v>
      </c>
      <c r="H923" s="1373">
        <v>4.0000000000000001E-3</v>
      </c>
      <c r="I923" s="1373">
        <f t="shared" si="14"/>
        <v>8.3999999999999991E-2</v>
      </c>
      <c r="J923" s="1371">
        <v>37530</v>
      </c>
    </row>
    <row r="924" spans="2:10" x14ac:dyDescent="0.45">
      <c r="B924" s="1371">
        <v>37561</v>
      </c>
      <c r="C924" s="1370" t="s">
        <v>7139</v>
      </c>
      <c r="F924" s="1372">
        <v>5.8900000000000001E-2</v>
      </c>
      <c r="H924" s="1373">
        <v>4.0000000000000001E-3</v>
      </c>
      <c r="I924" s="1373">
        <f t="shared" si="14"/>
        <v>5.4900000000000004E-2</v>
      </c>
      <c r="J924" s="1371">
        <v>37561</v>
      </c>
    </row>
    <row r="925" spans="2:10" x14ac:dyDescent="0.45">
      <c r="B925" s="1371">
        <v>37591</v>
      </c>
      <c r="C925" s="1370" t="s">
        <v>7139</v>
      </c>
      <c r="F925" s="1372">
        <v>-5.8799999999999998E-2</v>
      </c>
      <c r="H925" s="1373">
        <v>4.4999999999999997E-3</v>
      </c>
      <c r="I925" s="1373">
        <f t="shared" si="14"/>
        <v>-6.3299999999999995E-2</v>
      </c>
      <c r="J925" s="1371">
        <v>37591</v>
      </c>
    </row>
    <row r="926" spans="2:10" x14ac:dyDescent="0.45">
      <c r="B926" s="1371">
        <v>37622</v>
      </c>
      <c r="C926" s="1370" t="s">
        <v>7139</v>
      </c>
      <c r="F926" s="1372">
        <v>-2.6200000000000001E-2</v>
      </c>
      <c r="H926" s="1373">
        <v>4.1000000000000003E-3</v>
      </c>
      <c r="I926" s="1373">
        <f t="shared" si="14"/>
        <v>-3.0300000000000001E-2</v>
      </c>
      <c r="J926" s="1371">
        <v>37622</v>
      </c>
    </row>
    <row r="927" spans="2:10" x14ac:dyDescent="0.45">
      <c r="B927" s="1371">
        <v>37653</v>
      </c>
      <c r="C927" s="1370" t="s">
        <v>7139</v>
      </c>
      <c r="F927" s="1372">
        <v>-1.4999999999999999E-2</v>
      </c>
      <c r="H927" s="1373">
        <v>3.8E-3</v>
      </c>
      <c r="I927" s="1373">
        <f t="shared" si="14"/>
        <v>-1.8800000000000001E-2</v>
      </c>
      <c r="J927" s="1371">
        <v>37653</v>
      </c>
    </row>
    <row r="928" spans="2:10" x14ac:dyDescent="0.45">
      <c r="B928" s="1371">
        <v>37681</v>
      </c>
      <c r="C928" s="1370" t="s">
        <v>7139</v>
      </c>
      <c r="F928" s="1372">
        <v>9.7000000000000003E-3</v>
      </c>
      <c r="H928" s="1373">
        <v>4.0000000000000001E-3</v>
      </c>
      <c r="I928" s="1373">
        <f t="shared" si="14"/>
        <v>5.7000000000000002E-3</v>
      </c>
      <c r="J928" s="1371">
        <v>37681</v>
      </c>
    </row>
    <row r="929" spans="2:10" x14ac:dyDescent="0.45">
      <c r="B929" s="1371">
        <v>37712</v>
      </c>
      <c r="C929" s="1370" t="s">
        <v>7139</v>
      </c>
      <c r="F929" s="1372">
        <v>8.2400000000000001E-2</v>
      </c>
      <c r="H929" s="1373">
        <v>4.0000000000000001E-3</v>
      </c>
      <c r="I929" s="1373">
        <f t="shared" si="14"/>
        <v>7.8399999999999997E-2</v>
      </c>
      <c r="J929" s="1371">
        <v>37712</v>
      </c>
    </row>
    <row r="930" spans="2:10" x14ac:dyDescent="0.45">
      <c r="B930" s="1371">
        <v>37742</v>
      </c>
      <c r="C930" s="1370" t="s">
        <v>7139</v>
      </c>
      <c r="F930" s="1372">
        <v>5.2699999999999997E-2</v>
      </c>
      <c r="H930" s="1373">
        <v>3.8999999999999998E-3</v>
      </c>
      <c r="I930" s="1373">
        <f t="shared" si="14"/>
        <v>4.8799999999999996E-2</v>
      </c>
      <c r="J930" s="1371">
        <v>37742</v>
      </c>
    </row>
    <row r="931" spans="2:10" x14ac:dyDescent="0.45">
      <c r="B931" s="1371">
        <v>37773</v>
      </c>
      <c r="C931" s="1370" t="s">
        <v>7139</v>
      </c>
      <c r="F931" s="1372">
        <v>1.2800000000000001E-2</v>
      </c>
      <c r="H931" s="1373">
        <v>3.5999999999999999E-3</v>
      </c>
      <c r="I931" s="1373">
        <f t="shared" si="14"/>
        <v>9.1999999999999998E-3</v>
      </c>
      <c r="J931" s="1371">
        <v>37773</v>
      </c>
    </row>
    <row r="932" spans="2:10" x14ac:dyDescent="0.45">
      <c r="B932" s="1371">
        <v>37803</v>
      </c>
      <c r="C932" s="1370" t="s">
        <v>7139</v>
      </c>
      <c r="F932" s="1372">
        <v>1.7600000000000001E-2</v>
      </c>
      <c r="H932" s="1373">
        <v>3.8E-3</v>
      </c>
      <c r="I932" s="1373">
        <f t="shared" si="14"/>
        <v>1.3800000000000002E-2</v>
      </c>
      <c r="J932" s="1371">
        <v>37803</v>
      </c>
    </row>
    <row r="933" spans="2:10" x14ac:dyDescent="0.45">
      <c r="B933" s="1371">
        <v>37834</v>
      </c>
      <c r="C933" s="1370" t="s">
        <v>7139</v>
      </c>
      <c r="F933" s="1372">
        <v>1.95E-2</v>
      </c>
      <c r="H933" s="1373">
        <v>4.1999999999999997E-3</v>
      </c>
      <c r="I933" s="1373">
        <f t="shared" si="14"/>
        <v>1.5300000000000001E-2</v>
      </c>
      <c r="J933" s="1371">
        <v>37834</v>
      </c>
    </row>
    <row r="934" spans="2:10" x14ac:dyDescent="0.45">
      <c r="B934" s="1371">
        <v>37865</v>
      </c>
      <c r="C934" s="1370" t="s">
        <v>7139</v>
      </c>
      <c r="F934" s="1372">
        <v>-1.06E-2</v>
      </c>
      <c r="H934" s="1373">
        <v>4.5999999999999999E-3</v>
      </c>
      <c r="I934" s="1373">
        <f t="shared" si="14"/>
        <v>-1.52E-2</v>
      </c>
      <c r="J934" s="1371">
        <v>37865</v>
      </c>
    </row>
    <row r="935" spans="2:10" x14ac:dyDescent="0.45">
      <c r="B935" s="1371">
        <v>37895</v>
      </c>
      <c r="C935" s="1370" t="s">
        <v>7139</v>
      </c>
      <c r="F935" s="1372">
        <v>5.6599999999999998E-2</v>
      </c>
      <c r="H935" s="1373">
        <v>4.1000000000000003E-3</v>
      </c>
      <c r="I935" s="1373">
        <f t="shared" si="14"/>
        <v>5.2499999999999998E-2</v>
      </c>
      <c r="J935" s="1371">
        <v>37895</v>
      </c>
    </row>
    <row r="936" spans="2:10" x14ac:dyDescent="0.45">
      <c r="B936" s="1371">
        <v>37926</v>
      </c>
      <c r="C936" s="1370" t="s">
        <v>7139</v>
      </c>
      <c r="F936" s="1372">
        <v>8.8000000000000005E-3</v>
      </c>
      <c r="H936" s="1373">
        <v>3.8999999999999998E-3</v>
      </c>
      <c r="I936" s="1373">
        <f t="shared" si="14"/>
        <v>4.9000000000000007E-3</v>
      </c>
      <c r="J936" s="1371">
        <v>37926</v>
      </c>
    </row>
    <row r="937" spans="2:10" x14ac:dyDescent="0.45">
      <c r="B937" s="1371">
        <v>37956</v>
      </c>
      <c r="C937" s="1370" t="s">
        <v>7139</v>
      </c>
      <c r="F937" s="1372">
        <v>5.2400000000000002E-2</v>
      </c>
      <c r="H937" s="1373">
        <v>4.7000000000000002E-3</v>
      </c>
      <c r="I937" s="1373">
        <f t="shared" si="14"/>
        <v>4.7699999999999999E-2</v>
      </c>
      <c r="J937" s="1371">
        <v>37956</v>
      </c>
    </row>
    <row r="938" spans="2:10" x14ac:dyDescent="0.45">
      <c r="B938" s="1371">
        <v>37987</v>
      </c>
      <c r="C938" s="1370" t="s">
        <v>7139</v>
      </c>
      <c r="F938" s="1372">
        <v>1.84E-2</v>
      </c>
      <c r="H938" s="1373">
        <v>4.1999999999999997E-3</v>
      </c>
      <c r="I938" s="1373">
        <f t="shared" si="14"/>
        <v>1.4200000000000001E-2</v>
      </c>
      <c r="J938" s="1371">
        <v>37987</v>
      </c>
    </row>
    <row r="939" spans="2:10" x14ac:dyDescent="0.45">
      <c r="B939" s="1371">
        <v>38018</v>
      </c>
      <c r="C939" s="1370" t="s">
        <v>7139</v>
      </c>
      <c r="F939" s="1372">
        <v>1.3899999999999999E-2</v>
      </c>
      <c r="H939" s="1373">
        <v>3.8E-3</v>
      </c>
      <c r="I939" s="1373">
        <f t="shared" si="14"/>
        <v>1.01E-2</v>
      </c>
      <c r="J939" s="1371">
        <v>38018</v>
      </c>
    </row>
    <row r="940" spans="2:10" x14ac:dyDescent="0.45">
      <c r="B940" s="1371">
        <v>38047</v>
      </c>
      <c r="C940" s="1370" t="s">
        <v>7139</v>
      </c>
      <c r="F940" s="1372">
        <v>-1.5100000000000001E-2</v>
      </c>
      <c r="H940" s="1373">
        <v>4.3E-3</v>
      </c>
      <c r="I940" s="1373">
        <f t="shared" si="14"/>
        <v>-1.9400000000000001E-2</v>
      </c>
      <c r="J940" s="1371">
        <v>38047</v>
      </c>
    </row>
    <row r="941" spans="2:10" x14ac:dyDescent="0.45">
      <c r="B941" s="1371">
        <v>38078</v>
      </c>
      <c r="C941" s="1370" t="s">
        <v>7139</v>
      </c>
      <c r="F941" s="1372">
        <v>-1.5699999999999999E-2</v>
      </c>
      <c r="H941" s="1373">
        <v>3.8999999999999998E-3</v>
      </c>
      <c r="I941" s="1373">
        <f t="shared" si="14"/>
        <v>-1.9599999999999999E-2</v>
      </c>
      <c r="J941" s="1371">
        <v>38078</v>
      </c>
    </row>
    <row r="942" spans="2:10" x14ac:dyDescent="0.45">
      <c r="B942" s="1371">
        <v>38108</v>
      </c>
      <c r="C942" s="1370" t="s">
        <v>7139</v>
      </c>
      <c r="F942" s="1372">
        <v>1.37E-2</v>
      </c>
      <c r="H942" s="1373">
        <v>4.0000000000000001E-3</v>
      </c>
      <c r="I942" s="1373">
        <f t="shared" si="14"/>
        <v>9.7000000000000003E-3</v>
      </c>
      <c r="J942" s="1371">
        <v>38108</v>
      </c>
    </row>
    <row r="943" spans="2:10" x14ac:dyDescent="0.45">
      <c r="B943" s="1371">
        <v>38139</v>
      </c>
      <c r="C943" s="1370" t="s">
        <v>7139</v>
      </c>
      <c r="F943" s="1372">
        <v>1.9400000000000001E-2</v>
      </c>
      <c r="H943" s="1373">
        <v>4.7999999999999996E-3</v>
      </c>
      <c r="I943" s="1373">
        <f t="shared" si="14"/>
        <v>1.4600000000000002E-2</v>
      </c>
      <c r="J943" s="1371">
        <v>38139</v>
      </c>
    </row>
    <row r="944" spans="2:10" x14ac:dyDescent="0.45">
      <c r="B944" s="1371">
        <v>38169</v>
      </c>
      <c r="C944" s="1370" t="s">
        <v>7139</v>
      </c>
      <c r="F944" s="1372">
        <v>-3.3099999999999997E-2</v>
      </c>
      <c r="H944" s="1373">
        <v>4.3E-3</v>
      </c>
      <c r="I944" s="1373">
        <f t="shared" si="14"/>
        <v>-3.7399999999999996E-2</v>
      </c>
      <c r="J944" s="1371">
        <v>38169</v>
      </c>
    </row>
    <row r="945" spans="2:10" x14ac:dyDescent="0.45">
      <c r="B945" s="1371">
        <v>38200</v>
      </c>
      <c r="C945" s="1370" t="s">
        <v>7139</v>
      </c>
      <c r="F945" s="1372">
        <v>4.0000000000000001E-3</v>
      </c>
      <c r="H945" s="1373">
        <v>4.4999999999999997E-3</v>
      </c>
      <c r="I945" s="1373">
        <f t="shared" si="14"/>
        <v>-4.9999999999999958E-4</v>
      </c>
      <c r="J945" s="1371">
        <v>38200</v>
      </c>
    </row>
    <row r="946" spans="2:10" x14ac:dyDescent="0.45">
      <c r="B946" s="1371">
        <v>38231</v>
      </c>
      <c r="C946" s="1370" t="s">
        <v>7139</v>
      </c>
      <c r="F946" s="1372">
        <v>1.0800000000000001E-2</v>
      </c>
      <c r="H946" s="1373">
        <v>4.0000000000000001E-3</v>
      </c>
      <c r="I946" s="1373">
        <f t="shared" si="14"/>
        <v>6.8000000000000005E-3</v>
      </c>
      <c r="J946" s="1371">
        <v>38231</v>
      </c>
    </row>
    <row r="947" spans="2:10" x14ac:dyDescent="0.45">
      <c r="B947" s="1371">
        <v>38261</v>
      </c>
      <c r="C947" s="1370" t="s">
        <v>7139</v>
      </c>
      <c r="F947" s="1372">
        <v>1.5299999999999999E-2</v>
      </c>
      <c r="H947" s="1373">
        <v>3.8E-3</v>
      </c>
      <c r="I947" s="1373">
        <f t="shared" si="14"/>
        <v>1.15E-2</v>
      </c>
      <c r="J947" s="1371">
        <v>38261</v>
      </c>
    </row>
    <row r="948" spans="2:10" x14ac:dyDescent="0.45">
      <c r="B948" s="1371">
        <v>38292</v>
      </c>
      <c r="C948" s="1370" t="s">
        <v>7139</v>
      </c>
      <c r="F948" s="1372">
        <v>4.0500000000000001E-2</v>
      </c>
      <c r="H948" s="1373">
        <v>4.1000000000000003E-3</v>
      </c>
      <c r="I948" s="1373">
        <f t="shared" si="14"/>
        <v>3.6400000000000002E-2</v>
      </c>
      <c r="J948" s="1371">
        <v>38292</v>
      </c>
    </row>
    <row r="949" spans="2:10" x14ac:dyDescent="0.45">
      <c r="B949" s="1371">
        <v>38322</v>
      </c>
      <c r="C949" s="1370" t="s">
        <v>7139</v>
      </c>
      <c r="F949" s="1372">
        <v>3.4000000000000002E-2</v>
      </c>
      <c r="H949" s="1373">
        <v>4.3E-3</v>
      </c>
      <c r="I949" s="1373">
        <f t="shared" si="14"/>
        <v>2.9700000000000004E-2</v>
      </c>
      <c r="J949" s="1371">
        <v>38322</v>
      </c>
    </row>
    <row r="950" spans="2:10" x14ac:dyDescent="0.45">
      <c r="B950" s="1371">
        <v>38353</v>
      </c>
      <c r="C950" s="1370" t="s">
        <v>7139</v>
      </c>
      <c r="F950" s="1372">
        <v>-2.4400000000000002E-2</v>
      </c>
      <c r="H950" s="1373">
        <v>4.1000000000000003E-3</v>
      </c>
      <c r="I950" s="1373">
        <f t="shared" si="14"/>
        <v>-2.8500000000000001E-2</v>
      </c>
      <c r="J950" s="1371">
        <v>38353</v>
      </c>
    </row>
    <row r="951" spans="2:10" x14ac:dyDescent="0.45">
      <c r="B951" s="1371">
        <v>38384</v>
      </c>
      <c r="C951" s="1370" t="s">
        <v>7139</v>
      </c>
      <c r="F951" s="1372">
        <v>2.1000000000000001E-2</v>
      </c>
      <c r="H951" s="1373">
        <v>3.5000000000000001E-3</v>
      </c>
      <c r="I951" s="1373">
        <f t="shared" si="14"/>
        <v>1.7500000000000002E-2</v>
      </c>
      <c r="J951" s="1371">
        <v>38384</v>
      </c>
    </row>
    <row r="952" spans="2:10" x14ac:dyDescent="0.45">
      <c r="B952" s="1371">
        <v>38412</v>
      </c>
      <c r="C952" s="1370" t="s">
        <v>7139</v>
      </c>
      <c r="F952" s="1372">
        <v>-1.77E-2</v>
      </c>
      <c r="H952" s="1373">
        <v>4.1000000000000003E-3</v>
      </c>
      <c r="I952" s="1373">
        <f t="shared" si="14"/>
        <v>-2.18E-2</v>
      </c>
      <c r="J952" s="1371">
        <v>38412</v>
      </c>
    </row>
    <row r="953" spans="2:10" x14ac:dyDescent="0.45">
      <c r="B953" s="1371">
        <v>38443</v>
      </c>
      <c r="C953" s="1370" t="s">
        <v>7139</v>
      </c>
      <c r="F953" s="1372">
        <v>-1.9E-2</v>
      </c>
      <c r="H953" s="1373">
        <v>3.8999999999999998E-3</v>
      </c>
      <c r="I953" s="1373">
        <f t="shared" si="14"/>
        <v>-2.29E-2</v>
      </c>
      <c r="J953" s="1371">
        <v>38443</v>
      </c>
    </row>
    <row r="954" spans="2:10" x14ac:dyDescent="0.45">
      <c r="B954" s="1371">
        <v>38473</v>
      </c>
      <c r="C954" s="1370" t="s">
        <v>7139</v>
      </c>
      <c r="F954" s="1372">
        <v>3.1800000000000002E-2</v>
      </c>
      <c r="H954" s="1373">
        <v>4.0000000000000001E-3</v>
      </c>
      <c r="I954" s="1373">
        <f t="shared" si="14"/>
        <v>2.7800000000000002E-2</v>
      </c>
      <c r="J954" s="1371">
        <v>38473</v>
      </c>
    </row>
    <row r="955" spans="2:10" x14ac:dyDescent="0.45">
      <c r="B955" s="1371">
        <v>38504</v>
      </c>
      <c r="C955" s="1370" t="s">
        <v>7139</v>
      </c>
      <c r="F955" s="1372">
        <v>1.4E-3</v>
      </c>
      <c r="H955" s="1373">
        <v>3.5999999999999999E-3</v>
      </c>
      <c r="I955" s="1373">
        <f t="shared" si="14"/>
        <v>-2.1999999999999997E-3</v>
      </c>
      <c r="J955" s="1371">
        <v>38504</v>
      </c>
    </row>
    <row r="956" spans="2:10" x14ac:dyDescent="0.45">
      <c r="B956" s="1371">
        <v>38534</v>
      </c>
      <c r="C956" s="1370" t="s">
        <v>7139</v>
      </c>
      <c r="F956" s="1372">
        <v>3.7199999999999997E-2</v>
      </c>
      <c r="H956" s="1373">
        <v>3.3999999999999998E-3</v>
      </c>
      <c r="I956" s="1373">
        <f t="shared" si="14"/>
        <v>3.3799999999999997E-2</v>
      </c>
      <c r="J956" s="1371">
        <v>38534</v>
      </c>
    </row>
    <row r="957" spans="2:10" x14ac:dyDescent="0.45">
      <c r="B957" s="1371">
        <v>38565</v>
      </c>
      <c r="C957" s="1370" t="s">
        <v>7139</v>
      </c>
      <c r="F957" s="1372">
        <v>-9.1000000000000004E-3</v>
      </c>
      <c r="H957" s="1373">
        <v>4.0000000000000001E-3</v>
      </c>
      <c r="I957" s="1373">
        <f t="shared" si="14"/>
        <v>-1.3100000000000001E-2</v>
      </c>
      <c r="J957" s="1371">
        <v>38565</v>
      </c>
    </row>
    <row r="958" spans="2:10" x14ac:dyDescent="0.45">
      <c r="B958" s="1371">
        <v>38596</v>
      </c>
      <c r="C958" s="1370" t="s">
        <v>7139</v>
      </c>
      <c r="F958" s="1372">
        <v>8.0999999999999996E-3</v>
      </c>
      <c r="H958" s="1373">
        <v>3.5000000000000001E-3</v>
      </c>
      <c r="I958" s="1373">
        <f t="shared" si="14"/>
        <v>4.5999999999999999E-3</v>
      </c>
      <c r="J958" s="1371">
        <v>38596</v>
      </c>
    </row>
    <row r="959" spans="2:10" x14ac:dyDescent="0.45">
      <c r="B959" s="1371">
        <v>38626</v>
      </c>
      <c r="C959" s="1370" t="s">
        <v>7139</v>
      </c>
      <c r="F959" s="1372">
        <v>-1.67E-2</v>
      </c>
      <c r="H959" s="1373">
        <v>3.8999999999999998E-3</v>
      </c>
      <c r="I959" s="1373">
        <f t="shared" si="14"/>
        <v>-2.06E-2</v>
      </c>
      <c r="J959" s="1371">
        <v>38626</v>
      </c>
    </row>
    <row r="960" spans="2:10" x14ac:dyDescent="0.45">
      <c r="B960" s="1371">
        <v>38657</v>
      </c>
      <c r="C960" s="1370" t="s">
        <v>7139</v>
      </c>
      <c r="F960" s="1372">
        <v>3.78E-2</v>
      </c>
      <c r="H960" s="1373">
        <v>3.8999999999999998E-3</v>
      </c>
      <c r="I960" s="1373">
        <f t="shared" si="14"/>
        <v>3.39E-2</v>
      </c>
      <c r="J960" s="1371">
        <v>38657</v>
      </c>
    </row>
    <row r="961" spans="2:10" x14ac:dyDescent="0.45">
      <c r="B961" s="1371">
        <v>38687</v>
      </c>
      <c r="C961" s="1370" t="s">
        <v>7139</v>
      </c>
      <c r="F961" s="1372">
        <v>2.9999999999999997E-4</v>
      </c>
      <c r="H961" s="1373">
        <v>3.8999999999999998E-3</v>
      </c>
      <c r="I961" s="1373">
        <f t="shared" si="14"/>
        <v>-3.5999999999999999E-3</v>
      </c>
      <c r="J961" s="1371">
        <v>38687</v>
      </c>
    </row>
    <row r="962" spans="2:10" x14ac:dyDescent="0.45">
      <c r="B962" s="1371">
        <v>38718</v>
      </c>
      <c r="C962" s="1370" t="s">
        <v>7139</v>
      </c>
      <c r="F962" s="1372">
        <v>2.6499999999999999E-2</v>
      </c>
      <c r="H962" s="1373">
        <v>4.0000000000000001E-3</v>
      </c>
      <c r="I962" s="1373">
        <f t="shared" ref="I962:I1025" si="15">F962-H962</f>
        <v>2.2499999999999999E-2</v>
      </c>
      <c r="J962" s="1371">
        <v>38718</v>
      </c>
    </row>
    <row r="963" spans="2:10" x14ac:dyDescent="0.45">
      <c r="B963" s="1371">
        <v>38749</v>
      </c>
      <c r="C963" s="1370" t="s">
        <v>7139</v>
      </c>
      <c r="F963" s="1372">
        <v>2.7000000000000001E-3</v>
      </c>
      <c r="H963" s="1373">
        <v>3.5999999999999999E-3</v>
      </c>
      <c r="I963" s="1373">
        <f t="shared" si="15"/>
        <v>-8.9999999999999976E-4</v>
      </c>
      <c r="J963" s="1371">
        <v>38749</v>
      </c>
    </row>
    <row r="964" spans="2:10" x14ac:dyDescent="0.45">
      <c r="B964" s="1371">
        <v>38777</v>
      </c>
      <c r="C964" s="1370" t="s">
        <v>7139</v>
      </c>
      <c r="F964" s="1372">
        <v>1.24E-2</v>
      </c>
      <c r="H964" s="1373">
        <v>3.8999999999999998E-3</v>
      </c>
      <c r="I964" s="1373">
        <f t="shared" si="15"/>
        <v>8.5000000000000006E-3</v>
      </c>
      <c r="J964" s="1371">
        <v>38777</v>
      </c>
    </row>
    <row r="965" spans="2:10" x14ac:dyDescent="0.45">
      <c r="B965" s="1371">
        <v>38808</v>
      </c>
      <c r="C965" s="1370" t="s">
        <v>7139</v>
      </c>
      <c r="F965" s="1372">
        <v>1.34E-2</v>
      </c>
      <c r="H965" s="1373">
        <v>3.8999999999999998E-3</v>
      </c>
      <c r="I965" s="1373">
        <f t="shared" si="15"/>
        <v>9.5000000000000015E-3</v>
      </c>
      <c r="J965" s="1371">
        <v>38808</v>
      </c>
    </row>
    <row r="966" spans="2:10" x14ac:dyDescent="0.45">
      <c r="B966" s="1371">
        <v>38838</v>
      </c>
      <c r="C966" s="1370" t="s">
        <v>7139</v>
      </c>
      <c r="F966" s="1372">
        <v>-2.8799999999999999E-2</v>
      </c>
      <c r="H966" s="1373">
        <v>4.7999999999999996E-3</v>
      </c>
      <c r="I966" s="1373">
        <f t="shared" si="15"/>
        <v>-3.3599999999999998E-2</v>
      </c>
      <c r="J966" s="1371">
        <v>38838</v>
      </c>
    </row>
    <row r="967" spans="2:10" x14ac:dyDescent="0.45">
      <c r="B967" s="1371">
        <v>38869</v>
      </c>
      <c r="C967" s="1370" t="s">
        <v>7139</v>
      </c>
      <c r="F967" s="1372">
        <v>1.4E-3</v>
      </c>
      <c r="H967" s="1373">
        <v>4.4000000000000003E-3</v>
      </c>
      <c r="I967" s="1373">
        <f t="shared" si="15"/>
        <v>-3.0000000000000001E-3</v>
      </c>
      <c r="J967" s="1371">
        <v>38869</v>
      </c>
    </row>
    <row r="968" spans="2:10" x14ac:dyDescent="0.45">
      <c r="B968" s="1371">
        <v>38899</v>
      </c>
      <c r="C968" s="1370" t="s">
        <v>7139</v>
      </c>
      <c r="F968" s="1372">
        <v>6.1999999999999998E-3</v>
      </c>
      <c r="H968" s="1373">
        <v>4.4999999999999997E-3</v>
      </c>
      <c r="I968" s="1373">
        <f t="shared" si="15"/>
        <v>1.7000000000000001E-3</v>
      </c>
      <c r="J968" s="1371">
        <v>38899</v>
      </c>
    </row>
    <row r="969" spans="2:10" x14ac:dyDescent="0.45">
      <c r="B969" s="1371">
        <v>38930</v>
      </c>
      <c r="C969" s="1370" t="s">
        <v>7139</v>
      </c>
      <c r="F969" s="1372">
        <v>2.3800000000000002E-2</v>
      </c>
      <c r="H969" s="1373">
        <v>4.3E-3</v>
      </c>
      <c r="I969" s="1373">
        <f t="shared" si="15"/>
        <v>1.9500000000000003E-2</v>
      </c>
      <c r="J969" s="1371">
        <v>38930</v>
      </c>
    </row>
    <row r="970" spans="2:10" x14ac:dyDescent="0.45">
      <c r="B970" s="1371">
        <v>38961</v>
      </c>
      <c r="C970" s="1370" t="s">
        <v>7139</v>
      </c>
      <c r="F970" s="1372">
        <v>2.58E-2</v>
      </c>
      <c r="H970" s="1373">
        <v>3.8999999999999998E-3</v>
      </c>
      <c r="I970" s="1373">
        <f t="shared" si="15"/>
        <v>2.1899999999999999E-2</v>
      </c>
      <c r="J970" s="1371">
        <v>38961</v>
      </c>
    </row>
    <row r="971" spans="2:10" x14ac:dyDescent="0.45">
      <c r="B971" s="1371">
        <v>38991</v>
      </c>
      <c r="C971" s="1370" t="s">
        <v>7139</v>
      </c>
      <c r="F971" s="1372">
        <v>3.2599999999999997E-2</v>
      </c>
      <c r="H971" s="1373">
        <v>4.1999999999999997E-3</v>
      </c>
      <c r="I971" s="1373">
        <f t="shared" si="15"/>
        <v>2.8399999999999998E-2</v>
      </c>
      <c r="J971" s="1371">
        <v>38991</v>
      </c>
    </row>
    <row r="972" spans="2:10" x14ac:dyDescent="0.45">
      <c r="B972" s="1371">
        <v>39022</v>
      </c>
      <c r="C972" s="1370" t="s">
        <v>7139</v>
      </c>
      <c r="F972" s="1372">
        <v>1.9E-2</v>
      </c>
      <c r="H972" s="1373">
        <v>3.8999999999999998E-3</v>
      </c>
      <c r="I972" s="1373">
        <f t="shared" si="15"/>
        <v>1.5099999999999999E-2</v>
      </c>
      <c r="J972" s="1371">
        <v>39022</v>
      </c>
    </row>
    <row r="973" spans="2:10" x14ac:dyDescent="0.45">
      <c r="B973" s="1371">
        <v>39052</v>
      </c>
      <c r="C973" s="1370" t="s">
        <v>7139</v>
      </c>
      <c r="F973" s="1372">
        <v>1.4E-2</v>
      </c>
      <c r="H973" s="1373">
        <v>3.5999999999999999E-3</v>
      </c>
      <c r="I973" s="1373">
        <f t="shared" si="15"/>
        <v>1.04E-2</v>
      </c>
      <c r="J973" s="1371">
        <v>39052</v>
      </c>
    </row>
    <row r="974" spans="2:10" x14ac:dyDescent="0.45">
      <c r="B974" s="1371">
        <v>39083</v>
      </c>
      <c r="C974" s="1370" t="s">
        <v>7139</v>
      </c>
      <c r="F974" s="1372">
        <v>1.5100000000000001E-2</v>
      </c>
      <c r="H974" s="1373">
        <v>4.3E-3</v>
      </c>
      <c r="I974" s="1373">
        <f t="shared" si="15"/>
        <v>1.0800000000000001E-2</v>
      </c>
      <c r="J974" s="1371">
        <v>39083</v>
      </c>
    </row>
    <row r="975" spans="2:10" x14ac:dyDescent="0.45">
      <c r="B975" s="1371">
        <v>39114</v>
      </c>
      <c r="C975" s="1370" t="s">
        <v>7139</v>
      </c>
      <c r="F975" s="1372">
        <v>-1.9599999999999999E-2</v>
      </c>
      <c r="H975" s="1373">
        <v>3.8E-3</v>
      </c>
      <c r="I975" s="1373">
        <f t="shared" si="15"/>
        <v>-2.3400000000000001E-2</v>
      </c>
      <c r="J975" s="1371">
        <v>39114</v>
      </c>
    </row>
    <row r="976" spans="2:10" x14ac:dyDescent="0.45">
      <c r="B976" s="1371">
        <v>39142</v>
      </c>
      <c r="C976" s="1370" t="s">
        <v>7139</v>
      </c>
      <c r="F976" s="1372">
        <v>1.12E-2</v>
      </c>
      <c r="H976" s="1373">
        <v>3.8999999999999998E-3</v>
      </c>
      <c r="I976" s="1373">
        <f t="shared" si="15"/>
        <v>7.3000000000000001E-3</v>
      </c>
      <c r="J976" s="1371">
        <v>39142</v>
      </c>
    </row>
    <row r="977" spans="2:10" x14ac:dyDescent="0.45">
      <c r="B977" s="1371">
        <v>39173</v>
      </c>
      <c r="C977" s="1370" t="s">
        <v>7139</v>
      </c>
      <c r="F977" s="1372">
        <v>4.4299999999999999E-2</v>
      </c>
      <c r="H977" s="1373">
        <v>4.1999999999999997E-3</v>
      </c>
      <c r="I977" s="1373">
        <f t="shared" si="15"/>
        <v>4.0099999999999997E-2</v>
      </c>
      <c r="J977" s="1371">
        <v>39173</v>
      </c>
    </row>
    <row r="978" spans="2:10" x14ac:dyDescent="0.45">
      <c r="B978" s="1371">
        <v>39203</v>
      </c>
      <c r="C978" s="1370" t="s">
        <v>7139</v>
      </c>
      <c r="F978" s="1372">
        <v>3.49E-2</v>
      </c>
      <c r="H978" s="1373">
        <v>4.1000000000000003E-3</v>
      </c>
      <c r="I978" s="1373">
        <f t="shared" si="15"/>
        <v>3.0800000000000001E-2</v>
      </c>
      <c r="J978" s="1371">
        <v>39203</v>
      </c>
    </row>
    <row r="979" spans="2:10" x14ac:dyDescent="0.45">
      <c r="B979" s="1371">
        <v>39234</v>
      </c>
      <c r="C979" s="1370" t="s">
        <v>7139</v>
      </c>
      <c r="F979" s="1372">
        <v>-1.66E-2</v>
      </c>
      <c r="H979" s="1373">
        <v>4.0000000000000001E-3</v>
      </c>
      <c r="I979" s="1373">
        <f t="shared" si="15"/>
        <v>-2.06E-2</v>
      </c>
      <c r="J979" s="1371">
        <v>39234</v>
      </c>
    </row>
    <row r="980" spans="2:10" x14ac:dyDescent="0.45">
      <c r="B980" s="1371">
        <v>39264</v>
      </c>
      <c r="C980" s="1370" t="s">
        <v>7139</v>
      </c>
      <c r="F980" s="1372">
        <v>-3.1E-2</v>
      </c>
      <c r="H980" s="1373">
        <v>4.5999999999999999E-3</v>
      </c>
      <c r="I980" s="1373">
        <f t="shared" si="15"/>
        <v>-3.56E-2</v>
      </c>
      <c r="J980" s="1371">
        <v>39264</v>
      </c>
    </row>
    <row r="981" spans="2:10" x14ac:dyDescent="0.45">
      <c r="B981" s="1371">
        <v>39295</v>
      </c>
      <c r="C981" s="1370" t="s">
        <v>7139</v>
      </c>
      <c r="F981" s="1372">
        <v>1.4999999999999999E-2</v>
      </c>
      <c r="H981" s="1373">
        <v>4.1999999999999997E-3</v>
      </c>
      <c r="I981" s="1373">
        <f t="shared" si="15"/>
        <v>1.0800000000000001E-2</v>
      </c>
      <c r="J981" s="1371">
        <v>39295</v>
      </c>
    </row>
    <row r="982" spans="2:10" x14ac:dyDescent="0.45">
      <c r="B982" s="1371">
        <v>39326</v>
      </c>
      <c r="C982" s="1370" t="s">
        <v>7139</v>
      </c>
      <c r="F982" s="1372">
        <v>3.7499999999999999E-2</v>
      </c>
      <c r="H982" s="1373">
        <v>3.7000000000000002E-3</v>
      </c>
      <c r="I982" s="1373">
        <f t="shared" si="15"/>
        <v>3.3799999999999997E-2</v>
      </c>
      <c r="J982" s="1371">
        <v>39326</v>
      </c>
    </row>
    <row r="983" spans="2:10" x14ac:dyDescent="0.45">
      <c r="B983" s="1371">
        <v>39356</v>
      </c>
      <c r="C983" s="1370" t="s">
        <v>7139</v>
      </c>
      <c r="F983" s="1372">
        <v>1.5900000000000001E-2</v>
      </c>
      <c r="H983" s="1373">
        <v>4.3E-3</v>
      </c>
      <c r="I983" s="1373">
        <f t="shared" si="15"/>
        <v>1.1600000000000001E-2</v>
      </c>
      <c r="J983" s="1371">
        <v>39356</v>
      </c>
    </row>
    <row r="984" spans="2:10" x14ac:dyDescent="0.45">
      <c r="B984" s="1371">
        <v>39387</v>
      </c>
      <c r="C984" s="1370" t="s">
        <v>7139</v>
      </c>
      <c r="F984" s="1372">
        <v>-4.1799999999999997E-2</v>
      </c>
      <c r="H984" s="1373">
        <v>3.8999999999999998E-3</v>
      </c>
      <c r="I984" s="1373">
        <f t="shared" si="15"/>
        <v>-4.5699999999999998E-2</v>
      </c>
      <c r="J984" s="1371">
        <v>39387</v>
      </c>
    </row>
    <row r="985" spans="2:10" x14ac:dyDescent="0.45">
      <c r="B985" s="1371">
        <v>39417</v>
      </c>
      <c r="C985" s="1370" t="s">
        <v>7139</v>
      </c>
      <c r="F985" s="1372">
        <v>-6.8999999999999999E-3</v>
      </c>
      <c r="H985" s="1373">
        <v>3.7000000000000002E-3</v>
      </c>
      <c r="I985" s="1373">
        <f t="shared" si="15"/>
        <v>-1.06E-2</v>
      </c>
      <c r="J985" s="1371">
        <v>39417</v>
      </c>
    </row>
    <row r="986" spans="2:10" x14ac:dyDescent="0.45">
      <c r="B986" s="1371">
        <v>39448</v>
      </c>
      <c r="C986" s="1370" t="s">
        <v>7139</v>
      </c>
      <c r="F986" s="1372">
        <v>-0.06</v>
      </c>
      <c r="H986" s="1373">
        <v>4.0000000000000001E-3</v>
      </c>
      <c r="I986" s="1373">
        <f t="shared" si="15"/>
        <v>-6.4000000000000001E-2</v>
      </c>
      <c r="J986" s="1371">
        <v>39448</v>
      </c>
    </row>
    <row r="987" spans="2:10" x14ac:dyDescent="0.45">
      <c r="B987" s="1371">
        <v>39479</v>
      </c>
      <c r="C987" s="1370" t="s">
        <v>7139</v>
      </c>
      <c r="F987" s="1372">
        <v>-3.5200000000000002E-2</v>
      </c>
      <c r="H987" s="1373">
        <v>3.3999999999999998E-3</v>
      </c>
      <c r="I987" s="1373">
        <f t="shared" si="15"/>
        <v>-3.8600000000000002E-2</v>
      </c>
      <c r="J987" s="1371">
        <v>39479</v>
      </c>
    </row>
    <row r="988" spans="2:10" x14ac:dyDescent="0.45">
      <c r="B988" s="1371">
        <v>39508</v>
      </c>
      <c r="C988" s="1370" t="s">
        <v>7139</v>
      </c>
      <c r="F988" s="1372">
        <v>-4.3E-3</v>
      </c>
      <c r="H988" s="1373">
        <v>3.7000000000000002E-3</v>
      </c>
      <c r="I988" s="1373">
        <f t="shared" si="15"/>
        <v>-8.0000000000000002E-3</v>
      </c>
      <c r="J988" s="1371">
        <v>39508</v>
      </c>
    </row>
    <row r="989" spans="2:10" x14ac:dyDescent="0.45">
      <c r="B989" s="1371">
        <v>39539</v>
      </c>
      <c r="C989" s="1370" t="s">
        <v>7139</v>
      </c>
      <c r="F989" s="1372">
        <v>4.87E-2</v>
      </c>
      <c r="H989" s="1373">
        <v>3.5000000000000001E-3</v>
      </c>
      <c r="I989" s="1373">
        <f t="shared" si="15"/>
        <v>4.5199999999999997E-2</v>
      </c>
      <c r="J989" s="1371">
        <v>39539</v>
      </c>
    </row>
    <row r="990" spans="2:10" x14ac:dyDescent="0.45">
      <c r="B990" s="1371">
        <v>39569</v>
      </c>
      <c r="C990" s="1370" t="s">
        <v>7139</v>
      </c>
      <c r="F990" s="1372">
        <v>1.2999999999999999E-2</v>
      </c>
      <c r="H990" s="1373">
        <v>3.7000000000000002E-3</v>
      </c>
      <c r="I990" s="1373">
        <f t="shared" si="15"/>
        <v>9.2999999999999992E-3</v>
      </c>
      <c r="J990" s="1371">
        <v>39569</v>
      </c>
    </row>
    <row r="991" spans="2:10" x14ac:dyDescent="0.45">
      <c r="B991" s="1371">
        <v>39600</v>
      </c>
      <c r="C991" s="1370" t="s">
        <v>7139</v>
      </c>
      <c r="F991" s="1372">
        <v>-8.43E-2</v>
      </c>
      <c r="H991" s="1373">
        <v>4.0000000000000001E-3</v>
      </c>
      <c r="I991" s="1373">
        <f t="shared" si="15"/>
        <v>-8.8300000000000003E-2</v>
      </c>
      <c r="J991" s="1371">
        <v>39600</v>
      </c>
    </row>
    <row r="992" spans="2:10" x14ac:dyDescent="0.45">
      <c r="B992" s="1371">
        <v>39630</v>
      </c>
      <c r="C992" s="1370" t="s">
        <v>7139</v>
      </c>
      <c r="F992" s="1372">
        <v>-8.3999999999999995E-3</v>
      </c>
      <c r="H992" s="1373">
        <v>3.8999999999999998E-3</v>
      </c>
      <c r="I992" s="1373">
        <f t="shared" si="15"/>
        <v>-1.2299999999999998E-2</v>
      </c>
      <c r="J992" s="1371">
        <v>39630</v>
      </c>
    </row>
    <row r="993" spans="2:10" x14ac:dyDescent="0.45">
      <c r="B993" s="1371">
        <v>39661</v>
      </c>
      <c r="C993" s="1370" t="s">
        <v>7139</v>
      </c>
      <c r="F993" s="1372">
        <v>1.4500000000000001E-2</v>
      </c>
      <c r="H993" s="1373">
        <v>3.5999999999999999E-3</v>
      </c>
      <c r="I993" s="1373">
        <f t="shared" si="15"/>
        <v>1.09E-2</v>
      </c>
      <c r="J993" s="1371">
        <v>39661</v>
      </c>
    </row>
    <row r="994" spans="2:10" x14ac:dyDescent="0.45">
      <c r="B994" s="1371">
        <v>39692</v>
      </c>
      <c r="C994" s="1370" t="s">
        <v>7139</v>
      </c>
      <c r="F994" s="1372">
        <v>-8.9099999999999999E-2</v>
      </c>
      <c r="H994" s="1373">
        <v>3.8999999999999998E-3</v>
      </c>
      <c r="I994" s="1373">
        <f t="shared" si="15"/>
        <v>-9.2999999999999999E-2</v>
      </c>
      <c r="J994" s="1371">
        <v>39692</v>
      </c>
    </row>
    <row r="995" spans="2:10" x14ac:dyDescent="0.45">
      <c r="B995" s="1371">
        <v>39722</v>
      </c>
      <c r="C995" s="1370" t="s">
        <v>7139</v>
      </c>
      <c r="F995" s="1372">
        <v>-0.16789999999999999</v>
      </c>
      <c r="H995" s="1373">
        <v>3.7000000000000002E-3</v>
      </c>
      <c r="I995" s="1373">
        <f t="shared" si="15"/>
        <v>-0.1716</v>
      </c>
      <c r="J995" s="1371">
        <v>39722</v>
      </c>
    </row>
    <row r="996" spans="2:10" x14ac:dyDescent="0.45">
      <c r="B996" s="1371">
        <v>39753</v>
      </c>
      <c r="C996" s="1370" t="s">
        <v>7139</v>
      </c>
      <c r="F996" s="1372">
        <v>-7.1800000000000003E-2</v>
      </c>
      <c r="H996" s="1373">
        <v>3.5999999999999999E-3</v>
      </c>
      <c r="I996" s="1373">
        <f t="shared" si="15"/>
        <v>-7.5400000000000009E-2</v>
      </c>
      <c r="J996" s="1371">
        <v>39753</v>
      </c>
    </row>
    <row r="997" spans="2:10" x14ac:dyDescent="0.45">
      <c r="B997" s="1371">
        <v>39783</v>
      </c>
      <c r="C997" s="1370" t="s">
        <v>7139</v>
      </c>
      <c r="F997" s="1372">
        <v>1.06E-2</v>
      </c>
      <c r="H997" s="1373">
        <v>3.3E-3</v>
      </c>
      <c r="I997" s="1373">
        <f t="shared" si="15"/>
        <v>7.3000000000000001E-3</v>
      </c>
      <c r="J997" s="1371">
        <v>39783</v>
      </c>
    </row>
    <row r="998" spans="2:10" x14ac:dyDescent="0.45">
      <c r="B998" s="1371">
        <v>39814</v>
      </c>
      <c r="C998" s="1370" t="s">
        <v>7139</v>
      </c>
      <c r="F998" s="1372">
        <v>-8.43E-2</v>
      </c>
      <c r="H998" s="1373">
        <v>2.3999999999999998E-3</v>
      </c>
      <c r="I998" s="1373">
        <f t="shared" si="15"/>
        <v>-8.6699999999999999E-2</v>
      </c>
      <c r="J998" s="1371">
        <v>39814</v>
      </c>
    </row>
    <row r="999" spans="2:10" x14ac:dyDescent="0.45">
      <c r="B999" s="1371">
        <v>39845</v>
      </c>
      <c r="C999" s="1370" t="s">
        <v>7139</v>
      </c>
      <c r="F999" s="1372">
        <v>-0.1065</v>
      </c>
      <c r="H999" s="1373">
        <v>3.0000000000000001E-3</v>
      </c>
      <c r="I999" s="1373">
        <f t="shared" si="15"/>
        <v>-0.1095</v>
      </c>
      <c r="J999" s="1371">
        <v>39845</v>
      </c>
    </row>
    <row r="1000" spans="2:10" x14ac:dyDescent="0.45">
      <c r="B1000" s="1371">
        <v>39873</v>
      </c>
      <c r="C1000" s="1370" t="s">
        <v>7139</v>
      </c>
      <c r="F1000" s="1372">
        <v>8.7599999999999997E-2</v>
      </c>
      <c r="H1000" s="1373">
        <v>3.5000000000000001E-3</v>
      </c>
      <c r="I1000" s="1373">
        <f t="shared" si="15"/>
        <v>8.4099999999999994E-2</v>
      </c>
      <c r="J1000" s="1371">
        <v>39873</v>
      </c>
    </row>
    <row r="1001" spans="2:10" x14ac:dyDescent="0.45">
      <c r="B1001" s="1371">
        <v>39904</v>
      </c>
      <c r="C1001" s="1370" t="s">
        <v>7139</v>
      </c>
      <c r="F1001" s="1372">
        <v>9.5699999999999993E-2</v>
      </c>
      <c r="H1001" s="1373">
        <v>2.8999999999999998E-3</v>
      </c>
      <c r="I1001" s="1373">
        <f t="shared" si="15"/>
        <v>9.2799999999999994E-2</v>
      </c>
      <c r="J1001" s="1371">
        <v>39904</v>
      </c>
    </row>
    <row r="1002" spans="2:10" x14ac:dyDescent="0.45">
      <c r="B1002" s="1371">
        <v>39934</v>
      </c>
      <c r="C1002" s="1370" t="s">
        <v>7139</v>
      </c>
      <c r="F1002" s="1372">
        <v>5.5899999999999998E-2</v>
      </c>
      <c r="H1002" s="1373">
        <v>3.3E-3</v>
      </c>
      <c r="I1002" s="1373">
        <f t="shared" si="15"/>
        <v>5.2600000000000001E-2</v>
      </c>
      <c r="J1002" s="1371">
        <v>39934</v>
      </c>
    </row>
    <row r="1003" spans="2:10" x14ac:dyDescent="0.45">
      <c r="B1003" s="1371">
        <v>39965</v>
      </c>
      <c r="C1003" s="1370" t="s">
        <v>7139</v>
      </c>
      <c r="F1003" s="1372">
        <v>2E-3</v>
      </c>
      <c r="H1003" s="1373">
        <v>3.8E-3</v>
      </c>
      <c r="I1003" s="1373">
        <f t="shared" si="15"/>
        <v>-1.8E-3</v>
      </c>
      <c r="J1003" s="1371">
        <v>39965</v>
      </c>
    </row>
    <row r="1004" spans="2:10" x14ac:dyDescent="0.45">
      <c r="B1004" s="1371">
        <v>39995</v>
      </c>
      <c r="C1004" s="1370" t="s">
        <v>7139</v>
      </c>
      <c r="F1004" s="1372">
        <v>7.5600000000000001E-2</v>
      </c>
      <c r="H1004" s="1373">
        <v>3.5999999999999999E-3</v>
      </c>
      <c r="I1004" s="1373">
        <f t="shared" si="15"/>
        <v>7.1999999999999995E-2</v>
      </c>
      <c r="J1004" s="1371">
        <v>39995</v>
      </c>
    </row>
    <row r="1005" spans="2:10" x14ac:dyDescent="0.45">
      <c r="B1005" s="1371">
        <v>40026</v>
      </c>
      <c r="C1005" s="1370" t="s">
        <v>7139</v>
      </c>
      <c r="F1005" s="1372">
        <v>3.61E-2</v>
      </c>
      <c r="H1005" s="1373">
        <v>3.5999999999999999E-3</v>
      </c>
      <c r="I1005" s="1373">
        <f t="shared" si="15"/>
        <v>3.2500000000000001E-2</v>
      </c>
      <c r="J1005" s="1371">
        <v>40026</v>
      </c>
    </row>
    <row r="1006" spans="2:10" x14ac:dyDescent="0.45">
      <c r="B1006" s="1371">
        <v>40057</v>
      </c>
      <c r="C1006" s="1370" t="s">
        <v>7139</v>
      </c>
      <c r="F1006" s="1372">
        <v>3.73E-2</v>
      </c>
      <c r="H1006" s="1373">
        <v>3.3999999999999998E-3</v>
      </c>
      <c r="I1006" s="1373">
        <f t="shared" si="15"/>
        <v>3.39E-2</v>
      </c>
      <c r="J1006" s="1371">
        <v>40057</v>
      </c>
    </row>
    <row r="1007" spans="2:10" x14ac:dyDescent="0.45">
      <c r="B1007" s="1371">
        <v>40087</v>
      </c>
      <c r="C1007" s="1370" t="s">
        <v>7139</v>
      </c>
      <c r="F1007" s="1372">
        <v>-1.8599999999999998E-2</v>
      </c>
      <c r="H1007" s="1373">
        <v>3.3E-3</v>
      </c>
      <c r="I1007" s="1373">
        <f t="shared" si="15"/>
        <v>-2.1899999999999999E-2</v>
      </c>
      <c r="J1007" s="1371">
        <v>40087</v>
      </c>
    </row>
    <row r="1008" spans="2:10" x14ac:dyDescent="0.45">
      <c r="B1008" s="1371">
        <v>40118</v>
      </c>
      <c r="C1008" s="1370" t="s">
        <v>7139</v>
      </c>
      <c r="F1008" s="1372">
        <v>0.06</v>
      </c>
      <c r="H1008" s="1373">
        <v>3.5000000000000001E-3</v>
      </c>
      <c r="I1008" s="1373">
        <f t="shared" si="15"/>
        <v>5.6499999999999995E-2</v>
      </c>
      <c r="J1008" s="1371">
        <v>40118</v>
      </c>
    </row>
    <row r="1009" spans="2:10" x14ac:dyDescent="0.45">
      <c r="B1009" s="1371">
        <v>40148</v>
      </c>
      <c r="C1009" s="1370" t="s">
        <v>7139</v>
      </c>
      <c r="F1009" s="1372">
        <v>1.9300000000000001E-2</v>
      </c>
      <c r="H1009" s="1373">
        <v>3.3999999999999998E-3</v>
      </c>
      <c r="I1009" s="1373">
        <f t="shared" si="15"/>
        <v>1.5900000000000001E-2</v>
      </c>
      <c r="J1009" s="1371">
        <v>40148</v>
      </c>
    </row>
    <row r="1010" spans="2:10" x14ac:dyDescent="0.45">
      <c r="B1010" s="1371">
        <v>40179</v>
      </c>
      <c r="C1010" s="1370" t="s">
        <v>7139</v>
      </c>
      <c r="F1010" s="1372">
        <v>-3.5999999999999997E-2</v>
      </c>
      <c r="H1010" s="1373">
        <v>3.5999999999999999E-3</v>
      </c>
      <c r="I1010" s="1373">
        <f t="shared" si="15"/>
        <v>-3.9599999999999996E-2</v>
      </c>
      <c r="J1010" s="1371">
        <v>40179</v>
      </c>
    </row>
    <row r="1011" spans="2:10" x14ac:dyDescent="0.45">
      <c r="B1011" s="1371">
        <v>40210</v>
      </c>
      <c r="C1011" s="1370" t="s">
        <v>7139</v>
      </c>
      <c r="F1011" s="1372">
        <v>3.1E-2</v>
      </c>
      <c r="H1011" s="1373">
        <v>3.3E-3</v>
      </c>
      <c r="I1011" s="1373">
        <f t="shared" si="15"/>
        <v>2.7699999999999999E-2</v>
      </c>
      <c r="J1011" s="1371">
        <v>40210</v>
      </c>
    </row>
    <row r="1012" spans="2:10" x14ac:dyDescent="0.45">
      <c r="B1012" s="1371">
        <v>40238</v>
      </c>
      <c r="C1012" s="1370" t="s">
        <v>7139</v>
      </c>
      <c r="F1012" s="1372">
        <v>6.0299999999999999E-2</v>
      </c>
      <c r="H1012" s="1373">
        <v>4.0000000000000001E-3</v>
      </c>
      <c r="I1012" s="1373">
        <f t="shared" si="15"/>
        <v>5.6300000000000003E-2</v>
      </c>
      <c r="J1012" s="1371">
        <v>40238</v>
      </c>
    </row>
    <row r="1013" spans="2:10" x14ac:dyDescent="0.45">
      <c r="B1013" s="1371">
        <v>40269</v>
      </c>
      <c r="C1013" s="1370" t="s">
        <v>7139</v>
      </c>
      <c r="F1013" s="1372">
        <v>1.5800000000000002E-2</v>
      </c>
      <c r="H1013" s="1373">
        <v>3.8E-3</v>
      </c>
      <c r="I1013" s="1373">
        <f t="shared" si="15"/>
        <v>1.2000000000000002E-2</v>
      </c>
      <c r="J1013" s="1371">
        <v>40269</v>
      </c>
    </row>
    <row r="1014" spans="2:10" x14ac:dyDescent="0.45">
      <c r="B1014" s="1371">
        <v>40299</v>
      </c>
      <c r="C1014" s="1370" t="s">
        <v>7139</v>
      </c>
      <c r="F1014" s="1372">
        <v>-7.9899999999999999E-2</v>
      </c>
      <c r="H1014" s="1373">
        <v>3.3999999999999998E-3</v>
      </c>
      <c r="I1014" s="1373">
        <f t="shared" si="15"/>
        <v>-8.3299999999999999E-2</v>
      </c>
      <c r="J1014" s="1371">
        <v>40299</v>
      </c>
    </row>
    <row r="1015" spans="2:10" x14ac:dyDescent="0.45">
      <c r="B1015" s="1371">
        <v>40330</v>
      </c>
      <c r="C1015" s="1370" t="s">
        <v>7139</v>
      </c>
      <c r="F1015" s="1372">
        <v>-5.2299999999999999E-2</v>
      </c>
      <c r="H1015" s="1373">
        <v>3.7000000000000002E-3</v>
      </c>
      <c r="I1015" s="1373">
        <f t="shared" si="15"/>
        <v>-5.6000000000000001E-2</v>
      </c>
      <c r="J1015" s="1371">
        <v>40330</v>
      </c>
    </row>
    <row r="1016" spans="2:10" x14ac:dyDescent="0.45">
      <c r="B1016" s="1371">
        <v>40360</v>
      </c>
      <c r="C1016" s="1370" t="s">
        <v>7139</v>
      </c>
      <c r="F1016" s="1372">
        <v>7.0699999999999999E-2</v>
      </c>
      <c r="H1016" s="1373">
        <v>3.0999999999999999E-3</v>
      </c>
      <c r="I1016" s="1373">
        <f t="shared" si="15"/>
        <v>6.7599999999999993E-2</v>
      </c>
      <c r="J1016" s="1371">
        <v>40360</v>
      </c>
    </row>
    <row r="1017" spans="2:10" x14ac:dyDescent="0.45">
      <c r="B1017" s="1371">
        <v>40391</v>
      </c>
      <c r="C1017" s="1370" t="s">
        <v>7139</v>
      </c>
      <c r="F1017" s="1372">
        <v>-4.5100000000000001E-2</v>
      </c>
      <c r="H1017" s="1373">
        <v>3.2000000000000002E-3</v>
      </c>
      <c r="I1017" s="1373">
        <f t="shared" si="15"/>
        <v>-4.8300000000000003E-2</v>
      </c>
      <c r="J1017" s="1371">
        <v>40391</v>
      </c>
    </row>
    <row r="1018" spans="2:10" x14ac:dyDescent="0.45">
      <c r="B1018" s="1371">
        <v>40422</v>
      </c>
      <c r="C1018" s="1370" t="s">
        <v>7139</v>
      </c>
      <c r="F1018" s="1372">
        <v>8.9200000000000002E-2</v>
      </c>
      <c r="H1018" s="1373">
        <v>2.5999999999999999E-3</v>
      </c>
      <c r="I1018" s="1373">
        <f t="shared" si="15"/>
        <v>8.6599999999999996E-2</v>
      </c>
      <c r="J1018" s="1371">
        <v>40422</v>
      </c>
    </row>
    <row r="1019" spans="2:10" x14ac:dyDescent="0.45">
      <c r="B1019" s="1371">
        <v>40452</v>
      </c>
      <c r="C1019" s="1370" t="s">
        <v>7139</v>
      </c>
      <c r="F1019" s="1372">
        <v>3.7999999999999999E-2</v>
      </c>
      <c r="H1019" s="1373">
        <v>2.7000000000000001E-3</v>
      </c>
      <c r="I1019" s="1373">
        <f t="shared" si="15"/>
        <v>3.5299999999999998E-2</v>
      </c>
      <c r="J1019" s="1371">
        <v>40452</v>
      </c>
    </row>
    <row r="1020" spans="2:10" x14ac:dyDescent="0.45">
      <c r="B1020" s="1371">
        <v>40483</v>
      </c>
      <c r="C1020" s="1370" t="s">
        <v>7139</v>
      </c>
      <c r="F1020" s="1372">
        <v>1E-4</v>
      </c>
      <c r="H1020" s="1373">
        <v>3.2000000000000002E-3</v>
      </c>
      <c r="I1020" s="1373">
        <f t="shared" si="15"/>
        <v>-3.1000000000000003E-3</v>
      </c>
      <c r="J1020" s="1371">
        <v>40483</v>
      </c>
    </row>
    <row r="1021" spans="2:10" x14ac:dyDescent="0.45">
      <c r="B1021" s="1371">
        <v>40513</v>
      </c>
      <c r="C1021" s="1370" t="s">
        <v>7139</v>
      </c>
      <c r="F1021" s="1372">
        <v>6.6799999999999998E-2</v>
      </c>
      <c r="H1021" s="1373">
        <v>3.2000000000000002E-3</v>
      </c>
      <c r="I1021" s="1373">
        <f t="shared" si="15"/>
        <v>6.3600000000000004E-2</v>
      </c>
      <c r="J1021" s="1371">
        <v>40513</v>
      </c>
    </row>
    <row r="1022" spans="2:10" x14ac:dyDescent="0.45">
      <c r="B1022" s="1371">
        <v>40544</v>
      </c>
      <c r="C1022" s="1370" t="s">
        <v>7139</v>
      </c>
      <c r="F1022" s="1375">
        <v>2.3699999999999999E-2</v>
      </c>
      <c r="H1022" s="1370">
        <v>3.5666666699999999E-3</v>
      </c>
      <c r="I1022" s="1373">
        <f t="shared" si="15"/>
        <v>2.0133333329999999E-2</v>
      </c>
      <c r="J1022" s="1371">
        <v>40544</v>
      </c>
    </row>
    <row r="1023" spans="2:10" x14ac:dyDescent="0.45">
      <c r="B1023" s="1371">
        <v>40575</v>
      </c>
      <c r="C1023" s="1370" t="s">
        <v>7139</v>
      </c>
      <c r="F1023" s="1375">
        <v>3.4299999999999997E-2</v>
      </c>
      <c r="H1023" s="1370">
        <v>3.68333333E-3</v>
      </c>
      <c r="I1023" s="1373">
        <f t="shared" si="15"/>
        <v>3.0616666669999997E-2</v>
      </c>
      <c r="J1023" s="1371">
        <v>40575</v>
      </c>
    </row>
    <row r="1024" spans="2:10" x14ac:dyDescent="0.45">
      <c r="B1024" s="1371">
        <v>40603</v>
      </c>
      <c r="C1024" s="1370" t="s">
        <v>7139</v>
      </c>
      <c r="F1024" s="1375">
        <v>4.0000000000000002E-4</v>
      </c>
      <c r="H1024" s="1370">
        <v>3.5583333299999999E-3</v>
      </c>
      <c r="I1024" s="1373">
        <f t="shared" si="15"/>
        <v>-3.1583333299999997E-3</v>
      </c>
      <c r="J1024" s="1371">
        <v>40603</v>
      </c>
    </row>
    <row r="1025" spans="2:10" x14ac:dyDescent="0.45">
      <c r="B1025" s="1371">
        <v>40634</v>
      </c>
      <c r="C1025" s="1370" t="s">
        <v>7139</v>
      </c>
      <c r="F1025" s="1375">
        <v>2.9600000000000001E-2</v>
      </c>
      <c r="H1025" s="1370">
        <v>3.5666666699999999E-3</v>
      </c>
      <c r="I1025" s="1373">
        <f t="shared" si="15"/>
        <v>2.6033333330000002E-2</v>
      </c>
      <c r="J1025" s="1371">
        <v>40634</v>
      </c>
    </row>
    <row r="1026" spans="2:10" x14ac:dyDescent="0.45">
      <c r="B1026" s="1371">
        <v>40664</v>
      </c>
      <c r="C1026" s="1370" t="s">
        <v>7139</v>
      </c>
      <c r="F1026" s="1375">
        <v>-1.1299999999999999E-2</v>
      </c>
      <c r="H1026" s="1370">
        <v>3.3416666699999996E-3</v>
      </c>
      <c r="I1026" s="1373">
        <f t="shared" ref="I1026:I1089" si="16">F1026-H1026</f>
        <v>-1.4641666669999999E-2</v>
      </c>
      <c r="J1026" s="1371">
        <v>40664</v>
      </c>
    </row>
    <row r="1027" spans="2:10" x14ac:dyDescent="0.45">
      <c r="B1027" s="1371">
        <v>40695</v>
      </c>
      <c r="C1027" s="1370" t="s">
        <v>7139</v>
      </c>
      <c r="E1027" s="1374"/>
      <c r="F1027" s="1375">
        <v>-1.67E-2</v>
      </c>
      <c r="H1027" s="1370">
        <v>3.25833333E-3</v>
      </c>
      <c r="I1027" s="1373">
        <f t="shared" si="16"/>
        <v>-1.9958333330000001E-2</v>
      </c>
      <c r="J1027" s="1371">
        <v>40695</v>
      </c>
    </row>
    <row r="1028" spans="2:10" x14ac:dyDescent="0.45">
      <c r="B1028" s="1371">
        <v>40725</v>
      </c>
      <c r="C1028" s="1370" t="s">
        <v>7139</v>
      </c>
      <c r="E1028" s="1374"/>
      <c r="F1028" s="1375">
        <v>-2.0299999999999999E-2</v>
      </c>
      <c r="H1028" s="1370">
        <v>3.2916666700000003E-3</v>
      </c>
      <c r="I1028" s="1373">
        <f t="shared" si="16"/>
        <v>-2.3591666669999997E-2</v>
      </c>
      <c r="J1028" s="1371">
        <v>40725</v>
      </c>
    </row>
    <row r="1029" spans="2:10" x14ac:dyDescent="0.45">
      <c r="B1029" s="1371">
        <v>40756</v>
      </c>
      <c r="C1029" s="1370" t="s">
        <v>7139</v>
      </c>
      <c r="E1029" s="1374"/>
      <c r="F1029" s="1375">
        <v>-5.4300000000000001E-2</v>
      </c>
      <c r="H1029" s="1370">
        <f>0.0365/12</f>
        <v>3.0416666666666665E-3</v>
      </c>
      <c r="I1029" s="1373">
        <f t="shared" si="16"/>
        <v>-5.7341666666666666E-2</v>
      </c>
      <c r="J1029" s="1371">
        <v>40756</v>
      </c>
    </row>
    <row r="1030" spans="2:10" x14ac:dyDescent="0.45">
      <c r="B1030" s="1371">
        <v>40787</v>
      </c>
      <c r="C1030" s="1370" t="s">
        <v>7139</v>
      </c>
      <c r="E1030" s="1374"/>
      <c r="F1030" s="1375">
        <v>-7.0300000000000001E-2</v>
      </c>
      <c r="H1030" s="1370">
        <v>2.3583333300000002E-3</v>
      </c>
      <c r="I1030" s="1373">
        <f t="shared" si="16"/>
        <v>-7.2658333330000005E-2</v>
      </c>
      <c r="J1030" s="1371">
        <v>40787</v>
      </c>
    </row>
    <row r="1031" spans="2:10" x14ac:dyDescent="0.45">
      <c r="B1031" s="1371">
        <v>40817</v>
      </c>
      <c r="C1031" s="1370" t="s">
        <v>7139</v>
      </c>
      <c r="E1031" s="1374"/>
      <c r="F1031" s="1375">
        <v>0.10929999999999999</v>
      </c>
      <c r="H1031" s="1370">
        <v>2.3916666700000001E-3</v>
      </c>
      <c r="I1031" s="1373">
        <f t="shared" si="16"/>
        <v>0.10690833332999999</v>
      </c>
      <c r="J1031" s="1371">
        <v>40817</v>
      </c>
    </row>
    <row r="1032" spans="2:10" x14ac:dyDescent="0.45">
      <c r="B1032" s="1371">
        <v>40848</v>
      </c>
      <c r="C1032" s="1370" t="s">
        <v>7139</v>
      </c>
      <c r="E1032" s="1374"/>
      <c r="F1032" s="1375">
        <v>-2.2000000000000001E-3</v>
      </c>
      <c r="H1032" s="1370">
        <v>2.26666667E-3</v>
      </c>
      <c r="I1032" s="1373">
        <f t="shared" si="16"/>
        <v>-4.4666666700000001E-3</v>
      </c>
      <c r="J1032" s="1371">
        <v>40848</v>
      </c>
    </row>
    <row r="1033" spans="2:10" x14ac:dyDescent="0.45">
      <c r="B1033" s="1371">
        <v>40878</v>
      </c>
      <c r="C1033" s="1370" t="s">
        <v>7139</v>
      </c>
      <c r="E1033" s="1374"/>
      <c r="F1033" s="1375">
        <v>1.0200000000000001E-2</v>
      </c>
      <c r="H1033" s="1370">
        <f>0.0298/12</f>
        <v>2.4833333333333335E-3</v>
      </c>
      <c r="I1033" s="1373">
        <f t="shared" si="16"/>
        <v>7.7166666666666668E-3</v>
      </c>
      <c r="J1033" s="1371">
        <v>40878</v>
      </c>
    </row>
    <row r="1034" spans="2:10" x14ac:dyDescent="0.45">
      <c r="B1034" s="1371">
        <v>40909</v>
      </c>
      <c r="C1034" s="1370" t="s">
        <v>7139</v>
      </c>
      <c r="E1034" s="1374"/>
      <c r="F1034" s="1372">
        <f>'PRPM WP2'!B1035</f>
        <v>4.48E-2</v>
      </c>
      <c r="H1034" s="1370">
        <f>'PRPM WP2'!D1035</f>
        <v>2.0999999999999999E-3</v>
      </c>
      <c r="I1034" s="1373">
        <f t="shared" si="16"/>
        <v>4.2700000000000002E-2</v>
      </c>
      <c r="J1034" s="1371">
        <v>40909</v>
      </c>
    </row>
    <row r="1035" spans="2:10" x14ac:dyDescent="0.45">
      <c r="B1035" s="1371">
        <v>40940</v>
      </c>
      <c r="C1035" s="1370" t="s">
        <v>7139</v>
      </c>
      <c r="E1035" s="1374"/>
      <c r="F1035" s="1372">
        <f>'PRPM WP2'!B1036</f>
        <v>4.3200000000000002E-2</v>
      </c>
      <c r="H1035" s="1370">
        <f>'PRPM WP2'!D1036</f>
        <v>2E-3</v>
      </c>
      <c r="I1035" s="1373">
        <f t="shared" si="16"/>
        <v>4.1200000000000001E-2</v>
      </c>
      <c r="J1035" s="1371">
        <v>40940</v>
      </c>
    </row>
    <row r="1036" spans="2:10" x14ac:dyDescent="0.45">
      <c r="B1036" s="1371">
        <v>40969</v>
      </c>
      <c r="C1036" s="1370" t="s">
        <v>7139</v>
      </c>
      <c r="E1036" s="1374"/>
      <c r="F1036" s="1372">
        <f>'PRPM WP2'!B1037</f>
        <v>3.2899999999999999E-2</v>
      </c>
      <c r="H1036" s="1370">
        <f>'PRPM WP2'!D1037</f>
        <v>2.2000000000000001E-3</v>
      </c>
      <c r="I1036" s="1373">
        <f t="shared" si="16"/>
        <v>3.0699999999999998E-2</v>
      </c>
      <c r="J1036" s="1371">
        <v>40969</v>
      </c>
    </row>
    <row r="1037" spans="2:10" x14ac:dyDescent="0.45">
      <c r="B1037" s="1371">
        <v>41000</v>
      </c>
      <c r="C1037" s="1370" t="s">
        <v>7139</v>
      </c>
      <c r="E1037" s="1374"/>
      <c r="F1037" s="1372">
        <f>'PRPM WP2'!B1038</f>
        <v>-6.3E-3</v>
      </c>
      <c r="H1037" s="1370">
        <f>'PRPM WP2'!D1038</f>
        <v>2.5000000000000001E-3</v>
      </c>
      <c r="I1037" s="1373">
        <f t="shared" si="16"/>
        <v>-8.8000000000000005E-3</v>
      </c>
      <c r="J1037" s="1371">
        <v>41000</v>
      </c>
    </row>
    <row r="1038" spans="2:10" x14ac:dyDescent="0.45">
      <c r="B1038" s="1371">
        <v>41030</v>
      </c>
      <c r="C1038" s="1370" t="s">
        <v>7139</v>
      </c>
      <c r="F1038" s="1372">
        <f>'PRPM WP2'!B1039</f>
        <v>-6.0100000000000001E-2</v>
      </c>
      <c r="H1038" s="1370">
        <f>'PRPM WP2'!D1039</f>
        <v>2.3E-3</v>
      </c>
      <c r="I1038" s="1373">
        <f t="shared" si="16"/>
        <v>-6.2399999999999997E-2</v>
      </c>
      <c r="J1038" s="1371">
        <v>41030</v>
      </c>
    </row>
    <row r="1039" spans="2:10" x14ac:dyDescent="0.45">
      <c r="B1039" s="1371">
        <v>41061</v>
      </c>
      <c r="C1039" s="1370" t="s">
        <v>7139</v>
      </c>
      <c r="F1039" s="1372">
        <f>'PRPM WP2'!B1040</f>
        <v>4.1200000000000001E-2</v>
      </c>
      <c r="H1039" s="1370">
        <f>'PRPM WP2'!D1040</f>
        <v>1.8E-3</v>
      </c>
      <c r="I1039" s="1373">
        <f t="shared" si="16"/>
        <v>3.9399999999999998E-2</v>
      </c>
      <c r="J1039" s="1371">
        <v>41061</v>
      </c>
    </row>
    <row r="1040" spans="2:10" x14ac:dyDescent="0.45">
      <c r="B1040" s="1371">
        <v>41091</v>
      </c>
      <c r="C1040" s="1370" t="s">
        <v>7139</v>
      </c>
      <c r="F1040" s="1372">
        <f>'PRPM WP2'!B1041</f>
        <v>1.3899999999999999E-2</v>
      </c>
      <c r="H1040" s="1370">
        <f>'PRPM WP2'!D1041</f>
        <v>2E-3</v>
      </c>
      <c r="I1040" s="1373">
        <f t="shared" si="16"/>
        <v>1.1899999999999999E-2</v>
      </c>
      <c r="J1040" s="1371">
        <v>41091</v>
      </c>
    </row>
    <row r="1041" spans="2:10" x14ac:dyDescent="0.45">
      <c r="B1041" s="1371">
        <v>41122</v>
      </c>
      <c r="C1041" s="1370" t="s">
        <v>7139</v>
      </c>
      <c r="F1041" s="1372">
        <f>'PRPM WP2'!B1042</f>
        <v>2.2499999999999999E-2</v>
      </c>
      <c r="H1041" s="1370">
        <f>'PRPM WP2'!D1042</f>
        <v>1.8E-3</v>
      </c>
      <c r="I1041" s="1373">
        <f t="shared" si="16"/>
        <v>2.07E-2</v>
      </c>
      <c r="J1041" s="1371">
        <v>41122</v>
      </c>
    </row>
    <row r="1042" spans="2:10" x14ac:dyDescent="0.45">
      <c r="B1042" s="1371">
        <v>41153</v>
      </c>
      <c r="C1042" s="1370" t="s">
        <v>7139</v>
      </c>
      <c r="F1042" s="1372">
        <f>'PRPM WP2'!B1043</f>
        <v>2.58E-2</v>
      </c>
      <c r="H1042" s="1370">
        <f>'PRPM WP2'!D1043</f>
        <v>1.6999999999999999E-3</v>
      </c>
      <c r="I1042" s="1373">
        <f t="shared" si="16"/>
        <v>2.41E-2</v>
      </c>
      <c r="J1042" s="1371">
        <v>41153</v>
      </c>
    </row>
    <row r="1043" spans="2:10" x14ac:dyDescent="0.45">
      <c r="B1043" s="1371">
        <v>41183</v>
      </c>
      <c r="C1043" s="1370" t="s">
        <v>7139</v>
      </c>
      <c r="F1043" s="1372">
        <f>'PRPM WP2'!B1044</f>
        <v>-1.8499999999999999E-2</v>
      </c>
      <c r="H1043" s="1370">
        <f>'PRPM WP2'!D1044</f>
        <v>2.0999999999999999E-3</v>
      </c>
      <c r="I1043" s="1373">
        <f t="shared" si="16"/>
        <v>-2.06E-2</v>
      </c>
      <c r="J1043" s="1371">
        <v>41183</v>
      </c>
    </row>
    <row r="1044" spans="2:10" x14ac:dyDescent="0.45">
      <c r="B1044" s="1371">
        <v>41214</v>
      </c>
      <c r="C1044" s="1370" t="s">
        <v>7139</v>
      </c>
      <c r="F1044" s="1372">
        <f>'PRPM WP2'!B1045</f>
        <v>5.7999999999999996E-3</v>
      </c>
      <c r="H1044" s="1370">
        <f>'PRPM WP2'!D1045</f>
        <v>1.9E-3</v>
      </c>
      <c r="I1044" s="1373">
        <f t="shared" si="16"/>
        <v>3.8999999999999998E-3</v>
      </c>
      <c r="J1044" s="1371">
        <v>41214</v>
      </c>
    </row>
    <row r="1045" spans="2:10" x14ac:dyDescent="0.45">
      <c r="B1045" s="1371">
        <v>41244</v>
      </c>
      <c r="C1045" s="1370" t="s">
        <v>7139</v>
      </c>
      <c r="F1045" s="1372">
        <f>'PRPM WP2'!B1046</f>
        <v>9.1000000000000004E-3</v>
      </c>
      <c r="H1045" s="1370">
        <f>'PRPM WP2'!D1046</f>
        <v>1.9E-3</v>
      </c>
      <c r="I1045" s="1373">
        <f t="shared" si="16"/>
        <v>7.2000000000000007E-3</v>
      </c>
      <c r="J1045" s="1371">
        <v>41244</v>
      </c>
    </row>
    <row r="1046" spans="2:10" x14ac:dyDescent="0.45">
      <c r="B1046" s="1371">
        <v>41275</v>
      </c>
      <c r="C1046" s="1370" t="s">
        <v>7139</v>
      </c>
      <c r="F1046" s="1372">
        <f>'PRPM WP2'!B1047</f>
        <v>5.1799999999999999E-2</v>
      </c>
      <c r="H1046" s="1370">
        <f>'PRPM WP2'!D1047</f>
        <v>2.2000000000000001E-3</v>
      </c>
      <c r="I1046" s="1373">
        <f t="shared" si="16"/>
        <v>4.9599999999999998E-2</v>
      </c>
      <c r="J1046" s="1371">
        <v>41275</v>
      </c>
    </row>
    <row r="1047" spans="2:10" x14ac:dyDescent="0.45">
      <c r="B1047" s="1371">
        <v>41306</v>
      </c>
      <c r="C1047" s="1370" t="s">
        <v>7139</v>
      </c>
      <c r="F1047" s="1372">
        <f>'PRPM WP2'!B1048</f>
        <v>1.3599999999999999E-2</v>
      </c>
      <c r="H1047" s="1370">
        <f>'PRPM WP2'!D1048</f>
        <v>2.2000000000000001E-3</v>
      </c>
      <c r="I1047" s="1373">
        <f t="shared" si="16"/>
        <v>1.1399999999999999E-2</v>
      </c>
      <c r="J1047" s="1371">
        <v>41306</v>
      </c>
    </row>
    <row r="1048" spans="2:10" x14ac:dyDescent="0.45">
      <c r="B1048" s="1371">
        <v>41334</v>
      </c>
      <c r="C1048" s="1370" t="s">
        <v>7139</v>
      </c>
      <c r="F1048" s="1372">
        <f>'PRPM WP2'!B1049</f>
        <v>3.7499999999999999E-2</v>
      </c>
      <c r="H1048" s="1370">
        <f>'PRPM WP2'!D1049</f>
        <v>2.0999999999999999E-3</v>
      </c>
      <c r="I1048" s="1373">
        <f t="shared" si="16"/>
        <v>3.5400000000000001E-2</v>
      </c>
      <c r="J1048" s="1371">
        <v>41334</v>
      </c>
    </row>
    <row r="1049" spans="2:10" x14ac:dyDescent="0.45">
      <c r="B1049" s="1371">
        <v>41365</v>
      </c>
      <c r="C1049" s="1370" t="s">
        <v>7139</v>
      </c>
      <c r="F1049" s="1372">
        <f>'PRPM WP2'!B1050</f>
        <v>1.9300000000000001E-2</v>
      </c>
      <c r="H1049" s="1370">
        <f>'PRPM WP2'!D1050</f>
        <v>2.5999999999999999E-3</v>
      </c>
      <c r="I1049" s="1373">
        <f t="shared" si="16"/>
        <v>1.67E-2</v>
      </c>
      <c r="J1049" s="1371">
        <v>41365</v>
      </c>
    </row>
    <row r="1050" spans="2:10" x14ac:dyDescent="0.45">
      <c r="B1050" s="1371">
        <v>41395</v>
      </c>
      <c r="C1050" s="1370" t="s">
        <v>7139</v>
      </c>
      <c r="F1050" s="1372">
        <f>'PRPM WP2'!B1051</f>
        <v>2.3400000000000001E-2</v>
      </c>
      <c r="H1050" s="1370">
        <f>'PRPM WP2'!D1051</f>
        <v>2.3E-3</v>
      </c>
      <c r="I1050" s="1373">
        <f t="shared" si="16"/>
        <v>2.1100000000000001E-2</v>
      </c>
      <c r="J1050" s="1371">
        <v>41395</v>
      </c>
    </row>
    <row r="1051" spans="2:10" x14ac:dyDescent="0.45">
      <c r="B1051" s="1371">
        <v>41426</v>
      </c>
      <c r="C1051" s="1370" t="s">
        <v>7139</v>
      </c>
      <c r="F1051" s="1372">
        <f>'PRPM WP2'!B1052</f>
        <v>-1.34E-2</v>
      </c>
      <c r="H1051" s="1370">
        <f>'PRPM WP2'!D1052</f>
        <v>2.3999999999999998E-3</v>
      </c>
      <c r="I1051" s="1373">
        <f t="shared" si="16"/>
        <v>-1.5800000000000002E-2</v>
      </c>
      <c r="J1051" s="1371">
        <v>41426</v>
      </c>
    </row>
    <row r="1052" spans="2:10" x14ac:dyDescent="0.45">
      <c r="B1052" s="1371">
        <v>41456</v>
      </c>
      <c r="C1052" s="1370" t="s">
        <v>7139</v>
      </c>
      <c r="F1052" s="1372">
        <f>'PRPM WP2'!B1053</f>
        <v>5.0900000000000001E-2</v>
      </c>
      <c r="H1052" s="1370">
        <f>'PRPM WP2'!D1053</f>
        <v>3.0000000000000001E-3</v>
      </c>
      <c r="I1052" s="1373">
        <f t="shared" si="16"/>
        <v>4.7899999999999998E-2</v>
      </c>
      <c r="J1052" s="1371">
        <v>41456</v>
      </c>
    </row>
    <row r="1053" spans="2:10" x14ac:dyDescent="0.45">
      <c r="B1053" s="1371">
        <v>41487</v>
      </c>
      <c r="C1053" s="1370" t="s">
        <v>7139</v>
      </c>
      <c r="F1053" s="1372">
        <f>'PRPM WP2'!B1054</f>
        <v>-2.9000000000000001E-2</v>
      </c>
      <c r="H1053" s="1370">
        <f>'PRPM WP2'!D1054</f>
        <v>2.8E-3</v>
      </c>
      <c r="I1053" s="1373">
        <f t="shared" si="16"/>
        <v>-3.1800000000000002E-2</v>
      </c>
      <c r="J1053" s="1371">
        <v>41487</v>
      </c>
    </row>
    <row r="1054" spans="2:10" x14ac:dyDescent="0.45">
      <c r="B1054" s="1371">
        <v>41518</v>
      </c>
      <c r="C1054" s="1370" t="s">
        <v>7139</v>
      </c>
      <c r="F1054" s="1372">
        <f>'PRPM WP2'!B1055</f>
        <v>3.1399999999999997E-2</v>
      </c>
      <c r="H1054" s="1370">
        <f>'PRPM WP2'!D1055</f>
        <v>2.8999999999999998E-3</v>
      </c>
      <c r="I1054" s="1373">
        <f t="shared" si="16"/>
        <v>2.8499999999999998E-2</v>
      </c>
      <c r="J1054" s="1371">
        <v>41518</v>
      </c>
    </row>
    <row r="1055" spans="2:10" x14ac:dyDescent="0.45">
      <c r="B1055" s="1371">
        <v>41548</v>
      </c>
      <c r="C1055" s="1370" t="s">
        <v>7139</v>
      </c>
      <c r="F1055" s="1372">
        <f>'PRPM WP2'!B1056</f>
        <v>4.5999999999999999E-2</v>
      </c>
      <c r="H1055" s="1370">
        <f>'PRPM WP2'!D1056</f>
        <v>2.8999999999999998E-3</v>
      </c>
      <c r="I1055" s="1373">
        <f t="shared" si="16"/>
        <v>4.3099999999999999E-2</v>
      </c>
      <c r="J1055" s="1371">
        <v>41548</v>
      </c>
    </row>
    <row r="1056" spans="2:10" x14ac:dyDescent="0.45">
      <c r="B1056" s="1371">
        <v>41579</v>
      </c>
      <c r="C1056" s="1370" t="s">
        <v>7139</v>
      </c>
      <c r="F1056" s="1372">
        <f>'PRPM WP2'!B1057</f>
        <v>3.0499999999999999E-2</v>
      </c>
      <c r="H1056" s="1370">
        <f>'PRPM WP2'!D1057</f>
        <v>2.7000000000000001E-3</v>
      </c>
      <c r="I1056" s="1373">
        <f t="shared" si="16"/>
        <v>2.7799999999999998E-2</v>
      </c>
      <c r="J1056" s="1371">
        <v>41579</v>
      </c>
    </row>
    <row r="1057" spans="2:10" x14ac:dyDescent="0.45">
      <c r="B1057" s="1371">
        <v>41609</v>
      </c>
      <c r="C1057" s="1370" t="s">
        <v>7139</v>
      </c>
      <c r="F1057" s="1372">
        <f>'PRPM WP2'!B1058</f>
        <v>2.53E-2</v>
      </c>
      <c r="H1057" s="1370">
        <f>'PRPM WP2'!D1058</f>
        <v>3.0999999999999999E-3</v>
      </c>
      <c r="I1057" s="1373">
        <f t="shared" si="16"/>
        <v>2.2200000000000001E-2</v>
      </c>
      <c r="J1057" s="1371">
        <v>41609</v>
      </c>
    </row>
    <row r="1058" spans="2:10" x14ac:dyDescent="0.45">
      <c r="B1058" s="1371">
        <v>41640</v>
      </c>
      <c r="C1058" s="1370" t="s">
        <v>7139</v>
      </c>
      <c r="F1058" s="1372">
        <f>'PRPM WP2'!B1059</f>
        <v>-3.4599999999999999E-2</v>
      </c>
      <c r="H1058" s="1370">
        <f>'PRPM WP2'!D1059</f>
        <v>3.2000000000000002E-3</v>
      </c>
      <c r="I1058" s="1373">
        <f t="shared" si="16"/>
        <v>-3.78E-2</v>
      </c>
      <c r="J1058" s="1371">
        <v>41640</v>
      </c>
    </row>
    <row r="1059" spans="2:10" x14ac:dyDescent="0.45">
      <c r="B1059" s="1371">
        <v>41671</v>
      </c>
      <c r="C1059" s="1370" t="s">
        <v>7139</v>
      </c>
      <c r="F1059" s="1372">
        <f>'PRPM WP2'!B1060</f>
        <v>4.5699999999999998E-2</v>
      </c>
      <c r="H1059" s="1370">
        <f>'PRPM WP2'!D1060</f>
        <v>2.5999999999999999E-3</v>
      </c>
      <c r="I1059" s="1373">
        <f t="shared" si="16"/>
        <v>4.3099999999999999E-2</v>
      </c>
      <c r="J1059" s="1371">
        <v>41671</v>
      </c>
    </row>
    <row r="1060" spans="2:10" x14ac:dyDescent="0.45">
      <c r="B1060" s="1371">
        <v>41699</v>
      </c>
      <c r="C1060" s="1370" t="s">
        <v>7139</v>
      </c>
      <c r="F1060" s="1372">
        <f>'PRPM WP2'!B1061</f>
        <v>8.3999999999999995E-3</v>
      </c>
      <c r="H1060" s="1370">
        <f>'PRPM WP2'!D1061</f>
        <v>2.8999999999999998E-3</v>
      </c>
      <c r="I1060" s="1373">
        <f t="shared" si="16"/>
        <v>5.4999999999999997E-3</v>
      </c>
      <c r="J1060" s="1371">
        <v>41699</v>
      </c>
    </row>
    <row r="1061" spans="2:10" x14ac:dyDescent="0.45">
      <c r="B1061" s="1371">
        <v>41730</v>
      </c>
      <c r="C1061" s="1370" t="s">
        <v>7139</v>
      </c>
      <c r="F1061" s="1372">
        <f>'PRPM WP2'!B1062</f>
        <v>7.4000000000000003E-3</v>
      </c>
      <c r="H1061" s="1370">
        <f>'PRPM WP2'!D1062</f>
        <v>2.8E-3</v>
      </c>
      <c r="I1061" s="1373">
        <f t="shared" si="16"/>
        <v>4.5999999999999999E-3</v>
      </c>
      <c r="J1061" s="1371">
        <v>41730</v>
      </c>
    </row>
    <row r="1062" spans="2:10" x14ac:dyDescent="0.45">
      <c r="B1062" s="1371">
        <v>41760</v>
      </c>
      <c r="C1062" s="1370" t="s">
        <v>7139</v>
      </c>
      <c r="F1062" s="1372">
        <f>'PRPM WP2'!B1063</f>
        <v>2.35E-2</v>
      </c>
      <c r="H1062" s="1370">
        <f>'PRPM WP2'!D1063</f>
        <v>2.8E-3</v>
      </c>
      <c r="I1062" s="1373">
        <f t="shared" si="16"/>
        <v>2.07E-2</v>
      </c>
      <c r="J1062" s="1371">
        <v>41760</v>
      </c>
    </row>
    <row r="1063" spans="2:10" x14ac:dyDescent="0.45">
      <c r="B1063" s="1371">
        <v>41791</v>
      </c>
      <c r="C1063" s="1370" t="s">
        <v>7139</v>
      </c>
      <c r="F1063" s="1372">
        <f>'PRPM WP2'!B1064</f>
        <v>2.07E-2</v>
      </c>
      <c r="H1063" s="1370">
        <f>'PRPM WP2'!D1064</f>
        <v>2.5000000000000001E-3</v>
      </c>
      <c r="I1063" s="1373">
        <f t="shared" si="16"/>
        <v>1.8200000000000001E-2</v>
      </c>
      <c r="J1063" s="1371">
        <v>41791</v>
      </c>
    </row>
    <row r="1064" spans="2:10" x14ac:dyDescent="0.45">
      <c r="B1064" s="1371">
        <v>41821</v>
      </c>
      <c r="C1064" s="1370" t="s">
        <v>7139</v>
      </c>
      <c r="F1064" s="1372">
        <f>'PRPM WP2'!B1065</f>
        <v>-1.38E-2</v>
      </c>
      <c r="H1064" s="1370">
        <f>'PRPM WP2'!D1065</f>
        <v>2.7000000000000001E-3</v>
      </c>
      <c r="I1064" s="1373">
        <f t="shared" si="16"/>
        <v>-1.6500000000000001E-2</v>
      </c>
      <c r="J1064" s="1371">
        <v>41821</v>
      </c>
    </row>
    <row r="1065" spans="2:10" x14ac:dyDescent="0.45">
      <c r="B1065" s="1371">
        <v>41852</v>
      </c>
      <c r="C1065" s="1370" t="s">
        <v>7139</v>
      </c>
      <c r="F1065" s="1372">
        <f>'PRPM WP2'!B1066</f>
        <v>0.04</v>
      </c>
      <c r="H1065" s="1370">
        <f>'PRPM WP2'!D1066</f>
        <v>2.5999999999999999E-3</v>
      </c>
      <c r="I1065" s="1373">
        <f t="shared" si="16"/>
        <v>3.7400000000000003E-2</v>
      </c>
      <c r="J1065" s="1371">
        <v>41852</v>
      </c>
    </row>
    <row r="1066" spans="2:10" x14ac:dyDescent="0.45">
      <c r="B1066" s="1371">
        <v>41883</v>
      </c>
      <c r="C1066" s="1370" t="s">
        <v>7139</v>
      </c>
      <c r="F1066" s="1372">
        <f>'PRPM WP2'!B1067</f>
        <v>-1.4E-2</v>
      </c>
      <c r="H1066" s="1370">
        <f>'PRPM WP2'!D1067</f>
        <v>2.3E-3</v>
      </c>
      <c r="I1066" s="1373">
        <f t="shared" si="16"/>
        <v>-1.6300000000000002E-2</v>
      </c>
      <c r="J1066" s="1371">
        <v>41883</v>
      </c>
    </row>
    <row r="1067" spans="2:10" x14ac:dyDescent="0.45">
      <c r="B1067" s="1371">
        <v>41913</v>
      </c>
      <c r="C1067" s="1370" t="s">
        <v>7139</v>
      </c>
      <c r="F1067" s="1372">
        <f>'PRPM WP2'!B1068</f>
        <v>2.4400000000000002E-2</v>
      </c>
      <c r="H1067" s="1370">
        <f>'PRPM WP2'!D1068</f>
        <v>2.5000000000000001E-3</v>
      </c>
      <c r="I1067" s="1373">
        <f t="shared" si="16"/>
        <v>2.1900000000000003E-2</v>
      </c>
      <c r="J1067" s="1371">
        <v>41913</v>
      </c>
    </row>
    <row r="1068" spans="2:10" x14ac:dyDescent="0.45">
      <c r="B1068" s="1371">
        <v>41944</v>
      </c>
      <c r="C1068" s="1370" t="s">
        <v>7139</v>
      </c>
      <c r="F1068" s="1372">
        <f>'PRPM WP2'!B1069</f>
        <v>2.69E-2</v>
      </c>
      <c r="H1068" s="1370">
        <f>'PRPM WP2'!D1069</f>
        <v>2.3E-3</v>
      </c>
      <c r="I1068" s="1373">
        <f t="shared" si="16"/>
        <v>2.46E-2</v>
      </c>
      <c r="J1068" s="1371">
        <v>41944</v>
      </c>
    </row>
    <row r="1069" spans="2:10" x14ac:dyDescent="0.45">
      <c r="B1069" s="1371">
        <v>41974</v>
      </c>
      <c r="C1069" s="1370" t="s">
        <v>7139</v>
      </c>
      <c r="F1069" s="1372">
        <f>'PRPM WP2'!B1070</f>
        <v>-2.5000000000000001E-3</v>
      </c>
      <c r="H1069" s="1370">
        <f>'PRPM WP2'!D1070</f>
        <v>2.2000000000000001E-3</v>
      </c>
      <c r="I1069" s="1373">
        <f t="shared" si="16"/>
        <v>-4.7000000000000002E-3</v>
      </c>
      <c r="J1069" s="1371">
        <v>41974</v>
      </c>
    </row>
    <row r="1070" spans="2:10" x14ac:dyDescent="0.45">
      <c r="B1070" s="1371">
        <v>42005</v>
      </c>
      <c r="C1070" s="1370" t="s">
        <v>7139</v>
      </c>
      <c r="F1070" s="1372">
        <f>'PRPM WP2'!B1071</f>
        <v>-0.03</v>
      </c>
      <c r="H1070" s="1370">
        <f>'PRPM WP2'!D1071</f>
        <v>2E-3</v>
      </c>
      <c r="I1070" s="1373">
        <f t="shared" si="16"/>
        <v>-3.2000000000000001E-2</v>
      </c>
      <c r="J1070" s="1371">
        <v>42005</v>
      </c>
    </row>
    <row r="1071" spans="2:10" x14ac:dyDescent="0.45">
      <c r="B1071" s="1371">
        <v>42036</v>
      </c>
      <c r="C1071" s="1370" t="s">
        <v>7139</v>
      </c>
      <c r="F1071" s="1372">
        <f>'PRPM WP2'!B1072</f>
        <v>5.7500000000000002E-2</v>
      </c>
      <c r="H1071" s="1370">
        <f>'PRPM WP2'!D1072</f>
        <v>1.5E-3</v>
      </c>
      <c r="I1071" s="1373">
        <f t="shared" si="16"/>
        <v>5.6000000000000001E-2</v>
      </c>
      <c r="J1071" s="1371">
        <v>42036</v>
      </c>
    </row>
    <row r="1072" spans="2:10" x14ac:dyDescent="0.45">
      <c r="B1072" s="1371">
        <v>42064</v>
      </c>
      <c r="C1072" s="1370" t="s">
        <v>7139</v>
      </c>
      <c r="F1072" s="1372">
        <f>'PRPM WP2'!B1073</f>
        <v>-1.5800000000000002E-2</v>
      </c>
      <c r="H1072" s="1370">
        <f>'PRPM WP2'!D1073</f>
        <v>2.0999999999999999E-3</v>
      </c>
      <c r="I1072" s="1373">
        <f t="shared" si="16"/>
        <v>-1.7900000000000003E-2</v>
      </c>
      <c r="J1072" s="1371">
        <v>42064</v>
      </c>
    </row>
    <row r="1073" spans="2:10" x14ac:dyDescent="0.45">
      <c r="B1073" s="1371">
        <v>42095</v>
      </c>
      <c r="C1073" s="1370" t="s">
        <v>7139</v>
      </c>
      <c r="F1073" s="1372">
        <f>'PRPM WP2'!B1074</f>
        <v>9.5999999999999992E-3</v>
      </c>
      <c r="H1073" s="1370">
        <f>'PRPM WP2'!D1074</f>
        <v>1.9E-3</v>
      </c>
      <c r="I1073" s="1373">
        <f t="shared" si="16"/>
        <v>7.6999999999999994E-3</v>
      </c>
      <c r="J1073" s="1371">
        <v>42095</v>
      </c>
    </row>
    <row r="1074" spans="2:10" x14ac:dyDescent="0.45">
      <c r="B1074" s="1371">
        <v>42125</v>
      </c>
      <c r="C1074" s="1370" t="s">
        <v>7139</v>
      </c>
      <c r="F1074" s="1372">
        <f>'PRPM WP2'!B1075</f>
        <v>1.29E-2</v>
      </c>
      <c r="H1074" s="1370">
        <f>'PRPM WP2'!D1075</f>
        <v>2E-3</v>
      </c>
      <c r="I1074" s="1373">
        <f t="shared" si="16"/>
        <v>1.09E-2</v>
      </c>
      <c r="J1074" s="1371">
        <v>42125</v>
      </c>
    </row>
    <row r="1075" spans="2:10" x14ac:dyDescent="0.45">
      <c r="B1075" s="1371">
        <f t="shared" ref="B1075:B1106" si="17">DATE(YEAR(B1074),MONTH(B1074) + 1,1)</f>
        <v>42156</v>
      </c>
      <c r="C1075" s="1370" t="str">
        <f t="shared" ref="C1075:C1106" si="18">C1074</f>
        <v xml:space="preserve">Market Return                    </v>
      </c>
      <c r="F1075" s="1372">
        <f>'PRPM WP2'!B1076</f>
        <v>-1.9400000000000001E-2</v>
      </c>
      <c r="H1075" s="1370">
        <f>'PRPM WP2'!D1076</f>
        <v>2.3E-3</v>
      </c>
      <c r="I1075" s="1373">
        <f t="shared" si="16"/>
        <v>-2.1700000000000001E-2</v>
      </c>
      <c r="J1075" s="1371">
        <f t="shared" ref="J1075:J1106" si="19">B1075</f>
        <v>42156</v>
      </c>
    </row>
    <row r="1076" spans="2:10" x14ac:dyDescent="0.45">
      <c r="B1076" s="1371">
        <f t="shared" si="17"/>
        <v>42186</v>
      </c>
      <c r="C1076" s="1370" t="str">
        <f t="shared" si="18"/>
        <v xml:space="preserve">Market Return                    </v>
      </c>
      <c r="F1076" s="1372">
        <f>'PRPM WP2'!B1077</f>
        <v>2.1000000000000001E-2</v>
      </c>
      <c r="H1076" s="1370">
        <f>'PRPM WP2'!D1077</f>
        <v>2.3999999999999998E-3</v>
      </c>
      <c r="I1076" s="1373">
        <f t="shared" si="16"/>
        <v>1.8600000000000002E-2</v>
      </c>
      <c r="J1076" s="1371">
        <f t="shared" si="19"/>
        <v>42186</v>
      </c>
    </row>
    <row r="1077" spans="2:10" x14ac:dyDescent="0.45">
      <c r="B1077" s="1371">
        <f t="shared" si="17"/>
        <v>42217</v>
      </c>
      <c r="C1077" s="1370" t="str">
        <f t="shared" si="18"/>
        <v xml:space="preserve">Market Return                    </v>
      </c>
      <c r="F1077" s="1372">
        <f>'PRPM WP2'!B1078</f>
        <v>-6.0299999999999999E-2</v>
      </c>
      <c r="H1077" s="1370">
        <f>'PRPM WP2'!D1078</f>
        <v>2.2000000000000001E-3</v>
      </c>
      <c r="I1077" s="1370">
        <f t="shared" si="16"/>
        <v>-6.25E-2</v>
      </c>
      <c r="J1077" s="1371">
        <f t="shared" si="19"/>
        <v>42217</v>
      </c>
    </row>
    <row r="1078" spans="2:10" x14ac:dyDescent="0.45">
      <c r="B1078" s="1371">
        <f t="shared" si="17"/>
        <v>42248</v>
      </c>
      <c r="C1078" s="1370" t="str">
        <f t="shared" si="18"/>
        <v xml:space="preserve">Market Return                    </v>
      </c>
      <c r="F1078" s="1372">
        <f>'PRPM WP2'!B1079</f>
        <v>-2.47E-2</v>
      </c>
      <c r="H1078" s="1370">
        <f>'PRPM WP2'!D1079</f>
        <v>2.0999999999999999E-3</v>
      </c>
      <c r="I1078" s="1370">
        <f t="shared" si="16"/>
        <v>-2.6800000000000001E-2</v>
      </c>
      <c r="J1078" s="1371">
        <f t="shared" si="19"/>
        <v>42248</v>
      </c>
    </row>
    <row r="1079" spans="2:10" x14ac:dyDescent="0.45">
      <c r="B1079" s="1371">
        <f t="shared" si="17"/>
        <v>42278</v>
      </c>
      <c r="C1079" s="1370" t="str">
        <f t="shared" si="18"/>
        <v xml:space="preserve">Market Return                    </v>
      </c>
      <c r="F1079" s="1372">
        <f>'PRPM WP2'!B1080</f>
        <v>8.4400000000000003E-2</v>
      </c>
      <c r="H1079" s="1370">
        <f>'PRPM WP2'!D1080</f>
        <v>2.0999999999999999E-3</v>
      </c>
      <c r="I1079" s="1370">
        <f t="shared" si="16"/>
        <v>8.2299999999999998E-2</v>
      </c>
      <c r="J1079" s="1371">
        <f t="shared" si="19"/>
        <v>42278</v>
      </c>
    </row>
    <row r="1080" spans="2:10" x14ac:dyDescent="0.45">
      <c r="B1080" s="1371">
        <f t="shared" si="17"/>
        <v>42309</v>
      </c>
      <c r="C1080" s="1370" t="str">
        <f t="shared" si="18"/>
        <v xml:space="preserve">Market Return                    </v>
      </c>
      <c r="F1080" s="1372">
        <f>'PRPM WP2'!B1081</f>
        <v>3.0000000000000001E-3</v>
      </c>
      <c r="H1080" s="1370">
        <f>'PRPM WP2'!D1081</f>
        <v>2.2000000000000001E-3</v>
      </c>
      <c r="I1080" s="1370">
        <f t="shared" si="16"/>
        <v>7.9999999999999993E-4</v>
      </c>
      <c r="J1080" s="1371">
        <f t="shared" si="19"/>
        <v>42309</v>
      </c>
    </row>
    <row r="1081" spans="2:10" x14ac:dyDescent="0.45">
      <c r="B1081" s="1371">
        <f t="shared" si="17"/>
        <v>42339</v>
      </c>
      <c r="C1081" s="1370" t="str">
        <f t="shared" si="18"/>
        <v xml:space="preserve">Market Return                    </v>
      </c>
      <c r="F1081" s="1372">
        <f>'PRPM WP2'!B1082</f>
        <v>-1.5800000000000002E-2</v>
      </c>
      <c r="H1081" s="1370">
        <f>'PRPM WP2'!D1082</f>
        <v>2.2000000000000001E-3</v>
      </c>
      <c r="I1081" s="1370">
        <f t="shared" si="16"/>
        <v>-1.8000000000000002E-2</v>
      </c>
      <c r="J1081" s="1371">
        <f t="shared" si="19"/>
        <v>42339</v>
      </c>
    </row>
    <row r="1082" spans="2:10" x14ac:dyDescent="0.45">
      <c r="B1082" s="1371">
        <f t="shared" si="17"/>
        <v>42370</v>
      </c>
      <c r="C1082" s="1370" t="str">
        <f t="shared" si="18"/>
        <v xml:space="preserve">Market Return                    </v>
      </c>
      <c r="F1082" s="1372">
        <f>'PRPM WP2'!B1083</f>
        <v>-4.9599999999999998E-2</v>
      </c>
      <c r="H1082" s="1370">
        <f>'PRPM WP2'!D1083</f>
        <v>2.0999999999999999E-3</v>
      </c>
      <c r="I1082" s="1370">
        <f t="shared" si="16"/>
        <v>-5.1699999999999996E-2</v>
      </c>
      <c r="J1082" s="1371">
        <f t="shared" si="19"/>
        <v>42370</v>
      </c>
    </row>
    <row r="1083" spans="2:10" x14ac:dyDescent="0.45">
      <c r="B1083" s="1371">
        <f t="shared" si="17"/>
        <v>42401</v>
      </c>
      <c r="C1083" s="1370" t="str">
        <f t="shared" si="18"/>
        <v xml:space="preserve">Market Return                    </v>
      </c>
      <c r="F1083" s="1372">
        <f>'PRPM WP2'!B1084</f>
        <v>-1.2999999999999999E-3</v>
      </c>
      <c r="H1083" s="1370">
        <f>'PRPM WP2'!D1084</f>
        <v>2E-3</v>
      </c>
      <c r="I1083" s="1370">
        <f t="shared" si="16"/>
        <v>-3.3E-3</v>
      </c>
      <c r="J1083" s="1371">
        <f t="shared" si="19"/>
        <v>42401</v>
      </c>
    </row>
    <row r="1084" spans="2:10" x14ac:dyDescent="0.45">
      <c r="B1084" s="1371">
        <f t="shared" si="17"/>
        <v>42430</v>
      </c>
      <c r="C1084" s="1370" t="str">
        <f t="shared" si="18"/>
        <v xml:space="preserve">Market Return                    </v>
      </c>
      <c r="F1084" s="1372">
        <f>'PRPM WP2'!B1085</f>
        <v>6.7799999999999999E-2</v>
      </c>
      <c r="H1084" s="1370">
        <f>'PRPM WP2'!D1085</f>
        <v>1.8E-3</v>
      </c>
      <c r="I1084" s="1370">
        <f t="shared" si="16"/>
        <v>6.6000000000000003E-2</v>
      </c>
      <c r="J1084" s="1371">
        <f t="shared" si="19"/>
        <v>42430</v>
      </c>
    </row>
    <row r="1085" spans="2:10" x14ac:dyDescent="0.45">
      <c r="B1085" s="1371">
        <f t="shared" si="17"/>
        <v>42461</v>
      </c>
      <c r="C1085" s="1370" t="str">
        <f t="shared" si="18"/>
        <v xml:space="preserve">Market Return                    </v>
      </c>
      <c r="F1085" s="1372">
        <f>'PRPM WP2'!B1086</f>
        <v>3.8999999999999998E-3</v>
      </c>
      <c r="H1085" s="1370">
        <f>'PRPM WP2'!D1086</f>
        <v>1.6999999999999999E-3</v>
      </c>
      <c r="I1085" s="1370">
        <f t="shared" si="16"/>
        <v>2.1999999999999997E-3</v>
      </c>
      <c r="J1085" s="1371">
        <f t="shared" si="19"/>
        <v>42461</v>
      </c>
    </row>
    <row r="1086" spans="2:10" x14ac:dyDescent="0.45">
      <c r="B1086" s="1371">
        <f t="shared" si="17"/>
        <v>42491</v>
      </c>
      <c r="C1086" s="1370" t="str">
        <f t="shared" si="18"/>
        <v xml:space="preserve">Market Return                    </v>
      </c>
      <c r="F1086" s="1372">
        <f>'PRPM WP2'!B1087</f>
        <v>1.7999999999999999E-2</v>
      </c>
      <c r="H1086" s="1370">
        <f>'PRPM WP2'!D1087</f>
        <v>2E-3</v>
      </c>
      <c r="I1086" s="1370">
        <f t="shared" si="16"/>
        <v>1.6E-2</v>
      </c>
      <c r="J1086" s="1371">
        <f t="shared" si="19"/>
        <v>42491</v>
      </c>
    </row>
    <row r="1087" spans="2:10" x14ac:dyDescent="0.45">
      <c r="B1087" s="1371">
        <f t="shared" si="17"/>
        <v>42522</v>
      </c>
      <c r="C1087" s="1370" t="str">
        <f t="shared" si="18"/>
        <v xml:space="preserve">Market Return                    </v>
      </c>
      <c r="F1087" s="1372">
        <f>'PRPM WP2'!B1088</f>
        <v>2.5999999999999999E-3</v>
      </c>
      <c r="H1087" s="1370">
        <f>'PRPM WP2'!D1088</f>
        <v>1.8E-3</v>
      </c>
      <c r="I1087" s="1370">
        <f t="shared" si="16"/>
        <v>7.9999999999999993E-4</v>
      </c>
      <c r="J1087" s="1371">
        <f t="shared" si="19"/>
        <v>42522</v>
      </c>
    </row>
    <row r="1088" spans="2:10" x14ac:dyDescent="0.45">
      <c r="B1088" s="1371">
        <f t="shared" si="17"/>
        <v>42552</v>
      </c>
      <c r="C1088" s="1370" t="str">
        <f t="shared" si="18"/>
        <v xml:space="preserve">Market Return                    </v>
      </c>
      <c r="F1088" s="1372">
        <f>'PRPM WP2'!B1089</f>
        <v>3.6900000000000002E-2</v>
      </c>
      <c r="H1088" s="1370">
        <f>'PRPM WP2'!D1089</f>
        <v>1.4E-3</v>
      </c>
      <c r="I1088" s="1370">
        <f t="shared" si="16"/>
        <v>3.5500000000000004E-2</v>
      </c>
      <c r="J1088" s="1371">
        <f t="shared" si="19"/>
        <v>42552</v>
      </c>
    </row>
    <row r="1089" spans="2:10" x14ac:dyDescent="0.45">
      <c r="B1089" s="1371">
        <f t="shared" si="17"/>
        <v>42583</v>
      </c>
      <c r="C1089" s="1370" t="str">
        <f t="shared" si="18"/>
        <v xml:space="preserve">Market Return                    </v>
      </c>
      <c r="F1089" s="1372">
        <f>'PRPM WP2'!B1090</f>
        <v>1.4E-3</v>
      </c>
      <c r="H1089" s="1370">
        <f>'PRPM WP2'!D1090</f>
        <v>1.6000000000000001E-3</v>
      </c>
      <c r="I1089" s="1370">
        <f t="shared" si="16"/>
        <v>-2.0000000000000009E-4</v>
      </c>
      <c r="J1089" s="1371">
        <f t="shared" si="19"/>
        <v>42583</v>
      </c>
    </row>
    <row r="1090" spans="2:10" x14ac:dyDescent="0.45">
      <c r="B1090" s="1371">
        <f t="shared" si="17"/>
        <v>42614</v>
      </c>
      <c r="C1090" s="1370" t="str">
        <f t="shared" si="18"/>
        <v xml:space="preserve">Market Return                    </v>
      </c>
      <c r="F1090" s="1372">
        <f>'PRPM WP2'!B1091</f>
        <v>2.0000000000000001E-4</v>
      </c>
      <c r="H1090" s="1370">
        <f>'PRPM WP2'!D1091</f>
        <v>1.5E-3</v>
      </c>
      <c r="I1090" s="1370">
        <f t="shared" ref="I1090:I1153" si="20">F1090-H1090</f>
        <v>-1.2999999999999999E-3</v>
      </c>
      <c r="J1090" s="1371">
        <f t="shared" si="19"/>
        <v>42614</v>
      </c>
    </row>
    <row r="1091" spans="2:10" x14ac:dyDescent="0.45">
      <c r="B1091" s="1371">
        <f t="shared" si="17"/>
        <v>42644</v>
      </c>
      <c r="C1091" s="1370" t="str">
        <f t="shared" si="18"/>
        <v xml:space="preserve">Market Return                    </v>
      </c>
      <c r="F1091" s="1372">
        <f>'PRPM WP2'!B1092</f>
        <v>-1.8200000000000001E-2</v>
      </c>
      <c r="H1091" s="1370">
        <f>'PRPM WP2'!D1092</f>
        <v>1.6000000000000001E-3</v>
      </c>
      <c r="I1091" s="1370">
        <f t="shared" si="20"/>
        <v>-1.9800000000000002E-2</v>
      </c>
      <c r="J1091" s="1371">
        <f t="shared" si="19"/>
        <v>42644</v>
      </c>
    </row>
    <row r="1092" spans="2:10" x14ac:dyDescent="0.45">
      <c r="B1092" s="1371">
        <f t="shared" si="17"/>
        <v>42675</v>
      </c>
      <c r="C1092" s="1370" t="str">
        <f t="shared" si="18"/>
        <v xml:space="preserve">Market Return                    </v>
      </c>
      <c r="F1092" s="1372">
        <f>'PRPM WP2'!B1093</f>
        <v>3.6999999999999998E-2</v>
      </c>
      <c r="H1092" s="1370">
        <f>'PRPM WP2'!D1093</f>
        <v>1.8E-3</v>
      </c>
      <c r="I1092" s="1370">
        <f t="shared" si="20"/>
        <v>3.5199999999999995E-2</v>
      </c>
      <c r="J1092" s="1371">
        <f t="shared" si="19"/>
        <v>42675</v>
      </c>
    </row>
    <row r="1093" spans="2:10" x14ac:dyDescent="0.45">
      <c r="B1093" s="1371">
        <f t="shared" si="17"/>
        <v>42705</v>
      </c>
      <c r="C1093" s="1370" t="str">
        <f t="shared" si="18"/>
        <v xml:space="preserve">Market Return                    </v>
      </c>
      <c r="F1093" s="1372">
        <f>'PRPM WP2'!B1094</f>
        <v>1.9800000000000002E-2</v>
      </c>
      <c r="H1093" s="1370">
        <f>'PRPM WP2'!D1094</f>
        <v>2.2000000000000001E-3</v>
      </c>
      <c r="I1093" s="1370">
        <f t="shared" si="20"/>
        <v>1.7600000000000001E-2</v>
      </c>
      <c r="J1093" s="1371">
        <f t="shared" si="19"/>
        <v>42705</v>
      </c>
    </row>
    <row r="1094" spans="2:10" x14ac:dyDescent="0.45">
      <c r="B1094" s="1371">
        <f t="shared" si="17"/>
        <v>42736</v>
      </c>
      <c r="C1094" s="1370" t="str">
        <f t="shared" si="18"/>
        <v xml:space="preserve">Market Return                    </v>
      </c>
      <c r="F1094" s="1372">
        <f>'PRPM WP2'!B1095</f>
        <v>1.9E-2</v>
      </c>
      <c r="H1094" s="1370">
        <f>'PRPM WP2'!D1095</f>
        <v>2.3999999999999998E-3</v>
      </c>
      <c r="I1094" s="1370">
        <f t="shared" si="20"/>
        <v>1.66E-2</v>
      </c>
      <c r="J1094" s="1371">
        <f t="shared" si="19"/>
        <v>42736</v>
      </c>
    </row>
    <row r="1095" spans="2:10" x14ac:dyDescent="0.45">
      <c r="B1095" s="1371">
        <f t="shared" si="17"/>
        <v>42767</v>
      </c>
      <c r="C1095" s="1370" t="str">
        <f t="shared" si="18"/>
        <v xml:space="preserve">Market Return                    </v>
      </c>
      <c r="F1095" s="1372">
        <f>'PRPM WP2'!B1096</f>
        <v>3.9699999999999999E-2</v>
      </c>
      <c r="H1095" s="1370">
        <f>'PRPM WP2'!D1096</f>
        <v>2.0999999999999999E-3</v>
      </c>
      <c r="I1095" s="1370">
        <f t="shared" si="20"/>
        <v>3.7600000000000001E-2</v>
      </c>
      <c r="J1095" s="1371">
        <f t="shared" si="19"/>
        <v>42767</v>
      </c>
    </row>
    <row r="1096" spans="2:10" x14ac:dyDescent="0.45">
      <c r="B1096" s="1371">
        <f t="shared" si="17"/>
        <v>42795</v>
      </c>
      <c r="C1096" s="1370" t="str">
        <f t="shared" si="18"/>
        <v xml:space="preserve">Market Return                    </v>
      </c>
      <c r="F1096" s="1372">
        <f>'PRPM WP2'!B1097</f>
        <v>1.1999999999999999E-3</v>
      </c>
      <c r="H1096" s="1370">
        <f>'PRPM WP2'!D1097</f>
        <v>2.3E-3</v>
      </c>
      <c r="I1096" s="1370">
        <f t="shared" si="20"/>
        <v>-1.1000000000000001E-3</v>
      </c>
      <c r="J1096" s="1371">
        <f t="shared" si="19"/>
        <v>42795</v>
      </c>
    </row>
    <row r="1097" spans="2:10" x14ac:dyDescent="0.45">
      <c r="B1097" s="1371">
        <f t="shared" si="17"/>
        <v>42826</v>
      </c>
      <c r="C1097" s="1370" t="str">
        <f t="shared" si="18"/>
        <v xml:space="preserve">Market Return                    </v>
      </c>
      <c r="F1097" s="1372">
        <f>'PRPM WP2'!B1098</f>
        <v>1.03E-2</v>
      </c>
      <c r="H1097" s="1370">
        <f>'PRPM WP2'!D1098</f>
        <v>2.0999999999999999E-3</v>
      </c>
      <c r="I1097" s="1370">
        <f t="shared" si="20"/>
        <v>8.2000000000000007E-3</v>
      </c>
      <c r="J1097" s="1371">
        <f t="shared" si="19"/>
        <v>42826</v>
      </c>
    </row>
    <row r="1098" spans="2:10" x14ac:dyDescent="0.45">
      <c r="B1098" s="1371">
        <f t="shared" si="17"/>
        <v>42856</v>
      </c>
      <c r="C1098" s="1370" t="str">
        <f t="shared" si="18"/>
        <v xml:space="preserve">Market Return                    </v>
      </c>
      <c r="F1098" s="1372">
        <f>'PRPM WP2'!B1099</f>
        <v>1.41E-2</v>
      </c>
      <c r="H1098" s="1370">
        <f>'PRPM WP2'!D1099</f>
        <v>2.3999999999999998E-3</v>
      </c>
      <c r="I1098" s="1370">
        <f t="shared" si="20"/>
        <v>1.17E-2</v>
      </c>
      <c r="J1098" s="1371">
        <f t="shared" si="19"/>
        <v>42856</v>
      </c>
    </row>
    <row r="1099" spans="2:10" x14ac:dyDescent="0.45">
      <c r="B1099" s="1371">
        <f t="shared" si="17"/>
        <v>42887</v>
      </c>
      <c r="C1099" s="1370" t="str">
        <f t="shared" si="18"/>
        <v xml:space="preserve">Market Return                    </v>
      </c>
      <c r="F1099" s="1372">
        <f>'PRPM WP2'!B1100</f>
        <v>6.1999999999999998E-3</v>
      </c>
      <c r="H1099" s="1370">
        <f>'PRPM WP2'!D1100</f>
        <v>2.0999999999999999E-3</v>
      </c>
      <c r="I1099" s="1370">
        <f t="shared" si="20"/>
        <v>4.0999999999999995E-3</v>
      </c>
      <c r="J1099" s="1371">
        <f t="shared" si="19"/>
        <v>42887</v>
      </c>
    </row>
    <row r="1100" spans="2:10" x14ac:dyDescent="0.45">
      <c r="B1100" s="1371">
        <f t="shared" si="17"/>
        <v>42917</v>
      </c>
      <c r="C1100" s="1370" t="str">
        <f t="shared" si="18"/>
        <v xml:space="preserve">Market Return                    </v>
      </c>
      <c r="F1100" s="1372">
        <f>'PRPM WP2'!B1101</f>
        <v>2.06E-2</v>
      </c>
      <c r="H1100" s="1370">
        <f>'PRPM WP2'!D1101</f>
        <v>2.2000000000000001E-3</v>
      </c>
      <c r="I1100" s="1370">
        <f t="shared" si="20"/>
        <v>1.84E-2</v>
      </c>
      <c r="J1100" s="1371">
        <f t="shared" si="19"/>
        <v>42917</v>
      </c>
    </row>
    <row r="1101" spans="2:10" x14ac:dyDescent="0.45">
      <c r="B1101" s="1371">
        <f t="shared" si="17"/>
        <v>42948</v>
      </c>
      <c r="C1101" s="1370" t="str">
        <f t="shared" si="18"/>
        <v xml:space="preserve">Market Return                    </v>
      </c>
      <c r="F1101" s="1372">
        <f>'PRPM WP2'!B1102</f>
        <v>3.0999999999999999E-3</v>
      </c>
      <c r="H1101" s="1370">
        <f>'PRPM WP2'!D1102</f>
        <v>2.2000000000000001E-3</v>
      </c>
      <c r="I1101" s="1370">
        <f t="shared" si="20"/>
        <v>8.9999999999999976E-4</v>
      </c>
      <c r="J1101" s="1371">
        <f t="shared" si="19"/>
        <v>42948</v>
      </c>
    </row>
    <row r="1102" spans="2:10" x14ac:dyDescent="0.45">
      <c r="B1102" s="1371">
        <f t="shared" si="17"/>
        <v>42979</v>
      </c>
      <c r="C1102" s="1370" t="str">
        <f t="shared" si="18"/>
        <v xml:space="preserve">Market Return                    </v>
      </c>
      <c r="F1102" s="1372">
        <f>'PRPM WP2'!B1103</f>
        <v>2.06E-2</v>
      </c>
      <c r="H1102" s="1370">
        <f>'PRPM WP2'!D1103</f>
        <v>1.9E-3</v>
      </c>
      <c r="I1102" s="1370">
        <f t="shared" si="20"/>
        <v>1.8700000000000001E-2</v>
      </c>
      <c r="J1102" s="1371">
        <f t="shared" si="19"/>
        <v>42979</v>
      </c>
    </row>
    <row r="1103" spans="2:10" x14ac:dyDescent="0.45">
      <c r="B1103" s="1371">
        <f t="shared" si="17"/>
        <v>43009</v>
      </c>
      <c r="C1103" s="1370" t="str">
        <f t="shared" si="18"/>
        <v xml:space="preserve">Market Return                    </v>
      </c>
      <c r="F1103" s="1372">
        <f>'PRPM WP2'!B1104</f>
        <v>2.3300000000000001E-2</v>
      </c>
      <c r="H1103" s="1370">
        <f>'PRPM WP2'!D1104</f>
        <v>2.2000000000000001E-3</v>
      </c>
      <c r="I1103" s="1370">
        <f t="shared" si="20"/>
        <v>2.1100000000000001E-2</v>
      </c>
      <c r="J1103" s="1371">
        <f t="shared" si="19"/>
        <v>43009</v>
      </c>
    </row>
    <row r="1104" spans="2:10" x14ac:dyDescent="0.45">
      <c r="B1104" s="1371">
        <f t="shared" si="17"/>
        <v>43040</v>
      </c>
      <c r="C1104" s="1370" t="str">
        <f t="shared" si="18"/>
        <v xml:space="preserve">Market Return                    </v>
      </c>
      <c r="F1104" s="1372">
        <f>'PRPM WP2'!B1105</f>
        <v>3.0700000000000002E-2</v>
      </c>
      <c r="H1104" s="1370">
        <f>'PRPM WP2'!D1105</f>
        <v>2.0999999999999999E-3</v>
      </c>
      <c r="I1104" s="1370">
        <f t="shared" si="20"/>
        <v>2.86E-2</v>
      </c>
      <c r="J1104" s="1371">
        <f t="shared" si="19"/>
        <v>43040</v>
      </c>
    </row>
    <row r="1105" spans="2:10" x14ac:dyDescent="0.45">
      <c r="B1105" s="1371">
        <f t="shared" si="17"/>
        <v>43070</v>
      </c>
      <c r="C1105" s="1370" t="str">
        <f t="shared" si="18"/>
        <v xml:space="preserve">Market Return                    </v>
      </c>
      <c r="F1105" s="1372">
        <f>'PRPM WP2'!B1106</f>
        <v>1.11E-2</v>
      </c>
      <c r="H1105" s="1370">
        <f>'PRPM WP2'!D1106</f>
        <v>2E-3</v>
      </c>
      <c r="I1105" s="1370">
        <f t="shared" si="20"/>
        <v>9.1000000000000004E-3</v>
      </c>
      <c r="J1105" s="1371">
        <f t="shared" si="19"/>
        <v>43070</v>
      </c>
    </row>
    <row r="1106" spans="2:10" x14ac:dyDescent="0.45">
      <c r="B1106" s="1371">
        <f t="shared" si="17"/>
        <v>43101</v>
      </c>
      <c r="C1106" s="1370" t="str">
        <f t="shared" si="18"/>
        <v xml:space="preserve">Market Return                    </v>
      </c>
      <c r="F1106" s="1372">
        <f>'PRPM WP2'!B1107</f>
        <v>5.7299999999999997E-2</v>
      </c>
      <c r="H1106" s="1370">
        <f>'PRPM WP2'!D1107</f>
        <v>2.3999999999999998E-3</v>
      </c>
      <c r="I1106" s="1370">
        <f t="shared" si="20"/>
        <v>5.4899999999999997E-2</v>
      </c>
      <c r="J1106" s="1371">
        <f t="shared" si="19"/>
        <v>43101</v>
      </c>
    </row>
    <row r="1107" spans="2:10" x14ac:dyDescent="0.45">
      <c r="B1107" s="1371">
        <f t="shared" ref="B1107:B1138" si="21">DATE(YEAR(B1106),MONTH(B1106) + 1,1)</f>
        <v>43132</v>
      </c>
      <c r="C1107" s="1370" t="str">
        <f t="shared" ref="C1107:C1138" si="22">C1106</f>
        <v xml:space="preserve">Market Return                    </v>
      </c>
      <c r="F1107" s="1372">
        <f>'PRPM WP2'!B1108</f>
        <v>-3.6900000000000002E-2</v>
      </c>
      <c r="H1107" s="1370">
        <f>'PRPM WP2'!D1108</f>
        <v>2.2000000000000001E-3</v>
      </c>
      <c r="I1107" s="1370">
        <f t="shared" si="20"/>
        <v>-3.9100000000000003E-2</v>
      </c>
      <c r="J1107" s="1371">
        <f t="shared" ref="J1107:J1138" si="23">B1107</f>
        <v>43132</v>
      </c>
    </row>
    <row r="1108" spans="2:10" x14ac:dyDescent="0.45">
      <c r="B1108" s="1371">
        <f t="shared" si="21"/>
        <v>43160</v>
      </c>
      <c r="C1108" s="1370" t="str">
        <f t="shared" si="22"/>
        <v xml:space="preserve">Market Return                    </v>
      </c>
      <c r="F1108" s="1372">
        <f>'PRPM WP2'!B1109</f>
        <v>-2.5399999999999999E-2</v>
      </c>
      <c r="H1108" s="1370">
        <f>'PRPM WP2'!D1109</f>
        <v>2.3999999999999998E-3</v>
      </c>
      <c r="I1108" s="1370">
        <f t="shared" si="20"/>
        <v>-2.7799999999999998E-2</v>
      </c>
      <c r="J1108" s="1371">
        <f t="shared" si="23"/>
        <v>43160</v>
      </c>
    </row>
    <row r="1109" spans="2:10" x14ac:dyDescent="0.45">
      <c r="B1109" s="1371">
        <f t="shared" si="21"/>
        <v>43191</v>
      </c>
      <c r="C1109" s="1370" t="str">
        <f t="shared" si="22"/>
        <v xml:space="preserve">Market Return                    </v>
      </c>
      <c r="F1109" s="1372">
        <f>'PRPM WP2'!B1110</f>
        <v>3.8E-3</v>
      </c>
      <c r="H1109" s="1370">
        <f>'PRPM WP2'!D1110</f>
        <v>2.5000000000000001E-3</v>
      </c>
      <c r="I1109" s="1370">
        <f t="shared" si="20"/>
        <v>1.2999999999999999E-3</v>
      </c>
      <c r="J1109" s="1371">
        <f t="shared" si="23"/>
        <v>43191</v>
      </c>
    </row>
    <row r="1110" spans="2:10" x14ac:dyDescent="0.45">
      <c r="B1110" s="1371">
        <f t="shared" si="21"/>
        <v>43221</v>
      </c>
      <c r="C1110" s="1370" t="str">
        <f t="shared" si="22"/>
        <v xml:space="preserve">Market Return                    </v>
      </c>
      <c r="F1110" s="1372">
        <f>'PRPM WP2'!B1111</f>
        <v>2.41E-2</v>
      </c>
      <c r="H1110" s="1370">
        <f>'PRPM WP2'!D1111</f>
        <v>2.5000000000000001E-3</v>
      </c>
      <c r="I1110" s="1370">
        <f t="shared" si="20"/>
        <v>2.1600000000000001E-2</v>
      </c>
      <c r="J1110" s="1371">
        <f t="shared" si="23"/>
        <v>43221</v>
      </c>
    </row>
    <row r="1111" spans="2:10" x14ac:dyDescent="0.45">
      <c r="B1111" s="1371">
        <f t="shared" si="21"/>
        <v>43252</v>
      </c>
      <c r="C1111" s="1370" t="str">
        <f t="shared" si="22"/>
        <v xml:space="preserve">Market Return                    </v>
      </c>
      <c r="F1111" s="1372">
        <f>'PRPM WP2'!B1112</f>
        <v>6.1999999999999998E-3</v>
      </c>
      <c r="H1111" s="1370">
        <f>'PRPM WP2'!D1112</f>
        <v>2.3E-3</v>
      </c>
      <c r="I1111" s="1370">
        <f t="shared" si="20"/>
        <v>3.8999999999999998E-3</v>
      </c>
      <c r="J1111" s="1371">
        <f t="shared" si="23"/>
        <v>43252</v>
      </c>
    </row>
    <row r="1112" spans="2:10" x14ac:dyDescent="0.45">
      <c r="B1112" s="1371">
        <f t="shared" si="21"/>
        <v>43282</v>
      </c>
      <c r="C1112" s="1370" t="str">
        <f t="shared" si="22"/>
        <v xml:space="preserve">Market Return                    </v>
      </c>
      <c r="F1112" s="1372">
        <f>'PRPM WP2'!B1113</f>
        <v>3.7199999999999997E-2</v>
      </c>
      <c r="H1112" s="1370">
        <f>'PRPM WP2'!D1113</f>
        <v>2.5000000000000001E-3</v>
      </c>
      <c r="I1112" s="1370">
        <f t="shared" si="20"/>
        <v>3.4699999999999995E-2</v>
      </c>
      <c r="J1112" s="1371">
        <f t="shared" si="23"/>
        <v>43282</v>
      </c>
    </row>
    <row r="1113" spans="2:10" x14ac:dyDescent="0.45">
      <c r="B1113" s="1371">
        <f t="shared" si="21"/>
        <v>43313</v>
      </c>
      <c r="C1113" s="1370" t="str">
        <f t="shared" si="22"/>
        <v xml:space="preserve">Market Return                    </v>
      </c>
      <c r="F1113" s="1372">
        <f>'PRPM WP2'!B1114</f>
        <v>3.2599999999999997E-2</v>
      </c>
      <c r="H1113" s="1370">
        <f>'PRPM WP2'!D1114</f>
        <v>2.5000000000000001E-3</v>
      </c>
      <c r="I1113" s="1370">
        <f t="shared" si="20"/>
        <v>3.0099999999999998E-2</v>
      </c>
      <c r="J1113" s="1371">
        <f t="shared" si="23"/>
        <v>43313</v>
      </c>
    </row>
    <row r="1114" spans="2:10" x14ac:dyDescent="0.45">
      <c r="B1114" s="1371">
        <f t="shared" si="21"/>
        <v>43344</v>
      </c>
      <c r="C1114" s="1370" t="str">
        <f t="shared" si="22"/>
        <v xml:space="preserve">Market Return                    </v>
      </c>
      <c r="F1114" s="1372">
        <f>'PRPM WP2'!B1115</f>
        <v>5.7000000000000002E-3</v>
      </c>
      <c r="H1114" s="1370">
        <f>'PRPM WP2'!D1115</f>
        <v>2.2000000000000001E-3</v>
      </c>
      <c r="I1114" s="1370">
        <f t="shared" si="20"/>
        <v>3.5000000000000001E-3</v>
      </c>
      <c r="J1114" s="1371">
        <f t="shared" si="23"/>
        <v>43344</v>
      </c>
    </row>
    <row r="1115" spans="2:10" x14ac:dyDescent="0.45">
      <c r="B1115" s="1371">
        <f t="shared" si="21"/>
        <v>43374</v>
      </c>
      <c r="C1115" s="1370" t="str">
        <f t="shared" si="22"/>
        <v xml:space="preserve">Market Return                    </v>
      </c>
      <c r="F1115" s="1372">
        <f>'PRPM WP2'!B1116</f>
        <v>-6.8400000000000002E-2</v>
      </c>
      <c r="H1115" s="1370">
        <f>'PRPM WP2'!D1116</f>
        <v>3.0000000000000001E-3</v>
      </c>
      <c r="I1115" s="1370">
        <f t="shared" si="20"/>
        <v>-7.1400000000000005E-2</v>
      </c>
      <c r="J1115" s="1371">
        <f t="shared" si="23"/>
        <v>43374</v>
      </c>
    </row>
    <row r="1116" spans="2:10" x14ac:dyDescent="0.45">
      <c r="B1116" s="1371">
        <f t="shared" si="21"/>
        <v>43405</v>
      </c>
      <c r="C1116" s="1370" t="str">
        <f t="shared" si="22"/>
        <v xml:space="preserve">Market Return                    </v>
      </c>
      <c r="F1116" s="1372">
        <f>'PRPM WP2'!B1117</f>
        <v>2.0400000000000001E-2</v>
      </c>
      <c r="H1116" s="1370">
        <f>'PRPM WP2'!D1117</f>
        <v>2.8E-3</v>
      </c>
      <c r="I1116" s="1370">
        <f t="shared" si="20"/>
        <v>1.7600000000000001E-2</v>
      </c>
      <c r="J1116" s="1371">
        <f t="shared" si="23"/>
        <v>43405</v>
      </c>
    </row>
    <row r="1117" spans="2:10" x14ac:dyDescent="0.45">
      <c r="B1117" s="1371">
        <f t="shared" si="21"/>
        <v>43435</v>
      </c>
      <c r="C1117" s="1370" t="str">
        <f t="shared" si="22"/>
        <v xml:space="preserve">Market Return                    </v>
      </c>
      <c r="F1117" s="1372">
        <f>'PRPM WP2'!B1118</f>
        <v>-9.0300000000000005E-2</v>
      </c>
      <c r="H1117" s="1370">
        <f>'PRPM WP2'!D1118</f>
        <v>2.7000000000000001E-3</v>
      </c>
      <c r="I1117" s="1370">
        <f t="shared" si="20"/>
        <v>-9.2999999999999999E-2</v>
      </c>
      <c r="J1117" s="1371">
        <f t="shared" si="23"/>
        <v>43435</v>
      </c>
    </row>
    <row r="1118" spans="2:10" x14ac:dyDescent="0.45">
      <c r="B1118" s="1371">
        <f t="shared" si="21"/>
        <v>43466</v>
      </c>
      <c r="C1118" s="1370" t="str">
        <f t="shared" si="22"/>
        <v xml:space="preserve">Market Return                    </v>
      </c>
      <c r="F1118" s="1372">
        <f>'PRPM WP2'!B1119</f>
        <v>8.0100000000000005E-2</v>
      </c>
      <c r="H1118" s="1370">
        <f>'PRPM WP2'!D1119</f>
        <v>2.5000000000000001E-3</v>
      </c>
      <c r="I1118" s="1370">
        <f t="shared" si="20"/>
        <v>7.7600000000000002E-2</v>
      </c>
      <c r="J1118" s="1371">
        <f t="shared" si="23"/>
        <v>43466</v>
      </c>
    </row>
    <row r="1119" spans="2:10" x14ac:dyDescent="0.45">
      <c r="B1119" s="1371">
        <f t="shared" si="21"/>
        <v>43497</v>
      </c>
      <c r="C1119" s="1370" t="str">
        <f t="shared" si="22"/>
        <v xml:space="preserve">Market Return                    </v>
      </c>
      <c r="F1119" s="1372">
        <f>'PRPM WP2'!B1120</f>
        <v>3.2099999999999997E-2</v>
      </c>
      <c r="H1119" s="1370">
        <f>'PRPM WP2'!D1120</f>
        <v>2.2000000000000001E-3</v>
      </c>
      <c r="I1119" s="1370">
        <f t="shared" si="20"/>
        <v>2.9899999999999996E-2</v>
      </c>
      <c r="J1119" s="1371">
        <f t="shared" si="23"/>
        <v>43497</v>
      </c>
    </row>
    <row r="1120" spans="2:10" x14ac:dyDescent="0.45">
      <c r="B1120" s="1371">
        <f t="shared" si="21"/>
        <v>43525</v>
      </c>
      <c r="C1120" s="1370" t="str">
        <f t="shared" si="22"/>
        <v xml:space="preserve">Market Return                    </v>
      </c>
      <c r="F1120" s="1372">
        <f>'PRPM WP2'!B1121</f>
        <v>1.9400000000000001E-2</v>
      </c>
      <c r="H1120" s="1370">
        <f>'PRPM WP2'!D1121</f>
        <v>2.3E-3</v>
      </c>
      <c r="I1120" s="1370">
        <f t="shared" si="20"/>
        <v>1.7100000000000001E-2</v>
      </c>
      <c r="J1120" s="1371">
        <f t="shared" si="23"/>
        <v>43525</v>
      </c>
    </row>
    <row r="1121" spans="2:10" x14ac:dyDescent="0.45">
      <c r="B1121" s="1371">
        <f t="shared" si="21"/>
        <v>43556</v>
      </c>
      <c r="C1121" s="1370" t="str">
        <f t="shared" si="22"/>
        <v xml:space="preserve">Market Return                    </v>
      </c>
      <c r="F1121" s="1372">
        <f>'PRPM WP2'!B1122</f>
        <v>4.0500000000000001E-2</v>
      </c>
      <c r="H1121" s="1370">
        <f>'PRPM WP2'!D1122</f>
        <v>2.3E-3</v>
      </c>
      <c r="I1121" s="1370">
        <f t="shared" si="20"/>
        <v>3.8199999999999998E-2</v>
      </c>
      <c r="J1121" s="1371">
        <f t="shared" si="23"/>
        <v>43556</v>
      </c>
    </row>
    <row r="1122" spans="2:10" x14ac:dyDescent="0.45">
      <c r="B1122" s="1371">
        <f t="shared" si="21"/>
        <v>43586</v>
      </c>
      <c r="C1122" s="1370" t="str">
        <f t="shared" si="22"/>
        <v xml:space="preserve">Market Return                    </v>
      </c>
      <c r="F1122" s="1372">
        <f>'PRPM WP2'!B1123</f>
        <v>-6.3500000000000001E-2</v>
      </c>
      <c r="H1122" s="1370">
        <f>'PRPM WP2'!D1123</f>
        <v>2.3E-3</v>
      </c>
      <c r="I1122" s="1370">
        <f t="shared" si="20"/>
        <v>-6.5799999999999997E-2</v>
      </c>
      <c r="J1122" s="1371">
        <f t="shared" si="23"/>
        <v>43586</v>
      </c>
    </row>
    <row r="1123" spans="2:10" x14ac:dyDescent="0.45">
      <c r="B1123" s="1371">
        <f t="shared" si="21"/>
        <v>43617</v>
      </c>
      <c r="C1123" s="1370" t="str">
        <f t="shared" si="22"/>
        <v xml:space="preserve">Market Return                    </v>
      </c>
      <c r="F1123" s="1372">
        <f>'PRPM WP2'!B1124</f>
        <v>7.0499999999999993E-2</v>
      </c>
      <c r="H1123" s="1370">
        <f>'PRPM WP2'!D1124</f>
        <v>1.8E-3</v>
      </c>
      <c r="I1123" s="1370">
        <f t="shared" si="20"/>
        <v>6.8699999999999997E-2</v>
      </c>
      <c r="J1123" s="1371">
        <f t="shared" si="23"/>
        <v>43617</v>
      </c>
    </row>
    <row r="1124" spans="2:10" x14ac:dyDescent="0.45">
      <c r="B1124" s="1371">
        <f t="shared" si="21"/>
        <v>43647</v>
      </c>
      <c r="C1124" s="1370" t="str">
        <f t="shared" si="22"/>
        <v xml:space="preserve">Market Return                    </v>
      </c>
      <c r="F1124" s="1372">
        <f>'PRPM WP2'!B1125</f>
        <v>1.44E-2</v>
      </c>
      <c r="H1124" s="1370">
        <f>'PRPM WP2'!D1125</f>
        <v>2.0999999999999999E-3</v>
      </c>
      <c r="I1124" s="1370">
        <f t="shared" si="20"/>
        <v>1.23E-2</v>
      </c>
      <c r="J1124" s="1371">
        <f t="shared" si="23"/>
        <v>43647</v>
      </c>
    </row>
    <row r="1125" spans="2:10" x14ac:dyDescent="0.45">
      <c r="B1125" s="1371">
        <f t="shared" si="21"/>
        <v>43678</v>
      </c>
      <c r="C1125" s="1370" t="str">
        <f t="shared" si="22"/>
        <v xml:space="preserve">Market Return                    </v>
      </c>
      <c r="F1125" s="1372">
        <f>'PRPM WP2'!B1126</f>
        <v>-1.5800000000000002E-2</v>
      </c>
      <c r="H1125" s="1370">
        <f>'PRPM WP2'!D1126</f>
        <v>1.9E-3</v>
      </c>
      <c r="I1125" s="1370">
        <f t="shared" si="20"/>
        <v>-1.77E-2</v>
      </c>
      <c r="J1125" s="1371">
        <f t="shared" si="23"/>
        <v>43678</v>
      </c>
    </row>
    <row r="1126" spans="2:10" x14ac:dyDescent="0.45">
      <c r="B1126" s="1371">
        <f t="shared" si="21"/>
        <v>43709</v>
      </c>
      <c r="C1126" s="1370" t="str">
        <f t="shared" si="22"/>
        <v xml:space="preserve">Market Return                    </v>
      </c>
      <c r="F1126" s="1372">
        <f>'PRPM WP2'!B1127</f>
        <v>1.8700000000000001E-2</v>
      </c>
      <c r="H1126" s="1370">
        <f>'PRPM WP2'!D1127</f>
        <v>1.5E-3</v>
      </c>
      <c r="I1126" s="1370">
        <f t="shared" si="20"/>
        <v>1.72E-2</v>
      </c>
      <c r="J1126" s="1371">
        <f t="shared" si="23"/>
        <v>43709</v>
      </c>
    </row>
    <row r="1127" spans="2:10" x14ac:dyDescent="0.45">
      <c r="B1127" s="1371">
        <f t="shared" si="21"/>
        <v>43739</v>
      </c>
      <c r="C1127" s="1370" t="str">
        <f t="shared" si="22"/>
        <v xml:space="preserve">Market Return                    </v>
      </c>
      <c r="F1127" s="1372">
        <f>'PRPM WP2'!B1128</f>
        <v>2.1700000000000001E-2</v>
      </c>
      <c r="H1127" s="1370">
        <f>'PRPM WP2'!D1128</f>
        <v>1.6000000000000001E-3</v>
      </c>
      <c r="I1127" s="1370">
        <f t="shared" si="20"/>
        <v>2.01E-2</v>
      </c>
      <c r="J1127" s="1371">
        <f t="shared" si="23"/>
        <v>43739</v>
      </c>
    </row>
    <row r="1128" spans="2:10" x14ac:dyDescent="0.45">
      <c r="B1128" s="1371">
        <f t="shared" si="21"/>
        <v>43770</v>
      </c>
      <c r="C1128" s="1370" t="str">
        <f t="shared" si="22"/>
        <v xml:space="preserve">Market Return                    </v>
      </c>
      <c r="F1128" s="1372">
        <f>'PRPM WP2'!B1129</f>
        <v>3.6299999999999999E-2</v>
      </c>
      <c r="H1128" s="1370">
        <f>'PRPM WP2'!D1129</f>
        <v>1.6000000000000001E-3</v>
      </c>
      <c r="I1128" s="1370">
        <f t="shared" si="20"/>
        <v>3.4700000000000002E-2</v>
      </c>
      <c r="J1128" s="1371">
        <f t="shared" si="23"/>
        <v>43770</v>
      </c>
    </row>
    <row r="1129" spans="2:10" x14ac:dyDescent="0.45">
      <c r="B1129" s="1371">
        <f t="shared" si="21"/>
        <v>43800</v>
      </c>
      <c r="C1129" s="1370" t="str">
        <f t="shared" si="22"/>
        <v xml:space="preserve">Market Return                    </v>
      </c>
      <c r="F1129" s="1372">
        <f>'PRPM WP2'!B1130</f>
        <v>3.0200000000000001E-2</v>
      </c>
      <c r="H1129" s="1370">
        <f>'PRPM WP2'!D1130</f>
        <v>1.8E-3</v>
      </c>
      <c r="I1129" s="1370">
        <f t="shared" si="20"/>
        <v>2.8400000000000002E-2</v>
      </c>
      <c r="J1129" s="1371">
        <f t="shared" si="23"/>
        <v>43800</v>
      </c>
    </row>
    <row r="1130" spans="2:10" x14ac:dyDescent="0.45">
      <c r="B1130" s="1371">
        <f t="shared" si="21"/>
        <v>43831</v>
      </c>
      <c r="C1130" s="1370" t="str">
        <f t="shared" si="22"/>
        <v xml:space="preserve">Market Return                    </v>
      </c>
      <c r="F1130" s="1372">
        <f>'PRPM WP2'!B1131</f>
        <v>-4.0000000000000002E-4</v>
      </c>
      <c r="H1130" s="1370">
        <f>'PRPM WP2'!D1131</f>
        <v>2E-3</v>
      </c>
      <c r="I1130" s="1370">
        <f t="shared" si="20"/>
        <v>-2.4000000000000002E-3</v>
      </c>
      <c r="J1130" s="1371">
        <f t="shared" si="23"/>
        <v>43831</v>
      </c>
    </row>
    <row r="1131" spans="2:10" x14ac:dyDescent="0.45">
      <c r="B1131" s="1371">
        <f t="shared" si="21"/>
        <v>43862</v>
      </c>
      <c r="C1131" s="1370" t="str">
        <f t="shared" si="22"/>
        <v xml:space="preserve">Market Return                    </v>
      </c>
      <c r="F1131" s="1372">
        <f>'PRPM WP2'!B1132</f>
        <v>-8.2299999999999998E-2</v>
      </c>
      <c r="H1131" s="1370">
        <f>'PRPM WP2'!D1132</f>
        <v>1.5E-3</v>
      </c>
      <c r="I1131" s="1370">
        <f t="shared" si="20"/>
        <v>-8.3799999999999999E-2</v>
      </c>
      <c r="J1131" s="1371">
        <f t="shared" si="23"/>
        <v>43862</v>
      </c>
    </row>
    <row r="1132" spans="2:10" x14ac:dyDescent="0.45">
      <c r="B1132" s="1371">
        <f t="shared" si="21"/>
        <v>43891</v>
      </c>
      <c r="C1132" s="1370" t="str">
        <f t="shared" si="22"/>
        <v xml:space="preserve">Market Return                    </v>
      </c>
      <c r="F1132" s="1372">
        <f>'PRPM WP2'!B1133</f>
        <v>-0.1235</v>
      </c>
      <c r="H1132" s="1370">
        <f>'PRPM WP2'!D1133</f>
        <v>1.23E-3</v>
      </c>
      <c r="I1132" s="1370">
        <f t="shared" si="20"/>
        <v>-0.12472999999999999</v>
      </c>
      <c r="J1132" s="1371">
        <f t="shared" si="23"/>
        <v>43891</v>
      </c>
    </row>
    <row r="1133" spans="2:10" x14ac:dyDescent="0.45">
      <c r="B1133" s="1371">
        <f t="shared" si="21"/>
        <v>43922</v>
      </c>
      <c r="C1133" s="1370" t="str">
        <f t="shared" si="22"/>
        <v xml:space="preserve">Market Return                    </v>
      </c>
      <c r="F1133" s="1372">
        <f>'PRPM WP2'!B1134</f>
        <v>0.12820000000000001</v>
      </c>
      <c r="H1133" s="1370">
        <f>'PRPM WP2'!D1134</f>
        <v>8.9999999999999998E-4</v>
      </c>
      <c r="I1133" s="1370">
        <f t="shared" si="20"/>
        <v>0.1273</v>
      </c>
      <c r="J1133" s="1371">
        <f t="shared" si="23"/>
        <v>43922</v>
      </c>
    </row>
    <row r="1134" spans="2:10" x14ac:dyDescent="0.45">
      <c r="B1134" s="1371">
        <f t="shared" si="21"/>
        <v>43952</v>
      </c>
      <c r="C1134" s="1370" t="str">
        <f t="shared" si="22"/>
        <v xml:space="preserve">Market Return                    </v>
      </c>
      <c r="F1134" s="1372">
        <f>'PRPM WP2'!B1135</f>
        <v>4.7600000000000003E-2</v>
      </c>
      <c r="H1134" s="1370">
        <f>'PRPM WP2'!D1135</f>
        <v>8.9999999999999998E-4</v>
      </c>
      <c r="I1134" s="1370">
        <f t="shared" si="20"/>
        <v>4.6700000000000005E-2</v>
      </c>
      <c r="J1134" s="1371">
        <f t="shared" si="23"/>
        <v>43952</v>
      </c>
    </row>
    <row r="1135" spans="2:10" x14ac:dyDescent="0.45">
      <c r="B1135" s="1371">
        <f t="shared" si="21"/>
        <v>43983</v>
      </c>
      <c r="C1135" s="1370" t="str">
        <f t="shared" si="22"/>
        <v xml:space="preserve">Market Return                    </v>
      </c>
      <c r="F1135" s="1372">
        <f>'PRPM WP2'!B1136</f>
        <v>1.9900000000000001E-2</v>
      </c>
      <c r="H1135" s="1370">
        <f>'PRPM WP2'!D1136</f>
        <v>8.9999999999999998E-4</v>
      </c>
      <c r="I1135" s="1370">
        <f t="shared" si="20"/>
        <v>1.9E-2</v>
      </c>
      <c r="J1135" s="1371">
        <f t="shared" si="23"/>
        <v>43983</v>
      </c>
    </row>
    <row r="1136" spans="2:10" x14ac:dyDescent="0.45">
      <c r="B1136" s="1371">
        <f t="shared" si="21"/>
        <v>44013</v>
      </c>
      <c r="C1136" s="1370" t="str">
        <f t="shared" si="22"/>
        <v xml:space="preserve">Market Return                    </v>
      </c>
      <c r="F1136" s="1372">
        <f>'PRPM WP2'!B1137</f>
        <v>5.6399999999999999E-2</v>
      </c>
      <c r="H1136" s="1370">
        <f>'PRPM WP2'!D1137</f>
        <v>1E-3</v>
      </c>
      <c r="I1136" s="1370">
        <f t="shared" si="20"/>
        <v>5.5399999999999998E-2</v>
      </c>
      <c r="J1136" s="1371">
        <f t="shared" si="23"/>
        <v>44013</v>
      </c>
    </row>
    <row r="1137" spans="2:10" x14ac:dyDescent="0.45">
      <c r="B1137" s="1371">
        <f t="shared" si="21"/>
        <v>44044</v>
      </c>
      <c r="C1137" s="1370" t="str">
        <f t="shared" si="22"/>
        <v xml:space="preserve">Market Return                    </v>
      </c>
      <c r="F1137" s="1372">
        <f>'PRPM WP2'!B1138</f>
        <v>7.1900000000000006E-2</v>
      </c>
      <c r="H1137" s="1370">
        <f>'PRPM WP2'!D1138</f>
        <v>8.0000000000000004E-4</v>
      </c>
      <c r="I1137" s="1370">
        <f t="shared" si="20"/>
        <v>7.110000000000001E-2</v>
      </c>
      <c r="J1137" s="1371">
        <f t="shared" si="23"/>
        <v>44044</v>
      </c>
    </row>
    <row r="1138" spans="2:10" x14ac:dyDescent="0.45">
      <c r="B1138" s="1371">
        <f t="shared" si="21"/>
        <v>44075</v>
      </c>
      <c r="C1138" s="1370" t="str">
        <f t="shared" si="22"/>
        <v xml:space="preserve">Market Return                    </v>
      </c>
      <c r="F1138" s="1372">
        <f>'PRPM WP2'!B1139</f>
        <v>-3.7999999999999999E-2</v>
      </c>
      <c r="H1138" s="1370">
        <f>'PRPM WP2'!D1139</f>
        <v>0</v>
      </c>
      <c r="I1138" s="1370">
        <f t="shared" si="20"/>
        <v>-3.7999999999999999E-2</v>
      </c>
      <c r="J1138" s="1371">
        <f t="shared" si="23"/>
        <v>44075</v>
      </c>
    </row>
    <row r="1139" spans="2:10" x14ac:dyDescent="0.45">
      <c r="B1139" s="1371">
        <f t="shared" ref="B1139:B1170" si="24">DATE(YEAR(B1138),MONTH(B1138) + 1,1)</f>
        <v>44105</v>
      </c>
      <c r="C1139" s="1370" t="str">
        <f t="shared" ref="C1139:C1170" si="25">C1138</f>
        <v xml:space="preserve">Market Return                    </v>
      </c>
      <c r="F1139" s="1372">
        <f>'PRPM WP2'!B1140</f>
        <v>-2.6599999999999999E-2</v>
      </c>
      <c r="H1139" s="1370">
        <f>'PRPM WP2'!D1140</f>
        <v>8.9999999999999998E-4</v>
      </c>
      <c r="I1139" s="1370">
        <f t="shared" si="20"/>
        <v>-2.75E-2</v>
      </c>
      <c r="J1139" s="1371">
        <f t="shared" ref="J1139:J1170" si="26">B1139</f>
        <v>44105</v>
      </c>
    </row>
    <row r="1140" spans="2:10" x14ac:dyDescent="0.45">
      <c r="B1140" s="1371">
        <f t="shared" si="24"/>
        <v>44136</v>
      </c>
      <c r="C1140" s="1370" t="str">
        <f t="shared" si="25"/>
        <v xml:space="preserve">Market Return                    </v>
      </c>
      <c r="F1140" s="1372">
        <f>'PRPM WP2'!B1141</f>
        <v>0.1095</v>
      </c>
      <c r="H1140" s="1370">
        <f>'PRPM WP2'!D1141</f>
        <v>1.1000000000000001E-3</v>
      </c>
      <c r="I1140" s="1370">
        <f t="shared" si="20"/>
        <v>0.1084</v>
      </c>
      <c r="J1140" s="1371">
        <f t="shared" si="26"/>
        <v>44136</v>
      </c>
    </row>
    <row r="1141" spans="2:10" x14ac:dyDescent="0.45">
      <c r="B1141" s="1371">
        <f t="shared" si="24"/>
        <v>44166</v>
      </c>
      <c r="C1141" s="1370" t="str">
        <f t="shared" si="25"/>
        <v xml:space="preserve">Market Return                    </v>
      </c>
      <c r="F1141" s="1372">
        <f>'PRPM WP2'!B1142</f>
        <v>3.8399999999999997E-2</v>
      </c>
      <c r="H1141" s="1370">
        <f>'PRPM WP2'!D1142</f>
        <v>1.1000000000000001E-3</v>
      </c>
      <c r="I1141" s="1370">
        <f t="shared" si="20"/>
        <v>3.73E-2</v>
      </c>
      <c r="J1141" s="1371">
        <f t="shared" si="26"/>
        <v>44166</v>
      </c>
    </row>
    <row r="1142" spans="2:10" x14ac:dyDescent="0.45">
      <c r="B1142" s="1371">
        <f t="shared" si="24"/>
        <v>44197</v>
      </c>
      <c r="C1142" s="1370" t="str">
        <f t="shared" si="25"/>
        <v xml:space="preserve">Market Return                    </v>
      </c>
      <c r="F1142" s="1372">
        <f>'PRPM WP2'!B1143</f>
        <v>-1.01E-2</v>
      </c>
      <c r="H1142" s="1370">
        <f>'PRPM WP2'!D1143</f>
        <v>1.1000000000000001E-3</v>
      </c>
      <c r="I1142" s="1370">
        <f t="shared" si="20"/>
        <v>-1.12E-2</v>
      </c>
      <c r="J1142" s="1371">
        <f t="shared" si="26"/>
        <v>44197</v>
      </c>
    </row>
    <row r="1143" spans="2:10" x14ac:dyDescent="0.45">
      <c r="B1143" s="1371">
        <f t="shared" si="24"/>
        <v>44228</v>
      </c>
      <c r="C1143" s="1370" t="str">
        <f t="shared" si="25"/>
        <v xml:space="preserve">Market Return                    </v>
      </c>
      <c r="F1143" s="1372">
        <f>'PRPM WP2'!B1144</f>
        <v>2.76E-2</v>
      </c>
      <c r="H1143" s="1370">
        <f>'PRPM WP2'!D1144</f>
        <v>1.1999999999999999E-3</v>
      </c>
      <c r="I1143" s="1370">
        <f t="shared" si="20"/>
        <v>2.64E-2</v>
      </c>
      <c r="J1143" s="1371">
        <f t="shared" si="26"/>
        <v>44228</v>
      </c>
    </row>
    <row r="1144" spans="2:10" x14ac:dyDescent="0.45">
      <c r="B1144" s="1371">
        <f t="shared" si="24"/>
        <v>44256</v>
      </c>
      <c r="C1144" s="1370" t="str">
        <f t="shared" si="25"/>
        <v xml:space="preserve">Market Return                    </v>
      </c>
      <c r="F1144" s="1372">
        <f>'PRPM WP2'!B1145</f>
        <v>4.3799999999999999E-2</v>
      </c>
      <c r="H1144" s="1370">
        <f>'PRPM WP2'!D1145</f>
        <v>1.8E-3</v>
      </c>
      <c r="I1144" s="1370">
        <f t="shared" si="20"/>
        <v>4.1999999999999996E-2</v>
      </c>
      <c r="J1144" s="1371">
        <f t="shared" si="26"/>
        <v>44256</v>
      </c>
    </row>
    <row r="1145" spans="2:10" x14ac:dyDescent="0.45">
      <c r="B1145" s="1371">
        <f t="shared" si="24"/>
        <v>44287</v>
      </c>
      <c r="C1145" s="1370" t="str">
        <f t="shared" si="25"/>
        <v xml:space="preserve">Market Return                    </v>
      </c>
      <c r="F1145" s="1372">
        <f>'PRPM WP2'!B1146</f>
        <v>5.3400000000000003E-2</v>
      </c>
      <c r="H1145" s="1370">
        <f>'PRPM WP2'!D1146</f>
        <v>1.9E-3</v>
      </c>
      <c r="I1145" s="1370">
        <f t="shared" si="20"/>
        <v>5.1500000000000004E-2</v>
      </c>
      <c r="J1145" s="1371">
        <f t="shared" si="26"/>
        <v>44287</v>
      </c>
    </row>
    <row r="1146" spans="2:10" x14ac:dyDescent="0.45">
      <c r="B1146" s="1371">
        <f t="shared" si="24"/>
        <v>44317</v>
      </c>
      <c r="C1146" s="1370" t="str">
        <f t="shared" si="25"/>
        <v xml:space="preserve">Market Return                    </v>
      </c>
      <c r="F1146" s="1372">
        <f>'PRPM WP2'!B1147</f>
        <v>7.0000000000000001E-3</v>
      </c>
      <c r="H1146" s="1370">
        <f>'PRPM WP2'!D1147</f>
        <v>1.8E-3</v>
      </c>
      <c r="I1146" s="1370">
        <f t="shared" si="20"/>
        <v>5.1999999999999998E-3</v>
      </c>
      <c r="J1146" s="1371">
        <f t="shared" si="26"/>
        <v>44317</v>
      </c>
    </row>
    <row r="1147" spans="2:10" x14ac:dyDescent="0.45">
      <c r="B1147" s="1371">
        <f t="shared" si="24"/>
        <v>44348</v>
      </c>
      <c r="C1147" s="1370" t="str">
        <f t="shared" si="25"/>
        <v xml:space="preserve">Market Return                    </v>
      </c>
      <c r="F1147" s="1372">
        <f>'PRPM WP2'!B1148</f>
        <v>2.3300000000000001E-2</v>
      </c>
      <c r="H1147" s="1370">
        <f>'PRPM WP2'!D1148</f>
        <v>1.6999999999999999E-3</v>
      </c>
      <c r="I1147" s="1370">
        <f t="shared" si="20"/>
        <v>2.1600000000000001E-2</v>
      </c>
      <c r="J1147" s="1371">
        <f t="shared" si="26"/>
        <v>44348</v>
      </c>
    </row>
    <row r="1148" spans="2:10" x14ac:dyDescent="0.45">
      <c r="B1148" s="1371">
        <f t="shared" si="24"/>
        <v>44378</v>
      </c>
      <c r="C1148" s="1370" t="str">
        <f t="shared" si="25"/>
        <v xml:space="preserve">Market Return                    </v>
      </c>
      <c r="F1148" s="1372">
        <f>'PRPM WP2'!B1149</f>
        <v>2.3800000000000002E-2</v>
      </c>
      <c r="H1148" s="1370">
        <f>'PRPM WP2'!D1149</f>
        <v>1.6000000000000001E-3</v>
      </c>
      <c r="I1148" s="1370">
        <f t="shared" si="20"/>
        <v>2.2200000000000001E-2</v>
      </c>
      <c r="J1148" s="1371">
        <f t="shared" si="26"/>
        <v>44378</v>
      </c>
    </row>
    <row r="1149" spans="2:10" x14ac:dyDescent="0.45">
      <c r="B1149" s="1371">
        <f t="shared" si="24"/>
        <v>44409</v>
      </c>
      <c r="C1149" s="1370" t="str">
        <f t="shared" si="25"/>
        <v xml:space="preserve">Market Return                    </v>
      </c>
      <c r="F1149" s="1372">
        <f>'PRPM WP2'!B1150</f>
        <v>3.04E-2</v>
      </c>
      <c r="H1149" s="1370">
        <f>'PRPM WP2'!D1150</f>
        <v>1.5E-3</v>
      </c>
      <c r="I1149" s="1370">
        <f t="shared" si="20"/>
        <v>2.8899999999999999E-2</v>
      </c>
      <c r="J1149" s="1371">
        <f t="shared" si="26"/>
        <v>44409</v>
      </c>
    </row>
    <row r="1150" spans="2:10" x14ac:dyDescent="0.45">
      <c r="B1150" s="1371">
        <f t="shared" si="24"/>
        <v>44440</v>
      </c>
      <c r="C1150" s="1370" t="str">
        <f t="shared" si="25"/>
        <v xml:space="preserve">Market Return                    </v>
      </c>
      <c r="F1150" s="1372">
        <f>'PRPM WP2'!B1151</f>
        <v>-4.65E-2</v>
      </c>
      <c r="H1150" s="1370">
        <f>'PRPM WP2'!D1151</f>
        <v>1.4E-3</v>
      </c>
      <c r="I1150" s="1370">
        <f t="shared" si="20"/>
        <v>-4.7899999999999998E-2</v>
      </c>
      <c r="J1150" s="1371">
        <f t="shared" si="26"/>
        <v>44440</v>
      </c>
    </row>
    <row r="1151" spans="2:10" x14ac:dyDescent="0.45">
      <c r="B1151" s="1371">
        <f t="shared" si="24"/>
        <v>44470</v>
      </c>
      <c r="C1151" s="1370" t="str">
        <f t="shared" si="25"/>
        <v xml:space="preserve">Market Return                    </v>
      </c>
      <c r="F1151" s="1372">
        <f>'PRPM WP2'!B1152</f>
        <v>7.0099999999999996E-2</v>
      </c>
      <c r="H1151" s="1370">
        <f>'PRPM WP2'!D1152</f>
        <v>1.5E-3</v>
      </c>
      <c r="I1151" s="1370">
        <f t="shared" si="20"/>
        <v>6.8599999999999994E-2</v>
      </c>
      <c r="J1151" s="1371">
        <f t="shared" si="26"/>
        <v>44470</v>
      </c>
    </row>
    <row r="1152" spans="2:10" x14ac:dyDescent="0.45">
      <c r="B1152" s="1371">
        <f t="shared" si="24"/>
        <v>44501</v>
      </c>
      <c r="C1152" s="1370" t="str">
        <f t="shared" si="25"/>
        <v xml:space="preserve">Market Return                    </v>
      </c>
      <c r="F1152" s="1372">
        <f>'PRPM WP2'!B1153</f>
        <v>-6.8999999999999999E-3</v>
      </c>
      <c r="H1152" s="1370">
        <f>'PRPM WP2'!D1153</f>
        <v>1.6999999999999999E-3</v>
      </c>
      <c r="I1152" s="1370">
        <f t="shared" si="20"/>
        <v>-8.6E-3</v>
      </c>
      <c r="J1152" s="1371">
        <f t="shared" si="26"/>
        <v>44501</v>
      </c>
    </row>
    <row r="1153" spans="2:10" x14ac:dyDescent="0.45">
      <c r="B1153" s="1371">
        <f t="shared" si="24"/>
        <v>44531</v>
      </c>
      <c r="C1153" s="1370" t="str">
        <f t="shared" si="25"/>
        <v xml:space="preserve">Market Return                    </v>
      </c>
      <c r="F1153" s="1372">
        <f>'PRPM WP2'!B1154</f>
        <v>4.48E-2</v>
      </c>
      <c r="H1153" s="1370">
        <f>'PRPM WP2'!D1154</f>
        <v>1.5E-3</v>
      </c>
      <c r="I1153" s="1370">
        <f t="shared" si="20"/>
        <v>4.3299999999999998E-2</v>
      </c>
      <c r="J1153" s="1371">
        <f t="shared" si="26"/>
        <v>44531</v>
      </c>
    </row>
    <row r="1154" spans="2:10" x14ac:dyDescent="0.45">
      <c r="B1154" s="1371">
        <f t="shared" si="24"/>
        <v>44562</v>
      </c>
      <c r="C1154" s="1370" t="str">
        <f t="shared" si="25"/>
        <v xml:space="preserve">Market Return                    </v>
      </c>
      <c r="F1154" s="1372">
        <f>'PRPM WP2'!B1155</f>
        <v>-5.1700000000000003E-2</v>
      </c>
      <c r="H1154" s="1370">
        <f>'PRPM WP2'!D1155</f>
        <v>1.6999999999999999E-3</v>
      </c>
      <c r="I1154" s="1370">
        <f t="shared" ref="I1154:I1217" si="27">F1154-H1154</f>
        <v>-5.3400000000000003E-2</v>
      </c>
      <c r="J1154" s="1371">
        <f t="shared" si="26"/>
        <v>44562</v>
      </c>
    </row>
    <row r="1155" spans="2:10" x14ac:dyDescent="0.45">
      <c r="B1155" s="1371">
        <f t="shared" si="24"/>
        <v>44593</v>
      </c>
      <c r="C1155" s="1370" t="str">
        <f t="shared" si="25"/>
        <v xml:space="preserve">Market Return                    </v>
      </c>
      <c r="F1155" s="1372">
        <f>'PRPM WP2'!B1156</f>
        <v>-2.9899999999999999E-2</v>
      </c>
      <c r="H1155" s="1370">
        <f>'PRPM WP2'!D1156</f>
        <v>1.6999999999999999E-3</v>
      </c>
      <c r="I1155" s="1370">
        <f t="shared" si="27"/>
        <v>-3.1599999999999996E-2</v>
      </c>
      <c r="J1155" s="1371">
        <f t="shared" si="26"/>
        <v>44593</v>
      </c>
    </row>
    <row r="1156" spans="2:10" x14ac:dyDescent="0.45">
      <c r="B1156" s="1371">
        <f t="shared" si="24"/>
        <v>44621</v>
      </c>
      <c r="C1156" s="1370" t="str">
        <f t="shared" si="25"/>
        <v xml:space="preserve">Market Return                    </v>
      </c>
      <c r="F1156" s="1372">
        <f>'PRPM WP2'!B1157</f>
        <v>3.7100000000000001E-2</v>
      </c>
      <c r="H1156" s="1370">
        <f>'PRPM WP2'!D1157</f>
        <v>2E-3</v>
      </c>
      <c r="I1156" s="1370">
        <f t="shared" si="27"/>
        <v>3.5099999999999999E-2</v>
      </c>
      <c r="J1156" s="1371">
        <f t="shared" si="26"/>
        <v>44621</v>
      </c>
    </row>
    <row r="1157" spans="2:10" x14ac:dyDescent="0.45">
      <c r="B1157" s="1371">
        <f t="shared" si="24"/>
        <v>44652</v>
      </c>
      <c r="C1157" s="1370" t="str">
        <f t="shared" si="25"/>
        <v xml:space="preserve">Market Return                    </v>
      </c>
      <c r="F1157" s="1372">
        <f>'PRPM WP2'!B1158</f>
        <v>-8.72E-2</v>
      </c>
      <c r="H1157" s="1370">
        <f>'PRPM WP2'!D1158</f>
        <v>2.0999999999999999E-3</v>
      </c>
      <c r="I1157" s="1370">
        <f t="shared" si="27"/>
        <v>-8.9300000000000004E-2</v>
      </c>
      <c r="J1157" s="1371">
        <f t="shared" si="26"/>
        <v>44652</v>
      </c>
    </row>
    <row r="1158" spans="2:10" x14ac:dyDescent="0.45">
      <c r="B1158" s="1371">
        <f t="shared" si="24"/>
        <v>44682</v>
      </c>
      <c r="C1158" s="1370" t="str">
        <f t="shared" si="25"/>
        <v xml:space="preserve">Market Return                    </v>
      </c>
      <c r="F1158" s="1372">
        <f>'PRPM WP2'!B1159</f>
        <v>1.8E-3</v>
      </c>
      <c r="H1158" s="1370">
        <f>'PRPM WP2'!D1159</f>
        <v>2.8E-3</v>
      </c>
      <c r="I1158" s="1370">
        <f t="shared" si="27"/>
        <v>-1E-3</v>
      </c>
      <c r="J1158" s="1371">
        <f t="shared" si="26"/>
        <v>44682</v>
      </c>
    </row>
    <row r="1159" spans="2:10" x14ac:dyDescent="0.45">
      <c r="B1159" s="1371">
        <f t="shared" si="24"/>
        <v>44713</v>
      </c>
      <c r="C1159" s="1370" t="str">
        <f t="shared" si="25"/>
        <v xml:space="preserve">Market Return                    </v>
      </c>
      <c r="F1159" s="1372">
        <f>'PRPM WP2'!B1160</f>
        <v>-8.2500000000000004E-2</v>
      </c>
      <c r="H1159" s="1370">
        <f>'PRPM WP2'!D1160</f>
        <v>2.8E-3</v>
      </c>
      <c r="I1159" s="1370">
        <f t="shared" si="27"/>
        <v>-8.5300000000000001E-2</v>
      </c>
      <c r="J1159" s="1371">
        <f t="shared" si="26"/>
        <v>44713</v>
      </c>
    </row>
    <row r="1160" spans="2:10" x14ac:dyDescent="0.45">
      <c r="B1160" s="1371">
        <f t="shared" si="24"/>
        <v>44743</v>
      </c>
      <c r="C1160" s="1370" t="str">
        <f t="shared" si="25"/>
        <v xml:space="preserve">Market Return                    </v>
      </c>
      <c r="F1160" s="1372">
        <f>'PRPM WP2'!B1161</f>
        <v>9.2200000000000004E-2</v>
      </c>
      <c r="H1160" s="1370">
        <f>'PRPM WP2'!D1161</f>
        <v>2.7000000000000001E-3</v>
      </c>
      <c r="I1160" s="1370">
        <f t="shared" si="27"/>
        <v>8.950000000000001E-2</v>
      </c>
      <c r="J1160" s="1371">
        <f t="shared" si="26"/>
        <v>44743</v>
      </c>
    </row>
    <row r="1161" spans="2:10" x14ac:dyDescent="0.45">
      <c r="B1161" s="1371">
        <f t="shared" si="24"/>
        <v>44774</v>
      </c>
      <c r="C1161" s="1370" t="str">
        <f t="shared" si="25"/>
        <v xml:space="preserve">Market Return                    </v>
      </c>
      <c r="F1161" s="1372">
        <f>'PRPM WP2'!B1162</f>
        <v>-4.0800000000000003E-2</v>
      </c>
      <c r="H1161" s="1370">
        <f>'PRPM WP2'!D1162</f>
        <v>2.8999999999999998E-3</v>
      </c>
      <c r="I1161" s="1370">
        <f t="shared" si="27"/>
        <v>-4.3700000000000003E-2</v>
      </c>
      <c r="J1161" s="1371">
        <f t="shared" si="26"/>
        <v>44774</v>
      </c>
    </row>
    <row r="1162" spans="2:10" x14ac:dyDescent="0.45">
      <c r="B1162" s="1371">
        <f t="shared" si="24"/>
        <v>44805</v>
      </c>
      <c r="C1162" s="1370" t="str">
        <f t="shared" si="25"/>
        <v xml:space="preserve">Market Return                    </v>
      </c>
      <c r="F1162" s="1372">
        <f>'PRPM WP2'!B1163</f>
        <v>-9.2100000000000001E-2</v>
      </c>
      <c r="H1162" s="1370">
        <f>'PRPM WP2'!D1163</f>
        <v>2.8999999999999998E-3</v>
      </c>
      <c r="I1162" s="1370">
        <f t="shared" si="27"/>
        <v>-9.5000000000000001E-2</v>
      </c>
      <c r="J1162" s="1371">
        <f t="shared" si="26"/>
        <v>44805</v>
      </c>
    </row>
    <row r="1163" spans="2:10" x14ac:dyDescent="0.45">
      <c r="B1163" s="1371">
        <f t="shared" si="24"/>
        <v>44835</v>
      </c>
      <c r="C1163" s="1370" t="str">
        <f t="shared" si="25"/>
        <v xml:space="preserve">Market Return                    </v>
      </c>
      <c r="F1163" s="1372">
        <f>'PRPM WP2'!B1164</f>
        <v>8.1000000000000003E-2</v>
      </c>
      <c r="H1163" s="1370">
        <f>'PRPM WP2'!D1164</f>
        <v>3.5000000000000001E-3</v>
      </c>
      <c r="I1163" s="1370">
        <f t="shared" si="27"/>
        <v>7.7499999999999999E-2</v>
      </c>
      <c r="J1163" s="1371">
        <f t="shared" si="26"/>
        <v>44835</v>
      </c>
    </row>
    <row r="1164" spans="2:10" x14ac:dyDescent="0.45">
      <c r="B1164" s="1371">
        <f t="shared" si="24"/>
        <v>44866</v>
      </c>
      <c r="C1164" s="1370" t="str">
        <f t="shared" si="25"/>
        <v xml:space="preserve">Market Return                    </v>
      </c>
      <c r="F1164" s="1372">
        <f>'PRPM WP2'!B1165</f>
        <v>5.5899999999999998E-2</v>
      </c>
      <c r="H1164" s="1370">
        <f>'PRPM WP2'!D1165</f>
        <v>3.5999999999999999E-3</v>
      </c>
      <c r="I1164" s="1370">
        <f t="shared" si="27"/>
        <v>5.2299999999999999E-2</v>
      </c>
      <c r="J1164" s="1371">
        <f t="shared" si="26"/>
        <v>44866</v>
      </c>
    </row>
    <row r="1165" spans="2:10" x14ac:dyDescent="0.45">
      <c r="B1165" s="1371">
        <f t="shared" si="24"/>
        <v>44896</v>
      </c>
      <c r="C1165" s="1370" t="str">
        <f t="shared" si="25"/>
        <v xml:space="preserve">Market Return                    </v>
      </c>
      <c r="F1165" s="1372">
        <f>'PRPM WP2'!B1166</f>
        <v>-5.7599999999999998E-2</v>
      </c>
      <c r="H1165" s="1370">
        <f>'PRPM WP2'!D1166</f>
        <v>3.3E-3</v>
      </c>
      <c r="I1165" s="1370">
        <f t="shared" si="27"/>
        <v>-6.0899999999999996E-2</v>
      </c>
      <c r="J1165" s="1371">
        <f t="shared" si="26"/>
        <v>44896</v>
      </c>
    </row>
    <row r="1166" spans="2:10" x14ac:dyDescent="0.45">
      <c r="B1166" s="1371">
        <f t="shared" si="24"/>
        <v>44927</v>
      </c>
      <c r="C1166" s="1370" t="str">
        <f t="shared" si="25"/>
        <v xml:space="preserve">Market Return                    </v>
      </c>
      <c r="F1166" s="1372">
        <f>'PRPM WP2'!B1167</f>
        <v>6.2834280180287985E-2</v>
      </c>
      <c r="H1166" s="1370">
        <f>'PRPM WP2'!D1167</f>
        <v>3.0500000000000002E-3</v>
      </c>
      <c r="I1166" s="1370">
        <f t="shared" si="27"/>
        <v>5.9784280180287988E-2</v>
      </c>
      <c r="J1166" s="1371">
        <f t="shared" si="26"/>
        <v>44927</v>
      </c>
    </row>
    <row r="1167" spans="2:10" x14ac:dyDescent="0.45">
      <c r="B1167" s="1371">
        <f t="shared" si="24"/>
        <v>44958</v>
      </c>
      <c r="C1167" s="1370" t="str">
        <f t="shared" si="25"/>
        <v xml:space="preserve">Market Return                    </v>
      </c>
      <c r="F1167" s="1372">
        <f>'PRPM WP2'!B1168</f>
        <v>-2.4399784626571001E-2</v>
      </c>
      <c r="H1167" s="1370">
        <f>'PRPM WP2'!D1168</f>
        <v>3.1666666666666666E-3</v>
      </c>
      <c r="I1167" s="1370">
        <f t="shared" si="27"/>
        <v>-2.7566451293237669E-2</v>
      </c>
      <c r="J1167" s="1371">
        <f t="shared" si="26"/>
        <v>44958</v>
      </c>
    </row>
    <row r="1168" spans="2:10" x14ac:dyDescent="0.45">
      <c r="B1168" s="1371">
        <f t="shared" si="24"/>
        <v>44986</v>
      </c>
      <c r="C1168" s="1370" t="str">
        <f t="shared" si="25"/>
        <v xml:space="preserve">Market Return                    </v>
      </c>
      <c r="F1168" s="1372">
        <f>'PRPM WP2'!B1169</f>
        <v>3.671430929974763E-2</v>
      </c>
      <c r="H1168" s="1370">
        <f>'PRPM WP2'!D1169</f>
        <v>3.1416666666666667E-3</v>
      </c>
      <c r="I1168" s="1370">
        <f t="shared" si="27"/>
        <v>3.3572642633080962E-2</v>
      </c>
      <c r="J1168" s="1371">
        <f t="shared" si="26"/>
        <v>44986</v>
      </c>
    </row>
    <row r="1169" spans="2:10" x14ac:dyDescent="0.45">
      <c r="B1169" s="1371">
        <f t="shared" si="24"/>
        <v>45017</v>
      </c>
      <c r="C1169" s="1370" t="str">
        <f t="shared" si="25"/>
        <v xml:space="preserve">Market Return                    </v>
      </c>
      <c r="F1169" s="1372">
        <f>'PRPM WP2'!B1170</f>
        <v>7.187926921795095E-3</v>
      </c>
      <c r="H1169" s="1370">
        <f>'PRPM WP2'!D1170</f>
        <v>3.0666666666666668E-3</v>
      </c>
      <c r="I1169" s="1370">
        <f t="shared" si="27"/>
        <v>4.1212602551284287E-3</v>
      </c>
      <c r="J1169" s="1371">
        <f t="shared" si="26"/>
        <v>45017</v>
      </c>
    </row>
    <row r="1170" spans="2:10" x14ac:dyDescent="0.45">
      <c r="B1170" s="1371">
        <f t="shared" si="24"/>
        <v>45047</v>
      </c>
      <c r="C1170" s="1370" t="str">
        <f t="shared" si="25"/>
        <v xml:space="preserve">Market Return                    </v>
      </c>
      <c r="F1170" s="1372">
        <f>'PRPM WP2'!B1171</f>
        <v>4.3468278013294162E-3</v>
      </c>
      <c r="H1170" s="1370">
        <f>'PRPM WP2'!D1171</f>
        <v>3.2166666666666667E-3</v>
      </c>
      <c r="I1170" s="1370">
        <f t="shared" si="27"/>
        <v>1.1301611346627495E-3</v>
      </c>
      <c r="J1170" s="1371">
        <f t="shared" si="26"/>
        <v>45047</v>
      </c>
    </row>
    <row r="1171" spans="2:10" x14ac:dyDescent="0.45">
      <c r="B1171" s="1371">
        <f t="shared" ref="B1171:B1190" si="28">DATE(YEAR(B1170),MONTH(B1170) + 1,1)</f>
        <v>45078</v>
      </c>
      <c r="C1171" s="1370" t="str">
        <f t="shared" ref="C1171:C1190" si="29">C1170</f>
        <v xml:space="preserve">Market Return                    </v>
      </c>
      <c r="F1171" s="1372">
        <f>'PRPM WP2'!B1172</f>
        <v>6.6075546772891333E-2</v>
      </c>
      <c r="H1171" s="1370">
        <f>'PRPM WP2'!D1172</f>
        <v>3.225E-3</v>
      </c>
      <c r="I1171" s="1370">
        <f t="shared" si="27"/>
        <v>6.2850546772891328E-2</v>
      </c>
      <c r="J1171" s="1371">
        <f t="shared" ref="J1171:J1190" si="30">B1171</f>
        <v>45078</v>
      </c>
    </row>
    <row r="1172" spans="2:10" x14ac:dyDescent="0.45">
      <c r="B1172" s="1371">
        <f t="shared" si="28"/>
        <v>45108</v>
      </c>
      <c r="C1172" s="1370" t="str">
        <f t="shared" si="29"/>
        <v xml:space="preserve">Market Return                    </v>
      </c>
      <c r="F1172" s="1372">
        <f>'PRPM WP2'!B1173</f>
        <v>3.2124539863823791E-2</v>
      </c>
      <c r="H1172" s="1370">
        <f>'PRPM WP2'!D1173</f>
        <v>3.3E-3</v>
      </c>
      <c r="I1172" s="1370">
        <f t="shared" si="27"/>
        <v>2.882453986382379E-2</v>
      </c>
      <c r="J1172" s="1371">
        <f t="shared" si="30"/>
        <v>45108</v>
      </c>
    </row>
    <row r="1173" spans="2:10" x14ac:dyDescent="0.45">
      <c r="B1173" s="1371">
        <f t="shared" si="28"/>
        <v>45139</v>
      </c>
      <c r="C1173" s="1370" t="str">
        <f t="shared" si="29"/>
        <v xml:space="preserve">Market Return                    </v>
      </c>
      <c r="F1173" s="1372">
        <f>'PRPM WP2'!B1174</f>
        <v>-1.5921117042355312E-2</v>
      </c>
      <c r="H1173" s="1370">
        <f>'PRPM WP2'!D1174</f>
        <v>3.5666666666666668E-3</v>
      </c>
      <c r="I1173" s="1370">
        <f t="shared" si="27"/>
        <v>-1.9487783709021978E-2</v>
      </c>
      <c r="J1173" s="1371">
        <f t="shared" si="30"/>
        <v>45139</v>
      </c>
    </row>
    <row r="1174" spans="2:10" x14ac:dyDescent="0.45">
      <c r="B1174" s="1371">
        <f t="shared" si="28"/>
        <v>45170</v>
      </c>
      <c r="C1174" s="1370" t="str">
        <f t="shared" si="29"/>
        <v xml:space="preserve">Market Return                    </v>
      </c>
      <c r="F1174" s="1372">
        <f>'PRPM WP2'!B1175</f>
        <v>-4.7678193308121432E-2</v>
      </c>
      <c r="H1174" s="1370">
        <f>'PRPM WP2'!D1175</f>
        <v>3.7249999999999996E-3</v>
      </c>
      <c r="I1174" s="1370">
        <f t="shared" si="27"/>
        <v>-5.1403193308121431E-2</v>
      </c>
      <c r="J1174" s="1371">
        <f t="shared" si="30"/>
        <v>45170</v>
      </c>
    </row>
    <row r="1175" spans="2:10" x14ac:dyDescent="0.45">
      <c r="B1175" s="1371">
        <f t="shared" si="28"/>
        <v>45200</v>
      </c>
      <c r="C1175" s="1370" t="str">
        <f t="shared" si="29"/>
        <v xml:space="preserve">Market Return                    </v>
      </c>
      <c r="F1175" s="1372">
        <f>'PRPM WP2'!B1176</f>
        <v>-2.7391275195366223E-2</v>
      </c>
      <c r="H1175" s="1370">
        <f>'PRPM WP2'!D1176</f>
        <v>4.1250000000000002E-3</v>
      </c>
      <c r="I1175" s="1370">
        <f t="shared" si="27"/>
        <v>-3.151627519536622E-2</v>
      </c>
      <c r="J1175" s="1371">
        <f t="shared" si="30"/>
        <v>45200</v>
      </c>
    </row>
    <row r="1176" spans="2:10" x14ac:dyDescent="0.45">
      <c r="B1176" s="1371">
        <f t="shared" si="28"/>
        <v>45231</v>
      </c>
      <c r="C1176" s="1370" t="str">
        <f t="shared" si="29"/>
        <v xml:space="preserve">Market Return                    </v>
      </c>
      <c r="F1176" s="1372">
        <f>'PRPM WP2'!B1177</f>
        <v>8.6885005042911731E-2</v>
      </c>
      <c r="H1176" s="1370">
        <f>'PRPM WP2'!D1177</f>
        <v>3.8833333333333333E-3</v>
      </c>
      <c r="I1176" s="1370">
        <f t="shared" si="27"/>
        <v>8.3001671709578395E-2</v>
      </c>
      <c r="J1176" s="1371">
        <f t="shared" si="30"/>
        <v>45231</v>
      </c>
    </row>
    <row r="1177" spans="2:10" x14ac:dyDescent="0.45">
      <c r="B1177" s="1371">
        <f t="shared" si="28"/>
        <v>45261</v>
      </c>
      <c r="C1177" s="1370" t="str">
        <f t="shared" si="29"/>
        <v xml:space="preserve">Market Return                    </v>
      </c>
      <c r="F1177" s="1372">
        <f>'PRPM WP2'!B1178</f>
        <v>4.5430619636360636E-2</v>
      </c>
      <c r="H1177" s="1370">
        <f>'PRPM WP2'!D1178</f>
        <v>3.4499999999999999E-3</v>
      </c>
      <c r="I1177" s="1370">
        <f t="shared" si="27"/>
        <v>4.1980619636360635E-2</v>
      </c>
      <c r="J1177" s="1371">
        <f t="shared" si="30"/>
        <v>45261</v>
      </c>
    </row>
    <row r="1178" spans="2:10" x14ac:dyDescent="0.45">
      <c r="B1178" s="1371">
        <f t="shared" si="28"/>
        <v>45292</v>
      </c>
      <c r="C1178" s="1370" t="str">
        <f t="shared" si="29"/>
        <v xml:space="preserve">Market Return                    </v>
      </c>
      <c r="F1178" s="1372">
        <f>'PRPM WP2'!B1179</f>
        <v>3.3416506662096612E-2</v>
      </c>
      <c r="H1178" s="1370">
        <f>'PRPM WP2'!D1179</f>
        <v>3.5499999999999998E-3</v>
      </c>
      <c r="I1178" s="1370">
        <f t="shared" si="27"/>
        <v>2.9866506662096611E-2</v>
      </c>
      <c r="J1178" s="1371">
        <f t="shared" si="30"/>
        <v>45292</v>
      </c>
    </row>
    <row r="1179" spans="2:10" x14ac:dyDescent="0.45">
      <c r="B1179" s="1371">
        <f t="shared" si="28"/>
        <v>45323</v>
      </c>
      <c r="C1179" s="1370" t="str">
        <f t="shared" si="29"/>
        <v xml:space="preserve">Market Return                    </v>
      </c>
      <c r="F1179" s="1372">
        <f>'PRPM WP2'!B1180</f>
        <v>5.3395839403964196E-2</v>
      </c>
      <c r="H1179" s="1370">
        <f>'PRPM WP2'!D1180</f>
        <v>3.65E-3</v>
      </c>
      <c r="I1179" s="1370">
        <f t="shared" si="27"/>
        <v>4.9745839403964195E-2</v>
      </c>
      <c r="J1179" s="1371">
        <f t="shared" si="30"/>
        <v>45323</v>
      </c>
    </row>
    <row r="1180" spans="2:10" x14ac:dyDescent="0.45">
      <c r="B1180" s="1371">
        <f t="shared" si="28"/>
        <v>45352</v>
      </c>
      <c r="C1180" s="1370" t="str">
        <f t="shared" si="29"/>
        <v xml:space="preserve">Market Return                    </v>
      </c>
      <c r="F1180" s="1372">
        <f>'PRPM WP2'!B1181</f>
        <v>3.2174693616317418E-2</v>
      </c>
      <c r="H1180" s="1370">
        <f>'PRPM WP2'!D1181</f>
        <v>3.6333333333333335E-3</v>
      </c>
      <c r="I1180" s="1370">
        <f t="shared" si="27"/>
        <v>2.8541360282984086E-2</v>
      </c>
      <c r="J1180" s="1371">
        <f t="shared" si="30"/>
        <v>45352</v>
      </c>
    </row>
    <row r="1181" spans="2:10" x14ac:dyDescent="0.45">
      <c r="B1181" s="1371">
        <f t="shared" si="28"/>
        <v>45383</v>
      </c>
      <c r="C1181" s="1370" t="str">
        <f t="shared" si="29"/>
        <v xml:space="preserve">Market Return                    </v>
      </c>
      <c r="F1181" s="1372">
        <f>'PRPM WP2'!B1182</f>
        <v>-4.0845049452488791E-2</v>
      </c>
      <c r="H1181" s="1370">
        <f>'PRPM WP2'!D1182</f>
        <v>3.8833333333333337E-3</v>
      </c>
      <c r="I1181" s="1370">
        <f t="shared" si="27"/>
        <v>-4.4728382785822127E-2</v>
      </c>
      <c r="J1181" s="1371">
        <f t="shared" si="30"/>
        <v>45383</v>
      </c>
    </row>
    <row r="1182" spans="2:10" x14ac:dyDescent="0.45">
      <c r="B1182" s="1371">
        <f t="shared" si="28"/>
        <v>45413</v>
      </c>
      <c r="C1182" s="1370" t="str">
        <f t="shared" si="29"/>
        <v xml:space="preserve">Market Return                    </v>
      </c>
      <c r="F1182" s="1372">
        <f>'PRPM WP2'!B1183</f>
        <v>4.1129837851065609E-2</v>
      </c>
      <c r="H1182" s="1370">
        <f>'PRPM WP2'!D1183</f>
        <v>3.8500000000000001E-3</v>
      </c>
      <c r="I1182" s="1370">
        <f t="shared" si="27"/>
        <v>3.727983785106561E-2</v>
      </c>
      <c r="J1182" s="1371">
        <f t="shared" si="30"/>
        <v>45413</v>
      </c>
    </row>
    <row r="1183" spans="2:10" x14ac:dyDescent="0.45">
      <c r="B1183" s="1371">
        <f t="shared" si="28"/>
        <v>45444</v>
      </c>
      <c r="C1183" s="1370" t="str">
        <f t="shared" si="29"/>
        <v xml:space="preserve">Market Return                    </v>
      </c>
      <c r="F1183" s="1372">
        <f>'PRPM WP2'!B1184</f>
        <v>4.0001043959389859E-2</v>
      </c>
      <c r="H1183" s="1370">
        <f>'PRPM WP2'!D1184</f>
        <v>3.7000000000000006E-3</v>
      </c>
      <c r="I1183" s="1370">
        <f t="shared" si="27"/>
        <v>3.6301043959389857E-2</v>
      </c>
      <c r="J1183" s="1371">
        <f t="shared" si="30"/>
        <v>45444</v>
      </c>
    </row>
    <row r="1184" spans="2:10" x14ac:dyDescent="0.45">
      <c r="B1184" s="1371">
        <f t="shared" si="28"/>
        <v>45474</v>
      </c>
      <c r="C1184" s="1370" t="str">
        <f t="shared" si="29"/>
        <v xml:space="preserve">Market Return                    </v>
      </c>
      <c r="F1184" s="1372">
        <f>'PRPM WP2'!B1185</f>
        <v>1.2172518192850479E-2</v>
      </c>
      <c r="H1184" s="1370">
        <f>'PRPM WP2'!D1185</f>
        <v>3.6249999999999998E-3</v>
      </c>
      <c r="I1184" s="1370">
        <f t="shared" si="27"/>
        <v>8.5475181928504791E-3</v>
      </c>
      <c r="J1184" s="1371">
        <f t="shared" si="30"/>
        <v>45474</v>
      </c>
    </row>
    <row r="1185" spans="2:10" x14ac:dyDescent="0.45">
      <c r="B1185" s="1371">
        <f t="shared" si="28"/>
        <v>45505</v>
      </c>
      <c r="C1185" s="1370" t="str">
        <f t="shared" si="29"/>
        <v xml:space="preserve">Market Return                    </v>
      </c>
      <c r="F1185" s="1372">
        <f>'PRPM WP2'!B1186</f>
        <v>2.4256373790769947E-2</v>
      </c>
      <c r="H1185" s="1370">
        <f>'PRPM WP2'!D1186</f>
        <v>3.4583333333333337E-3</v>
      </c>
      <c r="I1185" s="1370">
        <f t="shared" si="27"/>
        <v>2.0798040457436613E-2</v>
      </c>
      <c r="J1185" s="1371">
        <f t="shared" si="30"/>
        <v>45505</v>
      </c>
    </row>
    <row r="1186" spans="2:10" x14ac:dyDescent="0.45">
      <c r="B1186" s="1371">
        <f t="shared" si="28"/>
        <v>45536</v>
      </c>
      <c r="C1186" s="1370" t="str">
        <f t="shared" si="29"/>
        <v xml:space="preserve">Market Return                    </v>
      </c>
      <c r="F1186" s="1370">
        <f>VLOOKUP($B1186,'PRPM WP2'!$A:$K,2, FALSE)</f>
        <v>2.1357000687759534E-2</v>
      </c>
      <c r="H1186" s="1370">
        <f>'PRPM WP2'!D1187</f>
        <v>3.3666666666666667E-3</v>
      </c>
      <c r="I1186" s="1370">
        <f t="shared" si="27"/>
        <v>1.7990334021092867E-2</v>
      </c>
      <c r="J1186" s="1371">
        <f t="shared" si="30"/>
        <v>45536</v>
      </c>
    </row>
    <row r="1187" spans="2:10" x14ac:dyDescent="0.45">
      <c r="B1187" s="1371">
        <f t="shared" si="28"/>
        <v>45566</v>
      </c>
      <c r="C1187" s="1370" t="str">
        <f t="shared" si="29"/>
        <v xml:space="preserve">Market Return                    </v>
      </c>
      <c r="F1187" s="1370">
        <f>VLOOKUP($B1187,'PRPM WP2'!$A:$K,2, FALSE)</f>
        <v>-9.0680016846352851E-3</v>
      </c>
      <c r="H1187" s="1370">
        <f>'PRPM WP2'!D1188</f>
        <v>3.65E-3</v>
      </c>
      <c r="I1187" s="1370">
        <f t="shared" si="27"/>
        <v>-1.2718001684635286E-2</v>
      </c>
      <c r="J1187" s="1371">
        <f t="shared" si="30"/>
        <v>45566</v>
      </c>
    </row>
    <row r="1188" spans="2:10" x14ac:dyDescent="0.45">
      <c r="B1188" s="1371">
        <f t="shared" si="28"/>
        <v>45597</v>
      </c>
      <c r="C1188" s="1370" t="str">
        <f t="shared" si="29"/>
        <v xml:space="preserve">Market Return                    </v>
      </c>
      <c r="F1188" s="1370">
        <f>VLOOKUP($B1188,'PRPM WP2'!$A:$K,2, FALSE)</f>
        <v>5.8700597259107257E-2</v>
      </c>
      <c r="H1188" s="1370">
        <f>'PRPM WP2'!D1189</f>
        <v>3.7833333333333334E-3</v>
      </c>
      <c r="I1188" s="1370">
        <f t="shared" si="27"/>
        <v>5.4917263925773924E-2</v>
      </c>
      <c r="J1188" s="1371">
        <f t="shared" si="30"/>
        <v>45597</v>
      </c>
    </row>
    <row r="1189" spans="2:10" x14ac:dyDescent="0.45">
      <c r="B1189" s="1371">
        <f t="shared" si="28"/>
        <v>45627</v>
      </c>
      <c r="C1189" s="1370" t="str">
        <f t="shared" si="29"/>
        <v xml:space="preserve">Market Return                    </v>
      </c>
      <c r="F1189" s="1370">
        <f>VLOOKUP($B1189,'PRPM WP2'!$A:$K,2, FALSE)</f>
        <v>-1.9725367483346717E-2</v>
      </c>
      <c r="H1189" s="1370">
        <f>'PRPM WP2'!D1190</f>
        <v>3.8166666666666666E-3</v>
      </c>
      <c r="I1189" s="1370">
        <f t="shared" si="27"/>
        <v>-2.3542034150013384E-2</v>
      </c>
      <c r="J1189" s="1371">
        <f t="shared" si="30"/>
        <v>45627</v>
      </c>
    </row>
    <row r="1190" spans="2:10" x14ac:dyDescent="0.45">
      <c r="B1190" s="1371">
        <f t="shared" si="28"/>
        <v>45658</v>
      </c>
      <c r="C1190" s="1370" t="str">
        <f t="shared" si="29"/>
        <v xml:space="preserve">Market Return                    </v>
      </c>
      <c r="F1190" s="1370">
        <f>VLOOKUP($B1190,'PRPM WP2'!$A:$K,2, FALSE)</f>
        <v>2.7847352271019865E-2</v>
      </c>
      <c r="H1190" s="1370">
        <f>'PRPM WP2'!D1191</f>
        <v>4.0416666666666665E-3</v>
      </c>
      <c r="I1190" s="1370">
        <f t="shared" si="27"/>
        <v>2.3805685604353199E-2</v>
      </c>
      <c r="J1190" s="1371">
        <f t="shared" si="30"/>
        <v>45658</v>
      </c>
    </row>
  </sheetData>
  <conditionalFormatting sqref="E796:E1026">
    <cfRule type="cellIs" dxfId="4" priority="2" operator="lessThan">
      <formula>0</formula>
    </cfRule>
  </conditionalFormatting>
  <conditionalFormatting sqref="F796:F1026">
    <cfRule type="cellIs" dxfId="3" priority="1" operator="lessThan">
      <formula>-1</formula>
    </cfRule>
  </conditionalFormatting>
  <pageMargins left="0.7" right="0.7" top="0.75" bottom="0.75" header="0.3" footer="0.3"/>
  <pageSetup scale="84" orientation="portrait" horizontalDpi="1200" verticalDpi="1200" r:id="rId1"/>
  <rowBreaks count="4" manualBreakCount="4">
    <brk id="56" min="1" max="8" man="1"/>
    <brk id="112" min="1" max="8" man="1"/>
    <brk id="952" min="1" max="8" man="1"/>
    <brk id="1008" min="1"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37A6-5892-40C5-ACF6-9597A0AFB3E6}">
  <sheetPr codeName="Sheet54"/>
  <dimension ref="A1:J1963"/>
  <sheetViews>
    <sheetView view="pageBreakPreview" zoomScale="120" zoomScaleNormal="100" zoomScaleSheetLayoutView="120" workbookViewId="0">
      <pane ySplit="1" topLeftCell="A1168" activePane="bottomLeft" state="frozen"/>
      <selection activeCell="A1193" sqref="A1193"/>
      <selection pane="bottomLeft" activeCell="B1192" sqref="B1192"/>
    </sheetView>
  </sheetViews>
  <sheetFormatPr defaultColWidth="9.9453125" defaultRowHeight="13.8" x14ac:dyDescent="0.45"/>
  <cols>
    <col min="1" max="1" width="12.578125" style="1370" bestFit="1" customWidth="1"/>
    <col min="2" max="2" width="10.89453125" style="1371" bestFit="1" customWidth="1"/>
    <col min="3" max="3" width="23.62890625" style="1370" customWidth="1"/>
    <col min="4" max="4" width="7.47265625" style="1370" bestFit="1" customWidth="1"/>
    <col min="5" max="5" width="8.83984375" style="1370" bestFit="1" customWidth="1"/>
    <col min="6" max="6" width="9.5234375" style="1370" bestFit="1" customWidth="1"/>
    <col min="7" max="7" width="9.7890625" style="1370" bestFit="1" customWidth="1"/>
    <col min="8" max="8" width="12.83984375" style="1370" bestFit="1" customWidth="1"/>
    <col min="9" max="9" width="10.1015625" style="1370" bestFit="1" customWidth="1"/>
    <col min="10" max="10" width="10.47265625" style="1371" bestFit="1" customWidth="1"/>
    <col min="11" max="16384" width="9.9453125" style="1370"/>
  </cols>
  <sheetData>
    <row r="1" spans="1:10" ht="28.8" x14ac:dyDescent="0.55000000000000004">
      <c r="A1" s="1381" t="s">
        <v>7146</v>
      </c>
      <c r="B1" s="1378" t="s">
        <v>7140</v>
      </c>
      <c r="C1" s="1379" t="s">
        <v>7145</v>
      </c>
      <c r="D1" s="1379" t="s">
        <v>75</v>
      </c>
      <c r="E1" s="1379" t="s">
        <v>7144</v>
      </c>
      <c r="F1" s="1379" t="s">
        <v>7143</v>
      </c>
      <c r="G1" s="1379" t="s">
        <v>7142</v>
      </c>
      <c r="H1" s="1376" t="s">
        <v>7148</v>
      </c>
      <c r="I1" s="1370" t="s">
        <v>1140</v>
      </c>
      <c r="J1" s="1378" t="s">
        <v>7140</v>
      </c>
    </row>
    <row r="2" spans="1:10" x14ac:dyDescent="0.45">
      <c r="B2" s="1371">
        <v>9498</v>
      </c>
      <c r="H2" s="1376"/>
      <c r="I2" s="1373"/>
      <c r="J2" s="1371">
        <v>9498</v>
      </c>
    </row>
    <row r="3" spans="1:10" x14ac:dyDescent="0.45">
      <c r="B3" s="1371">
        <v>9529</v>
      </c>
      <c r="H3" s="1376"/>
      <c r="I3" s="1373"/>
      <c r="J3" s="1371">
        <v>9529</v>
      </c>
    </row>
    <row r="4" spans="1:10" x14ac:dyDescent="0.45">
      <c r="B4" s="1371">
        <v>9557</v>
      </c>
      <c r="H4" s="1376"/>
      <c r="I4" s="1373"/>
      <c r="J4" s="1371">
        <v>9557</v>
      </c>
    </row>
    <row r="5" spans="1:10" x14ac:dyDescent="0.45">
      <c r="B5" s="1371">
        <v>9588</v>
      </c>
      <c r="H5" s="1376"/>
      <c r="I5" s="1373"/>
      <c r="J5" s="1371">
        <v>9588</v>
      </c>
    </row>
    <row r="6" spans="1:10" x14ac:dyDescent="0.45">
      <c r="B6" s="1371">
        <v>9618</v>
      </c>
      <c r="H6" s="1376"/>
      <c r="I6" s="1373"/>
      <c r="J6" s="1371">
        <v>9618</v>
      </c>
    </row>
    <row r="7" spans="1:10" x14ac:dyDescent="0.45">
      <c r="B7" s="1371">
        <v>9649</v>
      </c>
      <c r="H7" s="1376"/>
      <c r="I7" s="1373"/>
      <c r="J7" s="1371">
        <v>9649</v>
      </c>
    </row>
    <row r="8" spans="1:10" x14ac:dyDescent="0.45">
      <c r="B8" s="1371">
        <v>9679</v>
      </c>
      <c r="H8" s="1376"/>
      <c r="I8" s="1373"/>
      <c r="J8" s="1371">
        <v>9679</v>
      </c>
    </row>
    <row r="9" spans="1:10" x14ac:dyDescent="0.45">
      <c r="B9" s="1371">
        <v>9710</v>
      </c>
      <c r="H9" s="1376"/>
      <c r="I9" s="1373"/>
      <c r="J9" s="1371">
        <v>9710</v>
      </c>
    </row>
    <row r="10" spans="1:10" x14ac:dyDescent="0.45">
      <c r="B10" s="1371">
        <v>9741</v>
      </c>
      <c r="H10" s="1376"/>
      <c r="I10" s="1373"/>
      <c r="J10" s="1371">
        <v>9741</v>
      </c>
    </row>
    <row r="11" spans="1:10" x14ac:dyDescent="0.45">
      <c r="B11" s="1371">
        <v>9771</v>
      </c>
      <c r="H11" s="1376"/>
      <c r="I11" s="1373"/>
      <c r="J11" s="1371">
        <v>9771</v>
      </c>
    </row>
    <row r="12" spans="1:10" x14ac:dyDescent="0.45">
      <c r="B12" s="1371">
        <v>9802</v>
      </c>
      <c r="H12" s="1376"/>
      <c r="I12" s="1373"/>
      <c r="J12" s="1371">
        <v>9802</v>
      </c>
    </row>
    <row r="13" spans="1:10" x14ac:dyDescent="0.45">
      <c r="B13" s="1371">
        <v>9832</v>
      </c>
      <c r="H13" s="1376"/>
      <c r="I13" s="1373"/>
      <c r="J13" s="1371">
        <v>9832</v>
      </c>
    </row>
    <row r="14" spans="1:10" x14ac:dyDescent="0.45">
      <c r="B14" s="1371">
        <v>9863</v>
      </c>
      <c r="H14" s="1376"/>
      <c r="I14" s="1373"/>
      <c r="J14" s="1371">
        <v>9863</v>
      </c>
    </row>
    <row r="15" spans="1:10" x14ac:dyDescent="0.45">
      <c r="B15" s="1371">
        <v>9894</v>
      </c>
      <c r="H15" s="1376"/>
      <c r="I15" s="1373"/>
      <c r="J15" s="1371">
        <v>9894</v>
      </c>
    </row>
    <row r="16" spans="1:10" x14ac:dyDescent="0.45">
      <c r="B16" s="1371">
        <v>9922</v>
      </c>
      <c r="H16" s="1376"/>
      <c r="I16" s="1373"/>
      <c r="J16" s="1371">
        <v>9922</v>
      </c>
    </row>
    <row r="17" spans="2:10" x14ac:dyDescent="0.45">
      <c r="B17" s="1371">
        <v>9953</v>
      </c>
      <c r="H17" s="1376"/>
      <c r="I17" s="1373"/>
      <c r="J17" s="1371">
        <v>9953</v>
      </c>
    </row>
    <row r="18" spans="2:10" x14ac:dyDescent="0.45">
      <c r="B18" s="1371">
        <v>9983</v>
      </c>
      <c r="H18" s="1376"/>
      <c r="I18" s="1373"/>
      <c r="J18" s="1371">
        <v>9983</v>
      </c>
    </row>
    <row r="19" spans="2:10" x14ac:dyDescent="0.45">
      <c r="B19" s="1371">
        <v>10014</v>
      </c>
      <c r="H19" s="1376"/>
      <c r="I19" s="1373"/>
      <c r="J19" s="1371">
        <v>10014</v>
      </c>
    </row>
    <row r="20" spans="2:10" x14ac:dyDescent="0.45">
      <c r="B20" s="1371">
        <v>10044</v>
      </c>
      <c r="H20" s="1376"/>
      <c r="I20" s="1373"/>
      <c r="J20" s="1371">
        <v>10044</v>
      </c>
    </row>
    <row r="21" spans="2:10" x14ac:dyDescent="0.45">
      <c r="B21" s="1371">
        <v>10075</v>
      </c>
      <c r="H21" s="1376"/>
      <c r="I21" s="1373"/>
      <c r="J21" s="1371">
        <v>10075</v>
      </c>
    </row>
    <row r="22" spans="2:10" x14ac:dyDescent="0.45">
      <c r="B22" s="1371">
        <v>10106</v>
      </c>
      <c r="H22" s="1376"/>
      <c r="I22" s="1373"/>
      <c r="J22" s="1371">
        <v>10106</v>
      </c>
    </row>
    <row r="23" spans="2:10" x14ac:dyDescent="0.45">
      <c r="B23" s="1371">
        <v>10136</v>
      </c>
      <c r="H23" s="1376"/>
      <c r="I23" s="1373"/>
      <c r="J23" s="1371">
        <v>10136</v>
      </c>
    </row>
    <row r="24" spans="2:10" x14ac:dyDescent="0.45">
      <c r="B24" s="1371">
        <v>10167</v>
      </c>
      <c r="H24" s="1376"/>
      <c r="I24" s="1373"/>
      <c r="J24" s="1371">
        <v>10167</v>
      </c>
    </row>
    <row r="25" spans="2:10" x14ac:dyDescent="0.45">
      <c r="B25" s="1371">
        <v>10197</v>
      </c>
      <c r="H25" s="1376"/>
      <c r="I25" s="1373"/>
      <c r="J25" s="1371">
        <v>10197</v>
      </c>
    </row>
    <row r="26" spans="2:10" x14ac:dyDescent="0.45">
      <c r="B26" s="1371">
        <v>10228</v>
      </c>
      <c r="C26" s="1370" t="s">
        <v>7147</v>
      </c>
      <c r="F26" s="1380">
        <f>'PRPM WP2'!C27</f>
        <v>3.7499999999999999E-2</v>
      </c>
      <c r="H26" s="1380">
        <f>'PRPM WP2'!H27</f>
        <v>4.0416666666666665E-3</v>
      </c>
      <c r="I26" s="1373">
        <f t="shared" ref="I26:I89" si="0">F26-H26</f>
        <v>3.3458333333333333E-2</v>
      </c>
      <c r="J26" s="1371">
        <v>10228</v>
      </c>
    </row>
    <row r="27" spans="2:10" x14ac:dyDescent="0.45">
      <c r="B27" s="1371">
        <v>10259</v>
      </c>
      <c r="C27" s="1370" t="s">
        <v>7147</v>
      </c>
      <c r="F27" s="1380">
        <f>'PRPM WP2'!C28</f>
        <v>-8.0000000000000002E-3</v>
      </c>
      <c r="H27" s="1380">
        <f>'PRPM WP2'!H28</f>
        <v>4.0416666666666665E-3</v>
      </c>
      <c r="I27" s="1373">
        <f t="shared" si="0"/>
        <v>-1.2041666666666666E-2</v>
      </c>
      <c r="J27" s="1371">
        <v>10259</v>
      </c>
    </row>
    <row r="28" spans="2:10" x14ac:dyDescent="0.45">
      <c r="B28" s="1371">
        <v>10288</v>
      </c>
      <c r="C28" s="1370" t="s">
        <v>7147</v>
      </c>
      <c r="F28" s="1380">
        <f>'PRPM WP2'!C29</f>
        <v>7.2299999999999989E-2</v>
      </c>
      <c r="H28" s="1380">
        <f>'PRPM WP2'!H29</f>
        <v>4.0166666666666666E-3</v>
      </c>
      <c r="I28" s="1373">
        <f t="shared" si="0"/>
        <v>6.8283333333333321E-2</v>
      </c>
      <c r="J28" s="1371">
        <v>10288</v>
      </c>
    </row>
    <row r="29" spans="2:10" x14ac:dyDescent="0.45">
      <c r="B29" s="1371">
        <v>10319</v>
      </c>
      <c r="C29" s="1370" t="s">
        <v>7147</v>
      </c>
      <c r="F29" s="1380">
        <f>'PRPM WP2'!C30</f>
        <v>9.8600000000000007E-2</v>
      </c>
      <c r="H29" s="1380">
        <f>'PRPM WP2'!H30</f>
        <v>4.0166666666666666E-3</v>
      </c>
      <c r="I29" s="1373">
        <f t="shared" si="0"/>
        <v>9.4583333333333339E-2</v>
      </c>
      <c r="J29" s="1371">
        <v>10319</v>
      </c>
    </row>
    <row r="30" spans="2:10" x14ac:dyDescent="0.45">
      <c r="B30" s="1371">
        <v>10349</v>
      </c>
      <c r="C30" s="1370" t="s">
        <v>7147</v>
      </c>
      <c r="F30" s="1380">
        <f>'PRPM WP2'!C31</f>
        <v>2.0799999999999999E-2</v>
      </c>
      <c r="H30" s="1380">
        <f>'PRPM WP2'!H31</f>
        <v>4.0583333333333331E-3</v>
      </c>
      <c r="I30" s="1373">
        <f t="shared" si="0"/>
        <v>1.6741666666666665E-2</v>
      </c>
      <c r="J30" s="1371">
        <v>10349</v>
      </c>
    </row>
    <row r="31" spans="2:10" x14ac:dyDescent="0.45">
      <c r="B31" s="1371">
        <v>10380</v>
      </c>
      <c r="C31" s="1370" t="s">
        <v>7147</v>
      </c>
      <c r="F31" s="1380">
        <f>'PRPM WP2'!C32</f>
        <v>-4.0099999999999997E-2</v>
      </c>
      <c r="H31" s="1380">
        <f>'PRPM WP2'!H32</f>
        <v>4.1583333333333333E-3</v>
      </c>
      <c r="I31" s="1373">
        <f t="shared" si="0"/>
        <v>-4.425833333333333E-2</v>
      </c>
      <c r="J31" s="1371">
        <v>10380</v>
      </c>
    </row>
    <row r="32" spans="2:10" x14ac:dyDescent="0.45">
      <c r="B32" s="1371">
        <v>10410</v>
      </c>
      <c r="C32" s="1370" t="s">
        <v>7147</v>
      </c>
      <c r="F32" s="1380">
        <f>'PRPM WP2'!C33</f>
        <v>-7.6000000000000009E-3</v>
      </c>
      <c r="H32" s="1380">
        <f>'PRPM WP2'!H33</f>
        <v>4.1999999999999997E-3</v>
      </c>
      <c r="I32" s="1373">
        <f t="shared" si="0"/>
        <v>-1.1800000000000001E-2</v>
      </c>
      <c r="J32" s="1371">
        <v>10410</v>
      </c>
    </row>
    <row r="33" spans="2:10" x14ac:dyDescent="0.45">
      <c r="B33" s="1371">
        <v>10441</v>
      </c>
      <c r="C33" s="1370" t="s">
        <v>7147</v>
      </c>
      <c r="F33" s="1380">
        <f>'PRPM WP2'!C34</f>
        <v>6.8199999999999997E-2</v>
      </c>
      <c r="H33" s="1380">
        <f>'PRPM WP2'!H34</f>
        <v>4.2333333333333337E-3</v>
      </c>
      <c r="I33" s="1373">
        <f t="shared" si="0"/>
        <v>6.3966666666666658E-2</v>
      </c>
      <c r="J33" s="1371">
        <v>10441</v>
      </c>
    </row>
    <row r="34" spans="2:10" x14ac:dyDescent="0.45">
      <c r="B34" s="1371">
        <v>10472</v>
      </c>
      <c r="C34" s="1370" t="s">
        <v>7147</v>
      </c>
      <c r="F34" s="1380">
        <f>'PRPM WP2'!C35</f>
        <v>2.87E-2</v>
      </c>
      <c r="H34" s="1380">
        <f>'PRPM WP2'!H35</f>
        <v>4.208333333333333E-3</v>
      </c>
      <c r="I34" s="1373">
        <f t="shared" si="0"/>
        <v>2.4491666666666669E-2</v>
      </c>
      <c r="J34" s="1371">
        <v>10472</v>
      </c>
    </row>
    <row r="35" spans="2:10" x14ac:dyDescent="0.45">
      <c r="B35" s="1371">
        <v>10502</v>
      </c>
      <c r="C35" s="1370" t="s">
        <v>7147</v>
      </c>
      <c r="F35" s="1380">
        <f>'PRPM WP2'!C36</f>
        <v>-9.1999999999999998E-3</v>
      </c>
      <c r="H35" s="1380">
        <f>'PRPM WP2'!H36</f>
        <v>4.1583333333333333E-3</v>
      </c>
      <c r="I35" s="1373">
        <f t="shared" si="0"/>
        <v>-1.3358333333333333E-2</v>
      </c>
      <c r="J35" s="1371">
        <v>10502</v>
      </c>
    </row>
    <row r="36" spans="2:10" x14ac:dyDescent="0.45">
      <c r="B36" s="1371">
        <v>10533</v>
      </c>
      <c r="C36" s="1370" t="s">
        <v>7147</v>
      </c>
      <c r="F36" s="1380">
        <f>'PRPM WP2'!C37</f>
        <v>0.2147</v>
      </c>
      <c r="H36" s="1380">
        <f>'PRPM WP2'!H37</f>
        <v>4.15E-3</v>
      </c>
      <c r="I36" s="1373">
        <f t="shared" si="0"/>
        <v>0.21055000000000001</v>
      </c>
      <c r="J36" s="1371">
        <v>10533</v>
      </c>
    </row>
    <row r="37" spans="2:10" x14ac:dyDescent="0.45">
      <c r="B37" s="1371">
        <v>10563</v>
      </c>
      <c r="C37" s="1370" t="s">
        <v>7147</v>
      </c>
      <c r="F37" s="1380">
        <f>'PRPM WP2'!C38</f>
        <v>0.01</v>
      </c>
      <c r="H37" s="1380">
        <f>'PRPM WP2'!H38</f>
        <v>4.208333333333333E-3</v>
      </c>
      <c r="I37" s="1373">
        <f t="shared" si="0"/>
        <v>5.7916666666666672E-3</v>
      </c>
      <c r="J37" s="1371">
        <v>10563</v>
      </c>
    </row>
    <row r="38" spans="2:10" x14ac:dyDescent="0.45">
      <c r="B38" s="1371">
        <v>10594</v>
      </c>
      <c r="C38" s="1370" t="s">
        <v>7147</v>
      </c>
      <c r="F38" s="1380">
        <f>'PRPM WP2'!C39</f>
        <v>0.13250000000000001</v>
      </c>
      <c r="H38" s="1380">
        <f>'PRPM WP2'!H39</f>
        <v>4.208333333333333E-3</v>
      </c>
      <c r="I38" s="1373">
        <f t="shared" si="0"/>
        <v>0.12829166666666666</v>
      </c>
      <c r="J38" s="1371">
        <v>10594</v>
      </c>
    </row>
    <row r="39" spans="2:10" x14ac:dyDescent="0.45">
      <c r="B39" s="1371">
        <v>10625</v>
      </c>
      <c r="C39" s="1370" t="s">
        <v>7147</v>
      </c>
      <c r="F39" s="1380">
        <f>'PRPM WP2'!C40</f>
        <v>-2.3199999999999998E-2</v>
      </c>
      <c r="H39" s="1380">
        <f>'PRPM WP2'!H40</f>
        <v>4.2500000000000003E-3</v>
      </c>
      <c r="I39" s="1373">
        <f t="shared" si="0"/>
        <v>-2.7449999999999999E-2</v>
      </c>
      <c r="J39" s="1371">
        <v>10625</v>
      </c>
    </row>
    <row r="40" spans="2:10" x14ac:dyDescent="0.45">
      <c r="B40" s="1371">
        <v>10653</v>
      </c>
      <c r="C40" s="1370" t="s">
        <v>7147</v>
      </c>
      <c r="F40" s="1380">
        <f>'PRPM WP2'!C41</f>
        <v>-1.1000000000000001E-2</v>
      </c>
      <c r="H40" s="1380">
        <f>'PRPM WP2'!H41</f>
        <v>4.2833333333333326E-3</v>
      </c>
      <c r="I40" s="1373">
        <f t="shared" si="0"/>
        <v>-1.5283333333333333E-2</v>
      </c>
      <c r="J40" s="1371">
        <v>10653</v>
      </c>
    </row>
    <row r="41" spans="2:10" x14ac:dyDescent="0.45">
      <c r="B41" s="1371">
        <v>10684</v>
      </c>
      <c r="C41" s="1370" t="s">
        <v>7147</v>
      </c>
      <c r="F41" s="1380">
        <f>'PRPM WP2'!C42</f>
        <v>3.4700000000000002E-2</v>
      </c>
      <c r="H41" s="1380">
        <f>'PRPM WP2'!H42</f>
        <v>4.2833333333333326E-3</v>
      </c>
      <c r="I41" s="1373">
        <f t="shared" si="0"/>
        <v>3.0416666666666668E-2</v>
      </c>
      <c r="J41" s="1371">
        <v>10684</v>
      </c>
    </row>
    <row r="42" spans="2:10" x14ac:dyDescent="0.45">
      <c r="B42" s="1371">
        <v>10714</v>
      </c>
      <c r="C42" s="1370" t="s">
        <v>7147</v>
      </c>
      <c r="F42" s="1380">
        <f>'PRPM WP2'!C43</f>
        <v>4.7E-2</v>
      </c>
      <c r="H42" s="1380">
        <f>'PRPM WP2'!H43</f>
        <v>4.2833333333333326E-3</v>
      </c>
      <c r="I42" s="1373">
        <f t="shared" si="0"/>
        <v>4.2716666666666667E-2</v>
      </c>
      <c r="J42" s="1371">
        <v>10714</v>
      </c>
    </row>
    <row r="43" spans="2:10" x14ac:dyDescent="0.45">
      <c r="B43" s="1371">
        <v>10745</v>
      </c>
      <c r="C43" s="1370" t="s">
        <v>7147</v>
      </c>
      <c r="F43" s="1380">
        <f>'PRPM WP2'!C44</f>
        <v>0.21780000000000002</v>
      </c>
      <c r="H43" s="1380">
        <f>'PRPM WP2'!H44</f>
        <v>4.3583333333333339E-3</v>
      </c>
      <c r="I43" s="1373">
        <f t="shared" si="0"/>
        <v>0.2134416666666667</v>
      </c>
      <c r="J43" s="1371">
        <v>10745</v>
      </c>
    </row>
    <row r="44" spans="2:10" x14ac:dyDescent="0.45">
      <c r="B44" s="1371">
        <v>10775</v>
      </c>
      <c r="C44" s="1370" t="s">
        <v>7147</v>
      </c>
      <c r="F44" s="1380">
        <f>'PRPM WP2'!C45</f>
        <v>9.0499999999999983E-2</v>
      </c>
      <c r="H44" s="1380">
        <f>'PRPM WP2'!H45</f>
        <v>4.3666666666666671E-3</v>
      </c>
      <c r="I44" s="1373">
        <f t="shared" si="0"/>
        <v>8.6133333333333312E-2</v>
      </c>
      <c r="J44" s="1371">
        <v>10775</v>
      </c>
    </row>
    <row r="45" spans="2:10" x14ac:dyDescent="0.45">
      <c r="B45" s="1371">
        <v>10806</v>
      </c>
      <c r="C45" s="1370" t="s">
        <v>7147</v>
      </c>
      <c r="F45" s="1380">
        <f>'PRPM WP2'!C46</f>
        <v>0.1033</v>
      </c>
      <c r="H45" s="1380">
        <f>'PRPM WP2'!H46</f>
        <v>4.4166666666666668E-3</v>
      </c>
      <c r="I45" s="1373">
        <f t="shared" si="0"/>
        <v>9.8883333333333337E-2</v>
      </c>
      <c r="J45" s="1371">
        <v>10806</v>
      </c>
    </row>
    <row r="46" spans="2:10" x14ac:dyDescent="0.45">
      <c r="B46" s="1371">
        <v>10837</v>
      </c>
      <c r="C46" s="1370" t="s">
        <v>7147</v>
      </c>
      <c r="F46" s="1380">
        <f>'PRPM WP2'!C47</f>
        <v>3.9999999999999996E-4</v>
      </c>
      <c r="H46" s="1380">
        <f>'PRPM WP2'!H47</f>
        <v>4.4833333333333331E-3</v>
      </c>
      <c r="I46" s="1373">
        <f t="shared" si="0"/>
        <v>-4.0833333333333329E-3</v>
      </c>
      <c r="J46" s="1371">
        <v>10837</v>
      </c>
    </row>
    <row r="47" spans="2:10" x14ac:dyDescent="0.45">
      <c r="B47" s="1371">
        <v>10867</v>
      </c>
      <c r="C47" s="1370" t="s">
        <v>7147</v>
      </c>
      <c r="F47" s="1380">
        <f>'PRPM WP2'!C48</f>
        <v>-0.30220000000000002</v>
      </c>
      <c r="H47" s="1380">
        <f>'PRPM WP2'!H48</f>
        <v>4.45E-3</v>
      </c>
      <c r="I47" s="1373">
        <f t="shared" si="0"/>
        <v>-0.30665000000000003</v>
      </c>
      <c r="J47" s="1371">
        <v>10867</v>
      </c>
    </row>
    <row r="48" spans="2:10" x14ac:dyDescent="0.45">
      <c r="B48" s="1371">
        <v>10898</v>
      </c>
      <c r="C48" s="1370" t="s">
        <v>7147</v>
      </c>
      <c r="F48" s="1380">
        <f>'PRPM WP2'!C49</f>
        <v>-0.1424</v>
      </c>
      <c r="H48" s="1380">
        <f>'PRPM WP2'!H49</f>
        <v>4.4083333333333335E-3</v>
      </c>
      <c r="I48" s="1373">
        <f t="shared" si="0"/>
        <v>-0.14680833333333332</v>
      </c>
      <c r="J48" s="1371">
        <v>10898</v>
      </c>
    </row>
    <row r="49" spans="2:10" x14ac:dyDescent="0.45">
      <c r="B49" s="1371">
        <v>10928</v>
      </c>
      <c r="C49" s="1370" t="s">
        <v>7147</v>
      </c>
      <c r="F49" s="1380">
        <f>'PRPM WP2'!C50</f>
        <v>6.7999999999999991E-2</v>
      </c>
      <c r="H49" s="1380">
        <f>'PRPM WP2'!H50</f>
        <v>4.3583333333333339E-3</v>
      </c>
      <c r="I49" s="1373">
        <f t="shared" si="0"/>
        <v>6.3641666666666652E-2</v>
      </c>
      <c r="J49" s="1371">
        <v>10928</v>
      </c>
    </row>
    <row r="50" spans="2:10" x14ac:dyDescent="0.45">
      <c r="B50" s="1371">
        <v>10959</v>
      </c>
      <c r="C50" s="1370" t="s">
        <v>7147</v>
      </c>
      <c r="F50" s="1380">
        <f>'PRPM WP2'!C51</f>
        <v>7.3999999999999996E-2</v>
      </c>
      <c r="H50" s="1380">
        <f>'PRPM WP2'!H51</f>
        <v>4.3833333333333328E-3</v>
      </c>
      <c r="I50" s="1373">
        <f t="shared" si="0"/>
        <v>6.961666666666666E-2</v>
      </c>
      <c r="J50" s="1371">
        <v>10959</v>
      </c>
    </row>
    <row r="51" spans="2:10" x14ac:dyDescent="0.45">
      <c r="B51" s="1371">
        <v>10990</v>
      </c>
      <c r="C51" s="1370" t="s">
        <v>7147</v>
      </c>
      <c r="F51" s="1380">
        <f>'PRPM WP2'!C52</f>
        <v>8.8499999999999995E-2</v>
      </c>
      <c r="H51" s="1380">
        <f>'PRPM WP2'!H52</f>
        <v>4.4083333333333335E-3</v>
      </c>
      <c r="I51" s="1373">
        <f t="shared" si="0"/>
        <v>8.4091666666666662E-2</v>
      </c>
      <c r="J51" s="1371">
        <v>10990</v>
      </c>
    </row>
    <row r="52" spans="2:10" x14ac:dyDescent="0.45">
      <c r="B52" s="1371">
        <v>11018</v>
      </c>
      <c r="C52" s="1370" t="s">
        <v>7147</v>
      </c>
      <c r="F52" s="1380">
        <f>'PRPM WP2'!C53</f>
        <v>8.9099999999999999E-2</v>
      </c>
      <c r="H52" s="1380">
        <f>'PRPM WP2'!H53</f>
        <v>4.3166666666666666E-3</v>
      </c>
      <c r="I52" s="1373">
        <f t="shared" si="0"/>
        <v>8.4783333333333336E-2</v>
      </c>
      <c r="J52" s="1371">
        <v>11018</v>
      </c>
    </row>
    <row r="53" spans="2:10" x14ac:dyDescent="0.45">
      <c r="B53" s="1371">
        <v>11049</v>
      </c>
      <c r="C53" s="1370" t="s">
        <v>7147</v>
      </c>
      <c r="F53" s="1380">
        <f>'PRPM WP2'!C54</f>
        <v>3.4099999999999998E-2</v>
      </c>
      <c r="H53" s="1380">
        <f>'PRPM WP2'!H54</f>
        <v>4.2916666666666667E-3</v>
      </c>
      <c r="I53" s="1373">
        <f t="shared" si="0"/>
        <v>2.9808333333333333E-2</v>
      </c>
      <c r="J53" s="1371">
        <v>11049</v>
      </c>
    </row>
    <row r="54" spans="2:10" x14ac:dyDescent="0.45">
      <c r="B54" s="1371">
        <v>11079</v>
      </c>
      <c r="C54" s="1370" t="s">
        <v>7147</v>
      </c>
      <c r="F54" s="1380">
        <f>'PRPM WP2'!C55</f>
        <v>-2.3600000000000003E-2</v>
      </c>
      <c r="H54" s="1380">
        <f>'PRPM WP2'!H55</f>
        <v>4.1999999999999997E-3</v>
      </c>
      <c r="I54" s="1373">
        <f t="shared" si="0"/>
        <v>-2.7800000000000002E-2</v>
      </c>
      <c r="J54" s="1371">
        <v>11079</v>
      </c>
    </row>
    <row r="55" spans="2:10" x14ac:dyDescent="0.45">
      <c r="B55" s="1371">
        <v>11110</v>
      </c>
      <c r="C55" s="1370" t="s">
        <v>7147</v>
      </c>
      <c r="F55" s="1380">
        <f>'PRPM WP2'!C56</f>
        <v>-0.19030000000000002</v>
      </c>
      <c r="H55" s="1380">
        <f>'PRPM WP2'!H56</f>
        <v>4.1749999999999999E-3</v>
      </c>
      <c r="I55" s="1373">
        <f t="shared" si="0"/>
        <v>-0.19447500000000004</v>
      </c>
      <c r="J55" s="1371">
        <v>11110</v>
      </c>
    </row>
    <row r="56" spans="2:10" x14ac:dyDescent="0.45">
      <c r="B56" s="1371">
        <v>11140</v>
      </c>
      <c r="C56" s="1370" t="s">
        <v>7147</v>
      </c>
      <c r="F56" s="1380">
        <f>'PRPM WP2'!C57</f>
        <v>1.7599999999999998E-2</v>
      </c>
      <c r="H56" s="1380">
        <f>'PRPM WP2'!H57</f>
        <v>4.1583333333333333E-3</v>
      </c>
      <c r="I56" s="1373">
        <f t="shared" si="0"/>
        <v>1.3441666666666664E-2</v>
      </c>
      <c r="J56" s="1371">
        <v>11140</v>
      </c>
    </row>
    <row r="57" spans="2:10" x14ac:dyDescent="0.45">
      <c r="B57" s="1371">
        <v>11171</v>
      </c>
      <c r="C57" s="1370" t="s">
        <v>7147</v>
      </c>
      <c r="F57" s="1380">
        <f>'PRPM WP2'!C58</f>
        <v>7.6000000000000009E-3</v>
      </c>
      <c r="H57" s="1380">
        <f>'PRPM WP2'!H58</f>
        <v>4.1250000000000002E-3</v>
      </c>
      <c r="I57" s="1373">
        <f t="shared" si="0"/>
        <v>3.4750000000000007E-3</v>
      </c>
      <c r="J57" s="1371">
        <v>11171</v>
      </c>
    </row>
    <row r="58" spans="2:10" x14ac:dyDescent="0.45">
      <c r="B58" s="1371">
        <v>11202</v>
      </c>
      <c r="C58" s="1370" t="s">
        <v>7147</v>
      </c>
      <c r="F58" s="1380">
        <f>'PRPM WP2'!C59</f>
        <v>-0.1108</v>
      </c>
      <c r="H58" s="1380">
        <f>'PRPM WP2'!H59</f>
        <v>4.0500000000000006E-3</v>
      </c>
      <c r="I58" s="1373">
        <f t="shared" si="0"/>
        <v>-0.11484999999999999</v>
      </c>
      <c r="J58" s="1371">
        <v>11202</v>
      </c>
    </row>
    <row r="59" spans="2:10" x14ac:dyDescent="0.45">
      <c r="B59" s="1371">
        <v>11232</v>
      </c>
      <c r="C59" s="1370" t="s">
        <v>7147</v>
      </c>
      <c r="F59" s="1380">
        <f>'PRPM WP2'!C60</f>
        <v>-8.1799999999999998E-2</v>
      </c>
      <c r="H59" s="1380">
        <f>'PRPM WP2'!H60</f>
        <v>4.0666666666666663E-3</v>
      </c>
      <c r="I59" s="1373">
        <f t="shared" si="0"/>
        <v>-8.5866666666666661E-2</v>
      </c>
      <c r="J59" s="1371">
        <v>11232</v>
      </c>
    </row>
    <row r="60" spans="2:10" x14ac:dyDescent="0.45">
      <c r="B60" s="1371">
        <v>11263</v>
      </c>
      <c r="C60" s="1370" t="s">
        <v>7147</v>
      </c>
      <c r="F60" s="1380">
        <f>'PRPM WP2'!C61</f>
        <v>-7.3000000000000009E-2</v>
      </c>
      <c r="H60" s="1380">
        <f>'PRPM WP2'!H61</f>
        <v>4.1333333333333335E-3</v>
      </c>
      <c r="I60" s="1373">
        <f t="shared" si="0"/>
        <v>-7.7133333333333345E-2</v>
      </c>
      <c r="J60" s="1371">
        <v>11263</v>
      </c>
    </row>
    <row r="61" spans="2:10" x14ac:dyDescent="0.45">
      <c r="B61" s="1371">
        <v>11293</v>
      </c>
      <c r="C61" s="1370" t="s">
        <v>7147</v>
      </c>
      <c r="F61" s="1380">
        <f>'PRPM WP2'!C62</f>
        <v>-3.39E-2</v>
      </c>
      <c r="H61" s="1380">
        <f>'PRPM WP2'!H62</f>
        <v>4.2583333333333336E-3</v>
      </c>
      <c r="I61" s="1373">
        <f t="shared" si="0"/>
        <v>-3.8158333333333336E-2</v>
      </c>
      <c r="J61" s="1371">
        <v>11293</v>
      </c>
    </row>
    <row r="62" spans="2:10" x14ac:dyDescent="0.45">
      <c r="B62" s="1371">
        <v>11324</v>
      </c>
      <c r="C62" s="1370" t="s">
        <v>7147</v>
      </c>
      <c r="F62" s="1380">
        <f>'PRPM WP2'!C63</f>
        <v>5.4000000000000006E-2</v>
      </c>
      <c r="H62" s="1380">
        <f>'PRPM WP2'!H63</f>
        <v>4.1749999999999999E-3</v>
      </c>
      <c r="I62" s="1373">
        <f t="shared" si="0"/>
        <v>4.9825000000000008E-2</v>
      </c>
      <c r="J62" s="1371">
        <v>11324</v>
      </c>
    </row>
    <row r="63" spans="2:10" x14ac:dyDescent="0.45">
      <c r="B63" s="1371">
        <v>11355</v>
      </c>
      <c r="C63" s="1370" t="s">
        <v>7147</v>
      </c>
      <c r="F63" s="1380">
        <f>'PRPM WP2'!C64</f>
        <v>0.15240000000000001</v>
      </c>
      <c r="H63" s="1380">
        <f>'PRPM WP2'!H64</f>
        <v>4.1749999999999999E-3</v>
      </c>
      <c r="I63" s="1373">
        <f t="shared" si="0"/>
        <v>0.148225</v>
      </c>
      <c r="J63" s="1371">
        <v>11355</v>
      </c>
    </row>
    <row r="64" spans="2:10" x14ac:dyDescent="0.45">
      <c r="B64" s="1371">
        <v>11383</v>
      </c>
      <c r="C64" s="1370" t="s">
        <v>7147</v>
      </c>
      <c r="F64" s="1380">
        <f>'PRPM WP2'!C65</f>
        <v>-2.3900000000000001E-2</v>
      </c>
      <c r="H64" s="1380">
        <f>'PRPM WP2'!H65</f>
        <v>4.15E-3</v>
      </c>
      <c r="I64" s="1373">
        <f t="shared" si="0"/>
        <v>-2.8050000000000002E-2</v>
      </c>
      <c r="J64" s="1371">
        <v>11383</v>
      </c>
    </row>
    <row r="65" spans="2:10" x14ac:dyDescent="0.45">
      <c r="B65" s="1371">
        <v>11414</v>
      </c>
      <c r="C65" s="1370" t="s">
        <v>7147</v>
      </c>
      <c r="F65" s="1380">
        <f>'PRPM WP2'!C66</f>
        <v>-0.10540000000000001</v>
      </c>
      <c r="H65" s="1380">
        <f>'PRPM WP2'!H66</f>
        <v>4.0500000000000006E-3</v>
      </c>
      <c r="I65" s="1373">
        <f t="shared" si="0"/>
        <v>-0.10945000000000001</v>
      </c>
      <c r="J65" s="1371">
        <v>11414</v>
      </c>
    </row>
    <row r="66" spans="2:10" x14ac:dyDescent="0.45">
      <c r="B66" s="1371">
        <v>11444</v>
      </c>
      <c r="C66" s="1370" t="s">
        <v>7147</v>
      </c>
      <c r="F66" s="1380">
        <f>'PRPM WP2'!C67</f>
        <v>-0.10289999999999999</v>
      </c>
      <c r="H66" s="1380">
        <f>'PRPM WP2'!H67</f>
        <v>4.0333333333333332E-3</v>
      </c>
      <c r="I66" s="1373">
        <f t="shared" si="0"/>
        <v>-0.10693333333333332</v>
      </c>
      <c r="J66" s="1371">
        <v>11444</v>
      </c>
    </row>
    <row r="67" spans="2:10" x14ac:dyDescent="0.45">
      <c r="B67" s="1371">
        <v>11475</v>
      </c>
      <c r="C67" s="1370" t="s">
        <v>7147</v>
      </c>
      <c r="F67" s="1380">
        <f>'PRPM WP2'!C68</f>
        <v>0.13730000000000001</v>
      </c>
      <c r="H67" s="1380">
        <f>'PRPM WP2'!H68</f>
        <v>4.0583333333333331E-3</v>
      </c>
      <c r="I67" s="1373">
        <f t="shared" si="0"/>
        <v>0.13324166666666667</v>
      </c>
      <c r="J67" s="1371">
        <v>11475</v>
      </c>
    </row>
    <row r="68" spans="2:10" x14ac:dyDescent="0.45">
      <c r="B68" s="1371">
        <v>11505</v>
      </c>
      <c r="C68" s="1370" t="s">
        <v>7147</v>
      </c>
      <c r="F68" s="1380">
        <f>'PRPM WP2'!C69</f>
        <v>-6.2199999999999991E-2</v>
      </c>
      <c r="H68" s="1380">
        <f>'PRPM WP2'!H69</f>
        <v>4.0249999999999999E-3</v>
      </c>
      <c r="I68" s="1373">
        <f t="shared" si="0"/>
        <v>-6.6224999999999992E-2</v>
      </c>
      <c r="J68" s="1371">
        <v>11505</v>
      </c>
    </row>
    <row r="69" spans="2:10" x14ac:dyDescent="0.45">
      <c r="B69" s="1371">
        <v>11536</v>
      </c>
      <c r="C69" s="1370" t="s">
        <v>7147</v>
      </c>
      <c r="F69" s="1380">
        <f>'PRPM WP2'!C70</f>
        <v>2.5599999999999998E-2</v>
      </c>
      <c r="H69" s="1380">
        <f>'PRPM WP2'!H70</f>
        <v>4.0083333333333334E-3</v>
      </c>
      <c r="I69" s="1373">
        <f t="shared" si="0"/>
        <v>2.1591666666666665E-2</v>
      </c>
      <c r="J69" s="1371">
        <v>11536</v>
      </c>
    </row>
    <row r="70" spans="2:10" x14ac:dyDescent="0.45">
      <c r="B70" s="1371">
        <v>11567</v>
      </c>
      <c r="C70" s="1370" t="s">
        <v>7147</v>
      </c>
      <c r="F70" s="1380">
        <f>'PRPM WP2'!C71</f>
        <v>-0.31490000000000001</v>
      </c>
      <c r="H70" s="1380">
        <f>'PRPM WP2'!H71</f>
        <v>4.208333333333333E-3</v>
      </c>
      <c r="I70" s="1373">
        <f t="shared" si="0"/>
        <v>-0.31910833333333333</v>
      </c>
      <c r="J70" s="1371">
        <v>11567</v>
      </c>
    </row>
    <row r="71" spans="2:10" x14ac:dyDescent="0.45">
      <c r="B71" s="1371">
        <v>11597</v>
      </c>
      <c r="C71" s="1370" t="s">
        <v>7147</v>
      </c>
      <c r="F71" s="1380">
        <f>'PRPM WP2'!C72</f>
        <v>9.9000000000000005E-2</v>
      </c>
      <c r="H71" s="1380">
        <f>'PRPM WP2'!H72</f>
        <v>4.6166666666666665E-3</v>
      </c>
      <c r="I71" s="1373">
        <f t="shared" si="0"/>
        <v>9.4383333333333333E-2</v>
      </c>
      <c r="J71" s="1371">
        <v>11597</v>
      </c>
    </row>
    <row r="72" spans="2:10" x14ac:dyDescent="0.45">
      <c r="B72" s="1371">
        <v>11628</v>
      </c>
      <c r="C72" s="1370" t="s">
        <v>7147</v>
      </c>
      <c r="F72" s="1380">
        <f>'PRPM WP2'!C73</f>
        <v>-6.1400000000000003E-2</v>
      </c>
      <c r="H72" s="1380">
        <f>'PRPM WP2'!H73</f>
        <v>4.5916666666666666E-3</v>
      </c>
      <c r="I72" s="1373">
        <f t="shared" si="0"/>
        <v>-6.5991666666666671E-2</v>
      </c>
      <c r="J72" s="1371">
        <v>11628</v>
      </c>
    </row>
    <row r="73" spans="2:10" x14ac:dyDescent="0.45">
      <c r="B73" s="1371">
        <v>11658</v>
      </c>
      <c r="C73" s="1370" t="s">
        <v>7147</v>
      </c>
      <c r="F73" s="1380">
        <f>'PRPM WP2'!C74</f>
        <v>-0.1283</v>
      </c>
      <c r="H73" s="1380">
        <f>'PRPM WP2'!H74</f>
        <v>5.1999999999999998E-3</v>
      </c>
      <c r="I73" s="1373">
        <f t="shared" si="0"/>
        <v>-0.13350000000000001</v>
      </c>
      <c r="J73" s="1371">
        <v>11658</v>
      </c>
    </row>
    <row r="74" spans="2:10" x14ac:dyDescent="0.45">
      <c r="B74" s="1371">
        <v>11689</v>
      </c>
      <c r="C74" s="1370" t="s">
        <v>7147</v>
      </c>
      <c r="F74" s="1380">
        <f>'PRPM WP2'!C75</f>
        <v>-1.9999999999999997E-2</v>
      </c>
      <c r="H74" s="1380">
        <f>'PRPM WP2'!H75</f>
        <v>5.1416666666666668E-3</v>
      </c>
      <c r="I74" s="1373">
        <f t="shared" si="0"/>
        <v>-2.5141666666666663E-2</v>
      </c>
      <c r="J74" s="1371">
        <v>11689</v>
      </c>
    </row>
    <row r="75" spans="2:10" x14ac:dyDescent="0.45">
      <c r="B75" s="1371">
        <v>11720</v>
      </c>
      <c r="C75" s="1370" t="s">
        <v>7147</v>
      </c>
      <c r="F75" s="1380">
        <f>'PRPM WP2'!C76</f>
        <v>7.9899999999999999E-2</v>
      </c>
      <c r="H75" s="1380">
        <f>'PRPM WP2'!H76</f>
        <v>5.3416666666666664E-3</v>
      </c>
      <c r="I75" s="1373">
        <f t="shared" si="0"/>
        <v>7.4558333333333338E-2</v>
      </c>
      <c r="J75" s="1371">
        <v>11720</v>
      </c>
    </row>
    <row r="76" spans="2:10" x14ac:dyDescent="0.45">
      <c r="B76" s="1371">
        <v>11749</v>
      </c>
      <c r="C76" s="1370" t="s">
        <v>7147</v>
      </c>
      <c r="F76" s="1380">
        <f>'PRPM WP2'!C77</f>
        <v>-0.10580000000000001</v>
      </c>
      <c r="H76" s="1380">
        <f>'PRPM WP2'!H77</f>
        <v>5.0499999999999998E-3</v>
      </c>
      <c r="I76" s="1373">
        <f t="shared" si="0"/>
        <v>-0.11085</v>
      </c>
      <c r="J76" s="1371">
        <v>11749</v>
      </c>
    </row>
    <row r="77" spans="2:10" x14ac:dyDescent="0.45">
      <c r="B77" s="1371">
        <v>11780</v>
      </c>
      <c r="C77" s="1370" t="s">
        <v>7147</v>
      </c>
      <c r="F77" s="1380">
        <f>'PRPM WP2'!C78</f>
        <v>-0.1535</v>
      </c>
      <c r="H77" s="1380">
        <f>'PRPM WP2'!H78</f>
        <v>5.6916666666666669E-3</v>
      </c>
      <c r="I77" s="1373">
        <f t="shared" si="0"/>
        <v>-0.15919166666666668</v>
      </c>
      <c r="J77" s="1371">
        <v>11780</v>
      </c>
    </row>
    <row r="78" spans="2:10" x14ac:dyDescent="0.45">
      <c r="B78" s="1371">
        <v>11810</v>
      </c>
      <c r="C78" s="1370" t="s">
        <v>7147</v>
      </c>
      <c r="F78" s="1380">
        <f>'PRPM WP2'!C79</f>
        <v>-0.28059999999999996</v>
      </c>
      <c r="H78" s="1380">
        <f>'PRPM WP2'!H79</f>
        <v>6.1333333333333344E-3</v>
      </c>
      <c r="I78" s="1373">
        <f t="shared" si="0"/>
        <v>-0.28673333333333328</v>
      </c>
      <c r="J78" s="1371">
        <v>11810</v>
      </c>
    </row>
    <row r="79" spans="2:10" x14ac:dyDescent="0.45">
      <c r="B79" s="1371">
        <v>11841</v>
      </c>
      <c r="C79" s="1370" t="s">
        <v>7147</v>
      </c>
      <c r="F79" s="1380">
        <f>'PRPM WP2'!C80</f>
        <v>8.9999999999999993E-3</v>
      </c>
      <c r="H79" s="1380">
        <f>'PRPM WP2'!H80</f>
        <v>6.3083333333333333E-3</v>
      </c>
      <c r="I79" s="1373">
        <f t="shared" si="0"/>
        <v>2.691666666666666E-3</v>
      </c>
      <c r="J79" s="1371">
        <v>11841</v>
      </c>
    </row>
    <row r="80" spans="2:10" x14ac:dyDescent="0.45">
      <c r="B80" s="1371">
        <v>11871</v>
      </c>
      <c r="C80" s="1370" t="s">
        <v>7147</v>
      </c>
      <c r="F80" s="1380">
        <f>'PRPM WP2'!C81</f>
        <v>0.33179999999999998</v>
      </c>
      <c r="H80" s="1380">
        <f>'PRPM WP2'!H81</f>
        <v>6.0666666666666673E-3</v>
      </c>
      <c r="I80" s="1373">
        <f t="shared" si="0"/>
        <v>0.32573333333333332</v>
      </c>
      <c r="J80" s="1371">
        <v>11871</v>
      </c>
    </row>
    <row r="81" spans="2:10" x14ac:dyDescent="0.45">
      <c r="B81" s="1371">
        <v>11902</v>
      </c>
      <c r="C81" s="1370" t="s">
        <v>7147</v>
      </c>
      <c r="F81" s="1380">
        <f>'PRPM WP2'!C82</f>
        <v>0.40300000000000002</v>
      </c>
      <c r="H81" s="1380">
        <f>'PRPM WP2'!H82</f>
        <v>5.2916666666666667E-3</v>
      </c>
      <c r="I81" s="1373">
        <f t="shared" si="0"/>
        <v>0.39770833333333333</v>
      </c>
      <c r="J81" s="1371">
        <v>11902</v>
      </c>
    </row>
    <row r="82" spans="2:10" x14ac:dyDescent="0.45">
      <c r="B82" s="1371">
        <v>11933</v>
      </c>
      <c r="C82" s="1370" t="s">
        <v>7147</v>
      </c>
      <c r="F82" s="1380">
        <f>'PRPM WP2'!C83</f>
        <v>-2.7000000000000003E-2</v>
      </c>
      <c r="H82" s="1380">
        <f>'PRPM WP2'!H83</f>
        <v>4.9249999999999997E-3</v>
      </c>
      <c r="I82" s="1373">
        <f t="shared" si="0"/>
        <v>-3.1925000000000002E-2</v>
      </c>
      <c r="J82" s="1371">
        <v>11933</v>
      </c>
    </row>
    <row r="83" spans="2:10" x14ac:dyDescent="0.45">
      <c r="B83" s="1371">
        <v>11963</v>
      </c>
      <c r="C83" s="1370" t="s">
        <v>7147</v>
      </c>
      <c r="F83" s="1380">
        <f>'PRPM WP2'!C84</f>
        <v>-0.1047</v>
      </c>
      <c r="H83" s="1380">
        <f>'PRPM WP2'!H84</f>
        <v>4.8416666666666669E-3</v>
      </c>
      <c r="I83" s="1373">
        <f t="shared" si="0"/>
        <v>-0.10954166666666666</v>
      </c>
      <c r="J83" s="1371">
        <v>11963</v>
      </c>
    </row>
    <row r="84" spans="2:10" x14ac:dyDescent="0.45">
      <c r="B84" s="1371">
        <v>11994</v>
      </c>
      <c r="C84" s="1370" t="s">
        <v>7147</v>
      </c>
      <c r="F84" s="1380">
        <f>'PRPM WP2'!C85</f>
        <v>-3.5400000000000001E-2</v>
      </c>
      <c r="H84" s="1380">
        <f>'PRPM WP2'!H85</f>
        <v>4.8999999999999998E-3</v>
      </c>
      <c r="I84" s="1373">
        <f t="shared" si="0"/>
        <v>-4.0300000000000002E-2</v>
      </c>
      <c r="J84" s="1371">
        <v>11994</v>
      </c>
    </row>
    <row r="85" spans="2:10" x14ac:dyDescent="0.45">
      <c r="B85" s="1371">
        <v>12024</v>
      </c>
      <c r="C85" s="1370" t="s">
        <v>7147</v>
      </c>
      <c r="F85" s="1380">
        <f>'PRPM WP2'!C86</f>
        <v>8.929999999999999E-2</v>
      </c>
      <c r="H85" s="1380">
        <f>'PRPM WP2'!H86</f>
        <v>4.8750000000000009E-3</v>
      </c>
      <c r="I85" s="1373">
        <f t="shared" si="0"/>
        <v>8.4424999999999986E-2</v>
      </c>
      <c r="J85" s="1371">
        <v>12024</v>
      </c>
    </row>
    <row r="86" spans="2:10" x14ac:dyDescent="0.45">
      <c r="B86" s="1371">
        <v>12055</v>
      </c>
      <c r="C86" s="1370" t="s">
        <v>7147</v>
      </c>
      <c r="F86" s="1380">
        <f>'PRPM WP2'!C87</f>
        <v>-3.1099999999999996E-2</v>
      </c>
      <c r="H86" s="1380">
        <f>'PRPM WP2'!H87</f>
        <v>4.4916666666666664E-3</v>
      </c>
      <c r="I86" s="1373">
        <f t="shared" si="0"/>
        <v>-3.559166666666666E-2</v>
      </c>
      <c r="J86" s="1371">
        <v>12055</v>
      </c>
    </row>
    <row r="87" spans="2:10" x14ac:dyDescent="0.45">
      <c r="B87" s="1371">
        <v>12086</v>
      </c>
      <c r="C87" s="1370" t="s">
        <v>7147</v>
      </c>
      <c r="F87" s="1380">
        <f>'PRPM WP2'!C88</f>
        <v>-0.19839999999999999</v>
      </c>
      <c r="H87" s="1380">
        <f>'PRPM WP2'!H88</f>
        <v>4.8083333333333337E-3</v>
      </c>
      <c r="I87" s="1373">
        <f t="shared" si="0"/>
        <v>-0.20320833333333332</v>
      </c>
      <c r="J87" s="1371">
        <v>12086</v>
      </c>
    </row>
    <row r="88" spans="2:10" x14ac:dyDescent="0.45">
      <c r="B88" s="1371">
        <v>12114</v>
      </c>
      <c r="C88" s="1370" t="s">
        <v>7147</v>
      </c>
      <c r="F88" s="1380">
        <f>'PRPM WP2'!C89</f>
        <v>-0.10800000000000001</v>
      </c>
      <c r="H88" s="1380">
        <f>'PRPM WP2'!H89</f>
        <v>5.2833333333333335E-3</v>
      </c>
      <c r="I88" s="1373">
        <f t="shared" si="0"/>
        <v>-0.11328333333333335</v>
      </c>
      <c r="J88" s="1371">
        <v>12114</v>
      </c>
    </row>
    <row r="89" spans="2:10" x14ac:dyDescent="0.45">
      <c r="B89" s="1371">
        <v>12145</v>
      </c>
      <c r="C89" s="1370" t="s">
        <v>7147</v>
      </c>
      <c r="F89" s="1380">
        <f>'PRPM WP2'!C90</f>
        <v>0.26349999999999996</v>
      </c>
      <c r="H89" s="1380">
        <f>'PRPM WP2'!H90</f>
        <v>5.7416666666666675E-3</v>
      </c>
      <c r="I89" s="1373">
        <f t="shared" si="0"/>
        <v>0.25775833333333331</v>
      </c>
      <c r="J89" s="1371">
        <v>12145</v>
      </c>
    </row>
    <row r="90" spans="2:10" x14ac:dyDescent="0.45">
      <c r="B90" s="1371">
        <v>12175</v>
      </c>
      <c r="C90" s="1370" t="s">
        <v>7147</v>
      </c>
      <c r="F90" s="1380">
        <f>'PRPM WP2'!C91</f>
        <v>0.17319999999999999</v>
      </c>
      <c r="H90" s="1380">
        <f>'PRPM WP2'!H91</f>
        <v>5.416666666666666E-3</v>
      </c>
      <c r="I90" s="1373">
        <f t="shared" ref="I90:I153" si="1">F90-H90</f>
        <v>0.16778333333333334</v>
      </c>
      <c r="J90" s="1371">
        <v>12175</v>
      </c>
    </row>
    <row r="91" spans="2:10" x14ac:dyDescent="0.45">
      <c r="B91" s="1371">
        <v>12206</v>
      </c>
      <c r="C91" s="1370" t="s">
        <v>7147</v>
      </c>
      <c r="F91" s="1380">
        <f>'PRPM WP2'!C92</f>
        <v>0.14259999999999998</v>
      </c>
      <c r="H91" s="1380">
        <f>'PRPM WP2'!H92</f>
        <v>5.0916666666666662E-3</v>
      </c>
      <c r="I91" s="1373">
        <f t="shared" si="1"/>
        <v>0.13750833333333332</v>
      </c>
      <c r="J91" s="1371">
        <v>12206</v>
      </c>
    </row>
    <row r="92" spans="2:10" x14ac:dyDescent="0.45">
      <c r="B92" s="1371">
        <v>12236</v>
      </c>
      <c r="C92" s="1370" t="s">
        <v>7147</v>
      </c>
      <c r="F92" s="1380">
        <f>'PRPM WP2'!C93</f>
        <v>-0.12039999999999999</v>
      </c>
      <c r="H92" s="1380">
        <f>'PRPM WP2'!H93</f>
        <v>4.9249999999999997E-3</v>
      </c>
      <c r="I92" s="1373">
        <f t="shared" si="1"/>
        <v>-0.12532499999999999</v>
      </c>
      <c r="J92" s="1371">
        <v>12236</v>
      </c>
    </row>
    <row r="93" spans="2:10" x14ac:dyDescent="0.45">
      <c r="B93" s="1371">
        <v>12267</v>
      </c>
      <c r="C93" s="1370" t="s">
        <v>7147</v>
      </c>
      <c r="F93" s="1380">
        <f>'PRPM WP2'!C94</f>
        <v>-5.5999999999999991E-3</v>
      </c>
      <c r="H93" s="1380">
        <f>'PRPM WP2'!H94</f>
        <v>4.9833333333333335E-3</v>
      </c>
      <c r="I93" s="1373">
        <f t="shared" si="1"/>
        <v>-1.0583333333333333E-2</v>
      </c>
      <c r="J93" s="1371">
        <v>12267</v>
      </c>
    </row>
    <row r="94" spans="2:10" x14ac:dyDescent="0.45">
      <c r="B94" s="1371">
        <v>12298</v>
      </c>
      <c r="C94" s="1370" t="s">
        <v>7147</v>
      </c>
      <c r="F94" s="1380">
        <f>'PRPM WP2'!C95</f>
        <v>-0.1759</v>
      </c>
      <c r="H94" s="1380">
        <f>'PRPM WP2'!H95</f>
        <v>5.3E-3</v>
      </c>
      <c r="I94" s="1373">
        <f t="shared" si="1"/>
        <v>-0.1812</v>
      </c>
      <c r="J94" s="1371">
        <v>12298</v>
      </c>
    </row>
    <row r="95" spans="2:10" x14ac:dyDescent="0.45">
      <c r="B95" s="1371">
        <v>12328</v>
      </c>
      <c r="C95" s="1370" t="s">
        <v>7147</v>
      </c>
      <c r="F95" s="1380">
        <f>'PRPM WP2'!C96</f>
        <v>-7.1200000000000013E-2</v>
      </c>
      <c r="H95" s="1380">
        <f>'PRPM WP2'!H96</f>
        <v>5.3E-3</v>
      </c>
      <c r="I95" s="1373">
        <f t="shared" si="1"/>
        <v>-7.6500000000000012E-2</v>
      </c>
      <c r="J95" s="1371">
        <v>12328</v>
      </c>
    </row>
    <row r="96" spans="2:10" x14ac:dyDescent="0.45">
      <c r="B96" s="1371">
        <v>12359</v>
      </c>
      <c r="C96" s="1370" t="s">
        <v>7147</v>
      </c>
      <c r="F96" s="1380">
        <f>'PRPM WP2'!C97</f>
        <v>-1.7999999999999999E-2</v>
      </c>
      <c r="H96" s="1380">
        <f>'PRPM WP2'!H97</f>
        <v>5.8833333333333342E-3</v>
      </c>
      <c r="I96" s="1373">
        <f t="shared" si="1"/>
        <v>-2.3883333333333333E-2</v>
      </c>
      <c r="J96" s="1371">
        <v>12359</v>
      </c>
    </row>
    <row r="97" spans="2:10" x14ac:dyDescent="0.45">
      <c r="B97" s="1371">
        <v>12389</v>
      </c>
      <c r="C97" s="1370" t="s">
        <v>7147</v>
      </c>
      <c r="F97" s="1380">
        <f>'PRPM WP2'!C98</f>
        <v>1.26E-2</v>
      </c>
      <c r="H97" s="1380">
        <f>'PRPM WP2'!H98</f>
        <v>6.0166666666666667E-3</v>
      </c>
      <c r="I97" s="1373">
        <f t="shared" si="1"/>
        <v>6.5833333333333334E-3</v>
      </c>
      <c r="J97" s="1371">
        <v>12389</v>
      </c>
    </row>
    <row r="98" spans="2:10" x14ac:dyDescent="0.45">
      <c r="B98" s="1371">
        <v>12420</v>
      </c>
      <c r="C98" s="1370" t="s">
        <v>7147</v>
      </c>
      <c r="F98" s="1380">
        <f>'PRPM WP2'!C99</f>
        <v>0.17460000000000001</v>
      </c>
      <c r="H98" s="1380">
        <f>'PRPM WP2'!H99</f>
        <v>5.4666666666666674E-3</v>
      </c>
      <c r="I98" s="1373">
        <f t="shared" si="1"/>
        <v>0.16913333333333333</v>
      </c>
      <c r="J98" s="1371">
        <v>12420</v>
      </c>
    </row>
    <row r="99" spans="2:10" x14ac:dyDescent="0.45">
      <c r="B99" s="1371">
        <v>12451</v>
      </c>
      <c r="C99" s="1370" t="s">
        <v>7147</v>
      </c>
      <c r="F99" s="1380">
        <f>'PRPM WP2'!C100</f>
        <v>-2.4199999999999999E-2</v>
      </c>
      <c r="H99" s="1380">
        <f>'PRPM WP2'!H100</f>
        <v>4.816666666666667E-3</v>
      </c>
      <c r="I99" s="1373">
        <f t="shared" si="1"/>
        <v>-2.9016666666666666E-2</v>
      </c>
      <c r="J99" s="1371">
        <v>12451</v>
      </c>
    </row>
    <row r="100" spans="2:10" x14ac:dyDescent="0.45">
      <c r="B100" s="1371">
        <v>12479</v>
      </c>
      <c r="C100" s="1370" t="s">
        <v>7147</v>
      </c>
      <c r="F100" s="1380">
        <f>'PRPM WP2'!C101</f>
        <v>-1.1099999999999999E-2</v>
      </c>
      <c r="H100" s="1380">
        <f>'PRPM WP2'!H101</f>
        <v>4.7166666666666668E-3</v>
      </c>
      <c r="I100" s="1373">
        <f t="shared" si="1"/>
        <v>-1.5816666666666666E-2</v>
      </c>
      <c r="J100" s="1371">
        <v>12479</v>
      </c>
    </row>
    <row r="101" spans="2:10" x14ac:dyDescent="0.45">
      <c r="B101" s="1371">
        <v>12510</v>
      </c>
      <c r="C101" s="1370" t="s">
        <v>7147</v>
      </c>
      <c r="F101" s="1380">
        <f>'PRPM WP2'!C102</f>
        <v>-3.5099999999999999E-2</v>
      </c>
      <c r="H101" s="1380">
        <f>'PRPM WP2'!H102</f>
        <v>4.5333333333333337E-3</v>
      </c>
      <c r="I101" s="1373">
        <f t="shared" si="1"/>
        <v>-3.9633333333333333E-2</v>
      </c>
      <c r="J101" s="1371">
        <v>12510</v>
      </c>
    </row>
    <row r="102" spans="2:10" x14ac:dyDescent="0.45">
      <c r="B102" s="1371">
        <v>12540</v>
      </c>
      <c r="C102" s="1370" t="s">
        <v>7147</v>
      </c>
      <c r="F102" s="1380">
        <f>'PRPM WP2'!C103</f>
        <v>-7.6499999999999999E-2</v>
      </c>
      <c r="H102" s="1380">
        <f>'PRPM WP2'!H103</f>
        <v>4.4916666666666664E-3</v>
      </c>
      <c r="I102" s="1373">
        <f t="shared" si="1"/>
        <v>-8.099166666666667E-2</v>
      </c>
      <c r="J102" s="1371">
        <v>12540</v>
      </c>
    </row>
    <row r="103" spans="2:10" x14ac:dyDescent="0.45">
      <c r="B103" s="1371">
        <v>12571</v>
      </c>
      <c r="C103" s="1370" t="s">
        <v>7147</v>
      </c>
      <c r="F103" s="1380">
        <f>'PRPM WP2'!C104</f>
        <v>4.7800000000000002E-2</v>
      </c>
      <c r="H103" s="1380">
        <f>'PRPM WP2'!H104</f>
        <v>4.5000000000000005E-3</v>
      </c>
      <c r="I103" s="1373">
        <f t="shared" si="1"/>
        <v>4.3300000000000005E-2</v>
      </c>
      <c r="J103" s="1371">
        <v>12571</v>
      </c>
    </row>
    <row r="104" spans="2:10" x14ac:dyDescent="0.45">
      <c r="B104" s="1371">
        <v>12601</v>
      </c>
      <c r="C104" s="1370" t="s">
        <v>7147</v>
      </c>
      <c r="F104" s="1380">
        <f>'PRPM WP2'!C105</f>
        <v>-0.1603</v>
      </c>
      <c r="H104" s="1380">
        <f>'PRPM WP2'!H105</f>
        <v>4.4083333333333335E-3</v>
      </c>
      <c r="I104" s="1373">
        <f t="shared" si="1"/>
        <v>-0.16470833333333335</v>
      </c>
      <c r="J104" s="1371">
        <v>12601</v>
      </c>
    </row>
    <row r="105" spans="2:10" x14ac:dyDescent="0.45">
      <c r="B105" s="1371">
        <v>12632</v>
      </c>
      <c r="C105" s="1370" t="s">
        <v>7147</v>
      </c>
      <c r="F105" s="1380">
        <f>'PRPM WP2'!C106</f>
        <v>2.69E-2</v>
      </c>
      <c r="H105" s="1380">
        <f>'PRPM WP2'!H106</f>
        <v>4.5249999999999995E-3</v>
      </c>
      <c r="I105" s="1373">
        <f t="shared" si="1"/>
        <v>2.2374999999999999E-2</v>
      </c>
      <c r="J105" s="1371">
        <v>12632</v>
      </c>
    </row>
    <row r="106" spans="2:10" x14ac:dyDescent="0.45">
      <c r="B106" s="1371">
        <v>12663</v>
      </c>
      <c r="C106" s="1370" t="s">
        <v>7147</v>
      </c>
      <c r="F106" s="1380">
        <f>'PRPM WP2'!C107</f>
        <v>9.4999999999999998E-3</v>
      </c>
      <c r="H106" s="1380">
        <f>'PRPM WP2'!H107</f>
        <v>4.6333333333333339E-3</v>
      </c>
      <c r="I106" s="1373">
        <f t="shared" si="1"/>
        <v>4.8666666666666658E-3</v>
      </c>
      <c r="J106" s="1371">
        <v>12663</v>
      </c>
    </row>
    <row r="107" spans="2:10" x14ac:dyDescent="0.45">
      <c r="B107" s="1371">
        <v>12693</v>
      </c>
      <c r="C107" s="1370" t="s">
        <v>7147</v>
      </c>
      <c r="F107" s="1380">
        <f>'PRPM WP2'!C108</f>
        <v>-6.6599999999999993E-2</v>
      </c>
      <c r="H107" s="1380">
        <f>'PRPM WP2'!H108</f>
        <v>4.5000000000000005E-3</v>
      </c>
      <c r="I107" s="1373">
        <f t="shared" si="1"/>
        <v>-7.1099999999999997E-2</v>
      </c>
      <c r="J107" s="1371">
        <v>12693</v>
      </c>
    </row>
    <row r="108" spans="2:10" x14ac:dyDescent="0.45">
      <c r="B108" s="1371">
        <v>12724</v>
      </c>
      <c r="C108" s="1370" t="s">
        <v>7147</v>
      </c>
      <c r="F108" s="1380">
        <f>'PRPM WP2'!C109</f>
        <v>-4.8000000000000004E-3</v>
      </c>
      <c r="H108" s="1380">
        <f>'PRPM WP2'!H109</f>
        <v>4.4833333333333331E-3</v>
      </c>
      <c r="I108" s="1373">
        <f t="shared" si="1"/>
        <v>-9.2833333333333344E-3</v>
      </c>
      <c r="J108" s="1371">
        <v>12724</v>
      </c>
    </row>
    <row r="109" spans="2:10" x14ac:dyDescent="0.45">
      <c r="B109" s="1371">
        <v>12754</v>
      </c>
      <c r="C109" s="1370" t="s">
        <v>7147</v>
      </c>
      <c r="F109" s="1380">
        <f>'PRPM WP2'!C110</f>
        <v>-7.010000000000001E-2</v>
      </c>
      <c r="H109" s="1380">
        <f>'PRPM WP2'!H110</f>
        <v>4.4666666666666674E-3</v>
      </c>
      <c r="I109" s="1373">
        <f t="shared" si="1"/>
        <v>-7.456666666666667E-2</v>
      </c>
      <c r="J109" s="1371">
        <v>12754</v>
      </c>
    </row>
    <row r="110" spans="2:10" x14ac:dyDescent="0.45">
      <c r="B110" s="1371">
        <v>12785</v>
      </c>
      <c r="C110" s="1370" t="s">
        <v>7147</v>
      </c>
      <c r="F110" s="1380">
        <f>'PRPM WP2'!C111</f>
        <v>-2.3099999999999999E-2</v>
      </c>
      <c r="H110" s="1380">
        <f>'PRPM WP2'!H111</f>
        <v>4.3166666666666666E-3</v>
      </c>
      <c r="I110" s="1373">
        <f t="shared" si="1"/>
        <v>-2.7416666666666666E-2</v>
      </c>
      <c r="J110" s="1371">
        <v>12785</v>
      </c>
    </row>
    <row r="111" spans="2:10" x14ac:dyDescent="0.45">
      <c r="B111" s="1371">
        <v>12816</v>
      </c>
      <c r="C111" s="1370" t="s">
        <v>7147</v>
      </c>
      <c r="F111" s="1380">
        <f>'PRPM WP2'!C112</f>
        <v>-0.11360000000000001</v>
      </c>
      <c r="H111" s="1380">
        <f>'PRPM WP2'!H112</f>
        <v>4.1333333333333335E-3</v>
      </c>
      <c r="I111" s="1373">
        <f t="shared" si="1"/>
        <v>-0.11773333333333334</v>
      </c>
      <c r="J111" s="1371">
        <v>12816</v>
      </c>
    </row>
    <row r="112" spans="2:10" x14ac:dyDescent="0.45">
      <c r="B112" s="1371">
        <v>12844</v>
      </c>
      <c r="C112" s="1370" t="s">
        <v>7147</v>
      </c>
      <c r="F112" s="1380">
        <f>'PRPM WP2'!C113</f>
        <v>0.1043</v>
      </c>
      <c r="H112" s="1380">
        <f>'PRPM WP2'!H113</f>
        <v>4.0666666666666663E-3</v>
      </c>
      <c r="I112" s="1373">
        <f t="shared" si="1"/>
        <v>0.10023333333333334</v>
      </c>
      <c r="J112" s="1371">
        <v>12844</v>
      </c>
    </row>
    <row r="113" spans="2:10" x14ac:dyDescent="0.45">
      <c r="B113" s="1371">
        <v>12875</v>
      </c>
      <c r="C113" s="1370" t="s">
        <v>7147</v>
      </c>
      <c r="F113" s="1380">
        <f>'PRPM WP2'!C114</f>
        <v>0.11779999999999999</v>
      </c>
      <c r="H113" s="1380">
        <f>'PRPM WP2'!H114</f>
        <v>3.9916666666666668E-3</v>
      </c>
      <c r="I113" s="1373">
        <f t="shared" si="1"/>
        <v>0.11380833333333332</v>
      </c>
      <c r="J113" s="1371">
        <v>12875</v>
      </c>
    </row>
    <row r="114" spans="2:10" x14ac:dyDescent="0.45">
      <c r="B114" s="1371">
        <v>12905</v>
      </c>
      <c r="C114" s="1370" t="s">
        <v>7147</v>
      </c>
      <c r="F114" s="1380">
        <f>'PRPM WP2'!C115</f>
        <v>0.1106</v>
      </c>
      <c r="H114" s="1380">
        <f>'PRPM WP2'!H115</f>
        <v>3.8416666666666673E-3</v>
      </c>
      <c r="I114" s="1373">
        <f t="shared" si="1"/>
        <v>0.10675833333333333</v>
      </c>
      <c r="J114" s="1371">
        <v>12905</v>
      </c>
    </row>
    <row r="115" spans="2:10" x14ac:dyDescent="0.45">
      <c r="B115" s="1371">
        <v>12936</v>
      </c>
      <c r="C115" s="1370" t="s">
        <v>7147</v>
      </c>
      <c r="F115" s="1380">
        <f>'PRPM WP2'!C116</f>
        <v>0.1036</v>
      </c>
      <c r="H115" s="1380">
        <f>'PRPM WP2'!H116</f>
        <v>3.7750000000000001E-3</v>
      </c>
      <c r="I115" s="1373">
        <f t="shared" si="1"/>
        <v>9.9824999999999997E-2</v>
      </c>
      <c r="J115" s="1371">
        <v>12936</v>
      </c>
    </row>
    <row r="116" spans="2:10" x14ac:dyDescent="0.45">
      <c r="B116" s="1371">
        <v>12966</v>
      </c>
      <c r="C116" s="1370" t="s">
        <v>7147</v>
      </c>
      <c r="F116" s="1380">
        <f>'PRPM WP2'!C117</f>
        <v>8.6999999999999994E-2</v>
      </c>
      <c r="H116" s="1380">
        <f>'PRPM WP2'!H117</f>
        <v>3.6833333333333336E-3</v>
      </c>
      <c r="I116" s="1373">
        <f t="shared" si="1"/>
        <v>8.3316666666666664E-2</v>
      </c>
      <c r="J116" s="1371">
        <v>12966</v>
      </c>
    </row>
    <row r="117" spans="2:10" x14ac:dyDescent="0.45">
      <c r="B117" s="1371">
        <v>12997</v>
      </c>
      <c r="C117" s="1370" t="s">
        <v>7147</v>
      </c>
      <c r="F117" s="1380">
        <f>'PRPM WP2'!C118</f>
        <v>5.6299999999999996E-2</v>
      </c>
      <c r="H117" s="1380">
        <f>'PRPM WP2'!H118</f>
        <v>3.7000000000000006E-3</v>
      </c>
      <c r="I117" s="1373">
        <f t="shared" si="1"/>
        <v>5.2599999999999994E-2</v>
      </c>
      <c r="J117" s="1371">
        <v>12997</v>
      </c>
    </row>
    <row r="118" spans="2:10" x14ac:dyDescent="0.45">
      <c r="B118" s="1371">
        <v>13028</v>
      </c>
      <c r="C118" s="1370" t="s">
        <v>7147</v>
      </c>
      <c r="F118" s="1380">
        <f>'PRPM WP2'!C119</f>
        <v>-1.2199999999999999E-2</v>
      </c>
      <c r="H118" s="1380">
        <f>'PRPM WP2'!H119</f>
        <v>3.6916666666666664E-3</v>
      </c>
      <c r="I118" s="1373">
        <f t="shared" si="1"/>
        <v>-1.5891666666666665E-2</v>
      </c>
      <c r="J118" s="1371">
        <v>13028</v>
      </c>
    </row>
    <row r="119" spans="2:10" x14ac:dyDescent="0.45">
      <c r="B119" s="1371">
        <v>13058</v>
      </c>
      <c r="C119" s="1370" t="s">
        <v>7147</v>
      </c>
      <c r="F119" s="1380">
        <f>'PRPM WP2'!C120</f>
        <v>0.12240000000000001</v>
      </c>
      <c r="H119" s="1380">
        <f>'PRPM WP2'!H120</f>
        <v>3.666666666666667E-3</v>
      </c>
      <c r="I119" s="1373">
        <f t="shared" si="1"/>
        <v>0.11873333333333334</v>
      </c>
      <c r="J119" s="1371">
        <v>13058</v>
      </c>
    </row>
    <row r="120" spans="2:10" x14ac:dyDescent="0.45">
      <c r="B120" s="1371">
        <v>13089</v>
      </c>
      <c r="C120" s="1370" t="s">
        <v>7147</v>
      </c>
      <c r="F120" s="1380">
        <f>'PRPM WP2'!C121</f>
        <v>1.0800000000000001E-2</v>
      </c>
      <c r="H120" s="1380">
        <f>'PRPM WP2'!H121</f>
        <v>3.6249999999999998E-3</v>
      </c>
      <c r="I120" s="1373">
        <f t="shared" si="1"/>
        <v>7.1750000000000008E-3</v>
      </c>
      <c r="J120" s="1371">
        <v>13089</v>
      </c>
    </row>
    <row r="121" spans="2:10" x14ac:dyDescent="0.45">
      <c r="B121" s="1371">
        <v>13119</v>
      </c>
      <c r="C121" s="1370" t="s">
        <v>7147</v>
      </c>
      <c r="F121" s="1380">
        <f>'PRPM WP2'!C122</f>
        <v>4.7900000000000012E-2</v>
      </c>
      <c r="H121" s="1380">
        <f>'PRPM WP2'!H122</f>
        <v>3.5750000000000001E-3</v>
      </c>
      <c r="I121" s="1373">
        <f t="shared" si="1"/>
        <v>4.432500000000001E-2</v>
      </c>
      <c r="J121" s="1371">
        <v>13119</v>
      </c>
    </row>
    <row r="122" spans="2:10" x14ac:dyDescent="0.45">
      <c r="B122" s="1371">
        <v>13150</v>
      </c>
      <c r="C122" s="1370" t="s">
        <v>7147</v>
      </c>
      <c r="F122" s="1380">
        <f>'PRPM WP2'!C123</f>
        <v>0.11030000000000001</v>
      </c>
      <c r="H122" s="1380">
        <f>'PRPM WP2'!H123</f>
        <v>3.5083333333333334E-3</v>
      </c>
      <c r="I122" s="1373">
        <f t="shared" si="1"/>
        <v>0.10679166666666667</v>
      </c>
      <c r="J122" s="1371">
        <v>13150</v>
      </c>
    </row>
    <row r="123" spans="2:10" x14ac:dyDescent="0.45">
      <c r="B123" s="1371">
        <v>13181</v>
      </c>
      <c r="C123" s="1370" t="s">
        <v>7147</v>
      </c>
      <c r="F123" s="1380">
        <f>'PRPM WP2'!C124</f>
        <v>-3.4200000000000001E-2</v>
      </c>
      <c r="H123" s="1380">
        <f>'PRPM WP2'!H124</f>
        <v>3.4749999999999998E-3</v>
      </c>
      <c r="I123" s="1373">
        <f t="shared" si="1"/>
        <v>-3.7675E-2</v>
      </c>
      <c r="J123" s="1371">
        <v>13181</v>
      </c>
    </row>
    <row r="124" spans="2:10" x14ac:dyDescent="0.45">
      <c r="B124" s="1371">
        <v>13210</v>
      </c>
      <c r="C124" s="1370" t="s">
        <v>7147</v>
      </c>
      <c r="F124" s="1380">
        <f>'PRPM WP2'!C125</f>
        <v>3.3E-3</v>
      </c>
      <c r="H124" s="1380">
        <f>'PRPM WP2'!H125</f>
        <v>3.4749999999999998E-3</v>
      </c>
      <c r="I124" s="1373">
        <f t="shared" si="1"/>
        <v>-1.7499999999999981E-4</v>
      </c>
      <c r="J124" s="1371">
        <v>13210</v>
      </c>
    </row>
    <row r="125" spans="2:10" x14ac:dyDescent="0.45">
      <c r="B125" s="1371">
        <v>13241</v>
      </c>
      <c r="C125" s="1370" t="s">
        <v>7147</v>
      </c>
      <c r="F125" s="1380">
        <f>'PRPM WP2'!C126</f>
        <v>-8.14E-2</v>
      </c>
      <c r="H125" s="1380">
        <f>'PRPM WP2'!H126</f>
        <v>3.4749999999999998E-3</v>
      </c>
      <c r="I125" s="1373">
        <f t="shared" si="1"/>
        <v>-8.4875000000000006E-2</v>
      </c>
      <c r="J125" s="1371">
        <v>13241</v>
      </c>
    </row>
    <row r="126" spans="2:10" x14ac:dyDescent="0.45">
      <c r="B126" s="1371">
        <v>13271</v>
      </c>
      <c r="C126" s="1370" t="s">
        <v>7147</v>
      </c>
      <c r="F126" s="1380">
        <f>'PRPM WP2'!C127</f>
        <v>7.6100000000000001E-2</v>
      </c>
      <c r="H126" s="1380">
        <f>'PRPM WP2'!H127</f>
        <v>3.4499999999999999E-3</v>
      </c>
      <c r="I126" s="1373">
        <f t="shared" si="1"/>
        <v>7.2650000000000006E-2</v>
      </c>
      <c r="J126" s="1371">
        <v>13271</v>
      </c>
    </row>
    <row r="127" spans="2:10" x14ac:dyDescent="0.45">
      <c r="B127" s="1371">
        <v>13302</v>
      </c>
      <c r="C127" s="1370" t="s">
        <v>7147</v>
      </c>
      <c r="F127" s="1380">
        <f>'PRPM WP2'!C128</f>
        <v>3.5000000000000003E-2</v>
      </c>
      <c r="H127" s="1380">
        <f>'PRPM WP2'!H128</f>
        <v>3.4333333333333334E-3</v>
      </c>
      <c r="I127" s="1373">
        <f t="shared" si="1"/>
        <v>3.1566666666666673E-2</v>
      </c>
      <c r="J127" s="1371">
        <v>13302</v>
      </c>
    </row>
    <row r="128" spans="2:10" x14ac:dyDescent="0.45">
      <c r="B128" s="1371">
        <v>13332</v>
      </c>
      <c r="C128" s="1370" t="s">
        <v>7147</v>
      </c>
      <c r="F128" s="1380">
        <f>'PRPM WP2'!C129</f>
        <v>0.1009</v>
      </c>
      <c r="H128" s="1380">
        <f>'PRPM WP2'!H129</f>
        <v>3.3916666666666665E-3</v>
      </c>
      <c r="I128" s="1373">
        <f t="shared" si="1"/>
        <v>9.7508333333333336E-2</v>
      </c>
      <c r="J128" s="1371">
        <v>13332</v>
      </c>
    </row>
    <row r="129" spans="2:10" x14ac:dyDescent="0.45">
      <c r="B129" s="1371">
        <v>13363</v>
      </c>
      <c r="C129" s="1370" t="s">
        <v>7147</v>
      </c>
      <c r="F129" s="1380">
        <f>'PRPM WP2'!C130</f>
        <v>-1.8E-3</v>
      </c>
      <c r="H129" s="1380">
        <f>'PRPM WP2'!H130</f>
        <v>3.3833333333333332E-3</v>
      </c>
      <c r="I129" s="1373">
        <f t="shared" si="1"/>
        <v>-5.1833333333333332E-3</v>
      </c>
      <c r="J129" s="1371">
        <v>13363</v>
      </c>
    </row>
    <row r="130" spans="2:10" x14ac:dyDescent="0.45">
      <c r="B130" s="1371">
        <v>13394</v>
      </c>
      <c r="C130" s="1370" t="s">
        <v>7147</v>
      </c>
      <c r="F130" s="1380">
        <f>'PRPM WP2'!C131</f>
        <v>-2.2499999999999999E-2</v>
      </c>
      <c r="H130" s="1380">
        <f>'PRPM WP2'!H131</f>
        <v>3.3749999999999995E-3</v>
      </c>
      <c r="I130" s="1373">
        <f t="shared" si="1"/>
        <v>-2.5874999999999999E-2</v>
      </c>
      <c r="J130" s="1371">
        <v>13394</v>
      </c>
    </row>
    <row r="131" spans="2:10" x14ac:dyDescent="0.45">
      <c r="B131" s="1371">
        <v>13424</v>
      </c>
      <c r="C131" s="1370" t="s">
        <v>7147</v>
      </c>
      <c r="F131" s="1380">
        <f>'PRPM WP2'!C132</f>
        <v>5.6600000000000004E-2</v>
      </c>
      <c r="H131" s="1380">
        <f>'PRPM WP2'!H132</f>
        <v>3.3666666666666667E-3</v>
      </c>
      <c r="I131" s="1373">
        <f t="shared" si="1"/>
        <v>5.3233333333333341E-2</v>
      </c>
      <c r="J131" s="1371">
        <v>13424</v>
      </c>
    </row>
    <row r="132" spans="2:10" x14ac:dyDescent="0.45">
      <c r="B132" s="1371">
        <v>13455</v>
      </c>
      <c r="C132" s="1370" t="s">
        <v>7147</v>
      </c>
      <c r="F132" s="1380">
        <f>'PRPM WP2'!C133</f>
        <v>-1.6900000000000002E-2</v>
      </c>
      <c r="H132" s="1380">
        <f>'PRPM WP2'!H133</f>
        <v>3.2916666666666667E-3</v>
      </c>
      <c r="I132" s="1373">
        <f t="shared" si="1"/>
        <v>-2.019166666666667E-2</v>
      </c>
      <c r="J132" s="1371">
        <v>13455</v>
      </c>
    </row>
    <row r="133" spans="2:10" x14ac:dyDescent="0.45">
      <c r="B133" s="1371">
        <v>13485</v>
      </c>
      <c r="C133" s="1370" t="s">
        <v>7147</v>
      </c>
      <c r="F133" s="1380">
        <f>'PRPM WP2'!C134</f>
        <v>-1.7399999999999999E-2</v>
      </c>
      <c r="H133" s="1380">
        <f>'PRPM WP2'!H134</f>
        <v>3.1916666666666664E-3</v>
      </c>
      <c r="I133" s="1373">
        <f t="shared" si="1"/>
        <v>-2.0591666666666664E-2</v>
      </c>
      <c r="J133" s="1371">
        <v>13485</v>
      </c>
    </row>
    <row r="134" spans="2:10" x14ac:dyDescent="0.45">
      <c r="B134" s="1371">
        <v>13516</v>
      </c>
      <c r="C134" s="1370" t="s">
        <v>7147</v>
      </c>
      <c r="F134" s="1380">
        <f>'PRPM WP2'!C135</f>
        <v>1.9500000000000003E-2</v>
      </c>
      <c r="H134" s="1380">
        <f>'PRPM WP2'!H135</f>
        <v>3.1833333333333336E-3</v>
      </c>
      <c r="I134" s="1373">
        <f t="shared" si="1"/>
        <v>1.631666666666667E-2</v>
      </c>
      <c r="J134" s="1371">
        <v>13516</v>
      </c>
    </row>
    <row r="135" spans="2:10" x14ac:dyDescent="0.45">
      <c r="B135" s="1371">
        <v>13547</v>
      </c>
      <c r="C135" s="1370" t="s">
        <v>7147</v>
      </c>
      <c r="F135" s="1380">
        <f>'PRPM WP2'!C136</f>
        <v>-3.5299999999999998E-2</v>
      </c>
      <c r="H135" s="1380">
        <f>'PRPM WP2'!H136</f>
        <v>3.2416666666666666E-3</v>
      </c>
      <c r="I135" s="1373">
        <f t="shared" si="1"/>
        <v>-3.8541666666666662E-2</v>
      </c>
      <c r="J135" s="1371">
        <v>13547</v>
      </c>
    </row>
    <row r="136" spans="2:10" x14ac:dyDescent="0.45">
      <c r="B136" s="1371">
        <v>13575</v>
      </c>
      <c r="C136" s="1370" t="s">
        <v>7147</v>
      </c>
      <c r="F136" s="1380">
        <f>'PRPM WP2'!C137</f>
        <v>-5.7300000000000004E-2</v>
      </c>
      <c r="H136" s="1380">
        <f>'PRPM WP2'!H137</f>
        <v>3.3333333333333331E-3</v>
      </c>
      <c r="I136" s="1373">
        <f t="shared" si="1"/>
        <v>-6.0633333333333338E-2</v>
      </c>
      <c r="J136" s="1371">
        <v>13575</v>
      </c>
    </row>
    <row r="137" spans="2:10" x14ac:dyDescent="0.45">
      <c r="B137" s="1371">
        <v>13606</v>
      </c>
      <c r="C137" s="1370" t="s">
        <v>7147</v>
      </c>
      <c r="F137" s="1380">
        <f>'PRPM WP2'!C138</f>
        <v>-7.3599999999999999E-2</v>
      </c>
      <c r="H137" s="1380">
        <f>'PRPM WP2'!H138</f>
        <v>3.3916666666666665E-3</v>
      </c>
      <c r="I137" s="1373">
        <f t="shared" si="1"/>
        <v>-7.6991666666666667E-2</v>
      </c>
      <c r="J137" s="1371">
        <v>13606</v>
      </c>
    </row>
    <row r="138" spans="2:10" x14ac:dyDescent="0.45">
      <c r="B138" s="1371">
        <v>13636</v>
      </c>
      <c r="C138" s="1370" t="s">
        <v>7147</v>
      </c>
      <c r="F138" s="1380">
        <f>'PRPM WP2'!C139</f>
        <v>-5.16E-2</v>
      </c>
      <c r="H138" s="1380">
        <f>'PRPM WP2'!H139</f>
        <v>3.3333333333333331E-3</v>
      </c>
      <c r="I138" s="1373">
        <f t="shared" si="1"/>
        <v>-5.4933333333333334E-2</v>
      </c>
      <c r="J138" s="1371">
        <v>13636</v>
      </c>
    </row>
    <row r="139" spans="2:10" x14ac:dyDescent="0.45">
      <c r="B139" s="1371">
        <v>13667</v>
      </c>
      <c r="C139" s="1370" t="s">
        <v>7147</v>
      </c>
      <c r="F139" s="1380">
        <f>'PRPM WP2'!C140</f>
        <v>-4.6699999999999998E-2</v>
      </c>
      <c r="H139" s="1380">
        <f>'PRPM WP2'!H140</f>
        <v>3.3250000000000003E-3</v>
      </c>
      <c r="I139" s="1373">
        <f t="shared" si="1"/>
        <v>-5.0025E-2</v>
      </c>
      <c r="J139" s="1371">
        <v>13667</v>
      </c>
    </row>
    <row r="140" spans="2:10" x14ac:dyDescent="0.45">
      <c r="B140" s="1371">
        <v>13697</v>
      </c>
      <c r="C140" s="1370" t="s">
        <v>7147</v>
      </c>
      <c r="F140" s="1380">
        <f>'PRPM WP2'!C141</f>
        <v>0.1671</v>
      </c>
      <c r="H140" s="1380">
        <f>'PRPM WP2'!H141</f>
        <v>3.283333333333333E-3</v>
      </c>
      <c r="I140" s="1373">
        <f t="shared" si="1"/>
        <v>0.16381666666666667</v>
      </c>
      <c r="J140" s="1371">
        <v>13697</v>
      </c>
    </row>
    <row r="141" spans="2:10" x14ac:dyDescent="0.45">
      <c r="B141" s="1371">
        <v>13728</v>
      </c>
      <c r="C141" s="1370" t="s">
        <v>7147</v>
      </c>
      <c r="F141" s="1380">
        <f>'PRPM WP2'!C142</f>
        <v>-9.0300000000000005E-2</v>
      </c>
      <c r="H141" s="1380">
        <f>'PRPM WP2'!H142</f>
        <v>3.2416666666666666E-3</v>
      </c>
      <c r="I141" s="1373">
        <f t="shared" si="1"/>
        <v>-9.3541666666666676E-2</v>
      </c>
      <c r="J141" s="1371">
        <v>13728</v>
      </c>
    </row>
    <row r="142" spans="2:10" x14ac:dyDescent="0.45">
      <c r="B142" s="1371">
        <v>13759</v>
      </c>
      <c r="C142" s="1370" t="s">
        <v>7147</v>
      </c>
      <c r="F142" s="1380">
        <f>'PRPM WP2'!C143</f>
        <v>-0.1174</v>
      </c>
      <c r="H142" s="1380">
        <f>'PRPM WP2'!H143</f>
        <v>3.3E-3</v>
      </c>
      <c r="I142" s="1373">
        <f t="shared" si="1"/>
        <v>-0.1207</v>
      </c>
      <c r="J142" s="1371">
        <v>13759</v>
      </c>
    </row>
    <row r="143" spans="2:10" x14ac:dyDescent="0.45">
      <c r="B143" s="1371">
        <v>13789</v>
      </c>
      <c r="C143" s="1370" t="s">
        <v>7147</v>
      </c>
      <c r="F143" s="1380">
        <f>'PRPM WP2'!C144</f>
        <v>-5.16E-2</v>
      </c>
      <c r="H143" s="1380">
        <f>'PRPM WP2'!H144</f>
        <v>3.4083333333333331E-3</v>
      </c>
      <c r="I143" s="1373">
        <f t="shared" si="1"/>
        <v>-5.5008333333333333E-2</v>
      </c>
      <c r="J143" s="1371">
        <v>13789</v>
      </c>
    </row>
    <row r="144" spans="2:10" x14ac:dyDescent="0.45">
      <c r="B144" s="1371">
        <v>13820</v>
      </c>
      <c r="C144" s="1370" t="s">
        <v>7147</v>
      </c>
      <c r="F144" s="1380">
        <f>'PRPM WP2'!C145</f>
        <v>8.0000000000000002E-3</v>
      </c>
      <c r="H144" s="1380">
        <f>'PRPM WP2'!H145</f>
        <v>3.4000000000000002E-3</v>
      </c>
      <c r="I144" s="1373">
        <f t="shared" si="1"/>
        <v>4.5999999999999999E-3</v>
      </c>
      <c r="J144" s="1371">
        <v>13820</v>
      </c>
    </row>
    <row r="145" spans="2:10" x14ac:dyDescent="0.45">
      <c r="B145" s="1371">
        <v>13850</v>
      </c>
      <c r="C145" s="1370" t="s">
        <v>7147</v>
      </c>
      <c r="F145" s="1380">
        <f>'PRPM WP2'!C146</f>
        <v>-9.5100000000000004E-2</v>
      </c>
      <c r="H145" s="1380">
        <f>'PRPM WP2'!H146</f>
        <v>3.3583333333333338E-3</v>
      </c>
      <c r="I145" s="1373">
        <f t="shared" si="1"/>
        <v>-9.8458333333333342E-2</v>
      </c>
      <c r="J145" s="1371">
        <v>13850</v>
      </c>
    </row>
    <row r="146" spans="2:10" x14ac:dyDescent="0.45">
      <c r="B146" s="1371">
        <v>13881</v>
      </c>
      <c r="C146" s="1370" t="s">
        <v>7147</v>
      </c>
      <c r="F146" s="1380">
        <f>'PRPM WP2'!C147</f>
        <v>-3.6799999999999999E-2</v>
      </c>
      <c r="H146" s="1380">
        <f>'PRPM WP2'!H147</f>
        <v>3.3416666666666668E-3</v>
      </c>
      <c r="I146" s="1373">
        <f t="shared" si="1"/>
        <v>-4.0141666666666666E-2</v>
      </c>
      <c r="J146" s="1371">
        <v>13881</v>
      </c>
    </row>
    <row r="147" spans="2:10" x14ac:dyDescent="0.45">
      <c r="B147" s="1371">
        <v>13912</v>
      </c>
      <c r="C147" s="1370" t="s">
        <v>7147</v>
      </c>
      <c r="F147" s="1380">
        <f>'PRPM WP2'!C148</f>
        <v>3.4099999999999998E-2</v>
      </c>
      <c r="H147" s="1380">
        <f>'PRPM WP2'!H148</f>
        <v>3.3583333333333338E-3</v>
      </c>
      <c r="I147" s="1373">
        <f t="shared" si="1"/>
        <v>3.0741666666666664E-2</v>
      </c>
      <c r="J147" s="1371">
        <v>13912</v>
      </c>
    </row>
    <row r="148" spans="2:10" x14ac:dyDescent="0.45">
      <c r="B148" s="1371">
        <v>13940</v>
      </c>
      <c r="C148" s="1370" t="s">
        <v>7147</v>
      </c>
      <c r="F148" s="1380">
        <f>'PRPM WP2'!C149</f>
        <v>-0.19839999999999999</v>
      </c>
      <c r="H148" s="1380">
        <f>'PRPM WP2'!H149</f>
        <v>3.3250000000000003E-3</v>
      </c>
      <c r="I148" s="1373">
        <f t="shared" si="1"/>
        <v>-0.20172499999999999</v>
      </c>
      <c r="J148" s="1371">
        <v>13940</v>
      </c>
    </row>
    <row r="149" spans="2:10" x14ac:dyDescent="0.45">
      <c r="B149" s="1371">
        <v>13971</v>
      </c>
      <c r="C149" s="1370" t="s">
        <v>7147</v>
      </c>
      <c r="F149" s="1380">
        <f>'PRPM WP2'!C150</f>
        <v>0.15379999999999999</v>
      </c>
      <c r="H149" s="1380">
        <f>'PRPM WP2'!H150</f>
        <v>3.4000000000000002E-3</v>
      </c>
      <c r="I149" s="1373">
        <f t="shared" si="1"/>
        <v>0.15039999999999998</v>
      </c>
      <c r="J149" s="1371">
        <v>13971</v>
      </c>
    </row>
    <row r="150" spans="2:10" x14ac:dyDescent="0.45">
      <c r="B150" s="1371">
        <v>14001</v>
      </c>
      <c r="C150" s="1370" t="s">
        <v>7147</v>
      </c>
      <c r="F150" s="1380">
        <f>'PRPM WP2'!C151</f>
        <v>1.8100000000000002E-2</v>
      </c>
      <c r="H150" s="1380">
        <f>'PRPM WP2'!H151</f>
        <v>3.2916666666666667E-3</v>
      </c>
      <c r="I150" s="1373">
        <f t="shared" si="1"/>
        <v>1.4808333333333335E-2</v>
      </c>
      <c r="J150" s="1371">
        <v>14001</v>
      </c>
    </row>
    <row r="151" spans="2:10" x14ac:dyDescent="0.45">
      <c r="B151" s="1371">
        <v>14032</v>
      </c>
      <c r="C151" s="1370" t="s">
        <v>7147</v>
      </c>
      <c r="F151" s="1380">
        <f>'PRPM WP2'!C152</f>
        <v>0.16219999999999998</v>
      </c>
      <c r="H151" s="1380">
        <f>'PRPM WP2'!H152</f>
        <v>3.2916666666666667E-3</v>
      </c>
      <c r="I151" s="1373">
        <f t="shared" si="1"/>
        <v>0.15890833333333332</v>
      </c>
      <c r="J151" s="1371">
        <v>14032</v>
      </c>
    </row>
    <row r="152" spans="2:10" x14ac:dyDescent="0.45">
      <c r="B152" s="1371">
        <v>14062</v>
      </c>
      <c r="C152" s="1370" t="s">
        <v>7147</v>
      </c>
      <c r="F152" s="1380">
        <f>'PRPM WP2'!C153</f>
        <v>1.4800000000000001E-2</v>
      </c>
      <c r="H152" s="1380">
        <f>'PRPM WP2'!H153</f>
        <v>3.2166666666666667E-3</v>
      </c>
      <c r="I152" s="1373">
        <f t="shared" si="1"/>
        <v>1.1583333333333334E-2</v>
      </c>
      <c r="J152" s="1371">
        <v>14062</v>
      </c>
    </row>
    <row r="153" spans="2:10" x14ac:dyDescent="0.45">
      <c r="B153" s="1371">
        <v>14093</v>
      </c>
      <c r="C153" s="1370" t="s">
        <v>7147</v>
      </c>
      <c r="F153" s="1380">
        <f>'PRPM WP2'!C154</f>
        <v>-5.57E-2</v>
      </c>
      <c r="H153" s="1380">
        <f>'PRPM WP2'!H154</f>
        <v>3.2000000000000002E-3</v>
      </c>
      <c r="I153" s="1373">
        <f t="shared" si="1"/>
        <v>-5.8900000000000001E-2</v>
      </c>
      <c r="J153" s="1371">
        <v>14093</v>
      </c>
    </row>
    <row r="154" spans="2:10" x14ac:dyDescent="0.45">
      <c r="B154" s="1371">
        <v>14124</v>
      </c>
      <c r="C154" s="1370" t="s">
        <v>7147</v>
      </c>
      <c r="F154" s="1380">
        <f>'PRPM WP2'!C155</f>
        <v>1.9099999999999999E-2</v>
      </c>
      <c r="H154" s="1380">
        <f>'PRPM WP2'!H155</f>
        <v>3.2333333333333329E-3</v>
      </c>
      <c r="I154" s="1373">
        <f t="shared" ref="I154:I217" si="2">F154-H154</f>
        <v>1.5866666666666668E-2</v>
      </c>
      <c r="J154" s="1371">
        <v>14124</v>
      </c>
    </row>
    <row r="155" spans="2:10" x14ac:dyDescent="0.45">
      <c r="B155" s="1371">
        <v>14154</v>
      </c>
      <c r="C155" s="1370" t="s">
        <v>7147</v>
      </c>
      <c r="F155" s="1380">
        <f>'PRPM WP2'!C156</f>
        <v>0.18009999999999998</v>
      </c>
      <c r="H155" s="1380">
        <f>'PRPM WP2'!H156</f>
        <v>3.1583333333333337E-3</v>
      </c>
      <c r="I155" s="1373">
        <f t="shared" si="2"/>
        <v>0.17694166666666664</v>
      </c>
      <c r="J155" s="1371">
        <v>14154</v>
      </c>
    </row>
    <row r="156" spans="2:10" x14ac:dyDescent="0.45">
      <c r="B156" s="1371">
        <v>14185</v>
      </c>
      <c r="C156" s="1370" t="s">
        <v>7147</v>
      </c>
      <c r="F156" s="1380">
        <f>'PRPM WP2'!C157</f>
        <v>-6.2000000000000013E-2</v>
      </c>
      <c r="H156" s="1380">
        <f>'PRPM WP2'!H157</f>
        <v>3.1083333333333336E-3</v>
      </c>
      <c r="I156" s="1373">
        <f t="shared" si="2"/>
        <v>-6.5108333333333351E-2</v>
      </c>
      <c r="J156" s="1371">
        <v>14185</v>
      </c>
    </row>
    <row r="157" spans="2:10" x14ac:dyDescent="0.45">
      <c r="B157" s="1371">
        <v>14215</v>
      </c>
      <c r="C157" s="1370" t="s">
        <v>7147</v>
      </c>
      <c r="F157" s="1380">
        <f>'PRPM WP2'!C158</f>
        <v>3.9099999999999996E-2</v>
      </c>
      <c r="H157" s="1380">
        <f>'PRPM WP2'!H158</f>
        <v>3.1166666666666669E-3</v>
      </c>
      <c r="I157" s="1373">
        <f t="shared" si="2"/>
        <v>3.5983333333333326E-2</v>
      </c>
      <c r="J157" s="1371">
        <v>14215</v>
      </c>
    </row>
    <row r="158" spans="2:10" x14ac:dyDescent="0.45">
      <c r="B158" s="1371">
        <v>14246</v>
      </c>
      <c r="C158" s="1370" t="s">
        <v>7147</v>
      </c>
      <c r="F158" s="1380">
        <f>'PRPM WP2'!C159</f>
        <v>1.6500000000000001E-2</v>
      </c>
      <c r="H158" s="1380">
        <f>'PRPM WP2'!H159</f>
        <v>3.0666666666666672E-3</v>
      </c>
      <c r="I158" s="1373">
        <f t="shared" si="2"/>
        <v>1.3433333333333334E-2</v>
      </c>
      <c r="J158" s="1371">
        <v>14246</v>
      </c>
    </row>
    <row r="159" spans="2:10" x14ac:dyDescent="0.45">
      <c r="B159" s="1371">
        <v>14277</v>
      </c>
      <c r="C159" s="1370" t="s">
        <v>7147</v>
      </c>
      <c r="F159" s="1380">
        <f>'PRPM WP2'!C160</f>
        <v>8.0100000000000005E-2</v>
      </c>
      <c r="H159" s="1380">
        <f>'PRPM WP2'!H160</f>
        <v>2.9916666666666663E-3</v>
      </c>
      <c r="I159" s="1373">
        <f t="shared" si="2"/>
        <v>7.7108333333333334E-2</v>
      </c>
      <c r="J159" s="1371">
        <v>14277</v>
      </c>
    </row>
    <row r="160" spans="2:10" x14ac:dyDescent="0.45">
      <c r="B160" s="1371">
        <v>14305</v>
      </c>
      <c r="C160" s="1370" t="s">
        <v>7147</v>
      </c>
      <c r="F160" s="1380">
        <f>'PRPM WP2'!C161</f>
        <v>-0.13780000000000001</v>
      </c>
      <c r="H160" s="1380">
        <f>'PRPM WP2'!H161</f>
        <v>2.9499999999999999E-3</v>
      </c>
      <c r="I160" s="1373">
        <f t="shared" si="2"/>
        <v>-0.14075000000000001</v>
      </c>
      <c r="J160" s="1371">
        <v>14305</v>
      </c>
    </row>
    <row r="161" spans="2:10" x14ac:dyDescent="0.45">
      <c r="B161" s="1371">
        <v>14336</v>
      </c>
      <c r="C161" s="1370" t="s">
        <v>7147</v>
      </c>
      <c r="F161" s="1380">
        <f>'PRPM WP2'!C162</f>
        <v>2.8500000000000001E-2</v>
      </c>
      <c r="H161" s="1380">
        <f>'PRPM WP2'!H162</f>
        <v>2.9583333333333332E-3</v>
      </c>
      <c r="I161" s="1373">
        <f t="shared" si="2"/>
        <v>2.5541666666666667E-2</v>
      </c>
      <c r="J161" s="1371">
        <v>14336</v>
      </c>
    </row>
    <row r="162" spans="2:10" x14ac:dyDescent="0.45">
      <c r="B162" s="1371">
        <v>14366</v>
      </c>
      <c r="C162" s="1370" t="s">
        <v>7147</v>
      </c>
      <c r="F162" s="1380">
        <f>'PRPM WP2'!C163</f>
        <v>6.6500000000000004E-2</v>
      </c>
      <c r="H162" s="1380">
        <f>'PRPM WP2'!H163</f>
        <v>2.9166666666666668E-3</v>
      </c>
      <c r="I162" s="1373">
        <f t="shared" si="2"/>
        <v>6.3583333333333339E-2</v>
      </c>
      <c r="J162" s="1371">
        <v>14366</v>
      </c>
    </row>
    <row r="163" spans="2:10" x14ac:dyDescent="0.45">
      <c r="B163" s="1371">
        <v>14397</v>
      </c>
      <c r="C163" s="1370" t="s">
        <v>7147</v>
      </c>
      <c r="F163" s="1380">
        <f>'PRPM WP2'!C164</f>
        <v>-4.2299999999999997E-2</v>
      </c>
      <c r="H163" s="1380">
        <f>'PRPM WP2'!H164</f>
        <v>2.891666666666667E-3</v>
      </c>
      <c r="I163" s="1373">
        <f t="shared" si="2"/>
        <v>-4.5191666666666665E-2</v>
      </c>
      <c r="J163" s="1371">
        <v>14397</v>
      </c>
    </row>
    <row r="164" spans="2:10" x14ac:dyDescent="0.45">
      <c r="B164" s="1371">
        <v>14427</v>
      </c>
      <c r="C164" s="1370" t="s">
        <v>7147</v>
      </c>
      <c r="F164" s="1380">
        <f>'PRPM WP2'!C165</f>
        <v>0.1208</v>
      </c>
      <c r="H164" s="1380">
        <f>'PRPM WP2'!H165</f>
        <v>2.8583333333333334E-3</v>
      </c>
      <c r="I164" s="1373">
        <f t="shared" si="2"/>
        <v>0.11794166666666667</v>
      </c>
      <c r="J164" s="1371">
        <v>14427</v>
      </c>
    </row>
    <row r="165" spans="2:10" x14ac:dyDescent="0.45">
      <c r="B165" s="1371">
        <v>14458</v>
      </c>
      <c r="C165" s="1370" t="s">
        <v>7147</v>
      </c>
      <c r="F165" s="1380">
        <f>'PRPM WP2'!C166</f>
        <v>-6.4699999999999994E-2</v>
      </c>
      <c r="H165" s="1380">
        <f>'PRPM WP2'!H166</f>
        <v>2.8416666666666668E-3</v>
      </c>
      <c r="I165" s="1373">
        <f t="shared" si="2"/>
        <v>-6.7541666666666667E-2</v>
      </c>
      <c r="J165" s="1371">
        <v>14458</v>
      </c>
    </row>
    <row r="166" spans="2:10" x14ac:dyDescent="0.45">
      <c r="B166" s="1371">
        <v>14489</v>
      </c>
      <c r="C166" s="1370" t="s">
        <v>7147</v>
      </c>
      <c r="F166" s="1380">
        <f>'PRPM WP2'!C167</f>
        <v>4.2100000000000005E-2</v>
      </c>
      <c r="H166" s="1380">
        <f>'PRPM WP2'!H167</f>
        <v>3.0916666666666666E-3</v>
      </c>
      <c r="I166" s="1373">
        <f t="shared" si="2"/>
        <v>3.9008333333333339E-2</v>
      </c>
      <c r="J166" s="1371">
        <v>14489</v>
      </c>
    </row>
    <row r="167" spans="2:10" x14ac:dyDescent="0.45">
      <c r="B167" s="1371">
        <v>14519</v>
      </c>
      <c r="C167" s="1370" t="s">
        <v>7147</v>
      </c>
      <c r="F167" s="1380">
        <f>'PRPM WP2'!C168</f>
        <v>1.3000000000000001E-2</v>
      </c>
      <c r="H167" s="1380">
        <f>'PRPM WP2'!H168</f>
        <v>2.9833333333333335E-3</v>
      </c>
      <c r="I167" s="1373">
        <f t="shared" si="2"/>
        <v>1.0016666666666667E-2</v>
      </c>
      <c r="J167" s="1371">
        <v>14519</v>
      </c>
    </row>
    <row r="168" spans="2:10" x14ac:dyDescent="0.45">
      <c r="B168" s="1371">
        <v>14550</v>
      </c>
      <c r="C168" s="1370" t="s">
        <v>7147</v>
      </c>
      <c r="F168" s="1380">
        <f>'PRPM WP2'!C169</f>
        <v>-1.5699999999999999E-2</v>
      </c>
      <c r="H168" s="1380">
        <f>'PRPM WP2'!H169</f>
        <v>2.8416666666666668E-3</v>
      </c>
      <c r="I168" s="1373">
        <f t="shared" si="2"/>
        <v>-1.8541666666666665E-2</v>
      </c>
      <c r="J168" s="1371">
        <v>14550</v>
      </c>
    </row>
    <row r="169" spans="2:10" x14ac:dyDescent="0.45">
      <c r="B169" s="1371">
        <v>14580</v>
      </c>
      <c r="C169" s="1370" t="s">
        <v>7147</v>
      </c>
      <c r="F169" s="1380">
        <f>'PRPM WP2'!C170</f>
        <v>2.7199999999999998E-2</v>
      </c>
      <c r="H169" s="1380">
        <f>'PRPM WP2'!H170</f>
        <v>2.816666666666667E-3</v>
      </c>
      <c r="I169" s="1373">
        <f t="shared" si="2"/>
        <v>2.4383333333333333E-2</v>
      </c>
      <c r="J169" s="1371">
        <v>14580</v>
      </c>
    </row>
    <row r="170" spans="2:10" x14ac:dyDescent="0.45">
      <c r="B170" s="1371">
        <v>14611</v>
      </c>
      <c r="C170" s="1370" t="s">
        <v>7147</v>
      </c>
      <c r="F170" s="1380">
        <f>'PRPM WP2'!C171</f>
        <v>6.8999999999999999E-3</v>
      </c>
      <c r="H170" s="1380">
        <f>'PRPM WP2'!H171</f>
        <v>2.7833333333333334E-3</v>
      </c>
      <c r="I170" s="1373">
        <f t="shared" si="2"/>
        <v>4.116666666666666E-3</v>
      </c>
      <c r="J170" s="1371">
        <v>14611</v>
      </c>
    </row>
    <row r="171" spans="2:10" x14ac:dyDescent="0.45">
      <c r="B171" s="1371">
        <v>14642</v>
      </c>
      <c r="C171" s="1370" t="s">
        <v>7147</v>
      </c>
      <c r="F171" s="1380">
        <f>'PRPM WP2'!C172</f>
        <v>-1.0200000000000001E-2</v>
      </c>
      <c r="H171" s="1380">
        <f>'PRPM WP2'!H172</f>
        <v>2.7916666666666667E-3</v>
      </c>
      <c r="I171" s="1373">
        <f t="shared" si="2"/>
        <v>-1.2991666666666667E-2</v>
      </c>
      <c r="J171" s="1371">
        <v>14642</v>
      </c>
    </row>
    <row r="172" spans="2:10" x14ac:dyDescent="0.45">
      <c r="B172" s="1371">
        <v>14671</v>
      </c>
      <c r="C172" s="1370" t="s">
        <v>7147</v>
      </c>
      <c r="F172" s="1380">
        <f>'PRPM WP2'!C173</f>
        <v>9.3999999999999986E-3</v>
      </c>
      <c r="H172" s="1380">
        <f>'PRPM WP2'!H173</f>
        <v>2.7833333333333334E-3</v>
      </c>
      <c r="I172" s="1373">
        <f t="shared" si="2"/>
        <v>6.6166666666666648E-3</v>
      </c>
      <c r="J172" s="1371">
        <v>14671</v>
      </c>
    </row>
    <row r="173" spans="2:10" x14ac:dyDescent="0.45">
      <c r="B173" s="1371">
        <v>14702</v>
      </c>
      <c r="C173" s="1370" t="s">
        <v>7147</v>
      </c>
      <c r="F173" s="1380">
        <f>'PRPM WP2'!C174</f>
        <v>-9.1999999999999998E-3</v>
      </c>
      <c r="H173" s="1380">
        <f>'PRPM WP2'!H174</f>
        <v>2.708333333333333E-3</v>
      </c>
      <c r="I173" s="1373">
        <f t="shared" si="2"/>
        <v>-1.1908333333333333E-2</v>
      </c>
      <c r="J173" s="1371">
        <v>14702</v>
      </c>
    </row>
    <row r="174" spans="2:10" x14ac:dyDescent="0.45">
      <c r="B174" s="1371">
        <v>14732</v>
      </c>
      <c r="C174" s="1370" t="s">
        <v>7147</v>
      </c>
      <c r="F174" s="1380">
        <f>'PRPM WP2'!C175</f>
        <v>-0.19640000000000002</v>
      </c>
      <c r="H174" s="1380">
        <f>'PRPM WP2'!H175</f>
        <v>2.7500000000000003E-3</v>
      </c>
      <c r="I174" s="1373">
        <f t="shared" si="2"/>
        <v>-0.19915000000000002</v>
      </c>
      <c r="J174" s="1371">
        <v>14732</v>
      </c>
    </row>
    <row r="175" spans="2:10" x14ac:dyDescent="0.45">
      <c r="B175" s="1371">
        <v>14763</v>
      </c>
      <c r="C175" s="1370" t="s">
        <v>7147</v>
      </c>
      <c r="F175" s="1380">
        <f>'PRPM WP2'!C176</f>
        <v>0.15060000000000001</v>
      </c>
      <c r="H175" s="1380">
        <f>'PRPM WP2'!H176</f>
        <v>2.7833333333333334E-3</v>
      </c>
      <c r="I175" s="1373">
        <f t="shared" si="2"/>
        <v>0.14781666666666668</v>
      </c>
      <c r="J175" s="1371">
        <v>14763</v>
      </c>
    </row>
    <row r="176" spans="2:10" x14ac:dyDescent="0.45">
      <c r="B176" s="1371">
        <v>14793</v>
      </c>
      <c r="C176" s="1370" t="s">
        <v>7147</v>
      </c>
      <c r="F176" s="1380">
        <f>'PRPM WP2'!C177</f>
        <v>6.5000000000000006E-3</v>
      </c>
      <c r="H176" s="1380">
        <f>'PRPM WP2'!H177</f>
        <v>2.6916666666666669E-3</v>
      </c>
      <c r="I176" s="1373">
        <f t="shared" si="2"/>
        <v>3.8083333333333337E-3</v>
      </c>
      <c r="J176" s="1371">
        <v>14793</v>
      </c>
    </row>
    <row r="177" spans="2:10" x14ac:dyDescent="0.45">
      <c r="B177" s="1371">
        <v>14824</v>
      </c>
      <c r="C177" s="1370" t="s">
        <v>7147</v>
      </c>
      <c r="F177" s="1380">
        <f>'PRPM WP2'!C178</f>
        <v>-9.4000000000000004E-3</v>
      </c>
      <c r="H177" s="1380">
        <f>'PRPM WP2'!H178</f>
        <v>2.6750000000000003E-3</v>
      </c>
      <c r="I177" s="1373">
        <f t="shared" si="2"/>
        <v>-1.2075000000000001E-2</v>
      </c>
      <c r="J177" s="1371">
        <v>14824</v>
      </c>
    </row>
    <row r="178" spans="2:10" x14ac:dyDescent="0.45">
      <c r="B178" s="1371">
        <v>14855</v>
      </c>
      <c r="C178" s="1370" t="s">
        <v>7147</v>
      </c>
      <c r="F178" s="1380">
        <f>'PRPM WP2'!C179</f>
        <v>-2.1099999999999997E-2</v>
      </c>
      <c r="H178" s="1380">
        <f>'PRPM WP2'!H179</f>
        <v>2.65E-3</v>
      </c>
      <c r="I178" s="1373">
        <f t="shared" si="2"/>
        <v>-2.3749999999999997E-2</v>
      </c>
      <c r="J178" s="1371">
        <v>14855</v>
      </c>
    </row>
    <row r="179" spans="2:10" x14ac:dyDescent="0.45">
      <c r="B179" s="1371">
        <v>14885</v>
      </c>
      <c r="C179" s="1370" t="s">
        <v>7147</v>
      </c>
      <c r="F179" s="1380">
        <f>'PRPM WP2'!C180</f>
        <v>3.1699999999999999E-2</v>
      </c>
      <c r="H179" s="1380">
        <f>'PRPM WP2'!H180</f>
        <v>2.6250000000000002E-3</v>
      </c>
      <c r="I179" s="1373">
        <f t="shared" si="2"/>
        <v>2.9075E-2</v>
      </c>
      <c r="J179" s="1371">
        <v>14885</v>
      </c>
    </row>
    <row r="180" spans="2:10" x14ac:dyDescent="0.45">
      <c r="B180" s="1371">
        <v>14916</v>
      </c>
      <c r="C180" s="1370" t="s">
        <v>7147</v>
      </c>
      <c r="F180" s="1380">
        <f>'PRPM WP2'!C181</f>
        <v>-0.12069999999999999</v>
      </c>
      <c r="H180" s="1380">
        <f>'PRPM WP2'!H181</f>
        <v>2.5916666666666666E-3</v>
      </c>
      <c r="I180" s="1373">
        <f t="shared" si="2"/>
        <v>-0.12329166666666666</v>
      </c>
      <c r="J180" s="1371">
        <v>14916</v>
      </c>
    </row>
    <row r="181" spans="2:10" x14ac:dyDescent="0.45">
      <c r="B181" s="1371">
        <v>14946</v>
      </c>
      <c r="C181" s="1370" t="s">
        <v>7147</v>
      </c>
      <c r="F181" s="1380">
        <f>'PRPM WP2'!C182</f>
        <v>1.54E-2</v>
      </c>
      <c r="H181" s="1380">
        <f>'PRPM WP2'!H182</f>
        <v>2.5833333333333337E-3</v>
      </c>
      <c r="I181" s="1373">
        <f t="shared" si="2"/>
        <v>1.2816666666666667E-2</v>
      </c>
      <c r="J181" s="1371">
        <v>14946</v>
      </c>
    </row>
    <row r="182" spans="2:10" x14ac:dyDescent="0.45">
      <c r="B182" s="1371">
        <v>14977</v>
      </c>
      <c r="C182" s="1370" t="s">
        <v>7147</v>
      </c>
      <c r="F182" s="1380">
        <f>'PRPM WP2'!C183</f>
        <v>-8.4000000000000012E-3</v>
      </c>
      <c r="H182" s="1380">
        <f>'PRPM WP2'!H183</f>
        <v>2.6250000000000002E-3</v>
      </c>
      <c r="I182" s="1373">
        <f t="shared" si="2"/>
        <v>-1.1025000000000002E-2</v>
      </c>
      <c r="J182" s="1371">
        <v>14977</v>
      </c>
    </row>
    <row r="183" spans="2:10" x14ac:dyDescent="0.45">
      <c r="B183" s="1371">
        <v>15008</v>
      </c>
      <c r="C183" s="1370" t="s">
        <v>7147</v>
      </c>
      <c r="F183" s="1380">
        <f>'PRPM WP2'!C184</f>
        <v>-2.3299999999999998E-2</v>
      </c>
      <c r="H183" s="1380">
        <f>'PRPM WP2'!H184</f>
        <v>2.6666666666666666E-3</v>
      </c>
      <c r="I183" s="1373">
        <f t="shared" si="2"/>
        <v>-2.5966666666666666E-2</v>
      </c>
      <c r="J183" s="1371">
        <v>15008</v>
      </c>
    </row>
    <row r="184" spans="2:10" x14ac:dyDescent="0.45">
      <c r="B184" s="1371">
        <v>15036</v>
      </c>
      <c r="C184" s="1370" t="s">
        <v>7147</v>
      </c>
      <c r="F184" s="1380">
        <f>'PRPM WP2'!C185</f>
        <v>-2.8000000000000004E-2</v>
      </c>
      <c r="H184" s="1380">
        <f>'PRPM WP2'!H185</f>
        <v>2.6333333333333334E-3</v>
      </c>
      <c r="I184" s="1373">
        <f t="shared" si="2"/>
        <v>-3.0633333333333339E-2</v>
      </c>
      <c r="J184" s="1371">
        <v>15036</v>
      </c>
    </row>
    <row r="185" spans="2:10" x14ac:dyDescent="0.45">
      <c r="B185" s="1371">
        <v>15067</v>
      </c>
      <c r="C185" s="1370" t="s">
        <v>7147</v>
      </c>
      <c r="F185" s="1380">
        <f>'PRPM WP2'!C186</f>
        <v>-8.4399999999999989E-2</v>
      </c>
      <c r="H185" s="1380">
        <f>'PRPM WP2'!H186</f>
        <v>2.6166666666666664E-3</v>
      </c>
      <c r="I185" s="1373">
        <f t="shared" si="2"/>
        <v>-8.7016666666666659E-2</v>
      </c>
      <c r="J185" s="1371">
        <v>15067</v>
      </c>
    </row>
    <row r="186" spans="2:10" x14ac:dyDescent="0.45">
      <c r="B186" s="1371">
        <v>15097</v>
      </c>
      <c r="C186" s="1370" t="s">
        <v>7147</v>
      </c>
      <c r="F186" s="1380">
        <f>'PRPM WP2'!C187</f>
        <v>-3.3700000000000001E-2</v>
      </c>
      <c r="H186" s="1380">
        <f>'PRPM WP2'!H187</f>
        <v>2.5666666666666667E-3</v>
      </c>
      <c r="I186" s="1373">
        <f t="shared" si="2"/>
        <v>-3.6266666666666669E-2</v>
      </c>
      <c r="J186" s="1371">
        <v>15097</v>
      </c>
    </row>
    <row r="187" spans="2:10" x14ac:dyDescent="0.45">
      <c r="B187" s="1371">
        <v>15128</v>
      </c>
      <c r="C187" s="1370" t="s">
        <v>7147</v>
      </c>
      <c r="F187" s="1380">
        <f>'PRPM WP2'!C188</f>
        <v>2.5700000000000004E-2</v>
      </c>
      <c r="H187" s="1380">
        <f>'PRPM WP2'!H188</f>
        <v>2.5249999999999999E-3</v>
      </c>
      <c r="I187" s="1373">
        <f t="shared" si="2"/>
        <v>2.3175000000000005E-2</v>
      </c>
      <c r="J187" s="1371">
        <v>15128</v>
      </c>
    </row>
    <row r="188" spans="2:10" x14ac:dyDescent="0.45">
      <c r="B188" s="1371">
        <v>15158</v>
      </c>
      <c r="C188" s="1370" t="s">
        <v>7147</v>
      </c>
      <c r="F188" s="1380">
        <f>'PRPM WP2'!C189</f>
        <v>5.3800000000000001E-2</v>
      </c>
      <c r="H188" s="1380">
        <f>'PRPM WP2'!H189</f>
        <v>2.5000000000000001E-3</v>
      </c>
      <c r="I188" s="1373">
        <f t="shared" si="2"/>
        <v>5.1299999999999998E-2</v>
      </c>
      <c r="J188" s="1371">
        <v>15158</v>
      </c>
    </row>
    <row r="189" spans="2:10" x14ac:dyDescent="0.45">
      <c r="B189" s="1371">
        <v>15189</v>
      </c>
      <c r="C189" s="1370" t="s">
        <v>7147</v>
      </c>
      <c r="F189" s="1380">
        <f>'PRPM WP2'!C190</f>
        <v>-1.9200000000000002E-2</v>
      </c>
      <c r="H189" s="1380">
        <f>'PRPM WP2'!H190</f>
        <v>2.4833333333333331E-3</v>
      </c>
      <c r="I189" s="1373">
        <f t="shared" si="2"/>
        <v>-2.1683333333333336E-2</v>
      </c>
      <c r="J189" s="1371">
        <v>15189</v>
      </c>
    </row>
    <row r="190" spans="2:10" x14ac:dyDescent="0.45">
      <c r="B190" s="1371">
        <v>15220</v>
      </c>
      <c r="C190" s="1370" t="s">
        <v>7147</v>
      </c>
      <c r="F190" s="1380">
        <f>'PRPM WP2'!C191</f>
        <v>-2.8199999999999992E-2</v>
      </c>
      <c r="H190" s="1380">
        <f>'PRPM WP2'!H191</f>
        <v>2.5000000000000001E-3</v>
      </c>
      <c r="I190" s="1373">
        <f t="shared" si="2"/>
        <v>-3.0699999999999991E-2</v>
      </c>
      <c r="J190" s="1371">
        <v>15220</v>
      </c>
    </row>
    <row r="191" spans="2:10" x14ac:dyDescent="0.45">
      <c r="B191" s="1371">
        <v>15250</v>
      </c>
      <c r="C191" s="1370" t="s">
        <v>7147</v>
      </c>
      <c r="F191" s="1380">
        <f>'PRPM WP2'!C192</f>
        <v>-8.48E-2</v>
      </c>
      <c r="H191" s="1380">
        <f>'PRPM WP2'!H192</f>
        <v>2.5000000000000001E-3</v>
      </c>
      <c r="I191" s="1373">
        <f t="shared" si="2"/>
        <v>-8.7300000000000003E-2</v>
      </c>
      <c r="J191" s="1371">
        <v>15250</v>
      </c>
    </row>
    <row r="192" spans="2:10" x14ac:dyDescent="0.45">
      <c r="B192" s="1371">
        <v>15281</v>
      </c>
      <c r="C192" s="1370" t="s">
        <v>7147</v>
      </c>
      <c r="F192" s="1380">
        <f>'PRPM WP2'!C193</f>
        <v>-6.5199999999999994E-2</v>
      </c>
      <c r="H192" s="1380">
        <f>'PRPM WP2'!H193</f>
        <v>2.4833333333333331E-3</v>
      </c>
      <c r="I192" s="1373">
        <f t="shared" si="2"/>
        <v>-6.7683333333333331E-2</v>
      </c>
      <c r="J192" s="1371">
        <v>15281</v>
      </c>
    </row>
    <row r="193" spans="2:10" x14ac:dyDescent="0.45">
      <c r="B193" s="1371">
        <v>15311</v>
      </c>
      <c r="C193" s="1370" t="s">
        <v>7147</v>
      </c>
      <c r="F193" s="1380">
        <f>'PRPM WP2'!C194</f>
        <v>-6.7799999999999999E-2</v>
      </c>
      <c r="H193" s="1380">
        <f>'PRPM WP2'!H194</f>
        <v>2.5500000000000002E-3</v>
      </c>
      <c r="I193" s="1373">
        <f t="shared" si="2"/>
        <v>-7.0349999999999996E-2</v>
      </c>
      <c r="J193" s="1371">
        <v>15311</v>
      </c>
    </row>
    <row r="194" spans="2:10" x14ac:dyDescent="0.45">
      <c r="B194" s="1371">
        <v>15342</v>
      </c>
      <c r="C194" s="1370" t="s">
        <v>7147</v>
      </c>
      <c r="F194" s="1380">
        <f>'PRPM WP2'!C195</f>
        <v>2.52E-2</v>
      </c>
      <c r="H194" s="1380">
        <f>'PRPM WP2'!H195</f>
        <v>2.575E-3</v>
      </c>
      <c r="I194" s="1373">
        <f t="shared" si="2"/>
        <v>2.2624999999999999E-2</v>
      </c>
      <c r="J194" s="1371">
        <v>15342</v>
      </c>
    </row>
    <row r="195" spans="2:10" x14ac:dyDescent="0.45">
      <c r="B195" s="1371">
        <v>15373</v>
      </c>
      <c r="C195" s="1370" t="s">
        <v>7147</v>
      </c>
      <c r="F195" s="1380">
        <f>'PRPM WP2'!C196</f>
        <v>-3.39E-2</v>
      </c>
      <c r="H195" s="1380">
        <f>'PRPM WP2'!H196</f>
        <v>2.575E-3</v>
      </c>
      <c r="I195" s="1373">
        <f t="shared" si="2"/>
        <v>-3.6475E-2</v>
      </c>
      <c r="J195" s="1371">
        <v>15373</v>
      </c>
    </row>
    <row r="196" spans="2:10" x14ac:dyDescent="0.45">
      <c r="B196" s="1371">
        <v>15401</v>
      </c>
      <c r="C196" s="1370" t="s">
        <v>7147</v>
      </c>
      <c r="F196" s="1380">
        <f>'PRPM WP2'!C197</f>
        <v>-0.10459999999999998</v>
      </c>
      <c r="H196" s="1380">
        <f>'PRPM WP2'!H197</f>
        <v>2.5999999999999999E-3</v>
      </c>
      <c r="I196" s="1373">
        <f t="shared" si="2"/>
        <v>-0.10719999999999999</v>
      </c>
      <c r="J196" s="1371">
        <v>15401</v>
      </c>
    </row>
    <row r="197" spans="2:10" x14ac:dyDescent="0.45">
      <c r="B197" s="1371">
        <v>15432</v>
      </c>
      <c r="C197" s="1370" t="s">
        <v>7147</v>
      </c>
      <c r="F197" s="1380">
        <f>'PRPM WP2'!C198</f>
        <v>-4.3200000000000002E-2</v>
      </c>
      <c r="H197" s="1380">
        <f>'PRPM WP2'!H198</f>
        <v>2.575E-3</v>
      </c>
      <c r="I197" s="1373">
        <f t="shared" si="2"/>
        <v>-4.5775000000000003E-2</v>
      </c>
      <c r="J197" s="1371">
        <v>15432</v>
      </c>
    </row>
    <row r="198" spans="2:10" x14ac:dyDescent="0.45">
      <c r="B198" s="1371">
        <v>15462</v>
      </c>
      <c r="C198" s="1370" t="s">
        <v>7147</v>
      </c>
      <c r="F198" s="1380">
        <f>'PRPM WP2'!C199</f>
        <v>9.5600000000000004E-2</v>
      </c>
      <c r="H198" s="1380">
        <f>'PRPM WP2'!H199</f>
        <v>2.5833333333333337E-3</v>
      </c>
      <c r="I198" s="1373">
        <f t="shared" si="2"/>
        <v>9.3016666666666664E-2</v>
      </c>
      <c r="J198" s="1371">
        <v>15462</v>
      </c>
    </row>
    <row r="199" spans="2:10" x14ac:dyDescent="0.45">
      <c r="B199" s="1371">
        <v>15493</v>
      </c>
      <c r="C199" s="1370" t="s">
        <v>7147</v>
      </c>
      <c r="F199" s="1380">
        <f>'PRPM WP2'!C200</f>
        <v>5.7000000000000002E-3</v>
      </c>
      <c r="H199" s="1380">
        <f>'PRPM WP2'!H200</f>
        <v>2.5999999999999999E-3</v>
      </c>
      <c r="I199" s="1373">
        <f t="shared" si="2"/>
        <v>3.1000000000000003E-3</v>
      </c>
      <c r="J199" s="1371">
        <v>15493</v>
      </c>
    </row>
    <row r="200" spans="2:10" x14ac:dyDescent="0.45">
      <c r="B200" s="1371">
        <v>15523</v>
      </c>
      <c r="C200" s="1370" t="s">
        <v>7147</v>
      </c>
      <c r="F200" s="1380">
        <f>'PRPM WP2'!C201</f>
        <v>4.0000000000000001E-3</v>
      </c>
      <c r="H200" s="1380">
        <f>'PRPM WP2'!H201</f>
        <v>2.5833333333333337E-3</v>
      </c>
      <c r="I200" s="1373">
        <f t="shared" si="2"/>
        <v>1.4166666666666663E-3</v>
      </c>
      <c r="J200" s="1371">
        <v>15523</v>
      </c>
    </row>
    <row r="201" spans="2:10" x14ac:dyDescent="0.45">
      <c r="B201" s="1371">
        <v>15554</v>
      </c>
      <c r="C201" s="1370" t="s">
        <v>7147</v>
      </c>
      <c r="F201" s="1380">
        <f>'PRPM WP2'!C202</f>
        <v>2.5999999999999999E-3</v>
      </c>
      <c r="H201" s="1380">
        <f>'PRPM WP2'!H202</f>
        <v>2.5833333333333337E-3</v>
      </c>
      <c r="I201" s="1373">
        <f t="shared" si="2"/>
        <v>1.6666666666666132E-5</v>
      </c>
      <c r="J201" s="1371">
        <v>15554</v>
      </c>
    </row>
    <row r="202" spans="2:10" x14ac:dyDescent="0.45">
      <c r="B202" s="1371">
        <v>15585</v>
      </c>
      <c r="C202" s="1370" t="s">
        <v>7147</v>
      </c>
      <c r="F202" s="1380">
        <f>'PRPM WP2'!C203</f>
        <v>4.6600000000000003E-2</v>
      </c>
      <c r="H202" s="1380">
        <f>'PRPM WP2'!H203</f>
        <v>2.5666666666666667E-3</v>
      </c>
      <c r="I202" s="1373">
        <f t="shared" si="2"/>
        <v>4.4033333333333334E-2</v>
      </c>
      <c r="J202" s="1371">
        <v>15585</v>
      </c>
    </row>
    <row r="203" spans="2:10" x14ac:dyDescent="0.45">
      <c r="B203" s="1371">
        <v>15615</v>
      </c>
      <c r="C203" s="1370" t="s">
        <v>7147</v>
      </c>
      <c r="F203" s="1380">
        <f>'PRPM WP2'!C204</f>
        <v>0.13620000000000002</v>
      </c>
      <c r="H203" s="1380">
        <f>'PRPM WP2'!H204</f>
        <v>2.5666666666666667E-3</v>
      </c>
      <c r="I203" s="1373">
        <f t="shared" si="2"/>
        <v>0.13363333333333335</v>
      </c>
      <c r="J203" s="1371">
        <v>15615</v>
      </c>
    </row>
    <row r="204" spans="2:10" x14ac:dyDescent="0.45">
      <c r="B204" s="1371">
        <v>15646</v>
      </c>
      <c r="C204" s="1370" t="s">
        <v>7147</v>
      </c>
      <c r="F204" s="1380">
        <f>'PRPM WP2'!C205</f>
        <v>-1.5000000000000005E-3</v>
      </c>
      <c r="H204" s="1380">
        <f>'PRPM WP2'!H205</f>
        <v>2.5583333333333335E-3</v>
      </c>
      <c r="I204" s="1373">
        <f t="shared" si="2"/>
        <v>-4.0583333333333339E-3</v>
      </c>
      <c r="J204" s="1371">
        <v>15646</v>
      </c>
    </row>
    <row r="205" spans="2:10" x14ac:dyDescent="0.45">
      <c r="B205" s="1371">
        <v>15676</v>
      </c>
      <c r="C205" s="1370" t="s">
        <v>7147</v>
      </c>
      <c r="F205" s="1380">
        <f>'PRPM WP2'!C206</f>
        <v>3.2799999999999996E-2</v>
      </c>
      <c r="H205" s="1380">
        <f>'PRPM WP2'!H206</f>
        <v>2.5500000000000002E-3</v>
      </c>
      <c r="I205" s="1373">
        <f t="shared" si="2"/>
        <v>3.0249999999999996E-2</v>
      </c>
      <c r="J205" s="1371">
        <v>15676</v>
      </c>
    </row>
    <row r="206" spans="2:10" x14ac:dyDescent="0.45">
      <c r="B206" s="1371">
        <v>15707</v>
      </c>
      <c r="C206" s="1370" t="s">
        <v>7147</v>
      </c>
      <c r="F206" s="1380">
        <f>'PRPM WP2'!C207</f>
        <v>0.1217</v>
      </c>
      <c r="H206" s="1380">
        <f>'PRPM WP2'!H207</f>
        <v>2.5416666666666669E-3</v>
      </c>
      <c r="I206" s="1373">
        <f t="shared" si="2"/>
        <v>0.11915833333333334</v>
      </c>
      <c r="J206" s="1371">
        <v>15707</v>
      </c>
    </row>
    <row r="207" spans="2:10" x14ac:dyDescent="0.45">
      <c r="B207" s="1371">
        <v>15738</v>
      </c>
      <c r="C207" s="1370" t="s">
        <v>7147</v>
      </c>
      <c r="F207" s="1380">
        <f>'PRPM WP2'!C208</f>
        <v>7.1900000000000006E-2</v>
      </c>
      <c r="H207" s="1380">
        <f>'PRPM WP2'!H208</f>
        <v>2.5166666666666666E-3</v>
      </c>
      <c r="I207" s="1373">
        <f t="shared" si="2"/>
        <v>6.9383333333333339E-2</v>
      </c>
      <c r="J207" s="1371">
        <v>15738</v>
      </c>
    </row>
    <row r="208" spans="2:10" x14ac:dyDescent="0.45">
      <c r="B208" s="1371">
        <v>15766</v>
      </c>
      <c r="C208" s="1370" t="s">
        <v>7147</v>
      </c>
      <c r="F208" s="1380">
        <f>'PRPM WP2'!C209</f>
        <v>4.1200000000000001E-2</v>
      </c>
      <c r="H208" s="1380">
        <f>'PRPM WP2'!H209</f>
        <v>2.5083333333333333E-3</v>
      </c>
      <c r="I208" s="1373">
        <f t="shared" si="2"/>
        <v>3.8691666666666666E-2</v>
      </c>
      <c r="J208" s="1371">
        <v>15766</v>
      </c>
    </row>
    <row r="209" spans="2:10" x14ac:dyDescent="0.45">
      <c r="B209" s="1371">
        <v>15797</v>
      </c>
      <c r="C209" s="1370" t="s">
        <v>7147</v>
      </c>
      <c r="F209" s="1380">
        <f>'PRPM WP2'!C210</f>
        <v>3.8700000000000005E-2</v>
      </c>
      <c r="H209" s="1380">
        <f>'PRPM WP2'!H210</f>
        <v>2.5000000000000001E-3</v>
      </c>
      <c r="I209" s="1373">
        <f t="shared" si="2"/>
        <v>3.6200000000000003E-2</v>
      </c>
      <c r="J209" s="1371">
        <v>15797</v>
      </c>
    </row>
    <row r="210" spans="2:10" x14ac:dyDescent="0.45">
      <c r="B210" s="1371">
        <v>15827</v>
      </c>
      <c r="C210" s="1370" t="s">
        <v>7147</v>
      </c>
      <c r="F210" s="1380">
        <f>'PRPM WP2'!C211</f>
        <v>3.4700000000000002E-2</v>
      </c>
      <c r="H210" s="1380">
        <f>'PRPM WP2'!H211</f>
        <v>2.5000000000000001E-3</v>
      </c>
      <c r="I210" s="1373">
        <f t="shared" si="2"/>
        <v>3.2199999999999999E-2</v>
      </c>
      <c r="J210" s="1371">
        <v>15827</v>
      </c>
    </row>
    <row r="211" spans="2:10" x14ac:dyDescent="0.45">
      <c r="B211" s="1371">
        <v>15858</v>
      </c>
      <c r="C211" s="1370" t="s">
        <v>7147</v>
      </c>
      <c r="F211" s="1380">
        <f>'PRPM WP2'!C212</f>
        <v>5.3800000000000001E-2</v>
      </c>
      <c r="H211" s="1380">
        <f>'PRPM WP2'!H212</f>
        <v>2.4833333333333331E-3</v>
      </c>
      <c r="I211" s="1373">
        <f t="shared" si="2"/>
        <v>5.131666666666667E-2</v>
      </c>
      <c r="J211" s="1371">
        <v>15858</v>
      </c>
    </row>
    <row r="212" spans="2:10" x14ac:dyDescent="0.45">
      <c r="B212" s="1371">
        <v>15888</v>
      </c>
      <c r="C212" s="1370" t="s">
        <v>7147</v>
      </c>
      <c r="F212" s="1380">
        <f>'PRPM WP2'!C213</f>
        <v>3.8E-3</v>
      </c>
      <c r="H212" s="1380">
        <f>'PRPM WP2'!H213</f>
        <v>2.4666666666666669E-3</v>
      </c>
      <c r="I212" s="1373">
        <f t="shared" si="2"/>
        <v>1.3333333333333331E-3</v>
      </c>
      <c r="J212" s="1371">
        <v>15888</v>
      </c>
    </row>
    <row r="213" spans="2:10" x14ac:dyDescent="0.45">
      <c r="B213" s="1371">
        <v>15919</v>
      </c>
      <c r="C213" s="1370" t="s">
        <v>7147</v>
      </c>
      <c r="F213" s="1380">
        <f>'PRPM WP2'!C214</f>
        <v>1.0500000000000001E-2</v>
      </c>
      <c r="H213" s="1380">
        <f>'PRPM WP2'!H214</f>
        <v>2.4666666666666669E-3</v>
      </c>
      <c r="I213" s="1373">
        <f t="shared" si="2"/>
        <v>8.0333333333333333E-3</v>
      </c>
      <c r="J213" s="1371">
        <v>15919</v>
      </c>
    </row>
    <row r="214" spans="2:10" x14ac:dyDescent="0.45">
      <c r="B214" s="1371">
        <v>15950</v>
      </c>
      <c r="C214" s="1370" t="s">
        <v>7147</v>
      </c>
      <c r="F214" s="1380">
        <f>'PRPM WP2'!C215</f>
        <v>3.2300000000000002E-2</v>
      </c>
      <c r="H214" s="1380">
        <f>'PRPM WP2'!H215</f>
        <v>2.4666666666666669E-3</v>
      </c>
      <c r="I214" s="1373">
        <f t="shared" si="2"/>
        <v>2.9833333333333337E-2</v>
      </c>
      <c r="J214" s="1371">
        <v>15950</v>
      </c>
    </row>
    <row r="215" spans="2:10" x14ac:dyDescent="0.45">
      <c r="B215" s="1371">
        <v>15980</v>
      </c>
      <c r="C215" s="1370" t="s">
        <v>7147</v>
      </c>
      <c r="F215" s="1380">
        <f>'PRPM WP2'!C216</f>
        <v>8.199999999999999E-3</v>
      </c>
      <c r="H215" s="1380">
        <f>'PRPM WP2'!H216</f>
        <v>2.4750000000000002E-3</v>
      </c>
      <c r="I215" s="1373">
        <f t="shared" si="2"/>
        <v>5.7249999999999992E-3</v>
      </c>
      <c r="J215" s="1371">
        <v>15980</v>
      </c>
    </row>
    <row r="216" spans="2:10" x14ac:dyDescent="0.45">
      <c r="B216" s="1371">
        <v>16011</v>
      </c>
      <c r="C216" s="1370" t="s">
        <v>7147</v>
      </c>
      <c r="F216" s="1380">
        <f>'PRPM WP2'!C217</f>
        <v>-7.7499999999999999E-2</v>
      </c>
      <c r="H216" s="1380">
        <f>'PRPM WP2'!H217</f>
        <v>2.4833333333333331E-3</v>
      </c>
      <c r="I216" s="1373">
        <f t="shared" si="2"/>
        <v>-7.9983333333333337E-2</v>
      </c>
      <c r="J216" s="1371">
        <v>16011</v>
      </c>
    </row>
    <row r="217" spans="2:10" x14ac:dyDescent="0.45">
      <c r="B217" s="1371">
        <v>16041</v>
      </c>
      <c r="C217" s="1370" t="s">
        <v>7147</v>
      </c>
      <c r="F217" s="1380">
        <f>'PRPM WP2'!C218</f>
        <v>5.779999999999999E-2</v>
      </c>
      <c r="H217" s="1380">
        <f>'PRPM WP2'!H218</f>
        <v>2.4916666666666668E-3</v>
      </c>
      <c r="I217" s="1373">
        <f t="shared" si="2"/>
        <v>5.530833333333332E-2</v>
      </c>
      <c r="J217" s="1371">
        <v>16041</v>
      </c>
    </row>
    <row r="218" spans="2:10" x14ac:dyDescent="0.45">
      <c r="B218" s="1371">
        <v>16072</v>
      </c>
      <c r="C218" s="1370" t="s">
        <v>7147</v>
      </c>
      <c r="F218" s="1380">
        <f>'PRPM WP2'!C219</f>
        <v>1.0599999999999998E-2</v>
      </c>
      <c r="H218" s="1380">
        <f>'PRPM WP2'!H219</f>
        <v>2.4916666666666668E-3</v>
      </c>
      <c r="I218" s="1373">
        <f t="shared" ref="I218:I281" si="3">F218-H218</f>
        <v>8.108333333333332E-3</v>
      </c>
      <c r="J218" s="1371">
        <v>16072</v>
      </c>
    </row>
    <row r="219" spans="2:10" x14ac:dyDescent="0.45">
      <c r="B219" s="1371">
        <v>16103</v>
      </c>
      <c r="C219" s="1370" t="s">
        <v>7147</v>
      </c>
      <c r="F219" s="1380">
        <f>'PRPM WP2'!C220</f>
        <v>1.7899999999999999E-2</v>
      </c>
      <c r="H219" s="1380">
        <f>'PRPM WP2'!H220</f>
        <v>2.4916666666666668E-3</v>
      </c>
      <c r="I219" s="1373">
        <f t="shared" si="3"/>
        <v>1.5408333333333333E-2</v>
      </c>
      <c r="J219" s="1371">
        <v>16103</v>
      </c>
    </row>
    <row r="220" spans="2:10" x14ac:dyDescent="0.45">
      <c r="B220" s="1371">
        <v>16132</v>
      </c>
      <c r="C220" s="1370" t="s">
        <v>7147</v>
      </c>
      <c r="F220" s="1380">
        <f>'PRPM WP2'!C221</f>
        <v>1.04E-2</v>
      </c>
      <c r="H220" s="1380">
        <f>'PRPM WP2'!H221</f>
        <v>2.4750000000000002E-3</v>
      </c>
      <c r="I220" s="1373">
        <f t="shared" si="3"/>
        <v>7.9249999999999998E-3</v>
      </c>
      <c r="J220" s="1371">
        <v>16132</v>
      </c>
    </row>
    <row r="221" spans="2:10" x14ac:dyDescent="0.45">
      <c r="B221" s="1371">
        <v>16163</v>
      </c>
      <c r="C221" s="1370" t="s">
        <v>7147</v>
      </c>
      <c r="F221" s="1380">
        <f>'PRPM WP2'!C222</f>
        <v>-9.1000000000000004E-3</v>
      </c>
      <c r="H221" s="1380">
        <f>'PRPM WP2'!H222</f>
        <v>2.4916666666666668E-3</v>
      </c>
      <c r="I221" s="1373">
        <f t="shared" si="3"/>
        <v>-1.1591666666666667E-2</v>
      </c>
      <c r="J221" s="1371">
        <v>16163</v>
      </c>
    </row>
    <row r="222" spans="2:10" x14ac:dyDescent="0.45">
      <c r="B222" s="1371">
        <v>16193</v>
      </c>
      <c r="C222" s="1370" t="s">
        <v>7147</v>
      </c>
      <c r="F222" s="1380">
        <f>'PRPM WP2'!C223</f>
        <v>3.0099999999999998E-2</v>
      </c>
      <c r="H222" s="1380">
        <f>'PRPM WP2'!H223</f>
        <v>2.4916666666666668E-3</v>
      </c>
      <c r="I222" s="1373">
        <f t="shared" si="3"/>
        <v>2.7608333333333332E-2</v>
      </c>
      <c r="J222" s="1371">
        <v>16193</v>
      </c>
    </row>
    <row r="223" spans="2:10" x14ac:dyDescent="0.45">
      <c r="B223" s="1371">
        <v>16224</v>
      </c>
      <c r="C223" s="1370" t="s">
        <v>7147</v>
      </c>
      <c r="F223" s="1380">
        <f>'PRPM WP2'!C224</f>
        <v>5.2600000000000001E-2</v>
      </c>
      <c r="H223" s="1380">
        <f>'PRPM WP2'!H224</f>
        <v>2.4916666666666668E-3</v>
      </c>
      <c r="I223" s="1373">
        <f t="shared" si="3"/>
        <v>5.0108333333333331E-2</v>
      </c>
      <c r="J223" s="1371">
        <v>16224</v>
      </c>
    </row>
    <row r="224" spans="2:10" x14ac:dyDescent="0.45">
      <c r="B224" s="1371">
        <v>16254</v>
      </c>
      <c r="C224" s="1370" t="s">
        <v>7147</v>
      </c>
      <c r="F224" s="1380">
        <f>'PRPM WP2'!C225</f>
        <v>2.9000000000000002E-3</v>
      </c>
      <c r="H224" s="1380">
        <f>'PRPM WP2'!H225</f>
        <v>2.4666666666666669E-3</v>
      </c>
      <c r="I224" s="1373">
        <f t="shared" si="3"/>
        <v>4.3333333333333331E-4</v>
      </c>
      <c r="J224" s="1371">
        <v>16254</v>
      </c>
    </row>
    <row r="225" spans="2:10" x14ac:dyDescent="0.45">
      <c r="B225" s="1371">
        <v>16285</v>
      </c>
      <c r="C225" s="1370" t="s">
        <v>7147</v>
      </c>
      <c r="F225" s="1380">
        <f>'PRPM WP2'!C226</f>
        <v>3.5700000000000003E-2</v>
      </c>
      <c r="H225" s="1380">
        <f>'PRPM WP2'!H226</f>
        <v>2.4499999999999999E-3</v>
      </c>
      <c r="I225" s="1373">
        <f t="shared" si="3"/>
        <v>3.3250000000000002E-2</v>
      </c>
      <c r="J225" s="1371">
        <v>16285</v>
      </c>
    </row>
    <row r="226" spans="2:10" x14ac:dyDescent="0.45">
      <c r="B226" s="1371">
        <v>16316</v>
      </c>
      <c r="C226" s="1370" t="s">
        <v>7147</v>
      </c>
      <c r="F226" s="1380">
        <f>'PRPM WP2'!C227</f>
        <v>-1.5000000000000003E-2</v>
      </c>
      <c r="H226" s="1380">
        <f>'PRPM WP2'!H227</f>
        <v>2.4416666666666666E-3</v>
      </c>
      <c r="I226" s="1373">
        <f t="shared" si="3"/>
        <v>-1.7441666666666668E-2</v>
      </c>
      <c r="J226" s="1371">
        <v>16316</v>
      </c>
    </row>
    <row r="227" spans="2:10" x14ac:dyDescent="0.45">
      <c r="B227" s="1371">
        <v>16346</v>
      </c>
      <c r="C227" s="1370" t="s">
        <v>7147</v>
      </c>
      <c r="F227" s="1380">
        <f>'PRPM WP2'!C228</f>
        <v>1.3899999999999999E-2</v>
      </c>
      <c r="H227" s="1380">
        <f>'PRPM WP2'!H228</f>
        <v>2.4499999999999999E-3</v>
      </c>
      <c r="I227" s="1373">
        <f t="shared" si="3"/>
        <v>1.1449999999999998E-2</v>
      </c>
      <c r="J227" s="1371">
        <v>16346</v>
      </c>
    </row>
    <row r="228" spans="2:10" x14ac:dyDescent="0.45">
      <c r="B228" s="1371">
        <v>16377</v>
      </c>
      <c r="C228" s="1370" t="s">
        <v>7147</v>
      </c>
      <c r="F228" s="1380">
        <f>'PRPM WP2'!C229</f>
        <v>-1.3000000000000001E-2</v>
      </c>
      <c r="H228" s="1380">
        <f>'PRPM WP2'!H229</f>
        <v>2.4666666666666669E-3</v>
      </c>
      <c r="I228" s="1373">
        <f t="shared" si="3"/>
        <v>-1.5466666666666668E-2</v>
      </c>
      <c r="J228" s="1371">
        <v>16377</v>
      </c>
    </row>
    <row r="229" spans="2:10" x14ac:dyDescent="0.45">
      <c r="B229" s="1371">
        <v>16407</v>
      </c>
      <c r="C229" s="1370" t="s">
        <v>7147</v>
      </c>
      <c r="F229" s="1380">
        <f>'PRPM WP2'!C230</f>
        <v>3.2399999999999998E-2</v>
      </c>
      <c r="H229" s="1380">
        <f>'PRPM WP2'!H230</f>
        <v>2.4750000000000002E-3</v>
      </c>
      <c r="I229" s="1373">
        <f t="shared" si="3"/>
        <v>2.9924999999999997E-2</v>
      </c>
      <c r="J229" s="1371">
        <v>16407</v>
      </c>
    </row>
    <row r="230" spans="2:10" x14ac:dyDescent="0.45">
      <c r="B230" s="1371">
        <v>16438</v>
      </c>
      <c r="C230" s="1370" t="s">
        <v>7147</v>
      </c>
      <c r="F230" s="1380">
        <f>'PRPM WP2'!C231</f>
        <v>4.9699999999999994E-2</v>
      </c>
      <c r="H230" s="1380">
        <f>'PRPM WP2'!H231</f>
        <v>2.4916666666666668E-3</v>
      </c>
      <c r="I230" s="1373">
        <f t="shared" si="3"/>
        <v>4.7208333333333324E-2</v>
      </c>
      <c r="J230" s="1371">
        <v>16438</v>
      </c>
    </row>
    <row r="231" spans="2:10" x14ac:dyDescent="0.45">
      <c r="B231" s="1371">
        <v>16469</v>
      </c>
      <c r="C231" s="1370" t="s">
        <v>7147</v>
      </c>
      <c r="F231" s="1380">
        <f>'PRPM WP2'!C232</f>
        <v>6.9499999999999992E-2</v>
      </c>
      <c r="H231" s="1380">
        <f>'PRPM WP2'!H232</f>
        <v>2.4833333333333331E-3</v>
      </c>
      <c r="I231" s="1373">
        <f t="shared" si="3"/>
        <v>6.7016666666666655E-2</v>
      </c>
      <c r="J231" s="1371">
        <v>16469</v>
      </c>
    </row>
    <row r="232" spans="2:10" x14ac:dyDescent="0.45">
      <c r="B232" s="1371">
        <v>16497</v>
      </c>
      <c r="C232" s="1370" t="s">
        <v>7147</v>
      </c>
      <c r="F232" s="1380">
        <f>'PRPM WP2'!C233</f>
        <v>-3.5699999999999996E-2</v>
      </c>
      <c r="H232" s="1380">
        <f>'PRPM WP2'!H233</f>
        <v>2.4750000000000002E-3</v>
      </c>
      <c r="I232" s="1373">
        <f t="shared" si="3"/>
        <v>-3.8174999999999994E-2</v>
      </c>
      <c r="J232" s="1371">
        <v>16497</v>
      </c>
    </row>
    <row r="233" spans="2:10" x14ac:dyDescent="0.45">
      <c r="B233" s="1371">
        <v>16528</v>
      </c>
      <c r="C233" s="1370" t="s">
        <v>7147</v>
      </c>
      <c r="F233" s="1380">
        <f>'PRPM WP2'!C234</f>
        <v>0.1066</v>
      </c>
      <c r="H233" s="1380">
        <f>'PRPM WP2'!H234</f>
        <v>2.4583333333333336E-3</v>
      </c>
      <c r="I233" s="1373">
        <f t="shared" si="3"/>
        <v>0.10414166666666666</v>
      </c>
      <c r="J233" s="1371">
        <v>16528</v>
      </c>
    </row>
    <row r="234" spans="2:10" x14ac:dyDescent="0.45">
      <c r="B234" s="1371">
        <v>16558</v>
      </c>
      <c r="C234" s="1370" t="s">
        <v>7147</v>
      </c>
      <c r="F234" s="1380">
        <f>'PRPM WP2'!C235</f>
        <v>1.7100000000000001E-2</v>
      </c>
      <c r="H234" s="1380">
        <f>'PRPM WP2'!H235</f>
        <v>2.4333333333333334E-3</v>
      </c>
      <c r="I234" s="1373">
        <f t="shared" si="3"/>
        <v>1.4666666666666668E-2</v>
      </c>
      <c r="J234" s="1371">
        <v>16558</v>
      </c>
    </row>
    <row r="235" spans="2:10" x14ac:dyDescent="0.45">
      <c r="B235" s="1371">
        <v>16589</v>
      </c>
      <c r="C235" s="1370" t="s">
        <v>7147</v>
      </c>
      <c r="F235" s="1380">
        <f>'PRPM WP2'!C236</f>
        <v>6.6199999999999995E-2</v>
      </c>
      <c r="H235" s="1380">
        <f>'PRPM WP2'!H236</f>
        <v>2.3916666666666665E-3</v>
      </c>
      <c r="I235" s="1373">
        <f t="shared" si="3"/>
        <v>6.3808333333333328E-2</v>
      </c>
      <c r="J235" s="1371">
        <v>16589</v>
      </c>
    </row>
    <row r="236" spans="2:10" x14ac:dyDescent="0.45">
      <c r="B236" s="1371">
        <v>16619</v>
      </c>
      <c r="C236" s="1370" t="s">
        <v>7147</v>
      </c>
      <c r="F236" s="1380">
        <f>'PRPM WP2'!C237</f>
        <v>-5.0999999999999986E-3</v>
      </c>
      <c r="H236" s="1380">
        <f>'PRPM WP2'!H237</f>
        <v>2.3583333333333334E-3</v>
      </c>
      <c r="I236" s="1373">
        <f t="shared" si="3"/>
        <v>-7.4583333333333324E-3</v>
      </c>
      <c r="J236" s="1371">
        <v>16619</v>
      </c>
    </row>
    <row r="237" spans="2:10" x14ac:dyDescent="0.45">
      <c r="B237" s="1371">
        <v>16650</v>
      </c>
      <c r="C237" s="1370" t="s">
        <v>7147</v>
      </c>
      <c r="F237" s="1380">
        <f>'PRPM WP2'!C238</f>
        <v>3.0999999999999999E-3</v>
      </c>
      <c r="H237" s="1380">
        <f>'PRPM WP2'!H238</f>
        <v>2.3333333333333335E-3</v>
      </c>
      <c r="I237" s="1373">
        <f t="shared" si="3"/>
        <v>7.6666666666666636E-4</v>
      </c>
      <c r="J237" s="1371">
        <v>16650</v>
      </c>
    </row>
    <row r="238" spans="2:10" x14ac:dyDescent="0.45">
      <c r="B238" s="1371">
        <v>16681</v>
      </c>
      <c r="C238" s="1370" t="s">
        <v>7147</v>
      </c>
      <c r="F238" s="1380">
        <f>'PRPM WP2'!C239</f>
        <v>7.3900000000000007E-2</v>
      </c>
      <c r="H238" s="1380">
        <f>'PRPM WP2'!H239</f>
        <v>2.3250000000000002E-3</v>
      </c>
      <c r="I238" s="1373">
        <f t="shared" si="3"/>
        <v>7.1575000000000014E-2</v>
      </c>
      <c r="J238" s="1371">
        <v>16681</v>
      </c>
    </row>
    <row r="239" spans="2:10" x14ac:dyDescent="0.45">
      <c r="B239" s="1371">
        <v>16711</v>
      </c>
      <c r="C239" s="1370" t="s">
        <v>7147</v>
      </c>
      <c r="F239" s="1380">
        <f>'PRPM WP2'!C240</f>
        <v>6.4100000000000004E-2</v>
      </c>
      <c r="H239" s="1380">
        <f>'PRPM WP2'!H240</f>
        <v>2.3250000000000002E-3</v>
      </c>
      <c r="I239" s="1373">
        <f t="shared" si="3"/>
        <v>6.1775000000000004E-2</v>
      </c>
      <c r="J239" s="1371">
        <v>16711</v>
      </c>
    </row>
    <row r="240" spans="2:10" x14ac:dyDescent="0.45">
      <c r="B240" s="1371">
        <v>16742</v>
      </c>
      <c r="C240" s="1370" t="s">
        <v>7147</v>
      </c>
      <c r="F240" s="1380">
        <f>'PRPM WP2'!C241</f>
        <v>4.7100000000000003E-2</v>
      </c>
      <c r="H240" s="1380">
        <f>'PRPM WP2'!H241</f>
        <v>2.3083333333333332E-3</v>
      </c>
      <c r="I240" s="1373">
        <f t="shared" si="3"/>
        <v>4.4791666666666667E-2</v>
      </c>
      <c r="J240" s="1371">
        <v>16742</v>
      </c>
    </row>
    <row r="241" spans="2:10" x14ac:dyDescent="0.45">
      <c r="B241" s="1371">
        <v>16772</v>
      </c>
      <c r="C241" s="1370" t="s">
        <v>7147</v>
      </c>
      <c r="F241" s="1380">
        <f>'PRPM WP2'!C242</f>
        <v>-1.1699999999999999E-2</v>
      </c>
      <c r="H241" s="1380">
        <f>'PRPM WP2'!H242</f>
        <v>2.2916666666666667E-3</v>
      </c>
      <c r="I241" s="1373">
        <f t="shared" si="3"/>
        <v>-1.3991666666666666E-2</v>
      </c>
      <c r="J241" s="1371">
        <v>16772</v>
      </c>
    </row>
    <row r="242" spans="2:10" x14ac:dyDescent="0.45">
      <c r="B242" s="1371">
        <v>16803</v>
      </c>
      <c r="C242" s="1370" t="s">
        <v>7147</v>
      </c>
      <c r="F242" s="1380">
        <f>'PRPM WP2'!C243</f>
        <v>0.11989999999999998</v>
      </c>
      <c r="H242" s="1380">
        <f>'PRPM WP2'!H243</f>
        <v>2.2416666666666665E-3</v>
      </c>
      <c r="I242" s="1373">
        <f t="shared" si="3"/>
        <v>0.11765833333333331</v>
      </c>
      <c r="J242" s="1371">
        <v>16803</v>
      </c>
    </row>
    <row r="243" spans="2:10" x14ac:dyDescent="0.45">
      <c r="B243" s="1371">
        <v>16834</v>
      </c>
      <c r="C243" s="1370" t="s">
        <v>7147</v>
      </c>
      <c r="F243" s="1380">
        <f>'PRPM WP2'!C244</f>
        <v>-6.4000000000000001E-2</v>
      </c>
      <c r="H243" s="1380">
        <f>'PRPM WP2'!H244</f>
        <v>2.225E-3</v>
      </c>
      <c r="I243" s="1373">
        <f t="shared" si="3"/>
        <v>-6.6225000000000006E-2</v>
      </c>
      <c r="J243" s="1371">
        <v>16834</v>
      </c>
    </row>
    <row r="244" spans="2:10" x14ac:dyDescent="0.45">
      <c r="B244" s="1371">
        <v>16862</v>
      </c>
      <c r="C244" s="1370" t="s">
        <v>7147</v>
      </c>
      <c r="F244" s="1380">
        <f>'PRPM WP2'!C245</f>
        <v>6.3100000000000003E-2</v>
      </c>
      <c r="H244" s="1380">
        <f>'PRPM WP2'!H245</f>
        <v>2.2166666666666667E-3</v>
      </c>
      <c r="I244" s="1373">
        <f t="shared" si="3"/>
        <v>6.0883333333333338E-2</v>
      </c>
      <c r="J244" s="1371">
        <v>16862</v>
      </c>
    </row>
    <row r="245" spans="2:10" x14ac:dyDescent="0.45">
      <c r="B245" s="1371">
        <v>16893</v>
      </c>
      <c r="C245" s="1370" t="s">
        <v>7147</v>
      </c>
      <c r="F245" s="1380">
        <f>'PRPM WP2'!C246</f>
        <v>3.3800000000000004E-2</v>
      </c>
      <c r="H245" s="1380">
        <f>'PRPM WP2'!H246</f>
        <v>2.2083333333333334E-3</v>
      </c>
      <c r="I245" s="1373">
        <f t="shared" si="3"/>
        <v>3.1591666666666671E-2</v>
      </c>
      <c r="J245" s="1371">
        <v>16893</v>
      </c>
    </row>
    <row r="246" spans="2:10" x14ac:dyDescent="0.45">
      <c r="B246" s="1371">
        <v>16923</v>
      </c>
      <c r="C246" s="1370" t="s">
        <v>7147</v>
      </c>
      <c r="F246" s="1380">
        <f>'PRPM WP2'!C247</f>
        <v>3.0099999999999998E-2</v>
      </c>
      <c r="H246" s="1380">
        <f>'PRPM WP2'!H247</f>
        <v>2.2416666666666665E-3</v>
      </c>
      <c r="I246" s="1373">
        <f t="shared" si="3"/>
        <v>2.7858333333333332E-2</v>
      </c>
      <c r="J246" s="1371">
        <v>16923</v>
      </c>
    </row>
    <row r="247" spans="2:10" x14ac:dyDescent="0.45">
      <c r="B247" s="1371">
        <v>16954</v>
      </c>
      <c r="C247" s="1370" t="s">
        <v>7147</v>
      </c>
      <c r="F247" s="1380">
        <f>'PRPM WP2'!C248</f>
        <v>-2.76E-2</v>
      </c>
      <c r="H247" s="1380">
        <f>'PRPM WP2'!H248</f>
        <v>2.2500000000000003E-3</v>
      </c>
      <c r="I247" s="1373">
        <f t="shared" si="3"/>
        <v>-2.9850000000000002E-2</v>
      </c>
      <c r="J247" s="1371">
        <v>16954</v>
      </c>
    </row>
    <row r="248" spans="2:10" x14ac:dyDescent="0.45">
      <c r="B248" s="1371">
        <v>16984</v>
      </c>
      <c r="C248" s="1370" t="s">
        <v>7147</v>
      </c>
      <c r="F248" s="1380">
        <f>'PRPM WP2'!C249</f>
        <v>-3.95E-2</v>
      </c>
      <c r="H248" s="1380">
        <f>'PRPM WP2'!H249</f>
        <v>2.2416666666666665E-3</v>
      </c>
      <c r="I248" s="1373">
        <f t="shared" si="3"/>
        <v>-4.174166666666667E-2</v>
      </c>
      <c r="J248" s="1371">
        <v>16984</v>
      </c>
    </row>
    <row r="249" spans="2:10" x14ac:dyDescent="0.45">
      <c r="B249" s="1371">
        <v>17015</v>
      </c>
      <c r="C249" s="1370" t="s">
        <v>7147</v>
      </c>
      <c r="F249" s="1380">
        <f>'PRPM WP2'!C250</f>
        <v>-7.2399999999999992E-2</v>
      </c>
      <c r="H249" s="1380">
        <f>'PRPM WP2'!H250</f>
        <v>2.2583333333333331E-3</v>
      </c>
      <c r="I249" s="1373">
        <f t="shared" si="3"/>
        <v>-7.4658333333333327E-2</v>
      </c>
      <c r="J249" s="1371">
        <v>17015</v>
      </c>
    </row>
    <row r="250" spans="2:10" x14ac:dyDescent="0.45">
      <c r="B250" s="1371">
        <v>17046</v>
      </c>
      <c r="C250" s="1370" t="s">
        <v>7147</v>
      </c>
      <c r="F250" s="1380">
        <f>'PRPM WP2'!C251</f>
        <v>-0.1051</v>
      </c>
      <c r="H250" s="1380">
        <f>'PRPM WP2'!H251</f>
        <v>2.2916666666666667E-3</v>
      </c>
      <c r="I250" s="1373">
        <f t="shared" si="3"/>
        <v>-0.10739166666666666</v>
      </c>
      <c r="J250" s="1371">
        <v>17046</v>
      </c>
    </row>
    <row r="251" spans="2:10" x14ac:dyDescent="0.45">
      <c r="B251" s="1371">
        <v>17076</v>
      </c>
      <c r="C251" s="1370" t="s">
        <v>7147</v>
      </c>
      <c r="F251" s="1380">
        <f>'PRPM WP2'!C252</f>
        <v>2.1999999999999999E-2</v>
      </c>
      <c r="H251" s="1380">
        <f>'PRPM WP2'!H252</f>
        <v>2.3E-3</v>
      </c>
      <c r="I251" s="1373">
        <f t="shared" si="3"/>
        <v>1.9699999999999999E-2</v>
      </c>
      <c r="J251" s="1371">
        <v>17076</v>
      </c>
    </row>
    <row r="252" spans="2:10" x14ac:dyDescent="0.45">
      <c r="B252" s="1371">
        <v>17107</v>
      </c>
      <c r="C252" s="1370" t="s">
        <v>7147</v>
      </c>
      <c r="F252" s="1380">
        <f>'PRPM WP2'!C253</f>
        <v>5.7999999999999996E-3</v>
      </c>
      <c r="H252" s="1380">
        <f>'PRPM WP2'!H253</f>
        <v>2.3E-3</v>
      </c>
      <c r="I252" s="1373">
        <f t="shared" si="3"/>
        <v>3.4999999999999996E-3</v>
      </c>
      <c r="J252" s="1371">
        <v>17107</v>
      </c>
    </row>
    <row r="253" spans="2:10" x14ac:dyDescent="0.45">
      <c r="B253" s="1371">
        <v>17137</v>
      </c>
      <c r="C253" s="1370" t="s">
        <v>7147</v>
      </c>
      <c r="F253" s="1380">
        <f>'PRPM WP2'!C254</f>
        <v>7.0599999999999996E-2</v>
      </c>
      <c r="H253" s="1380">
        <f>'PRPM WP2'!H254</f>
        <v>2.3E-3</v>
      </c>
      <c r="I253" s="1373">
        <f t="shared" si="3"/>
        <v>6.83E-2</v>
      </c>
      <c r="J253" s="1371">
        <v>17137</v>
      </c>
    </row>
    <row r="254" spans="2:10" x14ac:dyDescent="0.45">
      <c r="B254" s="1371">
        <v>17168</v>
      </c>
      <c r="C254" s="1370" t="s">
        <v>7147</v>
      </c>
      <c r="F254" s="1380">
        <f>'PRPM WP2'!C255</f>
        <v>-2.0000000000000012E-4</v>
      </c>
      <c r="H254" s="1380">
        <f>'PRPM WP2'!H255</f>
        <v>2.2666666666666668E-3</v>
      </c>
      <c r="I254" s="1373">
        <f t="shared" si="3"/>
        <v>-2.4666666666666669E-3</v>
      </c>
      <c r="J254" s="1371">
        <v>17168</v>
      </c>
    </row>
    <row r="255" spans="2:10" x14ac:dyDescent="0.45">
      <c r="B255" s="1371">
        <v>17199</v>
      </c>
      <c r="C255" s="1370" t="s">
        <v>7147</v>
      </c>
      <c r="F255" s="1380">
        <f>'PRPM WP2'!C256</f>
        <v>-8.8999999999999999E-3</v>
      </c>
      <c r="H255" s="1380">
        <f>'PRPM WP2'!H256</f>
        <v>2.2666666666666668E-3</v>
      </c>
      <c r="I255" s="1373">
        <f t="shared" si="3"/>
        <v>-1.1166666666666667E-2</v>
      </c>
      <c r="J255" s="1371">
        <v>17199</v>
      </c>
    </row>
    <row r="256" spans="2:10" x14ac:dyDescent="0.45">
      <c r="B256" s="1371">
        <v>17227</v>
      </c>
      <c r="C256" s="1370" t="s">
        <v>7147</v>
      </c>
      <c r="F256" s="1380">
        <f>'PRPM WP2'!C257</f>
        <v>-3.6399999999999995E-2</v>
      </c>
      <c r="H256" s="1380">
        <f>'PRPM WP2'!H257</f>
        <v>2.2666666666666668E-3</v>
      </c>
      <c r="I256" s="1373">
        <f t="shared" si="3"/>
        <v>-3.8666666666666662E-2</v>
      </c>
      <c r="J256" s="1371">
        <v>17227</v>
      </c>
    </row>
    <row r="257" spans="2:10" x14ac:dyDescent="0.45">
      <c r="B257" s="1371">
        <v>17258</v>
      </c>
      <c r="C257" s="1370" t="s">
        <v>7147</v>
      </c>
      <c r="F257" s="1380">
        <f>'PRPM WP2'!C258</f>
        <v>-3.2000000000000001E-2</v>
      </c>
      <c r="H257" s="1380">
        <f>'PRPM WP2'!H258</f>
        <v>2.2500000000000003E-3</v>
      </c>
      <c r="I257" s="1373">
        <f t="shared" si="3"/>
        <v>-3.4250000000000003E-2</v>
      </c>
      <c r="J257" s="1371">
        <v>17258</v>
      </c>
    </row>
    <row r="258" spans="2:10" x14ac:dyDescent="0.45">
      <c r="B258" s="1371">
        <v>17288</v>
      </c>
      <c r="C258" s="1370" t="s">
        <v>7147</v>
      </c>
      <c r="F258" s="1380">
        <f>'PRPM WP2'!C259</f>
        <v>-2.7900000000000001E-2</v>
      </c>
      <c r="H258" s="1380">
        <f>'PRPM WP2'!H259</f>
        <v>2.2500000000000003E-3</v>
      </c>
      <c r="I258" s="1373">
        <f t="shared" si="3"/>
        <v>-3.0150000000000003E-2</v>
      </c>
      <c r="J258" s="1371">
        <v>17288</v>
      </c>
    </row>
    <row r="259" spans="2:10" x14ac:dyDescent="0.45">
      <c r="B259" s="1371">
        <v>17319</v>
      </c>
      <c r="C259" s="1370" t="s">
        <v>7147</v>
      </c>
      <c r="F259" s="1380">
        <f>'PRPM WP2'!C260</f>
        <v>4.2800000000000005E-2</v>
      </c>
      <c r="H259" s="1380">
        <f>'PRPM WP2'!H260</f>
        <v>2.2583333333333331E-3</v>
      </c>
      <c r="I259" s="1373">
        <f t="shared" si="3"/>
        <v>4.054166666666667E-2</v>
      </c>
      <c r="J259" s="1371">
        <v>17319</v>
      </c>
    </row>
    <row r="260" spans="2:10" x14ac:dyDescent="0.45">
      <c r="B260" s="1371">
        <v>17349</v>
      </c>
      <c r="C260" s="1370" t="s">
        <v>7147</v>
      </c>
      <c r="F260" s="1380">
        <f>'PRPM WP2'!C261</f>
        <v>2.1399999999999995E-2</v>
      </c>
      <c r="H260" s="1380">
        <f>'PRPM WP2'!H261</f>
        <v>2.2750000000000001E-3</v>
      </c>
      <c r="I260" s="1373">
        <f t="shared" si="3"/>
        <v>1.9124999999999996E-2</v>
      </c>
      <c r="J260" s="1371">
        <v>17349</v>
      </c>
    </row>
    <row r="261" spans="2:10" x14ac:dyDescent="0.45">
      <c r="B261" s="1371">
        <v>17380</v>
      </c>
      <c r="C261" s="1370" t="s">
        <v>7147</v>
      </c>
      <c r="F261" s="1380">
        <f>'PRPM WP2'!C262</f>
        <v>-2.2000000000000001E-3</v>
      </c>
      <c r="H261" s="1380">
        <f>'PRPM WP2'!H262</f>
        <v>2.2750000000000001E-3</v>
      </c>
      <c r="I261" s="1373">
        <f t="shared" si="3"/>
        <v>-4.4749999999999998E-3</v>
      </c>
      <c r="J261" s="1371">
        <v>17380</v>
      </c>
    </row>
    <row r="262" spans="2:10" x14ac:dyDescent="0.45">
      <c r="B262" s="1371">
        <v>17411</v>
      </c>
      <c r="C262" s="1370" t="s">
        <v>7147</v>
      </c>
      <c r="F262" s="1380">
        <f>'PRPM WP2'!C263</f>
        <v>-1.4200000000000001E-2</v>
      </c>
      <c r="H262" s="1380">
        <f>'PRPM WP2'!H263</f>
        <v>2.3333333333333335E-3</v>
      </c>
      <c r="I262" s="1373">
        <f t="shared" si="3"/>
        <v>-1.6533333333333334E-2</v>
      </c>
      <c r="J262" s="1371">
        <v>17411</v>
      </c>
    </row>
    <row r="263" spans="2:10" x14ac:dyDescent="0.45">
      <c r="B263" s="1371">
        <v>17441</v>
      </c>
      <c r="C263" s="1370" t="s">
        <v>7147</v>
      </c>
      <c r="F263" s="1380">
        <f>'PRPM WP2'!C264</f>
        <v>-1.3299999999999999E-2</v>
      </c>
      <c r="H263" s="1380">
        <f>'PRPM WP2'!H264</f>
        <v>2.3999999999999998E-3</v>
      </c>
      <c r="I263" s="1373">
        <f t="shared" si="3"/>
        <v>-1.5699999999999999E-2</v>
      </c>
      <c r="J263" s="1371">
        <v>17441</v>
      </c>
    </row>
    <row r="264" spans="2:10" x14ac:dyDescent="0.45">
      <c r="B264" s="1371">
        <v>17472</v>
      </c>
      <c r="C264" s="1370" t="s">
        <v>7147</v>
      </c>
      <c r="F264" s="1380">
        <f>'PRPM WP2'!C265</f>
        <v>-8.2399999999999987E-2</v>
      </c>
      <c r="H264" s="1380">
        <f>'PRPM WP2'!H265</f>
        <v>2.4416666666666666E-3</v>
      </c>
      <c r="I264" s="1373">
        <f t="shared" si="3"/>
        <v>-8.4841666666666649E-2</v>
      </c>
      <c r="J264" s="1371">
        <v>17472</v>
      </c>
    </row>
    <row r="265" spans="2:10" x14ac:dyDescent="0.45">
      <c r="B265" s="1371">
        <v>17502</v>
      </c>
      <c r="C265" s="1370" t="s">
        <v>7147</v>
      </c>
      <c r="F265" s="1380">
        <f>'PRPM WP2'!C266</f>
        <v>1.89E-2</v>
      </c>
      <c r="H265" s="1380">
        <f>'PRPM WP2'!H266</f>
        <v>2.5416666666666669E-3</v>
      </c>
      <c r="I265" s="1373">
        <f t="shared" si="3"/>
        <v>1.6358333333333332E-2</v>
      </c>
      <c r="J265" s="1371">
        <v>17502</v>
      </c>
    </row>
    <row r="266" spans="2:10" x14ac:dyDescent="0.45">
      <c r="B266" s="1371">
        <v>17533</v>
      </c>
      <c r="C266" s="1370" t="s">
        <v>7147</v>
      </c>
      <c r="F266" s="1380">
        <f>'PRPM WP2'!C267</f>
        <v>6.9999999999999993E-3</v>
      </c>
      <c r="H266" s="1380">
        <f>'PRPM WP2'!H267</f>
        <v>2.5416666666666669E-3</v>
      </c>
      <c r="I266" s="1373">
        <f t="shared" si="3"/>
        <v>4.4583333333333324E-3</v>
      </c>
      <c r="J266" s="1371">
        <v>17533</v>
      </c>
    </row>
    <row r="267" spans="2:10" x14ac:dyDescent="0.45">
      <c r="B267" s="1371">
        <v>17564</v>
      </c>
      <c r="C267" s="1370" t="s">
        <v>7147</v>
      </c>
      <c r="F267" s="1380">
        <f>'PRPM WP2'!C268</f>
        <v>-3.7200000000000004E-2</v>
      </c>
      <c r="H267" s="1380">
        <f>'PRPM WP2'!H268</f>
        <v>2.5416666666666669E-3</v>
      </c>
      <c r="I267" s="1373">
        <f t="shared" si="3"/>
        <v>-3.9741666666666668E-2</v>
      </c>
      <c r="J267" s="1371">
        <v>17564</v>
      </c>
    </row>
    <row r="268" spans="2:10" x14ac:dyDescent="0.45">
      <c r="B268" s="1371">
        <v>17593</v>
      </c>
      <c r="C268" s="1370" t="s">
        <v>7147</v>
      </c>
      <c r="F268" s="1380">
        <f>'PRPM WP2'!C269</f>
        <v>6.1699999999999998E-2</v>
      </c>
      <c r="H268" s="1380">
        <f>'PRPM WP2'!H269</f>
        <v>2.5166666666666666E-3</v>
      </c>
      <c r="I268" s="1373">
        <f t="shared" si="3"/>
        <v>5.9183333333333331E-2</v>
      </c>
      <c r="J268" s="1371">
        <v>17593</v>
      </c>
    </row>
    <row r="269" spans="2:10" x14ac:dyDescent="0.45">
      <c r="B269" s="1371">
        <v>17624</v>
      </c>
      <c r="C269" s="1370" t="s">
        <v>7147</v>
      </c>
      <c r="F269" s="1380">
        <f>'PRPM WP2'!C270</f>
        <v>1.6E-2</v>
      </c>
      <c r="H269" s="1380">
        <f>'PRPM WP2'!H270</f>
        <v>2.4750000000000002E-3</v>
      </c>
      <c r="I269" s="1373">
        <f t="shared" si="3"/>
        <v>1.3525000000000001E-2</v>
      </c>
      <c r="J269" s="1371">
        <v>17624</v>
      </c>
    </row>
    <row r="270" spans="2:10" x14ac:dyDescent="0.45">
      <c r="B270" s="1371">
        <v>17654</v>
      </c>
      <c r="C270" s="1370" t="s">
        <v>7147</v>
      </c>
      <c r="F270" s="1380">
        <f>'PRPM WP2'!C271</f>
        <v>5.8299999999999998E-2</v>
      </c>
      <c r="H270" s="1380">
        <f>'PRPM WP2'!H271</f>
        <v>2.4499999999999999E-3</v>
      </c>
      <c r="I270" s="1373">
        <f t="shared" si="3"/>
        <v>5.5849999999999997E-2</v>
      </c>
      <c r="J270" s="1371">
        <v>17654</v>
      </c>
    </row>
    <row r="271" spans="2:10" x14ac:dyDescent="0.45">
      <c r="B271" s="1371">
        <v>17685</v>
      </c>
      <c r="C271" s="1370" t="s">
        <v>7147</v>
      </c>
      <c r="F271" s="1380">
        <f>'PRPM WP2'!C272</f>
        <v>2.12E-2</v>
      </c>
      <c r="H271" s="1380">
        <f>'PRPM WP2'!H272</f>
        <v>2.4499999999999999E-3</v>
      </c>
      <c r="I271" s="1373">
        <f t="shared" si="3"/>
        <v>1.8749999999999999E-2</v>
      </c>
      <c r="J271" s="1371">
        <v>17685</v>
      </c>
    </row>
    <row r="272" spans="2:10" x14ac:dyDescent="0.45">
      <c r="B272" s="1371">
        <v>17715</v>
      </c>
      <c r="C272" s="1370" t="s">
        <v>7147</v>
      </c>
      <c r="F272" s="1380">
        <f>'PRPM WP2'!C273</f>
        <v>-4.4299999999999999E-2</v>
      </c>
      <c r="H272" s="1380">
        <f>'PRPM WP2'!H273</f>
        <v>2.4916666666666668E-3</v>
      </c>
      <c r="I272" s="1373">
        <f t="shared" si="3"/>
        <v>-4.6791666666666669E-2</v>
      </c>
      <c r="J272" s="1371">
        <v>17715</v>
      </c>
    </row>
    <row r="273" spans="2:10" x14ac:dyDescent="0.45">
      <c r="B273" s="1371">
        <v>17746</v>
      </c>
      <c r="C273" s="1370" t="s">
        <v>7147</v>
      </c>
      <c r="F273" s="1380">
        <f>'PRPM WP2'!C274</f>
        <v>3.5999999999999999E-3</v>
      </c>
      <c r="H273" s="1380">
        <f>'PRPM WP2'!H274</f>
        <v>2.5249999999999999E-3</v>
      </c>
      <c r="I273" s="1373">
        <f t="shared" si="3"/>
        <v>1.075E-3</v>
      </c>
      <c r="J273" s="1371">
        <v>17746</v>
      </c>
    </row>
    <row r="274" spans="2:10" x14ac:dyDescent="0.45">
      <c r="B274" s="1371">
        <v>17777</v>
      </c>
      <c r="C274" s="1370" t="s">
        <v>7147</v>
      </c>
      <c r="F274" s="1380">
        <f>'PRPM WP2'!C275</f>
        <v>-7.0999999999999995E-3</v>
      </c>
      <c r="H274" s="1380">
        <f>'PRPM WP2'!H275</f>
        <v>2.5416666666666669E-3</v>
      </c>
      <c r="I274" s="1373">
        <f t="shared" si="3"/>
        <v>-9.6416666666666664E-3</v>
      </c>
      <c r="J274" s="1371">
        <v>17777</v>
      </c>
    </row>
    <row r="275" spans="2:10" x14ac:dyDescent="0.45">
      <c r="B275" s="1371">
        <v>17807</v>
      </c>
      <c r="C275" s="1370" t="s">
        <v>7147</v>
      </c>
      <c r="F275" s="1380">
        <f>'PRPM WP2'!C276</f>
        <v>4.0300000000000002E-2</v>
      </c>
      <c r="H275" s="1380">
        <f>'PRPM WP2'!H276</f>
        <v>2.5249999999999999E-3</v>
      </c>
      <c r="I275" s="1373">
        <f t="shared" si="3"/>
        <v>3.7775000000000003E-2</v>
      </c>
      <c r="J275" s="1371">
        <v>17807</v>
      </c>
    </row>
    <row r="276" spans="2:10" x14ac:dyDescent="0.45">
      <c r="B276" s="1371">
        <v>17838</v>
      </c>
      <c r="C276" s="1370" t="s">
        <v>7147</v>
      </c>
      <c r="F276" s="1380">
        <f>'PRPM WP2'!C277</f>
        <v>-9.1299999999999992E-2</v>
      </c>
      <c r="H276" s="1380">
        <f>'PRPM WP2'!H277</f>
        <v>2.5583333333333335E-3</v>
      </c>
      <c r="I276" s="1373">
        <f t="shared" si="3"/>
        <v>-9.3858333333333321E-2</v>
      </c>
      <c r="J276" s="1371">
        <v>17838</v>
      </c>
    </row>
    <row r="277" spans="2:10" x14ac:dyDescent="0.45">
      <c r="B277" s="1371">
        <v>17868</v>
      </c>
      <c r="C277" s="1370" t="s">
        <v>7147</v>
      </c>
      <c r="F277" s="1380">
        <f>'PRPM WP2'!C278</f>
        <v>2.2099999999999998E-2</v>
      </c>
      <c r="H277" s="1380">
        <f>'PRPM WP2'!H278</f>
        <v>2.5500000000000002E-3</v>
      </c>
      <c r="I277" s="1373">
        <f t="shared" si="3"/>
        <v>1.9549999999999998E-2</v>
      </c>
      <c r="J277" s="1371">
        <v>17868</v>
      </c>
    </row>
    <row r="278" spans="2:10" x14ac:dyDescent="0.45">
      <c r="B278" s="1371">
        <v>17899</v>
      </c>
      <c r="C278" s="1370" t="s">
        <v>7147</v>
      </c>
      <c r="F278" s="1380">
        <f>'PRPM WP2'!C279</f>
        <v>5.04E-2</v>
      </c>
      <c r="H278" s="1380">
        <f>'PRPM WP2'!H279</f>
        <v>2.4916666666666668E-3</v>
      </c>
      <c r="I278" s="1373">
        <f t="shared" si="3"/>
        <v>4.7908333333333331E-2</v>
      </c>
      <c r="J278" s="1371">
        <v>17899</v>
      </c>
    </row>
    <row r="279" spans="2:10" x14ac:dyDescent="0.45">
      <c r="B279" s="1371">
        <v>17930</v>
      </c>
      <c r="C279" s="1370" t="s">
        <v>7147</v>
      </c>
      <c r="F279" s="1380">
        <f>'PRPM WP2'!C280</f>
        <v>5.0000000000000044E-4</v>
      </c>
      <c r="H279" s="1380">
        <f>'PRPM WP2'!H280</f>
        <v>2.4916666666666668E-3</v>
      </c>
      <c r="I279" s="1373">
        <f t="shared" si="3"/>
        <v>-1.9916666666666663E-3</v>
      </c>
      <c r="J279" s="1371">
        <v>17930</v>
      </c>
    </row>
    <row r="280" spans="2:10" x14ac:dyDescent="0.45">
      <c r="B280" s="1371">
        <v>17958</v>
      </c>
      <c r="C280" s="1370" t="s">
        <v>7147</v>
      </c>
      <c r="F280" s="1380">
        <f>'PRPM WP2'!C281</f>
        <v>3.6400000000000002E-2</v>
      </c>
      <c r="H280" s="1380">
        <f>'PRPM WP2'!H281</f>
        <v>2.4750000000000002E-3</v>
      </c>
      <c r="I280" s="1373">
        <f t="shared" si="3"/>
        <v>3.3925000000000004E-2</v>
      </c>
      <c r="J280" s="1371">
        <v>17958</v>
      </c>
    </row>
    <row r="281" spans="2:10" x14ac:dyDescent="0.45">
      <c r="B281" s="1371">
        <v>17989</v>
      </c>
      <c r="C281" s="1370" t="s">
        <v>7147</v>
      </c>
      <c r="F281" s="1380">
        <f>'PRPM WP2'!C282</f>
        <v>5.7999999999999996E-3</v>
      </c>
      <c r="H281" s="1380">
        <f>'PRPM WP2'!H282</f>
        <v>2.4666666666666669E-3</v>
      </c>
      <c r="I281" s="1373">
        <f t="shared" si="3"/>
        <v>3.3333333333333327E-3</v>
      </c>
      <c r="J281" s="1371">
        <v>17989</v>
      </c>
    </row>
    <row r="282" spans="2:10" x14ac:dyDescent="0.45">
      <c r="B282" s="1371">
        <v>18019</v>
      </c>
      <c r="C282" s="1370" t="s">
        <v>7147</v>
      </c>
      <c r="F282" s="1380">
        <f>'PRPM WP2'!C283</f>
        <v>3.4000000000000002E-3</v>
      </c>
      <c r="H282" s="1380">
        <f>'PRPM WP2'!H283</f>
        <v>2.4583333333333336E-3</v>
      </c>
      <c r="I282" s="1373">
        <f t="shared" ref="I282:I345" si="4">F282-H282</f>
        <v>9.4166666666666661E-4</v>
      </c>
      <c r="J282" s="1371">
        <v>18019</v>
      </c>
    </row>
    <row r="283" spans="2:10" x14ac:dyDescent="0.45">
      <c r="B283" s="1371">
        <v>18050</v>
      </c>
      <c r="C283" s="1370" t="s">
        <v>7147</v>
      </c>
      <c r="F283" s="1380">
        <f>'PRPM WP2'!C284</f>
        <v>-1.3399999999999999E-2</v>
      </c>
      <c r="H283" s="1380">
        <f>'PRPM WP2'!H284</f>
        <v>2.4499999999999999E-3</v>
      </c>
      <c r="I283" s="1373">
        <f t="shared" si="4"/>
        <v>-1.585E-2</v>
      </c>
      <c r="J283" s="1371">
        <v>18050</v>
      </c>
    </row>
    <row r="284" spans="2:10" x14ac:dyDescent="0.45">
      <c r="B284" s="1371">
        <v>18080</v>
      </c>
      <c r="C284" s="1370" t="s">
        <v>7147</v>
      </c>
      <c r="F284" s="1380">
        <f>'PRPM WP2'!C285</f>
        <v>5.6899999999999992E-2</v>
      </c>
      <c r="H284" s="1380">
        <f>'PRPM WP2'!H285</f>
        <v>2.4166666666666668E-3</v>
      </c>
      <c r="I284" s="1373">
        <f t="shared" si="4"/>
        <v>5.4483333333333328E-2</v>
      </c>
      <c r="J284" s="1371">
        <v>18080</v>
      </c>
    </row>
    <row r="285" spans="2:10" x14ac:dyDescent="0.45">
      <c r="B285" s="1371">
        <v>18111</v>
      </c>
      <c r="C285" s="1370" t="s">
        <v>7147</v>
      </c>
      <c r="F285" s="1380">
        <f>'PRPM WP2'!C286</f>
        <v>3.4599999999999999E-2</v>
      </c>
      <c r="H285" s="1380">
        <f>'PRPM WP2'!H286</f>
        <v>2.3833333333333332E-3</v>
      </c>
      <c r="I285" s="1373">
        <f t="shared" si="4"/>
        <v>3.2216666666666664E-2</v>
      </c>
      <c r="J285" s="1371">
        <v>18111</v>
      </c>
    </row>
    <row r="286" spans="2:10" x14ac:dyDescent="0.45">
      <c r="B286" s="1371">
        <v>18142</v>
      </c>
      <c r="C286" s="1370" t="s">
        <v>7147</v>
      </c>
      <c r="F286" s="1380">
        <f>'PRPM WP2'!C287</f>
        <v>3.73E-2</v>
      </c>
      <c r="H286" s="1380">
        <f>'PRPM WP2'!H287</f>
        <v>2.3750000000000004E-3</v>
      </c>
      <c r="I286" s="1373">
        <f t="shared" si="4"/>
        <v>3.4924999999999998E-2</v>
      </c>
      <c r="J286" s="1371">
        <v>18142</v>
      </c>
    </row>
    <row r="287" spans="2:10" x14ac:dyDescent="0.45">
      <c r="B287" s="1371">
        <v>18172</v>
      </c>
      <c r="C287" s="1370" t="s">
        <v>7147</v>
      </c>
      <c r="F287" s="1380">
        <f>'PRPM WP2'!C288</f>
        <v>1.1199999999999998E-2</v>
      </c>
      <c r="H287" s="1380">
        <f>'PRPM WP2'!H288</f>
        <v>2.3583333333333334E-3</v>
      </c>
      <c r="I287" s="1373">
        <f t="shared" si="4"/>
        <v>8.8416666666666643E-3</v>
      </c>
      <c r="J287" s="1371">
        <v>18172</v>
      </c>
    </row>
    <row r="288" spans="2:10" x14ac:dyDescent="0.45">
      <c r="B288" s="1371">
        <v>18203</v>
      </c>
      <c r="C288" s="1370" t="s">
        <v>7147</v>
      </c>
      <c r="F288" s="1380">
        <f>'PRPM WP2'!C289</f>
        <v>1.5899999999999997E-2</v>
      </c>
      <c r="H288" s="1380">
        <f>'PRPM WP2'!H289</f>
        <v>2.3416666666666668E-3</v>
      </c>
      <c r="I288" s="1373">
        <f t="shared" si="4"/>
        <v>1.355833333333333E-2</v>
      </c>
      <c r="J288" s="1371">
        <v>18203</v>
      </c>
    </row>
    <row r="289" spans="2:10" x14ac:dyDescent="0.45">
      <c r="B289" s="1371">
        <v>18233</v>
      </c>
      <c r="C289" s="1370" t="s">
        <v>7147</v>
      </c>
      <c r="F289" s="1380">
        <f>'PRPM WP2'!C290</f>
        <v>3.9599999999999996E-2</v>
      </c>
      <c r="H289" s="1380">
        <f>'PRPM WP2'!H290</f>
        <v>2.316666666666667E-3</v>
      </c>
      <c r="I289" s="1373">
        <f t="shared" si="4"/>
        <v>3.7283333333333328E-2</v>
      </c>
      <c r="J289" s="1371">
        <v>18233</v>
      </c>
    </row>
    <row r="290" spans="2:10" x14ac:dyDescent="0.45">
      <c r="B290" s="1371">
        <v>18264</v>
      </c>
      <c r="C290" s="1370" t="s">
        <v>7147</v>
      </c>
      <c r="F290" s="1380">
        <f>'PRPM WP2'!C291</f>
        <v>3.5299999999999998E-2</v>
      </c>
      <c r="H290" s="1380">
        <f>'PRPM WP2'!H291</f>
        <v>2.3E-3</v>
      </c>
      <c r="I290" s="1373">
        <f t="shared" si="4"/>
        <v>3.3000000000000002E-2</v>
      </c>
      <c r="J290" s="1371">
        <v>18264</v>
      </c>
    </row>
    <row r="291" spans="2:10" x14ac:dyDescent="0.45">
      <c r="B291" s="1371">
        <v>18295</v>
      </c>
      <c r="C291" s="1370" t="s">
        <v>7147</v>
      </c>
      <c r="F291" s="1380">
        <f>'PRPM WP2'!C292</f>
        <v>0.01</v>
      </c>
      <c r="H291" s="1380">
        <f>'PRPM WP2'!H292</f>
        <v>2.3E-3</v>
      </c>
      <c r="I291" s="1373">
        <f t="shared" si="4"/>
        <v>7.7000000000000002E-3</v>
      </c>
      <c r="J291" s="1371">
        <v>18295</v>
      </c>
    </row>
    <row r="292" spans="2:10" x14ac:dyDescent="0.45">
      <c r="B292" s="1371">
        <v>18323</v>
      </c>
      <c r="C292" s="1370" t="s">
        <v>7147</v>
      </c>
      <c r="F292" s="1380">
        <f>'PRPM WP2'!C293</f>
        <v>8.3999999999999995E-3</v>
      </c>
      <c r="H292" s="1380">
        <f>'PRPM WP2'!H293</f>
        <v>2.3E-3</v>
      </c>
      <c r="I292" s="1373">
        <f t="shared" si="4"/>
        <v>6.0999999999999995E-3</v>
      </c>
      <c r="J292" s="1371">
        <v>18323</v>
      </c>
    </row>
    <row r="293" spans="2:10" x14ac:dyDescent="0.45">
      <c r="B293" s="1371">
        <v>18354</v>
      </c>
      <c r="C293" s="1370" t="s">
        <v>7147</v>
      </c>
      <c r="F293" s="1380">
        <f>'PRPM WP2'!C294</f>
        <v>1.8499999999999999E-2</v>
      </c>
      <c r="H293" s="1380">
        <f>'PRPM WP2'!H294</f>
        <v>2.3083333333333332E-3</v>
      </c>
      <c r="I293" s="1373">
        <f t="shared" si="4"/>
        <v>1.6191666666666667E-2</v>
      </c>
      <c r="J293" s="1371">
        <v>18354</v>
      </c>
    </row>
    <row r="294" spans="2:10" x14ac:dyDescent="0.45">
      <c r="B294" s="1371">
        <v>18384</v>
      </c>
      <c r="C294" s="1370" t="s">
        <v>7147</v>
      </c>
      <c r="F294" s="1380">
        <f>'PRPM WP2'!C295</f>
        <v>1.9199999999999998E-2</v>
      </c>
      <c r="H294" s="1380">
        <f>'PRPM WP2'!H295</f>
        <v>2.3250000000000002E-3</v>
      </c>
      <c r="I294" s="1373">
        <f t="shared" si="4"/>
        <v>1.6874999999999998E-2</v>
      </c>
      <c r="J294" s="1371">
        <v>18384</v>
      </c>
    </row>
    <row r="295" spans="2:10" x14ac:dyDescent="0.45">
      <c r="B295" s="1371">
        <v>18415</v>
      </c>
      <c r="C295" s="1370" t="s">
        <v>7147</v>
      </c>
      <c r="F295" s="1380">
        <f>'PRPM WP2'!C296</f>
        <v>-7.7100000000000002E-2</v>
      </c>
      <c r="H295" s="1380">
        <f>'PRPM WP2'!H296</f>
        <v>2.3250000000000002E-3</v>
      </c>
      <c r="I295" s="1373">
        <f t="shared" si="4"/>
        <v>-7.9424999999999996E-2</v>
      </c>
      <c r="J295" s="1371">
        <v>18415</v>
      </c>
    </row>
    <row r="296" spans="2:10" x14ac:dyDescent="0.45">
      <c r="B296" s="1371">
        <v>18445</v>
      </c>
      <c r="C296" s="1370" t="s">
        <v>7147</v>
      </c>
      <c r="F296" s="1380">
        <f>'PRPM WP2'!C297</f>
        <v>-4.36E-2</v>
      </c>
      <c r="H296" s="1380">
        <f>'PRPM WP2'!H297</f>
        <v>2.3250000000000002E-3</v>
      </c>
      <c r="I296" s="1373">
        <f t="shared" si="4"/>
        <v>-4.5925000000000001E-2</v>
      </c>
      <c r="J296" s="1371">
        <v>18445</v>
      </c>
    </row>
    <row r="297" spans="2:10" x14ac:dyDescent="0.45">
      <c r="B297" s="1371">
        <v>18476</v>
      </c>
      <c r="C297" s="1370" t="s">
        <v>7147</v>
      </c>
      <c r="F297" s="1380">
        <f>'PRPM WP2'!C298</f>
        <v>1.54E-2</v>
      </c>
      <c r="H297" s="1380">
        <f>'PRPM WP2'!H298</f>
        <v>2.3E-3</v>
      </c>
      <c r="I297" s="1373">
        <f t="shared" si="4"/>
        <v>1.3100000000000001E-2</v>
      </c>
      <c r="J297" s="1371">
        <v>18476</v>
      </c>
    </row>
    <row r="298" spans="2:10" x14ac:dyDescent="0.45">
      <c r="B298" s="1371">
        <v>18507</v>
      </c>
      <c r="C298" s="1370" t="s">
        <v>7147</v>
      </c>
      <c r="F298" s="1380">
        <f>'PRPM WP2'!C299</f>
        <v>4.1800000000000004E-2</v>
      </c>
      <c r="H298" s="1380">
        <f>'PRPM WP2'!H299</f>
        <v>2.3333333333333335E-3</v>
      </c>
      <c r="I298" s="1373">
        <f t="shared" si="4"/>
        <v>3.9466666666666671E-2</v>
      </c>
      <c r="J298" s="1371">
        <v>18507</v>
      </c>
    </row>
    <row r="299" spans="2:10" x14ac:dyDescent="0.45">
      <c r="B299" s="1371">
        <v>18537</v>
      </c>
      <c r="C299" s="1370" t="s">
        <v>7147</v>
      </c>
      <c r="F299" s="1380">
        <f>'PRPM WP2'!C300</f>
        <v>-2.7000000000000001E-3</v>
      </c>
      <c r="H299" s="1380">
        <f>'PRPM WP2'!H300</f>
        <v>2.3583333333333334E-3</v>
      </c>
      <c r="I299" s="1373">
        <f t="shared" si="4"/>
        <v>-5.0583333333333331E-3</v>
      </c>
      <c r="J299" s="1371">
        <v>18537</v>
      </c>
    </row>
    <row r="300" spans="2:10" x14ac:dyDescent="0.45">
      <c r="B300" s="1371">
        <v>18568</v>
      </c>
      <c r="C300" s="1370" t="s">
        <v>7147</v>
      </c>
      <c r="F300" s="1380">
        <f>'PRPM WP2'!C301</f>
        <v>-1.7600000000000001E-2</v>
      </c>
      <c r="H300" s="1380">
        <f>'PRPM WP2'!H301</f>
        <v>2.3833333333333332E-3</v>
      </c>
      <c r="I300" s="1373">
        <f t="shared" si="4"/>
        <v>-1.9983333333333336E-2</v>
      </c>
      <c r="J300" s="1371">
        <v>18568</v>
      </c>
    </row>
    <row r="301" spans="2:10" x14ac:dyDescent="0.45">
      <c r="B301" s="1371">
        <v>18598</v>
      </c>
      <c r="C301" s="1370" t="s">
        <v>7147</v>
      </c>
      <c r="F301" s="1380">
        <f>'PRPM WP2'!C302</f>
        <v>3.1199999999999995E-2</v>
      </c>
      <c r="H301" s="1380">
        <f>'PRPM WP2'!H302</f>
        <v>2.3833333333333332E-3</v>
      </c>
      <c r="I301" s="1373">
        <f t="shared" si="4"/>
        <v>2.8816666666666661E-2</v>
      </c>
      <c r="J301" s="1371">
        <v>18598</v>
      </c>
    </row>
    <row r="302" spans="2:10" x14ac:dyDescent="0.45">
      <c r="B302" s="1371">
        <v>18629</v>
      </c>
      <c r="C302" s="1370" t="s">
        <v>7147</v>
      </c>
      <c r="F302" s="1380">
        <f>'PRPM WP2'!C303</f>
        <v>4.3800000000000006E-2</v>
      </c>
      <c r="H302" s="1380">
        <f>'PRPM WP2'!H303</f>
        <v>2.3583333333333334E-3</v>
      </c>
      <c r="I302" s="1373">
        <f t="shared" si="4"/>
        <v>4.1441666666666675E-2</v>
      </c>
      <c r="J302" s="1371">
        <v>18629</v>
      </c>
    </row>
    <row r="303" spans="2:10" x14ac:dyDescent="0.45">
      <c r="B303" s="1371">
        <v>18660</v>
      </c>
      <c r="C303" s="1370" t="s">
        <v>7147</v>
      </c>
      <c r="F303" s="1380">
        <f>'PRPM WP2'!C304</f>
        <v>2.6800000000000001E-2</v>
      </c>
      <c r="H303" s="1380">
        <f>'PRPM WP2'!H304</f>
        <v>2.3666666666666667E-3</v>
      </c>
      <c r="I303" s="1373">
        <f t="shared" si="4"/>
        <v>2.4433333333333335E-2</v>
      </c>
      <c r="J303" s="1371">
        <v>18660</v>
      </c>
    </row>
    <row r="304" spans="2:10" x14ac:dyDescent="0.45">
      <c r="B304" s="1371">
        <v>18688</v>
      </c>
      <c r="C304" s="1370" t="s">
        <v>7147</v>
      </c>
      <c r="F304" s="1380">
        <f>'PRPM WP2'!C305</f>
        <v>-1.7399999999999999E-2</v>
      </c>
      <c r="H304" s="1380">
        <f>'PRPM WP2'!H305</f>
        <v>2.4583333333333336E-3</v>
      </c>
      <c r="I304" s="1373">
        <f t="shared" si="4"/>
        <v>-1.9858333333333332E-2</v>
      </c>
      <c r="J304" s="1371">
        <v>18688</v>
      </c>
    </row>
    <row r="305" spans="2:10" x14ac:dyDescent="0.45">
      <c r="B305" s="1371">
        <v>18719</v>
      </c>
      <c r="C305" s="1370" t="s">
        <v>7147</v>
      </c>
      <c r="F305" s="1380">
        <f>'PRPM WP2'!C306</f>
        <v>5.0000000000000044E-4</v>
      </c>
      <c r="H305" s="1380">
        <f>'PRPM WP2'!H306</f>
        <v>2.575E-3</v>
      </c>
      <c r="I305" s="1373">
        <f t="shared" si="4"/>
        <v>-2.0749999999999996E-3</v>
      </c>
      <c r="J305" s="1371">
        <v>18719</v>
      </c>
    </row>
    <row r="306" spans="2:10" x14ac:dyDescent="0.45">
      <c r="B306" s="1371">
        <v>18749</v>
      </c>
      <c r="C306" s="1370" t="s">
        <v>7147</v>
      </c>
      <c r="F306" s="1380">
        <f>'PRPM WP2'!C307</f>
        <v>6.6E-3</v>
      </c>
      <c r="H306" s="1380">
        <f>'PRPM WP2'!H307</f>
        <v>2.6083333333333332E-3</v>
      </c>
      <c r="I306" s="1373">
        <f t="shared" si="4"/>
        <v>3.9916666666666668E-3</v>
      </c>
      <c r="J306" s="1371">
        <v>18749</v>
      </c>
    </row>
    <row r="307" spans="2:10" x14ac:dyDescent="0.45">
      <c r="B307" s="1371">
        <v>18780</v>
      </c>
      <c r="C307" s="1370" t="s">
        <v>7147</v>
      </c>
      <c r="F307" s="1380">
        <f>'PRPM WP2'!C308</f>
        <v>-3.9999999999999992E-3</v>
      </c>
      <c r="H307" s="1380">
        <f>'PRPM WP2'!H308</f>
        <v>2.6750000000000003E-3</v>
      </c>
      <c r="I307" s="1373">
        <f t="shared" si="4"/>
        <v>-6.6749999999999995E-3</v>
      </c>
      <c r="J307" s="1371">
        <v>18780</v>
      </c>
    </row>
    <row r="308" spans="2:10" x14ac:dyDescent="0.45">
      <c r="B308" s="1371">
        <v>18810</v>
      </c>
      <c r="C308" s="1370" t="s">
        <v>7147</v>
      </c>
      <c r="F308" s="1380">
        <f>'PRPM WP2'!C309</f>
        <v>4.3899999999999995E-2</v>
      </c>
      <c r="H308" s="1380">
        <f>'PRPM WP2'!H309</f>
        <v>2.7166666666666667E-3</v>
      </c>
      <c r="I308" s="1373">
        <f t="shared" si="4"/>
        <v>4.1183333333333329E-2</v>
      </c>
      <c r="J308" s="1371">
        <v>18810</v>
      </c>
    </row>
    <row r="309" spans="2:10" x14ac:dyDescent="0.45">
      <c r="B309" s="1371">
        <v>18841</v>
      </c>
      <c r="C309" s="1370" t="s">
        <v>7147</v>
      </c>
      <c r="F309" s="1380">
        <f>'PRPM WP2'!C310</f>
        <v>1.5200000000000002E-2</v>
      </c>
      <c r="H309" s="1380">
        <f>'PRPM WP2'!H310</f>
        <v>2.6583333333333333E-3</v>
      </c>
      <c r="I309" s="1373">
        <f t="shared" si="4"/>
        <v>1.2541666666666668E-2</v>
      </c>
      <c r="J309" s="1371">
        <v>18841</v>
      </c>
    </row>
    <row r="310" spans="2:10" x14ac:dyDescent="0.45">
      <c r="B310" s="1371">
        <v>18872</v>
      </c>
      <c r="C310" s="1370" t="s">
        <v>7147</v>
      </c>
      <c r="F310" s="1380">
        <f>'PRPM WP2'!C311</f>
        <v>8.6E-3</v>
      </c>
      <c r="H310" s="1380">
        <f>'PRPM WP2'!H311</f>
        <v>2.6166666666666664E-3</v>
      </c>
      <c r="I310" s="1373">
        <f t="shared" si="4"/>
        <v>5.9833333333333336E-3</v>
      </c>
      <c r="J310" s="1371">
        <v>18872</v>
      </c>
    </row>
    <row r="311" spans="2:10" x14ac:dyDescent="0.45">
      <c r="B311" s="1371">
        <v>18902</v>
      </c>
      <c r="C311" s="1370" t="s">
        <v>7147</v>
      </c>
      <c r="F311" s="1380">
        <f>'PRPM WP2'!C312</f>
        <v>2.8999999999999998E-3</v>
      </c>
      <c r="H311" s="1380">
        <f>'PRPM WP2'!H312</f>
        <v>2.6416666666666667E-3</v>
      </c>
      <c r="I311" s="1373">
        <f t="shared" si="4"/>
        <v>2.5833333333333307E-4</v>
      </c>
      <c r="J311" s="1371">
        <v>18902</v>
      </c>
    </row>
    <row r="312" spans="2:10" x14ac:dyDescent="0.45">
      <c r="B312" s="1371">
        <v>18933</v>
      </c>
      <c r="C312" s="1370" t="s">
        <v>7147</v>
      </c>
      <c r="F312" s="1380">
        <f>'PRPM WP2'!C313</f>
        <v>1.2E-2</v>
      </c>
      <c r="H312" s="1380">
        <f>'PRPM WP2'!H313</f>
        <v>2.7000000000000001E-3</v>
      </c>
      <c r="I312" s="1373">
        <f t="shared" si="4"/>
        <v>9.2999999999999992E-3</v>
      </c>
      <c r="J312" s="1371">
        <v>18933</v>
      </c>
    </row>
    <row r="313" spans="2:10" x14ac:dyDescent="0.45">
      <c r="B313" s="1371">
        <v>18963</v>
      </c>
      <c r="C313" s="1370" t="s">
        <v>7147</v>
      </c>
      <c r="F313" s="1380">
        <f>'PRPM WP2'!C314</f>
        <v>3.5200000000000002E-2</v>
      </c>
      <c r="H313" s="1380">
        <f>'PRPM WP2'!H314</f>
        <v>2.7416666666666666E-3</v>
      </c>
      <c r="I313" s="1373">
        <f t="shared" si="4"/>
        <v>3.2458333333333339E-2</v>
      </c>
      <c r="J313" s="1371">
        <v>18963</v>
      </c>
    </row>
    <row r="314" spans="2:10" x14ac:dyDescent="0.45">
      <c r="B314" s="1371">
        <v>18994</v>
      </c>
      <c r="C314" s="1370" t="s">
        <v>7147</v>
      </c>
      <c r="F314" s="1380">
        <f>'PRPM WP2'!C315</f>
        <v>3.0499999999999999E-2</v>
      </c>
      <c r="H314" s="1380">
        <f>'PRPM WP2'!H315</f>
        <v>2.7416666666666666E-3</v>
      </c>
      <c r="I314" s="1373">
        <f t="shared" si="4"/>
        <v>2.7758333333333333E-2</v>
      </c>
      <c r="J314" s="1371">
        <v>18994</v>
      </c>
    </row>
    <row r="315" spans="2:10" x14ac:dyDescent="0.45">
      <c r="B315" s="1371">
        <v>19025</v>
      </c>
      <c r="C315" s="1370" t="s">
        <v>7147</v>
      </c>
      <c r="F315" s="1380">
        <f>'PRPM WP2'!C316</f>
        <v>5.8999999999999999E-3</v>
      </c>
      <c r="H315" s="1380">
        <f>'PRPM WP2'!H316</f>
        <v>2.6916666666666669E-3</v>
      </c>
      <c r="I315" s="1373">
        <f t="shared" si="4"/>
        <v>3.208333333333333E-3</v>
      </c>
      <c r="J315" s="1371">
        <v>19025</v>
      </c>
    </row>
    <row r="316" spans="2:10" x14ac:dyDescent="0.45">
      <c r="B316" s="1371">
        <v>19054</v>
      </c>
      <c r="C316" s="1370" t="s">
        <v>7147</v>
      </c>
      <c r="F316" s="1380">
        <f>'PRPM WP2'!C317</f>
        <v>1.7599999999999998E-2</v>
      </c>
      <c r="H316" s="1380">
        <f>'PRPM WP2'!H317</f>
        <v>2.708333333333333E-3</v>
      </c>
      <c r="I316" s="1373">
        <f t="shared" si="4"/>
        <v>1.4891666666666664E-2</v>
      </c>
      <c r="J316" s="1371">
        <v>19054</v>
      </c>
    </row>
    <row r="317" spans="2:10" x14ac:dyDescent="0.45">
      <c r="B317" s="1371">
        <v>19085</v>
      </c>
      <c r="C317" s="1370" t="s">
        <v>7147</v>
      </c>
      <c r="F317" s="1380">
        <f>'PRPM WP2'!C318</f>
        <v>-1.54E-2</v>
      </c>
      <c r="H317" s="1380">
        <f>'PRPM WP2'!H318</f>
        <v>2.6916666666666669E-3</v>
      </c>
      <c r="I317" s="1373">
        <f t="shared" si="4"/>
        <v>-1.8091666666666666E-2</v>
      </c>
      <c r="J317" s="1371">
        <v>19085</v>
      </c>
    </row>
    <row r="318" spans="2:10" x14ac:dyDescent="0.45">
      <c r="B318" s="1371">
        <v>19115</v>
      </c>
      <c r="C318" s="1370" t="s">
        <v>7147</v>
      </c>
      <c r="F318" s="1380">
        <f>'PRPM WP2'!C319</f>
        <v>1.9E-2</v>
      </c>
      <c r="H318" s="1380">
        <f>'PRPM WP2'!H319</f>
        <v>2.6833333333333336E-3</v>
      </c>
      <c r="I318" s="1373">
        <f t="shared" si="4"/>
        <v>1.6316666666666667E-2</v>
      </c>
      <c r="J318" s="1371">
        <v>19115</v>
      </c>
    </row>
    <row r="319" spans="2:10" x14ac:dyDescent="0.45">
      <c r="B319" s="1371">
        <v>19146</v>
      </c>
      <c r="C319" s="1370" t="s">
        <v>7147</v>
      </c>
      <c r="F319" s="1380">
        <f>'PRPM WP2'!C320</f>
        <v>4.8999999999999998E-3</v>
      </c>
      <c r="H319" s="1380">
        <f>'PRPM WP2'!H320</f>
        <v>2.6833333333333336E-3</v>
      </c>
      <c r="I319" s="1373">
        <f t="shared" si="4"/>
        <v>2.2166666666666663E-3</v>
      </c>
      <c r="J319" s="1371">
        <v>19146</v>
      </c>
    </row>
    <row r="320" spans="2:10" x14ac:dyDescent="0.45">
      <c r="B320" s="1371">
        <v>19176</v>
      </c>
      <c r="C320" s="1370" t="s">
        <v>7147</v>
      </c>
      <c r="F320" s="1380">
        <f>'PRPM WP2'!C321</f>
        <v>2.06E-2</v>
      </c>
      <c r="H320" s="1380">
        <f>'PRPM WP2'!H321</f>
        <v>2.6833333333333336E-3</v>
      </c>
      <c r="I320" s="1373">
        <f t="shared" si="4"/>
        <v>1.7916666666666668E-2</v>
      </c>
      <c r="J320" s="1371">
        <v>19176</v>
      </c>
    </row>
    <row r="321" spans="2:10" x14ac:dyDescent="0.45">
      <c r="B321" s="1371">
        <v>19207</v>
      </c>
      <c r="C321" s="1370" t="s">
        <v>7147</v>
      </c>
      <c r="F321" s="1380">
        <f>'PRPM WP2'!C322</f>
        <v>2.0300000000000002E-2</v>
      </c>
      <c r="H321" s="1380">
        <f>'PRPM WP2'!H322</f>
        <v>2.7000000000000001E-3</v>
      </c>
      <c r="I321" s="1373">
        <f t="shared" si="4"/>
        <v>1.7600000000000001E-2</v>
      </c>
      <c r="J321" s="1371">
        <v>19207</v>
      </c>
    </row>
    <row r="322" spans="2:10" x14ac:dyDescent="0.45">
      <c r="B322" s="1371">
        <v>19238</v>
      </c>
      <c r="C322" s="1370" t="s">
        <v>7147</v>
      </c>
      <c r="F322" s="1380">
        <f>'PRPM WP2'!C323</f>
        <v>1.4999999999999996E-3</v>
      </c>
      <c r="H322" s="1380">
        <f>'PRPM WP2'!H323</f>
        <v>2.7000000000000001E-3</v>
      </c>
      <c r="I322" s="1373">
        <f t="shared" si="4"/>
        <v>-1.2000000000000005E-3</v>
      </c>
      <c r="J322" s="1371">
        <v>19238</v>
      </c>
    </row>
    <row r="323" spans="2:10" x14ac:dyDescent="0.45">
      <c r="B323" s="1371">
        <v>19268</v>
      </c>
      <c r="C323" s="1370" t="s">
        <v>7147</v>
      </c>
      <c r="F323" s="1380">
        <f>'PRPM WP2'!C324</f>
        <v>1.01E-2</v>
      </c>
      <c r="H323" s="1380">
        <f>'PRPM WP2'!H324</f>
        <v>2.7166666666666667E-3</v>
      </c>
      <c r="I323" s="1373">
        <f t="shared" si="4"/>
        <v>7.3833333333333329E-3</v>
      </c>
      <c r="J323" s="1371">
        <v>19268</v>
      </c>
    </row>
    <row r="324" spans="2:10" x14ac:dyDescent="0.45">
      <c r="B324" s="1371">
        <v>19299</v>
      </c>
      <c r="C324" s="1370" t="s">
        <v>7147</v>
      </c>
      <c r="F324" s="1380">
        <f>'PRPM WP2'!C325</f>
        <v>4.2299999999999997E-2</v>
      </c>
      <c r="H324" s="1380">
        <f>'PRPM WP2'!H325</f>
        <v>2.7000000000000001E-3</v>
      </c>
      <c r="I324" s="1373">
        <f t="shared" si="4"/>
        <v>3.9599999999999996E-2</v>
      </c>
      <c r="J324" s="1371">
        <v>19299</v>
      </c>
    </row>
    <row r="325" spans="2:10" x14ac:dyDescent="0.45">
      <c r="B325" s="1371">
        <v>19329</v>
      </c>
      <c r="C325" s="1370" t="s">
        <v>7147</v>
      </c>
      <c r="F325" s="1380">
        <f>'PRPM WP2'!C326</f>
        <v>2.1299999999999999E-2</v>
      </c>
      <c r="H325" s="1380">
        <f>'PRPM WP2'!H326</f>
        <v>2.6833333333333336E-3</v>
      </c>
      <c r="I325" s="1373">
        <f t="shared" si="4"/>
        <v>1.8616666666666667E-2</v>
      </c>
      <c r="J325" s="1371">
        <v>19329</v>
      </c>
    </row>
    <row r="326" spans="2:10" x14ac:dyDescent="0.45">
      <c r="B326" s="1371">
        <v>19360</v>
      </c>
      <c r="C326" s="1370" t="s">
        <v>7147</v>
      </c>
      <c r="F326" s="1380">
        <f>'PRPM WP2'!C327</f>
        <v>1.03E-2</v>
      </c>
      <c r="H326" s="1380">
        <f>'PRPM WP2'!H327</f>
        <v>2.708333333333333E-3</v>
      </c>
      <c r="I326" s="1373">
        <f t="shared" si="4"/>
        <v>7.5916666666666667E-3</v>
      </c>
      <c r="J326" s="1371">
        <v>19360</v>
      </c>
    </row>
    <row r="327" spans="2:10" x14ac:dyDescent="0.45">
      <c r="B327" s="1371">
        <v>19391</v>
      </c>
      <c r="C327" s="1370" t="s">
        <v>7147</v>
      </c>
      <c r="F327" s="1380">
        <f>'PRPM WP2'!C328</f>
        <v>-6.7000000000000002E-3</v>
      </c>
      <c r="H327" s="1380">
        <f>'PRPM WP2'!H328</f>
        <v>2.7500000000000003E-3</v>
      </c>
      <c r="I327" s="1373">
        <f t="shared" si="4"/>
        <v>-9.4500000000000001E-3</v>
      </c>
      <c r="J327" s="1371">
        <v>19391</v>
      </c>
    </row>
    <row r="328" spans="2:10" x14ac:dyDescent="0.45">
      <c r="B328" s="1371">
        <v>19419</v>
      </c>
      <c r="C328" s="1370" t="s">
        <v>7147</v>
      </c>
      <c r="F328" s="1380">
        <f>'PRPM WP2'!C329</f>
        <v>-4.3E-3</v>
      </c>
      <c r="H328" s="1380">
        <f>'PRPM WP2'!H329</f>
        <v>2.7999999999999995E-3</v>
      </c>
      <c r="I328" s="1373">
        <f t="shared" si="4"/>
        <v>-7.0999999999999995E-3</v>
      </c>
      <c r="J328" s="1371">
        <v>19419</v>
      </c>
    </row>
    <row r="329" spans="2:10" x14ac:dyDescent="0.45">
      <c r="B329" s="1371">
        <v>19450</v>
      </c>
      <c r="C329" s="1370" t="s">
        <v>7147</v>
      </c>
      <c r="F329" s="1380">
        <f>'PRPM WP2'!C330</f>
        <v>-1.9200000000000002E-2</v>
      </c>
      <c r="H329" s="1380">
        <f>'PRPM WP2'!H330</f>
        <v>2.891666666666667E-3</v>
      </c>
      <c r="I329" s="1373">
        <f t="shared" si="4"/>
        <v>-2.2091666666666669E-2</v>
      </c>
      <c r="J329" s="1371">
        <v>19450</v>
      </c>
    </row>
    <row r="330" spans="2:10" x14ac:dyDescent="0.45">
      <c r="B330" s="1371">
        <v>19480</v>
      </c>
      <c r="C330" s="1370" t="s">
        <v>7147</v>
      </c>
      <c r="F330" s="1380">
        <f>'PRPM WP2'!C331</f>
        <v>2.3999999999999998E-3</v>
      </c>
      <c r="H330" s="1380">
        <f>'PRPM WP2'!H331</f>
        <v>3.0249999999999999E-3</v>
      </c>
      <c r="I330" s="1373">
        <f t="shared" si="4"/>
        <v>-6.2500000000000012E-4</v>
      </c>
      <c r="J330" s="1371">
        <v>19480</v>
      </c>
    </row>
    <row r="331" spans="2:10" x14ac:dyDescent="0.45">
      <c r="B331" s="1371">
        <v>19511</v>
      </c>
      <c r="C331" s="1370" t="s">
        <v>7147</v>
      </c>
      <c r="F331" s="1380">
        <f>'PRPM WP2'!C332</f>
        <v>-2.7300000000000001E-2</v>
      </c>
      <c r="H331" s="1380">
        <f>'PRPM WP2'!H332</f>
        <v>3.0916666666666666E-3</v>
      </c>
      <c r="I331" s="1373">
        <f t="shared" si="4"/>
        <v>-3.0391666666666668E-2</v>
      </c>
      <c r="J331" s="1371">
        <v>19511</v>
      </c>
    </row>
    <row r="332" spans="2:10" x14ac:dyDescent="0.45">
      <c r="B332" s="1371">
        <v>19541</v>
      </c>
      <c r="C332" s="1370" t="s">
        <v>7147</v>
      </c>
      <c r="F332" s="1380">
        <f>'PRPM WP2'!C333</f>
        <v>3.4500000000000003E-2</v>
      </c>
      <c r="H332" s="1380">
        <f>'PRPM WP2'!H333</f>
        <v>3.0499999999999998E-3</v>
      </c>
      <c r="I332" s="1373">
        <f t="shared" si="4"/>
        <v>3.1450000000000006E-2</v>
      </c>
      <c r="J332" s="1371">
        <v>19541</v>
      </c>
    </row>
    <row r="333" spans="2:10" x14ac:dyDescent="0.45">
      <c r="B333" s="1371">
        <v>19572</v>
      </c>
      <c r="C333" s="1370" t="s">
        <v>7147</v>
      </c>
      <c r="F333" s="1380">
        <f>'PRPM WP2'!C334</f>
        <v>1.5999999999999999E-3</v>
      </c>
      <c r="H333" s="1380">
        <f>'PRPM WP2'!H334</f>
        <v>3.0083333333333333E-3</v>
      </c>
      <c r="I333" s="1373">
        <f t="shared" si="4"/>
        <v>-1.4083333333333335E-3</v>
      </c>
      <c r="J333" s="1371">
        <v>19572</v>
      </c>
    </row>
    <row r="334" spans="2:10" x14ac:dyDescent="0.45">
      <c r="B334" s="1371">
        <v>19603</v>
      </c>
      <c r="C334" s="1370" t="s">
        <v>7147</v>
      </c>
      <c r="F334" s="1380">
        <f>'PRPM WP2'!C335</f>
        <v>1.1900000000000001E-2</v>
      </c>
      <c r="H334" s="1380">
        <f>'PRPM WP2'!H335</f>
        <v>3.0166666666666671E-3</v>
      </c>
      <c r="I334" s="1373">
        <f t="shared" si="4"/>
        <v>8.8833333333333334E-3</v>
      </c>
      <c r="J334" s="1371">
        <v>19603</v>
      </c>
    </row>
    <row r="335" spans="2:10" x14ac:dyDescent="0.45">
      <c r="B335" s="1371">
        <v>19633</v>
      </c>
      <c r="C335" s="1370" t="s">
        <v>7147</v>
      </c>
      <c r="F335" s="1380">
        <f>'PRPM WP2'!C336</f>
        <v>4.1100000000000005E-2</v>
      </c>
      <c r="H335" s="1380">
        <f>'PRPM WP2'!H336</f>
        <v>2.9083333333333335E-3</v>
      </c>
      <c r="I335" s="1373">
        <f t="shared" si="4"/>
        <v>3.8191666666666672E-2</v>
      </c>
      <c r="J335" s="1371">
        <v>19633</v>
      </c>
    </row>
    <row r="336" spans="2:10" x14ac:dyDescent="0.45">
      <c r="B336" s="1371">
        <v>19664</v>
      </c>
      <c r="C336" s="1370" t="s">
        <v>7147</v>
      </c>
      <c r="F336" s="1380">
        <f>'PRPM WP2'!C337</f>
        <v>2.7400000000000001E-2</v>
      </c>
      <c r="H336" s="1380">
        <f>'PRPM WP2'!H337</f>
        <v>2.8333333333333331E-3</v>
      </c>
      <c r="I336" s="1373">
        <f t="shared" si="4"/>
        <v>2.4566666666666667E-2</v>
      </c>
      <c r="J336" s="1371">
        <v>19664</v>
      </c>
    </row>
    <row r="337" spans="2:10" x14ac:dyDescent="0.45">
      <c r="B337" s="1371">
        <v>19694</v>
      </c>
      <c r="C337" s="1370" t="s">
        <v>7147</v>
      </c>
      <c r="F337" s="1380">
        <f>'PRPM WP2'!C338</f>
        <v>6.4000000000000003E-3</v>
      </c>
      <c r="H337" s="1380">
        <f>'PRPM WP2'!H338</f>
        <v>2.816666666666667E-3</v>
      </c>
      <c r="I337" s="1373">
        <f t="shared" si="4"/>
        <v>3.5833333333333333E-3</v>
      </c>
      <c r="J337" s="1371">
        <v>19694</v>
      </c>
    </row>
    <row r="338" spans="2:10" x14ac:dyDescent="0.45">
      <c r="B338" s="1371">
        <v>19725</v>
      </c>
      <c r="C338" s="1370" t="s">
        <v>7147</v>
      </c>
      <c r="F338" s="1380">
        <f>'PRPM WP2'!C339</f>
        <v>3.27E-2</v>
      </c>
      <c r="H338" s="1380">
        <f>'PRPM WP2'!H339</f>
        <v>2.7666666666666668E-3</v>
      </c>
      <c r="I338" s="1373">
        <f t="shared" si="4"/>
        <v>2.9933333333333333E-2</v>
      </c>
      <c r="J338" s="1371">
        <v>19725</v>
      </c>
    </row>
    <row r="339" spans="2:10" x14ac:dyDescent="0.45">
      <c r="B339" s="1371">
        <v>19756</v>
      </c>
      <c r="C339" s="1370" t="s">
        <v>7147</v>
      </c>
      <c r="F339" s="1380">
        <f>'PRPM WP2'!C340</f>
        <v>1.1699999999999999E-2</v>
      </c>
      <c r="H339" s="1380">
        <f>'PRPM WP2'!H340</f>
        <v>2.6916666666666669E-3</v>
      </c>
      <c r="I339" s="1373">
        <f t="shared" si="4"/>
        <v>9.0083333333333317E-3</v>
      </c>
      <c r="J339" s="1371">
        <v>19756</v>
      </c>
    </row>
    <row r="340" spans="2:10" x14ac:dyDescent="0.45">
      <c r="B340" s="1371">
        <v>19784</v>
      </c>
      <c r="C340" s="1370" t="s">
        <v>7147</v>
      </c>
      <c r="F340" s="1380">
        <f>'PRPM WP2'!C341</f>
        <v>2.7000000000000003E-2</v>
      </c>
      <c r="H340" s="1380">
        <f>'PRPM WP2'!H341</f>
        <v>2.6333333333333334E-3</v>
      </c>
      <c r="I340" s="1373">
        <f t="shared" si="4"/>
        <v>2.4366666666666668E-2</v>
      </c>
      <c r="J340" s="1371">
        <v>19784</v>
      </c>
    </row>
    <row r="341" spans="2:10" x14ac:dyDescent="0.45">
      <c r="B341" s="1371">
        <v>19815</v>
      </c>
      <c r="C341" s="1370" t="s">
        <v>7147</v>
      </c>
      <c r="F341" s="1380">
        <f>'PRPM WP2'!C342</f>
        <v>1.21E-2</v>
      </c>
      <c r="H341" s="1380">
        <f>'PRPM WP2'!H342</f>
        <v>2.6333333333333334E-3</v>
      </c>
      <c r="I341" s="1373">
        <f t="shared" si="4"/>
        <v>9.4666666666666666E-3</v>
      </c>
      <c r="J341" s="1371">
        <v>19815</v>
      </c>
    </row>
    <row r="342" spans="2:10" x14ac:dyDescent="0.45">
      <c r="B342" s="1371">
        <v>19845</v>
      </c>
      <c r="C342" s="1370" t="s">
        <v>7147</v>
      </c>
      <c r="F342" s="1380">
        <f>'PRPM WP2'!C343</f>
        <v>2.5700000000000004E-2</v>
      </c>
      <c r="H342" s="1380">
        <f>'PRPM WP2'!H343</f>
        <v>2.6166666666666664E-3</v>
      </c>
      <c r="I342" s="1373">
        <f t="shared" si="4"/>
        <v>2.3083333333333338E-2</v>
      </c>
      <c r="J342" s="1371">
        <v>19845</v>
      </c>
    </row>
    <row r="343" spans="2:10" x14ac:dyDescent="0.45">
      <c r="B343" s="1371">
        <v>19876</v>
      </c>
      <c r="C343" s="1370" t="s">
        <v>7147</v>
      </c>
      <c r="F343" s="1380">
        <f>'PRPM WP2'!C344</f>
        <v>9.6000000000000009E-3</v>
      </c>
      <c r="H343" s="1380">
        <f>'PRPM WP2'!H344</f>
        <v>2.6333333333333334E-3</v>
      </c>
      <c r="I343" s="1373">
        <f t="shared" si="4"/>
        <v>6.9666666666666679E-3</v>
      </c>
      <c r="J343" s="1371">
        <v>19876</v>
      </c>
    </row>
    <row r="344" spans="2:10" x14ac:dyDescent="0.45">
      <c r="B344" s="1371">
        <v>19906</v>
      </c>
      <c r="C344" s="1370" t="s">
        <v>7147</v>
      </c>
      <c r="F344" s="1380">
        <f>'PRPM WP2'!C345</f>
        <v>4.9500000000000002E-2</v>
      </c>
      <c r="H344" s="1380">
        <f>'PRPM WP2'!H345</f>
        <v>2.6166666666666664E-3</v>
      </c>
      <c r="I344" s="1373">
        <f t="shared" si="4"/>
        <v>4.6883333333333332E-2</v>
      </c>
      <c r="J344" s="1371">
        <v>19906</v>
      </c>
    </row>
    <row r="345" spans="2:10" x14ac:dyDescent="0.45">
      <c r="B345" s="1371">
        <v>19937</v>
      </c>
      <c r="C345" s="1370" t="s">
        <v>7147</v>
      </c>
      <c r="F345" s="1380">
        <f>'PRPM WP2'!C346</f>
        <v>-1.3100000000000001E-2</v>
      </c>
      <c r="H345" s="1380">
        <f>'PRPM WP2'!H346</f>
        <v>2.6083333333333332E-3</v>
      </c>
      <c r="I345" s="1373">
        <f t="shared" si="4"/>
        <v>-1.5708333333333335E-2</v>
      </c>
      <c r="J345" s="1371">
        <v>19937</v>
      </c>
    </row>
    <row r="346" spans="2:10" x14ac:dyDescent="0.45">
      <c r="B346" s="1371">
        <v>19968</v>
      </c>
      <c r="C346" s="1370" t="s">
        <v>7147</v>
      </c>
      <c r="F346" s="1380">
        <f>'PRPM WP2'!C347</f>
        <v>1.78E-2</v>
      </c>
      <c r="H346" s="1380">
        <f>'PRPM WP2'!H347</f>
        <v>2.5999999999999999E-3</v>
      </c>
      <c r="I346" s="1373">
        <f t="shared" ref="I346:I409" si="5">F346-H346</f>
        <v>1.52E-2</v>
      </c>
      <c r="J346" s="1371">
        <v>19968</v>
      </c>
    </row>
    <row r="347" spans="2:10" x14ac:dyDescent="0.45">
      <c r="B347" s="1371">
        <v>19998</v>
      </c>
      <c r="C347" s="1370" t="s">
        <v>7147</v>
      </c>
      <c r="F347" s="1380">
        <f>'PRPM WP2'!C348</f>
        <v>-3.6799999999999999E-2</v>
      </c>
      <c r="H347" s="1380">
        <f>'PRPM WP2'!H348</f>
        <v>2.5999999999999999E-3</v>
      </c>
      <c r="I347" s="1373">
        <f t="shared" si="5"/>
        <v>-3.9399999999999998E-2</v>
      </c>
      <c r="J347" s="1371">
        <v>19998</v>
      </c>
    </row>
    <row r="348" spans="2:10" x14ac:dyDescent="0.45">
      <c r="B348" s="1371">
        <v>20029</v>
      </c>
      <c r="C348" s="1370" t="s">
        <v>7147</v>
      </c>
      <c r="F348" s="1380">
        <f>'PRPM WP2'!C349</f>
        <v>5.6500000000000002E-2</v>
      </c>
      <c r="H348" s="1380">
        <f>'PRPM WP2'!H349</f>
        <v>2.5916666666666666E-3</v>
      </c>
      <c r="I348" s="1373">
        <f t="shared" si="5"/>
        <v>5.3908333333333336E-2</v>
      </c>
      <c r="J348" s="1371">
        <v>20029</v>
      </c>
    </row>
    <row r="349" spans="2:10" x14ac:dyDescent="0.45">
      <c r="B349" s="1371">
        <v>20059</v>
      </c>
      <c r="C349" s="1370" t="s">
        <v>7147</v>
      </c>
      <c r="F349" s="1380">
        <f>'PRPM WP2'!C350</f>
        <v>3.4099999999999998E-2</v>
      </c>
      <c r="H349" s="1380">
        <f>'PRPM WP2'!H350</f>
        <v>2.5916666666666666E-3</v>
      </c>
      <c r="I349" s="1373">
        <f t="shared" si="5"/>
        <v>3.1508333333333333E-2</v>
      </c>
      <c r="J349" s="1371">
        <v>20059</v>
      </c>
    </row>
    <row r="350" spans="2:10" x14ac:dyDescent="0.45">
      <c r="B350" s="1371">
        <v>20090</v>
      </c>
      <c r="C350" s="1370" t="s">
        <v>7147</v>
      </c>
      <c r="F350" s="1380">
        <f>'PRPM WP2'!C351</f>
        <v>1.43E-2</v>
      </c>
      <c r="H350" s="1380">
        <f>'PRPM WP2'!H351</f>
        <v>2.6083333333333332E-3</v>
      </c>
      <c r="I350" s="1373">
        <f t="shared" si="5"/>
        <v>1.1691666666666666E-2</v>
      </c>
      <c r="J350" s="1371">
        <v>20090</v>
      </c>
    </row>
    <row r="351" spans="2:10" x14ac:dyDescent="0.45">
      <c r="B351" s="1371">
        <v>20121</v>
      </c>
      <c r="C351" s="1370" t="s">
        <v>7147</v>
      </c>
      <c r="F351" s="1380">
        <f>'PRPM WP2'!C352</f>
        <v>3.44E-2</v>
      </c>
      <c r="H351" s="1380">
        <f>'PRPM WP2'!H352</f>
        <v>2.6166666666666664E-3</v>
      </c>
      <c r="I351" s="1373">
        <f t="shared" si="5"/>
        <v>3.178333333333333E-2</v>
      </c>
      <c r="J351" s="1371">
        <v>20121</v>
      </c>
    </row>
    <row r="352" spans="2:10" x14ac:dyDescent="0.45">
      <c r="B352" s="1371">
        <v>20149</v>
      </c>
      <c r="C352" s="1370" t="s">
        <v>7147</v>
      </c>
      <c r="F352" s="1380">
        <f>'PRPM WP2'!C353</f>
        <v>-1.1000000000000001E-2</v>
      </c>
      <c r="H352" s="1380">
        <f>'PRPM WP2'!H353</f>
        <v>2.6250000000000002E-3</v>
      </c>
      <c r="I352" s="1373">
        <f t="shared" si="5"/>
        <v>-1.3625000000000002E-2</v>
      </c>
      <c r="J352" s="1371">
        <v>20149</v>
      </c>
    </row>
    <row r="353" spans="2:10" x14ac:dyDescent="0.45">
      <c r="B353" s="1371">
        <v>20180</v>
      </c>
      <c r="C353" s="1370" t="s">
        <v>7147</v>
      </c>
      <c r="F353" s="1380">
        <f>'PRPM WP2'!C354</f>
        <v>2.0199999999999999E-2</v>
      </c>
      <c r="H353" s="1380">
        <f>'PRPM WP2'!H354</f>
        <v>2.6250000000000002E-3</v>
      </c>
      <c r="I353" s="1373">
        <f t="shared" si="5"/>
        <v>1.7575E-2</v>
      </c>
      <c r="J353" s="1371">
        <v>20180</v>
      </c>
    </row>
    <row r="354" spans="2:10" x14ac:dyDescent="0.45">
      <c r="B354" s="1371">
        <v>20210</v>
      </c>
      <c r="C354" s="1370" t="s">
        <v>7147</v>
      </c>
      <c r="F354" s="1380">
        <f>'PRPM WP2'!C355</f>
        <v>-5.7999999999999996E-3</v>
      </c>
      <c r="H354" s="1380">
        <f>'PRPM WP2'!H355</f>
        <v>2.6583333333333333E-3</v>
      </c>
      <c r="I354" s="1373">
        <f t="shared" si="5"/>
        <v>-8.4583333333333333E-3</v>
      </c>
      <c r="J354" s="1371">
        <v>20210</v>
      </c>
    </row>
    <row r="355" spans="2:10" x14ac:dyDescent="0.45">
      <c r="B355" s="1371">
        <v>20241</v>
      </c>
      <c r="C355" s="1370" t="s">
        <v>7147</v>
      </c>
      <c r="F355" s="1380">
        <f>'PRPM WP2'!C356</f>
        <v>2.1099999999999997E-2</v>
      </c>
      <c r="H355" s="1380">
        <f>'PRPM WP2'!H356</f>
        <v>2.6750000000000003E-3</v>
      </c>
      <c r="I355" s="1373">
        <f t="shared" si="5"/>
        <v>1.8424999999999997E-2</v>
      </c>
      <c r="J355" s="1371">
        <v>20241</v>
      </c>
    </row>
    <row r="356" spans="2:10" x14ac:dyDescent="0.45">
      <c r="B356" s="1371">
        <v>20271</v>
      </c>
      <c r="C356" s="1370" t="s">
        <v>7147</v>
      </c>
      <c r="F356" s="1380">
        <f>'PRPM WP2'!C357</f>
        <v>4.6599999999999996E-2</v>
      </c>
      <c r="H356" s="1380">
        <f>'PRPM WP2'!H357</f>
        <v>2.6750000000000003E-3</v>
      </c>
      <c r="I356" s="1373">
        <f t="shared" si="5"/>
        <v>4.3924999999999992E-2</v>
      </c>
      <c r="J356" s="1371">
        <v>20271</v>
      </c>
    </row>
    <row r="357" spans="2:10" x14ac:dyDescent="0.45">
      <c r="B357" s="1371">
        <v>20302</v>
      </c>
      <c r="C357" s="1370" t="s">
        <v>7147</v>
      </c>
      <c r="F357" s="1380">
        <f>'PRPM WP2'!C358</f>
        <v>5.1999999999999998E-3</v>
      </c>
      <c r="H357" s="1380">
        <f>'PRPM WP2'!H358</f>
        <v>2.7000000000000001E-3</v>
      </c>
      <c r="I357" s="1373">
        <f t="shared" si="5"/>
        <v>2.4999999999999996E-3</v>
      </c>
      <c r="J357" s="1371">
        <v>20302</v>
      </c>
    </row>
    <row r="358" spans="2:10" x14ac:dyDescent="0.45">
      <c r="B358" s="1371">
        <v>20333</v>
      </c>
      <c r="C358" s="1370" t="s">
        <v>7147</v>
      </c>
      <c r="F358" s="1380">
        <f>'PRPM WP2'!C359</f>
        <v>-2.8999999999999998E-2</v>
      </c>
      <c r="H358" s="1380">
        <f>'PRPM WP2'!H359</f>
        <v>2.725E-3</v>
      </c>
      <c r="I358" s="1373">
        <f t="shared" si="5"/>
        <v>-3.1724999999999996E-2</v>
      </c>
      <c r="J358" s="1371">
        <v>20333</v>
      </c>
    </row>
    <row r="359" spans="2:10" x14ac:dyDescent="0.45">
      <c r="B359" s="1371">
        <v>20363</v>
      </c>
      <c r="C359" s="1370" t="s">
        <v>7147</v>
      </c>
      <c r="F359" s="1380">
        <f>'PRPM WP2'!C360</f>
        <v>-8.5000000000000006E-3</v>
      </c>
      <c r="H359" s="1380">
        <f>'PRPM WP2'!H360</f>
        <v>2.7500000000000003E-3</v>
      </c>
      <c r="I359" s="1373">
        <f t="shared" si="5"/>
        <v>-1.1250000000000001E-2</v>
      </c>
      <c r="J359" s="1371">
        <v>20363</v>
      </c>
    </row>
    <row r="360" spans="2:10" x14ac:dyDescent="0.45">
      <c r="B360" s="1371">
        <v>20394</v>
      </c>
      <c r="C360" s="1370" t="s">
        <v>7147</v>
      </c>
      <c r="F360" s="1380">
        <f>'PRPM WP2'!C361</f>
        <v>2.92E-2</v>
      </c>
      <c r="H360" s="1380">
        <f>'PRPM WP2'!H361</f>
        <v>2.7666666666666668E-3</v>
      </c>
      <c r="I360" s="1373">
        <f t="shared" si="5"/>
        <v>2.6433333333333333E-2</v>
      </c>
      <c r="J360" s="1371">
        <v>20394</v>
      </c>
    </row>
    <row r="361" spans="2:10" x14ac:dyDescent="0.45">
      <c r="B361" s="1371">
        <v>20424</v>
      </c>
      <c r="C361" s="1370" t="s">
        <v>7147</v>
      </c>
      <c r="F361" s="1380">
        <f>'PRPM WP2'!C362</f>
        <v>-6.7000000000000002E-3</v>
      </c>
      <c r="H361" s="1380">
        <f>'PRPM WP2'!H362</f>
        <v>2.7916666666666667E-3</v>
      </c>
      <c r="I361" s="1373">
        <f t="shared" si="5"/>
        <v>-9.4916666666666673E-3</v>
      </c>
      <c r="J361" s="1371">
        <v>20424</v>
      </c>
    </row>
    <row r="362" spans="2:10" x14ac:dyDescent="0.45">
      <c r="B362" s="1371">
        <v>20455</v>
      </c>
      <c r="C362" s="1370" t="s">
        <v>7147</v>
      </c>
      <c r="F362" s="1380">
        <f>'PRPM WP2'!C363</f>
        <v>3.0000000000000001E-3</v>
      </c>
      <c r="H362" s="1380">
        <f>'PRPM WP2'!H363</f>
        <v>2.7583333333333331E-3</v>
      </c>
      <c r="I362" s="1373">
        <f t="shared" si="5"/>
        <v>2.4166666666666694E-4</v>
      </c>
      <c r="J362" s="1371">
        <v>20455</v>
      </c>
    </row>
    <row r="363" spans="2:10" x14ac:dyDescent="0.45">
      <c r="B363" s="1371">
        <v>20486</v>
      </c>
      <c r="C363" s="1370" t="s">
        <v>7147</v>
      </c>
      <c r="F363" s="1380">
        <f>'PRPM WP2'!C364</f>
        <v>1.78E-2</v>
      </c>
      <c r="H363" s="1380">
        <f>'PRPM WP2'!H364</f>
        <v>2.7416666666666666E-3</v>
      </c>
      <c r="I363" s="1373">
        <f t="shared" si="5"/>
        <v>1.5058333333333333E-2</v>
      </c>
      <c r="J363" s="1371">
        <v>20486</v>
      </c>
    </row>
    <row r="364" spans="2:10" x14ac:dyDescent="0.45">
      <c r="B364" s="1371">
        <v>20515</v>
      </c>
      <c r="C364" s="1370" t="s">
        <v>7147</v>
      </c>
      <c r="F364" s="1380">
        <f>'PRPM WP2'!C365</f>
        <v>3.9399999999999998E-2</v>
      </c>
      <c r="H364" s="1380">
        <f>'PRPM WP2'!H365</f>
        <v>2.7416666666666666E-3</v>
      </c>
      <c r="I364" s="1373">
        <f t="shared" si="5"/>
        <v>3.6658333333333334E-2</v>
      </c>
      <c r="J364" s="1371">
        <v>20515</v>
      </c>
    </row>
    <row r="365" spans="2:10" x14ac:dyDescent="0.45">
      <c r="B365" s="1371">
        <v>20546</v>
      </c>
      <c r="C365" s="1370" t="s">
        <v>7147</v>
      </c>
      <c r="F365" s="1380">
        <f>'PRPM WP2'!C366</f>
        <v>-2.87E-2</v>
      </c>
      <c r="H365" s="1380">
        <f>'PRPM WP2'!H366</f>
        <v>2.8333333333333331E-3</v>
      </c>
      <c r="I365" s="1373">
        <f t="shared" si="5"/>
        <v>-3.153333333333333E-2</v>
      </c>
      <c r="J365" s="1371">
        <v>20546</v>
      </c>
    </row>
    <row r="366" spans="2:10" x14ac:dyDescent="0.45">
      <c r="B366" s="1371">
        <v>20576</v>
      </c>
      <c r="C366" s="1370" t="s">
        <v>7147</v>
      </c>
      <c r="F366" s="1380">
        <f>'PRPM WP2'!C367</f>
        <v>-1.38E-2</v>
      </c>
      <c r="H366" s="1380">
        <f>'PRPM WP2'!H367</f>
        <v>2.8999999999999998E-3</v>
      </c>
      <c r="I366" s="1373">
        <f t="shared" si="5"/>
        <v>-1.67E-2</v>
      </c>
      <c r="J366" s="1371">
        <v>20576</v>
      </c>
    </row>
    <row r="367" spans="2:10" x14ac:dyDescent="0.45">
      <c r="B367" s="1371">
        <v>20607</v>
      </c>
      <c r="C367" s="1370" t="s">
        <v>7147</v>
      </c>
      <c r="F367" s="1380">
        <f>'PRPM WP2'!C368</f>
        <v>2.1099999999999997E-2</v>
      </c>
      <c r="H367" s="1380">
        <f>'PRPM WP2'!H368</f>
        <v>2.9083333333333335E-3</v>
      </c>
      <c r="I367" s="1373">
        <f t="shared" si="5"/>
        <v>1.8191666666666665E-2</v>
      </c>
      <c r="J367" s="1371">
        <v>20607</v>
      </c>
    </row>
    <row r="368" spans="2:10" x14ac:dyDescent="0.45">
      <c r="B368" s="1371">
        <v>20637</v>
      </c>
      <c r="C368" s="1370" t="s">
        <v>7147</v>
      </c>
      <c r="F368" s="1380">
        <f>'PRPM WP2'!C369</f>
        <v>5.2500000000000012E-2</v>
      </c>
      <c r="H368" s="1380">
        <f>'PRPM WP2'!H369</f>
        <v>2.9583333333333332E-3</v>
      </c>
      <c r="I368" s="1373">
        <f t="shared" si="5"/>
        <v>4.9541666666666678E-2</v>
      </c>
      <c r="J368" s="1371">
        <v>20637</v>
      </c>
    </row>
    <row r="369" spans="2:10" x14ac:dyDescent="0.45">
      <c r="B369" s="1371">
        <v>20668</v>
      </c>
      <c r="C369" s="1370" t="s">
        <v>7147</v>
      </c>
      <c r="F369" s="1380">
        <f>'PRPM WP2'!C370</f>
        <v>-2.5899999999999999E-2</v>
      </c>
      <c r="H369" s="1380">
        <f>'PRPM WP2'!H370</f>
        <v>3.0249999999999999E-3</v>
      </c>
      <c r="I369" s="1373">
        <f t="shared" si="5"/>
        <v>-2.8924999999999999E-2</v>
      </c>
      <c r="J369" s="1371">
        <v>20668</v>
      </c>
    </row>
    <row r="370" spans="2:10" x14ac:dyDescent="0.45">
      <c r="B370" s="1371">
        <v>20699</v>
      </c>
      <c r="C370" s="1370" t="s">
        <v>7147</v>
      </c>
      <c r="F370" s="1380">
        <f>'PRPM WP2'!C371</f>
        <v>-3.1899999999999998E-2</v>
      </c>
      <c r="H370" s="1380">
        <f>'PRPM WP2'!H371</f>
        <v>3.0999999999999999E-3</v>
      </c>
      <c r="I370" s="1373">
        <f t="shared" si="5"/>
        <v>-3.4999999999999996E-2</v>
      </c>
      <c r="J370" s="1371">
        <v>20699</v>
      </c>
    </row>
    <row r="371" spans="2:10" x14ac:dyDescent="0.45">
      <c r="B371" s="1371">
        <v>20729</v>
      </c>
      <c r="C371" s="1370" t="s">
        <v>7147</v>
      </c>
      <c r="F371" s="1380">
        <f>'PRPM WP2'!C372</f>
        <v>6.3E-3</v>
      </c>
      <c r="H371" s="1380">
        <f>'PRPM WP2'!H372</f>
        <v>3.1583333333333337E-3</v>
      </c>
      <c r="I371" s="1373">
        <f t="shared" si="5"/>
        <v>3.1416666666666663E-3</v>
      </c>
      <c r="J371" s="1371">
        <v>20729</v>
      </c>
    </row>
    <row r="372" spans="2:10" x14ac:dyDescent="0.45">
      <c r="B372" s="1371">
        <v>20760</v>
      </c>
      <c r="C372" s="1370" t="s">
        <v>7147</v>
      </c>
      <c r="F372" s="1380">
        <f>'PRPM WP2'!C373</f>
        <v>2.8000000000000004E-3</v>
      </c>
      <c r="H372" s="1380">
        <f>'PRPM WP2'!H373</f>
        <v>3.1833333333333336E-3</v>
      </c>
      <c r="I372" s="1373">
        <f t="shared" si="5"/>
        <v>-3.8333333333333318E-4</v>
      </c>
      <c r="J372" s="1371">
        <v>20760</v>
      </c>
    </row>
    <row r="373" spans="2:10" x14ac:dyDescent="0.45">
      <c r="B373" s="1371">
        <v>20790</v>
      </c>
      <c r="C373" s="1370" t="s">
        <v>7147</v>
      </c>
      <c r="F373" s="1380">
        <f>'PRPM WP2'!C374</f>
        <v>1.04E-2</v>
      </c>
      <c r="H373" s="1380">
        <f>'PRPM WP2'!H374</f>
        <v>3.2583333333333336E-3</v>
      </c>
      <c r="I373" s="1373">
        <f t="shared" si="5"/>
        <v>7.141666666666666E-3</v>
      </c>
      <c r="J373" s="1371">
        <v>20790</v>
      </c>
    </row>
    <row r="374" spans="2:10" x14ac:dyDescent="0.45">
      <c r="B374" s="1371">
        <v>20821</v>
      </c>
      <c r="C374" s="1370" t="s">
        <v>7147</v>
      </c>
      <c r="F374" s="1380">
        <f>'PRPM WP2'!C375</f>
        <v>3.2399999999999998E-2</v>
      </c>
      <c r="H374" s="1380">
        <f>'PRPM WP2'!H375</f>
        <v>3.3E-3</v>
      </c>
      <c r="I374" s="1373">
        <f t="shared" si="5"/>
        <v>2.9099999999999997E-2</v>
      </c>
      <c r="J374" s="1371">
        <v>20821</v>
      </c>
    </row>
    <row r="375" spans="2:10" x14ac:dyDescent="0.45">
      <c r="B375" s="1371">
        <v>20852</v>
      </c>
      <c r="C375" s="1370" t="s">
        <v>7147</v>
      </c>
      <c r="F375" s="1380">
        <f>'PRPM WP2'!C376</f>
        <v>-6.0999999999999995E-3</v>
      </c>
      <c r="H375" s="1380">
        <f>'PRPM WP2'!H376</f>
        <v>3.3749999999999995E-3</v>
      </c>
      <c r="I375" s="1373">
        <f t="shared" si="5"/>
        <v>-9.474999999999999E-3</v>
      </c>
      <c r="J375" s="1371">
        <v>20852</v>
      </c>
    </row>
    <row r="376" spans="2:10" x14ac:dyDescent="0.45">
      <c r="B376" s="1371">
        <v>20880</v>
      </c>
      <c r="C376" s="1370" t="s">
        <v>7147</v>
      </c>
      <c r="F376" s="1380">
        <f>'PRPM WP2'!C377</f>
        <v>7.8000000000000005E-3</v>
      </c>
      <c r="H376" s="1380">
        <f>'PRPM WP2'!H377</f>
        <v>3.3749999999999995E-3</v>
      </c>
      <c r="I376" s="1373">
        <f t="shared" si="5"/>
        <v>4.425000000000001E-3</v>
      </c>
      <c r="J376" s="1371">
        <v>20880</v>
      </c>
    </row>
    <row r="377" spans="2:10" x14ac:dyDescent="0.45">
      <c r="B377" s="1371">
        <v>20911</v>
      </c>
      <c r="C377" s="1370" t="s">
        <v>7147</v>
      </c>
      <c r="F377" s="1380">
        <f>'PRPM WP2'!C378</f>
        <v>4.0199999999999993E-2</v>
      </c>
      <c r="H377" s="1380">
        <f>'PRPM WP2'!H378</f>
        <v>3.3416666666666668E-3</v>
      </c>
      <c r="I377" s="1373">
        <f t="shared" si="5"/>
        <v>3.6858333333333326E-2</v>
      </c>
      <c r="J377" s="1371">
        <v>20911</v>
      </c>
    </row>
    <row r="378" spans="2:10" x14ac:dyDescent="0.45">
      <c r="B378" s="1371">
        <v>20941</v>
      </c>
      <c r="C378" s="1370" t="s">
        <v>7147</v>
      </c>
      <c r="F378" s="1380">
        <f>'PRPM WP2'!C379</f>
        <v>1.8000000000000002E-2</v>
      </c>
      <c r="H378" s="1380">
        <f>'PRPM WP2'!H379</f>
        <v>3.3416666666666668E-3</v>
      </c>
      <c r="I378" s="1373">
        <f t="shared" si="5"/>
        <v>1.4658333333333336E-2</v>
      </c>
      <c r="J378" s="1371">
        <v>20941</v>
      </c>
    </row>
    <row r="379" spans="2:10" x14ac:dyDescent="0.45">
      <c r="B379" s="1371">
        <v>20972</v>
      </c>
      <c r="C379" s="1370" t="s">
        <v>7147</v>
      </c>
      <c r="F379" s="1380">
        <f>'PRPM WP2'!C380</f>
        <v>-4.1800000000000004E-2</v>
      </c>
      <c r="H379" s="1380">
        <f>'PRPM WP2'!H380</f>
        <v>3.4083333333333331E-3</v>
      </c>
      <c r="I379" s="1373">
        <f t="shared" si="5"/>
        <v>-4.5208333333333336E-2</v>
      </c>
      <c r="J379" s="1371">
        <v>20972</v>
      </c>
    </row>
    <row r="380" spans="2:10" x14ac:dyDescent="0.45">
      <c r="B380" s="1371">
        <v>21002</v>
      </c>
      <c r="C380" s="1370" t="s">
        <v>7147</v>
      </c>
      <c r="F380" s="1380">
        <f>'PRPM WP2'!C381</f>
        <v>3.5000000000000005E-3</v>
      </c>
      <c r="H380" s="1380">
        <f>'PRPM WP2'!H381</f>
        <v>3.5000000000000005E-3</v>
      </c>
      <c r="I380" s="1373">
        <f t="shared" si="5"/>
        <v>0</v>
      </c>
      <c r="J380" s="1371">
        <v>21002</v>
      </c>
    </row>
    <row r="381" spans="2:10" x14ac:dyDescent="0.45">
      <c r="B381" s="1371">
        <v>21033</v>
      </c>
      <c r="C381" s="1370" t="s">
        <v>7147</v>
      </c>
      <c r="F381" s="1380">
        <f>'PRPM WP2'!C382</f>
        <v>-2.9400000000000003E-2</v>
      </c>
      <c r="H381" s="1380">
        <f>'PRPM WP2'!H382</f>
        <v>3.6416666666666667E-3</v>
      </c>
      <c r="I381" s="1373">
        <f t="shared" si="5"/>
        <v>-3.3041666666666671E-2</v>
      </c>
      <c r="J381" s="1371">
        <v>21033</v>
      </c>
    </row>
    <row r="382" spans="2:10" x14ac:dyDescent="0.45">
      <c r="B382" s="1371">
        <v>21064</v>
      </c>
      <c r="C382" s="1370" t="s">
        <v>7147</v>
      </c>
      <c r="F382" s="1380">
        <f>'PRPM WP2'!C383</f>
        <v>-1.3800000000000002E-2</v>
      </c>
      <c r="H382" s="1380">
        <f>'PRPM WP2'!H383</f>
        <v>3.7916666666666667E-3</v>
      </c>
      <c r="I382" s="1373">
        <f t="shared" si="5"/>
        <v>-1.7591666666666669E-2</v>
      </c>
      <c r="J382" s="1371">
        <v>21064</v>
      </c>
    </row>
    <row r="383" spans="2:10" x14ac:dyDescent="0.45">
      <c r="B383" s="1371">
        <v>21094</v>
      </c>
      <c r="C383" s="1370" t="s">
        <v>7147</v>
      </c>
      <c r="F383" s="1380">
        <f>'PRPM WP2'!C384</f>
        <v>-7.4000000000000003E-3</v>
      </c>
      <c r="H383" s="1380">
        <f>'PRPM WP2'!H384</f>
        <v>3.8416666666666673E-3</v>
      </c>
      <c r="I383" s="1373">
        <f t="shared" si="5"/>
        <v>-1.1241666666666667E-2</v>
      </c>
      <c r="J383" s="1371">
        <v>21094</v>
      </c>
    </row>
    <row r="384" spans="2:10" x14ac:dyDescent="0.45">
      <c r="B384" s="1371">
        <v>21125</v>
      </c>
      <c r="C384" s="1370" t="s">
        <v>7147</v>
      </c>
      <c r="F384" s="1380">
        <f>'PRPM WP2'!C385</f>
        <v>4.2799999999999991E-2</v>
      </c>
      <c r="H384" s="1380">
        <f>'PRPM WP2'!H385</f>
        <v>3.8500000000000001E-3</v>
      </c>
      <c r="I384" s="1373">
        <f t="shared" si="5"/>
        <v>3.8949999999999992E-2</v>
      </c>
      <c r="J384" s="1371">
        <v>21125</v>
      </c>
    </row>
    <row r="385" spans="2:10" x14ac:dyDescent="0.45">
      <c r="B385" s="1371">
        <v>21155</v>
      </c>
      <c r="C385" s="1370" t="s">
        <v>7147</v>
      </c>
      <c r="F385" s="1380">
        <f>'PRPM WP2'!C386</f>
        <v>1.95E-2</v>
      </c>
      <c r="H385" s="1380">
        <f>'PRPM WP2'!H386</f>
        <v>3.6333333333333335E-3</v>
      </c>
      <c r="I385" s="1373">
        <f t="shared" si="5"/>
        <v>1.5866666666666668E-2</v>
      </c>
      <c r="J385" s="1371">
        <v>21155</v>
      </c>
    </row>
    <row r="386" spans="2:10" x14ac:dyDescent="0.45">
      <c r="B386" s="1371">
        <v>21186</v>
      </c>
      <c r="C386" s="1370" t="s">
        <v>7147</v>
      </c>
      <c r="F386" s="1380">
        <f>'PRPM WP2'!C387</f>
        <v>6.0200000000000004E-2</v>
      </c>
      <c r="H386" s="1380">
        <f>'PRPM WP2'!H387</f>
        <v>3.2750000000000001E-3</v>
      </c>
      <c r="I386" s="1373">
        <f t="shared" si="5"/>
        <v>5.6925000000000003E-2</v>
      </c>
      <c r="J386" s="1371">
        <v>21186</v>
      </c>
    </row>
    <row r="387" spans="2:10" x14ac:dyDescent="0.45">
      <c r="B387" s="1371">
        <v>21217</v>
      </c>
      <c r="C387" s="1370" t="s">
        <v>7147</v>
      </c>
      <c r="F387" s="1380">
        <f>'PRPM WP2'!C388</f>
        <v>1.37E-2</v>
      </c>
      <c r="H387" s="1380">
        <f>'PRPM WP2'!H388</f>
        <v>3.3E-3</v>
      </c>
      <c r="I387" s="1373">
        <f t="shared" si="5"/>
        <v>1.04E-2</v>
      </c>
      <c r="J387" s="1371">
        <v>21217</v>
      </c>
    </row>
    <row r="388" spans="2:10" x14ac:dyDescent="0.45">
      <c r="B388" s="1371">
        <v>21245</v>
      </c>
      <c r="C388" s="1370" t="s">
        <v>7147</v>
      </c>
      <c r="F388" s="1380">
        <f>'PRPM WP2'!C389</f>
        <v>0.02</v>
      </c>
      <c r="H388" s="1380">
        <f>'PRPM WP2'!H389</f>
        <v>3.4416666666666667E-3</v>
      </c>
      <c r="I388" s="1373">
        <f t="shared" si="5"/>
        <v>1.6558333333333335E-2</v>
      </c>
      <c r="J388" s="1371">
        <v>21245</v>
      </c>
    </row>
    <row r="389" spans="2:10" x14ac:dyDescent="0.45">
      <c r="B389" s="1371">
        <v>21276</v>
      </c>
      <c r="C389" s="1370" t="s">
        <v>7147</v>
      </c>
      <c r="F389" s="1380">
        <f>'PRPM WP2'!C390</f>
        <v>5.16E-2</v>
      </c>
      <c r="H389" s="1380">
        <f>'PRPM WP2'!H390</f>
        <v>3.2916666666666667E-3</v>
      </c>
      <c r="I389" s="1373">
        <f t="shared" si="5"/>
        <v>4.8308333333333335E-2</v>
      </c>
      <c r="J389" s="1371">
        <v>21276</v>
      </c>
    </row>
    <row r="390" spans="2:10" x14ac:dyDescent="0.45">
      <c r="B390" s="1371">
        <v>21306</v>
      </c>
      <c r="C390" s="1370" t="s">
        <v>7147</v>
      </c>
      <c r="F390" s="1380">
        <f>'PRPM WP2'!C391</f>
        <v>1.6400000000000001E-2</v>
      </c>
      <c r="H390" s="1380">
        <f>'PRPM WP2'!H391</f>
        <v>3.3416666666666668E-3</v>
      </c>
      <c r="I390" s="1373">
        <f t="shared" si="5"/>
        <v>1.3058333333333335E-2</v>
      </c>
      <c r="J390" s="1371">
        <v>21306</v>
      </c>
    </row>
    <row r="391" spans="2:10" x14ac:dyDescent="0.45">
      <c r="B391" s="1371">
        <v>21337</v>
      </c>
      <c r="C391" s="1370" t="s">
        <v>7147</v>
      </c>
      <c r="F391" s="1380">
        <f>'PRPM WP2'!C392</f>
        <v>1.72E-2</v>
      </c>
      <c r="H391" s="1380">
        <f>'PRPM WP2'!H392</f>
        <v>3.3250000000000003E-3</v>
      </c>
      <c r="I391" s="1373">
        <f t="shared" si="5"/>
        <v>1.3875E-2</v>
      </c>
      <c r="J391" s="1371">
        <v>21337</v>
      </c>
    </row>
    <row r="392" spans="2:10" x14ac:dyDescent="0.45">
      <c r="B392" s="1371">
        <v>21367</v>
      </c>
      <c r="C392" s="1370" t="s">
        <v>7147</v>
      </c>
      <c r="F392" s="1380">
        <f>'PRPM WP2'!C393</f>
        <v>1.09E-2</v>
      </c>
      <c r="H392" s="1380">
        <f>'PRPM WP2'!H393</f>
        <v>3.3666666666666667E-3</v>
      </c>
      <c r="I392" s="1373">
        <f t="shared" si="5"/>
        <v>7.5333333333333329E-3</v>
      </c>
      <c r="J392" s="1371">
        <v>21367</v>
      </c>
    </row>
    <row r="393" spans="2:10" x14ac:dyDescent="0.45">
      <c r="B393" s="1371">
        <v>21398</v>
      </c>
      <c r="C393" s="1370" t="s">
        <v>7147</v>
      </c>
      <c r="F393" s="1380">
        <f>'PRPM WP2'!C394</f>
        <v>-6.7000000000000002E-3</v>
      </c>
      <c r="H393" s="1380">
        <f>'PRPM WP2'!H394</f>
        <v>3.5750000000000001E-3</v>
      </c>
      <c r="I393" s="1373">
        <f t="shared" si="5"/>
        <v>-1.0274999999999999E-2</v>
      </c>
      <c r="J393" s="1371">
        <v>21398</v>
      </c>
    </row>
    <row r="394" spans="2:10" x14ac:dyDescent="0.45">
      <c r="B394" s="1371">
        <v>21429</v>
      </c>
      <c r="C394" s="1370" t="s">
        <v>7147</v>
      </c>
      <c r="F394" s="1380">
        <f>'PRPM WP2'!C395</f>
        <v>3.32E-2</v>
      </c>
      <c r="H394" s="1380">
        <f>'PRPM WP2'!H395</f>
        <v>3.7916666666666667E-3</v>
      </c>
      <c r="I394" s="1373">
        <f t="shared" si="5"/>
        <v>2.9408333333333335E-2</v>
      </c>
      <c r="J394" s="1371">
        <v>21429</v>
      </c>
    </row>
    <row r="395" spans="2:10" x14ac:dyDescent="0.45">
      <c r="B395" s="1371">
        <v>21459</v>
      </c>
      <c r="C395" s="1370" t="s">
        <v>7147</v>
      </c>
      <c r="F395" s="1380">
        <f>'PRPM WP2'!C396</f>
        <v>4.0599999999999997E-2</v>
      </c>
      <c r="H395" s="1380">
        <f>'PRPM WP2'!H396</f>
        <v>3.7999999999999996E-3</v>
      </c>
      <c r="I395" s="1373">
        <f t="shared" si="5"/>
        <v>3.6799999999999999E-2</v>
      </c>
      <c r="J395" s="1371">
        <v>21459</v>
      </c>
    </row>
    <row r="396" spans="2:10" x14ac:dyDescent="0.45">
      <c r="B396" s="1371">
        <v>21490</v>
      </c>
      <c r="C396" s="1370" t="s">
        <v>7147</v>
      </c>
      <c r="F396" s="1380">
        <f>'PRPM WP2'!C397</f>
        <v>2.63E-2</v>
      </c>
      <c r="H396" s="1380">
        <f>'PRPM WP2'!H397</f>
        <v>3.725E-3</v>
      </c>
      <c r="I396" s="1373">
        <f t="shared" si="5"/>
        <v>2.2575000000000001E-2</v>
      </c>
      <c r="J396" s="1371">
        <v>21490</v>
      </c>
    </row>
    <row r="397" spans="2:10" x14ac:dyDescent="0.45">
      <c r="B397" s="1371">
        <v>21520</v>
      </c>
      <c r="C397" s="1370" t="s">
        <v>7147</v>
      </c>
      <c r="F397" s="1380">
        <f>'PRPM WP2'!C398</f>
        <v>6.5500000000000003E-2</v>
      </c>
      <c r="H397" s="1380">
        <f>'PRPM WP2'!H398</f>
        <v>3.741666666666667E-3</v>
      </c>
      <c r="I397" s="1373">
        <f t="shared" si="5"/>
        <v>6.1758333333333339E-2</v>
      </c>
      <c r="J397" s="1371">
        <v>21520</v>
      </c>
    </row>
    <row r="398" spans="2:10" x14ac:dyDescent="0.45">
      <c r="B398" s="1371">
        <v>21551</v>
      </c>
      <c r="C398" s="1370" t="s">
        <v>7147</v>
      </c>
      <c r="F398" s="1380">
        <f>'PRPM WP2'!C399</f>
        <v>1.34E-2</v>
      </c>
      <c r="H398" s="1380">
        <f>'PRPM WP2'!H399</f>
        <v>3.7666666666666664E-3</v>
      </c>
      <c r="I398" s="1373">
        <f t="shared" si="5"/>
        <v>9.633333333333334E-3</v>
      </c>
      <c r="J398" s="1371">
        <v>21551</v>
      </c>
    </row>
    <row r="399" spans="2:10" x14ac:dyDescent="0.45">
      <c r="B399" s="1371">
        <v>21582</v>
      </c>
      <c r="C399" s="1370" t="s">
        <v>7147</v>
      </c>
      <c r="F399" s="1380">
        <f>'PRPM WP2'!C400</f>
        <v>2.06E-2</v>
      </c>
      <c r="H399" s="1380">
        <f>'PRPM WP2'!H400</f>
        <v>3.7499999999999999E-3</v>
      </c>
      <c r="I399" s="1373">
        <f t="shared" si="5"/>
        <v>1.685E-2</v>
      </c>
      <c r="J399" s="1371">
        <v>21582</v>
      </c>
    </row>
    <row r="400" spans="2:10" x14ac:dyDescent="0.45">
      <c r="B400" s="1371">
        <v>21610</v>
      </c>
      <c r="C400" s="1370" t="s">
        <v>7147</v>
      </c>
      <c r="F400" s="1380">
        <f>'PRPM WP2'!C401</f>
        <v>1.0200000000000001E-2</v>
      </c>
      <c r="H400" s="1380">
        <f>'PRPM WP2'!H401</f>
        <v>3.725E-3</v>
      </c>
      <c r="I400" s="1373">
        <f t="shared" si="5"/>
        <v>6.4750000000000007E-3</v>
      </c>
      <c r="J400" s="1371">
        <v>21610</v>
      </c>
    </row>
    <row r="401" spans="2:10" x14ac:dyDescent="0.45">
      <c r="B401" s="1371">
        <v>21641</v>
      </c>
      <c r="C401" s="1370" t="s">
        <v>7147</v>
      </c>
      <c r="F401" s="1380">
        <f>'PRPM WP2'!C402</f>
        <v>-2.7999999999999995E-3</v>
      </c>
      <c r="H401" s="1380">
        <f>'PRPM WP2'!H402</f>
        <v>3.7999999999999996E-3</v>
      </c>
      <c r="I401" s="1373">
        <f t="shared" si="5"/>
        <v>-6.5999999999999991E-3</v>
      </c>
      <c r="J401" s="1371">
        <v>21641</v>
      </c>
    </row>
    <row r="402" spans="2:10" x14ac:dyDescent="0.45">
      <c r="B402" s="1371">
        <v>21671</v>
      </c>
      <c r="C402" s="1370" t="s">
        <v>7147</v>
      </c>
      <c r="F402" s="1380">
        <f>'PRPM WP2'!C403</f>
        <v>-1.2E-2</v>
      </c>
      <c r="H402" s="1380">
        <f>'PRPM WP2'!H403</f>
        <v>3.9749999999999994E-3</v>
      </c>
      <c r="I402" s="1373">
        <f t="shared" si="5"/>
        <v>-1.5975E-2</v>
      </c>
      <c r="J402" s="1371">
        <v>21671</v>
      </c>
    </row>
    <row r="403" spans="2:10" x14ac:dyDescent="0.45">
      <c r="B403" s="1371">
        <v>21702</v>
      </c>
      <c r="C403" s="1370" t="s">
        <v>7147</v>
      </c>
      <c r="F403" s="1380">
        <f>'PRPM WP2'!C404</f>
        <v>-8.7999999999999988E-3</v>
      </c>
      <c r="H403" s="1380">
        <f>'PRPM WP2'!H404</f>
        <v>4.0500000000000006E-3</v>
      </c>
      <c r="I403" s="1373">
        <f t="shared" si="5"/>
        <v>-1.285E-2</v>
      </c>
      <c r="J403" s="1371">
        <v>21702</v>
      </c>
    </row>
    <row r="404" spans="2:10" x14ac:dyDescent="0.45">
      <c r="B404" s="1371">
        <v>21732</v>
      </c>
      <c r="C404" s="1370" t="s">
        <v>7147</v>
      </c>
      <c r="F404" s="1380">
        <f>'PRPM WP2'!C405</f>
        <v>3.7100000000000001E-2</v>
      </c>
      <c r="H404" s="1380">
        <f>'PRPM WP2'!H405</f>
        <v>4.0666666666666663E-3</v>
      </c>
      <c r="I404" s="1373">
        <f t="shared" si="5"/>
        <v>3.3033333333333331E-2</v>
      </c>
      <c r="J404" s="1371">
        <v>21732</v>
      </c>
    </row>
    <row r="405" spans="2:10" x14ac:dyDescent="0.45">
      <c r="B405" s="1371">
        <v>21763</v>
      </c>
      <c r="C405" s="1370" t="s">
        <v>7147</v>
      </c>
      <c r="F405" s="1380">
        <f>'PRPM WP2'!C406</f>
        <v>1.7500000000000002E-2</v>
      </c>
      <c r="H405" s="1380">
        <f>'PRPM WP2'!H406</f>
        <v>4.0749999999999996E-3</v>
      </c>
      <c r="I405" s="1373">
        <f t="shared" si="5"/>
        <v>1.3425000000000003E-2</v>
      </c>
      <c r="J405" s="1371">
        <v>21763</v>
      </c>
    </row>
    <row r="406" spans="2:10" x14ac:dyDescent="0.45">
      <c r="B406" s="1371">
        <v>21794</v>
      </c>
      <c r="C406" s="1370" t="s">
        <v>7147</v>
      </c>
      <c r="F406" s="1380">
        <f>'PRPM WP2'!C407</f>
        <v>-3.9300000000000002E-2</v>
      </c>
      <c r="H406" s="1380">
        <f>'PRPM WP2'!H407</f>
        <v>4.1916666666666665E-3</v>
      </c>
      <c r="I406" s="1373">
        <f t="shared" si="5"/>
        <v>-4.3491666666666665E-2</v>
      </c>
      <c r="J406" s="1371">
        <v>21794</v>
      </c>
    </row>
    <row r="407" spans="2:10" x14ac:dyDescent="0.45">
      <c r="B407" s="1371">
        <v>21824</v>
      </c>
      <c r="C407" s="1370" t="s">
        <v>7147</v>
      </c>
      <c r="F407" s="1380">
        <f>'PRPM WP2'!C408</f>
        <v>1.5699999999999999E-2</v>
      </c>
      <c r="H407" s="1380">
        <f>'PRPM WP2'!H408</f>
        <v>4.1333333333333335E-3</v>
      </c>
      <c r="I407" s="1373">
        <f t="shared" si="5"/>
        <v>1.1566666666666666E-2</v>
      </c>
      <c r="J407" s="1371">
        <v>21824</v>
      </c>
    </row>
    <row r="408" spans="2:10" x14ac:dyDescent="0.45">
      <c r="B408" s="1371">
        <v>21855</v>
      </c>
      <c r="C408" s="1370" t="s">
        <v>7147</v>
      </c>
      <c r="F408" s="1380">
        <f>'PRPM WP2'!C409</f>
        <v>9.9999999999999829E-5</v>
      </c>
      <c r="H408" s="1380">
        <f>'PRPM WP2'!H409</f>
        <v>4.0833333333333338E-3</v>
      </c>
      <c r="I408" s="1373">
        <f t="shared" si="5"/>
        <v>-3.9833333333333335E-3</v>
      </c>
      <c r="J408" s="1371">
        <v>21855</v>
      </c>
    </row>
    <row r="409" spans="2:10" x14ac:dyDescent="0.45">
      <c r="B409" s="1371">
        <v>21885</v>
      </c>
      <c r="C409" s="1370" t="s">
        <v>7147</v>
      </c>
      <c r="F409" s="1380">
        <f>'PRPM WP2'!C410</f>
        <v>2.3E-2</v>
      </c>
      <c r="H409" s="1380">
        <f>'PRPM WP2'!H410</f>
        <v>4.1333333333333335E-3</v>
      </c>
      <c r="I409" s="1373">
        <f t="shared" si="5"/>
        <v>1.8866666666666667E-2</v>
      </c>
      <c r="J409" s="1371">
        <v>21885</v>
      </c>
    </row>
    <row r="410" spans="2:10" x14ac:dyDescent="0.45">
      <c r="B410" s="1371">
        <v>21916</v>
      </c>
      <c r="C410" s="1370" t="s">
        <v>7147</v>
      </c>
      <c r="F410" s="1380">
        <f>'PRPM WP2'!C411</f>
        <v>-1.0800000000000001E-2</v>
      </c>
      <c r="H410" s="1380">
        <f>'PRPM WP2'!H411</f>
        <v>4.1833333333333332E-3</v>
      </c>
      <c r="I410" s="1373">
        <f t="shared" ref="I410:I473" si="6">F410-H410</f>
        <v>-1.4983333333333335E-2</v>
      </c>
      <c r="J410" s="1371">
        <v>21916</v>
      </c>
    </row>
    <row r="411" spans="2:10" x14ac:dyDescent="0.45">
      <c r="B411" s="1371">
        <v>21947</v>
      </c>
      <c r="C411" s="1370" t="s">
        <v>7147</v>
      </c>
      <c r="F411" s="1380">
        <f>'PRPM WP2'!C412</f>
        <v>1.8099999999999998E-2</v>
      </c>
      <c r="H411" s="1380">
        <f>'PRPM WP2'!H412</f>
        <v>4.1666666666666666E-3</v>
      </c>
      <c r="I411" s="1373">
        <f t="shared" si="6"/>
        <v>1.3933333333333332E-2</v>
      </c>
      <c r="J411" s="1371">
        <v>21947</v>
      </c>
    </row>
    <row r="412" spans="2:10" x14ac:dyDescent="0.45">
      <c r="B412" s="1371">
        <v>21976</v>
      </c>
      <c r="C412" s="1370" t="s">
        <v>7147</v>
      </c>
      <c r="F412" s="1380">
        <f>'PRPM WP2'!C413</f>
        <v>1.41E-2</v>
      </c>
      <c r="H412" s="1380">
        <f>'PRPM WP2'!H413</f>
        <v>4.0916666666666671E-3</v>
      </c>
      <c r="I412" s="1373">
        <f t="shared" si="6"/>
        <v>1.0008333333333333E-2</v>
      </c>
      <c r="J412" s="1371">
        <v>21976</v>
      </c>
    </row>
    <row r="413" spans="2:10" x14ac:dyDescent="0.45">
      <c r="B413" s="1371">
        <v>22007</v>
      </c>
      <c r="C413" s="1370" t="s">
        <v>7147</v>
      </c>
      <c r="F413" s="1380">
        <f>'PRPM WP2'!C414</f>
        <v>7.4999999999999997E-3</v>
      </c>
      <c r="H413" s="1380">
        <f>'PRPM WP2'!H414</f>
        <v>3.9916666666666668E-3</v>
      </c>
      <c r="I413" s="1373">
        <f t="shared" si="6"/>
        <v>3.5083333333333329E-3</v>
      </c>
      <c r="J413" s="1371">
        <v>22007</v>
      </c>
    </row>
    <row r="414" spans="2:10" x14ac:dyDescent="0.45">
      <c r="B414" s="1371">
        <v>22037</v>
      </c>
      <c r="C414" s="1370" t="s">
        <v>7147</v>
      </c>
      <c r="F414" s="1380">
        <f>'PRPM WP2'!C415</f>
        <v>2.3300000000000001E-2</v>
      </c>
      <c r="H414" s="1380">
        <f>'PRPM WP2'!H415</f>
        <v>4.0500000000000006E-3</v>
      </c>
      <c r="I414" s="1373">
        <f t="shared" si="6"/>
        <v>1.925E-2</v>
      </c>
      <c r="J414" s="1371">
        <v>22037</v>
      </c>
    </row>
    <row r="415" spans="2:10" x14ac:dyDescent="0.45">
      <c r="B415" s="1371">
        <v>22068</v>
      </c>
      <c r="C415" s="1370" t="s">
        <v>7147</v>
      </c>
      <c r="F415" s="1380">
        <f>'PRPM WP2'!C416</f>
        <v>4.0799999999999989E-2</v>
      </c>
      <c r="H415" s="1380">
        <f>'PRPM WP2'!H416</f>
        <v>4.0333333333333332E-3</v>
      </c>
      <c r="I415" s="1373">
        <f t="shared" si="6"/>
        <v>3.6766666666666656E-2</v>
      </c>
      <c r="J415" s="1371">
        <v>22068</v>
      </c>
    </row>
    <row r="416" spans="2:10" x14ac:dyDescent="0.45">
      <c r="B416" s="1371">
        <v>22098</v>
      </c>
      <c r="C416" s="1370" t="s">
        <v>7147</v>
      </c>
      <c r="F416" s="1380">
        <f>'PRPM WP2'!C417</f>
        <v>-0.01</v>
      </c>
      <c r="H416" s="1380">
        <f>'PRPM WP2'!H417</f>
        <v>3.9916666666666668E-3</v>
      </c>
      <c r="I416" s="1373">
        <f t="shared" si="6"/>
        <v>-1.3991666666666666E-2</v>
      </c>
      <c r="J416" s="1371">
        <v>22098</v>
      </c>
    </row>
    <row r="417" spans="2:10" x14ac:dyDescent="0.45">
      <c r="B417" s="1371">
        <v>22129</v>
      </c>
      <c r="C417" s="1370" t="s">
        <v>7147</v>
      </c>
      <c r="F417" s="1380">
        <f>'PRPM WP2'!C418</f>
        <v>5.0200000000000002E-2</v>
      </c>
      <c r="H417" s="1380">
        <f>'PRPM WP2'!H418</f>
        <v>3.8666666666666667E-3</v>
      </c>
      <c r="I417" s="1373">
        <f t="shared" si="6"/>
        <v>4.6333333333333337E-2</v>
      </c>
      <c r="J417" s="1371">
        <v>22129</v>
      </c>
    </row>
    <row r="418" spans="2:10" x14ac:dyDescent="0.45">
      <c r="B418" s="1371">
        <v>22160</v>
      </c>
      <c r="C418" s="1370" t="s">
        <v>7147</v>
      </c>
      <c r="F418" s="1380">
        <f>'PRPM WP2'!C419</f>
        <v>-5.1400000000000008E-2</v>
      </c>
      <c r="H418" s="1380">
        <f>'PRPM WP2'!H419</f>
        <v>3.8083333333333337E-3</v>
      </c>
      <c r="I418" s="1373">
        <f t="shared" si="6"/>
        <v>-5.5208333333333345E-2</v>
      </c>
      <c r="J418" s="1371">
        <v>22160</v>
      </c>
    </row>
    <row r="419" spans="2:10" x14ac:dyDescent="0.45">
      <c r="B419" s="1371">
        <v>22190</v>
      </c>
      <c r="C419" s="1370" t="s">
        <v>7147</v>
      </c>
      <c r="F419" s="1380">
        <f>'PRPM WP2'!C420</f>
        <v>-1.1999999999999997E-3</v>
      </c>
      <c r="H419" s="1380">
        <f>'PRPM WP2'!H420</f>
        <v>3.8416666666666673E-3</v>
      </c>
      <c r="I419" s="1373">
        <f t="shared" si="6"/>
        <v>-5.0416666666666665E-3</v>
      </c>
      <c r="J419" s="1371">
        <v>22190</v>
      </c>
    </row>
    <row r="420" spans="2:10" x14ac:dyDescent="0.45">
      <c r="B420" s="1371">
        <v>22221</v>
      </c>
      <c r="C420" s="1370" t="s">
        <v>7147</v>
      </c>
      <c r="F420" s="1380">
        <f>'PRPM WP2'!C421</f>
        <v>3.8599999999999995E-2</v>
      </c>
      <c r="H420" s="1380">
        <f>'PRPM WP2'!H421</f>
        <v>3.8508333333333337E-3</v>
      </c>
      <c r="I420" s="1373">
        <f t="shared" si="6"/>
        <v>3.4749166666666664E-2</v>
      </c>
      <c r="J420" s="1371">
        <v>22221</v>
      </c>
    </row>
    <row r="421" spans="2:10" x14ac:dyDescent="0.45">
      <c r="B421" s="1371">
        <v>22251</v>
      </c>
      <c r="C421" s="1370" t="s">
        <v>7147</v>
      </c>
      <c r="F421" s="1380">
        <f>'PRPM WP2'!C422</f>
        <v>7.2399999999999992E-2</v>
      </c>
      <c r="H421" s="1380">
        <f>'PRPM WP2'!H422</f>
        <v>3.875E-3</v>
      </c>
      <c r="I421" s="1373">
        <f t="shared" si="6"/>
        <v>6.8524999999999989E-2</v>
      </c>
      <c r="J421" s="1371">
        <v>22251</v>
      </c>
    </row>
    <row r="422" spans="2:10" x14ac:dyDescent="0.45">
      <c r="B422" s="1371">
        <v>22282</v>
      </c>
      <c r="C422" s="1370" t="s">
        <v>7147</v>
      </c>
      <c r="F422" s="1380">
        <f>'PRPM WP2'!C423</f>
        <v>6.1900000000000004E-2</v>
      </c>
      <c r="H422" s="1380">
        <f>'PRPM WP2'!H423</f>
        <v>3.8666666666666667E-3</v>
      </c>
      <c r="I422" s="1373">
        <f t="shared" si="6"/>
        <v>5.803333333333334E-2</v>
      </c>
      <c r="J422" s="1371">
        <v>22282</v>
      </c>
    </row>
    <row r="423" spans="2:10" x14ac:dyDescent="0.45">
      <c r="B423" s="1371">
        <v>22313</v>
      </c>
      <c r="C423" s="1370" t="s">
        <v>7147</v>
      </c>
      <c r="F423" s="1380">
        <f>'PRPM WP2'!C424</f>
        <v>3.5700000000000003E-2</v>
      </c>
      <c r="H423" s="1380">
        <f>'PRPM WP2'!H424</f>
        <v>3.8250000000000003E-3</v>
      </c>
      <c r="I423" s="1373">
        <f t="shared" si="6"/>
        <v>3.1875000000000001E-2</v>
      </c>
      <c r="J423" s="1371">
        <v>22313</v>
      </c>
    </row>
    <row r="424" spans="2:10" x14ac:dyDescent="0.45">
      <c r="B424" s="1371">
        <v>22341</v>
      </c>
      <c r="C424" s="1370" t="s">
        <v>7147</v>
      </c>
      <c r="F424" s="1380">
        <f>'PRPM WP2'!C425</f>
        <v>3.1899999999999998E-2</v>
      </c>
      <c r="H424" s="1380">
        <f>'PRPM WP2'!H425</f>
        <v>3.7333333333333333E-3</v>
      </c>
      <c r="I424" s="1373">
        <f t="shared" si="6"/>
        <v>2.8166666666666666E-2</v>
      </c>
      <c r="J424" s="1371">
        <v>22341</v>
      </c>
    </row>
    <row r="425" spans="2:10" x14ac:dyDescent="0.45">
      <c r="B425" s="1371">
        <v>22372</v>
      </c>
      <c r="C425" s="1370" t="s">
        <v>7147</v>
      </c>
      <c r="F425" s="1380">
        <f>'PRPM WP2'!C426</f>
        <v>1.09E-2</v>
      </c>
      <c r="H425" s="1380">
        <f>'PRPM WP2'!H426</f>
        <v>3.7333333333333333E-3</v>
      </c>
      <c r="I425" s="1373">
        <f t="shared" si="6"/>
        <v>7.1666666666666667E-3</v>
      </c>
      <c r="J425" s="1371">
        <v>22372</v>
      </c>
    </row>
    <row r="426" spans="2:10" x14ac:dyDescent="0.45">
      <c r="B426" s="1371">
        <v>22402</v>
      </c>
      <c r="C426" s="1370" t="s">
        <v>7147</v>
      </c>
      <c r="F426" s="1380">
        <f>'PRPM WP2'!C427</f>
        <v>1.3299999999999999E-2</v>
      </c>
      <c r="H426" s="1380">
        <f>'PRPM WP2'!H427</f>
        <v>3.7666666666666664E-3</v>
      </c>
      <c r="I426" s="1373">
        <f t="shared" si="6"/>
        <v>9.5333333333333329E-3</v>
      </c>
      <c r="J426" s="1371">
        <v>22402</v>
      </c>
    </row>
    <row r="427" spans="2:10" x14ac:dyDescent="0.45">
      <c r="B427" s="1371">
        <v>22433</v>
      </c>
      <c r="C427" s="1370" t="s">
        <v>7147</v>
      </c>
      <c r="F427" s="1380">
        <f>'PRPM WP2'!C428</f>
        <v>-2.2699999999999994E-2</v>
      </c>
      <c r="H427" s="1380">
        <f>'PRPM WP2'!H428</f>
        <v>3.8083333333333337E-3</v>
      </c>
      <c r="I427" s="1373">
        <f t="shared" si="6"/>
        <v>-2.6508333333333328E-2</v>
      </c>
      <c r="J427" s="1371">
        <v>22433</v>
      </c>
    </row>
    <row r="428" spans="2:10" x14ac:dyDescent="0.45">
      <c r="B428" s="1371">
        <v>22463</v>
      </c>
      <c r="C428" s="1370" t="s">
        <v>7147</v>
      </c>
      <c r="F428" s="1380">
        <f>'PRPM WP2'!C429</f>
        <v>4.24E-2</v>
      </c>
      <c r="H428" s="1380">
        <f>'PRPM WP2'!H429</f>
        <v>3.875E-3</v>
      </c>
      <c r="I428" s="1373">
        <f t="shared" si="6"/>
        <v>3.8525000000000004E-2</v>
      </c>
      <c r="J428" s="1371">
        <v>22463</v>
      </c>
    </row>
    <row r="429" spans="2:10" x14ac:dyDescent="0.45">
      <c r="B429" s="1371">
        <v>22494</v>
      </c>
      <c r="C429" s="1370" t="s">
        <v>7147</v>
      </c>
      <c r="F429" s="1380">
        <f>'PRPM WP2'!C430</f>
        <v>4.5400000000000003E-2</v>
      </c>
      <c r="H429" s="1380">
        <f>'PRPM WP2'!H430</f>
        <v>3.9416666666666671E-3</v>
      </c>
      <c r="I429" s="1373">
        <f t="shared" si="6"/>
        <v>4.1458333333333333E-2</v>
      </c>
      <c r="J429" s="1371">
        <v>22494</v>
      </c>
    </row>
    <row r="430" spans="2:10" x14ac:dyDescent="0.45">
      <c r="B430" s="1371">
        <v>22525</v>
      </c>
      <c r="C430" s="1370" t="s">
        <v>7147</v>
      </c>
      <c r="F430" s="1380">
        <f>'PRPM WP2'!C431</f>
        <v>-6.6999999999999994E-3</v>
      </c>
      <c r="H430" s="1380">
        <f>'PRPM WP2'!H431</f>
        <v>3.9416666666666671E-3</v>
      </c>
      <c r="I430" s="1373">
        <f t="shared" si="6"/>
        <v>-1.0641666666666667E-2</v>
      </c>
      <c r="J430" s="1371">
        <v>22525</v>
      </c>
    </row>
    <row r="431" spans="2:10" x14ac:dyDescent="0.45">
      <c r="B431" s="1371">
        <v>22555</v>
      </c>
      <c r="C431" s="1370" t="s">
        <v>7147</v>
      </c>
      <c r="F431" s="1380">
        <f>'PRPM WP2'!C432</f>
        <v>4.8000000000000001E-2</v>
      </c>
      <c r="H431" s="1380">
        <f>'PRPM WP2'!H432</f>
        <v>3.9250000000000005E-3</v>
      </c>
      <c r="I431" s="1373">
        <f t="shared" si="6"/>
        <v>4.4075000000000003E-2</v>
      </c>
      <c r="J431" s="1371">
        <v>22555</v>
      </c>
    </row>
    <row r="432" spans="2:10" x14ac:dyDescent="0.45">
      <c r="B432" s="1371">
        <v>22586</v>
      </c>
      <c r="C432" s="1370" t="s">
        <v>7147</v>
      </c>
      <c r="F432" s="1380">
        <f>'PRPM WP2'!C433</f>
        <v>3.3500000000000002E-2</v>
      </c>
      <c r="H432" s="1380">
        <f>'PRPM WP2'!H433</f>
        <v>3.8999999999999994E-3</v>
      </c>
      <c r="I432" s="1373">
        <f t="shared" si="6"/>
        <v>2.9600000000000001E-2</v>
      </c>
      <c r="J432" s="1371">
        <v>22586</v>
      </c>
    </row>
    <row r="433" spans="2:10" x14ac:dyDescent="0.45">
      <c r="B433" s="1371">
        <v>22616</v>
      </c>
      <c r="C433" s="1370" t="s">
        <v>7147</v>
      </c>
      <c r="F433" s="1380">
        <f>'PRPM WP2'!C434</f>
        <v>-2.92E-2</v>
      </c>
      <c r="H433" s="1380">
        <f>'PRPM WP2'!H434</f>
        <v>3.875E-3</v>
      </c>
      <c r="I433" s="1373">
        <f t="shared" si="6"/>
        <v>-3.3075E-2</v>
      </c>
      <c r="J433" s="1371">
        <v>22616</v>
      </c>
    </row>
    <row r="434" spans="2:10" x14ac:dyDescent="0.45">
      <c r="B434" s="1371">
        <v>22647</v>
      </c>
      <c r="C434" s="1370" t="s">
        <v>7147</v>
      </c>
      <c r="F434" s="1380">
        <f>'PRPM WP2'!C435</f>
        <v>-3.6600000000000001E-2</v>
      </c>
      <c r="H434" s="1380">
        <f>'PRPM WP2'!H435</f>
        <v>3.875E-3</v>
      </c>
      <c r="I434" s="1373">
        <f t="shared" si="6"/>
        <v>-4.0474999999999997E-2</v>
      </c>
      <c r="J434" s="1371">
        <v>22647</v>
      </c>
    </row>
    <row r="435" spans="2:10" x14ac:dyDescent="0.45">
      <c r="B435" s="1371">
        <v>22678</v>
      </c>
      <c r="C435" s="1370" t="s">
        <v>7147</v>
      </c>
      <c r="F435" s="1380">
        <f>'PRPM WP2'!C436</f>
        <v>3.0000000000000006E-2</v>
      </c>
      <c r="H435" s="1380">
        <f>'PRPM WP2'!H436</f>
        <v>3.8833333333333337E-3</v>
      </c>
      <c r="I435" s="1373">
        <f t="shared" si="6"/>
        <v>2.6116666666666673E-2</v>
      </c>
      <c r="J435" s="1371">
        <v>22678</v>
      </c>
    </row>
    <row r="436" spans="2:10" x14ac:dyDescent="0.45">
      <c r="B436" s="1371">
        <v>22706</v>
      </c>
      <c r="C436" s="1370" t="s">
        <v>7147</v>
      </c>
      <c r="F436" s="1380">
        <f>'PRPM WP2'!C437</f>
        <v>8.0999999999999996E-3</v>
      </c>
      <c r="H436" s="1380">
        <f>'PRPM WP2'!H437</f>
        <v>3.8666666666666667E-3</v>
      </c>
      <c r="I436" s="1373">
        <f t="shared" si="6"/>
        <v>4.2333333333333329E-3</v>
      </c>
      <c r="J436" s="1371">
        <v>22706</v>
      </c>
    </row>
    <row r="437" spans="2:10" x14ac:dyDescent="0.45">
      <c r="B437" s="1371">
        <v>22737</v>
      </c>
      <c r="C437" s="1370" t="s">
        <v>7147</v>
      </c>
      <c r="F437" s="1380">
        <f>'PRPM WP2'!C438</f>
        <v>-3.5300000000000005E-2</v>
      </c>
      <c r="H437" s="1380">
        <f>'PRPM WP2'!H438</f>
        <v>3.8250000000000003E-3</v>
      </c>
      <c r="I437" s="1373">
        <f t="shared" si="6"/>
        <v>-3.9125000000000007E-2</v>
      </c>
      <c r="J437" s="1371">
        <v>22737</v>
      </c>
    </row>
    <row r="438" spans="2:10" x14ac:dyDescent="0.45">
      <c r="B438" s="1371">
        <v>22767</v>
      </c>
      <c r="C438" s="1370" t="s">
        <v>7147</v>
      </c>
      <c r="F438" s="1380">
        <f>'PRPM WP2'!C439</f>
        <v>-9.1200000000000003E-2</v>
      </c>
      <c r="H438" s="1380">
        <f>'PRPM WP2'!H439</f>
        <v>3.7583333333333331E-3</v>
      </c>
      <c r="I438" s="1373">
        <f t="shared" si="6"/>
        <v>-9.4958333333333339E-2</v>
      </c>
      <c r="J438" s="1371">
        <v>22767</v>
      </c>
    </row>
    <row r="439" spans="2:10" x14ac:dyDescent="0.45">
      <c r="B439" s="1371">
        <v>22798</v>
      </c>
      <c r="C439" s="1370" t="s">
        <v>7147</v>
      </c>
      <c r="F439" s="1380">
        <f>'PRPM WP2'!C440</f>
        <v>-5.4799999999999995E-2</v>
      </c>
      <c r="H439" s="1380">
        <f>'PRPM WP2'!H440</f>
        <v>3.7333333333333333E-3</v>
      </c>
      <c r="I439" s="1373">
        <f t="shared" si="6"/>
        <v>-5.8533333333333326E-2</v>
      </c>
      <c r="J439" s="1371">
        <v>22798</v>
      </c>
    </row>
    <row r="440" spans="2:10" x14ac:dyDescent="0.45">
      <c r="B440" s="1371">
        <v>22828</v>
      </c>
      <c r="C440" s="1370" t="s">
        <v>7147</v>
      </c>
      <c r="F440" s="1380">
        <f>'PRPM WP2'!C441</f>
        <v>6.8899999999999989E-2</v>
      </c>
      <c r="H440" s="1380">
        <f>'PRPM WP2'!H441</f>
        <v>3.7499999999999999E-3</v>
      </c>
      <c r="I440" s="1373">
        <f t="shared" si="6"/>
        <v>6.5149999999999986E-2</v>
      </c>
      <c r="J440" s="1371">
        <v>22828</v>
      </c>
    </row>
    <row r="441" spans="2:10" x14ac:dyDescent="0.45">
      <c r="B441" s="1371">
        <v>22859</v>
      </c>
      <c r="C441" s="1370" t="s">
        <v>7147</v>
      </c>
      <c r="F441" s="1380">
        <f>'PRPM WP2'!C442</f>
        <v>2.7099999999999999E-2</v>
      </c>
      <c r="H441" s="1380">
        <f>'PRPM WP2'!H442</f>
        <v>3.7750000000000001E-3</v>
      </c>
      <c r="I441" s="1373">
        <f t="shared" si="6"/>
        <v>2.3324999999999999E-2</v>
      </c>
      <c r="J441" s="1371">
        <v>22859</v>
      </c>
    </row>
    <row r="442" spans="2:10" x14ac:dyDescent="0.45">
      <c r="B442" s="1371">
        <v>22890</v>
      </c>
      <c r="C442" s="1370" t="s">
        <v>7147</v>
      </c>
      <c r="F442" s="1380">
        <f>'PRPM WP2'!C443</f>
        <v>-3.3399999999999999E-2</v>
      </c>
      <c r="H442" s="1380">
        <f>'PRPM WP2'!H443</f>
        <v>3.7583333333333331E-3</v>
      </c>
      <c r="I442" s="1373">
        <f t="shared" si="6"/>
        <v>-3.7158333333333335E-2</v>
      </c>
      <c r="J442" s="1371">
        <v>22890</v>
      </c>
    </row>
    <row r="443" spans="2:10" x14ac:dyDescent="0.45">
      <c r="B443" s="1371">
        <v>22920</v>
      </c>
      <c r="C443" s="1370" t="s">
        <v>7147</v>
      </c>
      <c r="F443" s="1380">
        <f>'PRPM WP2'!C444</f>
        <v>-1.3999999999999998E-3</v>
      </c>
      <c r="H443" s="1380">
        <f>'PRPM WP2'!H444</f>
        <v>3.741666666666667E-3</v>
      </c>
      <c r="I443" s="1373">
        <f t="shared" si="6"/>
        <v>-5.1416666666666668E-3</v>
      </c>
      <c r="J443" s="1371">
        <v>22920</v>
      </c>
    </row>
    <row r="444" spans="2:10" x14ac:dyDescent="0.45">
      <c r="B444" s="1371">
        <v>22951</v>
      </c>
      <c r="C444" s="1370" t="s">
        <v>7147</v>
      </c>
      <c r="F444" s="1380">
        <f>'PRPM WP2'!C445</f>
        <v>7.6800000000000007E-2</v>
      </c>
      <c r="H444" s="1380">
        <f>'PRPM WP2'!H445</f>
        <v>3.7083333333333334E-3</v>
      </c>
      <c r="I444" s="1373">
        <f t="shared" si="6"/>
        <v>7.309166666666668E-2</v>
      </c>
      <c r="J444" s="1371">
        <v>22951</v>
      </c>
    </row>
    <row r="445" spans="2:10" x14ac:dyDescent="0.45">
      <c r="B445" s="1371">
        <v>22981</v>
      </c>
      <c r="C445" s="1370" t="s">
        <v>7147</v>
      </c>
      <c r="F445" s="1380">
        <f>'PRPM WP2'!C446</f>
        <v>3.1199999999999995E-2</v>
      </c>
      <c r="H445" s="1380">
        <f>'PRPM WP2'!H446</f>
        <v>3.7000000000000006E-3</v>
      </c>
      <c r="I445" s="1373">
        <f t="shared" si="6"/>
        <v>2.7499999999999993E-2</v>
      </c>
      <c r="J445" s="1371">
        <v>22981</v>
      </c>
    </row>
    <row r="446" spans="2:10" x14ac:dyDescent="0.45">
      <c r="B446" s="1371">
        <v>23012</v>
      </c>
      <c r="C446" s="1370" t="s">
        <v>7147</v>
      </c>
      <c r="F446" s="1380">
        <f>'PRPM WP2'!C447</f>
        <v>5.5800000000000002E-2</v>
      </c>
      <c r="H446" s="1380">
        <f>'PRPM WP2'!H447</f>
        <v>3.6583333333333329E-3</v>
      </c>
      <c r="I446" s="1373">
        <f t="shared" si="6"/>
        <v>5.2141666666666669E-2</v>
      </c>
      <c r="J446" s="1371">
        <v>23012</v>
      </c>
    </row>
    <row r="447" spans="2:10" x14ac:dyDescent="0.45">
      <c r="B447" s="1371">
        <v>23043</v>
      </c>
      <c r="C447" s="1370" t="s">
        <v>7147</v>
      </c>
      <c r="F447" s="1380">
        <f>'PRPM WP2'!C448</f>
        <v>-2.06E-2</v>
      </c>
      <c r="H447" s="1380">
        <f>'PRPM WP2'!H448</f>
        <v>3.6416666666666667E-3</v>
      </c>
      <c r="I447" s="1373">
        <f t="shared" si="6"/>
        <v>-2.4241666666666668E-2</v>
      </c>
      <c r="J447" s="1371">
        <v>23043</v>
      </c>
    </row>
    <row r="448" spans="2:10" x14ac:dyDescent="0.45">
      <c r="B448" s="1371">
        <v>23071</v>
      </c>
      <c r="C448" s="1370" t="s">
        <v>7147</v>
      </c>
      <c r="F448" s="1380">
        <f>'PRPM WP2'!C449</f>
        <v>1.8600000000000002E-2</v>
      </c>
      <c r="H448" s="1380">
        <f>'PRPM WP2'!H449</f>
        <v>3.6416666666666667E-3</v>
      </c>
      <c r="I448" s="1373">
        <f t="shared" si="6"/>
        <v>1.4958333333333336E-2</v>
      </c>
      <c r="J448" s="1371">
        <v>23071</v>
      </c>
    </row>
    <row r="449" spans="2:10" x14ac:dyDescent="0.45">
      <c r="B449" s="1371">
        <v>23102</v>
      </c>
      <c r="C449" s="1370" t="s">
        <v>7147</v>
      </c>
      <c r="F449" s="1380">
        <f>'PRPM WP2'!C450</f>
        <v>2.3200000000000002E-2</v>
      </c>
      <c r="H449" s="1380">
        <f>'PRPM WP2'!H450</f>
        <v>3.6416666666666667E-3</v>
      </c>
      <c r="I449" s="1373">
        <f t="shared" si="6"/>
        <v>1.9558333333333334E-2</v>
      </c>
      <c r="J449" s="1371">
        <v>23102</v>
      </c>
    </row>
    <row r="450" spans="2:10" x14ac:dyDescent="0.45">
      <c r="B450" s="1371">
        <v>23132</v>
      </c>
      <c r="C450" s="1370" t="s">
        <v>7147</v>
      </c>
      <c r="F450" s="1380">
        <f>'PRPM WP2'!C451</f>
        <v>7.000000000000001E-3</v>
      </c>
      <c r="H450" s="1380">
        <f>'PRPM WP2'!H451</f>
        <v>3.6416666666666667E-3</v>
      </c>
      <c r="I450" s="1373">
        <f t="shared" si="6"/>
        <v>3.3583333333333343E-3</v>
      </c>
      <c r="J450" s="1371">
        <v>23132</v>
      </c>
    </row>
    <row r="451" spans="2:10" x14ac:dyDescent="0.45">
      <c r="B451" s="1371">
        <v>23163</v>
      </c>
      <c r="C451" s="1370" t="s">
        <v>7147</v>
      </c>
      <c r="F451" s="1380">
        <f>'PRPM WP2'!C452</f>
        <v>-1.2299999999999998E-2</v>
      </c>
      <c r="H451" s="1380">
        <f>'PRPM WP2'!H452</f>
        <v>3.6416666666666667E-3</v>
      </c>
      <c r="I451" s="1373">
        <f t="shared" si="6"/>
        <v>-1.5941666666666666E-2</v>
      </c>
      <c r="J451" s="1371">
        <v>23163</v>
      </c>
    </row>
    <row r="452" spans="2:10" x14ac:dyDescent="0.45">
      <c r="B452" s="1371">
        <v>23193</v>
      </c>
      <c r="C452" s="1370" t="s">
        <v>7147</v>
      </c>
      <c r="F452" s="1380">
        <f>'PRPM WP2'!C453</f>
        <v>1.23E-2</v>
      </c>
      <c r="H452" s="1380">
        <f>'PRPM WP2'!H453</f>
        <v>3.6583333333333329E-3</v>
      </c>
      <c r="I452" s="1373">
        <f t="shared" si="6"/>
        <v>8.6416666666666673E-3</v>
      </c>
      <c r="J452" s="1371">
        <v>23193</v>
      </c>
    </row>
    <row r="453" spans="2:10" x14ac:dyDescent="0.45">
      <c r="B453" s="1371">
        <v>23224</v>
      </c>
      <c r="C453" s="1370" t="s">
        <v>7147</v>
      </c>
      <c r="F453" s="1380">
        <f>'PRPM WP2'!C454</f>
        <v>4.2500000000000003E-2</v>
      </c>
      <c r="H453" s="1380">
        <f>'PRPM WP2'!H454</f>
        <v>3.65E-3</v>
      </c>
      <c r="I453" s="1373">
        <f t="shared" si="6"/>
        <v>3.8850000000000003E-2</v>
      </c>
      <c r="J453" s="1371">
        <v>23224</v>
      </c>
    </row>
    <row r="454" spans="2:10" x14ac:dyDescent="0.45">
      <c r="B454" s="1371">
        <v>23255</v>
      </c>
      <c r="C454" s="1370" t="s">
        <v>7147</v>
      </c>
      <c r="F454" s="1380">
        <f>'PRPM WP2'!C455</f>
        <v>-2.58E-2</v>
      </c>
      <c r="H454" s="1380">
        <f>'PRPM WP2'!H455</f>
        <v>3.666666666666667E-3</v>
      </c>
      <c r="I454" s="1373">
        <f t="shared" si="6"/>
        <v>-2.9466666666666669E-2</v>
      </c>
      <c r="J454" s="1371">
        <v>23255</v>
      </c>
    </row>
    <row r="455" spans="2:10" x14ac:dyDescent="0.45">
      <c r="B455" s="1371">
        <v>23285</v>
      </c>
      <c r="C455" s="1370" t="s">
        <v>7147</v>
      </c>
      <c r="F455" s="1380">
        <f>'PRPM WP2'!C456</f>
        <v>-3.3E-3</v>
      </c>
      <c r="H455" s="1380">
        <f>'PRPM WP2'!H456</f>
        <v>3.6749999999999999E-3</v>
      </c>
      <c r="I455" s="1373">
        <f t="shared" si="6"/>
        <v>-6.9750000000000003E-3</v>
      </c>
      <c r="J455" s="1371">
        <v>23285</v>
      </c>
    </row>
    <row r="456" spans="2:10" x14ac:dyDescent="0.45">
      <c r="B456" s="1371">
        <v>23316</v>
      </c>
      <c r="C456" s="1370" t="s">
        <v>7147</v>
      </c>
      <c r="F456" s="1380">
        <f>'PRPM WP2'!C457</f>
        <v>-8.199999999999999E-3</v>
      </c>
      <c r="H456" s="1380">
        <f>'PRPM WP2'!H457</f>
        <v>3.6833333333333336E-3</v>
      </c>
      <c r="I456" s="1373">
        <f t="shared" si="6"/>
        <v>-1.1883333333333333E-2</v>
      </c>
      <c r="J456" s="1371">
        <v>23316</v>
      </c>
    </row>
    <row r="457" spans="2:10" x14ac:dyDescent="0.45">
      <c r="B457" s="1371">
        <v>23346</v>
      </c>
      <c r="C457" s="1370" t="s">
        <v>7147</v>
      </c>
      <c r="F457" s="1380">
        <f>'PRPM WP2'!C458</f>
        <v>3.1699999999999999E-2</v>
      </c>
      <c r="H457" s="1380">
        <f>'PRPM WP2'!H458</f>
        <v>3.7166666666666663E-3</v>
      </c>
      <c r="I457" s="1373">
        <f t="shared" si="6"/>
        <v>2.7983333333333332E-2</v>
      </c>
      <c r="J457" s="1371">
        <v>23346</v>
      </c>
    </row>
    <row r="458" spans="2:10" x14ac:dyDescent="0.45">
      <c r="B458" s="1371">
        <v>23377</v>
      </c>
      <c r="C458" s="1370" t="s">
        <v>7147</v>
      </c>
      <c r="F458" s="1380">
        <f>'PRPM WP2'!C459</f>
        <v>1.2699999999999999E-2</v>
      </c>
      <c r="H458" s="1380">
        <f>'PRPM WP2'!H459</f>
        <v>3.741666666666667E-3</v>
      </c>
      <c r="I458" s="1373">
        <f t="shared" si="6"/>
        <v>8.958333333333332E-3</v>
      </c>
      <c r="J458" s="1371">
        <v>23377</v>
      </c>
    </row>
    <row r="459" spans="2:10" x14ac:dyDescent="0.45">
      <c r="B459" s="1371">
        <v>23408</v>
      </c>
      <c r="C459" s="1370" t="s">
        <v>7147</v>
      </c>
      <c r="F459" s="1380">
        <f>'PRPM WP2'!C460</f>
        <v>3.2000000000000002E-3</v>
      </c>
      <c r="H459" s="1380">
        <f>'PRPM WP2'!H460</f>
        <v>3.7499999999999999E-3</v>
      </c>
      <c r="I459" s="1373">
        <f t="shared" si="6"/>
        <v>-5.4999999999999971E-4</v>
      </c>
      <c r="J459" s="1371">
        <v>23408</v>
      </c>
    </row>
    <row r="460" spans="2:10" x14ac:dyDescent="0.45">
      <c r="B460" s="1371">
        <v>23437</v>
      </c>
      <c r="C460" s="1370" t="s">
        <v>7147</v>
      </c>
      <c r="F460" s="1380">
        <f>'PRPM WP2'!C461</f>
        <v>-3.5000000000000005E-3</v>
      </c>
      <c r="H460" s="1380">
        <f>'PRPM WP2'!H461</f>
        <v>3.7583333333333331E-3</v>
      </c>
      <c r="I460" s="1373">
        <f t="shared" si="6"/>
        <v>-7.2583333333333337E-3</v>
      </c>
      <c r="J460" s="1371">
        <v>23437</v>
      </c>
    </row>
    <row r="461" spans="2:10" x14ac:dyDescent="0.45">
      <c r="B461" s="1371">
        <v>23468</v>
      </c>
      <c r="C461" s="1370" t="s">
        <v>7147</v>
      </c>
      <c r="F461" s="1380">
        <f>'PRPM WP2'!C462</f>
        <v>6.6999999999999994E-3</v>
      </c>
      <c r="H461" s="1380">
        <f>'PRPM WP2'!H462</f>
        <v>3.7666666666666664E-3</v>
      </c>
      <c r="I461" s="1373">
        <f t="shared" si="6"/>
        <v>2.9333333333333329E-3</v>
      </c>
      <c r="J461" s="1371">
        <v>23468</v>
      </c>
    </row>
    <row r="462" spans="2:10" x14ac:dyDescent="0.45">
      <c r="B462" s="1371">
        <v>23498</v>
      </c>
      <c r="C462" s="1370" t="s">
        <v>7147</v>
      </c>
      <c r="F462" s="1380">
        <f>'PRPM WP2'!C463</f>
        <v>3.2000000000000002E-3</v>
      </c>
      <c r="H462" s="1380">
        <f>'PRPM WP2'!H463</f>
        <v>3.7750000000000001E-3</v>
      </c>
      <c r="I462" s="1373">
        <f t="shared" si="6"/>
        <v>-5.7499999999999999E-4</v>
      </c>
      <c r="J462" s="1371">
        <v>23498</v>
      </c>
    </row>
    <row r="463" spans="2:10" x14ac:dyDescent="0.45">
      <c r="B463" s="1371">
        <v>23529</v>
      </c>
      <c r="C463" s="1370" t="s">
        <v>7147</v>
      </c>
      <c r="F463" s="1380">
        <f>'PRPM WP2'!C464</f>
        <v>2.3399999999999997E-2</v>
      </c>
      <c r="H463" s="1380">
        <f>'PRPM WP2'!H464</f>
        <v>3.7916666666666667E-3</v>
      </c>
      <c r="I463" s="1373">
        <f t="shared" si="6"/>
        <v>1.9608333333333332E-2</v>
      </c>
      <c r="J463" s="1371">
        <v>23529</v>
      </c>
    </row>
    <row r="464" spans="2:10" x14ac:dyDescent="0.45">
      <c r="B464" s="1371">
        <v>23559</v>
      </c>
      <c r="C464" s="1370" t="s">
        <v>7147</v>
      </c>
      <c r="F464" s="1380">
        <f>'PRPM WP2'!C465</f>
        <v>4.7100000000000003E-2</v>
      </c>
      <c r="H464" s="1380">
        <f>'PRPM WP2'!H465</f>
        <v>3.7833333333333334E-3</v>
      </c>
      <c r="I464" s="1373">
        <f t="shared" si="6"/>
        <v>4.331666666666667E-2</v>
      </c>
      <c r="J464" s="1371">
        <v>23559</v>
      </c>
    </row>
    <row r="465" spans="2:10" x14ac:dyDescent="0.45">
      <c r="B465" s="1371">
        <v>23590</v>
      </c>
      <c r="C465" s="1370" t="s">
        <v>7147</v>
      </c>
      <c r="F465" s="1380">
        <f>'PRPM WP2'!C466</f>
        <v>3.1000000000000003E-3</v>
      </c>
      <c r="H465" s="1380">
        <f>'PRPM WP2'!H466</f>
        <v>3.7833333333333334E-3</v>
      </c>
      <c r="I465" s="1373">
        <f t="shared" si="6"/>
        <v>-6.833333333333331E-4</v>
      </c>
      <c r="J465" s="1371">
        <v>23590</v>
      </c>
    </row>
    <row r="466" spans="2:10" x14ac:dyDescent="0.45">
      <c r="B466" s="1371">
        <v>23621</v>
      </c>
      <c r="C466" s="1370" t="s">
        <v>7147</v>
      </c>
      <c r="F466" s="1380">
        <f>'PRPM WP2'!C467</f>
        <v>1.7000000000000001E-2</v>
      </c>
      <c r="H466" s="1380">
        <f>'PRPM WP2'!H467</f>
        <v>3.7750000000000001E-3</v>
      </c>
      <c r="I466" s="1373">
        <f t="shared" si="6"/>
        <v>1.3225000000000001E-2</v>
      </c>
      <c r="J466" s="1371">
        <v>23621</v>
      </c>
    </row>
    <row r="467" spans="2:10" x14ac:dyDescent="0.45">
      <c r="B467" s="1371">
        <v>23651</v>
      </c>
      <c r="C467" s="1370" t="s">
        <v>7147</v>
      </c>
      <c r="F467" s="1380">
        <f>'PRPM WP2'!C468</f>
        <v>1.6500000000000001E-2</v>
      </c>
      <c r="H467" s="1380">
        <f>'PRPM WP2'!H468</f>
        <v>3.7583333333333331E-3</v>
      </c>
      <c r="I467" s="1373">
        <f t="shared" si="6"/>
        <v>1.2741666666666669E-2</v>
      </c>
      <c r="J467" s="1371">
        <v>23651</v>
      </c>
    </row>
    <row r="468" spans="2:10" x14ac:dyDescent="0.45">
      <c r="B468" s="1371">
        <v>23682</v>
      </c>
      <c r="C468" s="1370" t="s">
        <v>7147</v>
      </c>
      <c r="F468" s="1380">
        <f>'PRPM WP2'!C469</f>
        <v>1.14E-2</v>
      </c>
      <c r="H468" s="1380">
        <f>'PRPM WP2'!H469</f>
        <v>3.7750000000000001E-3</v>
      </c>
      <c r="I468" s="1373">
        <f t="shared" si="6"/>
        <v>7.6249999999999998E-3</v>
      </c>
      <c r="J468" s="1371">
        <v>23682</v>
      </c>
    </row>
    <row r="469" spans="2:10" x14ac:dyDescent="0.45">
      <c r="B469" s="1371">
        <v>23712</v>
      </c>
      <c r="C469" s="1370" t="s">
        <v>7147</v>
      </c>
      <c r="F469" s="1380">
        <f>'PRPM WP2'!C470</f>
        <v>8.6E-3</v>
      </c>
      <c r="H469" s="1380">
        <f>'PRPM WP2'!H470</f>
        <v>3.7833333333333334E-3</v>
      </c>
      <c r="I469" s="1373">
        <f t="shared" si="6"/>
        <v>4.816666666666667E-3</v>
      </c>
      <c r="J469" s="1371">
        <v>23712</v>
      </c>
    </row>
    <row r="470" spans="2:10" x14ac:dyDescent="0.45">
      <c r="B470" s="1371">
        <v>23743</v>
      </c>
      <c r="C470" s="1370" t="s">
        <v>7147</v>
      </c>
      <c r="F470" s="1380">
        <f>'PRPM WP2'!C471</f>
        <v>3.7100000000000001E-2</v>
      </c>
      <c r="H470" s="1380">
        <f>'PRPM WP2'!H471</f>
        <v>3.7750000000000001E-3</v>
      </c>
      <c r="I470" s="1373">
        <f t="shared" si="6"/>
        <v>3.3325E-2</v>
      </c>
      <c r="J470" s="1371">
        <v>23743</v>
      </c>
    </row>
    <row r="471" spans="2:10" x14ac:dyDescent="0.45">
      <c r="B471" s="1371">
        <v>23774</v>
      </c>
      <c r="C471" s="1370" t="s">
        <v>7147</v>
      </c>
      <c r="F471" s="1380">
        <f>'PRPM WP2'!C472</f>
        <v>8.9999999999999998E-4</v>
      </c>
      <c r="H471" s="1380">
        <f>'PRPM WP2'!H472</f>
        <v>3.7583333333333331E-3</v>
      </c>
      <c r="I471" s="1373">
        <f t="shared" si="6"/>
        <v>-2.8583333333333334E-3</v>
      </c>
      <c r="J471" s="1371">
        <v>23774</v>
      </c>
    </row>
    <row r="472" spans="2:10" x14ac:dyDescent="0.45">
      <c r="B472" s="1371">
        <v>23802</v>
      </c>
      <c r="C472" s="1370" t="s">
        <v>7147</v>
      </c>
      <c r="F472" s="1380">
        <f>'PRPM WP2'!C473</f>
        <v>6.9999999999999988E-4</v>
      </c>
      <c r="H472" s="1380">
        <f>'PRPM WP2'!H473</f>
        <v>3.7499999999999999E-3</v>
      </c>
      <c r="I472" s="1373">
        <f t="shared" si="6"/>
        <v>-3.0499999999999998E-3</v>
      </c>
      <c r="J472" s="1371">
        <v>23802</v>
      </c>
    </row>
    <row r="473" spans="2:10" x14ac:dyDescent="0.45">
      <c r="B473" s="1371">
        <v>23833</v>
      </c>
      <c r="C473" s="1370" t="s">
        <v>7147</v>
      </c>
      <c r="F473" s="1380">
        <f>'PRPM WP2'!C474</f>
        <v>1.09E-2</v>
      </c>
      <c r="H473" s="1380">
        <f>'PRPM WP2'!H474</f>
        <v>3.741666666666667E-3</v>
      </c>
      <c r="I473" s="1373">
        <f t="shared" si="6"/>
        <v>7.1583333333333325E-3</v>
      </c>
      <c r="J473" s="1371">
        <v>23833</v>
      </c>
    </row>
    <row r="474" spans="2:10" x14ac:dyDescent="0.45">
      <c r="B474" s="1371">
        <v>23863</v>
      </c>
      <c r="C474" s="1370" t="s">
        <v>7147</v>
      </c>
      <c r="F474" s="1380">
        <f>'PRPM WP2'!C475</f>
        <v>-8.3999999999999995E-3</v>
      </c>
      <c r="H474" s="1380">
        <f>'PRPM WP2'!H475</f>
        <v>3.7499999999999999E-3</v>
      </c>
      <c r="I474" s="1373">
        <f t="shared" ref="I474:I537" si="7">F474-H474</f>
        <v>-1.2149999999999999E-2</v>
      </c>
      <c r="J474" s="1371">
        <v>23863</v>
      </c>
    </row>
    <row r="475" spans="2:10" x14ac:dyDescent="0.45">
      <c r="B475" s="1371">
        <v>23894</v>
      </c>
      <c r="C475" s="1370" t="s">
        <v>7147</v>
      </c>
      <c r="F475" s="1380">
        <f>'PRPM WP2'!C476</f>
        <v>-3.4000000000000002E-2</v>
      </c>
      <c r="H475" s="1380">
        <f>'PRPM WP2'!H476</f>
        <v>3.7666666666666664E-3</v>
      </c>
      <c r="I475" s="1373">
        <f t="shared" si="7"/>
        <v>-3.7766666666666671E-2</v>
      </c>
      <c r="J475" s="1371">
        <v>23894</v>
      </c>
    </row>
    <row r="476" spans="2:10" x14ac:dyDescent="0.45">
      <c r="B476" s="1371">
        <v>23924</v>
      </c>
      <c r="C476" s="1370" t="s">
        <v>7147</v>
      </c>
      <c r="F476" s="1380">
        <f>'PRPM WP2'!C477</f>
        <v>1.0500000000000001E-2</v>
      </c>
      <c r="H476" s="1380">
        <f>'PRPM WP2'!H477</f>
        <v>3.7833333333333334E-3</v>
      </c>
      <c r="I476" s="1373">
        <f t="shared" si="7"/>
        <v>6.7166666666666677E-3</v>
      </c>
      <c r="J476" s="1371">
        <v>23924</v>
      </c>
    </row>
    <row r="477" spans="2:10" x14ac:dyDescent="0.45">
      <c r="B477" s="1371">
        <v>23955</v>
      </c>
      <c r="C477" s="1370" t="s">
        <v>7147</v>
      </c>
      <c r="F477" s="1380">
        <f>'PRPM WP2'!C478</f>
        <v>9.7000000000000003E-3</v>
      </c>
      <c r="H477" s="1380">
        <f>'PRPM WP2'!H478</f>
        <v>3.8166666666666666E-3</v>
      </c>
      <c r="I477" s="1373">
        <f t="shared" si="7"/>
        <v>5.8833333333333342E-3</v>
      </c>
      <c r="J477" s="1371">
        <v>23955</v>
      </c>
    </row>
    <row r="478" spans="2:10" x14ac:dyDescent="0.45">
      <c r="B478" s="1371">
        <v>23986</v>
      </c>
      <c r="C478" s="1370" t="s">
        <v>7147</v>
      </c>
      <c r="F478" s="1380">
        <f>'PRPM WP2'!C479</f>
        <v>1.9400000000000001E-2</v>
      </c>
      <c r="H478" s="1380">
        <f>'PRPM WP2'!H479</f>
        <v>3.858333333333333E-3</v>
      </c>
      <c r="I478" s="1373">
        <f t="shared" si="7"/>
        <v>1.5541666666666667E-2</v>
      </c>
      <c r="J478" s="1371">
        <v>23986</v>
      </c>
    </row>
    <row r="479" spans="2:10" x14ac:dyDescent="0.45">
      <c r="B479" s="1371">
        <v>24016</v>
      </c>
      <c r="C479" s="1370" t="s">
        <v>7147</v>
      </c>
      <c r="F479" s="1380">
        <f>'PRPM WP2'!C480</f>
        <v>1.2900000000000002E-2</v>
      </c>
      <c r="H479" s="1380">
        <f>'PRPM WP2'!H480</f>
        <v>3.8833333333333337E-3</v>
      </c>
      <c r="I479" s="1373">
        <f t="shared" si="7"/>
        <v>9.0166666666666676E-3</v>
      </c>
      <c r="J479" s="1371">
        <v>24016</v>
      </c>
    </row>
    <row r="480" spans="2:10" x14ac:dyDescent="0.45">
      <c r="B480" s="1371">
        <v>24047</v>
      </c>
      <c r="C480" s="1370" t="s">
        <v>7147</v>
      </c>
      <c r="F480" s="1380">
        <f>'PRPM WP2'!C481</f>
        <v>-1.1599999999999999E-2</v>
      </c>
      <c r="H480" s="1380">
        <f>'PRPM WP2'!H481</f>
        <v>3.9250000000000005E-3</v>
      </c>
      <c r="I480" s="1373">
        <f t="shared" si="7"/>
        <v>-1.5525000000000001E-2</v>
      </c>
      <c r="J480" s="1371">
        <v>24047</v>
      </c>
    </row>
    <row r="481" spans="2:10" x14ac:dyDescent="0.45">
      <c r="B481" s="1371">
        <v>24077</v>
      </c>
      <c r="C481" s="1370" t="s">
        <v>7147</v>
      </c>
      <c r="F481" s="1380">
        <f>'PRPM WP2'!C482</f>
        <v>-7.9999999999999993E-4</v>
      </c>
      <c r="H481" s="1380">
        <f>'PRPM WP2'!H482</f>
        <v>4.0249999999999999E-3</v>
      </c>
      <c r="I481" s="1373">
        <f t="shared" si="7"/>
        <v>-4.8249999999999994E-3</v>
      </c>
      <c r="J481" s="1371">
        <v>24077</v>
      </c>
    </row>
    <row r="482" spans="2:10" x14ac:dyDescent="0.45">
      <c r="B482" s="1371">
        <v>24108</v>
      </c>
      <c r="C482" s="1370" t="s">
        <v>7147</v>
      </c>
      <c r="F482" s="1380">
        <f>'PRPM WP2'!C483</f>
        <v>-2.9699999999999997E-2</v>
      </c>
      <c r="H482" s="1380">
        <f>'PRPM WP2'!H483</f>
        <v>4.0500000000000006E-3</v>
      </c>
      <c r="I482" s="1373">
        <f t="shared" si="7"/>
        <v>-3.3749999999999995E-2</v>
      </c>
      <c r="J482" s="1371">
        <v>24108</v>
      </c>
    </row>
    <row r="483" spans="2:10" x14ac:dyDescent="0.45">
      <c r="B483" s="1371">
        <v>24139</v>
      </c>
      <c r="C483" s="1370" t="s">
        <v>7147</v>
      </c>
      <c r="F483" s="1380">
        <f>'PRPM WP2'!C484</f>
        <v>-4.1399999999999999E-2</v>
      </c>
      <c r="H483" s="1380">
        <f>'PRPM WP2'!H484</f>
        <v>4.0999999999999995E-3</v>
      </c>
      <c r="I483" s="1373">
        <f t="shared" si="7"/>
        <v>-4.5499999999999999E-2</v>
      </c>
      <c r="J483" s="1371">
        <v>24139</v>
      </c>
    </row>
    <row r="484" spans="2:10" x14ac:dyDescent="0.45">
      <c r="B484" s="1371">
        <v>24167</v>
      </c>
      <c r="C484" s="1370" t="s">
        <v>7147</v>
      </c>
      <c r="F484" s="1380">
        <f>'PRPM WP2'!C485</f>
        <v>-4.5000000000000005E-3</v>
      </c>
      <c r="H484" s="1380">
        <f>'PRPM WP2'!H485</f>
        <v>4.2833333333333326E-3</v>
      </c>
      <c r="I484" s="1373">
        <f t="shared" si="7"/>
        <v>-8.783333333333334E-3</v>
      </c>
      <c r="J484" s="1371">
        <v>24167</v>
      </c>
    </row>
    <row r="485" spans="2:10" x14ac:dyDescent="0.45">
      <c r="B485" s="1371">
        <v>24198</v>
      </c>
      <c r="C485" s="1370" t="s">
        <v>7147</v>
      </c>
      <c r="F485" s="1380">
        <f>'PRPM WP2'!C486</f>
        <v>1.72E-2</v>
      </c>
      <c r="H485" s="1380">
        <f>'PRPM WP2'!H486</f>
        <v>4.3750000000000004E-3</v>
      </c>
      <c r="I485" s="1373">
        <f t="shared" si="7"/>
        <v>1.2825E-2</v>
      </c>
      <c r="J485" s="1371">
        <v>24198</v>
      </c>
    </row>
    <row r="486" spans="2:10" x14ac:dyDescent="0.45">
      <c r="B486" s="1371">
        <v>24228</v>
      </c>
      <c r="C486" s="1370" t="s">
        <v>7147</v>
      </c>
      <c r="F486" s="1380">
        <f>'PRPM WP2'!C487</f>
        <v>-2.9600000000000001E-2</v>
      </c>
      <c r="H486" s="1380">
        <f>'PRPM WP2'!H487</f>
        <v>4.3750000000000004E-3</v>
      </c>
      <c r="I486" s="1373">
        <f t="shared" si="7"/>
        <v>-3.3975000000000005E-2</v>
      </c>
      <c r="J486" s="1371">
        <v>24228</v>
      </c>
    </row>
    <row r="487" spans="2:10" x14ac:dyDescent="0.45">
      <c r="B487" s="1371">
        <v>24259</v>
      </c>
      <c r="C487" s="1370" t="s">
        <v>7147</v>
      </c>
      <c r="F487" s="1380">
        <f>'PRPM WP2'!C488</f>
        <v>-1.8099999999999998E-2</v>
      </c>
      <c r="H487" s="1380">
        <f>'PRPM WP2'!H488</f>
        <v>4.5000000000000005E-3</v>
      </c>
      <c r="I487" s="1373">
        <f t="shared" si="7"/>
        <v>-2.2599999999999999E-2</v>
      </c>
      <c r="J487" s="1371">
        <v>24259</v>
      </c>
    </row>
    <row r="488" spans="2:10" x14ac:dyDescent="0.45">
      <c r="B488" s="1371">
        <v>24289</v>
      </c>
      <c r="C488" s="1370" t="s">
        <v>7147</v>
      </c>
      <c r="F488" s="1380">
        <f>'PRPM WP2'!C489</f>
        <v>9.0000000000000019E-4</v>
      </c>
      <c r="H488" s="1380">
        <f>'PRPM WP2'!H489</f>
        <v>4.5416666666666669E-3</v>
      </c>
      <c r="I488" s="1373">
        <f t="shared" si="7"/>
        <v>-3.6416666666666667E-3</v>
      </c>
      <c r="J488" s="1371">
        <v>24289</v>
      </c>
    </row>
    <row r="489" spans="2:10" x14ac:dyDescent="0.45">
      <c r="B489" s="1371">
        <v>24320</v>
      </c>
      <c r="C489" s="1370" t="s">
        <v>7147</v>
      </c>
      <c r="F489" s="1380">
        <f>'PRPM WP2'!C490</f>
        <v>-8.7499999999999994E-2</v>
      </c>
      <c r="H489" s="1380">
        <f>'PRPM WP2'!H490</f>
        <v>4.6500000000000005E-3</v>
      </c>
      <c r="I489" s="1373">
        <f t="shared" si="7"/>
        <v>-9.2149999999999996E-2</v>
      </c>
      <c r="J489" s="1371">
        <v>24320</v>
      </c>
    </row>
    <row r="490" spans="2:10" x14ac:dyDescent="0.45">
      <c r="B490" s="1371">
        <v>24351</v>
      </c>
      <c r="C490" s="1370" t="s">
        <v>7147</v>
      </c>
      <c r="F490" s="1380">
        <f>'PRPM WP2'!C491</f>
        <v>4.7500000000000001E-2</v>
      </c>
      <c r="H490" s="1380">
        <f>'PRPM WP2'!H491</f>
        <v>4.8416666666666669E-3</v>
      </c>
      <c r="I490" s="1373">
        <f t="shared" si="7"/>
        <v>4.2658333333333333E-2</v>
      </c>
      <c r="J490" s="1371">
        <v>24351</v>
      </c>
    </row>
    <row r="491" spans="2:10" x14ac:dyDescent="0.45">
      <c r="B491" s="1371">
        <v>24381</v>
      </c>
      <c r="C491" s="1370" t="s">
        <v>7147</v>
      </c>
      <c r="F491" s="1380">
        <f>'PRPM WP2'!C492</f>
        <v>9.7000000000000017E-2</v>
      </c>
      <c r="H491" s="1380">
        <f>'PRPM WP2'!H492</f>
        <v>4.783333333333333E-3</v>
      </c>
      <c r="I491" s="1373">
        <f t="shared" si="7"/>
        <v>9.2216666666666683E-2</v>
      </c>
      <c r="J491" s="1371">
        <v>24381</v>
      </c>
    </row>
    <row r="492" spans="2:10" x14ac:dyDescent="0.45">
      <c r="B492" s="1371">
        <v>24412</v>
      </c>
      <c r="C492" s="1370" t="s">
        <v>7147</v>
      </c>
      <c r="F492" s="1380">
        <f>'PRPM WP2'!C493</f>
        <v>-7.6E-3</v>
      </c>
      <c r="H492" s="1380">
        <f>'PRPM WP2'!H493</f>
        <v>4.6916666666666669E-3</v>
      </c>
      <c r="I492" s="1373">
        <f t="shared" si="7"/>
        <v>-1.2291666666666666E-2</v>
      </c>
      <c r="J492" s="1371">
        <v>24412</v>
      </c>
    </row>
    <row r="493" spans="2:10" x14ac:dyDescent="0.45">
      <c r="B493" s="1371">
        <v>24442</v>
      </c>
      <c r="C493" s="1370" t="s">
        <v>7147</v>
      </c>
      <c r="F493" s="1380">
        <f>'PRPM WP2'!C494</f>
        <v>2.2099999999999998E-2</v>
      </c>
      <c r="H493" s="1380">
        <f>'PRPM WP2'!H494</f>
        <v>4.725E-3</v>
      </c>
      <c r="I493" s="1373">
        <f t="shared" si="7"/>
        <v>1.7374999999999998E-2</v>
      </c>
      <c r="J493" s="1371">
        <v>24442</v>
      </c>
    </row>
    <row r="494" spans="2:10" x14ac:dyDescent="0.45">
      <c r="B494" s="1371">
        <v>24473</v>
      </c>
      <c r="C494" s="1370" t="s">
        <v>7147</v>
      </c>
      <c r="F494" s="1380">
        <f>'PRPM WP2'!C495</f>
        <v>2.7100000000000003E-2</v>
      </c>
      <c r="H494" s="1380">
        <f>'PRPM WP2'!H495</f>
        <v>4.5500000000000002E-3</v>
      </c>
      <c r="I494" s="1373">
        <f t="shared" si="7"/>
        <v>2.2550000000000001E-2</v>
      </c>
      <c r="J494" s="1371">
        <v>24473</v>
      </c>
    </row>
    <row r="495" spans="2:10" x14ac:dyDescent="0.45">
      <c r="B495" s="1371">
        <v>24504</v>
      </c>
      <c r="C495" s="1370" t="s">
        <v>7147</v>
      </c>
      <c r="F495" s="1380">
        <f>'PRPM WP2'!C496</f>
        <v>-1.5699999999999999E-2</v>
      </c>
      <c r="H495" s="1380">
        <f>'PRPM WP2'!H496</f>
        <v>4.4000000000000003E-3</v>
      </c>
      <c r="I495" s="1373">
        <f t="shared" si="7"/>
        <v>-2.01E-2</v>
      </c>
      <c r="J495" s="1371">
        <v>24504</v>
      </c>
    </row>
    <row r="496" spans="2:10" x14ac:dyDescent="0.45">
      <c r="B496" s="1371">
        <v>24532</v>
      </c>
      <c r="C496" s="1370" t="s">
        <v>7147</v>
      </c>
      <c r="F496" s="1380">
        <f>'PRPM WP2'!C497</f>
        <v>1.9700000000000002E-2</v>
      </c>
      <c r="H496" s="1380">
        <f>'PRPM WP2'!H497</f>
        <v>4.5333333333333337E-3</v>
      </c>
      <c r="I496" s="1373">
        <f t="shared" si="7"/>
        <v>1.5166666666666669E-2</v>
      </c>
      <c r="J496" s="1371">
        <v>24532</v>
      </c>
    </row>
    <row r="497" spans="2:10" x14ac:dyDescent="0.45">
      <c r="B497" s="1371">
        <v>24563</v>
      </c>
      <c r="C497" s="1370" t="s">
        <v>7147</v>
      </c>
      <c r="F497" s="1380">
        <f>'PRPM WP2'!C498</f>
        <v>2.0199999999999999E-2</v>
      </c>
      <c r="H497" s="1380">
        <f>'PRPM WP2'!H498</f>
        <v>4.5166666666666662E-3</v>
      </c>
      <c r="I497" s="1373">
        <f t="shared" si="7"/>
        <v>1.5683333333333334E-2</v>
      </c>
      <c r="J497" s="1371">
        <v>24563</v>
      </c>
    </row>
    <row r="498" spans="2:10" x14ac:dyDescent="0.45">
      <c r="B498" s="1371">
        <v>24593</v>
      </c>
      <c r="C498" s="1370" t="s">
        <v>7147</v>
      </c>
      <c r="F498" s="1380">
        <f>'PRPM WP2'!C499</f>
        <v>-5.0600000000000006E-2</v>
      </c>
      <c r="H498" s="1380">
        <f>'PRPM WP2'!H499</f>
        <v>4.7166666666666668E-3</v>
      </c>
      <c r="I498" s="1373">
        <f t="shared" si="7"/>
        <v>-5.5316666666666674E-2</v>
      </c>
      <c r="J498" s="1371">
        <v>24593</v>
      </c>
    </row>
    <row r="499" spans="2:10" x14ac:dyDescent="0.45">
      <c r="B499" s="1371">
        <v>24624</v>
      </c>
      <c r="C499" s="1370" t="s">
        <v>7147</v>
      </c>
      <c r="F499" s="1380">
        <f>'PRPM WP2'!C500</f>
        <v>-1.3100000000000001E-2</v>
      </c>
      <c r="H499" s="1380">
        <f>'PRPM WP2'!H500</f>
        <v>4.8666666666666667E-3</v>
      </c>
      <c r="I499" s="1373">
        <f t="shared" si="7"/>
        <v>-1.7966666666666666E-2</v>
      </c>
      <c r="J499" s="1371">
        <v>24624</v>
      </c>
    </row>
    <row r="500" spans="2:10" x14ac:dyDescent="0.45">
      <c r="B500" s="1371">
        <v>24654</v>
      </c>
      <c r="C500" s="1370" t="s">
        <v>7147</v>
      </c>
      <c r="F500" s="1380">
        <f>'PRPM WP2'!C501</f>
        <v>2.0399999999999995E-2</v>
      </c>
      <c r="H500" s="1380">
        <f>'PRPM WP2'!H501</f>
        <v>4.9500000000000004E-3</v>
      </c>
      <c r="I500" s="1373">
        <f t="shared" si="7"/>
        <v>1.5449999999999995E-2</v>
      </c>
      <c r="J500" s="1371">
        <v>24654</v>
      </c>
    </row>
    <row r="501" spans="2:10" x14ac:dyDescent="0.45">
      <c r="B501" s="1371">
        <v>24685</v>
      </c>
      <c r="C501" s="1370" t="s">
        <v>7147</v>
      </c>
      <c r="F501" s="1380">
        <f>'PRPM WP2'!C502</f>
        <v>-6.5000000000000006E-3</v>
      </c>
      <c r="H501" s="1380">
        <f>'PRPM WP2'!H502</f>
        <v>4.9666666666666661E-3</v>
      </c>
      <c r="I501" s="1373">
        <f t="shared" si="7"/>
        <v>-1.1466666666666667E-2</v>
      </c>
      <c r="J501" s="1371">
        <v>24685</v>
      </c>
    </row>
    <row r="502" spans="2:10" x14ac:dyDescent="0.45">
      <c r="B502" s="1371">
        <v>24716</v>
      </c>
      <c r="C502" s="1370" t="s">
        <v>7147</v>
      </c>
      <c r="F502" s="1380">
        <f>'PRPM WP2'!C503</f>
        <v>-3.7000000000000002E-3</v>
      </c>
      <c r="H502" s="1380">
        <f>'PRPM WP2'!H503</f>
        <v>5.0416666666666665E-3</v>
      </c>
      <c r="I502" s="1373">
        <f t="shared" si="7"/>
        <v>-8.7416666666666667E-3</v>
      </c>
      <c r="J502" s="1371">
        <v>24716</v>
      </c>
    </row>
    <row r="503" spans="2:10" x14ac:dyDescent="0.45">
      <c r="B503" s="1371">
        <v>24746</v>
      </c>
      <c r="C503" s="1370" t="s">
        <v>7147</v>
      </c>
      <c r="F503" s="1380">
        <f>'PRPM WP2'!C504</f>
        <v>-5.7200000000000001E-2</v>
      </c>
      <c r="H503" s="1380">
        <f>'PRPM WP2'!H504</f>
        <v>5.1500000000000001E-3</v>
      </c>
      <c r="I503" s="1373">
        <f t="shared" si="7"/>
        <v>-6.2350000000000003E-2</v>
      </c>
      <c r="J503" s="1371">
        <v>24746</v>
      </c>
    </row>
    <row r="504" spans="2:10" x14ac:dyDescent="0.45">
      <c r="B504" s="1371">
        <v>24777</v>
      </c>
      <c r="C504" s="1370" t="s">
        <v>7147</v>
      </c>
      <c r="F504" s="1380">
        <f>'PRPM WP2'!C505</f>
        <v>2.9300000000000003E-2</v>
      </c>
      <c r="H504" s="1380">
        <f>'PRPM WP2'!H505</f>
        <v>5.4000000000000003E-3</v>
      </c>
      <c r="I504" s="1373">
        <f t="shared" si="7"/>
        <v>2.3900000000000005E-2</v>
      </c>
      <c r="J504" s="1371">
        <v>24777</v>
      </c>
    </row>
    <row r="505" spans="2:10" x14ac:dyDescent="0.45">
      <c r="B505" s="1371">
        <v>24807</v>
      </c>
      <c r="C505" s="1370" t="s">
        <v>7147</v>
      </c>
      <c r="F505" s="1380">
        <f>'PRPM WP2'!C506</f>
        <v>2.86E-2</v>
      </c>
      <c r="H505" s="1380">
        <f>'PRPM WP2'!H506</f>
        <v>5.5583333333333327E-3</v>
      </c>
      <c r="I505" s="1373">
        <f t="shared" si="7"/>
        <v>2.3041666666666669E-2</v>
      </c>
      <c r="J505" s="1371">
        <v>24807</v>
      </c>
    </row>
    <row r="506" spans="2:10" x14ac:dyDescent="0.45">
      <c r="B506" s="1371">
        <v>24838</v>
      </c>
      <c r="C506" s="1370" t="s">
        <v>7147</v>
      </c>
      <c r="F506" s="1380">
        <f>'PRPM WP2'!C507</f>
        <v>8.199999999999999E-3</v>
      </c>
      <c r="H506" s="1380">
        <f>'PRPM WP2'!H507</f>
        <v>5.45E-3</v>
      </c>
      <c r="I506" s="1373">
        <f t="shared" si="7"/>
        <v>2.749999999999999E-3</v>
      </c>
      <c r="J506" s="1371">
        <v>24838</v>
      </c>
    </row>
    <row r="507" spans="2:10" x14ac:dyDescent="0.45">
      <c r="B507" s="1371">
        <v>24869</v>
      </c>
      <c r="C507" s="1370" t="s">
        <v>7147</v>
      </c>
      <c r="F507" s="1380">
        <f>'PRPM WP2'!C508</f>
        <v>-2.3300000000000001E-2</v>
      </c>
      <c r="H507" s="1380">
        <f>'PRPM WP2'!H508</f>
        <v>5.3083333333333342E-3</v>
      </c>
      <c r="I507" s="1373">
        <f t="shared" si="7"/>
        <v>-2.8608333333333336E-2</v>
      </c>
      <c r="J507" s="1371">
        <v>24869</v>
      </c>
    </row>
    <row r="508" spans="2:10" x14ac:dyDescent="0.45">
      <c r="B508" s="1371">
        <v>24898</v>
      </c>
      <c r="C508" s="1370" t="s">
        <v>7147</v>
      </c>
      <c r="F508" s="1380">
        <f>'PRPM WP2'!C509</f>
        <v>-3.9900000000000005E-2</v>
      </c>
      <c r="H508" s="1380">
        <f>'PRPM WP2'!H509</f>
        <v>5.3416666666666664E-3</v>
      </c>
      <c r="I508" s="1373">
        <f t="shared" si="7"/>
        <v>-4.5241666666666673E-2</v>
      </c>
      <c r="J508" s="1371">
        <v>24898</v>
      </c>
    </row>
    <row r="509" spans="2:10" x14ac:dyDescent="0.45">
      <c r="B509" s="1371">
        <v>24929</v>
      </c>
      <c r="C509" s="1370" t="s">
        <v>7147</v>
      </c>
      <c r="F509" s="1380">
        <f>'PRPM WP2'!C510</f>
        <v>2.75E-2</v>
      </c>
      <c r="H509" s="1380">
        <f>'PRPM WP2'!H510</f>
        <v>5.4833333333333331E-3</v>
      </c>
      <c r="I509" s="1373">
        <f t="shared" si="7"/>
        <v>2.2016666666666667E-2</v>
      </c>
      <c r="J509" s="1371">
        <v>24929</v>
      </c>
    </row>
    <row r="510" spans="2:10" x14ac:dyDescent="0.45">
      <c r="B510" s="1371">
        <v>24959</v>
      </c>
      <c r="C510" s="1370" t="s">
        <v>7147</v>
      </c>
      <c r="F510" s="1380">
        <f>'PRPM WP2'!C511</f>
        <v>-6.1999999999999998E-3</v>
      </c>
      <c r="H510" s="1380">
        <f>'PRPM WP2'!H511</f>
        <v>5.5166666666666662E-3</v>
      </c>
      <c r="I510" s="1373">
        <f t="shared" si="7"/>
        <v>-1.1716666666666667E-2</v>
      </c>
      <c r="J510" s="1371">
        <v>24959</v>
      </c>
    </row>
    <row r="511" spans="2:10" x14ac:dyDescent="0.45">
      <c r="B511" s="1371">
        <v>24990</v>
      </c>
      <c r="C511" s="1370" t="s">
        <v>7147</v>
      </c>
      <c r="F511" s="1380">
        <f>'PRPM WP2'!C512</f>
        <v>8.0700000000000008E-2</v>
      </c>
      <c r="H511" s="1380">
        <f>'PRPM WP2'!H512</f>
        <v>5.5166666666666662E-3</v>
      </c>
      <c r="I511" s="1373">
        <f t="shared" si="7"/>
        <v>7.5183333333333338E-2</v>
      </c>
      <c r="J511" s="1371">
        <v>24990</v>
      </c>
    </row>
    <row r="512" spans="2:10" x14ac:dyDescent="0.45">
      <c r="B512" s="1371">
        <v>25020</v>
      </c>
      <c r="C512" s="1370" t="s">
        <v>7147</v>
      </c>
      <c r="F512" s="1380">
        <f>'PRPM WP2'!C513</f>
        <v>-6.9999999999999993E-3</v>
      </c>
      <c r="H512" s="1380">
        <f>'PRPM WP2'!H513</f>
        <v>5.4416666666666667E-3</v>
      </c>
      <c r="I512" s="1373">
        <f t="shared" si="7"/>
        <v>-1.2441666666666667E-2</v>
      </c>
      <c r="J512" s="1371">
        <v>25020</v>
      </c>
    </row>
    <row r="513" spans="2:10" x14ac:dyDescent="0.45">
      <c r="B513" s="1371">
        <v>25051</v>
      </c>
      <c r="C513" s="1370" t="s">
        <v>7147</v>
      </c>
      <c r="F513" s="1380">
        <f>'PRPM WP2'!C514</f>
        <v>4.0000000000000024E-4</v>
      </c>
      <c r="H513" s="1380">
        <f>'PRPM WP2'!H514</f>
        <v>5.2250000000000005E-3</v>
      </c>
      <c r="I513" s="1373">
        <f t="shared" si="7"/>
        <v>-4.8250000000000003E-3</v>
      </c>
      <c r="J513" s="1371">
        <v>25051</v>
      </c>
    </row>
    <row r="514" spans="2:10" x14ac:dyDescent="0.45">
      <c r="B514" s="1371">
        <v>25082</v>
      </c>
      <c r="C514" s="1370" t="s">
        <v>7147</v>
      </c>
      <c r="F514" s="1380">
        <f>'PRPM WP2'!C515</f>
        <v>0.01</v>
      </c>
      <c r="H514" s="1380">
        <f>'PRPM WP2'!H515</f>
        <v>5.2250000000000005E-3</v>
      </c>
      <c r="I514" s="1373">
        <f t="shared" si="7"/>
        <v>4.7749999999999997E-3</v>
      </c>
      <c r="J514" s="1371">
        <v>25082</v>
      </c>
    </row>
    <row r="515" spans="2:10" x14ac:dyDescent="0.45">
      <c r="B515" s="1371">
        <v>25112</v>
      </c>
      <c r="C515" s="1370" t="s">
        <v>7147</v>
      </c>
      <c r="F515" s="1380">
        <f>'PRPM WP2'!C516</f>
        <v>8.6E-3</v>
      </c>
      <c r="H515" s="1380">
        <f>'PRPM WP2'!H516</f>
        <v>5.3333333333333332E-3</v>
      </c>
      <c r="I515" s="1373">
        <f t="shared" si="7"/>
        <v>3.2666666666666669E-3</v>
      </c>
      <c r="J515" s="1371">
        <v>25112</v>
      </c>
    </row>
    <row r="516" spans="2:10" x14ac:dyDescent="0.45">
      <c r="B516" s="1371">
        <v>25143</v>
      </c>
      <c r="C516" s="1370" t="s">
        <v>7147</v>
      </c>
      <c r="F516" s="1380">
        <f>'PRPM WP2'!C517</f>
        <v>7.8099999999999989E-2</v>
      </c>
      <c r="H516" s="1380">
        <f>'PRPM WP2'!H517</f>
        <v>5.4916666666666673E-3</v>
      </c>
      <c r="I516" s="1373">
        <f t="shared" si="7"/>
        <v>7.2608333333333316E-2</v>
      </c>
      <c r="J516" s="1371">
        <v>25143</v>
      </c>
    </row>
    <row r="517" spans="2:10" x14ac:dyDescent="0.45">
      <c r="B517" s="1371">
        <v>25173</v>
      </c>
      <c r="C517" s="1370" t="s">
        <v>7147</v>
      </c>
      <c r="F517" s="1380">
        <f>'PRPM WP2'!C518</f>
        <v>-3.0899999999999997E-2</v>
      </c>
      <c r="H517" s="1380">
        <f>'PRPM WP2'!H518</f>
        <v>5.7250000000000001E-3</v>
      </c>
      <c r="I517" s="1373">
        <f t="shared" si="7"/>
        <v>-3.6624999999999998E-2</v>
      </c>
      <c r="J517" s="1371">
        <v>25173</v>
      </c>
    </row>
    <row r="518" spans="2:10" x14ac:dyDescent="0.45">
      <c r="B518" s="1371">
        <v>25204</v>
      </c>
      <c r="C518" s="1370" t="s">
        <v>7147</v>
      </c>
      <c r="F518" s="1380">
        <f>'PRPM WP2'!C519</f>
        <v>1.6899999999999998E-2</v>
      </c>
      <c r="H518" s="1380">
        <f>'PRPM WP2'!H519</f>
        <v>5.8666666666666667E-3</v>
      </c>
      <c r="I518" s="1373">
        <f t="shared" si="7"/>
        <v>1.1033333333333332E-2</v>
      </c>
      <c r="J518" s="1371">
        <v>25204</v>
      </c>
    </row>
    <row r="519" spans="2:10" x14ac:dyDescent="0.45">
      <c r="B519" s="1371">
        <v>25235</v>
      </c>
      <c r="C519" s="1370" t="s">
        <v>7147</v>
      </c>
      <c r="F519" s="1380">
        <f>'PRPM WP2'!C520</f>
        <v>-5.3200000000000004E-2</v>
      </c>
      <c r="H519" s="1380">
        <f>'PRPM WP2'!H520</f>
        <v>5.9416666666666663E-3</v>
      </c>
      <c r="I519" s="1373">
        <f t="shared" si="7"/>
        <v>-5.9141666666666669E-2</v>
      </c>
      <c r="J519" s="1371">
        <v>25235</v>
      </c>
    </row>
    <row r="520" spans="2:10" x14ac:dyDescent="0.45">
      <c r="B520" s="1371">
        <v>25263</v>
      </c>
      <c r="C520" s="1370" t="s">
        <v>7147</v>
      </c>
      <c r="F520" s="1380">
        <f>'PRPM WP2'!C521</f>
        <v>-9.6000000000000009E-3</v>
      </c>
      <c r="H520" s="1380">
        <f>'PRPM WP2'!H521</f>
        <v>6.0583333333333331E-3</v>
      </c>
      <c r="I520" s="1373">
        <f t="shared" si="7"/>
        <v>-1.5658333333333333E-2</v>
      </c>
      <c r="J520" s="1371">
        <v>25263</v>
      </c>
    </row>
    <row r="521" spans="2:10" x14ac:dyDescent="0.45">
      <c r="B521" s="1371">
        <v>25294</v>
      </c>
      <c r="C521" s="1370" t="s">
        <v>7147</v>
      </c>
      <c r="F521" s="1380">
        <f>'PRPM WP2'!C522</f>
        <v>1.3899999999999999E-2</v>
      </c>
      <c r="H521" s="1380">
        <f>'PRPM WP2'!H522</f>
        <v>6.083333333333333E-3</v>
      </c>
      <c r="I521" s="1373">
        <f t="shared" si="7"/>
        <v>7.8166666666666662E-3</v>
      </c>
      <c r="J521" s="1371">
        <v>25294</v>
      </c>
    </row>
    <row r="522" spans="2:10" x14ac:dyDescent="0.45">
      <c r="B522" s="1371">
        <v>25324</v>
      </c>
      <c r="C522" s="1370" t="s">
        <v>7147</v>
      </c>
      <c r="F522" s="1380">
        <f>'PRPM WP2'!C523</f>
        <v>-5.9999999999999984E-4</v>
      </c>
      <c r="H522" s="1380">
        <f>'PRPM WP2'!H523</f>
        <v>5.966666666666667E-3</v>
      </c>
      <c r="I522" s="1373">
        <f t="shared" si="7"/>
        <v>-6.5666666666666668E-3</v>
      </c>
      <c r="J522" s="1371">
        <v>25324</v>
      </c>
    </row>
    <row r="523" spans="2:10" x14ac:dyDescent="0.45">
      <c r="B523" s="1371">
        <v>25355</v>
      </c>
      <c r="C523" s="1370" t="s">
        <v>7147</v>
      </c>
      <c r="F523" s="1380">
        <f>'PRPM WP2'!C524</f>
        <v>-5.16E-2</v>
      </c>
      <c r="H523" s="1380">
        <f>'PRPM WP2'!H524</f>
        <v>6.1750000000000008E-3</v>
      </c>
      <c r="I523" s="1373">
        <f t="shared" si="7"/>
        <v>-5.7775E-2</v>
      </c>
      <c r="J523" s="1371">
        <v>25355</v>
      </c>
    </row>
    <row r="524" spans="2:10" x14ac:dyDescent="0.45">
      <c r="B524" s="1371">
        <v>25385</v>
      </c>
      <c r="C524" s="1370" t="s">
        <v>7147</v>
      </c>
      <c r="F524" s="1380">
        <f>'PRPM WP2'!C525</f>
        <v>-3.6299999999999999E-2</v>
      </c>
      <c r="H524" s="1380">
        <f>'PRPM WP2'!H525</f>
        <v>6.2666666666666669E-3</v>
      </c>
      <c r="I524" s="1373">
        <f t="shared" si="7"/>
        <v>-4.2566666666666669E-2</v>
      </c>
      <c r="J524" s="1371">
        <v>25385</v>
      </c>
    </row>
    <row r="525" spans="2:10" x14ac:dyDescent="0.45">
      <c r="B525" s="1371">
        <v>25416</v>
      </c>
      <c r="C525" s="1370" t="s">
        <v>7147</v>
      </c>
      <c r="F525" s="1380">
        <f>'PRPM WP2'!C526</f>
        <v>-1.1399999999999999E-2</v>
      </c>
      <c r="H525" s="1380">
        <f>'PRPM WP2'!H526</f>
        <v>6.1999999999999998E-3</v>
      </c>
      <c r="I525" s="1373">
        <f t="shared" si="7"/>
        <v>-1.7599999999999998E-2</v>
      </c>
      <c r="J525" s="1371">
        <v>25416</v>
      </c>
    </row>
    <row r="526" spans="2:10" x14ac:dyDescent="0.45">
      <c r="B526" s="1371">
        <v>25447</v>
      </c>
      <c r="C526" s="1370" t="s">
        <v>7147</v>
      </c>
      <c r="F526" s="1380">
        <f>'PRPM WP2'!C527</f>
        <v>-3.7200000000000004E-2</v>
      </c>
      <c r="H526" s="1380">
        <f>'PRPM WP2'!H527</f>
        <v>6.3583333333333339E-3</v>
      </c>
      <c r="I526" s="1373">
        <f t="shared" si="7"/>
        <v>-4.3558333333333338E-2</v>
      </c>
      <c r="J526" s="1371">
        <v>25447</v>
      </c>
    </row>
    <row r="527" spans="2:10" x14ac:dyDescent="0.45">
      <c r="B527" s="1371">
        <v>25477</v>
      </c>
      <c r="C527" s="1370" t="s">
        <v>7147</v>
      </c>
      <c r="F527" s="1380">
        <f>'PRPM WP2'!C528</f>
        <v>7.980000000000001E-2</v>
      </c>
      <c r="H527" s="1380">
        <f>'PRPM WP2'!H528</f>
        <v>6.6833333333333337E-3</v>
      </c>
      <c r="I527" s="1373">
        <f t="shared" si="7"/>
        <v>7.3116666666666677E-2</v>
      </c>
      <c r="J527" s="1371">
        <v>25477</v>
      </c>
    </row>
    <row r="528" spans="2:10" x14ac:dyDescent="0.45">
      <c r="B528" s="1371">
        <v>25508</v>
      </c>
      <c r="C528" s="1370" t="s">
        <v>7147</v>
      </c>
      <c r="F528" s="1380">
        <f>'PRPM WP2'!C529</f>
        <v>-5.8800000000000005E-2</v>
      </c>
      <c r="H528" s="1380">
        <f>'PRPM WP2'!H529</f>
        <v>6.6666666666666662E-3</v>
      </c>
      <c r="I528" s="1373">
        <f t="shared" si="7"/>
        <v>-6.5466666666666673E-2</v>
      </c>
      <c r="J528" s="1371">
        <v>25508</v>
      </c>
    </row>
    <row r="529" spans="2:10" x14ac:dyDescent="0.45">
      <c r="B529" s="1371">
        <v>25538</v>
      </c>
      <c r="C529" s="1370" t="s">
        <v>7147</v>
      </c>
      <c r="F529" s="1380">
        <f>'PRPM WP2'!C530</f>
        <v>-9.7000000000000003E-3</v>
      </c>
      <c r="H529" s="1380">
        <f>'PRPM WP2'!H530</f>
        <v>7.1583333333333334E-3</v>
      </c>
      <c r="I529" s="1373">
        <f t="shared" si="7"/>
        <v>-1.6858333333333333E-2</v>
      </c>
      <c r="J529" s="1371">
        <v>25538</v>
      </c>
    </row>
    <row r="530" spans="2:10" x14ac:dyDescent="0.45">
      <c r="B530" s="1371">
        <v>25569</v>
      </c>
      <c r="C530" s="1370" t="s">
        <v>7147</v>
      </c>
      <c r="F530" s="1380">
        <f>'PRPM WP2'!C531</f>
        <v>-4.53E-2</v>
      </c>
      <c r="H530" s="1380">
        <f>'PRPM WP2'!H531</f>
        <v>7.2416666666666662E-3</v>
      </c>
      <c r="I530" s="1373">
        <f t="shared" si="7"/>
        <v>-5.2541666666666667E-2</v>
      </c>
      <c r="J530" s="1371">
        <v>25569</v>
      </c>
    </row>
    <row r="531" spans="2:10" x14ac:dyDescent="0.45">
      <c r="B531" s="1371">
        <v>25600</v>
      </c>
      <c r="C531" s="1370" t="s">
        <v>7147</v>
      </c>
      <c r="F531" s="1380">
        <f>'PRPM WP2'!C532</f>
        <v>0.1053</v>
      </c>
      <c r="H531" s="1380">
        <f>'PRPM WP2'!H532</f>
        <v>7.0916666666666663E-3</v>
      </c>
      <c r="I531" s="1373">
        <f t="shared" si="7"/>
        <v>9.8208333333333342E-2</v>
      </c>
      <c r="J531" s="1371">
        <v>25600</v>
      </c>
    </row>
    <row r="532" spans="2:10" x14ac:dyDescent="0.45">
      <c r="B532" s="1371">
        <v>25628</v>
      </c>
      <c r="C532" s="1370" t="s">
        <v>7147</v>
      </c>
      <c r="F532" s="1380">
        <f>'PRPM WP2'!C533</f>
        <v>2.3200000000000002E-2</v>
      </c>
      <c r="H532" s="1380">
        <f>'PRPM WP2'!H533</f>
        <v>6.9249999999999997E-3</v>
      </c>
      <c r="I532" s="1373">
        <f t="shared" si="7"/>
        <v>1.6275000000000001E-2</v>
      </c>
      <c r="J532" s="1371">
        <v>25628</v>
      </c>
    </row>
    <row r="533" spans="2:10" x14ac:dyDescent="0.45">
      <c r="B533" s="1371">
        <v>25659</v>
      </c>
      <c r="C533" s="1370" t="s">
        <v>7147</v>
      </c>
      <c r="F533" s="1380">
        <f>'PRPM WP2'!C534</f>
        <v>-9.2899999999999996E-2</v>
      </c>
      <c r="H533" s="1380">
        <f>'PRPM WP2'!H534</f>
        <v>6.9249999999999997E-3</v>
      </c>
      <c r="I533" s="1373">
        <f t="shared" si="7"/>
        <v>-9.9824999999999997E-2</v>
      </c>
      <c r="J533" s="1371">
        <v>25659</v>
      </c>
    </row>
    <row r="534" spans="2:10" x14ac:dyDescent="0.45">
      <c r="B534" s="1371">
        <v>25689</v>
      </c>
      <c r="C534" s="1370" t="s">
        <v>7147</v>
      </c>
      <c r="F534" s="1380">
        <f>'PRPM WP2'!C535</f>
        <v>-5.1499999999999997E-2</v>
      </c>
      <c r="H534" s="1380">
        <f>'PRPM WP2'!H535</f>
        <v>7.2250000000000005E-3</v>
      </c>
      <c r="I534" s="1373">
        <f t="shared" si="7"/>
        <v>-5.8724999999999999E-2</v>
      </c>
      <c r="J534" s="1371">
        <v>25689</v>
      </c>
    </row>
    <row r="535" spans="2:10" x14ac:dyDescent="0.45">
      <c r="B535" s="1371">
        <v>25720</v>
      </c>
      <c r="C535" s="1370" t="s">
        <v>7147</v>
      </c>
      <c r="F535" s="1380">
        <f>'PRPM WP2'!C536</f>
        <v>-5.8199999999999995E-2</v>
      </c>
      <c r="H535" s="1380">
        <f>'PRPM WP2'!H536</f>
        <v>7.5333333333333329E-3</v>
      </c>
      <c r="I535" s="1373">
        <f t="shared" si="7"/>
        <v>-6.5733333333333324E-2</v>
      </c>
      <c r="J535" s="1371">
        <v>25720</v>
      </c>
    </row>
    <row r="536" spans="2:10" x14ac:dyDescent="0.45">
      <c r="B536" s="1371">
        <v>25750</v>
      </c>
      <c r="C536" s="1370" t="s">
        <v>7147</v>
      </c>
      <c r="F536" s="1380">
        <f>'PRPM WP2'!C537</f>
        <v>9.7299999999999998E-2</v>
      </c>
      <c r="H536" s="1380">
        <f>'PRPM WP2'!H537</f>
        <v>7.5500000000000003E-3</v>
      </c>
      <c r="I536" s="1373">
        <f t="shared" si="7"/>
        <v>8.9749999999999996E-2</v>
      </c>
      <c r="J536" s="1371">
        <v>25750</v>
      </c>
    </row>
    <row r="537" spans="2:10" x14ac:dyDescent="0.45">
      <c r="B537" s="1371">
        <v>25781</v>
      </c>
      <c r="C537" s="1370" t="s">
        <v>7147</v>
      </c>
      <c r="F537" s="1380">
        <f>'PRPM WP2'!C538</f>
        <v>5.8099999999999999E-2</v>
      </c>
      <c r="H537" s="1380">
        <f>'PRPM WP2'!H538</f>
        <v>7.4000000000000012E-3</v>
      </c>
      <c r="I537" s="1373">
        <f t="shared" si="7"/>
        <v>5.0699999999999995E-2</v>
      </c>
      <c r="J537" s="1371">
        <v>25781</v>
      </c>
    </row>
    <row r="538" spans="2:10" x14ac:dyDescent="0.45">
      <c r="B538" s="1371">
        <v>25812</v>
      </c>
      <c r="C538" s="1370" t="s">
        <v>7147</v>
      </c>
      <c r="F538" s="1380">
        <f>'PRPM WP2'!C539</f>
        <v>-1.14E-2</v>
      </c>
      <c r="H538" s="1380">
        <f>'PRPM WP2'!H539</f>
        <v>7.3499999999999998E-3</v>
      </c>
      <c r="I538" s="1373">
        <f t="shared" ref="I538:I601" si="8">F538-H538</f>
        <v>-1.8749999999999999E-2</v>
      </c>
      <c r="J538" s="1371">
        <v>25812</v>
      </c>
    </row>
    <row r="539" spans="2:10" x14ac:dyDescent="0.45">
      <c r="B539" s="1371">
        <v>25842</v>
      </c>
      <c r="C539" s="1370" t="s">
        <v>7147</v>
      </c>
      <c r="F539" s="1380">
        <f>'PRPM WP2'!C540</f>
        <v>-1.4900000000000002E-2</v>
      </c>
      <c r="H539" s="1380">
        <f>'PRPM WP2'!H540</f>
        <v>7.3000000000000001E-3</v>
      </c>
      <c r="I539" s="1373">
        <f t="shared" si="8"/>
        <v>-2.2200000000000001E-2</v>
      </c>
      <c r="J539" s="1371">
        <v>25842</v>
      </c>
    </row>
    <row r="540" spans="2:10" x14ac:dyDescent="0.45">
      <c r="B540" s="1371">
        <v>25873</v>
      </c>
      <c r="C540" s="1370" t="s">
        <v>7147</v>
      </c>
      <c r="F540" s="1380">
        <f>'PRPM WP2'!C541</f>
        <v>9.7500000000000003E-2</v>
      </c>
      <c r="H540" s="1380">
        <f>'PRPM WP2'!H541</f>
        <v>7.324999999999999E-3</v>
      </c>
      <c r="I540" s="1373">
        <f t="shared" si="8"/>
        <v>9.0175000000000005E-2</v>
      </c>
      <c r="J540" s="1371">
        <v>25873</v>
      </c>
    </row>
    <row r="541" spans="2:10" x14ac:dyDescent="0.45">
      <c r="B541" s="1371">
        <v>25903</v>
      </c>
      <c r="C541" s="1370" t="s">
        <v>7147</v>
      </c>
      <c r="F541" s="1380">
        <f>'PRPM WP2'!C542</f>
        <v>7.350000000000001E-2</v>
      </c>
      <c r="H541" s="1380">
        <f>'PRPM WP2'!H542</f>
        <v>7.0666666666666664E-3</v>
      </c>
      <c r="I541" s="1373">
        <f t="shared" si="8"/>
        <v>6.6433333333333344E-2</v>
      </c>
      <c r="J541" s="1371">
        <v>25903</v>
      </c>
    </row>
    <row r="542" spans="2:10" x14ac:dyDescent="0.45">
      <c r="B542" s="1371">
        <v>25934</v>
      </c>
      <c r="C542" s="1370" t="s">
        <v>7147</v>
      </c>
      <c r="F542" s="1380">
        <f>'PRPM WP2'!C543</f>
        <v>2.5700000000000004E-2</v>
      </c>
      <c r="H542" s="1380">
        <f>'PRPM WP2'!H543</f>
        <v>6.7916666666666672E-3</v>
      </c>
      <c r="I542" s="1373">
        <f t="shared" si="8"/>
        <v>1.8908333333333336E-2</v>
      </c>
      <c r="J542" s="1371">
        <v>25934</v>
      </c>
    </row>
    <row r="543" spans="2:10" x14ac:dyDescent="0.45">
      <c r="B543" s="1371">
        <v>25965</v>
      </c>
      <c r="C543" s="1370" t="s">
        <v>7147</v>
      </c>
      <c r="F543" s="1380">
        <f>'PRPM WP2'!C544</f>
        <v>-2.7699999999999999E-2</v>
      </c>
      <c r="H543" s="1380">
        <f>'PRPM WP2'!H544</f>
        <v>6.575000000000001E-3</v>
      </c>
      <c r="I543" s="1373">
        <f t="shared" si="8"/>
        <v>-3.4275E-2</v>
      </c>
      <c r="J543" s="1371">
        <v>25965</v>
      </c>
    </row>
    <row r="544" spans="2:10" x14ac:dyDescent="0.45">
      <c r="B544" s="1371">
        <v>25993</v>
      </c>
      <c r="C544" s="1370" t="s">
        <v>7147</v>
      </c>
      <c r="F544" s="1380">
        <f>'PRPM WP2'!C545</f>
        <v>3.3099999999999997E-2</v>
      </c>
      <c r="H544" s="1380">
        <f>'PRPM WP2'!H545</f>
        <v>6.7083333333333335E-3</v>
      </c>
      <c r="I544" s="1373">
        <f t="shared" si="8"/>
        <v>2.6391666666666664E-2</v>
      </c>
      <c r="J544" s="1371">
        <v>25993</v>
      </c>
    </row>
    <row r="545" spans="2:10" x14ac:dyDescent="0.45">
      <c r="B545" s="1371">
        <v>26024</v>
      </c>
      <c r="C545" s="1370" t="s">
        <v>7147</v>
      </c>
      <c r="F545" s="1380">
        <f>'PRPM WP2'!C546</f>
        <v>-3.49E-2</v>
      </c>
      <c r="H545" s="1380">
        <f>'PRPM WP2'!H546</f>
        <v>6.7250000000000001E-3</v>
      </c>
      <c r="I545" s="1373">
        <f t="shared" si="8"/>
        <v>-4.1625000000000002E-2</v>
      </c>
      <c r="J545" s="1371">
        <v>26024</v>
      </c>
    </row>
    <row r="546" spans="2:10" x14ac:dyDescent="0.45">
      <c r="B546" s="1371">
        <v>26054</v>
      </c>
      <c r="C546" s="1370" t="s">
        <v>7147</v>
      </c>
      <c r="F546" s="1380">
        <f>'PRPM WP2'!C547</f>
        <v>-3.5100000000000006E-2</v>
      </c>
      <c r="H546" s="1380">
        <f>'PRPM WP2'!H547</f>
        <v>6.9499999999999996E-3</v>
      </c>
      <c r="I546" s="1373">
        <f t="shared" si="8"/>
        <v>-4.2050000000000004E-2</v>
      </c>
      <c r="J546" s="1371">
        <v>26054</v>
      </c>
    </row>
    <row r="547" spans="2:10" x14ac:dyDescent="0.45">
      <c r="B547" s="1371">
        <v>26085</v>
      </c>
      <c r="C547" s="1370" t="s">
        <v>7147</v>
      </c>
      <c r="F547" s="1380">
        <f>'PRPM WP2'!C548</f>
        <v>3.9800000000000002E-2</v>
      </c>
      <c r="H547" s="1380">
        <f>'PRPM WP2'!H548</f>
        <v>7.0416666666666657E-3</v>
      </c>
      <c r="I547" s="1373">
        <f t="shared" si="8"/>
        <v>3.2758333333333334E-2</v>
      </c>
      <c r="J547" s="1371">
        <v>26085</v>
      </c>
    </row>
    <row r="548" spans="2:10" x14ac:dyDescent="0.45">
      <c r="B548" s="1371">
        <v>26115</v>
      </c>
      <c r="C548" s="1370" t="s">
        <v>7147</v>
      </c>
      <c r="F548" s="1380">
        <f>'PRPM WP2'!C549</f>
        <v>-2.2499999999999999E-2</v>
      </c>
      <c r="H548" s="1380">
        <f>'PRPM WP2'!H549</f>
        <v>7.0416666666666657E-3</v>
      </c>
      <c r="I548" s="1373">
        <f t="shared" si="8"/>
        <v>-2.9541666666666664E-2</v>
      </c>
      <c r="J548" s="1371">
        <v>26115</v>
      </c>
    </row>
    <row r="549" spans="2:10" x14ac:dyDescent="0.45">
      <c r="B549" s="1371">
        <v>26146</v>
      </c>
      <c r="C549" s="1370" t="s">
        <v>7147</v>
      </c>
      <c r="F549" s="1380">
        <f>'PRPM WP2'!C550</f>
        <v>-2.4699999999999996E-2</v>
      </c>
      <c r="H549" s="1380">
        <f>'PRPM WP2'!H550</f>
        <v>7.000000000000001E-3</v>
      </c>
      <c r="I549" s="1373">
        <f t="shared" si="8"/>
        <v>-3.1699999999999999E-2</v>
      </c>
      <c r="J549" s="1371">
        <v>26146</v>
      </c>
    </row>
    <row r="550" spans="2:10" x14ac:dyDescent="0.45">
      <c r="B550" s="1371">
        <v>26177</v>
      </c>
      <c r="C550" s="1370" t="s">
        <v>7147</v>
      </c>
      <c r="F550" s="1380">
        <f>'PRPM WP2'!C551</f>
        <v>-1.4600000000000002E-2</v>
      </c>
      <c r="H550" s="1380">
        <f>'PRPM WP2'!H551</f>
        <v>6.8166666666666662E-3</v>
      </c>
      <c r="I550" s="1373">
        <f t="shared" si="8"/>
        <v>-2.1416666666666667E-2</v>
      </c>
      <c r="J550" s="1371">
        <v>26177</v>
      </c>
    </row>
    <row r="551" spans="2:10" x14ac:dyDescent="0.45">
      <c r="B551" s="1371">
        <v>26207</v>
      </c>
      <c r="C551" s="1370" t="s">
        <v>7147</v>
      </c>
      <c r="F551" s="1380">
        <f>'PRPM WP2'!C552</f>
        <v>1.7000000000000001E-2</v>
      </c>
      <c r="H551" s="1380">
        <f>'PRPM WP2'!H552</f>
        <v>6.7499999999999991E-3</v>
      </c>
      <c r="I551" s="1373">
        <f t="shared" si="8"/>
        <v>1.0250000000000002E-2</v>
      </c>
      <c r="J551" s="1371">
        <v>26207</v>
      </c>
    </row>
    <row r="552" spans="2:10" x14ac:dyDescent="0.45">
      <c r="B552" s="1371">
        <v>26238</v>
      </c>
      <c r="C552" s="1370" t="s">
        <v>7147</v>
      </c>
      <c r="F552" s="1380">
        <f>'PRPM WP2'!C553</f>
        <v>-5.5000000000000005E-3</v>
      </c>
      <c r="H552" s="1380">
        <f>'PRPM WP2'!H553</f>
        <v>6.6333333333333331E-3</v>
      </c>
      <c r="I552" s="1373">
        <f t="shared" si="8"/>
        <v>-1.2133333333333333E-2</v>
      </c>
      <c r="J552" s="1371">
        <v>26238</v>
      </c>
    </row>
    <row r="553" spans="2:10" x14ac:dyDescent="0.45">
      <c r="B553" s="1371">
        <v>26268</v>
      </c>
      <c r="C553" s="1370" t="s">
        <v>7147</v>
      </c>
      <c r="F553" s="1380">
        <f>'PRPM WP2'!C554</f>
        <v>8.0600000000000005E-2</v>
      </c>
      <c r="H553" s="1380">
        <f>'PRPM WP2'!H554</f>
        <v>6.5833333333333334E-3</v>
      </c>
      <c r="I553" s="1373">
        <f t="shared" si="8"/>
        <v>7.4016666666666675E-2</v>
      </c>
      <c r="J553" s="1371">
        <v>26268</v>
      </c>
    </row>
    <row r="554" spans="2:10" x14ac:dyDescent="0.45">
      <c r="B554" s="1371">
        <v>26299</v>
      </c>
      <c r="C554" s="1370" t="s">
        <v>7147</v>
      </c>
      <c r="F554" s="1380">
        <f>'PRPM WP2'!C555</f>
        <v>-7.4000000000000012E-3</v>
      </c>
      <c r="H554" s="1380">
        <f>'PRPM WP2'!H555</f>
        <v>6.4916666666666664E-3</v>
      </c>
      <c r="I554" s="1373">
        <f t="shared" si="8"/>
        <v>-1.3891666666666667E-2</v>
      </c>
      <c r="J554" s="1371">
        <v>26299</v>
      </c>
    </row>
    <row r="555" spans="2:10" x14ac:dyDescent="0.45">
      <c r="B555" s="1371">
        <v>26330</v>
      </c>
      <c r="C555" s="1370" t="s">
        <v>7147</v>
      </c>
      <c r="F555" s="1380">
        <f>'PRPM WP2'!C556</f>
        <v>-2.4E-2</v>
      </c>
      <c r="H555" s="1380">
        <f>'PRPM WP2'!H556</f>
        <v>6.4833333333333331E-3</v>
      </c>
      <c r="I555" s="1373">
        <f t="shared" si="8"/>
        <v>-3.0483333333333335E-2</v>
      </c>
      <c r="J555" s="1371">
        <v>26330</v>
      </c>
    </row>
    <row r="556" spans="2:10" x14ac:dyDescent="0.45">
      <c r="B556" s="1371">
        <v>26359</v>
      </c>
      <c r="C556" s="1370" t="s">
        <v>7147</v>
      </c>
      <c r="F556" s="1380">
        <f>'PRPM WP2'!C557</f>
        <v>-3.5999999999999999E-3</v>
      </c>
      <c r="H556" s="1380">
        <f>'PRPM WP2'!H557</f>
        <v>6.4750000000000007E-3</v>
      </c>
      <c r="I556" s="1373">
        <f t="shared" si="8"/>
        <v>-1.0075000000000001E-2</v>
      </c>
      <c r="J556" s="1371">
        <v>26359</v>
      </c>
    </row>
    <row r="557" spans="2:10" x14ac:dyDescent="0.45">
      <c r="B557" s="1371">
        <v>26390</v>
      </c>
      <c r="C557" s="1370" t="s">
        <v>7147</v>
      </c>
      <c r="F557" s="1380">
        <f>'PRPM WP2'!C558</f>
        <v>-2.7700000000000006E-2</v>
      </c>
      <c r="H557" s="1380">
        <f>'PRPM WP2'!H558</f>
        <v>6.5166666666666671E-3</v>
      </c>
      <c r="I557" s="1373">
        <f t="shared" si="8"/>
        <v>-3.4216666666666673E-2</v>
      </c>
      <c r="J557" s="1371">
        <v>26390</v>
      </c>
    </row>
    <row r="558" spans="2:10" x14ac:dyDescent="0.45">
      <c r="B558" s="1371">
        <v>26420</v>
      </c>
      <c r="C558" s="1370" t="s">
        <v>7147</v>
      </c>
      <c r="F558" s="1380">
        <f>'PRPM WP2'!C559</f>
        <v>-1.7000000000000001E-3</v>
      </c>
      <c r="H558" s="1380">
        <f>'PRPM WP2'!H559</f>
        <v>6.5333333333333328E-3</v>
      </c>
      <c r="I558" s="1373">
        <f t="shared" si="8"/>
        <v>-8.2333333333333321E-3</v>
      </c>
      <c r="J558" s="1371">
        <v>26420</v>
      </c>
    </row>
    <row r="559" spans="2:10" x14ac:dyDescent="0.45">
      <c r="B559" s="1371">
        <v>26451</v>
      </c>
      <c r="C559" s="1370" t="s">
        <v>7147</v>
      </c>
      <c r="F559" s="1380">
        <f>'PRPM WP2'!C560</f>
        <v>-2.1000000000000001E-2</v>
      </c>
      <c r="H559" s="1380">
        <f>'PRPM WP2'!H560</f>
        <v>6.4750000000000007E-3</v>
      </c>
      <c r="I559" s="1373">
        <f t="shared" si="8"/>
        <v>-2.7475000000000003E-2</v>
      </c>
      <c r="J559" s="1371">
        <v>26451</v>
      </c>
    </row>
    <row r="560" spans="2:10" x14ac:dyDescent="0.45">
      <c r="B560" s="1371">
        <v>26481</v>
      </c>
      <c r="C560" s="1370" t="s">
        <v>7147</v>
      </c>
      <c r="F560" s="1380">
        <f>'PRPM WP2'!C561</f>
        <v>-1.4000000000000002E-3</v>
      </c>
      <c r="H560" s="1380">
        <f>'PRPM WP2'!H561</f>
        <v>6.5166666666666671E-3</v>
      </c>
      <c r="I560" s="1373">
        <f t="shared" si="8"/>
        <v>-7.9166666666666673E-3</v>
      </c>
      <c r="J560" s="1371">
        <v>26481</v>
      </c>
    </row>
    <row r="561" spans="1:10" x14ac:dyDescent="0.45">
      <c r="B561" s="1371">
        <v>26512</v>
      </c>
      <c r="C561" s="1370" t="s">
        <v>7147</v>
      </c>
      <c r="F561" s="1380">
        <f>'PRPM WP2'!C562</f>
        <v>5.74E-2</v>
      </c>
      <c r="H561" s="1380">
        <f>'PRPM WP2'!H562</f>
        <v>6.3666666666666672E-3</v>
      </c>
      <c r="I561" s="1373">
        <f t="shared" si="8"/>
        <v>5.1033333333333333E-2</v>
      </c>
      <c r="J561" s="1371">
        <v>26512</v>
      </c>
    </row>
    <row r="562" spans="1:10" x14ac:dyDescent="0.45">
      <c r="B562" s="1371">
        <v>26543</v>
      </c>
      <c r="C562" s="1370" t="s">
        <v>7147</v>
      </c>
      <c r="F562" s="1380">
        <f>'PRPM WP2'!C563</f>
        <v>2.7000000000000001E-3</v>
      </c>
      <c r="H562" s="1380">
        <f>'PRPM WP2'!H563</f>
        <v>6.3416666666666665E-3</v>
      </c>
      <c r="I562" s="1373">
        <f t="shared" si="8"/>
        <v>-3.6416666666666663E-3</v>
      </c>
      <c r="J562" s="1371">
        <v>26543</v>
      </c>
    </row>
    <row r="563" spans="1:10" x14ac:dyDescent="0.45">
      <c r="B563" s="1371">
        <v>26573</v>
      </c>
      <c r="C563" s="1370" t="s">
        <v>7147</v>
      </c>
      <c r="F563" s="1380">
        <f>'PRPM WP2'!C564</f>
        <v>6.5100000000000005E-2</v>
      </c>
      <c r="H563" s="1380">
        <f>'PRPM WP2'!H564</f>
        <v>6.3833333333333329E-3</v>
      </c>
      <c r="I563" s="1373">
        <f t="shared" si="8"/>
        <v>5.8716666666666674E-2</v>
      </c>
      <c r="J563" s="1371">
        <v>26573</v>
      </c>
    </row>
    <row r="564" spans="1:10" x14ac:dyDescent="0.45">
      <c r="B564" s="1371">
        <v>26604</v>
      </c>
      <c r="C564" s="1370" t="s">
        <v>7147</v>
      </c>
      <c r="F564" s="1380">
        <f>'PRPM WP2'!C565</f>
        <v>6.3899999999999998E-2</v>
      </c>
      <c r="H564" s="1380">
        <f>'PRPM WP2'!H565</f>
        <v>6.333333333333334E-3</v>
      </c>
      <c r="I564" s="1373">
        <f t="shared" si="8"/>
        <v>5.7566666666666662E-2</v>
      </c>
      <c r="J564" s="1371">
        <v>26604</v>
      </c>
    </row>
    <row r="565" spans="1:10" x14ac:dyDescent="0.45">
      <c r="A565" s="1370">
        <v>3</v>
      </c>
      <c r="B565" s="1371">
        <v>26634</v>
      </c>
      <c r="C565" s="1370" t="s">
        <v>7147</v>
      </c>
      <c r="F565" s="1380">
        <f>'PRPM WP2'!C566</f>
        <v>-1.7399999999999999E-2</v>
      </c>
      <c r="H565" s="1380">
        <f>'PRPM WP2'!H566</f>
        <v>6.2333333333333338E-3</v>
      </c>
      <c r="I565" s="1373">
        <f t="shared" si="8"/>
        <v>-2.3633333333333333E-2</v>
      </c>
      <c r="J565" s="1371">
        <v>26634</v>
      </c>
    </row>
    <row r="566" spans="1:10" x14ac:dyDescent="0.45">
      <c r="A566" s="1370">
        <v>3</v>
      </c>
      <c r="B566" s="1371">
        <f t="shared" ref="B566:B629" si="9">DATE(YEAR(B565),MONTH(B565) + 1,1)</f>
        <v>26665</v>
      </c>
      <c r="C566" s="1370" t="str">
        <f t="shared" ref="C566:C629" si="10">C565</f>
        <v>S&amp;P 500 Utility Index</v>
      </c>
      <c r="F566" s="1380">
        <f>'PRPM WP2'!C567</f>
        <v>-4.3900000000000008E-2</v>
      </c>
      <c r="H566" s="1380">
        <f>'PRPM WP2'!H567</f>
        <v>6.2666666666666669E-3</v>
      </c>
      <c r="I566" s="1373">
        <f t="shared" si="8"/>
        <v>-5.0166666666666679E-2</v>
      </c>
      <c r="J566" s="1371">
        <v>26665</v>
      </c>
    </row>
    <row r="567" spans="1:10" x14ac:dyDescent="0.45">
      <c r="A567" s="1370">
        <v>3</v>
      </c>
      <c r="B567" s="1371">
        <f t="shared" si="9"/>
        <v>26696</v>
      </c>
      <c r="C567" s="1370" t="str">
        <f t="shared" si="10"/>
        <v>S&amp;P 500 Utility Index</v>
      </c>
      <c r="F567" s="1380">
        <f>'PRPM WP2'!C568</f>
        <v>-2.3399999999999997E-2</v>
      </c>
      <c r="H567" s="1380">
        <f>'PRPM WP2'!H568</f>
        <v>6.3499999999999997E-3</v>
      </c>
      <c r="I567" s="1373">
        <f t="shared" si="8"/>
        <v>-2.9749999999999999E-2</v>
      </c>
      <c r="J567" s="1371">
        <v>26696</v>
      </c>
    </row>
    <row r="568" spans="1:10" x14ac:dyDescent="0.45">
      <c r="A568" s="1370">
        <v>3</v>
      </c>
      <c r="B568" s="1371">
        <f t="shared" si="9"/>
        <v>26724</v>
      </c>
      <c r="C568" s="1370" t="str">
        <f t="shared" si="10"/>
        <v>S&amp;P 500 Utility Index</v>
      </c>
      <c r="F568" s="1380">
        <f>'PRPM WP2'!C569</f>
        <v>-1.3500000000000002E-2</v>
      </c>
      <c r="H568" s="1380">
        <f>'PRPM WP2'!H569</f>
        <v>6.3833333333333329E-3</v>
      </c>
      <c r="I568" s="1373">
        <f t="shared" si="8"/>
        <v>-1.9883333333333336E-2</v>
      </c>
      <c r="J568" s="1371">
        <v>26724</v>
      </c>
    </row>
    <row r="569" spans="1:10" x14ac:dyDescent="0.45">
      <c r="A569" s="1370">
        <v>3</v>
      </c>
      <c r="B569" s="1371">
        <f t="shared" si="9"/>
        <v>26755</v>
      </c>
      <c r="C569" s="1370" t="str">
        <f t="shared" si="10"/>
        <v>S&amp;P 500 Utility Index</v>
      </c>
      <c r="F569" s="1380">
        <f>'PRPM WP2'!C570</f>
        <v>-4.9000000000000007E-3</v>
      </c>
      <c r="H569" s="1380">
        <f>'PRPM WP2'!H570</f>
        <v>6.3583333333333339E-3</v>
      </c>
      <c r="I569" s="1373">
        <f t="shared" si="8"/>
        <v>-1.1258333333333335E-2</v>
      </c>
      <c r="J569" s="1371">
        <v>26755</v>
      </c>
    </row>
    <row r="570" spans="1:10" x14ac:dyDescent="0.45">
      <c r="A570" s="1370">
        <v>3</v>
      </c>
      <c r="B570" s="1371">
        <f t="shared" si="9"/>
        <v>26785</v>
      </c>
      <c r="C570" s="1370" t="str">
        <f t="shared" si="10"/>
        <v>S&amp;P 500 Utility Index</v>
      </c>
      <c r="F570" s="1380">
        <f>'PRPM WP2'!C571</f>
        <v>6.7000000000000002E-3</v>
      </c>
      <c r="H570" s="1380">
        <f>'PRPM WP2'!H571</f>
        <v>6.3583333333333339E-3</v>
      </c>
      <c r="I570" s="1373">
        <f t="shared" si="8"/>
        <v>3.4166666666666633E-4</v>
      </c>
      <c r="J570" s="1371">
        <v>26785</v>
      </c>
    </row>
    <row r="571" spans="1:10" x14ac:dyDescent="0.45">
      <c r="A571" s="1370">
        <v>3</v>
      </c>
      <c r="B571" s="1371">
        <f t="shared" si="9"/>
        <v>26816</v>
      </c>
      <c r="C571" s="1370" t="str">
        <f t="shared" si="10"/>
        <v>S&amp;P 500 Utility Index</v>
      </c>
      <c r="F571" s="1380">
        <f>'PRPM WP2'!C572</f>
        <v>-1.67E-2</v>
      </c>
      <c r="H571" s="1380">
        <f>'PRPM WP2'!H572</f>
        <v>6.4249999999999993E-3</v>
      </c>
      <c r="I571" s="1373">
        <f t="shared" si="8"/>
        <v>-2.3125E-2</v>
      </c>
      <c r="J571" s="1371">
        <v>26816</v>
      </c>
    </row>
    <row r="572" spans="1:10" x14ac:dyDescent="0.45">
      <c r="A572" s="1370">
        <v>3</v>
      </c>
      <c r="B572" s="1371">
        <f t="shared" si="9"/>
        <v>26846</v>
      </c>
      <c r="C572" s="1370" t="str">
        <f t="shared" si="10"/>
        <v>S&amp;P 500 Utility Index</v>
      </c>
      <c r="F572" s="1380">
        <f>'PRPM WP2'!C573</f>
        <v>-1.9900000000000001E-2</v>
      </c>
      <c r="H572" s="1380">
        <f>'PRPM WP2'!H573</f>
        <v>6.5166666666666671E-3</v>
      </c>
      <c r="I572" s="1373">
        <f t="shared" si="8"/>
        <v>-2.6416666666666668E-2</v>
      </c>
      <c r="J572" s="1371">
        <v>26846</v>
      </c>
    </row>
    <row r="573" spans="1:10" x14ac:dyDescent="0.45">
      <c r="A573" s="1370">
        <v>3</v>
      </c>
      <c r="B573" s="1371">
        <f t="shared" si="9"/>
        <v>26877</v>
      </c>
      <c r="C573" s="1370" t="str">
        <f t="shared" si="10"/>
        <v>S&amp;P 500 Utility Index</v>
      </c>
      <c r="F573" s="1380">
        <f>'PRPM WP2'!C574</f>
        <v>-2.8399999999999995E-2</v>
      </c>
      <c r="H573" s="1380">
        <f>'PRPM WP2'!H574</f>
        <v>6.6999999999999994E-3</v>
      </c>
      <c r="I573" s="1373">
        <f t="shared" si="8"/>
        <v>-3.5099999999999992E-2</v>
      </c>
      <c r="J573" s="1371">
        <v>26877</v>
      </c>
    </row>
    <row r="574" spans="1:10" x14ac:dyDescent="0.45">
      <c r="A574" s="1370">
        <v>3</v>
      </c>
      <c r="B574" s="1371">
        <f t="shared" si="9"/>
        <v>26908</v>
      </c>
      <c r="C574" s="1370" t="str">
        <f t="shared" si="10"/>
        <v>S&amp;P 500 Utility Index</v>
      </c>
      <c r="F574" s="1380">
        <f>'PRPM WP2'!C575</f>
        <v>7.7099999999999988E-2</v>
      </c>
      <c r="H574" s="1380">
        <f>'PRPM WP2'!H575</f>
        <v>6.6999999999999994E-3</v>
      </c>
      <c r="I574" s="1373">
        <f t="shared" si="8"/>
        <v>7.039999999999999E-2</v>
      </c>
      <c r="J574" s="1371">
        <v>26908</v>
      </c>
    </row>
    <row r="575" spans="1:10" x14ac:dyDescent="0.45">
      <c r="A575" s="1370">
        <v>3</v>
      </c>
      <c r="B575" s="1371">
        <f t="shared" si="9"/>
        <v>26938</v>
      </c>
      <c r="C575" s="1370" t="str">
        <f t="shared" si="10"/>
        <v>S&amp;P 500 Utility Index</v>
      </c>
      <c r="F575" s="1380">
        <f>'PRPM WP2'!C576</f>
        <v>-3.8800000000000001E-2</v>
      </c>
      <c r="H575" s="1380">
        <f>'PRPM WP2'!H576</f>
        <v>6.6833333333333337E-3</v>
      </c>
      <c r="I575" s="1373">
        <f t="shared" si="8"/>
        <v>-4.5483333333333334E-2</v>
      </c>
      <c r="J575" s="1371">
        <v>26938</v>
      </c>
    </row>
    <row r="576" spans="1:10" x14ac:dyDescent="0.45">
      <c r="A576" s="1370">
        <v>3</v>
      </c>
      <c r="B576" s="1371">
        <f t="shared" si="9"/>
        <v>26969</v>
      </c>
      <c r="C576" s="1370" t="str">
        <f t="shared" si="10"/>
        <v>S&amp;P 500 Utility Index</v>
      </c>
      <c r="F576" s="1380">
        <f>'PRPM WP2'!C577</f>
        <v>-0.11720000000000001</v>
      </c>
      <c r="H576" s="1380">
        <f>'PRPM WP2'!H577</f>
        <v>6.7916666666666672E-3</v>
      </c>
      <c r="I576" s="1373">
        <f t="shared" si="8"/>
        <v>-0.12399166666666668</v>
      </c>
      <c r="J576" s="1371">
        <v>26969</v>
      </c>
    </row>
    <row r="577" spans="1:10" x14ac:dyDescent="0.45">
      <c r="A577" s="1370">
        <v>3</v>
      </c>
      <c r="B577" s="1371">
        <f t="shared" si="9"/>
        <v>26999</v>
      </c>
      <c r="C577" s="1370" t="str">
        <f t="shared" si="10"/>
        <v>S&amp;P 500 Utility Index</v>
      </c>
      <c r="F577" s="1380">
        <f>'PRPM WP2'!C578</f>
        <v>3.7499999999999999E-2</v>
      </c>
      <c r="H577" s="1380">
        <f>'PRPM WP2'!H578</f>
        <v>6.8666666666666668E-3</v>
      </c>
      <c r="I577" s="1373">
        <f t="shared" si="8"/>
        <v>3.0633333333333332E-2</v>
      </c>
      <c r="J577" s="1371">
        <v>26999</v>
      </c>
    </row>
    <row r="578" spans="1:10" x14ac:dyDescent="0.45">
      <c r="A578" s="1370">
        <v>3</v>
      </c>
      <c r="B578" s="1371">
        <f t="shared" si="9"/>
        <v>27030</v>
      </c>
      <c r="C578" s="1370" t="str">
        <f t="shared" si="10"/>
        <v>S&amp;P 500 Utility Index</v>
      </c>
      <c r="F578" s="1380">
        <f>'PRPM WP2'!C579</f>
        <v>4.1799999999999997E-2</v>
      </c>
      <c r="H578" s="1380">
        <f>'PRPM WP2'!H579</f>
        <v>6.9666666666666661E-3</v>
      </c>
      <c r="I578" s="1373">
        <f t="shared" si="8"/>
        <v>3.4833333333333327E-2</v>
      </c>
      <c r="J578" s="1371">
        <v>27030</v>
      </c>
    </row>
    <row r="579" spans="1:10" x14ac:dyDescent="0.45">
      <c r="A579" s="1370">
        <v>3</v>
      </c>
      <c r="B579" s="1371">
        <f t="shared" si="9"/>
        <v>27061</v>
      </c>
      <c r="C579" s="1370" t="str">
        <f t="shared" si="10"/>
        <v>S&amp;P 500 Utility Index</v>
      </c>
      <c r="F579" s="1380">
        <f>'PRPM WP2'!C580</f>
        <v>6.0000000000000001E-3</v>
      </c>
      <c r="H579" s="1380">
        <f>'PRPM WP2'!H580</f>
        <v>7.0166666666666667E-3</v>
      </c>
      <c r="I579" s="1373">
        <f t="shared" si="8"/>
        <v>-1.0166666666666666E-3</v>
      </c>
      <c r="J579" s="1371">
        <v>27061</v>
      </c>
    </row>
    <row r="580" spans="1:10" x14ac:dyDescent="0.45">
      <c r="A580" s="1370">
        <v>3</v>
      </c>
      <c r="B580" s="1371">
        <f t="shared" si="9"/>
        <v>27089</v>
      </c>
      <c r="C580" s="1370" t="str">
        <f t="shared" si="10"/>
        <v>S&amp;P 500 Utility Index</v>
      </c>
      <c r="F580" s="1380">
        <f>'PRPM WP2'!C581</f>
        <v>-3.8900000000000004E-2</v>
      </c>
      <c r="H580" s="1380">
        <f>'PRPM WP2'!H581</f>
        <v>7.0500000000000007E-3</v>
      </c>
      <c r="I580" s="1373">
        <f t="shared" si="8"/>
        <v>-4.5950000000000005E-2</v>
      </c>
      <c r="J580" s="1371">
        <v>27089</v>
      </c>
    </row>
    <row r="581" spans="1:10" x14ac:dyDescent="0.45">
      <c r="A581" s="1370">
        <v>3</v>
      </c>
      <c r="B581" s="1371">
        <f t="shared" si="9"/>
        <v>27120</v>
      </c>
      <c r="C581" s="1370" t="str">
        <f t="shared" si="10"/>
        <v>S&amp;P 500 Utility Index</v>
      </c>
      <c r="F581" s="1380">
        <f>'PRPM WP2'!C582</f>
        <v>-0.12959999999999999</v>
      </c>
      <c r="H581" s="1380">
        <f>'PRPM WP2'!H582</f>
        <v>7.3083333333333333E-3</v>
      </c>
      <c r="I581" s="1373">
        <f t="shared" si="8"/>
        <v>-0.13690833333333333</v>
      </c>
      <c r="J581" s="1371">
        <v>27120</v>
      </c>
    </row>
    <row r="582" spans="1:10" x14ac:dyDescent="0.45">
      <c r="A582" s="1370">
        <v>3</v>
      </c>
      <c r="B582" s="1371">
        <f t="shared" si="9"/>
        <v>27150</v>
      </c>
      <c r="C582" s="1370" t="str">
        <f t="shared" si="10"/>
        <v>S&amp;P 500 Utility Index</v>
      </c>
      <c r="F582" s="1380">
        <f>'PRPM WP2'!C583</f>
        <v>-4.8399999999999999E-2</v>
      </c>
      <c r="H582" s="1380">
        <f>'PRPM WP2'!H583</f>
        <v>7.4999999999999997E-3</v>
      </c>
      <c r="I582" s="1373">
        <f t="shared" si="8"/>
        <v>-5.5899999999999998E-2</v>
      </c>
      <c r="J582" s="1371">
        <v>27150</v>
      </c>
    </row>
    <row r="583" spans="1:10" x14ac:dyDescent="0.45">
      <c r="A583" s="1370">
        <v>3</v>
      </c>
      <c r="B583" s="1371">
        <f t="shared" si="9"/>
        <v>27181</v>
      </c>
      <c r="C583" s="1370" t="str">
        <f t="shared" si="10"/>
        <v>S&amp;P 500 Utility Index</v>
      </c>
      <c r="F583" s="1380">
        <f>'PRPM WP2'!C584</f>
        <v>-5.6999999999999995E-2</v>
      </c>
      <c r="H583" s="1380">
        <f>'PRPM WP2'!H584</f>
        <v>7.7666666666666674E-3</v>
      </c>
      <c r="I583" s="1373">
        <f t="shared" si="8"/>
        <v>-6.4766666666666667E-2</v>
      </c>
      <c r="J583" s="1371">
        <v>27181</v>
      </c>
    </row>
    <row r="584" spans="1:10" x14ac:dyDescent="0.45">
      <c r="A584" s="1370">
        <v>3</v>
      </c>
      <c r="B584" s="1371">
        <f t="shared" si="9"/>
        <v>27211</v>
      </c>
      <c r="C584" s="1370" t="str">
        <f t="shared" si="10"/>
        <v>S&amp;P 500 Utility Index</v>
      </c>
      <c r="F584" s="1380">
        <f>'PRPM WP2'!C585</f>
        <v>-8.8999999999999982E-3</v>
      </c>
      <c r="H584" s="1380">
        <f>'PRPM WP2'!H585</f>
        <v>8.0499999999999999E-3</v>
      </c>
      <c r="I584" s="1373">
        <f t="shared" si="8"/>
        <v>-1.695E-2</v>
      </c>
      <c r="J584" s="1371">
        <v>27211</v>
      </c>
    </row>
    <row r="585" spans="1:10" x14ac:dyDescent="0.45">
      <c r="A585" s="1370">
        <v>3</v>
      </c>
      <c r="B585" s="1371">
        <f t="shared" si="9"/>
        <v>27242</v>
      </c>
      <c r="C585" s="1370" t="str">
        <f t="shared" si="10"/>
        <v>S&amp;P 500 Utility Index</v>
      </c>
      <c r="F585" s="1380">
        <f>'PRPM WP2'!C586</f>
        <v>-8.7099999999999997E-2</v>
      </c>
      <c r="H585" s="1380">
        <f>'PRPM WP2'!H586</f>
        <v>8.3583333333333339E-3</v>
      </c>
      <c r="I585" s="1373">
        <f t="shared" si="8"/>
        <v>-9.5458333333333326E-2</v>
      </c>
      <c r="J585" s="1371">
        <v>27242</v>
      </c>
    </row>
    <row r="586" spans="1:10" x14ac:dyDescent="0.45">
      <c r="A586" s="1370">
        <v>3</v>
      </c>
      <c r="B586" s="1371">
        <f t="shared" si="9"/>
        <v>27273</v>
      </c>
      <c r="C586" s="1370" t="str">
        <f t="shared" si="10"/>
        <v>S&amp;P 500 Utility Index</v>
      </c>
      <c r="F586" s="1380">
        <f>'PRPM WP2'!C587</f>
        <v>-8.6E-3</v>
      </c>
      <c r="H586" s="1380">
        <f>'PRPM WP2'!H587</f>
        <v>8.7083333333333353E-3</v>
      </c>
      <c r="I586" s="1373">
        <f t="shared" si="8"/>
        <v>-1.7308333333333335E-2</v>
      </c>
      <c r="J586" s="1371">
        <v>27273</v>
      </c>
    </row>
    <row r="587" spans="1:10" x14ac:dyDescent="0.45">
      <c r="A587" s="1370">
        <v>3</v>
      </c>
      <c r="B587" s="1371">
        <f t="shared" si="9"/>
        <v>27303</v>
      </c>
      <c r="C587" s="1370" t="str">
        <f t="shared" si="10"/>
        <v>S&amp;P 500 Utility Index</v>
      </c>
      <c r="F587" s="1380">
        <f>'PRPM WP2'!C588</f>
        <v>0.11990000000000001</v>
      </c>
      <c r="H587" s="1380">
        <f>'PRPM WP2'!H588</f>
        <v>8.9833333333333328E-3</v>
      </c>
      <c r="I587" s="1373">
        <f t="shared" si="8"/>
        <v>0.11091666666666668</v>
      </c>
      <c r="J587" s="1371">
        <v>27303</v>
      </c>
    </row>
    <row r="588" spans="1:10" x14ac:dyDescent="0.45">
      <c r="A588" s="1370">
        <v>3</v>
      </c>
      <c r="B588" s="1371">
        <f t="shared" si="9"/>
        <v>27334</v>
      </c>
      <c r="C588" s="1370" t="str">
        <f t="shared" si="10"/>
        <v>S&amp;P 500 Utility Index</v>
      </c>
      <c r="F588" s="1380">
        <f>'PRPM WP2'!C589</f>
        <v>-1.1900000000000001E-2</v>
      </c>
      <c r="H588" s="1380">
        <f>'PRPM WP2'!H589</f>
        <v>8.7166666666666677E-3</v>
      </c>
      <c r="I588" s="1373">
        <f t="shared" si="8"/>
        <v>-2.0616666666666669E-2</v>
      </c>
      <c r="J588" s="1371">
        <v>27334</v>
      </c>
    </row>
    <row r="589" spans="1:10" x14ac:dyDescent="0.45">
      <c r="A589" s="1370">
        <v>3</v>
      </c>
      <c r="B589" s="1371">
        <f t="shared" si="9"/>
        <v>27364</v>
      </c>
      <c r="C589" s="1370" t="str">
        <f t="shared" si="10"/>
        <v>S&amp;P 500 Utility Index</v>
      </c>
      <c r="F589" s="1380">
        <f>'PRPM WP2'!C590</f>
        <v>4.4000000000000003E-3</v>
      </c>
      <c r="H589" s="1380">
        <f>'PRPM WP2'!H590</f>
        <v>8.5583333333333327E-3</v>
      </c>
      <c r="I589" s="1373">
        <f t="shared" si="8"/>
        <v>-4.1583333333333325E-3</v>
      </c>
      <c r="J589" s="1371">
        <v>27364</v>
      </c>
    </row>
    <row r="590" spans="1:10" x14ac:dyDescent="0.45">
      <c r="A590" s="1370">
        <v>3</v>
      </c>
      <c r="B590" s="1371">
        <f t="shared" si="9"/>
        <v>27395</v>
      </c>
      <c r="C590" s="1370" t="str">
        <f t="shared" si="10"/>
        <v>S&amp;P 500 Utility Index</v>
      </c>
      <c r="F590" s="1380">
        <f>'PRPM WP2'!C591</f>
        <v>0.18969999999999998</v>
      </c>
      <c r="H590" s="1380">
        <f>'PRPM WP2'!H591</f>
        <v>8.6416666666666673E-3</v>
      </c>
      <c r="I590" s="1373">
        <f t="shared" si="8"/>
        <v>0.18105833333333332</v>
      </c>
      <c r="J590" s="1371">
        <v>27395</v>
      </c>
    </row>
    <row r="591" spans="1:10" x14ac:dyDescent="0.45">
      <c r="A591" s="1370">
        <v>3</v>
      </c>
      <c r="B591" s="1371">
        <f t="shared" si="9"/>
        <v>27426</v>
      </c>
      <c r="C591" s="1370" t="str">
        <f t="shared" si="10"/>
        <v>S&amp;P 500 Utility Index</v>
      </c>
      <c r="F591" s="1380">
        <f>'PRPM WP2'!C592</f>
        <v>1.43E-2</v>
      </c>
      <c r="H591" s="1380">
        <f>'PRPM WP2'!H592</f>
        <v>8.3250000000000008E-3</v>
      </c>
      <c r="I591" s="1373">
        <f t="shared" si="8"/>
        <v>5.9749999999999994E-3</v>
      </c>
      <c r="J591" s="1371">
        <v>27426</v>
      </c>
    </row>
    <row r="592" spans="1:10" x14ac:dyDescent="0.45">
      <c r="A592" s="1370">
        <v>3</v>
      </c>
      <c r="B592" s="1371">
        <f t="shared" si="9"/>
        <v>27454</v>
      </c>
      <c r="C592" s="1370" t="str">
        <f t="shared" si="10"/>
        <v>S&amp;P 500 Utility Index</v>
      </c>
      <c r="F592" s="1380">
        <f>'PRPM WP2'!C593</f>
        <v>-2.1600000000000001E-2</v>
      </c>
      <c r="H592" s="1380">
        <f>'PRPM WP2'!H593</f>
        <v>8.1000000000000013E-3</v>
      </c>
      <c r="I592" s="1373">
        <f t="shared" si="8"/>
        <v>-2.9700000000000004E-2</v>
      </c>
      <c r="J592" s="1371">
        <v>27454</v>
      </c>
    </row>
    <row r="593" spans="1:10" x14ac:dyDescent="0.45">
      <c r="A593" s="1370">
        <v>3</v>
      </c>
      <c r="B593" s="1371">
        <f t="shared" si="9"/>
        <v>27485</v>
      </c>
      <c r="C593" s="1370" t="str">
        <f t="shared" si="10"/>
        <v>S&amp;P 500 Utility Index</v>
      </c>
      <c r="F593" s="1380">
        <f>'PRPM WP2'!C594</f>
        <v>-1.4000000000000002E-2</v>
      </c>
      <c r="H593" s="1380">
        <f>'PRPM WP2'!H594</f>
        <v>8.3833333333333329E-3</v>
      </c>
      <c r="I593" s="1373">
        <f t="shared" si="8"/>
        <v>-2.2383333333333335E-2</v>
      </c>
      <c r="J593" s="1371">
        <v>27485</v>
      </c>
    </row>
    <row r="594" spans="1:10" x14ac:dyDescent="0.45">
      <c r="A594" s="1370">
        <v>3</v>
      </c>
      <c r="B594" s="1371">
        <f t="shared" si="9"/>
        <v>27515</v>
      </c>
      <c r="C594" s="1370" t="str">
        <f t="shared" si="10"/>
        <v>S&amp;P 500 Utility Index</v>
      </c>
      <c r="F594" s="1380">
        <f>'PRPM WP2'!C595</f>
        <v>8.6599999999999996E-2</v>
      </c>
      <c r="H594" s="1380">
        <f>'PRPM WP2'!H595</f>
        <v>8.5249999999999996E-3</v>
      </c>
      <c r="I594" s="1373">
        <f t="shared" si="8"/>
        <v>7.8074999999999992E-2</v>
      </c>
      <c r="J594" s="1371">
        <v>27515</v>
      </c>
    </row>
    <row r="595" spans="1:10" x14ac:dyDescent="0.45">
      <c r="A595" s="1370">
        <v>3</v>
      </c>
      <c r="B595" s="1371">
        <f t="shared" si="9"/>
        <v>27546</v>
      </c>
      <c r="C595" s="1370" t="str">
        <f t="shared" si="10"/>
        <v>S&amp;P 500 Utility Index</v>
      </c>
      <c r="F595" s="1380">
        <f>'PRPM WP2'!C596</f>
        <v>0.1067</v>
      </c>
      <c r="H595" s="1380">
        <f>'PRPM WP2'!H596</f>
        <v>8.416666666666666E-3</v>
      </c>
      <c r="I595" s="1373">
        <f t="shared" si="8"/>
        <v>9.8283333333333334E-2</v>
      </c>
      <c r="J595" s="1371">
        <v>27546</v>
      </c>
    </row>
    <row r="596" spans="1:10" x14ac:dyDescent="0.45">
      <c r="A596" s="1370">
        <v>3</v>
      </c>
      <c r="B596" s="1371">
        <f t="shared" si="9"/>
        <v>27576</v>
      </c>
      <c r="C596" s="1370" t="str">
        <f t="shared" si="10"/>
        <v>S&amp;P 500 Utility Index</v>
      </c>
      <c r="F596" s="1380">
        <f>'PRPM WP2'!C597</f>
        <v>-5.1000000000000004E-2</v>
      </c>
      <c r="H596" s="1380">
        <f>'PRPM WP2'!H597</f>
        <v>8.3416666666666656E-3</v>
      </c>
      <c r="I596" s="1373">
        <f t="shared" si="8"/>
        <v>-5.9341666666666668E-2</v>
      </c>
      <c r="J596" s="1371">
        <v>27576</v>
      </c>
    </row>
    <row r="597" spans="1:10" x14ac:dyDescent="0.45">
      <c r="A597" s="1370">
        <v>3</v>
      </c>
      <c r="B597" s="1371">
        <f t="shared" si="9"/>
        <v>27607</v>
      </c>
      <c r="C597" s="1370" t="str">
        <f t="shared" si="10"/>
        <v>S&amp;P 500 Utility Index</v>
      </c>
      <c r="F597" s="1380">
        <f>'PRPM WP2'!C598</f>
        <v>-2.1199999999999997E-2</v>
      </c>
      <c r="H597" s="1380">
        <f>'PRPM WP2'!H598</f>
        <v>8.4333333333333326E-3</v>
      </c>
      <c r="I597" s="1373">
        <f t="shared" si="8"/>
        <v>-2.9633333333333331E-2</v>
      </c>
      <c r="J597" s="1371">
        <v>27607</v>
      </c>
    </row>
    <row r="598" spans="1:10" x14ac:dyDescent="0.45">
      <c r="A598" s="1370">
        <v>3</v>
      </c>
      <c r="B598" s="1371">
        <f t="shared" si="9"/>
        <v>27638</v>
      </c>
      <c r="C598" s="1370" t="str">
        <f t="shared" si="10"/>
        <v>S&amp;P 500 Utility Index</v>
      </c>
      <c r="F598" s="1380">
        <f>'PRPM WP2'!C599</f>
        <v>-4.9000000000000007E-3</v>
      </c>
      <c r="H598" s="1380">
        <f>'PRPM WP2'!H599</f>
        <v>8.4916666666666665E-3</v>
      </c>
      <c r="I598" s="1373">
        <f t="shared" si="8"/>
        <v>-1.3391666666666666E-2</v>
      </c>
      <c r="J598" s="1371">
        <v>27638</v>
      </c>
    </row>
    <row r="599" spans="1:10" x14ac:dyDescent="0.45">
      <c r="A599" s="1370">
        <v>3</v>
      </c>
      <c r="B599" s="1371">
        <f t="shared" si="9"/>
        <v>27668</v>
      </c>
      <c r="C599" s="1370" t="str">
        <f t="shared" si="10"/>
        <v>S&amp;P 500 Utility Index</v>
      </c>
      <c r="F599" s="1380">
        <f>'PRPM WP2'!C600</f>
        <v>7.0800000000000002E-2</v>
      </c>
      <c r="H599" s="1380">
        <f>'PRPM WP2'!H600</f>
        <v>8.4666666666666675E-3</v>
      </c>
      <c r="I599" s="1373">
        <f t="shared" si="8"/>
        <v>6.2333333333333338E-2</v>
      </c>
      <c r="J599" s="1371">
        <v>27668</v>
      </c>
    </row>
    <row r="600" spans="1:10" x14ac:dyDescent="0.45">
      <c r="A600" s="1370">
        <v>3</v>
      </c>
      <c r="B600" s="1371">
        <f t="shared" si="9"/>
        <v>27699</v>
      </c>
      <c r="C600" s="1370" t="str">
        <f t="shared" si="10"/>
        <v>S&amp;P 500 Utility Index</v>
      </c>
      <c r="F600" s="1380">
        <f>'PRPM WP2'!C601</f>
        <v>3.5000000000000003E-2</v>
      </c>
      <c r="H600" s="1380">
        <f>'PRPM WP2'!H601</f>
        <v>8.3666666666666663E-3</v>
      </c>
      <c r="I600" s="1373">
        <f t="shared" si="8"/>
        <v>2.6633333333333335E-2</v>
      </c>
      <c r="J600" s="1371">
        <v>27699</v>
      </c>
    </row>
    <row r="601" spans="1:10" x14ac:dyDescent="0.45">
      <c r="A601" s="1370">
        <v>3</v>
      </c>
      <c r="B601" s="1371">
        <f t="shared" si="9"/>
        <v>27729</v>
      </c>
      <c r="C601" s="1370" t="str">
        <f t="shared" si="10"/>
        <v>S&amp;P 500 Utility Index</v>
      </c>
      <c r="F601" s="1380">
        <f>'PRPM WP2'!C602</f>
        <v>7.6999999999999994E-3</v>
      </c>
      <c r="H601" s="1380">
        <f>'PRPM WP2'!H602</f>
        <v>8.4249999999999985E-3</v>
      </c>
      <c r="I601" s="1373">
        <f t="shared" si="8"/>
        <v>-7.2499999999999908E-4</v>
      </c>
      <c r="J601" s="1371">
        <v>27729</v>
      </c>
    </row>
    <row r="602" spans="1:10" x14ac:dyDescent="0.45">
      <c r="A602" s="1370">
        <v>3</v>
      </c>
      <c r="B602" s="1371">
        <f t="shared" si="9"/>
        <v>27760</v>
      </c>
      <c r="C602" s="1370" t="str">
        <f t="shared" si="10"/>
        <v>S&amp;P 500 Utility Index</v>
      </c>
      <c r="F602" s="1380">
        <f>'PRPM WP2'!C603</f>
        <v>8.9400000000000007E-2</v>
      </c>
      <c r="H602" s="1380">
        <f>'PRPM WP2'!H603</f>
        <v>8.2500000000000004E-3</v>
      </c>
      <c r="I602" s="1373">
        <f t="shared" ref="I602:I665" si="11">F602-H602</f>
        <v>8.115E-2</v>
      </c>
      <c r="J602" s="1371">
        <v>27760</v>
      </c>
    </row>
    <row r="603" spans="1:10" x14ac:dyDescent="0.45">
      <c r="A603" s="1370">
        <v>3</v>
      </c>
      <c r="B603" s="1371">
        <f t="shared" si="9"/>
        <v>27791</v>
      </c>
      <c r="C603" s="1370" t="str">
        <f t="shared" si="10"/>
        <v>S&amp;P 500 Utility Index</v>
      </c>
      <c r="F603" s="1380">
        <f>'PRPM WP2'!C604</f>
        <v>-3.56E-2</v>
      </c>
      <c r="H603" s="1380">
        <f>'PRPM WP2'!H604</f>
        <v>8.0916666666666671E-3</v>
      </c>
      <c r="I603" s="1373">
        <f t="shared" si="11"/>
        <v>-4.369166666666667E-2</v>
      </c>
      <c r="J603" s="1371">
        <v>27791</v>
      </c>
    </row>
    <row r="604" spans="1:10" x14ac:dyDescent="0.45">
      <c r="A604" s="1370">
        <v>3</v>
      </c>
      <c r="B604" s="1371">
        <f t="shared" si="9"/>
        <v>27820</v>
      </c>
      <c r="C604" s="1370" t="str">
        <f t="shared" si="10"/>
        <v>S&amp;P 500 Utility Index</v>
      </c>
      <c r="F604" s="1380">
        <f>'PRPM WP2'!C605</f>
        <v>0.01</v>
      </c>
      <c r="H604" s="1380">
        <f>'PRPM WP2'!H605</f>
        <v>8.0583333333333323E-3</v>
      </c>
      <c r="I604" s="1373">
        <f t="shared" si="11"/>
        <v>1.9416666666666679E-3</v>
      </c>
      <c r="J604" s="1371">
        <v>27820</v>
      </c>
    </row>
    <row r="605" spans="1:10" x14ac:dyDescent="0.45">
      <c r="A605" s="1370">
        <v>3</v>
      </c>
      <c r="B605" s="1371">
        <f t="shared" si="9"/>
        <v>27851</v>
      </c>
      <c r="C605" s="1370" t="str">
        <f t="shared" si="10"/>
        <v>S&amp;P 500 Utility Index</v>
      </c>
      <c r="F605" s="1380">
        <f>'PRPM WP2'!C606</f>
        <v>3.7000000000000002E-3</v>
      </c>
      <c r="H605" s="1380">
        <f>'PRPM WP2'!H606</f>
        <v>7.9416666666666663E-3</v>
      </c>
      <c r="I605" s="1373">
        <f t="shared" si="11"/>
        <v>-4.2416666666666662E-3</v>
      </c>
      <c r="J605" s="1371">
        <v>27851</v>
      </c>
    </row>
    <row r="606" spans="1:10" x14ac:dyDescent="0.45">
      <c r="A606" s="1370">
        <v>3</v>
      </c>
      <c r="B606" s="1371">
        <f t="shared" si="9"/>
        <v>27881</v>
      </c>
      <c r="C606" s="1370" t="str">
        <f t="shared" si="10"/>
        <v>S&amp;P 500 Utility Index</v>
      </c>
      <c r="F606" s="1380">
        <f>'PRPM WP2'!C607</f>
        <v>-1.3899999999999999E-2</v>
      </c>
      <c r="H606" s="1380">
        <f>'PRPM WP2'!H607</f>
        <v>7.9583333333333346E-3</v>
      </c>
      <c r="I606" s="1373">
        <f t="shared" si="11"/>
        <v>-2.1858333333333334E-2</v>
      </c>
      <c r="J606" s="1371">
        <v>27881</v>
      </c>
    </row>
    <row r="607" spans="1:10" x14ac:dyDescent="0.45">
      <c r="A607" s="1370">
        <v>3</v>
      </c>
      <c r="B607" s="1371">
        <f t="shared" si="9"/>
        <v>27912</v>
      </c>
      <c r="C607" s="1370" t="str">
        <f t="shared" si="10"/>
        <v>S&amp;P 500 Utility Index</v>
      </c>
      <c r="F607" s="1380">
        <f>'PRPM WP2'!C608</f>
        <v>3.3700000000000001E-2</v>
      </c>
      <c r="H607" s="1380">
        <f>'PRPM WP2'!H608</f>
        <v>7.9499999999999987E-3</v>
      </c>
      <c r="I607" s="1373">
        <f t="shared" si="11"/>
        <v>2.5750000000000002E-2</v>
      </c>
      <c r="J607" s="1371">
        <v>27912</v>
      </c>
    </row>
    <row r="608" spans="1:10" x14ac:dyDescent="0.45">
      <c r="A608" s="1370">
        <v>3</v>
      </c>
      <c r="B608" s="1371">
        <f t="shared" si="9"/>
        <v>27942</v>
      </c>
      <c r="C608" s="1370" t="str">
        <f t="shared" si="10"/>
        <v>S&amp;P 500 Utility Index</v>
      </c>
      <c r="F608" s="1380">
        <f>'PRPM WP2'!C609</f>
        <v>3.4099999999999998E-2</v>
      </c>
      <c r="H608" s="1380">
        <f>'PRPM WP2'!H609</f>
        <v>7.8083333333333329E-3</v>
      </c>
      <c r="I608" s="1373">
        <f t="shared" si="11"/>
        <v>2.6291666666666665E-2</v>
      </c>
      <c r="J608" s="1371">
        <v>27942</v>
      </c>
    </row>
    <row r="609" spans="1:10" x14ac:dyDescent="0.45">
      <c r="A609" s="1370">
        <v>3</v>
      </c>
      <c r="B609" s="1371">
        <f t="shared" si="9"/>
        <v>27973</v>
      </c>
      <c r="C609" s="1370" t="str">
        <f t="shared" si="10"/>
        <v>S&amp;P 500 Utility Index</v>
      </c>
      <c r="F609" s="1380">
        <f>'PRPM WP2'!C610</f>
        <v>3.8300000000000001E-2</v>
      </c>
      <c r="H609" s="1380">
        <f>'PRPM WP2'!H610</f>
        <v>7.6083333333333333E-3</v>
      </c>
      <c r="I609" s="1373">
        <f t="shared" si="11"/>
        <v>3.0691666666666666E-2</v>
      </c>
      <c r="J609" s="1371">
        <v>27973</v>
      </c>
    </row>
    <row r="610" spans="1:10" x14ac:dyDescent="0.45">
      <c r="A610" s="1370">
        <v>3</v>
      </c>
      <c r="B610" s="1371">
        <f t="shared" si="9"/>
        <v>28004</v>
      </c>
      <c r="C610" s="1370" t="str">
        <f t="shared" si="10"/>
        <v>S&amp;P 500 Utility Index</v>
      </c>
      <c r="F610" s="1380">
        <f>'PRPM WP2'!C611</f>
        <v>3.8100000000000002E-2</v>
      </c>
      <c r="H610" s="1380">
        <f>'PRPM WP2'!H611</f>
        <v>7.4166666666666669E-3</v>
      </c>
      <c r="I610" s="1373">
        <f t="shared" si="11"/>
        <v>3.0683333333333333E-2</v>
      </c>
      <c r="J610" s="1371">
        <v>28004</v>
      </c>
    </row>
    <row r="611" spans="1:10" x14ac:dyDescent="0.45">
      <c r="A611" s="1370">
        <v>3</v>
      </c>
      <c r="B611" s="1371">
        <f t="shared" si="9"/>
        <v>28034</v>
      </c>
      <c r="C611" s="1370" t="str">
        <f t="shared" si="10"/>
        <v>S&amp;P 500 Utility Index</v>
      </c>
      <c r="F611" s="1380">
        <f>'PRPM WP2'!C612</f>
        <v>-2.1000000000000003E-3</v>
      </c>
      <c r="H611" s="1380">
        <f>'PRPM WP2'!H612</f>
        <v>7.324999999999999E-3</v>
      </c>
      <c r="I611" s="1373">
        <f t="shared" si="11"/>
        <v>-9.4249999999999994E-3</v>
      </c>
      <c r="J611" s="1371">
        <v>28034</v>
      </c>
    </row>
    <row r="612" spans="1:10" x14ac:dyDescent="0.45">
      <c r="A612" s="1370">
        <v>3</v>
      </c>
      <c r="B612" s="1371">
        <f t="shared" si="9"/>
        <v>28065</v>
      </c>
      <c r="C612" s="1370" t="str">
        <f t="shared" si="10"/>
        <v>S&amp;P 500 Utility Index</v>
      </c>
      <c r="F612" s="1380">
        <f>'PRPM WP2'!C613</f>
        <v>2.6800000000000001E-2</v>
      </c>
      <c r="H612" s="1380">
        <f>'PRPM WP2'!H613</f>
        <v>7.3000000000000001E-3</v>
      </c>
      <c r="I612" s="1373">
        <f t="shared" si="11"/>
        <v>1.95E-2</v>
      </c>
      <c r="J612" s="1371">
        <v>28065</v>
      </c>
    </row>
    <row r="613" spans="1:10" x14ac:dyDescent="0.45">
      <c r="A613" s="1370">
        <v>3</v>
      </c>
      <c r="B613" s="1371">
        <f t="shared" si="9"/>
        <v>28095</v>
      </c>
      <c r="C613" s="1370" t="str">
        <f t="shared" si="10"/>
        <v>S&amp;P 500 Utility Index</v>
      </c>
      <c r="F613" s="1380">
        <f>'PRPM WP2'!C614</f>
        <v>6.3100000000000003E-2</v>
      </c>
      <c r="H613" s="1380">
        <f>'PRPM WP2'!H614</f>
        <v>7.1833333333333324E-3</v>
      </c>
      <c r="I613" s="1373">
        <f t="shared" si="11"/>
        <v>5.591666666666667E-2</v>
      </c>
      <c r="J613" s="1371">
        <v>28095</v>
      </c>
    </row>
    <row r="614" spans="1:10" x14ac:dyDescent="0.45">
      <c r="A614" s="1370">
        <v>3</v>
      </c>
      <c r="B614" s="1371">
        <f t="shared" si="9"/>
        <v>28126</v>
      </c>
      <c r="C614" s="1370" t="str">
        <f t="shared" si="10"/>
        <v>S&amp;P 500 Utility Index</v>
      </c>
      <c r="F614" s="1380">
        <f>'PRPM WP2'!C615</f>
        <v>3.5000000000000005E-3</v>
      </c>
      <c r="H614" s="1380">
        <f>'PRPM WP2'!H615</f>
        <v>7.1749999999999991E-3</v>
      </c>
      <c r="I614" s="1373">
        <f t="shared" si="11"/>
        <v>-3.6749999999999986E-3</v>
      </c>
      <c r="J614" s="1371">
        <v>28126</v>
      </c>
    </row>
    <row r="615" spans="1:10" x14ac:dyDescent="0.45">
      <c r="A615" s="1370">
        <v>3</v>
      </c>
      <c r="B615" s="1371">
        <f t="shared" si="9"/>
        <v>28157</v>
      </c>
      <c r="C615" s="1370" t="str">
        <f t="shared" si="10"/>
        <v>S&amp;P 500 Utility Index</v>
      </c>
      <c r="F615" s="1380">
        <f>'PRPM WP2'!C616</f>
        <v>-3.7200000000000004E-2</v>
      </c>
      <c r="H615" s="1380">
        <f>'PRPM WP2'!H616</f>
        <v>7.2083333333333331E-3</v>
      </c>
      <c r="I615" s="1373">
        <f t="shared" si="11"/>
        <v>-4.4408333333333334E-2</v>
      </c>
      <c r="J615" s="1371">
        <v>28157</v>
      </c>
    </row>
    <row r="616" spans="1:10" x14ac:dyDescent="0.45">
      <c r="A616" s="1370">
        <v>3</v>
      </c>
      <c r="B616" s="1371">
        <f t="shared" si="9"/>
        <v>28185</v>
      </c>
      <c r="C616" s="1370" t="str">
        <f t="shared" si="10"/>
        <v>S&amp;P 500 Utility Index</v>
      </c>
      <c r="F616" s="1380">
        <f>'PRPM WP2'!C617</f>
        <v>1.0200000000000001E-2</v>
      </c>
      <c r="H616" s="1380">
        <f>'PRPM WP2'!H617</f>
        <v>7.2499999999999995E-3</v>
      </c>
      <c r="I616" s="1373">
        <f t="shared" si="11"/>
        <v>2.9500000000000012E-3</v>
      </c>
      <c r="J616" s="1371">
        <v>28185</v>
      </c>
    </row>
    <row r="617" spans="1:10" x14ac:dyDescent="0.45">
      <c r="A617" s="1370">
        <v>3</v>
      </c>
      <c r="B617" s="1371">
        <f t="shared" si="9"/>
        <v>28216</v>
      </c>
      <c r="C617" s="1370" t="str">
        <f t="shared" si="10"/>
        <v>S&amp;P 500 Utility Index</v>
      </c>
      <c r="F617" s="1380">
        <f>'PRPM WP2'!C618</f>
        <v>2.0900000000000002E-2</v>
      </c>
      <c r="H617" s="1380">
        <f>'PRPM WP2'!H618</f>
        <v>7.2583333333333345E-3</v>
      </c>
      <c r="I617" s="1373">
        <f t="shared" si="11"/>
        <v>1.3641666666666667E-2</v>
      </c>
      <c r="J617" s="1371">
        <v>28216</v>
      </c>
    </row>
    <row r="618" spans="1:10" x14ac:dyDescent="0.45">
      <c r="A618" s="1370">
        <v>3</v>
      </c>
      <c r="B618" s="1371">
        <f t="shared" si="9"/>
        <v>28246</v>
      </c>
      <c r="C618" s="1370" t="str">
        <f t="shared" si="10"/>
        <v>S&amp;P 500 Utility Index</v>
      </c>
      <c r="F618" s="1380">
        <f>'PRPM WP2'!C619</f>
        <v>2.1099999999999997E-2</v>
      </c>
      <c r="H618" s="1380">
        <f>'PRPM WP2'!H619</f>
        <v>7.2583333333333345E-3</v>
      </c>
      <c r="I618" s="1373">
        <f t="shared" si="11"/>
        <v>1.3841666666666662E-2</v>
      </c>
      <c r="J618" s="1371">
        <v>28246</v>
      </c>
    </row>
    <row r="619" spans="1:10" x14ac:dyDescent="0.45">
      <c r="A619" s="1370">
        <v>3</v>
      </c>
      <c r="B619" s="1371">
        <f t="shared" si="9"/>
        <v>28277</v>
      </c>
      <c r="C619" s="1370" t="str">
        <f t="shared" si="10"/>
        <v>S&amp;P 500 Utility Index</v>
      </c>
      <c r="F619" s="1380">
        <f>'PRPM WP2'!C620</f>
        <v>5.3099999999999994E-2</v>
      </c>
      <c r="H619" s="1380">
        <f>'PRPM WP2'!H620</f>
        <v>7.1500000000000001E-3</v>
      </c>
      <c r="I619" s="1373">
        <f t="shared" si="11"/>
        <v>4.5949999999999991E-2</v>
      </c>
      <c r="J619" s="1371">
        <v>28277</v>
      </c>
    </row>
    <row r="620" spans="1:10" x14ac:dyDescent="0.45">
      <c r="A620" s="1370">
        <v>3</v>
      </c>
      <c r="B620" s="1371">
        <f t="shared" si="9"/>
        <v>28307</v>
      </c>
      <c r="C620" s="1370" t="str">
        <f t="shared" si="10"/>
        <v>S&amp;P 500 Utility Index</v>
      </c>
      <c r="F620" s="1380">
        <f>'PRPM WP2'!C621</f>
        <v>1.6399999999999998E-2</v>
      </c>
      <c r="H620" s="1380">
        <f>'PRPM WP2'!H621</f>
        <v>7.0916666666666663E-3</v>
      </c>
      <c r="I620" s="1373">
        <f t="shared" si="11"/>
        <v>9.3083333333333317E-3</v>
      </c>
      <c r="J620" s="1371">
        <v>28307</v>
      </c>
    </row>
    <row r="621" spans="1:10" x14ac:dyDescent="0.45">
      <c r="A621" s="1370">
        <v>3</v>
      </c>
      <c r="B621" s="1371">
        <f t="shared" si="9"/>
        <v>28338</v>
      </c>
      <c r="C621" s="1370" t="str">
        <f t="shared" si="10"/>
        <v>S&amp;P 500 Utility Index</v>
      </c>
      <c r="F621" s="1380">
        <f>'PRPM WP2'!C622</f>
        <v>-3.5300000000000005E-2</v>
      </c>
      <c r="H621" s="1380">
        <f>'PRPM WP2'!H622</f>
        <v>7.0750000000000006E-3</v>
      </c>
      <c r="I621" s="1373">
        <f t="shared" si="11"/>
        <v>-4.2375000000000003E-2</v>
      </c>
      <c r="J621" s="1371">
        <v>28338</v>
      </c>
    </row>
    <row r="622" spans="1:10" x14ac:dyDescent="0.45">
      <c r="A622" s="1370">
        <v>3</v>
      </c>
      <c r="B622" s="1371">
        <f t="shared" si="9"/>
        <v>28369</v>
      </c>
      <c r="C622" s="1370" t="str">
        <f t="shared" si="10"/>
        <v>S&amp;P 500 Utility Index</v>
      </c>
      <c r="F622" s="1380">
        <f>'PRPM WP2'!C623</f>
        <v>2.4699999999999996E-2</v>
      </c>
      <c r="H622" s="1380">
        <f>'PRPM WP2'!H623</f>
        <v>7.0500000000000007E-3</v>
      </c>
      <c r="I622" s="1373">
        <f t="shared" si="11"/>
        <v>1.7649999999999996E-2</v>
      </c>
      <c r="J622" s="1371">
        <v>28369</v>
      </c>
    </row>
    <row r="623" spans="1:10" x14ac:dyDescent="0.45">
      <c r="A623" s="1370">
        <v>3</v>
      </c>
      <c r="B623" s="1371">
        <f t="shared" si="9"/>
        <v>28399</v>
      </c>
      <c r="C623" s="1370" t="str">
        <f t="shared" si="10"/>
        <v>S&amp;P 500 Utility Index</v>
      </c>
      <c r="F623" s="1380">
        <f>'PRPM WP2'!C624</f>
        <v>-2.9600000000000001E-2</v>
      </c>
      <c r="H623" s="1380">
        <f>'PRPM WP2'!H624</f>
        <v>7.1749999999999991E-3</v>
      </c>
      <c r="I623" s="1373">
        <f t="shared" si="11"/>
        <v>-3.6775000000000002E-2</v>
      </c>
      <c r="J623" s="1371">
        <v>28399</v>
      </c>
    </row>
    <row r="624" spans="1:10" x14ac:dyDescent="0.45">
      <c r="A624" s="1370">
        <v>3</v>
      </c>
      <c r="B624" s="1371">
        <f t="shared" si="9"/>
        <v>28430</v>
      </c>
      <c r="C624" s="1370" t="str">
        <f t="shared" si="10"/>
        <v>S&amp;P 500 Utility Index</v>
      </c>
      <c r="F624" s="1380">
        <f>'PRPM WP2'!C625</f>
        <v>3.8100000000000002E-2</v>
      </c>
      <c r="H624" s="1380">
        <f>'PRPM WP2'!H625</f>
        <v>7.2000000000000007E-3</v>
      </c>
      <c r="I624" s="1373">
        <f t="shared" si="11"/>
        <v>3.09E-2</v>
      </c>
      <c r="J624" s="1371">
        <v>28430</v>
      </c>
    </row>
    <row r="625" spans="1:10" x14ac:dyDescent="0.45">
      <c r="A625" s="1370">
        <v>3</v>
      </c>
      <c r="B625" s="1371">
        <f t="shared" si="9"/>
        <v>28460</v>
      </c>
      <c r="C625" s="1370" t="str">
        <f t="shared" si="10"/>
        <v>S&amp;P 500 Utility Index</v>
      </c>
      <c r="F625" s="1380">
        <f>'PRPM WP2'!C626</f>
        <v>1.8999999999999998E-3</v>
      </c>
      <c r="H625" s="1380">
        <f>'PRPM WP2'!H626</f>
        <v>7.2000000000000007E-3</v>
      </c>
      <c r="I625" s="1373">
        <f t="shared" si="11"/>
        <v>-5.3000000000000009E-3</v>
      </c>
      <c r="J625" s="1371">
        <v>28460</v>
      </c>
    </row>
    <row r="626" spans="1:10" x14ac:dyDescent="0.45">
      <c r="A626" s="1370">
        <v>3</v>
      </c>
      <c r="B626" s="1371">
        <f t="shared" si="9"/>
        <v>28491</v>
      </c>
      <c r="C626" s="1370" t="str">
        <f t="shared" si="10"/>
        <v>S&amp;P 500 Utility Index</v>
      </c>
      <c r="F626" s="1380">
        <f>'PRPM WP2'!C627</f>
        <v>-5.33E-2</v>
      </c>
      <c r="H626" s="1380">
        <f>'PRPM WP2'!H627</f>
        <v>7.4333333333333326E-3</v>
      </c>
      <c r="I626" s="1373">
        <f t="shared" si="11"/>
        <v>-6.0733333333333334E-2</v>
      </c>
      <c r="J626" s="1371">
        <v>28491</v>
      </c>
    </row>
    <row r="627" spans="1:10" x14ac:dyDescent="0.45">
      <c r="A627" s="1370">
        <v>3</v>
      </c>
      <c r="B627" s="1371">
        <f t="shared" si="9"/>
        <v>28522</v>
      </c>
      <c r="C627" s="1370" t="str">
        <f t="shared" si="10"/>
        <v>S&amp;P 500 Utility Index</v>
      </c>
      <c r="F627" s="1380">
        <f>'PRPM WP2'!C628</f>
        <v>-6.1999999999999998E-3</v>
      </c>
      <c r="H627" s="1380">
        <f>'PRPM WP2'!H628</f>
        <v>7.4750000000000007E-3</v>
      </c>
      <c r="I627" s="1373">
        <f t="shared" si="11"/>
        <v>-1.3675E-2</v>
      </c>
      <c r="J627" s="1371">
        <v>28522</v>
      </c>
    </row>
    <row r="628" spans="1:10" x14ac:dyDescent="0.45">
      <c r="A628" s="1370">
        <v>3</v>
      </c>
      <c r="B628" s="1371">
        <f t="shared" si="9"/>
        <v>28550</v>
      </c>
      <c r="C628" s="1370" t="str">
        <f t="shared" si="10"/>
        <v>S&amp;P 500 Utility Index</v>
      </c>
      <c r="F628" s="1380">
        <f>'PRPM WP2'!C629</f>
        <v>3.0899999999999997E-2</v>
      </c>
      <c r="H628" s="1380">
        <f>'PRPM WP2'!H629</f>
        <v>7.483333333333334E-3</v>
      </c>
      <c r="I628" s="1373">
        <f t="shared" si="11"/>
        <v>2.3416666666666662E-2</v>
      </c>
      <c r="J628" s="1371">
        <v>28550</v>
      </c>
    </row>
    <row r="629" spans="1:10" x14ac:dyDescent="0.45">
      <c r="A629" s="1370">
        <v>3</v>
      </c>
      <c r="B629" s="1371">
        <f t="shared" si="9"/>
        <v>28581</v>
      </c>
      <c r="C629" s="1370" t="str">
        <f t="shared" si="10"/>
        <v>S&amp;P 500 Utility Index</v>
      </c>
      <c r="F629" s="1380">
        <f>'PRPM WP2'!C630</f>
        <v>1.06E-2</v>
      </c>
      <c r="H629" s="1380">
        <f>'PRPM WP2'!H630</f>
        <v>7.5749999999999993E-3</v>
      </c>
      <c r="I629" s="1373">
        <f t="shared" si="11"/>
        <v>3.0250000000000008E-3</v>
      </c>
      <c r="J629" s="1371">
        <v>28581</v>
      </c>
    </row>
    <row r="630" spans="1:10" x14ac:dyDescent="0.45">
      <c r="A630" s="1370">
        <v>3</v>
      </c>
      <c r="B630" s="1371">
        <f t="shared" ref="B630:B693" si="12">DATE(YEAR(B629),MONTH(B629) + 1,1)</f>
        <v>28611</v>
      </c>
      <c r="C630" s="1370" t="str">
        <f t="shared" ref="C630:C693" si="13">C629</f>
        <v>S&amp;P 500 Utility Index</v>
      </c>
      <c r="F630" s="1380">
        <f>'PRPM WP2'!C631</f>
        <v>4.3E-3</v>
      </c>
      <c r="H630" s="1380">
        <f>'PRPM WP2'!H631</f>
        <v>7.6833333333333345E-3</v>
      </c>
      <c r="I630" s="1373">
        <f t="shared" si="11"/>
        <v>-3.3833333333333345E-3</v>
      </c>
      <c r="J630" s="1371">
        <v>28611</v>
      </c>
    </row>
    <row r="631" spans="1:10" x14ac:dyDescent="0.45">
      <c r="A631" s="1370">
        <v>3</v>
      </c>
      <c r="B631" s="1371">
        <f t="shared" si="12"/>
        <v>28642</v>
      </c>
      <c r="C631" s="1370" t="str">
        <f t="shared" si="13"/>
        <v>S&amp;P 500 Utility Index</v>
      </c>
      <c r="F631" s="1380">
        <f>'PRPM WP2'!C632</f>
        <v>3.5999999999999999E-3</v>
      </c>
      <c r="H631" s="1380">
        <f>'PRPM WP2'!H632</f>
        <v>7.8333333333333328E-3</v>
      </c>
      <c r="I631" s="1373">
        <f t="shared" si="11"/>
        <v>-4.2333333333333329E-3</v>
      </c>
      <c r="J631" s="1371">
        <v>28642</v>
      </c>
    </row>
    <row r="632" spans="1:10" x14ac:dyDescent="0.45">
      <c r="A632" s="1370">
        <v>3</v>
      </c>
      <c r="B632" s="1371">
        <f t="shared" si="12"/>
        <v>28672</v>
      </c>
      <c r="C632" s="1370" t="str">
        <f t="shared" si="13"/>
        <v>S&amp;P 500 Utility Index</v>
      </c>
      <c r="F632" s="1380">
        <f>'PRPM WP2'!C633</f>
        <v>3.1600000000000003E-2</v>
      </c>
      <c r="H632" s="1380">
        <f>'PRPM WP2'!H633</f>
        <v>7.9249999999999998E-3</v>
      </c>
      <c r="I632" s="1373">
        <f t="shared" si="11"/>
        <v>2.3675000000000002E-2</v>
      </c>
      <c r="J632" s="1371">
        <v>28672</v>
      </c>
    </row>
    <row r="633" spans="1:10" x14ac:dyDescent="0.45">
      <c r="A633" s="1370">
        <v>3</v>
      </c>
      <c r="B633" s="1371">
        <f t="shared" si="12"/>
        <v>28703</v>
      </c>
      <c r="C633" s="1370" t="str">
        <f t="shared" si="13"/>
        <v>S&amp;P 500 Utility Index</v>
      </c>
      <c r="F633" s="1380">
        <f>'PRPM WP2'!C634</f>
        <v>-3.0000000000000079E-4</v>
      </c>
      <c r="H633" s="1380">
        <f>'PRPM WP2'!H634</f>
        <v>7.7666666666666674E-3</v>
      </c>
      <c r="I633" s="1373">
        <f t="shared" si="11"/>
        <v>-8.0666666666666682E-3</v>
      </c>
      <c r="J633" s="1371">
        <v>28703</v>
      </c>
    </row>
    <row r="634" spans="1:10" x14ac:dyDescent="0.45">
      <c r="A634" s="1370">
        <v>3</v>
      </c>
      <c r="B634" s="1371">
        <f t="shared" si="12"/>
        <v>28734</v>
      </c>
      <c r="C634" s="1370" t="str">
        <f t="shared" si="13"/>
        <v>S&amp;P 500 Utility Index</v>
      </c>
      <c r="F634" s="1380">
        <f>'PRPM WP2'!C635</f>
        <v>-5.6000000000000008E-3</v>
      </c>
      <c r="H634" s="1380">
        <f>'PRPM WP2'!H635</f>
        <v>7.7333333333333334E-3</v>
      </c>
      <c r="I634" s="1373">
        <f t="shared" si="11"/>
        <v>-1.3333333333333334E-2</v>
      </c>
      <c r="J634" s="1371">
        <v>28734</v>
      </c>
    </row>
    <row r="635" spans="1:10" x14ac:dyDescent="0.45">
      <c r="A635" s="1370">
        <v>3</v>
      </c>
      <c r="B635" s="1371">
        <f t="shared" si="12"/>
        <v>28764</v>
      </c>
      <c r="C635" s="1370" t="str">
        <f t="shared" si="13"/>
        <v>S&amp;P 500 Utility Index</v>
      </c>
      <c r="F635" s="1380">
        <f>'PRPM WP2'!C636</f>
        <v>-6.8400000000000002E-2</v>
      </c>
      <c r="H635" s="1380">
        <f>'PRPM WP2'!H636</f>
        <v>7.8833333333333342E-3</v>
      </c>
      <c r="I635" s="1373">
        <f t="shared" si="11"/>
        <v>-7.6283333333333342E-2</v>
      </c>
      <c r="J635" s="1371">
        <v>28764</v>
      </c>
    </row>
    <row r="636" spans="1:10" x14ac:dyDescent="0.45">
      <c r="A636" s="1370">
        <v>3</v>
      </c>
      <c r="B636" s="1371">
        <f t="shared" si="12"/>
        <v>28795</v>
      </c>
      <c r="C636" s="1370" t="str">
        <f t="shared" si="13"/>
        <v>S&amp;P 500 Utility Index</v>
      </c>
      <c r="F636" s="1380">
        <f>'PRPM WP2'!C637</f>
        <v>3.56E-2</v>
      </c>
      <c r="H636" s="1380">
        <f>'PRPM WP2'!H637</f>
        <v>8.0666666666666664E-3</v>
      </c>
      <c r="I636" s="1373">
        <f t="shared" si="11"/>
        <v>2.7533333333333333E-2</v>
      </c>
      <c r="J636" s="1371">
        <v>28795</v>
      </c>
    </row>
    <row r="637" spans="1:10" x14ac:dyDescent="0.45">
      <c r="A637" s="1370">
        <v>3</v>
      </c>
      <c r="B637" s="1371">
        <f t="shared" si="12"/>
        <v>28825</v>
      </c>
      <c r="C637" s="1370" t="str">
        <f t="shared" si="13"/>
        <v>S&amp;P 500 Utility Index</v>
      </c>
      <c r="F637" s="1380">
        <f>'PRPM WP2'!C638</f>
        <v>-1.49E-2</v>
      </c>
      <c r="H637" s="1380">
        <f>'PRPM WP2'!H638</f>
        <v>8.083333333333333E-3</v>
      </c>
      <c r="I637" s="1373">
        <f t="shared" si="11"/>
        <v>-2.2983333333333335E-2</v>
      </c>
      <c r="J637" s="1371">
        <v>28825</v>
      </c>
    </row>
    <row r="638" spans="1:10" x14ac:dyDescent="0.45">
      <c r="A638" s="1370">
        <v>3</v>
      </c>
      <c r="B638" s="1371">
        <f t="shared" si="12"/>
        <v>28856</v>
      </c>
      <c r="C638" s="1370" t="str">
        <f t="shared" si="13"/>
        <v>S&amp;P 500 Utility Index</v>
      </c>
      <c r="F638" s="1380">
        <f>'PRPM WP2'!C639</f>
        <v>6.9199999999999998E-2</v>
      </c>
      <c r="H638" s="1380">
        <f>'PRPM WP2'!H639</f>
        <v>8.2500000000000004E-3</v>
      </c>
      <c r="I638" s="1373">
        <f t="shared" si="11"/>
        <v>6.0949999999999997E-2</v>
      </c>
      <c r="J638" s="1371">
        <v>28856</v>
      </c>
    </row>
    <row r="639" spans="1:10" x14ac:dyDescent="0.45">
      <c r="A639" s="1370">
        <v>3</v>
      </c>
      <c r="B639" s="1371">
        <f t="shared" si="12"/>
        <v>28887</v>
      </c>
      <c r="C639" s="1370" t="str">
        <f t="shared" si="13"/>
        <v>S&amp;P 500 Utility Index</v>
      </c>
      <c r="F639" s="1380">
        <f>'PRPM WP2'!C640</f>
        <v>-2.12E-2</v>
      </c>
      <c r="H639" s="1380">
        <f>'PRPM WP2'!H640</f>
        <v>8.199999999999999E-3</v>
      </c>
      <c r="I639" s="1373">
        <f t="shared" si="11"/>
        <v>-2.9399999999999999E-2</v>
      </c>
      <c r="J639" s="1371">
        <v>28887</v>
      </c>
    </row>
    <row r="640" spans="1:10" x14ac:dyDescent="0.45">
      <c r="A640" s="1370">
        <v>3</v>
      </c>
      <c r="B640" s="1371">
        <f t="shared" si="12"/>
        <v>28915</v>
      </c>
      <c r="C640" s="1370" t="str">
        <f t="shared" si="13"/>
        <v>S&amp;P 500 Utility Index</v>
      </c>
      <c r="F640" s="1380">
        <f>'PRPM WP2'!C641</f>
        <v>1.9599999999999999E-2</v>
      </c>
      <c r="H640" s="1380">
        <f>'PRPM WP2'!H641</f>
        <v>8.3666666666666663E-3</v>
      </c>
      <c r="I640" s="1373">
        <f t="shared" si="11"/>
        <v>1.1233333333333333E-2</v>
      </c>
      <c r="J640" s="1371">
        <v>28915</v>
      </c>
    </row>
    <row r="641" spans="1:10" x14ac:dyDescent="0.45">
      <c r="A641" s="1370">
        <v>3</v>
      </c>
      <c r="B641" s="1371">
        <f t="shared" si="12"/>
        <v>28946</v>
      </c>
      <c r="C641" s="1370" t="str">
        <f t="shared" si="13"/>
        <v>S&amp;P 500 Utility Index</v>
      </c>
      <c r="F641" s="1380">
        <f>'PRPM WP2'!C642</f>
        <v>-2.4899999999999999E-2</v>
      </c>
      <c r="H641" s="1380">
        <f>'PRPM WP2'!H642</f>
        <v>8.416666666666666E-3</v>
      </c>
      <c r="I641" s="1373">
        <f t="shared" si="11"/>
        <v>-3.3316666666666661E-2</v>
      </c>
      <c r="J641" s="1371">
        <v>28946</v>
      </c>
    </row>
    <row r="642" spans="1:10" x14ac:dyDescent="0.45">
      <c r="A642" s="1370">
        <v>3</v>
      </c>
      <c r="B642" s="1371">
        <f t="shared" si="12"/>
        <v>28976</v>
      </c>
      <c r="C642" s="1370" t="str">
        <f t="shared" si="13"/>
        <v>S&amp;P 500 Utility Index</v>
      </c>
      <c r="F642" s="1380">
        <f>'PRPM WP2'!C643</f>
        <v>1.4999999999999999E-2</v>
      </c>
      <c r="H642" s="1380">
        <f>'PRPM WP2'!H643</f>
        <v>8.5833333333333334E-3</v>
      </c>
      <c r="I642" s="1373">
        <f t="shared" si="11"/>
        <v>6.416666666666666E-3</v>
      </c>
      <c r="J642" s="1371">
        <v>28976</v>
      </c>
    </row>
    <row r="643" spans="1:10" x14ac:dyDescent="0.45">
      <c r="A643" s="1370">
        <v>3</v>
      </c>
      <c r="B643" s="1371">
        <f t="shared" si="12"/>
        <v>29007</v>
      </c>
      <c r="C643" s="1370" t="str">
        <f t="shared" si="13"/>
        <v>S&amp;P 500 Utility Index</v>
      </c>
      <c r="F643" s="1380">
        <f>'PRPM WP2'!C644</f>
        <v>3.8600000000000002E-2</v>
      </c>
      <c r="H643" s="1380">
        <f>'PRPM WP2'!H644</f>
        <v>8.4500000000000009E-3</v>
      </c>
      <c r="I643" s="1373">
        <f t="shared" si="11"/>
        <v>3.0150000000000003E-2</v>
      </c>
      <c r="J643" s="1371">
        <v>29007</v>
      </c>
    </row>
    <row r="644" spans="1:10" x14ac:dyDescent="0.45">
      <c r="A644" s="1370">
        <v>3</v>
      </c>
      <c r="B644" s="1371">
        <f t="shared" si="12"/>
        <v>29037</v>
      </c>
      <c r="C644" s="1370" t="str">
        <f t="shared" si="13"/>
        <v>S&amp;P 500 Utility Index</v>
      </c>
      <c r="F644" s="1380">
        <f>'PRPM WP2'!C645</f>
        <v>3.4200000000000001E-2</v>
      </c>
      <c r="H644" s="1380">
        <f>'PRPM WP2'!H645</f>
        <v>8.3166666666666667E-3</v>
      </c>
      <c r="I644" s="1373">
        <f t="shared" si="11"/>
        <v>2.5883333333333335E-2</v>
      </c>
      <c r="J644" s="1371">
        <v>29037</v>
      </c>
    </row>
    <row r="645" spans="1:10" x14ac:dyDescent="0.45">
      <c r="A645" s="1370">
        <v>3</v>
      </c>
      <c r="B645" s="1371">
        <f t="shared" si="12"/>
        <v>29068</v>
      </c>
      <c r="C645" s="1370" t="str">
        <f t="shared" si="13"/>
        <v>S&amp;P 500 Utility Index</v>
      </c>
      <c r="F645" s="1380">
        <f>'PRPM WP2'!C646</f>
        <v>1.0200000000000001E-2</v>
      </c>
      <c r="H645" s="1380">
        <f>'PRPM WP2'!H646</f>
        <v>8.4500000000000009E-3</v>
      </c>
      <c r="I645" s="1373">
        <f t="shared" si="11"/>
        <v>1.7499999999999998E-3</v>
      </c>
      <c r="J645" s="1371">
        <v>29068</v>
      </c>
    </row>
    <row r="646" spans="1:10" x14ac:dyDescent="0.45">
      <c r="A646" s="1370">
        <v>3</v>
      </c>
      <c r="B646" s="1371">
        <f t="shared" si="12"/>
        <v>29099</v>
      </c>
      <c r="C646" s="1370" t="str">
        <f t="shared" si="13"/>
        <v>S&amp;P 500 Utility Index</v>
      </c>
      <c r="F646" s="1380">
        <f>'PRPM WP2'!C647</f>
        <v>-1.77E-2</v>
      </c>
      <c r="H646" s="1380">
        <f>'PRPM WP2'!H647</f>
        <v>8.6333333333333331E-3</v>
      </c>
      <c r="I646" s="1373">
        <f t="shared" si="11"/>
        <v>-2.6333333333333334E-2</v>
      </c>
      <c r="J646" s="1371">
        <v>29099</v>
      </c>
    </row>
    <row r="647" spans="1:10" x14ac:dyDescent="0.45">
      <c r="A647" s="1370">
        <v>3</v>
      </c>
      <c r="B647" s="1371">
        <f t="shared" si="12"/>
        <v>29129</v>
      </c>
      <c r="C647" s="1370" t="str">
        <f t="shared" si="13"/>
        <v>S&amp;P 500 Utility Index</v>
      </c>
      <c r="F647" s="1380">
        <f>'PRPM WP2'!C648</f>
        <v>-5.0499999999999996E-2</v>
      </c>
      <c r="H647" s="1380">
        <f>'PRPM WP2'!H648</f>
        <v>9.5000000000000015E-3</v>
      </c>
      <c r="I647" s="1373">
        <f t="shared" si="11"/>
        <v>-0.06</v>
      </c>
      <c r="J647" s="1371">
        <v>29129</v>
      </c>
    </row>
    <row r="648" spans="1:10" x14ac:dyDescent="0.45">
      <c r="A648" s="1370">
        <v>3</v>
      </c>
      <c r="B648" s="1371">
        <f t="shared" si="12"/>
        <v>29160</v>
      </c>
      <c r="C648" s="1370" t="str">
        <f t="shared" si="13"/>
        <v>S&amp;P 500 Utility Index</v>
      </c>
      <c r="F648" s="1380">
        <f>'PRPM WP2'!C649</f>
        <v>6.0699999999999997E-2</v>
      </c>
      <c r="H648" s="1380">
        <f>'PRPM WP2'!H649</f>
        <v>9.9083333333333332E-3</v>
      </c>
      <c r="I648" s="1373">
        <f t="shared" si="11"/>
        <v>5.0791666666666666E-2</v>
      </c>
      <c r="J648" s="1371">
        <v>29160</v>
      </c>
    </row>
    <row r="649" spans="1:10" x14ac:dyDescent="0.45">
      <c r="A649" s="1370">
        <v>3</v>
      </c>
      <c r="B649" s="1371">
        <f t="shared" si="12"/>
        <v>29190</v>
      </c>
      <c r="C649" s="1370" t="str">
        <f t="shared" si="13"/>
        <v>S&amp;P 500 Utility Index</v>
      </c>
      <c r="F649" s="1380">
        <f>'PRPM WP2'!C650</f>
        <v>2.2000000000000006E-3</v>
      </c>
      <c r="H649" s="1380">
        <f>'PRPM WP2'!H650</f>
        <v>1.0125E-2</v>
      </c>
      <c r="I649" s="1373">
        <f t="shared" si="11"/>
        <v>-7.9249999999999998E-3</v>
      </c>
      <c r="J649" s="1371">
        <v>29190</v>
      </c>
    </row>
    <row r="650" spans="1:10" x14ac:dyDescent="0.45">
      <c r="A650" s="1370">
        <v>3</v>
      </c>
      <c r="B650" s="1371">
        <f t="shared" si="12"/>
        <v>29221</v>
      </c>
      <c r="C650" s="1370" t="str">
        <f t="shared" si="13"/>
        <v>S&amp;P 500 Utility Index</v>
      </c>
      <c r="F650" s="1380">
        <f>'PRPM WP2'!C651</f>
        <v>-2.3E-3</v>
      </c>
      <c r="H650" s="1380">
        <f>'PRPM WP2'!H651</f>
        <v>1.0177083333333335E-2</v>
      </c>
      <c r="I650" s="1373">
        <f t="shared" si="11"/>
        <v>-1.2477083333333335E-2</v>
      </c>
      <c r="J650" s="1371">
        <v>29221</v>
      </c>
    </row>
    <row r="651" spans="1:10" x14ac:dyDescent="0.45">
      <c r="A651" s="1370">
        <v>3</v>
      </c>
      <c r="B651" s="1371">
        <f t="shared" si="12"/>
        <v>29252</v>
      </c>
      <c r="C651" s="1370" t="str">
        <f t="shared" si="13"/>
        <v>S&amp;P 500 Utility Index</v>
      </c>
      <c r="F651" s="1380">
        <f>'PRPM WP2'!C652</f>
        <v>-2.4700000000000003E-2</v>
      </c>
      <c r="H651" s="1380">
        <f>'PRPM WP2'!H652</f>
        <v>1.1028333333333333E-2</v>
      </c>
      <c r="I651" s="1373">
        <f t="shared" si="11"/>
        <v>-3.5728333333333334E-2</v>
      </c>
      <c r="J651" s="1371">
        <v>29252</v>
      </c>
    </row>
    <row r="652" spans="1:10" x14ac:dyDescent="0.45">
      <c r="A652" s="1370">
        <v>3</v>
      </c>
      <c r="B652" s="1371">
        <f t="shared" si="12"/>
        <v>29281</v>
      </c>
      <c r="C652" s="1370" t="str">
        <f t="shared" si="13"/>
        <v>S&amp;P 500 Utility Index</v>
      </c>
      <c r="F652" s="1380">
        <f>'PRPM WP2'!C653</f>
        <v>-5.2900000000000003E-2</v>
      </c>
      <c r="H652" s="1380">
        <f>'PRPM WP2'!H653</f>
        <v>1.2158333333333333E-2</v>
      </c>
      <c r="I652" s="1373">
        <f t="shared" si="11"/>
        <v>-6.5058333333333329E-2</v>
      </c>
      <c r="J652" s="1371">
        <v>29281</v>
      </c>
    </row>
    <row r="653" spans="1:10" x14ac:dyDescent="0.45">
      <c r="A653" s="1370">
        <v>3</v>
      </c>
      <c r="B653" s="1371">
        <f t="shared" si="12"/>
        <v>29312</v>
      </c>
      <c r="C653" s="1370" t="str">
        <f t="shared" si="13"/>
        <v>S&amp;P 500 Utility Index</v>
      </c>
      <c r="F653" s="1380">
        <f>'PRPM WP2'!C654</f>
        <v>0.1186</v>
      </c>
      <c r="H653" s="1380">
        <f>'PRPM WP2'!H654</f>
        <v>1.1908333333333333E-2</v>
      </c>
      <c r="I653" s="1373">
        <f t="shared" si="11"/>
        <v>0.10669166666666666</v>
      </c>
      <c r="J653" s="1371">
        <v>29312</v>
      </c>
    </row>
    <row r="654" spans="1:10" x14ac:dyDescent="0.45">
      <c r="A654" s="1370">
        <v>3</v>
      </c>
      <c r="B654" s="1371">
        <f t="shared" si="12"/>
        <v>29342</v>
      </c>
      <c r="C654" s="1370" t="str">
        <f t="shared" si="13"/>
        <v>S&amp;P 500 Utility Index</v>
      </c>
      <c r="F654" s="1380">
        <f>'PRPM WP2'!C655</f>
        <v>3.2299999999999995E-2</v>
      </c>
      <c r="H654" s="1380">
        <f>'PRPM WP2'!H655</f>
        <v>1.0613333333333334E-2</v>
      </c>
      <c r="I654" s="1373">
        <f t="shared" si="11"/>
        <v>2.168666666666666E-2</v>
      </c>
      <c r="J654" s="1371">
        <v>29342</v>
      </c>
    </row>
    <row r="655" spans="1:10" x14ac:dyDescent="0.45">
      <c r="A655" s="1370">
        <v>3</v>
      </c>
      <c r="B655" s="1371">
        <f t="shared" si="12"/>
        <v>29373</v>
      </c>
      <c r="C655" s="1370" t="str">
        <f t="shared" si="13"/>
        <v>S&amp;P 500 Utility Index</v>
      </c>
      <c r="F655" s="1380">
        <f>'PRPM WP2'!C656</f>
        <v>3.3700000000000001E-2</v>
      </c>
      <c r="H655" s="1380">
        <f>'PRPM WP2'!H656</f>
        <v>1.033125E-2</v>
      </c>
      <c r="I655" s="1373">
        <f t="shared" si="11"/>
        <v>2.3368750000000001E-2</v>
      </c>
      <c r="J655" s="1371">
        <v>29373</v>
      </c>
    </row>
    <row r="656" spans="1:10" x14ac:dyDescent="0.45">
      <c r="A656" s="1370">
        <v>3</v>
      </c>
      <c r="B656" s="1371">
        <f t="shared" si="12"/>
        <v>29403</v>
      </c>
      <c r="C656" s="1370" t="str">
        <f t="shared" si="13"/>
        <v>S&amp;P 500 Utility Index</v>
      </c>
      <c r="F656" s="1380">
        <f>'PRPM WP2'!C657</f>
        <v>-4.0999999999999995E-3</v>
      </c>
      <c r="H656" s="1380">
        <f>'PRPM WP2'!H657</f>
        <v>1.0127083333333333E-2</v>
      </c>
      <c r="I656" s="1373">
        <f t="shared" si="11"/>
        <v>-1.4227083333333333E-2</v>
      </c>
      <c r="J656" s="1371">
        <v>29403</v>
      </c>
    </row>
    <row r="657" spans="1:10" x14ac:dyDescent="0.45">
      <c r="A657" s="1370">
        <v>3</v>
      </c>
      <c r="B657" s="1371">
        <f t="shared" si="12"/>
        <v>29434</v>
      </c>
      <c r="C657" s="1370" t="str">
        <f t="shared" si="13"/>
        <v>S&amp;P 500 Utility Index</v>
      </c>
      <c r="F657" s="1380">
        <f>'PRPM WP2'!C658</f>
        <v>-1.3899999999999999E-2</v>
      </c>
      <c r="H657" s="1380">
        <f>'PRPM WP2'!H658</f>
        <v>1.0549999999999999E-2</v>
      </c>
      <c r="I657" s="1373">
        <f t="shared" si="11"/>
        <v>-2.445E-2</v>
      </c>
      <c r="J657" s="1371">
        <v>29434</v>
      </c>
    </row>
    <row r="658" spans="1:10" x14ac:dyDescent="0.45">
      <c r="A658" s="1370">
        <v>3</v>
      </c>
      <c r="B658" s="1371">
        <f t="shared" si="12"/>
        <v>29465</v>
      </c>
      <c r="C658" s="1370" t="str">
        <f t="shared" si="13"/>
        <v>S&amp;P 500 Utility Index</v>
      </c>
      <c r="F658" s="1380">
        <f>'PRPM WP2'!C659</f>
        <v>-1.14E-2</v>
      </c>
      <c r="H658" s="1380">
        <f>'PRPM WP2'!H659</f>
        <v>1.1077083333333333E-2</v>
      </c>
      <c r="I658" s="1373">
        <f t="shared" si="11"/>
        <v>-2.2477083333333335E-2</v>
      </c>
      <c r="J658" s="1371">
        <v>29465</v>
      </c>
    </row>
    <row r="659" spans="1:10" x14ac:dyDescent="0.45">
      <c r="A659" s="1370">
        <v>3</v>
      </c>
      <c r="B659" s="1371">
        <f t="shared" si="12"/>
        <v>29495</v>
      </c>
      <c r="C659" s="1370" t="str">
        <f t="shared" si="13"/>
        <v>S&amp;P 500 Utility Index</v>
      </c>
      <c r="F659" s="1380">
        <f>'PRPM WP2'!C660</f>
        <v>2.7400000000000001E-2</v>
      </c>
      <c r="H659" s="1380">
        <f>'PRPM WP2'!H660</f>
        <v>1.1279999999999998E-2</v>
      </c>
      <c r="I659" s="1373">
        <f t="shared" si="11"/>
        <v>1.6120000000000002E-2</v>
      </c>
      <c r="J659" s="1371">
        <v>29495</v>
      </c>
    </row>
    <row r="660" spans="1:10" x14ac:dyDescent="0.45">
      <c r="A660" s="1370">
        <v>3</v>
      </c>
      <c r="B660" s="1371">
        <f t="shared" si="12"/>
        <v>29526</v>
      </c>
      <c r="C660" s="1370" t="str">
        <f t="shared" si="13"/>
        <v>S&amp;P 500 Utility Index</v>
      </c>
      <c r="F660" s="1380">
        <f>'PRPM WP2'!C661</f>
        <v>5.0099999999999999E-2</v>
      </c>
      <c r="H660" s="1380">
        <f>'PRPM WP2'!H661</f>
        <v>1.1677083333333333E-2</v>
      </c>
      <c r="I660" s="1373">
        <f t="shared" si="11"/>
        <v>3.8422916666666668E-2</v>
      </c>
      <c r="J660" s="1371">
        <v>29526</v>
      </c>
    </row>
    <row r="661" spans="1:10" x14ac:dyDescent="0.45">
      <c r="A661" s="1370">
        <v>3</v>
      </c>
      <c r="B661" s="1371">
        <f t="shared" si="12"/>
        <v>29556</v>
      </c>
      <c r="C661" s="1370" t="str">
        <f t="shared" si="13"/>
        <v>S&amp;P 500 Utility Index</v>
      </c>
      <c r="F661" s="1380">
        <f>'PRPM WP2'!C662</f>
        <v>-1.4000000000000002E-3</v>
      </c>
      <c r="H661" s="1380">
        <f>'PRPM WP2'!H662</f>
        <v>1.2216666666666667E-2</v>
      </c>
      <c r="I661" s="1373">
        <f t="shared" si="11"/>
        <v>-1.3616666666666668E-2</v>
      </c>
      <c r="J661" s="1371">
        <v>29556</v>
      </c>
    </row>
    <row r="662" spans="1:10" x14ac:dyDescent="0.45">
      <c r="A662" s="1370">
        <v>3</v>
      </c>
      <c r="B662" s="1371">
        <f t="shared" si="12"/>
        <v>29587</v>
      </c>
      <c r="C662" s="1370" t="str">
        <f t="shared" si="13"/>
        <v>S&amp;P 500 Utility Index</v>
      </c>
      <c r="F662" s="1380">
        <f>'PRPM WP2'!C663</f>
        <v>-1.8600000000000002E-2</v>
      </c>
      <c r="H662" s="1380">
        <f>'PRPM WP2'!H663</f>
        <v>1.1894999999999999E-2</v>
      </c>
      <c r="I662" s="1373">
        <f t="shared" si="11"/>
        <v>-3.0495000000000001E-2</v>
      </c>
      <c r="J662" s="1371">
        <v>29587</v>
      </c>
    </row>
    <row r="663" spans="1:10" x14ac:dyDescent="0.45">
      <c r="A663" s="1370">
        <v>3</v>
      </c>
      <c r="B663" s="1371">
        <f t="shared" si="12"/>
        <v>29618</v>
      </c>
      <c r="C663" s="1370" t="str">
        <f t="shared" si="13"/>
        <v>S&amp;P 500 Utility Index</v>
      </c>
      <c r="F663" s="1380">
        <f>'PRPM WP2'!C664</f>
        <v>-2.2400000000000003E-2</v>
      </c>
      <c r="H663" s="1380">
        <f>'PRPM WP2'!H664</f>
        <v>1.2233333333333334E-2</v>
      </c>
      <c r="I663" s="1373">
        <f t="shared" si="11"/>
        <v>-3.4633333333333335E-2</v>
      </c>
      <c r="J663" s="1371">
        <v>29618</v>
      </c>
    </row>
    <row r="664" spans="1:10" x14ac:dyDescent="0.45">
      <c r="A664" s="1370">
        <v>3</v>
      </c>
      <c r="B664" s="1371">
        <f t="shared" si="12"/>
        <v>29646</v>
      </c>
      <c r="C664" s="1370" t="str">
        <f t="shared" si="13"/>
        <v>S&amp;P 500 Utility Index</v>
      </c>
      <c r="F664" s="1380">
        <f>'PRPM WP2'!C665</f>
        <v>4.2000000000000003E-2</v>
      </c>
      <c r="H664" s="1380">
        <f>'PRPM WP2'!H665</f>
        <v>1.2604166666666668E-2</v>
      </c>
      <c r="I664" s="1373">
        <f t="shared" si="11"/>
        <v>2.9395833333333336E-2</v>
      </c>
      <c r="J664" s="1371">
        <v>29646</v>
      </c>
    </row>
    <row r="665" spans="1:10" x14ac:dyDescent="0.45">
      <c r="A665" s="1370">
        <v>3</v>
      </c>
      <c r="B665" s="1371">
        <f t="shared" si="12"/>
        <v>29677</v>
      </c>
      <c r="C665" s="1370" t="str">
        <f t="shared" si="13"/>
        <v>S&amp;P 500 Utility Index</v>
      </c>
      <c r="F665" s="1380">
        <f>'PRPM WP2'!C666</f>
        <v>-9.5999999999999992E-3</v>
      </c>
      <c r="H665" s="1380">
        <f>'PRPM WP2'!H666</f>
        <v>1.2708333333333332E-2</v>
      </c>
      <c r="I665" s="1373">
        <f t="shared" si="11"/>
        <v>-2.2308333333333333E-2</v>
      </c>
      <c r="J665" s="1371">
        <v>29677</v>
      </c>
    </row>
    <row r="666" spans="1:10" x14ac:dyDescent="0.45">
      <c r="A666" s="1370">
        <v>3</v>
      </c>
      <c r="B666" s="1371">
        <f t="shared" si="12"/>
        <v>29707</v>
      </c>
      <c r="C666" s="1370" t="str">
        <f t="shared" si="13"/>
        <v>S&amp;P 500 Utility Index</v>
      </c>
      <c r="F666" s="1380">
        <f>'PRPM WP2'!C667</f>
        <v>2.9100000000000001E-2</v>
      </c>
      <c r="H666" s="1380">
        <f>'PRPM WP2'!H667</f>
        <v>1.3429999999999999E-2</v>
      </c>
      <c r="I666" s="1373">
        <f t="shared" ref="I666:I729" si="14">F666-H666</f>
        <v>1.5670000000000003E-2</v>
      </c>
      <c r="J666" s="1371">
        <v>29707</v>
      </c>
    </row>
    <row r="667" spans="1:10" x14ac:dyDescent="0.45">
      <c r="A667" s="1370">
        <v>3</v>
      </c>
      <c r="B667" s="1371">
        <f t="shared" si="12"/>
        <v>29738</v>
      </c>
      <c r="C667" s="1370" t="str">
        <f t="shared" si="13"/>
        <v>S&amp;P 500 Utility Index</v>
      </c>
      <c r="F667" s="1380">
        <f>'PRPM WP2'!C668</f>
        <v>2.7200000000000002E-2</v>
      </c>
      <c r="H667" s="1380">
        <f>'PRPM WP2'!H668</f>
        <v>1.3160416666666667E-2</v>
      </c>
      <c r="I667" s="1373">
        <f t="shared" si="14"/>
        <v>1.4039583333333334E-2</v>
      </c>
      <c r="J667" s="1371">
        <v>29738</v>
      </c>
    </row>
    <row r="668" spans="1:10" x14ac:dyDescent="0.45">
      <c r="A668" s="1370">
        <v>3</v>
      </c>
      <c r="B668" s="1371">
        <f t="shared" si="12"/>
        <v>29768</v>
      </c>
      <c r="C668" s="1370" t="str">
        <f t="shared" si="13"/>
        <v>S&amp;P 500 Utility Index</v>
      </c>
      <c r="F668" s="1380">
        <f>'PRPM WP2'!C669</f>
        <v>3.4099999999999998E-2</v>
      </c>
      <c r="H668" s="1380">
        <f>'PRPM WP2'!H669</f>
        <v>1.3393333333333333E-2</v>
      </c>
      <c r="I668" s="1373">
        <f t="shared" si="14"/>
        <v>2.0706666666666665E-2</v>
      </c>
      <c r="J668" s="1371">
        <v>29768</v>
      </c>
    </row>
    <row r="669" spans="1:10" x14ac:dyDescent="0.45">
      <c r="A669" s="1370">
        <v>3</v>
      </c>
      <c r="B669" s="1371">
        <f t="shared" si="12"/>
        <v>29799</v>
      </c>
      <c r="C669" s="1370" t="str">
        <f t="shared" si="13"/>
        <v>S&amp;P 500 Utility Index</v>
      </c>
      <c r="F669" s="1380">
        <f>'PRPM WP2'!C670</f>
        <v>-2.3999999999999994E-3</v>
      </c>
      <c r="H669" s="1380">
        <f>'PRPM WP2'!H670</f>
        <v>1.3706250000000001E-2</v>
      </c>
      <c r="I669" s="1373">
        <f t="shared" si="14"/>
        <v>-1.6106250000000003E-2</v>
      </c>
      <c r="J669" s="1371">
        <v>29799</v>
      </c>
    </row>
    <row r="670" spans="1:10" x14ac:dyDescent="0.45">
      <c r="A670" s="1370">
        <v>3</v>
      </c>
      <c r="B670" s="1371">
        <f t="shared" si="12"/>
        <v>29830</v>
      </c>
      <c r="C670" s="1370" t="str">
        <f t="shared" si="13"/>
        <v>S&amp;P 500 Utility Index</v>
      </c>
      <c r="F670" s="1380">
        <f>'PRPM WP2'!C671</f>
        <v>-4.0899999999999999E-2</v>
      </c>
      <c r="H670" s="1380">
        <f>'PRPM WP2'!H671</f>
        <v>1.4191666666666667E-2</v>
      </c>
      <c r="I670" s="1373">
        <f t="shared" si="14"/>
        <v>-5.5091666666666664E-2</v>
      </c>
      <c r="J670" s="1371">
        <v>29830</v>
      </c>
    </row>
    <row r="671" spans="1:10" x14ac:dyDescent="0.45">
      <c r="A671" s="1370">
        <v>3</v>
      </c>
      <c r="B671" s="1371">
        <f t="shared" si="12"/>
        <v>29860</v>
      </c>
      <c r="C671" s="1370" t="str">
        <f t="shared" si="13"/>
        <v>S&amp;P 500 Utility Index</v>
      </c>
      <c r="F671" s="1380">
        <f>'PRPM WP2'!C672</f>
        <v>6.1699999999999998E-2</v>
      </c>
      <c r="H671" s="1380">
        <f>'PRPM WP2'!H672</f>
        <v>1.4379166666666665E-2</v>
      </c>
      <c r="I671" s="1373">
        <f t="shared" si="14"/>
        <v>4.7320833333333333E-2</v>
      </c>
      <c r="J671" s="1371">
        <v>29860</v>
      </c>
    </row>
    <row r="672" spans="1:10" x14ac:dyDescent="0.45">
      <c r="A672" s="1370">
        <v>3</v>
      </c>
      <c r="B672" s="1371">
        <f t="shared" si="12"/>
        <v>29891</v>
      </c>
      <c r="C672" s="1370" t="str">
        <f t="shared" si="13"/>
        <v>S&amp;P 500 Utility Index</v>
      </c>
      <c r="F672" s="1380">
        <f>'PRPM WP2'!C673</f>
        <v>4.8100000000000004E-2</v>
      </c>
      <c r="H672" s="1380">
        <f>'PRPM WP2'!H673</f>
        <v>1.3679166666666666E-2</v>
      </c>
      <c r="I672" s="1373">
        <f t="shared" si="14"/>
        <v>3.4420833333333338E-2</v>
      </c>
      <c r="J672" s="1371">
        <v>29891</v>
      </c>
    </row>
    <row r="673" spans="1:10" x14ac:dyDescent="0.45">
      <c r="A673" s="1370">
        <v>3</v>
      </c>
      <c r="B673" s="1371">
        <f t="shared" si="12"/>
        <v>29921</v>
      </c>
      <c r="C673" s="1370" t="str">
        <f t="shared" si="13"/>
        <v>S&amp;P 500 Utility Index</v>
      </c>
      <c r="F673" s="1380">
        <f>'PRPM WP2'!C674</f>
        <v>-3.0499999999999999E-2</v>
      </c>
      <c r="H673" s="1380">
        <f>'PRPM WP2'!H674</f>
        <v>1.3468333333333334E-2</v>
      </c>
      <c r="I673" s="1373">
        <f t="shared" si="14"/>
        <v>-4.3968333333333331E-2</v>
      </c>
      <c r="J673" s="1371">
        <v>29921</v>
      </c>
    </row>
    <row r="674" spans="1:10" x14ac:dyDescent="0.45">
      <c r="A674" s="1370">
        <v>3</v>
      </c>
      <c r="B674" s="1371">
        <f t="shared" si="12"/>
        <v>29952</v>
      </c>
      <c r="C674" s="1370" t="str">
        <f t="shared" si="13"/>
        <v>S&amp;P 500 Utility Index</v>
      </c>
      <c r="F674" s="1380">
        <f>'PRPM WP2'!C675</f>
        <v>3.7000000000000002E-3</v>
      </c>
      <c r="H674" s="1380">
        <f>'PRPM WP2'!H675</f>
        <v>1.4000000000000002E-2</v>
      </c>
      <c r="I674" s="1373">
        <f t="shared" si="14"/>
        <v>-1.0300000000000002E-2</v>
      </c>
      <c r="J674" s="1371">
        <v>29952</v>
      </c>
    </row>
    <row r="675" spans="1:10" x14ac:dyDescent="0.45">
      <c r="A675" s="1370">
        <v>3</v>
      </c>
      <c r="B675" s="1371">
        <f t="shared" si="12"/>
        <v>29983</v>
      </c>
      <c r="C675" s="1370" t="str">
        <f t="shared" si="13"/>
        <v>S&amp;P 500 Utility Index</v>
      </c>
      <c r="F675" s="1380">
        <f>'PRPM WP2'!C676</f>
        <v>-3.4999999999999996E-3</v>
      </c>
      <c r="H675" s="1380">
        <f>'PRPM WP2'!H676</f>
        <v>1.4095833333333332E-2</v>
      </c>
      <c r="I675" s="1373">
        <f t="shared" si="14"/>
        <v>-1.7595833333333331E-2</v>
      </c>
      <c r="J675" s="1371">
        <v>29983</v>
      </c>
    </row>
    <row r="676" spans="1:10" x14ac:dyDescent="0.45">
      <c r="A676" s="1370">
        <v>3</v>
      </c>
      <c r="B676" s="1371">
        <f t="shared" si="12"/>
        <v>30011</v>
      </c>
      <c r="C676" s="1370" t="str">
        <f t="shared" si="13"/>
        <v>S&amp;P 500 Utility Index</v>
      </c>
      <c r="F676" s="1380">
        <f>'PRPM WP2'!C677</f>
        <v>1.6800000000000002E-2</v>
      </c>
      <c r="H676" s="1380">
        <f>'PRPM WP2'!H677</f>
        <v>1.3739999999999999E-2</v>
      </c>
      <c r="I676" s="1373">
        <f t="shared" si="14"/>
        <v>3.0600000000000037E-3</v>
      </c>
      <c r="J676" s="1371">
        <v>30011</v>
      </c>
    </row>
    <row r="677" spans="1:10" x14ac:dyDescent="0.45">
      <c r="A677" s="1370">
        <v>3</v>
      </c>
      <c r="B677" s="1371">
        <f t="shared" si="12"/>
        <v>30042</v>
      </c>
      <c r="C677" s="1370" t="str">
        <f t="shared" si="13"/>
        <v>S&amp;P 500 Utility Index</v>
      </c>
      <c r="F677" s="1380">
        <f>'PRPM WP2'!C678</f>
        <v>5.4800000000000001E-2</v>
      </c>
      <c r="H677" s="1380">
        <f>'PRPM WP2'!H678</f>
        <v>1.3664583333333334E-2</v>
      </c>
      <c r="I677" s="1373">
        <f t="shared" si="14"/>
        <v>4.1135416666666667E-2</v>
      </c>
      <c r="J677" s="1371">
        <v>30042</v>
      </c>
    </row>
    <row r="678" spans="1:10" x14ac:dyDescent="0.45">
      <c r="A678" s="1370">
        <v>3</v>
      </c>
      <c r="B678" s="1371">
        <f t="shared" si="12"/>
        <v>30072</v>
      </c>
      <c r="C678" s="1370" t="str">
        <f t="shared" si="13"/>
        <v>S&amp;P 500 Utility Index</v>
      </c>
      <c r="F678" s="1380">
        <f>'PRPM WP2'!C679</f>
        <v>-1.8700000000000001E-2</v>
      </c>
      <c r="H678" s="1380">
        <f>'PRPM WP2'!H679</f>
        <v>1.3399999999999999E-2</v>
      </c>
      <c r="I678" s="1373">
        <f t="shared" si="14"/>
        <v>-3.2100000000000004E-2</v>
      </c>
      <c r="J678" s="1371">
        <v>30072</v>
      </c>
    </row>
    <row r="679" spans="1:10" x14ac:dyDescent="0.45">
      <c r="A679" s="1370">
        <v>3</v>
      </c>
      <c r="B679" s="1371">
        <f t="shared" si="12"/>
        <v>30103</v>
      </c>
      <c r="C679" s="1370" t="str">
        <f t="shared" si="13"/>
        <v>S&amp;P 500 Utility Index</v>
      </c>
      <c r="F679" s="1380">
        <f>'PRPM WP2'!C680</f>
        <v>-1.6099999999999996E-2</v>
      </c>
      <c r="H679" s="1380">
        <f>'PRPM WP2'!H680</f>
        <v>1.3616666666666666E-2</v>
      </c>
      <c r="I679" s="1373">
        <f t="shared" si="14"/>
        <v>-2.9716666666666662E-2</v>
      </c>
      <c r="J679" s="1371">
        <v>30103</v>
      </c>
    </row>
    <row r="680" spans="1:10" x14ac:dyDescent="0.45">
      <c r="A680" s="1370">
        <v>3</v>
      </c>
      <c r="B680" s="1371">
        <f t="shared" si="12"/>
        <v>30133</v>
      </c>
      <c r="C680" s="1370" t="str">
        <f t="shared" si="13"/>
        <v>S&amp;P 500 Utility Index</v>
      </c>
      <c r="F680" s="1380">
        <f>'PRPM WP2'!C681</f>
        <v>-1.9800000000000002E-2</v>
      </c>
      <c r="H680" s="1380">
        <f>'PRPM WP2'!H681</f>
        <v>1.3716666666666669E-2</v>
      </c>
      <c r="I680" s="1373">
        <f t="shared" si="14"/>
        <v>-3.3516666666666667E-2</v>
      </c>
      <c r="J680" s="1371">
        <v>30133</v>
      </c>
    </row>
    <row r="681" spans="1:10" x14ac:dyDescent="0.45">
      <c r="A681" s="1370">
        <v>3</v>
      </c>
      <c r="B681" s="1371">
        <f t="shared" si="12"/>
        <v>30164</v>
      </c>
      <c r="C681" s="1370" t="str">
        <f t="shared" si="13"/>
        <v>S&amp;P 500 Utility Index</v>
      </c>
      <c r="F681" s="1380">
        <f>'PRPM WP2'!C682</f>
        <v>0.1211</v>
      </c>
      <c r="H681" s="1380">
        <f>'PRPM WP2'!H682</f>
        <v>1.3266666666666666E-2</v>
      </c>
      <c r="I681" s="1373">
        <f t="shared" si="14"/>
        <v>0.10783333333333334</v>
      </c>
      <c r="J681" s="1371">
        <v>30164</v>
      </c>
    </row>
    <row r="682" spans="1:10" x14ac:dyDescent="0.45">
      <c r="A682" s="1370">
        <v>3</v>
      </c>
      <c r="B682" s="1371">
        <f t="shared" si="12"/>
        <v>30195</v>
      </c>
      <c r="C682" s="1370" t="str">
        <f t="shared" si="13"/>
        <v>S&amp;P 500 Utility Index</v>
      </c>
      <c r="F682" s="1380">
        <f>'PRPM WP2'!C683</f>
        <v>5.1999999999999998E-3</v>
      </c>
      <c r="H682" s="1380">
        <f>'PRPM WP2'!H683</f>
        <v>1.2875000000000001E-2</v>
      </c>
      <c r="I682" s="1373">
        <f t="shared" si="14"/>
        <v>-7.6750000000000013E-3</v>
      </c>
      <c r="J682" s="1371">
        <v>30195</v>
      </c>
    </row>
    <row r="683" spans="1:10" x14ac:dyDescent="0.45">
      <c r="A683" s="1370">
        <v>3</v>
      </c>
      <c r="B683" s="1371">
        <f t="shared" si="12"/>
        <v>30225</v>
      </c>
      <c r="C683" s="1370" t="str">
        <f t="shared" si="13"/>
        <v>S&amp;P 500 Utility Index</v>
      </c>
      <c r="F683" s="1380">
        <f>'PRPM WP2'!C684</f>
        <v>6.59E-2</v>
      </c>
      <c r="H683" s="1380">
        <f>'PRPM WP2'!H684</f>
        <v>1.2486666666666667E-2</v>
      </c>
      <c r="I683" s="1373">
        <f t="shared" si="14"/>
        <v>5.3413333333333333E-2</v>
      </c>
      <c r="J683" s="1371">
        <v>30225</v>
      </c>
    </row>
    <row r="684" spans="1:10" x14ac:dyDescent="0.45">
      <c r="A684" s="1370">
        <v>3</v>
      </c>
      <c r="B684" s="1371">
        <f t="shared" si="12"/>
        <v>30256</v>
      </c>
      <c r="C684" s="1370" t="str">
        <f t="shared" si="13"/>
        <v>S&amp;P 500 Utility Index</v>
      </c>
      <c r="F684" s="1380">
        <f>'PRPM WP2'!C685</f>
        <v>1.6999999999999993E-3</v>
      </c>
      <c r="H684" s="1380">
        <f>'PRPM WP2'!H685</f>
        <v>1.2052083333333335E-2</v>
      </c>
      <c r="I684" s="1373">
        <f t="shared" si="14"/>
        <v>-1.0352083333333335E-2</v>
      </c>
      <c r="J684" s="1371">
        <v>30256</v>
      </c>
    </row>
    <row r="685" spans="1:10" x14ac:dyDescent="0.45">
      <c r="A685" s="1370">
        <v>3</v>
      </c>
      <c r="B685" s="1371">
        <f t="shared" si="12"/>
        <v>30286</v>
      </c>
      <c r="C685" s="1370" t="str">
        <f t="shared" si="13"/>
        <v>S&amp;P 500 Utility Index</v>
      </c>
      <c r="F685" s="1380">
        <f>'PRPM WP2'!C686</f>
        <v>3.5999999999999997E-2</v>
      </c>
      <c r="H685" s="1380">
        <f>'PRPM WP2'!H686</f>
        <v>1.2021333333333334E-2</v>
      </c>
      <c r="I685" s="1373">
        <f t="shared" si="14"/>
        <v>2.3978666666666662E-2</v>
      </c>
      <c r="J685" s="1371">
        <v>30286</v>
      </c>
    </row>
    <row r="686" spans="1:10" x14ac:dyDescent="0.45">
      <c r="A686" s="1370">
        <v>3</v>
      </c>
      <c r="B686" s="1371">
        <f t="shared" si="12"/>
        <v>30317</v>
      </c>
      <c r="C686" s="1370" t="str">
        <f t="shared" si="13"/>
        <v>S&amp;P 500 Utility Index</v>
      </c>
      <c r="F686" s="1380">
        <f>'PRPM WP2'!C687</f>
        <v>3.7199999999999997E-2</v>
      </c>
      <c r="H686" s="1380">
        <f>'PRPM WP2'!H687</f>
        <v>1.18675E-2</v>
      </c>
      <c r="I686" s="1373">
        <f t="shared" si="14"/>
        <v>2.5332499999999997E-2</v>
      </c>
      <c r="J686" s="1371">
        <v>30317</v>
      </c>
    </row>
    <row r="687" spans="1:10" x14ac:dyDescent="0.45">
      <c r="A687" s="1370">
        <v>3</v>
      </c>
      <c r="B687" s="1371">
        <f t="shared" si="12"/>
        <v>30348</v>
      </c>
      <c r="C687" s="1370" t="str">
        <f t="shared" si="13"/>
        <v>S&amp;P 500 Utility Index</v>
      </c>
      <c r="F687" s="1380">
        <f>'PRPM WP2'!C688</f>
        <v>-4.9999999999999871E-4</v>
      </c>
      <c r="H687" s="1380">
        <f>'PRPM WP2'!H688</f>
        <v>1.1898250000000001E-2</v>
      </c>
      <c r="I687" s="1373">
        <f t="shared" si="14"/>
        <v>-1.239825E-2</v>
      </c>
      <c r="J687" s="1371">
        <v>30348</v>
      </c>
    </row>
    <row r="688" spans="1:10" x14ac:dyDescent="0.45">
      <c r="A688" s="1370">
        <v>3</v>
      </c>
      <c r="B688" s="1371">
        <f t="shared" si="12"/>
        <v>30376</v>
      </c>
      <c r="C688" s="1370" t="str">
        <f t="shared" si="13"/>
        <v>S&amp;P 500 Utility Index</v>
      </c>
      <c r="F688" s="1380">
        <f>'PRPM WP2'!C689</f>
        <v>1.7000000000000001E-3</v>
      </c>
      <c r="H688" s="1380">
        <f>'PRPM WP2'!H689</f>
        <v>1.1689499999999999E-2</v>
      </c>
      <c r="I688" s="1373">
        <f t="shared" si="14"/>
        <v>-9.9894999999999984E-3</v>
      </c>
      <c r="J688" s="1371">
        <v>30376</v>
      </c>
    </row>
    <row r="689" spans="1:10" x14ac:dyDescent="0.45">
      <c r="A689" s="1370">
        <v>3</v>
      </c>
      <c r="B689" s="1371">
        <f t="shared" si="12"/>
        <v>30407</v>
      </c>
      <c r="C689" s="1370" t="str">
        <f t="shared" si="13"/>
        <v>S&amp;P 500 Utility Index</v>
      </c>
      <c r="F689" s="1380">
        <f>'PRPM WP2'!C690</f>
        <v>5.7099999999999998E-2</v>
      </c>
      <c r="H689" s="1380">
        <f>'PRPM WP2'!H690</f>
        <v>1.1364583333333334E-2</v>
      </c>
      <c r="I689" s="1373">
        <f t="shared" si="14"/>
        <v>4.5735416666666667E-2</v>
      </c>
      <c r="J689" s="1371">
        <v>30407</v>
      </c>
    </row>
    <row r="690" spans="1:10" x14ac:dyDescent="0.45">
      <c r="A690" s="1370">
        <v>3</v>
      </c>
      <c r="B690" s="1371">
        <f t="shared" si="12"/>
        <v>30437</v>
      </c>
      <c r="C690" s="1370" t="str">
        <f t="shared" si="13"/>
        <v>S&amp;P 500 Utility Index</v>
      </c>
      <c r="F690" s="1380">
        <f>'PRPM WP2'!C691</f>
        <v>1.2400000000000001E-2</v>
      </c>
      <c r="H690" s="1380">
        <f>'PRPM WP2'!H691</f>
        <v>1.1242833333333334E-2</v>
      </c>
      <c r="I690" s="1373">
        <f t="shared" si="14"/>
        <v>1.1571666666666675E-3</v>
      </c>
      <c r="J690" s="1371">
        <v>30437</v>
      </c>
    </row>
    <row r="691" spans="1:10" x14ac:dyDescent="0.45">
      <c r="A691" s="1370">
        <v>3</v>
      </c>
      <c r="B691" s="1371">
        <f t="shared" si="12"/>
        <v>30468</v>
      </c>
      <c r="C691" s="1370" t="str">
        <f t="shared" si="13"/>
        <v>S&amp;P 500 Utility Index</v>
      </c>
      <c r="F691" s="1380">
        <f>'PRPM WP2'!C692</f>
        <v>-1.23E-2</v>
      </c>
      <c r="H691" s="1380">
        <f>'PRPM WP2'!H692</f>
        <v>1.1372750000000001E-2</v>
      </c>
      <c r="I691" s="1373">
        <f t="shared" si="14"/>
        <v>-2.3672749999999999E-2</v>
      </c>
      <c r="J691" s="1371">
        <v>30468</v>
      </c>
    </row>
    <row r="692" spans="1:10" x14ac:dyDescent="0.45">
      <c r="A692" s="1370">
        <v>3</v>
      </c>
      <c r="B692" s="1371">
        <f t="shared" si="12"/>
        <v>30498</v>
      </c>
      <c r="C692" s="1370" t="str">
        <f t="shared" si="13"/>
        <v>S&amp;P 500 Utility Index</v>
      </c>
      <c r="F692" s="1380">
        <f>'PRPM WP2'!C693</f>
        <v>3.39E-2</v>
      </c>
      <c r="H692" s="1380">
        <f>'PRPM WP2'!H693</f>
        <v>1.1310000000000001E-2</v>
      </c>
      <c r="I692" s="1373">
        <f t="shared" si="14"/>
        <v>2.2589999999999999E-2</v>
      </c>
      <c r="J692" s="1371">
        <v>30498</v>
      </c>
    </row>
    <row r="693" spans="1:10" x14ac:dyDescent="0.45">
      <c r="A693" s="1370">
        <v>3</v>
      </c>
      <c r="B693" s="1371">
        <f t="shared" si="12"/>
        <v>30529</v>
      </c>
      <c r="C693" s="1370" t="str">
        <f t="shared" si="13"/>
        <v>S&amp;P 500 Utility Index</v>
      </c>
      <c r="F693" s="1380">
        <f>'PRPM WP2'!C694</f>
        <v>4.0000000000000001E-3</v>
      </c>
      <c r="H693" s="1380">
        <f>'PRPM WP2'!H694</f>
        <v>1.1305833333333333E-2</v>
      </c>
      <c r="I693" s="1373">
        <f t="shared" si="14"/>
        <v>-7.3058333333333326E-3</v>
      </c>
      <c r="J693" s="1371">
        <v>30529</v>
      </c>
    </row>
    <row r="694" spans="1:10" x14ac:dyDescent="0.45">
      <c r="A694" s="1370">
        <v>3</v>
      </c>
      <c r="B694" s="1371">
        <f t="shared" ref="B694:B757" si="15">DATE(YEAR(B693),MONTH(B693) + 1,1)</f>
        <v>30560</v>
      </c>
      <c r="C694" s="1370" t="str">
        <f t="shared" ref="C694:C757" si="16">C693</f>
        <v>S&amp;P 500 Utility Index</v>
      </c>
      <c r="F694" s="1380">
        <f>'PRPM WP2'!C695</f>
        <v>4.4500000000000005E-2</v>
      </c>
      <c r="H694" s="1380">
        <f>'PRPM WP2'!H695</f>
        <v>1.1197250000000001E-2</v>
      </c>
      <c r="I694" s="1373">
        <f t="shared" si="14"/>
        <v>3.3302750000000006E-2</v>
      </c>
      <c r="J694" s="1371">
        <v>30560</v>
      </c>
    </row>
    <row r="695" spans="1:10" x14ac:dyDescent="0.45">
      <c r="A695" s="1370">
        <v>3</v>
      </c>
      <c r="B695" s="1371">
        <f t="shared" si="15"/>
        <v>30590</v>
      </c>
      <c r="C695" s="1370" t="str">
        <f t="shared" si="16"/>
        <v>S&amp;P 500 Utility Index</v>
      </c>
      <c r="F695" s="1380">
        <f>'PRPM WP2'!C696</f>
        <v>5.3199999999999997E-2</v>
      </c>
      <c r="H695" s="1380">
        <f>'PRPM WP2'!H696</f>
        <v>1.1043666666666667E-2</v>
      </c>
      <c r="I695" s="1373">
        <f t="shared" si="14"/>
        <v>4.215633333333333E-2</v>
      </c>
      <c r="J695" s="1371">
        <v>30590</v>
      </c>
    </row>
    <row r="696" spans="1:10" x14ac:dyDescent="0.45">
      <c r="A696" s="1370">
        <v>3</v>
      </c>
      <c r="B696" s="1371">
        <f t="shared" si="15"/>
        <v>30621</v>
      </c>
      <c r="C696" s="1370" t="str">
        <f t="shared" si="16"/>
        <v>S&amp;P 500 Utility Index</v>
      </c>
      <c r="F696" s="1380">
        <f>'PRPM WP2'!C697</f>
        <v>-2.0400000000000001E-2</v>
      </c>
      <c r="H696" s="1380">
        <f>'PRPM WP2'!H697</f>
        <v>1.1152749999999999E-2</v>
      </c>
      <c r="I696" s="1373">
        <f t="shared" si="14"/>
        <v>-3.1552750000000004E-2</v>
      </c>
      <c r="J696" s="1371">
        <v>30621</v>
      </c>
    </row>
    <row r="697" spans="1:10" x14ac:dyDescent="0.45">
      <c r="A697" s="1370">
        <v>3</v>
      </c>
      <c r="B697" s="1371">
        <f t="shared" si="15"/>
        <v>30651</v>
      </c>
      <c r="C697" s="1370" t="str">
        <f t="shared" si="16"/>
        <v>S&amp;P 500 Utility Index</v>
      </c>
      <c r="F697" s="1380">
        <f>'PRPM WP2'!C698</f>
        <v>-2.2600000000000002E-2</v>
      </c>
      <c r="H697" s="1380">
        <f>'PRPM WP2'!H698</f>
        <v>1.126425E-2</v>
      </c>
      <c r="I697" s="1373">
        <f t="shared" si="14"/>
        <v>-3.3864249999999999E-2</v>
      </c>
      <c r="J697" s="1371">
        <v>30651</v>
      </c>
    </row>
    <row r="698" spans="1:10" x14ac:dyDescent="0.45">
      <c r="A698" s="1370">
        <v>3</v>
      </c>
      <c r="B698" s="1371">
        <f t="shared" si="15"/>
        <v>30682</v>
      </c>
      <c r="C698" s="1370" t="str">
        <f t="shared" si="16"/>
        <v>S&amp;P 500 Utility Index</v>
      </c>
      <c r="F698" s="1380">
        <f>'PRPM WP2'!C699</f>
        <v>4.82E-2</v>
      </c>
      <c r="H698" s="1380">
        <f>'PRPM WP2'!H699</f>
        <v>1.1167083333333333E-2</v>
      </c>
      <c r="I698" s="1373">
        <f t="shared" si="14"/>
        <v>3.7032916666666665E-2</v>
      </c>
      <c r="J698" s="1371">
        <v>30682</v>
      </c>
    </row>
    <row r="699" spans="1:10" x14ac:dyDescent="0.45">
      <c r="A699" s="1370">
        <v>3</v>
      </c>
      <c r="B699" s="1371">
        <f t="shared" si="15"/>
        <v>30713</v>
      </c>
      <c r="C699" s="1370" t="str">
        <f t="shared" si="16"/>
        <v>S&amp;P 500 Utility Index</v>
      </c>
      <c r="F699" s="1380">
        <f>'PRPM WP2'!C700</f>
        <v>-4.1100000000000005E-2</v>
      </c>
      <c r="H699" s="1380">
        <f>'PRPM WP2'!H700</f>
        <v>1.1164166666666666E-2</v>
      </c>
      <c r="I699" s="1373">
        <f t="shared" si="14"/>
        <v>-5.2264166666666667E-2</v>
      </c>
      <c r="J699" s="1371">
        <v>30713</v>
      </c>
    </row>
    <row r="700" spans="1:10" x14ac:dyDescent="0.45">
      <c r="A700" s="1370">
        <v>3</v>
      </c>
      <c r="B700" s="1371">
        <f t="shared" si="15"/>
        <v>30742</v>
      </c>
      <c r="C700" s="1370" t="str">
        <f t="shared" si="16"/>
        <v>S&amp;P 500 Utility Index</v>
      </c>
      <c r="F700" s="1380">
        <f>'PRPM WP2'!C701</f>
        <v>-5.4999999999999997E-3</v>
      </c>
      <c r="H700" s="1380">
        <f>'PRPM WP2'!H701</f>
        <v>1.1476916666666665E-2</v>
      </c>
      <c r="I700" s="1373">
        <f t="shared" si="14"/>
        <v>-1.6976916666666664E-2</v>
      </c>
      <c r="J700" s="1371">
        <v>30742</v>
      </c>
    </row>
    <row r="701" spans="1:10" x14ac:dyDescent="0.45">
      <c r="A701" s="1370">
        <v>3</v>
      </c>
      <c r="B701" s="1371">
        <f t="shared" si="15"/>
        <v>30773</v>
      </c>
      <c r="C701" s="1370" t="str">
        <f t="shared" si="16"/>
        <v>S&amp;P 500 Utility Index</v>
      </c>
      <c r="F701" s="1380">
        <f>'PRPM WP2'!C702</f>
        <v>1.5900000000000001E-2</v>
      </c>
      <c r="H701" s="1380">
        <f>'PRPM WP2'!H702</f>
        <v>1.1774166666666665E-2</v>
      </c>
      <c r="I701" s="1373">
        <f t="shared" si="14"/>
        <v>4.1258333333333355E-3</v>
      </c>
      <c r="J701" s="1371">
        <v>30773</v>
      </c>
    </row>
    <row r="702" spans="1:10" x14ac:dyDescent="0.45">
      <c r="A702" s="1370">
        <v>3</v>
      </c>
      <c r="B702" s="1371">
        <f t="shared" si="15"/>
        <v>30803</v>
      </c>
      <c r="C702" s="1370" t="str">
        <f t="shared" si="16"/>
        <v>S&amp;P 500 Utility Index</v>
      </c>
      <c r="F702" s="1380">
        <f>'PRPM WP2'!C703</f>
        <v>-2.3E-2</v>
      </c>
      <c r="H702" s="1380">
        <f>'PRPM WP2'!H703</f>
        <v>1.2399583333333332E-2</v>
      </c>
      <c r="I702" s="1373">
        <f t="shared" si="14"/>
        <v>-3.5399583333333332E-2</v>
      </c>
      <c r="J702" s="1371">
        <v>30803</v>
      </c>
    </row>
    <row r="703" spans="1:10" x14ac:dyDescent="0.45">
      <c r="A703" s="1370">
        <v>3</v>
      </c>
      <c r="B703" s="1371">
        <f t="shared" si="15"/>
        <v>30834</v>
      </c>
      <c r="C703" s="1370" t="str">
        <f t="shared" si="16"/>
        <v>S&amp;P 500 Utility Index</v>
      </c>
      <c r="F703" s="1380">
        <f>'PRPM WP2'!C704</f>
        <v>6.9000000000000008E-3</v>
      </c>
      <c r="H703" s="1380">
        <f>'PRPM WP2'!H704</f>
        <v>1.2580916666666666E-2</v>
      </c>
      <c r="I703" s="1373">
        <f t="shared" si="14"/>
        <v>-5.6809166666666648E-3</v>
      </c>
      <c r="J703" s="1371">
        <v>30834</v>
      </c>
    </row>
    <row r="704" spans="1:10" x14ac:dyDescent="0.45">
      <c r="A704" s="1370">
        <v>3</v>
      </c>
      <c r="B704" s="1371">
        <f t="shared" si="15"/>
        <v>30864</v>
      </c>
      <c r="C704" s="1370" t="str">
        <f t="shared" si="16"/>
        <v>S&amp;P 500 Utility Index</v>
      </c>
      <c r="F704" s="1380">
        <f>'PRPM WP2'!C705</f>
        <v>4.3299999999999998E-2</v>
      </c>
      <c r="H704" s="1380">
        <f>'PRPM WP2'!H705</f>
        <v>1.2383750000000001E-2</v>
      </c>
      <c r="I704" s="1373">
        <f t="shared" si="14"/>
        <v>3.0916249999999999E-2</v>
      </c>
      <c r="J704" s="1371">
        <v>30864</v>
      </c>
    </row>
    <row r="705" spans="1:10" x14ac:dyDescent="0.45">
      <c r="A705" s="1370">
        <v>3</v>
      </c>
      <c r="B705" s="1371">
        <f t="shared" si="15"/>
        <v>30895</v>
      </c>
      <c r="C705" s="1370" t="str">
        <f t="shared" si="16"/>
        <v>S&amp;P 500 Utility Index</v>
      </c>
      <c r="F705" s="1380">
        <f>'PRPM WP2'!C706</f>
        <v>6.4600000000000005E-2</v>
      </c>
      <c r="H705" s="1380">
        <f>'PRPM WP2'!H706</f>
        <v>1.202425E-2</v>
      </c>
      <c r="I705" s="1373">
        <f t="shared" si="14"/>
        <v>5.2575750000000004E-2</v>
      </c>
      <c r="J705" s="1371">
        <v>30895</v>
      </c>
    </row>
    <row r="706" spans="1:10" x14ac:dyDescent="0.45">
      <c r="A706" s="1370">
        <v>3</v>
      </c>
      <c r="B706" s="1371">
        <f t="shared" si="15"/>
        <v>30926</v>
      </c>
      <c r="C706" s="1370" t="str">
        <f t="shared" si="16"/>
        <v>S&amp;P 500 Utility Index</v>
      </c>
      <c r="F706" s="1380">
        <f>'PRPM WP2'!C707</f>
        <v>4.3800000000000006E-2</v>
      </c>
      <c r="H706" s="1380">
        <f>'PRPM WP2'!H707</f>
        <v>1.1822833333333333E-2</v>
      </c>
      <c r="I706" s="1373">
        <f t="shared" si="14"/>
        <v>3.1977166666666675E-2</v>
      </c>
      <c r="J706" s="1371">
        <v>30926</v>
      </c>
    </row>
    <row r="707" spans="1:10" x14ac:dyDescent="0.45">
      <c r="A707" s="1370">
        <v>3</v>
      </c>
      <c r="B707" s="1371">
        <f t="shared" si="15"/>
        <v>30956</v>
      </c>
      <c r="C707" s="1370" t="str">
        <f t="shared" si="16"/>
        <v>S&amp;P 500 Utility Index</v>
      </c>
      <c r="F707" s="1380">
        <f>'PRPM WP2'!C708</f>
        <v>2.7199999999999998E-2</v>
      </c>
      <c r="H707" s="1380">
        <f>'PRPM WP2'!H708</f>
        <v>1.1524666666666666E-2</v>
      </c>
      <c r="I707" s="1373">
        <f t="shared" si="14"/>
        <v>1.5675333333333333E-2</v>
      </c>
      <c r="J707" s="1371">
        <v>30956</v>
      </c>
    </row>
    <row r="708" spans="1:10" x14ac:dyDescent="0.45">
      <c r="A708" s="1370">
        <v>3</v>
      </c>
      <c r="B708" s="1371">
        <f t="shared" si="15"/>
        <v>30987</v>
      </c>
      <c r="C708" s="1370" t="str">
        <f t="shared" si="16"/>
        <v>S&amp;P 500 Utility Index</v>
      </c>
      <c r="F708" s="1380">
        <f>'PRPM WP2'!C709</f>
        <v>2.7000000000000003E-2</v>
      </c>
      <c r="H708" s="1380">
        <f>'PRPM WP2'!H709</f>
        <v>1.1038916666666667E-2</v>
      </c>
      <c r="I708" s="1373">
        <f t="shared" si="14"/>
        <v>1.5961083333333334E-2</v>
      </c>
      <c r="J708" s="1371">
        <v>30987</v>
      </c>
    </row>
    <row r="709" spans="1:10" x14ac:dyDescent="0.45">
      <c r="A709" s="1370">
        <v>3</v>
      </c>
      <c r="B709" s="1371">
        <f t="shared" si="15"/>
        <v>31017</v>
      </c>
      <c r="C709" s="1370" t="str">
        <f t="shared" si="16"/>
        <v>S&amp;P 500 Utility Index</v>
      </c>
      <c r="F709" s="1380">
        <f>'PRPM WP2'!C710</f>
        <v>3.1599999999999996E-2</v>
      </c>
      <c r="H709" s="1380">
        <f>'PRPM WP2'!H710</f>
        <v>1.0891249999999998E-2</v>
      </c>
      <c r="I709" s="1373">
        <f t="shared" si="14"/>
        <v>2.0708749999999998E-2</v>
      </c>
      <c r="J709" s="1371">
        <v>31017</v>
      </c>
    </row>
    <row r="710" spans="1:10" x14ac:dyDescent="0.45">
      <c r="A710" s="1370">
        <v>3</v>
      </c>
      <c r="B710" s="1371">
        <f t="shared" si="15"/>
        <v>31048</v>
      </c>
      <c r="C710" s="1370" t="str">
        <f t="shared" si="16"/>
        <v>S&amp;P 500 Utility Index</v>
      </c>
      <c r="F710" s="1380">
        <f>'PRPM WP2'!C711</f>
        <v>2.35E-2</v>
      </c>
      <c r="H710" s="1380">
        <f>'PRPM WP2'!H711</f>
        <v>1.0821583333333334E-2</v>
      </c>
      <c r="I710" s="1373">
        <f t="shared" si="14"/>
        <v>1.2678416666666666E-2</v>
      </c>
      <c r="J710" s="1371">
        <v>31048</v>
      </c>
    </row>
    <row r="711" spans="1:10" x14ac:dyDescent="0.45">
      <c r="A711" s="1370">
        <v>3</v>
      </c>
      <c r="B711" s="1371">
        <f t="shared" si="15"/>
        <v>31079</v>
      </c>
      <c r="C711" s="1370" t="str">
        <f t="shared" si="16"/>
        <v>S&amp;P 500 Utility Index</v>
      </c>
      <c r="F711" s="1380">
        <f>'PRPM WP2'!C712</f>
        <v>1.9300000000000001E-2</v>
      </c>
      <c r="H711" s="1380">
        <f>'PRPM WP2'!H712</f>
        <v>1.0861833333333333E-2</v>
      </c>
      <c r="I711" s="1373">
        <f t="shared" si="14"/>
        <v>8.4381666666666685E-3</v>
      </c>
      <c r="J711" s="1371">
        <v>31079</v>
      </c>
    </row>
    <row r="712" spans="1:10" x14ac:dyDescent="0.45">
      <c r="A712" s="1370">
        <v>3</v>
      </c>
      <c r="B712" s="1371">
        <f t="shared" si="15"/>
        <v>31107</v>
      </c>
      <c r="C712" s="1370" t="str">
        <f t="shared" si="16"/>
        <v>S&amp;P 500 Utility Index</v>
      </c>
      <c r="F712" s="1380">
        <f>'PRPM WP2'!C713</f>
        <v>3.6200000000000003E-2</v>
      </c>
      <c r="H712" s="1380">
        <f>'PRPM WP2'!H713</f>
        <v>1.1501166666666666E-2</v>
      </c>
      <c r="I712" s="1373">
        <f t="shared" si="14"/>
        <v>2.4698833333333337E-2</v>
      </c>
      <c r="J712" s="1371">
        <v>31107</v>
      </c>
    </row>
    <row r="713" spans="1:10" x14ac:dyDescent="0.45">
      <c r="A713" s="1370">
        <v>3</v>
      </c>
      <c r="B713" s="1371">
        <f t="shared" si="15"/>
        <v>31138</v>
      </c>
      <c r="C713" s="1370" t="str">
        <f t="shared" si="16"/>
        <v>S&amp;P 500 Utility Index</v>
      </c>
      <c r="F713" s="1380">
        <f>'PRPM WP2'!C714</f>
        <v>2.07E-2</v>
      </c>
      <c r="H713" s="1380">
        <f>'PRPM WP2'!H714</f>
        <v>1.1322250000000001E-2</v>
      </c>
      <c r="I713" s="1373">
        <f t="shared" si="14"/>
        <v>9.3777499999999989E-3</v>
      </c>
      <c r="J713" s="1371">
        <v>31138</v>
      </c>
    </row>
    <row r="714" spans="1:10" x14ac:dyDescent="0.45">
      <c r="A714" s="1370">
        <v>3</v>
      </c>
      <c r="B714" s="1371">
        <f t="shared" si="15"/>
        <v>31168</v>
      </c>
      <c r="C714" s="1370" t="str">
        <f t="shared" si="16"/>
        <v>S&amp;P 500 Utility Index</v>
      </c>
      <c r="F714" s="1380">
        <f>'PRPM WP2'!C715</f>
        <v>6.0600000000000008E-2</v>
      </c>
      <c r="H714" s="1380">
        <f>'PRPM WP2'!H715</f>
        <v>1.0978416666666666E-2</v>
      </c>
      <c r="I714" s="1373">
        <f t="shared" si="14"/>
        <v>4.9621583333333344E-2</v>
      </c>
      <c r="J714" s="1371">
        <v>31168</v>
      </c>
    </row>
    <row r="715" spans="1:10" x14ac:dyDescent="0.45">
      <c r="A715" s="1370">
        <v>3</v>
      </c>
      <c r="B715" s="1371">
        <f t="shared" si="15"/>
        <v>31199</v>
      </c>
      <c r="C715" s="1370" t="str">
        <f t="shared" si="16"/>
        <v>S&amp;P 500 Utility Index</v>
      </c>
      <c r="F715" s="1380">
        <f>'PRPM WP2'!C716</f>
        <v>2.7900000000000001E-2</v>
      </c>
      <c r="H715" s="1380">
        <f>'PRPM WP2'!H716</f>
        <v>1.0119583333333333E-2</v>
      </c>
      <c r="I715" s="1373">
        <f t="shared" si="14"/>
        <v>1.7780416666666667E-2</v>
      </c>
      <c r="J715" s="1371">
        <v>31199</v>
      </c>
    </row>
    <row r="716" spans="1:10" x14ac:dyDescent="0.45">
      <c r="A716" s="1370">
        <v>3</v>
      </c>
      <c r="B716" s="1371">
        <f t="shared" si="15"/>
        <v>31229</v>
      </c>
      <c r="C716" s="1370" t="str">
        <f t="shared" si="16"/>
        <v>S&amp;P 500 Utility Index</v>
      </c>
      <c r="F716" s="1380">
        <f>'PRPM WP2'!C717</f>
        <v>-4.2700000000000002E-2</v>
      </c>
      <c r="H716" s="1380">
        <f>'PRPM WP2'!H717</f>
        <v>1.0053750000000002E-2</v>
      </c>
      <c r="I716" s="1373">
        <f t="shared" si="14"/>
        <v>-5.2753750000000002E-2</v>
      </c>
      <c r="J716" s="1371">
        <v>31229</v>
      </c>
    </row>
    <row r="717" spans="1:10" x14ac:dyDescent="0.45">
      <c r="A717" s="1370">
        <v>3</v>
      </c>
      <c r="B717" s="1371">
        <f t="shared" si="15"/>
        <v>31260</v>
      </c>
      <c r="C717" s="1370" t="str">
        <f t="shared" si="16"/>
        <v>S&amp;P 500 Utility Index</v>
      </c>
      <c r="F717" s="1380">
        <f>'PRPM WP2'!C718</f>
        <v>1.8099999999999998E-2</v>
      </c>
      <c r="H717" s="1380">
        <f>'PRPM WP2'!H718</f>
        <v>1.0114416666666666E-2</v>
      </c>
      <c r="I717" s="1373">
        <f t="shared" si="14"/>
        <v>7.9855833333333324E-3</v>
      </c>
      <c r="J717" s="1371">
        <v>31260</v>
      </c>
    </row>
    <row r="718" spans="1:10" x14ac:dyDescent="0.45">
      <c r="A718" s="1370">
        <v>3</v>
      </c>
      <c r="B718" s="1371">
        <f t="shared" si="15"/>
        <v>31291</v>
      </c>
      <c r="C718" s="1370" t="str">
        <f t="shared" si="16"/>
        <v>S&amp;P 500 Utility Index</v>
      </c>
      <c r="F718" s="1380">
        <f>'PRPM WP2'!C719</f>
        <v>-5.21E-2</v>
      </c>
      <c r="H718" s="1380">
        <f>'PRPM WP2'!H719</f>
        <v>1.0110083333333332E-2</v>
      </c>
      <c r="I718" s="1373">
        <f t="shared" si="14"/>
        <v>-6.2210083333333333E-2</v>
      </c>
      <c r="J718" s="1371">
        <v>31291</v>
      </c>
    </row>
    <row r="719" spans="1:10" x14ac:dyDescent="0.45">
      <c r="A719" s="1370">
        <v>3</v>
      </c>
      <c r="B719" s="1371">
        <f t="shared" si="15"/>
        <v>31321</v>
      </c>
      <c r="C719" s="1370" t="str">
        <f t="shared" si="16"/>
        <v>S&amp;P 500 Utility Index</v>
      </c>
      <c r="F719" s="1380">
        <f>'PRPM WP2'!C720</f>
        <v>6.3799999999999996E-2</v>
      </c>
      <c r="H719" s="1380">
        <f>'PRPM WP2'!H720</f>
        <v>1.0011583333333334E-2</v>
      </c>
      <c r="I719" s="1373">
        <f t="shared" si="14"/>
        <v>5.3788416666666658E-2</v>
      </c>
      <c r="J719" s="1371">
        <v>31321</v>
      </c>
    </row>
    <row r="720" spans="1:10" x14ac:dyDescent="0.45">
      <c r="A720" s="1370">
        <v>3</v>
      </c>
      <c r="B720" s="1371">
        <f t="shared" si="15"/>
        <v>31352</v>
      </c>
      <c r="C720" s="1370" t="str">
        <f t="shared" si="16"/>
        <v>S&amp;P 500 Utility Index</v>
      </c>
      <c r="F720" s="1380">
        <f>'PRPM WP2'!C721</f>
        <v>5.2200000000000003E-2</v>
      </c>
      <c r="H720" s="1380">
        <f>'PRPM WP2'!H721</f>
        <v>9.5949999999999994E-3</v>
      </c>
      <c r="I720" s="1373">
        <f t="shared" si="14"/>
        <v>4.2605000000000004E-2</v>
      </c>
      <c r="J720" s="1371">
        <v>31352</v>
      </c>
    </row>
    <row r="721" spans="1:10" x14ac:dyDescent="0.45">
      <c r="A721" s="1370">
        <v>3</v>
      </c>
      <c r="B721" s="1371">
        <f t="shared" si="15"/>
        <v>31382</v>
      </c>
      <c r="C721" s="1370" t="str">
        <f t="shared" si="16"/>
        <v>S&amp;P 500 Utility Index</v>
      </c>
      <c r="F721" s="1380">
        <f>'PRPM WP2'!C722</f>
        <v>6.9400000000000003E-2</v>
      </c>
      <c r="H721" s="1380">
        <f>'PRPM WP2'!H722</f>
        <v>9.173333333333332E-3</v>
      </c>
      <c r="I721" s="1373">
        <f t="shared" si="14"/>
        <v>6.0226666666666671E-2</v>
      </c>
      <c r="J721" s="1371">
        <v>31382</v>
      </c>
    </row>
    <row r="722" spans="1:10" x14ac:dyDescent="0.45">
      <c r="A722" s="1370">
        <v>3</v>
      </c>
      <c r="B722" s="1371">
        <f t="shared" si="15"/>
        <v>31413</v>
      </c>
      <c r="C722" s="1370" t="str">
        <f t="shared" si="16"/>
        <v>S&amp;P 500 Utility Index</v>
      </c>
      <c r="F722" s="1380">
        <f>'PRPM WP2'!C723</f>
        <v>2.9300000000000003E-2</v>
      </c>
      <c r="H722" s="1380">
        <f>'PRPM WP2'!H723</f>
        <v>8.9988333333333344E-3</v>
      </c>
      <c r="I722" s="1373">
        <f t="shared" si="14"/>
        <v>2.0301166666666669E-2</v>
      </c>
      <c r="J722" s="1371">
        <v>31413</v>
      </c>
    </row>
    <row r="723" spans="1:10" x14ac:dyDescent="0.45">
      <c r="A723" s="1370">
        <v>3</v>
      </c>
      <c r="B723" s="1371">
        <f t="shared" si="15"/>
        <v>31444</v>
      </c>
      <c r="C723" s="1370" t="str">
        <f t="shared" si="16"/>
        <v>S&amp;P 500 Utility Index</v>
      </c>
      <c r="F723" s="1380">
        <f>'PRPM WP2'!C724</f>
        <v>6.2300000000000001E-2</v>
      </c>
      <c r="H723" s="1380">
        <f>'PRPM WP2'!H724</f>
        <v>8.5969166666666659E-3</v>
      </c>
      <c r="I723" s="1373">
        <f t="shared" si="14"/>
        <v>5.3703083333333332E-2</v>
      </c>
      <c r="J723" s="1371">
        <v>31444</v>
      </c>
    </row>
    <row r="724" spans="1:10" x14ac:dyDescent="0.45">
      <c r="A724" s="1370">
        <v>3</v>
      </c>
      <c r="B724" s="1371">
        <f t="shared" si="15"/>
        <v>31472</v>
      </c>
      <c r="C724" s="1370" t="str">
        <f t="shared" si="16"/>
        <v>S&amp;P 500 Utility Index</v>
      </c>
      <c r="F724" s="1380">
        <f>'PRPM WP2'!C725</f>
        <v>5.1400000000000008E-2</v>
      </c>
      <c r="H724" s="1380">
        <f>'PRPM WP2'!H725</f>
        <v>7.9274999999999988E-3</v>
      </c>
      <c r="I724" s="1373">
        <f t="shared" si="14"/>
        <v>4.3472500000000011E-2</v>
      </c>
      <c r="J724" s="1371">
        <v>31472</v>
      </c>
    </row>
    <row r="725" spans="1:10" x14ac:dyDescent="0.45">
      <c r="A725" s="1370">
        <v>3</v>
      </c>
      <c r="B725" s="1371">
        <f t="shared" si="15"/>
        <v>31503</v>
      </c>
      <c r="C725" s="1370" t="str">
        <f t="shared" si="16"/>
        <v>S&amp;P 500 Utility Index</v>
      </c>
      <c r="F725" s="1380">
        <f>'PRPM WP2'!C726</f>
        <v>-3.3300000000000003E-2</v>
      </c>
      <c r="H725" s="1380">
        <f>'PRPM WP2'!H726</f>
        <v>7.609083333333334E-3</v>
      </c>
      <c r="I725" s="1373">
        <f t="shared" si="14"/>
        <v>-4.0909083333333339E-2</v>
      </c>
      <c r="J725" s="1371">
        <v>31503</v>
      </c>
    </row>
    <row r="726" spans="1:10" x14ac:dyDescent="0.45">
      <c r="A726" s="1370">
        <v>3</v>
      </c>
      <c r="B726" s="1371">
        <f t="shared" si="15"/>
        <v>31533</v>
      </c>
      <c r="C726" s="1370" t="str">
        <f t="shared" si="16"/>
        <v>S&amp;P 500 Utility Index</v>
      </c>
      <c r="F726" s="1380">
        <f>'PRPM WP2'!C727</f>
        <v>5.2500000000000012E-2</v>
      </c>
      <c r="H726" s="1380">
        <f>'PRPM WP2'!H727</f>
        <v>7.9722500000000002E-3</v>
      </c>
      <c r="I726" s="1373">
        <f t="shared" si="14"/>
        <v>4.4527750000000012E-2</v>
      </c>
      <c r="J726" s="1371">
        <v>31533</v>
      </c>
    </row>
    <row r="727" spans="1:10" x14ac:dyDescent="0.45">
      <c r="A727" s="1370">
        <v>3</v>
      </c>
      <c r="B727" s="1371">
        <f t="shared" si="15"/>
        <v>31564</v>
      </c>
      <c r="C727" s="1370" t="str">
        <f t="shared" si="16"/>
        <v>S&amp;P 500 Utility Index</v>
      </c>
      <c r="F727" s="1380">
        <f>'PRPM WP2'!C728</f>
        <v>5.9699999999999996E-2</v>
      </c>
      <c r="H727" s="1380">
        <f>'PRPM WP2'!H728</f>
        <v>8.0456666666666662E-3</v>
      </c>
      <c r="I727" s="1373">
        <f t="shared" si="14"/>
        <v>5.165433333333333E-2</v>
      </c>
      <c r="J727" s="1371">
        <v>31564</v>
      </c>
    </row>
    <row r="728" spans="1:10" x14ac:dyDescent="0.45">
      <c r="A728" s="1370">
        <v>3</v>
      </c>
      <c r="B728" s="1371">
        <f t="shared" si="15"/>
        <v>31594</v>
      </c>
      <c r="C728" s="1370" t="str">
        <f t="shared" si="16"/>
        <v>S&amp;P 500 Utility Index</v>
      </c>
      <c r="F728" s="1380">
        <f>'PRPM WP2'!C729</f>
        <v>2.8300000000000002E-2</v>
      </c>
      <c r="H728" s="1380">
        <f>'PRPM WP2'!H729</f>
        <v>7.7954166666666666E-3</v>
      </c>
      <c r="I728" s="1373">
        <f t="shared" si="14"/>
        <v>2.0504583333333336E-2</v>
      </c>
      <c r="J728" s="1371">
        <v>31594</v>
      </c>
    </row>
    <row r="729" spans="1:10" x14ac:dyDescent="0.45">
      <c r="A729" s="1370">
        <v>3</v>
      </c>
      <c r="B729" s="1371">
        <f t="shared" si="15"/>
        <v>31625</v>
      </c>
      <c r="C729" s="1370" t="str">
        <f t="shared" si="16"/>
        <v>S&amp;P 500 Utility Index</v>
      </c>
      <c r="F729" s="1380">
        <f>'PRPM WP2'!C730</f>
        <v>8.8399999999999992E-2</v>
      </c>
      <c r="H729" s="1380">
        <f>'PRPM WP2'!H730</f>
        <v>7.7555833333333322E-3</v>
      </c>
      <c r="I729" s="1373">
        <f t="shared" si="14"/>
        <v>8.0644416666666663E-2</v>
      </c>
      <c r="J729" s="1371">
        <v>31625</v>
      </c>
    </row>
    <row r="730" spans="1:10" x14ac:dyDescent="0.45">
      <c r="A730" s="1370">
        <v>3</v>
      </c>
      <c r="B730" s="1371">
        <f t="shared" si="15"/>
        <v>31656</v>
      </c>
      <c r="C730" s="1370" t="str">
        <f t="shared" si="16"/>
        <v>S&amp;P 500 Utility Index</v>
      </c>
      <c r="F730" s="1380">
        <f>'PRPM WP2'!C731</f>
        <v>-0.11370000000000001</v>
      </c>
      <c r="H730" s="1380">
        <f>'PRPM WP2'!H731</f>
        <v>7.9194166666666666E-3</v>
      </c>
      <c r="I730" s="1373">
        <f t="shared" ref="I730:I793" si="17">F730-H730</f>
        <v>-0.12161941666666667</v>
      </c>
      <c r="J730" s="1371">
        <v>31656</v>
      </c>
    </row>
    <row r="731" spans="1:10" x14ac:dyDescent="0.45">
      <c r="A731" s="1370">
        <v>3</v>
      </c>
      <c r="B731" s="1371">
        <f t="shared" si="15"/>
        <v>31686</v>
      </c>
      <c r="C731" s="1370" t="str">
        <f t="shared" si="16"/>
        <v>S&amp;P 500 Utility Index</v>
      </c>
      <c r="F731" s="1380">
        <f>'PRPM WP2'!C732</f>
        <v>5.050000000000001E-2</v>
      </c>
      <c r="H731" s="1380">
        <f>'PRPM WP2'!H732</f>
        <v>7.9395000000000004E-3</v>
      </c>
      <c r="I731" s="1373">
        <f t="shared" si="17"/>
        <v>4.2560500000000008E-2</v>
      </c>
      <c r="J731" s="1371">
        <v>31686</v>
      </c>
    </row>
    <row r="732" spans="1:10" x14ac:dyDescent="0.45">
      <c r="A732" s="1370">
        <v>3</v>
      </c>
      <c r="B732" s="1371">
        <f t="shared" si="15"/>
        <v>31717</v>
      </c>
      <c r="C732" s="1370" t="str">
        <f t="shared" si="16"/>
        <v>S&amp;P 500 Utility Index</v>
      </c>
      <c r="F732" s="1380">
        <f>'PRPM WP2'!C733</f>
        <v>2.1099999999999997E-2</v>
      </c>
      <c r="H732" s="1380">
        <f>'PRPM WP2'!H733</f>
        <v>7.744749999999999E-3</v>
      </c>
      <c r="I732" s="1373">
        <f t="shared" si="17"/>
        <v>1.3355249999999999E-2</v>
      </c>
      <c r="J732" s="1371">
        <v>31717</v>
      </c>
    </row>
    <row r="733" spans="1:10" x14ac:dyDescent="0.45">
      <c r="A733" s="1370">
        <v>3</v>
      </c>
      <c r="B733" s="1371">
        <f t="shared" si="15"/>
        <v>31747</v>
      </c>
      <c r="C733" s="1370" t="str">
        <f t="shared" si="16"/>
        <v>S&amp;P 500 Utility Index</v>
      </c>
      <c r="F733" s="1380">
        <f>'PRPM WP2'!C734</f>
        <v>-2.5399999999999999E-2</v>
      </c>
      <c r="H733" s="1380">
        <f>'PRPM WP2'!H734</f>
        <v>7.5995833333333341E-3</v>
      </c>
      <c r="I733" s="1373">
        <f t="shared" si="17"/>
        <v>-3.2999583333333332E-2</v>
      </c>
      <c r="J733" s="1371">
        <v>31747</v>
      </c>
    </row>
    <row r="734" spans="1:10" x14ac:dyDescent="0.45">
      <c r="A734" s="1370">
        <v>3</v>
      </c>
      <c r="B734" s="1371">
        <f t="shared" si="15"/>
        <v>31778</v>
      </c>
      <c r="C734" s="1370" t="str">
        <f t="shared" si="16"/>
        <v>S&amp;P 500 Utility Index</v>
      </c>
      <c r="F734" s="1380">
        <f>'PRPM WP2'!C735</f>
        <v>9.8400000000000001E-2</v>
      </c>
      <c r="H734" s="1380">
        <f>'PRPM WP2'!H735</f>
        <v>7.4537500000000003E-3</v>
      </c>
      <c r="I734" s="1373">
        <f t="shared" si="17"/>
        <v>9.0946250000000006E-2</v>
      </c>
      <c r="J734" s="1371">
        <v>31778</v>
      </c>
    </row>
    <row r="735" spans="1:10" x14ac:dyDescent="0.45">
      <c r="A735" s="1370">
        <v>3</v>
      </c>
      <c r="B735" s="1371">
        <f t="shared" si="15"/>
        <v>31809</v>
      </c>
      <c r="C735" s="1370" t="str">
        <f t="shared" si="16"/>
        <v>S&amp;P 500 Utility Index</v>
      </c>
      <c r="F735" s="1380">
        <f>'PRPM WP2'!C736</f>
        <v>-3.0100000000000002E-2</v>
      </c>
      <c r="H735" s="1380">
        <f>'PRPM WP2'!H736</f>
        <v>7.5030833333333338E-3</v>
      </c>
      <c r="I735" s="1373">
        <f t="shared" si="17"/>
        <v>-3.7603083333333336E-2</v>
      </c>
      <c r="J735" s="1371">
        <v>31809</v>
      </c>
    </row>
    <row r="736" spans="1:10" x14ac:dyDescent="0.45">
      <c r="A736" s="1370">
        <v>3</v>
      </c>
      <c r="B736" s="1371">
        <f t="shared" si="15"/>
        <v>31837</v>
      </c>
      <c r="C736" s="1370" t="str">
        <f t="shared" si="16"/>
        <v>S&amp;P 500 Utility Index</v>
      </c>
      <c r="F736" s="1380">
        <f>'PRPM WP2'!C737</f>
        <v>-1.89E-2</v>
      </c>
      <c r="H736" s="1380">
        <f>'PRPM WP2'!H737</f>
        <v>7.4409166666666669E-3</v>
      </c>
      <c r="I736" s="1373">
        <f t="shared" si="17"/>
        <v>-2.6340916666666665E-2</v>
      </c>
      <c r="J736" s="1371">
        <v>31837</v>
      </c>
    </row>
    <row r="737" spans="1:10" x14ac:dyDescent="0.45">
      <c r="A737" s="1370">
        <v>3</v>
      </c>
      <c r="B737" s="1371">
        <f t="shared" si="15"/>
        <v>31868</v>
      </c>
      <c r="C737" s="1370" t="str">
        <f t="shared" si="16"/>
        <v>S&amp;P 500 Utility Index</v>
      </c>
      <c r="F737" s="1380">
        <f>'PRPM WP2'!C738</f>
        <v>-4.1399999999999999E-2</v>
      </c>
      <c r="H737" s="1380">
        <f>'PRPM WP2'!H738</f>
        <v>7.7940833333333334E-3</v>
      </c>
      <c r="I737" s="1373">
        <f t="shared" si="17"/>
        <v>-4.9194083333333333E-2</v>
      </c>
      <c r="J737" s="1371">
        <v>31868</v>
      </c>
    </row>
    <row r="738" spans="1:10" x14ac:dyDescent="0.45">
      <c r="A738" s="1370">
        <v>3</v>
      </c>
      <c r="B738" s="1371">
        <f t="shared" si="15"/>
        <v>31898</v>
      </c>
      <c r="C738" s="1370" t="str">
        <f t="shared" si="16"/>
        <v>S&amp;P 500 Utility Index</v>
      </c>
      <c r="F738" s="1380">
        <f>'PRPM WP2'!C739</f>
        <v>-6.4000000000000003E-3</v>
      </c>
      <c r="H738" s="1380">
        <f>'PRPM WP2'!H739</f>
        <v>8.2208333333333335E-3</v>
      </c>
      <c r="I738" s="1373">
        <f t="shared" si="17"/>
        <v>-1.4620833333333333E-2</v>
      </c>
      <c r="J738" s="1371">
        <v>31898</v>
      </c>
    </row>
    <row r="739" spans="1:10" x14ac:dyDescent="0.45">
      <c r="A739" s="1370">
        <v>3</v>
      </c>
      <c r="B739" s="1371">
        <f t="shared" si="15"/>
        <v>31929</v>
      </c>
      <c r="C739" s="1370" t="str">
        <f t="shared" si="16"/>
        <v>S&amp;P 500 Utility Index</v>
      </c>
      <c r="F739" s="1380">
        <f>'PRPM WP2'!C740</f>
        <v>4.3899999999999995E-2</v>
      </c>
      <c r="H739" s="1380">
        <f>'PRPM WP2'!H740</f>
        <v>8.3485E-3</v>
      </c>
      <c r="I739" s="1373">
        <f t="shared" si="17"/>
        <v>3.5551499999999993E-2</v>
      </c>
      <c r="J739" s="1371">
        <v>31929</v>
      </c>
    </row>
    <row r="740" spans="1:10" x14ac:dyDescent="0.45">
      <c r="A740" s="1370">
        <v>3</v>
      </c>
      <c r="B740" s="1371">
        <f t="shared" si="15"/>
        <v>31959</v>
      </c>
      <c r="C740" s="1370" t="str">
        <f t="shared" si="16"/>
        <v>S&amp;P 500 Utility Index</v>
      </c>
      <c r="F740" s="1380">
        <f>'PRPM WP2'!C741</f>
        <v>-2.5000000000000005E-3</v>
      </c>
      <c r="H740" s="1380">
        <f>'PRPM WP2'!H741</f>
        <v>8.445833333333333E-3</v>
      </c>
      <c r="I740" s="1373">
        <f t="shared" si="17"/>
        <v>-1.0945833333333333E-2</v>
      </c>
      <c r="J740" s="1371">
        <v>31959</v>
      </c>
    </row>
    <row r="741" spans="1:10" x14ac:dyDescent="0.45">
      <c r="A741" s="1370">
        <v>3</v>
      </c>
      <c r="B741" s="1371">
        <f t="shared" si="15"/>
        <v>31990</v>
      </c>
      <c r="C741" s="1370" t="str">
        <f t="shared" si="16"/>
        <v>S&amp;P 500 Utility Index</v>
      </c>
      <c r="F741" s="1380">
        <f>'PRPM WP2'!C742</f>
        <v>5.2699999999999997E-2</v>
      </c>
      <c r="H741" s="1380">
        <f>'PRPM WP2'!H742</f>
        <v>8.7027500000000004E-3</v>
      </c>
      <c r="I741" s="1373">
        <f t="shared" si="17"/>
        <v>4.3997249999999995E-2</v>
      </c>
      <c r="J741" s="1371">
        <v>31990</v>
      </c>
    </row>
    <row r="742" spans="1:10" x14ac:dyDescent="0.45">
      <c r="A742" s="1370">
        <v>3</v>
      </c>
      <c r="B742" s="1371">
        <f t="shared" si="15"/>
        <v>32021</v>
      </c>
      <c r="C742" s="1370" t="str">
        <f t="shared" si="16"/>
        <v>S&amp;P 500 Utility Index</v>
      </c>
      <c r="F742" s="1380">
        <f>'PRPM WP2'!C743</f>
        <v>2.0999999999999999E-3</v>
      </c>
      <c r="H742" s="1380">
        <f>'PRPM WP2'!H743</f>
        <v>9.3135000000000006E-3</v>
      </c>
      <c r="I742" s="1373">
        <f t="shared" si="17"/>
        <v>-7.2135000000000012E-3</v>
      </c>
      <c r="J742" s="1371">
        <v>32021</v>
      </c>
    </row>
    <row r="743" spans="1:10" x14ac:dyDescent="0.45">
      <c r="A743" s="1370">
        <v>3</v>
      </c>
      <c r="B743" s="1371">
        <f t="shared" si="15"/>
        <v>32051</v>
      </c>
      <c r="C743" s="1370" t="str">
        <f t="shared" si="16"/>
        <v>S&amp;P 500 Utility Index</v>
      </c>
      <c r="F743" s="1380">
        <f>'PRPM WP2'!C744</f>
        <v>-7.0500000000000007E-2</v>
      </c>
      <c r="H743" s="1380">
        <f>'PRPM WP2'!H744</f>
        <v>9.4654999999999982E-3</v>
      </c>
      <c r="I743" s="1373">
        <f t="shared" si="17"/>
        <v>-7.9965500000000009E-2</v>
      </c>
      <c r="J743" s="1371">
        <v>32051</v>
      </c>
    </row>
    <row r="744" spans="1:10" x14ac:dyDescent="0.45">
      <c r="A744" s="1370">
        <v>3</v>
      </c>
      <c r="B744" s="1371">
        <f t="shared" si="15"/>
        <v>32082</v>
      </c>
      <c r="C744" s="1370" t="str">
        <f t="shared" si="16"/>
        <v>S&amp;P 500 Utility Index</v>
      </c>
      <c r="F744" s="1380">
        <f>'PRPM WP2'!C745</f>
        <v>-5.5499999999999987E-2</v>
      </c>
      <c r="H744" s="1380">
        <f>'PRPM WP2'!H745</f>
        <v>9.0204166666666679E-3</v>
      </c>
      <c r="I744" s="1373">
        <f t="shared" si="17"/>
        <v>-6.452041666666665E-2</v>
      </c>
      <c r="J744" s="1371">
        <v>32082</v>
      </c>
    </row>
    <row r="745" spans="1:10" x14ac:dyDescent="0.45">
      <c r="A745" s="1370">
        <v>3</v>
      </c>
      <c r="B745" s="1371">
        <f t="shared" si="15"/>
        <v>32112</v>
      </c>
      <c r="C745" s="1370" t="str">
        <f t="shared" si="16"/>
        <v>S&amp;P 500 Utility Index</v>
      </c>
      <c r="F745" s="1380">
        <f>'PRPM WP2'!C746</f>
        <v>1.0800000000000001E-2</v>
      </c>
      <c r="H745" s="1380">
        <f>'PRPM WP2'!H746</f>
        <v>9.1140000000000006E-3</v>
      </c>
      <c r="I745" s="1373">
        <f t="shared" si="17"/>
        <v>1.686E-3</v>
      </c>
      <c r="J745" s="1371">
        <v>32112</v>
      </c>
    </row>
    <row r="746" spans="1:10" x14ac:dyDescent="0.45">
      <c r="A746" s="1370">
        <v>3</v>
      </c>
      <c r="B746" s="1371">
        <f t="shared" si="15"/>
        <v>32143</v>
      </c>
      <c r="C746" s="1370" t="str">
        <f t="shared" si="16"/>
        <v>S&amp;P 500 Utility Index</v>
      </c>
      <c r="F746" s="1380">
        <f>'PRPM WP2'!C747</f>
        <v>0.1153</v>
      </c>
      <c r="H746" s="1380">
        <f>'PRPM WP2'!H747</f>
        <v>8.9983333333333339E-3</v>
      </c>
      <c r="I746" s="1373">
        <f t="shared" si="17"/>
        <v>0.10630166666666667</v>
      </c>
      <c r="J746" s="1371">
        <v>32143</v>
      </c>
    </row>
    <row r="747" spans="1:10" x14ac:dyDescent="0.45">
      <c r="A747" s="1370">
        <v>3</v>
      </c>
      <c r="B747" s="1371">
        <f t="shared" si="15"/>
        <v>32174</v>
      </c>
      <c r="C747" s="1370" t="str">
        <f t="shared" si="16"/>
        <v>S&amp;P 500 Utility Index</v>
      </c>
      <c r="F747" s="1380">
        <f>'PRPM WP2'!C748</f>
        <v>-1.7500000000000002E-2</v>
      </c>
      <c r="H747" s="1380">
        <f>'PRPM WP2'!H748</f>
        <v>8.4295833333333341E-3</v>
      </c>
      <c r="I747" s="1373">
        <f t="shared" si="17"/>
        <v>-2.5929583333333336E-2</v>
      </c>
      <c r="J747" s="1371">
        <v>32174</v>
      </c>
    </row>
    <row r="748" spans="1:10" x14ac:dyDescent="0.45">
      <c r="A748" s="1370">
        <v>3</v>
      </c>
      <c r="B748" s="1371">
        <f t="shared" si="15"/>
        <v>32203</v>
      </c>
      <c r="C748" s="1370" t="str">
        <f t="shared" si="16"/>
        <v>S&amp;P 500 Utility Index</v>
      </c>
      <c r="F748" s="1380">
        <f>'PRPM WP2'!C749</f>
        <v>-5.2699999999999997E-2</v>
      </c>
      <c r="H748" s="1380">
        <f>'PRPM WP2'!H749</f>
        <v>8.3956666666666676E-3</v>
      </c>
      <c r="I748" s="1373">
        <f t="shared" si="17"/>
        <v>-6.1095666666666666E-2</v>
      </c>
      <c r="J748" s="1371">
        <v>32203</v>
      </c>
    </row>
    <row r="749" spans="1:10" x14ac:dyDescent="0.45">
      <c r="A749" s="1370">
        <v>3</v>
      </c>
      <c r="B749" s="1371">
        <f t="shared" si="15"/>
        <v>32234</v>
      </c>
      <c r="C749" s="1370" t="str">
        <f t="shared" si="16"/>
        <v>S&amp;P 500 Utility Index</v>
      </c>
      <c r="F749" s="1380">
        <f>'PRPM WP2'!C750</f>
        <v>1.9000000000000006E-3</v>
      </c>
      <c r="H749" s="1380">
        <f>'PRPM WP2'!H750</f>
        <v>8.7683333333333328E-3</v>
      </c>
      <c r="I749" s="1373">
        <f t="shared" si="17"/>
        <v>-6.8683333333333322E-3</v>
      </c>
      <c r="J749" s="1371">
        <v>32234</v>
      </c>
    </row>
    <row r="750" spans="1:10" x14ac:dyDescent="0.45">
      <c r="A750" s="1370">
        <v>3</v>
      </c>
      <c r="B750" s="1371">
        <f t="shared" si="15"/>
        <v>32264</v>
      </c>
      <c r="C750" s="1370" t="str">
        <f t="shared" si="16"/>
        <v>S&amp;P 500 Utility Index</v>
      </c>
      <c r="F750" s="1380">
        <f>'PRPM WP2'!C751</f>
        <v>4.5999999999999999E-2</v>
      </c>
      <c r="H750" s="1380">
        <f>'PRPM WP2'!H751</f>
        <v>8.9932500000000012E-3</v>
      </c>
      <c r="I750" s="1373">
        <f t="shared" si="17"/>
        <v>3.7006749999999998E-2</v>
      </c>
      <c r="J750" s="1371">
        <v>32264</v>
      </c>
    </row>
    <row r="751" spans="1:10" x14ac:dyDescent="0.45">
      <c r="A751" s="1370">
        <v>3</v>
      </c>
      <c r="B751" s="1371">
        <f t="shared" si="15"/>
        <v>32295</v>
      </c>
      <c r="C751" s="1370" t="str">
        <f t="shared" si="16"/>
        <v>S&amp;P 500 Utility Index</v>
      </c>
      <c r="F751" s="1380">
        <f>'PRPM WP2'!C752</f>
        <v>3.15E-2</v>
      </c>
      <c r="H751" s="1380">
        <f>'PRPM WP2'!H752</f>
        <v>9.0045833333333332E-3</v>
      </c>
      <c r="I751" s="1373">
        <f t="shared" si="17"/>
        <v>2.2495416666666667E-2</v>
      </c>
      <c r="J751" s="1371">
        <v>32295</v>
      </c>
    </row>
    <row r="752" spans="1:10" x14ac:dyDescent="0.45">
      <c r="A752" s="1370">
        <v>3</v>
      </c>
      <c r="B752" s="1371">
        <f t="shared" si="15"/>
        <v>32325</v>
      </c>
      <c r="C752" s="1370" t="str">
        <f t="shared" si="16"/>
        <v>S&amp;P 500 Utility Index</v>
      </c>
      <c r="F752" s="1380">
        <f>'PRPM WP2'!C753</f>
        <v>1.6999999999999993E-3</v>
      </c>
      <c r="H752" s="1380">
        <f>'PRPM WP2'!H753</f>
        <v>9.1866666666666659E-3</v>
      </c>
      <c r="I752" s="1373">
        <f t="shared" si="17"/>
        <v>-7.4866666666666666E-3</v>
      </c>
      <c r="J752" s="1371">
        <v>32325</v>
      </c>
    </row>
    <row r="753" spans="1:10" x14ac:dyDescent="0.45">
      <c r="A753" s="1370">
        <v>3</v>
      </c>
      <c r="B753" s="1371">
        <f t="shared" si="15"/>
        <v>32356</v>
      </c>
      <c r="C753" s="1370" t="str">
        <f t="shared" si="16"/>
        <v>S&amp;P 500 Utility Index</v>
      </c>
      <c r="F753" s="1380">
        <f>'PRPM WP2'!C754</f>
        <v>-1.37E-2</v>
      </c>
      <c r="H753" s="1380">
        <f>'PRPM WP2'!H754</f>
        <v>9.3080000000000003E-3</v>
      </c>
      <c r="I753" s="1373">
        <f t="shared" si="17"/>
        <v>-2.3008000000000001E-2</v>
      </c>
      <c r="J753" s="1371">
        <v>32356</v>
      </c>
    </row>
    <row r="754" spans="1:10" x14ac:dyDescent="0.45">
      <c r="A754" s="1370">
        <v>3</v>
      </c>
      <c r="B754" s="1371">
        <f t="shared" si="15"/>
        <v>32387</v>
      </c>
      <c r="C754" s="1370" t="str">
        <f t="shared" si="16"/>
        <v>S&amp;P 500 Utility Index</v>
      </c>
      <c r="F754" s="1380">
        <f>'PRPM WP2'!C755</f>
        <v>4.1299999999999996E-2</v>
      </c>
      <c r="H754" s="1380">
        <f>'PRPM WP2'!H755</f>
        <v>8.8885000000000006E-3</v>
      </c>
      <c r="I754" s="1373">
        <f t="shared" si="17"/>
        <v>3.2411499999999996E-2</v>
      </c>
      <c r="J754" s="1371">
        <v>32387</v>
      </c>
    </row>
    <row r="755" spans="1:10" x14ac:dyDescent="0.45">
      <c r="A755" s="1370">
        <v>3</v>
      </c>
      <c r="B755" s="1371">
        <f t="shared" si="15"/>
        <v>32417</v>
      </c>
      <c r="C755" s="1370" t="str">
        <f t="shared" si="16"/>
        <v>S&amp;P 500 Utility Index</v>
      </c>
      <c r="F755" s="1380">
        <f>'PRPM WP2'!C756</f>
        <v>2.6199999999999998E-2</v>
      </c>
      <c r="H755" s="1380">
        <f>'PRPM WP2'!H756</f>
        <v>8.3178333333333351E-3</v>
      </c>
      <c r="I755" s="1373">
        <f t="shared" si="17"/>
        <v>1.7882166666666664E-2</v>
      </c>
      <c r="J755" s="1371">
        <v>32417</v>
      </c>
    </row>
    <row r="756" spans="1:10" x14ac:dyDescent="0.45">
      <c r="A756" s="1370">
        <v>3</v>
      </c>
      <c r="B756" s="1371">
        <f t="shared" si="15"/>
        <v>32448</v>
      </c>
      <c r="C756" s="1370" t="str">
        <f t="shared" si="16"/>
        <v>S&amp;P 500 Utility Index</v>
      </c>
      <c r="F756" s="1380">
        <f>'PRPM WP2'!C757</f>
        <v>-7.899999999999999E-3</v>
      </c>
      <c r="H756" s="1380">
        <f>'PRPM WP2'!H757</f>
        <v>8.241666666666668E-3</v>
      </c>
      <c r="I756" s="1373">
        <f t="shared" si="17"/>
        <v>-1.6141666666666665E-2</v>
      </c>
      <c r="J756" s="1371">
        <v>32448</v>
      </c>
    </row>
    <row r="757" spans="1:10" x14ac:dyDescent="0.45">
      <c r="A757" s="1370">
        <v>3</v>
      </c>
      <c r="B757" s="1371">
        <f t="shared" si="15"/>
        <v>32478</v>
      </c>
      <c r="C757" s="1370" t="str">
        <f t="shared" si="16"/>
        <v>S&amp;P 500 Utility Index</v>
      </c>
      <c r="F757" s="1380">
        <f>'PRPM WP2'!C758</f>
        <v>6.3E-3</v>
      </c>
      <c r="H757" s="1380">
        <f>'PRPM WP2'!H758</f>
        <v>8.3765833333333331E-3</v>
      </c>
      <c r="I757" s="1373">
        <f t="shared" si="17"/>
        <v>-2.0765833333333331E-3</v>
      </c>
      <c r="J757" s="1371">
        <v>32478</v>
      </c>
    </row>
    <row r="758" spans="1:10" x14ac:dyDescent="0.45">
      <c r="A758" s="1370">
        <v>3</v>
      </c>
      <c r="B758" s="1371">
        <f t="shared" ref="B758:B821" si="18">DATE(YEAR(B757),MONTH(B757) + 1,1)</f>
        <v>32509</v>
      </c>
      <c r="C758" s="1370" t="str">
        <f t="shared" ref="C758:C821" si="19">C757</f>
        <v>S&amp;P 500 Utility Index</v>
      </c>
      <c r="F758" s="1380">
        <f>'PRPM WP2'!C759</f>
        <v>5.7100000000000012E-2</v>
      </c>
      <c r="H758" s="1380">
        <f>'PRPM WP2'!H759</f>
        <v>8.404E-3</v>
      </c>
      <c r="I758" s="1373">
        <f t="shared" si="17"/>
        <v>4.869600000000001E-2</v>
      </c>
      <c r="J758" s="1371">
        <v>32509</v>
      </c>
    </row>
    <row r="759" spans="1:10" x14ac:dyDescent="0.45">
      <c r="A759" s="1370">
        <v>3</v>
      </c>
      <c r="B759" s="1371">
        <f t="shared" si="18"/>
        <v>32540</v>
      </c>
      <c r="C759" s="1370" t="str">
        <f t="shared" si="19"/>
        <v>S&amp;P 500 Utility Index</v>
      </c>
      <c r="F759" s="1380">
        <f>'PRPM WP2'!C760</f>
        <v>-2.1499999999999998E-2</v>
      </c>
      <c r="H759" s="1380">
        <f>'PRPM WP2'!H760</f>
        <v>8.382916666666667E-3</v>
      </c>
      <c r="I759" s="1373">
        <f t="shared" si="17"/>
        <v>-2.9882916666666665E-2</v>
      </c>
      <c r="J759" s="1371">
        <v>32540</v>
      </c>
    </row>
    <row r="760" spans="1:10" x14ac:dyDescent="0.45">
      <c r="A760" s="1370">
        <v>3</v>
      </c>
      <c r="B760" s="1371">
        <f t="shared" si="18"/>
        <v>32568</v>
      </c>
      <c r="C760" s="1370" t="str">
        <f t="shared" si="19"/>
        <v>S&amp;P 500 Utility Index</v>
      </c>
      <c r="F760" s="1380">
        <f>'PRPM WP2'!C761</f>
        <v>2.69E-2</v>
      </c>
      <c r="H760" s="1380">
        <f>'PRPM WP2'!H761</f>
        <v>8.5345000000000004E-3</v>
      </c>
      <c r="I760" s="1373">
        <f t="shared" si="17"/>
        <v>1.83655E-2</v>
      </c>
      <c r="J760" s="1371">
        <v>32568</v>
      </c>
    </row>
    <row r="761" spans="1:10" x14ac:dyDescent="0.45">
      <c r="A761" s="1370">
        <v>3</v>
      </c>
      <c r="B761" s="1371">
        <f t="shared" si="18"/>
        <v>32599</v>
      </c>
      <c r="C761" s="1370" t="str">
        <f t="shared" si="19"/>
        <v>S&amp;P 500 Utility Index</v>
      </c>
      <c r="F761" s="1380">
        <f>'PRPM WP2'!C762</f>
        <v>6.3399999999999998E-2</v>
      </c>
      <c r="H761" s="1380">
        <f>'PRPM WP2'!H762</f>
        <v>8.4920833333333341E-3</v>
      </c>
      <c r="I761" s="1373">
        <f t="shared" si="17"/>
        <v>5.4907916666666667E-2</v>
      </c>
      <c r="J761" s="1371">
        <v>32599</v>
      </c>
    </row>
    <row r="762" spans="1:10" x14ac:dyDescent="0.45">
      <c r="A762" s="1370">
        <v>3</v>
      </c>
      <c r="B762" s="1371">
        <f t="shared" si="18"/>
        <v>32629</v>
      </c>
      <c r="C762" s="1370" t="str">
        <f t="shared" si="19"/>
        <v>S&amp;P 500 Utility Index</v>
      </c>
      <c r="F762" s="1380">
        <f>'PRPM WP2'!C763</f>
        <v>5.7999999999999996E-2</v>
      </c>
      <c r="H762" s="1380">
        <f>'PRPM WP2'!H763</f>
        <v>8.3340833333333322E-3</v>
      </c>
      <c r="I762" s="1373">
        <f t="shared" si="17"/>
        <v>4.9665916666666664E-2</v>
      </c>
      <c r="J762" s="1371">
        <v>32629</v>
      </c>
    </row>
    <row r="763" spans="1:10" x14ac:dyDescent="0.45">
      <c r="A763" s="1370">
        <v>3</v>
      </c>
      <c r="B763" s="1371">
        <f t="shared" si="18"/>
        <v>32660</v>
      </c>
      <c r="C763" s="1370" t="str">
        <f t="shared" si="19"/>
        <v>S&amp;P 500 Utility Index</v>
      </c>
      <c r="F763" s="1380">
        <f>'PRPM WP2'!C764</f>
        <v>1.61E-2</v>
      </c>
      <c r="H763" s="1380">
        <f>'PRPM WP2'!H764</f>
        <v>8.0485000000000001E-3</v>
      </c>
      <c r="I763" s="1373">
        <f t="shared" si="17"/>
        <v>8.0514999999999996E-3</v>
      </c>
      <c r="J763" s="1371">
        <v>32660</v>
      </c>
    </row>
    <row r="764" spans="1:10" x14ac:dyDescent="0.45">
      <c r="A764" s="1370">
        <v>3</v>
      </c>
      <c r="B764" s="1371">
        <f t="shared" si="18"/>
        <v>32690</v>
      </c>
      <c r="C764" s="1370" t="str">
        <f t="shared" si="19"/>
        <v>S&amp;P 500 Utility Index</v>
      </c>
      <c r="F764" s="1380">
        <f>'PRPM WP2'!C765</f>
        <v>8.0399999999999985E-2</v>
      </c>
      <c r="H764" s="1380">
        <f>'PRPM WP2'!H765</f>
        <v>7.9204166666666659E-3</v>
      </c>
      <c r="I764" s="1373">
        <f t="shared" si="17"/>
        <v>7.2479583333333319E-2</v>
      </c>
      <c r="J764" s="1371">
        <v>32690</v>
      </c>
    </row>
    <row r="765" spans="1:10" x14ac:dyDescent="0.45">
      <c r="A765" s="1370">
        <v>3</v>
      </c>
      <c r="B765" s="1371">
        <f t="shared" si="18"/>
        <v>32721</v>
      </c>
      <c r="C765" s="1370" t="str">
        <f t="shared" si="19"/>
        <v>S&amp;P 500 Utility Index</v>
      </c>
      <c r="F765" s="1380">
        <f>'PRPM WP2'!C766</f>
        <v>-5.6999999999999993E-3</v>
      </c>
      <c r="H765" s="1380">
        <f>'PRPM WP2'!H766</f>
        <v>7.9289999999999985E-3</v>
      </c>
      <c r="I765" s="1373">
        <f t="shared" si="17"/>
        <v>-1.3628999999999999E-2</v>
      </c>
      <c r="J765" s="1371">
        <v>32721</v>
      </c>
    </row>
    <row r="766" spans="1:10" x14ac:dyDescent="0.45">
      <c r="A766" s="1370">
        <v>3</v>
      </c>
      <c r="B766" s="1371">
        <f t="shared" si="18"/>
        <v>32752</v>
      </c>
      <c r="C766" s="1370" t="str">
        <f t="shared" si="19"/>
        <v>S&amp;P 500 Utility Index</v>
      </c>
      <c r="F766" s="1380">
        <f>'PRPM WP2'!C767</f>
        <v>1.7000000000000001E-2</v>
      </c>
      <c r="H766" s="1380">
        <f>'PRPM WP2'!H767</f>
        <v>7.9866666666666662E-3</v>
      </c>
      <c r="I766" s="1373">
        <f t="shared" si="17"/>
        <v>9.013333333333335E-3</v>
      </c>
      <c r="J766" s="1371">
        <v>32752</v>
      </c>
    </row>
    <row r="767" spans="1:10" x14ac:dyDescent="0.45">
      <c r="A767" s="1370">
        <v>3</v>
      </c>
      <c r="B767" s="1371">
        <f t="shared" si="18"/>
        <v>32782</v>
      </c>
      <c r="C767" s="1370" t="str">
        <f t="shared" si="19"/>
        <v>S&amp;P 500 Utility Index</v>
      </c>
      <c r="F767" s="1380">
        <f>'PRPM WP2'!C768</f>
        <v>4.5000000000000005E-3</v>
      </c>
      <c r="H767" s="1380">
        <f>'PRPM WP2'!H768</f>
        <v>7.948499999999999E-3</v>
      </c>
      <c r="I767" s="1373">
        <f t="shared" si="17"/>
        <v>-3.4484999999999984E-3</v>
      </c>
      <c r="J767" s="1371">
        <v>32782</v>
      </c>
    </row>
    <row r="768" spans="1:10" x14ac:dyDescent="0.45">
      <c r="A768" s="1370">
        <v>3</v>
      </c>
      <c r="B768" s="1371">
        <f t="shared" si="18"/>
        <v>32813</v>
      </c>
      <c r="C768" s="1370" t="str">
        <f t="shared" si="19"/>
        <v>S&amp;P 500 Utility Index</v>
      </c>
      <c r="F768" s="1380">
        <f>'PRPM WP2'!C769</f>
        <v>3.3599999999999998E-2</v>
      </c>
      <c r="H768" s="1380">
        <f>'PRPM WP2'!H769</f>
        <v>7.929750000000001E-3</v>
      </c>
      <c r="I768" s="1373">
        <f t="shared" si="17"/>
        <v>2.5670249999999999E-2</v>
      </c>
      <c r="J768" s="1371">
        <v>32813</v>
      </c>
    </row>
    <row r="769" spans="1:10" x14ac:dyDescent="0.45">
      <c r="A769" s="1370">
        <v>3</v>
      </c>
      <c r="B769" s="1371">
        <f t="shared" si="18"/>
        <v>32843</v>
      </c>
      <c r="C769" s="1370" t="str">
        <f t="shared" si="19"/>
        <v>S&amp;P 500 Utility Index</v>
      </c>
      <c r="F769" s="1380">
        <f>'PRPM WP2'!C770</f>
        <v>7.3099999999999998E-2</v>
      </c>
      <c r="H769" s="1380">
        <f>'PRPM WP2'!H770</f>
        <v>7.8612500000000002E-3</v>
      </c>
      <c r="I769" s="1373">
        <f t="shared" si="17"/>
        <v>6.5238749999999998E-2</v>
      </c>
      <c r="J769" s="1371">
        <v>32843</v>
      </c>
    </row>
    <row r="770" spans="1:10" x14ac:dyDescent="0.45">
      <c r="A770" s="1370">
        <v>3</v>
      </c>
      <c r="B770" s="1371">
        <f t="shared" si="18"/>
        <v>32874</v>
      </c>
      <c r="C770" s="1370" t="str">
        <f t="shared" si="19"/>
        <v>S&amp;P 500 Utility Index</v>
      </c>
      <c r="F770" s="1380">
        <f>'PRPM WP2'!C771</f>
        <v>-8.09E-2</v>
      </c>
      <c r="H770" s="1380">
        <f>'PRPM WP2'!H771</f>
        <v>7.9564166666666672E-3</v>
      </c>
      <c r="I770" s="1373">
        <f t="shared" si="17"/>
        <v>-8.885641666666666E-2</v>
      </c>
      <c r="J770" s="1371">
        <v>32874</v>
      </c>
    </row>
    <row r="771" spans="1:10" x14ac:dyDescent="0.45">
      <c r="A771" s="1370">
        <v>3</v>
      </c>
      <c r="B771" s="1371">
        <f t="shared" si="18"/>
        <v>32905</v>
      </c>
      <c r="C771" s="1370" t="str">
        <f t="shared" si="19"/>
        <v>S&amp;P 500 Utility Index</v>
      </c>
      <c r="F771" s="1380">
        <f>'PRPM WP2'!C772</f>
        <v>-1.09E-2</v>
      </c>
      <c r="H771" s="1380">
        <f>'PRPM WP2'!H772</f>
        <v>8.1302500000000003E-3</v>
      </c>
      <c r="I771" s="1373">
        <f t="shared" si="17"/>
        <v>-1.9030249999999999E-2</v>
      </c>
      <c r="J771" s="1371">
        <v>32905</v>
      </c>
    </row>
    <row r="772" spans="1:10" x14ac:dyDescent="0.45">
      <c r="A772" s="1370">
        <v>3</v>
      </c>
      <c r="B772" s="1371">
        <f t="shared" si="18"/>
        <v>32933</v>
      </c>
      <c r="C772" s="1370" t="str">
        <f t="shared" si="19"/>
        <v>S&amp;P 500 Utility Index</v>
      </c>
      <c r="F772" s="1380">
        <f>'PRPM WP2'!C773</f>
        <v>1.8700000000000001E-2</v>
      </c>
      <c r="H772" s="1380">
        <f>'PRPM WP2'!H773</f>
        <v>8.2053333333333318E-3</v>
      </c>
      <c r="I772" s="1373">
        <f t="shared" si="17"/>
        <v>1.049466666666667E-2</v>
      </c>
      <c r="J772" s="1371">
        <v>32933</v>
      </c>
    </row>
    <row r="773" spans="1:10" x14ac:dyDescent="0.45">
      <c r="A773" s="1370">
        <v>3</v>
      </c>
      <c r="B773" s="1371">
        <f t="shared" si="18"/>
        <v>32964</v>
      </c>
      <c r="C773" s="1370" t="str">
        <f t="shared" si="19"/>
        <v>S&amp;P 500 Utility Index</v>
      </c>
      <c r="F773" s="1380">
        <f>'PRPM WP2'!C774</f>
        <v>-3.85E-2</v>
      </c>
      <c r="H773" s="1380">
        <f>'PRPM WP2'!H774</f>
        <v>8.2587500000000005E-3</v>
      </c>
      <c r="I773" s="1373">
        <f t="shared" si="17"/>
        <v>-4.6758750000000002E-2</v>
      </c>
      <c r="J773" s="1371">
        <v>32964</v>
      </c>
    </row>
    <row r="774" spans="1:10" x14ac:dyDescent="0.45">
      <c r="A774" s="1370">
        <v>3</v>
      </c>
      <c r="B774" s="1371">
        <f t="shared" si="18"/>
        <v>32994</v>
      </c>
      <c r="C774" s="1370" t="str">
        <f t="shared" si="19"/>
        <v>S&amp;P 500 Utility Index</v>
      </c>
      <c r="F774" s="1380">
        <f>'PRPM WP2'!C775</f>
        <v>6.8200000000000011E-2</v>
      </c>
      <c r="H774" s="1380">
        <f>'PRPM WP2'!H775</f>
        <v>8.3382500000000002E-3</v>
      </c>
      <c r="I774" s="1373">
        <f t="shared" si="17"/>
        <v>5.9861750000000012E-2</v>
      </c>
      <c r="J774" s="1371">
        <v>32994</v>
      </c>
    </row>
    <row r="775" spans="1:10" x14ac:dyDescent="0.45">
      <c r="A775" s="1370">
        <v>3</v>
      </c>
      <c r="B775" s="1371">
        <f t="shared" si="18"/>
        <v>33025</v>
      </c>
      <c r="C775" s="1370" t="str">
        <f t="shared" si="19"/>
        <v>S&amp;P 500 Utility Index</v>
      </c>
      <c r="F775" s="1380">
        <f>'PRPM WP2'!C776</f>
        <v>-2.1099999999999997E-2</v>
      </c>
      <c r="H775" s="1380">
        <f>'PRPM WP2'!H776</f>
        <v>8.175E-3</v>
      </c>
      <c r="I775" s="1373">
        <f t="shared" si="17"/>
        <v>-2.9274999999999995E-2</v>
      </c>
      <c r="J775" s="1371">
        <v>33025</v>
      </c>
    </row>
    <row r="776" spans="1:10" x14ac:dyDescent="0.45">
      <c r="A776" s="1370">
        <v>3</v>
      </c>
      <c r="B776" s="1371">
        <f t="shared" si="18"/>
        <v>33055</v>
      </c>
      <c r="C776" s="1370" t="str">
        <f t="shared" si="19"/>
        <v>S&amp;P 500 Utility Index</v>
      </c>
      <c r="F776" s="1380">
        <f>'PRPM WP2'!C777</f>
        <v>-3.1999999999999997E-3</v>
      </c>
      <c r="H776" s="1380">
        <f>'PRPM WP2'!H777</f>
        <v>8.1317500000000001E-3</v>
      </c>
      <c r="I776" s="1373">
        <f t="shared" si="17"/>
        <v>-1.133175E-2</v>
      </c>
      <c r="J776" s="1371">
        <v>33055</v>
      </c>
    </row>
    <row r="777" spans="1:10" x14ac:dyDescent="0.45">
      <c r="A777" s="1370">
        <v>3</v>
      </c>
      <c r="B777" s="1371">
        <f t="shared" si="18"/>
        <v>33086</v>
      </c>
      <c r="C777" s="1370" t="str">
        <f t="shared" si="19"/>
        <v>S&amp;P 500 Utility Index</v>
      </c>
      <c r="F777" s="1380">
        <f>'PRPM WP2'!C778</f>
        <v>-7.9199999999999993E-2</v>
      </c>
      <c r="H777" s="1380">
        <f>'PRPM WP2'!H778</f>
        <v>8.2464166666666658E-3</v>
      </c>
      <c r="I777" s="1373">
        <f t="shared" si="17"/>
        <v>-8.7446416666666665E-2</v>
      </c>
      <c r="J777" s="1371">
        <v>33086</v>
      </c>
    </row>
    <row r="778" spans="1:10" x14ac:dyDescent="0.45">
      <c r="A778" s="1370">
        <v>3</v>
      </c>
      <c r="B778" s="1371">
        <f t="shared" si="18"/>
        <v>33117</v>
      </c>
      <c r="C778" s="1370" t="str">
        <f t="shared" si="19"/>
        <v>S&amp;P 500 Utility Index</v>
      </c>
      <c r="F778" s="1380">
        <f>'PRPM WP2'!C779</f>
        <v>4.1100000000000005E-2</v>
      </c>
      <c r="H778" s="1380">
        <f>'PRPM WP2'!H779</f>
        <v>8.4306666666666662E-3</v>
      </c>
      <c r="I778" s="1373">
        <f t="shared" si="17"/>
        <v>3.2669333333333342E-2</v>
      </c>
      <c r="J778" s="1371">
        <v>33117</v>
      </c>
    </row>
    <row r="779" spans="1:10" x14ac:dyDescent="0.45">
      <c r="A779" s="1370">
        <v>3</v>
      </c>
      <c r="B779" s="1371">
        <f t="shared" si="18"/>
        <v>33147</v>
      </c>
      <c r="C779" s="1370" t="str">
        <f t="shared" si="19"/>
        <v>S&amp;P 500 Utility Index</v>
      </c>
      <c r="F779" s="1380">
        <f>'PRPM WP2'!C780</f>
        <v>6.5299999999999997E-2</v>
      </c>
      <c r="H779" s="1380">
        <f>'PRPM WP2'!H780</f>
        <v>8.3855000000000006E-3</v>
      </c>
      <c r="I779" s="1373">
        <f t="shared" si="17"/>
        <v>5.6914499999999993E-2</v>
      </c>
      <c r="J779" s="1371">
        <v>33147</v>
      </c>
    </row>
    <row r="780" spans="1:10" x14ac:dyDescent="0.45">
      <c r="A780" s="1370">
        <v>3</v>
      </c>
      <c r="B780" s="1371">
        <f t="shared" si="18"/>
        <v>33178</v>
      </c>
      <c r="C780" s="1370" t="str">
        <f t="shared" si="19"/>
        <v>S&amp;P 500 Utility Index</v>
      </c>
      <c r="F780" s="1380">
        <f>'PRPM WP2'!C781</f>
        <v>1.9299999999999998E-2</v>
      </c>
      <c r="H780" s="1380">
        <f>'PRPM WP2'!H781</f>
        <v>8.2603333333333331E-3</v>
      </c>
      <c r="I780" s="1373">
        <f t="shared" si="17"/>
        <v>1.1039666666666665E-2</v>
      </c>
      <c r="J780" s="1371">
        <v>33178</v>
      </c>
    </row>
    <row r="781" spans="1:10" x14ac:dyDescent="0.45">
      <c r="A781" s="1370">
        <v>3</v>
      </c>
      <c r="B781" s="1371">
        <f t="shared" si="18"/>
        <v>33208</v>
      </c>
      <c r="C781" s="1370" t="str">
        <f t="shared" si="19"/>
        <v>S&amp;P 500 Utility Index</v>
      </c>
      <c r="F781" s="1380">
        <f>'PRPM WP2'!C782</f>
        <v>8.6E-3</v>
      </c>
      <c r="H781" s="1380">
        <f>'PRPM WP2'!H782</f>
        <v>8.1091666666666656E-3</v>
      </c>
      <c r="I781" s="1373">
        <f t="shared" si="17"/>
        <v>4.9083333333333444E-4</v>
      </c>
      <c r="J781" s="1371">
        <v>33208</v>
      </c>
    </row>
    <row r="782" spans="1:10" x14ac:dyDescent="0.45">
      <c r="A782" s="1370">
        <v>3</v>
      </c>
      <c r="B782" s="1371">
        <f t="shared" si="18"/>
        <v>33239</v>
      </c>
      <c r="C782" s="1370" t="str">
        <f t="shared" si="19"/>
        <v>S&amp;P 500 Utility Index</v>
      </c>
      <c r="F782" s="1380">
        <f>'PRPM WP2'!C783</f>
        <v>-3.0100000000000002E-2</v>
      </c>
      <c r="H782" s="1380">
        <f>'PRPM WP2'!H783</f>
        <v>8.0939166666666659E-3</v>
      </c>
      <c r="I782" s="1373">
        <f t="shared" si="17"/>
        <v>-3.8193916666666668E-2</v>
      </c>
      <c r="J782" s="1371">
        <v>33239</v>
      </c>
    </row>
    <row r="783" spans="1:10" x14ac:dyDescent="0.45">
      <c r="A783" s="1370">
        <v>3</v>
      </c>
      <c r="B783" s="1371">
        <f t="shared" si="18"/>
        <v>33270</v>
      </c>
      <c r="C783" s="1370" t="str">
        <f t="shared" si="19"/>
        <v>S&amp;P 500 Utility Index</v>
      </c>
      <c r="F783" s="1380">
        <f>'PRPM WP2'!C784</f>
        <v>3.49E-2</v>
      </c>
      <c r="H783" s="1380">
        <f>'PRPM WP2'!H784</f>
        <v>7.8978333333333331E-3</v>
      </c>
      <c r="I783" s="1373">
        <f t="shared" si="17"/>
        <v>2.7002166666666667E-2</v>
      </c>
      <c r="J783" s="1371">
        <v>33270</v>
      </c>
    </row>
    <row r="784" spans="1:10" x14ac:dyDescent="0.45">
      <c r="A784" s="1370">
        <v>3</v>
      </c>
      <c r="B784" s="1371">
        <f t="shared" si="18"/>
        <v>33298</v>
      </c>
      <c r="C784" s="1370" t="str">
        <f t="shared" si="19"/>
        <v>S&amp;P 500 Utility Index</v>
      </c>
      <c r="F784" s="1380">
        <f>'PRPM WP2'!C785</f>
        <v>1.9799999999999998E-2</v>
      </c>
      <c r="H784" s="1380">
        <f>'PRPM WP2'!H785</f>
        <v>7.9608333333333337E-3</v>
      </c>
      <c r="I784" s="1373">
        <f t="shared" si="17"/>
        <v>1.1839166666666665E-2</v>
      </c>
      <c r="J784" s="1371">
        <v>33298</v>
      </c>
    </row>
    <row r="785" spans="1:10" x14ac:dyDescent="0.45">
      <c r="A785" s="1370">
        <v>3</v>
      </c>
      <c r="B785" s="1371">
        <f t="shared" si="18"/>
        <v>33329</v>
      </c>
      <c r="C785" s="1370" t="str">
        <f t="shared" si="19"/>
        <v>S&amp;P 500 Utility Index</v>
      </c>
      <c r="F785" s="1380">
        <f>'PRPM WP2'!C786</f>
        <v>-1.6200000000000003E-2</v>
      </c>
      <c r="H785" s="1380">
        <f>'PRPM WP2'!H786</f>
        <v>7.8870833333333328E-3</v>
      </c>
      <c r="I785" s="1373">
        <f t="shared" si="17"/>
        <v>-2.4087083333333335E-2</v>
      </c>
      <c r="J785" s="1371">
        <v>33329</v>
      </c>
    </row>
    <row r="786" spans="1:10" x14ac:dyDescent="0.45">
      <c r="A786" s="1370">
        <v>3</v>
      </c>
      <c r="B786" s="1371">
        <f t="shared" si="18"/>
        <v>33359</v>
      </c>
      <c r="C786" s="1370" t="str">
        <f t="shared" si="19"/>
        <v>S&amp;P 500 Utility Index</v>
      </c>
      <c r="F786" s="1380">
        <f>'PRPM WP2'!C787</f>
        <v>-1.2999999999999998E-2</v>
      </c>
      <c r="H786" s="1380">
        <f>'PRPM WP2'!H787</f>
        <v>7.8602499999999992E-3</v>
      </c>
      <c r="I786" s="1373">
        <f t="shared" si="17"/>
        <v>-2.0860249999999997E-2</v>
      </c>
      <c r="J786" s="1371">
        <v>33359</v>
      </c>
    </row>
    <row r="787" spans="1:10" x14ac:dyDescent="0.45">
      <c r="A787" s="1370">
        <v>3</v>
      </c>
      <c r="B787" s="1371">
        <f t="shared" si="18"/>
        <v>33390</v>
      </c>
      <c r="C787" s="1370" t="str">
        <f t="shared" si="19"/>
        <v>S&amp;P 500 Utility Index</v>
      </c>
      <c r="F787" s="1380">
        <f>'PRPM WP2'!C788</f>
        <v>-1.3899999999999999E-2</v>
      </c>
      <c r="H787" s="1380">
        <f>'PRPM WP2'!H788</f>
        <v>7.9862500000000003E-3</v>
      </c>
      <c r="I787" s="1373">
        <f t="shared" si="17"/>
        <v>-2.1886249999999999E-2</v>
      </c>
      <c r="J787" s="1371">
        <v>33390</v>
      </c>
    </row>
    <row r="788" spans="1:10" x14ac:dyDescent="0.45">
      <c r="A788" s="1370">
        <v>3</v>
      </c>
      <c r="B788" s="1371">
        <f t="shared" si="18"/>
        <v>33420</v>
      </c>
      <c r="C788" s="1370" t="str">
        <f t="shared" si="19"/>
        <v>S&amp;P 500 Utility Index</v>
      </c>
      <c r="F788" s="1380">
        <f>'PRPM WP2'!C789</f>
        <v>3.0700000000000002E-2</v>
      </c>
      <c r="H788" s="1380">
        <f>'PRPM WP2'!H789</f>
        <v>7.9564166666666672E-3</v>
      </c>
      <c r="I788" s="1373">
        <f t="shared" si="17"/>
        <v>2.2743583333333334E-2</v>
      </c>
      <c r="J788" s="1371">
        <v>33420</v>
      </c>
    </row>
    <row r="789" spans="1:10" x14ac:dyDescent="0.45">
      <c r="A789" s="1370">
        <v>3</v>
      </c>
      <c r="B789" s="1371">
        <f t="shared" si="18"/>
        <v>33451</v>
      </c>
      <c r="C789" s="1370" t="str">
        <f t="shared" si="19"/>
        <v>S&amp;P 500 Utility Index</v>
      </c>
      <c r="F789" s="1380">
        <f>'PRPM WP2'!C790</f>
        <v>2.58E-2</v>
      </c>
      <c r="H789" s="1380">
        <f>'PRPM WP2'!H790</f>
        <v>7.7541666666666662E-3</v>
      </c>
      <c r="I789" s="1373">
        <f t="shared" si="17"/>
        <v>1.8045833333333334E-2</v>
      </c>
      <c r="J789" s="1371">
        <v>33451</v>
      </c>
    </row>
    <row r="790" spans="1:10" x14ac:dyDescent="0.45">
      <c r="A790" s="1370">
        <v>3</v>
      </c>
      <c r="B790" s="1371">
        <f t="shared" si="18"/>
        <v>33482</v>
      </c>
      <c r="C790" s="1370" t="str">
        <f t="shared" si="19"/>
        <v>S&amp;P 500 Utility Index</v>
      </c>
      <c r="F790" s="1380">
        <f>'PRPM WP2'!C791</f>
        <v>2.0199999999999999E-2</v>
      </c>
      <c r="H790" s="1380">
        <f>'PRPM WP2'!H791</f>
        <v>7.6383333333333338E-3</v>
      </c>
      <c r="I790" s="1373">
        <f t="shared" si="17"/>
        <v>1.2561666666666665E-2</v>
      </c>
      <c r="J790" s="1371">
        <v>33482</v>
      </c>
    </row>
    <row r="791" spans="1:10" x14ac:dyDescent="0.45">
      <c r="A791" s="1370">
        <v>3</v>
      </c>
      <c r="B791" s="1371">
        <f t="shared" si="18"/>
        <v>33512</v>
      </c>
      <c r="C791" s="1370" t="str">
        <f t="shared" si="19"/>
        <v>S&amp;P 500 Utility Index</v>
      </c>
      <c r="F791" s="1380">
        <f>'PRPM WP2'!C792</f>
        <v>0.02</v>
      </c>
      <c r="H791" s="1380">
        <f>'PRPM WP2'!H792</f>
        <v>7.6007500000000007E-3</v>
      </c>
      <c r="I791" s="1373">
        <f t="shared" si="17"/>
        <v>1.2399250000000001E-2</v>
      </c>
      <c r="J791" s="1371">
        <v>33512</v>
      </c>
    </row>
    <row r="792" spans="1:10" x14ac:dyDescent="0.45">
      <c r="A792" s="1370">
        <v>3</v>
      </c>
      <c r="B792" s="1371">
        <f t="shared" si="18"/>
        <v>33543</v>
      </c>
      <c r="C792" s="1370" t="str">
        <f t="shared" si="19"/>
        <v>S&amp;P 500 Utility Index</v>
      </c>
      <c r="F792" s="1380">
        <f>'PRPM WP2'!C793</f>
        <v>-9.7999999999999997E-3</v>
      </c>
      <c r="H792" s="1380">
        <f>'PRPM WP2'!H793</f>
        <v>7.5445833333333337E-3</v>
      </c>
      <c r="I792" s="1373">
        <f t="shared" si="17"/>
        <v>-1.7344583333333333E-2</v>
      </c>
      <c r="J792" s="1371">
        <v>33543</v>
      </c>
    </row>
    <row r="793" spans="1:10" x14ac:dyDescent="0.45">
      <c r="A793" s="1370">
        <v>3</v>
      </c>
      <c r="B793" s="1371">
        <f t="shared" si="18"/>
        <v>33573</v>
      </c>
      <c r="C793" s="1370" t="str">
        <f t="shared" si="19"/>
        <v>S&amp;P 500 Utility Index</v>
      </c>
      <c r="F793" s="1380">
        <f>'PRPM WP2'!C794</f>
        <v>7.3300000000000004E-2</v>
      </c>
      <c r="H793" s="1380">
        <f>'PRPM WP2'!H794</f>
        <v>7.4162500000000001E-3</v>
      </c>
      <c r="I793" s="1373">
        <f t="shared" si="17"/>
        <v>6.5883750000000005E-2</v>
      </c>
      <c r="J793" s="1371">
        <v>33573</v>
      </c>
    </row>
    <row r="794" spans="1:10" x14ac:dyDescent="0.45">
      <c r="A794" s="1370">
        <v>3</v>
      </c>
      <c r="B794" s="1371">
        <f t="shared" si="18"/>
        <v>33604</v>
      </c>
      <c r="C794" s="1370" t="str">
        <f t="shared" si="19"/>
        <v>S&amp;P 500 Utility Index</v>
      </c>
      <c r="F794" s="1380">
        <f>'PRPM WP2'!C795</f>
        <v>-5.3600000000000002E-2</v>
      </c>
      <c r="H794" s="1380">
        <f>'PRPM WP2'!H795</f>
        <v>7.3602500000000005E-3</v>
      </c>
      <c r="I794" s="1373">
        <f t="shared" ref="I794:I857" si="20">F794-H794</f>
        <v>-6.0960250000000001E-2</v>
      </c>
      <c r="J794" s="1371">
        <v>33604</v>
      </c>
    </row>
    <row r="795" spans="1:10" x14ac:dyDescent="0.45">
      <c r="A795" s="1370">
        <v>3</v>
      </c>
      <c r="B795" s="1371">
        <f t="shared" si="18"/>
        <v>33635</v>
      </c>
      <c r="C795" s="1370" t="str">
        <f t="shared" si="19"/>
        <v>S&amp;P 500 Utility Index</v>
      </c>
      <c r="F795" s="1380">
        <f>'PRPM WP2'!C796</f>
        <v>-2.7300000000000001E-2</v>
      </c>
      <c r="H795" s="1380">
        <f>'PRPM WP2'!H796</f>
        <v>7.4420833333333335E-3</v>
      </c>
      <c r="I795" s="1373">
        <f t="shared" si="20"/>
        <v>-3.4742083333333333E-2</v>
      </c>
      <c r="J795" s="1371">
        <v>33635</v>
      </c>
    </row>
    <row r="796" spans="1:10" x14ac:dyDescent="0.45">
      <c r="A796" s="1370">
        <v>3</v>
      </c>
      <c r="B796" s="1371">
        <f t="shared" si="18"/>
        <v>33664</v>
      </c>
      <c r="C796" s="1370" t="str">
        <f t="shared" si="19"/>
        <v>S&amp;P 500 Utility Index</v>
      </c>
      <c r="F796" s="1380">
        <f>'PRPM WP2'!C797</f>
        <v>-1.43E-2</v>
      </c>
      <c r="H796" s="1380">
        <f>'PRPM WP2'!H797</f>
        <v>7.4727500000000002E-3</v>
      </c>
      <c r="I796" s="1373">
        <f t="shared" si="20"/>
        <v>-2.177275E-2</v>
      </c>
      <c r="J796" s="1371">
        <v>33664</v>
      </c>
    </row>
    <row r="797" spans="1:10" x14ac:dyDescent="0.45">
      <c r="A797" s="1370">
        <v>3</v>
      </c>
      <c r="B797" s="1371">
        <f t="shared" si="18"/>
        <v>33695</v>
      </c>
      <c r="C797" s="1370" t="str">
        <f t="shared" si="19"/>
        <v>S&amp;P 500 Utility Index</v>
      </c>
      <c r="F797" s="1380">
        <f>'PRPM WP2'!C798</f>
        <v>6.4500000000000002E-2</v>
      </c>
      <c r="H797" s="1380">
        <f>'PRPM WP2'!H798</f>
        <v>7.4380833333333339E-3</v>
      </c>
      <c r="I797" s="1373">
        <f t="shared" si="20"/>
        <v>5.7061916666666671E-2</v>
      </c>
      <c r="J797" s="1371">
        <v>33695</v>
      </c>
    </row>
    <row r="798" spans="1:10" x14ac:dyDescent="0.45">
      <c r="A798" s="1370">
        <v>3</v>
      </c>
      <c r="B798" s="1371">
        <f t="shared" si="18"/>
        <v>33725</v>
      </c>
      <c r="C798" s="1370" t="str">
        <f t="shared" si="19"/>
        <v>S&amp;P 500 Utility Index</v>
      </c>
      <c r="F798" s="1380">
        <f>'PRPM WP2'!C799</f>
        <v>-1.5000000000000005E-3</v>
      </c>
      <c r="H798" s="1380">
        <f>'PRPM WP2'!H799</f>
        <v>7.3995833333333335E-3</v>
      </c>
      <c r="I798" s="1373">
        <f t="shared" si="20"/>
        <v>-8.899583333333334E-3</v>
      </c>
      <c r="J798" s="1371">
        <v>33725</v>
      </c>
    </row>
    <row r="799" spans="1:10" x14ac:dyDescent="0.45">
      <c r="A799" s="1370">
        <v>3</v>
      </c>
      <c r="B799" s="1371">
        <f t="shared" si="18"/>
        <v>33756</v>
      </c>
      <c r="C799" s="1370" t="str">
        <f t="shared" si="19"/>
        <v>S&amp;P 500 Utility Index</v>
      </c>
      <c r="F799" s="1380">
        <f>'PRPM WP2'!C800</f>
        <v>1.41E-2</v>
      </c>
      <c r="H799" s="1380">
        <f>'PRPM WP2'!H800</f>
        <v>7.3230833333333325E-3</v>
      </c>
      <c r="I799" s="1373">
        <f t="shared" si="20"/>
        <v>6.7769166666666672E-3</v>
      </c>
      <c r="J799" s="1371">
        <v>33756</v>
      </c>
    </row>
    <row r="800" spans="1:10" x14ac:dyDescent="0.45">
      <c r="A800" s="1370">
        <v>3</v>
      </c>
      <c r="B800" s="1371">
        <f t="shared" si="18"/>
        <v>33786</v>
      </c>
      <c r="C800" s="1370" t="str">
        <f t="shared" si="19"/>
        <v>S&amp;P 500 Utility Index</v>
      </c>
      <c r="F800" s="1380">
        <f>'PRPM WP2'!C801</f>
        <v>7.9000000000000001E-2</v>
      </c>
      <c r="H800" s="1380">
        <f>'PRPM WP2'!H801</f>
        <v>7.1492500000000002E-3</v>
      </c>
      <c r="I800" s="1373">
        <f t="shared" si="20"/>
        <v>7.1850750000000005E-2</v>
      </c>
      <c r="J800" s="1371">
        <v>33786</v>
      </c>
    </row>
    <row r="801" spans="1:10" x14ac:dyDescent="0.45">
      <c r="A801" s="1370">
        <v>3</v>
      </c>
      <c r="B801" s="1371">
        <f t="shared" si="18"/>
        <v>33817</v>
      </c>
      <c r="C801" s="1370" t="str">
        <f t="shared" si="19"/>
        <v>S&amp;P 500 Utility Index</v>
      </c>
      <c r="F801" s="1380">
        <f>'PRPM WP2'!C802</f>
        <v>-7.4000000000000012E-3</v>
      </c>
      <c r="H801" s="1380">
        <f>'PRPM WP2'!H802</f>
        <v>7.031333333333333E-3</v>
      </c>
      <c r="I801" s="1373">
        <f t="shared" si="20"/>
        <v>-1.4431333333333334E-2</v>
      </c>
      <c r="J801" s="1371">
        <v>33817</v>
      </c>
    </row>
    <row r="802" spans="1:10" x14ac:dyDescent="0.45">
      <c r="A802" s="1370">
        <v>3</v>
      </c>
      <c r="B802" s="1371">
        <f t="shared" si="18"/>
        <v>33848</v>
      </c>
      <c r="C802" s="1370" t="str">
        <f t="shared" si="19"/>
        <v>S&amp;P 500 Utility Index</v>
      </c>
      <c r="F802" s="1380">
        <f>'PRPM WP2'!C803</f>
        <v>7.2999999999999983E-3</v>
      </c>
      <c r="H802" s="1380">
        <f>'PRPM WP2'!H803</f>
        <v>7.0059166666666664E-3</v>
      </c>
      <c r="I802" s="1373">
        <f t="shared" si="20"/>
        <v>2.9408333333333196E-4</v>
      </c>
      <c r="J802" s="1371">
        <v>33848</v>
      </c>
    </row>
    <row r="803" spans="1:10" x14ac:dyDescent="0.45">
      <c r="A803" s="1370">
        <v>3</v>
      </c>
      <c r="B803" s="1371">
        <f t="shared" si="18"/>
        <v>33878</v>
      </c>
      <c r="C803" s="1370" t="str">
        <f t="shared" si="19"/>
        <v>S&amp;P 500 Utility Index</v>
      </c>
      <c r="F803" s="1380">
        <f>'PRPM WP2'!C804</f>
        <v>-9.3999999999999986E-3</v>
      </c>
      <c r="H803" s="1380">
        <f>'PRPM WP2'!H804</f>
        <v>7.1056666666666664E-3</v>
      </c>
      <c r="I803" s="1373">
        <f t="shared" si="20"/>
        <v>-1.6505666666666665E-2</v>
      </c>
      <c r="J803" s="1371">
        <v>33878</v>
      </c>
    </row>
    <row r="804" spans="1:10" x14ac:dyDescent="0.45">
      <c r="A804" s="1370">
        <v>3</v>
      </c>
      <c r="B804" s="1371">
        <f t="shared" si="18"/>
        <v>33909</v>
      </c>
      <c r="C804" s="1370" t="str">
        <f t="shared" si="19"/>
        <v>S&amp;P 500 Utility Index</v>
      </c>
      <c r="F804" s="1380">
        <f>'PRPM WP2'!C805</f>
        <v>-1.5000000000000005E-3</v>
      </c>
      <c r="H804" s="1380">
        <f>'PRPM WP2'!H805</f>
        <v>7.1925833333333329E-3</v>
      </c>
      <c r="I804" s="1373">
        <f t="shared" si="20"/>
        <v>-8.6925833333333334E-3</v>
      </c>
      <c r="J804" s="1371">
        <v>33909</v>
      </c>
    </row>
    <row r="805" spans="1:10" x14ac:dyDescent="0.45">
      <c r="A805" s="1370">
        <v>3</v>
      </c>
      <c r="B805" s="1371">
        <f t="shared" si="18"/>
        <v>33939</v>
      </c>
      <c r="C805" s="1370" t="str">
        <f t="shared" si="19"/>
        <v>S&amp;P 500 Utility Index</v>
      </c>
      <c r="F805" s="1380">
        <f>'PRPM WP2'!C806</f>
        <v>3.5799999999999998E-2</v>
      </c>
      <c r="H805" s="1380">
        <f>'PRPM WP2'!H806</f>
        <v>7.0420833333333334E-3</v>
      </c>
      <c r="I805" s="1373">
        <f t="shared" si="20"/>
        <v>2.8757916666666664E-2</v>
      </c>
      <c r="J805" s="1371">
        <v>33939</v>
      </c>
    </row>
    <row r="806" spans="1:10" x14ac:dyDescent="0.45">
      <c r="A806" s="1370">
        <v>3</v>
      </c>
      <c r="B806" s="1371">
        <f t="shared" si="18"/>
        <v>33970</v>
      </c>
      <c r="C806" s="1370" t="str">
        <f t="shared" si="19"/>
        <v>S&amp;P 500 Utility Index</v>
      </c>
      <c r="F806" s="1380">
        <f>'PRPM WP2'!C807</f>
        <v>1.5699999999999999E-2</v>
      </c>
      <c r="H806" s="1380">
        <f>'PRPM WP2'!H807</f>
        <v>6.9009166666666663E-3</v>
      </c>
      <c r="I806" s="1373">
        <f t="shared" si="20"/>
        <v>8.7990833333333324E-3</v>
      </c>
      <c r="J806" s="1371">
        <v>33970</v>
      </c>
    </row>
    <row r="807" spans="1:10" x14ac:dyDescent="0.45">
      <c r="A807" s="1370">
        <v>3</v>
      </c>
      <c r="B807" s="1371">
        <f t="shared" si="18"/>
        <v>34001</v>
      </c>
      <c r="C807" s="1370" t="str">
        <f t="shared" si="19"/>
        <v>S&amp;P 500 Utility Index</v>
      </c>
      <c r="F807" s="1380">
        <f>'PRPM WP2'!C808</f>
        <v>7.2099999999999997E-2</v>
      </c>
      <c r="H807" s="1380">
        <f>'PRPM WP2'!H808</f>
        <v>6.7039166666666671E-3</v>
      </c>
      <c r="I807" s="1373">
        <f t="shared" si="20"/>
        <v>6.5396083333333327E-2</v>
      </c>
      <c r="J807" s="1371">
        <v>34001</v>
      </c>
    </row>
    <row r="808" spans="1:10" x14ac:dyDescent="0.45">
      <c r="A808" s="1370">
        <v>3</v>
      </c>
      <c r="B808" s="1371">
        <f t="shared" si="18"/>
        <v>34029</v>
      </c>
      <c r="C808" s="1370" t="str">
        <f t="shared" si="19"/>
        <v>S&amp;P 500 Utility Index</v>
      </c>
      <c r="F808" s="1380">
        <f>'PRPM WP2'!C809</f>
        <v>1.7999999999999999E-2</v>
      </c>
      <c r="H808" s="1380">
        <f>'PRPM WP2'!H809</f>
        <v>6.5854999999999993E-3</v>
      </c>
      <c r="I808" s="1373">
        <f t="shared" si="20"/>
        <v>1.1414499999999999E-2</v>
      </c>
      <c r="J808" s="1371">
        <v>34029</v>
      </c>
    </row>
    <row r="809" spans="1:10" x14ac:dyDescent="0.45">
      <c r="A809" s="1370">
        <v>3</v>
      </c>
      <c r="B809" s="1371">
        <f t="shared" si="18"/>
        <v>34060</v>
      </c>
      <c r="C809" s="1370" t="str">
        <f t="shared" si="19"/>
        <v>S&amp;P 500 Utility Index</v>
      </c>
      <c r="F809" s="1380">
        <f>'PRPM WP2'!C810</f>
        <v>-2.6999999999999993E-3</v>
      </c>
      <c r="H809" s="1380">
        <f>'PRPM WP2'!H810</f>
        <v>6.514666666666666E-3</v>
      </c>
      <c r="I809" s="1373">
        <f t="shared" si="20"/>
        <v>-9.2146666666666661E-3</v>
      </c>
      <c r="J809" s="1371">
        <v>34060</v>
      </c>
    </row>
    <row r="810" spans="1:10" x14ac:dyDescent="0.45">
      <c r="A810" s="1370">
        <v>3</v>
      </c>
      <c r="B810" s="1371">
        <f t="shared" si="18"/>
        <v>34090</v>
      </c>
      <c r="C810" s="1370" t="str">
        <f t="shared" si="19"/>
        <v>S&amp;P 500 Utility Index</v>
      </c>
      <c r="F810" s="1380">
        <f>'PRPM WP2'!C811</f>
        <v>-1.9099999999999999E-2</v>
      </c>
      <c r="H810" s="1380">
        <f>'PRPM WP2'!H811</f>
        <v>6.5491666666666667E-3</v>
      </c>
      <c r="I810" s="1373">
        <f t="shared" si="20"/>
        <v>-2.5649166666666667E-2</v>
      </c>
      <c r="J810" s="1371">
        <v>34090</v>
      </c>
    </row>
    <row r="811" spans="1:10" x14ac:dyDescent="0.45">
      <c r="A811" s="1370">
        <v>3</v>
      </c>
      <c r="B811" s="1371">
        <f t="shared" si="18"/>
        <v>34121</v>
      </c>
      <c r="C811" s="1370" t="str">
        <f t="shared" si="19"/>
        <v>S&amp;P 500 Utility Index</v>
      </c>
      <c r="F811" s="1380">
        <f>'PRPM WP2'!C812</f>
        <v>4.6300000000000001E-2</v>
      </c>
      <c r="H811" s="1380">
        <f>'PRPM WP2'!H812</f>
        <v>6.4693333333333339E-3</v>
      </c>
      <c r="I811" s="1373">
        <f t="shared" si="20"/>
        <v>3.9830666666666667E-2</v>
      </c>
      <c r="J811" s="1371">
        <v>34121</v>
      </c>
    </row>
    <row r="812" spans="1:10" x14ac:dyDescent="0.45">
      <c r="A812" s="1370">
        <v>3</v>
      </c>
      <c r="B812" s="1371">
        <f t="shared" si="18"/>
        <v>34151</v>
      </c>
      <c r="C812" s="1370" t="str">
        <f t="shared" si="19"/>
        <v>S&amp;P 500 Utility Index</v>
      </c>
      <c r="F812" s="1380">
        <f>'PRPM WP2'!C813</f>
        <v>2.2599999999999999E-2</v>
      </c>
      <c r="H812" s="1380">
        <f>'PRPM WP2'!H813</f>
        <v>6.284500000000001E-3</v>
      </c>
      <c r="I812" s="1373">
        <f t="shared" si="20"/>
        <v>1.6315499999999997E-2</v>
      </c>
      <c r="J812" s="1371">
        <v>34151</v>
      </c>
    </row>
    <row r="813" spans="1:10" x14ac:dyDescent="0.45">
      <c r="A813" s="1370">
        <v>3</v>
      </c>
      <c r="B813" s="1371">
        <f t="shared" si="18"/>
        <v>34182</v>
      </c>
      <c r="C813" s="1370" t="str">
        <f t="shared" si="19"/>
        <v>S&amp;P 500 Utility Index</v>
      </c>
      <c r="F813" s="1380">
        <f>'PRPM WP2'!C814</f>
        <v>4.8399999999999999E-2</v>
      </c>
      <c r="H813" s="1380">
        <f>'PRPM WP2'!H814</f>
        <v>6.0587500000000008E-3</v>
      </c>
      <c r="I813" s="1373">
        <f t="shared" si="20"/>
        <v>4.2341249999999997E-2</v>
      </c>
      <c r="J813" s="1371">
        <v>34182</v>
      </c>
    </row>
    <row r="814" spans="1:10" x14ac:dyDescent="0.45">
      <c r="A814" s="1370">
        <v>3</v>
      </c>
      <c r="B814" s="1371">
        <f t="shared" si="18"/>
        <v>34213</v>
      </c>
      <c r="C814" s="1370" t="str">
        <f t="shared" si="19"/>
        <v>S&amp;P 500 Utility Index</v>
      </c>
      <c r="F814" s="1380">
        <f>'PRPM WP2'!C815</f>
        <v>-2E-3</v>
      </c>
      <c r="H814" s="1380">
        <f>'PRPM WP2'!H815</f>
        <v>5.8635000000000007E-3</v>
      </c>
      <c r="I814" s="1373">
        <f t="shared" si="20"/>
        <v>-7.8635000000000007E-3</v>
      </c>
      <c r="J814" s="1371">
        <v>34213</v>
      </c>
    </row>
    <row r="815" spans="1:10" x14ac:dyDescent="0.45">
      <c r="A815" s="1370">
        <v>3</v>
      </c>
      <c r="B815" s="1371">
        <f t="shared" si="18"/>
        <v>34243</v>
      </c>
      <c r="C815" s="1370" t="str">
        <f t="shared" si="19"/>
        <v>S&amp;P 500 Utility Index</v>
      </c>
      <c r="F815" s="1380">
        <f>'PRPM WP2'!C816</f>
        <v>-2.1000000000000003E-3</v>
      </c>
      <c r="H815" s="1380">
        <f>'PRPM WP2'!H816</f>
        <v>5.8567500000000008E-3</v>
      </c>
      <c r="I815" s="1373">
        <f t="shared" si="20"/>
        <v>-7.956750000000002E-3</v>
      </c>
      <c r="J815" s="1371">
        <v>34243</v>
      </c>
    </row>
    <row r="816" spans="1:10" x14ac:dyDescent="0.45">
      <c r="A816" s="1370">
        <v>3</v>
      </c>
      <c r="B816" s="1371">
        <f t="shared" si="18"/>
        <v>34274</v>
      </c>
      <c r="C816" s="1370" t="str">
        <f t="shared" si="19"/>
        <v>S&amp;P 500 Utility Index</v>
      </c>
      <c r="F816" s="1380">
        <f>'PRPM WP2'!C817</f>
        <v>-5.0700000000000002E-2</v>
      </c>
      <c r="H816" s="1380">
        <f>'PRPM WP2'!H817</f>
        <v>6.0670833333333332E-3</v>
      </c>
      <c r="I816" s="1373">
        <f t="shared" si="20"/>
        <v>-5.6767083333333336E-2</v>
      </c>
      <c r="J816" s="1371">
        <v>34274</v>
      </c>
    </row>
    <row r="817" spans="1:10" x14ac:dyDescent="0.45">
      <c r="A817" s="1370">
        <v>3</v>
      </c>
      <c r="B817" s="1371">
        <f t="shared" si="18"/>
        <v>34304</v>
      </c>
      <c r="C817" s="1370" t="str">
        <f t="shared" si="19"/>
        <v>S&amp;P 500 Utility Index</v>
      </c>
      <c r="F817" s="1380">
        <f>'PRPM WP2'!C818</f>
        <v>-5.3E-3</v>
      </c>
      <c r="H817" s="1380">
        <f>'PRPM WP2'!H818</f>
        <v>6.1131666666666661E-3</v>
      </c>
      <c r="I817" s="1373">
        <f t="shared" si="20"/>
        <v>-1.1413166666666665E-2</v>
      </c>
      <c r="J817" s="1371">
        <v>34304</v>
      </c>
    </row>
    <row r="818" spans="1:10" x14ac:dyDescent="0.45">
      <c r="A818" s="1370">
        <v>3</v>
      </c>
      <c r="B818" s="1371">
        <f t="shared" si="18"/>
        <v>34335</v>
      </c>
      <c r="C818" s="1370" t="str">
        <f t="shared" si="19"/>
        <v>S&amp;P 500 Utility Index</v>
      </c>
      <c r="F818" s="1380">
        <f>'PRPM WP2'!C819</f>
        <v>7.1999999999999998E-3</v>
      </c>
      <c r="H818" s="1380">
        <f>'PRPM WP2'!H819</f>
        <v>6.1104166666666668E-3</v>
      </c>
      <c r="I818" s="1373">
        <f t="shared" si="20"/>
        <v>1.089583333333333E-3</v>
      </c>
      <c r="J818" s="1371">
        <v>34335</v>
      </c>
    </row>
    <row r="819" spans="1:10" x14ac:dyDescent="0.45">
      <c r="A819" s="1370">
        <v>3</v>
      </c>
      <c r="B819" s="1371">
        <f t="shared" si="18"/>
        <v>34366</v>
      </c>
      <c r="C819" s="1370" t="str">
        <f t="shared" si="19"/>
        <v>S&amp;P 500 Utility Index</v>
      </c>
      <c r="F819" s="1380">
        <f>'PRPM WP2'!C820</f>
        <v>-5.67E-2</v>
      </c>
      <c r="H819" s="1380">
        <f>'PRPM WP2'!H820</f>
        <v>6.2052499999999998E-3</v>
      </c>
      <c r="I819" s="1373">
        <f t="shared" si="20"/>
        <v>-6.2905249999999996E-2</v>
      </c>
      <c r="J819" s="1371">
        <v>34366</v>
      </c>
    </row>
    <row r="820" spans="1:10" x14ac:dyDescent="0.45">
      <c r="A820" s="1370">
        <v>3</v>
      </c>
      <c r="B820" s="1371">
        <f t="shared" si="18"/>
        <v>34394</v>
      </c>
      <c r="C820" s="1370" t="str">
        <f t="shared" si="19"/>
        <v>S&amp;P 500 Utility Index</v>
      </c>
      <c r="F820" s="1380">
        <f>'PRPM WP2'!C821</f>
        <v>-3.3800000000000004E-2</v>
      </c>
      <c r="H820" s="1380">
        <f>'PRPM WP2'!H821</f>
        <v>6.527666666666666E-3</v>
      </c>
      <c r="I820" s="1373">
        <f t="shared" si="20"/>
        <v>-4.0327666666666671E-2</v>
      </c>
      <c r="J820" s="1371">
        <v>34394</v>
      </c>
    </row>
    <row r="821" spans="1:10" x14ac:dyDescent="0.45">
      <c r="A821" s="1370">
        <v>3</v>
      </c>
      <c r="B821" s="1371">
        <f t="shared" si="18"/>
        <v>34425</v>
      </c>
      <c r="C821" s="1370" t="str">
        <f t="shared" si="19"/>
        <v>S&amp;P 500 Utility Index</v>
      </c>
      <c r="F821" s="1380">
        <f>'PRPM WP2'!C822</f>
        <v>2.46E-2</v>
      </c>
      <c r="H821" s="1380">
        <f>'PRPM WP2'!H822</f>
        <v>6.8514166666666662E-3</v>
      </c>
      <c r="I821" s="1373">
        <f t="shared" si="20"/>
        <v>1.7748583333333335E-2</v>
      </c>
      <c r="J821" s="1371">
        <v>34425</v>
      </c>
    </row>
    <row r="822" spans="1:10" x14ac:dyDescent="0.45">
      <c r="A822" s="1370">
        <v>3</v>
      </c>
      <c r="B822" s="1371">
        <f t="shared" ref="B822:B885" si="21">DATE(YEAR(B821),MONTH(B821) + 1,1)</f>
        <v>34455</v>
      </c>
      <c r="C822" s="1370" t="str">
        <f t="shared" ref="C822:C885" si="22">C821</f>
        <v>S&amp;P 500 Utility Index</v>
      </c>
      <c r="F822" s="1380">
        <f>'PRPM WP2'!C823</f>
        <v>-2.6800000000000001E-2</v>
      </c>
      <c r="H822" s="1380">
        <f>'PRPM WP2'!H823</f>
        <v>6.9384999999999994E-3</v>
      </c>
      <c r="I822" s="1373">
        <f t="shared" si="20"/>
        <v>-3.3738499999999998E-2</v>
      </c>
      <c r="J822" s="1371">
        <v>34455</v>
      </c>
    </row>
    <row r="823" spans="1:10" x14ac:dyDescent="0.45">
      <c r="A823" s="1370">
        <v>3</v>
      </c>
      <c r="B823" s="1371">
        <f t="shared" si="21"/>
        <v>34486</v>
      </c>
      <c r="C823" s="1370" t="str">
        <f t="shared" si="22"/>
        <v>S&amp;P 500 Utility Index</v>
      </c>
      <c r="F823" s="1380">
        <f>'PRPM WP2'!C824</f>
        <v>2.0999999999999994E-3</v>
      </c>
      <c r="H823" s="1380">
        <f>'PRPM WP2'!H824</f>
        <v>6.9234166666666663E-3</v>
      </c>
      <c r="I823" s="1373">
        <f t="shared" si="20"/>
        <v>-4.8234166666666668E-3</v>
      </c>
      <c r="J823" s="1371">
        <v>34486</v>
      </c>
    </row>
    <row r="824" spans="1:10" x14ac:dyDescent="0.45">
      <c r="A824" s="1370">
        <v>3</v>
      </c>
      <c r="B824" s="1371">
        <f t="shared" si="21"/>
        <v>34516</v>
      </c>
      <c r="C824" s="1370" t="str">
        <f t="shared" si="22"/>
        <v>S&amp;P 500 Utility Index</v>
      </c>
      <c r="F824" s="1380">
        <f>'PRPM WP2'!C825</f>
        <v>3.3599999999999998E-2</v>
      </c>
      <c r="H824" s="1380">
        <f>'PRPM WP2'!H825</f>
        <v>7.0627500000000013E-3</v>
      </c>
      <c r="I824" s="1373">
        <f t="shared" si="20"/>
        <v>2.6537249999999998E-2</v>
      </c>
      <c r="J824" s="1371">
        <v>34516</v>
      </c>
    </row>
    <row r="825" spans="1:10" x14ac:dyDescent="0.45">
      <c r="A825" s="1370">
        <v>3</v>
      </c>
      <c r="B825" s="1371">
        <f t="shared" si="21"/>
        <v>34547</v>
      </c>
      <c r="C825" s="1370" t="str">
        <f t="shared" si="22"/>
        <v>S&amp;P 500 Utility Index</v>
      </c>
      <c r="F825" s="1380">
        <f>'PRPM WP2'!C826</f>
        <v>-2.7999999999999995E-3</v>
      </c>
      <c r="H825" s="1380">
        <f>'PRPM WP2'!H826</f>
        <v>7.0058333333333335E-3</v>
      </c>
      <c r="I825" s="1373">
        <f t="shared" si="20"/>
        <v>-9.8058333333333331E-3</v>
      </c>
      <c r="J825" s="1371">
        <v>34547</v>
      </c>
    </row>
    <row r="826" spans="1:10" x14ac:dyDescent="0.45">
      <c r="A826" s="1370">
        <v>3</v>
      </c>
      <c r="B826" s="1371">
        <f t="shared" si="21"/>
        <v>34578</v>
      </c>
      <c r="C826" s="1370" t="str">
        <f t="shared" si="22"/>
        <v>S&amp;P 500 Utility Index</v>
      </c>
      <c r="F826" s="1380">
        <f>'PRPM WP2'!C827</f>
        <v>-2.5399999999999999E-2</v>
      </c>
      <c r="H826" s="1380">
        <f>'PRPM WP2'!H827</f>
        <v>7.1869166666666661E-3</v>
      </c>
      <c r="I826" s="1373">
        <f t="shared" si="20"/>
        <v>-3.2586916666666667E-2</v>
      </c>
      <c r="J826" s="1371">
        <v>34578</v>
      </c>
    </row>
    <row r="827" spans="1:10" x14ac:dyDescent="0.45">
      <c r="A827" s="1370">
        <v>3</v>
      </c>
      <c r="B827" s="1371">
        <f t="shared" si="21"/>
        <v>34608</v>
      </c>
      <c r="C827" s="1370" t="str">
        <f t="shared" si="22"/>
        <v>S&amp;P 500 Utility Index</v>
      </c>
      <c r="F827" s="1380">
        <f>'PRPM WP2'!C828</f>
        <v>8.6E-3</v>
      </c>
      <c r="H827" s="1380">
        <f>'PRPM WP2'!H828</f>
        <v>7.376999999999999E-3</v>
      </c>
      <c r="I827" s="1373">
        <f t="shared" si="20"/>
        <v>1.223000000000001E-3</v>
      </c>
      <c r="J827" s="1371">
        <v>34608</v>
      </c>
    </row>
    <row r="828" spans="1:10" x14ac:dyDescent="0.45">
      <c r="A828" s="1370">
        <v>3</v>
      </c>
      <c r="B828" s="1371">
        <f t="shared" si="21"/>
        <v>34639</v>
      </c>
      <c r="C828" s="1370" t="str">
        <f t="shared" si="22"/>
        <v>S&amp;P 500 Utility Index</v>
      </c>
      <c r="F828" s="1380">
        <f>'PRPM WP2'!C829</f>
        <v>-1.46E-2</v>
      </c>
      <c r="H828" s="1380">
        <f>'PRPM WP2'!H829</f>
        <v>7.4862499999999998E-3</v>
      </c>
      <c r="I828" s="1373">
        <f t="shared" si="20"/>
        <v>-2.2086250000000002E-2</v>
      </c>
      <c r="J828" s="1371">
        <v>34639</v>
      </c>
    </row>
    <row r="829" spans="1:10" x14ac:dyDescent="0.45">
      <c r="A829" s="1370">
        <v>3</v>
      </c>
      <c r="B829" s="1371">
        <f t="shared" si="21"/>
        <v>34669</v>
      </c>
      <c r="C829" s="1370" t="str">
        <f t="shared" si="22"/>
        <v>S&amp;P 500 Utility Index</v>
      </c>
      <c r="F829" s="1380">
        <f>'PRPM WP2'!C830</f>
        <v>5.1999999999999998E-3</v>
      </c>
      <c r="H829" s="1380">
        <f>'PRPM WP2'!H830</f>
        <v>7.3067500000000007E-3</v>
      </c>
      <c r="I829" s="1373">
        <f t="shared" si="20"/>
        <v>-2.106750000000001E-3</v>
      </c>
      <c r="J829" s="1371">
        <v>34669</v>
      </c>
    </row>
    <row r="830" spans="1:10" x14ac:dyDescent="0.45">
      <c r="A830" s="1370">
        <v>3</v>
      </c>
      <c r="B830" s="1371">
        <f t="shared" si="21"/>
        <v>34700</v>
      </c>
      <c r="C830" s="1370" t="str">
        <f t="shared" si="22"/>
        <v>S&amp;P 500 Utility Index</v>
      </c>
      <c r="F830" s="1380">
        <f>'PRPM WP2'!C831</f>
        <v>7.7900000000000011E-2</v>
      </c>
      <c r="H830" s="1380">
        <f>'PRPM WP2'!H831</f>
        <v>7.2879166666666665E-3</v>
      </c>
      <c r="I830" s="1373">
        <f t="shared" si="20"/>
        <v>7.0612083333333339E-2</v>
      </c>
      <c r="J830" s="1371">
        <v>34700</v>
      </c>
    </row>
    <row r="831" spans="1:10" x14ac:dyDescent="0.45">
      <c r="A831" s="1370">
        <v>3</v>
      </c>
      <c r="B831" s="1371">
        <f t="shared" si="21"/>
        <v>34731</v>
      </c>
      <c r="C831" s="1370" t="str">
        <f t="shared" si="22"/>
        <v>S&amp;P 500 Utility Index</v>
      </c>
      <c r="F831" s="1380">
        <f>'PRPM WP2'!C832</f>
        <v>-1.5000000000000005E-3</v>
      </c>
      <c r="H831" s="1380">
        <f>'PRPM WP2'!H832</f>
        <v>7.1083333333333328E-3</v>
      </c>
      <c r="I831" s="1373">
        <f t="shared" si="20"/>
        <v>-8.6083333333333324E-3</v>
      </c>
      <c r="J831" s="1371">
        <v>34731</v>
      </c>
    </row>
    <row r="832" spans="1:10" x14ac:dyDescent="0.45">
      <c r="A832" s="1370">
        <v>3</v>
      </c>
      <c r="B832" s="1371">
        <f t="shared" si="21"/>
        <v>34759</v>
      </c>
      <c r="C832" s="1370" t="str">
        <f t="shared" si="22"/>
        <v>S&amp;P 500 Utility Index</v>
      </c>
      <c r="F832" s="1380">
        <f>'PRPM WP2'!C833</f>
        <v>-6.0000000000000001E-3</v>
      </c>
      <c r="H832" s="1380">
        <f>'PRPM WP2'!H833</f>
        <v>6.9785833333333332E-3</v>
      </c>
      <c r="I832" s="1373">
        <f t="shared" si="20"/>
        <v>-1.2978583333333333E-2</v>
      </c>
      <c r="J832" s="1371">
        <v>34759</v>
      </c>
    </row>
    <row r="833" spans="1:10" x14ac:dyDescent="0.45">
      <c r="A833" s="1370">
        <v>3</v>
      </c>
      <c r="B833" s="1371">
        <f t="shared" si="21"/>
        <v>34790</v>
      </c>
      <c r="C833" s="1370" t="str">
        <f t="shared" si="22"/>
        <v>S&amp;P 500 Utility Index</v>
      </c>
      <c r="F833" s="1380">
        <f>'PRPM WP2'!C834</f>
        <v>3.6500000000000005E-2</v>
      </c>
      <c r="H833" s="1380">
        <f>'PRPM WP2'!H834</f>
        <v>6.8982499999999999E-3</v>
      </c>
      <c r="I833" s="1373">
        <f t="shared" si="20"/>
        <v>2.9601750000000003E-2</v>
      </c>
      <c r="J833" s="1371">
        <v>34790</v>
      </c>
    </row>
    <row r="834" spans="1:10" x14ac:dyDescent="0.45">
      <c r="A834" s="1370">
        <v>3</v>
      </c>
      <c r="B834" s="1371">
        <f t="shared" si="21"/>
        <v>34820</v>
      </c>
      <c r="C834" s="1370" t="str">
        <f t="shared" si="22"/>
        <v>S&amp;P 500 Utility Index</v>
      </c>
      <c r="F834" s="1380">
        <f>'PRPM WP2'!C835</f>
        <v>3.1600000000000003E-2</v>
      </c>
      <c r="H834" s="1380">
        <f>'PRPM WP2'!H835</f>
        <v>6.6102499999999998E-3</v>
      </c>
      <c r="I834" s="1373">
        <f t="shared" si="20"/>
        <v>2.4989750000000005E-2</v>
      </c>
      <c r="J834" s="1371">
        <v>34820</v>
      </c>
    </row>
    <row r="835" spans="1:10" x14ac:dyDescent="0.45">
      <c r="A835" s="1370">
        <v>3</v>
      </c>
      <c r="B835" s="1371">
        <f t="shared" si="21"/>
        <v>34851</v>
      </c>
      <c r="C835" s="1370" t="str">
        <f t="shared" si="22"/>
        <v>S&amp;P 500 Utility Index</v>
      </c>
      <c r="F835" s="1380">
        <f>'PRPM WP2'!C836</f>
        <v>4.6999999999999993E-3</v>
      </c>
      <c r="H835" s="1380">
        <f>'PRPM WP2'!H836</f>
        <v>6.3360000000000005E-3</v>
      </c>
      <c r="I835" s="1373">
        <f t="shared" si="20"/>
        <v>-1.6360000000000012E-3</v>
      </c>
      <c r="J835" s="1371">
        <v>34851</v>
      </c>
    </row>
    <row r="836" spans="1:10" x14ac:dyDescent="0.45">
      <c r="A836" s="1370">
        <v>3</v>
      </c>
      <c r="B836" s="1371">
        <f t="shared" si="21"/>
        <v>34881</v>
      </c>
      <c r="C836" s="1370" t="str">
        <f t="shared" si="22"/>
        <v>S&amp;P 500 Utility Index</v>
      </c>
      <c r="F836" s="1380">
        <f>'PRPM WP2'!C837</f>
        <v>2.5500000000000002E-2</v>
      </c>
      <c r="H836" s="1380">
        <f>'PRPM WP2'!H837</f>
        <v>6.4079166666666668E-3</v>
      </c>
      <c r="I836" s="1373">
        <f t="shared" si="20"/>
        <v>1.9092083333333336E-2</v>
      </c>
      <c r="J836" s="1371">
        <v>34881</v>
      </c>
    </row>
    <row r="837" spans="1:10" x14ac:dyDescent="0.45">
      <c r="A837" s="1370">
        <v>3</v>
      </c>
      <c r="B837" s="1371">
        <f t="shared" si="21"/>
        <v>34912</v>
      </c>
      <c r="C837" s="1370" t="str">
        <f t="shared" si="22"/>
        <v>S&amp;P 500 Utility Index</v>
      </c>
      <c r="F837" s="1380">
        <f>'PRPM WP2'!C838</f>
        <v>2.0200000000000006E-2</v>
      </c>
      <c r="H837" s="1380">
        <f>'PRPM WP2'!H838</f>
        <v>6.5322500000000007E-3</v>
      </c>
      <c r="I837" s="1373">
        <f t="shared" si="20"/>
        <v>1.3667750000000006E-2</v>
      </c>
      <c r="J837" s="1371">
        <v>34912</v>
      </c>
    </row>
    <row r="838" spans="1:10" x14ac:dyDescent="0.45">
      <c r="A838" s="1370">
        <v>3</v>
      </c>
      <c r="B838" s="1371">
        <f t="shared" si="21"/>
        <v>34943</v>
      </c>
      <c r="C838" s="1370" t="str">
        <f t="shared" si="22"/>
        <v>S&amp;P 500 Utility Index</v>
      </c>
      <c r="F838" s="1380">
        <f>'PRPM WP2'!C839</f>
        <v>6.3799999999999996E-2</v>
      </c>
      <c r="H838" s="1380">
        <f>'PRPM WP2'!H839</f>
        <v>6.3499999999999997E-3</v>
      </c>
      <c r="I838" s="1373">
        <f t="shared" si="20"/>
        <v>5.7449999999999994E-2</v>
      </c>
      <c r="J838" s="1371">
        <v>34943</v>
      </c>
    </row>
    <row r="839" spans="1:10" x14ac:dyDescent="0.45">
      <c r="A839" s="1370">
        <v>3</v>
      </c>
      <c r="B839" s="1371">
        <f t="shared" si="21"/>
        <v>34973</v>
      </c>
      <c r="C839" s="1370" t="str">
        <f t="shared" si="22"/>
        <v>S&amp;P 500 Utility Index</v>
      </c>
      <c r="F839" s="1380">
        <f>'PRPM WP2'!C840</f>
        <v>2.3799999999999998E-2</v>
      </c>
      <c r="H839" s="1380">
        <f>'PRPM WP2'!H840</f>
        <v>6.2238333333333338E-3</v>
      </c>
      <c r="I839" s="1373">
        <f t="shared" si="20"/>
        <v>1.7576166666666664E-2</v>
      </c>
      <c r="J839" s="1371">
        <v>34973</v>
      </c>
    </row>
    <row r="840" spans="1:10" x14ac:dyDescent="0.45">
      <c r="A840" s="1370">
        <v>3</v>
      </c>
      <c r="B840" s="1371">
        <f t="shared" si="21"/>
        <v>35004</v>
      </c>
      <c r="C840" s="1370" t="str">
        <f t="shared" si="22"/>
        <v>S&amp;P 500 Utility Index</v>
      </c>
      <c r="F840" s="1380">
        <f>'PRPM WP2'!C841</f>
        <v>1.3599999999999999E-2</v>
      </c>
      <c r="H840" s="1380">
        <f>'PRPM WP2'!H841</f>
        <v>6.1999999999999998E-3</v>
      </c>
      <c r="I840" s="1373">
        <f t="shared" si="20"/>
        <v>7.3999999999999995E-3</v>
      </c>
      <c r="J840" s="1371">
        <v>35004</v>
      </c>
    </row>
    <row r="841" spans="1:10" x14ac:dyDescent="0.45">
      <c r="A841" s="1370">
        <v>3</v>
      </c>
      <c r="B841" s="1371">
        <f t="shared" si="21"/>
        <v>35034</v>
      </c>
      <c r="C841" s="1370" t="str">
        <f t="shared" si="22"/>
        <v>S&amp;P 500 Utility Index</v>
      </c>
      <c r="F841" s="1380">
        <f>'PRPM WP2'!C842</f>
        <v>7.0800000000000002E-2</v>
      </c>
      <c r="H841" s="1380">
        <f>'PRPM WP2'!H842</f>
        <v>6.0447499999999998E-3</v>
      </c>
      <c r="I841" s="1373">
        <f t="shared" si="20"/>
        <v>6.475525E-2</v>
      </c>
      <c r="J841" s="1371">
        <v>35034</v>
      </c>
    </row>
    <row r="842" spans="1:10" x14ac:dyDescent="0.45">
      <c r="A842" s="1370">
        <v>3</v>
      </c>
      <c r="B842" s="1371">
        <f t="shared" si="21"/>
        <v>35065</v>
      </c>
      <c r="C842" s="1370" t="str">
        <f t="shared" si="22"/>
        <v>S&amp;P 500 Utility Index</v>
      </c>
      <c r="F842" s="1380">
        <f>'PRPM WP2'!C843</f>
        <v>1.29E-2</v>
      </c>
      <c r="H842" s="1380">
        <f>'PRPM WP2'!H843</f>
        <v>6.005666666666667E-3</v>
      </c>
      <c r="I842" s="1373">
        <f t="shared" si="20"/>
        <v>6.894333333333333E-3</v>
      </c>
      <c r="J842" s="1371">
        <v>35065</v>
      </c>
    </row>
    <row r="843" spans="1:10" x14ac:dyDescent="0.45">
      <c r="A843" s="1370">
        <v>3</v>
      </c>
      <c r="B843" s="1371">
        <f t="shared" si="21"/>
        <v>35096</v>
      </c>
      <c r="C843" s="1370" t="str">
        <f t="shared" si="22"/>
        <v>S&amp;P 500 Utility Index</v>
      </c>
      <c r="F843" s="1380">
        <f>'PRPM WP2'!C844</f>
        <v>-3.95E-2</v>
      </c>
      <c r="H843" s="1380">
        <f>'PRPM WP2'!H844</f>
        <v>6.1250000000000002E-3</v>
      </c>
      <c r="I843" s="1373">
        <f t="shared" si="20"/>
        <v>-4.5624999999999999E-2</v>
      </c>
      <c r="J843" s="1371">
        <v>35096</v>
      </c>
    </row>
    <row r="844" spans="1:10" x14ac:dyDescent="0.45">
      <c r="A844" s="1370">
        <v>3</v>
      </c>
      <c r="B844" s="1371">
        <f t="shared" si="21"/>
        <v>35125</v>
      </c>
      <c r="C844" s="1370" t="str">
        <f t="shared" si="22"/>
        <v>S&amp;P 500 Utility Index</v>
      </c>
      <c r="F844" s="1380">
        <f>'PRPM WP2'!C845</f>
        <v>-2.0299999999999999E-2</v>
      </c>
      <c r="H844" s="1380">
        <f>'PRPM WP2'!H845</f>
        <v>6.4353333333333337E-3</v>
      </c>
      <c r="I844" s="1373">
        <f t="shared" si="20"/>
        <v>-2.6735333333333333E-2</v>
      </c>
      <c r="J844" s="1371">
        <v>35125</v>
      </c>
    </row>
    <row r="845" spans="1:10" x14ac:dyDescent="0.45">
      <c r="A845" s="1370">
        <v>3</v>
      </c>
      <c r="B845" s="1371">
        <f t="shared" si="21"/>
        <v>35156</v>
      </c>
      <c r="C845" s="1370" t="str">
        <f t="shared" si="22"/>
        <v>S&amp;P 500 Utility Index</v>
      </c>
      <c r="F845" s="1380">
        <f>'PRPM WP2'!C846</f>
        <v>1.0999999999999999E-2</v>
      </c>
      <c r="H845" s="1380">
        <f>'PRPM WP2'!H846</f>
        <v>6.5698333333333338E-3</v>
      </c>
      <c r="I845" s="1373">
        <f t="shared" si="20"/>
        <v>4.4301666666666656E-3</v>
      </c>
      <c r="J845" s="1371">
        <v>35156</v>
      </c>
    </row>
    <row r="846" spans="1:10" x14ac:dyDescent="0.45">
      <c r="A846" s="1370">
        <v>3</v>
      </c>
      <c r="B846" s="1371">
        <f t="shared" si="21"/>
        <v>35186</v>
      </c>
      <c r="C846" s="1370" t="str">
        <f t="shared" si="22"/>
        <v>S&amp;P 500 Utility Index</v>
      </c>
      <c r="F846" s="1380">
        <f>'PRPM WP2'!C847</f>
        <v>-2.4999999999999996E-3</v>
      </c>
      <c r="H846" s="1380">
        <f>'PRPM WP2'!H847</f>
        <v>6.6504166666666665E-3</v>
      </c>
      <c r="I846" s="1373">
        <f t="shared" si="20"/>
        <v>-9.1504166666666661E-3</v>
      </c>
      <c r="J846" s="1371">
        <v>35186</v>
      </c>
    </row>
    <row r="847" spans="1:10" x14ac:dyDescent="0.45">
      <c r="A847" s="1370">
        <v>3</v>
      </c>
      <c r="B847" s="1371">
        <f t="shared" si="21"/>
        <v>35217</v>
      </c>
      <c r="C847" s="1370" t="str">
        <f t="shared" si="22"/>
        <v>S&amp;P 500 Utility Index</v>
      </c>
      <c r="F847" s="1380">
        <f>'PRPM WP2'!C848</f>
        <v>4.1599999999999998E-2</v>
      </c>
      <c r="H847" s="1380">
        <f>'PRPM WP2'!H848</f>
        <v>6.7200000000000003E-3</v>
      </c>
      <c r="I847" s="1373">
        <f t="shared" si="20"/>
        <v>3.4879999999999994E-2</v>
      </c>
      <c r="J847" s="1371">
        <v>35217</v>
      </c>
    </row>
    <row r="848" spans="1:10" x14ac:dyDescent="0.45">
      <c r="A848" s="1370">
        <v>3</v>
      </c>
      <c r="B848" s="1371">
        <f t="shared" si="21"/>
        <v>35247</v>
      </c>
      <c r="C848" s="1370" t="str">
        <f t="shared" si="22"/>
        <v>S&amp;P 500 Utility Index</v>
      </c>
      <c r="F848" s="1380">
        <f>'PRPM WP2'!C849</f>
        <v>-6.2800000000000009E-2</v>
      </c>
      <c r="H848" s="1380">
        <f>'PRPM WP2'!H849</f>
        <v>6.6876666666666664E-3</v>
      </c>
      <c r="I848" s="1373">
        <f t="shared" si="20"/>
        <v>-6.948766666666667E-2</v>
      </c>
      <c r="J848" s="1371">
        <v>35247</v>
      </c>
    </row>
    <row r="849" spans="1:10" x14ac:dyDescent="0.45">
      <c r="A849" s="1370">
        <v>3</v>
      </c>
      <c r="B849" s="1371">
        <f t="shared" si="21"/>
        <v>35278</v>
      </c>
      <c r="C849" s="1370" t="str">
        <f t="shared" si="22"/>
        <v>S&amp;P 500 Utility Index</v>
      </c>
      <c r="F849" s="1380">
        <f>'PRPM WP2'!C850</f>
        <v>2.1299999999999999E-2</v>
      </c>
      <c r="H849" s="1380">
        <f>'PRPM WP2'!H850</f>
        <v>6.5318333333333331E-3</v>
      </c>
      <c r="I849" s="1373">
        <f t="shared" si="20"/>
        <v>1.4768166666666666E-2</v>
      </c>
      <c r="J849" s="1371">
        <v>35278</v>
      </c>
    </row>
    <row r="850" spans="1:10" x14ac:dyDescent="0.45">
      <c r="A850" s="1370">
        <v>3</v>
      </c>
      <c r="B850" s="1371">
        <f t="shared" si="21"/>
        <v>35309</v>
      </c>
      <c r="C850" s="1370" t="str">
        <f t="shared" si="22"/>
        <v>S&amp;P 500 Utility Index</v>
      </c>
      <c r="F850" s="1380">
        <f>'PRPM WP2'!C851</f>
        <v>9.4999999999999998E-3</v>
      </c>
      <c r="H850" s="1380">
        <f>'PRPM WP2'!H851</f>
        <v>6.6812499999999997E-3</v>
      </c>
      <c r="I850" s="1373">
        <f t="shared" si="20"/>
        <v>2.8187500000000001E-3</v>
      </c>
      <c r="J850" s="1371">
        <v>35309</v>
      </c>
    </row>
    <row r="851" spans="1:10" x14ac:dyDescent="0.45">
      <c r="A851" s="1370">
        <v>3</v>
      </c>
      <c r="B851" s="1371">
        <f t="shared" si="21"/>
        <v>35339</v>
      </c>
      <c r="C851" s="1370" t="str">
        <f t="shared" si="22"/>
        <v>S&amp;P 500 Utility Index</v>
      </c>
      <c r="F851" s="1380">
        <f>'PRPM WP2'!C852</f>
        <v>5.0799999999999998E-2</v>
      </c>
      <c r="H851" s="1380">
        <f>'PRPM WP2'!H852</f>
        <v>6.4820833333333336E-3</v>
      </c>
      <c r="I851" s="1373">
        <f t="shared" si="20"/>
        <v>4.4317916666666665E-2</v>
      </c>
      <c r="J851" s="1371">
        <v>35339</v>
      </c>
    </row>
    <row r="852" spans="1:10" x14ac:dyDescent="0.45">
      <c r="A852" s="1370">
        <v>3</v>
      </c>
      <c r="B852" s="1371">
        <f t="shared" si="21"/>
        <v>35370</v>
      </c>
      <c r="C852" s="1370" t="str">
        <f t="shared" si="22"/>
        <v>S&amp;P 500 Utility Index</v>
      </c>
      <c r="F852" s="1380">
        <f>'PRPM WP2'!C853</f>
        <v>2.1099999999999997E-2</v>
      </c>
      <c r="H852" s="1380">
        <f>'PRPM WP2'!H853</f>
        <v>6.2527500000000005E-3</v>
      </c>
      <c r="I852" s="1373">
        <f t="shared" si="20"/>
        <v>1.4847249999999996E-2</v>
      </c>
      <c r="J852" s="1371">
        <v>35370</v>
      </c>
    </row>
    <row r="853" spans="1:10" x14ac:dyDescent="0.45">
      <c r="A853" s="1370">
        <v>3</v>
      </c>
      <c r="B853" s="1371">
        <f t="shared" si="21"/>
        <v>35400</v>
      </c>
      <c r="C853" s="1370" t="str">
        <f t="shared" si="22"/>
        <v>S&amp;P 500 Utility Index</v>
      </c>
      <c r="F853" s="1380">
        <f>'PRPM WP2'!C854</f>
        <v>-6.000000000000001E-3</v>
      </c>
      <c r="H853" s="1380">
        <f>'PRPM WP2'!H854</f>
        <v>6.3091666666666669E-3</v>
      </c>
      <c r="I853" s="1373">
        <f t="shared" si="20"/>
        <v>-1.2309166666666668E-2</v>
      </c>
      <c r="J853" s="1371">
        <v>35400</v>
      </c>
    </row>
    <row r="854" spans="1:10" x14ac:dyDescent="0.45">
      <c r="A854" s="1370">
        <v>3</v>
      </c>
      <c r="B854" s="1371">
        <f t="shared" si="21"/>
        <v>35431</v>
      </c>
      <c r="C854" s="1370" t="str">
        <f t="shared" si="22"/>
        <v>S&amp;P 500 Utility Index</v>
      </c>
      <c r="F854" s="1380">
        <f>'PRPM WP2'!C855</f>
        <v>6.6E-3</v>
      </c>
      <c r="H854" s="1380">
        <f>'PRPM WP2'!H855</f>
        <v>6.4722500000000006E-3</v>
      </c>
      <c r="I854" s="1373">
        <f t="shared" si="20"/>
        <v>1.2774999999999939E-4</v>
      </c>
      <c r="J854" s="1371">
        <v>35431</v>
      </c>
    </row>
    <row r="855" spans="1:10" x14ac:dyDescent="0.45">
      <c r="A855" s="1370">
        <v>3</v>
      </c>
      <c r="B855" s="1371">
        <f t="shared" si="21"/>
        <v>35462</v>
      </c>
      <c r="C855" s="1370" t="str">
        <f t="shared" si="22"/>
        <v>S&amp;P 500 Utility Index</v>
      </c>
      <c r="F855" s="1380">
        <f>'PRPM WP2'!C856</f>
        <v>-9.5000000000000015E-3</v>
      </c>
      <c r="H855" s="1380">
        <f>'PRPM WP2'!H856</f>
        <v>6.368833333333334E-3</v>
      </c>
      <c r="I855" s="1373">
        <f t="shared" si="20"/>
        <v>-1.5868833333333335E-2</v>
      </c>
      <c r="J855" s="1371">
        <v>35462</v>
      </c>
    </row>
    <row r="856" spans="1:10" x14ac:dyDescent="0.45">
      <c r="A856" s="1370">
        <v>3</v>
      </c>
      <c r="B856" s="1371">
        <f t="shared" si="21"/>
        <v>35490</v>
      </c>
      <c r="C856" s="1370" t="str">
        <f t="shared" si="22"/>
        <v>S&amp;P 500 Utility Index</v>
      </c>
      <c r="F856" s="1380">
        <f>'PRPM WP2'!C857</f>
        <v>-3.0099999999999998E-2</v>
      </c>
      <c r="H856" s="1380">
        <f>'PRPM WP2'!H857</f>
        <v>6.5545833333333333E-3</v>
      </c>
      <c r="I856" s="1373">
        <f t="shared" si="20"/>
        <v>-3.6654583333333331E-2</v>
      </c>
      <c r="J856" s="1371">
        <v>35490</v>
      </c>
    </row>
    <row r="857" spans="1:10" x14ac:dyDescent="0.45">
      <c r="A857" s="1370">
        <v>3</v>
      </c>
      <c r="B857" s="1371">
        <f t="shared" si="21"/>
        <v>35521</v>
      </c>
      <c r="C857" s="1370" t="str">
        <f t="shared" si="22"/>
        <v>S&amp;P 500 Utility Index</v>
      </c>
      <c r="F857" s="1380">
        <f>'PRPM WP2'!C858</f>
        <v>-1.4999999999999999E-2</v>
      </c>
      <c r="H857" s="1380">
        <f>'PRPM WP2'!H858</f>
        <v>6.6973333333333329E-3</v>
      </c>
      <c r="I857" s="1373">
        <f t="shared" si="20"/>
        <v>-2.1697333333333332E-2</v>
      </c>
      <c r="J857" s="1371">
        <v>35521</v>
      </c>
    </row>
    <row r="858" spans="1:10" x14ac:dyDescent="0.45">
      <c r="A858" s="1370">
        <v>3</v>
      </c>
      <c r="B858" s="1371">
        <f t="shared" si="21"/>
        <v>35551</v>
      </c>
      <c r="C858" s="1370" t="str">
        <f t="shared" si="22"/>
        <v>S&amp;P 500 Utility Index</v>
      </c>
      <c r="F858" s="1380">
        <f>'PRPM WP2'!C859</f>
        <v>4.2299999999999997E-2</v>
      </c>
      <c r="H858" s="1380">
        <f>'PRPM WP2'!H859</f>
        <v>6.5754166666666669E-3</v>
      </c>
      <c r="I858" s="1373">
        <f t="shared" ref="I858:I921" si="23">F858-H858</f>
        <v>3.572458333333333E-2</v>
      </c>
      <c r="J858" s="1371">
        <v>35551</v>
      </c>
    </row>
    <row r="859" spans="1:10" x14ac:dyDescent="0.45">
      <c r="A859" s="1370">
        <v>3</v>
      </c>
      <c r="B859" s="1371">
        <f t="shared" si="21"/>
        <v>35582</v>
      </c>
      <c r="C859" s="1370" t="str">
        <f t="shared" si="22"/>
        <v>S&amp;P 500 Utility Index</v>
      </c>
      <c r="F859" s="1380">
        <f>'PRPM WP2'!C860</f>
        <v>3.1399999999999997E-2</v>
      </c>
      <c r="H859" s="1380">
        <f>'PRPM WP2'!H860</f>
        <v>6.437333333333334E-3</v>
      </c>
      <c r="I859" s="1373">
        <f t="shared" si="23"/>
        <v>2.4962666666666664E-2</v>
      </c>
      <c r="J859" s="1371">
        <v>35582</v>
      </c>
    </row>
    <row r="860" spans="1:10" x14ac:dyDescent="0.45">
      <c r="A860" s="1370">
        <v>3</v>
      </c>
      <c r="B860" s="1371">
        <f t="shared" si="21"/>
        <v>35612</v>
      </c>
      <c r="C860" s="1370" t="str">
        <f t="shared" si="22"/>
        <v>S&amp;P 500 Utility Index</v>
      </c>
      <c r="F860" s="1380">
        <f>'PRPM WP2'!C861</f>
        <v>2.3E-2</v>
      </c>
      <c r="H860" s="1380">
        <f>'PRPM WP2'!H861</f>
        <v>6.2409166666666663E-3</v>
      </c>
      <c r="I860" s="1373">
        <f t="shared" si="23"/>
        <v>1.6759083333333334E-2</v>
      </c>
      <c r="J860" s="1371">
        <v>35612</v>
      </c>
    </row>
    <row r="861" spans="1:10" x14ac:dyDescent="0.45">
      <c r="A861" s="1370">
        <v>3</v>
      </c>
      <c r="B861" s="1371">
        <f t="shared" si="21"/>
        <v>35643</v>
      </c>
      <c r="C861" s="1370" t="str">
        <f t="shared" si="22"/>
        <v>S&amp;P 500 Utility Index</v>
      </c>
      <c r="F861" s="1380">
        <f>'PRPM WP2'!C862</f>
        <v>-1.83E-2</v>
      </c>
      <c r="H861" s="1380">
        <f>'PRPM WP2'!H862</f>
        <v>6.2475833333333333E-3</v>
      </c>
      <c r="I861" s="1373">
        <f t="shared" si="23"/>
        <v>-2.4547583333333334E-2</v>
      </c>
      <c r="J861" s="1371">
        <v>35643</v>
      </c>
    </row>
    <row r="862" spans="1:10" x14ac:dyDescent="0.45">
      <c r="A862" s="1370">
        <v>3</v>
      </c>
      <c r="B862" s="1371">
        <f t="shared" si="21"/>
        <v>35674</v>
      </c>
      <c r="C862" s="1370" t="str">
        <f t="shared" si="22"/>
        <v>S&amp;P 500 Utility Index</v>
      </c>
      <c r="F862" s="1380">
        <f>'PRPM WP2'!C863</f>
        <v>4.3299999999999998E-2</v>
      </c>
      <c r="H862" s="1380">
        <f>'PRPM WP2'!H863</f>
        <v>6.2285833333333342E-3</v>
      </c>
      <c r="I862" s="1373">
        <f t="shared" si="23"/>
        <v>3.7071416666666662E-2</v>
      </c>
      <c r="J862" s="1371">
        <v>35674</v>
      </c>
    </row>
    <row r="863" spans="1:10" x14ac:dyDescent="0.45">
      <c r="A863" s="1370">
        <v>3</v>
      </c>
      <c r="B863" s="1371">
        <f t="shared" si="21"/>
        <v>35704</v>
      </c>
      <c r="C863" s="1370" t="str">
        <f t="shared" si="22"/>
        <v>S&amp;P 500 Utility Index</v>
      </c>
      <c r="F863" s="1380">
        <f>'PRPM WP2'!C864</f>
        <v>9.7999999999999997E-3</v>
      </c>
      <c r="H863" s="1380">
        <f>'PRPM WP2'!H864</f>
        <v>6.130416666666666E-3</v>
      </c>
      <c r="I863" s="1373">
        <f t="shared" si="23"/>
        <v>3.6695833333333337E-3</v>
      </c>
      <c r="J863" s="1371">
        <v>35704</v>
      </c>
    </row>
    <row r="864" spans="1:10" x14ac:dyDescent="0.45">
      <c r="A864" s="1370">
        <v>3</v>
      </c>
      <c r="B864" s="1371">
        <f t="shared" si="21"/>
        <v>35735</v>
      </c>
      <c r="C864" s="1370" t="str">
        <f t="shared" si="22"/>
        <v>S&amp;P 500 Utility Index</v>
      </c>
      <c r="F864" s="1380">
        <f>'PRPM WP2'!C865</f>
        <v>7.0700000000000013E-2</v>
      </c>
      <c r="H864" s="1380">
        <f>'PRPM WP2'!H865</f>
        <v>6.0390000000000001E-3</v>
      </c>
      <c r="I864" s="1373">
        <f t="shared" si="23"/>
        <v>6.466100000000001E-2</v>
      </c>
      <c r="J864" s="1371">
        <v>35735</v>
      </c>
    </row>
    <row r="865" spans="1:10" x14ac:dyDescent="0.45">
      <c r="A865" s="1370">
        <v>3</v>
      </c>
      <c r="B865" s="1371">
        <f t="shared" si="21"/>
        <v>35765</v>
      </c>
      <c r="C865" s="1370" t="str">
        <f t="shared" si="22"/>
        <v>S&amp;P 500 Utility Index</v>
      </c>
      <c r="F865" s="1380">
        <f>'PRPM WP2'!C866</f>
        <v>7.5200000000000003E-2</v>
      </c>
      <c r="H865" s="1380">
        <f>'PRPM WP2'!H866</f>
        <v>5.9696666666666665E-3</v>
      </c>
      <c r="I865" s="1373">
        <f t="shared" si="23"/>
        <v>6.9230333333333338E-2</v>
      </c>
      <c r="J865" s="1371">
        <v>35765</v>
      </c>
    </row>
    <row r="866" spans="1:10" x14ac:dyDescent="0.45">
      <c r="A866" s="1370">
        <v>3</v>
      </c>
      <c r="B866" s="1371">
        <f t="shared" si="21"/>
        <v>35796</v>
      </c>
      <c r="C866" s="1370" t="str">
        <f t="shared" si="22"/>
        <v>S&amp;P 500 Utility Index</v>
      </c>
      <c r="F866" s="1380">
        <f>'PRPM WP2'!C867</f>
        <v>-3.95E-2</v>
      </c>
      <c r="H866" s="1380">
        <f>'PRPM WP2'!H867</f>
        <v>5.8783333333333335E-3</v>
      </c>
      <c r="I866" s="1373">
        <f t="shared" si="23"/>
        <v>-4.5378333333333333E-2</v>
      </c>
      <c r="J866" s="1371">
        <v>35796</v>
      </c>
    </row>
    <row r="867" spans="1:10" x14ac:dyDescent="0.45">
      <c r="A867" s="1370">
        <v>3</v>
      </c>
      <c r="B867" s="1371">
        <f t="shared" si="21"/>
        <v>35827</v>
      </c>
      <c r="C867" s="1370" t="str">
        <f t="shared" si="22"/>
        <v>S&amp;P 500 Utility Index</v>
      </c>
      <c r="F867" s="1380">
        <f>'PRPM WP2'!C868</f>
        <v>3.4099999999999998E-2</v>
      </c>
      <c r="H867" s="1380">
        <f>'PRPM WP2'!H868</f>
        <v>5.9315833333333338E-3</v>
      </c>
      <c r="I867" s="1373">
        <f t="shared" si="23"/>
        <v>2.8168416666666665E-2</v>
      </c>
      <c r="J867" s="1371">
        <v>35827</v>
      </c>
    </row>
    <row r="868" spans="1:10" x14ac:dyDescent="0.45">
      <c r="A868" s="1370">
        <v>3</v>
      </c>
      <c r="B868" s="1371">
        <f t="shared" si="21"/>
        <v>35855</v>
      </c>
      <c r="C868" s="1370" t="str">
        <f t="shared" si="22"/>
        <v>S&amp;P 500 Utility Index</v>
      </c>
      <c r="F868" s="1380">
        <f>'PRPM WP2'!C869</f>
        <v>6.4199999999999993E-2</v>
      </c>
      <c r="H868" s="1380">
        <f>'PRPM WP2'!H869</f>
        <v>5.9681666666666668E-3</v>
      </c>
      <c r="I868" s="1373">
        <f t="shared" si="23"/>
        <v>5.823183333333333E-2</v>
      </c>
      <c r="J868" s="1371">
        <v>35855</v>
      </c>
    </row>
    <row r="869" spans="1:10" x14ac:dyDescent="0.45">
      <c r="A869" s="1370">
        <v>3</v>
      </c>
      <c r="B869" s="1371">
        <f t="shared" si="21"/>
        <v>35886</v>
      </c>
      <c r="C869" s="1370" t="str">
        <f t="shared" si="22"/>
        <v>S&amp;P 500 Utility Index</v>
      </c>
      <c r="F869" s="1380">
        <f>'PRPM WP2'!C870</f>
        <v>-1.9300000000000001E-2</v>
      </c>
      <c r="H869" s="1380">
        <f>'PRPM WP2'!H870</f>
        <v>5.9682500000000005E-3</v>
      </c>
      <c r="I869" s="1373">
        <f t="shared" si="23"/>
        <v>-2.5268250000000003E-2</v>
      </c>
      <c r="J869" s="1371">
        <v>35886</v>
      </c>
    </row>
    <row r="870" spans="1:10" x14ac:dyDescent="0.45">
      <c r="A870" s="1370">
        <v>3</v>
      </c>
      <c r="B870" s="1371">
        <f t="shared" si="21"/>
        <v>35916</v>
      </c>
      <c r="C870" s="1370" t="str">
        <f t="shared" si="22"/>
        <v>S&amp;P 500 Utility Index</v>
      </c>
      <c r="F870" s="1380">
        <f>'PRPM WP2'!C871</f>
        <v>-5.0000000000000001E-3</v>
      </c>
      <c r="H870" s="1380">
        <f>'PRPM WP2'!H871</f>
        <v>5.9691666666666669E-3</v>
      </c>
      <c r="I870" s="1373">
        <f t="shared" si="23"/>
        <v>-1.0969166666666667E-2</v>
      </c>
      <c r="J870" s="1371">
        <v>35916</v>
      </c>
    </row>
    <row r="871" spans="1:10" x14ac:dyDescent="0.45">
      <c r="A871" s="1370">
        <v>3</v>
      </c>
      <c r="B871" s="1371">
        <f t="shared" si="21"/>
        <v>35947</v>
      </c>
      <c r="C871" s="1370" t="str">
        <f t="shared" si="22"/>
        <v>S&amp;P 500 Utility Index</v>
      </c>
      <c r="F871" s="1380">
        <f>'PRPM WP2'!C872</f>
        <v>3.6900000000000002E-2</v>
      </c>
      <c r="H871" s="1380">
        <f>'PRPM WP2'!H872</f>
        <v>5.8636666666666672E-3</v>
      </c>
      <c r="I871" s="1373">
        <f t="shared" si="23"/>
        <v>3.1036333333333336E-2</v>
      </c>
      <c r="J871" s="1371">
        <v>35947</v>
      </c>
    </row>
    <row r="872" spans="1:10" x14ac:dyDescent="0.45">
      <c r="A872" s="1370">
        <v>3</v>
      </c>
      <c r="B872" s="1371">
        <f t="shared" si="21"/>
        <v>35977</v>
      </c>
      <c r="C872" s="1370" t="str">
        <f t="shared" si="22"/>
        <v>S&amp;P 500 Utility Index</v>
      </c>
      <c r="F872" s="1380">
        <f>'PRPM WP2'!C873</f>
        <v>-4.9299999999999997E-2</v>
      </c>
      <c r="H872" s="1380">
        <f>'PRPM WP2'!H873</f>
        <v>5.8534166666666665E-3</v>
      </c>
      <c r="I872" s="1373">
        <f t="shared" si="23"/>
        <v>-5.5153416666666663E-2</v>
      </c>
      <c r="J872" s="1371">
        <v>35977</v>
      </c>
    </row>
    <row r="873" spans="1:10" x14ac:dyDescent="0.45">
      <c r="A873" s="1370">
        <v>3</v>
      </c>
      <c r="B873" s="1371">
        <f t="shared" si="21"/>
        <v>36008</v>
      </c>
      <c r="C873" s="1370" t="str">
        <f t="shared" si="22"/>
        <v>S&amp;P 500 Utility Index</v>
      </c>
      <c r="F873" s="1380">
        <f>'PRPM WP2'!C874</f>
        <v>1.61E-2</v>
      </c>
      <c r="H873" s="1380">
        <f>'PRPM WP2'!H874</f>
        <v>5.8349166666666662E-3</v>
      </c>
      <c r="I873" s="1373">
        <f t="shared" si="23"/>
        <v>1.0265083333333334E-2</v>
      </c>
      <c r="J873" s="1371">
        <v>36008</v>
      </c>
    </row>
    <row r="874" spans="1:10" x14ac:dyDescent="0.45">
      <c r="A874" s="1370">
        <v>3</v>
      </c>
      <c r="B874" s="1371">
        <f t="shared" si="21"/>
        <v>36039</v>
      </c>
      <c r="C874" s="1370" t="str">
        <f t="shared" si="22"/>
        <v>S&amp;P 500 Utility Index</v>
      </c>
      <c r="F874" s="1380">
        <f>'PRPM WP2'!C875</f>
        <v>8.3499999999999991E-2</v>
      </c>
      <c r="H874" s="1380">
        <f>'PRPM WP2'!H875</f>
        <v>5.780166666666667E-3</v>
      </c>
      <c r="I874" s="1373">
        <f t="shared" si="23"/>
        <v>7.7719833333333321E-2</v>
      </c>
      <c r="J874" s="1371">
        <v>36039</v>
      </c>
    </row>
    <row r="875" spans="1:10" x14ac:dyDescent="0.45">
      <c r="A875" s="1370">
        <v>3</v>
      </c>
      <c r="B875" s="1371">
        <f t="shared" si="21"/>
        <v>36069</v>
      </c>
      <c r="C875" s="1370" t="str">
        <f t="shared" si="22"/>
        <v>S&amp;P 500 Utility Index</v>
      </c>
      <c r="F875" s="1380">
        <f>'PRPM WP2'!C876</f>
        <v>-1.66E-2</v>
      </c>
      <c r="H875" s="1380">
        <f>'PRPM WP2'!H876</f>
        <v>5.7962499999999993E-3</v>
      </c>
      <c r="I875" s="1373">
        <f t="shared" si="23"/>
        <v>-2.2396249999999999E-2</v>
      </c>
      <c r="J875" s="1371">
        <v>36069</v>
      </c>
    </row>
    <row r="876" spans="1:10" x14ac:dyDescent="0.45">
      <c r="A876" s="1370">
        <v>3</v>
      </c>
      <c r="B876" s="1371">
        <f t="shared" si="21"/>
        <v>36100</v>
      </c>
      <c r="C876" s="1370" t="str">
        <f t="shared" si="22"/>
        <v>S&amp;P 500 Utility Index</v>
      </c>
      <c r="F876" s="1380">
        <f>'PRPM WP2'!C877</f>
        <v>1.3399999999999999E-2</v>
      </c>
      <c r="H876" s="1380">
        <f>'PRPM WP2'!H877</f>
        <v>5.8635833333333335E-3</v>
      </c>
      <c r="I876" s="1373">
        <f t="shared" si="23"/>
        <v>7.5364166666666652E-3</v>
      </c>
      <c r="J876" s="1371">
        <v>36100</v>
      </c>
    </row>
    <row r="877" spans="1:10" x14ac:dyDescent="0.45">
      <c r="A877" s="1370">
        <v>3</v>
      </c>
      <c r="B877" s="1371">
        <f t="shared" si="21"/>
        <v>36130</v>
      </c>
      <c r="C877" s="1370" t="str">
        <f t="shared" si="22"/>
        <v>S&amp;P 500 Utility Index</v>
      </c>
      <c r="F877" s="1380">
        <f>'PRPM WP2'!C878</f>
        <v>2.9500000000000002E-2</v>
      </c>
      <c r="H877" s="1380">
        <f>'PRPM WP2'!H878</f>
        <v>5.7568333333333334E-3</v>
      </c>
      <c r="I877" s="1373">
        <f t="shared" si="23"/>
        <v>2.3743166666666669E-2</v>
      </c>
      <c r="J877" s="1371">
        <v>36130</v>
      </c>
    </row>
    <row r="878" spans="1:10" x14ac:dyDescent="0.45">
      <c r="A878" s="1370">
        <v>3</v>
      </c>
      <c r="B878" s="1371">
        <f t="shared" si="21"/>
        <v>36161</v>
      </c>
      <c r="C878" s="1370" t="str">
        <f t="shared" si="22"/>
        <v>S&amp;P 500 Utility Index</v>
      </c>
      <c r="F878" s="1380">
        <f>'PRPM WP2'!C879</f>
        <v>-4.5100000000000001E-2</v>
      </c>
      <c r="H878" s="1380">
        <f>'PRPM WP2'!H879</f>
        <v>5.8083333333333329E-3</v>
      </c>
      <c r="I878" s="1373">
        <f t="shared" si="23"/>
        <v>-5.0908333333333333E-2</v>
      </c>
      <c r="J878" s="1371">
        <v>36161</v>
      </c>
    </row>
    <row r="879" spans="1:10" x14ac:dyDescent="0.45">
      <c r="A879" s="1370">
        <v>3</v>
      </c>
      <c r="B879" s="1371">
        <f t="shared" si="21"/>
        <v>36192</v>
      </c>
      <c r="C879" s="1370" t="str">
        <f t="shared" si="22"/>
        <v>S&amp;P 500 Utility Index</v>
      </c>
      <c r="F879" s="1380">
        <f>'PRPM WP2'!C880</f>
        <v>-3.6400000000000002E-2</v>
      </c>
      <c r="H879" s="1380">
        <f>'PRPM WP2'!H880</f>
        <v>5.8964999999999998E-3</v>
      </c>
      <c r="I879" s="1373">
        <f t="shared" si="23"/>
        <v>-4.2296500000000001E-2</v>
      </c>
      <c r="J879" s="1371">
        <v>36192</v>
      </c>
    </row>
    <row r="880" spans="1:10" x14ac:dyDescent="0.45">
      <c r="A880" s="1370">
        <v>3</v>
      </c>
      <c r="B880" s="1371">
        <f t="shared" si="21"/>
        <v>36220</v>
      </c>
      <c r="C880" s="1370" t="str">
        <f t="shared" si="22"/>
        <v>S&amp;P 500 Utility Index</v>
      </c>
      <c r="F880" s="1380">
        <f>'PRPM WP2'!C881</f>
        <v>-1.4800000000000001E-2</v>
      </c>
      <c r="H880" s="1380">
        <f>'PRPM WP2'!H881</f>
        <v>6.0460000000000002E-3</v>
      </c>
      <c r="I880" s="1373">
        <f t="shared" si="23"/>
        <v>-2.0846E-2</v>
      </c>
      <c r="J880" s="1371">
        <v>36220</v>
      </c>
    </row>
    <row r="881" spans="1:10" x14ac:dyDescent="0.45">
      <c r="A881" s="1370">
        <v>3</v>
      </c>
      <c r="B881" s="1371">
        <f t="shared" si="21"/>
        <v>36251</v>
      </c>
      <c r="C881" s="1370" t="str">
        <f t="shared" si="22"/>
        <v>S&amp;P 500 Utility Index</v>
      </c>
      <c r="F881" s="1380">
        <f>'PRPM WP2'!C882</f>
        <v>8.8399999999999992E-2</v>
      </c>
      <c r="H881" s="1380">
        <f>'PRPM WP2'!H882</f>
        <v>6.0119166666666671E-3</v>
      </c>
      <c r="I881" s="1373">
        <f t="shared" si="23"/>
        <v>8.238808333333332E-2</v>
      </c>
      <c r="J881" s="1371">
        <v>36251</v>
      </c>
    </row>
    <row r="882" spans="1:10" x14ac:dyDescent="0.45">
      <c r="A882" s="1370">
        <v>3</v>
      </c>
      <c r="B882" s="1371">
        <f t="shared" si="21"/>
        <v>36281</v>
      </c>
      <c r="C882" s="1370" t="str">
        <f t="shared" si="22"/>
        <v>S&amp;P 500 Utility Index</v>
      </c>
      <c r="F882" s="1380">
        <f>'PRPM WP2'!C883</f>
        <v>6.0899999999999996E-2</v>
      </c>
      <c r="H882" s="1380">
        <f>'PRPM WP2'!H883</f>
        <v>6.2141666666666664E-3</v>
      </c>
      <c r="I882" s="1373">
        <f t="shared" si="23"/>
        <v>5.4685833333333329E-2</v>
      </c>
      <c r="J882" s="1371">
        <v>36281</v>
      </c>
    </row>
    <row r="883" spans="1:10" x14ac:dyDescent="0.45">
      <c r="A883" s="1370">
        <v>3</v>
      </c>
      <c r="B883" s="1371">
        <f t="shared" si="21"/>
        <v>36312</v>
      </c>
      <c r="C883" s="1370" t="str">
        <f t="shared" si="22"/>
        <v>S&amp;P 500 Utility Index</v>
      </c>
      <c r="F883" s="1380">
        <f>'PRPM WP2'!C884</f>
        <v>-3.32E-2</v>
      </c>
      <c r="H883" s="1380">
        <f>'PRPM WP2'!H884</f>
        <v>6.445416666666667E-3</v>
      </c>
      <c r="I883" s="1373">
        <f t="shared" si="23"/>
        <v>-3.9645416666666669E-2</v>
      </c>
      <c r="J883" s="1371">
        <v>36312</v>
      </c>
    </row>
    <row r="884" spans="1:10" x14ac:dyDescent="0.45">
      <c r="A884" s="1370">
        <v>3</v>
      </c>
      <c r="B884" s="1371">
        <f t="shared" si="21"/>
        <v>36342</v>
      </c>
      <c r="C884" s="1370" t="str">
        <f t="shared" si="22"/>
        <v>S&amp;P 500 Utility Index</v>
      </c>
      <c r="F884" s="1380">
        <f>'PRPM WP2'!C885</f>
        <v>-1.14E-2</v>
      </c>
      <c r="H884" s="1380">
        <f>'PRPM WP2'!H885</f>
        <v>6.4182499999999995E-3</v>
      </c>
      <c r="I884" s="1373">
        <f t="shared" si="23"/>
        <v>-1.7818250000000001E-2</v>
      </c>
      <c r="J884" s="1371">
        <v>36342</v>
      </c>
    </row>
    <row r="885" spans="1:10" x14ac:dyDescent="0.45">
      <c r="A885" s="1370">
        <v>3</v>
      </c>
      <c r="B885" s="1371">
        <f t="shared" si="21"/>
        <v>36373</v>
      </c>
      <c r="C885" s="1370" t="str">
        <f t="shared" si="22"/>
        <v>S&amp;P 500 Utility Index</v>
      </c>
      <c r="F885" s="1380">
        <f>'PRPM WP2'!C886</f>
        <v>1.1699999999999999E-2</v>
      </c>
      <c r="H885" s="1380">
        <f>'PRPM WP2'!H886</f>
        <v>6.5894166666666662E-3</v>
      </c>
      <c r="I885" s="1373">
        <f t="shared" si="23"/>
        <v>5.1105833333333324E-3</v>
      </c>
      <c r="J885" s="1371">
        <v>36373</v>
      </c>
    </row>
    <row r="886" spans="1:10" x14ac:dyDescent="0.45">
      <c r="A886" s="1370">
        <v>3</v>
      </c>
      <c r="B886" s="1371">
        <f t="shared" ref="B886:B949" si="24">DATE(YEAR(B885),MONTH(B885) + 1,1)</f>
        <v>36404</v>
      </c>
      <c r="C886" s="1370" t="str">
        <f t="shared" ref="C886:C949" si="25">C885</f>
        <v>S&amp;P 500 Utility Index</v>
      </c>
      <c r="F886" s="1380">
        <f>'PRPM WP2'!C887</f>
        <v>-4.8000000000000001E-2</v>
      </c>
      <c r="H886" s="1380">
        <f>'PRPM WP2'!H887</f>
        <v>6.6099166666666667E-3</v>
      </c>
      <c r="I886" s="1373">
        <f t="shared" si="23"/>
        <v>-5.4609916666666668E-2</v>
      </c>
      <c r="J886" s="1371">
        <v>36404</v>
      </c>
    </row>
    <row r="887" spans="1:10" x14ac:dyDescent="0.45">
      <c r="A887" s="1370">
        <v>3</v>
      </c>
      <c r="B887" s="1371">
        <f t="shared" si="24"/>
        <v>36434</v>
      </c>
      <c r="C887" s="1370" t="str">
        <f t="shared" si="25"/>
        <v>S&amp;P 500 Utility Index</v>
      </c>
      <c r="F887" s="1380">
        <f>'PRPM WP2'!C888</f>
        <v>1.5699999999999999E-2</v>
      </c>
      <c r="H887" s="1380">
        <f>'PRPM WP2'!H888</f>
        <v>6.7205833333333327E-3</v>
      </c>
      <c r="I887" s="1373">
        <f t="shared" si="23"/>
        <v>8.9794166666666668E-3</v>
      </c>
      <c r="J887" s="1371">
        <v>36434</v>
      </c>
    </row>
    <row r="888" spans="1:10" x14ac:dyDescent="0.45">
      <c r="A888" s="1370">
        <v>3</v>
      </c>
      <c r="B888" s="1371">
        <f t="shared" si="24"/>
        <v>36465</v>
      </c>
      <c r="C888" s="1370" t="str">
        <f t="shared" si="25"/>
        <v>S&amp;P 500 Utility Index</v>
      </c>
      <c r="F888" s="1380">
        <f>'PRPM WP2'!C889</f>
        <v>-7.7300000000000008E-2</v>
      </c>
      <c r="H888" s="1380">
        <f>'PRPM WP2'!H889</f>
        <v>6.6095833333333328E-3</v>
      </c>
      <c r="I888" s="1373">
        <f t="shared" si="23"/>
        <v>-8.3909583333333343E-2</v>
      </c>
      <c r="J888" s="1371">
        <v>36465</v>
      </c>
    </row>
    <row r="889" spans="1:10" x14ac:dyDescent="0.45">
      <c r="A889" s="1370">
        <v>3</v>
      </c>
      <c r="B889" s="1371">
        <f t="shared" si="24"/>
        <v>36495</v>
      </c>
      <c r="C889" s="1370" t="str">
        <f t="shared" si="25"/>
        <v>S&amp;P 500 Utility Index</v>
      </c>
      <c r="F889" s="1380">
        <f>'PRPM WP2'!C890</f>
        <v>9.2999999999999992E-3</v>
      </c>
      <c r="H889" s="1380">
        <f>'PRPM WP2'!H890</f>
        <v>6.7658333333333329E-3</v>
      </c>
      <c r="I889" s="1373">
        <f t="shared" si="23"/>
        <v>2.5341666666666663E-3</v>
      </c>
      <c r="J889" s="1371">
        <v>36495</v>
      </c>
    </row>
    <row r="890" spans="1:10" x14ac:dyDescent="0.45">
      <c r="A890" s="1370">
        <v>3</v>
      </c>
      <c r="B890" s="1371">
        <f t="shared" si="24"/>
        <v>36526</v>
      </c>
      <c r="C890" s="1370" t="str">
        <f t="shared" si="25"/>
        <v>S&amp;P 500 Utility Index</v>
      </c>
      <c r="F890" s="1380">
        <f>'PRPM WP2'!C891</f>
        <v>0.1085</v>
      </c>
      <c r="H890" s="1380">
        <f>'PRPM WP2'!H891</f>
        <v>6.9562500000000006E-3</v>
      </c>
      <c r="I890" s="1373">
        <f t="shared" si="23"/>
        <v>0.10154375</v>
      </c>
      <c r="J890" s="1371">
        <v>36526</v>
      </c>
    </row>
    <row r="891" spans="1:10" x14ac:dyDescent="0.45">
      <c r="A891" s="1370">
        <v>3</v>
      </c>
      <c r="B891" s="1371">
        <f t="shared" si="24"/>
        <v>36557</v>
      </c>
      <c r="C891" s="1370" t="str">
        <f t="shared" si="25"/>
        <v>S&amp;P 500 Utility Index</v>
      </c>
      <c r="F891" s="1380">
        <f>'PRPM WP2'!C892</f>
        <v>-5.7800000000000004E-2</v>
      </c>
      <c r="H891" s="1380">
        <f>'PRPM WP2'!H892</f>
        <v>6.8737499999999997E-3</v>
      </c>
      <c r="I891" s="1373">
        <f t="shared" si="23"/>
        <v>-6.4673750000000002E-2</v>
      </c>
      <c r="J891" s="1371">
        <v>36557</v>
      </c>
    </row>
    <row r="892" spans="1:10" x14ac:dyDescent="0.45">
      <c r="A892" s="1370">
        <v>3</v>
      </c>
      <c r="B892" s="1371">
        <f t="shared" si="24"/>
        <v>36586</v>
      </c>
      <c r="C892" s="1370" t="str">
        <f t="shared" si="25"/>
        <v>S&amp;P 500 Utility Index</v>
      </c>
      <c r="F892" s="1380">
        <f>'PRPM WP2'!C893</f>
        <v>3.49E-2</v>
      </c>
      <c r="H892" s="1380">
        <f>'PRPM WP2'!H893</f>
        <v>6.9058333333333341E-3</v>
      </c>
      <c r="I892" s="1373">
        <f t="shared" si="23"/>
        <v>2.7994166666666667E-2</v>
      </c>
      <c r="J892" s="1371">
        <v>36586</v>
      </c>
    </row>
    <row r="893" spans="1:10" x14ac:dyDescent="0.45">
      <c r="A893" s="1370">
        <v>3</v>
      </c>
      <c r="B893" s="1371">
        <f t="shared" si="24"/>
        <v>36617</v>
      </c>
      <c r="C893" s="1370" t="str">
        <f t="shared" si="25"/>
        <v>S&amp;P 500 Utility Index</v>
      </c>
      <c r="F893" s="1380">
        <f>'PRPM WP2'!C894</f>
        <v>7.9399999999999998E-2</v>
      </c>
      <c r="H893" s="1380">
        <f>'PRPM WP2'!H894</f>
        <v>6.8982499999999999E-3</v>
      </c>
      <c r="I893" s="1373">
        <f t="shared" si="23"/>
        <v>7.2501750000000004E-2</v>
      </c>
      <c r="J893" s="1371">
        <v>36617</v>
      </c>
    </row>
    <row r="894" spans="1:10" x14ac:dyDescent="0.45">
      <c r="A894" s="1370">
        <v>3</v>
      </c>
      <c r="B894" s="1371">
        <f t="shared" si="24"/>
        <v>36647</v>
      </c>
      <c r="C894" s="1370" t="str">
        <f t="shared" si="25"/>
        <v>S&amp;P 500 Utility Index</v>
      </c>
      <c r="F894" s="1380">
        <f>'PRPM WP2'!C895</f>
        <v>4.8599999999999997E-2</v>
      </c>
      <c r="H894" s="1380">
        <f>'PRPM WP2'!H895</f>
        <v>7.2435833333333336E-3</v>
      </c>
      <c r="I894" s="1373">
        <f t="shared" si="23"/>
        <v>4.1356416666666666E-2</v>
      </c>
      <c r="J894" s="1371">
        <v>36647</v>
      </c>
    </row>
    <row r="895" spans="1:10" x14ac:dyDescent="0.45">
      <c r="A895" s="1370">
        <v>3</v>
      </c>
      <c r="B895" s="1371">
        <f t="shared" si="24"/>
        <v>36678</v>
      </c>
      <c r="C895" s="1370" t="str">
        <f t="shared" si="25"/>
        <v>S&amp;P 500 Utility Index</v>
      </c>
      <c r="F895" s="1380">
        <f>'PRPM WP2'!C896</f>
        <v>-5.7500000000000002E-2</v>
      </c>
      <c r="H895" s="1380">
        <f>'PRPM WP2'!H896</f>
        <v>6.9795833333333333E-3</v>
      </c>
      <c r="I895" s="1373">
        <f t="shared" si="23"/>
        <v>-6.447958333333334E-2</v>
      </c>
      <c r="J895" s="1371">
        <v>36678</v>
      </c>
    </row>
    <row r="896" spans="1:10" x14ac:dyDescent="0.45">
      <c r="A896" s="1370">
        <v>3</v>
      </c>
      <c r="B896" s="1371">
        <f t="shared" si="24"/>
        <v>36708</v>
      </c>
      <c r="C896" s="1370" t="str">
        <f t="shared" si="25"/>
        <v>S&amp;P 500 Utility Index</v>
      </c>
      <c r="F896" s="1380">
        <f>'PRPM WP2'!C897</f>
        <v>6.7699999999999996E-2</v>
      </c>
      <c r="H896" s="1380">
        <f>'PRPM WP2'!H897</f>
        <v>6.8820000000000001E-3</v>
      </c>
      <c r="I896" s="1373">
        <f t="shared" si="23"/>
        <v>6.0817999999999997E-2</v>
      </c>
      <c r="J896" s="1371">
        <v>36708</v>
      </c>
    </row>
    <row r="897" spans="1:10" x14ac:dyDescent="0.45">
      <c r="A897" s="1370">
        <v>3</v>
      </c>
      <c r="B897" s="1371">
        <f t="shared" si="24"/>
        <v>36739</v>
      </c>
      <c r="C897" s="1370" t="str">
        <f t="shared" si="25"/>
        <v>S&amp;P 500 Utility Index</v>
      </c>
      <c r="F897" s="1380">
        <f>'PRPM WP2'!C898</f>
        <v>0.13720000000000002</v>
      </c>
      <c r="H897" s="1380">
        <f>'PRPM WP2'!H898</f>
        <v>6.7739166666666677E-3</v>
      </c>
      <c r="I897" s="1373">
        <f t="shared" si="23"/>
        <v>0.13042608333333336</v>
      </c>
      <c r="J897" s="1371">
        <v>36739</v>
      </c>
    </row>
    <row r="898" spans="1:10" x14ac:dyDescent="0.45">
      <c r="A898" s="1370">
        <v>3</v>
      </c>
      <c r="B898" s="1371">
        <f t="shared" si="24"/>
        <v>36770</v>
      </c>
      <c r="C898" s="1370" t="str">
        <f t="shared" si="25"/>
        <v>S&amp;P 500 Utility Index</v>
      </c>
      <c r="F898" s="1380">
        <f>'PRPM WP2'!C899</f>
        <v>9.1499999999999998E-2</v>
      </c>
      <c r="H898" s="1380">
        <f>'PRPM WP2'!H899</f>
        <v>6.8533333333333337E-3</v>
      </c>
      <c r="I898" s="1373">
        <f t="shared" si="23"/>
        <v>8.4646666666666662E-2</v>
      </c>
      <c r="J898" s="1371">
        <v>36770</v>
      </c>
    </row>
    <row r="899" spans="1:10" x14ac:dyDescent="0.45">
      <c r="A899" s="1370">
        <v>3</v>
      </c>
      <c r="B899" s="1371">
        <f t="shared" si="24"/>
        <v>36800</v>
      </c>
      <c r="C899" s="1370" t="str">
        <f t="shared" si="25"/>
        <v>S&amp;P 500 Utility Index</v>
      </c>
      <c r="F899" s="1380">
        <f>'PRPM WP2'!C900</f>
        <v>-3.5699999999999996E-2</v>
      </c>
      <c r="H899" s="1380">
        <f>'PRPM WP2'!H900</f>
        <v>6.7868333333333331E-3</v>
      </c>
      <c r="I899" s="1373">
        <f t="shared" si="23"/>
        <v>-4.2486833333333328E-2</v>
      </c>
      <c r="J899" s="1371">
        <v>36800</v>
      </c>
    </row>
    <row r="900" spans="1:10" x14ac:dyDescent="0.45">
      <c r="A900" s="1370">
        <v>3</v>
      </c>
      <c r="B900" s="1371">
        <f t="shared" si="24"/>
        <v>36831</v>
      </c>
      <c r="C900" s="1370" t="str">
        <f t="shared" si="25"/>
        <v>S&amp;P 500 Utility Index</v>
      </c>
      <c r="F900" s="1380">
        <f>'PRPM WP2'!C901</f>
        <v>-1.32E-2</v>
      </c>
      <c r="H900" s="1380">
        <f>'PRPM WP2'!H901</f>
        <v>6.7716666666666654E-3</v>
      </c>
      <c r="I900" s="1373">
        <f t="shared" si="23"/>
        <v>-1.9971666666666665E-2</v>
      </c>
      <c r="J900" s="1371">
        <v>36831</v>
      </c>
    </row>
    <row r="901" spans="1:10" x14ac:dyDescent="0.45">
      <c r="A901" s="1370">
        <v>3</v>
      </c>
      <c r="B901" s="1371">
        <f t="shared" si="24"/>
        <v>36861</v>
      </c>
      <c r="C901" s="1370" t="str">
        <f t="shared" si="25"/>
        <v>S&amp;P 500 Utility Index</v>
      </c>
      <c r="F901" s="1380">
        <f>'PRPM WP2'!C902</f>
        <v>9.820000000000001E-2</v>
      </c>
      <c r="H901" s="1380">
        <f>'PRPM WP2'!H902</f>
        <v>6.5465000000000002E-3</v>
      </c>
      <c r="I901" s="1373">
        <f t="shared" si="23"/>
        <v>9.1653500000000013E-2</v>
      </c>
      <c r="J901" s="1371">
        <v>36861</v>
      </c>
    </row>
    <row r="902" spans="1:10" x14ac:dyDescent="0.45">
      <c r="A902" s="1370">
        <v>3</v>
      </c>
      <c r="B902" s="1371">
        <f t="shared" si="24"/>
        <v>36892</v>
      </c>
      <c r="C902" s="1370" t="str">
        <f t="shared" si="25"/>
        <v>S&amp;P 500 Utility Index</v>
      </c>
      <c r="F902" s="1380">
        <f>'PRPM WP2'!C903</f>
        <v>-9.6699999999999994E-2</v>
      </c>
      <c r="H902" s="1380">
        <f>'PRPM WP2'!H903</f>
        <v>6.4988333333333339E-3</v>
      </c>
      <c r="I902" s="1373">
        <f t="shared" si="23"/>
        <v>-0.10319883333333332</v>
      </c>
      <c r="J902" s="1371">
        <v>36892</v>
      </c>
    </row>
    <row r="903" spans="1:10" x14ac:dyDescent="0.45">
      <c r="A903" s="1370">
        <v>3</v>
      </c>
      <c r="B903" s="1371">
        <f t="shared" si="24"/>
        <v>36923</v>
      </c>
      <c r="C903" s="1370" t="str">
        <f t="shared" si="25"/>
        <v>S&amp;P 500 Utility Index</v>
      </c>
      <c r="F903" s="1380">
        <f>'PRPM WP2'!C904</f>
        <v>3.5299999999999998E-2</v>
      </c>
      <c r="H903" s="1380">
        <f>'PRPM WP2'!H904</f>
        <v>6.4490833333333327E-3</v>
      </c>
      <c r="I903" s="1373">
        <f t="shared" si="23"/>
        <v>2.8850916666666664E-2</v>
      </c>
      <c r="J903" s="1371">
        <v>36923</v>
      </c>
    </row>
    <row r="904" spans="1:10" x14ac:dyDescent="0.45">
      <c r="A904" s="1370">
        <v>3</v>
      </c>
      <c r="B904" s="1371">
        <f t="shared" si="24"/>
        <v>36951</v>
      </c>
      <c r="C904" s="1370" t="str">
        <f t="shared" si="25"/>
        <v>S&amp;P 500 Utility Index</v>
      </c>
      <c r="F904" s="1380">
        <f>'PRPM WP2'!C905</f>
        <v>-6.3E-3</v>
      </c>
      <c r="H904" s="1380">
        <f>'PRPM WP2'!H905</f>
        <v>6.3935833333333336E-3</v>
      </c>
      <c r="I904" s="1373">
        <f t="shared" si="23"/>
        <v>-1.2693583333333334E-2</v>
      </c>
      <c r="J904" s="1371">
        <v>36951</v>
      </c>
    </row>
    <row r="905" spans="1:10" x14ac:dyDescent="0.45">
      <c r="A905" s="1370">
        <v>3</v>
      </c>
      <c r="B905" s="1371">
        <f t="shared" si="24"/>
        <v>36982</v>
      </c>
      <c r="C905" s="1370" t="str">
        <f t="shared" si="25"/>
        <v>S&amp;P 500 Utility Index</v>
      </c>
      <c r="F905" s="1380">
        <f>'PRPM WP2'!C906</f>
        <v>6.0499999999999998E-2</v>
      </c>
      <c r="H905" s="1380">
        <f>'PRPM WP2'!H906</f>
        <v>6.6033333333333335E-3</v>
      </c>
      <c r="I905" s="1373">
        <f t="shared" si="23"/>
        <v>5.3896666666666662E-2</v>
      </c>
      <c r="J905" s="1371">
        <v>36982</v>
      </c>
    </row>
    <row r="906" spans="1:10" x14ac:dyDescent="0.45">
      <c r="A906" s="1370">
        <v>3</v>
      </c>
      <c r="B906" s="1371">
        <f t="shared" si="24"/>
        <v>37012</v>
      </c>
      <c r="C906" s="1370" t="str">
        <f t="shared" si="25"/>
        <v>S&amp;P 500 Utility Index</v>
      </c>
      <c r="F906" s="1380">
        <f>'PRPM WP2'!C907</f>
        <v>-3.4300000000000004E-2</v>
      </c>
      <c r="H906" s="1380">
        <f>'PRPM WP2'!H907</f>
        <v>6.6629166666666659E-3</v>
      </c>
      <c r="I906" s="1373">
        <f t="shared" si="23"/>
        <v>-4.0962916666666668E-2</v>
      </c>
      <c r="J906" s="1371">
        <v>37012</v>
      </c>
    </row>
    <row r="907" spans="1:10" x14ac:dyDescent="0.45">
      <c r="A907" s="1370">
        <v>3</v>
      </c>
      <c r="B907" s="1371">
        <f t="shared" si="24"/>
        <v>37043</v>
      </c>
      <c r="C907" s="1370" t="str">
        <f t="shared" si="25"/>
        <v>S&amp;P 500 Utility Index</v>
      </c>
      <c r="F907" s="1380">
        <f>'PRPM WP2'!C908</f>
        <v>-7.9100000000000004E-2</v>
      </c>
      <c r="H907" s="1380">
        <f>'PRPM WP2'!H908</f>
        <v>6.5459999999999997E-3</v>
      </c>
      <c r="I907" s="1373">
        <f t="shared" si="23"/>
        <v>-8.5646E-2</v>
      </c>
      <c r="J907" s="1371">
        <v>37043</v>
      </c>
    </row>
    <row r="908" spans="1:10" x14ac:dyDescent="0.45">
      <c r="A908" s="1370">
        <v>3</v>
      </c>
      <c r="B908" s="1371">
        <f t="shared" si="24"/>
        <v>37073</v>
      </c>
      <c r="C908" s="1370" t="str">
        <f t="shared" si="25"/>
        <v>S&amp;P 500 Utility Index</v>
      </c>
      <c r="F908" s="1380">
        <f>'PRPM WP2'!C909</f>
        <v>-4.4799999999999993E-2</v>
      </c>
      <c r="H908" s="1380">
        <f>'PRPM WP2'!H909</f>
        <v>6.4940833333333335E-3</v>
      </c>
      <c r="I908" s="1373">
        <f t="shared" si="23"/>
        <v>-5.1294083333333323E-2</v>
      </c>
      <c r="J908" s="1371">
        <v>37073</v>
      </c>
    </row>
    <row r="909" spans="1:10" x14ac:dyDescent="0.45">
      <c r="A909" s="1370">
        <v>3</v>
      </c>
      <c r="B909" s="1371">
        <f t="shared" si="24"/>
        <v>37104</v>
      </c>
      <c r="C909" s="1370" t="str">
        <f t="shared" si="25"/>
        <v>S&amp;P 500 Utility Index</v>
      </c>
      <c r="F909" s="1380">
        <f>'PRPM WP2'!C910</f>
        <v>-2.9000000000000005E-2</v>
      </c>
      <c r="H909" s="1380">
        <f>'PRPM WP2'!H910</f>
        <v>6.3285833333333328E-3</v>
      </c>
      <c r="I909" s="1373">
        <f t="shared" si="23"/>
        <v>-3.5328583333333337E-2</v>
      </c>
      <c r="J909" s="1371">
        <v>37104</v>
      </c>
    </row>
    <row r="910" spans="1:10" x14ac:dyDescent="0.45">
      <c r="A910" s="1370">
        <v>3</v>
      </c>
      <c r="B910" s="1371">
        <f t="shared" si="24"/>
        <v>37135</v>
      </c>
      <c r="C910" s="1370" t="str">
        <f t="shared" si="25"/>
        <v>S&amp;P 500 Utility Index</v>
      </c>
      <c r="F910" s="1380">
        <f>'PRPM WP2'!C911</f>
        <v>-0.1152</v>
      </c>
      <c r="H910" s="1380">
        <f>'PRPM WP2'!H911</f>
        <v>6.4227500000000005E-3</v>
      </c>
      <c r="I910" s="1373">
        <f t="shared" si="23"/>
        <v>-0.12162275</v>
      </c>
      <c r="J910" s="1371">
        <v>37135</v>
      </c>
    </row>
    <row r="911" spans="1:10" x14ac:dyDescent="0.45">
      <c r="A911" s="1370">
        <v>3</v>
      </c>
      <c r="B911" s="1371">
        <f t="shared" si="24"/>
        <v>37165</v>
      </c>
      <c r="C911" s="1370" t="str">
        <f t="shared" si="25"/>
        <v>S&amp;P 500 Utility Index</v>
      </c>
      <c r="F911" s="1380">
        <f>'PRPM WP2'!C912</f>
        <v>-1.7000000000000001E-3</v>
      </c>
      <c r="H911" s="1380">
        <f>'PRPM WP2'!H912</f>
        <v>6.3725833333333334E-3</v>
      </c>
      <c r="I911" s="1373">
        <f t="shared" si="23"/>
        <v>-8.0725833333333344E-3</v>
      </c>
      <c r="J911" s="1371">
        <v>37165</v>
      </c>
    </row>
    <row r="912" spans="1:10" x14ac:dyDescent="0.45">
      <c r="A912" s="1370">
        <v>3</v>
      </c>
      <c r="B912" s="1371">
        <f t="shared" si="24"/>
        <v>37196</v>
      </c>
      <c r="C912" s="1370" t="str">
        <f t="shared" si="25"/>
        <v>S&amp;P 500 Utility Index</v>
      </c>
      <c r="F912" s="1380">
        <f>'PRPM WP2'!C913</f>
        <v>-5.5199999999999999E-2</v>
      </c>
      <c r="H912" s="1380">
        <f>'PRPM WP2'!H913</f>
        <v>6.2872499999999994E-3</v>
      </c>
      <c r="I912" s="1373">
        <f t="shared" si="23"/>
        <v>-6.148725E-2</v>
      </c>
      <c r="J912" s="1371">
        <v>37196</v>
      </c>
    </row>
    <row r="913" spans="1:10" x14ac:dyDescent="0.45">
      <c r="A913" s="1370">
        <v>3</v>
      </c>
      <c r="B913" s="1371">
        <f t="shared" si="24"/>
        <v>37226</v>
      </c>
      <c r="C913" s="1370" t="str">
        <f t="shared" si="25"/>
        <v>S&amp;P 500 Utility Index</v>
      </c>
      <c r="F913" s="1380">
        <f>'PRPM WP2'!C914</f>
        <v>2.6000000000000002E-2</v>
      </c>
      <c r="H913" s="1380">
        <f>'PRPM WP2'!H914</f>
        <v>6.5259166666666668E-3</v>
      </c>
      <c r="I913" s="1373">
        <f t="shared" si="23"/>
        <v>1.9474083333333336E-2</v>
      </c>
      <c r="J913" s="1371">
        <v>37226</v>
      </c>
    </row>
    <row r="914" spans="1:10" x14ac:dyDescent="0.45">
      <c r="A914" s="1370">
        <v>3</v>
      </c>
      <c r="B914" s="1371">
        <f t="shared" si="24"/>
        <v>37257</v>
      </c>
      <c r="C914" s="1370" t="str">
        <f t="shared" si="25"/>
        <v>S&amp;P 500 Utility Index</v>
      </c>
      <c r="F914" s="1380">
        <f>'PRPM WP2'!C915</f>
        <v>-5.6499999999999995E-2</v>
      </c>
      <c r="H914" s="1380">
        <f>'PRPM WP2'!H915</f>
        <v>6.3869166666666666E-3</v>
      </c>
      <c r="I914" s="1373">
        <f t="shared" si="23"/>
        <v>-6.2886916666666667E-2</v>
      </c>
      <c r="J914" s="1371">
        <v>37257</v>
      </c>
    </row>
    <row r="915" spans="1:10" x14ac:dyDescent="0.45">
      <c r="A915" s="1370">
        <v>3</v>
      </c>
      <c r="B915" s="1371">
        <f t="shared" si="24"/>
        <v>37288</v>
      </c>
      <c r="C915" s="1370" t="str">
        <f t="shared" si="25"/>
        <v>S&amp;P 500 Utility Index</v>
      </c>
      <c r="F915" s="1380">
        <f>'PRPM WP2'!C916</f>
        <v>-2.35E-2</v>
      </c>
      <c r="H915" s="1380">
        <f>'PRPM WP2'!H916</f>
        <v>6.2833333333333326E-3</v>
      </c>
      <c r="I915" s="1373">
        <f t="shared" si="23"/>
        <v>-2.9783333333333332E-2</v>
      </c>
      <c r="J915" s="1371">
        <v>37288</v>
      </c>
    </row>
    <row r="916" spans="1:10" x14ac:dyDescent="0.45">
      <c r="A916" s="1370">
        <v>3</v>
      </c>
      <c r="B916" s="1371">
        <f t="shared" si="24"/>
        <v>37316</v>
      </c>
      <c r="C916" s="1370" t="str">
        <f t="shared" si="25"/>
        <v>S&amp;P 500 Utility Index</v>
      </c>
      <c r="F916" s="1380">
        <f>'PRPM WP2'!C917</f>
        <v>0.12229999999999999</v>
      </c>
      <c r="H916" s="1380">
        <f>'PRPM WP2'!H917</f>
        <v>6.4529166666666667E-3</v>
      </c>
      <c r="I916" s="1373">
        <f t="shared" si="23"/>
        <v>0.11584708333333332</v>
      </c>
      <c r="J916" s="1371">
        <v>37316</v>
      </c>
    </row>
    <row r="917" spans="1:10" x14ac:dyDescent="0.45">
      <c r="A917" s="1370">
        <v>3</v>
      </c>
      <c r="B917" s="1371">
        <f t="shared" si="24"/>
        <v>37347</v>
      </c>
      <c r="C917" s="1370" t="str">
        <f t="shared" si="25"/>
        <v>S&amp;P 500 Utility Index</v>
      </c>
      <c r="F917" s="1380">
        <f>'PRPM WP2'!C918</f>
        <v>-1.7100000000000001E-2</v>
      </c>
      <c r="H917" s="1380">
        <f>'PRPM WP2'!H918</f>
        <v>6.3159166666666667E-3</v>
      </c>
      <c r="I917" s="1373">
        <f t="shared" si="23"/>
        <v>-2.3415916666666668E-2</v>
      </c>
      <c r="J917" s="1371">
        <v>37347</v>
      </c>
    </row>
    <row r="918" spans="1:10" x14ac:dyDescent="0.45">
      <c r="A918" s="1370">
        <v>3</v>
      </c>
      <c r="B918" s="1371">
        <f t="shared" si="24"/>
        <v>37377</v>
      </c>
      <c r="C918" s="1370" t="str">
        <f t="shared" si="25"/>
        <v>S&amp;P 500 Utility Index</v>
      </c>
      <c r="F918" s="1380">
        <f>'PRPM WP2'!C919</f>
        <v>-9.0200000000000002E-2</v>
      </c>
      <c r="H918" s="1380">
        <f>'PRPM WP2'!H919</f>
        <v>6.2723333333333329E-3</v>
      </c>
      <c r="I918" s="1373">
        <f t="shared" si="23"/>
        <v>-9.647233333333334E-2</v>
      </c>
      <c r="J918" s="1371">
        <v>37377</v>
      </c>
    </row>
    <row r="919" spans="1:10" x14ac:dyDescent="0.45">
      <c r="A919" s="1370">
        <v>3</v>
      </c>
      <c r="B919" s="1371">
        <f t="shared" si="24"/>
        <v>37408</v>
      </c>
      <c r="C919" s="1370" t="str">
        <f t="shared" si="25"/>
        <v>S&amp;P 500 Utility Index</v>
      </c>
      <c r="F919" s="1380">
        <f>'PRPM WP2'!C920</f>
        <v>-7.1000000000000008E-2</v>
      </c>
      <c r="H919" s="1380">
        <f>'PRPM WP2'!H920</f>
        <v>6.1804166666666674E-3</v>
      </c>
      <c r="I919" s="1373">
        <f t="shared" si="23"/>
        <v>-7.7180416666666668E-2</v>
      </c>
      <c r="J919" s="1371">
        <v>37408</v>
      </c>
    </row>
    <row r="920" spans="1:10" x14ac:dyDescent="0.45">
      <c r="A920" s="1370">
        <v>3</v>
      </c>
      <c r="B920" s="1371">
        <f t="shared" si="24"/>
        <v>37438</v>
      </c>
      <c r="C920" s="1370" t="str">
        <f t="shared" si="25"/>
        <v>S&amp;P 500 Utility Index</v>
      </c>
      <c r="F920" s="1380">
        <f>'PRPM WP2'!C921</f>
        <v>-0.13799999999999998</v>
      </c>
      <c r="H920" s="1380">
        <f>'PRPM WP2'!H921</f>
        <v>6.1008333333333331E-3</v>
      </c>
      <c r="I920" s="1373">
        <f t="shared" si="23"/>
        <v>-0.14410083333333332</v>
      </c>
      <c r="J920" s="1371">
        <v>37438</v>
      </c>
    </row>
    <row r="921" spans="1:10" x14ac:dyDescent="0.45">
      <c r="A921" s="1370">
        <v>3</v>
      </c>
      <c r="B921" s="1371">
        <f t="shared" si="24"/>
        <v>37469</v>
      </c>
      <c r="C921" s="1370" t="str">
        <f t="shared" si="25"/>
        <v>S&amp;P 500 Utility Index</v>
      </c>
      <c r="F921" s="1380">
        <f>'PRPM WP2'!C922</f>
        <v>3.5000000000000003E-2</v>
      </c>
      <c r="H921" s="1380">
        <f>'PRPM WP2'!H922</f>
        <v>5.9787500000000006E-3</v>
      </c>
      <c r="I921" s="1373">
        <f t="shared" si="23"/>
        <v>2.9021250000000002E-2</v>
      </c>
      <c r="J921" s="1371">
        <v>37469</v>
      </c>
    </row>
    <row r="922" spans="1:10" x14ac:dyDescent="0.45">
      <c r="A922" s="1370">
        <v>3</v>
      </c>
      <c r="B922" s="1371">
        <f t="shared" si="24"/>
        <v>37500</v>
      </c>
      <c r="C922" s="1370" t="str">
        <f t="shared" si="25"/>
        <v>S&amp;P 500 Utility Index</v>
      </c>
      <c r="F922" s="1380">
        <f>'PRPM WP2'!C923</f>
        <v>-0.12830000000000003</v>
      </c>
      <c r="H922" s="1380">
        <f>'PRPM WP2'!H923</f>
        <v>5.9062500000000009E-3</v>
      </c>
      <c r="I922" s="1373">
        <f t="shared" ref="I922:I985" si="26">F922-H922</f>
        <v>-0.13420625000000003</v>
      </c>
      <c r="J922" s="1371">
        <v>37500</v>
      </c>
    </row>
    <row r="923" spans="1:10" x14ac:dyDescent="0.45">
      <c r="A923" s="1370">
        <v>3</v>
      </c>
      <c r="B923" s="1371">
        <f t="shared" si="24"/>
        <v>37530</v>
      </c>
      <c r="C923" s="1370" t="str">
        <f t="shared" si="25"/>
        <v>S&amp;P 500 Utility Index</v>
      </c>
      <c r="F923" s="1380">
        <f>'PRPM WP2'!C924</f>
        <v>-1.7299999999999999E-2</v>
      </c>
      <c r="H923" s="1380">
        <f>'PRPM WP2'!H924</f>
        <v>6.0162499999999999E-3</v>
      </c>
      <c r="I923" s="1373">
        <f t="shared" si="26"/>
        <v>-2.331625E-2</v>
      </c>
      <c r="J923" s="1371">
        <v>37530</v>
      </c>
    </row>
    <row r="924" spans="1:10" x14ac:dyDescent="0.45">
      <c r="A924" s="1370">
        <v>3</v>
      </c>
      <c r="B924" s="1371">
        <f t="shared" si="24"/>
        <v>37561</v>
      </c>
      <c r="C924" s="1370" t="str">
        <f t="shared" si="25"/>
        <v>S&amp;P 500 Utility Index</v>
      </c>
      <c r="F924" s="1380">
        <f>'PRPM WP2'!C925</f>
        <v>2.4900000000000002E-2</v>
      </c>
      <c r="H924" s="1380">
        <f>'PRPM WP2'!H925</f>
        <v>5.9523333333333338E-3</v>
      </c>
      <c r="I924" s="1373">
        <f t="shared" si="26"/>
        <v>1.8947666666666668E-2</v>
      </c>
      <c r="J924" s="1371">
        <v>37561</v>
      </c>
    </row>
    <row r="925" spans="1:10" x14ac:dyDescent="0.45">
      <c r="A925" s="1370">
        <v>3</v>
      </c>
      <c r="B925" s="1371">
        <f t="shared" si="24"/>
        <v>37591</v>
      </c>
      <c r="C925" s="1370" t="str">
        <f t="shared" si="25"/>
        <v>S&amp;P 500 Utility Index</v>
      </c>
      <c r="F925" s="1380">
        <f>'PRPM WP2'!C926</f>
        <v>4.1599999999999998E-2</v>
      </c>
      <c r="H925" s="1380">
        <f>'PRPM WP2'!H926</f>
        <v>5.896416666666667E-3</v>
      </c>
      <c r="I925" s="1373">
        <f t="shared" si="26"/>
        <v>3.570358333333333E-2</v>
      </c>
      <c r="J925" s="1371">
        <v>37591</v>
      </c>
    </row>
    <row r="926" spans="1:10" x14ac:dyDescent="0.45">
      <c r="A926" s="1370">
        <v>3</v>
      </c>
      <c r="B926" s="1371">
        <f t="shared" si="24"/>
        <v>37622</v>
      </c>
      <c r="C926" s="1370" t="str">
        <f t="shared" si="25"/>
        <v>S&amp;P 500 Utility Index</v>
      </c>
      <c r="F926" s="1380">
        <f>'PRPM WP2'!C927</f>
        <v>-2.9200000000000004E-2</v>
      </c>
      <c r="H926" s="1380">
        <f>'PRPM WP2'!H927</f>
        <v>5.886916666666667E-3</v>
      </c>
      <c r="I926" s="1373">
        <f t="shared" si="26"/>
        <v>-3.5086916666666669E-2</v>
      </c>
      <c r="J926" s="1371">
        <v>37622</v>
      </c>
    </row>
    <row r="927" spans="1:10" x14ac:dyDescent="0.45">
      <c r="A927" s="1370">
        <v>3</v>
      </c>
      <c r="B927" s="1371">
        <f t="shared" si="24"/>
        <v>37653</v>
      </c>
      <c r="C927" s="1370" t="str">
        <f t="shared" si="25"/>
        <v>S&amp;P 500 Utility Index</v>
      </c>
      <c r="F927" s="1380">
        <f>'PRPM WP2'!C928</f>
        <v>-4.8999999999999995E-2</v>
      </c>
      <c r="H927" s="1380">
        <f>'PRPM WP2'!H928</f>
        <v>5.7775833333333325E-3</v>
      </c>
      <c r="I927" s="1373">
        <f t="shared" si="26"/>
        <v>-5.4777583333333324E-2</v>
      </c>
      <c r="J927" s="1371">
        <v>37653</v>
      </c>
    </row>
    <row r="928" spans="1:10" x14ac:dyDescent="0.45">
      <c r="A928" s="1370">
        <v>3</v>
      </c>
      <c r="B928" s="1371">
        <f t="shared" si="24"/>
        <v>37681</v>
      </c>
      <c r="C928" s="1370" t="str">
        <f t="shared" si="25"/>
        <v>S&amp;P 500 Utility Index</v>
      </c>
      <c r="F928" s="1380">
        <f>'PRPM WP2'!C929</f>
        <v>5.050000000000001E-2</v>
      </c>
      <c r="H928" s="1380">
        <f>'PRPM WP2'!H929</f>
        <v>5.6626666666666665E-3</v>
      </c>
      <c r="I928" s="1373">
        <f t="shared" si="26"/>
        <v>4.483733333333334E-2</v>
      </c>
      <c r="J928" s="1371">
        <v>37681</v>
      </c>
    </row>
    <row r="929" spans="1:10" x14ac:dyDescent="0.45">
      <c r="A929" s="1370">
        <v>3</v>
      </c>
      <c r="B929" s="1371">
        <f t="shared" si="24"/>
        <v>37712</v>
      </c>
      <c r="C929" s="1370" t="str">
        <f t="shared" si="25"/>
        <v>S&amp;P 500 Utility Index</v>
      </c>
      <c r="F929" s="1380">
        <f>'PRPM WP2'!C930</f>
        <v>8.8500000000000009E-2</v>
      </c>
      <c r="H929" s="1380">
        <f>'PRPM WP2'!H930</f>
        <v>5.5400833333333335E-3</v>
      </c>
      <c r="I929" s="1373">
        <f t="shared" si="26"/>
        <v>8.2959916666666675E-2</v>
      </c>
      <c r="J929" s="1371">
        <v>37712</v>
      </c>
    </row>
    <row r="930" spans="1:10" x14ac:dyDescent="0.45">
      <c r="A930" s="1370">
        <v>3</v>
      </c>
      <c r="B930" s="1371">
        <f t="shared" si="24"/>
        <v>37742</v>
      </c>
      <c r="C930" s="1370" t="str">
        <f t="shared" si="25"/>
        <v>S&amp;P 500 Utility Index</v>
      </c>
      <c r="F930" s="1380">
        <f>'PRPM WP2'!C931</f>
        <v>0.1021</v>
      </c>
      <c r="H930" s="1380">
        <f>'PRPM WP2'!H931</f>
        <v>5.3103333333333336E-3</v>
      </c>
      <c r="I930" s="1373">
        <f t="shared" si="26"/>
        <v>9.6789666666666663E-2</v>
      </c>
      <c r="J930" s="1371">
        <v>37742</v>
      </c>
    </row>
    <row r="931" spans="1:10" x14ac:dyDescent="0.45">
      <c r="A931" s="1370">
        <v>3</v>
      </c>
      <c r="B931" s="1371">
        <f t="shared" si="24"/>
        <v>37773</v>
      </c>
      <c r="C931" s="1370" t="str">
        <f t="shared" si="25"/>
        <v>S&amp;P 500 Utility Index</v>
      </c>
      <c r="F931" s="1380">
        <f>'PRPM WP2'!C932</f>
        <v>1.1900000000000001E-2</v>
      </c>
      <c r="H931" s="1380">
        <f>'PRPM WP2'!H932</f>
        <v>5.1729999999999996E-3</v>
      </c>
      <c r="I931" s="1373">
        <f t="shared" si="26"/>
        <v>6.7270000000000012E-3</v>
      </c>
      <c r="J931" s="1371">
        <v>37773</v>
      </c>
    </row>
    <row r="932" spans="1:10" x14ac:dyDescent="0.45">
      <c r="A932" s="1370">
        <v>3</v>
      </c>
      <c r="B932" s="1371">
        <f t="shared" si="24"/>
        <v>37803</v>
      </c>
      <c r="C932" s="1370" t="str">
        <f t="shared" si="25"/>
        <v>S&amp;P 500 Utility Index</v>
      </c>
      <c r="F932" s="1380">
        <f>'PRPM WP2'!C933</f>
        <v>-6.5000000000000002E-2</v>
      </c>
      <c r="H932" s="1380">
        <f>'PRPM WP2'!H933</f>
        <v>5.4568333333333326E-3</v>
      </c>
      <c r="I932" s="1373">
        <f t="shared" si="26"/>
        <v>-7.045683333333333E-2</v>
      </c>
      <c r="J932" s="1371">
        <v>37803</v>
      </c>
    </row>
    <row r="933" spans="1:10" x14ac:dyDescent="0.45">
      <c r="A933" s="1370">
        <v>3</v>
      </c>
      <c r="B933" s="1371">
        <f t="shared" si="24"/>
        <v>37834</v>
      </c>
      <c r="C933" s="1370" t="str">
        <f t="shared" si="25"/>
        <v>S&amp;P 500 Utility Index</v>
      </c>
      <c r="F933" s="1380">
        <f>'PRPM WP2'!C934</f>
        <v>1.7499999999999998E-2</v>
      </c>
      <c r="H933" s="1380">
        <f>'PRPM WP2'!H934</f>
        <v>5.6591666666666674E-3</v>
      </c>
      <c r="I933" s="1373">
        <f t="shared" si="26"/>
        <v>1.1840833333333332E-2</v>
      </c>
      <c r="J933" s="1371">
        <v>37834</v>
      </c>
    </row>
    <row r="934" spans="1:10" x14ac:dyDescent="0.45">
      <c r="A934" s="1370">
        <v>3</v>
      </c>
      <c r="B934" s="1371">
        <f t="shared" si="24"/>
        <v>37865</v>
      </c>
      <c r="C934" s="1370" t="str">
        <f t="shared" si="25"/>
        <v>S&amp;P 500 Utility Index</v>
      </c>
      <c r="F934" s="1380">
        <f>'PRPM WP2'!C935</f>
        <v>4.5699999999999991E-2</v>
      </c>
      <c r="H934" s="1380">
        <f>'PRPM WP2'!H935</f>
        <v>5.4869166666666669E-3</v>
      </c>
      <c r="I934" s="1373">
        <f t="shared" si="26"/>
        <v>4.0213083333333323E-2</v>
      </c>
      <c r="J934" s="1371">
        <v>37865</v>
      </c>
    </row>
    <row r="935" spans="1:10" x14ac:dyDescent="0.45">
      <c r="A935" s="1370">
        <v>3</v>
      </c>
      <c r="B935" s="1371">
        <f t="shared" si="24"/>
        <v>37895</v>
      </c>
      <c r="C935" s="1370" t="str">
        <f t="shared" si="25"/>
        <v>S&amp;P 500 Utility Index</v>
      </c>
      <c r="F935" s="1380">
        <f>'PRPM WP2'!C936</f>
        <v>1.1199999999999998E-2</v>
      </c>
      <c r="H935" s="1380">
        <f>'PRPM WP2'!H936</f>
        <v>5.3500000000000006E-3</v>
      </c>
      <c r="I935" s="1373">
        <f t="shared" si="26"/>
        <v>5.8499999999999976E-3</v>
      </c>
      <c r="J935" s="1371">
        <v>37895</v>
      </c>
    </row>
    <row r="936" spans="1:10" x14ac:dyDescent="0.45">
      <c r="A936" s="1370">
        <v>3</v>
      </c>
      <c r="B936" s="1371">
        <f t="shared" si="24"/>
        <v>37926</v>
      </c>
      <c r="C936" s="1370" t="str">
        <f t="shared" si="25"/>
        <v>S&amp;P 500 Utility Index</v>
      </c>
      <c r="F936" s="1380">
        <f>'PRPM WP2'!C937</f>
        <v>-5.0000000000000001E-4</v>
      </c>
      <c r="H936" s="1380">
        <f>'PRPM WP2'!H937</f>
        <v>5.3093333333333334E-3</v>
      </c>
      <c r="I936" s="1373">
        <f t="shared" si="26"/>
        <v>-5.809333333333333E-3</v>
      </c>
      <c r="J936" s="1371">
        <v>37926</v>
      </c>
    </row>
    <row r="937" spans="1:10" x14ac:dyDescent="0.45">
      <c r="A937" s="1370">
        <v>3</v>
      </c>
      <c r="B937" s="1371">
        <f t="shared" si="24"/>
        <v>37956</v>
      </c>
      <c r="C937" s="1370" t="str">
        <f t="shared" si="25"/>
        <v>S&amp;P 500 Utility Index</v>
      </c>
      <c r="F937" s="1380">
        <f>'PRPM WP2'!C938</f>
        <v>6.7499999999999991E-2</v>
      </c>
      <c r="H937" s="1380">
        <f>'PRPM WP2'!H938</f>
        <v>5.2325000000000002E-3</v>
      </c>
      <c r="I937" s="1373">
        <f t="shared" si="26"/>
        <v>6.226749999999999E-2</v>
      </c>
      <c r="J937" s="1371">
        <v>37956</v>
      </c>
    </row>
    <row r="938" spans="1:10" x14ac:dyDescent="0.45">
      <c r="A938" s="1370">
        <v>3</v>
      </c>
      <c r="B938" s="1371">
        <f t="shared" si="24"/>
        <v>37987</v>
      </c>
      <c r="C938" s="1370" t="str">
        <f t="shared" si="25"/>
        <v>S&amp;P 500 Utility Index</v>
      </c>
      <c r="F938" s="1380">
        <f>'PRPM WP2'!C939</f>
        <v>2.1599999999999998E-2</v>
      </c>
      <c r="H938" s="1380">
        <f>'PRPM WP2'!H939</f>
        <v>5.1280833333333335E-3</v>
      </c>
      <c r="I938" s="1373">
        <f t="shared" si="26"/>
        <v>1.6471916666666662E-2</v>
      </c>
      <c r="J938" s="1371">
        <v>37987</v>
      </c>
    </row>
    <row r="939" spans="1:10" x14ac:dyDescent="0.45">
      <c r="A939" s="1370">
        <v>3</v>
      </c>
      <c r="B939" s="1371">
        <f t="shared" si="24"/>
        <v>38018</v>
      </c>
      <c r="C939" s="1370" t="str">
        <f t="shared" si="25"/>
        <v>S&amp;P 500 Utility Index</v>
      </c>
      <c r="F939" s="1380">
        <f>'PRPM WP2'!C940</f>
        <v>1.8100000000000002E-2</v>
      </c>
      <c r="H939" s="1380">
        <f>'PRPM WP2'!H940</f>
        <v>5.1250000000000011E-3</v>
      </c>
      <c r="I939" s="1373">
        <f t="shared" si="26"/>
        <v>1.2975E-2</v>
      </c>
      <c r="J939" s="1371">
        <v>38018</v>
      </c>
    </row>
    <row r="940" spans="1:10" x14ac:dyDescent="0.45">
      <c r="A940" s="1370">
        <v>3</v>
      </c>
      <c r="B940" s="1371">
        <f t="shared" si="24"/>
        <v>38047</v>
      </c>
      <c r="C940" s="1370" t="str">
        <f t="shared" si="25"/>
        <v>S&amp;P 500 Utility Index</v>
      </c>
      <c r="F940" s="1380">
        <f>'PRPM WP2'!C941</f>
        <v>1.04E-2</v>
      </c>
      <c r="H940" s="1380">
        <f>'PRPM WP2'!H941</f>
        <v>4.9753333333333333E-3</v>
      </c>
      <c r="I940" s="1373">
        <f t="shared" si="26"/>
        <v>5.4246666666666662E-3</v>
      </c>
      <c r="J940" s="1371">
        <v>38047</v>
      </c>
    </row>
    <row r="941" spans="1:10" x14ac:dyDescent="0.45">
      <c r="A941" s="1370">
        <v>3</v>
      </c>
      <c r="B941" s="1371">
        <f t="shared" si="24"/>
        <v>38078</v>
      </c>
      <c r="C941" s="1370" t="str">
        <f t="shared" si="25"/>
        <v>S&amp;P 500 Utility Index</v>
      </c>
      <c r="F941" s="1380">
        <f>'PRPM WP2'!C942</f>
        <v>-3.6199999999999996E-2</v>
      </c>
      <c r="H941" s="1380">
        <f>'PRPM WP2'!H942</f>
        <v>5.2710000000000005E-3</v>
      </c>
      <c r="I941" s="1373">
        <f t="shared" si="26"/>
        <v>-4.1470999999999994E-2</v>
      </c>
      <c r="J941" s="1371">
        <v>38078</v>
      </c>
    </row>
    <row r="942" spans="1:10" x14ac:dyDescent="0.45">
      <c r="A942" s="1370">
        <v>3</v>
      </c>
      <c r="B942" s="1371">
        <f t="shared" si="24"/>
        <v>38108</v>
      </c>
      <c r="C942" s="1370" t="str">
        <f t="shared" si="25"/>
        <v>S&amp;P 500 Utility Index</v>
      </c>
      <c r="F942" s="1380">
        <f>'PRPM WP2'!C943</f>
        <v>7.9000000000000008E-3</v>
      </c>
      <c r="H942" s="1380">
        <f>'PRPM WP2'!H943</f>
        <v>5.5170833333333339E-3</v>
      </c>
      <c r="I942" s="1373">
        <f t="shared" si="26"/>
        <v>2.3829166666666669E-3</v>
      </c>
      <c r="J942" s="1371">
        <v>38108</v>
      </c>
    </row>
    <row r="943" spans="1:10" x14ac:dyDescent="0.45">
      <c r="A943" s="1370">
        <v>3</v>
      </c>
      <c r="B943" s="1371">
        <f t="shared" si="24"/>
        <v>38139</v>
      </c>
      <c r="C943" s="1370" t="str">
        <f t="shared" si="25"/>
        <v>S&amp;P 500 Utility Index</v>
      </c>
      <c r="F943" s="1380">
        <f>'PRPM WP2'!C944</f>
        <v>1.55E-2</v>
      </c>
      <c r="H943" s="1380">
        <f>'PRPM WP2'!H944</f>
        <v>5.3876666666666673E-3</v>
      </c>
      <c r="I943" s="1373">
        <f t="shared" si="26"/>
        <v>1.0112333333333333E-2</v>
      </c>
      <c r="J943" s="1371">
        <v>38139</v>
      </c>
    </row>
    <row r="944" spans="1:10" x14ac:dyDescent="0.45">
      <c r="A944" s="1370">
        <v>3</v>
      </c>
      <c r="B944" s="1371">
        <f t="shared" si="24"/>
        <v>38169</v>
      </c>
      <c r="C944" s="1370" t="str">
        <f t="shared" si="25"/>
        <v>S&amp;P 500 Utility Index</v>
      </c>
      <c r="F944" s="1380">
        <f>'PRPM WP2'!C945</f>
        <v>1.7299999999999999E-2</v>
      </c>
      <c r="H944" s="1380">
        <f>'PRPM WP2'!H945</f>
        <v>5.2270000000000007E-3</v>
      </c>
      <c r="I944" s="1373">
        <f t="shared" si="26"/>
        <v>1.2072999999999999E-2</v>
      </c>
      <c r="J944" s="1371">
        <v>38169</v>
      </c>
    </row>
    <row r="945" spans="1:10" x14ac:dyDescent="0.45">
      <c r="A945" s="1370">
        <v>3</v>
      </c>
      <c r="B945" s="1371">
        <f t="shared" si="24"/>
        <v>38200</v>
      </c>
      <c r="C945" s="1370" t="str">
        <f t="shared" si="25"/>
        <v>S&amp;P 500 Utility Index</v>
      </c>
      <c r="F945" s="1380">
        <f>'PRPM WP2'!C946</f>
        <v>3.9300000000000002E-2</v>
      </c>
      <c r="H945" s="1380">
        <f>'PRPM WP2'!H946</f>
        <v>5.1234999999999996E-3</v>
      </c>
      <c r="I945" s="1373">
        <f t="shared" si="26"/>
        <v>3.4176499999999999E-2</v>
      </c>
      <c r="J945" s="1371">
        <v>38200</v>
      </c>
    </row>
    <row r="946" spans="1:10" x14ac:dyDescent="0.45">
      <c r="A946" s="1370">
        <v>3</v>
      </c>
      <c r="B946" s="1371">
        <f t="shared" si="24"/>
        <v>38231</v>
      </c>
      <c r="C946" s="1370" t="str">
        <f t="shared" si="25"/>
        <v>S&amp;P 500 Utility Index</v>
      </c>
      <c r="F946" s="1380">
        <f>'PRPM WP2'!C947</f>
        <v>9.1000000000000004E-3</v>
      </c>
      <c r="H946" s="1380">
        <f>'PRPM WP2'!H947</f>
        <v>4.9853333333333329E-3</v>
      </c>
      <c r="I946" s="1373">
        <f t="shared" si="26"/>
        <v>4.1146666666666675E-3</v>
      </c>
      <c r="J946" s="1371">
        <v>38231</v>
      </c>
    </row>
    <row r="947" spans="1:10" x14ac:dyDescent="0.45">
      <c r="A947" s="1370">
        <v>3</v>
      </c>
      <c r="B947" s="1371">
        <f t="shared" si="24"/>
        <v>38261</v>
      </c>
      <c r="C947" s="1370" t="str">
        <f t="shared" si="25"/>
        <v>S&amp;P 500 Utility Index</v>
      </c>
      <c r="F947" s="1380">
        <f>'PRPM WP2'!C948</f>
        <v>4.9499999999999995E-2</v>
      </c>
      <c r="H947" s="1380">
        <f>'PRPM WP2'!H948</f>
        <v>4.9920833333333327E-3</v>
      </c>
      <c r="I947" s="1373">
        <f t="shared" si="26"/>
        <v>4.4507916666666661E-2</v>
      </c>
      <c r="J947" s="1371">
        <v>38261</v>
      </c>
    </row>
    <row r="948" spans="1:10" x14ac:dyDescent="0.45">
      <c r="A948" s="1370">
        <v>3</v>
      </c>
      <c r="B948" s="1371">
        <f t="shared" si="24"/>
        <v>38292</v>
      </c>
      <c r="C948" s="1370" t="str">
        <f t="shared" si="25"/>
        <v>S&amp;P 500 Utility Index</v>
      </c>
      <c r="F948" s="1380">
        <f>'PRPM WP2'!C949</f>
        <v>4.07E-2</v>
      </c>
      <c r="H948" s="1380">
        <f>'PRPM WP2'!H949</f>
        <v>4.9627500000000001E-3</v>
      </c>
      <c r="I948" s="1373">
        <f t="shared" si="26"/>
        <v>3.5737249999999998E-2</v>
      </c>
      <c r="J948" s="1371">
        <v>38292</v>
      </c>
    </row>
    <row r="949" spans="1:10" x14ac:dyDescent="0.45">
      <c r="A949" s="1370">
        <v>3</v>
      </c>
      <c r="B949" s="1371">
        <f t="shared" si="24"/>
        <v>38322</v>
      </c>
      <c r="C949" s="1370" t="str">
        <f t="shared" si="25"/>
        <v>S&amp;P 500 Utility Index</v>
      </c>
      <c r="F949" s="1380">
        <f>'PRPM WP2'!C950</f>
        <v>2.6499999999999999E-2</v>
      </c>
      <c r="H949" s="1380">
        <f>'PRPM WP2'!H950</f>
        <v>4.938916666666667E-3</v>
      </c>
      <c r="I949" s="1373">
        <f t="shared" si="26"/>
        <v>2.1561083333333331E-2</v>
      </c>
      <c r="J949" s="1371">
        <v>38322</v>
      </c>
    </row>
    <row r="950" spans="1:10" x14ac:dyDescent="0.45">
      <c r="A950" s="1370">
        <v>3</v>
      </c>
      <c r="B950" s="1371">
        <f t="shared" ref="B950:B1013" si="27">DATE(YEAR(B949),MONTH(B949) + 1,1)</f>
        <v>38353</v>
      </c>
      <c r="C950" s="1370" t="str">
        <f t="shared" ref="C950:C1013" si="28">C949</f>
        <v>S&amp;P 500 Utility Index</v>
      </c>
      <c r="F950" s="1380">
        <f>'PRPM WP2'!C951</f>
        <v>2.2099999999999998E-2</v>
      </c>
      <c r="H950" s="1380">
        <f>'PRPM WP2'!H951</f>
        <v>4.827916666666667E-3</v>
      </c>
      <c r="I950" s="1373">
        <f t="shared" si="26"/>
        <v>1.727208333333333E-2</v>
      </c>
      <c r="J950" s="1371">
        <v>38353</v>
      </c>
    </row>
    <row r="951" spans="1:10" x14ac:dyDescent="0.45">
      <c r="A951" s="1370">
        <v>3</v>
      </c>
      <c r="B951" s="1371">
        <f t="shared" si="27"/>
        <v>38384</v>
      </c>
      <c r="C951" s="1370" t="str">
        <f t="shared" si="28"/>
        <v>S&amp;P 500 Utility Index</v>
      </c>
      <c r="F951" s="1380">
        <f>'PRPM WP2'!C952</f>
        <v>1.9699999999999999E-2</v>
      </c>
      <c r="H951" s="1380">
        <f>'PRPM WP2'!H952</f>
        <v>4.6785000000000004E-3</v>
      </c>
      <c r="I951" s="1373">
        <f t="shared" si="26"/>
        <v>1.5021499999999998E-2</v>
      </c>
      <c r="J951" s="1371">
        <v>38384</v>
      </c>
    </row>
    <row r="952" spans="1:10" x14ac:dyDescent="0.45">
      <c r="A952" s="1370">
        <v>3</v>
      </c>
      <c r="B952" s="1371">
        <f t="shared" si="27"/>
        <v>38412</v>
      </c>
      <c r="C952" s="1370" t="str">
        <f t="shared" si="28"/>
        <v>S&amp;P 500 Utility Index</v>
      </c>
      <c r="F952" s="1380">
        <f>'PRPM WP2'!C953</f>
        <v>1.0800000000000001E-2</v>
      </c>
      <c r="H952" s="1380">
        <f>'PRPM WP2'!H953</f>
        <v>4.855333333333333E-3</v>
      </c>
      <c r="I952" s="1373">
        <f t="shared" si="26"/>
        <v>5.9446666666666675E-3</v>
      </c>
      <c r="J952" s="1371">
        <v>38412</v>
      </c>
    </row>
    <row r="953" spans="1:10" x14ac:dyDescent="0.45">
      <c r="A953" s="1370">
        <v>3</v>
      </c>
      <c r="B953" s="1371">
        <f t="shared" si="27"/>
        <v>38443</v>
      </c>
      <c r="C953" s="1370" t="str">
        <f t="shared" si="28"/>
        <v>S&amp;P 500 Utility Index</v>
      </c>
      <c r="F953" s="1380">
        <f>'PRPM WP2'!C954</f>
        <v>3.2100000000000004E-2</v>
      </c>
      <c r="H953" s="1380">
        <f>'PRPM WP2'!H954</f>
        <v>4.7079166666666667E-3</v>
      </c>
      <c r="I953" s="1373">
        <f t="shared" si="26"/>
        <v>2.7392083333333338E-2</v>
      </c>
      <c r="J953" s="1371">
        <v>38443</v>
      </c>
    </row>
    <row r="954" spans="1:10" x14ac:dyDescent="0.45">
      <c r="A954" s="1370">
        <v>3</v>
      </c>
      <c r="B954" s="1371">
        <f t="shared" si="27"/>
        <v>38473</v>
      </c>
      <c r="C954" s="1370" t="str">
        <f t="shared" si="28"/>
        <v>S&amp;P 500 Utility Index</v>
      </c>
      <c r="F954" s="1380">
        <f>'PRPM WP2'!C955</f>
        <v>7.9999999999999993E-4</v>
      </c>
      <c r="H954" s="1380">
        <f>'PRPM WP2'!H955</f>
        <v>4.6162499999999997E-3</v>
      </c>
      <c r="I954" s="1373">
        <f t="shared" si="26"/>
        <v>-3.8162499999999998E-3</v>
      </c>
      <c r="J954" s="1371">
        <v>38473</v>
      </c>
    </row>
    <row r="955" spans="1:10" x14ac:dyDescent="0.45">
      <c r="A955" s="1370">
        <v>3</v>
      </c>
      <c r="B955" s="1371">
        <f t="shared" si="27"/>
        <v>38504</v>
      </c>
      <c r="C955" s="1370" t="str">
        <f t="shared" si="28"/>
        <v>S&amp;P 500 Utility Index</v>
      </c>
      <c r="F955" s="1380">
        <f>'PRPM WP2'!C956</f>
        <v>5.7599999999999998E-2</v>
      </c>
      <c r="H955" s="1380">
        <f>'PRPM WP2'!H956</f>
        <v>4.5019166666666671E-3</v>
      </c>
      <c r="I955" s="1373">
        <f t="shared" si="26"/>
        <v>5.309808333333333E-2</v>
      </c>
      <c r="J955" s="1371">
        <v>38504</v>
      </c>
    </row>
    <row r="956" spans="1:10" x14ac:dyDescent="0.45">
      <c r="A956" s="1370">
        <v>3</v>
      </c>
      <c r="B956" s="1371">
        <f t="shared" si="27"/>
        <v>38534</v>
      </c>
      <c r="C956" s="1370" t="str">
        <f t="shared" si="28"/>
        <v>S&amp;P 500 Utility Index</v>
      </c>
      <c r="F956" s="1380">
        <f>'PRPM WP2'!C957</f>
        <v>2.3300000000000001E-2</v>
      </c>
      <c r="H956" s="1380">
        <f>'PRPM WP2'!H957</f>
        <v>4.5829166666666674E-3</v>
      </c>
      <c r="I956" s="1373">
        <f t="shared" si="26"/>
        <v>1.8717083333333336E-2</v>
      </c>
      <c r="J956" s="1371">
        <v>38534</v>
      </c>
    </row>
    <row r="957" spans="1:10" x14ac:dyDescent="0.45">
      <c r="A957" s="1370">
        <v>3</v>
      </c>
      <c r="B957" s="1371">
        <f t="shared" si="27"/>
        <v>38565</v>
      </c>
      <c r="C957" s="1370" t="str">
        <f t="shared" si="28"/>
        <v>S&amp;P 500 Utility Index</v>
      </c>
      <c r="F957" s="1380">
        <f>'PRPM WP2'!C958</f>
        <v>7.3000000000000001E-3</v>
      </c>
      <c r="H957" s="1380">
        <f>'PRPM WP2'!H958</f>
        <v>4.5909166666666668E-3</v>
      </c>
      <c r="I957" s="1373">
        <f t="shared" si="26"/>
        <v>2.7090833333333333E-3</v>
      </c>
      <c r="J957" s="1371">
        <v>38565</v>
      </c>
    </row>
    <row r="958" spans="1:10" x14ac:dyDescent="0.45">
      <c r="A958" s="1370">
        <v>3</v>
      </c>
      <c r="B958" s="1371">
        <f t="shared" si="27"/>
        <v>38596</v>
      </c>
      <c r="C958" s="1370" t="str">
        <f t="shared" si="28"/>
        <v>S&amp;P 500 Utility Index</v>
      </c>
      <c r="F958" s="1380">
        <f>'PRPM WP2'!C959</f>
        <v>4.0199999999999993E-2</v>
      </c>
      <c r="H958" s="1380">
        <f>'PRPM WP2'!H959</f>
        <v>4.5853333333333328E-3</v>
      </c>
      <c r="I958" s="1373">
        <f t="shared" si="26"/>
        <v>3.5614666666666663E-2</v>
      </c>
      <c r="J958" s="1371">
        <v>38596</v>
      </c>
    </row>
    <row r="959" spans="1:10" x14ac:dyDescent="0.45">
      <c r="A959" s="1370">
        <v>3</v>
      </c>
      <c r="B959" s="1371">
        <f t="shared" si="27"/>
        <v>38626</v>
      </c>
      <c r="C959" s="1370" t="str">
        <f t="shared" si="28"/>
        <v>S&amp;P 500 Utility Index</v>
      </c>
      <c r="F959" s="1380">
        <f>'PRPM WP2'!C960</f>
        <v>-6.1699999999999998E-2</v>
      </c>
      <c r="H959" s="1380">
        <f>'PRPM WP2'!H960</f>
        <v>4.8123333333333334E-3</v>
      </c>
      <c r="I959" s="1373">
        <f t="shared" si="26"/>
        <v>-6.6512333333333326E-2</v>
      </c>
      <c r="J959" s="1371">
        <v>38626</v>
      </c>
    </row>
    <row r="960" spans="1:10" x14ac:dyDescent="0.45">
      <c r="A960" s="1370">
        <v>3</v>
      </c>
      <c r="B960" s="1371">
        <f t="shared" si="27"/>
        <v>38657</v>
      </c>
      <c r="C960" s="1370" t="str">
        <f t="shared" si="28"/>
        <v>S&amp;P 500 Utility Index</v>
      </c>
      <c r="F960" s="1380">
        <f>'PRPM WP2'!C961</f>
        <v>-3.8999999999999994E-3</v>
      </c>
      <c r="H960" s="1380">
        <f>'PRPM WP2'!H961</f>
        <v>4.8986666666666666E-3</v>
      </c>
      <c r="I960" s="1373">
        <f t="shared" si="26"/>
        <v>-8.7986666666666664E-3</v>
      </c>
      <c r="J960" s="1371">
        <v>38657</v>
      </c>
    </row>
    <row r="961" spans="1:10" x14ac:dyDescent="0.45">
      <c r="A961" s="1370">
        <v>3</v>
      </c>
      <c r="B961" s="1371">
        <f t="shared" si="27"/>
        <v>38687</v>
      </c>
      <c r="C961" s="1370" t="str">
        <f t="shared" si="28"/>
        <v>S&amp;P 500 Utility Index</v>
      </c>
      <c r="F961" s="1380">
        <f>'PRPM WP2'!C962</f>
        <v>1.0999999999999999E-2</v>
      </c>
      <c r="H961" s="1380">
        <f>'PRPM WP2'!H962</f>
        <v>4.8481666666666664E-3</v>
      </c>
      <c r="I961" s="1373">
        <f t="shared" si="26"/>
        <v>6.1518333333333329E-3</v>
      </c>
      <c r="J961" s="1371">
        <v>38687</v>
      </c>
    </row>
    <row r="962" spans="1:10" x14ac:dyDescent="0.45">
      <c r="A962" s="1370">
        <v>3</v>
      </c>
      <c r="B962" s="1371">
        <f t="shared" si="27"/>
        <v>38718</v>
      </c>
      <c r="C962" s="1370" t="str">
        <f t="shared" si="28"/>
        <v>S&amp;P 500 Utility Index</v>
      </c>
      <c r="F962" s="1380">
        <f>'PRPM WP2'!C963</f>
        <v>2.6347999999999996E-2</v>
      </c>
      <c r="H962" s="1380">
        <f>'PRPM WP2'!H963</f>
        <v>4.7916666666666672E-3</v>
      </c>
      <c r="I962" s="1373">
        <f t="shared" si="26"/>
        <v>2.155633333333333E-2</v>
      </c>
      <c r="J962" s="1371">
        <v>38718</v>
      </c>
    </row>
    <row r="963" spans="1:10" x14ac:dyDescent="0.45">
      <c r="A963" s="1370">
        <v>3</v>
      </c>
      <c r="B963" s="1371">
        <f t="shared" si="27"/>
        <v>38749</v>
      </c>
      <c r="C963" s="1370" t="str">
        <f t="shared" si="28"/>
        <v>S&amp;P 500 Utility Index</v>
      </c>
      <c r="F963" s="1380">
        <f>'PRPM WP2'!C964</f>
        <v>9.5270000000000007E-3</v>
      </c>
      <c r="H963" s="1380">
        <f>'PRPM WP2'!H964</f>
        <v>4.8500000000000001E-3</v>
      </c>
      <c r="I963" s="1373">
        <f t="shared" si="26"/>
        <v>4.6770000000000006E-3</v>
      </c>
      <c r="J963" s="1371">
        <v>38749</v>
      </c>
    </row>
    <row r="964" spans="1:10" x14ac:dyDescent="0.45">
      <c r="A964" s="1370">
        <v>3</v>
      </c>
      <c r="B964" s="1371">
        <f t="shared" si="27"/>
        <v>38777</v>
      </c>
      <c r="C964" s="1370" t="str">
        <f t="shared" si="28"/>
        <v>S&amp;P 500 Utility Index</v>
      </c>
      <c r="F964" s="1380">
        <f>'PRPM WP2'!C965</f>
        <v>-4.6344999999999997E-2</v>
      </c>
      <c r="H964" s="1380">
        <f>'PRPM WP2'!H965</f>
        <v>4.9833333333333335E-3</v>
      </c>
      <c r="I964" s="1373">
        <f t="shared" si="26"/>
        <v>-5.132833333333333E-2</v>
      </c>
      <c r="J964" s="1371">
        <v>38777</v>
      </c>
    </row>
    <row r="965" spans="1:10" x14ac:dyDescent="0.45">
      <c r="A965" s="1370">
        <v>3</v>
      </c>
      <c r="B965" s="1371">
        <f t="shared" si="27"/>
        <v>38808</v>
      </c>
      <c r="C965" s="1370" t="str">
        <f t="shared" si="28"/>
        <v>S&amp;P 500 Utility Index</v>
      </c>
      <c r="F965" s="1380">
        <f>'PRPM WP2'!C966</f>
        <v>1.7167000000000002E-2</v>
      </c>
      <c r="H965" s="1380">
        <f>'PRPM WP2'!H966</f>
        <v>5.241666666666667E-3</v>
      </c>
      <c r="I965" s="1373">
        <f t="shared" si="26"/>
        <v>1.1925333333333335E-2</v>
      </c>
      <c r="J965" s="1371">
        <v>38808</v>
      </c>
    </row>
    <row r="966" spans="1:10" x14ac:dyDescent="0.45">
      <c r="A966" s="1370">
        <v>3</v>
      </c>
      <c r="B966" s="1371">
        <f t="shared" si="27"/>
        <v>38838</v>
      </c>
      <c r="C966" s="1370" t="str">
        <f t="shared" si="28"/>
        <v>S&amp;P 500 Utility Index</v>
      </c>
      <c r="F966" s="1380">
        <f>'PRPM WP2'!C967</f>
        <v>1.4280999999999999E-2</v>
      </c>
      <c r="H966" s="1380">
        <f>'PRPM WP2'!H967</f>
        <v>5.3500000000000006E-3</v>
      </c>
      <c r="I966" s="1373">
        <f t="shared" si="26"/>
        <v>8.930999999999998E-3</v>
      </c>
      <c r="J966" s="1371">
        <v>38838</v>
      </c>
    </row>
    <row r="967" spans="1:10" x14ac:dyDescent="0.45">
      <c r="A967" s="1370">
        <v>3</v>
      </c>
      <c r="B967" s="1371">
        <f t="shared" si="27"/>
        <v>38869</v>
      </c>
      <c r="C967" s="1370" t="str">
        <f t="shared" si="28"/>
        <v>S&amp;P 500 Utility Index</v>
      </c>
      <c r="F967" s="1380">
        <f>'PRPM WP2'!C968</f>
        <v>2.4157999999999999E-2</v>
      </c>
      <c r="H967" s="1380">
        <f>'PRPM WP2'!H968</f>
        <v>5.3333333333333332E-3</v>
      </c>
      <c r="I967" s="1373">
        <f t="shared" si="26"/>
        <v>1.8824666666666667E-2</v>
      </c>
      <c r="J967" s="1371">
        <v>38869</v>
      </c>
    </row>
    <row r="968" spans="1:10" x14ac:dyDescent="0.45">
      <c r="A968" s="1370">
        <v>3</v>
      </c>
      <c r="B968" s="1371">
        <f t="shared" si="27"/>
        <v>38899</v>
      </c>
      <c r="C968" s="1370" t="str">
        <f t="shared" si="28"/>
        <v>S&amp;P 500 Utility Index</v>
      </c>
      <c r="F968" s="1380">
        <f>'PRPM WP2'!C969</f>
        <v>5.1109000000000002E-2</v>
      </c>
      <c r="H968" s="1380">
        <f>'PRPM WP2'!H969</f>
        <v>5.3083333333333342E-3</v>
      </c>
      <c r="I968" s="1373">
        <f t="shared" si="26"/>
        <v>4.580066666666667E-2</v>
      </c>
      <c r="J968" s="1371">
        <v>38899</v>
      </c>
    </row>
    <row r="969" spans="1:10" x14ac:dyDescent="0.45">
      <c r="A969" s="1370">
        <v>3</v>
      </c>
      <c r="B969" s="1371">
        <f t="shared" si="27"/>
        <v>38930</v>
      </c>
      <c r="C969" s="1370" t="str">
        <f t="shared" si="28"/>
        <v>S&amp;P 500 Utility Index</v>
      </c>
      <c r="F969" s="1380">
        <f>'PRPM WP2'!C970</f>
        <v>2.7122E-2</v>
      </c>
      <c r="H969" s="1380">
        <f>'PRPM WP2'!H970</f>
        <v>5.1666666666666675E-3</v>
      </c>
      <c r="I969" s="1373">
        <f t="shared" si="26"/>
        <v>2.1955333333333334E-2</v>
      </c>
      <c r="J969" s="1371">
        <v>38930</v>
      </c>
    </row>
    <row r="970" spans="1:10" x14ac:dyDescent="0.45">
      <c r="A970" s="1370">
        <v>3</v>
      </c>
      <c r="B970" s="1371">
        <f t="shared" si="27"/>
        <v>38961</v>
      </c>
      <c r="C970" s="1370" t="str">
        <f t="shared" si="28"/>
        <v>S&amp;P 500 Utility Index</v>
      </c>
      <c r="F970" s="1380">
        <f>'PRPM WP2'!C971</f>
        <v>-1.7362000000000002E-2</v>
      </c>
      <c r="H970" s="1380">
        <f>'PRPM WP2'!H971</f>
        <v>5.0000000000000001E-3</v>
      </c>
      <c r="I970" s="1373">
        <f t="shared" si="26"/>
        <v>-2.2362000000000003E-2</v>
      </c>
      <c r="J970" s="1371">
        <v>38961</v>
      </c>
    </row>
    <row r="971" spans="1:10" x14ac:dyDescent="0.45">
      <c r="A971" s="1370">
        <v>3</v>
      </c>
      <c r="B971" s="1371">
        <f t="shared" si="27"/>
        <v>38991</v>
      </c>
      <c r="C971" s="1370" t="str">
        <f t="shared" si="28"/>
        <v>S&amp;P 500 Utility Index</v>
      </c>
      <c r="F971" s="1380">
        <f>'PRPM WP2'!C972</f>
        <v>5.6025999999999999E-2</v>
      </c>
      <c r="H971" s="1380">
        <f>'PRPM WP2'!H972</f>
        <v>4.9833333333333335E-3</v>
      </c>
      <c r="I971" s="1373">
        <f t="shared" si="26"/>
        <v>5.1042666666666667E-2</v>
      </c>
      <c r="J971" s="1371">
        <v>38991</v>
      </c>
    </row>
    <row r="972" spans="1:10" x14ac:dyDescent="0.45">
      <c r="A972" s="1370">
        <v>3</v>
      </c>
      <c r="B972" s="1371">
        <f t="shared" si="27"/>
        <v>39022</v>
      </c>
      <c r="C972" s="1370" t="str">
        <f t="shared" si="28"/>
        <v>S&amp;P 500 Utility Index</v>
      </c>
      <c r="F972" s="1380">
        <f>'PRPM WP2'!C973</f>
        <v>2.1404999999999997E-2</v>
      </c>
      <c r="H972" s="1380">
        <f>'PRPM WP2'!H973</f>
        <v>4.8333333333333336E-3</v>
      </c>
      <c r="I972" s="1373">
        <f t="shared" si="26"/>
        <v>1.6571666666666665E-2</v>
      </c>
      <c r="J972" s="1371">
        <v>39022</v>
      </c>
    </row>
    <row r="973" spans="1:10" x14ac:dyDescent="0.45">
      <c r="A973" s="1370">
        <v>3</v>
      </c>
      <c r="B973" s="1371">
        <f t="shared" si="27"/>
        <v>39052</v>
      </c>
      <c r="C973" s="1370" t="str">
        <f t="shared" si="28"/>
        <v>S&amp;P 500 Utility Index</v>
      </c>
      <c r="F973" s="1380">
        <f>'PRPM WP2'!C974</f>
        <v>1.1817000000000001E-2</v>
      </c>
      <c r="H973" s="1380">
        <f>'PRPM WP2'!H974</f>
        <v>4.8416666666666669E-3</v>
      </c>
      <c r="I973" s="1373">
        <f t="shared" si="26"/>
        <v>6.9753333333333343E-3</v>
      </c>
      <c r="J973" s="1371">
        <v>39052</v>
      </c>
    </row>
    <row r="974" spans="1:10" x14ac:dyDescent="0.45">
      <c r="A974" s="1370">
        <v>3</v>
      </c>
      <c r="B974" s="1371">
        <f t="shared" si="27"/>
        <v>39083</v>
      </c>
      <c r="C974" s="1370" t="str">
        <f t="shared" si="28"/>
        <v>S&amp;P 500 Utility Index</v>
      </c>
      <c r="F974" s="1380">
        <f>'PRPM WP2'!C975</f>
        <v>-1.134E-3</v>
      </c>
      <c r="H974" s="1380">
        <f>'PRPM WP2'!H975</f>
        <v>4.9666666666666661E-3</v>
      </c>
      <c r="I974" s="1373">
        <f t="shared" si="26"/>
        <v>-6.1006666666666657E-3</v>
      </c>
      <c r="J974" s="1371">
        <v>39083</v>
      </c>
    </row>
    <row r="975" spans="1:10" x14ac:dyDescent="0.45">
      <c r="A975" s="1370">
        <v>3</v>
      </c>
      <c r="B975" s="1371">
        <f t="shared" si="27"/>
        <v>39114</v>
      </c>
      <c r="C975" s="1370" t="str">
        <f t="shared" si="28"/>
        <v>S&amp;P 500 Utility Index</v>
      </c>
      <c r="F975" s="1380">
        <f>'PRPM WP2'!C976</f>
        <v>5.0340999999999997E-2</v>
      </c>
      <c r="H975" s="1380">
        <f>'PRPM WP2'!H976</f>
        <v>4.9166666666666673E-3</v>
      </c>
      <c r="I975" s="1373">
        <f t="shared" si="26"/>
        <v>4.542433333333333E-2</v>
      </c>
      <c r="J975" s="1371">
        <v>39114</v>
      </c>
    </row>
    <row r="976" spans="1:10" x14ac:dyDescent="0.45">
      <c r="A976" s="1370">
        <v>3</v>
      </c>
      <c r="B976" s="1371">
        <f t="shared" si="27"/>
        <v>39142</v>
      </c>
      <c r="C976" s="1370" t="str">
        <f t="shared" si="28"/>
        <v>S&amp;P 500 Utility Index</v>
      </c>
      <c r="F976" s="1380">
        <f>'PRPM WP2'!C977</f>
        <v>4.1373E-2</v>
      </c>
      <c r="H976" s="1380">
        <f>'PRPM WP2'!H977</f>
        <v>4.8750000000000009E-3</v>
      </c>
      <c r="I976" s="1373">
        <f t="shared" si="26"/>
        <v>3.6498000000000003E-2</v>
      </c>
      <c r="J976" s="1371">
        <v>39142</v>
      </c>
    </row>
    <row r="977" spans="1:10" x14ac:dyDescent="0.45">
      <c r="A977" s="1370">
        <v>3</v>
      </c>
      <c r="B977" s="1371">
        <f t="shared" si="27"/>
        <v>39173</v>
      </c>
      <c r="C977" s="1370" t="str">
        <f t="shared" si="28"/>
        <v>S&amp;P 500 Utility Index</v>
      </c>
      <c r="F977" s="1380">
        <f>'PRPM WP2'!C978</f>
        <v>4.3758999999999999E-2</v>
      </c>
      <c r="H977" s="1380">
        <f>'PRPM WP2'!H978</f>
        <v>4.9750000000000003E-3</v>
      </c>
      <c r="I977" s="1373">
        <f t="shared" si="26"/>
        <v>3.8783999999999999E-2</v>
      </c>
      <c r="J977" s="1371">
        <v>39173</v>
      </c>
    </row>
    <row r="978" spans="1:10" x14ac:dyDescent="0.45">
      <c r="A978" s="1370">
        <v>3</v>
      </c>
      <c r="B978" s="1371">
        <f t="shared" si="27"/>
        <v>39203</v>
      </c>
      <c r="C978" s="1370" t="str">
        <f t="shared" si="28"/>
        <v>S&amp;P 500 Utility Index</v>
      </c>
      <c r="F978" s="1380">
        <f>'PRPM WP2'!C979</f>
        <v>5.1450000000000003E-3</v>
      </c>
      <c r="H978" s="1380">
        <f>'PRPM WP2'!H979</f>
        <v>4.9916666666666668E-3</v>
      </c>
      <c r="I978" s="1373">
        <f t="shared" si="26"/>
        <v>1.5333333333333345E-4</v>
      </c>
      <c r="J978" s="1371">
        <v>39203</v>
      </c>
    </row>
    <row r="979" spans="1:10" x14ac:dyDescent="0.45">
      <c r="A979" s="1370">
        <v>3</v>
      </c>
      <c r="B979" s="1371">
        <f t="shared" si="27"/>
        <v>39234</v>
      </c>
      <c r="C979" s="1370" t="str">
        <f t="shared" si="28"/>
        <v>S&amp;P 500 Utility Index</v>
      </c>
      <c r="F979" s="1380">
        <f>'PRPM WP2'!C980</f>
        <v>-5.0620999999999999E-2</v>
      </c>
      <c r="H979" s="1380">
        <f>'PRPM WP2'!H980</f>
        <v>5.2500000000000003E-3</v>
      </c>
      <c r="I979" s="1373">
        <f t="shared" si="26"/>
        <v>-5.5870999999999997E-2</v>
      </c>
      <c r="J979" s="1371">
        <v>39234</v>
      </c>
    </row>
    <row r="980" spans="1:10" x14ac:dyDescent="0.45">
      <c r="A980" s="1370">
        <v>3</v>
      </c>
      <c r="B980" s="1371">
        <f t="shared" si="27"/>
        <v>39264</v>
      </c>
      <c r="C980" s="1370" t="str">
        <f t="shared" si="28"/>
        <v>S&amp;P 500 Utility Index</v>
      </c>
      <c r="F980" s="1380">
        <f>'PRPM WP2'!C981</f>
        <v>-3.5666000000000003E-2</v>
      </c>
      <c r="H980" s="1380">
        <f>'PRPM WP2'!H981</f>
        <v>5.2083333333333339E-3</v>
      </c>
      <c r="I980" s="1373">
        <f t="shared" si="26"/>
        <v>-4.0874333333333339E-2</v>
      </c>
      <c r="J980" s="1371">
        <v>39264</v>
      </c>
    </row>
    <row r="981" spans="1:10" x14ac:dyDescent="0.45">
      <c r="A981" s="1370">
        <v>3</v>
      </c>
      <c r="B981" s="1371">
        <f t="shared" si="27"/>
        <v>39295</v>
      </c>
      <c r="C981" s="1370" t="str">
        <f t="shared" si="28"/>
        <v>S&amp;P 500 Utility Index</v>
      </c>
      <c r="F981" s="1380">
        <f>'PRPM WP2'!C982</f>
        <v>2.0955999999999995E-2</v>
      </c>
      <c r="H981" s="1380">
        <f>'PRPM WP2'!H982</f>
        <v>5.1999999999999998E-3</v>
      </c>
      <c r="I981" s="1373">
        <f t="shared" si="26"/>
        <v>1.5755999999999996E-2</v>
      </c>
      <c r="J981" s="1371">
        <v>39295</v>
      </c>
    </row>
    <row r="982" spans="1:10" x14ac:dyDescent="0.45">
      <c r="A982" s="1370">
        <v>3</v>
      </c>
      <c r="B982" s="1371">
        <f t="shared" si="27"/>
        <v>39326</v>
      </c>
      <c r="C982" s="1370" t="str">
        <f t="shared" si="28"/>
        <v>S&amp;P 500 Utility Index</v>
      </c>
      <c r="F982" s="1380">
        <f>'PRPM WP2'!C983</f>
        <v>3.5427E-2</v>
      </c>
      <c r="H982" s="1380">
        <f>'PRPM WP2'!H983</f>
        <v>5.1500000000000001E-3</v>
      </c>
      <c r="I982" s="1373">
        <f t="shared" si="26"/>
        <v>3.0276999999999998E-2</v>
      </c>
      <c r="J982" s="1371">
        <v>39326</v>
      </c>
    </row>
    <row r="983" spans="1:10" x14ac:dyDescent="0.45">
      <c r="A983" s="1370">
        <v>3</v>
      </c>
      <c r="B983" s="1371">
        <f t="shared" si="27"/>
        <v>39356</v>
      </c>
      <c r="C983" s="1370" t="str">
        <f t="shared" si="28"/>
        <v>S&amp;P 500 Utility Index</v>
      </c>
      <c r="F983" s="1380">
        <f>'PRPM WP2'!C984</f>
        <v>6.8641000000000008E-2</v>
      </c>
      <c r="H983" s="1380">
        <f>'PRPM WP2'!H984</f>
        <v>5.0916666666666662E-3</v>
      </c>
      <c r="I983" s="1373">
        <f t="shared" si="26"/>
        <v>6.3549333333333347E-2</v>
      </c>
      <c r="J983" s="1371">
        <v>39356</v>
      </c>
    </row>
    <row r="984" spans="1:10" x14ac:dyDescent="0.45">
      <c r="A984" s="1370">
        <v>3</v>
      </c>
      <c r="B984" s="1371">
        <f t="shared" si="27"/>
        <v>39387</v>
      </c>
      <c r="C984" s="1370" t="str">
        <f t="shared" si="28"/>
        <v>S&amp;P 500 Utility Index</v>
      </c>
      <c r="F984" s="1380">
        <f>'PRPM WP2'!C985</f>
        <v>3.405E-3</v>
      </c>
      <c r="H984" s="1380">
        <f>'PRPM WP2'!H985</f>
        <v>4.9750000000000003E-3</v>
      </c>
      <c r="I984" s="1373">
        <f t="shared" si="26"/>
        <v>-1.5700000000000002E-3</v>
      </c>
      <c r="J984" s="1371">
        <v>39387</v>
      </c>
    </row>
    <row r="985" spans="1:10" x14ac:dyDescent="0.45">
      <c r="A985" s="1370">
        <v>3</v>
      </c>
      <c r="B985" s="1371">
        <f t="shared" si="27"/>
        <v>39417</v>
      </c>
      <c r="C985" s="1370" t="str">
        <f t="shared" si="28"/>
        <v>S&amp;P 500 Utility Index</v>
      </c>
      <c r="F985" s="1380">
        <f>'PRPM WP2'!C986</f>
        <v>2.7539999999999999E-3</v>
      </c>
      <c r="H985" s="1380">
        <f>'PRPM WP2'!H986</f>
        <v>5.1333333333333335E-3</v>
      </c>
      <c r="I985" s="1373">
        <f t="shared" si="26"/>
        <v>-2.3793333333333336E-3</v>
      </c>
      <c r="J985" s="1371">
        <v>39417</v>
      </c>
    </row>
    <row r="986" spans="1:10" x14ac:dyDescent="0.45">
      <c r="A986" s="1370">
        <v>3</v>
      </c>
      <c r="B986" s="1371">
        <f t="shared" si="27"/>
        <v>39448</v>
      </c>
      <c r="C986" s="1370" t="str">
        <f t="shared" si="28"/>
        <v>S&amp;P 500 Utility Index</v>
      </c>
      <c r="F986" s="1380">
        <f>'PRPM WP2'!C987</f>
        <v>-6.8132999999999999E-2</v>
      </c>
      <c r="H986" s="1380">
        <f>'PRPM WP2'!H987</f>
        <v>5.0166666666666658E-3</v>
      </c>
      <c r="I986" s="1373">
        <f t="shared" ref="I986:I1049" si="29">F986-H986</f>
        <v>-7.3149666666666668E-2</v>
      </c>
      <c r="J986" s="1371">
        <v>39448</v>
      </c>
    </row>
    <row r="987" spans="1:10" x14ac:dyDescent="0.45">
      <c r="A987" s="1370">
        <v>3</v>
      </c>
      <c r="B987" s="1371">
        <f t="shared" si="27"/>
        <v>39479</v>
      </c>
      <c r="C987" s="1370" t="str">
        <f t="shared" si="28"/>
        <v>S&amp;P 500 Utility Index</v>
      </c>
      <c r="F987" s="1380">
        <f>'PRPM WP2'!C988</f>
        <v>-4.9955999999999993E-2</v>
      </c>
      <c r="H987" s="1380">
        <f>'PRPM WP2'!H988</f>
        <v>5.1749999999999999E-3</v>
      </c>
      <c r="I987" s="1373">
        <f t="shared" si="29"/>
        <v>-5.5130999999999993E-2</v>
      </c>
      <c r="J987" s="1371">
        <v>39479</v>
      </c>
    </row>
    <row r="988" spans="1:10" x14ac:dyDescent="0.45">
      <c r="A988" s="1370">
        <v>3</v>
      </c>
      <c r="B988" s="1371">
        <f t="shared" si="27"/>
        <v>39508</v>
      </c>
      <c r="C988" s="1370" t="str">
        <f t="shared" si="28"/>
        <v>S&amp;P 500 Utility Index</v>
      </c>
      <c r="F988" s="1380">
        <f>'PRPM WP2'!C989</f>
        <v>1.7056000000000002E-2</v>
      </c>
      <c r="H988" s="1380">
        <f>'PRPM WP2'!H989</f>
        <v>5.1749999999999999E-3</v>
      </c>
      <c r="I988" s="1373">
        <f t="shared" si="29"/>
        <v>1.1881000000000003E-2</v>
      </c>
      <c r="J988" s="1371">
        <v>39508</v>
      </c>
    </row>
    <row r="989" spans="1:10" x14ac:dyDescent="0.45">
      <c r="A989" s="1370">
        <v>3</v>
      </c>
      <c r="B989" s="1371">
        <f t="shared" si="27"/>
        <v>39539</v>
      </c>
      <c r="C989" s="1370" t="str">
        <f t="shared" si="28"/>
        <v>S&amp;P 500 Utility Index</v>
      </c>
      <c r="F989" s="1380">
        <f>'PRPM WP2'!C990</f>
        <v>5.5163000000000004E-2</v>
      </c>
      <c r="H989" s="1380">
        <f>'PRPM WP2'!H990</f>
        <v>5.241666666666667E-3</v>
      </c>
      <c r="I989" s="1373">
        <f t="shared" si="29"/>
        <v>4.9921333333333338E-2</v>
      </c>
      <c r="J989" s="1371">
        <v>39539</v>
      </c>
    </row>
    <row r="990" spans="1:10" x14ac:dyDescent="0.45">
      <c r="A990" s="1370">
        <v>3</v>
      </c>
      <c r="B990" s="1371">
        <f t="shared" si="27"/>
        <v>39569</v>
      </c>
      <c r="C990" s="1370" t="str">
        <f t="shared" si="28"/>
        <v>S&amp;P 500 Utility Index</v>
      </c>
      <c r="F990" s="1380">
        <f>'PRPM WP2'!C991</f>
        <v>3.1987000000000002E-2</v>
      </c>
      <c r="H990" s="1380">
        <f>'PRPM WP2'!H991</f>
        <v>5.2249999999999996E-3</v>
      </c>
      <c r="I990" s="1373">
        <f t="shared" si="29"/>
        <v>2.6762000000000001E-2</v>
      </c>
      <c r="J990" s="1371">
        <v>39569</v>
      </c>
    </row>
    <row r="991" spans="1:10" x14ac:dyDescent="0.45">
      <c r="A991" s="1370">
        <v>3</v>
      </c>
      <c r="B991" s="1371">
        <f t="shared" si="27"/>
        <v>39600</v>
      </c>
      <c r="C991" s="1370" t="str">
        <f t="shared" si="28"/>
        <v>S&amp;P 500 Utility Index</v>
      </c>
      <c r="F991" s="1380">
        <f>'PRPM WP2'!C992</f>
        <v>-8.6680000000000004E-3</v>
      </c>
      <c r="H991" s="1380">
        <f>'PRPM WP2'!H992</f>
        <v>5.3166666666666666E-3</v>
      </c>
      <c r="I991" s="1373">
        <f t="shared" si="29"/>
        <v>-1.3984666666666666E-2</v>
      </c>
      <c r="J991" s="1371">
        <v>39600</v>
      </c>
    </row>
    <row r="992" spans="1:10" x14ac:dyDescent="0.45">
      <c r="A992" s="1370">
        <v>3</v>
      </c>
      <c r="B992" s="1371">
        <f t="shared" si="27"/>
        <v>39630</v>
      </c>
      <c r="C992" s="1370" t="str">
        <f t="shared" si="28"/>
        <v>S&amp;P 500 Utility Index</v>
      </c>
      <c r="F992" s="1380">
        <f>'PRPM WP2'!C993</f>
        <v>-6.1108000000000003E-2</v>
      </c>
      <c r="H992" s="1380">
        <f>'PRPM WP2'!H993</f>
        <v>5.3333333333333332E-3</v>
      </c>
      <c r="I992" s="1373">
        <f t="shared" si="29"/>
        <v>-6.6441333333333338E-2</v>
      </c>
      <c r="J992" s="1371">
        <v>39630</v>
      </c>
    </row>
    <row r="993" spans="1:10" x14ac:dyDescent="0.45">
      <c r="A993" s="1370">
        <v>3</v>
      </c>
      <c r="B993" s="1371">
        <f t="shared" si="27"/>
        <v>39661</v>
      </c>
      <c r="C993" s="1370" t="str">
        <f t="shared" si="28"/>
        <v>S&amp;P 500 Utility Index</v>
      </c>
      <c r="F993" s="1380">
        <f>'PRPM WP2'!C994</f>
        <v>-1.6601999999999999E-2</v>
      </c>
      <c r="H993" s="1380">
        <f>'PRPM WP2'!H994</f>
        <v>5.3083333333333342E-3</v>
      </c>
      <c r="I993" s="1373">
        <f t="shared" si="29"/>
        <v>-2.1910333333333334E-2</v>
      </c>
      <c r="J993" s="1371">
        <v>39661</v>
      </c>
    </row>
    <row r="994" spans="1:10" x14ac:dyDescent="0.45">
      <c r="A994" s="1370">
        <v>3</v>
      </c>
      <c r="B994" s="1371">
        <f t="shared" si="27"/>
        <v>39692</v>
      </c>
      <c r="C994" s="1370" t="str">
        <f t="shared" si="28"/>
        <v>S&amp;P 500 Utility Index</v>
      </c>
      <c r="F994" s="1380">
        <f>'PRPM WP2'!C995</f>
        <v>-0.11482300000000001</v>
      </c>
      <c r="H994" s="1380">
        <f>'PRPM WP2'!H995</f>
        <v>5.4083333333333336E-3</v>
      </c>
      <c r="I994" s="1373">
        <f t="shared" si="29"/>
        <v>-0.12023133333333334</v>
      </c>
      <c r="J994" s="1371">
        <v>39692</v>
      </c>
    </row>
    <row r="995" spans="1:10" x14ac:dyDescent="0.45">
      <c r="A995" s="1370">
        <v>3</v>
      </c>
      <c r="B995" s="1371">
        <f t="shared" si="27"/>
        <v>39722</v>
      </c>
      <c r="C995" s="1370" t="str">
        <f t="shared" si="28"/>
        <v>S&amp;P 500 Utility Index</v>
      </c>
      <c r="F995" s="1380">
        <f>'PRPM WP2'!C996</f>
        <v>-0.116128</v>
      </c>
      <c r="H995" s="1380">
        <f>'PRPM WP2'!H996</f>
        <v>6.3E-3</v>
      </c>
      <c r="I995" s="1373">
        <f t="shared" si="29"/>
        <v>-0.122428</v>
      </c>
      <c r="J995" s="1371">
        <v>39722</v>
      </c>
    </row>
    <row r="996" spans="1:10" x14ac:dyDescent="0.45">
      <c r="A996" s="1370">
        <v>3</v>
      </c>
      <c r="B996" s="1371">
        <f t="shared" si="27"/>
        <v>39753</v>
      </c>
      <c r="C996" s="1370" t="str">
        <f t="shared" si="28"/>
        <v>S&amp;P 500 Utility Index</v>
      </c>
      <c r="F996" s="1380">
        <f>'PRPM WP2'!C997</f>
        <v>2.7894000000000002E-2</v>
      </c>
      <c r="H996" s="1380">
        <f>'PRPM WP2'!H997</f>
        <v>6.3333333333333332E-3</v>
      </c>
      <c r="I996" s="1373">
        <f t="shared" si="29"/>
        <v>2.1560666666666669E-2</v>
      </c>
      <c r="J996" s="1371">
        <v>39753</v>
      </c>
    </row>
    <row r="997" spans="1:10" x14ac:dyDescent="0.45">
      <c r="A997" s="1370">
        <v>3</v>
      </c>
      <c r="B997" s="1371">
        <f t="shared" si="27"/>
        <v>39783</v>
      </c>
      <c r="C997" s="1370" t="str">
        <f t="shared" si="28"/>
        <v>S&amp;P 500 Utility Index</v>
      </c>
      <c r="F997" s="1380">
        <f>'PRPM WP2'!C998</f>
        <v>-1.6796999999999999E-2</v>
      </c>
      <c r="H997" s="1380">
        <f>'PRPM WP2'!H998</f>
        <v>5.45E-3</v>
      </c>
      <c r="I997" s="1373">
        <f t="shared" si="29"/>
        <v>-2.2246999999999999E-2</v>
      </c>
      <c r="J997" s="1371">
        <v>39783</v>
      </c>
    </row>
    <row r="998" spans="1:10" x14ac:dyDescent="0.45">
      <c r="A998" s="1370">
        <v>3</v>
      </c>
      <c r="B998" s="1371">
        <f t="shared" si="27"/>
        <v>39814</v>
      </c>
      <c r="C998" s="1370" t="str">
        <f t="shared" si="28"/>
        <v>S&amp;P 500 Utility Index</v>
      </c>
      <c r="F998" s="1380">
        <f>'PRPM WP2'!C999</f>
        <v>-4.5409999999999999E-3</v>
      </c>
      <c r="H998" s="1380">
        <f>'PRPM WP2'!H999</f>
        <v>5.3249999999999999E-3</v>
      </c>
      <c r="I998" s="1373">
        <f t="shared" si="29"/>
        <v>-9.8659999999999998E-3</v>
      </c>
      <c r="J998" s="1371">
        <v>39814</v>
      </c>
    </row>
    <row r="999" spans="1:10" x14ac:dyDescent="0.45">
      <c r="A999" s="1370">
        <v>3</v>
      </c>
      <c r="B999" s="1371">
        <f t="shared" si="27"/>
        <v>39845</v>
      </c>
      <c r="C999" s="1370" t="str">
        <f t="shared" si="28"/>
        <v>S&amp;P 500 Utility Index</v>
      </c>
      <c r="F999" s="1380">
        <f>'PRPM WP2'!C1000</f>
        <v>-0.12570800000000001</v>
      </c>
      <c r="H999" s="1380">
        <f>'PRPM WP2'!H1000</f>
        <v>5.2500000000000003E-3</v>
      </c>
      <c r="I999" s="1373">
        <f t="shared" si="29"/>
        <v>-0.13095800000000002</v>
      </c>
      <c r="J999" s="1371">
        <v>39845</v>
      </c>
    </row>
    <row r="1000" spans="1:10" x14ac:dyDescent="0.45">
      <c r="A1000" s="1370">
        <v>3</v>
      </c>
      <c r="B1000" s="1371">
        <f t="shared" si="27"/>
        <v>39873</v>
      </c>
      <c r="C1000" s="1370" t="str">
        <f t="shared" si="28"/>
        <v>S&amp;P 500 Utility Index</v>
      </c>
      <c r="F1000" s="1380">
        <f>'PRPM WP2'!C1001</f>
        <v>2.5255E-2</v>
      </c>
      <c r="H1000" s="1380">
        <f>'PRPM WP2'!H1001</f>
        <v>5.3500000000000006E-3</v>
      </c>
      <c r="I1000" s="1373">
        <f t="shared" si="29"/>
        <v>1.9904999999999999E-2</v>
      </c>
      <c r="J1000" s="1371">
        <v>39873</v>
      </c>
    </row>
    <row r="1001" spans="1:10" x14ac:dyDescent="0.45">
      <c r="A1001" s="1370">
        <v>3</v>
      </c>
      <c r="B1001" s="1371">
        <f t="shared" si="27"/>
        <v>39904</v>
      </c>
      <c r="C1001" s="1370" t="str">
        <f t="shared" si="28"/>
        <v>S&amp;P 500 Utility Index</v>
      </c>
      <c r="F1001" s="1380">
        <f>'PRPM WP2'!C1002</f>
        <v>8.4620000000000008E-3</v>
      </c>
      <c r="H1001" s="1380">
        <f>'PRPM WP2'!H1002</f>
        <v>5.4000000000000003E-3</v>
      </c>
      <c r="I1001" s="1373">
        <f t="shared" si="29"/>
        <v>3.0620000000000005E-3</v>
      </c>
      <c r="J1001" s="1371">
        <v>39904</v>
      </c>
    </row>
    <row r="1002" spans="1:10" x14ac:dyDescent="0.45">
      <c r="A1002" s="1370">
        <v>3</v>
      </c>
      <c r="B1002" s="1371">
        <f t="shared" si="27"/>
        <v>39934</v>
      </c>
      <c r="C1002" s="1370" t="str">
        <f t="shared" si="28"/>
        <v>S&amp;P 500 Utility Index</v>
      </c>
      <c r="F1002" s="1380">
        <f>'PRPM WP2'!C1003</f>
        <v>3.5286999999999999E-2</v>
      </c>
      <c r="H1002" s="1380">
        <f>'PRPM WP2'!H1003</f>
        <v>5.4083333333333336E-3</v>
      </c>
      <c r="I1002" s="1373">
        <f t="shared" si="29"/>
        <v>2.9878666666666664E-2</v>
      </c>
      <c r="J1002" s="1371">
        <v>39934</v>
      </c>
    </row>
    <row r="1003" spans="1:10" x14ac:dyDescent="0.45">
      <c r="A1003" s="1370">
        <v>3</v>
      </c>
      <c r="B1003" s="1371">
        <f t="shared" si="27"/>
        <v>39965</v>
      </c>
      <c r="C1003" s="1370" t="str">
        <f t="shared" si="28"/>
        <v>S&amp;P 500 Utility Index</v>
      </c>
      <c r="F1003" s="1380">
        <f>'PRPM WP2'!C1004</f>
        <v>5.5202000000000001E-2</v>
      </c>
      <c r="H1003" s="1380">
        <f>'PRPM WP2'!H1004</f>
        <v>5.1666666666666675E-3</v>
      </c>
      <c r="I1003" s="1373">
        <f t="shared" si="29"/>
        <v>5.0035333333333334E-2</v>
      </c>
      <c r="J1003" s="1371">
        <v>39965</v>
      </c>
    </row>
    <row r="1004" spans="1:10" x14ac:dyDescent="0.45">
      <c r="A1004" s="1370">
        <v>3</v>
      </c>
      <c r="B1004" s="1371">
        <f t="shared" si="27"/>
        <v>39995</v>
      </c>
      <c r="C1004" s="1370" t="str">
        <f t="shared" si="28"/>
        <v>S&amp;P 500 Utility Index</v>
      </c>
      <c r="F1004" s="1380">
        <f>'PRPM WP2'!C1005</f>
        <v>4.0755E-2</v>
      </c>
      <c r="H1004" s="1380">
        <f>'PRPM WP2'!H1005</f>
        <v>4.9750000000000003E-3</v>
      </c>
      <c r="I1004" s="1373">
        <f t="shared" si="29"/>
        <v>3.5779999999999999E-2</v>
      </c>
      <c r="J1004" s="1371">
        <v>39995</v>
      </c>
    </row>
    <row r="1005" spans="1:10" x14ac:dyDescent="0.45">
      <c r="A1005" s="1370">
        <v>3</v>
      </c>
      <c r="B1005" s="1371">
        <f t="shared" si="27"/>
        <v>40026</v>
      </c>
      <c r="C1005" s="1370" t="str">
        <f t="shared" si="28"/>
        <v>S&amp;P 500 Utility Index</v>
      </c>
      <c r="F1005" s="1380">
        <f>'PRPM WP2'!C1006</f>
        <v>5.4599999999999996E-3</v>
      </c>
      <c r="H1005" s="1380">
        <f>'PRPM WP2'!H1006</f>
        <v>4.7583333333333332E-3</v>
      </c>
      <c r="I1005" s="1373">
        <f t="shared" si="29"/>
        <v>7.0166666666666641E-4</v>
      </c>
      <c r="J1005" s="1371">
        <v>40026</v>
      </c>
    </row>
    <row r="1006" spans="1:10" x14ac:dyDescent="0.45">
      <c r="A1006" s="1370">
        <v>3</v>
      </c>
      <c r="B1006" s="1371">
        <f t="shared" si="27"/>
        <v>40057</v>
      </c>
      <c r="C1006" s="1370" t="str">
        <f t="shared" si="28"/>
        <v>S&amp;P 500 Utility Index</v>
      </c>
      <c r="F1006" s="1380">
        <f>'PRPM WP2'!C1007</f>
        <v>1.4283999999999998E-2</v>
      </c>
      <c r="H1006" s="1380">
        <f>'PRPM WP2'!H1007</f>
        <v>4.6083333333333341E-3</v>
      </c>
      <c r="I1006" s="1373">
        <f t="shared" si="29"/>
        <v>9.675666666666664E-3</v>
      </c>
      <c r="J1006" s="1371">
        <v>40057</v>
      </c>
    </row>
    <row r="1007" spans="1:10" x14ac:dyDescent="0.45">
      <c r="A1007" s="1370">
        <v>3</v>
      </c>
      <c r="B1007" s="1371">
        <f t="shared" si="27"/>
        <v>40087</v>
      </c>
      <c r="C1007" s="1370" t="str">
        <f t="shared" si="28"/>
        <v>S&amp;P 500 Utility Index</v>
      </c>
      <c r="F1007" s="1380">
        <f>'PRPM WP2'!C1008</f>
        <v>-2.8427000000000001E-2</v>
      </c>
      <c r="H1007" s="1380">
        <f>'PRPM WP2'!H1008</f>
        <v>4.6249999999999998E-3</v>
      </c>
      <c r="I1007" s="1373">
        <f t="shared" si="29"/>
        <v>-3.3051999999999998E-2</v>
      </c>
      <c r="J1007" s="1371">
        <v>40087</v>
      </c>
    </row>
    <row r="1008" spans="1:10" x14ac:dyDescent="0.45">
      <c r="A1008" s="1370">
        <v>3</v>
      </c>
      <c r="B1008" s="1371">
        <f t="shared" si="27"/>
        <v>40118</v>
      </c>
      <c r="C1008" s="1370" t="str">
        <f t="shared" si="28"/>
        <v>S&amp;P 500 Utility Index</v>
      </c>
      <c r="F1008" s="1380">
        <f>'PRPM WP2'!C1009</f>
        <v>4.5586000000000002E-2</v>
      </c>
      <c r="H1008" s="1380">
        <f>'PRPM WP2'!H1009</f>
        <v>4.6999999999999993E-3</v>
      </c>
      <c r="I1008" s="1373">
        <f t="shared" si="29"/>
        <v>4.0886000000000006E-2</v>
      </c>
      <c r="J1008" s="1371">
        <v>40118</v>
      </c>
    </row>
    <row r="1009" spans="1:10" x14ac:dyDescent="0.45">
      <c r="A1009" s="1370">
        <v>3</v>
      </c>
      <c r="B1009" s="1371">
        <f t="shared" si="27"/>
        <v>40148</v>
      </c>
      <c r="C1009" s="1370" t="str">
        <f t="shared" si="28"/>
        <v>S&amp;P 500 Utility Index</v>
      </c>
      <c r="F1009" s="1380">
        <f>'PRPM WP2'!C1010</f>
        <v>5.5813000000000008E-2</v>
      </c>
      <c r="H1009" s="1380">
        <f>'PRPM WP2'!H1010</f>
        <v>4.8249999999999994E-3</v>
      </c>
      <c r="I1009" s="1373">
        <f t="shared" si="29"/>
        <v>5.0988000000000006E-2</v>
      </c>
      <c r="J1009" s="1371">
        <v>40148</v>
      </c>
    </row>
    <row r="1010" spans="1:10" x14ac:dyDescent="0.45">
      <c r="A1010" s="1370">
        <v>3</v>
      </c>
      <c r="B1010" s="1371">
        <f t="shared" si="27"/>
        <v>40179</v>
      </c>
      <c r="C1010" s="1370" t="str">
        <f t="shared" si="28"/>
        <v>S&amp;P 500 Utility Index</v>
      </c>
      <c r="F1010" s="1380">
        <f>'PRPM WP2'!C1011</f>
        <v>-4.7493E-2</v>
      </c>
      <c r="H1010" s="1380">
        <f>'PRPM WP2'!H1011</f>
        <v>4.8083333333333329E-3</v>
      </c>
      <c r="I1010" s="1373">
        <f t="shared" si="29"/>
        <v>-5.2301333333333332E-2</v>
      </c>
      <c r="J1010" s="1371">
        <v>40179</v>
      </c>
    </row>
    <row r="1011" spans="1:10" x14ac:dyDescent="0.45">
      <c r="A1011" s="1370">
        <v>3</v>
      </c>
      <c r="B1011" s="1371">
        <f t="shared" si="27"/>
        <v>40210</v>
      </c>
      <c r="C1011" s="1370" t="str">
        <f t="shared" si="28"/>
        <v>S&amp;P 500 Utility Index</v>
      </c>
      <c r="F1011" s="1380">
        <f>'PRPM WP2'!C1012</f>
        <v>-1.4896E-2</v>
      </c>
      <c r="H1011" s="1380">
        <f>'PRPM WP2'!H1012</f>
        <v>4.8916666666666666E-3</v>
      </c>
      <c r="I1011" s="1373">
        <f t="shared" si="29"/>
        <v>-1.9787666666666665E-2</v>
      </c>
      <c r="J1011" s="1371">
        <v>40210</v>
      </c>
    </row>
    <row r="1012" spans="1:10" x14ac:dyDescent="0.45">
      <c r="A1012" s="1370">
        <v>3</v>
      </c>
      <c r="B1012" s="1371">
        <f t="shared" si="27"/>
        <v>40238</v>
      </c>
      <c r="C1012" s="1370" t="str">
        <f t="shared" si="28"/>
        <v>S&amp;P 500 Utility Index</v>
      </c>
      <c r="F1012" s="1380">
        <f>'PRPM WP2'!C1013</f>
        <v>2.7978000000000006E-2</v>
      </c>
      <c r="H1012" s="1380">
        <f>'PRPM WP2'!H1013</f>
        <v>4.8666666666666667E-3</v>
      </c>
      <c r="I1012" s="1373">
        <f t="shared" si="29"/>
        <v>2.3111333333333338E-2</v>
      </c>
      <c r="J1012" s="1371">
        <v>40238</v>
      </c>
    </row>
    <row r="1013" spans="1:10" x14ac:dyDescent="0.45">
      <c r="A1013" s="1370">
        <v>3</v>
      </c>
      <c r="B1013" s="1371">
        <f t="shared" si="27"/>
        <v>40269</v>
      </c>
      <c r="C1013" s="1370" t="str">
        <f t="shared" si="28"/>
        <v>S&amp;P 500 Utility Index</v>
      </c>
      <c r="F1013" s="1380">
        <f>'PRPM WP2'!C1014</f>
        <v>2.8058E-2</v>
      </c>
      <c r="H1013" s="1380">
        <f>'PRPM WP2'!H1014</f>
        <v>4.841666666666666E-3</v>
      </c>
      <c r="I1013" s="1373">
        <f t="shared" si="29"/>
        <v>2.3216333333333332E-2</v>
      </c>
      <c r="J1013" s="1371">
        <v>40269</v>
      </c>
    </row>
    <row r="1014" spans="1:10" x14ac:dyDescent="0.45">
      <c r="A1014" s="1370">
        <v>3</v>
      </c>
      <c r="B1014" s="1371">
        <f t="shared" ref="B1014:B1077" si="30">DATE(YEAR(B1013),MONTH(B1013) + 1,1)</f>
        <v>40299</v>
      </c>
      <c r="C1014" s="1370" t="str">
        <f t="shared" ref="C1014:C1077" si="31">C1013</f>
        <v>S&amp;P 500 Utility Index</v>
      </c>
      <c r="F1014" s="1380">
        <f>'PRPM WP2'!C1015</f>
        <v>-5.7599999999999998E-2</v>
      </c>
      <c r="H1014" s="1380">
        <f>'PRPM WP2'!H1015</f>
        <v>4.5833333333333334E-3</v>
      </c>
      <c r="I1014" s="1373">
        <f t="shared" si="29"/>
        <v>-6.2183333333333334E-2</v>
      </c>
      <c r="J1014" s="1371">
        <v>40299</v>
      </c>
    </row>
    <row r="1015" spans="1:10" x14ac:dyDescent="0.45">
      <c r="A1015" s="1370">
        <v>3</v>
      </c>
      <c r="B1015" s="1371">
        <f t="shared" si="30"/>
        <v>40330</v>
      </c>
      <c r="C1015" s="1370" t="str">
        <f t="shared" si="31"/>
        <v>S&amp;P 500 Utility Index</v>
      </c>
      <c r="F1015" s="1380">
        <f>'PRPM WP2'!C1016</f>
        <v>-6.3599999999999993E-3</v>
      </c>
      <c r="H1015" s="1380">
        <f>'PRPM WP2'!H1016</f>
        <v>4.5500000000000002E-3</v>
      </c>
      <c r="I1015" s="1373">
        <f t="shared" si="29"/>
        <v>-1.091E-2</v>
      </c>
      <c r="J1015" s="1371">
        <v>40330</v>
      </c>
    </row>
    <row r="1016" spans="1:10" x14ac:dyDescent="0.45">
      <c r="A1016" s="1370">
        <v>3</v>
      </c>
      <c r="B1016" s="1371">
        <f t="shared" si="30"/>
        <v>40360</v>
      </c>
      <c r="C1016" s="1370" t="str">
        <f t="shared" si="31"/>
        <v>S&amp;P 500 Utility Index</v>
      </c>
      <c r="F1016" s="1380">
        <f>'PRPM WP2'!C1017</f>
        <v>7.741300000000001E-2</v>
      </c>
      <c r="H1016" s="1380">
        <f>'PRPM WP2'!H1017</f>
        <v>4.3833333333333328E-3</v>
      </c>
      <c r="I1016" s="1373">
        <f t="shared" si="29"/>
        <v>7.3029666666666673E-2</v>
      </c>
      <c r="J1016" s="1371">
        <v>40360</v>
      </c>
    </row>
    <row r="1017" spans="1:10" x14ac:dyDescent="0.45">
      <c r="A1017" s="1370">
        <v>3</v>
      </c>
      <c r="B1017" s="1371">
        <f t="shared" si="30"/>
        <v>40391</v>
      </c>
      <c r="C1017" s="1370" t="str">
        <f t="shared" si="31"/>
        <v>S&amp;P 500 Utility Index</v>
      </c>
      <c r="F1017" s="1380">
        <f>'PRPM WP2'!C1018</f>
        <v>1.2496E-2</v>
      </c>
      <c r="H1017" s="1380">
        <f>'PRPM WP2'!H1018</f>
        <v>4.1749999999999999E-3</v>
      </c>
      <c r="I1017" s="1373">
        <f t="shared" si="29"/>
        <v>8.3210000000000003E-3</v>
      </c>
      <c r="J1017" s="1371">
        <v>40391</v>
      </c>
    </row>
    <row r="1018" spans="1:10" x14ac:dyDescent="0.45">
      <c r="A1018" s="1370">
        <v>3</v>
      </c>
      <c r="B1018" s="1371">
        <f t="shared" si="30"/>
        <v>40422</v>
      </c>
      <c r="C1018" s="1370" t="str">
        <f t="shared" si="31"/>
        <v>S&amp;P 500 Utility Index</v>
      </c>
      <c r="F1018" s="1380">
        <f>'PRPM WP2'!C1019</f>
        <v>2.9575000000000001E-2</v>
      </c>
      <c r="H1018" s="1380">
        <f>'PRPM WP2'!H1019</f>
        <v>4.1749999999999999E-3</v>
      </c>
      <c r="I1018" s="1373">
        <f t="shared" si="29"/>
        <v>2.5399999999999999E-2</v>
      </c>
      <c r="J1018" s="1371">
        <v>40422</v>
      </c>
    </row>
    <row r="1019" spans="1:10" x14ac:dyDescent="0.45">
      <c r="A1019" s="1370">
        <v>3</v>
      </c>
      <c r="B1019" s="1371">
        <f t="shared" si="30"/>
        <v>40452</v>
      </c>
      <c r="C1019" s="1370" t="str">
        <f t="shared" si="31"/>
        <v>S&amp;P 500 Utility Index</v>
      </c>
      <c r="F1019" s="1380">
        <f>'PRPM WP2'!C1020</f>
        <v>1.2868999999999998E-2</v>
      </c>
      <c r="H1019" s="1380">
        <f>'PRPM WP2'!H1020</f>
        <v>4.2500000000000003E-3</v>
      </c>
      <c r="I1019" s="1373">
        <f t="shared" si="29"/>
        <v>8.6189999999999982E-3</v>
      </c>
      <c r="J1019" s="1371">
        <v>40452</v>
      </c>
    </row>
    <row r="1020" spans="1:10" x14ac:dyDescent="0.45">
      <c r="A1020" s="1370">
        <v>3</v>
      </c>
      <c r="B1020" s="1371">
        <f t="shared" si="30"/>
        <v>40483</v>
      </c>
      <c r="C1020" s="1370" t="str">
        <f t="shared" si="31"/>
        <v>S&amp;P 500 Utility Index</v>
      </c>
      <c r="F1020" s="1380">
        <f>'PRPM WP2'!C1021</f>
        <v>-3.2323000000000005E-2</v>
      </c>
      <c r="H1020" s="1380">
        <f>'PRPM WP2'!H1021</f>
        <v>4.4749999999999998E-3</v>
      </c>
      <c r="I1020" s="1373">
        <f t="shared" si="29"/>
        <v>-3.6798000000000004E-2</v>
      </c>
      <c r="J1020" s="1371">
        <v>40483</v>
      </c>
    </row>
    <row r="1021" spans="1:10" x14ac:dyDescent="0.45">
      <c r="A1021" s="1370">
        <v>3</v>
      </c>
      <c r="B1021" s="1371">
        <f t="shared" si="30"/>
        <v>40513</v>
      </c>
      <c r="C1021" s="1370" t="str">
        <f t="shared" si="31"/>
        <v>S&amp;P 500 Utility Index</v>
      </c>
      <c r="F1021" s="1380">
        <f>'PRPM WP2'!C1022</f>
        <v>3.1150999999999998E-2</v>
      </c>
      <c r="H1021" s="1380">
        <f>'PRPM WP2'!H1022</f>
        <v>4.6333333333333331E-3</v>
      </c>
      <c r="I1021" s="1373">
        <f t="shared" si="29"/>
        <v>2.6517666666666665E-2</v>
      </c>
      <c r="J1021" s="1371">
        <v>40513</v>
      </c>
    </row>
    <row r="1022" spans="1:10" x14ac:dyDescent="0.45">
      <c r="A1022" s="1370">
        <v>3</v>
      </c>
      <c r="B1022" s="1371">
        <f t="shared" si="30"/>
        <v>40544</v>
      </c>
      <c r="C1022" s="1370" t="str">
        <f t="shared" si="31"/>
        <v>S&amp;P 500 Utility Index</v>
      </c>
      <c r="F1022" s="1380">
        <f>'PRPM WP2'!C1023</f>
        <v>1.4241E-2</v>
      </c>
      <c r="H1022" s="1380">
        <f>'PRPM WP2'!H1023</f>
        <v>4.6416666666666663E-3</v>
      </c>
      <c r="I1022" s="1373">
        <f t="shared" si="29"/>
        <v>9.5993333333333347E-3</v>
      </c>
      <c r="J1022" s="1371">
        <v>40544</v>
      </c>
    </row>
    <row r="1023" spans="1:10" x14ac:dyDescent="0.45">
      <c r="A1023" s="1370">
        <v>3</v>
      </c>
      <c r="B1023" s="1371">
        <f t="shared" si="30"/>
        <v>40575</v>
      </c>
      <c r="C1023" s="1370" t="str">
        <f t="shared" si="31"/>
        <v>S&amp;P 500 Utility Index</v>
      </c>
      <c r="F1023" s="1380">
        <f>'PRPM WP2'!C1024</f>
        <v>1.1235E-2</v>
      </c>
      <c r="H1023" s="1380">
        <f>'PRPM WP2'!H1024</f>
        <v>4.7333333333333333E-3</v>
      </c>
      <c r="I1023" s="1373">
        <f t="shared" si="29"/>
        <v>6.5016666666666669E-3</v>
      </c>
      <c r="J1023" s="1371">
        <v>40575</v>
      </c>
    </row>
    <row r="1024" spans="1:10" x14ac:dyDescent="0.45">
      <c r="A1024" s="1370">
        <v>3</v>
      </c>
      <c r="B1024" s="1371">
        <f t="shared" si="30"/>
        <v>40603</v>
      </c>
      <c r="C1024" s="1370" t="str">
        <f t="shared" si="31"/>
        <v>S&amp;P 500 Utility Index</v>
      </c>
      <c r="F1024" s="1380">
        <f>'PRPM WP2'!C1025</f>
        <v>1.474E-3</v>
      </c>
      <c r="H1024" s="1380">
        <f>'PRPM WP2'!H1025</f>
        <v>4.6333333333333331E-3</v>
      </c>
      <c r="I1024" s="1373">
        <f t="shared" si="29"/>
        <v>-3.159333333333333E-3</v>
      </c>
      <c r="J1024" s="1371">
        <v>40603</v>
      </c>
    </row>
    <row r="1025" spans="1:10" x14ac:dyDescent="0.45">
      <c r="A1025" s="1370">
        <v>3</v>
      </c>
      <c r="B1025" s="1371">
        <f t="shared" si="30"/>
        <v>40634</v>
      </c>
      <c r="C1025" s="1370" t="str">
        <f t="shared" si="31"/>
        <v>S&amp;P 500 Utility Index</v>
      </c>
      <c r="F1025" s="1380">
        <f>'PRPM WP2'!C1026</f>
        <v>4.1877999999999999E-2</v>
      </c>
      <c r="H1025" s="1380">
        <f>'PRPM WP2'!H1026</f>
        <v>4.6249999999999998E-3</v>
      </c>
      <c r="I1025" s="1373">
        <f t="shared" si="29"/>
        <v>3.7253000000000001E-2</v>
      </c>
      <c r="J1025" s="1371">
        <v>40634</v>
      </c>
    </row>
    <row r="1026" spans="1:10" x14ac:dyDescent="0.45">
      <c r="A1026" s="1370">
        <v>3</v>
      </c>
      <c r="B1026" s="1371">
        <f t="shared" si="30"/>
        <v>40664</v>
      </c>
      <c r="C1026" s="1370" t="str">
        <f t="shared" si="31"/>
        <v>S&amp;P 500 Utility Index</v>
      </c>
      <c r="F1026" s="1380">
        <f>'PRPM WP2'!C1027</f>
        <v>1.9754000000000001E-2</v>
      </c>
      <c r="H1026" s="1380">
        <f>'PRPM WP2'!H1027</f>
        <v>4.4333333333333334E-3</v>
      </c>
      <c r="I1026" s="1373">
        <f t="shared" si="29"/>
        <v>1.5320666666666666E-2</v>
      </c>
      <c r="J1026" s="1371">
        <v>40664</v>
      </c>
    </row>
    <row r="1027" spans="1:10" x14ac:dyDescent="0.45">
      <c r="B1027" s="1371">
        <f t="shared" si="30"/>
        <v>40695</v>
      </c>
      <c r="C1027" s="1370" t="str">
        <f t="shared" si="31"/>
        <v>S&amp;P 500 Utility Index</v>
      </c>
      <c r="F1027" s="1380">
        <f>'PRPM WP2'!C1028</f>
        <v>-1.2830000000000003E-3</v>
      </c>
      <c r="H1027" s="1380">
        <f>'PRPM WP2'!H1028</f>
        <v>4.3833333333333328E-3</v>
      </c>
      <c r="I1027" s="1373">
        <f t="shared" si="29"/>
        <v>-5.6663333333333331E-3</v>
      </c>
      <c r="J1027" s="1371">
        <v>40695</v>
      </c>
    </row>
    <row r="1028" spans="1:10" x14ac:dyDescent="0.45">
      <c r="B1028" s="1371">
        <f t="shared" si="30"/>
        <v>40725</v>
      </c>
      <c r="C1028" s="1370" t="str">
        <f t="shared" si="31"/>
        <v>S&amp;P 500 Utility Index</v>
      </c>
      <c r="F1028" s="1380">
        <f>'PRPM WP2'!C1029</f>
        <v>-7.5380000000000013E-3</v>
      </c>
      <c r="H1028" s="1380">
        <f>'PRPM WP2'!H1029</f>
        <v>4.3916666666666661E-3</v>
      </c>
      <c r="I1028" s="1373">
        <f t="shared" si="29"/>
        <v>-1.1929666666666668E-2</v>
      </c>
      <c r="J1028" s="1371">
        <v>40725</v>
      </c>
    </row>
    <row r="1029" spans="1:10" x14ac:dyDescent="0.45">
      <c r="B1029" s="1371">
        <f t="shared" si="30"/>
        <v>40756</v>
      </c>
      <c r="C1029" s="1370" t="str">
        <f t="shared" si="31"/>
        <v>S&amp;P 500 Utility Index</v>
      </c>
      <c r="F1029" s="1380">
        <f>'PRPM WP2'!C1030</f>
        <v>2.0388E-2</v>
      </c>
      <c r="H1029" s="1380">
        <f>'PRPM WP2'!H1030</f>
        <v>3.908333333333334E-3</v>
      </c>
      <c r="I1029" s="1373">
        <f t="shared" si="29"/>
        <v>1.6479666666666667E-2</v>
      </c>
      <c r="J1029" s="1371">
        <v>40756</v>
      </c>
    </row>
    <row r="1030" spans="1:10" x14ac:dyDescent="0.45">
      <c r="B1030" s="1371">
        <f t="shared" si="30"/>
        <v>40787</v>
      </c>
      <c r="C1030" s="1370" t="str">
        <f t="shared" si="31"/>
        <v>S&amp;P 500 Utility Index</v>
      </c>
      <c r="F1030" s="1380">
        <f>'PRPM WP2'!C1031</f>
        <v>2.271E-3</v>
      </c>
      <c r="H1030" s="1380">
        <f>'PRPM WP2'!H1031</f>
        <v>3.7333333333333333E-3</v>
      </c>
      <c r="I1030" s="1373">
        <f t="shared" si="29"/>
        <v>-1.4623333333333333E-3</v>
      </c>
      <c r="J1030" s="1371">
        <v>40787</v>
      </c>
    </row>
    <row r="1031" spans="1:10" x14ac:dyDescent="0.45">
      <c r="B1031" s="1371">
        <f t="shared" si="30"/>
        <v>40817</v>
      </c>
      <c r="C1031" s="1370" t="str">
        <f t="shared" si="31"/>
        <v>S&amp;P 500 Utility Index</v>
      </c>
      <c r="F1031" s="1380">
        <f>'PRPM WP2'!C1032</f>
        <v>3.8747000000000004E-2</v>
      </c>
      <c r="H1031" s="1380">
        <f>'PRPM WP2'!H1032</f>
        <v>3.7666666666666664E-3</v>
      </c>
      <c r="I1031" s="1373">
        <f t="shared" si="29"/>
        <v>3.4980333333333335E-2</v>
      </c>
      <c r="J1031" s="1371">
        <v>40817</v>
      </c>
    </row>
    <row r="1032" spans="1:10" x14ac:dyDescent="0.45">
      <c r="B1032" s="1371">
        <f t="shared" si="30"/>
        <v>40848</v>
      </c>
      <c r="C1032" s="1370" t="str">
        <f t="shared" si="31"/>
        <v>S&amp;P 500 Utility Index</v>
      </c>
      <c r="F1032" s="1380">
        <f>'PRPM WP2'!C1033</f>
        <v>8.0140000000000003E-3</v>
      </c>
      <c r="H1032" s="1380">
        <f>'PRPM WP2'!H1033</f>
        <v>3.5416666666666669E-3</v>
      </c>
      <c r="I1032" s="1373">
        <f t="shared" si="29"/>
        <v>4.4723333333333334E-3</v>
      </c>
      <c r="J1032" s="1371">
        <v>40848</v>
      </c>
    </row>
    <row r="1033" spans="1:10" x14ac:dyDescent="0.45">
      <c r="B1033" s="1371">
        <f t="shared" si="30"/>
        <v>40878</v>
      </c>
      <c r="C1033" s="1370" t="str">
        <f t="shared" si="31"/>
        <v>S&amp;P 500 Utility Index</v>
      </c>
      <c r="F1033" s="1380">
        <f>'PRPM WP2'!C1034</f>
        <v>3.3766999999999998E-2</v>
      </c>
      <c r="H1033" s="1380">
        <f>'PRPM WP2'!H1034</f>
        <v>3.6083333333333332E-3</v>
      </c>
      <c r="I1033" s="1373">
        <f t="shared" si="29"/>
        <v>3.0158666666666667E-2</v>
      </c>
      <c r="J1033" s="1371">
        <v>40878</v>
      </c>
    </row>
    <row r="1034" spans="1:10" x14ac:dyDescent="0.45">
      <c r="B1034" s="1371">
        <f t="shared" si="30"/>
        <v>40909</v>
      </c>
      <c r="C1034" s="1370" t="str">
        <f t="shared" si="31"/>
        <v>S&amp;P 500 Utility Index</v>
      </c>
      <c r="F1034" s="1380">
        <f>'PRPM WP2'!C1035</f>
        <v>-3.3237000000000003E-2</v>
      </c>
      <c r="H1034" s="1380">
        <f>'PRPM WP2'!H1035</f>
        <v>3.6166666666666665E-3</v>
      </c>
      <c r="I1034" s="1373">
        <f t="shared" si="29"/>
        <v>-3.6853666666666667E-2</v>
      </c>
      <c r="J1034" s="1371">
        <v>40909</v>
      </c>
    </row>
    <row r="1035" spans="1:10" x14ac:dyDescent="0.45">
      <c r="B1035" s="1371">
        <f t="shared" si="30"/>
        <v>40940</v>
      </c>
      <c r="C1035" s="1370" t="str">
        <f t="shared" si="31"/>
        <v>S&amp;P 500 Utility Index</v>
      </c>
      <c r="F1035" s="1380">
        <f>'PRPM WP2'!C1036</f>
        <v>3.4509999999999996E-3</v>
      </c>
      <c r="H1035" s="1380">
        <f>'PRPM WP2'!H1036</f>
        <v>3.6333333333333335E-3</v>
      </c>
      <c r="I1035" s="1373">
        <f t="shared" si="29"/>
        <v>-1.8233333333333383E-4</v>
      </c>
      <c r="J1035" s="1371">
        <v>40940</v>
      </c>
    </row>
    <row r="1036" spans="1:10" x14ac:dyDescent="0.45">
      <c r="B1036" s="1371">
        <f t="shared" si="30"/>
        <v>40969</v>
      </c>
      <c r="C1036" s="1370" t="str">
        <f t="shared" si="31"/>
        <v>S&amp;P 500 Utility Index</v>
      </c>
      <c r="F1036" s="1380">
        <f>'PRPM WP2'!C1037</f>
        <v>1.372E-2</v>
      </c>
      <c r="H1036" s="1380">
        <f>'PRPM WP2'!H1037</f>
        <v>3.7333333333333333E-3</v>
      </c>
      <c r="I1036" s="1373">
        <f t="shared" si="29"/>
        <v>9.9866666666666663E-3</v>
      </c>
      <c r="J1036" s="1371">
        <v>40969</v>
      </c>
    </row>
    <row r="1037" spans="1:10" x14ac:dyDescent="0.45">
      <c r="B1037" s="1371">
        <f t="shared" si="30"/>
        <v>41000</v>
      </c>
      <c r="C1037" s="1370" t="str">
        <f t="shared" si="31"/>
        <v>S&amp;P 500 Utility Index</v>
      </c>
      <c r="F1037" s="1380">
        <f>'PRPM WP2'!C1038</f>
        <v>2.1237000000000002E-2</v>
      </c>
      <c r="H1037" s="1380">
        <f>'PRPM WP2'!H1038</f>
        <v>3.6666666666666666E-3</v>
      </c>
      <c r="I1037" s="1373">
        <f t="shared" si="29"/>
        <v>1.7570333333333337E-2</v>
      </c>
      <c r="J1037" s="1371">
        <v>41000</v>
      </c>
    </row>
    <row r="1038" spans="1:10" x14ac:dyDescent="0.45">
      <c r="B1038" s="1371">
        <f t="shared" si="30"/>
        <v>41030</v>
      </c>
      <c r="C1038" s="1370" t="str">
        <f t="shared" si="31"/>
        <v>S&amp;P 500 Utility Index</v>
      </c>
      <c r="F1038" s="1380">
        <f>'PRPM WP2'!C1039</f>
        <v>2.1609999999999997E-3</v>
      </c>
      <c r="H1038" s="1380">
        <f>'PRPM WP2'!H1039</f>
        <v>3.5000000000000001E-3</v>
      </c>
      <c r="I1038" s="1373">
        <f t="shared" si="29"/>
        <v>-1.3390000000000003E-3</v>
      </c>
      <c r="J1038" s="1371">
        <v>41030</v>
      </c>
    </row>
    <row r="1039" spans="1:10" x14ac:dyDescent="0.45">
      <c r="B1039" s="1371">
        <f t="shared" si="30"/>
        <v>41061</v>
      </c>
      <c r="C1039" s="1370" t="str">
        <f t="shared" si="31"/>
        <v>S&amp;P 500 Utility Index</v>
      </c>
      <c r="F1039" s="1380">
        <f>'PRPM WP2'!C1040</f>
        <v>4.1003999999999999E-2</v>
      </c>
      <c r="H1039" s="1380">
        <f>'PRPM WP2'!H1040</f>
        <v>3.4000000000000002E-3</v>
      </c>
      <c r="I1039" s="1373">
        <f t="shared" si="29"/>
        <v>3.7603999999999999E-2</v>
      </c>
      <c r="J1039" s="1371">
        <v>41061</v>
      </c>
    </row>
    <row r="1040" spans="1:10" x14ac:dyDescent="0.45">
      <c r="B1040" s="1371">
        <f t="shared" si="30"/>
        <v>41091</v>
      </c>
      <c r="C1040" s="1370" t="str">
        <f t="shared" si="31"/>
        <v>S&amp;P 500 Utility Index</v>
      </c>
      <c r="F1040" s="1380">
        <f>'PRPM WP2'!C1041</f>
        <v>2.8439000000000002E-2</v>
      </c>
      <c r="H1040" s="1380">
        <f>'PRPM WP2'!H1041</f>
        <v>3.2750000000000001E-3</v>
      </c>
      <c r="I1040" s="1373">
        <f t="shared" si="29"/>
        <v>2.5164000000000002E-2</v>
      </c>
      <c r="J1040" s="1371">
        <v>41091</v>
      </c>
    </row>
    <row r="1041" spans="2:10" x14ac:dyDescent="0.45">
      <c r="B1041" s="1371">
        <f t="shared" si="30"/>
        <v>41122</v>
      </c>
      <c r="C1041" s="1370" t="str">
        <f t="shared" si="31"/>
        <v>S&amp;P 500 Utility Index</v>
      </c>
      <c r="F1041" s="1380">
        <f>'PRPM WP2'!C1042</f>
        <v>-4.4720999999999997E-2</v>
      </c>
      <c r="H1041" s="1380">
        <f>'PRPM WP2'!H1042</f>
        <v>3.3333333333333335E-3</v>
      </c>
      <c r="I1041" s="1373">
        <f t="shared" si="29"/>
        <v>-4.8054333333333331E-2</v>
      </c>
      <c r="J1041" s="1371">
        <v>41122</v>
      </c>
    </row>
    <row r="1042" spans="2:10" x14ac:dyDescent="0.45">
      <c r="B1042" s="1371">
        <f t="shared" si="30"/>
        <v>41153</v>
      </c>
      <c r="C1042" s="1370" t="str">
        <f t="shared" si="31"/>
        <v>S&amp;P 500 Utility Index</v>
      </c>
      <c r="F1042" s="1380">
        <f>'PRPM WP2'!C1043</f>
        <v>1.2281E-2</v>
      </c>
      <c r="H1042" s="1380">
        <f>'PRPM WP2'!H1043</f>
        <v>3.3500000000000001E-3</v>
      </c>
      <c r="I1042" s="1373">
        <f t="shared" si="29"/>
        <v>8.9309999999999997E-3</v>
      </c>
      <c r="J1042" s="1371">
        <v>41153</v>
      </c>
    </row>
    <row r="1043" spans="2:10" x14ac:dyDescent="0.45">
      <c r="B1043" s="1371">
        <f t="shared" si="30"/>
        <v>41183</v>
      </c>
      <c r="C1043" s="1370" t="str">
        <f t="shared" si="31"/>
        <v>S&amp;P 500 Utility Index</v>
      </c>
      <c r="F1043" s="1380">
        <f>'PRPM WP2'!C1044</f>
        <v>1.7240000000000002E-2</v>
      </c>
      <c r="H1043" s="1380">
        <f>'PRPM WP2'!H1044</f>
        <v>3.2583333333333336E-3</v>
      </c>
      <c r="I1043" s="1373">
        <f t="shared" si="29"/>
        <v>1.3981666666666668E-2</v>
      </c>
      <c r="J1043" s="1371">
        <v>41183</v>
      </c>
    </row>
    <row r="1044" spans="2:10" x14ac:dyDescent="0.45">
      <c r="B1044" s="1371">
        <f t="shared" si="30"/>
        <v>41214</v>
      </c>
      <c r="C1044" s="1370" t="str">
        <f t="shared" si="31"/>
        <v>S&amp;P 500 Utility Index</v>
      </c>
      <c r="F1044" s="1380">
        <f>'PRPM WP2'!C1045</f>
        <v>-4.6427999999999997E-2</v>
      </c>
      <c r="H1044" s="1380">
        <f>'PRPM WP2'!H1045</f>
        <v>3.1999999999999997E-3</v>
      </c>
      <c r="I1044" s="1373">
        <f t="shared" si="29"/>
        <v>-4.9627999999999999E-2</v>
      </c>
      <c r="J1044" s="1371">
        <v>41214</v>
      </c>
    </row>
    <row r="1045" spans="2:10" x14ac:dyDescent="0.45">
      <c r="B1045" s="1371">
        <f t="shared" si="30"/>
        <v>41244</v>
      </c>
      <c r="C1045" s="1370" t="str">
        <f t="shared" si="31"/>
        <v>S&amp;P 500 Utility Index</v>
      </c>
      <c r="F1045" s="1380">
        <f>'PRPM WP2'!C1046</f>
        <v>1.108E-3</v>
      </c>
      <c r="H1045" s="1380">
        <f>'PRPM WP2'!H1046</f>
        <v>3.3333333333333335E-3</v>
      </c>
      <c r="I1045" s="1373">
        <f t="shared" si="29"/>
        <v>-2.2253333333333335E-3</v>
      </c>
      <c r="J1045" s="1371">
        <v>41244</v>
      </c>
    </row>
    <row r="1046" spans="2:10" x14ac:dyDescent="0.45">
      <c r="B1046" s="1371">
        <f t="shared" si="30"/>
        <v>41275</v>
      </c>
      <c r="C1046" s="1370" t="str">
        <f t="shared" si="31"/>
        <v>S&amp;P 500 Utility Index</v>
      </c>
      <c r="F1046" s="1380">
        <f>'PRPM WP2'!C1047</f>
        <v>3.5099999999999999E-2</v>
      </c>
      <c r="H1046" s="1380">
        <f>'PRPM WP2'!H1047</f>
        <v>3.4583333333333337E-3</v>
      </c>
      <c r="I1046" s="1373">
        <f t="shared" si="29"/>
        <v>3.1641666666666665E-2</v>
      </c>
      <c r="J1046" s="1371">
        <v>41275</v>
      </c>
    </row>
    <row r="1047" spans="2:10" x14ac:dyDescent="0.45">
      <c r="B1047" s="1371">
        <f t="shared" si="30"/>
        <v>41306</v>
      </c>
      <c r="C1047" s="1370" t="str">
        <f t="shared" si="31"/>
        <v>S&amp;P 500 Utility Index</v>
      </c>
      <c r="F1047" s="1380">
        <f>'PRPM WP2'!C1048</f>
        <v>3.39E-2</v>
      </c>
      <c r="H1047" s="1380">
        <f>'PRPM WP2'!H1048</f>
        <v>3.4833333333333331E-3</v>
      </c>
      <c r="I1047" s="1373">
        <f t="shared" si="29"/>
        <v>3.0416666666666668E-2</v>
      </c>
      <c r="J1047" s="1371">
        <v>41306</v>
      </c>
    </row>
    <row r="1048" spans="2:10" x14ac:dyDescent="0.45">
      <c r="B1048" s="1371">
        <f t="shared" si="30"/>
        <v>41334</v>
      </c>
      <c r="C1048" s="1370" t="str">
        <f t="shared" si="31"/>
        <v>S&amp;P 500 Utility Index</v>
      </c>
      <c r="F1048" s="1380">
        <f>'PRPM WP2'!C1049</f>
        <v>5.3999999999999999E-2</v>
      </c>
      <c r="H1048" s="1380">
        <f>'PRPM WP2'!H1049</f>
        <v>3.4583333333333337E-3</v>
      </c>
      <c r="I1048" s="1373">
        <f t="shared" si="29"/>
        <v>5.0541666666666665E-2</v>
      </c>
      <c r="J1048" s="1371">
        <v>41334</v>
      </c>
    </row>
    <row r="1049" spans="2:10" x14ac:dyDescent="0.45">
      <c r="B1049" s="1371">
        <f t="shared" si="30"/>
        <v>41365</v>
      </c>
      <c r="C1049" s="1370" t="str">
        <f t="shared" si="31"/>
        <v>S&amp;P 500 Utility Index</v>
      </c>
      <c r="F1049" s="1380">
        <f>'PRPM WP2'!C1050</f>
        <v>5.8999999999999997E-2</v>
      </c>
      <c r="H1049" s="1380">
        <f>'PRPM WP2'!H1050</f>
        <v>3.3333333333333335E-3</v>
      </c>
      <c r="I1049" s="1373">
        <f t="shared" si="29"/>
        <v>5.5666666666666663E-2</v>
      </c>
      <c r="J1049" s="1371">
        <v>41365</v>
      </c>
    </row>
    <row r="1050" spans="2:10" x14ac:dyDescent="0.45">
      <c r="B1050" s="1371">
        <f t="shared" si="30"/>
        <v>41395</v>
      </c>
      <c r="C1050" s="1370" t="str">
        <f t="shared" si="31"/>
        <v>S&amp;P 500 Utility Index</v>
      </c>
      <c r="F1050" s="1380">
        <f>'PRPM WP2'!C1051</f>
        <v>-8.9599999999999999E-2</v>
      </c>
      <c r="H1050" s="1380">
        <f>'PRPM WP2'!H1051</f>
        <v>3.4750000000000002E-3</v>
      </c>
      <c r="I1050" s="1373">
        <f t="shared" ref="I1050:I1113" si="32">F1050-H1050</f>
        <v>-9.3075000000000005E-2</v>
      </c>
      <c r="J1050" s="1371">
        <v>41395</v>
      </c>
    </row>
    <row r="1051" spans="2:10" x14ac:dyDescent="0.45">
      <c r="B1051" s="1371">
        <f t="shared" si="30"/>
        <v>41426</v>
      </c>
      <c r="C1051" s="1370" t="str">
        <f t="shared" si="31"/>
        <v>S&amp;P 500 Utility Index</v>
      </c>
      <c r="F1051" s="1380">
        <f>'PRPM WP2'!C1052</f>
        <v>1.14E-2</v>
      </c>
      <c r="H1051" s="1380">
        <f>'PRPM WP2'!H1052</f>
        <v>3.7750000000000001E-3</v>
      </c>
      <c r="I1051" s="1373">
        <f t="shared" si="32"/>
        <v>7.6249999999999998E-3</v>
      </c>
      <c r="J1051" s="1371">
        <v>41426</v>
      </c>
    </row>
    <row r="1052" spans="2:10" x14ac:dyDescent="0.45">
      <c r="B1052" s="1371">
        <f t="shared" si="30"/>
        <v>41456</v>
      </c>
      <c r="C1052" s="1370" t="str">
        <f t="shared" si="31"/>
        <v>S&amp;P 500 Utility Index</v>
      </c>
      <c r="F1052" s="1380">
        <f>'PRPM WP2'!C1053</f>
        <v>3.85E-2</v>
      </c>
      <c r="H1052" s="1380">
        <f>'PRPM WP2'!H1053</f>
        <v>3.9000000000000003E-3</v>
      </c>
      <c r="I1052" s="1373">
        <f t="shared" si="32"/>
        <v>3.4599999999999999E-2</v>
      </c>
      <c r="J1052" s="1371">
        <v>41456</v>
      </c>
    </row>
    <row r="1053" spans="2:10" x14ac:dyDescent="0.45">
      <c r="B1053" s="1371">
        <f t="shared" si="30"/>
        <v>41487</v>
      </c>
      <c r="C1053" s="1370" t="str">
        <f t="shared" si="31"/>
        <v>S&amp;P 500 Utility Index</v>
      </c>
      <c r="F1053" s="1380">
        <f>'PRPM WP2'!C1054</f>
        <v>-0.05</v>
      </c>
      <c r="H1053" s="1380">
        <f>'PRPM WP2'!H1054</f>
        <v>3.9416666666666671E-3</v>
      </c>
      <c r="I1053" s="1373">
        <f t="shared" si="32"/>
        <v>-5.3941666666666672E-2</v>
      </c>
      <c r="J1053" s="1371">
        <v>41487</v>
      </c>
    </row>
    <row r="1054" spans="2:10" x14ac:dyDescent="0.45">
      <c r="B1054" s="1371">
        <f t="shared" si="30"/>
        <v>41518</v>
      </c>
      <c r="C1054" s="1370" t="str">
        <f t="shared" si="31"/>
        <v>S&amp;P 500 Utility Index</v>
      </c>
      <c r="F1054" s="1380">
        <f>'PRPM WP2'!C1055</f>
        <v>1.0800000000000001E-2</v>
      </c>
      <c r="H1054" s="1380">
        <f>'PRPM WP2'!H1055</f>
        <v>4.0000000000000001E-3</v>
      </c>
      <c r="I1054" s="1373">
        <f t="shared" si="32"/>
        <v>6.8000000000000005E-3</v>
      </c>
      <c r="J1054" s="1371">
        <v>41518</v>
      </c>
    </row>
    <row r="1055" spans="2:10" x14ac:dyDescent="0.45">
      <c r="B1055" s="1371">
        <f t="shared" si="30"/>
        <v>41548</v>
      </c>
      <c r="C1055" s="1370" t="str">
        <f t="shared" si="31"/>
        <v>S&amp;P 500 Utility Index</v>
      </c>
      <c r="F1055" s="1380">
        <f>'PRPM WP2'!C1056</f>
        <v>3.7699999999999997E-2</v>
      </c>
      <c r="H1055" s="1380">
        <f>'PRPM WP2'!H1056</f>
        <v>3.9166666666666664E-3</v>
      </c>
      <c r="I1055" s="1373">
        <f t="shared" si="32"/>
        <v>3.3783333333333332E-2</v>
      </c>
      <c r="J1055" s="1371">
        <v>41548</v>
      </c>
    </row>
    <row r="1056" spans="2:10" x14ac:dyDescent="0.45">
      <c r="B1056" s="1371">
        <f t="shared" si="30"/>
        <v>41579</v>
      </c>
      <c r="C1056" s="1370" t="str">
        <f t="shared" si="31"/>
        <v>S&amp;P 500 Utility Index</v>
      </c>
      <c r="F1056" s="1380">
        <f>'PRPM WP2'!C1057</f>
        <v>-1.9900000000000001E-2</v>
      </c>
      <c r="H1056" s="1380">
        <f>'PRPM WP2'!H1057</f>
        <v>3.9750000000000002E-3</v>
      </c>
      <c r="I1056" s="1373">
        <f t="shared" si="32"/>
        <v>-2.3875E-2</v>
      </c>
      <c r="J1056" s="1371">
        <v>41579</v>
      </c>
    </row>
    <row r="1057" spans="2:10" x14ac:dyDescent="0.45">
      <c r="B1057" s="1371">
        <f t="shared" si="30"/>
        <v>41609</v>
      </c>
      <c r="C1057" s="1370" t="str">
        <f t="shared" si="31"/>
        <v>S&amp;P 500 Utility Index</v>
      </c>
      <c r="F1057" s="1380">
        <f>'PRPM WP2'!C1058</f>
        <v>7.6E-3</v>
      </c>
      <c r="H1057" s="1380">
        <f>'PRPM WP2'!H1058</f>
        <v>4.0083333333333334E-3</v>
      </c>
      <c r="I1057" s="1373">
        <f t="shared" si="32"/>
        <v>3.5916666666666666E-3</v>
      </c>
      <c r="J1057" s="1371">
        <v>41609</v>
      </c>
    </row>
    <row r="1058" spans="2:10" x14ac:dyDescent="0.45">
      <c r="B1058" s="1371">
        <f t="shared" si="30"/>
        <v>41640</v>
      </c>
      <c r="C1058" s="1370" t="str">
        <f t="shared" si="31"/>
        <v>S&amp;P 500 Utility Index</v>
      </c>
      <c r="F1058" s="1380">
        <f>'PRPM WP2'!C1059</f>
        <v>2.81E-2</v>
      </c>
      <c r="H1058" s="1380">
        <f>'PRPM WP2'!H1059</f>
        <v>3.8583333333333334E-3</v>
      </c>
      <c r="I1058" s="1373">
        <f t="shared" si="32"/>
        <v>2.4241666666666668E-2</v>
      </c>
      <c r="J1058" s="1371">
        <v>41640</v>
      </c>
    </row>
    <row r="1059" spans="2:10" x14ac:dyDescent="0.45">
      <c r="B1059" s="1371">
        <f t="shared" si="30"/>
        <v>41671</v>
      </c>
      <c r="C1059" s="1370" t="str">
        <f t="shared" si="31"/>
        <v>S&amp;P 500 Utility Index</v>
      </c>
      <c r="F1059" s="1380">
        <f>'PRPM WP2'!C1060</f>
        <v>3.3500000000000002E-2</v>
      </c>
      <c r="H1059" s="1380">
        <f>'PRPM WP2'!H1060</f>
        <v>3.7750000000000001E-3</v>
      </c>
      <c r="I1059" s="1373">
        <f t="shared" si="32"/>
        <v>2.9725000000000001E-2</v>
      </c>
      <c r="J1059" s="1371">
        <v>41671</v>
      </c>
    </row>
    <row r="1060" spans="2:10" x14ac:dyDescent="0.45">
      <c r="B1060" s="1371">
        <f t="shared" si="30"/>
        <v>41699</v>
      </c>
      <c r="C1060" s="1370" t="str">
        <f t="shared" si="31"/>
        <v>S&amp;P 500 Utility Index</v>
      </c>
      <c r="F1060" s="1380">
        <f>'PRPM WP2'!C1061</f>
        <v>3.3700000000000001E-2</v>
      </c>
      <c r="H1060" s="1380">
        <f>'PRPM WP2'!H1061</f>
        <v>3.7583333333333336E-3</v>
      </c>
      <c r="I1060" s="1373">
        <f t="shared" si="32"/>
        <v>2.9941666666666669E-2</v>
      </c>
      <c r="J1060" s="1371">
        <v>41699</v>
      </c>
    </row>
    <row r="1061" spans="2:10" x14ac:dyDescent="0.45">
      <c r="B1061" s="1371">
        <f t="shared" si="30"/>
        <v>41730</v>
      </c>
      <c r="C1061" s="1370" t="str">
        <f t="shared" si="31"/>
        <v>S&amp;P 500 Utility Index</v>
      </c>
      <c r="F1061" s="1380">
        <f>'PRPM WP2'!C1062</f>
        <v>4.2599999999999999E-2</v>
      </c>
      <c r="H1061" s="1380">
        <f>'PRPM WP2'!H1062</f>
        <v>3.6749999999999999E-3</v>
      </c>
      <c r="I1061" s="1373">
        <f t="shared" si="32"/>
        <v>3.8925000000000001E-2</v>
      </c>
      <c r="J1061" s="1371">
        <v>41730</v>
      </c>
    </row>
    <row r="1062" spans="2:10" x14ac:dyDescent="0.45">
      <c r="B1062" s="1371">
        <f t="shared" si="30"/>
        <v>41760</v>
      </c>
      <c r="C1062" s="1370" t="str">
        <f t="shared" si="31"/>
        <v>S&amp;P 500 Utility Index</v>
      </c>
      <c r="F1062" s="1380">
        <f>'PRPM WP2'!C1063</f>
        <v>-1.0500000000000001E-2</v>
      </c>
      <c r="H1062" s="1380">
        <f>'PRPM WP2'!H1063</f>
        <v>3.5499999999999998E-3</v>
      </c>
      <c r="I1062" s="1373">
        <f t="shared" si="32"/>
        <v>-1.405E-2</v>
      </c>
      <c r="J1062" s="1371">
        <v>41760</v>
      </c>
    </row>
    <row r="1063" spans="2:10" x14ac:dyDescent="0.45">
      <c r="B1063" s="1371">
        <f t="shared" si="30"/>
        <v>41791</v>
      </c>
      <c r="C1063" s="1370" t="str">
        <f t="shared" si="31"/>
        <v>S&amp;P 500 Utility Index</v>
      </c>
      <c r="F1063" s="1380">
        <f>'PRPM WP2'!C1064</f>
        <v>4.48E-2</v>
      </c>
      <c r="H1063" s="1380">
        <f>'PRPM WP2'!H1064</f>
        <v>3.5750000000000001E-3</v>
      </c>
      <c r="I1063" s="1373">
        <f t="shared" si="32"/>
        <v>4.1224999999999998E-2</v>
      </c>
      <c r="J1063" s="1371">
        <v>41791</v>
      </c>
    </row>
    <row r="1064" spans="2:10" x14ac:dyDescent="0.45">
      <c r="B1064" s="1371">
        <f t="shared" si="30"/>
        <v>41821</v>
      </c>
      <c r="C1064" s="1370" t="str">
        <f t="shared" si="31"/>
        <v>S&amp;P 500 Utility Index</v>
      </c>
      <c r="F1064" s="1380">
        <f>'PRPM WP2'!C1065</f>
        <v>-6.8000000000000005E-2</v>
      </c>
      <c r="H1064" s="1380">
        <f>'PRPM WP2'!H1065</f>
        <v>3.5249999999999999E-3</v>
      </c>
      <c r="I1064" s="1373">
        <f t="shared" si="32"/>
        <v>-7.1525000000000005E-2</v>
      </c>
      <c r="J1064" s="1371">
        <v>41821</v>
      </c>
    </row>
    <row r="1065" spans="2:10" x14ac:dyDescent="0.45">
      <c r="B1065" s="1371">
        <f t="shared" si="30"/>
        <v>41852</v>
      </c>
      <c r="C1065" s="1370" t="str">
        <f t="shared" si="31"/>
        <v>S&amp;P 500 Utility Index</v>
      </c>
      <c r="F1065" s="1380">
        <f>'PRPM WP2'!C1066</f>
        <v>4.9500000000000002E-2</v>
      </c>
      <c r="H1065" s="1380">
        <f>'PRPM WP2'!H1066</f>
        <v>3.4416666666666671E-3</v>
      </c>
      <c r="I1065" s="1373">
        <f t="shared" si="32"/>
        <v>4.6058333333333333E-2</v>
      </c>
      <c r="J1065" s="1371">
        <v>41852</v>
      </c>
    </row>
    <row r="1066" spans="2:10" x14ac:dyDescent="0.45">
      <c r="B1066" s="1371">
        <f t="shared" si="30"/>
        <v>41883</v>
      </c>
      <c r="C1066" s="1370" t="str">
        <f t="shared" si="31"/>
        <v>S&amp;P 500 Utility Index</v>
      </c>
      <c r="F1066" s="1380">
        <f>'PRPM WP2'!C1067</f>
        <v>-1.8599999999999998E-2</v>
      </c>
      <c r="H1066" s="1380">
        <f>'PRPM WP2'!H1067</f>
        <v>3.5333333333333332E-3</v>
      </c>
      <c r="I1066" s="1373">
        <f t="shared" si="32"/>
        <v>-2.2133333333333331E-2</v>
      </c>
      <c r="J1066" s="1371">
        <v>41883</v>
      </c>
    </row>
    <row r="1067" spans="2:10" x14ac:dyDescent="0.45">
      <c r="B1067" s="1371">
        <f t="shared" si="30"/>
        <v>41913</v>
      </c>
      <c r="C1067" s="1370" t="str">
        <f t="shared" si="31"/>
        <v>S&amp;P 500 Utility Index</v>
      </c>
      <c r="F1067" s="1380">
        <f>'PRPM WP2'!C1068</f>
        <v>8.0199999999999994E-2</v>
      </c>
      <c r="H1067" s="1380">
        <f>'PRPM WP2'!H1068</f>
        <v>3.3833333333333332E-3</v>
      </c>
      <c r="I1067" s="1373">
        <f t="shared" si="32"/>
        <v>7.6816666666666658E-2</v>
      </c>
      <c r="J1067" s="1371">
        <v>41913</v>
      </c>
    </row>
    <row r="1068" spans="2:10" x14ac:dyDescent="0.45">
      <c r="B1068" s="1371">
        <f t="shared" si="30"/>
        <v>41944</v>
      </c>
      <c r="C1068" s="1370" t="str">
        <f t="shared" si="31"/>
        <v>S&amp;P 500 Utility Index</v>
      </c>
      <c r="F1068" s="1380">
        <f>'PRPM WP2'!C1069</f>
        <v>1.2E-2</v>
      </c>
      <c r="H1068" s="1380">
        <f>'PRPM WP2'!H1069</f>
        <v>3.4083333333333331E-3</v>
      </c>
      <c r="I1068" s="1373">
        <f t="shared" si="32"/>
        <v>8.5916666666666676E-3</v>
      </c>
      <c r="J1068" s="1371">
        <v>41944</v>
      </c>
    </row>
    <row r="1069" spans="2:10" x14ac:dyDescent="0.45">
      <c r="B1069" s="1371">
        <f t="shared" si="30"/>
        <v>41974</v>
      </c>
      <c r="C1069" s="1370" t="str">
        <f t="shared" si="31"/>
        <v>S&amp;P 500 Utility Index</v>
      </c>
      <c r="F1069" s="1380">
        <f>'PRPM WP2'!C1070</f>
        <v>3.5000000000000003E-2</v>
      </c>
      <c r="H1069" s="1380">
        <f>'PRPM WP2'!H1070</f>
        <v>3.2916666666666667E-3</v>
      </c>
      <c r="I1069" s="1373">
        <f t="shared" si="32"/>
        <v>3.1708333333333338E-2</v>
      </c>
      <c r="J1069" s="1371">
        <v>41974</v>
      </c>
    </row>
    <row r="1070" spans="2:10" x14ac:dyDescent="0.45">
      <c r="B1070" s="1371">
        <f t="shared" si="30"/>
        <v>42005</v>
      </c>
      <c r="C1070" s="1370" t="str">
        <f t="shared" si="31"/>
        <v>S&amp;P 500 Utility Index</v>
      </c>
      <c r="F1070" s="1380">
        <f>'PRPM WP2'!C1071</f>
        <v>2.3300000000000001E-2</v>
      </c>
      <c r="H1070" s="1380">
        <f>'PRPM WP2'!H1071</f>
        <v>2.9833333333333331E-3</v>
      </c>
      <c r="I1070" s="1373">
        <f t="shared" si="32"/>
        <v>2.0316666666666667E-2</v>
      </c>
      <c r="J1070" s="1371">
        <v>42005</v>
      </c>
    </row>
    <row r="1071" spans="2:10" x14ac:dyDescent="0.45">
      <c r="B1071" s="1371">
        <f t="shared" si="30"/>
        <v>42036</v>
      </c>
      <c r="C1071" s="1370" t="str">
        <f t="shared" si="31"/>
        <v>S&amp;P 500 Utility Index</v>
      </c>
      <c r="F1071" s="1380">
        <f>'PRPM WP2'!C1072</f>
        <v>-6.3299999999999995E-2</v>
      </c>
      <c r="H1071" s="1380">
        <f>'PRPM WP2'!H1072</f>
        <v>3.0583333333333335E-3</v>
      </c>
      <c r="I1071" s="1373">
        <f t="shared" si="32"/>
        <v>-6.6358333333333325E-2</v>
      </c>
      <c r="J1071" s="1371">
        <v>42036</v>
      </c>
    </row>
    <row r="1072" spans="2:10" x14ac:dyDescent="0.45">
      <c r="B1072" s="1371">
        <f t="shared" si="30"/>
        <v>42064</v>
      </c>
      <c r="C1072" s="1370" t="str">
        <f t="shared" si="31"/>
        <v>S&amp;P 500 Utility Index</v>
      </c>
      <c r="F1072" s="1380">
        <f>'PRPM WP2'!C1073</f>
        <v>-4.8999999999999998E-3</v>
      </c>
      <c r="H1072" s="1380">
        <f>'PRPM WP2'!H1073</f>
        <v>3.1166666666666669E-3</v>
      </c>
      <c r="I1072" s="1373">
        <f t="shared" si="32"/>
        <v>-8.0166666666666667E-3</v>
      </c>
      <c r="J1072" s="1371">
        <v>42064</v>
      </c>
    </row>
    <row r="1073" spans="2:10" x14ac:dyDescent="0.45">
      <c r="B1073" s="1371">
        <f t="shared" si="30"/>
        <v>42095</v>
      </c>
      <c r="C1073" s="1370" t="str">
        <f t="shared" si="31"/>
        <v>S&amp;P 500 Utility Index</v>
      </c>
      <c r="F1073" s="1380">
        <f>'PRPM WP2'!C1074</f>
        <v>-1.29E-2</v>
      </c>
      <c r="H1073" s="1380">
        <f>'PRPM WP2'!H1074</f>
        <v>3.1249999999999997E-3</v>
      </c>
      <c r="I1073" s="1373">
        <f t="shared" si="32"/>
        <v>-1.6025000000000001E-2</v>
      </c>
      <c r="J1073" s="1371">
        <v>42095</v>
      </c>
    </row>
    <row r="1074" spans="2:10" x14ac:dyDescent="0.45">
      <c r="B1074" s="1371">
        <f t="shared" si="30"/>
        <v>42125</v>
      </c>
      <c r="C1074" s="1370" t="str">
        <f t="shared" si="31"/>
        <v>S&amp;P 500 Utility Index</v>
      </c>
      <c r="F1074" s="1380">
        <f>'PRPM WP2'!C1075</f>
        <v>6.4999999999999997E-3</v>
      </c>
      <c r="H1074" s="1380">
        <f>'PRPM WP2'!H1075</f>
        <v>3.4750000000000002E-3</v>
      </c>
      <c r="I1074" s="1373">
        <f t="shared" si="32"/>
        <v>3.0249999999999995E-3</v>
      </c>
      <c r="J1074" s="1371">
        <v>42125</v>
      </c>
    </row>
    <row r="1075" spans="2:10" x14ac:dyDescent="0.45">
      <c r="B1075" s="1371">
        <f t="shared" si="30"/>
        <v>42156</v>
      </c>
      <c r="C1075" s="1370" t="str">
        <f t="shared" si="31"/>
        <v>S&amp;P 500 Utility Index</v>
      </c>
      <c r="F1075" s="1380">
        <f>'PRPM WP2'!C1076</f>
        <v>-0.06</v>
      </c>
      <c r="H1075" s="1380">
        <f>'PRPM WP2'!H1076</f>
        <v>3.6583333333333329E-3</v>
      </c>
      <c r="I1075" s="1373">
        <f t="shared" si="32"/>
        <v>-6.3658333333333331E-2</v>
      </c>
      <c r="J1075" s="1371">
        <v>42156</v>
      </c>
    </row>
    <row r="1076" spans="2:10" x14ac:dyDescent="0.45">
      <c r="B1076" s="1371">
        <f t="shared" si="30"/>
        <v>42186</v>
      </c>
      <c r="C1076" s="1370" t="str">
        <f t="shared" si="31"/>
        <v>S&amp;P 500 Utility Index</v>
      </c>
      <c r="F1076" s="1380">
        <f>'PRPM WP2'!C1077</f>
        <v>4.8099999999999997E-2</v>
      </c>
      <c r="H1076" s="1380">
        <f>'PRPM WP2'!H1077</f>
        <v>3.666666666666667E-3</v>
      </c>
      <c r="I1076" s="1373">
        <f t="shared" si="32"/>
        <v>4.4433333333333332E-2</v>
      </c>
      <c r="J1076" s="1371">
        <v>42186</v>
      </c>
    </row>
    <row r="1077" spans="2:10" x14ac:dyDescent="0.45">
      <c r="B1077" s="1371">
        <f t="shared" si="30"/>
        <v>42217</v>
      </c>
      <c r="C1077" s="1370" t="str">
        <f t="shared" si="31"/>
        <v>S&amp;P 500 Utility Index</v>
      </c>
      <c r="F1077" s="1380">
        <f>'PRPM WP2'!C1078</f>
        <v>-3.9699999999999999E-2</v>
      </c>
      <c r="H1077" s="1380">
        <f>'PRPM WP2'!H1078</f>
        <v>3.5416666666666669E-3</v>
      </c>
      <c r="I1077" s="1373">
        <f t="shared" si="32"/>
        <v>-4.3241666666666664E-2</v>
      </c>
      <c r="J1077" s="1371">
        <v>42217</v>
      </c>
    </row>
    <row r="1078" spans="2:10" x14ac:dyDescent="0.45">
      <c r="B1078" s="1371">
        <f t="shared" ref="B1078:B1141" si="33">DATE(YEAR(B1077),MONTH(B1077) + 1,1)</f>
        <v>42248</v>
      </c>
      <c r="C1078" s="1370" t="str">
        <f t="shared" ref="C1078:C1141" si="34">C1077</f>
        <v>S&amp;P 500 Utility Index</v>
      </c>
      <c r="F1078" s="1380">
        <f>'PRPM WP2'!C1079</f>
        <v>2.9000000000000001E-2</v>
      </c>
      <c r="H1078" s="1380">
        <f>'PRPM WP2'!H1079</f>
        <v>3.6583333333333329E-3</v>
      </c>
      <c r="I1078" s="1373">
        <f t="shared" si="32"/>
        <v>2.5341666666666669E-2</v>
      </c>
      <c r="J1078" s="1371">
        <v>42248</v>
      </c>
    </row>
    <row r="1079" spans="2:10" x14ac:dyDescent="0.45">
      <c r="B1079" s="1371">
        <f t="shared" si="33"/>
        <v>42278</v>
      </c>
      <c r="C1079" s="1370" t="str">
        <f t="shared" si="34"/>
        <v>S&amp;P 500 Utility Index</v>
      </c>
      <c r="F1079" s="1380">
        <f>'PRPM WP2'!C1080</f>
        <v>1.0800000000000001E-2</v>
      </c>
      <c r="H1079" s="1380">
        <f>'PRPM WP2'!H1080</f>
        <v>3.5750000000000001E-3</v>
      </c>
      <c r="I1079" s="1373">
        <f t="shared" si="32"/>
        <v>7.2250000000000005E-3</v>
      </c>
      <c r="J1079" s="1371">
        <v>42278</v>
      </c>
    </row>
    <row r="1080" spans="2:10" x14ac:dyDescent="0.45">
      <c r="B1080" s="1371">
        <f t="shared" si="33"/>
        <v>42309</v>
      </c>
      <c r="C1080" s="1370" t="str">
        <f t="shared" si="34"/>
        <v>S&amp;P 500 Utility Index</v>
      </c>
      <c r="F1080" s="1380">
        <f>'PRPM WP2'!C1081</f>
        <v>-2.1299999999999999E-2</v>
      </c>
      <c r="H1080" s="1380">
        <f>'PRPM WP2'!H1081</f>
        <v>3.666666666666667E-3</v>
      </c>
      <c r="I1080" s="1373">
        <f t="shared" si="32"/>
        <v>-2.4966666666666665E-2</v>
      </c>
      <c r="J1080" s="1371">
        <v>42309</v>
      </c>
    </row>
    <row r="1081" spans="2:10" x14ac:dyDescent="0.45">
      <c r="B1081" s="1371">
        <f t="shared" si="33"/>
        <v>42339</v>
      </c>
      <c r="C1081" s="1370" t="str">
        <f t="shared" si="34"/>
        <v>S&amp;P 500 Utility Index</v>
      </c>
      <c r="F1081" s="1380">
        <f>'PRPM WP2'!C1082</f>
        <v>2.1600000000000001E-2</v>
      </c>
      <c r="H1081" s="1380">
        <f>'PRPM WP2'!H1082</f>
        <v>3.6249999999999998E-3</v>
      </c>
      <c r="I1081" s="1373">
        <f t="shared" si="32"/>
        <v>1.7975000000000001E-2</v>
      </c>
      <c r="J1081" s="1371">
        <v>42339</v>
      </c>
    </row>
    <row r="1082" spans="2:10" x14ac:dyDescent="0.45">
      <c r="B1082" s="1371">
        <f t="shared" si="33"/>
        <v>42370</v>
      </c>
      <c r="C1082" s="1370" t="str">
        <f t="shared" si="34"/>
        <v>S&amp;P 500 Utility Index</v>
      </c>
      <c r="F1082" s="1380">
        <f>'PRPM WP2'!C1083</f>
        <v>4.9222952667868664E-2</v>
      </c>
      <c r="H1082" s="1380">
        <f>'PRPM WP2'!H1083</f>
        <v>3.5583333333333326E-3</v>
      </c>
      <c r="I1082" s="1373">
        <f t="shared" si="32"/>
        <v>4.5664619334535334E-2</v>
      </c>
      <c r="J1082" s="1371">
        <v>42370</v>
      </c>
    </row>
    <row r="1083" spans="2:10" x14ac:dyDescent="0.45">
      <c r="B1083" s="1371">
        <f t="shared" si="33"/>
        <v>42401</v>
      </c>
      <c r="C1083" s="1370" t="str">
        <f t="shared" si="34"/>
        <v>S&amp;P 500 Utility Index</v>
      </c>
      <c r="F1083" s="1380">
        <f>'PRPM WP2'!C1084</f>
        <v>1.94081804074543E-2</v>
      </c>
      <c r="H1083" s="1380">
        <f>'PRPM WP2'!H1084</f>
        <v>3.4250000000000001E-3</v>
      </c>
      <c r="I1083" s="1373">
        <f t="shared" si="32"/>
        <v>1.5983180407454299E-2</v>
      </c>
      <c r="J1083" s="1371">
        <v>42401</v>
      </c>
    </row>
    <row r="1084" spans="2:10" x14ac:dyDescent="0.45">
      <c r="B1084" s="1371">
        <f t="shared" si="33"/>
        <v>42430</v>
      </c>
      <c r="C1084" s="1370" t="str">
        <f t="shared" si="34"/>
        <v>S&amp;P 500 Utility Index</v>
      </c>
      <c r="F1084" s="1380">
        <f>'PRPM WP2'!C1085</f>
        <v>8.14E-2</v>
      </c>
      <c r="H1084" s="1380">
        <f>'PRPM WP2'!H1085</f>
        <v>3.4666666666666669E-3</v>
      </c>
      <c r="I1084" s="1373">
        <f t="shared" si="32"/>
        <v>7.7933333333333327E-2</v>
      </c>
      <c r="J1084" s="1371">
        <v>42430</v>
      </c>
    </row>
    <row r="1085" spans="2:10" x14ac:dyDescent="0.45">
      <c r="B1085" s="1371">
        <f t="shared" si="33"/>
        <v>42461</v>
      </c>
      <c r="C1085" s="1370" t="str">
        <f t="shared" si="34"/>
        <v>S&amp;P 500 Utility Index</v>
      </c>
      <c r="F1085" s="1380">
        <f>'PRPM WP2'!C1086</f>
        <v>-2.41E-2</v>
      </c>
      <c r="H1085" s="1380">
        <f>'PRPM WP2'!H1086</f>
        <v>3.4666666666666669E-3</v>
      </c>
      <c r="I1085" s="1373">
        <f t="shared" si="32"/>
        <v>-2.7566666666666666E-2</v>
      </c>
      <c r="J1085" s="1371">
        <v>42461</v>
      </c>
    </row>
    <row r="1086" spans="2:10" x14ac:dyDescent="0.45">
      <c r="B1086" s="1371">
        <f t="shared" si="33"/>
        <v>42491</v>
      </c>
      <c r="C1086" s="1370" t="str">
        <f t="shared" si="34"/>
        <v>S&amp;P 500 Utility Index</v>
      </c>
      <c r="F1086" s="1380">
        <f>'PRPM WP2'!C1087</f>
        <v>1.5100000000000001E-2</v>
      </c>
      <c r="H1086" s="1380">
        <f>'PRPM WP2'!H1087</f>
        <v>3.2750000000000001E-3</v>
      </c>
      <c r="I1086" s="1373">
        <f t="shared" si="32"/>
        <v>1.1825E-2</v>
      </c>
      <c r="J1086" s="1371">
        <v>42491</v>
      </c>
    </row>
    <row r="1087" spans="2:10" x14ac:dyDescent="0.45">
      <c r="B1087" s="1371">
        <f t="shared" si="33"/>
        <v>42522</v>
      </c>
      <c r="C1087" s="1370" t="str">
        <f t="shared" si="34"/>
        <v>S&amp;P 500 Utility Index</v>
      </c>
      <c r="F1087" s="1380">
        <f>'PRPM WP2'!C1088</f>
        <v>7.7899999999999997E-2</v>
      </c>
      <c r="H1087" s="1380">
        <f>'PRPM WP2'!H1088</f>
        <v>3.15E-3</v>
      </c>
      <c r="I1087" s="1373">
        <f t="shared" si="32"/>
        <v>7.4749999999999997E-2</v>
      </c>
      <c r="J1087" s="1371">
        <v>42522</v>
      </c>
    </row>
    <row r="1088" spans="2:10" x14ac:dyDescent="0.45">
      <c r="B1088" s="1371">
        <f t="shared" si="33"/>
        <v>42552</v>
      </c>
      <c r="C1088" s="1370" t="str">
        <f t="shared" si="34"/>
        <v>S&amp;P 500 Utility Index</v>
      </c>
      <c r="F1088" s="1380">
        <f>'PRPM WP2'!C1089</f>
        <v>-8.0000000000000002E-3</v>
      </c>
      <c r="H1088" s="1380">
        <f>'PRPM WP2'!H1089</f>
        <v>2.9749999999999998E-3</v>
      </c>
      <c r="I1088" s="1373">
        <f t="shared" si="32"/>
        <v>-1.0975E-2</v>
      </c>
      <c r="J1088" s="1371">
        <v>42552</v>
      </c>
    </row>
    <row r="1089" spans="2:10" x14ac:dyDescent="0.45">
      <c r="B1089" s="1371">
        <f t="shared" si="33"/>
        <v>42583</v>
      </c>
      <c r="C1089" s="1370" t="str">
        <f t="shared" si="34"/>
        <v>S&amp;P 500 Utility Index</v>
      </c>
      <c r="F1089" s="1380">
        <f>'PRPM WP2'!C1090</f>
        <v>-5.5100000000000003E-2</v>
      </c>
      <c r="H1089" s="1380">
        <f>'PRPM WP2'!H1090</f>
        <v>2.9916666666666663E-3</v>
      </c>
      <c r="I1089" s="1373">
        <f t="shared" si="32"/>
        <v>-5.8091666666666666E-2</v>
      </c>
      <c r="J1089" s="1371">
        <f t="shared" ref="J1089:J1120" si="35">B1089</f>
        <v>42583</v>
      </c>
    </row>
    <row r="1090" spans="2:10" x14ac:dyDescent="0.45">
      <c r="B1090" s="1371">
        <f t="shared" si="33"/>
        <v>42614</v>
      </c>
      <c r="C1090" s="1370" t="str">
        <f t="shared" si="34"/>
        <v>S&amp;P 500 Utility Index</v>
      </c>
      <c r="F1090" s="1380">
        <f>'PRPM WP2'!C1091</f>
        <v>4.0000000000000001E-3</v>
      </c>
      <c r="H1090" s="1380">
        <f>'PRPM WP2'!H1091</f>
        <v>3.0499999999999998E-3</v>
      </c>
      <c r="I1090" s="1373">
        <f t="shared" si="32"/>
        <v>9.5000000000000032E-4</v>
      </c>
      <c r="J1090" s="1371">
        <f t="shared" si="35"/>
        <v>42614</v>
      </c>
    </row>
    <row r="1091" spans="2:10" x14ac:dyDescent="0.45">
      <c r="B1091" s="1371">
        <f t="shared" si="33"/>
        <v>42644</v>
      </c>
      <c r="C1091" s="1370" t="str">
        <f t="shared" si="34"/>
        <v>S&amp;P 500 Utility Index</v>
      </c>
      <c r="F1091" s="1380">
        <f>'PRPM WP2'!C1092</f>
        <v>8.6E-3</v>
      </c>
      <c r="H1091" s="1380">
        <f>'PRPM WP2'!H1092</f>
        <v>3.0499999999999998E-3</v>
      </c>
      <c r="I1091" s="1373">
        <f t="shared" si="32"/>
        <v>5.5500000000000002E-3</v>
      </c>
      <c r="J1091" s="1371">
        <f t="shared" si="35"/>
        <v>42644</v>
      </c>
    </row>
    <row r="1092" spans="2:10" x14ac:dyDescent="0.45">
      <c r="B1092" s="1371">
        <f t="shared" si="33"/>
        <v>42675</v>
      </c>
      <c r="C1092" s="1370" t="str">
        <f t="shared" si="34"/>
        <v>S&amp;P 500 Utility Index</v>
      </c>
      <c r="F1092" s="1380">
        <f>'PRPM WP2'!C1093</f>
        <v>-5.3900000000000003E-2</v>
      </c>
      <c r="H1092" s="1380">
        <f>'PRPM WP2'!H1093</f>
        <v>3.4000000000000002E-3</v>
      </c>
      <c r="I1092" s="1373">
        <f t="shared" si="32"/>
        <v>-5.7300000000000004E-2</v>
      </c>
      <c r="J1092" s="1371">
        <f t="shared" si="35"/>
        <v>42675</v>
      </c>
    </row>
    <row r="1093" spans="2:10" x14ac:dyDescent="0.45">
      <c r="B1093" s="1371">
        <f t="shared" si="33"/>
        <v>42705</v>
      </c>
      <c r="C1093" s="1370" t="str">
        <f t="shared" si="34"/>
        <v>S&amp;P 500 Utility Index</v>
      </c>
      <c r="F1093" s="1380">
        <f>'PRPM WP2'!C1094</f>
        <v>4.9399999999999999E-2</v>
      </c>
      <c r="H1093" s="1380">
        <f>'PRPM WP2'!H1094</f>
        <v>3.5583333333333326E-3</v>
      </c>
      <c r="I1093" s="1373">
        <f t="shared" si="32"/>
        <v>4.5841666666666669E-2</v>
      </c>
      <c r="J1093" s="1371">
        <f t="shared" si="35"/>
        <v>42705</v>
      </c>
    </row>
    <row r="1094" spans="2:10" x14ac:dyDescent="0.45">
      <c r="B1094" s="1371">
        <f t="shared" si="33"/>
        <v>42736</v>
      </c>
      <c r="C1094" s="1370" t="str">
        <f t="shared" si="34"/>
        <v>S&amp;P 500 Utility Index</v>
      </c>
      <c r="F1094" s="1380">
        <f>'PRPM WP2'!C1095</f>
        <v>1.26E-2</v>
      </c>
      <c r="H1094" s="1380">
        <f>'PRPM WP2'!H1095</f>
        <v>3.4499999999999999E-3</v>
      </c>
      <c r="I1094" s="1373">
        <f t="shared" si="32"/>
        <v>9.1500000000000001E-3</v>
      </c>
      <c r="J1094" s="1371">
        <f t="shared" si="35"/>
        <v>42736</v>
      </c>
    </row>
    <row r="1095" spans="2:10" x14ac:dyDescent="0.45">
      <c r="B1095" s="1371">
        <f t="shared" si="33"/>
        <v>42767</v>
      </c>
      <c r="C1095" s="1370" t="str">
        <f t="shared" si="34"/>
        <v>S&amp;P 500 Utility Index</v>
      </c>
      <c r="F1095" s="1380">
        <f>'PRPM WP2'!C1096</f>
        <v>5.2600000000000001E-2</v>
      </c>
      <c r="H1095" s="1380">
        <f>'PRPM WP2'!H1096</f>
        <v>3.4250000000000001E-3</v>
      </c>
      <c r="I1095" s="1373">
        <f t="shared" si="32"/>
        <v>4.9175000000000003E-2</v>
      </c>
      <c r="J1095" s="1371">
        <f t="shared" si="35"/>
        <v>42767</v>
      </c>
    </row>
    <row r="1096" spans="2:10" x14ac:dyDescent="0.45">
      <c r="B1096" s="1371">
        <f t="shared" si="33"/>
        <v>42795</v>
      </c>
      <c r="C1096" s="1370" t="str">
        <f t="shared" si="34"/>
        <v>S&amp;P 500 Utility Index</v>
      </c>
      <c r="F1096" s="1380">
        <f>'PRPM WP2'!C1097</f>
        <v>2.98E-2</v>
      </c>
      <c r="H1096" s="1380">
        <f>'PRPM WP2'!H1097</f>
        <v>3.4833333333333331E-3</v>
      </c>
      <c r="I1096" s="1373">
        <f t="shared" si="32"/>
        <v>2.6316666666666669E-2</v>
      </c>
      <c r="J1096" s="1371">
        <f t="shared" si="35"/>
        <v>42795</v>
      </c>
    </row>
    <row r="1097" spans="2:10" x14ac:dyDescent="0.45">
      <c r="B1097" s="1371">
        <f t="shared" si="33"/>
        <v>42826</v>
      </c>
      <c r="C1097" s="1370" t="str">
        <f t="shared" si="34"/>
        <v>S&amp;P 500 Utility Index</v>
      </c>
      <c r="F1097" s="1380">
        <f>'PRPM WP2'!C1098</f>
        <v>7.7999999999999996E-3</v>
      </c>
      <c r="H1097" s="1380">
        <f>'PRPM WP2'!H1098</f>
        <v>3.4333333333333334E-3</v>
      </c>
      <c r="I1097" s="1373">
        <f t="shared" si="32"/>
        <v>4.3666666666666663E-3</v>
      </c>
      <c r="J1097" s="1371">
        <f t="shared" si="35"/>
        <v>42826</v>
      </c>
    </row>
    <row r="1098" spans="2:10" x14ac:dyDescent="0.45">
      <c r="B1098" s="1371">
        <f t="shared" si="33"/>
        <v>42856</v>
      </c>
      <c r="C1098" s="1370" t="str">
        <f t="shared" si="34"/>
        <v>S&amp;P 500 Utility Index</v>
      </c>
      <c r="F1098" s="1380">
        <f>'PRPM WP2'!C1099</f>
        <v>4.2200000000000001E-2</v>
      </c>
      <c r="H1098" s="1380">
        <f>'PRPM WP2'!H1099</f>
        <v>3.4416666666666667E-3</v>
      </c>
      <c r="I1098" s="1373">
        <f t="shared" si="32"/>
        <v>3.8758333333333332E-2</v>
      </c>
      <c r="J1098" s="1371">
        <f t="shared" si="35"/>
        <v>42856</v>
      </c>
    </row>
    <row r="1099" spans="2:10" x14ac:dyDescent="0.45">
      <c r="B1099" s="1371">
        <f t="shared" si="33"/>
        <v>42887</v>
      </c>
      <c r="C1099" s="1370" t="str">
        <f t="shared" si="34"/>
        <v>S&amp;P 500 Utility Index</v>
      </c>
      <c r="F1099" s="1380">
        <f>'PRPM WP2'!C1100</f>
        <v>-2.7E-2</v>
      </c>
      <c r="H1099" s="1380">
        <f>'PRPM WP2'!H1100</f>
        <v>3.283333333333333E-3</v>
      </c>
      <c r="I1099" s="1373">
        <f t="shared" si="32"/>
        <v>-3.0283333333333332E-2</v>
      </c>
      <c r="J1099" s="1371">
        <f t="shared" si="35"/>
        <v>42887</v>
      </c>
    </row>
    <row r="1100" spans="2:10" x14ac:dyDescent="0.45">
      <c r="B1100" s="1371">
        <f t="shared" si="33"/>
        <v>42917</v>
      </c>
      <c r="C1100" s="1370" t="str">
        <f t="shared" si="34"/>
        <v>S&amp;P 500 Utility Index</v>
      </c>
      <c r="F1100" s="1380">
        <f>'PRPM WP2'!C1101</f>
        <v>2.4400000000000002E-2</v>
      </c>
      <c r="H1100" s="1380">
        <f>'PRPM WP2'!H1101</f>
        <v>3.3749999999999995E-3</v>
      </c>
      <c r="I1100" s="1373">
        <f t="shared" si="32"/>
        <v>2.1025000000000002E-2</v>
      </c>
      <c r="J1100" s="1371">
        <f t="shared" si="35"/>
        <v>42917</v>
      </c>
    </row>
    <row r="1101" spans="2:10" x14ac:dyDescent="0.45">
      <c r="B1101" s="1371">
        <f t="shared" si="33"/>
        <v>42948</v>
      </c>
      <c r="C1101" s="1370" t="str">
        <f t="shared" si="34"/>
        <v>S&amp;P 500 Utility Index</v>
      </c>
      <c r="F1101" s="1380">
        <f>'PRPM WP2'!C1102</f>
        <v>3.2399999999999998E-2</v>
      </c>
      <c r="H1101" s="1380">
        <f>'PRPM WP2'!H1102</f>
        <v>3.3250000000000003E-3</v>
      </c>
      <c r="I1101" s="1373">
        <f t="shared" si="32"/>
        <v>2.9074999999999997E-2</v>
      </c>
      <c r="J1101" s="1371">
        <f t="shared" si="35"/>
        <v>42948</v>
      </c>
    </row>
    <row r="1102" spans="2:10" x14ac:dyDescent="0.45">
      <c r="B1102" s="1371">
        <f t="shared" si="33"/>
        <v>42979</v>
      </c>
      <c r="C1102" s="1370" t="str">
        <f t="shared" si="34"/>
        <v>S&amp;P 500 Utility Index</v>
      </c>
      <c r="F1102" s="1380">
        <f>'PRPM WP2'!C1103</f>
        <v>-2.7300000000000001E-2</v>
      </c>
      <c r="H1102" s="1380">
        <f>'PRPM WP2'!H1103</f>
        <v>3.2166666666666667E-3</v>
      </c>
      <c r="I1102" s="1373">
        <f t="shared" si="32"/>
        <v>-3.0516666666666668E-2</v>
      </c>
      <c r="J1102" s="1371">
        <f t="shared" si="35"/>
        <v>42979</v>
      </c>
    </row>
    <row r="1103" spans="2:10" x14ac:dyDescent="0.45">
      <c r="B1103" s="1371">
        <f t="shared" si="33"/>
        <v>43009</v>
      </c>
      <c r="C1103" s="1370" t="str">
        <f t="shared" si="34"/>
        <v>S&amp;P 500 Utility Index</v>
      </c>
      <c r="F1103" s="1380">
        <f>'PRPM WP2'!C1104</f>
        <v>3.9E-2</v>
      </c>
      <c r="H1103" s="1380">
        <f>'PRPM WP2'!H1104</f>
        <v>3.2583333333333336E-3</v>
      </c>
      <c r="I1103" s="1373">
        <f t="shared" si="32"/>
        <v>3.5741666666666665E-2</v>
      </c>
      <c r="J1103" s="1371">
        <f t="shared" si="35"/>
        <v>43009</v>
      </c>
    </row>
    <row r="1104" spans="2:10" x14ac:dyDescent="0.45">
      <c r="B1104" s="1371">
        <f t="shared" si="33"/>
        <v>43040</v>
      </c>
      <c r="C1104" s="1370" t="str">
        <f t="shared" si="34"/>
        <v>S&amp;P 500 Utility Index</v>
      </c>
      <c r="F1104" s="1380">
        <f>'PRPM WP2'!C1105</f>
        <v>2.75E-2</v>
      </c>
      <c r="H1104" s="1380">
        <f>'PRPM WP2'!H1105</f>
        <v>3.2583333333333336E-3</v>
      </c>
      <c r="I1104" s="1373">
        <f t="shared" si="32"/>
        <v>2.4241666666666668E-2</v>
      </c>
      <c r="J1104" s="1371">
        <f t="shared" si="35"/>
        <v>43040</v>
      </c>
    </row>
    <row r="1105" spans="2:10" x14ac:dyDescent="0.45">
      <c r="B1105" s="1371">
        <f t="shared" si="33"/>
        <v>43070</v>
      </c>
      <c r="C1105" s="1370" t="str">
        <f t="shared" si="34"/>
        <v>S&amp;P 500 Utility Index</v>
      </c>
      <c r="F1105" s="1380">
        <f>'PRPM WP2'!C1106</f>
        <v>-6.13E-2</v>
      </c>
      <c r="H1105" s="1380">
        <f>'PRPM WP2'!H1106</f>
        <v>3.1583333333333337E-3</v>
      </c>
      <c r="I1105" s="1373">
        <f t="shared" si="32"/>
        <v>-6.445833333333334E-2</v>
      </c>
      <c r="J1105" s="1371">
        <f t="shared" si="35"/>
        <v>43070</v>
      </c>
    </row>
    <row r="1106" spans="2:10" x14ac:dyDescent="0.45">
      <c r="B1106" s="1371">
        <f t="shared" si="33"/>
        <v>43101</v>
      </c>
      <c r="C1106" s="1370" t="str">
        <f t="shared" si="34"/>
        <v>S&amp;P 500 Utility Index</v>
      </c>
      <c r="F1106" s="1380">
        <f>'PRPM WP2'!C1107</f>
        <v>-3.0700000000000002E-2</v>
      </c>
      <c r="H1106" s="1380">
        <f>'PRPM WP2'!H1107</f>
        <v>3.1583333333333337E-3</v>
      </c>
      <c r="I1106" s="1373">
        <f t="shared" si="32"/>
        <v>-3.3858333333333338E-2</v>
      </c>
      <c r="J1106" s="1371">
        <f t="shared" si="35"/>
        <v>43101</v>
      </c>
    </row>
    <row r="1107" spans="2:10" x14ac:dyDescent="0.45">
      <c r="B1107" s="1371">
        <f t="shared" si="33"/>
        <v>43132</v>
      </c>
      <c r="C1107" s="1370" t="str">
        <f t="shared" si="34"/>
        <v>S&amp;P 500 Utility Index</v>
      </c>
      <c r="F1107" s="1380">
        <f>'PRPM WP2'!C1108</f>
        <v>-3.8399999999999997E-2</v>
      </c>
      <c r="H1107" s="1380">
        <f>'PRPM WP2'!H1108</f>
        <v>3.2166666666666667E-3</v>
      </c>
      <c r="I1107" s="1373">
        <f t="shared" si="32"/>
        <v>-4.1616666666666663E-2</v>
      </c>
      <c r="J1107" s="1371">
        <f t="shared" si="35"/>
        <v>43132</v>
      </c>
    </row>
    <row r="1108" spans="2:10" x14ac:dyDescent="0.45">
      <c r="B1108" s="1371">
        <f t="shared" si="33"/>
        <v>43160</v>
      </c>
      <c r="C1108" s="1370" t="str">
        <f t="shared" si="34"/>
        <v>S&amp;P 500 Utility Index</v>
      </c>
      <c r="F1108" s="1380">
        <f>'PRPM WP2'!C1109</f>
        <v>3.7699999999999997E-2</v>
      </c>
      <c r="H1108" s="1380">
        <f>'PRPM WP2'!H1109</f>
        <v>3.4416666666666667E-3</v>
      </c>
      <c r="I1108" s="1373">
        <f t="shared" si="32"/>
        <v>3.4258333333333328E-2</v>
      </c>
      <c r="J1108" s="1371">
        <f t="shared" si="35"/>
        <v>43160</v>
      </c>
    </row>
    <row r="1109" spans="2:10" x14ac:dyDescent="0.45">
      <c r="B1109" s="1371">
        <f t="shared" si="33"/>
        <v>43191</v>
      </c>
      <c r="C1109" s="1370" t="str">
        <f t="shared" si="34"/>
        <v>S&amp;P 500 Utility Index</v>
      </c>
      <c r="F1109" s="1380">
        <f>'PRPM WP2'!C1110</f>
        <v>2.1000000000000001E-2</v>
      </c>
      <c r="H1109" s="1380">
        <f>'PRPM WP2'!H1110</f>
        <v>3.4749999999999998E-3</v>
      </c>
      <c r="I1109" s="1373">
        <f t="shared" si="32"/>
        <v>1.7525000000000002E-2</v>
      </c>
      <c r="J1109" s="1371">
        <f t="shared" si="35"/>
        <v>43191</v>
      </c>
    </row>
    <row r="1110" spans="2:10" x14ac:dyDescent="0.45">
      <c r="B1110" s="1371">
        <f t="shared" si="33"/>
        <v>43221</v>
      </c>
      <c r="C1110" s="1370" t="str">
        <f t="shared" si="34"/>
        <v>S&amp;P 500 Utility Index</v>
      </c>
      <c r="F1110" s="1380">
        <f>'PRPM WP2'!C1111</f>
        <v>-1.14E-2</v>
      </c>
      <c r="H1110" s="1380">
        <f>'PRPM WP2'!H1111</f>
        <v>3.5666666666666668E-3</v>
      </c>
      <c r="I1110" s="1373">
        <f t="shared" si="32"/>
        <v>-1.4966666666666666E-2</v>
      </c>
      <c r="J1110" s="1371">
        <f t="shared" si="35"/>
        <v>43221</v>
      </c>
    </row>
    <row r="1111" spans="2:10" x14ac:dyDescent="0.45">
      <c r="B1111" s="1371">
        <f t="shared" si="33"/>
        <v>43252</v>
      </c>
      <c r="C1111" s="1370" t="str">
        <f t="shared" si="34"/>
        <v>S&amp;P 500 Utility Index</v>
      </c>
      <c r="F1111" s="1380">
        <f>'PRPM WP2'!C1112</f>
        <v>2.7300000000000001E-2</v>
      </c>
      <c r="H1111" s="1380">
        <f>'PRPM WP2'!H1112</f>
        <v>3.5583333333333326E-3</v>
      </c>
      <c r="I1111" s="1373">
        <f t="shared" si="32"/>
        <v>2.3741666666666668E-2</v>
      </c>
      <c r="J1111" s="1371">
        <f t="shared" si="35"/>
        <v>43252</v>
      </c>
    </row>
    <row r="1112" spans="2:10" x14ac:dyDescent="0.45">
      <c r="B1112" s="1371">
        <f t="shared" si="33"/>
        <v>43282</v>
      </c>
      <c r="C1112" s="1370" t="str">
        <f t="shared" si="34"/>
        <v>S&amp;P 500 Utility Index</v>
      </c>
      <c r="F1112" s="1380">
        <f>'PRPM WP2'!C1113</f>
        <v>1.8599999999999998E-2</v>
      </c>
      <c r="H1112" s="1380">
        <f>'PRPM WP2'!H1113</f>
        <v>3.5583333333333326E-3</v>
      </c>
      <c r="I1112" s="1373">
        <f t="shared" si="32"/>
        <v>1.5041666666666665E-2</v>
      </c>
      <c r="J1112" s="1371">
        <f t="shared" si="35"/>
        <v>43282</v>
      </c>
    </row>
    <row r="1113" spans="2:10" x14ac:dyDescent="0.45">
      <c r="B1113" s="1371">
        <f t="shared" si="33"/>
        <v>43313</v>
      </c>
      <c r="C1113" s="1370" t="str">
        <f t="shared" si="34"/>
        <v>S&amp;P 500 Utility Index</v>
      </c>
      <c r="F1113" s="1380">
        <f>'PRPM WP2'!C1114</f>
        <v>1.1299999999999999E-2</v>
      </c>
      <c r="H1113" s="1380">
        <f>'PRPM WP2'!H1114</f>
        <v>3.5499999999999998E-3</v>
      </c>
      <c r="I1113" s="1373">
        <f t="shared" si="32"/>
        <v>7.7499999999999999E-3</v>
      </c>
      <c r="J1113" s="1371">
        <f t="shared" si="35"/>
        <v>43313</v>
      </c>
    </row>
    <row r="1114" spans="2:10" x14ac:dyDescent="0.45">
      <c r="B1114" s="1371">
        <f t="shared" si="33"/>
        <v>43344</v>
      </c>
      <c r="C1114" s="1370" t="str">
        <f t="shared" si="34"/>
        <v>S&amp;P 500 Utility Index</v>
      </c>
      <c r="F1114" s="1380">
        <f>'PRPM WP2'!C1115</f>
        <v>-6.0000000000000001E-3</v>
      </c>
      <c r="H1114" s="1380">
        <f>'PRPM WP2'!H1115</f>
        <v>3.5499999999999998E-3</v>
      </c>
      <c r="I1114" s="1373">
        <f t="shared" ref="I1114:I1177" si="36">F1114-H1114</f>
        <v>-9.5499999999999995E-3</v>
      </c>
      <c r="J1114" s="1371">
        <f t="shared" si="35"/>
        <v>43344</v>
      </c>
    </row>
    <row r="1115" spans="2:10" x14ac:dyDescent="0.45">
      <c r="B1115" s="1371">
        <f t="shared" si="33"/>
        <v>43374</v>
      </c>
      <c r="C1115" s="1370" t="str">
        <f t="shared" si="34"/>
        <v>S&amp;P 500 Utility Index</v>
      </c>
      <c r="F1115" s="1380">
        <f>'PRPM WP2'!C1116</f>
        <v>1.95E-2</v>
      </c>
      <c r="H1115" s="1380">
        <f>'PRPM WP2'!H1116</f>
        <v>3.7083333333333334E-3</v>
      </c>
      <c r="I1115" s="1373">
        <f t="shared" si="36"/>
        <v>1.5791666666666666E-2</v>
      </c>
      <c r="J1115" s="1371">
        <f t="shared" si="35"/>
        <v>43374</v>
      </c>
    </row>
    <row r="1116" spans="2:10" x14ac:dyDescent="0.45">
      <c r="B1116" s="1371">
        <f t="shared" si="33"/>
        <v>43405</v>
      </c>
      <c r="C1116" s="1370" t="str">
        <f t="shared" si="34"/>
        <v>S&amp;P 500 Utility Index</v>
      </c>
      <c r="F1116" s="1380">
        <f>'PRPM WP2'!C1117</f>
        <v>3.5499999999999997E-2</v>
      </c>
      <c r="H1116" s="1380">
        <f>'PRPM WP2'!H1117</f>
        <v>3.7666666666666664E-3</v>
      </c>
      <c r="I1116" s="1373">
        <f t="shared" si="36"/>
        <v>3.1733333333333329E-2</v>
      </c>
      <c r="J1116" s="1371">
        <f t="shared" si="35"/>
        <v>43405</v>
      </c>
    </row>
    <row r="1117" spans="2:10" x14ac:dyDescent="0.45">
      <c r="B1117" s="1371">
        <f t="shared" si="33"/>
        <v>43435</v>
      </c>
      <c r="C1117" s="1370" t="str">
        <f t="shared" si="34"/>
        <v>S&amp;P 500 Utility Index</v>
      </c>
      <c r="F1117" s="1380">
        <f>'PRPM WP2'!C1118</f>
        <v>-4.0099999999999997E-2</v>
      </c>
      <c r="H1117" s="1380">
        <f>'PRPM WP2'!H1118</f>
        <v>3.6416666666666667E-3</v>
      </c>
      <c r="I1117" s="1373">
        <f t="shared" si="36"/>
        <v>-4.3741666666666665E-2</v>
      </c>
      <c r="J1117" s="1371">
        <f t="shared" si="35"/>
        <v>43435</v>
      </c>
    </row>
    <row r="1118" spans="2:10" x14ac:dyDescent="0.45">
      <c r="B1118" s="1371">
        <f t="shared" si="33"/>
        <v>43466</v>
      </c>
      <c r="C1118" s="1370" t="str">
        <f t="shared" si="34"/>
        <v>S&amp;P 500 Utility Index</v>
      </c>
      <c r="F1118" s="1380">
        <f>'PRPM WP2'!C1119</f>
        <v>4.8399999999999999E-2</v>
      </c>
      <c r="H1118" s="1380">
        <f>'PRPM WP2'!H1119</f>
        <v>3.6249999999999998E-3</v>
      </c>
      <c r="I1118" s="1373">
        <f t="shared" si="36"/>
        <v>4.4774999999999995E-2</v>
      </c>
      <c r="J1118" s="1371">
        <f t="shared" si="35"/>
        <v>43466</v>
      </c>
    </row>
    <row r="1119" spans="2:10" x14ac:dyDescent="0.45">
      <c r="B1119" s="1371">
        <f t="shared" si="33"/>
        <v>43497</v>
      </c>
      <c r="C1119" s="1370" t="str">
        <f t="shared" si="34"/>
        <v>S&amp;P 500 Utility Index</v>
      </c>
      <c r="F1119" s="1380">
        <f>'PRPM WP2'!C1120</f>
        <v>4.1099999999999998E-2</v>
      </c>
      <c r="H1119" s="1380">
        <f>'PRPM WP2'!H1120</f>
        <v>3.5416666666666669E-3</v>
      </c>
      <c r="I1119" s="1373">
        <f t="shared" si="36"/>
        <v>3.7558333333333332E-2</v>
      </c>
      <c r="J1119" s="1371">
        <f t="shared" si="35"/>
        <v>43497</v>
      </c>
    </row>
    <row r="1120" spans="2:10" x14ac:dyDescent="0.45">
      <c r="B1120" s="1371">
        <f t="shared" si="33"/>
        <v>43525</v>
      </c>
      <c r="C1120" s="1370" t="str">
        <f t="shared" si="34"/>
        <v>S&amp;P 500 Utility Index</v>
      </c>
      <c r="F1120" s="1380">
        <f>'PRPM WP2'!C1121</f>
        <v>2.8799999999999999E-2</v>
      </c>
      <c r="H1120" s="1380">
        <f>'PRPM WP2'!H1121</f>
        <v>3.5416666666666669E-3</v>
      </c>
      <c r="I1120" s="1373">
        <f t="shared" si="36"/>
        <v>2.5258333333333334E-2</v>
      </c>
      <c r="J1120" s="1371">
        <f t="shared" si="35"/>
        <v>43525</v>
      </c>
    </row>
    <row r="1121" spans="2:10" x14ac:dyDescent="0.45">
      <c r="B1121" s="1371">
        <f t="shared" si="33"/>
        <v>43556</v>
      </c>
      <c r="C1121" s="1370" t="str">
        <f t="shared" si="34"/>
        <v>S&amp;P 500 Utility Index</v>
      </c>
      <c r="F1121" s="1380">
        <f>'PRPM WP2'!C1122</f>
        <v>9.2999999999999992E-3</v>
      </c>
      <c r="H1121" s="1380">
        <f>'PRPM WP2'!H1122</f>
        <v>3.4000000000000002E-3</v>
      </c>
      <c r="I1121" s="1373">
        <f t="shared" si="36"/>
        <v>5.899999999999999E-3</v>
      </c>
      <c r="J1121" s="1371">
        <f t="shared" ref="J1121:J1152" si="37">B1121</f>
        <v>43556</v>
      </c>
    </row>
    <row r="1122" spans="2:10" x14ac:dyDescent="0.45">
      <c r="B1122" s="1371">
        <f t="shared" si="33"/>
        <v>43586</v>
      </c>
      <c r="C1122" s="1370" t="str">
        <f t="shared" si="34"/>
        <v>S&amp;P 500 Utility Index</v>
      </c>
      <c r="F1122" s="1380">
        <f>'PRPM WP2'!C1123</f>
        <v>-7.7999999999999996E-3</v>
      </c>
      <c r="H1122" s="1380">
        <f>'PRPM WP2'!H1123</f>
        <v>3.3166666666666665E-3</v>
      </c>
      <c r="I1122" s="1373">
        <f t="shared" si="36"/>
        <v>-1.1116666666666667E-2</v>
      </c>
      <c r="J1122" s="1371">
        <f t="shared" si="37"/>
        <v>43586</v>
      </c>
    </row>
    <row r="1123" spans="2:10" x14ac:dyDescent="0.45">
      <c r="B1123" s="1371">
        <f t="shared" si="33"/>
        <v>43617</v>
      </c>
      <c r="C1123" s="1370" t="str">
        <f t="shared" si="34"/>
        <v>S&amp;P 500 Utility Index</v>
      </c>
      <c r="F1123" s="1380">
        <f>'PRPM WP2'!C1124</f>
        <v>3.2199999999999999E-2</v>
      </c>
      <c r="H1123" s="1380">
        <f>'PRPM WP2'!H1124</f>
        <v>3.3166666666666665E-3</v>
      </c>
      <c r="I1123" s="1373">
        <f t="shared" si="36"/>
        <v>2.8883333333333334E-2</v>
      </c>
      <c r="J1123" s="1371">
        <f t="shared" si="37"/>
        <v>43617</v>
      </c>
    </row>
    <row r="1124" spans="2:10" x14ac:dyDescent="0.45">
      <c r="B1124" s="1371">
        <f t="shared" si="33"/>
        <v>43647</v>
      </c>
      <c r="C1124" s="1370" t="str">
        <f t="shared" si="34"/>
        <v>S&amp;P 500 Utility Index</v>
      </c>
      <c r="F1124" s="1380">
        <f>'PRPM WP2'!C1125</f>
        <v>-2.7000000000000001E-3</v>
      </c>
      <c r="H1124" s="1380">
        <f>'PRPM WP2'!H1125</f>
        <v>3.075E-3</v>
      </c>
      <c r="I1124" s="1373">
        <f t="shared" si="36"/>
        <v>-5.7750000000000006E-3</v>
      </c>
      <c r="J1124" s="1371">
        <f t="shared" si="37"/>
        <v>43647</v>
      </c>
    </row>
    <row r="1125" spans="2:10" x14ac:dyDescent="0.45">
      <c r="B1125" s="1371">
        <f t="shared" si="33"/>
        <v>43678</v>
      </c>
      <c r="C1125" s="1370" t="str">
        <f t="shared" si="34"/>
        <v>S&amp;P 500 Utility Index</v>
      </c>
      <c r="F1125" s="1380">
        <f>'PRPM WP2'!C1126</f>
        <v>5.1299999999999998E-2</v>
      </c>
      <c r="H1125" s="1380">
        <f>'PRPM WP2'!H1126</f>
        <v>3.075E-3</v>
      </c>
      <c r="I1125" s="1373">
        <f t="shared" si="36"/>
        <v>4.8224999999999997E-2</v>
      </c>
      <c r="J1125" s="1371">
        <f t="shared" si="37"/>
        <v>43678</v>
      </c>
    </row>
    <row r="1126" spans="2:10" x14ac:dyDescent="0.45">
      <c r="B1126" s="1371">
        <f t="shared" si="33"/>
        <v>43709</v>
      </c>
      <c r="C1126" s="1370" t="str">
        <f t="shared" si="34"/>
        <v>S&amp;P 500 Utility Index</v>
      </c>
      <c r="F1126" s="1380">
        <f>'PRPM WP2'!C1127</f>
        <v>4.2500000000000003E-2</v>
      </c>
      <c r="H1126" s="1380">
        <f>'PRPM WP2'!H1127</f>
        <v>2.7416666666666666E-3</v>
      </c>
      <c r="I1126" s="1373">
        <f t="shared" si="36"/>
        <v>3.975833333333334E-2</v>
      </c>
      <c r="J1126" s="1371">
        <f t="shared" si="37"/>
        <v>43709</v>
      </c>
    </row>
    <row r="1127" spans="2:10" x14ac:dyDescent="0.45">
      <c r="B1127" s="1371">
        <f t="shared" si="33"/>
        <v>43739</v>
      </c>
      <c r="C1127" s="1370" t="str">
        <f t="shared" si="34"/>
        <v>S&amp;P 500 Utility Index</v>
      </c>
      <c r="F1127" s="1380">
        <f>'PRPM WP2'!C1128</f>
        <v>-7.7000000000000002E-3</v>
      </c>
      <c r="H1127" s="1380">
        <f>'PRPM WP2'!H1128</f>
        <v>2.8083333333333333E-3</v>
      </c>
      <c r="I1127" s="1373">
        <f t="shared" si="36"/>
        <v>-1.0508333333333333E-2</v>
      </c>
      <c r="J1127" s="1371">
        <f t="shared" si="37"/>
        <v>43739</v>
      </c>
    </row>
    <row r="1128" spans="2:10" x14ac:dyDescent="0.45">
      <c r="B1128" s="1371">
        <f t="shared" si="33"/>
        <v>43770</v>
      </c>
      <c r="C1128" s="1370" t="str">
        <f t="shared" si="34"/>
        <v>S&amp;P 500 Utility Index</v>
      </c>
      <c r="F1128" s="1380">
        <f>'PRPM WP2'!C1129</f>
        <v>-1.8599999999999998E-2</v>
      </c>
      <c r="H1128" s="1380">
        <f>'PRPM WP2'!H1129</f>
        <v>2.8583333333333334E-3</v>
      </c>
      <c r="I1128" s="1373">
        <f t="shared" si="36"/>
        <v>-2.1458333333333333E-2</v>
      </c>
      <c r="J1128" s="1371">
        <f t="shared" si="37"/>
        <v>43770</v>
      </c>
    </row>
    <row r="1129" spans="2:10" x14ac:dyDescent="0.45">
      <c r="B1129" s="1371">
        <f t="shared" si="33"/>
        <v>43800</v>
      </c>
      <c r="C1129" s="1370" t="str">
        <f t="shared" si="34"/>
        <v>S&amp;P 500 Utility Index</v>
      </c>
      <c r="F1129" s="1380">
        <f>'PRPM WP2'!C1130</f>
        <v>3.4299999999999997E-2</v>
      </c>
      <c r="H1129" s="1380">
        <f>'PRPM WP2'!H1130</f>
        <v>2.8333333333333331E-3</v>
      </c>
      <c r="I1129" s="1373">
        <f t="shared" si="36"/>
        <v>3.1466666666666664E-2</v>
      </c>
      <c r="J1129" s="1371">
        <f t="shared" si="37"/>
        <v>43800</v>
      </c>
    </row>
    <row r="1130" spans="2:10" x14ac:dyDescent="0.45">
      <c r="B1130" s="1371">
        <f t="shared" si="33"/>
        <v>43831</v>
      </c>
      <c r="C1130" s="1370" t="str">
        <f t="shared" si="34"/>
        <v>S&amp;P 500 Utility Index</v>
      </c>
      <c r="F1130" s="1380">
        <f>'PRPM WP2'!C1131</f>
        <v>6.6500000000000004E-2</v>
      </c>
      <c r="H1130" s="1380">
        <f>'PRPM WP2'!H1131</f>
        <v>2.6083333333333332E-3</v>
      </c>
      <c r="I1130" s="1373">
        <f t="shared" si="36"/>
        <v>6.3891666666666666E-2</v>
      </c>
      <c r="J1130" s="1371">
        <f t="shared" si="37"/>
        <v>43831</v>
      </c>
    </row>
    <row r="1131" spans="2:10" x14ac:dyDescent="0.45">
      <c r="B1131" s="1371">
        <f t="shared" si="33"/>
        <v>43862</v>
      </c>
      <c r="C1131" s="1370" t="str">
        <f t="shared" si="34"/>
        <v>S&amp;P 500 Utility Index</v>
      </c>
      <c r="F1131" s="1380">
        <f>'PRPM WP2'!C1132</f>
        <v>-9.8500000000000004E-2</v>
      </c>
      <c r="H1131" s="1380">
        <f>'PRPM WP2'!H1132</f>
        <v>2.7416666666666666E-3</v>
      </c>
      <c r="I1131" s="1373">
        <f t="shared" si="36"/>
        <v>-0.10124166666666667</v>
      </c>
      <c r="J1131" s="1371">
        <f t="shared" si="37"/>
        <v>43862</v>
      </c>
    </row>
    <row r="1132" spans="2:10" x14ac:dyDescent="0.45">
      <c r="B1132" s="1371">
        <f t="shared" si="33"/>
        <v>43891</v>
      </c>
      <c r="C1132" s="1370" t="str">
        <f t="shared" si="34"/>
        <v>S&amp;P 500 Utility Index</v>
      </c>
      <c r="F1132" s="1380">
        <f>'PRPM WP2'!C1133</f>
        <v>-9.9900000000000003E-2</v>
      </c>
      <c r="H1132" s="1380">
        <f>'PRPM WP2'!H1133</f>
        <v>2.5916666666666666E-3</v>
      </c>
      <c r="I1132" s="1373">
        <f t="shared" si="36"/>
        <v>-0.10249166666666668</v>
      </c>
      <c r="J1132" s="1371">
        <f t="shared" si="37"/>
        <v>43891</v>
      </c>
    </row>
    <row r="1133" spans="2:10" x14ac:dyDescent="0.45">
      <c r="B1133" s="1371">
        <f t="shared" si="33"/>
        <v>43922</v>
      </c>
      <c r="C1133" s="1370" t="str">
        <f t="shared" si="34"/>
        <v>S&amp;P 500 Utility Index</v>
      </c>
      <c r="F1133" s="1380">
        <f>'PRPM WP2'!C1134</f>
        <v>3.2300000000000002E-2</v>
      </c>
      <c r="H1133" s="1380">
        <f>'PRPM WP2'!H1134</f>
        <v>2.6583333333333333E-3</v>
      </c>
      <c r="I1133" s="1373">
        <f t="shared" si="36"/>
        <v>2.964166666666667E-2</v>
      </c>
      <c r="J1133" s="1371">
        <f t="shared" si="37"/>
        <v>43922</v>
      </c>
    </row>
    <row r="1134" spans="2:10" x14ac:dyDescent="0.45">
      <c r="B1134" s="1371">
        <f t="shared" si="33"/>
        <v>43952</v>
      </c>
      <c r="C1134" s="1370" t="str">
        <f t="shared" si="34"/>
        <v>S&amp;P 500 Utility Index</v>
      </c>
      <c r="F1134" s="1380">
        <f>'PRPM WP2'!C1135</f>
        <v>4.3499999999999997E-2</v>
      </c>
      <c r="H1134" s="1380">
        <f>'PRPM WP2'!H1135</f>
        <v>2.6166666666666664E-3</v>
      </c>
      <c r="I1134" s="1373">
        <f t="shared" si="36"/>
        <v>4.0883333333333327E-2</v>
      </c>
      <c r="J1134" s="1371">
        <f t="shared" si="37"/>
        <v>43952</v>
      </c>
    </row>
    <row r="1135" spans="2:10" x14ac:dyDescent="0.45">
      <c r="B1135" s="1371">
        <f t="shared" si="33"/>
        <v>43983</v>
      </c>
      <c r="C1135" s="1370" t="str">
        <f t="shared" si="34"/>
        <v>S&amp;P 500 Utility Index</v>
      </c>
      <c r="F1135" s="1380">
        <f>'PRPM WP2'!C1136</f>
        <v>-4.65E-2</v>
      </c>
      <c r="H1135" s="1380">
        <f>'PRPM WP2'!H1136</f>
        <v>2.558333333333333E-3</v>
      </c>
      <c r="I1135" s="1373">
        <f t="shared" si="36"/>
        <v>-4.9058333333333336E-2</v>
      </c>
      <c r="J1135" s="1371">
        <f t="shared" si="37"/>
        <v>43983</v>
      </c>
    </row>
    <row r="1136" spans="2:10" x14ac:dyDescent="0.45">
      <c r="B1136" s="1371">
        <f t="shared" si="33"/>
        <v>44013</v>
      </c>
      <c r="C1136" s="1370" t="str">
        <f t="shared" si="34"/>
        <v>S&amp;P 500 Utility Index</v>
      </c>
      <c r="F1136" s="1380">
        <f>'PRPM WP2'!C1137</f>
        <v>7.8200000000000006E-2</v>
      </c>
      <c r="H1136" s="1380">
        <f>'PRPM WP2'!H1137</f>
        <v>2.1333333333333334E-3</v>
      </c>
      <c r="I1136" s="1373">
        <f t="shared" si="36"/>
        <v>7.6066666666666671E-2</v>
      </c>
      <c r="J1136" s="1371">
        <f t="shared" si="37"/>
        <v>44013</v>
      </c>
    </row>
    <row r="1137" spans="2:10" x14ac:dyDescent="0.45">
      <c r="B1137" s="1371">
        <f t="shared" si="33"/>
        <v>44044</v>
      </c>
      <c r="C1137" s="1370" t="str">
        <f t="shared" si="34"/>
        <v>S&amp;P 500 Utility Index</v>
      </c>
      <c r="F1137" s="1380">
        <f>'PRPM WP2'!C1138</f>
        <v>-2.6499999999999999E-2</v>
      </c>
      <c r="H1137" s="1380">
        <f>'PRPM WP2'!H1138</f>
        <v>2.2750000000000001E-3</v>
      </c>
      <c r="I1137" s="1373">
        <f t="shared" si="36"/>
        <v>-2.8774999999999998E-2</v>
      </c>
      <c r="J1137" s="1371">
        <f t="shared" si="37"/>
        <v>44044</v>
      </c>
    </row>
    <row r="1138" spans="2:10" x14ac:dyDescent="0.45">
      <c r="B1138" s="1371">
        <f t="shared" si="33"/>
        <v>44075</v>
      </c>
      <c r="C1138" s="1370" t="str">
        <f t="shared" si="34"/>
        <v>S&amp;P 500 Utility Index</v>
      </c>
      <c r="F1138" s="1380">
        <f>'PRPM WP2'!C1139</f>
        <v>1.1208634977297001E-2</v>
      </c>
      <c r="H1138" s="1380">
        <f>'PRPM WP2'!H1139</f>
        <v>2.3666666666666667E-3</v>
      </c>
      <c r="I1138" s="1373">
        <f t="shared" si="36"/>
        <v>8.8419683106303344E-3</v>
      </c>
      <c r="J1138" s="1371">
        <f t="shared" si="37"/>
        <v>44075</v>
      </c>
    </row>
    <row r="1139" spans="2:10" x14ac:dyDescent="0.45">
      <c r="B1139" s="1371">
        <f t="shared" si="33"/>
        <v>44105</v>
      </c>
      <c r="C1139" s="1370" t="str">
        <f t="shared" si="34"/>
        <v>S&amp;P 500 Utility Index</v>
      </c>
      <c r="F1139" s="1380">
        <f>'PRPM WP2'!C1140</f>
        <v>5.04E-2</v>
      </c>
      <c r="H1139" s="1380">
        <f>'PRPM WP2'!H1140</f>
        <v>2.4583333333333336E-3</v>
      </c>
      <c r="I1139" s="1373">
        <f t="shared" si="36"/>
        <v>4.7941666666666667E-2</v>
      </c>
      <c r="J1139" s="1371">
        <f t="shared" si="37"/>
        <v>44105</v>
      </c>
    </row>
    <row r="1140" spans="2:10" x14ac:dyDescent="0.45">
      <c r="B1140" s="1371">
        <f t="shared" si="33"/>
        <v>44136</v>
      </c>
      <c r="C1140" s="1370" t="str">
        <f t="shared" si="34"/>
        <v>S&amp;P 500 Utility Index</v>
      </c>
      <c r="F1140" s="1380">
        <f>'PRPM WP2'!C1141</f>
        <v>7.3522810716743856E-3</v>
      </c>
      <c r="H1140" s="1380">
        <f>'PRPM WP2'!H1141</f>
        <v>2.3750000000000004E-3</v>
      </c>
      <c r="I1140" s="1373">
        <f t="shared" si="36"/>
        <v>4.9772810716743852E-3</v>
      </c>
      <c r="J1140" s="1371">
        <f t="shared" si="37"/>
        <v>44136</v>
      </c>
    </row>
    <row r="1141" spans="2:10" x14ac:dyDescent="0.45">
      <c r="B1141" s="1371">
        <f t="shared" si="33"/>
        <v>44166</v>
      </c>
      <c r="C1141" s="1370" t="str">
        <f t="shared" si="34"/>
        <v>S&amp;P 500 Utility Index</v>
      </c>
      <c r="F1141" s="1380">
        <f>'PRPM WP2'!C1142</f>
        <v>7.0325529758781969E-3</v>
      </c>
      <c r="H1141" s="1380">
        <f>'PRPM WP2'!H1142</f>
        <v>2.3083333333333332E-3</v>
      </c>
      <c r="I1141" s="1373">
        <f t="shared" si="36"/>
        <v>4.7242196425448637E-3</v>
      </c>
      <c r="J1141" s="1371">
        <f t="shared" si="37"/>
        <v>44166</v>
      </c>
    </row>
    <row r="1142" spans="2:10" x14ac:dyDescent="0.45">
      <c r="B1142" s="1371">
        <f t="shared" ref="B1142:B1190" si="38">DATE(YEAR(B1141),MONTH(B1141) + 1,1)</f>
        <v>44197</v>
      </c>
      <c r="C1142" s="1370" t="str">
        <f t="shared" ref="C1142:C1190" si="39">C1141</f>
        <v>S&amp;P 500 Utility Index</v>
      </c>
      <c r="F1142" s="1380">
        <f>'PRPM WP2'!C1143</f>
        <v>-9.1490879490143378E-3</v>
      </c>
      <c r="H1142" s="1380">
        <f>'PRPM WP2'!H1143</f>
        <v>2.4250000000000001E-3</v>
      </c>
      <c r="I1142" s="1373">
        <f t="shared" si="36"/>
        <v>-1.1574087949014338E-2</v>
      </c>
      <c r="J1142" s="1371">
        <f t="shared" si="37"/>
        <v>44197</v>
      </c>
    </row>
    <row r="1143" spans="2:10" x14ac:dyDescent="0.45">
      <c r="B1143" s="1371">
        <f t="shared" si="38"/>
        <v>44228</v>
      </c>
      <c r="C1143" s="1370" t="str">
        <f t="shared" si="39"/>
        <v>S&amp;P 500 Utility Index</v>
      </c>
      <c r="F1143" s="1380">
        <f>'PRPM WP2'!C1144</f>
        <v>-6.0949635783169254E-2</v>
      </c>
      <c r="H1143" s="1380">
        <f>'PRPM WP2'!H1144</f>
        <v>2.575E-3</v>
      </c>
      <c r="I1143" s="1373">
        <f t="shared" si="36"/>
        <v>-6.3524635783169248E-2</v>
      </c>
      <c r="J1143" s="1371">
        <f t="shared" si="37"/>
        <v>44228</v>
      </c>
    </row>
    <row r="1144" spans="2:10" x14ac:dyDescent="0.45">
      <c r="B1144" s="1371">
        <f t="shared" si="38"/>
        <v>44256</v>
      </c>
      <c r="C1144" s="1370" t="str">
        <f t="shared" si="39"/>
        <v>S&amp;P 500 Utility Index</v>
      </c>
      <c r="F1144" s="1380">
        <f>'PRPM WP2'!C1145</f>
        <v>0.10498835014976989</v>
      </c>
      <c r="H1144" s="1380">
        <f>'PRPM WP2'!H1145</f>
        <v>2.8666666666666667E-3</v>
      </c>
      <c r="I1144" s="1373">
        <f t="shared" si="36"/>
        <v>0.10212168348310321</v>
      </c>
      <c r="J1144" s="1371">
        <f t="shared" si="37"/>
        <v>44256</v>
      </c>
    </row>
    <row r="1145" spans="2:10" x14ac:dyDescent="0.45">
      <c r="B1145" s="1371">
        <f t="shared" si="38"/>
        <v>44287</v>
      </c>
      <c r="C1145" s="1370" t="str">
        <f t="shared" si="39"/>
        <v>S&amp;P 500 Utility Index</v>
      </c>
      <c r="F1145" s="1380">
        <f>'PRPM WP2'!C1146</f>
        <v>4.2771092437836097E-2</v>
      </c>
      <c r="H1145" s="1380">
        <f>'PRPM WP2'!H1146</f>
        <v>2.7499999999999998E-3</v>
      </c>
      <c r="I1145" s="1373">
        <f t="shared" si="36"/>
        <v>4.0021092437836095E-2</v>
      </c>
      <c r="J1145" s="1371">
        <f t="shared" si="37"/>
        <v>44287</v>
      </c>
    </row>
    <row r="1146" spans="2:10" x14ac:dyDescent="0.45">
      <c r="B1146" s="1371">
        <f t="shared" si="38"/>
        <v>44317</v>
      </c>
      <c r="C1146" s="1370" t="str">
        <f t="shared" si="39"/>
        <v>S&amp;P 500 Utility Index</v>
      </c>
      <c r="F1146" s="1380">
        <f>'PRPM WP2'!C1147</f>
        <v>-2.3727991736619838E-2</v>
      </c>
      <c r="H1146" s="1380">
        <f>'PRPM WP2'!H1147</f>
        <v>2.7750000000000001E-3</v>
      </c>
      <c r="I1146" s="1373">
        <f t="shared" si="36"/>
        <v>-2.6502991736619838E-2</v>
      </c>
      <c r="J1146" s="1371">
        <f t="shared" si="37"/>
        <v>44317</v>
      </c>
    </row>
    <row r="1147" spans="2:10" x14ac:dyDescent="0.45">
      <c r="B1147" s="1371">
        <f t="shared" si="38"/>
        <v>44348</v>
      </c>
      <c r="C1147" s="1370" t="str">
        <f t="shared" si="39"/>
        <v>S&amp;P 500 Utility Index</v>
      </c>
      <c r="F1147" s="1380">
        <f>'PRPM WP2'!C1148</f>
        <v>-2.1629631904666716E-2</v>
      </c>
      <c r="H1147" s="1380">
        <f>'PRPM WP2'!H1148</f>
        <v>2.6333333333333334E-3</v>
      </c>
      <c r="I1147" s="1373">
        <f t="shared" si="36"/>
        <v>-2.4262965238000051E-2</v>
      </c>
      <c r="J1147" s="1371">
        <f t="shared" si="37"/>
        <v>44348</v>
      </c>
    </row>
    <row r="1148" spans="2:10" x14ac:dyDescent="0.45">
      <c r="B1148" s="1371">
        <f t="shared" si="38"/>
        <v>44378</v>
      </c>
      <c r="C1148" s="1370" t="str">
        <f t="shared" si="39"/>
        <v>S&amp;P 500 Utility Index</v>
      </c>
      <c r="F1148" s="1380">
        <f>'PRPM WP2'!C1149</f>
        <v>3.8580129254477007E-2</v>
      </c>
      <c r="H1148" s="1380">
        <f>'PRPM WP2'!H1149</f>
        <v>2.4583333333333336E-3</v>
      </c>
      <c r="I1148" s="1373">
        <f t="shared" si="36"/>
        <v>3.6121795921143673E-2</v>
      </c>
      <c r="J1148" s="1371">
        <f t="shared" si="37"/>
        <v>44378</v>
      </c>
    </row>
    <row r="1149" spans="2:10" x14ac:dyDescent="0.45">
      <c r="B1149" s="1371">
        <f t="shared" si="38"/>
        <v>44409</v>
      </c>
      <c r="C1149" s="1370" t="str">
        <f t="shared" si="39"/>
        <v>S&amp;P 500 Utility Index</v>
      </c>
      <c r="F1149" s="1380">
        <f>'PRPM WP2'!C1150</f>
        <v>3.9754994769648354E-2</v>
      </c>
      <c r="H1149" s="1380">
        <f>'PRPM WP2'!H1150</f>
        <v>2.4583333333333336E-3</v>
      </c>
      <c r="I1149" s="1373">
        <f t="shared" si="36"/>
        <v>3.7296661436315021E-2</v>
      </c>
      <c r="J1149" s="1371">
        <f t="shared" si="37"/>
        <v>44409</v>
      </c>
    </row>
    <row r="1150" spans="2:10" x14ac:dyDescent="0.45">
      <c r="B1150" s="1371">
        <f t="shared" si="38"/>
        <v>44440</v>
      </c>
      <c r="C1150" s="1370" t="str">
        <f t="shared" si="39"/>
        <v>S&amp;P 500 Utility Index</v>
      </c>
      <c r="F1150" s="1380">
        <f>'PRPM WP2'!C1151</f>
        <v>-6.1694618844009501E-2</v>
      </c>
      <c r="H1150" s="1380">
        <f>'PRPM WP2'!H1151</f>
        <v>2.4666666666666669E-3</v>
      </c>
      <c r="I1150" s="1373">
        <f t="shared" si="36"/>
        <v>-6.4161285510676166E-2</v>
      </c>
      <c r="J1150" s="1371">
        <f t="shared" si="37"/>
        <v>44440</v>
      </c>
    </row>
    <row r="1151" spans="2:10" x14ac:dyDescent="0.45">
      <c r="B1151" s="1371">
        <f t="shared" si="38"/>
        <v>44470</v>
      </c>
      <c r="C1151" s="1370" t="str">
        <f t="shared" si="39"/>
        <v>S&amp;P 500 Utility Index</v>
      </c>
      <c r="F1151" s="1380">
        <f>'PRPM WP2'!C1152</f>
        <v>4.7338249999999998E-2</v>
      </c>
      <c r="H1151" s="1380">
        <f>'PRPM WP2'!H1152</f>
        <v>2.575E-3</v>
      </c>
      <c r="I1151" s="1373">
        <f t="shared" si="36"/>
        <v>4.4763249999999997E-2</v>
      </c>
      <c r="J1151" s="1371">
        <f t="shared" si="37"/>
        <v>44470</v>
      </c>
    </row>
    <row r="1152" spans="2:10" x14ac:dyDescent="0.45">
      <c r="B1152" s="1371">
        <f t="shared" si="38"/>
        <v>44501</v>
      </c>
      <c r="C1152" s="1370" t="str">
        <f t="shared" si="39"/>
        <v>S&amp;P 500 Utility Index</v>
      </c>
      <c r="F1152" s="1380">
        <f>'PRPM WP2'!C1153</f>
        <v>-1.6393896390234163E-2</v>
      </c>
      <c r="H1152" s="1380">
        <f>'PRPM WP2'!H1153</f>
        <v>2.5166666666666666E-3</v>
      </c>
      <c r="I1152" s="1373">
        <f t="shared" si="36"/>
        <v>-1.891056305690083E-2</v>
      </c>
      <c r="J1152" s="1371">
        <f t="shared" si="37"/>
        <v>44501</v>
      </c>
    </row>
    <row r="1153" spans="2:10" x14ac:dyDescent="0.45">
      <c r="B1153" s="1371">
        <f t="shared" si="38"/>
        <v>44531</v>
      </c>
      <c r="C1153" s="1370" t="str">
        <f t="shared" si="39"/>
        <v>S&amp;P 500 Utility Index</v>
      </c>
      <c r="F1153" s="1380">
        <f>'PRPM WP2'!C1154</f>
        <v>9.6216364270722721E-2</v>
      </c>
      <c r="H1153" s="1380">
        <f>'PRPM WP2'!H1154</f>
        <v>2.5333333333333336E-3</v>
      </c>
      <c r="I1153" s="1373">
        <f t="shared" si="36"/>
        <v>9.3683030937389389E-2</v>
      </c>
      <c r="J1153" s="1371">
        <f t="shared" ref="J1153:J1184" si="40">B1153</f>
        <v>44531</v>
      </c>
    </row>
    <row r="1154" spans="2:10" x14ac:dyDescent="0.45">
      <c r="B1154" s="1371">
        <f t="shared" si="38"/>
        <v>44562</v>
      </c>
      <c r="C1154" s="1370" t="str">
        <f t="shared" si="39"/>
        <v>S&amp;P 500 Utility Index</v>
      </c>
      <c r="F1154" s="1380">
        <f>'PRPM WP2'!C1155</f>
        <v>-3.2749444684625581E-2</v>
      </c>
      <c r="H1154" s="1380">
        <f>'PRPM WP2'!H1155</f>
        <v>2.7750000000000001E-3</v>
      </c>
      <c r="I1154" s="1373">
        <f t="shared" si="36"/>
        <v>-3.5524444684625581E-2</v>
      </c>
      <c r="J1154" s="1371">
        <f t="shared" si="40"/>
        <v>44562</v>
      </c>
    </row>
    <row r="1155" spans="2:10" x14ac:dyDescent="0.45">
      <c r="B1155" s="1371">
        <f t="shared" si="38"/>
        <v>44593</v>
      </c>
      <c r="C1155" s="1370" t="str">
        <f t="shared" si="39"/>
        <v>S&amp;P 500 Utility Index</v>
      </c>
      <c r="F1155" s="1380">
        <f>'PRPM WP2'!C1156</f>
        <v>-3.4091901875676428E-2</v>
      </c>
      <c r="H1155" s="1380">
        <f>'PRPM WP2'!H1156</f>
        <v>3.0666666666666672E-3</v>
      </c>
      <c r="I1155" s="1373">
        <f t="shared" si="36"/>
        <v>-3.7158568542343097E-2</v>
      </c>
      <c r="J1155" s="1371">
        <f t="shared" si="40"/>
        <v>44593</v>
      </c>
    </row>
    <row r="1156" spans="2:10" x14ac:dyDescent="0.45">
      <c r="B1156" s="1371">
        <f t="shared" si="38"/>
        <v>44621</v>
      </c>
      <c r="C1156" s="1370" t="str">
        <f t="shared" si="39"/>
        <v>S&amp;P 500 Utility Index</v>
      </c>
      <c r="F1156" s="1380">
        <f>'PRPM WP2'!C1157</f>
        <v>0.1034017927240516</v>
      </c>
      <c r="H1156" s="1380">
        <f>'PRPM WP2'!H1157</f>
        <v>3.3166666666666665E-3</v>
      </c>
      <c r="I1156" s="1373">
        <f t="shared" si="36"/>
        <v>0.10008512605738494</v>
      </c>
      <c r="J1156" s="1371">
        <f t="shared" si="40"/>
        <v>44621</v>
      </c>
    </row>
    <row r="1157" spans="2:10" x14ac:dyDescent="0.45">
      <c r="B1157" s="1371">
        <f t="shared" si="38"/>
        <v>44652</v>
      </c>
      <c r="C1157" s="1370" t="str">
        <f t="shared" si="39"/>
        <v>S&amp;P 500 Utility Index</v>
      </c>
      <c r="F1157" s="1380">
        <f>'PRPM WP2'!C1158</f>
        <v>-4.2501222696682647E-2</v>
      </c>
      <c r="H1157" s="1380">
        <f>'PRPM WP2'!H1158</f>
        <v>3.5833333333333333E-3</v>
      </c>
      <c r="I1157" s="1373">
        <f t="shared" si="36"/>
        <v>-4.6084556030015981E-2</v>
      </c>
      <c r="J1157" s="1371">
        <f t="shared" si="40"/>
        <v>44652</v>
      </c>
    </row>
    <row r="1158" spans="2:10" x14ac:dyDescent="0.45">
      <c r="B1158" s="1371">
        <f t="shared" si="38"/>
        <v>44682</v>
      </c>
      <c r="C1158" s="1370" t="str">
        <f t="shared" si="39"/>
        <v>S&amp;P 500 Utility Index</v>
      </c>
      <c r="F1158" s="1380">
        <f>'PRPM WP2'!C1159</f>
        <v>4.3040973370551114E-2</v>
      </c>
      <c r="H1158" s="1380">
        <f>'PRPM WP2'!H1159</f>
        <v>3.9583333333333328E-3</v>
      </c>
      <c r="I1158" s="1373">
        <f t="shared" si="36"/>
        <v>3.9082640037217779E-2</v>
      </c>
      <c r="J1158" s="1371">
        <f t="shared" si="40"/>
        <v>44682</v>
      </c>
    </row>
    <row r="1159" spans="2:10" x14ac:dyDescent="0.45">
      <c r="B1159" s="1371">
        <f t="shared" si="38"/>
        <v>44713</v>
      </c>
      <c r="C1159" s="1370" t="str">
        <f t="shared" si="39"/>
        <v>S&amp;P 500 Utility Index</v>
      </c>
      <c r="F1159" s="1380">
        <f>'PRPM WP2'!C1160</f>
        <v>-4.972550324722623E-2</v>
      </c>
      <c r="H1159" s="1380">
        <f>'PRPM WP2'!H1160</f>
        <v>4.0500000000000006E-3</v>
      </c>
      <c r="I1159" s="1373">
        <f t="shared" si="36"/>
        <v>-5.3775503247226228E-2</v>
      </c>
      <c r="J1159" s="1371">
        <f t="shared" si="40"/>
        <v>44713</v>
      </c>
    </row>
    <row r="1160" spans="2:10" x14ac:dyDescent="0.45">
      <c r="B1160" s="1371">
        <f t="shared" si="38"/>
        <v>44743</v>
      </c>
      <c r="C1160" s="1370" t="str">
        <f t="shared" si="39"/>
        <v>S&amp;P 500 Utility Index</v>
      </c>
      <c r="F1160" s="1380">
        <f>'PRPM WP2'!C1161</f>
        <v>5.4986062858527911E-2</v>
      </c>
      <c r="H1160" s="1380">
        <f>'PRPM WP2'!H1161</f>
        <v>3.9833333333333335E-3</v>
      </c>
      <c r="I1160" s="1373">
        <f t="shared" si="36"/>
        <v>5.1002729525194579E-2</v>
      </c>
      <c r="J1160" s="1371">
        <f t="shared" si="40"/>
        <v>44743</v>
      </c>
    </row>
    <row r="1161" spans="2:10" x14ac:dyDescent="0.45">
      <c r="B1161" s="1371">
        <f t="shared" si="38"/>
        <v>44774</v>
      </c>
      <c r="C1161" s="1370" t="str">
        <f t="shared" si="39"/>
        <v>S&amp;P 500 Utility Index</v>
      </c>
      <c r="F1161" s="1380">
        <f>'PRPM WP2'!C1162</f>
        <v>5.1000000000000004E-3</v>
      </c>
      <c r="H1161" s="1380">
        <f>'PRPM WP2'!H1162</f>
        <v>3.966666666666667E-3</v>
      </c>
      <c r="I1161" s="1373">
        <f t="shared" si="36"/>
        <v>1.1333333333333334E-3</v>
      </c>
      <c r="J1161" s="1371">
        <f t="shared" si="40"/>
        <v>44774</v>
      </c>
    </row>
    <row r="1162" spans="2:10" x14ac:dyDescent="0.45">
      <c r="B1162" s="1371">
        <f t="shared" si="38"/>
        <v>44805</v>
      </c>
      <c r="C1162" s="1370" t="str">
        <f t="shared" si="39"/>
        <v>S&amp;P 500 Utility Index</v>
      </c>
      <c r="F1162" s="1380">
        <f>'PRPM WP2'!C1163</f>
        <v>-0.1131647994987349</v>
      </c>
      <c r="H1162" s="1380">
        <f>'PRPM WP2'!H1163</f>
        <v>4.3833333333333328E-3</v>
      </c>
      <c r="I1162" s="1373">
        <f t="shared" si="36"/>
        <v>-0.11754813283206823</v>
      </c>
      <c r="J1162" s="1371">
        <f t="shared" si="40"/>
        <v>44805</v>
      </c>
    </row>
    <row r="1163" spans="2:10" x14ac:dyDescent="0.45">
      <c r="B1163" s="1371">
        <f t="shared" si="38"/>
        <v>44835</v>
      </c>
      <c r="C1163" s="1370" t="str">
        <f t="shared" si="39"/>
        <v>S&amp;P 500 Utility Index</v>
      </c>
      <c r="F1163" s="1380">
        <f>'PRPM WP2'!C1164</f>
        <v>1.6754063521819712E-2</v>
      </c>
      <c r="H1163" s="1380">
        <f>'PRPM WP2'!H1164</f>
        <v>4.8999999999999998E-3</v>
      </c>
      <c r="I1163" s="1373">
        <f t="shared" si="36"/>
        <v>1.1854063521819712E-2</v>
      </c>
      <c r="J1163" s="1371">
        <f t="shared" si="40"/>
        <v>44835</v>
      </c>
    </row>
    <row r="1164" spans="2:10" x14ac:dyDescent="0.45">
      <c r="B1164" s="1371">
        <f t="shared" si="38"/>
        <v>44866</v>
      </c>
      <c r="C1164" s="1370" t="str">
        <f t="shared" si="39"/>
        <v>S&amp;P 500 Utility Index</v>
      </c>
      <c r="F1164" s="1380">
        <f>'PRPM WP2'!C1165</f>
        <v>6.9878999321193083E-2</v>
      </c>
      <c r="H1164" s="1380">
        <f>'PRPM WP2'!H1165</f>
        <v>4.7916666666666672E-3</v>
      </c>
      <c r="I1164" s="1373">
        <f t="shared" si="36"/>
        <v>6.5087332654526417E-2</v>
      </c>
      <c r="J1164" s="1371">
        <f t="shared" si="40"/>
        <v>44866</v>
      </c>
    </row>
    <row r="1165" spans="2:10" x14ac:dyDescent="0.45">
      <c r="B1165" s="1371">
        <f t="shared" si="38"/>
        <v>44896</v>
      </c>
      <c r="C1165" s="1370" t="str">
        <f t="shared" si="39"/>
        <v>S&amp;P 500 Utility Index</v>
      </c>
      <c r="F1165" s="1380">
        <f>'PRPM WP2'!C1166</f>
        <v>-4.9005438196876444E-3</v>
      </c>
      <c r="H1165" s="1380">
        <f>'PRPM WP2'!H1166</f>
        <v>4.3916666666666661E-3</v>
      </c>
      <c r="I1165" s="1373">
        <f t="shared" si="36"/>
        <v>-9.2922104863543097E-3</v>
      </c>
      <c r="J1165" s="1371">
        <f t="shared" si="40"/>
        <v>44896</v>
      </c>
    </row>
    <row r="1166" spans="2:10" x14ac:dyDescent="0.45">
      <c r="B1166" s="1371">
        <f t="shared" si="38"/>
        <v>44927</v>
      </c>
      <c r="C1166" s="1370" t="str">
        <f t="shared" si="39"/>
        <v>S&amp;P 500 Utility Index</v>
      </c>
      <c r="F1166" s="1380">
        <f>'PRPM WP2'!C1167</f>
        <v>-2.0053973164907601E-2</v>
      </c>
      <c r="H1166" s="1380">
        <f>'PRPM WP2'!H1167</f>
        <v>4.3333333333333331E-3</v>
      </c>
      <c r="I1166" s="1373">
        <f t="shared" si="36"/>
        <v>-2.4387306498240932E-2</v>
      </c>
      <c r="J1166" s="1371">
        <f t="shared" si="40"/>
        <v>44927</v>
      </c>
    </row>
    <row r="1167" spans="2:10" x14ac:dyDescent="0.45">
      <c r="B1167" s="1371">
        <f t="shared" si="38"/>
        <v>44958</v>
      </c>
      <c r="C1167" s="1370" t="str">
        <f t="shared" si="39"/>
        <v>S&amp;P 500 Utility Index</v>
      </c>
      <c r="F1167" s="1380">
        <f>'PRPM WP2'!C1168</f>
        <v>-5.8515916753658248E-2</v>
      </c>
      <c r="H1167" s="1380">
        <f>'PRPM WP2'!H1168</f>
        <v>4.4083333333333335E-3</v>
      </c>
      <c r="I1167" s="1373">
        <f t="shared" si="36"/>
        <v>-6.2924250086991582E-2</v>
      </c>
      <c r="J1167" s="1371">
        <f t="shared" si="40"/>
        <v>44958</v>
      </c>
    </row>
    <row r="1168" spans="2:10" x14ac:dyDescent="0.45">
      <c r="B1168" s="1371">
        <f t="shared" si="38"/>
        <v>44986</v>
      </c>
      <c r="C1168" s="1370" t="str">
        <f t="shared" si="39"/>
        <v>S&amp;P 500 Utility Index</v>
      </c>
      <c r="F1168" s="1380">
        <f>'PRPM WP2'!C1169</f>
        <v>4.8888461879563666E-2</v>
      </c>
      <c r="H1168" s="1380">
        <f>'PRPM WP2'!H1169</f>
        <v>4.4916666666666664E-3</v>
      </c>
      <c r="I1168" s="1373">
        <f t="shared" si="36"/>
        <v>4.4396795212897001E-2</v>
      </c>
      <c r="J1168" s="1371">
        <f t="shared" si="40"/>
        <v>44986</v>
      </c>
    </row>
    <row r="1169" spans="2:10" x14ac:dyDescent="0.45">
      <c r="B1169" s="1371">
        <f t="shared" si="38"/>
        <v>45017</v>
      </c>
      <c r="C1169" s="1370" t="str">
        <f t="shared" si="39"/>
        <v>S&amp;P 500 Utility Index</v>
      </c>
      <c r="F1169" s="1380">
        <f>'PRPM WP2'!C1170</f>
        <v>1.8900454189947589E-2</v>
      </c>
      <c r="H1169" s="1380">
        <f>'PRPM WP2'!H1170</f>
        <v>4.2750000000000002E-3</v>
      </c>
      <c r="I1169" s="1373">
        <f t="shared" si="36"/>
        <v>1.4625454189947588E-2</v>
      </c>
      <c r="J1169" s="1371">
        <f t="shared" si="40"/>
        <v>45017</v>
      </c>
    </row>
    <row r="1170" spans="2:10" x14ac:dyDescent="0.45">
      <c r="B1170" s="1371">
        <f t="shared" si="38"/>
        <v>45047</v>
      </c>
      <c r="C1170" s="1370" t="str">
        <f t="shared" si="39"/>
        <v>S&amp;P 500 Utility Index</v>
      </c>
      <c r="F1170" s="1380">
        <f>'PRPM WP2'!C1171</f>
        <v>-5.808742857255407E-2</v>
      </c>
      <c r="H1170" s="1380">
        <f>'PRPM WP2'!H1171</f>
        <v>4.4666666666666674E-3</v>
      </c>
      <c r="I1170" s="1373">
        <f t="shared" si="36"/>
        <v>-6.2554095239220731E-2</v>
      </c>
      <c r="J1170" s="1371">
        <f t="shared" si="40"/>
        <v>45047</v>
      </c>
    </row>
    <row r="1171" spans="2:10" x14ac:dyDescent="0.45">
      <c r="B1171" s="1371">
        <f t="shared" si="38"/>
        <v>45078</v>
      </c>
      <c r="C1171" s="1370" t="str">
        <f t="shared" si="39"/>
        <v>S&amp;P 500 Utility Index</v>
      </c>
      <c r="F1171" s="1380">
        <f>'PRPM WP2'!C1172</f>
        <v>1.6571769130428848E-2</v>
      </c>
      <c r="H1171" s="1380">
        <f>'PRPM WP2'!H1172</f>
        <v>4.4833333333333331E-3</v>
      </c>
      <c r="I1171" s="1373">
        <f t="shared" si="36"/>
        <v>1.2088435797095516E-2</v>
      </c>
      <c r="J1171" s="1371">
        <f t="shared" si="40"/>
        <v>45078</v>
      </c>
    </row>
    <row r="1172" spans="2:10" x14ac:dyDescent="0.45">
      <c r="B1172" s="1371">
        <f t="shared" si="38"/>
        <v>45108</v>
      </c>
      <c r="C1172" s="1370" t="str">
        <f t="shared" si="39"/>
        <v>S&amp;P 500 Utility Index</v>
      </c>
      <c r="F1172" s="1380">
        <f>'PRPM WP2'!C1173</f>
        <v>2.4677982673831367E-2</v>
      </c>
      <c r="H1172" s="1380">
        <f>'PRPM WP2'!H1173</f>
        <v>4.5083333333333338E-3</v>
      </c>
      <c r="I1172" s="1373">
        <f t="shared" si="36"/>
        <v>2.0169649340498034E-2</v>
      </c>
      <c r="J1172" s="1371">
        <f t="shared" si="40"/>
        <v>45108</v>
      </c>
    </row>
    <row r="1173" spans="2:10" x14ac:dyDescent="0.45">
      <c r="B1173" s="1371">
        <f t="shared" si="38"/>
        <v>45139</v>
      </c>
      <c r="C1173" s="1370" t="str">
        <f t="shared" si="39"/>
        <v>S&amp;P 500 Utility Index</v>
      </c>
      <c r="F1173" s="1380">
        <f>'PRPM WP2'!C1174</f>
        <v>-6.1407585600431719E-2</v>
      </c>
      <c r="H1173" s="1380">
        <f>'PRPM WP2'!H1174</f>
        <v>4.7666666666666664E-3</v>
      </c>
      <c r="I1173" s="1373">
        <f t="shared" si="36"/>
        <v>-6.6174252267098388E-2</v>
      </c>
      <c r="J1173" s="1371">
        <f t="shared" si="40"/>
        <v>45139</v>
      </c>
    </row>
    <row r="1174" spans="2:10" x14ac:dyDescent="0.45">
      <c r="B1174" s="1371">
        <f t="shared" si="38"/>
        <v>45170</v>
      </c>
      <c r="C1174" s="1370" t="str">
        <f t="shared" si="39"/>
        <v>S&amp;P 500 Utility Index</v>
      </c>
      <c r="F1174" s="1380">
        <f>'PRPM WP2'!C1175</f>
        <v>-5.5938029835102841E-2</v>
      </c>
      <c r="H1174" s="1380">
        <f>'PRPM WP2'!H1175</f>
        <v>4.8833333333333333E-3</v>
      </c>
      <c r="I1174" s="1373">
        <f t="shared" si="36"/>
        <v>-6.0821363168436171E-2</v>
      </c>
      <c r="J1174" s="1371">
        <f t="shared" si="40"/>
        <v>45170</v>
      </c>
    </row>
    <row r="1175" spans="2:10" x14ac:dyDescent="0.45">
      <c r="B1175" s="1371">
        <f t="shared" si="38"/>
        <v>45200</v>
      </c>
      <c r="C1175" s="1370" t="str">
        <f t="shared" si="39"/>
        <v>S&amp;P 500 Utility Index</v>
      </c>
      <c r="F1175" s="1380">
        <f>'PRPM WP2'!C1176</f>
        <v>1.2938105908166913E-2</v>
      </c>
      <c r="H1175" s="1380">
        <f>'PRPM WP2'!H1176</f>
        <v>5.2833333333333335E-3</v>
      </c>
      <c r="I1175" s="1373">
        <f t="shared" si="36"/>
        <v>7.6547725748335798E-3</v>
      </c>
      <c r="J1175" s="1371">
        <f t="shared" si="40"/>
        <v>45200</v>
      </c>
    </row>
    <row r="1176" spans="2:10" x14ac:dyDescent="0.45">
      <c r="B1176" s="1371">
        <f t="shared" si="38"/>
        <v>45231</v>
      </c>
      <c r="C1176" s="1370" t="str">
        <f t="shared" si="39"/>
        <v>S&amp;P 500 Utility Index</v>
      </c>
      <c r="F1176" s="1380">
        <f>'PRPM WP2'!C1177</f>
        <v>5.1596357201230389E-2</v>
      </c>
      <c r="H1176" s="1380">
        <f>'PRPM WP2'!H1177</f>
        <v>5.0416666666666665E-3</v>
      </c>
      <c r="I1176" s="1373">
        <f t="shared" si="36"/>
        <v>4.6554690534563722E-2</v>
      </c>
      <c r="J1176" s="1371">
        <f t="shared" si="40"/>
        <v>45231</v>
      </c>
    </row>
    <row r="1177" spans="2:10" x14ac:dyDescent="0.45">
      <c r="B1177" s="1371">
        <f t="shared" si="38"/>
        <v>45261</v>
      </c>
      <c r="C1177" s="1370" t="str">
        <f t="shared" si="39"/>
        <v>S&amp;P 500 Utility Index</v>
      </c>
      <c r="F1177" s="1380">
        <f>'PRPM WP2'!C1178</f>
        <v>1.9135473384982917E-2</v>
      </c>
      <c r="H1177" s="1380">
        <f>'PRPM WP2'!H1178</f>
        <v>4.5249999999999995E-3</v>
      </c>
      <c r="I1177" s="1373">
        <f t="shared" si="36"/>
        <v>1.4610473384982918E-2</v>
      </c>
      <c r="J1177" s="1371">
        <f t="shared" si="40"/>
        <v>45261</v>
      </c>
    </row>
    <row r="1178" spans="2:10" x14ac:dyDescent="0.45">
      <c r="B1178" s="1371">
        <f t="shared" si="38"/>
        <v>45292</v>
      </c>
      <c r="C1178" s="1370" t="str">
        <f t="shared" si="39"/>
        <v>S&amp;P 500 Utility Index</v>
      </c>
      <c r="F1178" s="1380">
        <f>'PRPM WP2'!C1179</f>
        <v>-2.7985270217307665E-2</v>
      </c>
      <c r="H1178" s="1380">
        <f>'PRPM WP2'!H1179</f>
        <v>4.5666666666666668E-3</v>
      </c>
      <c r="I1178" s="1373">
        <f t="shared" ref="I1178:I1241" si="41">F1178-H1178</f>
        <v>-3.2551936883974328E-2</v>
      </c>
      <c r="J1178" s="1371">
        <f t="shared" si="40"/>
        <v>45292</v>
      </c>
    </row>
    <row r="1179" spans="2:10" x14ac:dyDescent="0.45">
      <c r="B1179" s="1371">
        <f t="shared" si="38"/>
        <v>45323</v>
      </c>
      <c r="C1179" s="1370" t="str">
        <f t="shared" si="39"/>
        <v>S&amp;P 500 Utility Index</v>
      </c>
      <c r="F1179" s="1380">
        <f>'PRPM WP2'!C1180</f>
        <v>8.9510353613748046E-3</v>
      </c>
      <c r="H1179" s="1380">
        <f>'PRPM WP2'!H1180</f>
        <v>4.6333333333333331E-3</v>
      </c>
      <c r="I1179" s="1373">
        <f t="shared" si="41"/>
        <v>4.3177020280414716E-3</v>
      </c>
      <c r="J1179" s="1371">
        <f t="shared" si="40"/>
        <v>45323</v>
      </c>
    </row>
    <row r="1180" spans="2:10" x14ac:dyDescent="0.45">
      <c r="B1180" s="1371">
        <f t="shared" si="38"/>
        <v>45352</v>
      </c>
      <c r="C1180" s="1370" t="str">
        <f t="shared" si="39"/>
        <v>S&amp;P 500 Utility Index</v>
      </c>
      <c r="F1180" s="1380">
        <f>'PRPM WP2'!C1181</f>
        <v>6.580172568165521E-2</v>
      </c>
      <c r="H1180" s="1380">
        <f>'PRPM WP2'!H1181</f>
        <v>4.6249999999999998E-3</v>
      </c>
      <c r="I1180" s="1373">
        <f t="shared" si="41"/>
        <v>6.1176725681655213E-2</v>
      </c>
      <c r="J1180" s="1371">
        <f t="shared" si="40"/>
        <v>45352</v>
      </c>
    </row>
    <row r="1181" spans="2:10" x14ac:dyDescent="0.45">
      <c r="B1181" s="1371">
        <f t="shared" si="38"/>
        <v>45383</v>
      </c>
      <c r="C1181" s="1370" t="str">
        <f t="shared" si="39"/>
        <v>S&amp;P 500 Utility Index</v>
      </c>
      <c r="F1181" s="1380">
        <f>'PRPM WP2'!C1182</f>
        <v>1.6367007821592686E-2</v>
      </c>
      <c r="H1181" s="1380">
        <f>'PRPM WP2'!H1182</f>
        <v>4.8249999999999994E-3</v>
      </c>
      <c r="I1181" s="1373">
        <f t="shared" si="41"/>
        <v>1.1542007821592686E-2</v>
      </c>
      <c r="J1181" s="1371">
        <f t="shared" si="40"/>
        <v>45383</v>
      </c>
    </row>
    <row r="1182" spans="2:10" x14ac:dyDescent="0.45">
      <c r="B1182" s="1371">
        <f t="shared" si="38"/>
        <v>45413</v>
      </c>
      <c r="C1182" s="1370" t="str">
        <f t="shared" si="39"/>
        <v>S&amp;P 500 Utility Index</v>
      </c>
      <c r="F1182" s="1380">
        <f>'PRPM WP2'!C1183</f>
        <v>8.4575803688738321E-2</v>
      </c>
      <c r="H1182" s="1380">
        <f>'PRPM WP2'!H1183</f>
        <v>4.783333333333333E-3</v>
      </c>
      <c r="I1182" s="1373">
        <f t="shared" si="41"/>
        <v>7.9792470355404987E-2</v>
      </c>
      <c r="J1182" s="1371">
        <f t="shared" si="40"/>
        <v>45413</v>
      </c>
    </row>
    <row r="1183" spans="2:10" x14ac:dyDescent="0.45">
      <c r="B1183" s="1371">
        <f t="shared" si="38"/>
        <v>45444</v>
      </c>
      <c r="C1183" s="1370" t="str">
        <f t="shared" si="39"/>
        <v>S&amp;P 500 Utility Index</v>
      </c>
      <c r="F1183" s="1380">
        <f>'PRPM WP2'!C1184</f>
        <v>-5.5254466292122981E-2</v>
      </c>
      <c r="H1183" s="1380">
        <f>'PRPM WP2'!H1184</f>
        <v>4.6750000000000003E-3</v>
      </c>
      <c r="I1183" s="1373">
        <f t="shared" si="41"/>
        <v>-5.9929466292122979E-2</v>
      </c>
      <c r="J1183" s="1371">
        <f t="shared" si="40"/>
        <v>45444</v>
      </c>
    </row>
    <row r="1184" spans="2:10" x14ac:dyDescent="0.45">
      <c r="B1184" s="1371">
        <f t="shared" si="38"/>
        <v>45474</v>
      </c>
      <c r="C1184" s="1370" t="str">
        <f t="shared" si="39"/>
        <v>S&amp;P 500 Utility Index</v>
      </c>
      <c r="F1184" s="1380">
        <f>'PRPM WP2'!C1185</f>
        <v>6.7640495776813456E-2</v>
      </c>
      <c r="H1184" s="1380">
        <f>'PRPM WP2'!H1185</f>
        <v>4.6416666666666663E-3</v>
      </c>
      <c r="I1184" s="1373">
        <f t="shared" si="41"/>
        <v>6.2998829110146787E-2</v>
      </c>
      <c r="J1184" s="1371">
        <f t="shared" si="40"/>
        <v>45474</v>
      </c>
    </row>
    <row r="1185" spans="2:10" x14ac:dyDescent="0.45">
      <c r="B1185" s="1371">
        <f t="shared" si="38"/>
        <v>45505</v>
      </c>
      <c r="C1185" s="1370" t="str">
        <f t="shared" si="39"/>
        <v>S&amp;P 500 Utility Index</v>
      </c>
      <c r="F1185" s="1380">
        <f>'PRPM WP2'!C1186</f>
        <v>4.8574851624052985E-2</v>
      </c>
      <c r="H1185" s="1380">
        <f>'PRPM WP2'!H1186</f>
        <v>4.4833333333333331E-3</v>
      </c>
      <c r="I1185" s="1373">
        <f t="shared" si="41"/>
        <v>4.4091518290719653E-2</v>
      </c>
      <c r="J1185" s="1371">
        <f t="shared" ref="J1185:J1190" si="42">B1185</f>
        <v>45505</v>
      </c>
    </row>
    <row r="1186" spans="2:10" x14ac:dyDescent="0.45">
      <c r="B1186" s="1371">
        <f t="shared" si="38"/>
        <v>45536</v>
      </c>
      <c r="C1186" s="1370" t="str">
        <f t="shared" si="39"/>
        <v>S&amp;P 500 Utility Index</v>
      </c>
      <c r="F1186" s="1380">
        <f>VLOOKUP($B1186,'PRPM WP2'!$A:$K,3, FALSE)</f>
        <v>6.5911885079184815E-2</v>
      </c>
      <c r="H1186" s="1380">
        <f>'PRPM WP2'!H1187</f>
        <v>4.3333333333333331E-3</v>
      </c>
      <c r="I1186" s="1373">
        <f t="shared" si="41"/>
        <v>6.157855174585148E-2</v>
      </c>
      <c r="J1186" s="1371">
        <f t="shared" si="42"/>
        <v>45536</v>
      </c>
    </row>
    <row r="1187" spans="2:10" x14ac:dyDescent="0.45">
      <c r="B1187" s="1371">
        <f t="shared" si="38"/>
        <v>45566</v>
      </c>
      <c r="C1187" s="1370" t="str">
        <f t="shared" si="39"/>
        <v>S&amp;P 500 Utility Index</v>
      </c>
      <c r="F1187" s="1380">
        <f>VLOOKUP($B1187,'PRPM WP2'!$A:$K,3, FALSE)</f>
        <v>-1.0334190854331935E-2</v>
      </c>
      <c r="H1187" s="1380">
        <f>'PRPM WP2'!H1188</f>
        <v>4.5083333333333338E-3</v>
      </c>
      <c r="I1187" s="1373">
        <f t="shared" si="41"/>
        <v>-1.4842524187665268E-2</v>
      </c>
      <c r="J1187" s="1371">
        <f t="shared" si="42"/>
        <v>45566</v>
      </c>
    </row>
    <row r="1188" spans="2:10" x14ac:dyDescent="0.45">
      <c r="B1188" s="1371">
        <f t="shared" si="38"/>
        <v>45597</v>
      </c>
      <c r="C1188" s="1370" t="str">
        <f t="shared" si="39"/>
        <v>S&amp;P 500 Utility Index</v>
      </c>
      <c r="F1188" s="1380">
        <f>VLOOKUP($B1188,'PRPM WP2'!$A:$K,3, FALSE)</f>
        <v>3.6716914091028764E-2</v>
      </c>
      <c r="H1188" s="1380">
        <f>'PRPM WP2'!H1189</f>
        <v>4.6333333333333331E-3</v>
      </c>
      <c r="I1188" s="1373">
        <f t="shared" si="41"/>
        <v>3.2083580757695435E-2</v>
      </c>
      <c r="J1188" s="1371">
        <f t="shared" si="42"/>
        <v>45597</v>
      </c>
    </row>
    <row r="1189" spans="2:10" x14ac:dyDescent="0.45">
      <c r="B1189" s="1371">
        <f t="shared" si="38"/>
        <v>45627</v>
      </c>
      <c r="C1189" s="1370" t="str">
        <f t="shared" si="39"/>
        <v>S&amp;P 500 Utility Index</v>
      </c>
      <c r="F1189" s="1380">
        <f>VLOOKUP($B1189,'PRPM WP2'!$A:$K,3, FALSE)</f>
        <v>-7.9292330737182559E-2</v>
      </c>
      <c r="H1189" s="1380">
        <f>'PRPM WP2'!H1190</f>
        <v>4.6500000000000005E-3</v>
      </c>
      <c r="I1189" s="1373">
        <f t="shared" si="41"/>
        <v>-8.3942330737182561E-2</v>
      </c>
      <c r="J1189" s="1371">
        <f t="shared" si="42"/>
        <v>45627</v>
      </c>
    </row>
    <row r="1190" spans="2:10" x14ac:dyDescent="0.45">
      <c r="B1190" s="1371">
        <f t="shared" si="38"/>
        <v>45658</v>
      </c>
      <c r="C1190" s="1370" t="str">
        <f t="shared" si="39"/>
        <v>S&amp;P 500 Utility Index</v>
      </c>
      <c r="F1190" s="1380">
        <f>VLOOKUP($B1190,'PRPM WP2'!$A:$K,3, FALSE)</f>
        <v>2.9450232862519039E-2</v>
      </c>
      <c r="H1190" s="1380">
        <f>'PRPM WP2'!H1191</f>
        <v>4.8999999999999998E-3</v>
      </c>
      <c r="I1190" s="1373">
        <f t="shared" si="41"/>
        <v>2.4550232862519041E-2</v>
      </c>
      <c r="J1190" s="1371">
        <f t="shared" si="42"/>
        <v>45658</v>
      </c>
    </row>
    <row r="1191" spans="2:10" x14ac:dyDescent="0.45">
      <c r="F1191" s="1380"/>
      <c r="H1191" s="1380"/>
      <c r="I1191" s="1373"/>
    </row>
    <row r="1192" spans="2:10" x14ac:dyDescent="0.45">
      <c r="F1192" s="1380"/>
      <c r="H1192" s="1380"/>
      <c r="I1192" s="1373"/>
    </row>
    <row r="1193" spans="2:10" x14ac:dyDescent="0.45">
      <c r="F1193" s="1380"/>
      <c r="H1193" s="1380"/>
      <c r="I1193" s="1373"/>
    </row>
    <row r="1194" spans="2:10" x14ac:dyDescent="0.45">
      <c r="F1194" s="1380"/>
      <c r="H1194" s="1380"/>
      <c r="I1194" s="1373"/>
    </row>
    <row r="1195" spans="2:10" x14ac:dyDescent="0.45">
      <c r="F1195" s="1380"/>
      <c r="H1195" s="1380"/>
      <c r="I1195" s="1373"/>
    </row>
    <row r="1196" spans="2:10" x14ac:dyDescent="0.45">
      <c r="F1196" s="1380"/>
      <c r="H1196" s="1380"/>
      <c r="I1196" s="1373"/>
    </row>
    <row r="1197" spans="2:10" x14ac:dyDescent="0.45">
      <c r="F1197" s="1380"/>
      <c r="H1197" s="1380"/>
      <c r="I1197" s="1373"/>
    </row>
    <row r="1198" spans="2:10" x14ac:dyDescent="0.45">
      <c r="F1198" s="1380"/>
      <c r="H1198" s="1380"/>
      <c r="I1198" s="1373"/>
    </row>
    <row r="1199" spans="2:10" x14ac:dyDescent="0.45">
      <c r="F1199" s="1380"/>
      <c r="H1199" s="1380"/>
      <c r="I1199" s="1373"/>
    </row>
    <row r="1200" spans="2:10" x14ac:dyDescent="0.45">
      <c r="F1200" s="1380"/>
      <c r="H1200" s="1380"/>
      <c r="I1200" s="1373"/>
    </row>
    <row r="1201" spans="6:9" x14ac:dyDescent="0.45">
      <c r="F1201" s="1380"/>
      <c r="H1201" s="1380"/>
      <c r="I1201" s="1373"/>
    </row>
    <row r="1202" spans="6:9" x14ac:dyDescent="0.45">
      <c r="F1202" s="1380"/>
      <c r="H1202" s="1380"/>
      <c r="I1202" s="1373"/>
    </row>
    <row r="1203" spans="6:9" x14ac:dyDescent="0.45">
      <c r="F1203" s="1380"/>
      <c r="H1203" s="1380"/>
      <c r="I1203" s="1373"/>
    </row>
    <row r="1204" spans="6:9" x14ac:dyDescent="0.45">
      <c r="F1204" s="1380"/>
      <c r="H1204" s="1380"/>
      <c r="I1204" s="1373"/>
    </row>
    <row r="1205" spans="6:9" x14ac:dyDescent="0.45">
      <c r="F1205" s="1380"/>
      <c r="H1205" s="1380"/>
      <c r="I1205" s="1373"/>
    </row>
    <row r="1206" spans="6:9" x14ac:dyDescent="0.45">
      <c r="F1206" s="1380"/>
      <c r="H1206" s="1380"/>
      <c r="I1206" s="1373"/>
    </row>
    <row r="1207" spans="6:9" x14ac:dyDescent="0.45">
      <c r="F1207" s="1380"/>
      <c r="H1207" s="1380"/>
      <c r="I1207" s="1373"/>
    </row>
    <row r="1208" spans="6:9" x14ac:dyDescent="0.45">
      <c r="F1208" s="1380"/>
      <c r="H1208" s="1380"/>
      <c r="I1208" s="1373"/>
    </row>
    <row r="1209" spans="6:9" x14ac:dyDescent="0.45">
      <c r="F1209" s="1380"/>
      <c r="H1209" s="1380"/>
      <c r="I1209" s="1373"/>
    </row>
    <row r="1210" spans="6:9" x14ac:dyDescent="0.45">
      <c r="F1210" s="1380"/>
      <c r="H1210" s="1380"/>
      <c r="I1210" s="1373"/>
    </row>
    <row r="1211" spans="6:9" x14ac:dyDescent="0.45">
      <c r="F1211" s="1380"/>
      <c r="H1211" s="1380"/>
      <c r="I1211" s="1373"/>
    </row>
    <row r="1212" spans="6:9" x14ac:dyDescent="0.45">
      <c r="F1212" s="1380"/>
      <c r="H1212" s="1380"/>
      <c r="I1212" s="1373"/>
    </row>
    <row r="1213" spans="6:9" x14ac:dyDescent="0.45">
      <c r="F1213" s="1380"/>
      <c r="H1213" s="1380"/>
      <c r="I1213" s="1373"/>
    </row>
    <row r="1214" spans="6:9" x14ac:dyDescent="0.45">
      <c r="F1214" s="1380"/>
      <c r="H1214" s="1380"/>
      <c r="I1214" s="1373"/>
    </row>
    <row r="1215" spans="6:9" x14ac:dyDescent="0.45">
      <c r="F1215" s="1380"/>
      <c r="H1215" s="1380"/>
      <c r="I1215" s="1373"/>
    </row>
    <row r="1216" spans="6:9" x14ac:dyDescent="0.45">
      <c r="F1216" s="1380"/>
      <c r="H1216" s="1380"/>
      <c r="I1216" s="1373"/>
    </row>
    <row r="1217" spans="6:9" x14ac:dyDescent="0.45">
      <c r="F1217" s="1380"/>
      <c r="H1217" s="1380"/>
      <c r="I1217" s="1373"/>
    </row>
    <row r="1218" spans="6:9" x14ac:dyDescent="0.45">
      <c r="F1218" s="1380"/>
      <c r="H1218" s="1380"/>
      <c r="I1218" s="1373"/>
    </row>
    <row r="1219" spans="6:9" x14ac:dyDescent="0.45">
      <c r="F1219" s="1380"/>
      <c r="H1219" s="1380"/>
      <c r="I1219" s="1373"/>
    </row>
    <row r="1220" spans="6:9" x14ac:dyDescent="0.45">
      <c r="F1220" s="1380"/>
      <c r="H1220" s="1380"/>
      <c r="I1220" s="1373"/>
    </row>
    <row r="1221" spans="6:9" x14ac:dyDescent="0.45">
      <c r="F1221" s="1380"/>
      <c r="H1221" s="1380"/>
      <c r="I1221" s="1373"/>
    </row>
    <row r="1222" spans="6:9" x14ac:dyDescent="0.45">
      <c r="F1222" s="1380"/>
      <c r="H1222" s="1380"/>
      <c r="I1222" s="1373"/>
    </row>
    <row r="1223" spans="6:9" x14ac:dyDescent="0.45">
      <c r="F1223" s="1380"/>
      <c r="H1223" s="1380"/>
      <c r="I1223" s="1373"/>
    </row>
    <row r="1224" spans="6:9" x14ac:dyDescent="0.45">
      <c r="F1224" s="1380"/>
      <c r="H1224" s="1380"/>
      <c r="I1224" s="1373"/>
    </row>
    <row r="1225" spans="6:9" x14ac:dyDescent="0.45">
      <c r="F1225" s="1380"/>
      <c r="H1225" s="1380"/>
      <c r="I1225" s="1373"/>
    </row>
    <row r="1226" spans="6:9" x14ac:dyDescent="0.45">
      <c r="F1226" s="1380"/>
      <c r="H1226" s="1380"/>
      <c r="I1226" s="1373"/>
    </row>
    <row r="1227" spans="6:9" x14ac:dyDescent="0.45">
      <c r="F1227" s="1380"/>
      <c r="H1227" s="1380"/>
      <c r="I1227" s="1373"/>
    </row>
    <row r="1228" spans="6:9" x14ac:dyDescent="0.45">
      <c r="F1228" s="1380"/>
      <c r="H1228" s="1380"/>
      <c r="I1228" s="1373"/>
    </row>
    <row r="1229" spans="6:9" x14ac:dyDescent="0.45">
      <c r="F1229" s="1380"/>
      <c r="H1229" s="1380"/>
      <c r="I1229" s="1373"/>
    </row>
    <row r="1230" spans="6:9" x14ac:dyDescent="0.45">
      <c r="F1230" s="1380"/>
      <c r="H1230" s="1380"/>
      <c r="I1230" s="1373"/>
    </row>
    <row r="1231" spans="6:9" x14ac:dyDescent="0.45">
      <c r="F1231" s="1380"/>
      <c r="H1231" s="1380"/>
      <c r="I1231" s="1373"/>
    </row>
    <row r="1232" spans="6:9" x14ac:dyDescent="0.45">
      <c r="F1232" s="1380"/>
      <c r="H1232" s="1380"/>
      <c r="I1232" s="1373"/>
    </row>
    <row r="1233" spans="6:9" x14ac:dyDescent="0.45">
      <c r="F1233" s="1380"/>
      <c r="H1233" s="1380"/>
      <c r="I1233" s="1373"/>
    </row>
    <row r="1234" spans="6:9" x14ac:dyDescent="0.45">
      <c r="F1234" s="1380"/>
      <c r="H1234" s="1380"/>
      <c r="I1234" s="1373"/>
    </row>
    <row r="1235" spans="6:9" x14ac:dyDescent="0.45">
      <c r="F1235" s="1380"/>
      <c r="H1235" s="1380"/>
      <c r="I1235" s="1373"/>
    </row>
    <row r="1236" spans="6:9" x14ac:dyDescent="0.45">
      <c r="F1236" s="1380"/>
      <c r="H1236" s="1380"/>
      <c r="I1236" s="1373"/>
    </row>
    <row r="1237" spans="6:9" x14ac:dyDescent="0.45">
      <c r="F1237" s="1380"/>
      <c r="H1237" s="1380"/>
      <c r="I1237" s="1373"/>
    </row>
    <row r="1238" spans="6:9" x14ac:dyDescent="0.45">
      <c r="F1238" s="1380"/>
      <c r="H1238" s="1380"/>
      <c r="I1238" s="1373"/>
    </row>
    <row r="1239" spans="6:9" x14ac:dyDescent="0.45">
      <c r="F1239" s="1380"/>
      <c r="H1239" s="1380"/>
      <c r="I1239" s="1373"/>
    </row>
    <row r="1240" spans="6:9" x14ac:dyDescent="0.45">
      <c r="F1240" s="1380"/>
      <c r="H1240" s="1380"/>
      <c r="I1240" s="1373"/>
    </row>
    <row r="1241" spans="6:9" x14ac:dyDescent="0.45">
      <c r="F1241" s="1380"/>
      <c r="H1241" s="1380"/>
      <c r="I1241" s="1373"/>
    </row>
    <row r="1242" spans="6:9" x14ac:dyDescent="0.45">
      <c r="F1242" s="1380"/>
      <c r="H1242" s="1380"/>
      <c r="I1242" s="1373"/>
    </row>
    <row r="1243" spans="6:9" x14ac:dyDescent="0.45">
      <c r="F1243" s="1380"/>
      <c r="H1243" s="1380"/>
      <c r="I1243" s="1373"/>
    </row>
    <row r="1244" spans="6:9" x14ac:dyDescent="0.45">
      <c r="F1244" s="1380"/>
      <c r="H1244" s="1380"/>
      <c r="I1244" s="1373"/>
    </row>
    <row r="1245" spans="6:9" x14ac:dyDescent="0.45">
      <c r="F1245" s="1380"/>
      <c r="H1245" s="1380"/>
      <c r="I1245" s="1373"/>
    </row>
    <row r="1246" spans="6:9" x14ac:dyDescent="0.45">
      <c r="F1246" s="1380"/>
      <c r="H1246" s="1380"/>
      <c r="I1246" s="1373"/>
    </row>
    <row r="1247" spans="6:9" x14ac:dyDescent="0.45">
      <c r="F1247" s="1380"/>
      <c r="H1247" s="1380"/>
      <c r="I1247" s="1373"/>
    </row>
    <row r="1248" spans="6:9" x14ac:dyDescent="0.45">
      <c r="F1248" s="1380"/>
      <c r="H1248" s="1380"/>
      <c r="I1248" s="1373"/>
    </row>
    <row r="1249" spans="6:9" x14ac:dyDescent="0.45">
      <c r="F1249" s="1380"/>
      <c r="H1249" s="1380"/>
      <c r="I1249" s="1373"/>
    </row>
    <row r="1250" spans="6:9" x14ac:dyDescent="0.45">
      <c r="F1250" s="1380"/>
      <c r="H1250" s="1380"/>
      <c r="I1250" s="1373"/>
    </row>
    <row r="1251" spans="6:9" x14ac:dyDescent="0.45">
      <c r="F1251" s="1380"/>
      <c r="H1251" s="1380"/>
      <c r="I1251" s="1373"/>
    </row>
    <row r="1252" spans="6:9" x14ac:dyDescent="0.45">
      <c r="F1252" s="1380"/>
      <c r="H1252" s="1380"/>
      <c r="I1252" s="1373"/>
    </row>
    <row r="1253" spans="6:9" x14ac:dyDescent="0.45">
      <c r="F1253" s="1380"/>
      <c r="H1253" s="1380"/>
      <c r="I1253" s="1373"/>
    </row>
    <row r="1254" spans="6:9" x14ac:dyDescent="0.45">
      <c r="F1254" s="1380"/>
      <c r="H1254" s="1380"/>
      <c r="I1254" s="1373"/>
    </row>
    <row r="1255" spans="6:9" x14ac:dyDescent="0.45">
      <c r="F1255" s="1380"/>
      <c r="H1255" s="1380"/>
      <c r="I1255" s="1373"/>
    </row>
    <row r="1256" spans="6:9" x14ac:dyDescent="0.45">
      <c r="F1256" s="1380"/>
      <c r="H1256" s="1380"/>
      <c r="I1256" s="1373"/>
    </row>
    <row r="1257" spans="6:9" x14ac:dyDescent="0.45">
      <c r="F1257" s="1380"/>
      <c r="H1257" s="1380"/>
      <c r="I1257" s="1373"/>
    </row>
    <row r="1258" spans="6:9" x14ac:dyDescent="0.45">
      <c r="F1258" s="1380"/>
      <c r="H1258" s="1380"/>
      <c r="I1258" s="1373"/>
    </row>
    <row r="1259" spans="6:9" x14ac:dyDescent="0.45">
      <c r="F1259" s="1380"/>
      <c r="H1259" s="1380"/>
      <c r="I1259" s="1373"/>
    </row>
    <row r="1260" spans="6:9" x14ac:dyDescent="0.45">
      <c r="F1260" s="1380"/>
      <c r="H1260" s="1380"/>
      <c r="I1260" s="1373"/>
    </row>
    <row r="1261" spans="6:9" x14ac:dyDescent="0.45">
      <c r="F1261" s="1380"/>
      <c r="H1261" s="1380"/>
      <c r="I1261" s="1373"/>
    </row>
    <row r="1262" spans="6:9" x14ac:dyDescent="0.45">
      <c r="F1262" s="1380"/>
      <c r="H1262" s="1380"/>
      <c r="I1262" s="1373"/>
    </row>
    <row r="1263" spans="6:9" x14ac:dyDescent="0.45">
      <c r="F1263" s="1380"/>
      <c r="H1263" s="1380"/>
      <c r="I1263" s="1373"/>
    </row>
    <row r="1264" spans="6:9" x14ac:dyDescent="0.45">
      <c r="F1264" s="1380"/>
      <c r="H1264" s="1380"/>
      <c r="I1264" s="1373"/>
    </row>
    <row r="1265" spans="6:9" x14ac:dyDescent="0.45">
      <c r="F1265" s="1380"/>
      <c r="H1265" s="1380"/>
      <c r="I1265" s="1373"/>
    </row>
    <row r="1266" spans="6:9" x14ac:dyDescent="0.45">
      <c r="F1266" s="1380"/>
      <c r="H1266" s="1380"/>
      <c r="I1266" s="1373"/>
    </row>
    <row r="1267" spans="6:9" x14ac:dyDescent="0.45">
      <c r="F1267" s="1380"/>
      <c r="H1267" s="1380"/>
      <c r="I1267" s="1373"/>
    </row>
    <row r="1268" spans="6:9" x14ac:dyDescent="0.45">
      <c r="F1268" s="1380"/>
      <c r="H1268" s="1380"/>
      <c r="I1268" s="1373"/>
    </row>
    <row r="1269" spans="6:9" x14ac:dyDescent="0.45">
      <c r="F1269" s="1380"/>
      <c r="H1269" s="1380"/>
      <c r="I1269" s="1373"/>
    </row>
    <row r="1270" spans="6:9" x14ac:dyDescent="0.45">
      <c r="F1270" s="1380"/>
      <c r="H1270" s="1380"/>
      <c r="I1270" s="1373"/>
    </row>
    <row r="1271" spans="6:9" x14ac:dyDescent="0.45">
      <c r="F1271" s="1380"/>
      <c r="H1271" s="1380"/>
      <c r="I1271" s="1373"/>
    </row>
    <row r="1272" spans="6:9" x14ac:dyDescent="0.45">
      <c r="F1272" s="1380"/>
      <c r="H1272" s="1380"/>
      <c r="I1272" s="1373"/>
    </row>
    <row r="1273" spans="6:9" x14ac:dyDescent="0.45">
      <c r="F1273" s="1380"/>
      <c r="H1273" s="1380"/>
      <c r="I1273" s="1373"/>
    </row>
    <row r="1274" spans="6:9" x14ac:dyDescent="0.45">
      <c r="F1274" s="1380"/>
      <c r="H1274" s="1380"/>
      <c r="I1274" s="1373"/>
    </row>
    <row r="1275" spans="6:9" x14ac:dyDescent="0.45">
      <c r="F1275" s="1380"/>
      <c r="H1275" s="1380"/>
      <c r="I1275" s="1373"/>
    </row>
    <row r="1276" spans="6:9" x14ac:dyDescent="0.45">
      <c r="F1276" s="1380"/>
      <c r="H1276" s="1380"/>
      <c r="I1276" s="1373"/>
    </row>
    <row r="1277" spans="6:9" x14ac:dyDescent="0.45">
      <c r="F1277" s="1380"/>
      <c r="H1277" s="1380"/>
      <c r="I1277" s="1373"/>
    </row>
    <row r="1278" spans="6:9" x14ac:dyDescent="0.45">
      <c r="F1278" s="1380"/>
      <c r="H1278" s="1380"/>
      <c r="I1278" s="1373"/>
    </row>
    <row r="1279" spans="6:9" x14ac:dyDescent="0.45">
      <c r="F1279" s="1380"/>
      <c r="H1279" s="1380"/>
      <c r="I1279" s="1373"/>
    </row>
    <row r="1280" spans="6:9" x14ac:dyDescent="0.45">
      <c r="F1280" s="1380"/>
      <c r="H1280" s="1380"/>
      <c r="I1280" s="1373"/>
    </row>
    <row r="1281" spans="6:9" x14ac:dyDescent="0.45">
      <c r="F1281" s="1380"/>
      <c r="H1281" s="1380"/>
      <c r="I1281" s="1373"/>
    </row>
    <row r="1282" spans="6:9" x14ac:dyDescent="0.45">
      <c r="F1282" s="1380"/>
      <c r="H1282" s="1380"/>
      <c r="I1282" s="1373"/>
    </row>
    <row r="1283" spans="6:9" x14ac:dyDescent="0.45">
      <c r="F1283" s="1380"/>
      <c r="H1283" s="1380"/>
      <c r="I1283" s="1373"/>
    </row>
    <row r="1284" spans="6:9" x14ac:dyDescent="0.45">
      <c r="F1284" s="1380"/>
      <c r="H1284" s="1380"/>
      <c r="I1284" s="1373"/>
    </row>
    <row r="1285" spans="6:9" x14ac:dyDescent="0.45">
      <c r="F1285" s="1380"/>
      <c r="H1285" s="1380"/>
      <c r="I1285" s="1373"/>
    </row>
    <row r="1286" spans="6:9" x14ac:dyDescent="0.45">
      <c r="F1286" s="1380"/>
      <c r="H1286" s="1380"/>
      <c r="I1286" s="1373"/>
    </row>
    <row r="1287" spans="6:9" x14ac:dyDescent="0.45">
      <c r="F1287" s="1380"/>
      <c r="H1287" s="1380"/>
      <c r="I1287" s="1373"/>
    </row>
    <row r="1288" spans="6:9" x14ac:dyDescent="0.45">
      <c r="F1288" s="1380"/>
      <c r="H1288" s="1380"/>
      <c r="I1288" s="1373"/>
    </row>
    <row r="1289" spans="6:9" x14ac:dyDescent="0.45">
      <c r="F1289" s="1380"/>
      <c r="H1289" s="1380"/>
      <c r="I1289" s="1373"/>
    </row>
    <row r="1290" spans="6:9" x14ac:dyDescent="0.45">
      <c r="F1290" s="1380"/>
      <c r="H1290" s="1380"/>
      <c r="I1290" s="1373"/>
    </row>
    <row r="1291" spans="6:9" x14ac:dyDescent="0.45">
      <c r="F1291" s="1380"/>
      <c r="H1291" s="1380"/>
      <c r="I1291" s="1373"/>
    </row>
    <row r="1292" spans="6:9" x14ac:dyDescent="0.45">
      <c r="F1292" s="1380"/>
      <c r="H1292" s="1380"/>
      <c r="I1292" s="1373"/>
    </row>
    <row r="1293" spans="6:9" x14ac:dyDescent="0.45">
      <c r="F1293" s="1380"/>
      <c r="H1293" s="1380"/>
      <c r="I1293" s="1373"/>
    </row>
    <row r="1294" spans="6:9" x14ac:dyDescent="0.45">
      <c r="F1294" s="1380"/>
      <c r="H1294" s="1380"/>
      <c r="I1294" s="1373"/>
    </row>
    <row r="1295" spans="6:9" x14ac:dyDescent="0.45">
      <c r="F1295" s="1380"/>
      <c r="H1295" s="1380"/>
      <c r="I1295" s="1373"/>
    </row>
    <row r="1296" spans="6:9" x14ac:dyDescent="0.45">
      <c r="F1296" s="1380"/>
      <c r="H1296" s="1380"/>
      <c r="I1296" s="1373"/>
    </row>
    <row r="1297" spans="6:9" x14ac:dyDescent="0.45">
      <c r="F1297" s="1380"/>
      <c r="H1297" s="1380"/>
      <c r="I1297" s="1373"/>
    </row>
    <row r="1298" spans="6:9" x14ac:dyDescent="0.45">
      <c r="F1298" s="1380"/>
      <c r="H1298" s="1380"/>
      <c r="I1298" s="1373"/>
    </row>
    <row r="1299" spans="6:9" x14ac:dyDescent="0.45">
      <c r="F1299" s="1380"/>
      <c r="H1299" s="1380"/>
      <c r="I1299" s="1373"/>
    </row>
    <row r="1300" spans="6:9" x14ac:dyDescent="0.45">
      <c r="F1300" s="1380"/>
      <c r="H1300" s="1380"/>
      <c r="I1300" s="1373"/>
    </row>
    <row r="1301" spans="6:9" x14ac:dyDescent="0.45">
      <c r="F1301" s="1380"/>
      <c r="H1301" s="1380"/>
      <c r="I1301" s="1373"/>
    </row>
    <row r="1302" spans="6:9" x14ac:dyDescent="0.45">
      <c r="F1302" s="1380"/>
      <c r="H1302" s="1380"/>
      <c r="I1302" s="1373"/>
    </row>
    <row r="1303" spans="6:9" x14ac:dyDescent="0.45">
      <c r="F1303" s="1380"/>
      <c r="H1303" s="1380"/>
      <c r="I1303" s="1373"/>
    </row>
    <row r="1304" spans="6:9" x14ac:dyDescent="0.45">
      <c r="F1304" s="1380"/>
      <c r="H1304" s="1380"/>
      <c r="I1304" s="1373"/>
    </row>
    <row r="1305" spans="6:9" x14ac:dyDescent="0.45">
      <c r="F1305" s="1380"/>
      <c r="H1305" s="1380"/>
      <c r="I1305" s="1373"/>
    </row>
    <row r="1306" spans="6:9" x14ac:dyDescent="0.45">
      <c r="F1306" s="1380"/>
      <c r="H1306" s="1380"/>
      <c r="I1306" s="1373"/>
    </row>
    <row r="1307" spans="6:9" x14ac:dyDescent="0.45">
      <c r="F1307" s="1380"/>
      <c r="H1307" s="1380"/>
      <c r="I1307" s="1373"/>
    </row>
    <row r="1308" spans="6:9" x14ac:dyDescent="0.45">
      <c r="F1308" s="1380"/>
      <c r="H1308" s="1380"/>
      <c r="I1308" s="1373"/>
    </row>
    <row r="1309" spans="6:9" x14ac:dyDescent="0.45">
      <c r="F1309" s="1380"/>
      <c r="H1309" s="1380"/>
      <c r="I1309" s="1373"/>
    </row>
    <row r="1310" spans="6:9" x14ac:dyDescent="0.45">
      <c r="F1310" s="1380"/>
      <c r="H1310" s="1380"/>
      <c r="I1310" s="1373"/>
    </row>
    <row r="1311" spans="6:9" x14ac:dyDescent="0.45">
      <c r="F1311" s="1380"/>
      <c r="H1311" s="1380"/>
      <c r="I1311" s="1373"/>
    </row>
    <row r="1312" spans="6:9" x14ac:dyDescent="0.45">
      <c r="F1312" s="1380"/>
      <c r="H1312" s="1380"/>
      <c r="I1312" s="1373"/>
    </row>
    <row r="1313" spans="6:9" x14ac:dyDescent="0.45">
      <c r="F1313" s="1380"/>
      <c r="H1313" s="1380"/>
      <c r="I1313" s="1373"/>
    </row>
    <row r="1314" spans="6:9" x14ac:dyDescent="0.45">
      <c r="F1314" s="1380"/>
      <c r="H1314" s="1380"/>
      <c r="I1314" s="1373"/>
    </row>
    <row r="1315" spans="6:9" x14ac:dyDescent="0.45">
      <c r="F1315" s="1380"/>
      <c r="H1315" s="1380"/>
      <c r="I1315" s="1373"/>
    </row>
    <row r="1316" spans="6:9" x14ac:dyDescent="0.45">
      <c r="F1316" s="1380"/>
      <c r="H1316" s="1380"/>
      <c r="I1316" s="1373"/>
    </row>
    <row r="1317" spans="6:9" x14ac:dyDescent="0.45">
      <c r="F1317" s="1380"/>
      <c r="H1317" s="1380"/>
      <c r="I1317" s="1373"/>
    </row>
    <row r="1318" spans="6:9" x14ac:dyDescent="0.45">
      <c r="F1318" s="1380"/>
      <c r="H1318" s="1380"/>
      <c r="I1318" s="1373"/>
    </row>
    <row r="1319" spans="6:9" x14ac:dyDescent="0.45">
      <c r="F1319" s="1380"/>
      <c r="H1319" s="1380"/>
      <c r="I1319" s="1373"/>
    </row>
    <row r="1320" spans="6:9" x14ac:dyDescent="0.45">
      <c r="F1320" s="1380"/>
      <c r="H1320" s="1380"/>
      <c r="I1320" s="1373"/>
    </row>
    <row r="1321" spans="6:9" x14ac:dyDescent="0.45">
      <c r="F1321" s="1380"/>
      <c r="H1321" s="1380"/>
      <c r="I1321" s="1373"/>
    </row>
    <row r="1322" spans="6:9" x14ac:dyDescent="0.45">
      <c r="F1322" s="1380"/>
      <c r="H1322" s="1380"/>
      <c r="I1322" s="1373"/>
    </row>
    <row r="1323" spans="6:9" x14ac:dyDescent="0.45">
      <c r="F1323" s="1380"/>
      <c r="H1323" s="1380"/>
      <c r="I1323" s="1373"/>
    </row>
    <row r="1324" spans="6:9" x14ac:dyDescent="0.45">
      <c r="F1324" s="1380"/>
      <c r="H1324" s="1380"/>
      <c r="I1324" s="1373"/>
    </row>
    <row r="1325" spans="6:9" x14ac:dyDescent="0.45">
      <c r="F1325" s="1380"/>
      <c r="H1325" s="1380"/>
      <c r="I1325" s="1373"/>
    </row>
    <row r="1326" spans="6:9" x14ac:dyDescent="0.45">
      <c r="F1326" s="1380"/>
      <c r="H1326" s="1380"/>
      <c r="I1326" s="1373"/>
    </row>
    <row r="1327" spans="6:9" x14ac:dyDescent="0.45">
      <c r="F1327" s="1380"/>
      <c r="H1327" s="1380"/>
      <c r="I1327" s="1373"/>
    </row>
    <row r="1328" spans="6:9" x14ac:dyDescent="0.45">
      <c r="F1328" s="1380"/>
      <c r="H1328" s="1380"/>
      <c r="I1328" s="1373"/>
    </row>
    <row r="1329" spans="6:9" x14ac:dyDescent="0.45">
      <c r="F1329" s="1380"/>
      <c r="H1329" s="1380"/>
      <c r="I1329" s="1373"/>
    </row>
    <row r="1330" spans="6:9" x14ac:dyDescent="0.45">
      <c r="F1330" s="1380"/>
      <c r="H1330" s="1380"/>
      <c r="I1330" s="1373"/>
    </row>
    <row r="1331" spans="6:9" x14ac:dyDescent="0.45">
      <c r="F1331" s="1380"/>
      <c r="H1331" s="1380"/>
      <c r="I1331" s="1373"/>
    </row>
    <row r="1332" spans="6:9" x14ac:dyDescent="0.45">
      <c r="F1332" s="1380"/>
      <c r="H1332" s="1380"/>
      <c r="I1332" s="1373"/>
    </row>
    <row r="1333" spans="6:9" x14ac:dyDescent="0.45">
      <c r="F1333" s="1380"/>
      <c r="H1333" s="1380"/>
      <c r="I1333" s="1373"/>
    </row>
    <row r="1334" spans="6:9" x14ac:dyDescent="0.45">
      <c r="F1334" s="1380"/>
      <c r="H1334" s="1380"/>
      <c r="I1334" s="1373"/>
    </row>
    <row r="1335" spans="6:9" x14ac:dyDescent="0.45">
      <c r="F1335" s="1380"/>
      <c r="H1335" s="1380"/>
      <c r="I1335" s="1373"/>
    </row>
    <row r="1336" spans="6:9" x14ac:dyDescent="0.45">
      <c r="F1336" s="1380"/>
      <c r="H1336" s="1380"/>
      <c r="I1336" s="1373"/>
    </row>
    <row r="1337" spans="6:9" x14ac:dyDescent="0.45">
      <c r="F1337" s="1380"/>
      <c r="H1337" s="1380"/>
      <c r="I1337" s="1373"/>
    </row>
    <row r="1338" spans="6:9" x14ac:dyDescent="0.45">
      <c r="F1338" s="1380"/>
      <c r="H1338" s="1380"/>
      <c r="I1338" s="1373"/>
    </row>
    <row r="1339" spans="6:9" x14ac:dyDescent="0.45">
      <c r="F1339" s="1380"/>
      <c r="H1339" s="1380"/>
      <c r="I1339" s="1373"/>
    </row>
    <row r="1340" spans="6:9" x14ac:dyDescent="0.45">
      <c r="F1340" s="1380"/>
      <c r="H1340" s="1380"/>
      <c r="I1340" s="1373"/>
    </row>
    <row r="1341" spans="6:9" x14ac:dyDescent="0.45">
      <c r="F1341" s="1380"/>
      <c r="H1341" s="1380"/>
      <c r="I1341" s="1373"/>
    </row>
    <row r="1342" spans="6:9" x14ac:dyDescent="0.45">
      <c r="F1342" s="1380"/>
      <c r="H1342" s="1380"/>
      <c r="I1342" s="1373"/>
    </row>
    <row r="1343" spans="6:9" x14ac:dyDescent="0.45">
      <c r="F1343" s="1380"/>
      <c r="H1343" s="1380"/>
      <c r="I1343" s="1373"/>
    </row>
    <row r="1344" spans="6:9" x14ac:dyDescent="0.45">
      <c r="F1344" s="1380"/>
      <c r="H1344" s="1380"/>
      <c r="I1344" s="1373"/>
    </row>
    <row r="1345" spans="6:9" x14ac:dyDescent="0.45">
      <c r="F1345" s="1380"/>
      <c r="H1345" s="1380"/>
      <c r="I1345" s="1373"/>
    </row>
    <row r="1346" spans="6:9" x14ac:dyDescent="0.45">
      <c r="F1346" s="1380"/>
      <c r="H1346" s="1380"/>
      <c r="I1346" s="1373"/>
    </row>
    <row r="1347" spans="6:9" x14ac:dyDescent="0.45">
      <c r="F1347" s="1380"/>
      <c r="H1347" s="1380"/>
      <c r="I1347" s="1373"/>
    </row>
    <row r="1348" spans="6:9" x14ac:dyDescent="0.45">
      <c r="F1348" s="1380"/>
      <c r="H1348" s="1380"/>
      <c r="I1348" s="1373"/>
    </row>
    <row r="1349" spans="6:9" x14ac:dyDescent="0.45">
      <c r="F1349" s="1380"/>
      <c r="H1349" s="1380"/>
      <c r="I1349" s="1373"/>
    </row>
    <row r="1350" spans="6:9" x14ac:dyDescent="0.45">
      <c r="F1350" s="1380"/>
      <c r="H1350" s="1380"/>
      <c r="I1350" s="1373"/>
    </row>
    <row r="1351" spans="6:9" x14ac:dyDescent="0.45">
      <c r="F1351" s="1380"/>
      <c r="H1351" s="1380"/>
      <c r="I1351" s="1373"/>
    </row>
    <row r="1352" spans="6:9" x14ac:dyDescent="0.45">
      <c r="F1352" s="1380"/>
      <c r="H1352" s="1380"/>
      <c r="I1352" s="1373"/>
    </row>
    <row r="1353" spans="6:9" x14ac:dyDescent="0.45">
      <c r="F1353" s="1380"/>
      <c r="H1353" s="1380"/>
      <c r="I1353" s="1373"/>
    </row>
    <row r="1354" spans="6:9" x14ac:dyDescent="0.45">
      <c r="F1354" s="1380"/>
      <c r="H1354" s="1380"/>
      <c r="I1354" s="1373"/>
    </row>
    <row r="1355" spans="6:9" x14ac:dyDescent="0.45">
      <c r="F1355" s="1380"/>
      <c r="H1355" s="1380"/>
      <c r="I1355" s="1373"/>
    </row>
    <row r="1356" spans="6:9" x14ac:dyDescent="0.45">
      <c r="F1356" s="1380"/>
      <c r="H1356" s="1380"/>
      <c r="I1356" s="1373"/>
    </row>
    <row r="1357" spans="6:9" x14ac:dyDescent="0.45">
      <c r="F1357" s="1380"/>
      <c r="H1357" s="1380"/>
      <c r="I1357" s="1373"/>
    </row>
    <row r="1358" spans="6:9" x14ac:dyDescent="0.45">
      <c r="F1358" s="1380"/>
      <c r="H1358" s="1380"/>
      <c r="I1358" s="1373"/>
    </row>
    <row r="1359" spans="6:9" x14ac:dyDescent="0.45">
      <c r="F1359" s="1380"/>
      <c r="H1359" s="1380"/>
      <c r="I1359" s="1373"/>
    </row>
    <row r="1360" spans="6:9" x14ac:dyDescent="0.45">
      <c r="F1360" s="1380"/>
      <c r="H1360" s="1380"/>
      <c r="I1360" s="1373"/>
    </row>
    <row r="1361" spans="6:9" x14ac:dyDescent="0.45">
      <c r="F1361" s="1380"/>
      <c r="H1361" s="1380"/>
      <c r="I1361" s="1373"/>
    </row>
    <row r="1362" spans="6:9" x14ac:dyDescent="0.45">
      <c r="F1362" s="1380"/>
      <c r="H1362" s="1380"/>
      <c r="I1362" s="1373"/>
    </row>
    <row r="1363" spans="6:9" x14ac:dyDescent="0.45">
      <c r="F1363" s="1380"/>
      <c r="H1363" s="1380"/>
      <c r="I1363" s="1373"/>
    </row>
    <row r="1364" spans="6:9" x14ac:dyDescent="0.45">
      <c r="F1364" s="1380"/>
      <c r="H1364" s="1380"/>
      <c r="I1364" s="1373"/>
    </row>
    <row r="1365" spans="6:9" x14ac:dyDescent="0.45">
      <c r="F1365" s="1380"/>
      <c r="H1365" s="1380"/>
      <c r="I1365" s="1373"/>
    </row>
    <row r="1366" spans="6:9" x14ac:dyDescent="0.45">
      <c r="F1366" s="1380"/>
      <c r="H1366" s="1380"/>
      <c r="I1366" s="1373"/>
    </row>
    <row r="1367" spans="6:9" x14ac:dyDescent="0.45">
      <c r="F1367" s="1380"/>
      <c r="H1367" s="1380"/>
      <c r="I1367" s="1373"/>
    </row>
    <row r="1368" spans="6:9" x14ac:dyDescent="0.45">
      <c r="F1368" s="1380"/>
      <c r="H1368" s="1380"/>
      <c r="I1368" s="1373"/>
    </row>
    <row r="1369" spans="6:9" x14ac:dyDescent="0.45">
      <c r="F1369" s="1380"/>
      <c r="H1369" s="1380"/>
      <c r="I1369" s="1373"/>
    </row>
    <row r="1370" spans="6:9" x14ac:dyDescent="0.45">
      <c r="F1370" s="1380"/>
      <c r="H1370" s="1380"/>
      <c r="I1370" s="1373"/>
    </row>
    <row r="1371" spans="6:9" x14ac:dyDescent="0.45">
      <c r="F1371" s="1380"/>
      <c r="H1371" s="1380"/>
      <c r="I1371" s="1373"/>
    </row>
    <row r="1372" spans="6:9" x14ac:dyDescent="0.45">
      <c r="F1372" s="1380"/>
      <c r="H1372" s="1380"/>
      <c r="I1372" s="1373"/>
    </row>
    <row r="1373" spans="6:9" x14ac:dyDescent="0.45">
      <c r="F1373" s="1380"/>
      <c r="H1373" s="1380"/>
      <c r="I1373" s="1373"/>
    </row>
    <row r="1374" spans="6:9" x14ac:dyDescent="0.45">
      <c r="F1374" s="1380"/>
      <c r="H1374" s="1380"/>
      <c r="I1374" s="1373"/>
    </row>
    <row r="1375" spans="6:9" x14ac:dyDescent="0.45">
      <c r="F1375" s="1380"/>
      <c r="H1375" s="1380"/>
      <c r="I1375" s="1373"/>
    </row>
    <row r="1376" spans="6:9" x14ac:dyDescent="0.45">
      <c r="F1376" s="1380"/>
      <c r="H1376" s="1380"/>
      <c r="I1376" s="1373"/>
    </row>
    <row r="1377" spans="6:9" x14ac:dyDescent="0.45">
      <c r="F1377" s="1380"/>
      <c r="H1377" s="1380"/>
      <c r="I1377" s="1373"/>
    </row>
    <row r="1378" spans="6:9" x14ac:dyDescent="0.45">
      <c r="F1378" s="1380"/>
      <c r="H1378" s="1380"/>
      <c r="I1378" s="1373"/>
    </row>
    <row r="1379" spans="6:9" x14ac:dyDescent="0.45">
      <c r="F1379" s="1380"/>
      <c r="H1379" s="1380"/>
      <c r="I1379" s="1373"/>
    </row>
    <row r="1380" spans="6:9" x14ac:dyDescent="0.45">
      <c r="F1380" s="1380"/>
      <c r="H1380" s="1380"/>
      <c r="I1380" s="1373"/>
    </row>
    <row r="1381" spans="6:9" x14ac:dyDescent="0.45">
      <c r="F1381" s="1380"/>
      <c r="H1381" s="1380"/>
      <c r="I1381" s="1373"/>
    </row>
    <row r="1382" spans="6:9" x14ac:dyDescent="0.45">
      <c r="F1382" s="1380"/>
      <c r="H1382" s="1380"/>
      <c r="I1382" s="1373"/>
    </row>
    <row r="1383" spans="6:9" x14ac:dyDescent="0.45">
      <c r="F1383" s="1380"/>
      <c r="H1383" s="1380"/>
      <c r="I1383" s="1373"/>
    </row>
    <row r="1384" spans="6:9" x14ac:dyDescent="0.45">
      <c r="F1384" s="1380"/>
      <c r="H1384" s="1380"/>
      <c r="I1384" s="1373"/>
    </row>
    <row r="1385" spans="6:9" x14ac:dyDescent="0.45">
      <c r="F1385" s="1380"/>
      <c r="H1385" s="1380"/>
      <c r="I1385" s="1373"/>
    </row>
    <row r="1386" spans="6:9" x14ac:dyDescent="0.45">
      <c r="F1386" s="1380"/>
      <c r="H1386" s="1380"/>
      <c r="I1386" s="1373"/>
    </row>
    <row r="1387" spans="6:9" x14ac:dyDescent="0.45">
      <c r="F1387" s="1380"/>
      <c r="H1387" s="1380"/>
      <c r="I1387" s="1373"/>
    </row>
    <row r="1388" spans="6:9" x14ac:dyDescent="0.45">
      <c r="F1388" s="1380"/>
      <c r="H1388" s="1380"/>
      <c r="I1388" s="1373"/>
    </row>
    <row r="1389" spans="6:9" x14ac:dyDescent="0.45">
      <c r="F1389" s="1380"/>
      <c r="H1389" s="1380"/>
      <c r="I1389" s="1373"/>
    </row>
    <row r="1390" spans="6:9" x14ac:dyDescent="0.45">
      <c r="F1390" s="1380"/>
      <c r="H1390" s="1380"/>
      <c r="I1390" s="1373"/>
    </row>
    <row r="1391" spans="6:9" x14ac:dyDescent="0.45">
      <c r="F1391" s="1380"/>
      <c r="H1391" s="1380"/>
      <c r="I1391" s="1373"/>
    </row>
    <row r="1392" spans="6:9" x14ac:dyDescent="0.45">
      <c r="F1392" s="1380"/>
      <c r="H1392" s="1380"/>
      <c r="I1392" s="1373"/>
    </row>
    <row r="1393" spans="6:9" x14ac:dyDescent="0.45">
      <c r="F1393" s="1380"/>
      <c r="H1393" s="1380"/>
      <c r="I1393" s="1373"/>
    </row>
    <row r="1394" spans="6:9" x14ac:dyDescent="0.45">
      <c r="F1394" s="1380"/>
      <c r="H1394" s="1380"/>
      <c r="I1394" s="1373"/>
    </row>
    <row r="1395" spans="6:9" x14ac:dyDescent="0.45">
      <c r="F1395" s="1380"/>
      <c r="H1395" s="1380"/>
      <c r="I1395" s="1373"/>
    </row>
    <row r="1396" spans="6:9" x14ac:dyDescent="0.45">
      <c r="F1396" s="1380"/>
      <c r="H1396" s="1380"/>
      <c r="I1396" s="1373"/>
    </row>
    <row r="1397" spans="6:9" x14ac:dyDescent="0.45">
      <c r="F1397" s="1380"/>
      <c r="H1397" s="1380"/>
      <c r="I1397" s="1373"/>
    </row>
    <row r="1398" spans="6:9" x14ac:dyDescent="0.45">
      <c r="F1398" s="1380"/>
      <c r="H1398" s="1380"/>
      <c r="I1398" s="1373"/>
    </row>
    <row r="1399" spans="6:9" x14ac:dyDescent="0.45">
      <c r="F1399" s="1380"/>
      <c r="H1399" s="1380"/>
      <c r="I1399" s="1373"/>
    </row>
    <row r="1400" spans="6:9" x14ac:dyDescent="0.45">
      <c r="F1400" s="1380"/>
      <c r="H1400" s="1380"/>
      <c r="I1400" s="1373"/>
    </row>
    <row r="1401" spans="6:9" x14ac:dyDescent="0.45">
      <c r="F1401" s="1380"/>
      <c r="H1401" s="1380"/>
      <c r="I1401" s="1373"/>
    </row>
    <row r="1402" spans="6:9" x14ac:dyDescent="0.45">
      <c r="F1402" s="1380"/>
      <c r="H1402" s="1380"/>
      <c r="I1402" s="1373"/>
    </row>
    <row r="1403" spans="6:9" x14ac:dyDescent="0.45">
      <c r="F1403" s="1380"/>
      <c r="H1403" s="1380"/>
      <c r="I1403" s="1373"/>
    </row>
    <row r="1404" spans="6:9" x14ac:dyDescent="0.45">
      <c r="F1404" s="1380"/>
      <c r="H1404" s="1380"/>
      <c r="I1404" s="1373"/>
    </row>
    <row r="1405" spans="6:9" x14ac:dyDescent="0.45">
      <c r="F1405" s="1380"/>
      <c r="H1405" s="1380"/>
      <c r="I1405" s="1373"/>
    </row>
    <row r="1406" spans="6:9" x14ac:dyDescent="0.45">
      <c r="F1406" s="1380"/>
      <c r="H1406" s="1380"/>
      <c r="I1406" s="1373"/>
    </row>
    <row r="1407" spans="6:9" x14ac:dyDescent="0.45">
      <c r="F1407" s="1380"/>
      <c r="H1407" s="1380"/>
      <c r="I1407" s="1373"/>
    </row>
    <row r="1408" spans="6:9" x14ac:dyDescent="0.45">
      <c r="F1408" s="1380"/>
      <c r="H1408" s="1380"/>
      <c r="I1408" s="1373"/>
    </row>
    <row r="1409" spans="6:9" x14ac:dyDescent="0.45">
      <c r="F1409" s="1380"/>
      <c r="H1409" s="1380"/>
      <c r="I1409" s="1373"/>
    </row>
    <row r="1410" spans="6:9" x14ac:dyDescent="0.45">
      <c r="F1410" s="1380"/>
      <c r="H1410" s="1380"/>
      <c r="I1410" s="1373"/>
    </row>
    <row r="1411" spans="6:9" x14ac:dyDescent="0.45">
      <c r="F1411" s="1380"/>
      <c r="H1411" s="1380"/>
      <c r="I1411" s="1373"/>
    </row>
    <row r="1412" spans="6:9" x14ac:dyDescent="0.45">
      <c r="F1412" s="1380"/>
      <c r="H1412" s="1380"/>
      <c r="I1412" s="1373"/>
    </row>
    <row r="1413" spans="6:9" x14ac:dyDescent="0.45">
      <c r="F1413" s="1380"/>
      <c r="H1413" s="1380"/>
      <c r="I1413" s="1373"/>
    </row>
    <row r="1414" spans="6:9" x14ac:dyDescent="0.45">
      <c r="F1414" s="1380"/>
      <c r="H1414" s="1380"/>
      <c r="I1414" s="1373"/>
    </row>
    <row r="1415" spans="6:9" x14ac:dyDescent="0.45">
      <c r="F1415" s="1380"/>
      <c r="H1415" s="1380"/>
      <c r="I1415" s="1373"/>
    </row>
    <row r="1416" spans="6:9" x14ac:dyDescent="0.45">
      <c r="F1416" s="1380"/>
      <c r="H1416" s="1380"/>
      <c r="I1416" s="1373"/>
    </row>
    <row r="1417" spans="6:9" x14ac:dyDescent="0.45">
      <c r="F1417" s="1380"/>
      <c r="H1417" s="1380"/>
      <c r="I1417" s="1373"/>
    </row>
    <row r="1418" spans="6:9" x14ac:dyDescent="0.45">
      <c r="F1418" s="1380"/>
      <c r="H1418" s="1380"/>
      <c r="I1418" s="1373"/>
    </row>
    <row r="1419" spans="6:9" x14ac:dyDescent="0.45">
      <c r="F1419" s="1380"/>
      <c r="H1419" s="1380"/>
      <c r="I1419" s="1373"/>
    </row>
    <row r="1420" spans="6:9" x14ac:dyDescent="0.45">
      <c r="F1420" s="1380"/>
      <c r="H1420" s="1380"/>
      <c r="I1420" s="1373"/>
    </row>
    <row r="1421" spans="6:9" x14ac:dyDescent="0.45">
      <c r="F1421" s="1380"/>
      <c r="H1421" s="1380"/>
      <c r="I1421" s="1373"/>
    </row>
    <row r="1422" spans="6:9" x14ac:dyDescent="0.45">
      <c r="F1422" s="1380"/>
      <c r="H1422" s="1380"/>
      <c r="I1422" s="1373"/>
    </row>
    <row r="1423" spans="6:9" x14ac:dyDescent="0.45">
      <c r="F1423" s="1380"/>
      <c r="H1423" s="1380"/>
      <c r="I1423" s="1373"/>
    </row>
    <row r="1424" spans="6:9" x14ac:dyDescent="0.45">
      <c r="F1424" s="1380"/>
      <c r="H1424" s="1380"/>
      <c r="I1424" s="1373"/>
    </row>
    <row r="1425" spans="6:9" x14ac:dyDescent="0.45">
      <c r="F1425" s="1380"/>
      <c r="H1425" s="1380"/>
      <c r="I1425" s="1373"/>
    </row>
    <row r="1426" spans="6:9" x14ac:dyDescent="0.45">
      <c r="F1426" s="1380"/>
      <c r="H1426" s="1380"/>
      <c r="I1426" s="1373"/>
    </row>
    <row r="1427" spans="6:9" x14ac:dyDescent="0.45">
      <c r="F1427" s="1380"/>
      <c r="H1427" s="1380"/>
      <c r="I1427" s="1373"/>
    </row>
    <row r="1428" spans="6:9" x14ac:dyDescent="0.45">
      <c r="F1428" s="1380"/>
      <c r="H1428" s="1380"/>
      <c r="I1428" s="1373"/>
    </row>
    <row r="1429" spans="6:9" x14ac:dyDescent="0.45">
      <c r="F1429" s="1380"/>
      <c r="H1429" s="1380"/>
      <c r="I1429" s="1373"/>
    </row>
    <row r="1430" spans="6:9" x14ac:dyDescent="0.45">
      <c r="F1430" s="1380"/>
      <c r="H1430" s="1380"/>
      <c r="I1430" s="1373"/>
    </row>
    <row r="1431" spans="6:9" x14ac:dyDescent="0.45">
      <c r="F1431" s="1380"/>
      <c r="H1431" s="1380"/>
      <c r="I1431" s="1373"/>
    </row>
    <row r="1432" spans="6:9" x14ac:dyDescent="0.45">
      <c r="F1432" s="1380"/>
      <c r="H1432" s="1380"/>
      <c r="I1432" s="1373"/>
    </row>
    <row r="1433" spans="6:9" x14ac:dyDescent="0.45">
      <c r="F1433" s="1380"/>
      <c r="H1433" s="1380"/>
      <c r="I1433" s="1373"/>
    </row>
    <row r="1434" spans="6:9" x14ac:dyDescent="0.45">
      <c r="F1434" s="1380"/>
      <c r="H1434" s="1380"/>
      <c r="I1434" s="1373"/>
    </row>
    <row r="1435" spans="6:9" x14ac:dyDescent="0.45">
      <c r="F1435" s="1380"/>
      <c r="H1435" s="1380"/>
      <c r="I1435" s="1373"/>
    </row>
    <row r="1436" spans="6:9" x14ac:dyDescent="0.45">
      <c r="F1436" s="1380"/>
      <c r="H1436" s="1380"/>
      <c r="I1436" s="1373"/>
    </row>
    <row r="1437" spans="6:9" x14ac:dyDescent="0.45">
      <c r="F1437" s="1380"/>
      <c r="H1437" s="1380"/>
      <c r="I1437" s="1373"/>
    </row>
    <row r="1438" spans="6:9" x14ac:dyDescent="0.45">
      <c r="F1438" s="1380"/>
      <c r="H1438" s="1380"/>
      <c r="I1438" s="1373"/>
    </row>
    <row r="1439" spans="6:9" x14ac:dyDescent="0.45">
      <c r="F1439" s="1380"/>
      <c r="H1439" s="1380"/>
      <c r="I1439" s="1373"/>
    </row>
    <row r="1440" spans="6:9" x14ac:dyDescent="0.45">
      <c r="F1440" s="1380"/>
      <c r="H1440" s="1380"/>
      <c r="I1440" s="1373"/>
    </row>
    <row r="1441" spans="6:9" x14ac:dyDescent="0.45">
      <c r="F1441" s="1380"/>
      <c r="H1441" s="1380"/>
      <c r="I1441" s="1373"/>
    </row>
    <row r="1442" spans="6:9" x14ac:dyDescent="0.45">
      <c r="F1442" s="1380"/>
      <c r="H1442" s="1380"/>
      <c r="I1442" s="1373"/>
    </row>
    <row r="1443" spans="6:9" x14ac:dyDescent="0.45">
      <c r="F1443" s="1380"/>
      <c r="H1443" s="1380"/>
      <c r="I1443" s="1373"/>
    </row>
    <row r="1444" spans="6:9" x14ac:dyDescent="0.45">
      <c r="F1444" s="1380"/>
      <c r="H1444" s="1380"/>
      <c r="I1444" s="1373"/>
    </row>
    <row r="1445" spans="6:9" x14ac:dyDescent="0.45">
      <c r="F1445" s="1380"/>
      <c r="H1445" s="1380"/>
      <c r="I1445" s="1373"/>
    </row>
    <row r="1446" spans="6:9" x14ac:dyDescent="0.45">
      <c r="F1446" s="1380"/>
      <c r="H1446" s="1380"/>
      <c r="I1446" s="1373"/>
    </row>
    <row r="1447" spans="6:9" x14ac:dyDescent="0.45">
      <c r="F1447" s="1380"/>
      <c r="H1447" s="1380"/>
      <c r="I1447" s="1373"/>
    </row>
    <row r="1448" spans="6:9" x14ac:dyDescent="0.45">
      <c r="F1448" s="1380"/>
      <c r="H1448" s="1380"/>
      <c r="I1448" s="1373"/>
    </row>
    <row r="1449" spans="6:9" x14ac:dyDescent="0.45">
      <c r="F1449" s="1380"/>
      <c r="H1449" s="1380"/>
      <c r="I1449" s="1373"/>
    </row>
    <row r="1450" spans="6:9" x14ac:dyDescent="0.45">
      <c r="F1450" s="1380"/>
      <c r="H1450" s="1380"/>
      <c r="I1450" s="1373"/>
    </row>
    <row r="1451" spans="6:9" x14ac:dyDescent="0.45">
      <c r="F1451" s="1380"/>
      <c r="H1451" s="1380"/>
      <c r="I1451" s="1373"/>
    </row>
    <row r="1452" spans="6:9" x14ac:dyDescent="0.45">
      <c r="F1452" s="1380"/>
      <c r="H1452" s="1380"/>
      <c r="I1452" s="1373"/>
    </row>
    <row r="1453" spans="6:9" x14ac:dyDescent="0.45">
      <c r="F1453" s="1380"/>
      <c r="H1453" s="1380"/>
      <c r="I1453" s="1373"/>
    </row>
    <row r="1454" spans="6:9" x14ac:dyDescent="0.45">
      <c r="F1454" s="1380"/>
      <c r="H1454" s="1380"/>
      <c r="I1454" s="1373"/>
    </row>
    <row r="1455" spans="6:9" x14ac:dyDescent="0.45">
      <c r="F1455" s="1380"/>
      <c r="H1455" s="1380"/>
      <c r="I1455" s="1373"/>
    </row>
    <row r="1456" spans="6:9" x14ac:dyDescent="0.45">
      <c r="F1456" s="1380"/>
      <c r="H1456" s="1380"/>
      <c r="I1456" s="1373"/>
    </row>
    <row r="1457" spans="6:9" x14ac:dyDescent="0.45">
      <c r="F1457" s="1380"/>
      <c r="H1457" s="1380"/>
      <c r="I1457" s="1373"/>
    </row>
    <row r="1458" spans="6:9" x14ac:dyDescent="0.45">
      <c r="F1458" s="1380"/>
      <c r="H1458" s="1380"/>
      <c r="I1458" s="1373"/>
    </row>
    <row r="1459" spans="6:9" x14ac:dyDescent="0.45">
      <c r="F1459" s="1380"/>
      <c r="H1459" s="1380"/>
      <c r="I1459" s="1373"/>
    </row>
    <row r="1460" spans="6:9" x14ac:dyDescent="0.45">
      <c r="F1460" s="1380"/>
      <c r="H1460" s="1380"/>
      <c r="I1460" s="1373"/>
    </row>
    <row r="1461" spans="6:9" x14ac:dyDescent="0.45">
      <c r="F1461" s="1380"/>
      <c r="H1461" s="1380"/>
      <c r="I1461" s="1373"/>
    </row>
    <row r="1462" spans="6:9" x14ac:dyDescent="0.45">
      <c r="F1462" s="1380"/>
      <c r="H1462" s="1380"/>
      <c r="I1462" s="1373"/>
    </row>
    <row r="1463" spans="6:9" x14ac:dyDescent="0.45">
      <c r="F1463" s="1380"/>
      <c r="H1463" s="1380"/>
      <c r="I1463" s="1373"/>
    </row>
    <row r="1464" spans="6:9" x14ac:dyDescent="0.45">
      <c r="F1464" s="1380"/>
      <c r="H1464" s="1380"/>
      <c r="I1464" s="1373"/>
    </row>
    <row r="1465" spans="6:9" x14ac:dyDescent="0.45">
      <c r="F1465" s="1380"/>
      <c r="H1465" s="1380"/>
      <c r="I1465" s="1373"/>
    </row>
    <row r="1466" spans="6:9" x14ac:dyDescent="0.45">
      <c r="F1466" s="1380"/>
      <c r="H1466" s="1380"/>
      <c r="I1466" s="1373"/>
    </row>
    <row r="1467" spans="6:9" x14ac:dyDescent="0.45">
      <c r="F1467" s="1380"/>
      <c r="H1467" s="1380"/>
      <c r="I1467" s="1373"/>
    </row>
    <row r="1468" spans="6:9" x14ac:dyDescent="0.45">
      <c r="F1468" s="1380"/>
      <c r="H1468" s="1380"/>
      <c r="I1468" s="1373"/>
    </row>
    <row r="1469" spans="6:9" x14ac:dyDescent="0.45">
      <c r="F1469" s="1380"/>
      <c r="H1469" s="1380"/>
      <c r="I1469" s="1373"/>
    </row>
    <row r="1470" spans="6:9" x14ac:dyDescent="0.45">
      <c r="F1470" s="1380"/>
      <c r="H1470" s="1380"/>
      <c r="I1470" s="1373"/>
    </row>
    <row r="1471" spans="6:9" x14ac:dyDescent="0.45">
      <c r="F1471" s="1380"/>
      <c r="H1471" s="1380"/>
      <c r="I1471" s="1373"/>
    </row>
    <row r="1472" spans="6:9" x14ac:dyDescent="0.45">
      <c r="F1472" s="1380"/>
      <c r="H1472" s="1380"/>
      <c r="I1472" s="1373"/>
    </row>
    <row r="1473" spans="6:9" x14ac:dyDescent="0.45">
      <c r="F1473" s="1380"/>
      <c r="H1473" s="1380"/>
      <c r="I1473" s="1373"/>
    </row>
    <row r="1474" spans="6:9" x14ac:dyDescent="0.45">
      <c r="F1474" s="1380"/>
      <c r="H1474" s="1380"/>
      <c r="I1474" s="1373"/>
    </row>
    <row r="1475" spans="6:9" x14ac:dyDescent="0.45">
      <c r="F1475" s="1380"/>
      <c r="H1475" s="1380"/>
      <c r="I1475" s="1373"/>
    </row>
    <row r="1476" spans="6:9" x14ac:dyDescent="0.45">
      <c r="F1476" s="1380"/>
      <c r="H1476" s="1380"/>
      <c r="I1476" s="1373"/>
    </row>
    <row r="1477" spans="6:9" x14ac:dyDescent="0.45">
      <c r="F1477" s="1380"/>
      <c r="H1477" s="1380"/>
      <c r="I1477" s="1373"/>
    </row>
    <row r="1478" spans="6:9" x14ac:dyDescent="0.45">
      <c r="F1478" s="1380"/>
      <c r="H1478" s="1380"/>
      <c r="I1478" s="1373"/>
    </row>
    <row r="1479" spans="6:9" x14ac:dyDescent="0.45">
      <c r="F1479" s="1380"/>
      <c r="H1479" s="1380"/>
      <c r="I1479" s="1373"/>
    </row>
    <row r="1480" spans="6:9" x14ac:dyDescent="0.45">
      <c r="F1480" s="1380"/>
      <c r="H1480" s="1380"/>
      <c r="I1480" s="1373"/>
    </row>
    <row r="1481" spans="6:9" x14ac:dyDescent="0.45">
      <c r="F1481" s="1380"/>
      <c r="H1481" s="1380"/>
      <c r="I1481" s="1373"/>
    </row>
    <row r="1482" spans="6:9" x14ac:dyDescent="0.45">
      <c r="F1482" s="1380"/>
      <c r="H1482" s="1380"/>
      <c r="I1482" s="1373"/>
    </row>
    <row r="1483" spans="6:9" x14ac:dyDescent="0.45">
      <c r="F1483" s="1380"/>
      <c r="H1483" s="1380"/>
      <c r="I1483" s="1373"/>
    </row>
    <row r="1484" spans="6:9" x14ac:dyDescent="0.45">
      <c r="F1484" s="1380"/>
      <c r="H1484" s="1380"/>
      <c r="I1484" s="1373"/>
    </row>
    <row r="1485" spans="6:9" x14ac:dyDescent="0.45">
      <c r="F1485" s="1380"/>
      <c r="H1485" s="1380"/>
      <c r="I1485" s="1373"/>
    </row>
    <row r="1486" spans="6:9" x14ac:dyDescent="0.45">
      <c r="F1486" s="1380"/>
      <c r="H1486" s="1380"/>
      <c r="I1486" s="1373"/>
    </row>
    <row r="1487" spans="6:9" x14ac:dyDescent="0.45">
      <c r="F1487" s="1380"/>
      <c r="H1487" s="1380"/>
      <c r="I1487" s="1373"/>
    </row>
    <row r="1488" spans="6:9" x14ac:dyDescent="0.45">
      <c r="F1488" s="1380"/>
      <c r="H1488" s="1380"/>
      <c r="I1488" s="1373"/>
    </row>
    <row r="1489" spans="6:9" x14ac:dyDescent="0.45">
      <c r="F1489" s="1380"/>
      <c r="H1489" s="1380"/>
      <c r="I1489" s="1373"/>
    </row>
    <row r="1490" spans="6:9" x14ac:dyDescent="0.45">
      <c r="F1490" s="1380"/>
      <c r="H1490" s="1380"/>
      <c r="I1490" s="1373"/>
    </row>
    <row r="1491" spans="6:9" x14ac:dyDescent="0.45">
      <c r="F1491" s="1380"/>
      <c r="H1491" s="1380"/>
      <c r="I1491" s="1373"/>
    </row>
    <row r="1492" spans="6:9" x14ac:dyDescent="0.45">
      <c r="F1492" s="1380"/>
      <c r="H1492" s="1380"/>
      <c r="I1492" s="1373"/>
    </row>
    <row r="1493" spans="6:9" x14ac:dyDescent="0.45">
      <c r="F1493" s="1380"/>
      <c r="H1493" s="1380"/>
      <c r="I1493" s="1373"/>
    </row>
    <row r="1494" spans="6:9" x14ac:dyDescent="0.45">
      <c r="F1494" s="1380"/>
      <c r="H1494" s="1380"/>
      <c r="I1494" s="1373"/>
    </row>
    <row r="1495" spans="6:9" x14ac:dyDescent="0.45">
      <c r="F1495" s="1380"/>
      <c r="H1495" s="1380"/>
      <c r="I1495" s="1373"/>
    </row>
    <row r="1496" spans="6:9" x14ac:dyDescent="0.45">
      <c r="F1496" s="1380"/>
      <c r="H1496" s="1380"/>
      <c r="I1496" s="1373"/>
    </row>
    <row r="1497" spans="6:9" x14ac:dyDescent="0.45">
      <c r="F1497" s="1380"/>
      <c r="H1497" s="1380"/>
      <c r="I1497" s="1373"/>
    </row>
    <row r="1498" spans="6:9" x14ac:dyDescent="0.45">
      <c r="F1498" s="1380"/>
      <c r="H1498" s="1380"/>
      <c r="I1498" s="1373"/>
    </row>
    <row r="1499" spans="6:9" x14ac:dyDescent="0.45">
      <c r="F1499" s="1380"/>
      <c r="H1499" s="1380"/>
      <c r="I1499" s="1373"/>
    </row>
    <row r="1500" spans="6:9" x14ac:dyDescent="0.45">
      <c r="F1500" s="1380"/>
      <c r="H1500" s="1380"/>
      <c r="I1500" s="1373"/>
    </row>
    <row r="1501" spans="6:9" x14ac:dyDescent="0.45">
      <c r="F1501" s="1380"/>
      <c r="H1501" s="1380"/>
      <c r="I1501" s="1373"/>
    </row>
    <row r="1502" spans="6:9" x14ac:dyDescent="0.45">
      <c r="F1502" s="1380"/>
      <c r="H1502" s="1380"/>
      <c r="I1502" s="1373"/>
    </row>
    <row r="1503" spans="6:9" x14ac:dyDescent="0.45">
      <c r="F1503" s="1380"/>
      <c r="H1503" s="1380"/>
      <c r="I1503" s="1373"/>
    </row>
    <row r="1504" spans="6:9" x14ac:dyDescent="0.45">
      <c r="F1504" s="1380"/>
      <c r="H1504" s="1380"/>
      <c r="I1504" s="1373"/>
    </row>
    <row r="1505" spans="6:9" x14ac:dyDescent="0.45">
      <c r="F1505" s="1380"/>
      <c r="H1505" s="1380"/>
      <c r="I1505" s="1373"/>
    </row>
    <row r="1506" spans="6:9" x14ac:dyDescent="0.45">
      <c r="F1506" s="1380"/>
      <c r="H1506" s="1380"/>
      <c r="I1506" s="1373"/>
    </row>
    <row r="1507" spans="6:9" x14ac:dyDescent="0.45">
      <c r="F1507" s="1380"/>
      <c r="H1507" s="1380"/>
      <c r="I1507" s="1373"/>
    </row>
    <row r="1508" spans="6:9" x14ac:dyDescent="0.45">
      <c r="F1508" s="1380"/>
      <c r="H1508" s="1380"/>
      <c r="I1508" s="1373"/>
    </row>
    <row r="1509" spans="6:9" x14ac:dyDescent="0.45">
      <c r="F1509" s="1380"/>
      <c r="H1509" s="1380"/>
      <c r="I1509" s="1373"/>
    </row>
    <row r="1510" spans="6:9" x14ac:dyDescent="0.45">
      <c r="F1510" s="1380"/>
      <c r="H1510" s="1380"/>
      <c r="I1510" s="1373"/>
    </row>
    <row r="1511" spans="6:9" x14ac:dyDescent="0.45">
      <c r="F1511" s="1380"/>
      <c r="H1511" s="1380"/>
      <c r="I1511" s="1373"/>
    </row>
    <row r="1512" spans="6:9" x14ac:dyDescent="0.45">
      <c r="F1512" s="1380"/>
      <c r="H1512" s="1380"/>
      <c r="I1512" s="1373"/>
    </row>
    <row r="1513" spans="6:9" x14ac:dyDescent="0.45">
      <c r="F1513" s="1380"/>
      <c r="H1513" s="1380"/>
      <c r="I1513" s="1373"/>
    </row>
    <row r="1514" spans="6:9" x14ac:dyDescent="0.45">
      <c r="F1514" s="1380"/>
      <c r="H1514" s="1380"/>
      <c r="I1514" s="1373"/>
    </row>
    <row r="1515" spans="6:9" x14ac:dyDescent="0.45">
      <c r="F1515" s="1380"/>
      <c r="H1515" s="1380"/>
      <c r="I1515" s="1373"/>
    </row>
    <row r="1516" spans="6:9" x14ac:dyDescent="0.45">
      <c r="F1516" s="1380"/>
      <c r="H1516" s="1380"/>
      <c r="I1516" s="1373"/>
    </row>
    <row r="1517" spans="6:9" x14ac:dyDescent="0.45">
      <c r="F1517" s="1380"/>
      <c r="H1517" s="1380"/>
      <c r="I1517" s="1373"/>
    </row>
    <row r="1518" spans="6:9" x14ac:dyDescent="0.45">
      <c r="F1518" s="1380"/>
      <c r="H1518" s="1380"/>
      <c r="I1518" s="1373"/>
    </row>
    <row r="1519" spans="6:9" x14ac:dyDescent="0.45">
      <c r="F1519" s="1380"/>
      <c r="H1519" s="1380"/>
      <c r="I1519" s="1373"/>
    </row>
    <row r="1520" spans="6:9" x14ac:dyDescent="0.45">
      <c r="F1520" s="1380"/>
      <c r="H1520" s="1380"/>
      <c r="I1520" s="1373"/>
    </row>
    <row r="1521" spans="6:9" x14ac:dyDescent="0.45">
      <c r="F1521" s="1380"/>
      <c r="H1521" s="1380"/>
      <c r="I1521" s="1373"/>
    </row>
    <row r="1522" spans="6:9" x14ac:dyDescent="0.45">
      <c r="F1522" s="1380"/>
      <c r="H1522" s="1380"/>
      <c r="I1522" s="1373"/>
    </row>
    <row r="1523" spans="6:9" x14ac:dyDescent="0.45">
      <c r="F1523" s="1380"/>
      <c r="H1523" s="1380"/>
      <c r="I1523" s="1373"/>
    </row>
    <row r="1524" spans="6:9" x14ac:dyDescent="0.45">
      <c r="F1524" s="1380"/>
      <c r="H1524" s="1380"/>
      <c r="I1524" s="1373"/>
    </row>
    <row r="1525" spans="6:9" x14ac:dyDescent="0.45">
      <c r="F1525" s="1380"/>
      <c r="H1525" s="1380"/>
      <c r="I1525" s="1373"/>
    </row>
    <row r="1526" spans="6:9" x14ac:dyDescent="0.45">
      <c r="F1526" s="1380"/>
      <c r="H1526" s="1380"/>
      <c r="I1526" s="1373"/>
    </row>
    <row r="1527" spans="6:9" x14ac:dyDescent="0.45">
      <c r="F1527" s="1380"/>
      <c r="H1527" s="1380"/>
      <c r="I1527" s="1373"/>
    </row>
    <row r="1528" spans="6:9" x14ac:dyDescent="0.45">
      <c r="F1528" s="1380"/>
      <c r="H1528" s="1380"/>
      <c r="I1528" s="1373"/>
    </row>
    <row r="1529" spans="6:9" x14ac:dyDescent="0.45">
      <c r="F1529" s="1380"/>
      <c r="H1529" s="1380"/>
      <c r="I1529" s="1373"/>
    </row>
    <row r="1530" spans="6:9" x14ac:dyDescent="0.45">
      <c r="F1530" s="1380"/>
      <c r="H1530" s="1380"/>
      <c r="I1530" s="1373"/>
    </row>
    <row r="1531" spans="6:9" x14ac:dyDescent="0.45">
      <c r="F1531" s="1380"/>
      <c r="H1531" s="1380"/>
      <c r="I1531" s="1373"/>
    </row>
    <row r="1532" spans="6:9" x14ac:dyDescent="0.45">
      <c r="F1532" s="1380"/>
      <c r="H1532" s="1380"/>
      <c r="I1532" s="1373"/>
    </row>
    <row r="1533" spans="6:9" x14ac:dyDescent="0.45">
      <c r="F1533" s="1380"/>
      <c r="H1533" s="1380"/>
      <c r="I1533" s="1373"/>
    </row>
    <row r="1534" spans="6:9" x14ac:dyDescent="0.45">
      <c r="F1534" s="1380"/>
      <c r="H1534" s="1380"/>
      <c r="I1534" s="1373"/>
    </row>
    <row r="1535" spans="6:9" x14ac:dyDescent="0.45">
      <c r="F1535" s="1380"/>
      <c r="H1535" s="1380"/>
      <c r="I1535" s="1373"/>
    </row>
    <row r="1536" spans="6:9" x14ac:dyDescent="0.45">
      <c r="F1536" s="1380"/>
      <c r="H1536" s="1380"/>
      <c r="I1536" s="1373"/>
    </row>
    <row r="1537" spans="6:9" x14ac:dyDescent="0.45">
      <c r="F1537" s="1380"/>
      <c r="H1537" s="1380"/>
      <c r="I1537" s="1373"/>
    </row>
    <row r="1538" spans="6:9" x14ac:dyDescent="0.45">
      <c r="F1538" s="1380"/>
      <c r="H1538" s="1380"/>
      <c r="I1538" s="1373"/>
    </row>
    <row r="1539" spans="6:9" x14ac:dyDescent="0.45">
      <c r="F1539" s="1380"/>
      <c r="H1539" s="1380"/>
      <c r="I1539" s="1373"/>
    </row>
    <row r="1540" spans="6:9" x14ac:dyDescent="0.45">
      <c r="F1540" s="1380"/>
      <c r="H1540" s="1380"/>
      <c r="I1540" s="1373"/>
    </row>
    <row r="1541" spans="6:9" x14ac:dyDescent="0.45">
      <c r="F1541" s="1380"/>
      <c r="H1541" s="1380"/>
      <c r="I1541" s="1373"/>
    </row>
    <row r="1542" spans="6:9" x14ac:dyDescent="0.45">
      <c r="F1542" s="1380"/>
      <c r="H1542" s="1380"/>
      <c r="I1542" s="1373"/>
    </row>
    <row r="1543" spans="6:9" x14ac:dyDescent="0.45">
      <c r="F1543" s="1380"/>
      <c r="H1543" s="1380"/>
      <c r="I1543" s="1373"/>
    </row>
    <row r="1544" spans="6:9" x14ac:dyDescent="0.45">
      <c r="F1544" s="1380"/>
      <c r="H1544" s="1380"/>
      <c r="I1544" s="1373"/>
    </row>
    <row r="1545" spans="6:9" x14ac:dyDescent="0.45">
      <c r="F1545" s="1380"/>
      <c r="H1545" s="1380"/>
      <c r="I1545" s="1373"/>
    </row>
    <row r="1546" spans="6:9" x14ac:dyDescent="0.45">
      <c r="F1546" s="1380"/>
      <c r="H1546" s="1380"/>
      <c r="I1546" s="1373"/>
    </row>
    <row r="1547" spans="6:9" x14ac:dyDescent="0.45">
      <c r="F1547" s="1380"/>
      <c r="H1547" s="1380"/>
      <c r="I1547" s="1373"/>
    </row>
    <row r="1548" spans="6:9" x14ac:dyDescent="0.45">
      <c r="F1548" s="1380"/>
      <c r="H1548" s="1380"/>
      <c r="I1548" s="1373"/>
    </row>
    <row r="1549" spans="6:9" x14ac:dyDescent="0.45">
      <c r="F1549" s="1380"/>
      <c r="H1549" s="1380"/>
      <c r="I1549" s="1373"/>
    </row>
    <row r="1550" spans="6:9" x14ac:dyDescent="0.45">
      <c r="F1550" s="1380"/>
      <c r="H1550" s="1380"/>
      <c r="I1550" s="1373"/>
    </row>
    <row r="1551" spans="6:9" x14ac:dyDescent="0.45">
      <c r="F1551" s="1380"/>
      <c r="H1551" s="1380"/>
      <c r="I1551" s="1373"/>
    </row>
    <row r="1552" spans="6:9" x14ac:dyDescent="0.45">
      <c r="F1552" s="1380"/>
      <c r="H1552" s="1380"/>
      <c r="I1552" s="1373"/>
    </row>
    <row r="1553" spans="6:9" x14ac:dyDescent="0.45">
      <c r="F1553" s="1380"/>
      <c r="H1553" s="1380"/>
      <c r="I1553" s="1373"/>
    </row>
    <row r="1554" spans="6:9" x14ac:dyDescent="0.45">
      <c r="F1554" s="1380"/>
      <c r="H1554" s="1380"/>
      <c r="I1554" s="1373"/>
    </row>
    <row r="1555" spans="6:9" x14ac:dyDescent="0.45">
      <c r="F1555" s="1380"/>
      <c r="H1555" s="1380"/>
      <c r="I1555" s="1373"/>
    </row>
    <row r="1556" spans="6:9" x14ac:dyDescent="0.45">
      <c r="F1556" s="1380"/>
      <c r="H1556" s="1380"/>
      <c r="I1556" s="1373"/>
    </row>
    <row r="1557" spans="6:9" x14ac:dyDescent="0.45">
      <c r="F1557" s="1380"/>
      <c r="H1557" s="1380"/>
      <c r="I1557" s="1373"/>
    </row>
    <row r="1558" spans="6:9" x14ac:dyDescent="0.45">
      <c r="F1558" s="1380"/>
      <c r="H1558" s="1380"/>
      <c r="I1558" s="1373"/>
    </row>
    <row r="1559" spans="6:9" x14ac:dyDescent="0.45">
      <c r="F1559" s="1380"/>
      <c r="H1559" s="1380"/>
      <c r="I1559" s="1373"/>
    </row>
    <row r="1560" spans="6:9" x14ac:dyDescent="0.45">
      <c r="F1560" s="1380"/>
      <c r="H1560" s="1380"/>
      <c r="I1560" s="1373"/>
    </row>
    <row r="1561" spans="6:9" x14ac:dyDescent="0.45">
      <c r="F1561" s="1380"/>
      <c r="H1561" s="1380"/>
      <c r="I1561" s="1373"/>
    </row>
    <row r="1562" spans="6:9" x14ac:dyDescent="0.45">
      <c r="F1562" s="1380"/>
      <c r="H1562" s="1380"/>
      <c r="I1562" s="1373"/>
    </row>
    <row r="1563" spans="6:9" x14ac:dyDescent="0.45">
      <c r="F1563" s="1380"/>
      <c r="H1563" s="1380"/>
      <c r="I1563" s="1373"/>
    </row>
    <row r="1564" spans="6:9" x14ac:dyDescent="0.45">
      <c r="F1564" s="1380"/>
      <c r="H1564" s="1380"/>
      <c r="I1564" s="1373"/>
    </row>
    <row r="1565" spans="6:9" x14ac:dyDescent="0.45">
      <c r="F1565" s="1380"/>
      <c r="H1565" s="1380"/>
      <c r="I1565" s="1373"/>
    </row>
    <row r="1566" spans="6:9" x14ac:dyDescent="0.45">
      <c r="F1566" s="1380"/>
      <c r="H1566" s="1380"/>
      <c r="I1566" s="1373"/>
    </row>
    <row r="1567" spans="6:9" x14ac:dyDescent="0.45">
      <c r="F1567" s="1380"/>
      <c r="H1567" s="1380"/>
      <c r="I1567" s="1373"/>
    </row>
    <row r="1568" spans="6:9" x14ac:dyDescent="0.45">
      <c r="F1568" s="1380"/>
      <c r="H1568" s="1380"/>
      <c r="I1568" s="1373"/>
    </row>
    <row r="1569" spans="6:9" x14ac:dyDescent="0.45">
      <c r="F1569" s="1380"/>
      <c r="H1569" s="1380"/>
      <c r="I1569" s="1373"/>
    </row>
    <row r="1570" spans="6:9" x14ac:dyDescent="0.45">
      <c r="F1570" s="1380"/>
      <c r="H1570" s="1380"/>
      <c r="I1570" s="1373"/>
    </row>
    <row r="1571" spans="6:9" x14ac:dyDescent="0.45">
      <c r="F1571" s="1380"/>
      <c r="H1571" s="1380"/>
      <c r="I1571" s="1373"/>
    </row>
    <row r="1572" spans="6:9" x14ac:dyDescent="0.45">
      <c r="F1572" s="1380"/>
      <c r="H1572" s="1380"/>
      <c r="I1572" s="1373"/>
    </row>
    <row r="1573" spans="6:9" x14ac:dyDescent="0.45">
      <c r="F1573" s="1380"/>
      <c r="H1573" s="1380"/>
      <c r="I1573" s="1373"/>
    </row>
    <row r="1574" spans="6:9" x14ac:dyDescent="0.45">
      <c r="F1574" s="1380"/>
      <c r="H1574" s="1380"/>
      <c r="I1574" s="1373"/>
    </row>
    <row r="1575" spans="6:9" x14ac:dyDescent="0.45">
      <c r="F1575" s="1380"/>
      <c r="H1575" s="1380"/>
      <c r="I1575" s="1373"/>
    </row>
    <row r="1576" spans="6:9" x14ac:dyDescent="0.45">
      <c r="F1576" s="1380"/>
      <c r="H1576" s="1380"/>
      <c r="I1576" s="1373"/>
    </row>
    <row r="1577" spans="6:9" x14ac:dyDescent="0.45">
      <c r="F1577" s="1380"/>
      <c r="H1577" s="1380"/>
      <c r="I1577" s="1373"/>
    </row>
    <row r="1578" spans="6:9" x14ac:dyDescent="0.45">
      <c r="F1578" s="1380"/>
      <c r="H1578" s="1380"/>
      <c r="I1578" s="1373"/>
    </row>
    <row r="1579" spans="6:9" x14ac:dyDescent="0.45">
      <c r="F1579" s="1380"/>
      <c r="H1579" s="1380"/>
      <c r="I1579" s="1373"/>
    </row>
    <row r="1580" spans="6:9" x14ac:dyDescent="0.45">
      <c r="F1580" s="1380"/>
      <c r="H1580" s="1380"/>
      <c r="I1580" s="1373"/>
    </row>
    <row r="1581" spans="6:9" x14ac:dyDescent="0.45">
      <c r="F1581" s="1380"/>
      <c r="H1581" s="1380"/>
      <c r="I1581" s="1373"/>
    </row>
    <row r="1582" spans="6:9" x14ac:dyDescent="0.45">
      <c r="F1582" s="1380"/>
      <c r="H1582" s="1380"/>
      <c r="I1582" s="1373"/>
    </row>
    <row r="1583" spans="6:9" x14ac:dyDescent="0.45">
      <c r="F1583" s="1380"/>
      <c r="H1583" s="1380"/>
      <c r="I1583" s="1373"/>
    </row>
    <row r="1584" spans="6:9" x14ac:dyDescent="0.45">
      <c r="F1584" s="1380"/>
      <c r="H1584" s="1380"/>
      <c r="I1584" s="1373"/>
    </row>
    <row r="1585" spans="6:9" x14ac:dyDescent="0.45">
      <c r="F1585" s="1380"/>
      <c r="H1585" s="1380"/>
      <c r="I1585" s="1373"/>
    </row>
    <row r="1586" spans="6:9" x14ac:dyDescent="0.45">
      <c r="F1586" s="1380"/>
      <c r="H1586" s="1380"/>
      <c r="I1586" s="1373"/>
    </row>
    <row r="1587" spans="6:9" x14ac:dyDescent="0.45">
      <c r="F1587" s="1380"/>
      <c r="H1587" s="1380"/>
      <c r="I1587" s="1373"/>
    </row>
    <row r="1588" spans="6:9" x14ac:dyDescent="0.45">
      <c r="F1588" s="1380"/>
      <c r="H1588" s="1380"/>
      <c r="I1588" s="1373"/>
    </row>
    <row r="1589" spans="6:9" x14ac:dyDescent="0.45">
      <c r="F1589" s="1380"/>
      <c r="H1589" s="1380"/>
      <c r="I1589" s="1373"/>
    </row>
    <row r="1590" spans="6:9" x14ac:dyDescent="0.45">
      <c r="F1590" s="1380"/>
      <c r="H1590" s="1380"/>
      <c r="I1590" s="1373"/>
    </row>
    <row r="1591" spans="6:9" x14ac:dyDescent="0.45">
      <c r="F1591" s="1380"/>
      <c r="H1591" s="1380"/>
      <c r="I1591" s="1373"/>
    </row>
    <row r="1592" spans="6:9" x14ac:dyDescent="0.45">
      <c r="F1592" s="1380"/>
      <c r="H1592" s="1380"/>
      <c r="I1592" s="1373"/>
    </row>
    <row r="1593" spans="6:9" x14ac:dyDescent="0.45">
      <c r="F1593" s="1380"/>
      <c r="H1593" s="1380"/>
      <c r="I1593" s="1373"/>
    </row>
    <row r="1594" spans="6:9" x14ac:dyDescent="0.45">
      <c r="F1594" s="1380"/>
      <c r="H1594" s="1380"/>
      <c r="I1594" s="1373"/>
    </row>
    <row r="1595" spans="6:9" x14ac:dyDescent="0.45">
      <c r="F1595" s="1380"/>
      <c r="H1595" s="1380"/>
      <c r="I1595" s="1373"/>
    </row>
    <row r="1596" spans="6:9" x14ac:dyDescent="0.45">
      <c r="F1596" s="1380"/>
      <c r="H1596" s="1380"/>
      <c r="I1596" s="1373"/>
    </row>
    <row r="1597" spans="6:9" x14ac:dyDescent="0.45">
      <c r="F1597" s="1380"/>
      <c r="H1597" s="1380"/>
      <c r="I1597" s="1373"/>
    </row>
    <row r="1598" spans="6:9" x14ac:dyDescent="0.45">
      <c r="F1598" s="1380"/>
      <c r="H1598" s="1380"/>
      <c r="I1598" s="1373"/>
    </row>
    <row r="1599" spans="6:9" x14ac:dyDescent="0.45">
      <c r="F1599" s="1380"/>
      <c r="H1599" s="1380"/>
      <c r="I1599" s="1373"/>
    </row>
    <row r="1600" spans="6:9" x14ac:dyDescent="0.45">
      <c r="F1600" s="1380"/>
      <c r="H1600" s="1380"/>
      <c r="I1600" s="1373"/>
    </row>
    <row r="1601" spans="6:9" x14ac:dyDescent="0.45">
      <c r="F1601" s="1380"/>
      <c r="H1601" s="1380"/>
      <c r="I1601" s="1373"/>
    </row>
    <row r="1602" spans="6:9" x14ac:dyDescent="0.45">
      <c r="F1602" s="1380"/>
      <c r="H1602" s="1380"/>
      <c r="I1602" s="1373"/>
    </row>
    <row r="1603" spans="6:9" x14ac:dyDescent="0.45">
      <c r="F1603" s="1380"/>
      <c r="H1603" s="1380"/>
      <c r="I1603" s="1373"/>
    </row>
    <row r="1604" spans="6:9" x14ac:dyDescent="0.45">
      <c r="F1604" s="1380"/>
      <c r="H1604" s="1380"/>
      <c r="I1604" s="1373"/>
    </row>
    <row r="1605" spans="6:9" x14ac:dyDescent="0.45">
      <c r="F1605" s="1380"/>
      <c r="H1605" s="1380"/>
      <c r="I1605" s="1373"/>
    </row>
    <row r="1606" spans="6:9" x14ac:dyDescent="0.45">
      <c r="F1606" s="1380"/>
      <c r="H1606" s="1380"/>
      <c r="I1606" s="1373"/>
    </row>
    <row r="1607" spans="6:9" x14ac:dyDescent="0.45">
      <c r="F1607" s="1380"/>
      <c r="H1607" s="1380"/>
      <c r="I1607" s="1373"/>
    </row>
    <row r="1608" spans="6:9" x14ac:dyDescent="0.45">
      <c r="F1608" s="1380"/>
      <c r="H1608" s="1380"/>
      <c r="I1608" s="1373"/>
    </row>
    <row r="1609" spans="6:9" x14ac:dyDescent="0.45">
      <c r="F1609" s="1380"/>
      <c r="H1609" s="1380"/>
      <c r="I1609" s="1373"/>
    </row>
    <row r="1610" spans="6:9" x14ac:dyDescent="0.45">
      <c r="F1610" s="1380"/>
      <c r="H1610" s="1380"/>
      <c r="I1610" s="1373"/>
    </row>
    <row r="1611" spans="6:9" x14ac:dyDescent="0.45">
      <c r="F1611" s="1380"/>
      <c r="H1611" s="1380"/>
      <c r="I1611" s="1373"/>
    </row>
    <row r="1612" spans="6:9" x14ac:dyDescent="0.45">
      <c r="F1612" s="1380"/>
      <c r="H1612" s="1380"/>
      <c r="I1612" s="1373"/>
    </row>
    <row r="1613" spans="6:9" x14ac:dyDescent="0.45">
      <c r="F1613" s="1380"/>
      <c r="H1613" s="1380"/>
      <c r="I1613" s="1373"/>
    </row>
    <row r="1614" spans="6:9" x14ac:dyDescent="0.45">
      <c r="F1614" s="1380"/>
      <c r="H1614" s="1380"/>
      <c r="I1614" s="1373"/>
    </row>
    <row r="1615" spans="6:9" x14ac:dyDescent="0.45">
      <c r="F1615" s="1380"/>
      <c r="H1615" s="1380"/>
      <c r="I1615" s="1373"/>
    </row>
    <row r="1616" spans="6:9" x14ac:dyDescent="0.45">
      <c r="F1616" s="1380"/>
      <c r="H1616" s="1380"/>
      <c r="I1616" s="1373"/>
    </row>
    <row r="1617" spans="6:9" x14ac:dyDescent="0.45">
      <c r="F1617" s="1380"/>
      <c r="H1617" s="1380"/>
      <c r="I1617" s="1373"/>
    </row>
    <row r="1618" spans="6:9" x14ac:dyDescent="0.45">
      <c r="F1618" s="1380"/>
      <c r="H1618" s="1380"/>
      <c r="I1618" s="1373"/>
    </row>
    <row r="1619" spans="6:9" x14ac:dyDescent="0.45">
      <c r="F1619" s="1380"/>
      <c r="H1619" s="1380"/>
      <c r="I1619" s="1373"/>
    </row>
    <row r="1620" spans="6:9" x14ac:dyDescent="0.45">
      <c r="F1620" s="1380"/>
      <c r="H1620" s="1380"/>
      <c r="I1620" s="1373"/>
    </row>
    <row r="1621" spans="6:9" x14ac:dyDescent="0.45">
      <c r="F1621" s="1380"/>
      <c r="H1621" s="1380"/>
      <c r="I1621" s="1373"/>
    </row>
    <row r="1622" spans="6:9" x14ac:dyDescent="0.45">
      <c r="F1622" s="1380"/>
      <c r="H1622" s="1380"/>
      <c r="I1622" s="1373"/>
    </row>
    <row r="1623" spans="6:9" x14ac:dyDescent="0.45">
      <c r="F1623" s="1380"/>
      <c r="H1623" s="1380"/>
      <c r="I1623" s="1373"/>
    </row>
    <row r="1624" spans="6:9" x14ac:dyDescent="0.45">
      <c r="F1624" s="1380"/>
      <c r="H1624" s="1380"/>
      <c r="I1624" s="1373"/>
    </row>
    <row r="1625" spans="6:9" x14ac:dyDescent="0.45">
      <c r="F1625" s="1380"/>
      <c r="H1625" s="1380"/>
      <c r="I1625" s="1373"/>
    </row>
    <row r="1626" spans="6:9" x14ac:dyDescent="0.45">
      <c r="F1626" s="1380"/>
      <c r="H1626" s="1380"/>
      <c r="I1626" s="1373"/>
    </row>
    <row r="1627" spans="6:9" x14ac:dyDescent="0.45">
      <c r="F1627" s="1380"/>
      <c r="H1627" s="1380"/>
      <c r="I1627" s="1373"/>
    </row>
    <row r="1628" spans="6:9" x14ac:dyDescent="0.45">
      <c r="F1628" s="1380"/>
      <c r="H1628" s="1380"/>
      <c r="I1628" s="1373"/>
    </row>
    <row r="1629" spans="6:9" x14ac:dyDescent="0.45">
      <c r="F1629" s="1380"/>
      <c r="H1629" s="1380"/>
      <c r="I1629" s="1373"/>
    </row>
    <row r="1630" spans="6:9" x14ac:dyDescent="0.45">
      <c r="F1630" s="1380"/>
      <c r="H1630" s="1380"/>
      <c r="I1630" s="1373"/>
    </row>
    <row r="1631" spans="6:9" x14ac:dyDescent="0.45">
      <c r="F1631" s="1380"/>
      <c r="H1631" s="1380"/>
      <c r="I1631" s="1373"/>
    </row>
    <row r="1632" spans="6:9" x14ac:dyDescent="0.45">
      <c r="F1632" s="1380"/>
      <c r="H1632" s="1380"/>
      <c r="I1632" s="1373"/>
    </row>
    <row r="1633" spans="6:9" x14ac:dyDescent="0.45">
      <c r="F1633" s="1380"/>
      <c r="H1633" s="1380"/>
      <c r="I1633" s="1373"/>
    </row>
    <row r="1634" spans="6:9" x14ac:dyDescent="0.45">
      <c r="F1634" s="1380"/>
      <c r="H1634" s="1380"/>
      <c r="I1634" s="1373"/>
    </row>
    <row r="1635" spans="6:9" x14ac:dyDescent="0.45">
      <c r="F1635" s="1380"/>
      <c r="H1635" s="1380"/>
      <c r="I1635" s="1373"/>
    </row>
    <row r="1636" spans="6:9" x14ac:dyDescent="0.45">
      <c r="F1636" s="1380"/>
      <c r="H1636" s="1380"/>
      <c r="I1636" s="1373"/>
    </row>
    <row r="1637" spans="6:9" x14ac:dyDescent="0.45">
      <c r="F1637" s="1380"/>
      <c r="H1637" s="1380"/>
      <c r="I1637" s="1373"/>
    </row>
    <row r="1638" spans="6:9" x14ac:dyDescent="0.45">
      <c r="F1638" s="1380"/>
      <c r="H1638" s="1380"/>
      <c r="I1638" s="1373"/>
    </row>
    <row r="1639" spans="6:9" x14ac:dyDescent="0.45">
      <c r="F1639" s="1380"/>
      <c r="H1639" s="1380"/>
      <c r="I1639" s="1373"/>
    </row>
    <row r="1640" spans="6:9" x14ac:dyDescent="0.45">
      <c r="F1640" s="1380"/>
      <c r="H1640" s="1380"/>
      <c r="I1640" s="1373"/>
    </row>
    <row r="1641" spans="6:9" x14ac:dyDescent="0.45">
      <c r="F1641" s="1380"/>
      <c r="H1641" s="1380"/>
      <c r="I1641" s="1373"/>
    </row>
    <row r="1642" spans="6:9" x14ac:dyDescent="0.45">
      <c r="F1642" s="1380"/>
      <c r="H1642" s="1380"/>
      <c r="I1642" s="1373"/>
    </row>
    <row r="1643" spans="6:9" x14ac:dyDescent="0.45">
      <c r="F1643" s="1380"/>
      <c r="H1643" s="1380"/>
      <c r="I1643" s="1373"/>
    </row>
    <row r="1644" spans="6:9" x14ac:dyDescent="0.45">
      <c r="F1644" s="1380"/>
      <c r="H1644" s="1380"/>
      <c r="I1644" s="1373"/>
    </row>
    <row r="1645" spans="6:9" x14ac:dyDescent="0.45">
      <c r="F1645" s="1380"/>
      <c r="H1645" s="1380"/>
      <c r="I1645" s="1373"/>
    </row>
    <row r="1646" spans="6:9" x14ac:dyDescent="0.45">
      <c r="F1646" s="1380"/>
      <c r="H1646" s="1380"/>
      <c r="I1646" s="1373"/>
    </row>
    <row r="1647" spans="6:9" x14ac:dyDescent="0.45">
      <c r="F1647" s="1380"/>
      <c r="H1647" s="1380"/>
      <c r="I1647" s="1373"/>
    </row>
    <row r="1648" spans="6:9" x14ac:dyDescent="0.45">
      <c r="F1648" s="1380"/>
      <c r="H1648" s="1380"/>
      <c r="I1648" s="1373"/>
    </row>
    <row r="1649" spans="6:9" x14ac:dyDescent="0.45">
      <c r="F1649" s="1380"/>
      <c r="H1649" s="1380"/>
      <c r="I1649" s="1373"/>
    </row>
    <row r="1650" spans="6:9" x14ac:dyDescent="0.45">
      <c r="F1650" s="1380"/>
      <c r="H1650" s="1380"/>
      <c r="I1650" s="1373"/>
    </row>
    <row r="1651" spans="6:9" x14ac:dyDescent="0.45">
      <c r="F1651" s="1380"/>
      <c r="H1651" s="1380"/>
      <c r="I1651" s="1373"/>
    </row>
    <row r="1652" spans="6:9" x14ac:dyDescent="0.45">
      <c r="F1652" s="1380"/>
      <c r="H1652" s="1380"/>
      <c r="I1652" s="1373"/>
    </row>
    <row r="1653" spans="6:9" x14ac:dyDescent="0.45">
      <c r="F1653" s="1380"/>
      <c r="H1653" s="1380"/>
      <c r="I1653" s="1373"/>
    </row>
    <row r="1654" spans="6:9" x14ac:dyDescent="0.45">
      <c r="F1654" s="1380"/>
      <c r="H1654" s="1380"/>
      <c r="I1654" s="1373"/>
    </row>
    <row r="1655" spans="6:9" x14ac:dyDescent="0.45">
      <c r="F1655" s="1380"/>
      <c r="H1655" s="1380"/>
      <c r="I1655" s="1373"/>
    </row>
    <row r="1656" spans="6:9" x14ac:dyDescent="0.45">
      <c r="F1656" s="1380"/>
      <c r="H1656" s="1380"/>
      <c r="I1656" s="1373"/>
    </row>
    <row r="1657" spans="6:9" x14ac:dyDescent="0.45">
      <c r="F1657" s="1380"/>
      <c r="H1657" s="1380"/>
      <c r="I1657" s="1373"/>
    </row>
    <row r="1658" spans="6:9" x14ac:dyDescent="0.45">
      <c r="F1658" s="1380"/>
      <c r="H1658" s="1380"/>
      <c r="I1658" s="1373"/>
    </row>
    <row r="1659" spans="6:9" x14ac:dyDescent="0.45">
      <c r="F1659" s="1380"/>
      <c r="H1659" s="1380"/>
      <c r="I1659" s="1373"/>
    </row>
    <row r="1660" spans="6:9" x14ac:dyDescent="0.45">
      <c r="F1660" s="1380"/>
      <c r="H1660" s="1380"/>
      <c r="I1660" s="1373"/>
    </row>
    <row r="1661" spans="6:9" x14ac:dyDescent="0.45">
      <c r="F1661" s="1380"/>
      <c r="H1661" s="1380"/>
      <c r="I1661" s="1373"/>
    </row>
    <row r="1662" spans="6:9" x14ac:dyDescent="0.45">
      <c r="F1662" s="1380"/>
      <c r="H1662" s="1380"/>
      <c r="I1662" s="1373"/>
    </row>
    <row r="1663" spans="6:9" x14ac:dyDescent="0.45">
      <c r="F1663" s="1380"/>
      <c r="H1663" s="1380"/>
      <c r="I1663" s="1373"/>
    </row>
    <row r="1664" spans="6:9" x14ac:dyDescent="0.45">
      <c r="F1664" s="1380"/>
      <c r="H1664" s="1380"/>
      <c r="I1664" s="1373"/>
    </row>
    <row r="1665" spans="6:9" x14ac:dyDescent="0.45">
      <c r="F1665" s="1380"/>
      <c r="H1665" s="1380"/>
      <c r="I1665" s="1373"/>
    </row>
    <row r="1666" spans="6:9" x14ac:dyDescent="0.45">
      <c r="F1666" s="1380"/>
      <c r="H1666" s="1380"/>
      <c r="I1666" s="1373"/>
    </row>
    <row r="1667" spans="6:9" x14ac:dyDescent="0.45">
      <c r="F1667" s="1380"/>
      <c r="H1667" s="1380"/>
      <c r="I1667" s="1373"/>
    </row>
    <row r="1668" spans="6:9" x14ac:dyDescent="0.45">
      <c r="F1668" s="1380"/>
      <c r="H1668" s="1380"/>
      <c r="I1668" s="1373"/>
    </row>
    <row r="1669" spans="6:9" x14ac:dyDescent="0.45">
      <c r="F1669" s="1380"/>
      <c r="H1669" s="1380"/>
      <c r="I1669" s="1373"/>
    </row>
    <row r="1670" spans="6:9" x14ac:dyDescent="0.45">
      <c r="F1670" s="1380"/>
      <c r="H1670" s="1380"/>
      <c r="I1670" s="1373"/>
    </row>
    <row r="1671" spans="6:9" x14ac:dyDescent="0.45">
      <c r="F1671" s="1380"/>
      <c r="H1671" s="1380"/>
      <c r="I1671" s="1373"/>
    </row>
    <row r="1672" spans="6:9" x14ac:dyDescent="0.45">
      <c r="F1672" s="1380"/>
      <c r="H1672" s="1380"/>
      <c r="I1672" s="1373"/>
    </row>
    <row r="1673" spans="6:9" x14ac:dyDescent="0.45">
      <c r="F1673" s="1380"/>
      <c r="H1673" s="1380"/>
      <c r="I1673" s="1373"/>
    </row>
    <row r="1674" spans="6:9" x14ac:dyDescent="0.45">
      <c r="F1674" s="1380"/>
      <c r="H1674" s="1380"/>
      <c r="I1674" s="1373"/>
    </row>
    <row r="1675" spans="6:9" x14ac:dyDescent="0.45">
      <c r="F1675" s="1380"/>
      <c r="H1675" s="1380"/>
      <c r="I1675" s="1373"/>
    </row>
    <row r="1676" spans="6:9" x14ac:dyDescent="0.45">
      <c r="F1676" s="1380"/>
      <c r="H1676" s="1380"/>
      <c r="I1676" s="1373"/>
    </row>
    <row r="1677" spans="6:9" x14ac:dyDescent="0.45">
      <c r="F1677" s="1380"/>
      <c r="H1677" s="1380"/>
      <c r="I1677" s="1373"/>
    </row>
    <row r="1678" spans="6:9" x14ac:dyDescent="0.45">
      <c r="F1678" s="1380"/>
      <c r="H1678" s="1380"/>
      <c r="I1678" s="1373"/>
    </row>
    <row r="1679" spans="6:9" x14ac:dyDescent="0.45">
      <c r="F1679" s="1380"/>
      <c r="H1679" s="1380"/>
      <c r="I1679" s="1373"/>
    </row>
    <row r="1680" spans="6:9" x14ac:dyDescent="0.45">
      <c r="F1680" s="1380"/>
      <c r="H1680" s="1380"/>
      <c r="I1680" s="1373"/>
    </row>
    <row r="1681" spans="6:9" x14ac:dyDescent="0.45">
      <c r="F1681" s="1380"/>
      <c r="H1681" s="1380"/>
      <c r="I1681" s="1373"/>
    </row>
    <row r="1682" spans="6:9" x14ac:dyDescent="0.45">
      <c r="F1682" s="1380"/>
      <c r="H1682" s="1380"/>
      <c r="I1682" s="1373"/>
    </row>
    <row r="1683" spans="6:9" x14ac:dyDescent="0.45">
      <c r="F1683" s="1380"/>
      <c r="H1683" s="1380"/>
      <c r="I1683" s="1373"/>
    </row>
    <row r="1684" spans="6:9" x14ac:dyDescent="0.45">
      <c r="F1684" s="1380"/>
      <c r="H1684" s="1380"/>
      <c r="I1684" s="1373"/>
    </row>
    <row r="1685" spans="6:9" x14ac:dyDescent="0.45">
      <c r="F1685" s="1380"/>
      <c r="H1685" s="1380"/>
      <c r="I1685" s="1373"/>
    </row>
    <row r="1686" spans="6:9" x14ac:dyDescent="0.45">
      <c r="F1686" s="1380"/>
      <c r="H1686" s="1380"/>
      <c r="I1686" s="1373"/>
    </row>
    <row r="1687" spans="6:9" x14ac:dyDescent="0.45">
      <c r="F1687" s="1380"/>
      <c r="H1687" s="1380"/>
      <c r="I1687" s="1373"/>
    </row>
    <row r="1688" spans="6:9" x14ac:dyDescent="0.45">
      <c r="F1688" s="1380"/>
      <c r="H1688" s="1380"/>
      <c r="I1688" s="1373"/>
    </row>
    <row r="1689" spans="6:9" x14ac:dyDescent="0.45">
      <c r="F1689" s="1380"/>
      <c r="H1689" s="1380"/>
      <c r="I1689" s="1373"/>
    </row>
    <row r="1690" spans="6:9" x14ac:dyDescent="0.45">
      <c r="F1690" s="1380"/>
      <c r="H1690" s="1380"/>
      <c r="I1690" s="1373"/>
    </row>
    <row r="1691" spans="6:9" x14ac:dyDescent="0.45">
      <c r="F1691" s="1380"/>
      <c r="H1691" s="1380"/>
      <c r="I1691" s="1373"/>
    </row>
    <row r="1692" spans="6:9" x14ac:dyDescent="0.45">
      <c r="F1692" s="1380"/>
      <c r="H1692" s="1380"/>
      <c r="I1692" s="1373"/>
    </row>
    <row r="1693" spans="6:9" x14ac:dyDescent="0.45">
      <c r="F1693" s="1380"/>
      <c r="H1693" s="1380"/>
      <c r="I1693" s="1373"/>
    </row>
    <row r="1694" spans="6:9" x14ac:dyDescent="0.45">
      <c r="F1694" s="1380"/>
      <c r="H1694" s="1380"/>
      <c r="I1694" s="1373"/>
    </row>
    <row r="1695" spans="6:9" x14ac:dyDescent="0.45">
      <c r="F1695" s="1380"/>
      <c r="H1695" s="1380"/>
      <c r="I1695" s="1373"/>
    </row>
    <row r="1696" spans="6:9" x14ac:dyDescent="0.45">
      <c r="F1696" s="1380"/>
      <c r="H1696" s="1380"/>
      <c r="I1696" s="1373"/>
    </row>
    <row r="1697" spans="6:9" x14ac:dyDescent="0.45">
      <c r="F1697" s="1380"/>
      <c r="H1697" s="1380"/>
      <c r="I1697" s="1373"/>
    </row>
    <row r="1698" spans="6:9" x14ac:dyDescent="0.45">
      <c r="F1698" s="1380"/>
      <c r="H1698" s="1380"/>
      <c r="I1698" s="1373"/>
    </row>
    <row r="1699" spans="6:9" x14ac:dyDescent="0.45">
      <c r="F1699" s="1380"/>
      <c r="H1699" s="1380"/>
      <c r="I1699" s="1373"/>
    </row>
    <row r="1700" spans="6:9" x14ac:dyDescent="0.45">
      <c r="F1700" s="1380"/>
      <c r="H1700" s="1380"/>
      <c r="I1700" s="1373"/>
    </row>
    <row r="1701" spans="6:9" x14ac:dyDescent="0.45">
      <c r="F1701" s="1380"/>
      <c r="H1701" s="1380"/>
      <c r="I1701" s="1373"/>
    </row>
    <row r="1702" spans="6:9" x14ac:dyDescent="0.45">
      <c r="F1702" s="1380"/>
      <c r="H1702" s="1380"/>
      <c r="I1702" s="1373"/>
    </row>
    <row r="1703" spans="6:9" x14ac:dyDescent="0.45">
      <c r="F1703" s="1380"/>
      <c r="H1703" s="1380"/>
      <c r="I1703" s="1373"/>
    </row>
    <row r="1704" spans="6:9" x14ac:dyDescent="0.45">
      <c r="F1704" s="1380"/>
      <c r="H1704" s="1380"/>
      <c r="I1704" s="1373"/>
    </row>
    <row r="1705" spans="6:9" x14ac:dyDescent="0.45">
      <c r="F1705" s="1380"/>
      <c r="H1705" s="1380"/>
      <c r="I1705" s="1373"/>
    </row>
    <row r="1706" spans="6:9" x14ac:dyDescent="0.45">
      <c r="F1706" s="1380"/>
      <c r="H1706" s="1380"/>
      <c r="I1706" s="1373"/>
    </row>
    <row r="1707" spans="6:9" x14ac:dyDescent="0.45">
      <c r="F1707" s="1380"/>
      <c r="H1707" s="1380"/>
      <c r="I1707" s="1373"/>
    </row>
    <row r="1708" spans="6:9" x14ac:dyDescent="0.45">
      <c r="F1708" s="1380"/>
      <c r="H1708" s="1380"/>
      <c r="I1708" s="1373"/>
    </row>
    <row r="1709" spans="6:9" x14ac:dyDescent="0.45">
      <c r="F1709" s="1380"/>
      <c r="H1709" s="1380"/>
      <c r="I1709" s="1373"/>
    </row>
    <row r="1710" spans="6:9" x14ac:dyDescent="0.45">
      <c r="F1710" s="1380"/>
      <c r="H1710" s="1380"/>
      <c r="I1710" s="1373"/>
    </row>
    <row r="1711" spans="6:9" x14ac:dyDescent="0.45">
      <c r="F1711" s="1380"/>
      <c r="H1711" s="1380"/>
      <c r="I1711" s="1373"/>
    </row>
    <row r="1712" spans="6:9" x14ac:dyDescent="0.45">
      <c r="F1712" s="1380"/>
      <c r="H1712" s="1380"/>
      <c r="I1712" s="1373"/>
    </row>
    <row r="1713" spans="6:9" x14ac:dyDescent="0.45">
      <c r="F1713" s="1380"/>
      <c r="H1713" s="1380"/>
      <c r="I1713" s="1373"/>
    </row>
    <row r="1714" spans="6:9" x14ac:dyDescent="0.45">
      <c r="F1714" s="1380"/>
      <c r="H1714" s="1380"/>
      <c r="I1714" s="1373"/>
    </row>
    <row r="1715" spans="6:9" x14ac:dyDescent="0.45">
      <c r="F1715" s="1380"/>
      <c r="H1715" s="1380"/>
      <c r="I1715" s="1373"/>
    </row>
    <row r="1716" spans="6:9" x14ac:dyDescent="0.45">
      <c r="F1716" s="1380"/>
      <c r="H1716" s="1380"/>
      <c r="I1716" s="1373"/>
    </row>
    <row r="1717" spans="6:9" x14ac:dyDescent="0.45">
      <c r="F1717" s="1380"/>
      <c r="H1717" s="1380"/>
      <c r="I1717" s="1373"/>
    </row>
    <row r="1718" spans="6:9" x14ac:dyDescent="0.45">
      <c r="F1718" s="1380"/>
      <c r="H1718" s="1380"/>
      <c r="I1718" s="1373"/>
    </row>
    <row r="1719" spans="6:9" x14ac:dyDescent="0.45">
      <c r="F1719" s="1380"/>
      <c r="H1719" s="1380"/>
      <c r="I1719" s="1373"/>
    </row>
    <row r="1720" spans="6:9" x14ac:dyDescent="0.45">
      <c r="F1720" s="1380"/>
      <c r="H1720" s="1380"/>
      <c r="I1720" s="1373"/>
    </row>
    <row r="1721" spans="6:9" x14ac:dyDescent="0.45">
      <c r="F1721" s="1380"/>
      <c r="H1721" s="1380"/>
      <c r="I1721" s="1373"/>
    </row>
    <row r="1722" spans="6:9" x14ac:dyDescent="0.45">
      <c r="F1722" s="1380"/>
      <c r="H1722" s="1380"/>
      <c r="I1722" s="1373"/>
    </row>
    <row r="1723" spans="6:9" x14ac:dyDescent="0.45">
      <c r="F1723" s="1380"/>
      <c r="H1723" s="1380"/>
      <c r="I1723" s="1373"/>
    </row>
    <row r="1724" spans="6:9" x14ac:dyDescent="0.45">
      <c r="F1724" s="1380"/>
      <c r="H1724" s="1380"/>
      <c r="I1724" s="1373"/>
    </row>
    <row r="1725" spans="6:9" x14ac:dyDescent="0.45">
      <c r="F1725" s="1380"/>
      <c r="H1725" s="1380"/>
      <c r="I1725" s="1373"/>
    </row>
    <row r="1726" spans="6:9" x14ac:dyDescent="0.45">
      <c r="F1726" s="1380"/>
      <c r="H1726" s="1380"/>
      <c r="I1726" s="1373"/>
    </row>
    <row r="1727" spans="6:9" x14ac:dyDescent="0.45">
      <c r="F1727" s="1380"/>
      <c r="H1727" s="1380"/>
      <c r="I1727" s="1373"/>
    </row>
    <row r="1728" spans="6:9" x14ac:dyDescent="0.45">
      <c r="F1728" s="1380"/>
      <c r="H1728" s="1380"/>
      <c r="I1728" s="1373"/>
    </row>
    <row r="1729" spans="6:9" x14ac:dyDescent="0.45">
      <c r="F1729" s="1380"/>
      <c r="H1729" s="1380"/>
      <c r="I1729" s="1373"/>
    </row>
    <row r="1730" spans="6:9" x14ac:dyDescent="0.45">
      <c r="F1730" s="1380"/>
      <c r="H1730" s="1380"/>
      <c r="I1730" s="1373"/>
    </row>
    <row r="1731" spans="6:9" x14ac:dyDescent="0.45">
      <c r="F1731" s="1380"/>
      <c r="H1731" s="1380"/>
      <c r="I1731" s="1373"/>
    </row>
    <row r="1732" spans="6:9" x14ac:dyDescent="0.45">
      <c r="F1732" s="1380"/>
      <c r="H1732" s="1380"/>
      <c r="I1732" s="1373"/>
    </row>
    <row r="1733" spans="6:9" x14ac:dyDescent="0.45">
      <c r="F1733" s="1380"/>
      <c r="H1733" s="1380"/>
      <c r="I1733" s="1373"/>
    </row>
    <row r="1734" spans="6:9" x14ac:dyDescent="0.45">
      <c r="F1734" s="1380"/>
      <c r="H1734" s="1380"/>
      <c r="I1734" s="1373"/>
    </row>
    <row r="1735" spans="6:9" x14ac:dyDescent="0.45">
      <c r="F1735" s="1380"/>
      <c r="H1735" s="1380"/>
      <c r="I1735" s="1373"/>
    </row>
    <row r="1736" spans="6:9" x14ac:dyDescent="0.45">
      <c r="F1736" s="1380"/>
      <c r="H1736" s="1380"/>
      <c r="I1736" s="1373"/>
    </row>
    <row r="1737" spans="6:9" x14ac:dyDescent="0.45">
      <c r="F1737" s="1380"/>
      <c r="H1737" s="1380"/>
      <c r="I1737" s="1373"/>
    </row>
    <row r="1738" spans="6:9" x14ac:dyDescent="0.45">
      <c r="F1738" s="1380"/>
      <c r="H1738" s="1380"/>
      <c r="I1738" s="1373"/>
    </row>
    <row r="1739" spans="6:9" x14ac:dyDescent="0.45">
      <c r="F1739" s="1380"/>
      <c r="H1739" s="1380"/>
      <c r="I1739" s="1373"/>
    </row>
    <row r="1740" spans="6:9" x14ac:dyDescent="0.45">
      <c r="F1740" s="1380"/>
      <c r="H1740" s="1380"/>
      <c r="I1740" s="1373"/>
    </row>
    <row r="1741" spans="6:9" x14ac:dyDescent="0.45">
      <c r="F1741" s="1380"/>
      <c r="H1741" s="1380"/>
      <c r="I1741" s="1373"/>
    </row>
    <row r="1742" spans="6:9" x14ac:dyDescent="0.45">
      <c r="F1742" s="1380"/>
      <c r="H1742" s="1380"/>
      <c r="I1742" s="1373"/>
    </row>
    <row r="1743" spans="6:9" x14ac:dyDescent="0.45">
      <c r="F1743" s="1380"/>
      <c r="H1743" s="1380"/>
      <c r="I1743" s="1373"/>
    </row>
    <row r="1744" spans="6:9" x14ac:dyDescent="0.45">
      <c r="F1744" s="1380"/>
      <c r="H1744" s="1380"/>
      <c r="I1744" s="1373"/>
    </row>
    <row r="1745" spans="6:9" x14ac:dyDescent="0.45">
      <c r="F1745" s="1380"/>
      <c r="H1745" s="1380"/>
      <c r="I1745" s="1373"/>
    </row>
    <row r="1746" spans="6:9" x14ac:dyDescent="0.45">
      <c r="F1746" s="1380"/>
      <c r="H1746" s="1380"/>
      <c r="I1746" s="1373"/>
    </row>
    <row r="1747" spans="6:9" x14ac:dyDescent="0.45">
      <c r="F1747" s="1380"/>
      <c r="H1747" s="1380"/>
      <c r="I1747" s="1373"/>
    </row>
    <row r="1748" spans="6:9" x14ac:dyDescent="0.45">
      <c r="F1748" s="1380"/>
      <c r="H1748" s="1380"/>
      <c r="I1748" s="1373"/>
    </row>
    <row r="1749" spans="6:9" x14ac:dyDescent="0.45">
      <c r="F1749" s="1380"/>
      <c r="H1749" s="1380"/>
      <c r="I1749" s="1373"/>
    </row>
    <row r="1750" spans="6:9" x14ac:dyDescent="0.45">
      <c r="F1750" s="1380"/>
      <c r="H1750" s="1380"/>
      <c r="I1750" s="1373"/>
    </row>
    <row r="1751" spans="6:9" x14ac:dyDescent="0.45">
      <c r="F1751" s="1380"/>
      <c r="H1751" s="1380"/>
      <c r="I1751" s="1373"/>
    </row>
    <row r="1752" spans="6:9" x14ac:dyDescent="0.45">
      <c r="F1752" s="1380"/>
      <c r="H1752" s="1380"/>
      <c r="I1752" s="1373"/>
    </row>
    <row r="1753" spans="6:9" x14ac:dyDescent="0.45">
      <c r="F1753" s="1380"/>
      <c r="H1753" s="1380"/>
      <c r="I1753" s="1373"/>
    </row>
    <row r="1754" spans="6:9" x14ac:dyDescent="0.45">
      <c r="F1754" s="1380"/>
      <c r="H1754" s="1380"/>
      <c r="I1754" s="1373"/>
    </row>
    <row r="1755" spans="6:9" x14ac:dyDescent="0.45">
      <c r="F1755" s="1380"/>
      <c r="H1755" s="1380"/>
      <c r="I1755" s="1373"/>
    </row>
    <row r="1756" spans="6:9" x14ac:dyDescent="0.45">
      <c r="F1756" s="1380"/>
      <c r="H1756" s="1380"/>
      <c r="I1756" s="1373"/>
    </row>
    <row r="1757" spans="6:9" x14ac:dyDescent="0.45">
      <c r="F1757" s="1380"/>
      <c r="H1757" s="1380"/>
      <c r="I1757" s="1373"/>
    </row>
    <row r="1758" spans="6:9" x14ac:dyDescent="0.45">
      <c r="F1758" s="1380"/>
      <c r="H1758" s="1380"/>
      <c r="I1758" s="1373"/>
    </row>
    <row r="1759" spans="6:9" x14ac:dyDescent="0.45">
      <c r="F1759" s="1380"/>
      <c r="H1759" s="1380"/>
      <c r="I1759" s="1373"/>
    </row>
    <row r="1760" spans="6:9" x14ac:dyDescent="0.45">
      <c r="F1760" s="1380"/>
      <c r="H1760" s="1380"/>
      <c r="I1760" s="1373"/>
    </row>
    <row r="1761" spans="6:9" x14ac:dyDescent="0.45">
      <c r="F1761" s="1380"/>
      <c r="H1761" s="1380"/>
      <c r="I1761" s="1373"/>
    </row>
    <row r="1762" spans="6:9" x14ac:dyDescent="0.45">
      <c r="F1762" s="1380"/>
      <c r="H1762" s="1380"/>
      <c r="I1762" s="1373"/>
    </row>
    <row r="1763" spans="6:9" x14ac:dyDescent="0.45">
      <c r="F1763" s="1380"/>
      <c r="H1763" s="1380"/>
      <c r="I1763" s="1373"/>
    </row>
    <row r="1764" spans="6:9" x14ac:dyDescent="0.45">
      <c r="F1764" s="1380"/>
      <c r="H1764" s="1380"/>
      <c r="I1764" s="1373"/>
    </row>
    <row r="1765" spans="6:9" x14ac:dyDescent="0.45">
      <c r="F1765" s="1380"/>
      <c r="H1765" s="1380"/>
      <c r="I1765" s="1373"/>
    </row>
    <row r="1766" spans="6:9" x14ac:dyDescent="0.45">
      <c r="F1766" s="1380"/>
      <c r="H1766" s="1380"/>
      <c r="I1766" s="1373"/>
    </row>
    <row r="1767" spans="6:9" x14ac:dyDescent="0.45">
      <c r="F1767" s="1380"/>
      <c r="H1767" s="1380"/>
      <c r="I1767" s="1373"/>
    </row>
    <row r="1768" spans="6:9" x14ac:dyDescent="0.45">
      <c r="F1768" s="1380"/>
      <c r="H1768" s="1380"/>
      <c r="I1768" s="1373"/>
    </row>
    <row r="1769" spans="6:9" x14ac:dyDescent="0.45">
      <c r="F1769" s="1380"/>
      <c r="H1769" s="1380"/>
      <c r="I1769" s="1373"/>
    </row>
    <row r="1770" spans="6:9" x14ac:dyDescent="0.45">
      <c r="F1770" s="1380"/>
      <c r="H1770" s="1380"/>
      <c r="I1770" s="1373"/>
    </row>
    <row r="1771" spans="6:9" x14ac:dyDescent="0.45">
      <c r="F1771" s="1380"/>
      <c r="H1771" s="1380"/>
      <c r="I1771" s="1373"/>
    </row>
    <row r="1772" spans="6:9" x14ac:dyDescent="0.45">
      <c r="F1772" s="1380"/>
      <c r="H1772" s="1380"/>
      <c r="I1772" s="1373"/>
    </row>
    <row r="1773" spans="6:9" x14ac:dyDescent="0.45">
      <c r="F1773" s="1380"/>
      <c r="H1773" s="1380"/>
      <c r="I1773" s="1373"/>
    </row>
    <row r="1774" spans="6:9" x14ac:dyDescent="0.45">
      <c r="F1774" s="1380"/>
      <c r="H1774" s="1380"/>
      <c r="I1774" s="1373"/>
    </row>
    <row r="1775" spans="6:9" x14ac:dyDescent="0.45">
      <c r="F1775" s="1380"/>
      <c r="H1775" s="1380"/>
      <c r="I1775" s="1373"/>
    </row>
    <row r="1776" spans="6:9" x14ac:dyDescent="0.45">
      <c r="F1776" s="1380"/>
      <c r="H1776" s="1380"/>
      <c r="I1776" s="1373"/>
    </row>
    <row r="1777" spans="6:9" x14ac:dyDescent="0.45">
      <c r="F1777" s="1380"/>
      <c r="H1777" s="1380"/>
      <c r="I1777" s="1373"/>
    </row>
    <row r="1778" spans="6:9" x14ac:dyDescent="0.45">
      <c r="F1778" s="1380"/>
      <c r="H1778" s="1380"/>
      <c r="I1778" s="1373"/>
    </row>
    <row r="1779" spans="6:9" x14ac:dyDescent="0.45">
      <c r="F1779" s="1380"/>
      <c r="H1779" s="1380"/>
      <c r="I1779" s="1373"/>
    </row>
    <row r="1780" spans="6:9" x14ac:dyDescent="0.45">
      <c r="F1780" s="1380"/>
      <c r="H1780" s="1380"/>
      <c r="I1780" s="1373"/>
    </row>
    <row r="1781" spans="6:9" x14ac:dyDescent="0.45">
      <c r="F1781" s="1380"/>
      <c r="H1781" s="1380"/>
      <c r="I1781" s="1373"/>
    </row>
    <row r="1782" spans="6:9" x14ac:dyDescent="0.45">
      <c r="F1782" s="1380"/>
      <c r="H1782" s="1380"/>
      <c r="I1782" s="1373"/>
    </row>
    <row r="1783" spans="6:9" x14ac:dyDescent="0.45">
      <c r="F1783" s="1380"/>
      <c r="H1783" s="1380"/>
      <c r="I1783" s="1373"/>
    </row>
    <row r="1784" spans="6:9" x14ac:dyDescent="0.45">
      <c r="F1784" s="1380"/>
      <c r="H1784" s="1380"/>
      <c r="I1784" s="1373"/>
    </row>
    <row r="1785" spans="6:9" x14ac:dyDescent="0.45">
      <c r="F1785" s="1380"/>
      <c r="H1785" s="1380"/>
      <c r="I1785" s="1373"/>
    </row>
    <row r="1786" spans="6:9" x14ac:dyDescent="0.45">
      <c r="F1786" s="1380"/>
      <c r="H1786" s="1380"/>
      <c r="I1786" s="1373"/>
    </row>
    <row r="1787" spans="6:9" x14ac:dyDescent="0.45">
      <c r="F1787" s="1380"/>
      <c r="H1787" s="1380"/>
      <c r="I1787" s="1373"/>
    </row>
    <row r="1788" spans="6:9" x14ac:dyDescent="0.45">
      <c r="F1788" s="1380"/>
      <c r="H1788" s="1380"/>
      <c r="I1788" s="1373"/>
    </row>
    <row r="1789" spans="6:9" x14ac:dyDescent="0.45">
      <c r="F1789" s="1380"/>
      <c r="H1789" s="1380"/>
      <c r="I1789" s="1373"/>
    </row>
    <row r="1790" spans="6:9" x14ac:dyDescent="0.45">
      <c r="F1790" s="1380"/>
      <c r="H1790" s="1380"/>
      <c r="I1790" s="1373"/>
    </row>
    <row r="1791" spans="6:9" x14ac:dyDescent="0.45">
      <c r="F1791" s="1380"/>
      <c r="H1791" s="1380"/>
      <c r="I1791" s="1373"/>
    </row>
    <row r="1792" spans="6:9" x14ac:dyDescent="0.45">
      <c r="F1792" s="1380"/>
      <c r="H1792" s="1380"/>
      <c r="I1792" s="1373"/>
    </row>
    <row r="1793" spans="6:9" x14ac:dyDescent="0.45">
      <c r="F1793" s="1380"/>
      <c r="H1793" s="1380"/>
      <c r="I1793" s="1373"/>
    </row>
    <row r="1794" spans="6:9" x14ac:dyDescent="0.45">
      <c r="F1794" s="1380"/>
      <c r="H1794" s="1380"/>
      <c r="I1794" s="1373"/>
    </row>
    <row r="1795" spans="6:9" x14ac:dyDescent="0.45">
      <c r="F1795" s="1380"/>
      <c r="H1795" s="1380"/>
      <c r="I1795" s="1373"/>
    </row>
    <row r="1796" spans="6:9" x14ac:dyDescent="0.45">
      <c r="F1796" s="1380"/>
      <c r="H1796" s="1380"/>
      <c r="I1796" s="1373"/>
    </row>
    <row r="1797" spans="6:9" x14ac:dyDescent="0.45">
      <c r="F1797" s="1380"/>
      <c r="H1797" s="1380"/>
      <c r="I1797" s="1373"/>
    </row>
    <row r="1798" spans="6:9" x14ac:dyDescent="0.45">
      <c r="F1798" s="1380"/>
      <c r="H1798" s="1380"/>
      <c r="I1798" s="1373"/>
    </row>
    <row r="1799" spans="6:9" x14ac:dyDescent="0.45">
      <c r="F1799" s="1380"/>
      <c r="H1799" s="1380"/>
      <c r="I1799" s="1373"/>
    </row>
    <row r="1800" spans="6:9" x14ac:dyDescent="0.45">
      <c r="F1800" s="1380"/>
      <c r="H1800" s="1380"/>
      <c r="I1800" s="1373"/>
    </row>
    <row r="1801" spans="6:9" x14ac:dyDescent="0.45">
      <c r="F1801" s="1380"/>
      <c r="H1801" s="1380"/>
      <c r="I1801" s="1373"/>
    </row>
    <row r="1802" spans="6:9" x14ac:dyDescent="0.45">
      <c r="F1802" s="1380"/>
      <c r="H1802" s="1380"/>
      <c r="I1802" s="1373"/>
    </row>
    <row r="1803" spans="6:9" x14ac:dyDescent="0.45">
      <c r="F1803" s="1380"/>
      <c r="H1803" s="1380"/>
      <c r="I1803" s="1373"/>
    </row>
    <row r="1804" spans="6:9" x14ac:dyDescent="0.45">
      <c r="F1804" s="1380"/>
      <c r="H1804" s="1380"/>
      <c r="I1804" s="1373"/>
    </row>
    <row r="1805" spans="6:9" x14ac:dyDescent="0.45">
      <c r="F1805" s="1380"/>
      <c r="H1805" s="1380"/>
      <c r="I1805" s="1373"/>
    </row>
    <row r="1806" spans="6:9" x14ac:dyDescent="0.45">
      <c r="F1806" s="1380"/>
      <c r="H1806" s="1380"/>
      <c r="I1806" s="1373"/>
    </row>
    <row r="1807" spans="6:9" x14ac:dyDescent="0.45">
      <c r="F1807" s="1380"/>
      <c r="H1807" s="1380"/>
      <c r="I1807" s="1373"/>
    </row>
    <row r="1808" spans="6:9" x14ac:dyDescent="0.45">
      <c r="F1808" s="1380"/>
      <c r="H1808" s="1380"/>
      <c r="I1808" s="1373"/>
    </row>
    <row r="1809" spans="6:9" x14ac:dyDescent="0.45">
      <c r="F1809" s="1380"/>
      <c r="H1809" s="1380"/>
      <c r="I1809" s="1373"/>
    </row>
    <row r="1810" spans="6:9" x14ac:dyDescent="0.45">
      <c r="F1810" s="1380"/>
      <c r="H1810" s="1380"/>
      <c r="I1810" s="1373"/>
    </row>
    <row r="1811" spans="6:9" x14ac:dyDescent="0.45">
      <c r="F1811" s="1380"/>
      <c r="H1811" s="1380"/>
      <c r="I1811" s="1373"/>
    </row>
    <row r="1812" spans="6:9" x14ac:dyDescent="0.45">
      <c r="F1812" s="1380"/>
      <c r="H1812" s="1380"/>
      <c r="I1812" s="1373"/>
    </row>
    <row r="1813" spans="6:9" x14ac:dyDescent="0.45">
      <c r="F1813" s="1380"/>
      <c r="H1813" s="1380"/>
      <c r="I1813" s="1373"/>
    </row>
    <row r="1814" spans="6:9" x14ac:dyDescent="0.45">
      <c r="F1814" s="1380"/>
      <c r="H1814" s="1380"/>
      <c r="I1814" s="1373"/>
    </row>
    <row r="1815" spans="6:9" x14ac:dyDescent="0.45">
      <c r="F1815" s="1380"/>
      <c r="H1815" s="1380"/>
      <c r="I1815" s="1373"/>
    </row>
    <row r="1816" spans="6:9" x14ac:dyDescent="0.45">
      <c r="F1816" s="1380"/>
      <c r="H1816" s="1380"/>
      <c r="I1816" s="1373"/>
    </row>
    <row r="1817" spans="6:9" x14ac:dyDescent="0.45">
      <c r="F1817" s="1380"/>
      <c r="H1817" s="1380"/>
      <c r="I1817" s="1373"/>
    </row>
    <row r="1818" spans="6:9" x14ac:dyDescent="0.45">
      <c r="F1818" s="1380"/>
      <c r="H1818" s="1380"/>
      <c r="I1818" s="1373"/>
    </row>
    <row r="1819" spans="6:9" x14ac:dyDescent="0.45">
      <c r="F1819" s="1380"/>
      <c r="H1819" s="1380"/>
      <c r="I1819" s="1373"/>
    </row>
    <row r="1820" spans="6:9" x14ac:dyDescent="0.45">
      <c r="F1820" s="1380"/>
      <c r="H1820" s="1380"/>
      <c r="I1820" s="1373"/>
    </row>
    <row r="1821" spans="6:9" x14ac:dyDescent="0.45">
      <c r="F1821" s="1380"/>
      <c r="H1821" s="1380"/>
      <c r="I1821" s="1373"/>
    </row>
    <row r="1822" spans="6:9" x14ac:dyDescent="0.45">
      <c r="F1822" s="1380"/>
      <c r="H1822" s="1380"/>
      <c r="I1822" s="1373"/>
    </row>
    <row r="1823" spans="6:9" x14ac:dyDescent="0.45">
      <c r="F1823" s="1380"/>
      <c r="H1823" s="1380"/>
      <c r="I1823" s="1373"/>
    </row>
    <row r="1824" spans="6:9" x14ac:dyDescent="0.45">
      <c r="F1824" s="1380"/>
      <c r="H1824" s="1380"/>
      <c r="I1824" s="1373"/>
    </row>
    <row r="1825" spans="6:9" x14ac:dyDescent="0.45">
      <c r="F1825" s="1380"/>
      <c r="H1825" s="1380"/>
      <c r="I1825" s="1373"/>
    </row>
    <row r="1826" spans="6:9" x14ac:dyDescent="0.45">
      <c r="F1826" s="1380"/>
      <c r="H1826" s="1380"/>
      <c r="I1826" s="1373"/>
    </row>
    <row r="1827" spans="6:9" x14ac:dyDescent="0.45">
      <c r="F1827" s="1380"/>
      <c r="H1827" s="1380"/>
      <c r="I1827" s="1373"/>
    </row>
    <row r="1828" spans="6:9" x14ac:dyDescent="0.45">
      <c r="F1828" s="1380"/>
      <c r="H1828" s="1380"/>
      <c r="I1828" s="1373"/>
    </row>
    <row r="1829" spans="6:9" x14ac:dyDescent="0.45">
      <c r="F1829" s="1380"/>
      <c r="H1829" s="1380"/>
      <c r="I1829" s="1373"/>
    </row>
    <row r="1830" spans="6:9" x14ac:dyDescent="0.45">
      <c r="F1830" s="1380"/>
      <c r="H1830" s="1380"/>
      <c r="I1830" s="1373"/>
    </row>
    <row r="1831" spans="6:9" x14ac:dyDescent="0.45">
      <c r="F1831" s="1380"/>
      <c r="H1831" s="1380"/>
      <c r="I1831" s="1373"/>
    </row>
    <row r="1832" spans="6:9" x14ac:dyDescent="0.45">
      <c r="F1832" s="1380"/>
      <c r="H1832" s="1380"/>
      <c r="I1832" s="1373"/>
    </row>
    <row r="1833" spans="6:9" x14ac:dyDescent="0.45">
      <c r="F1833" s="1380"/>
      <c r="H1833" s="1380"/>
      <c r="I1833" s="1373"/>
    </row>
    <row r="1834" spans="6:9" x14ac:dyDescent="0.45">
      <c r="F1834" s="1380"/>
      <c r="H1834" s="1380"/>
      <c r="I1834" s="1373"/>
    </row>
    <row r="1835" spans="6:9" x14ac:dyDescent="0.45">
      <c r="F1835" s="1380"/>
      <c r="H1835" s="1380"/>
      <c r="I1835" s="1373"/>
    </row>
    <row r="1836" spans="6:9" x14ac:dyDescent="0.45">
      <c r="F1836" s="1380"/>
      <c r="H1836" s="1380"/>
      <c r="I1836" s="1373"/>
    </row>
    <row r="1837" spans="6:9" x14ac:dyDescent="0.45">
      <c r="F1837" s="1380"/>
      <c r="H1837" s="1380"/>
      <c r="I1837" s="1373"/>
    </row>
    <row r="1838" spans="6:9" x14ac:dyDescent="0.45">
      <c r="F1838" s="1380"/>
      <c r="H1838" s="1380"/>
      <c r="I1838" s="1373"/>
    </row>
    <row r="1839" spans="6:9" x14ac:dyDescent="0.45">
      <c r="F1839" s="1380"/>
      <c r="H1839" s="1380"/>
      <c r="I1839" s="1373"/>
    </row>
    <row r="1840" spans="6:9" x14ac:dyDescent="0.45">
      <c r="F1840" s="1380"/>
      <c r="H1840" s="1380"/>
      <c r="I1840" s="1373"/>
    </row>
    <row r="1841" spans="6:9" x14ac:dyDescent="0.45">
      <c r="F1841" s="1380"/>
      <c r="H1841" s="1380"/>
      <c r="I1841" s="1373"/>
    </row>
    <row r="1842" spans="6:9" x14ac:dyDescent="0.45">
      <c r="F1842" s="1380"/>
      <c r="H1842" s="1380"/>
      <c r="I1842" s="1373"/>
    </row>
    <row r="1843" spans="6:9" x14ac:dyDescent="0.45">
      <c r="F1843" s="1380"/>
      <c r="H1843" s="1380"/>
      <c r="I1843" s="1373"/>
    </row>
    <row r="1844" spans="6:9" x14ac:dyDescent="0.45">
      <c r="F1844" s="1380"/>
      <c r="H1844" s="1380"/>
      <c r="I1844" s="1373"/>
    </row>
    <row r="1845" spans="6:9" x14ac:dyDescent="0.45">
      <c r="F1845" s="1380"/>
      <c r="H1845" s="1380"/>
      <c r="I1845" s="1373"/>
    </row>
    <row r="1846" spans="6:9" x14ac:dyDescent="0.45">
      <c r="F1846" s="1380"/>
      <c r="H1846" s="1380"/>
      <c r="I1846" s="1373"/>
    </row>
    <row r="1847" spans="6:9" x14ac:dyDescent="0.45">
      <c r="F1847" s="1380"/>
      <c r="H1847" s="1380"/>
      <c r="I1847" s="1373"/>
    </row>
    <row r="1848" spans="6:9" x14ac:dyDescent="0.45">
      <c r="F1848" s="1380"/>
      <c r="H1848" s="1380"/>
      <c r="I1848" s="1373"/>
    </row>
    <row r="1849" spans="6:9" x14ac:dyDescent="0.45">
      <c r="F1849" s="1380"/>
      <c r="H1849" s="1380"/>
      <c r="I1849" s="1373"/>
    </row>
    <row r="1850" spans="6:9" x14ac:dyDescent="0.45">
      <c r="F1850" s="1380"/>
      <c r="H1850" s="1380"/>
      <c r="I1850" s="1373"/>
    </row>
    <row r="1851" spans="6:9" x14ac:dyDescent="0.45">
      <c r="F1851" s="1380"/>
      <c r="H1851" s="1380"/>
      <c r="I1851" s="1373"/>
    </row>
    <row r="1852" spans="6:9" x14ac:dyDescent="0.45">
      <c r="F1852" s="1380"/>
      <c r="H1852" s="1380"/>
      <c r="I1852" s="1373"/>
    </row>
    <row r="1853" spans="6:9" x14ac:dyDescent="0.45">
      <c r="F1853" s="1380"/>
      <c r="H1853" s="1380"/>
      <c r="I1853" s="1373"/>
    </row>
    <row r="1854" spans="6:9" x14ac:dyDescent="0.45">
      <c r="F1854" s="1380"/>
      <c r="H1854" s="1380"/>
      <c r="I1854" s="1373"/>
    </row>
    <row r="1855" spans="6:9" x14ac:dyDescent="0.45">
      <c r="F1855" s="1380"/>
      <c r="H1855" s="1380"/>
      <c r="I1855" s="1373"/>
    </row>
    <row r="1856" spans="6:9" x14ac:dyDescent="0.45">
      <c r="F1856" s="1380"/>
      <c r="H1856" s="1380"/>
      <c r="I1856" s="1373"/>
    </row>
    <row r="1857" spans="6:9" x14ac:dyDescent="0.45">
      <c r="F1857" s="1380"/>
      <c r="H1857" s="1380"/>
      <c r="I1857" s="1373"/>
    </row>
    <row r="1858" spans="6:9" x14ac:dyDescent="0.45">
      <c r="F1858" s="1380"/>
      <c r="H1858" s="1380"/>
      <c r="I1858" s="1373"/>
    </row>
    <row r="1859" spans="6:9" x14ac:dyDescent="0.45">
      <c r="F1859" s="1380"/>
      <c r="H1859" s="1380"/>
      <c r="I1859" s="1373"/>
    </row>
    <row r="1860" spans="6:9" x14ac:dyDescent="0.45">
      <c r="F1860" s="1380"/>
      <c r="H1860" s="1380"/>
      <c r="I1860" s="1373"/>
    </row>
    <row r="1861" spans="6:9" x14ac:dyDescent="0.45">
      <c r="F1861" s="1380"/>
      <c r="H1861" s="1380"/>
      <c r="I1861" s="1373"/>
    </row>
    <row r="1862" spans="6:9" x14ac:dyDescent="0.45">
      <c r="F1862" s="1380"/>
      <c r="H1862" s="1380"/>
      <c r="I1862" s="1373"/>
    </row>
    <row r="1863" spans="6:9" x14ac:dyDescent="0.45">
      <c r="F1863" s="1380"/>
      <c r="H1863" s="1380"/>
      <c r="I1863" s="1373"/>
    </row>
    <row r="1864" spans="6:9" x14ac:dyDescent="0.45">
      <c r="F1864" s="1380"/>
      <c r="H1864" s="1380"/>
      <c r="I1864" s="1373"/>
    </row>
    <row r="1865" spans="6:9" x14ac:dyDescent="0.45">
      <c r="F1865" s="1380"/>
      <c r="H1865" s="1380"/>
      <c r="I1865" s="1373"/>
    </row>
    <row r="1866" spans="6:9" x14ac:dyDescent="0.45">
      <c r="F1866" s="1380"/>
      <c r="H1866" s="1380"/>
      <c r="I1866" s="1373"/>
    </row>
    <row r="1867" spans="6:9" x14ac:dyDescent="0.45">
      <c r="F1867" s="1380"/>
      <c r="H1867" s="1380"/>
      <c r="I1867" s="1373"/>
    </row>
    <row r="1868" spans="6:9" x14ac:dyDescent="0.45">
      <c r="F1868" s="1380"/>
      <c r="H1868" s="1380"/>
      <c r="I1868" s="1373"/>
    </row>
    <row r="1869" spans="6:9" x14ac:dyDescent="0.45">
      <c r="F1869" s="1380"/>
      <c r="H1869" s="1380"/>
      <c r="I1869" s="1373"/>
    </row>
    <row r="1870" spans="6:9" x14ac:dyDescent="0.45">
      <c r="F1870" s="1380"/>
      <c r="H1870" s="1380"/>
      <c r="I1870" s="1373"/>
    </row>
    <row r="1871" spans="6:9" x14ac:dyDescent="0.45">
      <c r="F1871" s="1380"/>
      <c r="H1871" s="1380"/>
      <c r="I1871" s="1373"/>
    </row>
    <row r="1872" spans="6:9" x14ac:dyDescent="0.45">
      <c r="F1872" s="1380"/>
      <c r="H1872" s="1380"/>
      <c r="I1872" s="1373"/>
    </row>
    <row r="1873" spans="6:9" x14ac:dyDescent="0.45">
      <c r="F1873" s="1380"/>
      <c r="H1873" s="1380"/>
      <c r="I1873" s="1373"/>
    </row>
    <row r="1874" spans="6:9" x14ac:dyDescent="0.45">
      <c r="F1874" s="1380"/>
      <c r="H1874" s="1380"/>
      <c r="I1874" s="1373"/>
    </row>
    <row r="1875" spans="6:9" x14ac:dyDescent="0.45">
      <c r="F1875" s="1380"/>
      <c r="H1875" s="1380"/>
      <c r="I1875" s="1373"/>
    </row>
    <row r="1876" spans="6:9" x14ac:dyDescent="0.45">
      <c r="F1876" s="1380"/>
      <c r="H1876" s="1380"/>
      <c r="I1876" s="1373"/>
    </row>
    <row r="1877" spans="6:9" x14ac:dyDescent="0.45">
      <c r="F1877" s="1380"/>
      <c r="H1877" s="1380"/>
      <c r="I1877" s="1373"/>
    </row>
    <row r="1878" spans="6:9" x14ac:dyDescent="0.45">
      <c r="F1878" s="1380"/>
      <c r="H1878" s="1380"/>
      <c r="I1878" s="1373"/>
    </row>
    <row r="1879" spans="6:9" x14ac:dyDescent="0.45">
      <c r="F1879" s="1380"/>
      <c r="H1879" s="1380"/>
      <c r="I1879" s="1373"/>
    </row>
    <row r="1880" spans="6:9" x14ac:dyDescent="0.45">
      <c r="F1880" s="1380"/>
      <c r="H1880" s="1380"/>
      <c r="I1880" s="1373"/>
    </row>
    <row r="1881" spans="6:9" x14ac:dyDescent="0.45">
      <c r="F1881" s="1380"/>
      <c r="H1881" s="1380"/>
      <c r="I1881" s="1373"/>
    </row>
    <row r="1882" spans="6:9" x14ac:dyDescent="0.45">
      <c r="F1882" s="1380"/>
      <c r="H1882" s="1380"/>
      <c r="I1882" s="1373"/>
    </row>
    <row r="1883" spans="6:9" x14ac:dyDescent="0.45">
      <c r="F1883" s="1380"/>
      <c r="H1883" s="1380"/>
      <c r="I1883" s="1373"/>
    </row>
    <row r="1884" spans="6:9" x14ac:dyDescent="0.45">
      <c r="F1884" s="1380"/>
      <c r="H1884" s="1380"/>
      <c r="I1884" s="1373"/>
    </row>
    <row r="1885" spans="6:9" x14ac:dyDescent="0.45">
      <c r="F1885" s="1380"/>
      <c r="H1885" s="1380"/>
      <c r="I1885" s="1373"/>
    </row>
    <row r="1886" spans="6:9" x14ac:dyDescent="0.45">
      <c r="F1886" s="1380"/>
      <c r="H1886" s="1380"/>
      <c r="I1886" s="1373"/>
    </row>
    <row r="1887" spans="6:9" x14ac:dyDescent="0.45">
      <c r="F1887" s="1380"/>
      <c r="H1887" s="1380"/>
      <c r="I1887" s="1373"/>
    </row>
    <row r="1888" spans="6:9" x14ac:dyDescent="0.45">
      <c r="F1888" s="1380"/>
      <c r="H1888" s="1380"/>
      <c r="I1888" s="1373"/>
    </row>
    <row r="1889" spans="6:9" x14ac:dyDescent="0.45">
      <c r="F1889" s="1380"/>
      <c r="H1889" s="1380"/>
      <c r="I1889" s="1373"/>
    </row>
    <row r="1890" spans="6:9" x14ac:dyDescent="0.45">
      <c r="F1890" s="1380"/>
      <c r="H1890" s="1380"/>
      <c r="I1890" s="1373"/>
    </row>
    <row r="1891" spans="6:9" x14ac:dyDescent="0.45">
      <c r="F1891" s="1380"/>
      <c r="H1891" s="1380"/>
      <c r="I1891" s="1373"/>
    </row>
    <row r="1892" spans="6:9" x14ac:dyDescent="0.45">
      <c r="F1892" s="1380"/>
      <c r="H1892" s="1380"/>
      <c r="I1892" s="1373"/>
    </row>
    <row r="1893" spans="6:9" x14ac:dyDescent="0.45">
      <c r="F1893" s="1380"/>
      <c r="H1893" s="1380"/>
      <c r="I1893" s="1373"/>
    </row>
    <row r="1894" spans="6:9" x14ac:dyDescent="0.45">
      <c r="F1894" s="1380"/>
      <c r="H1894" s="1380"/>
      <c r="I1894" s="1373"/>
    </row>
    <row r="1895" spans="6:9" x14ac:dyDescent="0.45">
      <c r="F1895" s="1380"/>
      <c r="H1895" s="1380"/>
      <c r="I1895" s="1373"/>
    </row>
    <row r="1896" spans="6:9" x14ac:dyDescent="0.45">
      <c r="F1896" s="1380"/>
      <c r="H1896" s="1380"/>
      <c r="I1896" s="1373"/>
    </row>
    <row r="1897" spans="6:9" x14ac:dyDescent="0.45">
      <c r="F1897" s="1380"/>
      <c r="H1897" s="1380"/>
      <c r="I1897" s="1373"/>
    </row>
    <row r="1898" spans="6:9" x14ac:dyDescent="0.45">
      <c r="F1898" s="1380"/>
      <c r="H1898" s="1380"/>
      <c r="I1898" s="1373"/>
    </row>
    <row r="1899" spans="6:9" x14ac:dyDescent="0.45">
      <c r="F1899" s="1380"/>
      <c r="H1899" s="1380"/>
      <c r="I1899" s="1373"/>
    </row>
    <row r="1900" spans="6:9" x14ac:dyDescent="0.45">
      <c r="F1900" s="1380"/>
      <c r="H1900" s="1380"/>
      <c r="I1900" s="1373"/>
    </row>
    <row r="1901" spans="6:9" x14ac:dyDescent="0.45">
      <c r="F1901" s="1380"/>
      <c r="H1901" s="1380"/>
      <c r="I1901" s="1373"/>
    </row>
    <row r="1902" spans="6:9" x14ac:dyDescent="0.45">
      <c r="F1902" s="1380"/>
      <c r="H1902" s="1380"/>
      <c r="I1902" s="1373"/>
    </row>
    <row r="1903" spans="6:9" x14ac:dyDescent="0.45">
      <c r="F1903" s="1380"/>
      <c r="H1903" s="1380"/>
      <c r="I1903" s="1373"/>
    </row>
    <row r="1904" spans="6:9" x14ac:dyDescent="0.45">
      <c r="F1904" s="1380"/>
      <c r="H1904" s="1380"/>
      <c r="I1904" s="1373"/>
    </row>
    <row r="1905" spans="6:9" x14ac:dyDescent="0.45">
      <c r="F1905" s="1380"/>
      <c r="H1905" s="1380"/>
      <c r="I1905" s="1373"/>
    </row>
    <row r="1906" spans="6:9" x14ac:dyDescent="0.45">
      <c r="F1906" s="1380"/>
      <c r="H1906" s="1380"/>
      <c r="I1906" s="1373"/>
    </row>
    <row r="1907" spans="6:9" x14ac:dyDescent="0.45">
      <c r="F1907" s="1380"/>
      <c r="H1907" s="1380"/>
      <c r="I1907" s="1373"/>
    </row>
    <row r="1908" spans="6:9" x14ac:dyDescent="0.45">
      <c r="F1908" s="1380"/>
      <c r="H1908" s="1380"/>
      <c r="I1908" s="1373"/>
    </row>
    <row r="1909" spans="6:9" x14ac:dyDescent="0.45">
      <c r="F1909" s="1380"/>
      <c r="H1909" s="1380"/>
      <c r="I1909" s="1373"/>
    </row>
    <row r="1910" spans="6:9" x14ac:dyDescent="0.45">
      <c r="F1910" s="1380"/>
      <c r="H1910" s="1380"/>
      <c r="I1910" s="1373"/>
    </row>
    <row r="1911" spans="6:9" x14ac:dyDescent="0.45">
      <c r="F1911" s="1380"/>
      <c r="H1911" s="1380"/>
      <c r="I1911" s="1373"/>
    </row>
    <row r="1912" spans="6:9" x14ac:dyDescent="0.45">
      <c r="F1912" s="1380"/>
      <c r="H1912" s="1380"/>
      <c r="I1912" s="1373"/>
    </row>
    <row r="1913" spans="6:9" x14ac:dyDescent="0.45">
      <c r="F1913" s="1380"/>
      <c r="H1913" s="1380"/>
      <c r="I1913" s="1373"/>
    </row>
    <row r="1914" spans="6:9" x14ac:dyDescent="0.45">
      <c r="F1914" s="1380"/>
      <c r="H1914" s="1380"/>
      <c r="I1914" s="1373"/>
    </row>
    <row r="1915" spans="6:9" x14ac:dyDescent="0.45">
      <c r="F1915" s="1380"/>
      <c r="H1915" s="1380"/>
      <c r="I1915" s="1373"/>
    </row>
    <row r="1916" spans="6:9" x14ac:dyDescent="0.45">
      <c r="F1916" s="1380"/>
      <c r="H1916" s="1380"/>
      <c r="I1916" s="1373"/>
    </row>
    <row r="1917" spans="6:9" x14ac:dyDescent="0.45">
      <c r="F1917" s="1380"/>
      <c r="H1917" s="1380"/>
      <c r="I1917" s="1373"/>
    </row>
    <row r="1918" spans="6:9" x14ac:dyDescent="0.45">
      <c r="F1918" s="1380"/>
      <c r="H1918" s="1380"/>
      <c r="I1918" s="1373"/>
    </row>
    <row r="1919" spans="6:9" x14ac:dyDescent="0.45">
      <c r="F1919" s="1380"/>
      <c r="H1919" s="1380"/>
      <c r="I1919" s="1373"/>
    </row>
    <row r="1920" spans="6:9" x14ac:dyDescent="0.45">
      <c r="F1920" s="1380"/>
      <c r="H1920" s="1380"/>
      <c r="I1920" s="1373"/>
    </row>
    <row r="1921" spans="6:9" x14ac:dyDescent="0.45">
      <c r="F1921" s="1380"/>
      <c r="H1921" s="1380"/>
      <c r="I1921" s="1373"/>
    </row>
    <row r="1922" spans="6:9" x14ac:dyDescent="0.45">
      <c r="F1922" s="1380"/>
      <c r="H1922" s="1380"/>
      <c r="I1922" s="1373"/>
    </row>
    <row r="1923" spans="6:9" x14ac:dyDescent="0.45">
      <c r="F1923" s="1380"/>
      <c r="H1923" s="1380"/>
      <c r="I1923" s="1373"/>
    </row>
    <row r="1924" spans="6:9" x14ac:dyDescent="0.45">
      <c r="F1924" s="1380"/>
      <c r="H1924" s="1380"/>
      <c r="I1924" s="1373"/>
    </row>
    <row r="1925" spans="6:9" x14ac:dyDescent="0.45">
      <c r="F1925" s="1380"/>
      <c r="H1925" s="1380"/>
      <c r="I1925" s="1373"/>
    </row>
    <row r="1926" spans="6:9" x14ac:dyDescent="0.45">
      <c r="F1926" s="1380"/>
      <c r="H1926" s="1380"/>
      <c r="I1926" s="1373"/>
    </row>
    <row r="1927" spans="6:9" x14ac:dyDescent="0.45">
      <c r="F1927" s="1380"/>
      <c r="H1927" s="1380"/>
      <c r="I1927" s="1373"/>
    </row>
    <row r="1928" spans="6:9" x14ac:dyDescent="0.45">
      <c r="F1928" s="1380"/>
      <c r="H1928" s="1380"/>
      <c r="I1928" s="1373"/>
    </row>
    <row r="1929" spans="6:9" x14ac:dyDescent="0.45">
      <c r="F1929" s="1380"/>
      <c r="H1929" s="1380"/>
      <c r="I1929" s="1373"/>
    </row>
    <row r="1930" spans="6:9" x14ac:dyDescent="0.45">
      <c r="F1930" s="1380"/>
      <c r="H1930" s="1380"/>
      <c r="I1930" s="1373"/>
    </row>
    <row r="1931" spans="6:9" x14ac:dyDescent="0.45">
      <c r="F1931" s="1380"/>
      <c r="H1931" s="1380"/>
      <c r="I1931" s="1373"/>
    </row>
    <row r="1932" spans="6:9" x14ac:dyDescent="0.45">
      <c r="F1932" s="1380"/>
      <c r="H1932" s="1380"/>
      <c r="I1932" s="1373"/>
    </row>
    <row r="1933" spans="6:9" x14ac:dyDescent="0.45">
      <c r="F1933" s="1380"/>
      <c r="H1933" s="1380"/>
      <c r="I1933" s="1373"/>
    </row>
    <row r="1934" spans="6:9" x14ac:dyDescent="0.45">
      <c r="F1934" s="1380"/>
      <c r="H1934" s="1380"/>
      <c r="I1934" s="1373"/>
    </row>
    <row r="1935" spans="6:9" x14ac:dyDescent="0.45">
      <c r="F1935" s="1380"/>
      <c r="H1935" s="1380"/>
      <c r="I1935" s="1373"/>
    </row>
    <row r="1936" spans="6:9" x14ac:dyDescent="0.45">
      <c r="F1936" s="1380"/>
      <c r="H1936" s="1380"/>
      <c r="I1936" s="1373"/>
    </row>
    <row r="1937" spans="6:9" x14ac:dyDescent="0.45">
      <c r="F1937" s="1380"/>
      <c r="H1937" s="1380"/>
      <c r="I1937" s="1373"/>
    </row>
    <row r="1938" spans="6:9" x14ac:dyDescent="0.45">
      <c r="F1938" s="1380"/>
      <c r="H1938" s="1380"/>
      <c r="I1938" s="1373"/>
    </row>
    <row r="1939" spans="6:9" x14ac:dyDescent="0.45">
      <c r="F1939" s="1380"/>
      <c r="H1939" s="1380"/>
      <c r="I1939" s="1373"/>
    </row>
    <row r="1940" spans="6:9" x14ac:dyDescent="0.45">
      <c r="F1940" s="1380"/>
      <c r="H1940" s="1380"/>
      <c r="I1940" s="1373"/>
    </row>
    <row r="1941" spans="6:9" x14ac:dyDescent="0.45">
      <c r="F1941" s="1380"/>
      <c r="H1941" s="1380"/>
      <c r="I1941" s="1373"/>
    </row>
    <row r="1942" spans="6:9" x14ac:dyDescent="0.45">
      <c r="F1942" s="1380"/>
      <c r="H1942" s="1380"/>
      <c r="I1942" s="1373"/>
    </row>
    <row r="1943" spans="6:9" x14ac:dyDescent="0.45">
      <c r="F1943" s="1380"/>
      <c r="H1943" s="1380"/>
      <c r="I1943" s="1373"/>
    </row>
    <row r="1944" spans="6:9" x14ac:dyDescent="0.45">
      <c r="F1944" s="1380"/>
      <c r="H1944" s="1380"/>
      <c r="I1944" s="1373"/>
    </row>
    <row r="1945" spans="6:9" x14ac:dyDescent="0.45">
      <c r="F1945" s="1380"/>
      <c r="H1945" s="1380"/>
      <c r="I1945" s="1373"/>
    </row>
    <row r="1946" spans="6:9" x14ac:dyDescent="0.45">
      <c r="F1946" s="1380"/>
      <c r="H1946" s="1380"/>
      <c r="I1946" s="1373"/>
    </row>
    <row r="1947" spans="6:9" x14ac:dyDescent="0.45">
      <c r="F1947" s="1380"/>
      <c r="H1947" s="1380"/>
      <c r="I1947" s="1373"/>
    </row>
    <row r="1948" spans="6:9" x14ac:dyDescent="0.45">
      <c r="F1948" s="1380"/>
      <c r="H1948" s="1380"/>
      <c r="I1948" s="1373"/>
    </row>
    <row r="1949" spans="6:9" x14ac:dyDescent="0.45">
      <c r="F1949" s="1380"/>
      <c r="H1949" s="1380"/>
      <c r="I1949" s="1373"/>
    </row>
    <row r="1950" spans="6:9" x14ac:dyDescent="0.45">
      <c r="F1950" s="1380"/>
      <c r="H1950" s="1380"/>
      <c r="I1950" s="1373"/>
    </row>
    <row r="1951" spans="6:9" x14ac:dyDescent="0.45">
      <c r="F1951" s="1380"/>
      <c r="H1951" s="1380"/>
      <c r="I1951" s="1373"/>
    </row>
    <row r="1952" spans="6:9" x14ac:dyDescent="0.45">
      <c r="F1952" s="1380"/>
      <c r="H1952" s="1380"/>
      <c r="I1952" s="1373"/>
    </row>
    <row r="1953" spans="6:9" x14ac:dyDescent="0.45">
      <c r="F1953" s="1380"/>
      <c r="H1953" s="1380"/>
      <c r="I1953" s="1373"/>
    </row>
    <row r="1954" spans="6:9" x14ac:dyDescent="0.45">
      <c r="F1954" s="1380"/>
      <c r="H1954" s="1380"/>
      <c r="I1954" s="1373"/>
    </row>
    <row r="1955" spans="6:9" x14ac:dyDescent="0.45">
      <c r="F1955" s="1380"/>
      <c r="H1955" s="1380"/>
      <c r="I1955" s="1373"/>
    </row>
    <row r="1956" spans="6:9" x14ac:dyDescent="0.45">
      <c r="F1956" s="1380"/>
      <c r="H1956" s="1380"/>
      <c r="I1956" s="1373"/>
    </row>
    <row r="1957" spans="6:9" x14ac:dyDescent="0.45">
      <c r="F1957" s="1380"/>
      <c r="H1957" s="1380"/>
      <c r="I1957" s="1373"/>
    </row>
    <row r="1958" spans="6:9" x14ac:dyDescent="0.45">
      <c r="F1958" s="1380"/>
      <c r="H1958" s="1380"/>
      <c r="I1958" s="1373"/>
    </row>
    <row r="1959" spans="6:9" x14ac:dyDescent="0.45">
      <c r="F1959" s="1380"/>
      <c r="H1959" s="1380"/>
      <c r="I1959" s="1373"/>
    </row>
    <row r="1960" spans="6:9" x14ac:dyDescent="0.45">
      <c r="F1960" s="1380"/>
      <c r="H1960" s="1380"/>
      <c r="I1960" s="1373"/>
    </row>
    <row r="1961" spans="6:9" x14ac:dyDescent="0.45">
      <c r="F1961" s="1380"/>
      <c r="H1961" s="1380"/>
      <c r="I1961" s="1373"/>
    </row>
    <row r="1962" spans="6:9" x14ac:dyDescent="0.45">
      <c r="F1962" s="1380"/>
      <c r="H1962" s="1380"/>
      <c r="I1962" s="1373"/>
    </row>
    <row r="1963" spans="6:9" x14ac:dyDescent="0.45">
      <c r="F1963" s="1380"/>
      <c r="H1963" s="1380"/>
      <c r="I1963" s="1373"/>
    </row>
  </sheetData>
  <conditionalFormatting sqref="E565:E1026">
    <cfRule type="cellIs" dxfId="2" priority="1" operator="lessThan">
      <formula>0</formula>
    </cfRule>
  </conditionalFormatting>
  <pageMargins left="0.7" right="0.7" top="0.75" bottom="0.75" header="0.3" footer="0.3"/>
  <pageSetup scale="90"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C45B6-C83E-46F3-BAC8-17B1D5DF8F6E}">
  <sheetPr codeName="Sheet56"/>
  <dimension ref="A1:J1190"/>
  <sheetViews>
    <sheetView view="pageBreakPreview" zoomScaleNormal="100" zoomScaleSheetLayoutView="100" workbookViewId="0">
      <pane ySplit="1" topLeftCell="A1168" activePane="bottomLeft" state="frozen"/>
      <selection activeCell="A1193" sqref="A1193"/>
      <selection pane="bottomLeft" activeCell="B1192" sqref="B1192"/>
    </sheetView>
  </sheetViews>
  <sheetFormatPr defaultColWidth="9.9453125" defaultRowHeight="13.8" x14ac:dyDescent="0.45"/>
  <cols>
    <col min="1" max="1" width="11.734375" style="1370" customWidth="1"/>
    <col min="2" max="2" width="10.89453125" style="1371" bestFit="1" customWidth="1"/>
    <col min="3" max="3" width="30.1015625" style="1370" bestFit="1" customWidth="1"/>
    <col min="4" max="4" width="7.05078125" style="1370" customWidth="1"/>
    <col min="5" max="5" width="10.47265625" style="1370" customWidth="1"/>
    <col min="6" max="6" width="9.5234375" style="1370" bestFit="1" customWidth="1"/>
    <col min="7" max="7" width="10.62890625" style="1370" customWidth="1"/>
    <col min="8" max="8" width="10.3671875" style="1370" bestFit="1" customWidth="1"/>
    <col min="9" max="9" width="10.1015625" style="1370" bestFit="1" customWidth="1"/>
    <col min="10" max="10" width="10.47265625" style="1371" bestFit="1" customWidth="1"/>
    <col min="11" max="16384" width="9.9453125" style="1370"/>
  </cols>
  <sheetData>
    <row r="1" spans="1:10" ht="41.4" x14ac:dyDescent="0.45">
      <c r="A1" s="1379" t="s">
        <v>7146</v>
      </c>
      <c r="B1" s="1378" t="s">
        <v>7140</v>
      </c>
      <c r="C1" s="1379" t="s">
        <v>7145</v>
      </c>
      <c r="D1" s="1379" t="s">
        <v>75</v>
      </c>
      <c r="E1" s="1379" t="s">
        <v>7144</v>
      </c>
      <c r="F1" s="1379" t="s">
        <v>7143</v>
      </c>
      <c r="G1" s="1379" t="s">
        <v>7142</v>
      </c>
      <c r="H1" s="1376" t="s">
        <v>7150</v>
      </c>
      <c r="I1" s="1370" t="s">
        <v>1140</v>
      </c>
      <c r="J1" s="1378" t="s">
        <v>7140</v>
      </c>
    </row>
    <row r="2" spans="1:10" x14ac:dyDescent="0.45">
      <c r="B2" s="1371">
        <v>9498</v>
      </c>
      <c r="F2" s="1377"/>
      <c r="H2" s="1376"/>
      <c r="I2" s="1373"/>
      <c r="J2" s="1371">
        <v>9498</v>
      </c>
    </row>
    <row r="3" spans="1:10" x14ac:dyDescent="0.45">
      <c r="B3" s="1371">
        <v>9529</v>
      </c>
      <c r="F3" s="1377"/>
      <c r="H3" s="1376"/>
      <c r="I3" s="1373"/>
      <c r="J3" s="1371">
        <v>9529</v>
      </c>
    </row>
    <row r="4" spans="1:10" x14ac:dyDescent="0.45">
      <c r="B4" s="1371">
        <v>9557</v>
      </c>
      <c r="F4" s="1377"/>
      <c r="H4" s="1376"/>
      <c r="I4" s="1373"/>
      <c r="J4" s="1371">
        <v>9557</v>
      </c>
    </row>
    <row r="5" spans="1:10" x14ac:dyDescent="0.45">
      <c r="B5" s="1371">
        <v>9588</v>
      </c>
      <c r="F5" s="1377"/>
      <c r="H5" s="1376"/>
      <c r="I5" s="1373"/>
      <c r="J5" s="1371">
        <v>9588</v>
      </c>
    </row>
    <row r="6" spans="1:10" x14ac:dyDescent="0.45">
      <c r="B6" s="1371">
        <v>9618</v>
      </c>
      <c r="F6" s="1377"/>
      <c r="H6" s="1376"/>
      <c r="I6" s="1373"/>
      <c r="J6" s="1371">
        <v>9618</v>
      </c>
    </row>
    <row r="7" spans="1:10" x14ac:dyDescent="0.45">
      <c r="B7" s="1371">
        <v>9649</v>
      </c>
      <c r="F7" s="1377"/>
      <c r="H7" s="1376"/>
      <c r="I7" s="1373"/>
      <c r="J7" s="1371">
        <v>9649</v>
      </c>
    </row>
    <row r="8" spans="1:10" x14ac:dyDescent="0.45">
      <c r="B8" s="1371">
        <v>9679</v>
      </c>
      <c r="F8" s="1377"/>
      <c r="H8" s="1376"/>
      <c r="I8" s="1373"/>
      <c r="J8" s="1371">
        <v>9679</v>
      </c>
    </row>
    <row r="9" spans="1:10" x14ac:dyDescent="0.45">
      <c r="B9" s="1371">
        <v>9710</v>
      </c>
      <c r="F9" s="1377"/>
      <c r="H9" s="1376"/>
      <c r="I9" s="1373"/>
      <c r="J9" s="1371">
        <v>9710</v>
      </c>
    </row>
    <row r="10" spans="1:10" x14ac:dyDescent="0.45">
      <c r="B10" s="1371">
        <v>9741</v>
      </c>
      <c r="F10" s="1377"/>
      <c r="H10" s="1376"/>
      <c r="I10" s="1373"/>
      <c r="J10" s="1371">
        <v>9741</v>
      </c>
    </row>
    <row r="11" spans="1:10" x14ac:dyDescent="0.45">
      <c r="B11" s="1371">
        <v>9771</v>
      </c>
      <c r="F11" s="1377"/>
      <c r="H11" s="1376"/>
      <c r="I11" s="1373"/>
      <c r="J11" s="1371">
        <v>9771</v>
      </c>
    </row>
    <row r="12" spans="1:10" x14ac:dyDescent="0.45">
      <c r="B12" s="1371">
        <v>9802</v>
      </c>
      <c r="F12" s="1377"/>
      <c r="H12" s="1376"/>
      <c r="I12" s="1373"/>
      <c r="J12" s="1371">
        <v>9802</v>
      </c>
    </row>
    <row r="13" spans="1:10" x14ac:dyDescent="0.45">
      <c r="B13" s="1371">
        <v>9832</v>
      </c>
      <c r="F13" s="1377"/>
      <c r="H13" s="1376"/>
      <c r="I13" s="1373"/>
      <c r="J13" s="1371">
        <v>9832</v>
      </c>
    </row>
    <row r="14" spans="1:10" x14ac:dyDescent="0.45">
      <c r="B14" s="1371">
        <v>9863</v>
      </c>
      <c r="F14" s="1377"/>
      <c r="H14" s="1376"/>
      <c r="I14" s="1373"/>
      <c r="J14" s="1371">
        <v>9863</v>
      </c>
    </row>
    <row r="15" spans="1:10" x14ac:dyDescent="0.45">
      <c r="B15" s="1371">
        <v>9894</v>
      </c>
      <c r="F15" s="1377"/>
      <c r="H15" s="1376"/>
      <c r="I15" s="1373"/>
      <c r="J15" s="1371">
        <v>9894</v>
      </c>
    </row>
    <row r="16" spans="1:10" x14ac:dyDescent="0.45">
      <c r="B16" s="1371">
        <v>9922</v>
      </c>
      <c r="F16" s="1377"/>
      <c r="H16" s="1376"/>
      <c r="I16" s="1373"/>
      <c r="J16" s="1371">
        <v>9922</v>
      </c>
    </row>
    <row r="17" spans="2:10" x14ac:dyDescent="0.45">
      <c r="B17" s="1371">
        <v>9953</v>
      </c>
      <c r="F17" s="1377"/>
      <c r="H17" s="1376"/>
      <c r="I17" s="1373"/>
      <c r="J17" s="1371">
        <v>9953</v>
      </c>
    </row>
    <row r="18" spans="2:10" x14ac:dyDescent="0.45">
      <c r="B18" s="1371">
        <v>9983</v>
      </c>
      <c r="F18" s="1377"/>
      <c r="H18" s="1376"/>
      <c r="I18" s="1373"/>
      <c r="J18" s="1371">
        <v>9983</v>
      </c>
    </row>
    <row r="19" spans="2:10" x14ac:dyDescent="0.45">
      <c r="B19" s="1371">
        <v>10014</v>
      </c>
      <c r="F19" s="1377"/>
      <c r="H19" s="1376"/>
      <c r="I19" s="1373"/>
      <c r="J19" s="1371">
        <v>10014</v>
      </c>
    </row>
    <row r="20" spans="2:10" x14ac:dyDescent="0.45">
      <c r="B20" s="1371">
        <v>10044</v>
      </c>
      <c r="F20" s="1377"/>
      <c r="H20" s="1376"/>
      <c r="I20" s="1373"/>
      <c r="J20" s="1371">
        <v>10044</v>
      </c>
    </row>
    <row r="21" spans="2:10" x14ac:dyDescent="0.45">
      <c r="B21" s="1371">
        <v>10075</v>
      </c>
      <c r="F21" s="1377"/>
      <c r="H21" s="1376"/>
      <c r="I21" s="1373"/>
      <c r="J21" s="1371">
        <v>10075</v>
      </c>
    </row>
    <row r="22" spans="2:10" x14ac:dyDescent="0.45">
      <c r="B22" s="1371">
        <v>10106</v>
      </c>
      <c r="F22" s="1377"/>
      <c r="H22" s="1376"/>
      <c r="I22" s="1373"/>
      <c r="J22" s="1371">
        <v>10106</v>
      </c>
    </row>
    <row r="23" spans="2:10" x14ac:dyDescent="0.45">
      <c r="B23" s="1371">
        <v>10136</v>
      </c>
      <c r="F23" s="1377"/>
      <c r="H23" s="1376"/>
      <c r="I23" s="1373"/>
      <c r="J23" s="1371">
        <v>10136</v>
      </c>
    </row>
    <row r="24" spans="2:10" x14ac:dyDescent="0.45">
      <c r="B24" s="1371">
        <v>10167</v>
      </c>
      <c r="F24" s="1377"/>
      <c r="H24" s="1376"/>
      <c r="I24" s="1373"/>
      <c r="J24" s="1371">
        <v>10167</v>
      </c>
    </row>
    <row r="25" spans="2:10" x14ac:dyDescent="0.45">
      <c r="B25" s="1371">
        <v>10197</v>
      </c>
      <c r="F25" s="1377"/>
      <c r="H25" s="1376"/>
      <c r="I25" s="1373"/>
      <c r="J25" s="1371">
        <v>10197</v>
      </c>
    </row>
    <row r="26" spans="2:10" x14ac:dyDescent="0.45">
      <c r="B26" s="1371">
        <v>10228</v>
      </c>
      <c r="C26" s="1370" t="s">
        <v>7149</v>
      </c>
      <c r="F26" s="1377">
        <v>-4.0000000000000001E-3</v>
      </c>
      <c r="H26" s="1382">
        <v>3.7791666666666668E-3</v>
      </c>
      <c r="I26" s="1373">
        <f t="shared" ref="I26:I89" si="0">F26-H26</f>
        <v>-7.7791666666666669E-3</v>
      </c>
      <c r="J26" s="1371">
        <v>10228</v>
      </c>
    </row>
    <row r="27" spans="2:10" x14ac:dyDescent="0.45">
      <c r="B27" s="1371">
        <v>10259</v>
      </c>
      <c r="C27" s="1370" t="s">
        <v>7149</v>
      </c>
      <c r="F27" s="1377">
        <v>-1.2500000000000001E-2</v>
      </c>
      <c r="H27" s="1382">
        <v>3.7791666666666668E-3</v>
      </c>
      <c r="I27" s="1373">
        <f t="shared" si="0"/>
        <v>-1.6279166666666667E-2</v>
      </c>
      <c r="J27" s="1371">
        <v>10259</v>
      </c>
    </row>
    <row r="28" spans="2:10" x14ac:dyDescent="0.45">
      <c r="B28" s="1371">
        <v>10288</v>
      </c>
      <c r="C28" s="1370" t="s">
        <v>7149</v>
      </c>
      <c r="F28" s="1377">
        <v>0.1101</v>
      </c>
      <c r="H28" s="1382">
        <v>3.7708333333333331E-3</v>
      </c>
      <c r="I28" s="1373">
        <f t="shared" si="0"/>
        <v>0.10632916666666667</v>
      </c>
      <c r="J28" s="1371">
        <v>10288</v>
      </c>
    </row>
    <row r="29" spans="2:10" x14ac:dyDescent="0.45">
      <c r="B29" s="1371">
        <v>10319</v>
      </c>
      <c r="C29" s="1370" t="s">
        <v>7149</v>
      </c>
      <c r="F29" s="1377">
        <v>3.4500000000000003E-2</v>
      </c>
      <c r="H29" s="1382">
        <v>3.7749999999999993E-3</v>
      </c>
      <c r="I29" s="1373">
        <f t="shared" si="0"/>
        <v>3.0725000000000002E-2</v>
      </c>
      <c r="J29" s="1371">
        <v>10319</v>
      </c>
    </row>
    <row r="30" spans="2:10" x14ac:dyDescent="0.45">
      <c r="B30" s="1371">
        <v>10349</v>
      </c>
      <c r="C30" s="1370" t="s">
        <v>7149</v>
      </c>
      <c r="F30" s="1377">
        <v>1.9699999999999999E-2</v>
      </c>
      <c r="H30" s="1382">
        <v>3.8041666666666666E-3</v>
      </c>
      <c r="I30" s="1373">
        <f t="shared" si="0"/>
        <v>1.5895833333333331E-2</v>
      </c>
      <c r="J30" s="1371">
        <v>10349</v>
      </c>
    </row>
    <row r="31" spans="2:10" x14ac:dyDescent="0.45">
      <c r="B31" s="1371">
        <v>10380</v>
      </c>
      <c r="C31" s="1370" t="s">
        <v>7149</v>
      </c>
      <c r="F31" s="1377">
        <v>-3.85E-2</v>
      </c>
      <c r="H31" s="1382">
        <v>3.8833333333333333E-3</v>
      </c>
      <c r="I31" s="1373">
        <f t="shared" si="0"/>
        <v>-4.2383333333333335E-2</v>
      </c>
      <c r="J31" s="1371">
        <v>10380</v>
      </c>
    </row>
    <row r="32" spans="2:10" x14ac:dyDescent="0.45">
      <c r="B32" s="1371">
        <v>10410</v>
      </c>
      <c r="C32" s="1370" t="s">
        <v>7149</v>
      </c>
      <c r="F32" s="1377">
        <v>1.41E-2</v>
      </c>
      <c r="H32" s="1382">
        <v>3.9166666666666673E-3</v>
      </c>
      <c r="I32" s="1373">
        <f t="shared" si="0"/>
        <v>1.0183333333333332E-2</v>
      </c>
      <c r="J32" s="1371">
        <v>10410</v>
      </c>
    </row>
    <row r="33" spans="2:10" x14ac:dyDescent="0.45">
      <c r="B33" s="1371">
        <v>10441</v>
      </c>
      <c r="C33" s="1370" t="s">
        <v>7149</v>
      </c>
      <c r="F33" s="1377">
        <v>8.0299999999999996E-2</v>
      </c>
      <c r="H33" s="1382">
        <v>3.9416666666666662E-3</v>
      </c>
      <c r="I33" s="1373">
        <f t="shared" si="0"/>
        <v>7.6358333333333334E-2</v>
      </c>
      <c r="J33" s="1371">
        <v>10441</v>
      </c>
    </row>
    <row r="34" spans="2:10" x14ac:dyDescent="0.45">
      <c r="B34" s="1371">
        <v>10472</v>
      </c>
      <c r="C34" s="1370" t="s">
        <v>7149</v>
      </c>
      <c r="F34" s="1377">
        <v>2.5899999999999999E-2</v>
      </c>
      <c r="H34" s="1382">
        <v>3.9166666666666673E-3</v>
      </c>
      <c r="I34" s="1373">
        <f t="shared" si="0"/>
        <v>2.1983333333333334E-2</v>
      </c>
      <c r="J34" s="1371">
        <v>10472</v>
      </c>
    </row>
    <row r="35" spans="2:10" x14ac:dyDescent="0.45">
      <c r="B35" s="1371">
        <v>10502</v>
      </c>
      <c r="C35" s="1370" t="s">
        <v>7149</v>
      </c>
      <c r="F35" s="1377">
        <v>1.6799999999999999E-2</v>
      </c>
      <c r="H35" s="1382">
        <v>3.9125000000000002E-3</v>
      </c>
      <c r="I35" s="1373">
        <f t="shared" si="0"/>
        <v>1.28875E-2</v>
      </c>
      <c r="J35" s="1371">
        <v>10502</v>
      </c>
    </row>
    <row r="36" spans="2:10" x14ac:dyDescent="0.45">
      <c r="B36" s="1371">
        <v>10533</v>
      </c>
      <c r="C36" s="1370" t="s">
        <v>7149</v>
      </c>
      <c r="F36" s="1377">
        <v>0.12920000000000001</v>
      </c>
      <c r="H36" s="1382">
        <v>3.8749999999999995E-3</v>
      </c>
      <c r="I36" s="1373">
        <f t="shared" si="0"/>
        <v>0.12532500000000002</v>
      </c>
      <c r="J36" s="1371">
        <v>10533</v>
      </c>
    </row>
    <row r="37" spans="2:10" x14ac:dyDescent="0.45">
      <c r="B37" s="1371">
        <v>10563</v>
      </c>
      <c r="C37" s="1370" t="s">
        <v>7149</v>
      </c>
      <c r="F37" s="1377">
        <v>4.8999999999999998E-3</v>
      </c>
      <c r="H37" s="1382">
        <v>3.908333333333334E-3</v>
      </c>
      <c r="I37" s="1373">
        <f t="shared" si="0"/>
        <v>9.9166666666666587E-4</v>
      </c>
      <c r="J37" s="1371">
        <v>10563</v>
      </c>
    </row>
    <row r="38" spans="2:10" x14ac:dyDescent="0.45">
      <c r="B38" s="1371">
        <v>10594</v>
      </c>
      <c r="C38" s="1370" t="s">
        <v>7149</v>
      </c>
      <c r="F38" s="1377">
        <v>5.8299999999999998E-2</v>
      </c>
      <c r="H38" s="1382">
        <v>3.9208333333333335E-3</v>
      </c>
      <c r="I38" s="1373">
        <f t="shared" si="0"/>
        <v>5.4379166666666666E-2</v>
      </c>
      <c r="J38" s="1371">
        <v>10594</v>
      </c>
    </row>
    <row r="39" spans="2:10" x14ac:dyDescent="0.45">
      <c r="B39" s="1371">
        <v>10625</v>
      </c>
      <c r="C39" s="1370" t="s">
        <v>7149</v>
      </c>
      <c r="F39" s="1377">
        <v>-1.9E-3</v>
      </c>
      <c r="H39" s="1382">
        <v>3.966666666666667E-3</v>
      </c>
      <c r="I39" s="1373">
        <f t="shared" si="0"/>
        <v>-5.8666666666666667E-3</v>
      </c>
      <c r="J39" s="1371">
        <v>10625</v>
      </c>
    </row>
    <row r="40" spans="2:10" x14ac:dyDescent="0.45">
      <c r="B40" s="1371">
        <v>10653</v>
      </c>
      <c r="C40" s="1370" t="s">
        <v>7149</v>
      </c>
      <c r="F40" s="1377">
        <v>-1.1999999999999999E-3</v>
      </c>
      <c r="H40" s="1382">
        <v>4.0083333333333334E-3</v>
      </c>
      <c r="I40" s="1373">
        <f t="shared" si="0"/>
        <v>-5.208333333333333E-3</v>
      </c>
      <c r="J40" s="1371">
        <v>10653</v>
      </c>
    </row>
    <row r="41" spans="2:10" x14ac:dyDescent="0.45">
      <c r="B41" s="1371">
        <v>10684</v>
      </c>
      <c r="C41" s="1370" t="s">
        <v>7149</v>
      </c>
      <c r="F41" s="1377">
        <v>1.7600000000000001E-2</v>
      </c>
      <c r="H41" s="1382">
        <v>4.0000000000000001E-3</v>
      </c>
      <c r="I41" s="1373">
        <f t="shared" si="0"/>
        <v>1.3600000000000001E-2</v>
      </c>
      <c r="J41" s="1371">
        <v>10684</v>
      </c>
    </row>
    <row r="42" spans="2:10" x14ac:dyDescent="0.45">
      <c r="B42" s="1371">
        <v>10714</v>
      </c>
      <c r="C42" s="1370" t="s">
        <v>7149</v>
      </c>
      <c r="F42" s="1377">
        <v>-3.6200000000000003E-2</v>
      </c>
      <c r="H42" s="1382">
        <v>4.0041666666666663E-3</v>
      </c>
      <c r="I42" s="1373">
        <f t="shared" si="0"/>
        <v>-4.0204166666666666E-2</v>
      </c>
      <c r="J42" s="1371">
        <v>10714</v>
      </c>
    </row>
    <row r="43" spans="2:10" x14ac:dyDescent="0.45">
      <c r="B43" s="1371">
        <v>10745</v>
      </c>
      <c r="C43" s="1370" t="s">
        <v>7149</v>
      </c>
      <c r="F43" s="1377">
        <v>0.114</v>
      </c>
      <c r="H43" s="1382">
        <v>4.0625000000000001E-3</v>
      </c>
      <c r="I43" s="1373">
        <f t="shared" si="0"/>
        <v>0.10993750000000001</v>
      </c>
      <c r="J43" s="1371">
        <v>10745</v>
      </c>
    </row>
    <row r="44" spans="2:10" x14ac:dyDescent="0.45">
      <c r="B44" s="1371">
        <v>10775</v>
      </c>
      <c r="C44" s="1370" t="s">
        <v>7149</v>
      </c>
      <c r="F44" s="1377">
        <v>4.7100000000000003E-2</v>
      </c>
      <c r="H44" s="1382">
        <v>4.0583333333333331E-3</v>
      </c>
      <c r="I44" s="1373">
        <f t="shared" si="0"/>
        <v>4.3041666666666673E-2</v>
      </c>
      <c r="J44" s="1371">
        <v>10775</v>
      </c>
    </row>
    <row r="45" spans="2:10" x14ac:dyDescent="0.45">
      <c r="B45" s="1371">
        <v>10806</v>
      </c>
      <c r="C45" s="1370" t="s">
        <v>7149</v>
      </c>
      <c r="F45" s="1377">
        <v>0.1028</v>
      </c>
      <c r="H45" s="1382">
        <v>4.0749999999999996E-3</v>
      </c>
      <c r="I45" s="1373">
        <f t="shared" si="0"/>
        <v>9.8725000000000007E-2</v>
      </c>
      <c r="J45" s="1371">
        <v>10806</v>
      </c>
    </row>
    <row r="46" spans="2:10" x14ac:dyDescent="0.45">
      <c r="B46" s="1371">
        <v>10837</v>
      </c>
      <c r="C46" s="1370" t="s">
        <v>7149</v>
      </c>
      <c r="F46" s="1377">
        <v>-4.7600000000000003E-2</v>
      </c>
      <c r="H46" s="1382">
        <v>4.0874999999999991E-3</v>
      </c>
      <c r="I46" s="1373">
        <f t="shared" si="0"/>
        <v>-5.1687500000000004E-2</v>
      </c>
      <c r="J46" s="1371">
        <v>10837</v>
      </c>
    </row>
    <row r="47" spans="2:10" x14ac:dyDescent="0.45">
      <c r="B47" s="1371">
        <v>10867</v>
      </c>
      <c r="C47" s="1370" t="s">
        <v>7149</v>
      </c>
      <c r="F47" s="1377">
        <v>-0.1973</v>
      </c>
      <c r="H47" s="1382">
        <v>4.0749999999999996E-3</v>
      </c>
      <c r="I47" s="1373">
        <f t="shared" si="0"/>
        <v>-0.201375</v>
      </c>
      <c r="J47" s="1371">
        <v>10867</v>
      </c>
    </row>
    <row r="48" spans="2:10" x14ac:dyDescent="0.45">
      <c r="B48" s="1371">
        <v>10898</v>
      </c>
      <c r="C48" s="1370" t="s">
        <v>7149</v>
      </c>
      <c r="F48" s="1377">
        <v>-0.1246</v>
      </c>
      <c r="H48" s="1382">
        <v>4.0416666666666665E-3</v>
      </c>
      <c r="I48" s="1373">
        <f t="shared" si="0"/>
        <v>-0.12864166666666668</v>
      </c>
      <c r="J48" s="1371">
        <v>10898</v>
      </c>
    </row>
    <row r="49" spans="2:10" x14ac:dyDescent="0.45">
      <c r="B49" s="1371">
        <v>10928</v>
      </c>
      <c r="C49" s="1370" t="s">
        <v>7149</v>
      </c>
      <c r="F49" s="1377">
        <v>2.8199999999999999E-2</v>
      </c>
      <c r="H49" s="1382">
        <v>3.9624999999999999E-3</v>
      </c>
      <c r="I49" s="1373">
        <f t="shared" si="0"/>
        <v>2.4237499999999999E-2</v>
      </c>
      <c r="J49" s="1371">
        <v>10928</v>
      </c>
    </row>
    <row r="50" spans="2:10" x14ac:dyDescent="0.45">
      <c r="B50" s="1371">
        <v>10959</v>
      </c>
      <c r="C50" s="1370" t="s">
        <v>7149</v>
      </c>
      <c r="F50" s="1377">
        <v>6.3899999999999998E-2</v>
      </c>
      <c r="H50" s="1382">
        <v>3.966666666666667E-3</v>
      </c>
      <c r="I50" s="1373">
        <f t="shared" si="0"/>
        <v>5.9933333333333332E-2</v>
      </c>
      <c r="J50" s="1371">
        <v>10959</v>
      </c>
    </row>
    <row r="51" spans="2:10" x14ac:dyDescent="0.45">
      <c r="B51" s="1371">
        <v>10990</v>
      </c>
      <c r="C51" s="1370" t="s">
        <v>7149</v>
      </c>
      <c r="F51" s="1377">
        <v>2.5899999999999999E-2</v>
      </c>
      <c r="H51" s="1382">
        <v>3.9916666666666668E-3</v>
      </c>
      <c r="I51" s="1373">
        <f t="shared" si="0"/>
        <v>2.1908333333333332E-2</v>
      </c>
      <c r="J51" s="1371">
        <v>10990</v>
      </c>
    </row>
    <row r="52" spans="2:10" x14ac:dyDescent="0.45">
      <c r="B52" s="1371">
        <v>11018</v>
      </c>
      <c r="C52" s="1370" t="s">
        <v>7149</v>
      </c>
      <c r="F52" s="1377">
        <v>8.1199999999999994E-2</v>
      </c>
      <c r="H52" s="1382">
        <v>3.9249999999999997E-3</v>
      </c>
      <c r="I52" s="1373">
        <f t="shared" si="0"/>
        <v>7.7274999999999996E-2</v>
      </c>
      <c r="J52" s="1371">
        <v>11018</v>
      </c>
    </row>
    <row r="53" spans="2:10" x14ac:dyDescent="0.45">
      <c r="B53" s="1371">
        <v>11049</v>
      </c>
      <c r="C53" s="1370" t="s">
        <v>7149</v>
      </c>
      <c r="F53" s="1377">
        <v>-8.0000000000000002E-3</v>
      </c>
      <c r="H53" s="1382">
        <v>3.908333333333334E-3</v>
      </c>
      <c r="I53" s="1373">
        <f t="shared" si="0"/>
        <v>-1.1908333333333333E-2</v>
      </c>
      <c r="J53" s="1371">
        <v>11049</v>
      </c>
    </row>
    <row r="54" spans="2:10" x14ac:dyDescent="0.45">
      <c r="B54" s="1371">
        <v>11079</v>
      </c>
      <c r="C54" s="1370" t="s">
        <v>7149</v>
      </c>
      <c r="F54" s="1377">
        <v>-9.5999999999999992E-3</v>
      </c>
      <c r="H54" s="1382">
        <v>3.9041666666666665E-3</v>
      </c>
      <c r="I54" s="1373">
        <f t="shared" si="0"/>
        <v>-1.3504166666666666E-2</v>
      </c>
      <c r="J54" s="1371">
        <v>11079</v>
      </c>
    </row>
    <row r="55" spans="2:10" x14ac:dyDescent="0.45">
      <c r="B55" s="1371">
        <v>11110</v>
      </c>
      <c r="C55" s="1370" t="s">
        <v>7149</v>
      </c>
      <c r="F55" s="1377">
        <v>-0.16250000000000001</v>
      </c>
      <c r="H55" s="1382">
        <v>3.8875000000000003E-3</v>
      </c>
      <c r="I55" s="1373">
        <f t="shared" si="0"/>
        <v>-0.16638749999999999</v>
      </c>
      <c r="J55" s="1371">
        <v>11110</v>
      </c>
    </row>
    <row r="56" spans="2:10" x14ac:dyDescent="0.45">
      <c r="B56" s="1371">
        <v>11140</v>
      </c>
      <c r="C56" s="1370" t="s">
        <v>7149</v>
      </c>
      <c r="F56" s="1377">
        <v>3.8600000000000002E-2</v>
      </c>
      <c r="H56" s="1382">
        <v>3.8583333333333334E-3</v>
      </c>
      <c r="I56" s="1373">
        <f t="shared" si="0"/>
        <v>3.4741666666666671E-2</v>
      </c>
      <c r="J56" s="1371">
        <v>11140</v>
      </c>
    </row>
    <row r="57" spans="2:10" x14ac:dyDescent="0.45">
      <c r="B57" s="1371">
        <v>11171</v>
      </c>
      <c r="C57" s="1370" t="s">
        <v>7149</v>
      </c>
      <c r="F57" s="1377">
        <v>1.41E-2</v>
      </c>
      <c r="H57" s="1382">
        <v>3.8124999999999999E-3</v>
      </c>
      <c r="I57" s="1373">
        <f t="shared" si="0"/>
        <v>1.02875E-2</v>
      </c>
      <c r="J57" s="1371">
        <v>11171</v>
      </c>
    </row>
    <row r="58" spans="2:10" x14ac:dyDescent="0.45">
      <c r="B58" s="1371">
        <v>11202</v>
      </c>
      <c r="C58" s="1370" t="s">
        <v>7149</v>
      </c>
      <c r="F58" s="1377">
        <v>-0.12820000000000001</v>
      </c>
      <c r="H58" s="1382">
        <v>3.7791666666666668E-3</v>
      </c>
      <c r="I58" s="1373">
        <f t="shared" si="0"/>
        <v>-0.13197916666666668</v>
      </c>
      <c r="J58" s="1371">
        <v>11202</v>
      </c>
    </row>
    <row r="59" spans="2:10" x14ac:dyDescent="0.45">
      <c r="B59" s="1371">
        <v>11232</v>
      </c>
      <c r="C59" s="1370" t="s">
        <v>7149</v>
      </c>
      <c r="F59" s="1377">
        <v>-8.5500000000000007E-2</v>
      </c>
      <c r="H59" s="1382">
        <v>3.7875000000000005E-3</v>
      </c>
      <c r="I59" s="1373">
        <f t="shared" si="0"/>
        <v>-8.9287500000000006E-2</v>
      </c>
      <c r="J59" s="1371">
        <v>11232</v>
      </c>
    </row>
    <row r="60" spans="2:10" x14ac:dyDescent="0.45">
      <c r="B60" s="1371">
        <v>11263</v>
      </c>
      <c r="C60" s="1370" t="s">
        <v>7149</v>
      </c>
      <c r="F60" s="1377">
        <v>-8.8999999999999999E-3</v>
      </c>
      <c r="H60" s="1382">
        <v>3.8416666666666664E-3</v>
      </c>
      <c r="I60" s="1373">
        <f t="shared" si="0"/>
        <v>-1.2741666666666667E-2</v>
      </c>
      <c r="J60" s="1371">
        <v>11263</v>
      </c>
    </row>
    <row r="61" spans="2:10" x14ac:dyDescent="0.45">
      <c r="B61" s="1371">
        <v>11293</v>
      </c>
      <c r="C61" s="1370" t="s">
        <v>7149</v>
      </c>
      <c r="F61" s="1377">
        <v>-7.0599999999999996E-2</v>
      </c>
      <c r="H61" s="1382">
        <v>3.9041666666666665E-3</v>
      </c>
      <c r="I61" s="1373">
        <f t="shared" si="0"/>
        <v>-7.4504166666666663E-2</v>
      </c>
      <c r="J61" s="1371">
        <v>11293</v>
      </c>
    </row>
    <row r="62" spans="2:10" x14ac:dyDescent="0.45">
      <c r="B62" s="1371">
        <v>11324</v>
      </c>
      <c r="C62" s="1370" t="s">
        <v>7149</v>
      </c>
      <c r="F62" s="1377">
        <v>5.0200000000000002E-2</v>
      </c>
      <c r="H62" s="1382">
        <v>3.8E-3</v>
      </c>
      <c r="I62" s="1373">
        <f t="shared" si="0"/>
        <v>4.6400000000000004E-2</v>
      </c>
      <c r="J62" s="1371">
        <v>11324</v>
      </c>
    </row>
    <row r="63" spans="2:10" x14ac:dyDescent="0.45">
      <c r="B63" s="1371">
        <v>11355</v>
      </c>
      <c r="C63" s="1370" t="s">
        <v>7149</v>
      </c>
      <c r="F63" s="1377">
        <v>0.1193</v>
      </c>
      <c r="H63" s="1382">
        <v>3.8041666666666662E-3</v>
      </c>
      <c r="I63" s="1373">
        <f t="shared" si="0"/>
        <v>0.11549583333333334</v>
      </c>
      <c r="J63" s="1371">
        <v>11355</v>
      </c>
    </row>
    <row r="64" spans="2:10" x14ac:dyDescent="0.45">
      <c r="B64" s="1371">
        <v>11383</v>
      </c>
      <c r="C64" s="1370" t="s">
        <v>7149</v>
      </c>
      <c r="F64" s="1377">
        <v>-6.7500000000000004E-2</v>
      </c>
      <c r="H64" s="1382">
        <v>3.7749999999999993E-3</v>
      </c>
      <c r="I64" s="1373">
        <f t="shared" si="0"/>
        <v>-7.1275000000000005E-2</v>
      </c>
      <c r="J64" s="1371">
        <v>11383</v>
      </c>
    </row>
    <row r="65" spans="2:10" x14ac:dyDescent="0.45">
      <c r="B65" s="1371">
        <v>11414</v>
      </c>
      <c r="C65" s="1370" t="s">
        <v>7149</v>
      </c>
      <c r="F65" s="1377">
        <v>-9.35E-2</v>
      </c>
      <c r="H65" s="1382">
        <v>3.816666666666667E-3</v>
      </c>
      <c r="I65" s="1373">
        <f t="shared" si="0"/>
        <v>-9.7316666666666662E-2</v>
      </c>
      <c r="J65" s="1371">
        <v>11414</v>
      </c>
    </row>
    <row r="66" spans="2:10" x14ac:dyDescent="0.45">
      <c r="B66" s="1371">
        <v>11444</v>
      </c>
      <c r="C66" s="1370" t="s">
        <v>7149</v>
      </c>
      <c r="F66" s="1377">
        <v>-0.12790000000000001</v>
      </c>
      <c r="H66" s="1382">
        <v>3.8041666666666666E-3</v>
      </c>
      <c r="I66" s="1373">
        <f t="shared" si="0"/>
        <v>-0.13170416666666668</v>
      </c>
      <c r="J66" s="1371">
        <v>11444</v>
      </c>
    </row>
    <row r="67" spans="2:10" x14ac:dyDescent="0.45">
      <c r="B67" s="1371">
        <v>11475</v>
      </c>
      <c r="C67" s="1370" t="s">
        <v>7149</v>
      </c>
      <c r="F67" s="1377">
        <v>0.1421</v>
      </c>
      <c r="H67" s="1382">
        <v>3.8208333333333332E-3</v>
      </c>
      <c r="I67" s="1373">
        <f t="shared" si="0"/>
        <v>0.13827916666666668</v>
      </c>
      <c r="J67" s="1371">
        <v>11475</v>
      </c>
    </row>
    <row r="68" spans="2:10" x14ac:dyDescent="0.45">
      <c r="B68" s="1371">
        <v>11505</v>
      </c>
      <c r="C68" s="1370" t="s">
        <v>7149</v>
      </c>
      <c r="F68" s="1377">
        <v>-7.22E-2</v>
      </c>
      <c r="H68" s="1382">
        <v>3.8208333333333332E-3</v>
      </c>
      <c r="I68" s="1373">
        <f t="shared" si="0"/>
        <v>-7.6020833333333329E-2</v>
      </c>
      <c r="J68" s="1371">
        <v>11505</v>
      </c>
    </row>
    <row r="69" spans="2:10" x14ac:dyDescent="0.45">
      <c r="B69" s="1371">
        <v>11536</v>
      </c>
      <c r="C69" s="1370" t="s">
        <v>7149</v>
      </c>
      <c r="F69" s="1377">
        <v>1.8200000000000001E-2</v>
      </c>
      <c r="H69" s="1382">
        <v>3.8541666666666663E-3</v>
      </c>
      <c r="I69" s="1373">
        <f t="shared" si="0"/>
        <v>1.4345833333333335E-2</v>
      </c>
      <c r="J69" s="1371">
        <v>11536</v>
      </c>
    </row>
    <row r="70" spans="2:10" x14ac:dyDescent="0.45">
      <c r="B70" s="1371">
        <v>11567</v>
      </c>
      <c r="C70" s="1370" t="s">
        <v>7149</v>
      </c>
      <c r="F70" s="1377">
        <v>-0.29730000000000001</v>
      </c>
      <c r="H70" s="1382">
        <v>4.0124999999999996E-3</v>
      </c>
      <c r="I70" s="1373">
        <f t="shared" si="0"/>
        <v>-0.30131249999999998</v>
      </c>
      <c r="J70" s="1371">
        <v>11567</v>
      </c>
    </row>
    <row r="71" spans="2:10" x14ac:dyDescent="0.45">
      <c r="B71" s="1371">
        <v>11597</v>
      </c>
      <c r="C71" s="1370" t="s">
        <v>7149</v>
      </c>
      <c r="F71" s="1377">
        <v>8.9599999999999999E-2</v>
      </c>
      <c r="H71" s="1382">
        <v>4.4000000000000003E-3</v>
      </c>
      <c r="I71" s="1373">
        <f t="shared" si="0"/>
        <v>8.5199999999999998E-2</v>
      </c>
      <c r="J71" s="1371">
        <v>11597</v>
      </c>
    </row>
    <row r="72" spans="2:10" x14ac:dyDescent="0.45">
      <c r="B72" s="1371">
        <v>11628</v>
      </c>
      <c r="C72" s="1370" t="s">
        <v>7149</v>
      </c>
      <c r="F72" s="1377">
        <v>-7.9799999999999996E-2</v>
      </c>
      <c r="H72" s="1382">
        <v>4.3958333333333332E-3</v>
      </c>
      <c r="I72" s="1373">
        <f t="shared" si="0"/>
        <v>-8.4195833333333331E-2</v>
      </c>
      <c r="J72" s="1371">
        <v>11628</v>
      </c>
    </row>
    <row r="73" spans="2:10" x14ac:dyDescent="0.45">
      <c r="B73" s="1371">
        <v>11658</v>
      </c>
      <c r="C73" s="1370" t="s">
        <v>7149</v>
      </c>
      <c r="F73" s="1377">
        <v>-0.14000000000000001</v>
      </c>
      <c r="H73" s="1382">
        <v>4.8249999999999994E-3</v>
      </c>
      <c r="I73" s="1373">
        <f t="shared" si="0"/>
        <v>-0.14482500000000001</v>
      </c>
      <c r="J73" s="1371">
        <v>11658</v>
      </c>
    </row>
    <row r="74" spans="2:10" x14ac:dyDescent="0.45">
      <c r="B74" s="1371">
        <v>11689</v>
      </c>
      <c r="C74" s="1370" t="s">
        <v>7149</v>
      </c>
      <c r="F74" s="1377">
        <v>-2.7099999999999999E-2</v>
      </c>
      <c r="H74" s="1382">
        <v>4.7000000000000002E-3</v>
      </c>
      <c r="I74" s="1373">
        <f t="shared" si="0"/>
        <v>-3.1800000000000002E-2</v>
      </c>
      <c r="J74" s="1371">
        <v>11689</v>
      </c>
    </row>
    <row r="75" spans="2:10" x14ac:dyDescent="0.45">
      <c r="B75" s="1371">
        <v>11720</v>
      </c>
      <c r="C75" s="1370" t="s">
        <v>7149</v>
      </c>
      <c r="F75" s="1377">
        <v>5.7000000000000002E-2</v>
      </c>
      <c r="H75" s="1382">
        <v>4.7333333333333342E-3</v>
      </c>
      <c r="I75" s="1373">
        <f t="shared" si="0"/>
        <v>5.226666666666667E-2</v>
      </c>
      <c r="J75" s="1371">
        <v>11720</v>
      </c>
    </row>
    <row r="76" spans="2:10" x14ac:dyDescent="0.45">
      <c r="B76" s="1371">
        <v>11749</v>
      </c>
      <c r="C76" s="1370" t="s">
        <v>7149</v>
      </c>
      <c r="F76" s="1377">
        <v>-0.1158</v>
      </c>
      <c r="H76" s="1382">
        <v>4.5125E-3</v>
      </c>
      <c r="I76" s="1373">
        <f t="shared" si="0"/>
        <v>-0.1203125</v>
      </c>
      <c r="J76" s="1371">
        <v>11749</v>
      </c>
    </row>
    <row r="77" spans="2:10" x14ac:dyDescent="0.45">
      <c r="B77" s="1371">
        <v>11780</v>
      </c>
      <c r="C77" s="1370" t="s">
        <v>7149</v>
      </c>
      <c r="F77" s="1377">
        <v>-0.19969999999999999</v>
      </c>
      <c r="H77" s="1382">
        <v>4.6999999999999993E-3</v>
      </c>
      <c r="I77" s="1373">
        <f t="shared" si="0"/>
        <v>-0.2044</v>
      </c>
      <c r="J77" s="1371">
        <v>11780</v>
      </c>
    </row>
    <row r="78" spans="2:10" x14ac:dyDescent="0.45">
      <c r="B78" s="1371">
        <v>11810</v>
      </c>
      <c r="C78" s="1370" t="s">
        <v>7149</v>
      </c>
      <c r="F78" s="1377">
        <v>-0.21959999999999999</v>
      </c>
      <c r="H78" s="1382">
        <v>4.8916666666666666E-3</v>
      </c>
      <c r="I78" s="1373">
        <f t="shared" si="0"/>
        <v>-0.22449166666666664</v>
      </c>
      <c r="J78" s="1371">
        <v>11810</v>
      </c>
    </row>
    <row r="79" spans="2:10" x14ac:dyDescent="0.45">
      <c r="B79" s="1371">
        <v>11841</v>
      </c>
      <c r="C79" s="1370" t="s">
        <v>7149</v>
      </c>
      <c r="F79" s="1377">
        <v>-2.2000000000000001E-3</v>
      </c>
      <c r="H79" s="1382">
        <v>5.0041666666666663E-3</v>
      </c>
      <c r="I79" s="1373">
        <f t="shared" si="0"/>
        <v>-7.204166666666666E-3</v>
      </c>
      <c r="J79" s="1371">
        <v>11841</v>
      </c>
    </row>
    <row r="80" spans="2:10" x14ac:dyDescent="0.45">
      <c r="B80" s="1371">
        <v>11871</v>
      </c>
      <c r="C80" s="1370" t="s">
        <v>7149</v>
      </c>
      <c r="F80" s="1377">
        <v>0.38150000000000001</v>
      </c>
      <c r="H80" s="1382">
        <v>4.904166666666666E-3</v>
      </c>
      <c r="I80" s="1373">
        <f t="shared" si="0"/>
        <v>0.37659583333333335</v>
      </c>
      <c r="J80" s="1371">
        <v>11871</v>
      </c>
    </row>
    <row r="81" spans="2:10" x14ac:dyDescent="0.45">
      <c r="B81" s="1371">
        <v>11902</v>
      </c>
      <c r="C81" s="1370" t="s">
        <v>7149</v>
      </c>
      <c r="F81" s="1377">
        <v>0.38690000000000002</v>
      </c>
      <c r="H81" s="1382">
        <v>4.4749999999999998E-3</v>
      </c>
      <c r="I81" s="1373">
        <f t="shared" si="0"/>
        <v>0.38242500000000001</v>
      </c>
      <c r="J81" s="1371">
        <v>11902</v>
      </c>
    </row>
    <row r="82" spans="2:10" x14ac:dyDescent="0.45">
      <c r="B82" s="1371">
        <v>11933</v>
      </c>
      <c r="C82" s="1370" t="s">
        <v>7149</v>
      </c>
      <c r="F82" s="1377">
        <v>-3.4599999999999999E-2</v>
      </c>
      <c r="H82" s="1382">
        <v>4.266666666666666E-3</v>
      </c>
      <c r="I82" s="1373">
        <f t="shared" si="0"/>
        <v>-3.8866666666666667E-2</v>
      </c>
      <c r="J82" s="1371">
        <v>11933</v>
      </c>
    </row>
    <row r="83" spans="2:10" x14ac:dyDescent="0.45">
      <c r="B83" s="1371">
        <v>11963</v>
      </c>
      <c r="C83" s="1370" t="s">
        <v>7149</v>
      </c>
      <c r="F83" s="1377">
        <v>-0.13489999999999999</v>
      </c>
      <c r="H83" s="1382">
        <v>4.2291666666666667E-3</v>
      </c>
      <c r="I83" s="1373">
        <f t="shared" si="0"/>
        <v>-0.13912916666666666</v>
      </c>
      <c r="J83" s="1371">
        <v>11963</v>
      </c>
    </row>
    <row r="84" spans="2:10" x14ac:dyDescent="0.45">
      <c r="B84" s="1371">
        <v>11994</v>
      </c>
      <c r="C84" s="1370" t="s">
        <v>7149</v>
      </c>
      <c r="F84" s="1377">
        <v>-4.1700000000000001E-2</v>
      </c>
      <c r="H84" s="1382">
        <v>4.2500000000000003E-3</v>
      </c>
      <c r="I84" s="1373">
        <f t="shared" si="0"/>
        <v>-4.5950000000000005E-2</v>
      </c>
      <c r="J84" s="1371">
        <v>11994</v>
      </c>
    </row>
    <row r="85" spans="2:10" x14ac:dyDescent="0.45">
      <c r="B85" s="1371">
        <v>12024</v>
      </c>
      <c r="C85" s="1370" t="s">
        <v>7149</v>
      </c>
      <c r="F85" s="1377">
        <v>5.6500000000000002E-2</v>
      </c>
      <c r="H85" s="1382">
        <v>4.2458333333333332E-3</v>
      </c>
      <c r="I85" s="1373">
        <f t="shared" si="0"/>
        <v>5.2254166666666671E-2</v>
      </c>
      <c r="J85" s="1371">
        <v>12024</v>
      </c>
    </row>
    <row r="86" spans="2:10" x14ac:dyDescent="0.45">
      <c r="B86" s="1371">
        <v>12055</v>
      </c>
      <c r="C86" s="1370" t="s">
        <v>7149</v>
      </c>
      <c r="F86" s="1372">
        <v>8.6999999999999994E-3</v>
      </c>
      <c r="H86" s="1382">
        <v>4.0583333333333339E-3</v>
      </c>
      <c r="I86" s="1373">
        <f t="shared" si="0"/>
        <v>4.6416666666666655E-3</v>
      </c>
      <c r="J86" s="1371">
        <v>12055</v>
      </c>
    </row>
    <row r="87" spans="2:10" x14ac:dyDescent="0.45">
      <c r="B87" s="1371">
        <v>12086</v>
      </c>
      <c r="C87" s="1370" t="s">
        <v>7149</v>
      </c>
      <c r="F87" s="1372">
        <v>-0.1772</v>
      </c>
      <c r="H87" s="1382">
        <v>4.0958333333333333E-3</v>
      </c>
      <c r="I87" s="1373">
        <f t="shared" si="0"/>
        <v>-0.18129583333333332</v>
      </c>
      <c r="J87" s="1371">
        <v>12086</v>
      </c>
    </row>
    <row r="88" spans="2:10" x14ac:dyDescent="0.45">
      <c r="B88" s="1371">
        <v>12114</v>
      </c>
      <c r="C88" s="1370" t="s">
        <v>7149</v>
      </c>
      <c r="F88" s="1372">
        <v>3.5299999999999998E-2</v>
      </c>
      <c r="H88" s="1382">
        <v>4.2874999999999996E-3</v>
      </c>
      <c r="I88" s="1373">
        <f t="shared" si="0"/>
        <v>3.1012499999999998E-2</v>
      </c>
      <c r="J88" s="1371">
        <v>12114</v>
      </c>
    </row>
    <row r="89" spans="2:10" x14ac:dyDescent="0.45">
      <c r="B89" s="1371">
        <v>12145</v>
      </c>
      <c r="C89" s="1370" t="s">
        <v>7149</v>
      </c>
      <c r="F89" s="1372">
        <v>0.42559999999999998</v>
      </c>
      <c r="H89" s="1382">
        <v>4.4125000000000006E-3</v>
      </c>
      <c r="I89" s="1373">
        <f t="shared" si="0"/>
        <v>0.42118749999999999</v>
      </c>
      <c r="J89" s="1371">
        <v>12145</v>
      </c>
    </row>
    <row r="90" spans="2:10" x14ac:dyDescent="0.45">
      <c r="B90" s="1371">
        <v>12175</v>
      </c>
      <c r="C90" s="1370" t="s">
        <v>7149</v>
      </c>
      <c r="F90" s="1372">
        <v>0.16830000000000001</v>
      </c>
      <c r="H90" s="1382">
        <v>4.179166666666667E-3</v>
      </c>
      <c r="I90" s="1373">
        <f t="shared" ref="I90:I153" si="1">F90-H90</f>
        <v>0.16412083333333333</v>
      </c>
      <c r="J90" s="1371">
        <v>12175</v>
      </c>
    </row>
    <row r="91" spans="2:10" x14ac:dyDescent="0.45">
      <c r="B91" s="1371">
        <v>12206</v>
      </c>
      <c r="C91" s="1370" t="s">
        <v>7149</v>
      </c>
      <c r="F91" s="1372">
        <v>0.1338</v>
      </c>
      <c r="H91" s="1382">
        <v>3.9791666666666664E-3</v>
      </c>
      <c r="I91" s="1373">
        <f t="shared" si="1"/>
        <v>0.12982083333333333</v>
      </c>
      <c r="J91" s="1371">
        <v>12206</v>
      </c>
    </row>
    <row r="92" spans="2:10" x14ac:dyDescent="0.45">
      <c r="B92" s="1371">
        <v>12236</v>
      </c>
      <c r="C92" s="1370" t="s">
        <v>7149</v>
      </c>
      <c r="F92" s="1372">
        <v>-8.6199999999999999E-2</v>
      </c>
      <c r="H92" s="1382">
        <v>3.8291666666666669E-3</v>
      </c>
      <c r="I92" s="1373">
        <f t="shared" si="1"/>
        <v>-9.002916666666666E-2</v>
      </c>
      <c r="J92" s="1371">
        <v>12236</v>
      </c>
    </row>
    <row r="93" spans="2:10" x14ac:dyDescent="0.45">
      <c r="B93" s="1371">
        <v>12267</v>
      </c>
      <c r="C93" s="1370" t="s">
        <v>7149</v>
      </c>
      <c r="F93" s="1372">
        <v>0.1206</v>
      </c>
      <c r="H93" s="1382">
        <v>3.7791666666666668E-3</v>
      </c>
      <c r="I93" s="1373">
        <f t="shared" si="1"/>
        <v>0.11682083333333333</v>
      </c>
      <c r="J93" s="1371">
        <v>12267</v>
      </c>
    </row>
    <row r="94" spans="2:10" x14ac:dyDescent="0.45">
      <c r="B94" s="1371">
        <v>12298</v>
      </c>
      <c r="C94" s="1370" t="s">
        <v>7149</v>
      </c>
      <c r="F94" s="1372">
        <v>-0.1118</v>
      </c>
      <c r="H94" s="1382">
        <v>3.8833333333333333E-3</v>
      </c>
      <c r="I94" s="1373">
        <f t="shared" si="1"/>
        <v>-0.11568333333333333</v>
      </c>
      <c r="J94" s="1371">
        <v>12298</v>
      </c>
    </row>
    <row r="95" spans="2:10" x14ac:dyDescent="0.45">
      <c r="B95" s="1371">
        <v>12328</v>
      </c>
      <c r="C95" s="1370" t="s">
        <v>7149</v>
      </c>
      <c r="F95" s="1372">
        <v>-8.5500000000000007E-2</v>
      </c>
      <c r="H95" s="1382">
        <v>3.8791666666666662E-3</v>
      </c>
      <c r="I95" s="1373">
        <f t="shared" si="1"/>
        <v>-8.9379166666666676E-2</v>
      </c>
      <c r="J95" s="1371">
        <v>12328</v>
      </c>
    </row>
    <row r="96" spans="2:10" x14ac:dyDescent="0.45">
      <c r="B96" s="1371">
        <v>12359</v>
      </c>
      <c r="C96" s="1370" t="s">
        <v>7149</v>
      </c>
      <c r="F96" s="1372">
        <v>0.11269999999999999</v>
      </c>
      <c r="H96" s="1382">
        <v>4.120833333333334E-3</v>
      </c>
      <c r="I96" s="1373">
        <f t="shared" si="1"/>
        <v>0.10857916666666666</v>
      </c>
      <c r="J96" s="1371">
        <v>12359</v>
      </c>
    </row>
    <row r="97" spans="2:10" x14ac:dyDescent="0.45">
      <c r="B97" s="1371">
        <v>12389</v>
      </c>
      <c r="C97" s="1370" t="s">
        <v>7149</v>
      </c>
      <c r="F97" s="1372">
        <v>2.53E-2</v>
      </c>
      <c r="H97" s="1382">
        <v>4.0708333333333334E-3</v>
      </c>
      <c r="I97" s="1373">
        <f t="shared" si="1"/>
        <v>2.1229166666666667E-2</v>
      </c>
      <c r="J97" s="1371">
        <v>12389</v>
      </c>
    </row>
    <row r="98" spans="2:10" x14ac:dyDescent="0.45">
      <c r="B98" s="1371">
        <v>12420</v>
      </c>
      <c r="C98" s="1370" t="s">
        <v>7149</v>
      </c>
      <c r="F98" s="1372">
        <v>0.1069</v>
      </c>
      <c r="H98" s="1382">
        <v>3.8958333333333332E-3</v>
      </c>
      <c r="I98" s="1373">
        <f t="shared" si="1"/>
        <v>0.10300416666666666</v>
      </c>
      <c r="J98" s="1371">
        <v>12420</v>
      </c>
    </row>
    <row r="99" spans="2:10" x14ac:dyDescent="0.45">
      <c r="B99" s="1371">
        <v>12451</v>
      </c>
      <c r="C99" s="1370" t="s">
        <v>7149</v>
      </c>
      <c r="F99" s="1372">
        <v>-3.2199999999999999E-2</v>
      </c>
      <c r="H99" s="1382">
        <v>3.7083333333333334E-3</v>
      </c>
      <c r="I99" s="1373">
        <f t="shared" si="1"/>
        <v>-3.5908333333333334E-2</v>
      </c>
      <c r="J99" s="1371">
        <v>12451</v>
      </c>
    </row>
    <row r="100" spans="2:10" x14ac:dyDescent="0.45">
      <c r="B100" s="1371">
        <v>12479</v>
      </c>
      <c r="C100" s="1370" t="s">
        <v>7149</v>
      </c>
      <c r="F100" s="1372">
        <v>0</v>
      </c>
      <c r="H100" s="1382">
        <v>3.6166666666666669E-3</v>
      </c>
      <c r="I100" s="1373">
        <f t="shared" si="1"/>
        <v>-3.6166666666666669E-3</v>
      </c>
      <c r="J100" s="1371">
        <v>12479</v>
      </c>
    </row>
    <row r="101" spans="2:10" x14ac:dyDescent="0.45">
      <c r="B101" s="1371">
        <v>12510</v>
      </c>
      <c r="C101" s="1370" t="s">
        <v>7149</v>
      </c>
      <c r="F101" s="1372">
        <v>-2.5100000000000001E-2</v>
      </c>
      <c r="H101" s="1382">
        <v>3.5416666666666665E-3</v>
      </c>
      <c r="I101" s="1373">
        <f t="shared" si="1"/>
        <v>-2.8641666666666666E-2</v>
      </c>
      <c r="J101" s="1371">
        <v>12510</v>
      </c>
    </row>
    <row r="102" spans="2:10" x14ac:dyDescent="0.45">
      <c r="B102" s="1371">
        <v>12540</v>
      </c>
      <c r="C102" s="1370" t="s">
        <v>7149</v>
      </c>
      <c r="F102" s="1372">
        <v>-7.3599999999999999E-2</v>
      </c>
      <c r="H102" s="1382">
        <v>3.4916666666666668E-3</v>
      </c>
      <c r="I102" s="1373">
        <f t="shared" si="1"/>
        <v>-7.7091666666666669E-2</v>
      </c>
      <c r="J102" s="1371">
        <v>12540</v>
      </c>
    </row>
    <row r="103" spans="2:10" x14ac:dyDescent="0.45">
      <c r="B103" s="1371">
        <v>12571</v>
      </c>
      <c r="C103" s="1370" t="s">
        <v>7149</v>
      </c>
      <c r="F103" s="1372">
        <v>2.29E-2</v>
      </c>
      <c r="H103" s="1382">
        <v>3.4291666666666663E-3</v>
      </c>
      <c r="I103" s="1373">
        <f t="shared" si="1"/>
        <v>1.9470833333333333E-2</v>
      </c>
      <c r="J103" s="1371">
        <v>12571</v>
      </c>
    </row>
    <row r="104" spans="2:10" x14ac:dyDescent="0.45">
      <c r="B104" s="1371">
        <v>12601</v>
      </c>
      <c r="C104" s="1370" t="s">
        <v>7149</v>
      </c>
      <c r="F104" s="1372">
        <v>-0.1132</v>
      </c>
      <c r="H104" s="1382">
        <v>3.4041666666666669E-3</v>
      </c>
      <c r="I104" s="1373">
        <f t="shared" si="1"/>
        <v>-0.11660416666666666</v>
      </c>
      <c r="J104" s="1371">
        <v>12601</v>
      </c>
    </row>
    <row r="105" spans="2:10" x14ac:dyDescent="0.45">
      <c r="B105" s="1371">
        <v>12632</v>
      </c>
      <c r="C105" s="1370" t="s">
        <v>7149</v>
      </c>
      <c r="F105" s="1372">
        <v>6.1100000000000002E-2</v>
      </c>
      <c r="H105" s="1382">
        <v>3.4458333333333337E-3</v>
      </c>
      <c r="I105" s="1373">
        <f t="shared" si="1"/>
        <v>5.7654166666666666E-2</v>
      </c>
      <c r="J105" s="1371">
        <v>12632</v>
      </c>
    </row>
    <row r="106" spans="2:10" x14ac:dyDescent="0.45">
      <c r="B106" s="1371">
        <v>12663</v>
      </c>
      <c r="C106" s="1370" t="s">
        <v>7149</v>
      </c>
      <c r="F106" s="1372">
        <v>-3.3E-3</v>
      </c>
      <c r="H106" s="1382">
        <v>3.4916666666666668E-3</v>
      </c>
      <c r="I106" s="1373">
        <f t="shared" si="1"/>
        <v>-6.7916666666666663E-3</v>
      </c>
      <c r="J106" s="1371">
        <v>12663</v>
      </c>
    </row>
    <row r="107" spans="2:10" x14ac:dyDescent="0.45">
      <c r="B107" s="1371">
        <v>12693</v>
      </c>
      <c r="C107" s="1370" t="s">
        <v>7149</v>
      </c>
      <c r="F107" s="1372">
        <v>-2.86E-2</v>
      </c>
      <c r="H107" s="1382">
        <v>3.4416666666666667E-3</v>
      </c>
      <c r="I107" s="1373">
        <f t="shared" si="1"/>
        <v>-3.204166666666667E-2</v>
      </c>
      <c r="J107" s="1371">
        <v>12693</v>
      </c>
    </row>
    <row r="108" spans="2:10" x14ac:dyDescent="0.45">
      <c r="B108" s="1371">
        <v>12724</v>
      </c>
      <c r="C108" s="1370" t="s">
        <v>7149</v>
      </c>
      <c r="F108" s="1372">
        <v>9.4200000000000006E-2</v>
      </c>
      <c r="H108" s="1382">
        <v>3.3916666666666665E-3</v>
      </c>
      <c r="I108" s="1373">
        <f t="shared" si="1"/>
        <v>9.0808333333333338E-2</v>
      </c>
      <c r="J108" s="1371">
        <v>12724</v>
      </c>
    </row>
    <row r="109" spans="2:10" x14ac:dyDescent="0.45">
      <c r="B109" s="1371">
        <v>12754</v>
      </c>
      <c r="C109" s="1370" t="s">
        <v>7149</v>
      </c>
      <c r="F109" s="1372">
        <v>-1E-3</v>
      </c>
      <c r="H109" s="1382">
        <v>3.3666666666666667E-3</v>
      </c>
      <c r="I109" s="1373">
        <f t="shared" si="1"/>
        <v>-4.3666666666666663E-3</v>
      </c>
      <c r="J109" s="1371">
        <v>12754</v>
      </c>
    </row>
    <row r="110" spans="2:10" x14ac:dyDescent="0.45">
      <c r="B110" s="1371">
        <v>12785</v>
      </c>
      <c r="C110" s="1370" t="s">
        <v>7149</v>
      </c>
      <c r="F110" s="1372">
        <v>-4.1099999999999998E-2</v>
      </c>
      <c r="H110" s="1382">
        <v>3.3250000000000003E-3</v>
      </c>
      <c r="I110" s="1373">
        <f t="shared" si="1"/>
        <v>-4.4424999999999999E-2</v>
      </c>
      <c r="J110" s="1371">
        <v>12785</v>
      </c>
    </row>
    <row r="111" spans="2:10" x14ac:dyDescent="0.45">
      <c r="B111" s="1371">
        <v>12816</v>
      </c>
      <c r="C111" s="1370" t="s">
        <v>7149</v>
      </c>
      <c r="F111" s="1372">
        <v>-3.4099999999999998E-2</v>
      </c>
      <c r="H111" s="1382">
        <v>3.2583333333333331E-3</v>
      </c>
      <c r="I111" s="1373">
        <f t="shared" si="1"/>
        <v>-3.7358333333333334E-2</v>
      </c>
      <c r="J111" s="1371">
        <v>12816</v>
      </c>
    </row>
    <row r="112" spans="2:10" x14ac:dyDescent="0.45">
      <c r="B112" s="1371">
        <v>12844</v>
      </c>
      <c r="C112" s="1370" t="s">
        <v>7149</v>
      </c>
      <c r="F112" s="1372">
        <v>-2.86E-2</v>
      </c>
      <c r="H112" s="1382">
        <v>3.241666666666667E-3</v>
      </c>
      <c r="I112" s="1373">
        <f t="shared" si="1"/>
        <v>-3.1841666666666671E-2</v>
      </c>
      <c r="J112" s="1371">
        <v>12844</v>
      </c>
    </row>
    <row r="113" spans="2:10" x14ac:dyDescent="0.45">
      <c r="B113" s="1371">
        <v>12875</v>
      </c>
      <c r="C113" s="1370" t="s">
        <v>7149</v>
      </c>
      <c r="F113" s="1372">
        <v>9.8000000000000004E-2</v>
      </c>
      <c r="H113" s="1382">
        <v>3.225E-3</v>
      </c>
      <c r="I113" s="1373">
        <f t="shared" si="1"/>
        <v>9.4774999999999998E-2</v>
      </c>
      <c r="J113" s="1371">
        <v>12875</v>
      </c>
    </row>
    <row r="114" spans="2:10" x14ac:dyDescent="0.45">
      <c r="B114" s="1371">
        <v>12905</v>
      </c>
      <c r="C114" s="1370" t="s">
        <v>7149</v>
      </c>
      <c r="F114" s="1372">
        <v>4.0899999999999999E-2</v>
      </c>
      <c r="H114" s="1382">
        <v>3.2000000000000002E-3</v>
      </c>
      <c r="I114" s="1373">
        <f t="shared" si="1"/>
        <v>3.7699999999999997E-2</v>
      </c>
      <c r="J114" s="1371">
        <v>12905</v>
      </c>
    </row>
    <row r="115" spans="2:10" x14ac:dyDescent="0.45">
      <c r="B115" s="1371">
        <v>12936</v>
      </c>
      <c r="C115" s="1370" t="s">
        <v>7149</v>
      </c>
      <c r="F115" s="1372">
        <v>6.9900000000000004E-2</v>
      </c>
      <c r="H115" s="1382">
        <v>3.1666666666666666E-3</v>
      </c>
      <c r="I115" s="1373">
        <f t="shared" si="1"/>
        <v>6.6733333333333339E-2</v>
      </c>
      <c r="J115" s="1371">
        <v>12936</v>
      </c>
    </row>
    <row r="116" spans="2:10" x14ac:dyDescent="0.45">
      <c r="B116" s="1371">
        <v>12966</v>
      </c>
      <c r="C116" s="1370" t="s">
        <v>7149</v>
      </c>
      <c r="F116" s="1372">
        <v>8.5000000000000006E-2</v>
      </c>
      <c r="H116" s="1382">
        <v>3.1041666666666665E-3</v>
      </c>
      <c r="I116" s="1373">
        <f t="shared" si="1"/>
        <v>8.1895833333333334E-2</v>
      </c>
      <c r="J116" s="1371">
        <v>12966</v>
      </c>
    </row>
    <row r="117" spans="2:10" x14ac:dyDescent="0.45">
      <c r="B117" s="1371">
        <v>12997</v>
      </c>
      <c r="C117" s="1370" t="s">
        <v>7149</v>
      </c>
      <c r="F117" s="1372">
        <v>2.8000000000000001E-2</v>
      </c>
      <c r="H117" s="1382">
        <v>3.1125000000000002E-3</v>
      </c>
      <c r="I117" s="1373">
        <f t="shared" si="1"/>
        <v>2.48875E-2</v>
      </c>
      <c r="J117" s="1371">
        <v>12997</v>
      </c>
    </row>
    <row r="118" spans="2:10" x14ac:dyDescent="0.45">
      <c r="B118" s="1371">
        <v>13028</v>
      </c>
      <c r="C118" s="1370" t="s">
        <v>7149</v>
      </c>
      <c r="F118" s="1372">
        <v>2.5600000000000001E-2</v>
      </c>
      <c r="H118" s="1382">
        <v>3.0999999999999999E-3</v>
      </c>
      <c r="I118" s="1373">
        <f t="shared" si="1"/>
        <v>2.2500000000000003E-2</v>
      </c>
      <c r="J118" s="1371">
        <v>13028</v>
      </c>
    </row>
    <row r="119" spans="2:10" x14ac:dyDescent="0.45">
      <c r="B119" s="1371">
        <v>13058</v>
      </c>
      <c r="C119" s="1370" t="s">
        <v>7149</v>
      </c>
      <c r="F119" s="1372">
        <v>7.7700000000000005E-2</v>
      </c>
      <c r="H119" s="1382">
        <v>3.058333333333333E-3</v>
      </c>
      <c r="I119" s="1373">
        <f t="shared" si="1"/>
        <v>7.4641666666666676E-2</v>
      </c>
      <c r="J119" s="1371">
        <v>13058</v>
      </c>
    </row>
    <row r="120" spans="2:10" x14ac:dyDescent="0.45">
      <c r="B120" s="1371">
        <v>13089</v>
      </c>
      <c r="C120" s="1370" t="s">
        <v>7149</v>
      </c>
      <c r="F120" s="1372">
        <v>4.7399999999999998E-2</v>
      </c>
      <c r="H120" s="1382">
        <v>3.0000000000000005E-3</v>
      </c>
      <c r="I120" s="1373">
        <f t="shared" si="1"/>
        <v>4.4399999999999995E-2</v>
      </c>
      <c r="J120" s="1371">
        <v>13089</v>
      </c>
    </row>
    <row r="121" spans="2:10" x14ac:dyDescent="0.45">
      <c r="B121" s="1371">
        <v>13119</v>
      </c>
      <c r="C121" s="1370" t="s">
        <v>7149</v>
      </c>
      <c r="F121" s="1372">
        <v>3.9399999999999998E-2</v>
      </c>
      <c r="H121" s="1382">
        <v>2.9541666666666666E-3</v>
      </c>
      <c r="I121" s="1373">
        <f t="shared" si="1"/>
        <v>3.644583333333333E-2</v>
      </c>
      <c r="J121" s="1371">
        <v>13119</v>
      </c>
    </row>
    <row r="122" spans="2:10" x14ac:dyDescent="0.45">
      <c r="B122" s="1371">
        <v>13150</v>
      </c>
      <c r="C122" s="1370" t="s">
        <v>7149</v>
      </c>
      <c r="F122" s="1372">
        <v>6.7000000000000004E-2</v>
      </c>
      <c r="H122" s="1382">
        <v>2.891666666666667E-3</v>
      </c>
      <c r="I122" s="1373">
        <f t="shared" si="1"/>
        <v>6.4108333333333337E-2</v>
      </c>
      <c r="J122" s="1371">
        <v>13150</v>
      </c>
    </row>
    <row r="123" spans="2:10" x14ac:dyDescent="0.45">
      <c r="B123" s="1371">
        <v>13181</v>
      </c>
      <c r="C123" s="1370" t="s">
        <v>7149</v>
      </c>
      <c r="F123" s="1372">
        <v>2.24E-2</v>
      </c>
      <c r="H123" s="1382">
        <v>2.8625E-3</v>
      </c>
      <c r="I123" s="1373">
        <f t="shared" si="1"/>
        <v>1.9537499999999999E-2</v>
      </c>
      <c r="J123" s="1371">
        <v>13181</v>
      </c>
    </row>
    <row r="124" spans="2:10" x14ac:dyDescent="0.45">
      <c r="B124" s="1371">
        <v>13210</v>
      </c>
      <c r="C124" s="1370" t="s">
        <v>7149</v>
      </c>
      <c r="F124" s="1372">
        <v>2.6800000000000001E-2</v>
      </c>
      <c r="H124" s="1382">
        <v>2.8500000000000001E-3</v>
      </c>
      <c r="I124" s="1373">
        <f t="shared" si="1"/>
        <v>2.3949999999999999E-2</v>
      </c>
      <c r="J124" s="1371">
        <v>13210</v>
      </c>
    </row>
    <row r="125" spans="2:10" x14ac:dyDescent="0.45">
      <c r="B125" s="1371">
        <v>13241</v>
      </c>
      <c r="C125" s="1370" t="s">
        <v>7149</v>
      </c>
      <c r="F125" s="1372">
        <v>-7.51E-2</v>
      </c>
      <c r="H125" s="1382">
        <v>2.8583333333333334E-3</v>
      </c>
      <c r="I125" s="1373">
        <f t="shared" si="1"/>
        <v>-7.7958333333333338E-2</v>
      </c>
      <c r="J125" s="1371">
        <v>13241</v>
      </c>
    </row>
    <row r="126" spans="2:10" x14ac:dyDescent="0.45">
      <c r="B126" s="1371">
        <v>13271</v>
      </c>
      <c r="C126" s="1370" t="s">
        <v>7149</v>
      </c>
      <c r="F126" s="1372">
        <v>5.45E-2</v>
      </c>
      <c r="H126" s="1382">
        <v>2.8333333333333331E-3</v>
      </c>
      <c r="I126" s="1373">
        <f t="shared" si="1"/>
        <v>5.1666666666666666E-2</v>
      </c>
      <c r="J126" s="1371">
        <v>13271</v>
      </c>
    </row>
    <row r="127" spans="2:10" x14ac:dyDescent="0.45">
      <c r="B127" s="1371">
        <v>13302</v>
      </c>
      <c r="C127" s="1370" t="s">
        <v>7149</v>
      </c>
      <c r="F127" s="1372">
        <v>3.3300000000000003E-2</v>
      </c>
      <c r="H127" s="1382">
        <v>2.8124999999999999E-3</v>
      </c>
      <c r="I127" s="1373">
        <f t="shared" si="1"/>
        <v>3.0487500000000004E-2</v>
      </c>
      <c r="J127" s="1371">
        <v>13302</v>
      </c>
    </row>
    <row r="128" spans="2:10" x14ac:dyDescent="0.45">
      <c r="B128" s="1371">
        <v>13332</v>
      </c>
      <c r="C128" s="1370" t="s">
        <v>7149</v>
      </c>
      <c r="F128" s="1372">
        <v>7.0099999999999996E-2</v>
      </c>
      <c r="H128" s="1382">
        <v>2.7958333333333329E-3</v>
      </c>
      <c r="I128" s="1373">
        <f t="shared" si="1"/>
        <v>6.7304166666666665E-2</v>
      </c>
      <c r="J128" s="1371">
        <v>13332</v>
      </c>
    </row>
    <row r="129" spans="2:10" x14ac:dyDescent="0.45">
      <c r="B129" s="1371">
        <v>13363</v>
      </c>
      <c r="C129" s="1370" t="s">
        <v>7149</v>
      </c>
      <c r="F129" s="1372">
        <v>1.5100000000000001E-2</v>
      </c>
      <c r="H129" s="1382">
        <v>2.7708333333333335E-3</v>
      </c>
      <c r="I129" s="1373">
        <f t="shared" si="1"/>
        <v>1.2329166666666667E-2</v>
      </c>
      <c r="J129" s="1371">
        <v>13363</v>
      </c>
    </row>
    <row r="130" spans="2:10" x14ac:dyDescent="0.45">
      <c r="B130" s="1371">
        <v>13394</v>
      </c>
      <c r="C130" s="1370" t="s">
        <v>7149</v>
      </c>
      <c r="F130" s="1372">
        <v>3.0999999999999999E-3</v>
      </c>
      <c r="H130" s="1382">
        <v>2.7458333333333336E-3</v>
      </c>
      <c r="I130" s="1373">
        <f t="shared" si="1"/>
        <v>3.5416666666666626E-4</v>
      </c>
      <c r="J130" s="1371">
        <v>13394</v>
      </c>
    </row>
    <row r="131" spans="2:10" x14ac:dyDescent="0.45">
      <c r="B131" s="1371">
        <v>13424</v>
      </c>
      <c r="C131" s="1370" t="s">
        <v>7149</v>
      </c>
      <c r="F131" s="1372">
        <v>7.7499999999999999E-2</v>
      </c>
      <c r="H131" s="1382">
        <v>2.7291666666666671E-3</v>
      </c>
      <c r="I131" s="1373">
        <f t="shared" si="1"/>
        <v>7.4770833333333328E-2</v>
      </c>
      <c r="J131" s="1371">
        <v>13424</v>
      </c>
    </row>
    <row r="132" spans="2:10" x14ac:dyDescent="0.45">
      <c r="B132" s="1371">
        <v>13455</v>
      </c>
      <c r="C132" s="1370" t="s">
        <v>7149</v>
      </c>
      <c r="F132" s="1372">
        <v>1.34E-2</v>
      </c>
      <c r="H132" s="1382">
        <v>2.6916666666666669E-3</v>
      </c>
      <c r="I132" s="1373">
        <f t="shared" si="1"/>
        <v>1.0708333333333334E-2</v>
      </c>
      <c r="J132" s="1371">
        <v>13455</v>
      </c>
    </row>
    <row r="133" spans="2:10" x14ac:dyDescent="0.45">
      <c r="B133" s="1371">
        <v>13485</v>
      </c>
      <c r="C133" s="1370" t="s">
        <v>7149</v>
      </c>
      <c r="F133" s="1372">
        <v>-2.8999999999999998E-3</v>
      </c>
      <c r="H133" s="1382">
        <v>2.6583333333333337E-3</v>
      </c>
      <c r="I133" s="1373">
        <f t="shared" si="1"/>
        <v>-5.5583333333333335E-3</v>
      </c>
      <c r="J133" s="1371">
        <v>13485</v>
      </c>
    </row>
    <row r="134" spans="2:10" x14ac:dyDescent="0.45">
      <c r="B134" s="1371">
        <v>13516</v>
      </c>
      <c r="C134" s="1370" t="s">
        <v>7149</v>
      </c>
      <c r="F134" s="1372">
        <v>3.9E-2</v>
      </c>
      <c r="H134" s="1382">
        <v>2.6666666666666666E-3</v>
      </c>
      <c r="I134" s="1373">
        <f t="shared" si="1"/>
        <v>3.6333333333333336E-2</v>
      </c>
      <c r="J134" s="1371">
        <v>13516</v>
      </c>
    </row>
    <row r="135" spans="2:10" x14ac:dyDescent="0.45">
      <c r="B135" s="1371">
        <v>13547</v>
      </c>
      <c r="C135" s="1370" t="s">
        <v>7149</v>
      </c>
      <c r="F135" s="1372">
        <v>1.9099999999999999E-2</v>
      </c>
      <c r="H135" s="1382">
        <v>2.7583333333333336E-3</v>
      </c>
      <c r="I135" s="1373">
        <f t="shared" si="1"/>
        <v>1.6341666666666664E-2</v>
      </c>
      <c r="J135" s="1371">
        <v>13547</v>
      </c>
    </row>
    <row r="136" spans="2:10" x14ac:dyDescent="0.45">
      <c r="B136" s="1371">
        <v>13575</v>
      </c>
      <c r="C136" s="1370" t="s">
        <v>7149</v>
      </c>
      <c r="F136" s="1372">
        <v>-7.7000000000000002E-3</v>
      </c>
      <c r="H136" s="1382">
        <v>2.8416666666666668E-3</v>
      </c>
      <c r="I136" s="1373">
        <f t="shared" si="1"/>
        <v>-1.0541666666666668E-2</v>
      </c>
      <c r="J136" s="1371">
        <v>13575</v>
      </c>
    </row>
    <row r="137" spans="2:10" x14ac:dyDescent="0.45">
      <c r="B137" s="1371">
        <v>13606</v>
      </c>
      <c r="C137" s="1370" t="s">
        <v>7149</v>
      </c>
      <c r="F137" s="1372">
        <v>-8.09E-2</v>
      </c>
      <c r="H137" s="1382">
        <v>2.9125000000000002E-3</v>
      </c>
      <c r="I137" s="1373">
        <f t="shared" si="1"/>
        <v>-8.3812499999999998E-2</v>
      </c>
      <c r="J137" s="1371">
        <v>13606</v>
      </c>
    </row>
    <row r="138" spans="2:10" x14ac:dyDescent="0.45">
      <c r="B138" s="1371">
        <v>13636</v>
      </c>
      <c r="C138" s="1370" t="s">
        <v>7149</v>
      </c>
      <c r="F138" s="1372">
        <v>-2.3999999999999998E-3</v>
      </c>
      <c r="H138" s="1382">
        <v>2.8375000000000002E-3</v>
      </c>
      <c r="I138" s="1373">
        <f t="shared" si="1"/>
        <v>-5.2375E-3</v>
      </c>
      <c r="J138" s="1371">
        <v>13636</v>
      </c>
    </row>
    <row r="139" spans="2:10" x14ac:dyDescent="0.45">
      <c r="B139" s="1371">
        <v>13667</v>
      </c>
      <c r="C139" s="1370" t="s">
        <v>7149</v>
      </c>
      <c r="F139" s="1372">
        <v>-5.04E-2</v>
      </c>
      <c r="H139" s="1382">
        <v>2.7958333333333329E-3</v>
      </c>
      <c r="I139" s="1373">
        <f t="shared" si="1"/>
        <v>-5.3195833333333331E-2</v>
      </c>
      <c r="J139" s="1371">
        <v>13667</v>
      </c>
    </row>
    <row r="140" spans="2:10" x14ac:dyDescent="0.45">
      <c r="B140" s="1371">
        <v>13697</v>
      </c>
      <c r="C140" s="1370" t="s">
        <v>7149</v>
      </c>
      <c r="F140" s="1372">
        <v>0.1045</v>
      </c>
      <c r="H140" s="1382">
        <v>2.7749999999999997E-3</v>
      </c>
      <c r="I140" s="1373">
        <f t="shared" si="1"/>
        <v>0.101725</v>
      </c>
      <c r="J140" s="1371">
        <v>13697</v>
      </c>
    </row>
    <row r="141" spans="2:10" x14ac:dyDescent="0.45">
      <c r="B141" s="1371">
        <v>13728</v>
      </c>
      <c r="C141" s="1370" t="s">
        <v>7149</v>
      </c>
      <c r="F141" s="1372">
        <v>-4.8300000000000003E-2</v>
      </c>
      <c r="H141" s="1382">
        <v>2.7708333333333335E-3</v>
      </c>
      <c r="I141" s="1373">
        <f t="shared" si="1"/>
        <v>-5.1070833333333336E-2</v>
      </c>
      <c r="J141" s="1371">
        <v>13728</v>
      </c>
    </row>
    <row r="142" spans="2:10" x14ac:dyDescent="0.45">
      <c r="B142" s="1371">
        <v>13759</v>
      </c>
      <c r="C142" s="1370" t="s">
        <v>7149</v>
      </c>
      <c r="F142" s="1372">
        <v>-0.14030000000000001</v>
      </c>
      <c r="H142" s="1382">
        <v>2.8083333333333333E-3</v>
      </c>
      <c r="I142" s="1373">
        <f t="shared" si="1"/>
        <v>-0.14310833333333334</v>
      </c>
      <c r="J142" s="1371">
        <v>13759</v>
      </c>
    </row>
    <row r="143" spans="2:10" x14ac:dyDescent="0.45">
      <c r="B143" s="1371">
        <v>13789</v>
      </c>
      <c r="C143" s="1370" t="s">
        <v>7149</v>
      </c>
      <c r="F143" s="1372">
        <v>-9.8100000000000007E-2</v>
      </c>
      <c r="H143" s="1382">
        <v>2.8333333333333331E-3</v>
      </c>
      <c r="I143" s="1373">
        <f t="shared" si="1"/>
        <v>-0.10093333333333333</v>
      </c>
      <c r="J143" s="1371">
        <v>13789</v>
      </c>
    </row>
    <row r="144" spans="2:10" x14ac:dyDescent="0.45">
      <c r="B144" s="1371">
        <v>13820</v>
      </c>
      <c r="C144" s="1370" t="s">
        <v>7149</v>
      </c>
      <c r="F144" s="1372">
        <v>-8.6599999999999996E-2</v>
      </c>
      <c r="H144" s="1382">
        <v>2.8249999999999998E-3</v>
      </c>
      <c r="I144" s="1373">
        <f t="shared" si="1"/>
        <v>-8.9424999999999991E-2</v>
      </c>
      <c r="J144" s="1371">
        <v>13820</v>
      </c>
    </row>
    <row r="145" spans="2:10" x14ac:dyDescent="0.45">
      <c r="B145" s="1371">
        <v>13850</v>
      </c>
      <c r="C145" s="1370" t="s">
        <v>7149</v>
      </c>
      <c r="F145" s="1372">
        <v>-4.5900000000000003E-2</v>
      </c>
      <c r="H145" s="1382">
        <v>2.7958333333333333E-3</v>
      </c>
      <c r="I145" s="1373">
        <f t="shared" si="1"/>
        <v>-4.8695833333333334E-2</v>
      </c>
      <c r="J145" s="1371">
        <v>13850</v>
      </c>
    </row>
    <row r="146" spans="2:10" x14ac:dyDescent="0.45">
      <c r="B146" s="1371">
        <v>13881</v>
      </c>
      <c r="C146" s="1370" t="s">
        <v>7149</v>
      </c>
      <c r="F146" s="1372">
        <v>1.52E-2</v>
      </c>
      <c r="H146" s="1382">
        <v>2.7791666666666672E-3</v>
      </c>
      <c r="I146" s="1373">
        <f t="shared" si="1"/>
        <v>1.2420833333333332E-2</v>
      </c>
      <c r="J146" s="1371">
        <v>13881</v>
      </c>
    </row>
    <row r="147" spans="2:10" x14ac:dyDescent="0.45">
      <c r="B147" s="1371">
        <v>13912</v>
      </c>
      <c r="C147" s="1370" t="s">
        <v>7149</v>
      </c>
      <c r="F147" s="1372">
        <v>6.7400000000000002E-2</v>
      </c>
      <c r="H147" s="1382">
        <v>2.7958333333333329E-3</v>
      </c>
      <c r="I147" s="1373">
        <f t="shared" si="1"/>
        <v>6.4604166666666671E-2</v>
      </c>
      <c r="J147" s="1371">
        <v>13912</v>
      </c>
    </row>
    <row r="148" spans="2:10" x14ac:dyDescent="0.45">
      <c r="B148" s="1371">
        <v>13940</v>
      </c>
      <c r="C148" s="1370" t="s">
        <v>7149</v>
      </c>
      <c r="F148" s="1372">
        <v>-0.2487</v>
      </c>
      <c r="H148" s="1382">
        <v>2.8250000000000003E-3</v>
      </c>
      <c r="I148" s="1373">
        <f t="shared" si="1"/>
        <v>-0.251525</v>
      </c>
      <c r="J148" s="1371">
        <v>13940</v>
      </c>
    </row>
    <row r="149" spans="2:10" x14ac:dyDescent="0.45">
      <c r="B149" s="1371">
        <v>13971</v>
      </c>
      <c r="C149" s="1370" t="s">
        <v>7149</v>
      </c>
      <c r="F149" s="1372">
        <v>0.1447</v>
      </c>
      <c r="H149" s="1382">
        <v>2.9291666666666667E-3</v>
      </c>
      <c r="I149" s="1373">
        <f t="shared" si="1"/>
        <v>0.14177083333333332</v>
      </c>
      <c r="J149" s="1371">
        <v>13971</v>
      </c>
    </row>
    <row r="150" spans="2:10" x14ac:dyDescent="0.45">
      <c r="B150" s="1371">
        <v>14001</v>
      </c>
      <c r="C150" s="1370" t="s">
        <v>7149</v>
      </c>
      <c r="F150" s="1372">
        <v>-3.3000000000000002E-2</v>
      </c>
      <c r="H150" s="1382">
        <v>2.8250000000000003E-3</v>
      </c>
      <c r="I150" s="1373">
        <f t="shared" si="1"/>
        <v>-3.5825000000000003E-2</v>
      </c>
      <c r="J150" s="1371">
        <v>14001</v>
      </c>
    </row>
    <row r="151" spans="2:10" x14ac:dyDescent="0.45">
      <c r="B151" s="1371">
        <v>14032</v>
      </c>
      <c r="C151" s="1370" t="s">
        <v>7149</v>
      </c>
      <c r="F151" s="1372">
        <v>0.25030000000000002</v>
      </c>
      <c r="H151" s="1382">
        <v>2.891666666666667E-3</v>
      </c>
      <c r="I151" s="1373">
        <f t="shared" si="1"/>
        <v>0.24740833333333337</v>
      </c>
      <c r="J151" s="1371">
        <v>14032</v>
      </c>
    </row>
    <row r="152" spans="2:10" x14ac:dyDescent="0.45">
      <c r="B152" s="1371">
        <v>14062</v>
      </c>
      <c r="C152" s="1370" t="s">
        <v>7149</v>
      </c>
      <c r="F152" s="1372">
        <v>7.4399999999999994E-2</v>
      </c>
      <c r="H152" s="1382">
        <v>2.8500000000000001E-3</v>
      </c>
      <c r="I152" s="1373">
        <f t="shared" si="1"/>
        <v>7.1549999999999989E-2</v>
      </c>
      <c r="J152" s="1371">
        <v>14062</v>
      </c>
    </row>
    <row r="153" spans="2:10" x14ac:dyDescent="0.45">
      <c r="B153" s="1371">
        <v>14093</v>
      </c>
      <c r="C153" s="1370" t="s">
        <v>7149</v>
      </c>
      <c r="F153" s="1372">
        <v>-2.2599999999999999E-2</v>
      </c>
      <c r="H153" s="1382">
        <v>2.8124999999999999E-3</v>
      </c>
      <c r="I153" s="1373">
        <f t="shared" si="1"/>
        <v>-2.5412499999999998E-2</v>
      </c>
      <c r="J153" s="1371">
        <v>14093</v>
      </c>
    </row>
    <row r="154" spans="2:10" x14ac:dyDescent="0.45">
      <c r="B154" s="1371">
        <v>14124</v>
      </c>
      <c r="C154" s="1370" t="s">
        <v>7149</v>
      </c>
      <c r="F154" s="1372">
        <v>1.66E-2</v>
      </c>
      <c r="H154" s="1382">
        <v>2.8375000000000002E-3</v>
      </c>
      <c r="I154" s="1373">
        <f t="shared" ref="I154:I217" si="2">F154-H154</f>
        <v>1.37625E-2</v>
      </c>
      <c r="J154" s="1371">
        <v>14124</v>
      </c>
    </row>
    <row r="155" spans="2:10" x14ac:dyDescent="0.45">
      <c r="B155" s="1371">
        <v>14154</v>
      </c>
      <c r="C155" s="1370" t="s">
        <v>7149</v>
      </c>
      <c r="F155" s="1372">
        <v>7.7600000000000002E-2</v>
      </c>
      <c r="H155" s="1382">
        <v>2.7833333333333334E-3</v>
      </c>
      <c r="I155" s="1373">
        <f t="shared" si="2"/>
        <v>7.481666666666667E-2</v>
      </c>
      <c r="J155" s="1371">
        <v>14154</v>
      </c>
    </row>
    <row r="156" spans="2:10" x14ac:dyDescent="0.45">
      <c r="B156" s="1371">
        <v>14185</v>
      </c>
      <c r="C156" s="1370" t="s">
        <v>7149</v>
      </c>
      <c r="F156" s="1372">
        <v>-2.7300000000000001E-2</v>
      </c>
      <c r="H156" s="1382">
        <v>2.7333333333333333E-3</v>
      </c>
      <c r="I156" s="1373">
        <f t="shared" si="2"/>
        <v>-3.0033333333333335E-2</v>
      </c>
      <c r="J156" s="1371">
        <v>14185</v>
      </c>
    </row>
    <row r="157" spans="2:10" x14ac:dyDescent="0.45">
      <c r="B157" s="1371">
        <v>14215</v>
      </c>
      <c r="C157" s="1370" t="s">
        <v>7149</v>
      </c>
      <c r="F157" s="1372">
        <v>4.0099999999999997E-2</v>
      </c>
      <c r="H157" s="1382">
        <v>2.708333333333333E-3</v>
      </c>
      <c r="I157" s="1373">
        <f t="shared" si="2"/>
        <v>3.7391666666666663E-2</v>
      </c>
      <c r="J157" s="1371">
        <v>14215</v>
      </c>
    </row>
    <row r="158" spans="2:10" x14ac:dyDescent="0.45">
      <c r="B158" s="1371">
        <v>14246</v>
      </c>
      <c r="C158" s="1370" t="s">
        <v>7149</v>
      </c>
      <c r="F158" s="1372">
        <v>-6.7400000000000002E-2</v>
      </c>
      <c r="H158" s="1382">
        <v>2.6374999999999997E-3</v>
      </c>
      <c r="I158" s="1373">
        <f t="shared" si="2"/>
        <v>-7.0037500000000003E-2</v>
      </c>
      <c r="J158" s="1371">
        <v>14246</v>
      </c>
    </row>
    <row r="159" spans="2:10" x14ac:dyDescent="0.45">
      <c r="B159" s="1371">
        <v>14277</v>
      </c>
      <c r="C159" s="1370" t="s">
        <v>7149</v>
      </c>
      <c r="F159" s="1372">
        <v>3.9E-2</v>
      </c>
      <c r="H159" s="1382">
        <v>2.6083333333333336E-3</v>
      </c>
      <c r="I159" s="1373">
        <f t="shared" si="2"/>
        <v>3.6391666666666669E-2</v>
      </c>
      <c r="J159" s="1371">
        <v>14277</v>
      </c>
    </row>
    <row r="160" spans="2:10" x14ac:dyDescent="0.45">
      <c r="B160" s="1371">
        <v>14305</v>
      </c>
      <c r="C160" s="1370" t="s">
        <v>7149</v>
      </c>
      <c r="F160" s="1372">
        <v>-0.13389999999999999</v>
      </c>
      <c r="H160" s="1382">
        <v>2.5875000000000004E-3</v>
      </c>
      <c r="I160" s="1373">
        <f t="shared" si="2"/>
        <v>-0.13648749999999998</v>
      </c>
      <c r="J160" s="1371">
        <v>14305</v>
      </c>
    </row>
    <row r="161" spans="2:10" x14ac:dyDescent="0.45">
      <c r="B161" s="1371">
        <v>14336</v>
      </c>
      <c r="C161" s="1370" t="s">
        <v>7149</v>
      </c>
      <c r="F161" s="1372">
        <v>-2.7000000000000001E-3</v>
      </c>
      <c r="H161" s="1382">
        <v>2.5999999999999999E-3</v>
      </c>
      <c r="I161" s="1373">
        <f t="shared" si="2"/>
        <v>-5.3E-3</v>
      </c>
      <c r="J161" s="1371">
        <v>14336</v>
      </c>
    </row>
    <row r="162" spans="2:10" x14ac:dyDescent="0.45">
      <c r="B162" s="1371">
        <v>14366</v>
      </c>
      <c r="C162" s="1370" t="s">
        <v>7149</v>
      </c>
      <c r="F162" s="1372">
        <v>7.3300000000000004E-2</v>
      </c>
      <c r="H162" s="1382">
        <v>2.5541666666666668E-3</v>
      </c>
      <c r="I162" s="1373">
        <f t="shared" si="2"/>
        <v>7.0745833333333341E-2</v>
      </c>
      <c r="J162" s="1371">
        <v>14366</v>
      </c>
    </row>
    <row r="163" spans="2:10" x14ac:dyDescent="0.45">
      <c r="B163" s="1371">
        <v>14397</v>
      </c>
      <c r="C163" s="1370" t="s">
        <v>7149</v>
      </c>
      <c r="F163" s="1372">
        <v>-6.1199999999999997E-2</v>
      </c>
      <c r="H163" s="1382">
        <v>2.5208333333333333E-3</v>
      </c>
      <c r="I163" s="1373">
        <f t="shared" si="2"/>
        <v>-6.3720833333333338E-2</v>
      </c>
      <c r="J163" s="1371">
        <v>14397</v>
      </c>
    </row>
    <row r="164" spans="2:10" x14ac:dyDescent="0.45">
      <c r="B164" s="1371">
        <v>14427</v>
      </c>
      <c r="C164" s="1370" t="s">
        <v>7149</v>
      </c>
      <c r="F164" s="1372">
        <v>0.1105</v>
      </c>
      <c r="H164" s="1382">
        <v>2.4875000000000001E-3</v>
      </c>
      <c r="I164" s="1373">
        <f t="shared" si="2"/>
        <v>0.1080125</v>
      </c>
      <c r="J164" s="1371">
        <v>14427</v>
      </c>
    </row>
    <row r="165" spans="2:10" x14ac:dyDescent="0.45">
      <c r="B165" s="1371">
        <v>14458</v>
      </c>
      <c r="C165" s="1370" t="s">
        <v>7149</v>
      </c>
      <c r="F165" s="1372">
        <v>-6.4799999999999996E-2</v>
      </c>
      <c r="H165" s="1382">
        <v>2.5166666666666666E-3</v>
      </c>
      <c r="I165" s="1373">
        <f t="shared" si="2"/>
        <v>-6.7316666666666664E-2</v>
      </c>
      <c r="J165" s="1371">
        <v>14458</v>
      </c>
    </row>
    <row r="166" spans="2:10" x14ac:dyDescent="0.45">
      <c r="B166" s="1371">
        <v>14489</v>
      </c>
      <c r="C166" s="1370" t="s">
        <v>7149</v>
      </c>
      <c r="F166" s="1372">
        <v>0.1673</v>
      </c>
      <c r="H166" s="1382">
        <v>2.8083333333333333E-3</v>
      </c>
      <c r="I166" s="1373">
        <f t="shared" si="2"/>
        <v>0.16449166666666667</v>
      </c>
      <c r="J166" s="1371">
        <v>14489</v>
      </c>
    </row>
    <row r="167" spans="2:10" x14ac:dyDescent="0.45">
      <c r="B167" s="1371">
        <v>14519</v>
      </c>
      <c r="C167" s="1370" t="s">
        <v>7149</v>
      </c>
      <c r="F167" s="1372">
        <v>-1.23E-2</v>
      </c>
      <c r="H167" s="1382">
        <v>2.7083333333333339E-3</v>
      </c>
      <c r="I167" s="1373">
        <f t="shared" si="2"/>
        <v>-1.5008333333333334E-2</v>
      </c>
      <c r="J167" s="1371">
        <v>14519</v>
      </c>
    </row>
    <row r="168" spans="2:10" x14ac:dyDescent="0.45">
      <c r="B168" s="1371">
        <v>14550</v>
      </c>
      <c r="C168" s="1370" t="s">
        <v>7149</v>
      </c>
      <c r="F168" s="1372">
        <v>-3.9800000000000002E-2</v>
      </c>
      <c r="H168" s="1382">
        <v>2.5666666666666672E-3</v>
      </c>
      <c r="I168" s="1373">
        <f t="shared" si="2"/>
        <v>-4.2366666666666671E-2</v>
      </c>
      <c r="J168" s="1371">
        <v>14550</v>
      </c>
    </row>
    <row r="169" spans="2:10" x14ac:dyDescent="0.45">
      <c r="B169" s="1371">
        <v>14580</v>
      </c>
      <c r="C169" s="1370" t="s">
        <v>7149</v>
      </c>
      <c r="F169" s="1372">
        <v>2.7E-2</v>
      </c>
      <c r="H169" s="1382">
        <v>2.5333333333333332E-3</v>
      </c>
      <c r="I169" s="1373">
        <f t="shared" si="2"/>
        <v>2.4466666666666668E-2</v>
      </c>
      <c r="J169" s="1371">
        <v>14580</v>
      </c>
    </row>
    <row r="170" spans="2:10" x14ac:dyDescent="0.45">
      <c r="B170" s="1371">
        <v>14611</v>
      </c>
      <c r="C170" s="1370" t="s">
        <v>7149</v>
      </c>
      <c r="F170" s="1372">
        <v>-3.3599999999999998E-2</v>
      </c>
      <c r="H170" s="1382">
        <v>2.4833333333333331E-3</v>
      </c>
      <c r="I170" s="1373">
        <f t="shared" si="2"/>
        <v>-3.6083333333333328E-2</v>
      </c>
      <c r="J170" s="1371">
        <v>14611</v>
      </c>
    </row>
    <row r="171" spans="2:10" x14ac:dyDescent="0.45">
      <c r="B171" s="1371">
        <v>14642</v>
      </c>
      <c r="C171" s="1370" t="s">
        <v>7149</v>
      </c>
      <c r="F171" s="1372">
        <v>1.3299999999999999E-2</v>
      </c>
      <c r="H171" s="1382">
        <v>2.4624999999999998E-3</v>
      </c>
      <c r="I171" s="1373">
        <f t="shared" si="2"/>
        <v>1.08375E-2</v>
      </c>
      <c r="J171" s="1371">
        <v>14642</v>
      </c>
    </row>
    <row r="172" spans="2:10" x14ac:dyDescent="0.45">
      <c r="B172" s="1371">
        <v>14671</v>
      </c>
      <c r="C172" s="1370" t="s">
        <v>7149</v>
      </c>
      <c r="F172" s="1372">
        <v>1.24E-2</v>
      </c>
      <c r="H172" s="1382">
        <v>2.4499999999999999E-3</v>
      </c>
      <c r="I172" s="1373">
        <f t="shared" si="2"/>
        <v>9.9500000000000005E-3</v>
      </c>
      <c r="J172" s="1371">
        <v>14671</v>
      </c>
    </row>
    <row r="173" spans="2:10" x14ac:dyDescent="0.45">
      <c r="B173" s="1371">
        <v>14702</v>
      </c>
      <c r="C173" s="1370" t="s">
        <v>7149</v>
      </c>
      <c r="F173" s="1372">
        <v>-2.3999999999999998E-3</v>
      </c>
      <c r="H173" s="1382">
        <v>2.420833333333333E-3</v>
      </c>
      <c r="I173" s="1373">
        <f t="shared" si="2"/>
        <v>-4.8208333333333332E-3</v>
      </c>
      <c r="J173" s="1371">
        <v>14702</v>
      </c>
    </row>
    <row r="174" spans="2:10" x14ac:dyDescent="0.45">
      <c r="B174" s="1371">
        <v>14732</v>
      </c>
      <c r="C174" s="1370" t="s">
        <v>7149</v>
      </c>
      <c r="F174" s="1372">
        <v>-0.22889999999999999</v>
      </c>
      <c r="H174" s="1382">
        <v>2.5041666666666667E-3</v>
      </c>
      <c r="I174" s="1373">
        <f t="shared" si="2"/>
        <v>-0.23140416666666666</v>
      </c>
      <c r="J174" s="1371">
        <v>14732</v>
      </c>
    </row>
    <row r="175" spans="2:10" x14ac:dyDescent="0.45">
      <c r="B175" s="1371">
        <v>14763</v>
      </c>
      <c r="C175" s="1370" t="s">
        <v>7149</v>
      </c>
      <c r="F175" s="1372">
        <v>8.09E-2</v>
      </c>
      <c r="H175" s="1382">
        <v>2.5249999999999999E-3</v>
      </c>
      <c r="I175" s="1373">
        <f t="shared" si="2"/>
        <v>7.8375E-2</v>
      </c>
      <c r="J175" s="1371">
        <v>14763</v>
      </c>
    </row>
    <row r="176" spans="2:10" x14ac:dyDescent="0.45">
      <c r="B176" s="1371">
        <v>14793</v>
      </c>
      <c r="C176" s="1370" t="s">
        <v>7149</v>
      </c>
      <c r="F176" s="1372">
        <v>3.4099999999999998E-2</v>
      </c>
      <c r="H176" s="1382">
        <v>2.4541666666666666E-3</v>
      </c>
      <c r="I176" s="1373">
        <f t="shared" si="2"/>
        <v>3.1645833333333331E-2</v>
      </c>
      <c r="J176" s="1371">
        <v>14793</v>
      </c>
    </row>
    <row r="177" spans="2:10" x14ac:dyDescent="0.45">
      <c r="B177" s="1371">
        <v>14824</v>
      </c>
      <c r="C177" s="1370" t="s">
        <v>7149</v>
      </c>
      <c r="F177" s="1372">
        <v>3.5000000000000003E-2</v>
      </c>
      <c r="H177" s="1382">
        <v>2.4499999999999999E-3</v>
      </c>
      <c r="I177" s="1373">
        <f t="shared" si="2"/>
        <v>3.2550000000000003E-2</v>
      </c>
      <c r="J177" s="1371">
        <v>14824</v>
      </c>
    </row>
    <row r="178" spans="2:10" x14ac:dyDescent="0.45">
      <c r="B178" s="1371">
        <v>14855</v>
      </c>
      <c r="C178" s="1370" t="s">
        <v>7149</v>
      </c>
      <c r="F178" s="1372">
        <v>1.23E-2</v>
      </c>
      <c r="H178" s="1382">
        <v>2.4291666666666663E-3</v>
      </c>
      <c r="I178" s="1373">
        <f t="shared" si="2"/>
        <v>9.8708333333333339E-3</v>
      </c>
      <c r="J178" s="1371">
        <v>14855</v>
      </c>
    </row>
    <row r="179" spans="2:10" x14ac:dyDescent="0.45">
      <c r="B179" s="1371">
        <v>14885</v>
      </c>
      <c r="C179" s="1370" t="s">
        <v>7149</v>
      </c>
      <c r="F179" s="1372">
        <v>4.2200000000000001E-2</v>
      </c>
      <c r="H179" s="1382">
        <v>2.4166666666666664E-3</v>
      </c>
      <c r="I179" s="1373">
        <f t="shared" si="2"/>
        <v>3.9783333333333337E-2</v>
      </c>
      <c r="J179" s="1371">
        <v>14885</v>
      </c>
    </row>
    <row r="180" spans="2:10" x14ac:dyDescent="0.45">
      <c r="B180" s="1371">
        <v>14916</v>
      </c>
      <c r="C180" s="1370" t="s">
        <v>7149</v>
      </c>
      <c r="F180" s="1372">
        <v>-3.1600000000000003E-2</v>
      </c>
      <c r="H180" s="1382">
        <v>2.3791666666666666E-3</v>
      </c>
      <c r="I180" s="1373">
        <f t="shared" si="2"/>
        <v>-3.3979166666666671E-2</v>
      </c>
      <c r="J180" s="1371">
        <v>14916</v>
      </c>
    </row>
    <row r="181" spans="2:10" x14ac:dyDescent="0.45">
      <c r="B181" s="1371">
        <v>14946</v>
      </c>
      <c r="C181" s="1370" t="s">
        <v>7149</v>
      </c>
      <c r="F181" s="1372">
        <v>8.9999999999999998E-4</v>
      </c>
      <c r="H181" s="1382">
        <v>2.345833333333333E-3</v>
      </c>
      <c r="I181" s="1373">
        <f t="shared" si="2"/>
        <v>-1.445833333333333E-3</v>
      </c>
      <c r="J181" s="1371">
        <v>14946</v>
      </c>
    </row>
    <row r="182" spans="2:10" x14ac:dyDescent="0.45">
      <c r="B182" s="1371">
        <v>14977</v>
      </c>
      <c r="C182" s="1370" t="s">
        <v>7149</v>
      </c>
      <c r="F182" s="1372">
        <v>-4.6300000000000001E-2</v>
      </c>
      <c r="H182" s="1382">
        <v>2.3749999999999999E-3</v>
      </c>
      <c r="I182" s="1373">
        <f t="shared" si="2"/>
        <v>-4.8675000000000003E-2</v>
      </c>
      <c r="J182" s="1371">
        <v>14977</v>
      </c>
    </row>
    <row r="183" spans="2:10" x14ac:dyDescent="0.45">
      <c r="B183" s="1371">
        <v>15008</v>
      </c>
      <c r="C183" s="1370" t="s">
        <v>7149</v>
      </c>
      <c r="F183" s="1372">
        <v>-6.0000000000000001E-3</v>
      </c>
      <c r="H183" s="1382">
        <v>2.4083333333333335E-3</v>
      </c>
      <c r="I183" s="1373">
        <f t="shared" si="2"/>
        <v>-8.4083333333333336E-3</v>
      </c>
      <c r="J183" s="1371">
        <v>15008</v>
      </c>
    </row>
    <row r="184" spans="2:10" x14ac:dyDescent="0.45">
      <c r="B184" s="1371">
        <v>15036</v>
      </c>
      <c r="C184" s="1370" t="s">
        <v>7149</v>
      </c>
      <c r="F184" s="1372">
        <v>7.1000000000000004E-3</v>
      </c>
      <c r="H184" s="1382">
        <v>2.420833333333333E-3</v>
      </c>
      <c r="I184" s="1373">
        <f t="shared" si="2"/>
        <v>4.6791666666666674E-3</v>
      </c>
      <c r="J184" s="1371">
        <v>15036</v>
      </c>
    </row>
    <row r="185" spans="2:10" x14ac:dyDescent="0.45">
      <c r="B185" s="1371">
        <v>15067</v>
      </c>
      <c r="C185" s="1370" t="s">
        <v>7149</v>
      </c>
      <c r="F185" s="1372">
        <v>-6.1199999999999997E-2</v>
      </c>
      <c r="H185" s="1382">
        <v>2.4416666666666666E-3</v>
      </c>
      <c r="I185" s="1373">
        <f t="shared" si="2"/>
        <v>-6.3641666666666666E-2</v>
      </c>
      <c r="J185" s="1371">
        <v>15067</v>
      </c>
    </row>
    <row r="186" spans="2:10" x14ac:dyDescent="0.45">
      <c r="B186" s="1371">
        <v>15097</v>
      </c>
      <c r="C186" s="1370" t="s">
        <v>7149</v>
      </c>
      <c r="F186" s="1372">
        <v>1.83E-2</v>
      </c>
      <c r="H186" s="1382">
        <v>2.4166666666666668E-3</v>
      </c>
      <c r="I186" s="1373">
        <f t="shared" si="2"/>
        <v>1.5883333333333333E-2</v>
      </c>
      <c r="J186" s="1371">
        <v>15097</v>
      </c>
    </row>
    <row r="187" spans="2:10" x14ac:dyDescent="0.45">
      <c r="B187" s="1371">
        <v>15128</v>
      </c>
      <c r="C187" s="1370" t="s">
        <v>7149</v>
      </c>
      <c r="F187" s="1372">
        <v>5.7799999999999997E-2</v>
      </c>
      <c r="H187" s="1382">
        <v>2.3833333333333332E-3</v>
      </c>
      <c r="I187" s="1373">
        <f t="shared" si="2"/>
        <v>5.5416666666666663E-2</v>
      </c>
      <c r="J187" s="1371">
        <v>15128</v>
      </c>
    </row>
    <row r="188" spans="2:10" x14ac:dyDescent="0.45">
      <c r="B188" s="1371">
        <v>15158</v>
      </c>
      <c r="C188" s="1370" t="s">
        <v>7149</v>
      </c>
      <c r="F188" s="1372">
        <v>5.79E-2</v>
      </c>
      <c r="H188" s="1382">
        <v>2.3500000000000001E-3</v>
      </c>
      <c r="I188" s="1373">
        <f t="shared" si="2"/>
        <v>5.5550000000000002E-2</v>
      </c>
      <c r="J188" s="1371">
        <v>15158</v>
      </c>
    </row>
    <row r="189" spans="2:10" x14ac:dyDescent="0.45">
      <c r="B189" s="1371">
        <v>15189</v>
      </c>
      <c r="C189" s="1370" t="s">
        <v>7149</v>
      </c>
      <c r="F189" s="1372">
        <v>1E-3</v>
      </c>
      <c r="H189" s="1382">
        <v>2.3500000000000001E-3</v>
      </c>
      <c r="I189" s="1373">
        <f t="shared" si="2"/>
        <v>-1.3500000000000001E-3</v>
      </c>
      <c r="J189" s="1371">
        <v>15189</v>
      </c>
    </row>
    <row r="190" spans="2:10" x14ac:dyDescent="0.45">
      <c r="B190" s="1371">
        <v>15220</v>
      </c>
      <c r="C190" s="1370" t="s">
        <v>7149</v>
      </c>
      <c r="F190" s="1372">
        <v>-6.7999999999999996E-3</v>
      </c>
      <c r="H190" s="1382">
        <v>2.3583333333333334E-3</v>
      </c>
      <c r="I190" s="1373">
        <f t="shared" si="2"/>
        <v>-9.1583333333333326E-3</v>
      </c>
      <c r="J190" s="1371">
        <v>15220</v>
      </c>
    </row>
    <row r="191" spans="2:10" x14ac:dyDescent="0.45">
      <c r="B191" s="1371">
        <v>15250</v>
      </c>
      <c r="C191" s="1370" t="s">
        <v>7149</v>
      </c>
      <c r="F191" s="1372">
        <v>-6.5699999999999995E-2</v>
      </c>
      <c r="H191" s="1382">
        <v>2.3333333333333335E-3</v>
      </c>
      <c r="I191" s="1373">
        <f t="shared" si="2"/>
        <v>-6.8033333333333335E-2</v>
      </c>
      <c r="J191" s="1371">
        <v>15250</v>
      </c>
    </row>
    <row r="192" spans="2:10" x14ac:dyDescent="0.45">
      <c r="B192" s="1371">
        <v>15281</v>
      </c>
      <c r="C192" s="1370" t="s">
        <v>7149</v>
      </c>
      <c r="F192" s="1372">
        <v>-2.8400000000000002E-2</v>
      </c>
      <c r="H192" s="1382">
        <v>2.3249999999999998E-3</v>
      </c>
      <c r="I192" s="1373">
        <f t="shared" si="2"/>
        <v>-3.0725000000000002E-2</v>
      </c>
      <c r="J192" s="1371">
        <v>15281</v>
      </c>
    </row>
    <row r="193" spans="2:10" x14ac:dyDescent="0.45">
      <c r="B193" s="1371">
        <v>15311</v>
      </c>
      <c r="C193" s="1370" t="s">
        <v>7149</v>
      </c>
      <c r="F193" s="1372">
        <v>-4.07E-2</v>
      </c>
      <c r="H193" s="1382">
        <v>2.3958333333333331E-3</v>
      </c>
      <c r="I193" s="1373">
        <f t="shared" si="2"/>
        <v>-4.3095833333333333E-2</v>
      </c>
      <c r="J193" s="1371">
        <v>15311</v>
      </c>
    </row>
    <row r="194" spans="2:10" x14ac:dyDescent="0.45">
      <c r="B194" s="1371">
        <v>15342</v>
      </c>
      <c r="C194" s="1370" t="s">
        <v>7149</v>
      </c>
      <c r="F194" s="1372">
        <v>1.61E-2</v>
      </c>
      <c r="H194" s="1382">
        <v>2.4125000000000001E-3</v>
      </c>
      <c r="I194" s="1373">
        <f t="shared" si="2"/>
        <v>1.36875E-2</v>
      </c>
      <c r="J194" s="1371">
        <v>15342</v>
      </c>
    </row>
    <row r="195" spans="2:10" x14ac:dyDescent="0.45">
      <c r="B195" s="1371">
        <v>15373</v>
      </c>
      <c r="C195" s="1370" t="s">
        <v>7149</v>
      </c>
      <c r="F195" s="1372">
        <v>-1.5900000000000001E-2</v>
      </c>
      <c r="H195" s="1382">
        <v>2.4291666666666667E-3</v>
      </c>
      <c r="I195" s="1373">
        <f t="shared" si="2"/>
        <v>-1.8329166666666667E-2</v>
      </c>
      <c r="J195" s="1371">
        <v>15373</v>
      </c>
    </row>
    <row r="196" spans="2:10" x14ac:dyDescent="0.45">
      <c r="B196" s="1371">
        <v>15401</v>
      </c>
      <c r="C196" s="1370" t="s">
        <v>7149</v>
      </c>
      <c r="F196" s="1372">
        <v>-6.5199999999999994E-2</v>
      </c>
      <c r="H196" s="1382">
        <v>2.4416666666666666E-3</v>
      </c>
      <c r="I196" s="1373">
        <f t="shared" si="2"/>
        <v>-6.7641666666666656E-2</v>
      </c>
      <c r="J196" s="1371">
        <v>15401</v>
      </c>
    </row>
    <row r="197" spans="2:10" x14ac:dyDescent="0.45">
      <c r="B197" s="1371">
        <v>15432</v>
      </c>
      <c r="C197" s="1370" t="s">
        <v>7149</v>
      </c>
      <c r="F197" s="1372">
        <v>-3.9899999999999998E-2</v>
      </c>
      <c r="H197" s="1382">
        <v>2.420833333333333E-3</v>
      </c>
      <c r="I197" s="1373">
        <f t="shared" si="2"/>
        <v>-4.2320833333333328E-2</v>
      </c>
      <c r="J197" s="1371">
        <v>15432</v>
      </c>
    </row>
    <row r="198" spans="2:10" x14ac:dyDescent="0.45">
      <c r="B198" s="1371">
        <v>15462</v>
      </c>
      <c r="C198" s="1370" t="s">
        <v>7149</v>
      </c>
      <c r="F198" s="1372">
        <v>7.9600000000000004E-2</v>
      </c>
      <c r="H198" s="1382">
        <v>2.4375000000000004E-3</v>
      </c>
      <c r="I198" s="1373">
        <f t="shared" si="2"/>
        <v>7.7162500000000009E-2</v>
      </c>
      <c r="J198" s="1371">
        <v>15462</v>
      </c>
    </row>
    <row r="199" spans="2:10" x14ac:dyDescent="0.45">
      <c r="B199" s="1371">
        <v>15493</v>
      </c>
      <c r="C199" s="1370" t="s">
        <v>7149</v>
      </c>
      <c r="F199" s="1372">
        <v>2.2100000000000002E-2</v>
      </c>
      <c r="H199" s="1382">
        <v>2.4416666666666666E-3</v>
      </c>
      <c r="I199" s="1373">
        <f t="shared" si="2"/>
        <v>1.9658333333333333E-2</v>
      </c>
      <c r="J199" s="1371">
        <v>15493</v>
      </c>
    </row>
    <row r="200" spans="2:10" x14ac:dyDescent="0.45">
      <c r="B200" s="1371">
        <v>15523</v>
      </c>
      <c r="C200" s="1370" t="s">
        <v>7149</v>
      </c>
      <c r="F200" s="1372">
        <v>3.3700000000000001E-2</v>
      </c>
      <c r="H200" s="1382">
        <v>2.4250000000000001E-3</v>
      </c>
      <c r="I200" s="1373">
        <f t="shared" si="2"/>
        <v>3.1274999999999997E-2</v>
      </c>
      <c r="J200" s="1371">
        <v>15523</v>
      </c>
    </row>
    <row r="201" spans="2:10" x14ac:dyDescent="0.45">
      <c r="B201" s="1371">
        <v>15554</v>
      </c>
      <c r="C201" s="1370" t="s">
        <v>7149</v>
      </c>
      <c r="F201" s="1372">
        <v>1.6400000000000001E-2</v>
      </c>
      <c r="H201" s="1382">
        <v>2.4166666666666668E-3</v>
      </c>
      <c r="I201" s="1373">
        <f t="shared" si="2"/>
        <v>1.3983333333333334E-2</v>
      </c>
      <c r="J201" s="1371">
        <v>15554</v>
      </c>
    </row>
    <row r="202" spans="2:10" x14ac:dyDescent="0.45">
      <c r="B202" s="1371">
        <v>15585</v>
      </c>
      <c r="C202" s="1370" t="s">
        <v>7149</v>
      </c>
      <c r="F202" s="1372">
        <v>2.9000000000000001E-2</v>
      </c>
      <c r="H202" s="1382">
        <v>2.4083333333333331E-3</v>
      </c>
      <c r="I202" s="1373">
        <f t="shared" si="2"/>
        <v>2.659166666666667E-2</v>
      </c>
      <c r="J202" s="1371">
        <v>15585</v>
      </c>
    </row>
    <row r="203" spans="2:10" x14ac:dyDescent="0.45">
      <c r="B203" s="1371">
        <v>15615</v>
      </c>
      <c r="C203" s="1370" t="s">
        <v>7149</v>
      </c>
      <c r="F203" s="1372">
        <v>6.7799999999999999E-2</v>
      </c>
      <c r="H203" s="1382">
        <v>2.3958333333333331E-3</v>
      </c>
      <c r="I203" s="1373">
        <f t="shared" si="2"/>
        <v>6.5404166666666666E-2</v>
      </c>
      <c r="J203" s="1371">
        <v>15615</v>
      </c>
    </row>
    <row r="204" spans="2:10" x14ac:dyDescent="0.45">
      <c r="B204" s="1371">
        <v>15646</v>
      </c>
      <c r="C204" s="1370" t="s">
        <v>7149</v>
      </c>
      <c r="F204" s="1372">
        <v>-2.0999999999999999E-3</v>
      </c>
      <c r="H204" s="1382">
        <v>2.3875000000000003E-3</v>
      </c>
      <c r="I204" s="1373">
        <f t="shared" si="2"/>
        <v>-4.4875000000000002E-3</v>
      </c>
      <c r="J204" s="1371">
        <v>15646</v>
      </c>
    </row>
    <row r="205" spans="2:10" x14ac:dyDescent="0.45">
      <c r="B205" s="1371">
        <v>15676</v>
      </c>
      <c r="C205" s="1370" t="s">
        <v>7149</v>
      </c>
      <c r="F205" s="1372">
        <v>5.4899999999999997E-2</v>
      </c>
      <c r="H205" s="1382">
        <v>2.4041666666666669E-3</v>
      </c>
      <c r="I205" s="1373">
        <f t="shared" si="2"/>
        <v>5.2495833333333332E-2</v>
      </c>
      <c r="J205" s="1371">
        <v>15676</v>
      </c>
    </row>
    <row r="206" spans="2:10" x14ac:dyDescent="0.45">
      <c r="B206" s="1371">
        <v>15707</v>
      </c>
      <c r="C206" s="1370" t="s">
        <v>7149</v>
      </c>
      <c r="F206" s="1372">
        <v>7.3700000000000002E-2</v>
      </c>
      <c r="H206" s="1382">
        <v>2.3833333333333332E-3</v>
      </c>
      <c r="I206" s="1373">
        <f t="shared" si="2"/>
        <v>7.1316666666666667E-2</v>
      </c>
      <c r="J206" s="1371">
        <v>15707</v>
      </c>
    </row>
    <row r="207" spans="2:10" x14ac:dyDescent="0.45">
      <c r="B207" s="1371">
        <v>15738</v>
      </c>
      <c r="C207" s="1370" t="s">
        <v>7149</v>
      </c>
      <c r="F207" s="1372">
        <v>5.8299999999999998E-2</v>
      </c>
      <c r="H207" s="1382">
        <v>2.3583333333333334E-3</v>
      </c>
      <c r="I207" s="1373">
        <f t="shared" si="2"/>
        <v>5.5941666666666667E-2</v>
      </c>
      <c r="J207" s="1371">
        <v>15738</v>
      </c>
    </row>
    <row r="208" spans="2:10" x14ac:dyDescent="0.45">
      <c r="B208" s="1371">
        <v>15766</v>
      </c>
      <c r="C208" s="1370" t="s">
        <v>7149</v>
      </c>
      <c r="F208" s="1372">
        <v>5.45E-2</v>
      </c>
      <c r="H208" s="1382">
        <v>2.3499999999999997E-3</v>
      </c>
      <c r="I208" s="1373">
        <f t="shared" si="2"/>
        <v>5.2150000000000002E-2</v>
      </c>
      <c r="J208" s="1371">
        <v>15766</v>
      </c>
    </row>
    <row r="209" spans="2:10" x14ac:dyDescent="0.45">
      <c r="B209" s="1371">
        <v>15797</v>
      </c>
      <c r="C209" s="1370" t="s">
        <v>7149</v>
      </c>
      <c r="F209" s="1372">
        <v>3.5000000000000001E-3</v>
      </c>
      <c r="H209" s="1382">
        <v>2.3499999999999997E-3</v>
      </c>
      <c r="I209" s="1373">
        <f t="shared" si="2"/>
        <v>1.1500000000000004E-3</v>
      </c>
      <c r="J209" s="1371">
        <v>15797</v>
      </c>
    </row>
    <row r="210" spans="2:10" x14ac:dyDescent="0.45">
      <c r="B210" s="1371">
        <v>15827</v>
      </c>
      <c r="C210" s="1370" t="s">
        <v>7149</v>
      </c>
      <c r="F210" s="1372">
        <v>5.5199999999999999E-2</v>
      </c>
      <c r="H210" s="1382">
        <v>2.3375000000000002E-3</v>
      </c>
      <c r="I210" s="1373">
        <f t="shared" si="2"/>
        <v>5.28625E-2</v>
      </c>
      <c r="J210" s="1371">
        <v>15827</v>
      </c>
    </row>
    <row r="211" spans="2:10" x14ac:dyDescent="0.45">
      <c r="B211" s="1371">
        <v>15858</v>
      </c>
      <c r="C211" s="1370" t="s">
        <v>7149</v>
      </c>
      <c r="F211" s="1372">
        <v>2.23E-2</v>
      </c>
      <c r="H211" s="1382">
        <v>2.3208333333333336E-3</v>
      </c>
      <c r="I211" s="1373">
        <f t="shared" si="2"/>
        <v>1.9979166666666666E-2</v>
      </c>
      <c r="J211" s="1371">
        <v>15858</v>
      </c>
    </row>
    <row r="212" spans="2:10" x14ac:dyDescent="0.45">
      <c r="B212" s="1371">
        <v>15888</v>
      </c>
      <c r="C212" s="1370" t="s">
        <v>7149</v>
      </c>
      <c r="F212" s="1372">
        <v>-5.2600000000000001E-2</v>
      </c>
      <c r="H212" s="1382">
        <v>2.2958333333333329E-3</v>
      </c>
      <c r="I212" s="1373">
        <f t="shared" si="2"/>
        <v>-5.4895833333333331E-2</v>
      </c>
      <c r="J212" s="1371">
        <v>15888</v>
      </c>
    </row>
    <row r="213" spans="2:10" x14ac:dyDescent="0.45">
      <c r="B213" s="1371">
        <v>15919</v>
      </c>
      <c r="C213" s="1370" t="s">
        <v>7149</v>
      </c>
      <c r="F213" s="1372">
        <v>1.7100000000000001E-2</v>
      </c>
      <c r="H213" s="1382">
        <v>2.2916666666666667E-3</v>
      </c>
      <c r="I213" s="1373">
        <f t="shared" si="2"/>
        <v>1.4808333333333333E-2</v>
      </c>
      <c r="J213" s="1371">
        <v>15919</v>
      </c>
    </row>
    <row r="214" spans="2:10" x14ac:dyDescent="0.45">
      <c r="B214" s="1371">
        <v>15950</v>
      </c>
      <c r="C214" s="1370" t="s">
        <v>7149</v>
      </c>
      <c r="F214" s="1372">
        <v>2.63E-2</v>
      </c>
      <c r="H214" s="1382">
        <v>2.2958333333333329E-3</v>
      </c>
      <c r="I214" s="1373">
        <f t="shared" si="2"/>
        <v>2.4004166666666667E-2</v>
      </c>
      <c r="J214" s="1371">
        <v>15950</v>
      </c>
    </row>
    <row r="215" spans="2:10" x14ac:dyDescent="0.45">
      <c r="B215" s="1371">
        <v>15980</v>
      </c>
      <c r="C215" s="1370" t="s">
        <v>7149</v>
      </c>
      <c r="F215" s="1372">
        <v>-1.0800000000000001E-2</v>
      </c>
      <c r="H215" s="1382">
        <v>2.3041666666666666E-3</v>
      </c>
      <c r="I215" s="1373">
        <f t="shared" si="2"/>
        <v>-1.3104166666666667E-2</v>
      </c>
      <c r="J215" s="1371">
        <v>15980</v>
      </c>
    </row>
    <row r="216" spans="2:10" x14ac:dyDescent="0.45">
      <c r="B216" s="1371">
        <v>16011</v>
      </c>
      <c r="C216" s="1370" t="s">
        <v>7149</v>
      </c>
      <c r="F216" s="1372">
        <v>-6.54E-2</v>
      </c>
      <c r="H216" s="1382">
        <v>2.3125000000000003E-3</v>
      </c>
      <c r="I216" s="1373">
        <f t="shared" si="2"/>
        <v>-6.7712499999999995E-2</v>
      </c>
      <c r="J216" s="1371">
        <v>16011</v>
      </c>
    </row>
    <row r="217" spans="2:10" x14ac:dyDescent="0.45">
      <c r="B217" s="1371">
        <v>16041</v>
      </c>
      <c r="C217" s="1370" t="s">
        <v>7149</v>
      </c>
      <c r="F217" s="1372">
        <v>6.1699999999999998E-2</v>
      </c>
      <c r="H217" s="1382">
        <v>2.3375000000000002E-3</v>
      </c>
      <c r="I217" s="1373">
        <f t="shared" si="2"/>
        <v>5.9362499999999999E-2</v>
      </c>
      <c r="J217" s="1371">
        <v>16041</v>
      </c>
    </row>
    <row r="218" spans="2:10" x14ac:dyDescent="0.45">
      <c r="B218" s="1371">
        <v>16072</v>
      </c>
      <c r="C218" s="1370" t="s">
        <v>7149</v>
      </c>
      <c r="F218" s="1372">
        <v>1.7100000000000001E-2</v>
      </c>
      <c r="H218" s="1382">
        <v>2.3125000000000003E-3</v>
      </c>
      <c r="I218" s="1373">
        <f t="shared" ref="I218:I281" si="3">F218-H218</f>
        <v>1.47875E-2</v>
      </c>
      <c r="J218" s="1371">
        <v>16072</v>
      </c>
    </row>
    <row r="219" spans="2:10" x14ac:dyDescent="0.45">
      <c r="B219" s="1371">
        <v>16103</v>
      </c>
      <c r="C219" s="1370" t="s">
        <v>7149</v>
      </c>
      <c r="F219" s="1372">
        <v>4.1999999999999997E-3</v>
      </c>
      <c r="H219" s="1382">
        <v>2.3208333333333336E-3</v>
      </c>
      <c r="I219" s="1373">
        <f t="shared" si="3"/>
        <v>1.8791666666666661E-3</v>
      </c>
      <c r="J219" s="1371">
        <v>16103</v>
      </c>
    </row>
    <row r="220" spans="2:10" x14ac:dyDescent="0.45">
      <c r="B220" s="1371">
        <v>16132</v>
      </c>
      <c r="C220" s="1370" t="s">
        <v>7149</v>
      </c>
      <c r="F220" s="1372">
        <v>1.95E-2</v>
      </c>
      <c r="H220" s="1382">
        <v>2.316666666666667E-3</v>
      </c>
      <c r="I220" s="1373">
        <f t="shared" si="3"/>
        <v>1.7183333333333332E-2</v>
      </c>
      <c r="J220" s="1371">
        <v>16132</v>
      </c>
    </row>
    <row r="221" spans="2:10" x14ac:dyDescent="0.45">
      <c r="B221" s="1371">
        <v>16163</v>
      </c>
      <c r="C221" s="1370" t="s">
        <v>7149</v>
      </c>
      <c r="F221" s="1372">
        <v>-0.01</v>
      </c>
      <c r="H221" s="1382">
        <v>2.316666666666667E-3</v>
      </c>
      <c r="I221" s="1373">
        <f t="shared" si="3"/>
        <v>-1.2316666666666667E-2</v>
      </c>
      <c r="J221" s="1371">
        <v>16163</v>
      </c>
    </row>
    <row r="222" spans="2:10" x14ac:dyDescent="0.45">
      <c r="B222" s="1371">
        <v>16193</v>
      </c>
      <c r="C222" s="1370" t="s">
        <v>7149</v>
      </c>
      <c r="F222" s="1372">
        <v>5.0500000000000003E-2</v>
      </c>
      <c r="H222" s="1382">
        <v>2.3083333333333332E-3</v>
      </c>
      <c r="I222" s="1373">
        <f t="shared" si="3"/>
        <v>4.8191666666666667E-2</v>
      </c>
      <c r="J222" s="1371">
        <v>16193</v>
      </c>
    </row>
    <row r="223" spans="2:10" x14ac:dyDescent="0.45">
      <c r="B223" s="1371">
        <v>16224</v>
      </c>
      <c r="C223" s="1370" t="s">
        <v>7149</v>
      </c>
      <c r="F223" s="1372">
        <v>5.4300000000000001E-2</v>
      </c>
      <c r="H223" s="1382">
        <v>2.3083333333333332E-3</v>
      </c>
      <c r="I223" s="1373">
        <f t="shared" si="3"/>
        <v>5.1991666666666665E-2</v>
      </c>
      <c r="J223" s="1371">
        <v>16224</v>
      </c>
    </row>
    <row r="224" spans="2:10" x14ac:dyDescent="0.45">
      <c r="B224" s="1371">
        <v>16254</v>
      </c>
      <c r="C224" s="1370" t="s">
        <v>7149</v>
      </c>
      <c r="F224" s="1372">
        <v>-1.9300000000000001E-2</v>
      </c>
      <c r="H224" s="1382">
        <v>2.3E-3</v>
      </c>
      <c r="I224" s="1373">
        <f t="shared" si="3"/>
        <v>-2.1600000000000001E-2</v>
      </c>
      <c r="J224" s="1371">
        <v>16254</v>
      </c>
    </row>
    <row r="225" spans="2:10" x14ac:dyDescent="0.45">
      <c r="B225" s="1371">
        <v>16285</v>
      </c>
      <c r="C225" s="1370" t="s">
        <v>7149</v>
      </c>
      <c r="F225" s="1372">
        <v>1.5699999999999999E-2</v>
      </c>
      <c r="H225" s="1382">
        <v>2.2916666666666667E-3</v>
      </c>
      <c r="I225" s="1373">
        <f t="shared" si="3"/>
        <v>1.3408333333333331E-2</v>
      </c>
      <c r="J225" s="1371">
        <v>16285</v>
      </c>
    </row>
    <row r="226" spans="2:10" x14ac:dyDescent="0.45">
      <c r="B226" s="1371">
        <v>16316</v>
      </c>
      <c r="C226" s="1370" t="s">
        <v>7149</v>
      </c>
      <c r="F226" s="1372">
        <v>-8.0000000000000004E-4</v>
      </c>
      <c r="H226" s="1382">
        <v>2.2958333333333338E-3</v>
      </c>
      <c r="I226" s="1373">
        <f t="shared" si="3"/>
        <v>-3.0958333333333337E-3</v>
      </c>
      <c r="J226" s="1371">
        <v>16316</v>
      </c>
    </row>
    <row r="227" spans="2:10" x14ac:dyDescent="0.45">
      <c r="B227" s="1371">
        <v>16346</v>
      </c>
      <c r="C227" s="1370" t="s">
        <v>7149</v>
      </c>
      <c r="F227" s="1372">
        <v>2.3E-3</v>
      </c>
      <c r="H227" s="1382">
        <v>2.3041666666666666E-3</v>
      </c>
      <c r="I227" s="1373">
        <f t="shared" si="3"/>
        <v>-4.1666666666666415E-6</v>
      </c>
      <c r="J227" s="1371">
        <v>16346</v>
      </c>
    </row>
    <row r="228" spans="2:10" x14ac:dyDescent="0.45">
      <c r="B228" s="1371">
        <v>16377</v>
      </c>
      <c r="C228" s="1370" t="s">
        <v>7149</v>
      </c>
      <c r="F228" s="1372">
        <v>1.3299999999999999E-2</v>
      </c>
      <c r="H228" s="1382">
        <v>2.3E-3</v>
      </c>
      <c r="I228" s="1373">
        <f t="shared" si="3"/>
        <v>1.0999999999999999E-2</v>
      </c>
      <c r="J228" s="1371">
        <v>16377</v>
      </c>
    </row>
    <row r="229" spans="2:10" x14ac:dyDescent="0.45">
      <c r="B229" s="1371">
        <v>16407</v>
      </c>
      <c r="C229" s="1370" t="s">
        <v>7149</v>
      </c>
      <c r="F229" s="1372">
        <v>3.7400000000000003E-2</v>
      </c>
      <c r="H229" s="1382">
        <v>2.2749999999999997E-3</v>
      </c>
      <c r="I229" s="1373">
        <f t="shared" si="3"/>
        <v>3.5125000000000003E-2</v>
      </c>
      <c r="J229" s="1371">
        <v>16407</v>
      </c>
    </row>
    <row r="230" spans="2:10" x14ac:dyDescent="0.45">
      <c r="B230" s="1371">
        <v>16438</v>
      </c>
      <c r="C230" s="1370" t="s">
        <v>7149</v>
      </c>
      <c r="F230" s="1372">
        <v>1.5800000000000002E-2</v>
      </c>
      <c r="H230" s="1382">
        <v>2.270833333333333E-3</v>
      </c>
      <c r="I230" s="1373">
        <f t="shared" si="3"/>
        <v>1.3529166666666669E-2</v>
      </c>
      <c r="J230" s="1371">
        <v>16438</v>
      </c>
    </row>
    <row r="231" spans="2:10" x14ac:dyDescent="0.45">
      <c r="B231" s="1371">
        <v>16469</v>
      </c>
      <c r="C231" s="1370" t="s">
        <v>7149</v>
      </c>
      <c r="F231" s="1372">
        <v>6.83E-2</v>
      </c>
      <c r="H231" s="1382">
        <v>2.241666666666667E-3</v>
      </c>
      <c r="I231" s="1373">
        <f t="shared" si="3"/>
        <v>6.605833333333333E-2</v>
      </c>
      <c r="J231" s="1371">
        <v>16469</v>
      </c>
    </row>
    <row r="232" spans="2:10" x14ac:dyDescent="0.45">
      <c r="B232" s="1371">
        <v>16497</v>
      </c>
      <c r="C232" s="1370" t="s">
        <v>7149</v>
      </c>
      <c r="F232" s="1372">
        <v>-4.41E-2</v>
      </c>
      <c r="H232" s="1382">
        <v>2.2250000000000004E-3</v>
      </c>
      <c r="I232" s="1373">
        <f t="shared" si="3"/>
        <v>-4.6324999999999998E-2</v>
      </c>
      <c r="J232" s="1371">
        <v>16497</v>
      </c>
    </row>
    <row r="233" spans="2:10" x14ac:dyDescent="0.45">
      <c r="B233" s="1371">
        <v>16528</v>
      </c>
      <c r="C233" s="1370" t="s">
        <v>7149</v>
      </c>
      <c r="F233" s="1372">
        <v>9.0200000000000002E-2</v>
      </c>
      <c r="H233" s="1382">
        <v>2.225E-3</v>
      </c>
      <c r="I233" s="1373">
        <f t="shared" si="3"/>
        <v>8.7974999999999998E-2</v>
      </c>
      <c r="J233" s="1371">
        <v>16528</v>
      </c>
    </row>
    <row r="234" spans="2:10" x14ac:dyDescent="0.45">
      <c r="B234" s="1371">
        <v>16558</v>
      </c>
      <c r="C234" s="1370" t="s">
        <v>7149</v>
      </c>
      <c r="F234" s="1372">
        <v>1.95E-2</v>
      </c>
      <c r="H234" s="1382">
        <v>2.2250000000000004E-3</v>
      </c>
      <c r="I234" s="1373">
        <f t="shared" si="3"/>
        <v>1.7274999999999999E-2</v>
      </c>
      <c r="J234" s="1371">
        <v>16558</v>
      </c>
    </row>
    <row r="235" spans="2:10" x14ac:dyDescent="0.45">
      <c r="B235" s="1371">
        <v>16589</v>
      </c>
      <c r="C235" s="1370" t="s">
        <v>7149</v>
      </c>
      <c r="F235" s="1372">
        <v>-6.9999999999999999E-4</v>
      </c>
      <c r="H235" s="1382">
        <v>2.2083333333333334E-3</v>
      </c>
      <c r="I235" s="1373">
        <f t="shared" si="3"/>
        <v>-2.9083333333333335E-3</v>
      </c>
      <c r="J235" s="1371">
        <v>16589</v>
      </c>
    </row>
    <row r="236" spans="2:10" x14ac:dyDescent="0.45">
      <c r="B236" s="1371">
        <v>16619</v>
      </c>
      <c r="C236" s="1370" t="s">
        <v>7149</v>
      </c>
      <c r="F236" s="1372">
        <v>-1.7999999999999999E-2</v>
      </c>
      <c r="H236" s="1382">
        <v>2.2000000000000001E-3</v>
      </c>
      <c r="I236" s="1373">
        <f t="shared" si="3"/>
        <v>-2.0199999999999999E-2</v>
      </c>
      <c r="J236" s="1371">
        <v>16619</v>
      </c>
    </row>
    <row r="237" spans="2:10" x14ac:dyDescent="0.45">
      <c r="B237" s="1371">
        <v>16650</v>
      </c>
      <c r="C237" s="1370" t="s">
        <v>7149</v>
      </c>
      <c r="F237" s="1372">
        <v>6.4100000000000004E-2</v>
      </c>
      <c r="H237" s="1382">
        <v>2.2125000000000001E-3</v>
      </c>
      <c r="I237" s="1373">
        <f t="shared" si="3"/>
        <v>6.1887500000000005E-2</v>
      </c>
      <c r="J237" s="1371">
        <v>16650</v>
      </c>
    </row>
    <row r="238" spans="2:10" x14ac:dyDescent="0.45">
      <c r="B238" s="1371">
        <v>16681</v>
      </c>
      <c r="C238" s="1370" t="s">
        <v>7149</v>
      </c>
      <c r="F238" s="1372">
        <v>4.3799999999999999E-2</v>
      </c>
      <c r="H238" s="1382">
        <v>2.2166666666666667E-3</v>
      </c>
      <c r="I238" s="1373">
        <f t="shared" si="3"/>
        <v>4.1583333333333333E-2</v>
      </c>
      <c r="J238" s="1371">
        <v>16681</v>
      </c>
    </row>
    <row r="239" spans="2:10" x14ac:dyDescent="0.45">
      <c r="B239" s="1371">
        <v>16711</v>
      </c>
      <c r="C239" s="1370" t="s">
        <v>7149</v>
      </c>
      <c r="F239" s="1372">
        <v>3.2199999999999999E-2</v>
      </c>
      <c r="H239" s="1382">
        <v>2.2166666666666667E-3</v>
      </c>
      <c r="I239" s="1373">
        <f t="shared" si="3"/>
        <v>2.9983333333333334E-2</v>
      </c>
      <c r="J239" s="1371">
        <v>16711</v>
      </c>
    </row>
    <row r="240" spans="2:10" x14ac:dyDescent="0.45">
      <c r="B240" s="1371">
        <v>16742</v>
      </c>
      <c r="C240" s="1370" t="s">
        <v>7149</v>
      </c>
      <c r="F240" s="1372">
        <v>3.9600000000000003E-2</v>
      </c>
      <c r="H240" s="1382">
        <v>2.2083333333333334E-3</v>
      </c>
      <c r="I240" s="1373">
        <f t="shared" si="3"/>
        <v>3.739166666666667E-2</v>
      </c>
      <c r="J240" s="1371">
        <v>16742</v>
      </c>
    </row>
    <row r="241" spans="1:10" x14ac:dyDescent="0.45">
      <c r="B241" s="1371">
        <v>16772</v>
      </c>
      <c r="C241" s="1370" t="s">
        <v>7149</v>
      </c>
      <c r="F241" s="1372">
        <v>1.1599999999999999E-2</v>
      </c>
      <c r="H241" s="1382">
        <v>2.2041666666666668E-3</v>
      </c>
      <c r="I241" s="1373">
        <f t="shared" si="3"/>
        <v>9.3958333333333324E-3</v>
      </c>
      <c r="J241" s="1371">
        <v>16772</v>
      </c>
    </row>
    <row r="242" spans="1:10" x14ac:dyDescent="0.45">
      <c r="B242" s="1371">
        <v>16803</v>
      </c>
      <c r="C242" s="1370" t="s">
        <v>7149</v>
      </c>
      <c r="F242" s="1372">
        <v>7.1400000000000005E-2</v>
      </c>
      <c r="H242" s="1382">
        <v>2.1500000000000004E-3</v>
      </c>
      <c r="I242" s="1373">
        <f t="shared" si="3"/>
        <v>6.9250000000000006E-2</v>
      </c>
      <c r="J242" s="1371">
        <v>16803</v>
      </c>
    </row>
    <row r="243" spans="1:10" x14ac:dyDescent="0.45">
      <c r="B243" s="1371">
        <v>16834</v>
      </c>
      <c r="C243" s="1370" t="s">
        <v>7149</v>
      </c>
      <c r="F243" s="1372">
        <v>-6.4100000000000004E-2</v>
      </c>
      <c r="H243" s="1382">
        <v>2.1000000000000003E-3</v>
      </c>
      <c r="I243" s="1373">
        <f t="shared" si="3"/>
        <v>-6.6200000000000009E-2</v>
      </c>
      <c r="J243" s="1371">
        <v>16834</v>
      </c>
    </row>
    <row r="244" spans="1:10" x14ac:dyDescent="0.45">
      <c r="B244" s="1371">
        <v>16862</v>
      </c>
      <c r="C244" s="1370" t="s">
        <v>7149</v>
      </c>
      <c r="F244" s="1372">
        <v>4.8000000000000001E-2</v>
      </c>
      <c r="H244" s="1382">
        <v>2.0874999999999999E-3</v>
      </c>
      <c r="I244" s="1373">
        <f t="shared" si="3"/>
        <v>4.5912500000000002E-2</v>
      </c>
      <c r="J244" s="1371">
        <v>16862</v>
      </c>
    </row>
    <row r="245" spans="1:10" x14ac:dyDescent="0.45">
      <c r="B245" s="1371">
        <v>16893</v>
      </c>
      <c r="C245" s="1370" t="s">
        <v>7149</v>
      </c>
      <c r="F245" s="1372">
        <v>3.9300000000000002E-2</v>
      </c>
      <c r="H245" s="1382">
        <v>2.0916666666666666E-3</v>
      </c>
      <c r="I245" s="1373">
        <f t="shared" si="3"/>
        <v>3.7208333333333336E-2</v>
      </c>
      <c r="J245" s="1371">
        <v>16893</v>
      </c>
    </row>
    <row r="246" spans="1:10" x14ac:dyDescent="0.45">
      <c r="B246" s="1371">
        <v>16923</v>
      </c>
      <c r="C246" s="1370" t="s">
        <v>7149</v>
      </c>
      <c r="F246" s="1372">
        <v>2.8799999999999999E-2</v>
      </c>
      <c r="H246" s="1382">
        <v>2.1208333333333331E-3</v>
      </c>
      <c r="I246" s="1373">
        <f t="shared" si="3"/>
        <v>2.6679166666666667E-2</v>
      </c>
      <c r="J246" s="1371">
        <v>16923</v>
      </c>
    </row>
    <row r="247" spans="1:10" x14ac:dyDescent="0.45">
      <c r="B247" s="1371">
        <v>16954</v>
      </c>
      <c r="C247" s="1370" t="s">
        <v>7149</v>
      </c>
      <c r="F247" s="1372">
        <v>-3.6999999999999998E-2</v>
      </c>
      <c r="H247" s="1382">
        <v>2.1166666666666669E-3</v>
      </c>
      <c r="I247" s="1373">
        <f t="shared" si="3"/>
        <v>-3.9116666666666668E-2</v>
      </c>
      <c r="J247" s="1371">
        <v>16954</v>
      </c>
    </row>
    <row r="248" spans="1:10" x14ac:dyDescent="0.45">
      <c r="B248" s="1371">
        <v>16984</v>
      </c>
      <c r="C248" s="1370" t="s">
        <v>7149</v>
      </c>
      <c r="F248" s="1372">
        <v>-2.3900000000000001E-2</v>
      </c>
      <c r="H248" s="1382">
        <v>2.1124999999999998E-3</v>
      </c>
      <c r="I248" s="1373">
        <f t="shared" si="3"/>
        <v>-2.6012500000000001E-2</v>
      </c>
      <c r="J248" s="1371">
        <v>16984</v>
      </c>
    </row>
    <row r="249" spans="1:10" x14ac:dyDescent="0.45">
      <c r="B249" s="1371">
        <v>17015</v>
      </c>
      <c r="C249" s="1370" t="s">
        <v>7149</v>
      </c>
      <c r="F249" s="1372">
        <v>-6.7400000000000002E-2</v>
      </c>
      <c r="H249" s="1382">
        <v>2.1375000000000001E-3</v>
      </c>
      <c r="I249" s="1373">
        <f t="shared" si="3"/>
        <v>-6.9537500000000002E-2</v>
      </c>
      <c r="J249" s="1371">
        <v>17015</v>
      </c>
    </row>
    <row r="250" spans="1:10" x14ac:dyDescent="0.45">
      <c r="B250" s="1371">
        <v>17046</v>
      </c>
      <c r="C250" s="1370" t="s">
        <v>7149</v>
      </c>
      <c r="F250" s="1372">
        <v>-9.9699999999999997E-2</v>
      </c>
      <c r="H250" s="1382">
        <v>2.1916666666666668E-3</v>
      </c>
      <c r="I250" s="1373">
        <f t="shared" si="3"/>
        <v>-0.10189166666666666</v>
      </c>
      <c r="J250" s="1371">
        <v>17046</v>
      </c>
    </row>
    <row r="251" spans="1:10" x14ac:dyDescent="0.45">
      <c r="B251" s="1371">
        <v>17076</v>
      </c>
      <c r="C251" s="1370" t="s">
        <v>7149</v>
      </c>
      <c r="F251" s="1372">
        <v>-6.0000000000000001E-3</v>
      </c>
      <c r="H251" s="1382">
        <v>2.2083333333333334E-3</v>
      </c>
      <c r="I251" s="1373">
        <f t="shared" si="3"/>
        <v>-8.2083333333333331E-3</v>
      </c>
      <c r="J251" s="1371">
        <v>17076</v>
      </c>
    </row>
    <row r="252" spans="1:10" x14ac:dyDescent="0.45">
      <c r="B252" s="1371">
        <v>17107</v>
      </c>
      <c r="C252" s="1370" t="s">
        <v>7149</v>
      </c>
      <c r="F252" s="1372">
        <v>-2.7000000000000001E-3</v>
      </c>
      <c r="H252" s="1382">
        <v>2.1999999999999997E-3</v>
      </c>
      <c r="I252" s="1373">
        <f t="shared" si="3"/>
        <v>-4.8999999999999998E-3</v>
      </c>
      <c r="J252" s="1371">
        <v>17107</v>
      </c>
    </row>
    <row r="253" spans="1:10" x14ac:dyDescent="0.45">
      <c r="A253" s="1370">
        <v>17</v>
      </c>
      <c r="B253" s="1371">
        <v>17137</v>
      </c>
      <c r="C253" s="1370" t="s">
        <v>7149</v>
      </c>
      <c r="F253" s="1372">
        <v>4.5699999999999998E-2</v>
      </c>
      <c r="H253" s="1382">
        <v>2.2083333333333334E-3</v>
      </c>
      <c r="I253" s="1373">
        <f t="shared" si="3"/>
        <v>4.3491666666666665E-2</v>
      </c>
      <c r="J253" s="1371">
        <v>17137</v>
      </c>
    </row>
    <row r="254" spans="1:10" x14ac:dyDescent="0.45">
      <c r="A254" s="1370">
        <v>17</v>
      </c>
      <c r="B254" s="1371">
        <v>17168</v>
      </c>
      <c r="C254" s="1370" t="s">
        <v>7149</v>
      </c>
      <c r="F254" s="1372">
        <v>2.5499999999999998E-2</v>
      </c>
      <c r="H254" s="1382">
        <v>2.1749999999999999E-3</v>
      </c>
      <c r="I254" s="1373">
        <f t="shared" si="3"/>
        <v>2.3324999999999999E-2</v>
      </c>
      <c r="J254" s="1371">
        <v>17168</v>
      </c>
    </row>
    <row r="255" spans="1:10" x14ac:dyDescent="0.45">
      <c r="A255" s="1370">
        <v>17</v>
      </c>
      <c r="B255" s="1371">
        <v>17199</v>
      </c>
      <c r="C255" s="1370" t="s">
        <v>7149</v>
      </c>
      <c r="F255" s="1372">
        <v>-7.7000000000000002E-3</v>
      </c>
      <c r="H255" s="1382">
        <v>2.1624999999999999E-3</v>
      </c>
      <c r="I255" s="1373">
        <f t="shared" si="3"/>
        <v>-9.8624999999999997E-3</v>
      </c>
      <c r="J255" s="1371">
        <v>17199</v>
      </c>
    </row>
    <row r="256" spans="1:10" x14ac:dyDescent="0.45">
      <c r="A256" s="1370">
        <v>17</v>
      </c>
      <c r="B256" s="1371">
        <v>17227</v>
      </c>
      <c r="C256" s="1370" t="s">
        <v>7149</v>
      </c>
      <c r="F256" s="1372">
        <v>-1.49E-2</v>
      </c>
      <c r="H256" s="1382">
        <v>2.1624999999999999E-3</v>
      </c>
      <c r="I256" s="1373">
        <f t="shared" si="3"/>
        <v>-1.7062500000000001E-2</v>
      </c>
      <c r="J256" s="1371">
        <v>17227</v>
      </c>
    </row>
    <row r="257" spans="1:10" x14ac:dyDescent="0.45">
      <c r="A257" s="1370">
        <v>17</v>
      </c>
      <c r="B257" s="1371">
        <v>17258</v>
      </c>
      <c r="C257" s="1370" t="s">
        <v>7149</v>
      </c>
      <c r="F257" s="1372">
        <v>-3.6299999999999999E-2</v>
      </c>
      <c r="H257" s="1382">
        <v>2.1499999999999996E-3</v>
      </c>
      <c r="I257" s="1373">
        <f t="shared" si="3"/>
        <v>-3.8449999999999998E-2</v>
      </c>
      <c r="J257" s="1371">
        <v>17258</v>
      </c>
    </row>
    <row r="258" spans="1:10" x14ac:dyDescent="0.45">
      <c r="A258" s="1370">
        <v>17</v>
      </c>
      <c r="B258" s="1371">
        <v>17288</v>
      </c>
      <c r="C258" s="1370" t="s">
        <v>7149</v>
      </c>
      <c r="F258" s="1372">
        <v>1.4E-3</v>
      </c>
      <c r="H258" s="1382">
        <v>2.1499999999999996E-3</v>
      </c>
      <c r="I258" s="1373">
        <f t="shared" si="3"/>
        <v>-7.4999999999999958E-4</v>
      </c>
      <c r="J258" s="1371">
        <v>17288</v>
      </c>
    </row>
    <row r="259" spans="1:10" x14ac:dyDescent="0.45">
      <c r="A259" s="1370">
        <v>17</v>
      </c>
      <c r="B259" s="1371">
        <v>17319</v>
      </c>
      <c r="C259" s="1370" t="s">
        <v>7149</v>
      </c>
      <c r="F259" s="1372">
        <v>5.5399999999999998E-2</v>
      </c>
      <c r="H259" s="1382">
        <v>2.1624999999999999E-3</v>
      </c>
      <c r="I259" s="1373">
        <f t="shared" si="3"/>
        <v>5.32375E-2</v>
      </c>
      <c r="J259" s="1371">
        <v>17319</v>
      </c>
    </row>
    <row r="260" spans="1:10" x14ac:dyDescent="0.45">
      <c r="A260" s="1370">
        <v>17</v>
      </c>
      <c r="B260" s="1371">
        <v>17349</v>
      </c>
      <c r="C260" s="1370" t="s">
        <v>7149</v>
      </c>
      <c r="F260" s="1372">
        <v>3.8100000000000002E-2</v>
      </c>
      <c r="H260" s="1382">
        <v>2.1624999999999999E-3</v>
      </c>
      <c r="I260" s="1373">
        <f t="shared" si="3"/>
        <v>3.5937500000000004E-2</v>
      </c>
      <c r="J260" s="1371">
        <v>17349</v>
      </c>
    </row>
    <row r="261" spans="1:10" x14ac:dyDescent="0.45">
      <c r="A261" s="1370">
        <v>17</v>
      </c>
      <c r="B261" s="1371">
        <v>17380</v>
      </c>
      <c r="C261" s="1370" t="s">
        <v>7149</v>
      </c>
      <c r="F261" s="1372">
        <v>-2.0299999999999999E-2</v>
      </c>
      <c r="H261" s="1382">
        <v>2.1666666666666666E-3</v>
      </c>
      <c r="I261" s="1373">
        <f t="shared" si="3"/>
        <v>-2.2466666666666666E-2</v>
      </c>
      <c r="J261" s="1371">
        <v>17380</v>
      </c>
    </row>
    <row r="262" spans="1:10" x14ac:dyDescent="0.45">
      <c r="A262" s="1370">
        <v>17</v>
      </c>
      <c r="B262" s="1371">
        <v>17411</v>
      </c>
      <c r="C262" s="1370" t="s">
        <v>7149</v>
      </c>
      <c r="F262" s="1372">
        <v>-1.11E-2</v>
      </c>
      <c r="H262" s="1382">
        <v>2.2083333333333334E-3</v>
      </c>
      <c r="I262" s="1373">
        <f t="shared" si="3"/>
        <v>-1.3308333333333333E-2</v>
      </c>
      <c r="J262" s="1371">
        <v>17411</v>
      </c>
    </row>
    <row r="263" spans="1:10" x14ac:dyDescent="0.45">
      <c r="A263" s="1370">
        <v>17</v>
      </c>
      <c r="B263" s="1371">
        <v>17441</v>
      </c>
      <c r="C263" s="1370" t="s">
        <v>7149</v>
      </c>
      <c r="F263" s="1372">
        <v>2.3800000000000002E-2</v>
      </c>
      <c r="H263" s="1382">
        <v>2.2875E-3</v>
      </c>
      <c r="I263" s="1373">
        <f t="shared" si="3"/>
        <v>2.15125E-2</v>
      </c>
      <c r="J263" s="1371">
        <v>17441</v>
      </c>
    </row>
    <row r="264" spans="1:10" x14ac:dyDescent="0.45">
      <c r="A264" s="1370">
        <v>17</v>
      </c>
      <c r="B264" s="1371">
        <v>17472</v>
      </c>
      <c r="C264" s="1370" t="s">
        <v>7149</v>
      </c>
      <c r="F264" s="1372">
        <v>-1.7500000000000002E-2</v>
      </c>
      <c r="H264" s="1382">
        <v>2.3416666666666668E-3</v>
      </c>
      <c r="I264" s="1373">
        <f t="shared" si="3"/>
        <v>-1.9841666666666667E-2</v>
      </c>
      <c r="J264" s="1371">
        <v>17472</v>
      </c>
    </row>
    <row r="265" spans="1:10" x14ac:dyDescent="0.45">
      <c r="A265" s="1370">
        <v>17</v>
      </c>
      <c r="B265" s="1371">
        <v>17502</v>
      </c>
      <c r="C265" s="1370" t="s">
        <v>7149</v>
      </c>
      <c r="F265" s="1372">
        <v>2.3300000000000001E-2</v>
      </c>
      <c r="H265" s="1382">
        <v>2.4166666666666664E-3</v>
      </c>
      <c r="I265" s="1373">
        <f t="shared" si="3"/>
        <v>2.0883333333333334E-2</v>
      </c>
      <c r="J265" s="1371">
        <v>17502</v>
      </c>
    </row>
    <row r="266" spans="1:10" x14ac:dyDescent="0.45">
      <c r="A266" s="1370">
        <v>17</v>
      </c>
      <c r="B266" s="1371">
        <v>17533</v>
      </c>
      <c r="C266" s="1370" t="s">
        <v>7149</v>
      </c>
      <c r="F266" s="1372">
        <v>-3.7900000000000003E-2</v>
      </c>
      <c r="H266" s="1382">
        <v>2.4166666666666664E-3</v>
      </c>
      <c r="I266" s="1373">
        <f t="shared" si="3"/>
        <v>-4.0316666666666667E-2</v>
      </c>
      <c r="J266" s="1371">
        <v>17533</v>
      </c>
    </row>
    <row r="267" spans="1:10" x14ac:dyDescent="0.45">
      <c r="A267" s="1370">
        <v>17</v>
      </c>
      <c r="B267" s="1371">
        <v>17564</v>
      </c>
      <c r="C267" s="1370" t="s">
        <v>7149</v>
      </c>
      <c r="F267" s="1372">
        <v>-3.8800000000000001E-2</v>
      </c>
      <c r="H267" s="1382">
        <v>2.4083333333333335E-3</v>
      </c>
      <c r="I267" s="1373">
        <f t="shared" si="3"/>
        <v>-4.1208333333333333E-2</v>
      </c>
      <c r="J267" s="1371">
        <v>17564</v>
      </c>
    </row>
    <row r="268" spans="1:10" x14ac:dyDescent="0.45">
      <c r="A268" s="1370">
        <v>17</v>
      </c>
      <c r="B268" s="1371">
        <v>17593</v>
      </c>
      <c r="C268" s="1370" t="s">
        <v>7149</v>
      </c>
      <c r="F268" s="1372">
        <v>7.9299999999999995E-2</v>
      </c>
      <c r="H268" s="1382">
        <v>2.3875000000000003E-3</v>
      </c>
      <c r="I268" s="1373">
        <f t="shared" si="3"/>
        <v>7.6912499999999995E-2</v>
      </c>
      <c r="J268" s="1371">
        <v>17593</v>
      </c>
    </row>
    <row r="269" spans="1:10" x14ac:dyDescent="0.45">
      <c r="A269" s="1370">
        <v>17</v>
      </c>
      <c r="B269" s="1371">
        <v>17624</v>
      </c>
      <c r="C269" s="1370" t="s">
        <v>7149</v>
      </c>
      <c r="F269" s="1372">
        <v>2.92E-2</v>
      </c>
      <c r="H269" s="1382">
        <v>2.3541666666666667E-3</v>
      </c>
      <c r="I269" s="1373">
        <f t="shared" si="3"/>
        <v>2.6845833333333333E-2</v>
      </c>
      <c r="J269" s="1371">
        <v>17624</v>
      </c>
    </row>
    <row r="270" spans="1:10" x14ac:dyDescent="0.45">
      <c r="A270" s="1370">
        <v>17</v>
      </c>
      <c r="B270" s="1371">
        <v>17654</v>
      </c>
      <c r="C270" s="1370" t="s">
        <v>7149</v>
      </c>
      <c r="F270" s="1372">
        <v>8.7900000000000006E-2</v>
      </c>
      <c r="H270" s="1382">
        <v>2.3416666666666664E-3</v>
      </c>
      <c r="I270" s="1373">
        <f t="shared" si="3"/>
        <v>8.5558333333333333E-2</v>
      </c>
      <c r="J270" s="1371">
        <v>17654</v>
      </c>
    </row>
    <row r="271" spans="1:10" x14ac:dyDescent="0.45">
      <c r="A271" s="1370">
        <v>17</v>
      </c>
      <c r="B271" s="1371">
        <v>17685</v>
      </c>
      <c r="C271" s="1370" t="s">
        <v>7149</v>
      </c>
      <c r="F271" s="1372">
        <v>5.4000000000000003E-3</v>
      </c>
      <c r="H271" s="1382">
        <v>2.3375000000000002E-3</v>
      </c>
      <c r="I271" s="1373">
        <f t="shared" si="3"/>
        <v>3.0625000000000001E-3</v>
      </c>
      <c r="J271" s="1371">
        <v>17685</v>
      </c>
    </row>
    <row r="272" spans="1:10" x14ac:dyDescent="0.45">
      <c r="A272" s="1370">
        <v>17</v>
      </c>
      <c r="B272" s="1371">
        <v>17715</v>
      </c>
      <c r="C272" s="1370" t="s">
        <v>7149</v>
      </c>
      <c r="F272" s="1372">
        <v>-5.0799999999999998E-2</v>
      </c>
      <c r="H272" s="1382">
        <v>2.3749999999999999E-3</v>
      </c>
      <c r="I272" s="1373">
        <f t="shared" si="3"/>
        <v>-5.3175E-2</v>
      </c>
      <c r="J272" s="1371">
        <v>17715</v>
      </c>
    </row>
    <row r="273" spans="1:10" x14ac:dyDescent="0.45">
      <c r="A273" s="1370">
        <v>17</v>
      </c>
      <c r="B273" s="1371">
        <v>17746</v>
      </c>
      <c r="C273" s="1370" t="s">
        <v>7149</v>
      </c>
      <c r="F273" s="1372">
        <v>1.5800000000000002E-2</v>
      </c>
      <c r="H273" s="1382">
        <v>2.4083333333333335E-3</v>
      </c>
      <c r="I273" s="1373">
        <f t="shared" si="3"/>
        <v>1.3391666666666668E-2</v>
      </c>
      <c r="J273" s="1371">
        <v>17746</v>
      </c>
    </row>
    <row r="274" spans="1:10" x14ac:dyDescent="0.45">
      <c r="A274" s="1370">
        <v>17</v>
      </c>
      <c r="B274" s="1371">
        <v>17777</v>
      </c>
      <c r="C274" s="1370" t="s">
        <v>7149</v>
      </c>
      <c r="F274" s="1372">
        <v>-2.76E-2</v>
      </c>
      <c r="H274" s="1382">
        <v>2.4041666666666669E-3</v>
      </c>
      <c r="I274" s="1373">
        <f t="shared" si="3"/>
        <v>-3.0004166666666665E-2</v>
      </c>
      <c r="J274" s="1371">
        <v>17777</v>
      </c>
    </row>
    <row r="275" spans="1:10" x14ac:dyDescent="0.45">
      <c r="A275" s="1370">
        <v>17</v>
      </c>
      <c r="B275" s="1371">
        <v>17807</v>
      </c>
      <c r="C275" s="1370" t="s">
        <v>7149</v>
      </c>
      <c r="F275" s="1372">
        <v>7.0999999999999994E-2</v>
      </c>
      <c r="H275" s="1382">
        <v>2.4083333333333335E-3</v>
      </c>
      <c r="I275" s="1373">
        <f t="shared" si="3"/>
        <v>6.8591666666666662E-2</v>
      </c>
      <c r="J275" s="1371">
        <v>17807</v>
      </c>
    </row>
    <row r="276" spans="1:10" x14ac:dyDescent="0.45">
      <c r="A276" s="1370">
        <v>17</v>
      </c>
      <c r="B276" s="1371">
        <v>17838</v>
      </c>
      <c r="C276" s="1370" t="s">
        <v>7149</v>
      </c>
      <c r="F276" s="1372">
        <v>-9.6100000000000005E-2</v>
      </c>
      <c r="H276" s="1382">
        <v>2.3999999999999998E-3</v>
      </c>
      <c r="I276" s="1373">
        <f t="shared" si="3"/>
        <v>-9.8500000000000004E-2</v>
      </c>
      <c r="J276" s="1371">
        <v>17838</v>
      </c>
    </row>
    <row r="277" spans="1:10" x14ac:dyDescent="0.45">
      <c r="A277" s="1370">
        <v>17</v>
      </c>
      <c r="B277" s="1371">
        <v>17868</v>
      </c>
      <c r="C277" s="1370" t="s">
        <v>7149</v>
      </c>
      <c r="F277" s="1372">
        <v>3.4599999999999999E-2</v>
      </c>
      <c r="H277" s="1382">
        <v>2.3625E-3</v>
      </c>
      <c r="I277" s="1373">
        <f t="shared" si="3"/>
        <v>3.2237500000000002E-2</v>
      </c>
      <c r="J277" s="1371">
        <v>17868</v>
      </c>
    </row>
    <row r="278" spans="1:10" x14ac:dyDescent="0.45">
      <c r="A278" s="1370">
        <v>17</v>
      </c>
      <c r="B278" s="1371">
        <v>17899</v>
      </c>
      <c r="C278" s="1370" t="s">
        <v>7149</v>
      </c>
      <c r="F278" s="1372">
        <v>3.8999999999999998E-3</v>
      </c>
      <c r="H278" s="1382">
        <v>2.3E-3</v>
      </c>
      <c r="I278" s="1373">
        <f t="shared" si="3"/>
        <v>1.5999999999999999E-3</v>
      </c>
      <c r="J278" s="1371">
        <v>17899</v>
      </c>
    </row>
    <row r="279" spans="1:10" x14ac:dyDescent="0.45">
      <c r="A279" s="1370">
        <v>17</v>
      </c>
      <c r="B279" s="1371">
        <v>17930</v>
      </c>
      <c r="C279" s="1370" t="s">
        <v>7149</v>
      </c>
      <c r="F279" s="1372">
        <v>-2.9600000000000001E-2</v>
      </c>
      <c r="H279" s="1382">
        <v>2.2958333333333329E-3</v>
      </c>
      <c r="I279" s="1373">
        <f t="shared" si="3"/>
        <v>-3.1895833333333332E-2</v>
      </c>
      <c r="J279" s="1371">
        <v>17930</v>
      </c>
    </row>
    <row r="280" spans="1:10" x14ac:dyDescent="0.45">
      <c r="A280" s="1370">
        <v>17</v>
      </c>
      <c r="B280" s="1371">
        <v>17958</v>
      </c>
      <c r="C280" s="1370" t="s">
        <v>7149</v>
      </c>
      <c r="F280" s="1372">
        <v>3.2800000000000003E-2</v>
      </c>
      <c r="H280" s="1382">
        <v>2.2875E-3</v>
      </c>
      <c r="I280" s="1373">
        <f t="shared" si="3"/>
        <v>3.0512500000000001E-2</v>
      </c>
      <c r="J280" s="1371">
        <v>17958</v>
      </c>
    </row>
    <row r="281" spans="1:10" x14ac:dyDescent="0.45">
      <c r="A281" s="1370">
        <v>17</v>
      </c>
      <c r="B281" s="1371">
        <v>17989</v>
      </c>
      <c r="C281" s="1370" t="s">
        <v>7149</v>
      </c>
      <c r="F281" s="1372">
        <v>-1.7899999999999999E-2</v>
      </c>
      <c r="H281" s="1382">
        <v>2.2875E-3</v>
      </c>
      <c r="I281" s="1373">
        <f t="shared" si="3"/>
        <v>-2.0187500000000001E-2</v>
      </c>
      <c r="J281" s="1371">
        <v>17989</v>
      </c>
    </row>
    <row r="282" spans="1:10" x14ac:dyDescent="0.45">
      <c r="A282" s="1370">
        <v>17</v>
      </c>
      <c r="B282" s="1371">
        <v>18019</v>
      </c>
      <c r="C282" s="1370" t="s">
        <v>7149</v>
      </c>
      <c r="F282" s="1372">
        <v>-2.58E-2</v>
      </c>
      <c r="H282" s="1382">
        <v>2.2875E-3</v>
      </c>
      <c r="I282" s="1373">
        <f t="shared" ref="I282:I345" si="4">F282-H282</f>
        <v>-2.8087500000000001E-2</v>
      </c>
      <c r="J282" s="1371">
        <v>18019</v>
      </c>
    </row>
    <row r="283" spans="1:10" x14ac:dyDescent="0.45">
      <c r="A283" s="1370">
        <v>17</v>
      </c>
      <c r="B283" s="1371">
        <v>18050</v>
      </c>
      <c r="C283" s="1370" t="s">
        <v>7149</v>
      </c>
      <c r="F283" s="1372">
        <v>1.4E-3</v>
      </c>
      <c r="H283" s="1382">
        <v>2.2875E-3</v>
      </c>
      <c r="I283" s="1373">
        <f t="shared" si="4"/>
        <v>-8.8750000000000005E-4</v>
      </c>
      <c r="J283" s="1371">
        <v>18050</v>
      </c>
    </row>
    <row r="284" spans="1:10" x14ac:dyDescent="0.45">
      <c r="A284" s="1370">
        <v>17</v>
      </c>
      <c r="B284" s="1371">
        <v>18080</v>
      </c>
      <c r="C284" s="1370" t="s">
        <v>7149</v>
      </c>
      <c r="F284" s="1372">
        <v>6.5000000000000002E-2</v>
      </c>
      <c r="H284" s="1382">
        <v>2.2583333333333331E-3</v>
      </c>
      <c r="I284" s="1373">
        <f t="shared" si="4"/>
        <v>6.2741666666666668E-2</v>
      </c>
      <c r="J284" s="1371">
        <v>18080</v>
      </c>
    </row>
    <row r="285" spans="1:10" x14ac:dyDescent="0.45">
      <c r="A285" s="1370">
        <v>17</v>
      </c>
      <c r="B285" s="1371">
        <v>18111</v>
      </c>
      <c r="C285" s="1370" t="s">
        <v>7149</v>
      </c>
      <c r="F285" s="1372">
        <v>2.1899999999999999E-2</v>
      </c>
      <c r="H285" s="1382">
        <v>2.2208333333333333E-3</v>
      </c>
      <c r="I285" s="1373">
        <f t="shared" si="4"/>
        <v>1.9679166666666664E-2</v>
      </c>
      <c r="J285" s="1371">
        <v>18111</v>
      </c>
    </row>
    <row r="286" spans="1:10" x14ac:dyDescent="0.45">
      <c r="A286" s="1370">
        <v>17</v>
      </c>
      <c r="B286" s="1371">
        <v>18142</v>
      </c>
      <c r="C286" s="1370" t="s">
        <v>7149</v>
      </c>
      <c r="F286" s="1372">
        <v>2.63E-2</v>
      </c>
      <c r="H286" s="1382">
        <v>2.2041666666666663E-3</v>
      </c>
      <c r="I286" s="1373">
        <f t="shared" si="4"/>
        <v>2.4095833333333334E-2</v>
      </c>
      <c r="J286" s="1371">
        <v>18142</v>
      </c>
    </row>
    <row r="287" spans="1:10" x14ac:dyDescent="0.45">
      <c r="A287" s="1370">
        <v>17</v>
      </c>
      <c r="B287" s="1371">
        <v>18172</v>
      </c>
      <c r="C287" s="1370" t="s">
        <v>7149</v>
      </c>
      <c r="F287" s="1372">
        <v>3.4000000000000002E-2</v>
      </c>
      <c r="H287" s="1382">
        <v>2.2125000000000001E-3</v>
      </c>
      <c r="I287" s="1373">
        <f t="shared" si="4"/>
        <v>3.1787500000000003E-2</v>
      </c>
      <c r="J287" s="1371">
        <v>18172</v>
      </c>
    </row>
    <row r="288" spans="1:10" x14ac:dyDescent="0.45">
      <c r="A288" s="1370">
        <v>17</v>
      </c>
      <c r="B288" s="1371">
        <v>18203</v>
      </c>
      <c r="C288" s="1370" t="s">
        <v>7149</v>
      </c>
      <c r="F288" s="1372">
        <v>1.7500000000000002E-2</v>
      </c>
      <c r="H288" s="1382">
        <v>2.2000000000000001E-3</v>
      </c>
      <c r="I288" s="1373">
        <f t="shared" si="4"/>
        <v>1.5300000000000001E-2</v>
      </c>
      <c r="J288" s="1371">
        <v>18203</v>
      </c>
    </row>
    <row r="289" spans="1:10" x14ac:dyDescent="0.45">
      <c r="A289" s="1370">
        <v>17</v>
      </c>
      <c r="B289" s="1371">
        <v>18233</v>
      </c>
      <c r="C289" s="1370" t="s">
        <v>7149</v>
      </c>
      <c r="F289" s="1372">
        <v>4.8599999999999997E-2</v>
      </c>
      <c r="H289" s="1382">
        <v>2.1875000000000002E-3</v>
      </c>
      <c r="I289" s="1373">
        <f t="shared" si="4"/>
        <v>4.6412499999999995E-2</v>
      </c>
      <c r="J289" s="1371">
        <v>18233</v>
      </c>
    </row>
    <row r="290" spans="1:10" x14ac:dyDescent="0.45">
      <c r="A290" s="1370">
        <v>17</v>
      </c>
      <c r="B290" s="1371">
        <v>18264</v>
      </c>
      <c r="C290" s="1370" t="s">
        <v>7149</v>
      </c>
      <c r="F290" s="1372">
        <v>1.9699999999999999E-2</v>
      </c>
      <c r="H290" s="1382">
        <v>2.1749999999999999E-3</v>
      </c>
      <c r="I290" s="1373">
        <f t="shared" si="4"/>
        <v>1.7524999999999999E-2</v>
      </c>
      <c r="J290" s="1371">
        <v>18264</v>
      </c>
    </row>
    <row r="291" spans="1:10" x14ac:dyDescent="0.45">
      <c r="A291" s="1370">
        <v>17</v>
      </c>
      <c r="B291" s="1371">
        <v>18295</v>
      </c>
      <c r="C291" s="1370" t="s">
        <v>7149</v>
      </c>
      <c r="F291" s="1372">
        <v>1.9900000000000001E-2</v>
      </c>
      <c r="H291" s="1382">
        <v>2.1791666666666665E-3</v>
      </c>
      <c r="I291" s="1373">
        <f t="shared" si="4"/>
        <v>1.7720833333333335E-2</v>
      </c>
      <c r="J291" s="1371">
        <v>18295</v>
      </c>
    </row>
    <row r="292" spans="1:10" x14ac:dyDescent="0.45">
      <c r="A292" s="1370">
        <v>17</v>
      </c>
      <c r="B292" s="1371">
        <v>18323</v>
      </c>
      <c r="C292" s="1370" t="s">
        <v>7149</v>
      </c>
      <c r="F292" s="1372">
        <v>7.0000000000000001E-3</v>
      </c>
      <c r="H292" s="1382">
        <v>2.1833333333333331E-3</v>
      </c>
      <c r="I292" s="1373">
        <f t="shared" si="4"/>
        <v>4.816666666666667E-3</v>
      </c>
      <c r="J292" s="1371">
        <v>18323</v>
      </c>
    </row>
    <row r="293" spans="1:10" x14ac:dyDescent="0.45">
      <c r="A293" s="1370">
        <v>17</v>
      </c>
      <c r="B293" s="1371">
        <v>18354</v>
      </c>
      <c r="C293" s="1370" t="s">
        <v>7149</v>
      </c>
      <c r="F293" s="1372">
        <v>4.8599999999999997E-2</v>
      </c>
      <c r="H293" s="1382">
        <v>2.1916666666666668E-3</v>
      </c>
      <c r="I293" s="1373">
        <f t="shared" si="4"/>
        <v>4.6408333333333329E-2</v>
      </c>
      <c r="J293" s="1371">
        <v>18354</v>
      </c>
    </row>
    <row r="294" spans="1:10" x14ac:dyDescent="0.45">
      <c r="A294" s="1370">
        <v>17</v>
      </c>
      <c r="B294" s="1371">
        <v>18384</v>
      </c>
      <c r="C294" s="1370" t="s">
        <v>7149</v>
      </c>
      <c r="F294" s="1372">
        <v>5.0900000000000001E-2</v>
      </c>
      <c r="H294" s="1382">
        <v>2.2083333333333334E-3</v>
      </c>
      <c r="I294" s="1373">
        <f t="shared" si="4"/>
        <v>4.8691666666666668E-2</v>
      </c>
      <c r="J294" s="1371">
        <v>18384</v>
      </c>
    </row>
    <row r="295" spans="1:10" x14ac:dyDescent="0.45">
      <c r="A295" s="1370">
        <v>17</v>
      </c>
      <c r="B295" s="1371">
        <v>18415</v>
      </c>
      <c r="C295" s="1370" t="s">
        <v>7149</v>
      </c>
      <c r="F295" s="1372">
        <v>-5.4800000000000001E-2</v>
      </c>
      <c r="H295" s="1382">
        <v>2.2125000000000001E-3</v>
      </c>
      <c r="I295" s="1373">
        <f t="shared" si="4"/>
        <v>-5.7012500000000001E-2</v>
      </c>
      <c r="J295" s="1371">
        <v>18415</v>
      </c>
    </row>
    <row r="296" spans="1:10" x14ac:dyDescent="0.45">
      <c r="A296" s="1370">
        <v>17</v>
      </c>
      <c r="B296" s="1371">
        <v>18445</v>
      </c>
      <c r="C296" s="1370" t="s">
        <v>7149</v>
      </c>
      <c r="F296" s="1372">
        <v>1.1900000000000001E-2</v>
      </c>
      <c r="H296" s="1382">
        <v>2.2374999999999999E-3</v>
      </c>
      <c r="I296" s="1373">
        <f t="shared" si="4"/>
        <v>9.6625000000000009E-3</v>
      </c>
      <c r="J296" s="1371">
        <v>18445</v>
      </c>
    </row>
    <row r="297" spans="1:10" x14ac:dyDescent="0.45">
      <c r="A297" s="1370">
        <v>17</v>
      </c>
      <c r="B297" s="1371">
        <v>18476</v>
      </c>
      <c r="C297" s="1370" t="s">
        <v>7149</v>
      </c>
      <c r="F297" s="1372">
        <v>4.4299999999999999E-2</v>
      </c>
      <c r="H297" s="1382">
        <v>2.2000000000000001E-3</v>
      </c>
      <c r="I297" s="1373">
        <f t="shared" si="4"/>
        <v>4.2099999999999999E-2</v>
      </c>
      <c r="J297" s="1371">
        <v>18476</v>
      </c>
    </row>
    <row r="298" spans="1:10" x14ac:dyDescent="0.45">
      <c r="A298" s="1370">
        <v>17</v>
      </c>
      <c r="B298" s="1371">
        <v>18507</v>
      </c>
      <c r="C298" s="1370" t="s">
        <v>7149</v>
      </c>
      <c r="F298" s="1372">
        <v>5.9200000000000003E-2</v>
      </c>
      <c r="H298" s="1382">
        <v>2.2291666666666666E-3</v>
      </c>
      <c r="I298" s="1373">
        <f t="shared" si="4"/>
        <v>5.6970833333333339E-2</v>
      </c>
      <c r="J298" s="1371">
        <v>18507</v>
      </c>
    </row>
    <row r="299" spans="1:10" x14ac:dyDescent="0.45">
      <c r="A299" s="1370">
        <v>17</v>
      </c>
      <c r="B299" s="1371">
        <v>18537</v>
      </c>
      <c r="C299" s="1370" t="s">
        <v>7149</v>
      </c>
      <c r="F299" s="1372">
        <v>9.2999999999999992E-3</v>
      </c>
      <c r="H299" s="1382">
        <v>2.2458333333333336E-3</v>
      </c>
      <c r="I299" s="1373">
        <f t="shared" si="4"/>
        <v>7.0541666666666652E-3</v>
      </c>
      <c r="J299" s="1371">
        <v>18537</v>
      </c>
    </row>
    <row r="300" spans="1:10" x14ac:dyDescent="0.45">
      <c r="A300" s="1370">
        <v>17</v>
      </c>
      <c r="B300" s="1371">
        <v>18568</v>
      </c>
      <c r="C300" s="1370" t="s">
        <v>7149</v>
      </c>
      <c r="F300" s="1372">
        <v>1.6899999999999998E-2</v>
      </c>
      <c r="H300" s="1382">
        <v>2.2458333333333336E-3</v>
      </c>
      <c r="I300" s="1373">
        <f t="shared" si="4"/>
        <v>1.4654166666666664E-2</v>
      </c>
      <c r="J300" s="1371">
        <v>18568</v>
      </c>
    </row>
    <row r="301" spans="1:10" x14ac:dyDescent="0.45">
      <c r="A301" s="1370">
        <v>17</v>
      </c>
      <c r="B301" s="1371">
        <v>18598</v>
      </c>
      <c r="C301" s="1370" t="s">
        <v>7149</v>
      </c>
      <c r="F301" s="1372">
        <v>5.1299999999999998E-2</v>
      </c>
      <c r="H301" s="1382">
        <v>2.2458333333333336E-3</v>
      </c>
      <c r="I301" s="1373">
        <f t="shared" si="4"/>
        <v>4.9054166666666663E-2</v>
      </c>
      <c r="J301" s="1371">
        <v>18598</v>
      </c>
    </row>
    <row r="302" spans="1:10" x14ac:dyDescent="0.45">
      <c r="A302" s="1370">
        <v>17</v>
      </c>
      <c r="B302" s="1371">
        <v>18629</v>
      </c>
      <c r="C302" s="1370" t="s">
        <v>7149</v>
      </c>
      <c r="F302" s="1372">
        <v>6.3700000000000007E-2</v>
      </c>
      <c r="H302" s="1382">
        <v>2.2374999999999999E-3</v>
      </c>
      <c r="I302" s="1373">
        <f t="shared" si="4"/>
        <v>6.1462500000000003E-2</v>
      </c>
      <c r="J302" s="1371">
        <v>18629</v>
      </c>
    </row>
    <row r="303" spans="1:10" x14ac:dyDescent="0.45">
      <c r="A303" s="1370">
        <v>17</v>
      </c>
      <c r="B303" s="1371">
        <v>18660</v>
      </c>
      <c r="C303" s="1370" t="s">
        <v>7149</v>
      </c>
      <c r="F303" s="1372">
        <v>1.5699999999999999E-2</v>
      </c>
      <c r="H303" s="1382">
        <v>2.2374999999999999E-3</v>
      </c>
      <c r="I303" s="1373">
        <f t="shared" si="4"/>
        <v>1.3462499999999999E-2</v>
      </c>
      <c r="J303" s="1371">
        <v>18660</v>
      </c>
    </row>
    <row r="304" spans="1:10" x14ac:dyDescent="0.45">
      <c r="A304" s="1370">
        <v>17</v>
      </c>
      <c r="B304" s="1371">
        <v>18688</v>
      </c>
      <c r="C304" s="1370" t="s">
        <v>7149</v>
      </c>
      <c r="F304" s="1372">
        <v>-1.5599999999999999E-2</v>
      </c>
      <c r="H304" s="1382">
        <v>2.3333333333333335E-3</v>
      </c>
      <c r="I304" s="1373">
        <f t="shared" si="4"/>
        <v>-1.7933333333333332E-2</v>
      </c>
      <c r="J304" s="1371">
        <v>18688</v>
      </c>
    </row>
    <row r="305" spans="1:10" x14ac:dyDescent="0.45">
      <c r="A305" s="1370">
        <v>17</v>
      </c>
      <c r="B305" s="1371">
        <v>18719</v>
      </c>
      <c r="C305" s="1370" t="s">
        <v>7149</v>
      </c>
      <c r="F305" s="1372">
        <v>5.0900000000000001E-2</v>
      </c>
      <c r="H305" s="1382">
        <v>2.4166666666666668E-3</v>
      </c>
      <c r="I305" s="1373">
        <f t="shared" si="4"/>
        <v>4.8483333333333337E-2</v>
      </c>
      <c r="J305" s="1371">
        <v>18719</v>
      </c>
    </row>
    <row r="306" spans="1:10" x14ac:dyDescent="0.45">
      <c r="A306" s="1370">
        <v>17</v>
      </c>
      <c r="B306" s="1371">
        <v>18749</v>
      </c>
      <c r="C306" s="1370" t="s">
        <v>7149</v>
      </c>
      <c r="F306" s="1372">
        <v>-2.9899999999999999E-2</v>
      </c>
      <c r="H306" s="1382">
        <v>2.4250000000000001E-3</v>
      </c>
      <c r="I306" s="1373">
        <f t="shared" si="4"/>
        <v>-3.2325E-2</v>
      </c>
      <c r="J306" s="1371">
        <v>18749</v>
      </c>
    </row>
    <row r="307" spans="1:10" x14ac:dyDescent="0.45">
      <c r="A307" s="1370">
        <v>17</v>
      </c>
      <c r="B307" s="1371">
        <v>18780</v>
      </c>
      <c r="C307" s="1370" t="s">
        <v>7149</v>
      </c>
      <c r="F307" s="1372">
        <v>-2.2800000000000001E-2</v>
      </c>
      <c r="H307" s="1382">
        <v>2.4708333333333331E-3</v>
      </c>
      <c r="I307" s="1373">
        <f t="shared" si="4"/>
        <v>-2.5270833333333333E-2</v>
      </c>
      <c r="J307" s="1371">
        <v>18780</v>
      </c>
    </row>
    <row r="308" spans="1:10" x14ac:dyDescent="0.45">
      <c r="A308" s="1370">
        <v>17</v>
      </c>
      <c r="B308" s="1371">
        <v>18810</v>
      </c>
      <c r="C308" s="1370" t="s">
        <v>7149</v>
      </c>
      <c r="F308" s="1372">
        <v>7.1099999999999997E-2</v>
      </c>
      <c r="H308" s="1382">
        <v>2.4708333333333331E-3</v>
      </c>
      <c r="I308" s="1373">
        <f t="shared" si="4"/>
        <v>6.8629166666666658E-2</v>
      </c>
      <c r="J308" s="1371">
        <v>18810</v>
      </c>
    </row>
    <row r="309" spans="1:10" x14ac:dyDescent="0.45">
      <c r="A309" s="1370">
        <v>17</v>
      </c>
      <c r="B309" s="1371">
        <v>18841</v>
      </c>
      <c r="C309" s="1370" t="s">
        <v>7149</v>
      </c>
      <c r="F309" s="1372">
        <v>4.7800000000000002E-2</v>
      </c>
      <c r="H309" s="1382">
        <v>2.4166666666666664E-3</v>
      </c>
      <c r="I309" s="1373">
        <f t="shared" si="4"/>
        <v>4.5383333333333338E-2</v>
      </c>
      <c r="J309" s="1371">
        <v>18841</v>
      </c>
    </row>
    <row r="310" spans="1:10" x14ac:dyDescent="0.45">
      <c r="A310" s="1370">
        <v>17</v>
      </c>
      <c r="B310" s="1371">
        <v>18872</v>
      </c>
      <c r="C310" s="1370" t="s">
        <v>7149</v>
      </c>
      <c r="F310" s="1372">
        <v>1.2999999999999999E-3</v>
      </c>
      <c r="H310" s="1382">
        <v>2.3833333333333332E-3</v>
      </c>
      <c r="I310" s="1373">
        <f t="shared" si="4"/>
        <v>-1.0833333333333333E-3</v>
      </c>
      <c r="J310" s="1371">
        <v>18872</v>
      </c>
    </row>
    <row r="311" spans="1:10" x14ac:dyDescent="0.45">
      <c r="A311" s="1370">
        <v>17</v>
      </c>
      <c r="B311" s="1371">
        <v>18902</v>
      </c>
      <c r="C311" s="1370" t="s">
        <v>7149</v>
      </c>
      <c r="F311" s="1372">
        <v>-1.03E-2</v>
      </c>
      <c r="H311" s="1382">
        <v>2.4250000000000001E-3</v>
      </c>
      <c r="I311" s="1373">
        <f t="shared" si="4"/>
        <v>-1.2725E-2</v>
      </c>
      <c r="J311" s="1371">
        <v>18902</v>
      </c>
    </row>
    <row r="312" spans="1:10" x14ac:dyDescent="0.45">
      <c r="A312" s="1370">
        <v>17</v>
      </c>
      <c r="B312" s="1371">
        <v>18933</v>
      </c>
      <c r="C312" s="1370" t="s">
        <v>7149</v>
      </c>
      <c r="F312" s="1372">
        <v>9.5999999999999992E-3</v>
      </c>
      <c r="H312" s="1382">
        <v>2.4916666666666663E-3</v>
      </c>
      <c r="I312" s="1373">
        <f t="shared" si="4"/>
        <v>7.1083333333333328E-3</v>
      </c>
      <c r="J312" s="1371">
        <v>18933</v>
      </c>
    </row>
    <row r="313" spans="1:10" x14ac:dyDescent="0.45">
      <c r="A313" s="1370">
        <v>17</v>
      </c>
      <c r="B313" s="1371">
        <v>18963</v>
      </c>
      <c r="C313" s="1370" t="s">
        <v>7149</v>
      </c>
      <c r="F313" s="1372">
        <v>4.24E-2</v>
      </c>
      <c r="H313" s="1382">
        <v>2.529166666666667E-3</v>
      </c>
      <c r="I313" s="1373">
        <f t="shared" si="4"/>
        <v>3.9870833333333335E-2</v>
      </c>
      <c r="J313" s="1371">
        <v>18963</v>
      </c>
    </row>
    <row r="314" spans="1:10" x14ac:dyDescent="0.45">
      <c r="A314" s="1370">
        <v>17</v>
      </c>
      <c r="B314" s="1371">
        <v>18994</v>
      </c>
      <c r="C314" s="1370" t="s">
        <v>7149</v>
      </c>
      <c r="F314" s="1372">
        <v>1.8100000000000002E-2</v>
      </c>
      <c r="H314" s="1382">
        <v>2.5124999999999995E-3</v>
      </c>
      <c r="I314" s="1373">
        <f t="shared" si="4"/>
        <v>1.5587500000000002E-2</v>
      </c>
      <c r="J314" s="1371">
        <v>18994</v>
      </c>
    </row>
    <row r="315" spans="1:10" x14ac:dyDescent="0.45">
      <c r="A315" s="1370">
        <v>17</v>
      </c>
      <c r="B315" s="1371">
        <v>19025</v>
      </c>
      <c r="C315" s="1370" t="s">
        <v>7149</v>
      </c>
      <c r="F315" s="1372">
        <v>-2.8199999999999999E-2</v>
      </c>
      <c r="H315" s="1382">
        <v>2.4749999999999998E-3</v>
      </c>
      <c r="I315" s="1373">
        <f t="shared" si="4"/>
        <v>-3.0675000000000001E-2</v>
      </c>
      <c r="J315" s="1371">
        <v>19025</v>
      </c>
    </row>
    <row r="316" spans="1:10" x14ac:dyDescent="0.45">
      <c r="A316" s="1370">
        <v>17</v>
      </c>
      <c r="B316" s="1371">
        <v>19054</v>
      </c>
      <c r="C316" s="1370" t="s">
        <v>7149</v>
      </c>
      <c r="F316" s="1372">
        <v>5.0299999999999997E-2</v>
      </c>
      <c r="H316" s="1382">
        <v>2.4958333333333334E-3</v>
      </c>
      <c r="I316" s="1373">
        <f t="shared" si="4"/>
        <v>4.7804166666666661E-2</v>
      </c>
      <c r="J316" s="1371">
        <v>19054</v>
      </c>
    </row>
    <row r="317" spans="1:10" x14ac:dyDescent="0.45">
      <c r="A317" s="1370">
        <v>17</v>
      </c>
      <c r="B317" s="1371">
        <v>19085</v>
      </c>
      <c r="C317" s="1370" t="s">
        <v>7149</v>
      </c>
      <c r="F317" s="1372">
        <v>-4.02E-2</v>
      </c>
      <c r="H317" s="1382">
        <v>2.4749999999999998E-3</v>
      </c>
      <c r="I317" s="1373">
        <f t="shared" si="4"/>
        <v>-4.2674999999999998E-2</v>
      </c>
      <c r="J317" s="1371">
        <v>19085</v>
      </c>
    </row>
    <row r="318" spans="1:10" x14ac:dyDescent="0.45">
      <c r="A318" s="1370">
        <v>17</v>
      </c>
      <c r="B318" s="1371">
        <v>19115</v>
      </c>
      <c r="C318" s="1370" t="s">
        <v>7149</v>
      </c>
      <c r="F318" s="1372">
        <v>3.4299999999999997E-2</v>
      </c>
      <c r="H318" s="1382">
        <v>2.4708333333333331E-3</v>
      </c>
      <c r="I318" s="1373">
        <f t="shared" si="4"/>
        <v>3.1829166666666665E-2</v>
      </c>
      <c r="J318" s="1371">
        <v>19115</v>
      </c>
    </row>
    <row r="319" spans="1:10" x14ac:dyDescent="0.45">
      <c r="A319" s="1370">
        <v>17</v>
      </c>
      <c r="B319" s="1371">
        <v>19146</v>
      </c>
      <c r="C319" s="1370" t="s">
        <v>7149</v>
      </c>
      <c r="F319" s="1372">
        <v>4.9000000000000002E-2</v>
      </c>
      <c r="H319" s="1382">
        <v>2.4875000000000001E-3</v>
      </c>
      <c r="I319" s="1373">
        <f t="shared" si="4"/>
        <v>4.6512499999999998E-2</v>
      </c>
      <c r="J319" s="1371">
        <v>19146</v>
      </c>
    </row>
    <row r="320" spans="1:10" x14ac:dyDescent="0.45">
      <c r="A320" s="1370">
        <v>17</v>
      </c>
      <c r="B320" s="1371">
        <v>19176</v>
      </c>
      <c r="C320" s="1370" t="s">
        <v>7149</v>
      </c>
      <c r="F320" s="1372">
        <v>1.9599999999999999E-2</v>
      </c>
      <c r="H320" s="1382">
        <v>2.4958333333333334E-3</v>
      </c>
      <c r="I320" s="1373">
        <f t="shared" si="4"/>
        <v>1.7104166666666667E-2</v>
      </c>
      <c r="J320" s="1371">
        <v>19176</v>
      </c>
    </row>
    <row r="321" spans="1:10" x14ac:dyDescent="0.45">
      <c r="A321" s="1370">
        <v>17</v>
      </c>
      <c r="B321" s="1371">
        <v>19207</v>
      </c>
      <c r="C321" s="1370" t="s">
        <v>7149</v>
      </c>
      <c r="F321" s="1372">
        <v>-7.1000000000000004E-3</v>
      </c>
      <c r="H321" s="1382">
        <v>2.5000000000000001E-3</v>
      </c>
      <c r="I321" s="1373">
        <f t="shared" si="4"/>
        <v>-9.6000000000000009E-3</v>
      </c>
      <c r="J321" s="1371">
        <v>19207</v>
      </c>
    </row>
    <row r="322" spans="1:10" x14ac:dyDescent="0.45">
      <c r="A322" s="1370">
        <v>17</v>
      </c>
      <c r="B322" s="1371">
        <v>19238</v>
      </c>
      <c r="C322" s="1370" t="s">
        <v>7149</v>
      </c>
      <c r="F322" s="1372">
        <v>-1.7600000000000001E-2</v>
      </c>
      <c r="H322" s="1382">
        <v>2.5083333333333333E-3</v>
      </c>
      <c r="I322" s="1373">
        <f t="shared" si="4"/>
        <v>-2.0108333333333336E-2</v>
      </c>
      <c r="J322" s="1371">
        <v>19238</v>
      </c>
    </row>
    <row r="323" spans="1:10" x14ac:dyDescent="0.45">
      <c r="A323" s="1370">
        <v>17</v>
      </c>
      <c r="B323" s="1371">
        <v>19268</v>
      </c>
      <c r="C323" s="1370" t="s">
        <v>7149</v>
      </c>
      <c r="F323" s="1372">
        <v>2E-3</v>
      </c>
      <c r="H323" s="1382">
        <v>2.5374999999999998E-3</v>
      </c>
      <c r="I323" s="1373">
        <f t="shared" si="4"/>
        <v>-5.3749999999999978E-4</v>
      </c>
      <c r="J323" s="1371">
        <v>19268</v>
      </c>
    </row>
    <row r="324" spans="1:10" x14ac:dyDescent="0.45">
      <c r="A324" s="1370">
        <v>17</v>
      </c>
      <c r="B324" s="1371">
        <v>19299</v>
      </c>
      <c r="C324" s="1370" t="s">
        <v>7149</v>
      </c>
      <c r="F324" s="1372">
        <v>5.7099999999999998E-2</v>
      </c>
      <c r="H324" s="1382">
        <v>2.5166666666666666E-3</v>
      </c>
      <c r="I324" s="1373">
        <f t="shared" si="4"/>
        <v>5.4583333333333331E-2</v>
      </c>
      <c r="J324" s="1371">
        <v>19299</v>
      </c>
    </row>
    <row r="325" spans="1:10" x14ac:dyDescent="0.45">
      <c r="A325" s="1370">
        <v>17</v>
      </c>
      <c r="B325" s="1371">
        <v>19329</v>
      </c>
      <c r="C325" s="1370" t="s">
        <v>7149</v>
      </c>
      <c r="F325" s="1372">
        <v>3.8199999999999998E-2</v>
      </c>
      <c r="H325" s="1382">
        <v>2.5083333333333333E-3</v>
      </c>
      <c r="I325" s="1373">
        <f t="shared" si="4"/>
        <v>3.5691666666666663E-2</v>
      </c>
      <c r="J325" s="1371">
        <v>19329</v>
      </c>
    </row>
    <row r="326" spans="1:10" x14ac:dyDescent="0.45">
      <c r="A326" s="1370">
        <v>17</v>
      </c>
      <c r="B326" s="1371">
        <v>19360</v>
      </c>
      <c r="C326" s="1370" t="s">
        <v>7149</v>
      </c>
      <c r="F326" s="1372">
        <v>-4.8999999999999998E-3</v>
      </c>
      <c r="H326" s="1382">
        <v>2.5458333333333331E-3</v>
      </c>
      <c r="I326" s="1373">
        <f t="shared" si="4"/>
        <v>-7.4458333333333329E-3</v>
      </c>
      <c r="J326" s="1371">
        <v>19360</v>
      </c>
    </row>
    <row r="327" spans="1:10" x14ac:dyDescent="0.45">
      <c r="A327" s="1370">
        <v>17</v>
      </c>
      <c r="B327" s="1371">
        <v>19391</v>
      </c>
      <c r="C327" s="1370" t="s">
        <v>7149</v>
      </c>
      <c r="F327" s="1372">
        <v>-1.06E-2</v>
      </c>
      <c r="H327" s="1382">
        <v>2.5875E-3</v>
      </c>
      <c r="I327" s="1373">
        <f t="shared" si="4"/>
        <v>-1.31875E-2</v>
      </c>
      <c r="J327" s="1371">
        <v>19391</v>
      </c>
    </row>
    <row r="328" spans="1:10" x14ac:dyDescent="0.45">
      <c r="A328" s="1370">
        <v>17</v>
      </c>
      <c r="B328" s="1371">
        <v>19419</v>
      </c>
      <c r="C328" s="1370" t="s">
        <v>7149</v>
      </c>
      <c r="F328" s="1372">
        <v>-2.12E-2</v>
      </c>
      <c r="H328" s="1382">
        <v>2.6250000000000002E-3</v>
      </c>
      <c r="I328" s="1373">
        <f t="shared" si="4"/>
        <v>-2.3824999999999999E-2</v>
      </c>
      <c r="J328" s="1371">
        <v>19419</v>
      </c>
    </row>
    <row r="329" spans="1:10" x14ac:dyDescent="0.45">
      <c r="A329" s="1370">
        <v>17</v>
      </c>
      <c r="B329" s="1371">
        <v>19450</v>
      </c>
      <c r="C329" s="1370" t="s">
        <v>7149</v>
      </c>
      <c r="F329" s="1372">
        <v>-2.3699999999999999E-2</v>
      </c>
      <c r="H329" s="1382">
        <v>2.7166666666666667E-3</v>
      </c>
      <c r="I329" s="1373">
        <f t="shared" si="4"/>
        <v>-2.6416666666666665E-2</v>
      </c>
      <c r="J329" s="1371">
        <v>19450</v>
      </c>
    </row>
    <row r="330" spans="1:10" x14ac:dyDescent="0.45">
      <c r="A330" s="1370">
        <v>17</v>
      </c>
      <c r="B330" s="1371">
        <v>19480</v>
      </c>
      <c r="C330" s="1370" t="s">
        <v>7149</v>
      </c>
      <c r="F330" s="1372">
        <v>7.7000000000000002E-3</v>
      </c>
      <c r="H330" s="1382">
        <v>2.8124999999999999E-3</v>
      </c>
      <c r="I330" s="1373">
        <f t="shared" si="4"/>
        <v>4.8875000000000004E-3</v>
      </c>
      <c r="J330" s="1371">
        <v>19480</v>
      </c>
    </row>
    <row r="331" spans="1:10" x14ac:dyDescent="0.45">
      <c r="A331" s="1370">
        <v>17</v>
      </c>
      <c r="B331" s="1371">
        <v>19511</v>
      </c>
      <c r="C331" s="1370" t="s">
        <v>7149</v>
      </c>
      <c r="F331" s="1372">
        <v>-1.34E-2</v>
      </c>
      <c r="H331" s="1382">
        <v>2.875E-3</v>
      </c>
      <c r="I331" s="1373">
        <f t="shared" si="4"/>
        <v>-1.6275000000000001E-2</v>
      </c>
      <c r="J331" s="1371">
        <v>19511</v>
      </c>
    </row>
    <row r="332" spans="1:10" x14ac:dyDescent="0.45">
      <c r="A332" s="1370">
        <v>17</v>
      </c>
      <c r="B332" s="1371">
        <v>19541</v>
      </c>
      <c r="C332" s="1370" t="s">
        <v>7149</v>
      </c>
      <c r="F332" s="1372">
        <v>2.7300000000000001E-2</v>
      </c>
      <c r="H332" s="1382">
        <v>2.7916666666666667E-3</v>
      </c>
      <c r="I332" s="1373">
        <f t="shared" si="4"/>
        <v>2.4508333333333333E-2</v>
      </c>
      <c r="J332" s="1371">
        <v>19541</v>
      </c>
    </row>
    <row r="333" spans="1:10" x14ac:dyDescent="0.45">
      <c r="A333" s="1370">
        <v>17</v>
      </c>
      <c r="B333" s="1371">
        <v>19572</v>
      </c>
      <c r="C333" s="1370" t="s">
        <v>7149</v>
      </c>
      <c r="F333" s="1372">
        <v>-5.0099999999999999E-2</v>
      </c>
      <c r="H333" s="1382">
        <v>2.7624999999999998E-3</v>
      </c>
      <c r="I333" s="1373">
        <f t="shared" si="4"/>
        <v>-5.28625E-2</v>
      </c>
      <c r="J333" s="1371">
        <v>19572</v>
      </c>
    </row>
    <row r="334" spans="1:10" x14ac:dyDescent="0.45">
      <c r="A334" s="1370">
        <v>17</v>
      </c>
      <c r="B334" s="1371">
        <v>19603</v>
      </c>
      <c r="C334" s="1370" t="s">
        <v>7149</v>
      </c>
      <c r="F334" s="1372">
        <v>3.3999999999999998E-3</v>
      </c>
      <c r="H334" s="1382">
        <v>2.8000000000000004E-3</v>
      </c>
      <c r="I334" s="1373">
        <f t="shared" si="4"/>
        <v>5.9999999999999941E-4</v>
      </c>
      <c r="J334" s="1371">
        <v>19603</v>
      </c>
    </row>
    <row r="335" spans="1:10" x14ac:dyDescent="0.45">
      <c r="A335" s="1370">
        <v>17</v>
      </c>
      <c r="B335" s="1371">
        <v>19633</v>
      </c>
      <c r="C335" s="1370" t="s">
        <v>7149</v>
      </c>
      <c r="F335" s="1372">
        <v>5.3999999999999999E-2</v>
      </c>
      <c r="H335" s="1382">
        <v>2.7041666666666668E-3</v>
      </c>
      <c r="I335" s="1373">
        <f t="shared" si="4"/>
        <v>5.1295833333333332E-2</v>
      </c>
      <c r="J335" s="1371">
        <v>19633</v>
      </c>
    </row>
    <row r="336" spans="1:10" x14ac:dyDescent="0.45">
      <c r="A336" s="1370">
        <v>17</v>
      </c>
      <c r="B336" s="1371">
        <v>19664</v>
      </c>
      <c r="C336" s="1370" t="s">
        <v>7149</v>
      </c>
      <c r="F336" s="1372">
        <v>2.0400000000000001E-2</v>
      </c>
      <c r="H336" s="1382">
        <v>2.6583333333333337E-3</v>
      </c>
      <c r="I336" s="1373">
        <f t="shared" si="4"/>
        <v>1.7741666666666669E-2</v>
      </c>
      <c r="J336" s="1371">
        <v>19664</v>
      </c>
    </row>
    <row r="337" spans="1:10" x14ac:dyDescent="0.45">
      <c r="A337" s="1370">
        <v>17</v>
      </c>
      <c r="B337" s="1371">
        <v>19694</v>
      </c>
      <c r="C337" s="1370" t="s">
        <v>7149</v>
      </c>
      <c r="F337" s="1372">
        <v>5.1999999999999998E-3</v>
      </c>
      <c r="H337" s="1382">
        <v>2.6708333333333332E-3</v>
      </c>
      <c r="I337" s="1373">
        <f t="shared" si="4"/>
        <v>2.5291666666666665E-3</v>
      </c>
      <c r="J337" s="1371">
        <v>19694</v>
      </c>
    </row>
    <row r="338" spans="1:10" x14ac:dyDescent="0.45">
      <c r="A338" s="1370">
        <v>17</v>
      </c>
      <c r="B338" s="1371">
        <v>19725</v>
      </c>
      <c r="C338" s="1370" t="s">
        <v>7149</v>
      </c>
      <c r="F338" s="1372">
        <v>5.3600000000000002E-2</v>
      </c>
      <c r="H338" s="1382">
        <v>2.6166666666666673E-3</v>
      </c>
      <c r="I338" s="1373">
        <f t="shared" si="4"/>
        <v>5.0983333333333332E-2</v>
      </c>
      <c r="J338" s="1371">
        <v>19725</v>
      </c>
    </row>
    <row r="339" spans="1:10" x14ac:dyDescent="0.45">
      <c r="A339" s="1370">
        <v>17</v>
      </c>
      <c r="B339" s="1371">
        <v>19756</v>
      </c>
      <c r="C339" s="1370" t="s">
        <v>7149</v>
      </c>
      <c r="F339" s="1372">
        <v>1.11E-2</v>
      </c>
      <c r="H339" s="1382">
        <v>2.529166666666667E-3</v>
      </c>
      <c r="I339" s="1373">
        <f t="shared" si="4"/>
        <v>8.5708333333333331E-3</v>
      </c>
      <c r="J339" s="1371">
        <v>19756</v>
      </c>
    </row>
    <row r="340" spans="1:10" x14ac:dyDescent="0.45">
      <c r="A340" s="1370">
        <v>17</v>
      </c>
      <c r="B340" s="1371">
        <v>19784</v>
      </c>
      <c r="C340" s="1370" t="s">
        <v>7149</v>
      </c>
      <c r="F340" s="1372">
        <v>3.2500000000000001E-2</v>
      </c>
      <c r="H340" s="1382">
        <v>2.4541666666666666E-3</v>
      </c>
      <c r="I340" s="1373">
        <f t="shared" si="4"/>
        <v>3.0045833333333334E-2</v>
      </c>
      <c r="J340" s="1371">
        <v>19784</v>
      </c>
    </row>
    <row r="341" spans="1:10" x14ac:dyDescent="0.45">
      <c r="A341" s="1370">
        <v>17</v>
      </c>
      <c r="B341" s="1371">
        <v>19815</v>
      </c>
      <c r="C341" s="1370" t="s">
        <v>7149</v>
      </c>
      <c r="F341" s="1372">
        <v>5.16E-2</v>
      </c>
      <c r="H341" s="1382">
        <v>2.4375000000000004E-3</v>
      </c>
      <c r="I341" s="1373">
        <f t="shared" si="4"/>
        <v>4.9162499999999998E-2</v>
      </c>
      <c r="J341" s="1371">
        <v>19815</v>
      </c>
    </row>
    <row r="342" spans="1:10" x14ac:dyDescent="0.45">
      <c r="A342" s="1370">
        <v>17</v>
      </c>
      <c r="B342" s="1371">
        <v>19845</v>
      </c>
      <c r="C342" s="1370" t="s">
        <v>7149</v>
      </c>
      <c r="F342" s="1372">
        <v>4.1799999999999997E-2</v>
      </c>
      <c r="H342" s="1382">
        <v>2.4624999999999998E-3</v>
      </c>
      <c r="I342" s="1373">
        <f t="shared" si="4"/>
        <v>3.9337499999999997E-2</v>
      </c>
      <c r="J342" s="1371">
        <v>19845</v>
      </c>
    </row>
    <row r="343" spans="1:10" x14ac:dyDescent="0.45">
      <c r="A343" s="1370">
        <v>17</v>
      </c>
      <c r="B343" s="1371">
        <v>19876</v>
      </c>
      <c r="C343" s="1370" t="s">
        <v>7149</v>
      </c>
      <c r="F343" s="1372">
        <v>3.0999999999999999E-3</v>
      </c>
      <c r="H343" s="1382">
        <v>2.4833333333333335E-3</v>
      </c>
      <c r="I343" s="1373">
        <f t="shared" si="4"/>
        <v>6.166666666666664E-4</v>
      </c>
      <c r="J343" s="1371">
        <v>19876</v>
      </c>
    </row>
    <row r="344" spans="1:10" x14ac:dyDescent="0.45">
      <c r="A344" s="1370">
        <v>17</v>
      </c>
      <c r="B344" s="1371">
        <v>19906</v>
      </c>
      <c r="C344" s="1370" t="s">
        <v>7149</v>
      </c>
      <c r="F344" s="1372">
        <v>5.8900000000000001E-2</v>
      </c>
      <c r="H344" s="1382">
        <v>2.4708333333333336E-3</v>
      </c>
      <c r="I344" s="1373">
        <f t="shared" si="4"/>
        <v>5.6429166666666669E-2</v>
      </c>
      <c r="J344" s="1371">
        <v>19906</v>
      </c>
    </row>
    <row r="345" spans="1:10" x14ac:dyDescent="0.45">
      <c r="A345" s="1370">
        <v>17</v>
      </c>
      <c r="B345" s="1371">
        <v>19937</v>
      </c>
      <c r="C345" s="1370" t="s">
        <v>7149</v>
      </c>
      <c r="F345" s="1372">
        <v>-2.75E-2</v>
      </c>
      <c r="H345" s="1382">
        <v>2.4583333333333336E-3</v>
      </c>
      <c r="I345" s="1373">
        <f t="shared" si="4"/>
        <v>-2.9958333333333333E-2</v>
      </c>
      <c r="J345" s="1371">
        <v>19937</v>
      </c>
    </row>
    <row r="346" spans="1:10" x14ac:dyDescent="0.45">
      <c r="A346" s="1370">
        <v>17</v>
      </c>
      <c r="B346" s="1371">
        <v>19968</v>
      </c>
      <c r="C346" s="1370" t="s">
        <v>7149</v>
      </c>
      <c r="F346" s="1372">
        <v>8.5099999999999995E-2</v>
      </c>
      <c r="H346" s="1382">
        <v>2.4708333333333336E-3</v>
      </c>
      <c r="I346" s="1373">
        <f t="shared" ref="I346:I409" si="5">F346-H346</f>
        <v>8.2629166666666656E-2</v>
      </c>
      <c r="J346" s="1371">
        <v>19968</v>
      </c>
    </row>
    <row r="347" spans="1:10" x14ac:dyDescent="0.45">
      <c r="A347" s="1370">
        <v>17</v>
      </c>
      <c r="B347" s="1371">
        <v>19998</v>
      </c>
      <c r="C347" s="1370" t="s">
        <v>7149</v>
      </c>
      <c r="F347" s="1372">
        <v>-1.67E-2</v>
      </c>
      <c r="H347" s="1382">
        <v>2.4625000000000003E-3</v>
      </c>
      <c r="I347" s="1373">
        <f t="shared" si="5"/>
        <v>-1.9162499999999999E-2</v>
      </c>
      <c r="J347" s="1371">
        <v>19998</v>
      </c>
    </row>
    <row r="348" spans="1:10" x14ac:dyDescent="0.45">
      <c r="A348" s="1370">
        <v>17</v>
      </c>
      <c r="B348" s="1371">
        <v>20029</v>
      </c>
      <c r="C348" s="1370" t="s">
        <v>7149</v>
      </c>
      <c r="F348" s="1372">
        <v>9.0899999999999995E-2</v>
      </c>
      <c r="H348" s="1382">
        <v>2.4708333333333336E-3</v>
      </c>
      <c r="I348" s="1373">
        <f t="shared" si="5"/>
        <v>8.8429166666666656E-2</v>
      </c>
      <c r="J348" s="1371">
        <v>20029</v>
      </c>
    </row>
    <row r="349" spans="1:10" x14ac:dyDescent="0.45">
      <c r="A349" s="1370">
        <v>17</v>
      </c>
      <c r="B349" s="1371">
        <v>20059</v>
      </c>
      <c r="C349" s="1370" t="s">
        <v>7149</v>
      </c>
      <c r="F349" s="1372">
        <v>5.3400000000000003E-2</v>
      </c>
      <c r="H349" s="1382">
        <v>2.4749999999999998E-3</v>
      </c>
      <c r="I349" s="1373">
        <f t="shared" si="5"/>
        <v>5.0925000000000005E-2</v>
      </c>
      <c r="J349" s="1371">
        <v>20059</v>
      </c>
    </row>
    <row r="350" spans="1:10" x14ac:dyDescent="0.45">
      <c r="A350" s="1370">
        <v>17</v>
      </c>
      <c r="B350" s="1371">
        <v>20090</v>
      </c>
      <c r="C350" s="1370" t="s">
        <v>7149</v>
      </c>
      <c r="F350" s="1372">
        <v>1.9699999999999999E-2</v>
      </c>
      <c r="H350" s="1382">
        <v>2.4958333333333334E-3</v>
      </c>
      <c r="I350" s="1373">
        <f t="shared" si="5"/>
        <v>1.7204166666666666E-2</v>
      </c>
      <c r="J350" s="1371">
        <v>20090</v>
      </c>
    </row>
    <row r="351" spans="1:10" x14ac:dyDescent="0.45">
      <c r="A351" s="1370">
        <v>17</v>
      </c>
      <c r="B351" s="1371">
        <v>20121</v>
      </c>
      <c r="C351" s="1370" t="s">
        <v>7149</v>
      </c>
      <c r="F351" s="1372">
        <v>9.7999999999999997E-3</v>
      </c>
      <c r="H351" s="1382">
        <v>2.5125000000000004E-3</v>
      </c>
      <c r="I351" s="1373">
        <f t="shared" si="5"/>
        <v>7.2874999999999988E-3</v>
      </c>
      <c r="J351" s="1371">
        <v>20121</v>
      </c>
    </row>
    <row r="352" spans="1:10" x14ac:dyDescent="0.45">
      <c r="A352" s="1370">
        <v>17</v>
      </c>
      <c r="B352" s="1371">
        <v>20149</v>
      </c>
      <c r="C352" s="1370" t="s">
        <v>7149</v>
      </c>
      <c r="F352" s="1372">
        <v>-3.0000000000000001E-3</v>
      </c>
      <c r="H352" s="1382">
        <v>2.5624999999999997E-3</v>
      </c>
      <c r="I352" s="1373">
        <f t="shared" si="5"/>
        <v>-5.5624999999999997E-3</v>
      </c>
      <c r="J352" s="1371">
        <v>20149</v>
      </c>
    </row>
    <row r="353" spans="1:10" x14ac:dyDescent="0.45">
      <c r="A353" s="1370">
        <v>17</v>
      </c>
      <c r="B353" s="1371">
        <v>20180</v>
      </c>
      <c r="C353" s="1370" t="s">
        <v>7149</v>
      </c>
      <c r="F353" s="1372">
        <v>3.9600000000000003E-2</v>
      </c>
      <c r="H353" s="1382">
        <v>2.558333333333333E-3</v>
      </c>
      <c r="I353" s="1373">
        <f t="shared" si="5"/>
        <v>3.7041666666666667E-2</v>
      </c>
      <c r="J353" s="1371">
        <v>20180</v>
      </c>
    </row>
    <row r="354" spans="1:10" x14ac:dyDescent="0.45">
      <c r="A354" s="1370">
        <v>17</v>
      </c>
      <c r="B354" s="1371">
        <v>20210</v>
      </c>
      <c r="C354" s="1370" t="s">
        <v>7149</v>
      </c>
      <c r="F354" s="1372">
        <v>5.4999999999999997E-3</v>
      </c>
      <c r="H354" s="1382">
        <v>2.5791666666666667E-3</v>
      </c>
      <c r="I354" s="1373">
        <f t="shared" si="5"/>
        <v>2.920833333333333E-3</v>
      </c>
      <c r="J354" s="1371">
        <v>20210</v>
      </c>
    </row>
    <row r="355" spans="1:10" x14ac:dyDescent="0.45">
      <c r="A355" s="1370">
        <v>17</v>
      </c>
      <c r="B355" s="1371">
        <v>20241</v>
      </c>
      <c r="C355" s="1370" t="s">
        <v>7149</v>
      </c>
      <c r="F355" s="1372">
        <v>8.4099999999999994E-2</v>
      </c>
      <c r="H355" s="1382">
        <v>2.5791666666666667E-3</v>
      </c>
      <c r="I355" s="1373">
        <f t="shared" si="5"/>
        <v>8.1520833333333334E-2</v>
      </c>
      <c r="J355" s="1371">
        <v>20241</v>
      </c>
    </row>
    <row r="356" spans="1:10" x14ac:dyDescent="0.45">
      <c r="A356" s="1370">
        <v>17</v>
      </c>
      <c r="B356" s="1371">
        <v>20271</v>
      </c>
      <c r="C356" s="1370" t="s">
        <v>7149</v>
      </c>
      <c r="F356" s="1372">
        <v>6.2199999999999998E-2</v>
      </c>
      <c r="H356" s="1382">
        <v>2.5833333333333329E-3</v>
      </c>
      <c r="I356" s="1373">
        <f t="shared" si="5"/>
        <v>5.9616666666666665E-2</v>
      </c>
      <c r="J356" s="1371">
        <v>20271</v>
      </c>
    </row>
    <row r="357" spans="1:10" x14ac:dyDescent="0.45">
      <c r="A357" s="1370">
        <v>17</v>
      </c>
      <c r="B357" s="1371">
        <v>20302</v>
      </c>
      <c r="C357" s="1370" t="s">
        <v>7149</v>
      </c>
      <c r="F357" s="1372">
        <v>-2.5000000000000001E-3</v>
      </c>
      <c r="H357" s="1382">
        <v>2.6291666666666668E-3</v>
      </c>
      <c r="I357" s="1373">
        <f t="shared" si="5"/>
        <v>-5.1291666666666673E-3</v>
      </c>
      <c r="J357" s="1371">
        <v>20302</v>
      </c>
    </row>
    <row r="358" spans="1:10" x14ac:dyDescent="0.45">
      <c r="A358" s="1370">
        <v>17</v>
      </c>
      <c r="B358" s="1371">
        <v>20333</v>
      </c>
      <c r="C358" s="1370" t="s">
        <v>7149</v>
      </c>
      <c r="F358" s="1372">
        <v>1.2999999999999999E-2</v>
      </c>
      <c r="H358" s="1382">
        <v>2.6458333333333334E-3</v>
      </c>
      <c r="I358" s="1373">
        <f t="shared" si="5"/>
        <v>1.0354166666666666E-2</v>
      </c>
      <c r="J358" s="1371">
        <v>20333</v>
      </c>
    </row>
    <row r="359" spans="1:10" x14ac:dyDescent="0.45">
      <c r="A359" s="1370">
        <v>17</v>
      </c>
      <c r="B359" s="1371">
        <v>20363</v>
      </c>
      <c r="C359" s="1370" t="s">
        <v>7149</v>
      </c>
      <c r="F359" s="1372">
        <v>-2.8400000000000002E-2</v>
      </c>
      <c r="H359" s="1382">
        <v>2.6208333333333335E-3</v>
      </c>
      <c r="I359" s="1373">
        <f t="shared" si="5"/>
        <v>-3.1020833333333334E-2</v>
      </c>
      <c r="J359" s="1371">
        <v>20363</v>
      </c>
    </row>
    <row r="360" spans="1:10" x14ac:dyDescent="0.45">
      <c r="A360" s="1370">
        <v>17</v>
      </c>
      <c r="B360" s="1371">
        <v>20394</v>
      </c>
      <c r="C360" s="1370" t="s">
        <v>7149</v>
      </c>
      <c r="F360" s="1372">
        <v>8.2699999999999996E-2</v>
      </c>
      <c r="H360" s="1382">
        <v>2.6166666666666673E-3</v>
      </c>
      <c r="I360" s="1373">
        <f t="shared" si="5"/>
        <v>8.0083333333333326E-2</v>
      </c>
      <c r="J360" s="1371">
        <v>20394</v>
      </c>
    </row>
    <row r="361" spans="1:10" x14ac:dyDescent="0.45">
      <c r="A361" s="1370">
        <v>17</v>
      </c>
      <c r="B361" s="1371">
        <v>20424</v>
      </c>
      <c r="C361" s="1370" t="s">
        <v>7149</v>
      </c>
      <c r="F361" s="1372">
        <v>1.5E-3</v>
      </c>
      <c r="H361" s="1382">
        <v>2.6541666666666671E-3</v>
      </c>
      <c r="I361" s="1373">
        <f t="shared" si="5"/>
        <v>-1.1541666666666671E-3</v>
      </c>
      <c r="J361" s="1371">
        <v>20424</v>
      </c>
    </row>
    <row r="362" spans="1:10" x14ac:dyDescent="0.45">
      <c r="A362" s="1370">
        <v>17</v>
      </c>
      <c r="B362" s="1371">
        <v>20455</v>
      </c>
      <c r="C362" s="1370" t="s">
        <v>7149</v>
      </c>
      <c r="F362" s="1372">
        <v>-3.4700000000000002E-2</v>
      </c>
      <c r="H362" s="1382">
        <v>2.6249999999999997E-3</v>
      </c>
      <c r="I362" s="1373">
        <f t="shared" si="5"/>
        <v>-3.7325000000000004E-2</v>
      </c>
      <c r="J362" s="1371">
        <v>20455</v>
      </c>
    </row>
    <row r="363" spans="1:10" x14ac:dyDescent="0.45">
      <c r="A363" s="1370">
        <v>17</v>
      </c>
      <c r="B363" s="1371">
        <v>20486</v>
      </c>
      <c r="C363" s="1370" t="s">
        <v>7149</v>
      </c>
      <c r="F363" s="1372">
        <v>4.1300000000000003E-2</v>
      </c>
      <c r="H363" s="1382">
        <v>2.5999999999999999E-3</v>
      </c>
      <c r="I363" s="1373">
        <f t="shared" si="5"/>
        <v>3.8700000000000005E-2</v>
      </c>
      <c r="J363" s="1371">
        <v>20486</v>
      </c>
    </row>
    <row r="364" spans="1:10" x14ac:dyDescent="0.45">
      <c r="A364" s="1370">
        <v>17</v>
      </c>
      <c r="B364" s="1371">
        <v>20515</v>
      </c>
      <c r="C364" s="1370" t="s">
        <v>7149</v>
      </c>
      <c r="F364" s="1372">
        <v>7.0999999999999994E-2</v>
      </c>
      <c r="H364" s="1382">
        <v>2.6166666666666673E-3</v>
      </c>
      <c r="I364" s="1373">
        <f t="shared" si="5"/>
        <v>6.8383333333333324E-2</v>
      </c>
      <c r="J364" s="1371">
        <v>20515</v>
      </c>
    </row>
    <row r="365" spans="1:10" x14ac:dyDescent="0.45">
      <c r="A365" s="1370">
        <v>17</v>
      </c>
      <c r="B365" s="1371">
        <v>20546</v>
      </c>
      <c r="C365" s="1370" t="s">
        <v>7149</v>
      </c>
      <c r="F365" s="1372">
        <v>-4.0000000000000002E-4</v>
      </c>
      <c r="H365" s="1382">
        <v>2.7249999999999996E-3</v>
      </c>
      <c r="I365" s="1373">
        <f t="shared" si="5"/>
        <v>-3.1249999999999997E-3</v>
      </c>
      <c r="J365" s="1371">
        <v>20546</v>
      </c>
    </row>
    <row r="366" spans="1:10" x14ac:dyDescent="0.45">
      <c r="A366" s="1370">
        <v>17</v>
      </c>
      <c r="B366" s="1371">
        <v>20576</v>
      </c>
      <c r="C366" s="1370" t="s">
        <v>7149</v>
      </c>
      <c r="F366" s="1372">
        <v>-5.9299999999999999E-2</v>
      </c>
      <c r="H366" s="1382">
        <v>2.7583333333333331E-3</v>
      </c>
      <c r="I366" s="1373">
        <f t="shared" si="5"/>
        <v>-6.2058333333333333E-2</v>
      </c>
      <c r="J366" s="1371">
        <v>20576</v>
      </c>
    </row>
    <row r="367" spans="1:10" x14ac:dyDescent="0.45">
      <c r="A367" s="1370">
        <v>17</v>
      </c>
      <c r="B367" s="1371">
        <v>20607</v>
      </c>
      <c r="C367" s="1370" t="s">
        <v>7149</v>
      </c>
      <c r="F367" s="1372">
        <v>4.0899999999999999E-2</v>
      </c>
      <c r="H367" s="1382">
        <v>2.7541666666666665E-3</v>
      </c>
      <c r="I367" s="1373">
        <f t="shared" si="5"/>
        <v>3.814583333333333E-2</v>
      </c>
      <c r="J367" s="1371">
        <v>20607</v>
      </c>
    </row>
    <row r="368" spans="1:10" x14ac:dyDescent="0.45">
      <c r="A368" s="1370">
        <v>17</v>
      </c>
      <c r="B368" s="1371">
        <v>20637</v>
      </c>
      <c r="C368" s="1370" t="s">
        <v>7149</v>
      </c>
      <c r="F368" s="1372">
        <v>5.2999999999999999E-2</v>
      </c>
      <c r="H368" s="1382">
        <v>2.7791666666666672E-3</v>
      </c>
      <c r="I368" s="1373">
        <f t="shared" si="5"/>
        <v>5.0220833333333333E-2</v>
      </c>
      <c r="J368" s="1371">
        <v>20637</v>
      </c>
    </row>
    <row r="369" spans="1:10" x14ac:dyDescent="0.45">
      <c r="A369" s="1370">
        <v>17</v>
      </c>
      <c r="B369" s="1371">
        <v>20668</v>
      </c>
      <c r="C369" s="1370" t="s">
        <v>7149</v>
      </c>
      <c r="F369" s="1372">
        <v>-3.2800000000000003E-2</v>
      </c>
      <c r="H369" s="1382">
        <v>2.8874999999999999E-3</v>
      </c>
      <c r="I369" s="1373">
        <f t="shared" si="5"/>
        <v>-3.5687500000000004E-2</v>
      </c>
      <c r="J369" s="1371">
        <v>20668</v>
      </c>
    </row>
    <row r="370" spans="1:10" x14ac:dyDescent="0.45">
      <c r="A370" s="1370">
        <v>17</v>
      </c>
      <c r="B370" s="1371">
        <v>20699</v>
      </c>
      <c r="C370" s="1370" t="s">
        <v>7149</v>
      </c>
      <c r="F370" s="1372">
        <v>-4.3999999999999997E-2</v>
      </c>
      <c r="H370" s="1382">
        <v>2.995833333333333E-3</v>
      </c>
      <c r="I370" s="1373">
        <f t="shared" si="5"/>
        <v>-4.6995833333333334E-2</v>
      </c>
      <c r="J370" s="1371">
        <v>20699</v>
      </c>
    </row>
    <row r="371" spans="1:10" x14ac:dyDescent="0.45">
      <c r="A371" s="1370">
        <v>17</v>
      </c>
      <c r="B371" s="1371">
        <v>20729</v>
      </c>
      <c r="C371" s="1370" t="s">
        <v>7149</v>
      </c>
      <c r="F371" s="1372">
        <v>6.6E-3</v>
      </c>
      <c r="H371" s="1382">
        <v>3.0333333333333336E-3</v>
      </c>
      <c r="I371" s="1373">
        <f t="shared" si="5"/>
        <v>3.5666666666666663E-3</v>
      </c>
      <c r="J371" s="1371">
        <v>20729</v>
      </c>
    </row>
    <row r="372" spans="1:10" x14ac:dyDescent="0.45">
      <c r="A372" s="1370">
        <v>17</v>
      </c>
      <c r="B372" s="1371">
        <v>20760</v>
      </c>
      <c r="C372" s="1370" t="s">
        <v>7149</v>
      </c>
      <c r="F372" s="1372">
        <v>-5.0000000000000001E-3</v>
      </c>
      <c r="H372" s="1382">
        <v>3.1041666666666665E-3</v>
      </c>
      <c r="I372" s="1373">
        <f t="shared" si="5"/>
        <v>-8.1041666666666658E-3</v>
      </c>
      <c r="J372" s="1371">
        <v>20760</v>
      </c>
    </row>
    <row r="373" spans="1:10" x14ac:dyDescent="0.45">
      <c r="A373" s="1370">
        <v>17</v>
      </c>
      <c r="B373" s="1371">
        <v>20790</v>
      </c>
      <c r="C373" s="1370" t="s">
        <v>7149</v>
      </c>
      <c r="F373" s="1372">
        <v>3.6999999999999998E-2</v>
      </c>
      <c r="H373" s="1382">
        <v>3.1666666666666666E-3</v>
      </c>
      <c r="I373" s="1373">
        <f t="shared" si="5"/>
        <v>3.3833333333333333E-2</v>
      </c>
      <c r="J373" s="1371">
        <v>20790</v>
      </c>
    </row>
    <row r="374" spans="1:10" x14ac:dyDescent="0.45">
      <c r="A374" s="1370">
        <v>17</v>
      </c>
      <c r="B374" s="1371">
        <v>20821</v>
      </c>
      <c r="C374" s="1370" t="s">
        <v>7149</v>
      </c>
      <c r="F374" s="1372">
        <v>-4.0099999999999997E-2</v>
      </c>
      <c r="H374" s="1382">
        <v>3.1916666666666664E-3</v>
      </c>
      <c r="I374" s="1373">
        <f t="shared" si="5"/>
        <v>-4.3291666666666666E-2</v>
      </c>
      <c r="J374" s="1371">
        <v>20821</v>
      </c>
    </row>
    <row r="375" spans="1:10" x14ac:dyDescent="0.45">
      <c r="A375" s="1370">
        <v>17</v>
      </c>
      <c r="B375" s="1371">
        <v>20852</v>
      </c>
      <c r="C375" s="1370" t="s">
        <v>7149</v>
      </c>
      <c r="F375" s="1372">
        <v>-2.64E-2</v>
      </c>
      <c r="H375" s="1382">
        <v>3.1250000000000002E-3</v>
      </c>
      <c r="I375" s="1373">
        <f t="shared" si="5"/>
        <v>-2.9524999999999999E-2</v>
      </c>
      <c r="J375" s="1371">
        <v>20852</v>
      </c>
    </row>
    <row r="376" spans="1:10" x14ac:dyDescent="0.45">
      <c r="A376" s="1370">
        <v>17</v>
      </c>
      <c r="B376" s="1371">
        <v>20880</v>
      </c>
      <c r="C376" s="1370" t="s">
        <v>7149</v>
      </c>
      <c r="F376" s="1372">
        <v>2.1499999999999998E-2</v>
      </c>
      <c r="H376" s="1382">
        <v>3.1083333333333327E-3</v>
      </c>
      <c r="I376" s="1373">
        <f t="shared" si="5"/>
        <v>1.8391666666666667E-2</v>
      </c>
      <c r="J376" s="1371">
        <v>20880</v>
      </c>
    </row>
    <row r="377" spans="1:10" x14ac:dyDescent="0.45">
      <c r="A377" s="1370">
        <v>17</v>
      </c>
      <c r="B377" s="1371">
        <v>20911</v>
      </c>
      <c r="C377" s="1370" t="s">
        <v>7149</v>
      </c>
      <c r="F377" s="1372">
        <v>3.8800000000000001E-2</v>
      </c>
      <c r="H377" s="1382">
        <v>3.1083333333333336E-3</v>
      </c>
      <c r="I377" s="1373">
        <f t="shared" si="5"/>
        <v>3.569166666666667E-2</v>
      </c>
      <c r="J377" s="1371">
        <v>20911</v>
      </c>
    </row>
    <row r="378" spans="1:10" x14ac:dyDescent="0.45">
      <c r="A378" s="1370">
        <v>17</v>
      </c>
      <c r="B378" s="1371">
        <v>20941</v>
      </c>
      <c r="C378" s="1370" t="s">
        <v>7149</v>
      </c>
      <c r="F378" s="1372">
        <v>4.3700000000000003E-2</v>
      </c>
      <c r="H378" s="1382">
        <v>3.1541666666666667E-3</v>
      </c>
      <c r="I378" s="1373">
        <f t="shared" si="5"/>
        <v>4.0545833333333337E-2</v>
      </c>
      <c r="J378" s="1371">
        <v>20941</v>
      </c>
    </row>
    <row r="379" spans="1:10" x14ac:dyDescent="0.45">
      <c r="A379" s="1370">
        <v>17</v>
      </c>
      <c r="B379" s="1371">
        <v>20972</v>
      </c>
      <c r="C379" s="1370" t="s">
        <v>7149</v>
      </c>
      <c r="F379" s="1372">
        <v>4.0000000000000002E-4</v>
      </c>
      <c r="H379" s="1382">
        <v>3.2875000000000001E-3</v>
      </c>
      <c r="I379" s="1373">
        <f t="shared" si="5"/>
        <v>-2.8874999999999999E-3</v>
      </c>
      <c r="J379" s="1371">
        <v>20972</v>
      </c>
    </row>
    <row r="380" spans="1:10" x14ac:dyDescent="0.45">
      <c r="A380" s="1370">
        <v>17</v>
      </c>
      <c r="B380" s="1371">
        <v>21002</v>
      </c>
      <c r="C380" s="1370" t="s">
        <v>7149</v>
      </c>
      <c r="F380" s="1372">
        <v>1.3100000000000001E-2</v>
      </c>
      <c r="H380" s="1382">
        <v>3.3708333333333329E-3</v>
      </c>
      <c r="I380" s="1373">
        <f t="shared" si="5"/>
        <v>9.7291666666666672E-3</v>
      </c>
      <c r="J380" s="1371">
        <v>21002</v>
      </c>
    </row>
    <row r="381" spans="1:10" x14ac:dyDescent="0.45">
      <c r="A381" s="1370">
        <v>17</v>
      </c>
      <c r="B381" s="1371">
        <v>21033</v>
      </c>
      <c r="C381" s="1370" t="s">
        <v>7149</v>
      </c>
      <c r="F381" s="1372">
        <v>-5.0500000000000003E-2</v>
      </c>
      <c r="H381" s="1382">
        <v>3.4624999999999994E-3</v>
      </c>
      <c r="I381" s="1373">
        <f t="shared" si="5"/>
        <v>-5.3962500000000004E-2</v>
      </c>
      <c r="J381" s="1371">
        <v>21033</v>
      </c>
    </row>
    <row r="382" spans="1:10" x14ac:dyDescent="0.45">
      <c r="A382" s="1370">
        <v>17</v>
      </c>
      <c r="B382" s="1371">
        <v>21064</v>
      </c>
      <c r="C382" s="1370" t="s">
        <v>7149</v>
      </c>
      <c r="F382" s="1372">
        <v>-6.0199999999999997E-2</v>
      </c>
      <c r="H382" s="1382">
        <v>3.4916666666666664E-3</v>
      </c>
      <c r="I382" s="1373">
        <f t="shared" si="5"/>
        <v>-6.369166666666666E-2</v>
      </c>
      <c r="J382" s="1371">
        <v>21064</v>
      </c>
    </row>
    <row r="383" spans="1:10" x14ac:dyDescent="0.45">
      <c r="A383" s="1370">
        <v>17</v>
      </c>
      <c r="B383" s="1371">
        <v>21094</v>
      </c>
      <c r="C383" s="1370" t="s">
        <v>7149</v>
      </c>
      <c r="F383" s="1372">
        <v>-3.0200000000000001E-2</v>
      </c>
      <c r="H383" s="1382">
        <v>3.4916666666666664E-3</v>
      </c>
      <c r="I383" s="1373">
        <f t="shared" si="5"/>
        <v>-3.3691666666666668E-2</v>
      </c>
      <c r="J383" s="1371">
        <v>21094</v>
      </c>
    </row>
    <row r="384" spans="1:10" x14ac:dyDescent="0.45">
      <c r="A384" s="1370">
        <v>17</v>
      </c>
      <c r="B384" s="1371">
        <v>21125</v>
      </c>
      <c r="C384" s="1370" t="s">
        <v>7149</v>
      </c>
      <c r="F384" s="1372">
        <v>2.3099999999999999E-2</v>
      </c>
      <c r="H384" s="1382">
        <v>3.4875000000000001E-3</v>
      </c>
      <c r="I384" s="1373">
        <f t="shared" si="5"/>
        <v>1.9612499999999998E-2</v>
      </c>
      <c r="J384" s="1371">
        <v>21125</v>
      </c>
    </row>
    <row r="385" spans="1:10" x14ac:dyDescent="0.45">
      <c r="A385" s="1370">
        <v>17</v>
      </c>
      <c r="B385" s="1371">
        <v>21155</v>
      </c>
      <c r="C385" s="1370" t="s">
        <v>7149</v>
      </c>
      <c r="F385" s="1372">
        <v>-3.95E-2</v>
      </c>
      <c r="H385" s="1382">
        <v>3.2875000000000001E-3</v>
      </c>
      <c r="I385" s="1373">
        <f t="shared" si="5"/>
        <v>-4.2787499999999999E-2</v>
      </c>
      <c r="J385" s="1371">
        <v>21155</v>
      </c>
    </row>
    <row r="386" spans="1:10" x14ac:dyDescent="0.45">
      <c r="A386" s="1370">
        <v>17</v>
      </c>
      <c r="B386" s="1371">
        <v>21186</v>
      </c>
      <c r="C386" s="1370" t="s">
        <v>7149</v>
      </c>
      <c r="F386" s="1372">
        <v>4.4499999999999998E-2</v>
      </c>
      <c r="H386" s="1382">
        <v>3.0874999999999995E-3</v>
      </c>
      <c r="I386" s="1373">
        <f t="shared" si="5"/>
        <v>4.1412499999999998E-2</v>
      </c>
      <c r="J386" s="1371">
        <v>21186</v>
      </c>
    </row>
    <row r="387" spans="1:10" x14ac:dyDescent="0.45">
      <c r="A387" s="1370">
        <v>17</v>
      </c>
      <c r="B387" s="1371">
        <v>21217</v>
      </c>
      <c r="C387" s="1370" t="s">
        <v>7149</v>
      </c>
      <c r="F387" s="1372">
        <v>-1.41E-2</v>
      </c>
      <c r="H387" s="1382">
        <v>3.0666666666666663E-3</v>
      </c>
      <c r="I387" s="1373">
        <f t="shared" si="5"/>
        <v>-1.7166666666666667E-2</v>
      </c>
      <c r="J387" s="1371">
        <v>21217</v>
      </c>
    </row>
    <row r="388" spans="1:10" x14ac:dyDescent="0.45">
      <c r="A388" s="1370">
        <v>17</v>
      </c>
      <c r="B388" s="1371">
        <v>21245</v>
      </c>
      <c r="C388" s="1370" t="s">
        <v>7149</v>
      </c>
      <c r="F388" s="1372">
        <v>3.2800000000000003E-2</v>
      </c>
      <c r="H388" s="1382">
        <v>3.0874999999999995E-3</v>
      </c>
      <c r="I388" s="1373">
        <f t="shared" si="5"/>
        <v>2.9712500000000003E-2</v>
      </c>
      <c r="J388" s="1371">
        <v>21245</v>
      </c>
    </row>
    <row r="389" spans="1:10" x14ac:dyDescent="0.45">
      <c r="A389" s="1370">
        <v>17</v>
      </c>
      <c r="B389" s="1371">
        <v>21276</v>
      </c>
      <c r="C389" s="1370" t="s">
        <v>7149</v>
      </c>
      <c r="F389" s="1372">
        <v>3.3700000000000001E-2</v>
      </c>
      <c r="H389" s="1382">
        <v>3.075E-3</v>
      </c>
      <c r="I389" s="1373">
        <f t="shared" si="5"/>
        <v>3.0624999999999999E-2</v>
      </c>
      <c r="J389" s="1371">
        <v>21276</v>
      </c>
    </row>
    <row r="390" spans="1:10" x14ac:dyDescent="0.45">
      <c r="A390" s="1370">
        <v>17</v>
      </c>
      <c r="B390" s="1371">
        <v>21306</v>
      </c>
      <c r="C390" s="1370" t="s">
        <v>7149</v>
      </c>
      <c r="F390" s="1372">
        <v>2.12E-2</v>
      </c>
      <c r="H390" s="1382">
        <v>3.0625000000000001E-3</v>
      </c>
      <c r="I390" s="1373">
        <f t="shared" si="5"/>
        <v>1.8137500000000001E-2</v>
      </c>
      <c r="J390" s="1371">
        <v>21306</v>
      </c>
    </row>
    <row r="391" spans="1:10" x14ac:dyDescent="0.45">
      <c r="A391" s="1370">
        <v>17</v>
      </c>
      <c r="B391" s="1371">
        <v>21337</v>
      </c>
      <c r="C391" s="1370" t="s">
        <v>7149</v>
      </c>
      <c r="F391" s="1372">
        <v>2.7900000000000001E-2</v>
      </c>
      <c r="H391" s="1382">
        <v>3.0625000000000001E-3</v>
      </c>
      <c r="I391" s="1373">
        <f t="shared" si="5"/>
        <v>2.4837500000000002E-2</v>
      </c>
      <c r="J391" s="1371">
        <v>21337</v>
      </c>
    </row>
    <row r="392" spans="1:10" x14ac:dyDescent="0.45">
      <c r="A392" s="1370">
        <v>17</v>
      </c>
      <c r="B392" s="1371">
        <v>21367</v>
      </c>
      <c r="C392" s="1370" t="s">
        <v>7149</v>
      </c>
      <c r="F392" s="1372">
        <v>4.4900000000000002E-2</v>
      </c>
      <c r="H392" s="1382">
        <v>3.1250000000000002E-3</v>
      </c>
      <c r="I392" s="1373">
        <f t="shared" si="5"/>
        <v>4.1775E-2</v>
      </c>
      <c r="J392" s="1371">
        <v>21367</v>
      </c>
    </row>
    <row r="393" spans="1:10" x14ac:dyDescent="0.45">
      <c r="A393" s="1370">
        <v>17</v>
      </c>
      <c r="B393" s="1371">
        <v>21398</v>
      </c>
      <c r="C393" s="1370" t="s">
        <v>7149</v>
      </c>
      <c r="F393" s="1372">
        <v>1.7600000000000001E-2</v>
      </c>
      <c r="H393" s="1382">
        <v>3.2625000000000002E-3</v>
      </c>
      <c r="I393" s="1373">
        <f t="shared" si="5"/>
        <v>1.4337500000000001E-2</v>
      </c>
      <c r="J393" s="1371">
        <v>21398</v>
      </c>
    </row>
    <row r="394" spans="1:10" x14ac:dyDescent="0.45">
      <c r="A394" s="1370">
        <v>17</v>
      </c>
      <c r="B394" s="1371">
        <v>21429</v>
      </c>
      <c r="C394" s="1370" t="s">
        <v>7149</v>
      </c>
      <c r="F394" s="1372">
        <v>5.0099999999999999E-2</v>
      </c>
      <c r="H394" s="1382">
        <v>3.454166666666667E-3</v>
      </c>
      <c r="I394" s="1373">
        <f t="shared" si="5"/>
        <v>4.6645833333333331E-2</v>
      </c>
      <c r="J394" s="1371">
        <v>21429</v>
      </c>
    </row>
    <row r="395" spans="1:10" x14ac:dyDescent="0.45">
      <c r="A395" s="1370">
        <v>17</v>
      </c>
      <c r="B395" s="1371">
        <v>21459</v>
      </c>
      <c r="C395" s="1370" t="s">
        <v>7149</v>
      </c>
      <c r="F395" s="1372">
        <v>2.7E-2</v>
      </c>
      <c r="H395" s="1382">
        <v>3.4666666666666669E-3</v>
      </c>
      <c r="I395" s="1373">
        <f t="shared" si="5"/>
        <v>2.3533333333333333E-2</v>
      </c>
      <c r="J395" s="1371">
        <v>21459</v>
      </c>
    </row>
    <row r="396" spans="1:10" x14ac:dyDescent="0.45">
      <c r="A396" s="1370">
        <v>17</v>
      </c>
      <c r="B396" s="1371">
        <v>21490</v>
      </c>
      <c r="C396" s="1370" t="s">
        <v>7149</v>
      </c>
      <c r="F396" s="1372">
        <v>2.8400000000000002E-2</v>
      </c>
      <c r="H396" s="1382">
        <v>3.4583333333333332E-3</v>
      </c>
      <c r="I396" s="1373">
        <f t="shared" si="5"/>
        <v>2.4941666666666668E-2</v>
      </c>
      <c r="J396" s="1371">
        <v>21490</v>
      </c>
    </row>
    <row r="397" spans="1:10" x14ac:dyDescent="0.45">
      <c r="A397" s="1370">
        <v>17</v>
      </c>
      <c r="B397" s="1371">
        <v>21520</v>
      </c>
      <c r="C397" s="1370" t="s">
        <v>7149</v>
      </c>
      <c r="F397" s="1372">
        <v>5.3499999999999999E-2</v>
      </c>
      <c r="H397" s="1382">
        <v>3.4416666666666667E-3</v>
      </c>
      <c r="I397" s="1373">
        <f t="shared" si="5"/>
        <v>5.005833333333333E-2</v>
      </c>
      <c r="J397" s="1371">
        <v>21520</v>
      </c>
    </row>
    <row r="398" spans="1:10" x14ac:dyDescent="0.45">
      <c r="A398" s="1370">
        <v>17</v>
      </c>
      <c r="B398" s="1371">
        <v>21551</v>
      </c>
      <c r="C398" s="1370" t="s">
        <v>7149</v>
      </c>
      <c r="F398" s="1372">
        <v>5.3E-3</v>
      </c>
      <c r="H398" s="1382">
        <v>3.4749999999999998E-3</v>
      </c>
      <c r="I398" s="1373">
        <f t="shared" si="5"/>
        <v>1.8250000000000002E-3</v>
      </c>
      <c r="J398" s="1371">
        <v>21551</v>
      </c>
    </row>
    <row r="399" spans="1:10" x14ac:dyDescent="0.45">
      <c r="A399" s="1370">
        <v>17</v>
      </c>
      <c r="B399" s="1371">
        <v>21582</v>
      </c>
      <c r="C399" s="1370" t="s">
        <v>7149</v>
      </c>
      <c r="F399" s="1372">
        <v>4.8999999999999998E-3</v>
      </c>
      <c r="H399" s="1382">
        <v>3.4916666666666664E-3</v>
      </c>
      <c r="I399" s="1373">
        <f t="shared" si="5"/>
        <v>1.4083333333333335E-3</v>
      </c>
      <c r="J399" s="1371">
        <v>21582</v>
      </c>
    </row>
    <row r="400" spans="1:10" x14ac:dyDescent="0.45">
      <c r="A400" s="1370">
        <v>17</v>
      </c>
      <c r="B400" s="1371">
        <v>21610</v>
      </c>
      <c r="C400" s="1370" t="s">
        <v>7149</v>
      </c>
      <c r="F400" s="1372">
        <v>2E-3</v>
      </c>
      <c r="H400" s="1382">
        <v>3.4833333333333339E-3</v>
      </c>
      <c r="I400" s="1373">
        <f t="shared" si="5"/>
        <v>-1.4833333333333339E-3</v>
      </c>
      <c r="J400" s="1371">
        <v>21610</v>
      </c>
    </row>
    <row r="401" spans="1:10" x14ac:dyDescent="0.45">
      <c r="A401" s="1370">
        <v>17</v>
      </c>
      <c r="B401" s="1371">
        <v>21641</v>
      </c>
      <c r="C401" s="1370" t="s">
        <v>7149</v>
      </c>
      <c r="F401" s="1372">
        <v>4.02E-2</v>
      </c>
      <c r="H401" s="1382">
        <v>3.5625000000000006E-3</v>
      </c>
      <c r="I401" s="1373">
        <f t="shared" si="5"/>
        <v>3.6637499999999996E-2</v>
      </c>
      <c r="J401" s="1371">
        <v>21641</v>
      </c>
    </row>
    <row r="402" spans="1:10" x14ac:dyDescent="0.45">
      <c r="A402" s="1370">
        <v>17</v>
      </c>
      <c r="B402" s="1371">
        <v>21671</v>
      </c>
      <c r="C402" s="1370" t="s">
        <v>7149</v>
      </c>
      <c r="F402" s="1372">
        <v>2.4E-2</v>
      </c>
      <c r="H402" s="1382">
        <v>3.6791666666666665E-3</v>
      </c>
      <c r="I402" s="1373">
        <f t="shared" si="5"/>
        <v>2.0320833333333333E-2</v>
      </c>
      <c r="J402" s="1371">
        <v>21671</v>
      </c>
    </row>
    <row r="403" spans="1:10" x14ac:dyDescent="0.45">
      <c r="A403" s="1370">
        <v>17</v>
      </c>
      <c r="B403" s="1371">
        <v>21702</v>
      </c>
      <c r="C403" s="1370" t="s">
        <v>7149</v>
      </c>
      <c r="F403" s="1372">
        <v>-2.2000000000000001E-3</v>
      </c>
      <c r="H403" s="1382">
        <v>3.7583333333333331E-3</v>
      </c>
      <c r="I403" s="1373">
        <f t="shared" si="5"/>
        <v>-5.9583333333333328E-3</v>
      </c>
      <c r="J403" s="1371">
        <v>21702</v>
      </c>
    </row>
    <row r="404" spans="1:10" x14ac:dyDescent="0.45">
      <c r="A404" s="1370">
        <v>17</v>
      </c>
      <c r="B404" s="1371">
        <v>21732</v>
      </c>
      <c r="C404" s="1370" t="s">
        <v>7149</v>
      </c>
      <c r="F404" s="1372">
        <v>3.6299999999999999E-2</v>
      </c>
      <c r="H404" s="1382">
        <v>3.7708333333333331E-3</v>
      </c>
      <c r="I404" s="1373">
        <f t="shared" si="5"/>
        <v>3.2529166666666665E-2</v>
      </c>
      <c r="J404" s="1371">
        <v>21732</v>
      </c>
    </row>
    <row r="405" spans="1:10" x14ac:dyDescent="0.45">
      <c r="A405" s="1370">
        <v>17</v>
      </c>
      <c r="B405" s="1371">
        <v>21763</v>
      </c>
      <c r="C405" s="1370" t="s">
        <v>7149</v>
      </c>
      <c r="F405" s="1372">
        <v>-1.0200000000000001E-2</v>
      </c>
      <c r="H405" s="1382">
        <v>3.7541666666666661E-3</v>
      </c>
      <c r="I405" s="1373">
        <f t="shared" si="5"/>
        <v>-1.3954166666666667E-2</v>
      </c>
      <c r="J405" s="1371">
        <v>21763</v>
      </c>
    </row>
    <row r="406" spans="1:10" x14ac:dyDescent="0.45">
      <c r="A406" s="1370">
        <v>17</v>
      </c>
      <c r="B406" s="1371">
        <v>21794</v>
      </c>
      <c r="C406" s="1370" t="s">
        <v>7149</v>
      </c>
      <c r="F406" s="1372">
        <v>-4.4299999999999999E-2</v>
      </c>
      <c r="H406" s="1382">
        <v>3.8375000000000002E-3</v>
      </c>
      <c r="I406" s="1373">
        <f t="shared" si="5"/>
        <v>-4.81375E-2</v>
      </c>
      <c r="J406" s="1371">
        <v>21794</v>
      </c>
    </row>
    <row r="407" spans="1:10" x14ac:dyDescent="0.45">
      <c r="A407" s="1370">
        <v>17</v>
      </c>
      <c r="B407" s="1371">
        <v>21824</v>
      </c>
      <c r="C407" s="1370" t="s">
        <v>7149</v>
      </c>
      <c r="F407" s="1372">
        <v>1.2800000000000001E-2</v>
      </c>
      <c r="H407" s="1382">
        <v>3.8875000000000003E-3</v>
      </c>
      <c r="I407" s="1373">
        <f t="shared" si="5"/>
        <v>8.9125000000000003E-3</v>
      </c>
      <c r="J407" s="1371">
        <v>21824</v>
      </c>
    </row>
    <row r="408" spans="1:10" x14ac:dyDescent="0.45">
      <c r="A408" s="1370">
        <v>17</v>
      </c>
      <c r="B408" s="1371">
        <v>21855</v>
      </c>
      <c r="C408" s="1370" t="s">
        <v>7149</v>
      </c>
      <c r="F408" s="1372">
        <v>1.8599999999999998E-2</v>
      </c>
      <c r="H408" s="1382">
        <v>3.858333333333333E-3</v>
      </c>
      <c r="I408" s="1373">
        <f t="shared" si="5"/>
        <v>1.4741666666666665E-2</v>
      </c>
      <c r="J408" s="1371">
        <v>21855</v>
      </c>
    </row>
    <row r="409" spans="1:10" x14ac:dyDescent="0.45">
      <c r="A409" s="1370">
        <v>17</v>
      </c>
      <c r="B409" s="1371">
        <v>21885</v>
      </c>
      <c r="C409" s="1370" t="s">
        <v>7149</v>
      </c>
      <c r="F409" s="1372">
        <v>2.92E-2</v>
      </c>
      <c r="H409" s="1382">
        <v>3.8833333333333333E-3</v>
      </c>
      <c r="I409" s="1373">
        <f t="shared" si="5"/>
        <v>2.5316666666666668E-2</v>
      </c>
      <c r="J409" s="1371">
        <v>21885</v>
      </c>
    </row>
    <row r="410" spans="1:10" x14ac:dyDescent="0.45">
      <c r="A410" s="1370">
        <v>17</v>
      </c>
      <c r="B410" s="1371">
        <v>21916</v>
      </c>
      <c r="C410" s="1370" t="s">
        <v>7149</v>
      </c>
      <c r="F410" s="1372">
        <v>-7.0000000000000007E-2</v>
      </c>
      <c r="H410" s="1382">
        <v>3.908333333333334E-3</v>
      </c>
      <c r="I410" s="1373">
        <f t="shared" ref="I410:I473" si="6">F410-H410</f>
        <v>-7.390833333333334E-2</v>
      </c>
      <c r="J410" s="1371">
        <v>21916</v>
      </c>
    </row>
    <row r="411" spans="1:10" x14ac:dyDescent="0.45">
      <c r="A411" s="1370">
        <v>17</v>
      </c>
      <c r="B411" s="1371">
        <v>21947</v>
      </c>
      <c r="C411" s="1370" t="s">
        <v>7149</v>
      </c>
      <c r="F411" s="1372">
        <v>1.47E-2</v>
      </c>
      <c r="H411" s="1382">
        <v>3.8624999999999996E-3</v>
      </c>
      <c r="I411" s="1373">
        <f t="shared" si="6"/>
        <v>1.08375E-2</v>
      </c>
      <c r="J411" s="1371">
        <v>21947</v>
      </c>
    </row>
    <row r="412" spans="1:10" x14ac:dyDescent="0.45">
      <c r="A412" s="1370">
        <v>17</v>
      </c>
      <c r="B412" s="1371">
        <v>21976</v>
      </c>
      <c r="C412" s="1370" t="s">
        <v>7149</v>
      </c>
      <c r="F412" s="1372">
        <v>-1.23E-2</v>
      </c>
      <c r="H412" s="1382">
        <v>3.7958333333333338E-3</v>
      </c>
      <c r="I412" s="1373">
        <f t="shared" si="6"/>
        <v>-1.6095833333333334E-2</v>
      </c>
      <c r="J412" s="1371">
        <v>21976</v>
      </c>
    </row>
    <row r="413" spans="1:10" x14ac:dyDescent="0.45">
      <c r="A413" s="1370">
        <v>17</v>
      </c>
      <c r="B413" s="1371">
        <v>22007</v>
      </c>
      <c r="C413" s="1370" t="s">
        <v>7149</v>
      </c>
      <c r="F413" s="1372">
        <v>-1.61E-2</v>
      </c>
      <c r="H413" s="1382">
        <v>3.7624999999999998E-3</v>
      </c>
      <c r="I413" s="1373">
        <f t="shared" si="6"/>
        <v>-1.9862499999999998E-2</v>
      </c>
      <c r="J413" s="1371">
        <v>22007</v>
      </c>
    </row>
    <row r="414" spans="1:10" x14ac:dyDescent="0.45">
      <c r="A414" s="1370">
        <v>17</v>
      </c>
      <c r="B414" s="1371">
        <v>22037</v>
      </c>
      <c r="C414" s="1370" t="s">
        <v>7149</v>
      </c>
      <c r="F414" s="1372">
        <v>3.2599999999999997E-2</v>
      </c>
      <c r="H414" s="1382">
        <v>3.7791666666666668E-3</v>
      </c>
      <c r="I414" s="1373">
        <f t="shared" si="6"/>
        <v>2.882083333333333E-2</v>
      </c>
      <c r="J414" s="1371">
        <v>22037</v>
      </c>
    </row>
    <row r="415" spans="1:10" x14ac:dyDescent="0.45">
      <c r="A415" s="1370">
        <v>17</v>
      </c>
      <c r="B415" s="1371">
        <v>22068</v>
      </c>
      <c r="C415" s="1370" t="s">
        <v>7149</v>
      </c>
      <c r="F415" s="1372">
        <v>2.1100000000000001E-2</v>
      </c>
      <c r="H415" s="1382">
        <v>3.7708333333333331E-3</v>
      </c>
      <c r="I415" s="1373">
        <f t="shared" si="6"/>
        <v>1.7329166666666666E-2</v>
      </c>
      <c r="J415" s="1371">
        <v>22068</v>
      </c>
    </row>
    <row r="416" spans="1:10" x14ac:dyDescent="0.45">
      <c r="A416" s="1370">
        <v>17</v>
      </c>
      <c r="B416" s="1371">
        <v>22098</v>
      </c>
      <c r="C416" s="1370" t="s">
        <v>7149</v>
      </c>
      <c r="F416" s="1372">
        <v>-2.3400000000000001E-2</v>
      </c>
      <c r="H416" s="1382">
        <v>3.7374999999999995E-3</v>
      </c>
      <c r="I416" s="1373">
        <f t="shared" si="6"/>
        <v>-2.7137500000000002E-2</v>
      </c>
      <c r="J416" s="1371">
        <v>22098</v>
      </c>
    </row>
    <row r="417" spans="1:10" x14ac:dyDescent="0.45">
      <c r="A417" s="1370">
        <v>17</v>
      </c>
      <c r="B417" s="1371">
        <v>22129</v>
      </c>
      <c r="C417" s="1370" t="s">
        <v>7149</v>
      </c>
      <c r="F417" s="1372">
        <v>3.1699999999999999E-2</v>
      </c>
      <c r="H417" s="1382">
        <v>3.6333333333333339E-3</v>
      </c>
      <c r="I417" s="1373">
        <f t="shared" si="6"/>
        <v>2.8066666666666663E-2</v>
      </c>
      <c r="J417" s="1371">
        <v>22129</v>
      </c>
    </row>
    <row r="418" spans="1:10" x14ac:dyDescent="0.45">
      <c r="A418" s="1370">
        <v>17</v>
      </c>
      <c r="B418" s="1371">
        <v>22160</v>
      </c>
      <c r="C418" s="1370" t="s">
        <v>7149</v>
      </c>
      <c r="F418" s="1372">
        <v>-5.8999999999999997E-2</v>
      </c>
      <c r="H418" s="1382">
        <v>3.6083333333333332E-3</v>
      </c>
      <c r="I418" s="1373">
        <f t="shared" si="6"/>
        <v>-6.2608333333333335E-2</v>
      </c>
      <c r="J418" s="1371">
        <v>22160</v>
      </c>
    </row>
    <row r="419" spans="1:10" x14ac:dyDescent="0.45">
      <c r="A419" s="1370">
        <v>17</v>
      </c>
      <c r="B419" s="1371">
        <v>22190</v>
      </c>
      <c r="C419" s="1370" t="s">
        <v>7149</v>
      </c>
      <c r="F419" s="1372">
        <v>-6.9999999999999999E-4</v>
      </c>
      <c r="H419" s="1382">
        <v>3.6416666666666667E-3</v>
      </c>
      <c r="I419" s="1373">
        <f t="shared" si="6"/>
        <v>-4.3416666666666664E-3</v>
      </c>
      <c r="J419" s="1371">
        <v>22190</v>
      </c>
    </row>
    <row r="420" spans="1:10" x14ac:dyDescent="0.45">
      <c r="A420" s="1370">
        <v>17</v>
      </c>
      <c r="B420" s="1371">
        <v>22221</v>
      </c>
      <c r="C420" s="1370" t="s">
        <v>7149</v>
      </c>
      <c r="F420" s="1372">
        <v>4.65E-2</v>
      </c>
      <c r="H420" s="1382">
        <v>3.6583333333333333E-3</v>
      </c>
      <c r="I420" s="1373">
        <f t="shared" si="6"/>
        <v>4.2841666666666667E-2</v>
      </c>
      <c r="J420" s="1371">
        <v>22221</v>
      </c>
    </row>
    <row r="421" spans="1:10" x14ac:dyDescent="0.45">
      <c r="A421" s="1370">
        <v>17</v>
      </c>
      <c r="B421" s="1371">
        <v>22251</v>
      </c>
      <c r="C421" s="1370" t="s">
        <v>7149</v>
      </c>
      <c r="F421" s="1372">
        <v>4.7899999999999998E-2</v>
      </c>
      <c r="H421" s="1382">
        <v>3.6875000000000002E-3</v>
      </c>
      <c r="I421" s="1373">
        <f t="shared" si="6"/>
        <v>4.4212499999999995E-2</v>
      </c>
      <c r="J421" s="1371">
        <v>22251</v>
      </c>
    </row>
    <row r="422" spans="1:10" x14ac:dyDescent="0.45">
      <c r="A422" s="1370">
        <v>17</v>
      </c>
      <c r="B422" s="1371">
        <v>22282</v>
      </c>
      <c r="C422" s="1370" t="s">
        <v>7149</v>
      </c>
      <c r="F422" s="1372">
        <v>6.4500000000000002E-2</v>
      </c>
      <c r="H422" s="1382">
        <v>3.666666666666667E-3</v>
      </c>
      <c r="I422" s="1373">
        <f t="shared" si="6"/>
        <v>6.0833333333333336E-2</v>
      </c>
      <c r="J422" s="1371">
        <v>22282</v>
      </c>
    </row>
    <row r="423" spans="1:10" x14ac:dyDescent="0.45">
      <c r="A423" s="1370">
        <v>17</v>
      </c>
      <c r="B423" s="1371">
        <v>22313</v>
      </c>
      <c r="C423" s="1370" t="s">
        <v>7149</v>
      </c>
      <c r="F423" s="1372">
        <v>3.1899999999999998E-2</v>
      </c>
      <c r="H423" s="1382">
        <v>3.6124999999999994E-3</v>
      </c>
      <c r="I423" s="1373">
        <f t="shared" si="6"/>
        <v>2.82875E-2</v>
      </c>
      <c r="J423" s="1371">
        <v>22313</v>
      </c>
    </row>
    <row r="424" spans="1:10" x14ac:dyDescent="0.45">
      <c r="A424" s="1370">
        <v>17</v>
      </c>
      <c r="B424" s="1371">
        <v>22341</v>
      </c>
      <c r="C424" s="1370" t="s">
        <v>7149</v>
      </c>
      <c r="F424" s="1372">
        <v>2.7E-2</v>
      </c>
      <c r="H424" s="1382">
        <v>3.5624999999999997E-3</v>
      </c>
      <c r="I424" s="1373">
        <f t="shared" si="6"/>
        <v>2.34375E-2</v>
      </c>
      <c r="J424" s="1371">
        <v>22341</v>
      </c>
    </row>
    <row r="425" spans="1:10" x14ac:dyDescent="0.45">
      <c r="A425" s="1370">
        <v>17</v>
      </c>
      <c r="B425" s="1371">
        <v>22372</v>
      </c>
      <c r="C425" s="1370" t="s">
        <v>7149</v>
      </c>
      <c r="F425" s="1372">
        <v>5.1000000000000004E-3</v>
      </c>
      <c r="H425" s="1382">
        <v>3.5916666666666671E-3</v>
      </c>
      <c r="I425" s="1373">
        <f t="shared" si="6"/>
        <v>1.5083333333333333E-3</v>
      </c>
      <c r="J425" s="1371">
        <v>22372</v>
      </c>
    </row>
    <row r="426" spans="1:10" x14ac:dyDescent="0.45">
      <c r="A426" s="1370">
        <v>17</v>
      </c>
      <c r="B426" s="1371">
        <v>22402</v>
      </c>
      <c r="C426" s="1370" t="s">
        <v>7149</v>
      </c>
      <c r="F426" s="1372">
        <v>2.3900000000000001E-2</v>
      </c>
      <c r="H426" s="1382">
        <v>3.6166666666666665E-3</v>
      </c>
      <c r="I426" s="1373">
        <f t="shared" si="6"/>
        <v>2.0283333333333334E-2</v>
      </c>
      <c r="J426" s="1371">
        <v>22402</v>
      </c>
    </row>
    <row r="427" spans="1:10" x14ac:dyDescent="0.45">
      <c r="A427" s="1370">
        <v>17</v>
      </c>
      <c r="B427" s="1371">
        <v>22433</v>
      </c>
      <c r="C427" s="1370" t="s">
        <v>7149</v>
      </c>
      <c r="F427" s="1372">
        <v>-2.75E-2</v>
      </c>
      <c r="H427" s="1382">
        <v>3.6583333333333333E-3</v>
      </c>
      <c r="I427" s="1373">
        <f t="shared" si="6"/>
        <v>-3.1158333333333333E-2</v>
      </c>
      <c r="J427" s="1371">
        <v>22433</v>
      </c>
    </row>
    <row r="428" spans="1:10" x14ac:dyDescent="0.45">
      <c r="A428" s="1370">
        <v>17</v>
      </c>
      <c r="B428" s="1371">
        <v>22463</v>
      </c>
      <c r="C428" s="1370" t="s">
        <v>7149</v>
      </c>
      <c r="F428" s="1372">
        <v>3.4200000000000001E-2</v>
      </c>
      <c r="H428" s="1382">
        <v>3.725E-3</v>
      </c>
      <c r="I428" s="1373">
        <f t="shared" si="6"/>
        <v>3.0475000000000002E-2</v>
      </c>
      <c r="J428" s="1371">
        <v>22463</v>
      </c>
    </row>
    <row r="429" spans="1:10" x14ac:dyDescent="0.45">
      <c r="A429" s="1370">
        <v>17</v>
      </c>
      <c r="B429" s="1371">
        <v>22494</v>
      </c>
      <c r="C429" s="1370" t="s">
        <v>7149</v>
      </c>
      <c r="F429" s="1372">
        <v>2.4299999999999999E-2</v>
      </c>
      <c r="H429" s="1382">
        <v>3.7583333333333336E-3</v>
      </c>
      <c r="I429" s="1373">
        <f t="shared" si="6"/>
        <v>2.0541666666666666E-2</v>
      </c>
      <c r="J429" s="1371">
        <v>22494</v>
      </c>
    </row>
    <row r="430" spans="1:10" x14ac:dyDescent="0.45">
      <c r="A430" s="1370">
        <v>17</v>
      </c>
      <c r="B430" s="1371">
        <v>22525</v>
      </c>
      <c r="C430" s="1370" t="s">
        <v>7149</v>
      </c>
      <c r="F430" s="1372">
        <v>-1.84E-2</v>
      </c>
      <c r="H430" s="1382">
        <v>3.7666666666666669E-3</v>
      </c>
      <c r="I430" s="1373">
        <f t="shared" si="6"/>
        <v>-2.2166666666666668E-2</v>
      </c>
      <c r="J430" s="1371">
        <v>22525</v>
      </c>
    </row>
    <row r="431" spans="1:10" x14ac:dyDescent="0.45">
      <c r="A431" s="1370">
        <v>17</v>
      </c>
      <c r="B431" s="1371">
        <v>22555</v>
      </c>
      <c r="C431" s="1370" t="s">
        <v>7149</v>
      </c>
      <c r="F431" s="1372">
        <v>2.98E-2</v>
      </c>
      <c r="H431" s="1382">
        <v>3.7416666666666666E-3</v>
      </c>
      <c r="I431" s="1373">
        <f t="shared" si="6"/>
        <v>2.6058333333333333E-2</v>
      </c>
      <c r="J431" s="1371">
        <v>22555</v>
      </c>
    </row>
    <row r="432" spans="1:10" x14ac:dyDescent="0.45">
      <c r="A432" s="1370">
        <v>17</v>
      </c>
      <c r="B432" s="1371">
        <v>22586</v>
      </c>
      <c r="C432" s="1370" t="s">
        <v>7149</v>
      </c>
      <c r="F432" s="1372">
        <v>4.4699999999999997E-2</v>
      </c>
      <c r="H432" s="1382">
        <v>3.7208333333333334E-3</v>
      </c>
      <c r="I432" s="1373">
        <f t="shared" si="6"/>
        <v>4.0979166666666664E-2</v>
      </c>
      <c r="J432" s="1371">
        <v>22586</v>
      </c>
    </row>
    <row r="433" spans="1:10" x14ac:dyDescent="0.45">
      <c r="A433" s="1370">
        <v>17</v>
      </c>
      <c r="B433" s="1371">
        <v>22616</v>
      </c>
      <c r="C433" s="1370" t="s">
        <v>7149</v>
      </c>
      <c r="F433" s="1372">
        <v>4.5999999999999999E-3</v>
      </c>
      <c r="H433" s="1382">
        <v>3.7416666666666666E-3</v>
      </c>
      <c r="I433" s="1373">
        <f t="shared" si="6"/>
        <v>8.5833333333333334E-4</v>
      </c>
      <c r="J433" s="1371">
        <v>22616</v>
      </c>
    </row>
    <row r="434" spans="1:10" x14ac:dyDescent="0.45">
      <c r="A434" s="1370">
        <v>17</v>
      </c>
      <c r="B434" s="1371">
        <v>22647</v>
      </c>
      <c r="C434" s="1370" t="s">
        <v>7149</v>
      </c>
      <c r="F434" s="1372">
        <v>-3.6600000000000001E-2</v>
      </c>
      <c r="H434" s="1382">
        <v>3.7375000000000004E-3</v>
      </c>
      <c r="I434" s="1373">
        <f t="shared" si="6"/>
        <v>-4.0337499999999998E-2</v>
      </c>
      <c r="J434" s="1371">
        <v>22647</v>
      </c>
    </row>
    <row r="435" spans="1:10" x14ac:dyDescent="0.45">
      <c r="A435" s="1370">
        <v>17</v>
      </c>
      <c r="B435" s="1371">
        <v>22678</v>
      </c>
      <c r="C435" s="1370" t="s">
        <v>7149</v>
      </c>
      <c r="F435" s="1372">
        <v>2.0899999999999998E-2</v>
      </c>
      <c r="H435" s="1382">
        <v>3.7416666666666666E-3</v>
      </c>
      <c r="I435" s="1373">
        <f t="shared" si="6"/>
        <v>1.7158333333333331E-2</v>
      </c>
      <c r="J435" s="1371">
        <v>22678</v>
      </c>
    </row>
    <row r="436" spans="1:10" x14ac:dyDescent="0.45">
      <c r="A436" s="1370">
        <v>17</v>
      </c>
      <c r="B436" s="1371">
        <v>22706</v>
      </c>
      <c r="C436" s="1370" t="s">
        <v>7149</v>
      </c>
      <c r="F436" s="1372">
        <v>-4.5999999999999999E-3</v>
      </c>
      <c r="H436" s="1382">
        <v>3.7166666666666663E-3</v>
      </c>
      <c r="I436" s="1373">
        <f t="shared" si="6"/>
        <v>-8.3166666666666667E-3</v>
      </c>
      <c r="J436" s="1371">
        <v>22706</v>
      </c>
    </row>
    <row r="437" spans="1:10" x14ac:dyDescent="0.45">
      <c r="A437" s="1370">
        <v>17</v>
      </c>
      <c r="B437" s="1371">
        <v>22737</v>
      </c>
      <c r="C437" s="1370" t="s">
        <v>7149</v>
      </c>
      <c r="F437" s="1372">
        <v>-6.0699999999999997E-2</v>
      </c>
      <c r="H437" s="1382">
        <v>3.6750000000000003E-3</v>
      </c>
      <c r="I437" s="1373">
        <f t="shared" si="6"/>
        <v>-6.4375000000000002E-2</v>
      </c>
      <c r="J437" s="1371">
        <v>22737</v>
      </c>
    </row>
    <row r="438" spans="1:10" x14ac:dyDescent="0.45">
      <c r="A438" s="1370">
        <v>17</v>
      </c>
      <c r="B438" s="1371">
        <v>22767</v>
      </c>
      <c r="C438" s="1370" t="s">
        <v>7149</v>
      </c>
      <c r="F438" s="1372">
        <v>-8.1100000000000005E-2</v>
      </c>
      <c r="H438" s="1382">
        <v>3.6291666666666668E-3</v>
      </c>
      <c r="I438" s="1373">
        <f t="shared" si="6"/>
        <v>-8.4729166666666675E-2</v>
      </c>
      <c r="J438" s="1371">
        <v>22767</v>
      </c>
    </row>
    <row r="439" spans="1:10" x14ac:dyDescent="0.45">
      <c r="A439" s="1370">
        <v>17</v>
      </c>
      <c r="B439" s="1371">
        <v>22798</v>
      </c>
      <c r="C439" s="1370" t="s">
        <v>7149</v>
      </c>
      <c r="F439" s="1372">
        <v>-8.0299999999999996E-2</v>
      </c>
      <c r="H439" s="1382">
        <v>3.6333333333333339E-3</v>
      </c>
      <c r="I439" s="1373">
        <f t="shared" si="6"/>
        <v>-8.3933333333333332E-2</v>
      </c>
      <c r="J439" s="1371">
        <v>22798</v>
      </c>
    </row>
    <row r="440" spans="1:10" x14ac:dyDescent="0.45">
      <c r="A440" s="1370">
        <v>17</v>
      </c>
      <c r="B440" s="1371">
        <v>22828</v>
      </c>
      <c r="C440" s="1370" t="s">
        <v>7149</v>
      </c>
      <c r="F440" s="1372">
        <v>6.5199999999999994E-2</v>
      </c>
      <c r="H440" s="1382">
        <v>3.6791666666666665E-3</v>
      </c>
      <c r="I440" s="1373">
        <f t="shared" si="6"/>
        <v>6.152083333333333E-2</v>
      </c>
      <c r="J440" s="1371">
        <v>22828</v>
      </c>
    </row>
    <row r="441" spans="1:10" x14ac:dyDescent="0.45">
      <c r="A441" s="1370">
        <v>17</v>
      </c>
      <c r="B441" s="1371">
        <v>22859</v>
      </c>
      <c r="C441" s="1370" t="s">
        <v>7149</v>
      </c>
      <c r="F441" s="1372">
        <v>2.0799999999999999E-2</v>
      </c>
      <c r="H441" s="1382">
        <v>3.6833333333333336E-3</v>
      </c>
      <c r="I441" s="1373">
        <f t="shared" si="6"/>
        <v>1.7116666666666665E-2</v>
      </c>
      <c r="J441" s="1371">
        <v>22859</v>
      </c>
    </row>
    <row r="442" spans="1:10" x14ac:dyDescent="0.45">
      <c r="A442" s="1370">
        <v>17</v>
      </c>
      <c r="B442" s="1371">
        <v>22890</v>
      </c>
      <c r="C442" s="1370" t="s">
        <v>7149</v>
      </c>
      <c r="F442" s="1372">
        <v>-4.65E-2</v>
      </c>
      <c r="H442" s="1382">
        <v>3.6583333333333333E-3</v>
      </c>
      <c r="I442" s="1373">
        <f t="shared" si="6"/>
        <v>-5.0158333333333333E-2</v>
      </c>
      <c r="J442" s="1371">
        <v>22890</v>
      </c>
    </row>
    <row r="443" spans="1:10" x14ac:dyDescent="0.45">
      <c r="A443" s="1370">
        <v>17</v>
      </c>
      <c r="B443" s="1371">
        <v>22920</v>
      </c>
      <c r="C443" s="1370" t="s">
        <v>7149</v>
      </c>
      <c r="F443" s="1372">
        <v>6.4000000000000003E-3</v>
      </c>
      <c r="H443" s="1382">
        <v>3.6208333333333331E-3</v>
      </c>
      <c r="I443" s="1373">
        <f t="shared" si="6"/>
        <v>2.7791666666666672E-3</v>
      </c>
      <c r="J443" s="1371">
        <v>22920</v>
      </c>
    </row>
    <row r="444" spans="1:10" x14ac:dyDescent="0.45">
      <c r="A444" s="1370">
        <v>17</v>
      </c>
      <c r="B444" s="1371">
        <v>22951</v>
      </c>
      <c r="C444" s="1370" t="s">
        <v>7149</v>
      </c>
      <c r="F444" s="1372">
        <v>0.1086</v>
      </c>
      <c r="H444" s="1382">
        <v>3.604166666666667E-3</v>
      </c>
      <c r="I444" s="1373">
        <f t="shared" si="6"/>
        <v>0.10499583333333333</v>
      </c>
      <c r="J444" s="1371">
        <v>22951</v>
      </c>
    </row>
    <row r="445" spans="1:10" x14ac:dyDescent="0.45">
      <c r="A445" s="1370">
        <v>17</v>
      </c>
      <c r="B445" s="1371">
        <v>22981</v>
      </c>
      <c r="C445" s="1370" t="s">
        <v>7149</v>
      </c>
      <c r="F445" s="1372">
        <v>1.5299999999999999E-2</v>
      </c>
      <c r="H445" s="1382">
        <v>3.5916666666666662E-3</v>
      </c>
      <c r="I445" s="1373">
        <f t="shared" si="6"/>
        <v>1.1708333333333333E-2</v>
      </c>
      <c r="J445" s="1371">
        <v>22981</v>
      </c>
    </row>
    <row r="446" spans="1:10" x14ac:dyDescent="0.45">
      <c r="A446" s="1370">
        <v>17</v>
      </c>
      <c r="B446" s="1371">
        <v>23012</v>
      </c>
      <c r="C446" s="1370" t="s">
        <v>7149</v>
      </c>
      <c r="F446" s="1372">
        <v>5.0599999999999999E-2</v>
      </c>
      <c r="H446" s="1382">
        <v>3.5750000000000005E-3</v>
      </c>
      <c r="I446" s="1373">
        <f t="shared" si="6"/>
        <v>4.7024999999999997E-2</v>
      </c>
      <c r="J446" s="1371">
        <v>23012</v>
      </c>
    </row>
    <row r="447" spans="1:10" x14ac:dyDescent="0.45">
      <c r="A447" s="1370">
        <v>17</v>
      </c>
      <c r="B447" s="1371">
        <v>23043</v>
      </c>
      <c r="C447" s="1370" t="s">
        <v>7149</v>
      </c>
      <c r="F447" s="1372">
        <v>-2.3900000000000001E-2</v>
      </c>
      <c r="H447" s="1382">
        <v>3.5625000000000001E-3</v>
      </c>
      <c r="I447" s="1373">
        <f t="shared" si="6"/>
        <v>-2.7462500000000001E-2</v>
      </c>
      <c r="J447" s="1371">
        <v>23043</v>
      </c>
    </row>
    <row r="448" spans="1:10" x14ac:dyDescent="0.45">
      <c r="A448" s="1370">
        <v>17</v>
      </c>
      <c r="B448" s="1371">
        <v>23071</v>
      </c>
      <c r="C448" s="1370" t="s">
        <v>7149</v>
      </c>
      <c r="F448" s="1372">
        <v>3.6999999999999998E-2</v>
      </c>
      <c r="H448" s="1382">
        <v>3.5541666666666664E-3</v>
      </c>
      <c r="I448" s="1373">
        <f t="shared" si="6"/>
        <v>3.3445833333333334E-2</v>
      </c>
      <c r="J448" s="1371">
        <v>23071</v>
      </c>
    </row>
    <row r="449" spans="1:10" x14ac:dyDescent="0.45">
      <c r="A449" s="1370">
        <v>17</v>
      </c>
      <c r="B449" s="1371">
        <v>23102</v>
      </c>
      <c r="C449" s="1370" t="s">
        <v>7149</v>
      </c>
      <c r="F449" s="1372">
        <v>0.05</v>
      </c>
      <c r="H449" s="1382">
        <v>3.5666666666666668E-3</v>
      </c>
      <c r="I449" s="1373">
        <f t="shared" si="6"/>
        <v>4.6433333333333333E-2</v>
      </c>
      <c r="J449" s="1371">
        <v>23102</v>
      </c>
    </row>
    <row r="450" spans="1:10" x14ac:dyDescent="0.45">
      <c r="A450" s="1370">
        <v>17</v>
      </c>
      <c r="B450" s="1371">
        <v>23132</v>
      </c>
      <c r="C450" s="1370" t="s">
        <v>7149</v>
      </c>
      <c r="F450" s="1372">
        <v>1.9300000000000001E-2</v>
      </c>
      <c r="H450" s="1382">
        <v>3.5750000000000001E-3</v>
      </c>
      <c r="I450" s="1373">
        <f t="shared" si="6"/>
        <v>1.5725000000000003E-2</v>
      </c>
      <c r="J450" s="1371">
        <v>23132</v>
      </c>
    </row>
    <row r="451" spans="1:10" x14ac:dyDescent="0.45">
      <c r="A451" s="1370">
        <v>17</v>
      </c>
      <c r="B451" s="1371">
        <v>23163</v>
      </c>
      <c r="C451" s="1370" t="s">
        <v>7149</v>
      </c>
      <c r="F451" s="1372">
        <v>-1.8800000000000001E-2</v>
      </c>
      <c r="H451" s="1382">
        <v>3.5791666666666667E-3</v>
      </c>
      <c r="I451" s="1373">
        <f t="shared" si="6"/>
        <v>-2.2379166666666669E-2</v>
      </c>
      <c r="J451" s="1371">
        <v>23163</v>
      </c>
    </row>
    <row r="452" spans="1:10" x14ac:dyDescent="0.45">
      <c r="A452" s="1370">
        <v>17</v>
      </c>
      <c r="B452" s="1371">
        <v>23193</v>
      </c>
      <c r="C452" s="1370" t="s">
        <v>7149</v>
      </c>
      <c r="F452" s="1372">
        <v>-2.2000000000000001E-3</v>
      </c>
      <c r="H452" s="1382">
        <v>3.6041666666666661E-3</v>
      </c>
      <c r="I452" s="1373">
        <f t="shared" si="6"/>
        <v>-5.8041666666666658E-3</v>
      </c>
      <c r="J452" s="1371">
        <v>23193</v>
      </c>
    </row>
    <row r="453" spans="1:10" x14ac:dyDescent="0.45">
      <c r="A453" s="1370">
        <v>17</v>
      </c>
      <c r="B453" s="1371">
        <v>23224</v>
      </c>
      <c r="C453" s="1370" t="s">
        <v>7149</v>
      </c>
      <c r="F453" s="1372">
        <v>5.3499999999999999E-2</v>
      </c>
      <c r="H453" s="1382">
        <v>3.6208333333333331E-3</v>
      </c>
      <c r="I453" s="1373">
        <f t="shared" si="6"/>
        <v>4.9879166666666669E-2</v>
      </c>
      <c r="J453" s="1371">
        <v>23224</v>
      </c>
    </row>
    <row r="454" spans="1:10" x14ac:dyDescent="0.45">
      <c r="A454" s="1370">
        <v>17</v>
      </c>
      <c r="B454" s="1371">
        <v>23255</v>
      </c>
      <c r="C454" s="1370" t="s">
        <v>7149</v>
      </c>
      <c r="F454" s="1372">
        <v>-9.7000000000000003E-3</v>
      </c>
      <c r="H454" s="1382">
        <v>3.633333333333333E-3</v>
      </c>
      <c r="I454" s="1373">
        <f t="shared" si="6"/>
        <v>-1.3333333333333332E-2</v>
      </c>
      <c r="J454" s="1371">
        <v>23255</v>
      </c>
    </row>
    <row r="455" spans="1:10" x14ac:dyDescent="0.45">
      <c r="A455" s="1370">
        <v>17</v>
      </c>
      <c r="B455" s="1371">
        <v>23285</v>
      </c>
      <c r="C455" s="1370" t="s">
        <v>7149</v>
      </c>
      <c r="F455" s="1372">
        <v>3.39E-2</v>
      </c>
      <c r="H455" s="1382">
        <v>3.6458333333333338E-3</v>
      </c>
      <c r="I455" s="1373">
        <f t="shared" si="6"/>
        <v>3.0254166666666665E-2</v>
      </c>
      <c r="J455" s="1371">
        <v>23285</v>
      </c>
    </row>
    <row r="456" spans="1:10" x14ac:dyDescent="0.45">
      <c r="A456" s="1370">
        <v>17</v>
      </c>
      <c r="B456" s="1371">
        <v>23316</v>
      </c>
      <c r="C456" s="1370" t="s">
        <v>7149</v>
      </c>
      <c r="F456" s="1372">
        <v>-4.5999999999999999E-3</v>
      </c>
      <c r="H456" s="1382">
        <v>3.6541666666666671E-3</v>
      </c>
      <c r="I456" s="1373">
        <f t="shared" si="6"/>
        <v>-8.2541666666666666E-3</v>
      </c>
      <c r="J456" s="1371">
        <v>23316</v>
      </c>
    </row>
    <row r="457" spans="1:10" x14ac:dyDescent="0.45">
      <c r="A457" s="1370">
        <v>17</v>
      </c>
      <c r="B457" s="1371">
        <v>23346</v>
      </c>
      <c r="C457" s="1370" t="s">
        <v>7149</v>
      </c>
      <c r="F457" s="1372">
        <v>2.6200000000000001E-2</v>
      </c>
      <c r="H457" s="1382">
        <v>3.6708333333333332E-3</v>
      </c>
      <c r="I457" s="1373">
        <f t="shared" si="6"/>
        <v>2.252916666666667E-2</v>
      </c>
      <c r="J457" s="1371">
        <v>23346</v>
      </c>
    </row>
    <row r="458" spans="1:10" x14ac:dyDescent="0.45">
      <c r="A458" s="1370">
        <v>17</v>
      </c>
      <c r="B458" s="1371">
        <v>23377</v>
      </c>
      <c r="C458" s="1370" t="s">
        <v>7149</v>
      </c>
      <c r="F458" s="1372">
        <v>2.8299999999999999E-2</v>
      </c>
      <c r="H458" s="1382">
        <v>3.6916666666666669E-3</v>
      </c>
      <c r="I458" s="1373">
        <f t="shared" si="6"/>
        <v>2.4608333333333333E-2</v>
      </c>
      <c r="J458" s="1371">
        <v>23377</v>
      </c>
    </row>
    <row r="459" spans="1:10" x14ac:dyDescent="0.45">
      <c r="A459" s="1370">
        <v>17</v>
      </c>
      <c r="B459" s="1371">
        <v>23408</v>
      </c>
      <c r="C459" s="1370" t="s">
        <v>7149</v>
      </c>
      <c r="F459" s="1372">
        <v>1.47E-2</v>
      </c>
      <c r="H459" s="1382">
        <v>3.6749999999999999E-3</v>
      </c>
      <c r="I459" s="1373">
        <f t="shared" si="6"/>
        <v>1.1025E-2</v>
      </c>
      <c r="J459" s="1371">
        <v>23408</v>
      </c>
    </row>
    <row r="460" spans="1:10" x14ac:dyDescent="0.45">
      <c r="A460" s="1370">
        <v>17</v>
      </c>
      <c r="B460" s="1371">
        <v>23437</v>
      </c>
      <c r="C460" s="1370" t="s">
        <v>7149</v>
      </c>
      <c r="F460" s="1372">
        <v>1.6500000000000001E-2</v>
      </c>
      <c r="H460" s="1382">
        <v>3.6875000000000002E-3</v>
      </c>
      <c r="I460" s="1373">
        <f t="shared" si="6"/>
        <v>1.2812500000000001E-2</v>
      </c>
      <c r="J460" s="1371">
        <v>23437</v>
      </c>
    </row>
    <row r="461" spans="1:10" x14ac:dyDescent="0.45">
      <c r="A461" s="1370">
        <v>17</v>
      </c>
      <c r="B461" s="1371">
        <v>23468</v>
      </c>
      <c r="C461" s="1370" t="s">
        <v>7149</v>
      </c>
      <c r="F461" s="1372">
        <v>7.4999999999999997E-3</v>
      </c>
      <c r="H461" s="1382">
        <v>3.7041666666666672E-3</v>
      </c>
      <c r="I461" s="1373">
        <f t="shared" si="6"/>
        <v>3.7958333333333325E-3</v>
      </c>
      <c r="J461" s="1371">
        <v>23468</v>
      </c>
    </row>
    <row r="462" spans="1:10" x14ac:dyDescent="0.45">
      <c r="A462" s="1370">
        <v>17</v>
      </c>
      <c r="B462" s="1371">
        <v>23498</v>
      </c>
      <c r="C462" s="1370" t="s">
        <v>7149</v>
      </c>
      <c r="F462" s="1372">
        <v>1.6199999999999999E-2</v>
      </c>
      <c r="H462" s="1382">
        <v>3.7124999999999997E-3</v>
      </c>
      <c r="I462" s="1373">
        <f t="shared" si="6"/>
        <v>1.2487499999999999E-2</v>
      </c>
      <c r="J462" s="1371">
        <v>23498</v>
      </c>
    </row>
    <row r="463" spans="1:10" x14ac:dyDescent="0.45">
      <c r="A463" s="1370">
        <v>17</v>
      </c>
      <c r="B463" s="1371">
        <v>23529</v>
      </c>
      <c r="C463" s="1370" t="s">
        <v>7149</v>
      </c>
      <c r="F463" s="1372">
        <v>1.78E-2</v>
      </c>
      <c r="H463" s="1382">
        <v>3.7166666666666663E-3</v>
      </c>
      <c r="I463" s="1373">
        <f t="shared" si="6"/>
        <v>1.4083333333333333E-2</v>
      </c>
      <c r="J463" s="1371">
        <v>23529</v>
      </c>
    </row>
    <row r="464" spans="1:10" x14ac:dyDescent="0.45">
      <c r="A464" s="1370">
        <v>17</v>
      </c>
      <c r="B464" s="1371">
        <v>23559</v>
      </c>
      <c r="C464" s="1370" t="s">
        <v>7149</v>
      </c>
      <c r="F464" s="1372">
        <v>1.95E-2</v>
      </c>
      <c r="H464" s="1382">
        <v>3.7083333333333334E-3</v>
      </c>
      <c r="I464" s="1373">
        <f t="shared" si="6"/>
        <v>1.5791666666666666E-2</v>
      </c>
      <c r="J464" s="1371">
        <v>23559</v>
      </c>
    </row>
    <row r="465" spans="1:10" x14ac:dyDescent="0.45">
      <c r="A465" s="1370">
        <v>17</v>
      </c>
      <c r="B465" s="1371">
        <v>23590</v>
      </c>
      <c r="C465" s="1370" t="s">
        <v>7149</v>
      </c>
      <c r="F465" s="1372">
        <v>-1.18E-2</v>
      </c>
      <c r="H465" s="1382">
        <v>3.7083333333333334E-3</v>
      </c>
      <c r="I465" s="1373">
        <f t="shared" si="6"/>
        <v>-1.5508333333333332E-2</v>
      </c>
      <c r="J465" s="1371">
        <v>23590</v>
      </c>
    </row>
    <row r="466" spans="1:10" x14ac:dyDescent="0.45">
      <c r="A466" s="1370">
        <v>17</v>
      </c>
      <c r="B466" s="1371">
        <v>23621</v>
      </c>
      <c r="C466" s="1370" t="s">
        <v>7149</v>
      </c>
      <c r="F466" s="1372">
        <v>3.0099999999999998E-2</v>
      </c>
      <c r="H466" s="1382">
        <v>3.7083333333333334E-3</v>
      </c>
      <c r="I466" s="1373">
        <f t="shared" si="6"/>
        <v>2.6391666666666664E-2</v>
      </c>
      <c r="J466" s="1371">
        <v>23621</v>
      </c>
    </row>
    <row r="467" spans="1:10" x14ac:dyDescent="0.45">
      <c r="A467" s="1370">
        <v>17</v>
      </c>
      <c r="B467" s="1371">
        <v>23651</v>
      </c>
      <c r="C467" s="1370" t="s">
        <v>7149</v>
      </c>
      <c r="F467" s="1372">
        <v>9.5999999999999992E-3</v>
      </c>
      <c r="H467" s="1382">
        <v>3.7125000000000001E-3</v>
      </c>
      <c r="I467" s="1373">
        <f t="shared" si="6"/>
        <v>5.8874999999999986E-3</v>
      </c>
      <c r="J467" s="1371">
        <v>23651</v>
      </c>
    </row>
    <row r="468" spans="1:10" x14ac:dyDescent="0.45">
      <c r="A468" s="1370">
        <v>17</v>
      </c>
      <c r="B468" s="1371">
        <v>23682</v>
      </c>
      <c r="C468" s="1370" t="s">
        <v>7149</v>
      </c>
      <c r="F468" s="1372">
        <v>5.0000000000000001E-4</v>
      </c>
      <c r="H468" s="1382">
        <v>3.7166666666666672E-3</v>
      </c>
      <c r="I468" s="1373">
        <f t="shared" si="6"/>
        <v>-3.2166666666666672E-3</v>
      </c>
      <c r="J468" s="1371">
        <v>23682</v>
      </c>
    </row>
    <row r="469" spans="1:10" x14ac:dyDescent="0.45">
      <c r="A469" s="1370">
        <v>17</v>
      </c>
      <c r="B469" s="1371">
        <v>23712</v>
      </c>
      <c r="C469" s="1370" t="s">
        <v>7149</v>
      </c>
      <c r="F469" s="1372">
        <v>5.5999999999999999E-3</v>
      </c>
      <c r="H469" s="1382">
        <v>3.7250000000000004E-3</v>
      </c>
      <c r="I469" s="1373">
        <f t="shared" si="6"/>
        <v>1.8749999999999995E-3</v>
      </c>
      <c r="J469" s="1371">
        <v>23712</v>
      </c>
    </row>
    <row r="470" spans="1:10" x14ac:dyDescent="0.45">
      <c r="A470" s="1370">
        <v>17</v>
      </c>
      <c r="B470" s="1371">
        <v>23743</v>
      </c>
      <c r="C470" s="1370" t="s">
        <v>7149</v>
      </c>
      <c r="F470" s="1372">
        <v>3.4500000000000003E-2</v>
      </c>
      <c r="H470" s="1382">
        <v>3.7124999999999997E-3</v>
      </c>
      <c r="I470" s="1373">
        <f t="shared" si="6"/>
        <v>3.0787500000000002E-2</v>
      </c>
      <c r="J470" s="1371">
        <v>23743</v>
      </c>
    </row>
    <row r="471" spans="1:10" x14ac:dyDescent="0.45">
      <c r="A471" s="1370">
        <v>17</v>
      </c>
      <c r="B471" s="1371">
        <v>23774</v>
      </c>
      <c r="C471" s="1370" t="s">
        <v>7149</v>
      </c>
      <c r="F471" s="1372">
        <v>3.0999999999999999E-3</v>
      </c>
      <c r="H471" s="1382">
        <v>3.6958333333333331E-3</v>
      </c>
      <c r="I471" s="1373">
        <f t="shared" si="6"/>
        <v>-5.958333333333332E-4</v>
      </c>
      <c r="J471" s="1371">
        <v>23774</v>
      </c>
    </row>
    <row r="472" spans="1:10" x14ac:dyDescent="0.45">
      <c r="A472" s="1370">
        <v>17</v>
      </c>
      <c r="B472" s="1371">
        <v>23802</v>
      </c>
      <c r="C472" s="1370" t="s">
        <v>7149</v>
      </c>
      <c r="F472" s="1372">
        <v>-1.3299999999999999E-2</v>
      </c>
      <c r="H472" s="1382">
        <v>3.7083333333333334E-3</v>
      </c>
      <c r="I472" s="1373">
        <f t="shared" si="6"/>
        <v>-1.7008333333333334E-2</v>
      </c>
      <c r="J472" s="1371">
        <v>23802</v>
      </c>
    </row>
    <row r="473" spans="1:10" x14ac:dyDescent="0.45">
      <c r="A473" s="1370">
        <v>17</v>
      </c>
      <c r="B473" s="1371">
        <v>23833</v>
      </c>
      <c r="C473" s="1370" t="s">
        <v>7149</v>
      </c>
      <c r="F473" s="1372">
        <v>3.56E-2</v>
      </c>
      <c r="H473" s="1382">
        <v>3.7124999999999997E-3</v>
      </c>
      <c r="I473" s="1373">
        <f t="shared" si="6"/>
        <v>3.1887499999999999E-2</v>
      </c>
      <c r="J473" s="1371">
        <v>23833</v>
      </c>
    </row>
    <row r="474" spans="1:10" x14ac:dyDescent="0.45">
      <c r="A474" s="1370">
        <v>17</v>
      </c>
      <c r="B474" s="1371">
        <v>23863</v>
      </c>
      <c r="C474" s="1370" t="s">
        <v>7149</v>
      </c>
      <c r="F474" s="1372">
        <v>-3.0000000000000001E-3</v>
      </c>
      <c r="H474" s="1382">
        <v>3.7208333333333338E-3</v>
      </c>
      <c r="I474" s="1373">
        <f t="shared" ref="I474:I537" si="7">F474-H474</f>
        <v>-6.7208333333333339E-3</v>
      </c>
      <c r="J474" s="1371">
        <v>23863</v>
      </c>
    </row>
    <row r="475" spans="1:10" x14ac:dyDescent="0.45">
      <c r="A475" s="1370">
        <v>17</v>
      </c>
      <c r="B475" s="1371">
        <v>23894</v>
      </c>
      <c r="C475" s="1370" t="s">
        <v>7149</v>
      </c>
      <c r="F475" s="1372">
        <v>-4.7300000000000002E-2</v>
      </c>
      <c r="H475" s="1382">
        <v>3.7416666666666666E-3</v>
      </c>
      <c r="I475" s="1373">
        <f t="shared" si="7"/>
        <v>-5.1041666666666666E-2</v>
      </c>
      <c r="J475" s="1371">
        <v>23894</v>
      </c>
    </row>
    <row r="476" spans="1:10" x14ac:dyDescent="0.45">
      <c r="A476" s="1370">
        <v>17</v>
      </c>
      <c r="B476" s="1371">
        <v>23924</v>
      </c>
      <c r="C476" s="1370" t="s">
        <v>7149</v>
      </c>
      <c r="F476" s="1372">
        <v>1.47E-2</v>
      </c>
      <c r="H476" s="1382">
        <v>3.7666666666666664E-3</v>
      </c>
      <c r="I476" s="1373">
        <f t="shared" si="7"/>
        <v>1.0933333333333333E-2</v>
      </c>
      <c r="J476" s="1371">
        <v>23924</v>
      </c>
    </row>
    <row r="477" spans="1:10" x14ac:dyDescent="0.45">
      <c r="A477" s="1370">
        <v>17</v>
      </c>
      <c r="B477" s="1371">
        <v>23955</v>
      </c>
      <c r="C477" s="1370" t="s">
        <v>7149</v>
      </c>
      <c r="F477" s="1372">
        <v>2.7199999999999998E-2</v>
      </c>
      <c r="H477" s="1382">
        <v>3.7833333333333334E-3</v>
      </c>
      <c r="I477" s="1373">
        <f t="shared" si="7"/>
        <v>2.3416666666666665E-2</v>
      </c>
      <c r="J477" s="1371">
        <v>23955</v>
      </c>
    </row>
    <row r="478" spans="1:10" x14ac:dyDescent="0.45">
      <c r="A478" s="1370">
        <v>17</v>
      </c>
      <c r="B478" s="1371">
        <v>23986</v>
      </c>
      <c r="C478" s="1370" t="s">
        <v>7149</v>
      </c>
      <c r="F478" s="1372">
        <v>3.3399999999999999E-2</v>
      </c>
      <c r="H478" s="1382">
        <v>3.8124999999999999E-3</v>
      </c>
      <c r="I478" s="1373">
        <f t="shared" si="7"/>
        <v>2.9587499999999999E-2</v>
      </c>
      <c r="J478" s="1371">
        <v>23986</v>
      </c>
    </row>
    <row r="479" spans="1:10" x14ac:dyDescent="0.45">
      <c r="A479" s="1370">
        <v>17</v>
      </c>
      <c r="B479" s="1371">
        <v>24016</v>
      </c>
      <c r="C479" s="1370" t="s">
        <v>7149</v>
      </c>
      <c r="F479" s="1372">
        <v>2.8899999999999999E-2</v>
      </c>
      <c r="H479" s="1382">
        <v>3.8416666666666664E-3</v>
      </c>
      <c r="I479" s="1373">
        <f t="shared" si="7"/>
        <v>2.5058333333333332E-2</v>
      </c>
      <c r="J479" s="1371">
        <v>24016</v>
      </c>
    </row>
    <row r="480" spans="1:10" x14ac:dyDescent="0.45">
      <c r="A480" s="1370">
        <v>17</v>
      </c>
      <c r="B480" s="1371">
        <v>24047</v>
      </c>
      <c r="C480" s="1370" t="s">
        <v>7149</v>
      </c>
      <c r="F480" s="1372">
        <v>-3.0999999999999999E-3</v>
      </c>
      <c r="H480" s="1382">
        <v>3.8708333333333333E-3</v>
      </c>
      <c r="I480" s="1373">
        <f t="shared" si="7"/>
        <v>-6.9708333333333332E-3</v>
      </c>
      <c r="J480" s="1371">
        <v>24047</v>
      </c>
    </row>
    <row r="481" spans="1:10" x14ac:dyDescent="0.45">
      <c r="A481" s="1370">
        <v>17</v>
      </c>
      <c r="B481" s="1371">
        <v>24077</v>
      </c>
      <c r="C481" s="1370" t="s">
        <v>7149</v>
      </c>
      <c r="F481" s="1372">
        <v>1.06E-2</v>
      </c>
      <c r="H481" s="1382">
        <v>3.9499999999999995E-3</v>
      </c>
      <c r="I481" s="1373">
        <f t="shared" si="7"/>
        <v>6.6500000000000005E-3</v>
      </c>
      <c r="J481" s="1371">
        <v>24077</v>
      </c>
    </row>
    <row r="482" spans="1:10" x14ac:dyDescent="0.45">
      <c r="A482" s="1370">
        <v>17</v>
      </c>
      <c r="B482" s="1371">
        <v>24108</v>
      </c>
      <c r="C482" s="1370" t="s">
        <v>7149</v>
      </c>
      <c r="F482" s="1372">
        <v>6.1999999999999998E-3</v>
      </c>
      <c r="H482" s="1382">
        <v>3.9875000000000006E-3</v>
      </c>
      <c r="I482" s="1373">
        <f t="shared" si="7"/>
        <v>2.2124999999999992E-3</v>
      </c>
      <c r="J482" s="1371">
        <v>24108</v>
      </c>
    </row>
    <row r="483" spans="1:10" x14ac:dyDescent="0.45">
      <c r="A483" s="1370">
        <v>17</v>
      </c>
      <c r="B483" s="1371">
        <v>24139</v>
      </c>
      <c r="C483" s="1370" t="s">
        <v>7149</v>
      </c>
      <c r="F483" s="1372">
        <v>-1.3100000000000001E-2</v>
      </c>
      <c r="H483" s="1382">
        <v>4.0333333333333341E-3</v>
      </c>
      <c r="I483" s="1373">
        <f t="shared" si="7"/>
        <v>-1.7133333333333334E-2</v>
      </c>
      <c r="J483" s="1371">
        <v>24139</v>
      </c>
    </row>
    <row r="484" spans="1:10" x14ac:dyDescent="0.45">
      <c r="A484" s="1370">
        <v>17</v>
      </c>
      <c r="B484" s="1371">
        <v>24167</v>
      </c>
      <c r="C484" s="1370" t="s">
        <v>7149</v>
      </c>
      <c r="F484" s="1372">
        <v>-2.0500000000000001E-2</v>
      </c>
      <c r="H484" s="1382">
        <v>4.1541666666666663E-3</v>
      </c>
      <c r="I484" s="1373">
        <f t="shared" si="7"/>
        <v>-2.4654166666666668E-2</v>
      </c>
      <c r="J484" s="1371">
        <v>24167</v>
      </c>
    </row>
    <row r="485" spans="1:10" x14ac:dyDescent="0.45">
      <c r="A485" s="1370">
        <v>17</v>
      </c>
      <c r="B485" s="1371">
        <v>24198</v>
      </c>
      <c r="C485" s="1370" t="s">
        <v>7149</v>
      </c>
      <c r="F485" s="1372">
        <v>2.1999999999999999E-2</v>
      </c>
      <c r="H485" s="1382">
        <v>4.179166666666667E-3</v>
      </c>
      <c r="I485" s="1373">
        <f t="shared" si="7"/>
        <v>1.7820833333333331E-2</v>
      </c>
      <c r="J485" s="1371">
        <v>24198</v>
      </c>
    </row>
    <row r="486" spans="1:10" x14ac:dyDescent="0.45">
      <c r="A486" s="1370">
        <v>17</v>
      </c>
      <c r="B486" s="1371">
        <v>24228</v>
      </c>
      <c r="C486" s="1370" t="s">
        <v>7149</v>
      </c>
      <c r="F486" s="1372">
        <v>-4.9200000000000001E-2</v>
      </c>
      <c r="H486" s="1382">
        <v>4.2000000000000006E-3</v>
      </c>
      <c r="I486" s="1373">
        <f t="shared" si="7"/>
        <v>-5.3400000000000003E-2</v>
      </c>
      <c r="J486" s="1371">
        <v>24228</v>
      </c>
    </row>
    <row r="487" spans="1:10" x14ac:dyDescent="0.45">
      <c r="A487" s="1370">
        <v>17</v>
      </c>
      <c r="B487" s="1371">
        <v>24259</v>
      </c>
      <c r="C487" s="1370" t="s">
        <v>7149</v>
      </c>
      <c r="F487" s="1372">
        <v>-1.46E-2</v>
      </c>
      <c r="H487" s="1382">
        <v>4.2624999999999998E-3</v>
      </c>
      <c r="I487" s="1373">
        <f t="shared" si="7"/>
        <v>-1.8862500000000001E-2</v>
      </c>
      <c r="J487" s="1371">
        <v>24259</v>
      </c>
    </row>
    <row r="488" spans="1:10" x14ac:dyDescent="0.45">
      <c r="A488" s="1370">
        <v>17</v>
      </c>
      <c r="B488" s="1371">
        <v>24289</v>
      </c>
      <c r="C488" s="1370" t="s">
        <v>7149</v>
      </c>
      <c r="F488" s="1372">
        <v>-1.2E-2</v>
      </c>
      <c r="H488" s="1382">
        <v>4.3374999999999993E-3</v>
      </c>
      <c r="I488" s="1373">
        <f t="shared" si="7"/>
        <v>-1.6337499999999998E-2</v>
      </c>
      <c r="J488" s="1371">
        <v>24289</v>
      </c>
    </row>
    <row r="489" spans="1:10" x14ac:dyDescent="0.45">
      <c r="A489" s="1370">
        <v>17</v>
      </c>
      <c r="B489" s="1371">
        <v>24320</v>
      </c>
      <c r="C489" s="1370" t="s">
        <v>7149</v>
      </c>
      <c r="F489" s="1372">
        <v>-7.2499999999999995E-2</v>
      </c>
      <c r="H489" s="1382">
        <v>4.4541666666666662E-3</v>
      </c>
      <c r="I489" s="1373">
        <f t="shared" si="7"/>
        <v>-7.6954166666666657E-2</v>
      </c>
      <c r="J489" s="1371">
        <v>24320</v>
      </c>
    </row>
    <row r="490" spans="1:10" x14ac:dyDescent="0.45">
      <c r="A490" s="1370">
        <v>17</v>
      </c>
      <c r="B490" s="1371">
        <v>24351</v>
      </c>
      <c r="C490" s="1370" t="s">
        <v>7149</v>
      </c>
      <c r="F490" s="1372">
        <v>-5.3E-3</v>
      </c>
      <c r="H490" s="1382">
        <v>4.6125000000000003E-3</v>
      </c>
      <c r="I490" s="1373">
        <f t="shared" si="7"/>
        <v>-9.9125000000000012E-3</v>
      </c>
      <c r="J490" s="1371">
        <v>24351</v>
      </c>
    </row>
    <row r="491" spans="1:10" x14ac:dyDescent="0.45">
      <c r="A491" s="1370">
        <v>17</v>
      </c>
      <c r="B491" s="1371">
        <v>24381</v>
      </c>
      <c r="C491" s="1370" t="s">
        <v>7149</v>
      </c>
      <c r="F491" s="1372">
        <v>4.9399999999999999E-2</v>
      </c>
      <c r="H491" s="1382">
        <v>4.5458333333333331E-3</v>
      </c>
      <c r="I491" s="1373">
        <f t="shared" si="7"/>
        <v>4.4854166666666667E-2</v>
      </c>
      <c r="J491" s="1371">
        <v>24381</v>
      </c>
    </row>
    <row r="492" spans="1:10" x14ac:dyDescent="0.45">
      <c r="A492" s="1370">
        <v>17</v>
      </c>
      <c r="B492" s="1371">
        <v>24412</v>
      </c>
      <c r="C492" s="1370" t="s">
        <v>7149</v>
      </c>
      <c r="F492" s="1372">
        <v>9.4999999999999998E-3</v>
      </c>
      <c r="H492" s="1382">
        <v>4.5041666666666667E-3</v>
      </c>
      <c r="I492" s="1373">
        <f t="shared" si="7"/>
        <v>4.995833333333333E-3</v>
      </c>
      <c r="J492" s="1371">
        <v>24412</v>
      </c>
    </row>
    <row r="493" spans="1:10" x14ac:dyDescent="0.45">
      <c r="A493" s="1370">
        <v>17</v>
      </c>
      <c r="B493" s="1371">
        <v>24442</v>
      </c>
      <c r="C493" s="1370" t="s">
        <v>7149</v>
      </c>
      <c r="F493" s="1372">
        <v>2.0000000000000001E-4</v>
      </c>
      <c r="H493" s="1382">
        <v>4.5291666666666666E-3</v>
      </c>
      <c r="I493" s="1373">
        <f t="shared" si="7"/>
        <v>-4.3291666666666669E-3</v>
      </c>
      <c r="J493" s="1371">
        <v>24442</v>
      </c>
    </row>
    <row r="494" spans="1:10" x14ac:dyDescent="0.45">
      <c r="A494" s="1370">
        <v>17</v>
      </c>
      <c r="B494" s="1371">
        <v>24473</v>
      </c>
      <c r="C494" s="1370" t="s">
        <v>7149</v>
      </c>
      <c r="F494" s="1372">
        <v>7.9799999999999996E-2</v>
      </c>
      <c r="H494" s="1382">
        <v>4.3750000000000004E-3</v>
      </c>
      <c r="I494" s="1373">
        <f t="shared" si="7"/>
        <v>7.5424999999999992E-2</v>
      </c>
      <c r="J494" s="1371">
        <v>24473</v>
      </c>
    </row>
    <row r="495" spans="1:10" x14ac:dyDescent="0.45">
      <c r="A495" s="1370">
        <v>17</v>
      </c>
      <c r="B495" s="1371">
        <v>24504</v>
      </c>
      <c r="C495" s="1370" t="s">
        <v>7149</v>
      </c>
      <c r="F495" s="1372">
        <v>7.1999999999999998E-3</v>
      </c>
      <c r="H495" s="1382">
        <v>4.2541666666666665E-3</v>
      </c>
      <c r="I495" s="1373">
        <f t="shared" si="7"/>
        <v>2.9458333333333333E-3</v>
      </c>
      <c r="J495" s="1371">
        <v>24504</v>
      </c>
    </row>
    <row r="496" spans="1:10" x14ac:dyDescent="0.45">
      <c r="A496" s="1370">
        <v>17</v>
      </c>
      <c r="B496" s="1371">
        <v>24532</v>
      </c>
      <c r="C496" s="1370" t="s">
        <v>7149</v>
      </c>
      <c r="F496" s="1372">
        <v>4.0899999999999999E-2</v>
      </c>
      <c r="H496" s="1382">
        <v>4.3166666666666666E-3</v>
      </c>
      <c r="I496" s="1373">
        <f t="shared" si="7"/>
        <v>3.6583333333333329E-2</v>
      </c>
      <c r="J496" s="1371">
        <v>24532</v>
      </c>
    </row>
    <row r="497" spans="1:10" x14ac:dyDescent="0.45">
      <c r="A497" s="1370">
        <v>17</v>
      </c>
      <c r="B497" s="1371">
        <v>24563</v>
      </c>
      <c r="C497" s="1370" t="s">
        <v>7149</v>
      </c>
      <c r="F497" s="1372">
        <v>4.3700000000000003E-2</v>
      </c>
      <c r="H497" s="1382">
        <v>4.3208333333333328E-3</v>
      </c>
      <c r="I497" s="1373">
        <f t="shared" si="7"/>
        <v>3.9379166666666673E-2</v>
      </c>
      <c r="J497" s="1371">
        <v>24563</v>
      </c>
    </row>
    <row r="498" spans="1:10" x14ac:dyDescent="0.45">
      <c r="A498" s="1370">
        <v>17</v>
      </c>
      <c r="B498" s="1371">
        <v>24593</v>
      </c>
      <c r="C498" s="1370" t="s">
        <v>7149</v>
      </c>
      <c r="F498" s="1372">
        <v>-4.7699999999999999E-2</v>
      </c>
      <c r="H498" s="1382">
        <v>4.4416666666666667E-3</v>
      </c>
      <c r="I498" s="1373">
        <f t="shared" si="7"/>
        <v>-5.2141666666666669E-2</v>
      </c>
      <c r="J498" s="1371">
        <v>24593</v>
      </c>
    </row>
    <row r="499" spans="1:10" x14ac:dyDescent="0.45">
      <c r="A499" s="1370">
        <v>17</v>
      </c>
      <c r="B499" s="1371">
        <v>24624</v>
      </c>
      <c r="C499" s="1370" t="s">
        <v>7149</v>
      </c>
      <c r="F499" s="1372">
        <v>1.9E-2</v>
      </c>
      <c r="H499" s="1382">
        <v>4.6125000000000003E-3</v>
      </c>
      <c r="I499" s="1373">
        <f t="shared" si="7"/>
        <v>1.4387499999999999E-2</v>
      </c>
      <c r="J499" s="1371">
        <v>24624</v>
      </c>
    </row>
    <row r="500" spans="1:10" x14ac:dyDescent="0.45">
      <c r="A500" s="1370">
        <v>17</v>
      </c>
      <c r="B500" s="1371">
        <v>24654</v>
      </c>
      <c r="C500" s="1370" t="s">
        <v>7149</v>
      </c>
      <c r="F500" s="1372">
        <v>4.6800000000000001E-2</v>
      </c>
      <c r="H500" s="1382">
        <v>4.7083333333333335E-3</v>
      </c>
      <c r="I500" s="1373">
        <f t="shared" si="7"/>
        <v>4.2091666666666666E-2</v>
      </c>
      <c r="J500" s="1371">
        <v>24654</v>
      </c>
    </row>
    <row r="501" spans="1:10" x14ac:dyDescent="0.45">
      <c r="A501" s="1370">
        <v>17</v>
      </c>
      <c r="B501" s="1371">
        <v>24685</v>
      </c>
      <c r="C501" s="1370" t="s">
        <v>7149</v>
      </c>
      <c r="F501" s="1372">
        <v>-7.0000000000000001E-3</v>
      </c>
      <c r="H501" s="1382">
        <v>4.7416666666666666E-3</v>
      </c>
      <c r="I501" s="1373">
        <f t="shared" si="7"/>
        <v>-1.1741666666666668E-2</v>
      </c>
      <c r="J501" s="1371">
        <v>24685</v>
      </c>
    </row>
    <row r="502" spans="1:10" x14ac:dyDescent="0.45">
      <c r="A502" s="1370">
        <v>17</v>
      </c>
      <c r="B502" s="1371">
        <v>24716</v>
      </c>
      <c r="C502" s="1370" t="s">
        <v>7149</v>
      </c>
      <c r="F502" s="1372">
        <v>3.4200000000000001E-2</v>
      </c>
      <c r="H502" s="1382">
        <v>4.8000000000000004E-3</v>
      </c>
      <c r="I502" s="1373">
        <f t="shared" si="7"/>
        <v>2.9400000000000003E-2</v>
      </c>
      <c r="J502" s="1371">
        <v>24716</v>
      </c>
    </row>
    <row r="503" spans="1:10" x14ac:dyDescent="0.45">
      <c r="A503" s="1370">
        <v>17</v>
      </c>
      <c r="B503" s="1371">
        <v>24746</v>
      </c>
      <c r="C503" s="1370" t="s">
        <v>7149</v>
      </c>
      <c r="F503" s="1372">
        <v>-2.76E-2</v>
      </c>
      <c r="H503" s="1382">
        <v>4.9291666666666668E-3</v>
      </c>
      <c r="I503" s="1373">
        <f t="shared" si="7"/>
        <v>-3.2529166666666665E-2</v>
      </c>
      <c r="J503" s="1371">
        <v>24746</v>
      </c>
    </row>
    <row r="504" spans="1:10" x14ac:dyDescent="0.45">
      <c r="A504" s="1370">
        <v>17</v>
      </c>
      <c r="B504" s="1371">
        <v>24777</v>
      </c>
      <c r="C504" s="1370" t="s">
        <v>7149</v>
      </c>
      <c r="F504" s="1372">
        <v>6.4999999999999997E-3</v>
      </c>
      <c r="H504" s="1382">
        <v>5.1249999999999993E-3</v>
      </c>
      <c r="I504" s="1373">
        <f t="shared" si="7"/>
        <v>1.3750000000000004E-3</v>
      </c>
      <c r="J504" s="1371">
        <v>24777</v>
      </c>
    </row>
    <row r="505" spans="1:10" x14ac:dyDescent="0.45">
      <c r="A505" s="1370">
        <v>17</v>
      </c>
      <c r="B505" s="1371">
        <v>24807</v>
      </c>
      <c r="C505" s="1370" t="s">
        <v>7149</v>
      </c>
      <c r="F505" s="1372">
        <v>2.7799999999999998E-2</v>
      </c>
      <c r="H505" s="1382">
        <v>5.2249999999999996E-3</v>
      </c>
      <c r="I505" s="1373">
        <f t="shared" si="7"/>
        <v>2.2574999999999998E-2</v>
      </c>
      <c r="J505" s="1371">
        <v>24807</v>
      </c>
    </row>
    <row r="506" spans="1:10" x14ac:dyDescent="0.45">
      <c r="A506" s="1370">
        <v>17</v>
      </c>
      <c r="B506" s="1371">
        <v>24838</v>
      </c>
      <c r="C506" s="1370" t="s">
        <v>7149</v>
      </c>
      <c r="F506" s="1372">
        <v>-4.2500000000000003E-2</v>
      </c>
      <c r="H506" s="1382">
        <v>5.1916666666666665E-3</v>
      </c>
      <c r="I506" s="1373">
        <f t="shared" si="7"/>
        <v>-4.7691666666666667E-2</v>
      </c>
      <c r="J506" s="1371">
        <v>24838</v>
      </c>
    </row>
    <row r="507" spans="1:10" x14ac:dyDescent="0.45">
      <c r="A507" s="1370">
        <v>17</v>
      </c>
      <c r="B507" s="1371">
        <v>24869</v>
      </c>
      <c r="C507" s="1370" t="s">
        <v>7149</v>
      </c>
      <c r="F507" s="1372">
        <v>-2.6100000000000002E-2</v>
      </c>
      <c r="H507" s="1382">
        <v>5.1541666666666663E-3</v>
      </c>
      <c r="I507" s="1373">
        <f t="shared" si="7"/>
        <v>-3.1254166666666666E-2</v>
      </c>
      <c r="J507" s="1371">
        <v>24869</v>
      </c>
    </row>
    <row r="508" spans="1:10" x14ac:dyDescent="0.45">
      <c r="A508" s="1370">
        <v>17</v>
      </c>
      <c r="B508" s="1371">
        <v>24898</v>
      </c>
      <c r="C508" s="1370" t="s">
        <v>7149</v>
      </c>
      <c r="F508" s="1372">
        <v>1.0999999999999999E-2</v>
      </c>
      <c r="H508" s="1382">
        <v>5.1624999999999996E-3</v>
      </c>
      <c r="I508" s="1373">
        <f t="shared" si="7"/>
        <v>5.8374999999999998E-3</v>
      </c>
      <c r="J508" s="1371">
        <v>24898</v>
      </c>
    </row>
    <row r="509" spans="1:10" x14ac:dyDescent="0.45">
      <c r="A509" s="1370">
        <v>17</v>
      </c>
      <c r="B509" s="1371">
        <v>24929</v>
      </c>
      <c r="C509" s="1370" t="s">
        <v>7149</v>
      </c>
      <c r="F509" s="1372">
        <v>8.3400000000000002E-2</v>
      </c>
      <c r="H509" s="1382">
        <v>5.2458333333333333E-3</v>
      </c>
      <c r="I509" s="1373">
        <f t="shared" si="7"/>
        <v>7.8154166666666663E-2</v>
      </c>
      <c r="J509" s="1371">
        <v>24929</v>
      </c>
    </row>
    <row r="510" spans="1:10" x14ac:dyDescent="0.45">
      <c r="A510" s="1370">
        <v>17</v>
      </c>
      <c r="B510" s="1371">
        <v>24959</v>
      </c>
      <c r="C510" s="1370" t="s">
        <v>7149</v>
      </c>
      <c r="F510" s="1372">
        <v>1.61E-2</v>
      </c>
      <c r="H510" s="1382">
        <v>5.3125000000000004E-3</v>
      </c>
      <c r="I510" s="1373">
        <f t="shared" si="7"/>
        <v>1.0787499999999998E-2</v>
      </c>
      <c r="J510" s="1371">
        <v>24959</v>
      </c>
    </row>
    <row r="511" spans="1:10" x14ac:dyDescent="0.45">
      <c r="A511" s="1370">
        <v>17</v>
      </c>
      <c r="B511" s="1371">
        <v>24990</v>
      </c>
      <c r="C511" s="1370" t="s">
        <v>7149</v>
      </c>
      <c r="F511" s="1372">
        <v>1.0500000000000001E-2</v>
      </c>
      <c r="H511" s="1382">
        <v>5.3249999999999999E-3</v>
      </c>
      <c r="I511" s="1373">
        <f t="shared" si="7"/>
        <v>5.1750000000000008E-3</v>
      </c>
      <c r="J511" s="1371">
        <v>24990</v>
      </c>
    </row>
    <row r="512" spans="1:10" x14ac:dyDescent="0.45">
      <c r="A512" s="1370">
        <v>17</v>
      </c>
      <c r="B512" s="1371">
        <v>25020</v>
      </c>
      <c r="C512" s="1370" t="s">
        <v>7149</v>
      </c>
      <c r="F512" s="1372">
        <v>-1.72E-2</v>
      </c>
      <c r="H512" s="1382">
        <v>5.2875000000000005E-3</v>
      </c>
      <c r="I512" s="1373">
        <f t="shared" si="7"/>
        <v>-2.2487500000000001E-2</v>
      </c>
      <c r="J512" s="1371">
        <v>25020</v>
      </c>
    </row>
    <row r="513" spans="1:10" x14ac:dyDescent="0.45">
      <c r="A513" s="1370">
        <v>17</v>
      </c>
      <c r="B513" s="1371">
        <v>25051</v>
      </c>
      <c r="C513" s="1370" t="s">
        <v>7149</v>
      </c>
      <c r="F513" s="1372">
        <v>1.6400000000000001E-2</v>
      </c>
      <c r="H513" s="1382">
        <v>5.1124999999999999E-3</v>
      </c>
      <c r="I513" s="1373">
        <f t="shared" si="7"/>
        <v>1.1287500000000002E-2</v>
      </c>
      <c r="J513" s="1371">
        <v>25051</v>
      </c>
    </row>
    <row r="514" spans="1:10" x14ac:dyDescent="0.45">
      <c r="A514" s="1370">
        <v>17</v>
      </c>
      <c r="B514" s="1371">
        <v>25082</v>
      </c>
      <c r="C514" s="1370" t="s">
        <v>7149</v>
      </c>
      <c r="F514" s="1372">
        <v>0.04</v>
      </c>
      <c r="H514" s="1382">
        <v>5.0833333333333329E-3</v>
      </c>
      <c r="I514" s="1373">
        <f t="shared" si="7"/>
        <v>3.4916666666666665E-2</v>
      </c>
      <c r="J514" s="1371">
        <v>25082</v>
      </c>
    </row>
    <row r="515" spans="1:10" x14ac:dyDescent="0.45">
      <c r="A515" s="1370">
        <v>17</v>
      </c>
      <c r="B515" s="1371">
        <v>25112</v>
      </c>
      <c r="C515" s="1370" t="s">
        <v>7149</v>
      </c>
      <c r="F515" s="1372">
        <v>8.6999999999999994E-3</v>
      </c>
      <c r="H515" s="1382">
        <v>5.1708333333333337E-3</v>
      </c>
      <c r="I515" s="1373">
        <f t="shared" si="7"/>
        <v>3.5291666666666657E-3</v>
      </c>
      <c r="J515" s="1371">
        <v>25112</v>
      </c>
    </row>
    <row r="516" spans="1:10" x14ac:dyDescent="0.45">
      <c r="A516" s="1370">
        <v>17</v>
      </c>
      <c r="B516" s="1371">
        <v>25143</v>
      </c>
      <c r="C516" s="1370" t="s">
        <v>7149</v>
      </c>
      <c r="F516" s="1372">
        <v>5.3100000000000001E-2</v>
      </c>
      <c r="H516" s="1382">
        <v>5.266666666666666E-3</v>
      </c>
      <c r="I516" s="1373">
        <f t="shared" si="7"/>
        <v>4.7833333333333339E-2</v>
      </c>
      <c r="J516" s="1371">
        <v>25143</v>
      </c>
    </row>
    <row r="517" spans="1:10" x14ac:dyDescent="0.45">
      <c r="A517" s="1370">
        <v>17</v>
      </c>
      <c r="B517" s="1371">
        <v>25173</v>
      </c>
      <c r="C517" s="1370" t="s">
        <v>7149</v>
      </c>
      <c r="F517" s="1372">
        <v>-4.02E-2</v>
      </c>
      <c r="H517" s="1382">
        <v>5.4625000000000003E-3</v>
      </c>
      <c r="I517" s="1373">
        <f t="shared" si="7"/>
        <v>-4.5662500000000002E-2</v>
      </c>
      <c r="J517" s="1371">
        <v>25173</v>
      </c>
    </row>
    <row r="518" spans="1:10" x14ac:dyDescent="0.45">
      <c r="A518" s="1370">
        <v>17</v>
      </c>
      <c r="B518" s="1371">
        <v>25204</v>
      </c>
      <c r="C518" s="1370" t="s">
        <v>7149</v>
      </c>
      <c r="F518" s="1372">
        <v>-6.7999999999999996E-3</v>
      </c>
      <c r="H518" s="1382">
        <v>5.5500000000000002E-3</v>
      </c>
      <c r="I518" s="1373">
        <f t="shared" si="7"/>
        <v>-1.235E-2</v>
      </c>
      <c r="J518" s="1371">
        <v>25204</v>
      </c>
    </row>
    <row r="519" spans="1:10" x14ac:dyDescent="0.45">
      <c r="A519" s="1370">
        <v>17</v>
      </c>
      <c r="B519" s="1371">
        <v>25235</v>
      </c>
      <c r="C519" s="1370" t="s">
        <v>7149</v>
      </c>
      <c r="F519" s="1372">
        <v>-4.2599999999999999E-2</v>
      </c>
      <c r="H519" s="1382">
        <v>5.5958333333333329E-3</v>
      </c>
      <c r="I519" s="1373">
        <f t="shared" si="7"/>
        <v>-4.8195833333333334E-2</v>
      </c>
      <c r="J519" s="1371">
        <v>25235</v>
      </c>
    </row>
    <row r="520" spans="1:10" x14ac:dyDescent="0.45">
      <c r="A520" s="1370">
        <v>17</v>
      </c>
      <c r="B520" s="1371">
        <v>25263</v>
      </c>
      <c r="C520" s="1370" t="s">
        <v>7149</v>
      </c>
      <c r="F520" s="1372">
        <v>3.5900000000000001E-2</v>
      </c>
      <c r="H520" s="1382">
        <v>5.7499999999999999E-3</v>
      </c>
      <c r="I520" s="1373">
        <f t="shared" si="7"/>
        <v>3.0150000000000003E-2</v>
      </c>
      <c r="J520" s="1371">
        <v>25263</v>
      </c>
    </row>
    <row r="521" spans="1:10" x14ac:dyDescent="0.45">
      <c r="A521" s="1370">
        <v>17</v>
      </c>
      <c r="B521" s="1371">
        <v>25294</v>
      </c>
      <c r="C521" s="1370" t="s">
        <v>7149</v>
      </c>
      <c r="F521" s="1372">
        <v>2.29E-2</v>
      </c>
      <c r="H521" s="1382">
        <v>5.7958333333333334E-3</v>
      </c>
      <c r="I521" s="1373">
        <f t="shared" si="7"/>
        <v>1.7104166666666667E-2</v>
      </c>
      <c r="J521" s="1371">
        <v>25294</v>
      </c>
    </row>
    <row r="522" spans="1:10" x14ac:dyDescent="0.45">
      <c r="A522" s="1370">
        <v>17</v>
      </c>
      <c r="B522" s="1371">
        <v>25324</v>
      </c>
      <c r="C522" s="1370" t="s">
        <v>7149</v>
      </c>
      <c r="F522" s="1372">
        <v>2.5999999999999999E-3</v>
      </c>
      <c r="H522" s="1382">
        <v>5.7291666666666663E-3</v>
      </c>
      <c r="I522" s="1373">
        <f t="shared" si="7"/>
        <v>-3.1291666666666664E-3</v>
      </c>
      <c r="J522" s="1371">
        <v>25324</v>
      </c>
    </row>
    <row r="523" spans="1:10" x14ac:dyDescent="0.45">
      <c r="A523" s="1370">
        <v>17</v>
      </c>
      <c r="B523" s="1371">
        <v>25355</v>
      </c>
      <c r="C523" s="1370" t="s">
        <v>7149</v>
      </c>
      <c r="F523" s="1372">
        <v>-5.4199999999999998E-2</v>
      </c>
      <c r="H523" s="1382">
        <v>5.875E-3</v>
      </c>
      <c r="I523" s="1373">
        <f t="shared" si="7"/>
        <v>-6.0074999999999996E-2</v>
      </c>
      <c r="J523" s="1371">
        <v>25355</v>
      </c>
    </row>
    <row r="524" spans="1:10" x14ac:dyDescent="0.45">
      <c r="A524" s="1370">
        <v>17</v>
      </c>
      <c r="B524" s="1371">
        <v>25385</v>
      </c>
      <c r="C524" s="1370" t="s">
        <v>7149</v>
      </c>
      <c r="F524" s="1372">
        <v>-5.8700000000000002E-2</v>
      </c>
      <c r="H524" s="1382">
        <v>5.966666666666667E-3</v>
      </c>
      <c r="I524" s="1373">
        <f t="shared" si="7"/>
        <v>-6.4666666666666664E-2</v>
      </c>
      <c r="J524" s="1371">
        <v>25385</v>
      </c>
    </row>
    <row r="525" spans="1:10" x14ac:dyDescent="0.45">
      <c r="A525" s="1370">
        <v>17</v>
      </c>
      <c r="B525" s="1371">
        <v>25416</v>
      </c>
      <c r="C525" s="1370" t="s">
        <v>7149</v>
      </c>
      <c r="F525" s="1372">
        <v>4.5400000000000003E-2</v>
      </c>
      <c r="H525" s="1382">
        <v>5.9166666666666664E-3</v>
      </c>
      <c r="I525" s="1373">
        <f t="shared" si="7"/>
        <v>3.9483333333333336E-2</v>
      </c>
      <c r="J525" s="1371">
        <v>25416</v>
      </c>
    </row>
    <row r="526" spans="1:10" x14ac:dyDescent="0.45">
      <c r="A526" s="1370">
        <v>17</v>
      </c>
      <c r="B526" s="1371">
        <v>25447</v>
      </c>
      <c r="C526" s="1370" t="s">
        <v>7149</v>
      </c>
      <c r="F526" s="1372">
        <v>-2.3599999999999999E-2</v>
      </c>
      <c r="H526" s="1382">
        <v>6.0416666666666674E-3</v>
      </c>
      <c r="I526" s="1373">
        <f t="shared" si="7"/>
        <v>-2.9641666666666667E-2</v>
      </c>
      <c r="J526" s="1371">
        <v>25447</v>
      </c>
    </row>
    <row r="527" spans="1:10" x14ac:dyDescent="0.45">
      <c r="A527" s="1370">
        <v>17</v>
      </c>
      <c r="B527" s="1371">
        <v>25477</v>
      </c>
      <c r="C527" s="1370" t="s">
        <v>7149</v>
      </c>
      <c r="F527" s="1372">
        <v>4.5900000000000003E-2</v>
      </c>
      <c r="H527" s="1382">
        <v>6.1916666666666665E-3</v>
      </c>
      <c r="I527" s="1373">
        <f t="shared" si="7"/>
        <v>3.9708333333333339E-2</v>
      </c>
      <c r="J527" s="1371">
        <v>25477</v>
      </c>
    </row>
    <row r="528" spans="1:10" x14ac:dyDescent="0.45">
      <c r="A528" s="1370">
        <v>17</v>
      </c>
      <c r="B528" s="1371">
        <v>25508</v>
      </c>
      <c r="C528" s="1370" t="s">
        <v>7149</v>
      </c>
      <c r="F528" s="1372">
        <v>-2.9700000000000001E-2</v>
      </c>
      <c r="H528" s="1382">
        <v>6.2208333333333334E-3</v>
      </c>
      <c r="I528" s="1373">
        <f t="shared" si="7"/>
        <v>-3.5920833333333332E-2</v>
      </c>
      <c r="J528" s="1371">
        <v>25508</v>
      </c>
    </row>
    <row r="529" spans="1:10" x14ac:dyDescent="0.45">
      <c r="A529" s="1370">
        <v>17</v>
      </c>
      <c r="B529" s="1371">
        <v>25538</v>
      </c>
      <c r="C529" s="1370" t="s">
        <v>7149</v>
      </c>
      <c r="F529" s="1372">
        <v>-1.77E-2</v>
      </c>
      <c r="H529" s="1382">
        <v>6.5208333333333333E-3</v>
      </c>
      <c r="I529" s="1373">
        <f t="shared" si="7"/>
        <v>-2.4220833333333334E-2</v>
      </c>
      <c r="J529" s="1371">
        <v>25538</v>
      </c>
    </row>
    <row r="530" spans="1:10" x14ac:dyDescent="0.45">
      <c r="A530" s="1370">
        <v>17</v>
      </c>
      <c r="B530" s="1371">
        <v>25569</v>
      </c>
      <c r="C530" s="1370" t="s">
        <v>7149</v>
      </c>
      <c r="F530" s="1372">
        <v>-7.4300000000000005E-2</v>
      </c>
      <c r="H530" s="1382">
        <v>6.6916666666666669E-3</v>
      </c>
      <c r="I530" s="1373">
        <f t="shared" si="7"/>
        <v>-8.099166666666667E-2</v>
      </c>
      <c r="J530" s="1371">
        <v>25569</v>
      </c>
    </row>
    <row r="531" spans="1:10" x14ac:dyDescent="0.45">
      <c r="A531" s="1370">
        <v>17</v>
      </c>
      <c r="B531" s="1371">
        <v>25600</v>
      </c>
      <c r="C531" s="1370" t="s">
        <v>7149</v>
      </c>
      <c r="F531" s="1372">
        <v>5.8599999999999999E-2</v>
      </c>
      <c r="H531" s="1382">
        <v>6.6916666666666669E-3</v>
      </c>
      <c r="I531" s="1373">
        <f t="shared" si="7"/>
        <v>5.1908333333333334E-2</v>
      </c>
      <c r="J531" s="1371">
        <v>25600</v>
      </c>
    </row>
    <row r="532" spans="1:10" x14ac:dyDescent="0.45">
      <c r="A532" s="1370">
        <v>17</v>
      </c>
      <c r="B532" s="1371">
        <v>25628</v>
      </c>
      <c r="C532" s="1370" t="s">
        <v>7149</v>
      </c>
      <c r="F532" s="1372">
        <v>3.0000000000000001E-3</v>
      </c>
      <c r="H532" s="1382">
        <v>6.6250000000000007E-3</v>
      </c>
      <c r="I532" s="1373">
        <f t="shared" si="7"/>
        <v>-3.6250000000000006E-3</v>
      </c>
      <c r="J532" s="1371">
        <v>25628</v>
      </c>
    </row>
    <row r="533" spans="1:10" x14ac:dyDescent="0.45">
      <c r="A533" s="1370">
        <v>17</v>
      </c>
      <c r="B533" s="1371">
        <v>25659</v>
      </c>
      <c r="C533" s="1370" t="s">
        <v>7149</v>
      </c>
      <c r="F533" s="1372">
        <v>-8.8900000000000007E-2</v>
      </c>
      <c r="H533" s="1382">
        <v>6.6083333333333324E-3</v>
      </c>
      <c r="I533" s="1373">
        <f t="shared" si="7"/>
        <v>-9.5508333333333334E-2</v>
      </c>
      <c r="J533" s="1371">
        <v>25659</v>
      </c>
    </row>
    <row r="534" spans="1:10" x14ac:dyDescent="0.45">
      <c r="A534" s="1370">
        <v>17</v>
      </c>
      <c r="B534" s="1371">
        <v>25689</v>
      </c>
      <c r="C534" s="1370" t="s">
        <v>7149</v>
      </c>
      <c r="F534" s="1372">
        <v>-5.4699999999999999E-2</v>
      </c>
      <c r="H534" s="1382">
        <v>6.8124999999999991E-3</v>
      </c>
      <c r="I534" s="1373">
        <f t="shared" si="7"/>
        <v>-6.1512499999999998E-2</v>
      </c>
      <c r="J534" s="1371">
        <v>25689</v>
      </c>
    </row>
    <row r="535" spans="1:10" x14ac:dyDescent="0.45">
      <c r="A535" s="1370">
        <v>17</v>
      </c>
      <c r="B535" s="1371">
        <v>25720</v>
      </c>
      <c r="C535" s="1370" t="s">
        <v>7149</v>
      </c>
      <c r="F535" s="1372">
        <v>-4.82E-2</v>
      </c>
      <c r="H535" s="1382">
        <v>7.1083333333333328E-3</v>
      </c>
      <c r="I535" s="1373">
        <f t="shared" si="7"/>
        <v>-5.5308333333333334E-2</v>
      </c>
      <c r="J535" s="1371">
        <v>25720</v>
      </c>
    </row>
    <row r="536" spans="1:10" x14ac:dyDescent="0.45">
      <c r="A536" s="1370">
        <v>17</v>
      </c>
      <c r="B536" s="1371">
        <v>25750</v>
      </c>
      <c r="C536" s="1370" t="s">
        <v>7149</v>
      </c>
      <c r="F536" s="1372">
        <v>7.5200000000000003E-2</v>
      </c>
      <c r="H536" s="1382">
        <v>7.116666666666667E-3</v>
      </c>
      <c r="I536" s="1373">
        <f t="shared" si="7"/>
        <v>6.8083333333333329E-2</v>
      </c>
      <c r="J536" s="1371">
        <v>25750</v>
      </c>
    </row>
    <row r="537" spans="1:10" x14ac:dyDescent="0.45">
      <c r="A537" s="1370">
        <v>17</v>
      </c>
      <c r="B537" s="1371">
        <v>25781</v>
      </c>
      <c r="C537" s="1370" t="s">
        <v>7149</v>
      </c>
      <c r="F537" s="1372">
        <v>5.0900000000000001E-2</v>
      </c>
      <c r="H537" s="1382">
        <v>6.9250000000000015E-3</v>
      </c>
      <c r="I537" s="1373">
        <f t="shared" si="7"/>
        <v>4.3975E-2</v>
      </c>
      <c r="J537" s="1371">
        <v>25781</v>
      </c>
    </row>
    <row r="538" spans="1:10" x14ac:dyDescent="0.45">
      <c r="A538" s="1370">
        <v>17</v>
      </c>
      <c r="B538" s="1371">
        <v>25812</v>
      </c>
      <c r="C538" s="1370" t="s">
        <v>7149</v>
      </c>
      <c r="F538" s="1372">
        <v>3.4700000000000002E-2</v>
      </c>
      <c r="H538" s="1382">
        <v>6.9000000000000008E-3</v>
      </c>
      <c r="I538" s="1373">
        <f t="shared" ref="I538:I601" si="8">F538-H538</f>
        <v>2.7800000000000002E-2</v>
      </c>
      <c r="J538" s="1371">
        <v>25812</v>
      </c>
    </row>
    <row r="539" spans="1:10" x14ac:dyDescent="0.45">
      <c r="A539" s="1370">
        <v>17</v>
      </c>
      <c r="B539" s="1371">
        <v>25842</v>
      </c>
      <c r="C539" s="1370" t="s">
        <v>7149</v>
      </c>
      <c r="F539" s="1372">
        <v>-9.7000000000000003E-3</v>
      </c>
      <c r="H539" s="1382">
        <v>6.8624999999999988E-3</v>
      </c>
      <c r="I539" s="1373">
        <f t="shared" si="8"/>
        <v>-1.6562500000000001E-2</v>
      </c>
      <c r="J539" s="1371">
        <v>25842</v>
      </c>
    </row>
    <row r="540" spans="1:10" x14ac:dyDescent="0.45">
      <c r="A540" s="1370">
        <v>17</v>
      </c>
      <c r="B540" s="1371">
        <v>25873</v>
      </c>
      <c r="C540" s="1370" t="s">
        <v>7149</v>
      </c>
      <c r="F540" s="1372">
        <v>5.3600000000000002E-2</v>
      </c>
      <c r="H540" s="1382">
        <v>6.8625000000000005E-3</v>
      </c>
      <c r="I540" s="1373">
        <f t="shared" si="8"/>
        <v>4.6737500000000001E-2</v>
      </c>
      <c r="J540" s="1371">
        <v>25873</v>
      </c>
    </row>
    <row r="541" spans="1:10" x14ac:dyDescent="0.45">
      <c r="A541" s="1370">
        <v>17</v>
      </c>
      <c r="B541" s="1371">
        <v>25903</v>
      </c>
      <c r="C541" s="1370" t="s">
        <v>7149</v>
      </c>
      <c r="F541" s="1372">
        <v>5.8400000000000001E-2</v>
      </c>
      <c r="H541" s="1382">
        <v>6.5708333333333339E-3</v>
      </c>
      <c r="I541" s="1373">
        <f t="shared" si="8"/>
        <v>5.1829166666666669E-2</v>
      </c>
      <c r="J541" s="1371">
        <v>25903</v>
      </c>
    </row>
    <row r="542" spans="1:10" x14ac:dyDescent="0.45">
      <c r="A542" s="1370">
        <v>17</v>
      </c>
      <c r="B542" s="1371">
        <v>25934</v>
      </c>
      <c r="C542" s="1370" t="s">
        <v>7149</v>
      </c>
      <c r="F542" s="1372">
        <v>4.19E-2</v>
      </c>
      <c r="H542" s="1382">
        <v>6.3583333333333339E-3</v>
      </c>
      <c r="I542" s="1373">
        <f t="shared" si="8"/>
        <v>3.5541666666666666E-2</v>
      </c>
      <c r="J542" s="1371">
        <v>25934</v>
      </c>
    </row>
    <row r="543" spans="1:10" x14ac:dyDescent="0.45">
      <c r="A543" s="1370">
        <v>17</v>
      </c>
      <c r="B543" s="1371">
        <v>25965</v>
      </c>
      <c r="C543" s="1370" t="s">
        <v>7149</v>
      </c>
      <c r="F543" s="1372">
        <v>1.41E-2</v>
      </c>
      <c r="H543" s="1382">
        <v>6.145833333333333E-3</v>
      </c>
      <c r="I543" s="1373">
        <f t="shared" si="8"/>
        <v>7.9541666666666667E-3</v>
      </c>
      <c r="J543" s="1371">
        <v>25965</v>
      </c>
    </row>
    <row r="544" spans="1:10" x14ac:dyDescent="0.45">
      <c r="A544" s="1370">
        <v>17</v>
      </c>
      <c r="B544" s="1371">
        <v>25993</v>
      </c>
      <c r="C544" s="1370" t="s">
        <v>7149</v>
      </c>
      <c r="F544" s="1372">
        <v>3.8199999999999998E-2</v>
      </c>
      <c r="H544" s="1382">
        <v>6.2250000000000005E-3</v>
      </c>
      <c r="I544" s="1373">
        <f t="shared" si="8"/>
        <v>3.1974999999999996E-2</v>
      </c>
      <c r="J544" s="1371">
        <v>25993</v>
      </c>
    </row>
    <row r="545" spans="1:10" x14ac:dyDescent="0.45">
      <c r="A545" s="1370">
        <v>17</v>
      </c>
      <c r="B545" s="1371">
        <v>26024</v>
      </c>
      <c r="C545" s="1370" t="s">
        <v>7149</v>
      </c>
      <c r="F545" s="1372">
        <v>3.7699999999999997E-2</v>
      </c>
      <c r="H545" s="1382">
        <v>6.2458333333333324E-3</v>
      </c>
      <c r="I545" s="1373">
        <f t="shared" si="8"/>
        <v>3.1454166666666665E-2</v>
      </c>
      <c r="J545" s="1371">
        <v>26024</v>
      </c>
    </row>
    <row r="546" spans="1:10" x14ac:dyDescent="0.45">
      <c r="A546" s="1370">
        <v>17</v>
      </c>
      <c r="B546" s="1371">
        <v>26054</v>
      </c>
      <c r="C546" s="1370" t="s">
        <v>7149</v>
      </c>
      <c r="F546" s="1372">
        <v>-3.6700000000000003E-2</v>
      </c>
      <c r="H546" s="1382">
        <v>6.4041666666666665E-3</v>
      </c>
      <c r="I546" s="1373">
        <f t="shared" si="8"/>
        <v>-4.3104166666666673E-2</v>
      </c>
      <c r="J546" s="1371">
        <v>26054</v>
      </c>
    </row>
    <row r="547" spans="1:10" x14ac:dyDescent="0.45">
      <c r="A547" s="1370">
        <v>17</v>
      </c>
      <c r="B547" s="1371">
        <v>26085</v>
      </c>
      <c r="C547" s="1370" t="s">
        <v>7149</v>
      </c>
      <c r="F547" s="1372">
        <v>2.0999999999999999E-3</v>
      </c>
      <c r="H547" s="1382">
        <v>6.4999999999999988E-3</v>
      </c>
      <c r="I547" s="1373">
        <f t="shared" si="8"/>
        <v>-4.3999999999999994E-3</v>
      </c>
      <c r="J547" s="1371">
        <v>26085</v>
      </c>
    </row>
    <row r="548" spans="1:10" x14ac:dyDescent="0.45">
      <c r="A548" s="1370">
        <v>17</v>
      </c>
      <c r="B548" s="1371">
        <v>26115</v>
      </c>
      <c r="C548" s="1370" t="s">
        <v>7149</v>
      </c>
      <c r="F548" s="1372">
        <v>-3.9899999999999998E-2</v>
      </c>
      <c r="H548" s="1382">
        <v>6.4999999999999988E-3</v>
      </c>
      <c r="I548" s="1373">
        <f t="shared" si="8"/>
        <v>-4.6399999999999997E-2</v>
      </c>
      <c r="J548" s="1371">
        <v>26115</v>
      </c>
    </row>
    <row r="549" spans="1:10" x14ac:dyDescent="0.45">
      <c r="A549" s="1370">
        <v>17</v>
      </c>
      <c r="B549" s="1371">
        <v>26146</v>
      </c>
      <c r="C549" s="1370" t="s">
        <v>7149</v>
      </c>
      <c r="F549" s="1372">
        <v>4.1200000000000001E-2</v>
      </c>
      <c r="H549" s="1382">
        <v>6.4666666666666657E-3</v>
      </c>
      <c r="I549" s="1373">
        <f t="shared" si="8"/>
        <v>3.4733333333333338E-2</v>
      </c>
      <c r="J549" s="1371">
        <v>26146</v>
      </c>
    </row>
    <row r="550" spans="1:10" x14ac:dyDescent="0.45">
      <c r="A550" s="1370">
        <v>17</v>
      </c>
      <c r="B550" s="1371">
        <v>26177</v>
      </c>
      <c r="C550" s="1370" t="s">
        <v>7149</v>
      </c>
      <c r="F550" s="1372">
        <v>-5.5999999999999999E-3</v>
      </c>
      <c r="H550" s="1382">
        <v>6.3541666666666659E-3</v>
      </c>
      <c r="I550" s="1373">
        <f t="shared" si="8"/>
        <v>-1.1954166666666665E-2</v>
      </c>
      <c r="J550" s="1371">
        <v>26177</v>
      </c>
    </row>
    <row r="551" spans="1:10" x14ac:dyDescent="0.45">
      <c r="A551" s="1370">
        <v>17</v>
      </c>
      <c r="B551" s="1371">
        <v>26207</v>
      </c>
      <c r="C551" s="1370" t="s">
        <v>7149</v>
      </c>
      <c r="F551" s="1372">
        <v>-4.0399999999999998E-2</v>
      </c>
      <c r="H551" s="1382">
        <v>6.2833333333333343E-3</v>
      </c>
      <c r="I551" s="1373">
        <f t="shared" si="8"/>
        <v>-4.6683333333333334E-2</v>
      </c>
      <c r="J551" s="1371">
        <v>26207</v>
      </c>
    </row>
    <row r="552" spans="1:10" x14ac:dyDescent="0.45">
      <c r="A552" s="1370">
        <v>17</v>
      </c>
      <c r="B552" s="1371">
        <v>26238</v>
      </c>
      <c r="C552" s="1370" t="s">
        <v>7149</v>
      </c>
      <c r="F552" s="1372">
        <v>2.7000000000000001E-3</v>
      </c>
      <c r="H552" s="1382">
        <v>6.1749999999999991E-3</v>
      </c>
      <c r="I552" s="1373">
        <f t="shared" si="8"/>
        <v>-3.4749999999999989E-3</v>
      </c>
      <c r="J552" s="1371">
        <v>26238</v>
      </c>
    </row>
    <row r="553" spans="1:10" x14ac:dyDescent="0.45">
      <c r="A553" s="1370">
        <v>17</v>
      </c>
      <c r="B553" s="1371">
        <v>26268</v>
      </c>
      <c r="C553" s="1370" t="s">
        <v>7149</v>
      </c>
      <c r="F553" s="1372">
        <v>8.77E-2</v>
      </c>
      <c r="H553" s="1382">
        <v>6.1749999999999991E-3</v>
      </c>
      <c r="I553" s="1373">
        <f t="shared" si="8"/>
        <v>8.1525E-2</v>
      </c>
      <c r="J553" s="1371">
        <v>26268</v>
      </c>
    </row>
    <row r="554" spans="1:10" x14ac:dyDescent="0.45">
      <c r="A554" s="1370">
        <v>17</v>
      </c>
      <c r="B554" s="1371">
        <v>26299</v>
      </c>
      <c r="C554" s="1370" t="s">
        <v>7149</v>
      </c>
      <c r="F554" s="1372">
        <v>1.9400000000000001E-2</v>
      </c>
      <c r="H554" s="1382">
        <v>6.1291666666666664E-3</v>
      </c>
      <c r="I554" s="1373">
        <f t="shared" si="8"/>
        <v>1.3270833333333334E-2</v>
      </c>
      <c r="J554" s="1371">
        <v>26299</v>
      </c>
    </row>
    <row r="555" spans="1:10" x14ac:dyDescent="0.45">
      <c r="A555" s="1370">
        <v>17</v>
      </c>
      <c r="B555" s="1371">
        <v>26330</v>
      </c>
      <c r="C555" s="1370" t="s">
        <v>7149</v>
      </c>
      <c r="F555" s="1372">
        <v>2.9899999999999999E-2</v>
      </c>
      <c r="H555" s="1382">
        <v>6.1624999999999996E-3</v>
      </c>
      <c r="I555" s="1373">
        <f t="shared" si="8"/>
        <v>2.3737500000000002E-2</v>
      </c>
      <c r="J555" s="1371">
        <v>26330</v>
      </c>
    </row>
    <row r="556" spans="1:10" x14ac:dyDescent="0.45">
      <c r="A556" s="1370">
        <v>17</v>
      </c>
      <c r="B556" s="1371">
        <v>26359</v>
      </c>
      <c r="C556" s="1370" t="s">
        <v>7149</v>
      </c>
      <c r="F556" s="1372">
        <v>7.1999999999999998E-3</v>
      </c>
      <c r="H556" s="1382">
        <v>6.1541666666666672E-3</v>
      </c>
      <c r="I556" s="1373">
        <f t="shared" si="8"/>
        <v>1.0458333333333326E-3</v>
      </c>
      <c r="J556" s="1371">
        <v>26359</v>
      </c>
    </row>
    <row r="557" spans="1:10" x14ac:dyDescent="0.45">
      <c r="A557" s="1370">
        <v>17</v>
      </c>
      <c r="B557" s="1371">
        <v>26390</v>
      </c>
      <c r="C557" s="1370" t="s">
        <v>7149</v>
      </c>
      <c r="F557" s="1372">
        <v>5.7000000000000002E-3</v>
      </c>
      <c r="H557" s="1382">
        <v>6.1958333333333336E-3</v>
      </c>
      <c r="I557" s="1373">
        <f t="shared" si="8"/>
        <v>-4.9583333333333337E-4</v>
      </c>
      <c r="J557" s="1371">
        <v>26390</v>
      </c>
    </row>
    <row r="558" spans="1:10" x14ac:dyDescent="0.45">
      <c r="A558" s="1370">
        <v>17</v>
      </c>
      <c r="B558" s="1371">
        <v>26420</v>
      </c>
      <c r="C558" s="1370" t="s">
        <v>7149</v>
      </c>
      <c r="F558" s="1372">
        <v>2.1899999999999999E-2</v>
      </c>
      <c r="H558" s="1382">
        <v>6.1916666666666665E-3</v>
      </c>
      <c r="I558" s="1373">
        <f t="shared" si="8"/>
        <v>1.5708333333333331E-2</v>
      </c>
      <c r="J558" s="1371">
        <v>26420</v>
      </c>
    </row>
    <row r="559" spans="1:10" x14ac:dyDescent="0.45">
      <c r="A559" s="1370">
        <v>17</v>
      </c>
      <c r="B559" s="1371">
        <v>26451</v>
      </c>
      <c r="C559" s="1370" t="s">
        <v>7149</v>
      </c>
      <c r="F559" s="1372">
        <v>-2.0500000000000001E-2</v>
      </c>
      <c r="H559" s="1382">
        <v>6.1416666666666677E-3</v>
      </c>
      <c r="I559" s="1373">
        <f t="shared" si="8"/>
        <v>-2.6641666666666668E-2</v>
      </c>
      <c r="J559" s="1371">
        <v>26451</v>
      </c>
    </row>
    <row r="560" spans="1:10" x14ac:dyDescent="0.45">
      <c r="A560" s="1370">
        <v>17</v>
      </c>
      <c r="B560" s="1371">
        <v>26481</v>
      </c>
      <c r="C560" s="1370" t="s">
        <v>7149</v>
      </c>
      <c r="F560" s="1372">
        <v>3.5999999999999999E-3</v>
      </c>
      <c r="H560" s="1382">
        <v>6.1291666666666664E-3</v>
      </c>
      <c r="I560" s="1373">
        <f t="shared" si="8"/>
        <v>-2.5291666666666665E-3</v>
      </c>
      <c r="J560" s="1371">
        <v>26481</v>
      </c>
    </row>
    <row r="561" spans="1:10" x14ac:dyDescent="0.45">
      <c r="A561" s="1370">
        <v>17</v>
      </c>
      <c r="B561" s="1371">
        <v>26512</v>
      </c>
      <c r="C561" s="1370" t="s">
        <v>7149</v>
      </c>
      <c r="F561" s="1372">
        <v>3.9100000000000003E-2</v>
      </c>
      <c r="H561" s="1382">
        <v>6.0916666666666662E-3</v>
      </c>
      <c r="I561" s="1373">
        <f t="shared" si="8"/>
        <v>3.3008333333333334E-2</v>
      </c>
      <c r="J561" s="1371">
        <v>26512</v>
      </c>
    </row>
    <row r="562" spans="1:10" x14ac:dyDescent="0.45">
      <c r="A562" s="1370">
        <v>17</v>
      </c>
      <c r="B562" s="1371">
        <v>26543</v>
      </c>
      <c r="C562" s="1370" t="s">
        <v>7149</v>
      </c>
      <c r="F562" s="1372">
        <v>-3.5999999999999999E-3</v>
      </c>
      <c r="H562" s="1382">
        <v>6.0958333333333333E-3</v>
      </c>
      <c r="I562" s="1373">
        <f t="shared" si="8"/>
        <v>-9.6958333333333341E-3</v>
      </c>
      <c r="J562" s="1371">
        <v>26543</v>
      </c>
    </row>
    <row r="563" spans="1:10" x14ac:dyDescent="0.45">
      <c r="A563" s="1370">
        <v>17</v>
      </c>
      <c r="B563" s="1371">
        <v>26573</v>
      </c>
      <c r="C563" s="1370" t="s">
        <v>7149</v>
      </c>
      <c r="F563" s="1372">
        <v>1.0699999999999999E-2</v>
      </c>
      <c r="H563" s="1382">
        <v>6.1083333333333337E-3</v>
      </c>
      <c r="I563" s="1373">
        <f t="shared" si="8"/>
        <v>4.5916666666666658E-3</v>
      </c>
      <c r="J563" s="1371">
        <v>26573</v>
      </c>
    </row>
    <row r="564" spans="1:10" x14ac:dyDescent="0.45">
      <c r="A564" s="1370">
        <v>17</v>
      </c>
      <c r="B564" s="1371">
        <v>26604</v>
      </c>
      <c r="C564" s="1370" t="s">
        <v>7149</v>
      </c>
      <c r="F564" s="1372">
        <v>5.0500000000000003E-2</v>
      </c>
      <c r="H564" s="1382">
        <v>6.0458333333333336E-3</v>
      </c>
      <c r="I564" s="1373">
        <f t="shared" si="8"/>
        <v>4.445416666666667E-2</v>
      </c>
      <c r="J564" s="1371">
        <v>26604</v>
      </c>
    </row>
    <row r="565" spans="1:10" x14ac:dyDescent="0.45">
      <c r="A565" s="1370">
        <v>17</v>
      </c>
      <c r="B565" s="1371">
        <v>26634</v>
      </c>
      <c r="C565" s="1370" t="s">
        <v>7149</v>
      </c>
      <c r="F565" s="1372">
        <v>1.3100000000000001E-2</v>
      </c>
      <c r="H565" s="1382">
        <v>6.0166666666666667E-3</v>
      </c>
      <c r="I565" s="1373">
        <f t="shared" si="8"/>
        <v>7.0833333333333338E-3</v>
      </c>
      <c r="J565" s="1371">
        <v>26634</v>
      </c>
    </row>
    <row r="566" spans="1:10" x14ac:dyDescent="0.45">
      <c r="A566" s="1370">
        <v>17</v>
      </c>
      <c r="B566" s="1371">
        <v>26665</v>
      </c>
      <c r="C566" s="1370" t="s">
        <v>7149</v>
      </c>
      <c r="F566" s="1372">
        <v>-1.5900000000000001E-2</v>
      </c>
      <c r="H566" s="1382">
        <v>6.0499999999999998E-3</v>
      </c>
      <c r="I566" s="1373">
        <f t="shared" si="8"/>
        <v>-2.1950000000000001E-2</v>
      </c>
      <c r="J566" s="1371">
        <v>26665</v>
      </c>
    </row>
    <row r="567" spans="1:10" x14ac:dyDescent="0.45">
      <c r="A567" s="1370">
        <v>17</v>
      </c>
      <c r="B567" s="1371">
        <v>26696</v>
      </c>
      <c r="C567" s="1370" t="s">
        <v>7149</v>
      </c>
      <c r="F567" s="1372">
        <v>-3.3300000000000003E-2</v>
      </c>
      <c r="H567" s="1382">
        <v>6.1208333333333332E-3</v>
      </c>
      <c r="I567" s="1373">
        <f t="shared" si="8"/>
        <v>-3.9420833333333336E-2</v>
      </c>
      <c r="J567" s="1371">
        <v>26696</v>
      </c>
    </row>
    <row r="568" spans="1:10" x14ac:dyDescent="0.45">
      <c r="A568" s="1370">
        <v>17</v>
      </c>
      <c r="B568" s="1371">
        <v>26724</v>
      </c>
      <c r="C568" s="1370" t="s">
        <v>7149</v>
      </c>
      <c r="F568" s="1372">
        <v>-2.0000000000000001E-4</v>
      </c>
      <c r="H568" s="1382">
        <v>6.1583333333333334E-3</v>
      </c>
      <c r="I568" s="1373">
        <f t="shared" si="8"/>
        <v>-6.358333333333333E-3</v>
      </c>
      <c r="J568" s="1371">
        <v>26724</v>
      </c>
    </row>
    <row r="569" spans="1:10" x14ac:dyDescent="0.45">
      <c r="A569" s="1370">
        <v>17</v>
      </c>
      <c r="B569" s="1371">
        <v>26755</v>
      </c>
      <c r="C569" s="1370" t="s">
        <v>7149</v>
      </c>
      <c r="F569" s="1372">
        <v>-3.95E-2</v>
      </c>
      <c r="H569" s="1382">
        <v>6.145833333333333E-3</v>
      </c>
      <c r="I569" s="1373">
        <f t="shared" si="8"/>
        <v>-4.564583333333333E-2</v>
      </c>
      <c r="J569" s="1371">
        <v>26755</v>
      </c>
    </row>
    <row r="570" spans="1:10" x14ac:dyDescent="0.45">
      <c r="A570" s="1370">
        <v>17</v>
      </c>
      <c r="B570" s="1371">
        <v>26785</v>
      </c>
      <c r="C570" s="1370" t="s">
        <v>7149</v>
      </c>
      <c r="F570" s="1372">
        <v>-1.3899999999999999E-2</v>
      </c>
      <c r="H570" s="1382">
        <v>6.1583333333333334E-3</v>
      </c>
      <c r="I570" s="1373">
        <f t="shared" si="8"/>
        <v>-2.0058333333333331E-2</v>
      </c>
      <c r="J570" s="1371">
        <v>26785</v>
      </c>
    </row>
    <row r="571" spans="1:10" x14ac:dyDescent="0.45">
      <c r="A571" s="1370">
        <v>17</v>
      </c>
      <c r="B571" s="1371">
        <v>26816</v>
      </c>
      <c r="C571" s="1370" t="s">
        <v>7149</v>
      </c>
      <c r="F571" s="1372">
        <v>-5.1000000000000004E-3</v>
      </c>
      <c r="H571" s="1382">
        <v>6.2166666666666655E-3</v>
      </c>
      <c r="I571" s="1373">
        <f t="shared" si="8"/>
        <v>-1.1316666666666666E-2</v>
      </c>
      <c r="J571" s="1371">
        <v>26816</v>
      </c>
    </row>
    <row r="572" spans="1:10" x14ac:dyDescent="0.45">
      <c r="A572" s="1370">
        <v>17</v>
      </c>
      <c r="B572" s="1371">
        <v>26846</v>
      </c>
      <c r="C572" s="1370" t="s">
        <v>7149</v>
      </c>
      <c r="F572" s="1372">
        <v>3.9399999999999998E-2</v>
      </c>
      <c r="H572" s="1382">
        <v>6.2874999999999988E-3</v>
      </c>
      <c r="I572" s="1373">
        <f t="shared" si="8"/>
        <v>3.3112499999999996E-2</v>
      </c>
      <c r="J572" s="1371">
        <v>26846</v>
      </c>
    </row>
    <row r="573" spans="1:10" x14ac:dyDescent="0.45">
      <c r="A573" s="1370">
        <v>17</v>
      </c>
      <c r="B573" s="1371">
        <v>26877</v>
      </c>
      <c r="C573" s="1370" t="s">
        <v>7149</v>
      </c>
      <c r="F573" s="1372">
        <v>-3.1800000000000002E-2</v>
      </c>
      <c r="H573" s="1382">
        <v>6.4666666666666674E-3</v>
      </c>
      <c r="I573" s="1373">
        <f t="shared" si="8"/>
        <v>-3.8266666666666671E-2</v>
      </c>
      <c r="J573" s="1371">
        <v>26877</v>
      </c>
    </row>
    <row r="574" spans="1:10" x14ac:dyDescent="0.45">
      <c r="A574" s="1370">
        <v>17</v>
      </c>
      <c r="B574" s="1371">
        <v>26908</v>
      </c>
      <c r="C574" s="1370" t="s">
        <v>7149</v>
      </c>
      <c r="F574" s="1372">
        <v>4.1500000000000002E-2</v>
      </c>
      <c r="H574" s="1382">
        <v>6.4541666666666671E-3</v>
      </c>
      <c r="I574" s="1373">
        <f t="shared" si="8"/>
        <v>3.5045833333333332E-2</v>
      </c>
      <c r="J574" s="1371">
        <v>26908</v>
      </c>
    </row>
    <row r="575" spans="1:10" x14ac:dyDescent="0.45">
      <c r="A575" s="1370">
        <v>17</v>
      </c>
      <c r="B575" s="1371">
        <v>26938</v>
      </c>
      <c r="C575" s="1370" t="s">
        <v>7149</v>
      </c>
      <c r="F575" s="1372">
        <v>2.9999999999999997E-4</v>
      </c>
      <c r="H575" s="1382">
        <v>6.4333333333333334E-3</v>
      </c>
      <c r="I575" s="1373">
        <f t="shared" si="8"/>
        <v>-6.1333333333333335E-3</v>
      </c>
      <c r="J575" s="1371">
        <v>26938</v>
      </c>
    </row>
    <row r="576" spans="1:10" x14ac:dyDescent="0.45">
      <c r="A576" s="1370">
        <v>17</v>
      </c>
      <c r="B576" s="1371">
        <v>26969</v>
      </c>
      <c r="C576" s="1370" t="s">
        <v>7149</v>
      </c>
      <c r="F576" s="1372">
        <v>-0.1082</v>
      </c>
      <c r="H576" s="1382">
        <v>6.4874999999999993E-3</v>
      </c>
      <c r="I576" s="1373">
        <f t="shared" si="8"/>
        <v>-0.1146875</v>
      </c>
      <c r="J576" s="1371">
        <v>26969</v>
      </c>
    </row>
    <row r="577" spans="1:10" x14ac:dyDescent="0.45">
      <c r="A577" s="1370">
        <v>17</v>
      </c>
      <c r="B577" s="1371">
        <v>26999</v>
      </c>
      <c r="C577" s="1370" t="s">
        <v>7149</v>
      </c>
      <c r="F577" s="1372">
        <v>1.83E-2</v>
      </c>
      <c r="H577" s="1382">
        <v>6.5000000000000006E-3</v>
      </c>
      <c r="I577" s="1373">
        <f t="shared" si="8"/>
        <v>1.18E-2</v>
      </c>
      <c r="J577" s="1371">
        <v>26999</v>
      </c>
    </row>
    <row r="578" spans="1:10" x14ac:dyDescent="0.45">
      <c r="A578" s="1370">
        <v>17</v>
      </c>
      <c r="B578" s="1371">
        <v>27030</v>
      </c>
      <c r="C578" s="1370" t="s">
        <v>7149</v>
      </c>
      <c r="F578" s="1372">
        <v>-8.5000000000000006E-3</v>
      </c>
      <c r="H578" s="1382">
        <v>6.5958333333333329E-3</v>
      </c>
      <c r="I578" s="1373">
        <f t="shared" si="8"/>
        <v>-1.5095833333333333E-2</v>
      </c>
      <c r="J578" s="1371">
        <v>27030</v>
      </c>
    </row>
    <row r="579" spans="1:10" x14ac:dyDescent="0.45">
      <c r="A579" s="1370">
        <v>17</v>
      </c>
      <c r="B579" s="1371">
        <v>27061</v>
      </c>
      <c r="C579" s="1370" t="s">
        <v>7149</v>
      </c>
      <c r="F579" s="1372">
        <v>1.9E-3</v>
      </c>
      <c r="H579" s="1382">
        <v>6.6250000000000007E-3</v>
      </c>
      <c r="I579" s="1373">
        <f t="shared" si="8"/>
        <v>-4.7250000000000009E-3</v>
      </c>
      <c r="J579" s="1371">
        <v>27061</v>
      </c>
    </row>
    <row r="580" spans="1:10" x14ac:dyDescent="0.45">
      <c r="A580" s="1370">
        <v>17</v>
      </c>
      <c r="B580" s="1371">
        <v>27089</v>
      </c>
      <c r="C580" s="1370" t="s">
        <v>7149</v>
      </c>
      <c r="F580" s="1372">
        <v>-2.1700000000000001E-2</v>
      </c>
      <c r="H580" s="1382">
        <v>6.7458333333333328E-3</v>
      </c>
      <c r="I580" s="1373">
        <f t="shared" si="8"/>
        <v>-2.8445833333333333E-2</v>
      </c>
      <c r="J580" s="1371">
        <v>27089</v>
      </c>
    </row>
    <row r="581" spans="1:10" x14ac:dyDescent="0.45">
      <c r="A581" s="1370">
        <v>17</v>
      </c>
      <c r="B581" s="1371">
        <v>27120</v>
      </c>
      <c r="C581" s="1370" t="s">
        <v>7149</v>
      </c>
      <c r="F581" s="1372">
        <v>-3.73E-2</v>
      </c>
      <c r="H581" s="1382">
        <v>6.9500000000000004E-3</v>
      </c>
      <c r="I581" s="1373">
        <f t="shared" si="8"/>
        <v>-4.4249999999999998E-2</v>
      </c>
      <c r="J581" s="1371">
        <v>27120</v>
      </c>
    </row>
    <row r="582" spans="1:10" x14ac:dyDescent="0.45">
      <c r="A582" s="1370">
        <v>17</v>
      </c>
      <c r="B582" s="1371">
        <v>27150</v>
      </c>
      <c r="C582" s="1370" t="s">
        <v>7149</v>
      </c>
      <c r="F582" s="1372">
        <v>-2.7199999999999998E-2</v>
      </c>
      <c r="H582" s="1382">
        <v>7.0624999999999993E-3</v>
      </c>
      <c r="I582" s="1373">
        <f t="shared" si="8"/>
        <v>-3.4262500000000001E-2</v>
      </c>
      <c r="J582" s="1371">
        <v>27150</v>
      </c>
    </row>
    <row r="583" spans="1:10" x14ac:dyDescent="0.45">
      <c r="A583" s="1370">
        <v>17</v>
      </c>
      <c r="B583" s="1371">
        <v>27181</v>
      </c>
      <c r="C583" s="1370" t="s">
        <v>7149</v>
      </c>
      <c r="F583" s="1372">
        <v>-1.2800000000000001E-2</v>
      </c>
      <c r="H583" s="1382">
        <v>7.175E-3</v>
      </c>
      <c r="I583" s="1373">
        <f t="shared" si="8"/>
        <v>-1.9975E-2</v>
      </c>
      <c r="J583" s="1371">
        <v>27181</v>
      </c>
    </row>
    <row r="584" spans="1:10" x14ac:dyDescent="0.45">
      <c r="A584" s="1370">
        <v>17</v>
      </c>
      <c r="B584" s="1371">
        <v>27211</v>
      </c>
      <c r="C584" s="1370" t="s">
        <v>7149</v>
      </c>
      <c r="F584" s="1372">
        <v>-7.5899999999999995E-2</v>
      </c>
      <c r="H584" s="1382">
        <v>7.3875E-3</v>
      </c>
      <c r="I584" s="1373">
        <f t="shared" si="8"/>
        <v>-8.32875E-2</v>
      </c>
      <c r="J584" s="1371">
        <v>27211</v>
      </c>
    </row>
    <row r="585" spans="1:10" x14ac:dyDescent="0.45">
      <c r="A585" s="1370">
        <v>17</v>
      </c>
      <c r="B585" s="1371">
        <v>27242</v>
      </c>
      <c r="C585" s="1370" t="s">
        <v>7149</v>
      </c>
      <c r="F585" s="1372">
        <v>-8.2799999999999999E-2</v>
      </c>
      <c r="H585" s="1382">
        <v>7.6166666666666674E-3</v>
      </c>
      <c r="I585" s="1373">
        <f t="shared" si="8"/>
        <v>-9.0416666666666673E-2</v>
      </c>
      <c r="J585" s="1371">
        <v>27242</v>
      </c>
    </row>
    <row r="586" spans="1:10" x14ac:dyDescent="0.45">
      <c r="A586" s="1370">
        <v>17</v>
      </c>
      <c r="B586" s="1371">
        <v>27273</v>
      </c>
      <c r="C586" s="1370" t="s">
        <v>7149</v>
      </c>
      <c r="F586" s="1372">
        <v>-0.11700000000000001</v>
      </c>
      <c r="H586" s="1382">
        <v>7.8750000000000001E-3</v>
      </c>
      <c r="I586" s="1373">
        <f t="shared" si="8"/>
        <v>-0.12487500000000001</v>
      </c>
      <c r="J586" s="1371">
        <v>27273</v>
      </c>
    </row>
    <row r="587" spans="1:10" x14ac:dyDescent="0.45">
      <c r="A587" s="1370">
        <v>17</v>
      </c>
      <c r="B587" s="1371">
        <v>27303</v>
      </c>
      <c r="C587" s="1370" t="s">
        <v>7149</v>
      </c>
      <c r="F587" s="1372">
        <v>0.16569999999999999</v>
      </c>
      <c r="H587" s="1382">
        <v>7.8791666666666663E-3</v>
      </c>
      <c r="I587" s="1373">
        <f t="shared" si="8"/>
        <v>0.15782083333333333</v>
      </c>
      <c r="J587" s="1371">
        <v>27303</v>
      </c>
    </row>
    <row r="588" spans="1:10" x14ac:dyDescent="0.45">
      <c r="A588" s="1370">
        <v>17</v>
      </c>
      <c r="B588" s="1371">
        <v>27334</v>
      </c>
      <c r="C588" s="1370" t="s">
        <v>7149</v>
      </c>
      <c r="F588" s="1372">
        <v>-4.48E-2</v>
      </c>
      <c r="H588" s="1382">
        <v>7.5958333333333329E-3</v>
      </c>
      <c r="I588" s="1373">
        <f t="shared" si="8"/>
        <v>-5.2395833333333336E-2</v>
      </c>
      <c r="J588" s="1371">
        <v>27334</v>
      </c>
    </row>
    <row r="589" spans="1:10" x14ac:dyDescent="0.45">
      <c r="A589" s="1370">
        <v>17</v>
      </c>
      <c r="B589" s="1371">
        <v>27364</v>
      </c>
      <c r="C589" s="1370" t="s">
        <v>7149</v>
      </c>
      <c r="F589" s="1372">
        <v>-1.77E-2</v>
      </c>
      <c r="H589" s="1382">
        <v>7.5374999999999991E-3</v>
      </c>
      <c r="I589" s="1373">
        <f t="shared" si="8"/>
        <v>-2.52375E-2</v>
      </c>
      <c r="J589" s="1371">
        <v>27364</v>
      </c>
    </row>
    <row r="590" spans="1:10" x14ac:dyDescent="0.45">
      <c r="A590" s="1370">
        <v>17</v>
      </c>
      <c r="B590" s="1371">
        <v>27395</v>
      </c>
      <c r="C590" s="1370" t="s">
        <v>7149</v>
      </c>
      <c r="F590" s="1372">
        <v>0.12509999999999999</v>
      </c>
      <c r="H590" s="1382">
        <v>7.4833333333333332E-3</v>
      </c>
      <c r="I590" s="1373">
        <f t="shared" si="8"/>
        <v>0.11761666666666666</v>
      </c>
      <c r="J590" s="1371">
        <v>27395</v>
      </c>
    </row>
    <row r="591" spans="1:10" x14ac:dyDescent="0.45">
      <c r="A591" s="1370">
        <v>17</v>
      </c>
      <c r="B591" s="1371">
        <v>27426</v>
      </c>
      <c r="C591" s="1370" t="s">
        <v>7149</v>
      </c>
      <c r="F591" s="1372">
        <v>6.7400000000000002E-2</v>
      </c>
      <c r="H591" s="1382">
        <v>7.3041666666666671E-3</v>
      </c>
      <c r="I591" s="1373">
        <f t="shared" si="8"/>
        <v>6.0095833333333334E-2</v>
      </c>
      <c r="J591" s="1371">
        <v>27426</v>
      </c>
    </row>
    <row r="592" spans="1:10" x14ac:dyDescent="0.45">
      <c r="A592" s="1370">
        <v>17</v>
      </c>
      <c r="B592" s="1371">
        <v>27454</v>
      </c>
      <c r="C592" s="1370" t="s">
        <v>7149</v>
      </c>
      <c r="F592" s="1372">
        <v>2.3699999999999999E-2</v>
      </c>
      <c r="H592" s="1382">
        <v>7.329166666666667E-3</v>
      </c>
      <c r="I592" s="1373">
        <f t="shared" si="8"/>
        <v>1.6370833333333331E-2</v>
      </c>
      <c r="J592" s="1371">
        <v>27454</v>
      </c>
    </row>
    <row r="593" spans="1:10" x14ac:dyDescent="0.45">
      <c r="A593" s="1370">
        <v>17</v>
      </c>
      <c r="B593" s="1371">
        <v>27485</v>
      </c>
      <c r="C593" s="1370" t="s">
        <v>7149</v>
      </c>
      <c r="F593" s="1372">
        <v>4.9299999999999997E-2</v>
      </c>
      <c r="H593" s="1382">
        <v>7.5583333333333327E-3</v>
      </c>
      <c r="I593" s="1373">
        <f t="shared" si="8"/>
        <v>4.1741666666666663E-2</v>
      </c>
      <c r="J593" s="1371">
        <v>27485</v>
      </c>
    </row>
    <row r="594" spans="1:10" x14ac:dyDescent="0.45">
      <c r="A594" s="1370">
        <v>17</v>
      </c>
      <c r="B594" s="1371">
        <v>27515</v>
      </c>
      <c r="C594" s="1370" t="s">
        <v>7149</v>
      </c>
      <c r="F594" s="1372">
        <v>5.0900000000000001E-2</v>
      </c>
      <c r="H594" s="1382">
        <v>7.5583333333333336E-3</v>
      </c>
      <c r="I594" s="1373">
        <f t="shared" si="8"/>
        <v>4.3341666666666667E-2</v>
      </c>
      <c r="J594" s="1371">
        <v>27515</v>
      </c>
    </row>
    <row r="595" spans="1:10" x14ac:dyDescent="0.45">
      <c r="A595" s="1370">
        <v>17</v>
      </c>
      <c r="B595" s="1371">
        <v>27546</v>
      </c>
      <c r="C595" s="1370" t="s">
        <v>7149</v>
      </c>
      <c r="F595" s="1372">
        <v>4.6199999999999998E-2</v>
      </c>
      <c r="H595" s="1382">
        <v>7.4583333333333333E-3</v>
      </c>
      <c r="I595" s="1373">
        <f t="shared" si="8"/>
        <v>3.8741666666666667E-2</v>
      </c>
      <c r="J595" s="1371">
        <v>27546</v>
      </c>
    </row>
    <row r="596" spans="1:10" x14ac:dyDescent="0.45">
      <c r="A596" s="1370">
        <v>17</v>
      </c>
      <c r="B596" s="1371">
        <v>27576</v>
      </c>
      <c r="C596" s="1370" t="s">
        <v>7149</v>
      </c>
      <c r="F596" s="1372">
        <v>-6.59E-2</v>
      </c>
      <c r="H596" s="1382">
        <v>7.4875000000000002E-3</v>
      </c>
      <c r="I596" s="1373">
        <f t="shared" si="8"/>
        <v>-7.3387499999999994E-2</v>
      </c>
      <c r="J596" s="1371">
        <v>27576</v>
      </c>
    </row>
    <row r="597" spans="1:10" x14ac:dyDescent="0.45">
      <c r="A597" s="1370">
        <v>17</v>
      </c>
      <c r="B597" s="1371">
        <v>27607</v>
      </c>
      <c r="C597" s="1370" t="s">
        <v>7149</v>
      </c>
      <c r="F597" s="1372">
        <v>-1.44E-2</v>
      </c>
      <c r="H597" s="1382">
        <v>7.5749999999999993E-3</v>
      </c>
      <c r="I597" s="1373">
        <f t="shared" si="8"/>
        <v>-2.1974999999999998E-2</v>
      </c>
      <c r="J597" s="1371">
        <v>27607</v>
      </c>
    </row>
    <row r="598" spans="1:10" x14ac:dyDescent="0.45">
      <c r="A598" s="1370">
        <v>17</v>
      </c>
      <c r="B598" s="1371">
        <v>27638</v>
      </c>
      <c r="C598" s="1370" t="s">
        <v>7149</v>
      </c>
      <c r="F598" s="1372">
        <v>-3.2800000000000003E-2</v>
      </c>
      <c r="H598" s="1382">
        <v>7.6249999999999998E-3</v>
      </c>
      <c r="I598" s="1373">
        <f t="shared" si="8"/>
        <v>-4.0425000000000003E-2</v>
      </c>
      <c r="J598" s="1371">
        <v>27638</v>
      </c>
    </row>
    <row r="599" spans="1:10" x14ac:dyDescent="0.45">
      <c r="A599" s="1370">
        <v>17</v>
      </c>
      <c r="B599" s="1371">
        <v>27668</v>
      </c>
      <c r="C599" s="1370" t="s">
        <v>7149</v>
      </c>
      <c r="F599" s="1372">
        <v>6.3700000000000007E-2</v>
      </c>
      <c r="H599" s="1382">
        <v>7.575000000000001E-3</v>
      </c>
      <c r="I599" s="1373">
        <f t="shared" si="8"/>
        <v>5.6125000000000008E-2</v>
      </c>
      <c r="J599" s="1371">
        <v>27668</v>
      </c>
    </row>
    <row r="600" spans="1:10" x14ac:dyDescent="0.45">
      <c r="A600" s="1370">
        <v>17</v>
      </c>
      <c r="B600" s="1371">
        <v>27699</v>
      </c>
      <c r="C600" s="1370" t="s">
        <v>7149</v>
      </c>
      <c r="F600" s="1372">
        <v>3.1300000000000001E-2</v>
      </c>
      <c r="H600" s="1382">
        <v>7.5041666666666659E-3</v>
      </c>
      <c r="I600" s="1373">
        <f t="shared" si="8"/>
        <v>2.3795833333333336E-2</v>
      </c>
      <c r="J600" s="1371">
        <v>27699</v>
      </c>
    </row>
    <row r="601" spans="1:10" x14ac:dyDescent="0.45">
      <c r="A601" s="1370">
        <v>17</v>
      </c>
      <c r="B601" s="1371">
        <v>27729</v>
      </c>
      <c r="C601" s="1370" t="s">
        <v>7149</v>
      </c>
      <c r="F601" s="1372">
        <v>-9.5999999999999992E-3</v>
      </c>
      <c r="H601" s="1382">
        <v>7.5187500000000011E-3</v>
      </c>
      <c r="I601" s="1373">
        <f t="shared" si="8"/>
        <v>-1.7118750000000002E-2</v>
      </c>
      <c r="J601" s="1371">
        <v>27729</v>
      </c>
    </row>
    <row r="602" spans="1:10" x14ac:dyDescent="0.45">
      <c r="A602" s="1370">
        <v>17</v>
      </c>
      <c r="B602" s="1371">
        <v>27760</v>
      </c>
      <c r="C602" s="1370" t="s">
        <v>7149</v>
      </c>
      <c r="F602" s="1372">
        <v>0.11990000000000001</v>
      </c>
      <c r="H602" s="1382">
        <v>7.3875E-3</v>
      </c>
      <c r="I602" s="1373">
        <f t="shared" ref="I602:I665" si="9">F602-H602</f>
        <v>0.1125125</v>
      </c>
      <c r="J602" s="1371">
        <v>27760</v>
      </c>
    </row>
    <row r="603" spans="1:10" x14ac:dyDescent="0.45">
      <c r="A603" s="1370">
        <v>17</v>
      </c>
      <c r="B603" s="1371">
        <v>27791</v>
      </c>
      <c r="C603" s="1370" t="s">
        <v>7149</v>
      </c>
      <c r="F603" s="1372">
        <v>-5.7999999999999996E-3</v>
      </c>
      <c r="H603" s="1382">
        <v>7.3208333333333328E-3</v>
      </c>
      <c r="I603" s="1373">
        <f t="shared" si="9"/>
        <v>-1.3120833333333332E-2</v>
      </c>
      <c r="J603" s="1371">
        <v>27791</v>
      </c>
    </row>
    <row r="604" spans="1:10" x14ac:dyDescent="0.45">
      <c r="A604" s="1370">
        <v>17</v>
      </c>
      <c r="B604" s="1371">
        <v>27820</v>
      </c>
      <c r="C604" s="1370" t="s">
        <v>7149</v>
      </c>
      <c r="F604" s="1372">
        <v>3.2599999999999997E-2</v>
      </c>
      <c r="H604" s="1382">
        <v>7.3041666666666671E-3</v>
      </c>
      <c r="I604" s="1373">
        <f t="shared" si="9"/>
        <v>2.529583333333333E-2</v>
      </c>
      <c r="J604" s="1371">
        <v>27820</v>
      </c>
    </row>
    <row r="605" spans="1:10" x14ac:dyDescent="0.45">
      <c r="A605" s="1370">
        <v>17</v>
      </c>
      <c r="B605" s="1371">
        <v>27851</v>
      </c>
      <c r="C605" s="1370" t="s">
        <v>7149</v>
      </c>
      <c r="F605" s="1372">
        <v>-9.9000000000000008E-3</v>
      </c>
      <c r="H605" s="1382">
        <v>7.2041666666666669E-3</v>
      </c>
      <c r="I605" s="1373">
        <f t="shared" si="9"/>
        <v>-1.7104166666666667E-2</v>
      </c>
      <c r="J605" s="1371">
        <v>27851</v>
      </c>
    </row>
    <row r="606" spans="1:10" x14ac:dyDescent="0.45">
      <c r="A606" s="1370">
        <v>17</v>
      </c>
      <c r="B606" s="1371">
        <v>27881</v>
      </c>
      <c r="C606" s="1370" t="s">
        <v>7149</v>
      </c>
      <c r="F606" s="1372">
        <v>-7.3000000000000001E-3</v>
      </c>
      <c r="H606" s="1382">
        <v>7.2916666666666659E-3</v>
      </c>
      <c r="I606" s="1373">
        <f t="shared" si="9"/>
        <v>-1.4591666666666666E-2</v>
      </c>
      <c r="J606" s="1371">
        <v>27881</v>
      </c>
    </row>
    <row r="607" spans="1:10" x14ac:dyDescent="0.45">
      <c r="A607" s="1370">
        <v>17</v>
      </c>
      <c r="B607" s="1371">
        <v>27912</v>
      </c>
      <c r="C607" s="1370" t="s">
        <v>7149</v>
      </c>
      <c r="F607" s="1372">
        <v>4.2700000000000002E-2</v>
      </c>
      <c r="H607" s="1382">
        <v>7.2958333333333321E-3</v>
      </c>
      <c r="I607" s="1373">
        <f t="shared" si="9"/>
        <v>3.5404166666666667E-2</v>
      </c>
      <c r="J607" s="1371">
        <v>27912</v>
      </c>
    </row>
    <row r="608" spans="1:10" x14ac:dyDescent="0.45">
      <c r="A608" s="1370">
        <v>17</v>
      </c>
      <c r="B608" s="1371">
        <v>27942</v>
      </c>
      <c r="C608" s="1370" t="s">
        <v>7149</v>
      </c>
      <c r="F608" s="1372">
        <v>-6.7999999999999996E-3</v>
      </c>
      <c r="H608" s="1382">
        <v>7.2375000000000009E-3</v>
      </c>
      <c r="I608" s="1373">
        <f t="shared" si="9"/>
        <v>-1.4037500000000001E-2</v>
      </c>
      <c r="J608" s="1371">
        <v>27942</v>
      </c>
    </row>
    <row r="609" spans="1:10" x14ac:dyDescent="0.45">
      <c r="A609" s="1370">
        <v>17</v>
      </c>
      <c r="B609" s="1371">
        <v>27973</v>
      </c>
      <c r="C609" s="1370" t="s">
        <v>7149</v>
      </c>
      <c r="F609" s="1372">
        <v>1.4E-3</v>
      </c>
      <c r="H609" s="1382">
        <v>7.1291666666666665E-3</v>
      </c>
      <c r="I609" s="1373">
        <f t="shared" si="9"/>
        <v>-5.7291666666666663E-3</v>
      </c>
      <c r="J609" s="1371">
        <v>27973</v>
      </c>
    </row>
    <row r="610" spans="1:10" x14ac:dyDescent="0.45">
      <c r="A610" s="1370">
        <v>17</v>
      </c>
      <c r="B610" s="1371">
        <v>28004</v>
      </c>
      <c r="C610" s="1370" t="s">
        <v>7149</v>
      </c>
      <c r="F610" s="1372">
        <v>2.47E-2</v>
      </c>
      <c r="H610" s="1382">
        <v>7.0499999999999998E-3</v>
      </c>
      <c r="I610" s="1373">
        <f t="shared" si="9"/>
        <v>1.7649999999999999E-2</v>
      </c>
      <c r="J610" s="1371">
        <v>28004</v>
      </c>
    </row>
    <row r="611" spans="1:10" x14ac:dyDescent="0.45">
      <c r="A611" s="1370">
        <v>17</v>
      </c>
      <c r="B611" s="1371">
        <v>28034</v>
      </c>
      <c r="C611" s="1370" t="s">
        <v>7149</v>
      </c>
      <c r="F611" s="1372">
        <v>-2.06E-2</v>
      </c>
      <c r="H611" s="1382">
        <v>6.9999999999999993E-3</v>
      </c>
      <c r="I611" s="1373">
        <f t="shared" si="9"/>
        <v>-2.76E-2</v>
      </c>
      <c r="J611" s="1371">
        <v>28034</v>
      </c>
    </row>
    <row r="612" spans="1:10" x14ac:dyDescent="0.45">
      <c r="A612" s="1370">
        <v>17</v>
      </c>
      <c r="B612" s="1371">
        <v>28065</v>
      </c>
      <c r="C612" s="1370" t="s">
        <v>7149</v>
      </c>
      <c r="F612" s="1372">
        <v>-8.9999999999999998E-4</v>
      </c>
      <c r="H612" s="1382">
        <v>6.9624999999999999E-3</v>
      </c>
      <c r="I612" s="1373">
        <f t="shared" si="9"/>
        <v>-7.8624999999999997E-3</v>
      </c>
      <c r="J612" s="1371">
        <v>28065</v>
      </c>
    </row>
    <row r="613" spans="1:10" x14ac:dyDescent="0.45">
      <c r="A613" s="1370">
        <v>17</v>
      </c>
      <c r="B613" s="1371">
        <v>28095</v>
      </c>
      <c r="C613" s="1370" t="s">
        <v>7149</v>
      </c>
      <c r="F613" s="1372">
        <v>5.3999999999999999E-2</v>
      </c>
      <c r="H613" s="1382">
        <v>6.7604166666666663E-3</v>
      </c>
      <c r="I613" s="1373">
        <f t="shared" si="9"/>
        <v>4.7239583333333335E-2</v>
      </c>
      <c r="J613" s="1371">
        <v>28095</v>
      </c>
    </row>
    <row r="614" spans="1:10" x14ac:dyDescent="0.45">
      <c r="A614" s="1370">
        <v>17</v>
      </c>
      <c r="B614" s="1371">
        <v>28126</v>
      </c>
      <c r="C614" s="1370" t="s">
        <v>7149</v>
      </c>
      <c r="F614" s="1372">
        <v>-4.8899999999999999E-2</v>
      </c>
      <c r="H614" s="1382">
        <v>6.7166666666666659E-3</v>
      </c>
      <c r="I614" s="1373">
        <f t="shared" si="9"/>
        <v>-5.5616666666666661E-2</v>
      </c>
      <c r="J614" s="1371">
        <v>28126</v>
      </c>
    </row>
    <row r="615" spans="1:10" x14ac:dyDescent="0.45">
      <c r="A615" s="1370">
        <v>17</v>
      </c>
      <c r="B615" s="1371">
        <v>28157</v>
      </c>
      <c r="C615" s="1370" t="s">
        <v>7149</v>
      </c>
      <c r="F615" s="1372">
        <v>-1.5100000000000001E-2</v>
      </c>
      <c r="H615" s="1382">
        <v>6.7916666666666672E-3</v>
      </c>
      <c r="I615" s="1373">
        <f t="shared" si="9"/>
        <v>-2.1891666666666667E-2</v>
      </c>
      <c r="J615" s="1371">
        <v>28157</v>
      </c>
    </row>
    <row r="616" spans="1:10" x14ac:dyDescent="0.45">
      <c r="A616" s="1370">
        <v>17</v>
      </c>
      <c r="B616" s="1371">
        <v>28185</v>
      </c>
      <c r="C616" s="1370" t="s">
        <v>7149</v>
      </c>
      <c r="F616" s="1372">
        <v>-1.1900000000000001E-2</v>
      </c>
      <c r="H616" s="1382">
        <v>6.8249999999999986E-3</v>
      </c>
      <c r="I616" s="1373">
        <f t="shared" si="9"/>
        <v>-1.8724999999999999E-2</v>
      </c>
      <c r="J616" s="1371">
        <v>28185</v>
      </c>
    </row>
    <row r="617" spans="1:10" x14ac:dyDescent="0.45">
      <c r="A617" s="1370">
        <v>17</v>
      </c>
      <c r="B617" s="1371">
        <v>28216</v>
      </c>
      <c r="C617" s="1370" t="s">
        <v>7149</v>
      </c>
      <c r="F617" s="1372">
        <v>1.4E-3</v>
      </c>
      <c r="H617" s="1382">
        <v>6.7999999999999996E-3</v>
      </c>
      <c r="I617" s="1373">
        <f t="shared" si="9"/>
        <v>-5.3999999999999994E-3</v>
      </c>
      <c r="J617" s="1371">
        <v>28216</v>
      </c>
    </row>
    <row r="618" spans="1:10" x14ac:dyDescent="0.45">
      <c r="A618" s="1370">
        <v>17</v>
      </c>
      <c r="B618" s="1371">
        <v>28246</v>
      </c>
      <c r="C618" s="1370" t="s">
        <v>7149</v>
      </c>
      <c r="F618" s="1372">
        <v>-1.4999999999999999E-2</v>
      </c>
      <c r="H618" s="1382">
        <v>6.8041666666666667E-3</v>
      </c>
      <c r="I618" s="1373">
        <f t="shared" si="9"/>
        <v>-2.1804166666666666E-2</v>
      </c>
      <c r="J618" s="1371">
        <v>28246</v>
      </c>
    </row>
    <row r="619" spans="1:10" x14ac:dyDescent="0.45">
      <c r="A619" s="1370">
        <v>17</v>
      </c>
      <c r="B619" s="1371">
        <v>28277</v>
      </c>
      <c r="C619" s="1370" t="s">
        <v>7149</v>
      </c>
      <c r="F619" s="1372">
        <v>4.7500000000000001E-2</v>
      </c>
      <c r="H619" s="1382">
        <v>6.7250000000000001E-3</v>
      </c>
      <c r="I619" s="1373">
        <f t="shared" si="9"/>
        <v>4.0774999999999999E-2</v>
      </c>
      <c r="J619" s="1371">
        <v>28277</v>
      </c>
    </row>
    <row r="620" spans="1:10" x14ac:dyDescent="0.45">
      <c r="A620" s="1370">
        <v>17</v>
      </c>
      <c r="B620" s="1371">
        <v>28307</v>
      </c>
      <c r="C620" s="1370" t="s">
        <v>7149</v>
      </c>
      <c r="F620" s="1372">
        <v>-1.5100000000000001E-2</v>
      </c>
      <c r="H620" s="1382">
        <v>6.6916666666666669E-3</v>
      </c>
      <c r="I620" s="1373">
        <f t="shared" si="9"/>
        <v>-2.1791666666666668E-2</v>
      </c>
      <c r="J620" s="1371">
        <v>28307</v>
      </c>
    </row>
    <row r="621" spans="1:10" x14ac:dyDescent="0.45">
      <c r="A621" s="1370">
        <v>17</v>
      </c>
      <c r="B621" s="1371">
        <v>28338</v>
      </c>
      <c r="C621" s="1370" t="s">
        <v>7149</v>
      </c>
      <c r="F621" s="1372">
        <v>-1.3299999999999999E-2</v>
      </c>
      <c r="H621" s="1382">
        <v>6.7291666666666663E-3</v>
      </c>
      <c r="I621" s="1373">
        <f t="shared" si="9"/>
        <v>-2.0029166666666667E-2</v>
      </c>
      <c r="J621" s="1371">
        <v>28338</v>
      </c>
    </row>
    <row r="622" spans="1:10" x14ac:dyDescent="0.45">
      <c r="A622" s="1370">
        <v>17</v>
      </c>
      <c r="B622" s="1371">
        <v>28369</v>
      </c>
      <c r="C622" s="1370" t="s">
        <v>7149</v>
      </c>
      <c r="F622" s="1372">
        <v>0</v>
      </c>
      <c r="H622" s="1382">
        <v>6.695833333333334E-3</v>
      </c>
      <c r="I622" s="1373">
        <f t="shared" si="9"/>
        <v>-6.695833333333334E-3</v>
      </c>
      <c r="J622" s="1371">
        <v>28369</v>
      </c>
    </row>
    <row r="623" spans="1:10" x14ac:dyDescent="0.45">
      <c r="A623" s="1370">
        <v>17</v>
      </c>
      <c r="B623" s="1371">
        <v>28399</v>
      </c>
      <c r="C623" s="1370" t="s">
        <v>7149</v>
      </c>
      <c r="F623" s="1372">
        <v>-4.1500000000000002E-2</v>
      </c>
      <c r="H623" s="1382">
        <v>6.7916666666666672E-3</v>
      </c>
      <c r="I623" s="1373">
        <f t="shared" si="9"/>
        <v>-4.829166666666667E-2</v>
      </c>
      <c r="J623" s="1371">
        <v>28399</v>
      </c>
    </row>
    <row r="624" spans="1:10" x14ac:dyDescent="0.45">
      <c r="A624" s="1370">
        <v>17</v>
      </c>
      <c r="B624" s="1371">
        <v>28430</v>
      </c>
      <c r="C624" s="1370" t="s">
        <v>7149</v>
      </c>
      <c r="F624" s="1372">
        <v>3.6999999999999998E-2</v>
      </c>
      <c r="H624" s="1382">
        <v>6.841666666666666E-3</v>
      </c>
      <c r="I624" s="1373">
        <f t="shared" si="9"/>
        <v>3.0158333333333332E-2</v>
      </c>
      <c r="J624" s="1371">
        <v>28430</v>
      </c>
    </row>
    <row r="625" spans="1:10" x14ac:dyDescent="0.45">
      <c r="A625" s="1370">
        <v>17</v>
      </c>
      <c r="B625" s="1371">
        <v>28460</v>
      </c>
      <c r="C625" s="1370" t="s">
        <v>7149</v>
      </c>
      <c r="F625" s="1372">
        <v>4.7999999999999996E-3</v>
      </c>
      <c r="H625" s="1382">
        <v>6.9145833333333325E-3</v>
      </c>
      <c r="I625" s="1373">
        <f t="shared" si="9"/>
        <v>-2.1145833333333329E-3</v>
      </c>
      <c r="J625" s="1371">
        <v>28460</v>
      </c>
    </row>
    <row r="626" spans="1:10" x14ac:dyDescent="0.45">
      <c r="A626" s="1370">
        <v>17</v>
      </c>
      <c r="B626" s="1371">
        <v>28491</v>
      </c>
      <c r="C626" s="1370" t="s">
        <v>7149</v>
      </c>
      <c r="F626" s="1372">
        <v>-5.96E-2</v>
      </c>
      <c r="H626" s="1382">
        <v>7.083333333333333E-3</v>
      </c>
      <c r="I626" s="1373">
        <f t="shared" si="9"/>
        <v>-6.6683333333333331E-2</v>
      </c>
      <c r="J626" s="1371">
        <v>28491</v>
      </c>
    </row>
    <row r="627" spans="1:10" x14ac:dyDescent="0.45">
      <c r="A627" s="1370">
        <v>17</v>
      </c>
      <c r="B627" s="1371">
        <v>28522</v>
      </c>
      <c r="C627" s="1370" t="s">
        <v>7149</v>
      </c>
      <c r="F627" s="1372">
        <v>-1.61E-2</v>
      </c>
      <c r="H627" s="1382">
        <v>7.1333333333333335E-3</v>
      </c>
      <c r="I627" s="1373">
        <f t="shared" si="9"/>
        <v>-2.3233333333333335E-2</v>
      </c>
      <c r="J627" s="1371">
        <v>28522</v>
      </c>
    </row>
    <row r="628" spans="1:10" x14ac:dyDescent="0.45">
      <c r="A628" s="1370">
        <v>17</v>
      </c>
      <c r="B628" s="1371">
        <v>28550</v>
      </c>
      <c r="C628" s="1370" t="s">
        <v>7149</v>
      </c>
      <c r="F628" s="1372">
        <v>2.76E-2</v>
      </c>
      <c r="H628" s="1382">
        <v>7.1375000000000015E-3</v>
      </c>
      <c r="I628" s="1373">
        <f t="shared" si="9"/>
        <v>2.0462499999999998E-2</v>
      </c>
      <c r="J628" s="1371">
        <v>28550</v>
      </c>
    </row>
    <row r="629" spans="1:10" x14ac:dyDescent="0.45">
      <c r="A629" s="1370">
        <v>17</v>
      </c>
      <c r="B629" s="1371">
        <v>28581</v>
      </c>
      <c r="C629" s="1370" t="s">
        <v>7149</v>
      </c>
      <c r="F629" s="1372">
        <v>8.6999999999999994E-2</v>
      </c>
      <c r="H629" s="1382">
        <v>7.2041666666666669E-3</v>
      </c>
      <c r="I629" s="1373">
        <f t="shared" si="9"/>
        <v>7.979583333333333E-2</v>
      </c>
      <c r="J629" s="1371">
        <v>28581</v>
      </c>
    </row>
    <row r="630" spans="1:10" x14ac:dyDescent="0.45">
      <c r="A630" s="1370">
        <v>17</v>
      </c>
      <c r="B630" s="1371">
        <v>28611</v>
      </c>
      <c r="C630" s="1370" t="s">
        <v>7149</v>
      </c>
      <c r="F630" s="1372">
        <v>1.3599999999999999E-2</v>
      </c>
      <c r="H630" s="1382">
        <v>7.3041666666666671E-3</v>
      </c>
      <c r="I630" s="1373">
        <f t="shared" si="9"/>
        <v>6.2958333333333321E-3</v>
      </c>
      <c r="J630" s="1371">
        <v>28611</v>
      </c>
    </row>
    <row r="631" spans="1:10" x14ac:dyDescent="0.45">
      <c r="A631" s="1370">
        <v>17</v>
      </c>
      <c r="B631" s="1371">
        <v>28642</v>
      </c>
      <c r="C631" s="1370" t="s">
        <v>7149</v>
      </c>
      <c r="F631" s="1372">
        <v>-1.52E-2</v>
      </c>
      <c r="H631" s="1382">
        <v>7.3791666666666658E-3</v>
      </c>
      <c r="I631" s="1373">
        <f t="shared" si="9"/>
        <v>-2.2579166666666664E-2</v>
      </c>
      <c r="J631" s="1371">
        <v>28642</v>
      </c>
    </row>
    <row r="632" spans="1:10" x14ac:dyDescent="0.45">
      <c r="A632" s="1370">
        <v>17</v>
      </c>
      <c r="B632" s="1371">
        <v>28672</v>
      </c>
      <c r="C632" s="1370" t="s">
        <v>7149</v>
      </c>
      <c r="F632" s="1372">
        <v>5.6000000000000001E-2</v>
      </c>
      <c r="H632" s="1382">
        <v>7.4791666666666678E-3</v>
      </c>
      <c r="I632" s="1373">
        <f t="shared" si="9"/>
        <v>4.8520833333333332E-2</v>
      </c>
      <c r="J632" s="1371">
        <v>28672</v>
      </c>
    </row>
    <row r="633" spans="1:10" x14ac:dyDescent="0.45">
      <c r="A633" s="1370">
        <v>17</v>
      </c>
      <c r="B633" s="1371">
        <v>28703</v>
      </c>
      <c r="C633" s="1370" t="s">
        <v>7149</v>
      </c>
      <c r="F633" s="1372">
        <v>3.4000000000000002E-2</v>
      </c>
      <c r="H633" s="1382">
        <v>7.354166666666666E-3</v>
      </c>
      <c r="I633" s="1373">
        <f t="shared" si="9"/>
        <v>2.6645833333333337E-2</v>
      </c>
      <c r="J633" s="1371">
        <v>28703</v>
      </c>
    </row>
    <row r="634" spans="1:10" x14ac:dyDescent="0.45">
      <c r="A634" s="1370">
        <v>17</v>
      </c>
      <c r="B634" s="1371">
        <v>28734</v>
      </c>
      <c r="C634" s="1370" t="s">
        <v>7149</v>
      </c>
      <c r="F634" s="1372">
        <v>-4.7999999999999996E-3</v>
      </c>
      <c r="H634" s="1382">
        <v>7.3374999999999994E-3</v>
      </c>
      <c r="I634" s="1373">
        <f t="shared" si="9"/>
        <v>-1.2137499999999999E-2</v>
      </c>
      <c r="J634" s="1371">
        <v>28734</v>
      </c>
    </row>
    <row r="635" spans="1:10" x14ac:dyDescent="0.45">
      <c r="A635" s="1370">
        <v>17</v>
      </c>
      <c r="B635" s="1371">
        <v>28764</v>
      </c>
      <c r="C635" s="1370" t="s">
        <v>7149</v>
      </c>
      <c r="F635" s="1372">
        <v>-8.9099999999999999E-2</v>
      </c>
      <c r="H635" s="1382">
        <v>7.4833333333333332E-3</v>
      </c>
      <c r="I635" s="1373">
        <f t="shared" si="9"/>
        <v>-9.6583333333333327E-2</v>
      </c>
      <c r="J635" s="1371">
        <v>28764</v>
      </c>
    </row>
    <row r="636" spans="1:10" x14ac:dyDescent="0.45">
      <c r="A636" s="1370">
        <v>17</v>
      </c>
      <c r="B636" s="1371">
        <v>28795</v>
      </c>
      <c r="C636" s="1370" t="s">
        <v>7149</v>
      </c>
      <c r="F636" s="1372">
        <v>2.5999999999999999E-2</v>
      </c>
      <c r="H636" s="1382">
        <v>7.6124999999999995E-3</v>
      </c>
      <c r="I636" s="1373">
        <f t="shared" si="9"/>
        <v>1.8387500000000001E-2</v>
      </c>
      <c r="J636" s="1371">
        <v>28795</v>
      </c>
    </row>
    <row r="637" spans="1:10" x14ac:dyDescent="0.45">
      <c r="A637" s="1370">
        <v>17</v>
      </c>
      <c r="B637" s="1371">
        <v>28825</v>
      </c>
      <c r="C637" s="1370" t="s">
        <v>7149</v>
      </c>
      <c r="F637" s="1372">
        <v>1.72E-2</v>
      </c>
      <c r="H637" s="1382">
        <v>7.7041666666666665E-3</v>
      </c>
      <c r="I637" s="1373">
        <f t="shared" si="9"/>
        <v>9.4958333333333336E-3</v>
      </c>
      <c r="J637" s="1371">
        <v>28825</v>
      </c>
    </row>
    <row r="638" spans="1:10" x14ac:dyDescent="0.45">
      <c r="A638" s="1370">
        <v>17</v>
      </c>
      <c r="B638" s="1371">
        <v>28856</v>
      </c>
      <c r="C638" s="1370" t="s">
        <v>7149</v>
      </c>
      <c r="F638" s="1372">
        <v>4.2099999999999999E-2</v>
      </c>
      <c r="H638" s="1382">
        <v>7.8041666666666676E-3</v>
      </c>
      <c r="I638" s="1373">
        <f t="shared" si="9"/>
        <v>3.4295833333333331E-2</v>
      </c>
      <c r="J638" s="1371">
        <v>28856</v>
      </c>
    </row>
    <row r="639" spans="1:10" x14ac:dyDescent="0.45">
      <c r="A639" s="1370">
        <v>17</v>
      </c>
      <c r="B639" s="1371">
        <v>28887</v>
      </c>
      <c r="C639" s="1370" t="s">
        <v>7149</v>
      </c>
      <c r="F639" s="1372">
        <v>-2.8400000000000002E-2</v>
      </c>
      <c r="H639" s="1382">
        <v>7.8166666666666662E-3</v>
      </c>
      <c r="I639" s="1373">
        <f t="shared" si="9"/>
        <v>-3.6216666666666668E-2</v>
      </c>
      <c r="J639" s="1371">
        <v>28887</v>
      </c>
    </row>
    <row r="640" spans="1:10" x14ac:dyDescent="0.45">
      <c r="A640" s="1370">
        <v>17</v>
      </c>
      <c r="B640" s="1371">
        <v>28915</v>
      </c>
      <c r="C640" s="1370" t="s">
        <v>7149</v>
      </c>
      <c r="F640" s="1372">
        <v>5.7500000000000002E-2</v>
      </c>
      <c r="H640" s="1382">
        <v>7.9083333333333332E-3</v>
      </c>
      <c r="I640" s="1373">
        <f t="shared" si="9"/>
        <v>4.9591666666666673E-2</v>
      </c>
      <c r="J640" s="1371">
        <v>28915</v>
      </c>
    </row>
    <row r="641" spans="1:10" x14ac:dyDescent="0.45">
      <c r="A641" s="1370">
        <v>17</v>
      </c>
      <c r="B641" s="1371">
        <v>28946</v>
      </c>
      <c r="C641" s="1370" t="s">
        <v>7149</v>
      </c>
      <c r="F641" s="1372">
        <v>3.5999999999999999E-3</v>
      </c>
      <c r="H641" s="1382">
        <v>7.9291666666666677E-3</v>
      </c>
      <c r="I641" s="1373">
        <f t="shared" si="9"/>
        <v>-4.3291666666666678E-3</v>
      </c>
      <c r="J641" s="1371">
        <v>28946</v>
      </c>
    </row>
    <row r="642" spans="1:10" x14ac:dyDescent="0.45">
      <c r="A642" s="1370">
        <v>17</v>
      </c>
      <c r="B642" s="1371">
        <v>28976</v>
      </c>
      <c r="C642" s="1370" t="s">
        <v>7149</v>
      </c>
      <c r="F642" s="1372">
        <v>-1.6799999999999999E-2</v>
      </c>
      <c r="H642" s="1382">
        <v>8.0666666666666664E-3</v>
      </c>
      <c r="I642" s="1373">
        <f t="shared" si="9"/>
        <v>-2.4866666666666665E-2</v>
      </c>
      <c r="J642" s="1371">
        <v>28976</v>
      </c>
    </row>
    <row r="643" spans="1:10" x14ac:dyDescent="0.45">
      <c r="A643" s="1370">
        <v>17</v>
      </c>
      <c r="B643" s="1371">
        <v>29007</v>
      </c>
      <c r="C643" s="1370" t="s">
        <v>7149</v>
      </c>
      <c r="F643" s="1372">
        <v>4.1000000000000002E-2</v>
      </c>
      <c r="H643" s="1382">
        <v>7.8958333333333328E-3</v>
      </c>
      <c r="I643" s="1373">
        <f t="shared" si="9"/>
        <v>3.3104166666666671E-2</v>
      </c>
      <c r="J643" s="1371">
        <v>29007</v>
      </c>
    </row>
    <row r="644" spans="1:10" x14ac:dyDescent="0.45">
      <c r="A644" s="1370">
        <v>17</v>
      </c>
      <c r="B644" s="1371">
        <v>29037</v>
      </c>
      <c r="C644" s="1370" t="s">
        <v>7149</v>
      </c>
      <c r="F644" s="1372">
        <v>1.0999999999999999E-2</v>
      </c>
      <c r="H644" s="1382">
        <v>7.7875000000000002E-3</v>
      </c>
      <c r="I644" s="1373">
        <f t="shared" si="9"/>
        <v>3.2124999999999992E-3</v>
      </c>
      <c r="J644" s="1371">
        <v>29037</v>
      </c>
    </row>
    <row r="645" spans="1:10" x14ac:dyDescent="0.45">
      <c r="A645" s="1370">
        <v>17</v>
      </c>
      <c r="B645" s="1371">
        <v>29068</v>
      </c>
      <c r="C645" s="1370" t="s">
        <v>7149</v>
      </c>
      <c r="F645" s="1372">
        <v>6.1100000000000002E-2</v>
      </c>
      <c r="H645" s="1382">
        <v>7.8166666666666662E-3</v>
      </c>
      <c r="I645" s="1373">
        <f t="shared" si="9"/>
        <v>5.3283333333333335E-2</v>
      </c>
      <c r="J645" s="1371">
        <v>29068</v>
      </c>
    </row>
    <row r="646" spans="1:10" x14ac:dyDescent="0.45">
      <c r="A646" s="1370">
        <v>17</v>
      </c>
      <c r="B646" s="1371">
        <v>29099</v>
      </c>
      <c r="C646" s="1370" t="s">
        <v>7149</v>
      </c>
      <c r="F646" s="1372">
        <v>2.5000000000000001E-3</v>
      </c>
      <c r="H646" s="1382">
        <v>7.9749999999999995E-3</v>
      </c>
      <c r="I646" s="1373">
        <f t="shared" si="9"/>
        <v>-5.474999999999999E-3</v>
      </c>
      <c r="J646" s="1371">
        <v>29099</v>
      </c>
    </row>
    <row r="647" spans="1:10" x14ac:dyDescent="0.45">
      <c r="A647" s="1370">
        <v>17</v>
      </c>
      <c r="B647" s="1371">
        <v>29129</v>
      </c>
      <c r="C647" s="1370" t="s">
        <v>7149</v>
      </c>
      <c r="F647" s="1372">
        <v>-6.5600000000000006E-2</v>
      </c>
      <c r="H647" s="1382">
        <v>8.5791666666666672E-3</v>
      </c>
      <c r="I647" s="1373">
        <f t="shared" si="9"/>
        <v>-7.4179166666666671E-2</v>
      </c>
      <c r="J647" s="1371">
        <v>29129</v>
      </c>
    </row>
    <row r="648" spans="1:10" x14ac:dyDescent="0.45">
      <c r="A648" s="1370">
        <v>17</v>
      </c>
      <c r="B648" s="1371">
        <v>29160</v>
      </c>
      <c r="C648" s="1370" t="s">
        <v>7149</v>
      </c>
      <c r="F648" s="1372">
        <v>5.1400000000000001E-2</v>
      </c>
      <c r="H648" s="1382">
        <v>9.1583333333333326E-3</v>
      </c>
      <c r="I648" s="1373">
        <f t="shared" si="9"/>
        <v>4.224166666666667E-2</v>
      </c>
      <c r="J648" s="1371">
        <v>29160</v>
      </c>
    </row>
    <row r="649" spans="1:10" x14ac:dyDescent="0.45">
      <c r="A649" s="1370">
        <v>17</v>
      </c>
      <c r="B649" s="1371">
        <v>29190</v>
      </c>
      <c r="C649" s="1370" t="s">
        <v>7149</v>
      </c>
      <c r="F649" s="1372">
        <v>1.9199999999999998E-2</v>
      </c>
      <c r="H649" s="1382">
        <v>9.1208333333333332E-3</v>
      </c>
      <c r="I649" s="1373">
        <f t="shared" si="9"/>
        <v>1.0079166666666665E-2</v>
      </c>
      <c r="J649" s="1371">
        <v>29190</v>
      </c>
    </row>
    <row r="650" spans="1:10" x14ac:dyDescent="0.45">
      <c r="A650" s="1370">
        <v>17</v>
      </c>
      <c r="B650" s="1371">
        <v>29221</v>
      </c>
      <c r="C650" s="1370" t="s">
        <v>7149</v>
      </c>
      <c r="F650" s="1372">
        <v>6.0999999999999999E-2</v>
      </c>
      <c r="H650" s="1382">
        <v>9.4375000000000014E-3</v>
      </c>
      <c r="I650" s="1373">
        <f t="shared" si="9"/>
        <v>5.1562499999999997E-2</v>
      </c>
      <c r="J650" s="1371">
        <v>29221</v>
      </c>
    </row>
    <row r="651" spans="1:10" x14ac:dyDescent="0.45">
      <c r="A651" s="1370">
        <v>17</v>
      </c>
      <c r="B651" s="1371">
        <v>29252</v>
      </c>
      <c r="C651" s="1370" t="s">
        <v>7149</v>
      </c>
      <c r="F651" s="1372">
        <v>3.0999999999999999E-3</v>
      </c>
      <c r="H651" s="1382">
        <v>1.0462500000000001E-2</v>
      </c>
      <c r="I651" s="1373">
        <f t="shared" si="9"/>
        <v>-7.362500000000001E-3</v>
      </c>
      <c r="J651" s="1371">
        <v>29252</v>
      </c>
    </row>
    <row r="652" spans="1:10" x14ac:dyDescent="0.45">
      <c r="A652" s="1370">
        <v>17</v>
      </c>
      <c r="B652" s="1371">
        <v>29281</v>
      </c>
      <c r="C652" s="1370" t="s">
        <v>7149</v>
      </c>
      <c r="F652" s="1372">
        <v>-9.8699999999999996E-2</v>
      </c>
      <c r="H652" s="1382">
        <v>1.1029166666666668E-2</v>
      </c>
      <c r="I652" s="1373">
        <f t="shared" si="9"/>
        <v>-0.10972916666666667</v>
      </c>
      <c r="J652" s="1371">
        <v>29281</v>
      </c>
    </row>
    <row r="653" spans="1:10" x14ac:dyDescent="0.45">
      <c r="A653" s="1370">
        <v>17</v>
      </c>
      <c r="B653" s="1371">
        <v>29312</v>
      </c>
      <c r="C653" s="1370" t="s">
        <v>7149</v>
      </c>
      <c r="F653" s="1372">
        <v>4.2900000000000001E-2</v>
      </c>
      <c r="H653" s="1382">
        <v>1.0458333333333333E-2</v>
      </c>
      <c r="I653" s="1373">
        <f t="shared" si="9"/>
        <v>3.2441666666666667E-2</v>
      </c>
      <c r="J653" s="1371">
        <v>29312</v>
      </c>
    </row>
    <row r="654" spans="1:10" x14ac:dyDescent="0.45">
      <c r="A654" s="1370">
        <v>17</v>
      </c>
      <c r="B654" s="1371">
        <v>29342</v>
      </c>
      <c r="C654" s="1370" t="s">
        <v>7149</v>
      </c>
      <c r="F654" s="1372">
        <v>5.62E-2</v>
      </c>
      <c r="H654" s="1382">
        <v>9.541666666666667E-3</v>
      </c>
      <c r="I654" s="1373">
        <f t="shared" si="9"/>
        <v>4.6658333333333329E-2</v>
      </c>
      <c r="J654" s="1371">
        <v>29342</v>
      </c>
    </row>
    <row r="655" spans="1:10" x14ac:dyDescent="0.45">
      <c r="A655" s="1370">
        <v>17</v>
      </c>
      <c r="B655" s="1371">
        <v>29373</v>
      </c>
      <c r="C655" s="1370" t="s">
        <v>7149</v>
      </c>
      <c r="F655" s="1372">
        <v>2.9600000000000001E-2</v>
      </c>
      <c r="H655" s="1382">
        <v>9.1541666666666681E-3</v>
      </c>
      <c r="I655" s="1373">
        <f t="shared" si="9"/>
        <v>2.0445833333333333E-2</v>
      </c>
      <c r="J655" s="1371">
        <v>29373</v>
      </c>
    </row>
    <row r="656" spans="1:10" x14ac:dyDescent="0.45">
      <c r="A656" s="1370">
        <v>17</v>
      </c>
      <c r="B656" s="1371">
        <v>29403</v>
      </c>
      <c r="C656" s="1370" t="s">
        <v>7149</v>
      </c>
      <c r="F656" s="1372">
        <v>6.7599999999999993E-2</v>
      </c>
      <c r="H656" s="1382">
        <v>9.3749999999999997E-3</v>
      </c>
      <c r="I656" s="1373">
        <f t="shared" si="9"/>
        <v>5.8224999999999992E-2</v>
      </c>
      <c r="J656" s="1371">
        <v>29403</v>
      </c>
    </row>
    <row r="657" spans="1:10" x14ac:dyDescent="0.45">
      <c r="A657" s="1370">
        <v>17</v>
      </c>
      <c r="B657" s="1371">
        <v>29434</v>
      </c>
      <c r="C657" s="1370" t="s">
        <v>7149</v>
      </c>
      <c r="F657" s="1372">
        <v>1.3100000000000001E-2</v>
      </c>
      <c r="H657" s="1382">
        <v>9.8875000000000005E-3</v>
      </c>
      <c r="I657" s="1373">
        <f t="shared" si="9"/>
        <v>3.2125000000000001E-3</v>
      </c>
      <c r="J657" s="1371">
        <v>29434</v>
      </c>
    </row>
    <row r="658" spans="1:10" x14ac:dyDescent="0.45">
      <c r="A658" s="1370">
        <v>17</v>
      </c>
      <c r="B658" s="1371">
        <v>29465</v>
      </c>
      <c r="C658" s="1370" t="s">
        <v>7149</v>
      </c>
      <c r="F658" s="1372">
        <v>2.81E-2</v>
      </c>
      <c r="H658" s="1382">
        <v>1.0225E-2</v>
      </c>
      <c r="I658" s="1373">
        <f t="shared" si="9"/>
        <v>1.7875000000000002E-2</v>
      </c>
      <c r="J658" s="1371">
        <v>29465</v>
      </c>
    </row>
    <row r="659" spans="1:10" x14ac:dyDescent="0.45">
      <c r="A659" s="1370">
        <v>17</v>
      </c>
      <c r="B659" s="1371">
        <v>29495</v>
      </c>
      <c r="C659" s="1370" t="s">
        <v>7149</v>
      </c>
      <c r="F659" s="1372">
        <v>1.8700000000000001E-2</v>
      </c>
      <c r="H659" s="1382">
        <v>1.04125E-2</v>
      </c>
      <c r="I659" s="1373">
        <f t="shared" si="9"/>
        <v>8.2875000000000015E-3</v>
      </c>
      <c r="J659" s="1371">
        <v>29495</v>
      </c>
    </row>
    <row r="660" spans="1:10" x14ac:dyDescent="0.45">
      <c r="A660" s="1370">
        <v>17</v>
      </c>
      <c r="B660" s="1371">
        <v>29526</v>
      </c>
      <c r="C660" s="1370" t="s">
        <v>7149</v>
      </c>
      <c r="F660" s="1372">
        <v>0.1095</v>
      </c>
      <c r="H660" s="1382">
        <v>1.09625E-2</v>
      </c>
      <c r="I660" s="1373">
        <f t="shared" si="9"/>
        <v>9.85375E-2</v>
      </c>
      <c r="J660" s="1371">
        <v>29526</v>
      </c>
    </row>
    <row r="661" spans="1:10" x14ac:dyDescent="0.45">
      <c r="A661" s="1370">
        <v>17</v>
      </c>
      <c r="B661" s="1371">
        <v>29556</v>
      </c>
      <c r="C661" s="1370" t="s">
        <v>7149</v>
      </c>
      <c r="F661" s="1372">
        <v>-3.15E-2</v>
      </c>
      <c r="H661" s="1382">
        <v>1.1245833333333333E-2</v>
      </c>
      <c r="I661" s="1373">
        <f t="shared" si="9"/>
        <v>-4.274583333333333E-2</v>
      </c>
      <c r="J661" s="1371">
        <v>29556</v>
      </c>
    </row>
    <row r="662" spans="1:10" x14ac:dyDescent="0.45">
      <c r="A662" s="1370">
        <v>17</v>
      </c>
      <c r="B662" s="1371">
        <v>29587</v>
      </c>
      <c r="C662" s="1370" t="s">
        <v>7149</v>
      </c>
      <c r="F662" s="1372">
        <v>-4.3799999999999999E-2</v>
      </c>
      <c r="H662" s="1382">
        <v>1.0970833333333334E-2</v>
      </c>
      <c r="I662" s="1373">
        <f t="shared" si="9"/>
        <v>-5.4770833333333331E-2</v>
      </c>
      <c r="J662" s="1371">
        <v>29587</v>
      </c>
    </row>
    <row r="663" spans="1:10" x14ac:dyDescent="0.45">
      <c r="A663" s="1370">
        <v>17</v>
      </c>
      <c r="B663" s="1371">
        <v>29618</v>
      </c>
      <c r="C663" s="1370" t="s">
        <v>7149</v>
      </c>
      <c r="F663" s="1372">
        <v>2.0799999999999999E-2</v>
      </c>
      <c r="H663" s="1382">
        <v>1.1350000000000001E-2</v>
      </c>
      <c r="I663" s="1373">
        <f t="shared" si="9"/>
        <v>9.4499999999999983E-3</v>
      </c>
      <c r="J663" s="1371">
        <v>29618</v>
      </c>
    </row>
    <row r="664" spans="1:10" x14ac:dyDescent="0.45">
      <c r="A664" s="1370">
        <v>17</v>
      </c>
      <c r="B664" s="1371">
        <v>29646</v>
      </c>
      <c r="C664" s="1370" t="s">
        <v>7149</v>
      </c>
      <c r="F664" s="1372">
        <v>3.7999999999999999E-2</v>
      </c>
      <c r="H664" s="1382">
        <v>1.1345833333333335E-2</v>
      </c>
      <c r="I664" s="1373">
        <f t="shared" si="9"/>
        <v>2.6654166666666666E-2</v>
      </c>
      <c r="J664" s="1371">
        <v>29646</v>
      </c>
    </row>
    <row r="665" spans="1:10" x14ac:dyDescent="0.45">
      <c r="A665" s="1370">
        <v>17</v>
      </c>
      <c r="B665" s="1371">
        <v>29677</v>
      </c>
      <c r="C665" s="1370" t="s">
        <v>7149</v>
      </c>
      <c r="F665" s="1372">
        <v>-2.1299999999999999E-2</v>
      </c>
      <c r="H665" s="1382">
        <v>1.1779166666666667E-2</v>
      </c>
      <c r="I665" s="1373">
        <f t="shared" si="9"/>
        <v>-3.3079166666666666E-2</v>
      </c>
      <c r="J665" s="1371">
        <v>29677</v>
      </c>
    </row>
    <row r="666" spans="1:10" x14ac:dyDescent="0.45">
      <c r="A666" s="1370">
        <v>17</v>
      </c>
      <c r="B666" s="1371">
        <v>29707</v>
      </c>
      <c r="C666" s="1370" t="s">
        <v>7149</v>
      </c>
      <c r="F666" s="1372">
        <v>6.1999999999999998E-3</v>
      </c>
      <c r="H666" s="1382">
        <v>1.2166666666666668E-2</v>
      </c>
      <c r="I666" s="1373">
        <f t="shared" ref="I666:I729" si="10">F666-H666</f>
        <v>-5.9666666666666679E-3</v>
      </c>
      <c r="J666" s="1371">
        <v>29707</v>
      </c>
    </row>
    <row r="667" spans="1:10" x14ac:dyDescent="0.45">
      <c r="A667" s="1370">
        <v>17</v>
      </c>
      <c r="B667" s="1371">
        <v>29738</v>
      </c>
      <c r="C667" s="1370" t="s">
        <v>7149</v>
      </c>
      <c r="F667" s="1372">
        <v>-8.0000000000000002E-3</v>
      </c>
      <c r="H667" s="1382">
        <v>1.1733333333333333E-2</v>
      </c>
      <c r="I667" s="1373">
        <f t="shared" si="10"/>
        <v>-1.9733333333333332E-2</v>
      </c>
      <c r="J667" s="1371">
        <v>29738</v>
      </c>
    </row>
    <row r="668" spans="1:10" x14ac:dyDescent="0.45">
      <c r="A668" s="1370">
        <v>17</v>
      </c>
      <c r="B668" s="1371">
        <v>29768</v>
      </c>
      <c r="C668" s="1370" t="s">
        <v>7149</v>
      </c>
      <c r="F668" s="1372">
        <v>6.9999999999999999E-4</v>
      </c>
      <c r="H668" s="1382">
        <v>1.2154166666666666E-2</v>
      </c>
      <c r="I668" s="1373">
        <f t="shared" si="10"/>
        <v>-1.1454166666666666E-2</v>
      </c>
      <c r="J668" s="1371">
        <v>29768</v>
      </c>
    </row>
    <row r="669" spans="1:10" x14ac:dyDescent="0.45">
      <c r="A669" s="1370">
        <v>17</v>
      </c>
      <c r="B669" s="1371">
        <v>29799</v>
      </c>
      <c r="C669" s="1370" t="s">
        <v>7149</v>
      </c>
      <c r="F669" s="1372">
        <v>-5.5399999999999998E-2</v>
      </c>
      <c r="H669" s="1382">
        <v>1.2629166666666667E-2</v>
      </c>
      <c r="I669" s="1373">
        <f t="shared" si="10"/>
        <v>-6.8029166666666668E-2</v>
      </c>
      <c r="J669" s="1371">
        <v>29799</v>
      </c>
    </row>
    <row r="670" spans="1:10" x14ac:dyDescent="0.45">
      <c r="A670" s="1370">
        <v>17</v>
      </c>
      <c r="B670" s="1371">
        <v>29830</v>
      </c>
      <c r="C670" s="1370" t="s">
        <v>7149</v>
      </c>
      <c r="F670" s="1372">
        <v>-5.0200000000000002E-2</v>
      </c>
      <c r="H670" s="1382">
        <v>1.3100000000000001E-2</v>
      </c>
      <c r="I670" s="1373">
        <f t="shared" si="10"/>
        <v>-6.3299999999999995E-2</v>
      </c>
      <c r="J670" s="1371">
        <v>29830</v>
      </c>
    </row>
    <row r="671" spans="1:10" x14ac:dyDescent="0.45">
      <c r="A671" s="1370">
        <v>17</v>
      </c>
      <c r="B671" s="1371">
        <v>29860</v>
      </c>
      <c r="C671" s="1370" t="s">
        <v>7149</v>
      </c>
      <c r="F671" s="1372">
        <v>5.28E-2</v>
      </c>
      <c r="H671" s="1382">
        <v>1.3008333333333334E-2</v>
      </c>
      <c r="I671" s="1373">
        <f t="shared" si="10"/>
        <v>3.979166666666667E-2</v>
      </c>
      <c r="J671" s="1371">
        <v>29860</v>
      </c>
    </row>
    <row r="672" spans="1:10" x14ac:dyDescent="0.45">
      <c r="A672" s="1370">
        <v>17</v>
      </c>
      <c r="B672" s="1371">
        <v>29891</v>
      </c>
      <c r="C672" s="1370" t="s">
        <v>7149</v>
      </c>
      <c r="F672" s="1372">
        <v>4.41E-2</v>
      </c>
      <c r="H672" s="1382">
        <v>1.21625E-2</v>
      </c>
      <c r="I672" s="1373">
        <f t="shared" si="10"/>
        <v>3.1937500000000001E-2</v>
      </c>
      <c r="J672" s="1371">
        <v>29891</v>
      </c>
    </row>
    <row r="673" spans="1:10" x14ac:dyDescent="0.45">
      <c r="A673" s="1370">
        <v>17</v>
      </c>
      <c r="B673" s="1371">
        <v>29921</v>
      </c>
      <c r="C673" s="1370" t="s">
        <v>7149</v>
      </c>
      <c r="F673" s="1372">
        <v>-2.6499999999999999E-2</v>
      </c>
      <c r="H673" s="1382">
        <v>1.2179166666666665E-2</v>
      </c>
      <c r="I673" s="1373">
        <f t="shared" si="10"/>
        <v>-3.8679166666666667E-2</v>
      </c>
      <c r="J673" s="1371">
        <v>29921</v>
      </c>
    </row>
    <row r="674" spans="1:10" x14ac:dyDescent="0.45">
      <c r="A674" s="1370">
        <v>17</v>
      </c>
      <c r="B674" s="1371">
        <v>29952</v>
      </c>
      <c r="C674" s="1370" t="s">
        <v>7149</v>
      </c>
      <c r="F674" s="1372">
        <v>-1.6299999999999999E-2</v>
      </c>
      <c r="H674" s="1382">
        <v>1.2887499999999998E-2</v>
      </c>
      <c r="I674" s="1373">
        <f t="shared" si="10"/>
        <v>-2.9187499999999998E-2</v>
      </c>
      <c r="J674" s="1371">
        <v>29952</v>
      </c>
    </row>
    <row r="675" spans="1:10" x14ac:dyDescent="0.45">
      <c r="A675" s="1370">
        <v>17</v>
      </c>
      <c r="B675" s="1371">
        <v>29983</v>
      </c>
      <c r="C675" s="1370" t="s">
        <v>7149</v>
      </c>
      <c r="F675" s="1372">
        <v>-5.1200000000000002E-2</v>
      </c>
      <c r="H675" s="1382">
        <v>1.29125E-2</v>
      </c>
      <c r="I675" s="1373">
        <f t="shared" si="10"/>
        <v>-6.4112500000000003E-2</v>
      </c>
      <c r="J675" s="1371">
        <v>29983</v>
      </c>
    </row>
    <row r="676" spans="1:10" x14ac:dyDescent="0.45">
      <c r="A676" s="1370">
        <v>17</v>
      </c>
      <c r="B676" s="1371">
        <v>30011</v>
      </c>
      <c r="C676" s="1370" t="s">
        <v>7149</v>
      </c>
      <c r="F676" s="1372">
        <v>-6.0000000000000001E-3</v>
      </c>
      <c r="H676" s="1382">
        <v>1.24125E-2</v>
      </c>
      <c r="I676" s="1373">
        <f t="shared" si="10"/>
        <v>-1.8412499999999998E-2</v>
      </c>
      <c r="J676" s="1371">
        <v>30011</v>
      </c>
    </row>
    <row r="677" spans="1:10" x14ac:dyDescent="0.45">
      <c r="A677" s="1370">
        <v>17</v>
      </c>
      <c r="B677" s="1371">
        <v>30042</v>
      </c>
      <c r="C677" s="1370" t="s">
        <v>7149</v>
      </c>
      <c r="F677" s="1372">
        <v>4.1399999999999999E-2</v>
      </c>
      <c r="H677" s="1382">
        <v>1.2233333333333334E-2</v>
      </c>
      <c r="I677" s="1373">
        <f t="shared" si="10"/>
        <v>2.9166666666666667E-2</v>
      </c>
      <c r="J677" s="1371">
        <v>30042</v>
      </c>
    </row>
    <row r="678" spans="1:10" x14ac:dyDescent="0.45">
      <c r="A678" s="1370">
        <v>17</v>
      </c>
      <c r="B678" s="1371">
        <v>30072</v>
      </c>
      <c r="C678" s="1370" t="s">
        <v>7149</v>
      </c>
      <c r="F678" s="1372">
        <v>-2.8799999999999999E-2</v>
      </c>
      <c r="H678" s="1382">
        <v>1.2095833333333332E-2</v>
      </c>
      <c r="I678" s="1373">
        <f t="shared" si="10"/>
        <v>-4.0895833333333333E-2</v>
      </c>
      <c r="J678" s="1371">
        <v>30072</v>
      </c>
    </row>
    <row r="679" spans="1:10" x14ac:dyDescent="0.45">
      <c r="A679" s="1370">
        <v>17</v>
      </c>
      <c r="B679" s="1371">
        <v>30103</v>
      </c>
      <c r="C679" s="1370" t="s">
        <v>7149</v>
      </c>
      <c r="F679" s="1372">
        <v>-1.7399999999999999E-2</v>
      </c>
      <c r="H679" s="1382">
        <v>1.2529166666666668E-2</v>
      </c>
      <c r="I679" s="1373">
        <f t="shared" si="10"/>
        <v>-2.9929166666666666E-2</v>
      </c>
      <c r="J679" s="1371">
        <v>30103</v>
      </c>
    </row>
    <row r="680" spans="1:10" x14ac:dyDescent="0.45">
      <c r="A680" s="1370">
        <v>17</v>
      </c>
      <c r="B680" s="1371">
        <v>30133</v>
      </c>
      <c r="C680" s="1370" t="s">
        <v>7149</v>
      </c>
      <c r="F680" s="1372">
        <v>-2.1499999999999998E-2</v>
      </c>
      <c r="H680" s="1382">
        <v>1.2425000000000002E-2</v>
      </c>
      <c r="I680" s="1373">
        <f t="shared" si="10"/>
        <v>-3.3924999999999997E-2</v>
      </c>
      <c r="J680" s="1371">
        <v>30133</v>
      </c>
    </row>
    <row r="681" spans="1:10" x14ac:dyDescent="0.45">
      <c r="A681" s="1370">
        <v>17</v>
      </c>
      <c r="B681" s="1371">
        <v>30164</v>
      </c>
      <c r="C681" s="1370" t="s">
        <v>7149</v>
      </c>
      <c r="F681" s="1372">
        <v>0.12670000000000001</v>
      </c>
      <c r="H681" s="1382">
        <v>1.1745833333333336E-2</v>
      </c>
      <c r="I681" s="1373">
        <f t="shared" si="10"/>
        <v>0.11495416666666668</v>
      </c>
      <c r="J681" s="1371">
        <v>30164</v>
      </c>
    </row>
    <row r="682" spans="1:10" x14ac:dyDescent="0.45">
      <c r="A682" s="1370">
        <v>17</v>
      </c>
      <c r="B682" s="1371">
        <v>30195</v>
      </c>
      <c r="C682" s="1370" t="s">
        <v>7149</v>
      </c>
      <c r="F682" s="1372">
        <v>1.0999999999999999E-2</v>
      </c>
      <c r="H682" s="1382">
        <v>1.1108333333333333E-2</v>
      </c>
      <c r="I682" s="1373">
        <f t="shared" si="10"/>
        <v>-1.0833333333333355E-4</v>
      </c>
      <c r="J682" s="1371">
        <v>30195</v>
      </c>
    </row>
    <row r="683" spans="1:10" x14ac:dyDescent="0.45">
      <c r="A683" s="1370">
        <v>17</v>
      </c>
      <c r="B683" s="1371">
        <v>30225</v>
      </c>
      <c r="C683" s="1370" t="s">
        <v>7149</v>
      </c>
      <c r="F683" s="1372">
        <v>0.11260000000000001</v>
      </c>
      <c r="H683" s="1382">
        <v>1.0454166666666667E-2</v>
      </c>
      <c r="I683" s="1373">
        <f t="shared" si="10"/>
        <v>0.10214583333333334</v>
      </c>
      <c r="J683" s="1371">
        <v>30225</v>
      </c>
    </row>
    <row r="684" spans="1:10" x14ac:dyDescent="0.45">
      <c r="A684" s="1370">
        <v>17</v>
      </c>
      <c r="B684" s="1371">
        <v>30256</v>
      </c>
      <c r="C684" s="1370" t="s">
        <v>7149</v>
      </c>
      <c r="F684" s="1372">
        <v>4.3799999999999999E-2</v>
      </c>
      <c r="H684" s="1382">
        <v>1.0079166666666665E-2</v>
      </c>
      <c r="I684" s="1373">
        <f t="shared" si="10"/>
        <v>3.3720833333333332E-2</v>
      </c>
      <c r="J684" s="1371">
        <v>30256</v>
      </c>
    </row>
    <row r="685" spans="1:10" x14ac:dyDescent="0.45">
      <c r="A685" s="1370">
        <v>17</v>
      </c>
      <c r="B685" s="1371">
        <v>30286</v>
      </c>
      <c r="C685" s="1370" t="s">
        <v>7149</v>
      </c>
      <c r="F685" s="1372">
        <v>1.7299999999999999E-2</v>
      </c>
      <c r="H685" s="1382">
        <v>1.01125E-2</v>
      </c>
      <c r="I685" s="1373">
        <f t="shared" si="10"/>
        <v>7.1874999999999994E-3</v>
      </c>
      <c r="J685" s="1371">
        <v>30286</v>
      </c>
    </row>
    <row r="686" spans="1:10" x14ac:dyDescent="0.45">
      <c r="A686" s="1370">
        <v>17</v>
      </c>
      <c r="B686" s="1371">
        <v>30317</v>
      </c>
      <c r="C686" s="1370" t="s">
        <v>7149</v>
      </c>
      <c r="F686" s="1372">
        <v>3.4799999999999998E-2</v>
      </c>
      <c r="H686" s="1382">
        <v>1.0058333333333334E-2</v>
      </c>
      <c r="I686" s="1373">
        <f t="shared" si="10"/>
        <v>2.4741666666666662E-2</v>
      </c>
      <c r="J686" s="1371">
        <v>30317</v>
      </c>
    </row>
    <row r="687" spans="1:10" x14ac:dyDescent="0.45">
      <c r="A687" s="1370">
        <v>17</v>
      </c>
      <c r="B687" s="1371">
        <v>30348</v>
      </c>
      <c r="C687" s="1370" t="s">
        <v>7149</v>
      </c>
      <c r="F687" s="1372">
        <v>2.5999999999999999E-2</v>
      </c>
      <c r="H687" s="1382">
        <v>1.0245833333333332E-2</v>
      </c>
      <c r="I687" s="1373">
        <f t="shared" si="10"/>
        <v>1.5754166666666666E-2</v>
      </c>
      <c r="J687" s="1371">
        <v>30348</v>
      </c>
    </row>
    <row r="688" spans="1:10" x14ac:dyDescent="0.45">
      <c r="A688" s="1370">
        <v>17</v>
      </c>
      <c r="B688" s="1371">
        <v>30376</v>
      </c>
      <c r="C688" s="1370" t="s">
        <v>7149</v>
      </c>
      <c r="F688" s="1372">
        <v>3.6499999999999998E-2</v>
      </c>
      <c r="H688" s="1382">
        <v>1.0020833333333333E-2</v>
      </c>
      <c r="I688" s="1373">
        <f t="shared" si="10"/>
        <v>2.6479166666666665E-2</v>
      </c>
      <c r="J688" s="1371">
        <v>30376</v>
      </c>
    </row>
    <row r="689" spans="1:10" x14ac:dyDescent="0.45">
      <c r="A689" s="1370">
        <v>17</v>
      </c>
      <c r="B689" s="1371">
        <v>30407</v>
      </c>
      <c r="C689" s="1370" t="s">
        <v>7149</v>
      </c>
      <c r="F689" s="1372">
        <v>7.5800000000000006E-2</v>
      </c>
      <c r="H689" s="1382">
        <v>9.8208333333333342E-3</v>
      </c>
      <c r="I689" s="1373">
        <f t="shared" si="10"/>
        <v>6.5979166666666672E-2</v>
      </c>
      <c r="J689" s="1371">
        <v>30407</v>
      </c>
    </row>
    <row r="690" spans="1:10" x14ac:dyDescent="0.45">
      <c r="A690" s="1370">
        <v>17</v>
      </c>
      <c r="B690" s="1371">
        <v>30437</v>
      </c>
      <c r="C690" s="1370" t="s">
        <v>7149</v>
      </c>
      <c r="F690" s="1372">
        <v>-5.1999999999999998E-3</v>
      </c>
      <c r="H690" s="1382">
        <v>9.7541666666666662E-3</v>
      </c>
      <c r="I690" s="1373">
        <f t="shared" si="10"/>
        <v>-1.4954166666666666E-2</v>
      </c>
      <c r="J690" s="1371">
        <v>30437</v>
      </c>
    </row>
    <row r="691" spans="1:10" x14ac:dyDescent="0.45">
      <c r="A691" s="1370">
        <v>17</v>
      </c>
      <c r="B691" s="1371">
        <v>30468</v>
      </c>
      <c r="C691" s="1370" t="s">
        <v>7149</v>
      </c>
      <c r="F691" s="1372">
        <v>3.8199999999999998E-2</v>
      </c>
      <c r="H691" s="1382">
        <v>9.9541666666666667E-3</v>
      </c>
      <c r="I691" s="1373">
        <f t="shared" si="10"/>
        <v>2.8245833333333331E-2</v>
      </c>
      <c r="J691" s="1371">
        <v>30468</v>
      </c>
    </row>
    <row r="692" spans="1:10" x14ac:dyDescent="0.45">
      <c r="A692" s="1370">
        <v>17</v>
      </c>
      <c r="B692" s="1371">
        <v>30498</v>
      </c>
      <c r="C692" s="1370" t="s">
        <v>7149</v>
      </c>
      <c r="F692" s="1372">
        <v>-3.1300000000000001E-2</v>
      </c>
      <c r="H692" s="1382">
        <v>1.0225E-2</v>
      </c>
      <c r="I692" s="1373">
        <f t="shared" si="10"/>
        <v>-4.1524999999999999E-2</v>
      </c>
      <c r="J692" s="1371">
        <v>30498</v>
      </c>
    </row>
    <row r="693" spans="1:10" x14ac:dyDescent="0.45">
      <c r="A693" s="1370">
        <v>17</v>
      </c>
      <c r="B693" s="1371">
        <v>30529</v>
      </c>
      <c r="C693" s="1370" t="s">
        <v>7149</v>
      </c>
      <c r="F693" s="1372">
        <v>1.7000000000000001E-2</v>
      </c>
      <c r="H693" s="1382">
        <v>1.0512500000000001E-2</v>
      </c>
      <c r="I693" s="1373">
        <f t="shared" si="10"/>
        <v>6.4875000000000002E-3</v>
      </c>
      <c r="J693" s="1371">
        <v>30529</v>
      </c>
    </row>
    <row r="694" spans="1:10" x14ac:dyDescent="0.45">
      <c r="A694" s="1370">
        <v>17</v>
      </c>
      <c r="B694" s="1371">
        <v>30560</v>
      </c>
      <c r="C694" s="1370" t="s">
        <v>7149</v>
      </c>
      <c r="F694" s="1372">
        <v>1.3599999999999999E-2</v>
      </c>
      <c r="H694" s="1382">
        <v>1.0412499999999998E-2</v>
      </c>
      <c r="I694" s="1373">
        <f t="shared" si="10"/>
        <v>3.1875000000000011E-3</v>
      </c>
      <c r="J694" s="1371">
        <v>30560</v>
      </c>
    </row>
    <row r="695" spans="1:10" x14ac:dyDescent="0.45">
      <c r="A695" s="1370">
        <v>17</v>
      </c>
      <c r="B695" s="1371">
        <v>30590</v>
      </c>
      <c r="C695" s="1370" t="s">
        <v>7149</v>
      </c>
      <c r="F695" s="1372">
        <v>-1.34E-2</v>
      </c>
      <c r="H695" s="1382">
        <v>1.0308333333333333E-2</v>
      </c>
      <c r="I695" s="1373">
        <f t="shared" si="10"/>
        <v>-2.3708333333333331E-2</v>
      </c>
      <c r="J695" s="1371">
        <v>30590</v>
      </c>
    </row>
    <row r="696" spans="1:10" x14ac:dyDescent="0.45">
      <c r="A696" s="1370">
        <v>17</v>
      </c>
      <c r="B696" s="1371">
        <v>30621</v>
      </c>
      <c r="C696" s="1370" t="s">
        <v>7149</v>
      </c>
      <c r="F696" s="1372">
        <v>2.3300000000000001E-2</v>
      </c>
      <c r="H696" s="1382">
        <v>1.0425E-2</v>
      </c>
      <c r="I696" s="1373">
        <f t="shared" si="10"/>
        <v>1.2875000000000001E-2</v>
      </c>
      <c r="J696" s="1371">
        <v>30621</v>
      </c>
    </row>
    <row r="697" spans="1:10" x14ac:dyDescent="0.45">
      <c r="A697" s="1370">
        <v>17</v>
      </c>
      <c r="B697" s="1371">
        <v>30651</v>
      </c>
      <c r="C697" s="1370" t="s">
        <v>7149</v>
      </c>
      <c r="F697" s="1372">
        <v>-6.1000000000000004E-3</v>
      </c>
      <c r="H697" s="1382">
        <v>1.0554166666666667E-2</v>
      </c>
      <c r="I697" s="1373">
        <f t="shared" si="10"/>
        <v>-1.6654166666666668E-2</v>
      </c>
      <c r="J697" s="1371">
        <v>30651</v>
      </c>
    </row>
    <row r="698" spans="1:10" x14ac:dyDescent="0.45">
      <c r="A698" s="1370">
        <v>17</v>
      </c>
      <c r="B698" s="1371">
        <v>30682</v>
      </c>
      <c r="C698" s="1370" t="s">
        <v>7149</v>
      </c>
      <c r="F698" s="1372">
        <v>-6.4999999999999997E-3</v>
      </c>
      <c r="H698" s="1382">
        <v>1.0379166666666668E-2</v>
      </c>
      <c r="I698" s="1373">
        <f t="shared" si="10"/>
        <v>-1.6879166666666667E-2</v>
      </c>
      <c r="J698" s="1371">
        <v>30682</v>
      </c>
    </row>
    <row r="699" spans="1:10" x14ac:dyDescent="0.45">
      <c r="A699" s="1370">
        <v>17</v>
      </c>
      <c r="B699" s="1371">
        <v>30713</v>
      </c>
      <c r="C699" s="1370" t="s">
        <v>7149</v>
      </c>
      <c r="F699" s="1372">
        <v>-3.2800000000000003E-2</v>
      </c>
      <c r="H699" s="1382">
        <v>1.0324999999999999E-2</v>
      </c>
      <c r="I699" s="1373">
        <f t="shared" si="10"/>
        <v>-4.3125000000000004E-2</v>
      </c>
      <c r="J699" s="1371">
        <v>30713</v>
      </c>
    </row>
    <row r="700" spans="1:10" x14ac:dyDescent="0.45">
      <c r="A700" s="1370">
        <v>17</v>
      </c>
      <c r="B700" s="1371">
        <v>30742</v>
      </c>
      <c r="C700" s="1370" t="s">
        <v>7149</v>
      </c>
      <c r="F700" s="1372">
        <v>1.7100000000000001E-2</v>
      </c>
      <c r="H700" s="1382">
        <v>1.0745833333333335E-2</v>
      </c>
      <c r="I700" s="1373">
        <f t="shared" si="10"/>
        <v>6.3541666666666659E-3</v>
      </c>
      <c r="J700" s="1371">
        <v>30742</v>
      </c>
    </row>
    <row r="701" spans="1:10" x14ac:dyDescent="0.45">
      <c r="A701" s="1370">
        <v>17</v>
      </c>
      <c r="B701" s="1371">
        <v>30773</v>
      </c>
      <c r="C701" s="1370" t="s">
        <v>7149</v>
      </c>
      <c r="F701" s="1372">
        <v>6.8999999999999999E-3</v>
      </c>
      <c r="H701" s="1382">
        <v>1.0954166666666668E-2</v>
      </c>
      <c r="I701" s="1373">
        <f t="shared" si="10"/>
        <v>-4.0541666666666677E-3</v>
      </c>
      <c r="J701" s="1371">
        <v>30773</v>
      </c>
    </row>
    <row r="702" spans="1:10" x14ac:dyDescent="0.45">
      <c r="A702" s="1370">
        <v>17</v>
      </c>
      <c r="B702" s="1371">
        <v>30803</v>
      </c>
      <c r="C702" s="1370" t="s">
        <v>7149</v>
      </c>
      <c r="F702" s="1372">
        <v>-5.3400000000000003E-2</v>
      </c>
      <c r="H702" s="1382">
        <v>1.1408333333333333E-2</v>
      </c>
      <c r="I702" s="1373">
        <f t="shared" si="10"/>
        <v>-6.4808333333333329E-2</v>
      </c>
      <c r="J702" s="1371">
        <v>30803</v>
      </c>
    </row>
    <row r="703" spans="1:10" x14ac:dyDescent="0.45">
      <c r="A703" s="1370">
        <v>17</v>
      </c>
      <c r="B703" s="1371">
        <v>30834</v>
      </c>
      <c r="C703" s="1370" t="s">
        <v>7149</v>
      </c>
      <c r="F703" s="1372">
        <v>2.2100000000000002E-2</v>
      </c>
      <c r="H703" s="1382">
        <v>1.1616666666666666E-2</v>
      </c>
      <c r="I703" s="1373">
        <f t="shared" si="10"/>
        <v>1.0483333333333336E-2</v>
      </c>
      <c r="J703" s="1371">
        <v>30834</v>
      </c>
    </row>
    <row r="704" spans="1:10" x14ac:dyDescent="0.45">
      <c r="A704" s="1370">
        <v>17</v>
      </c>
      <c r="B704" s="1371">
        <v>30864</v>
      </c>
      <c r="C704" s="1370" t="s">
        <v>7149</v>
      </c>
      <c r="F704" s="1372">
        <v>-1.43E-2</v>
      </c>
      <c r="H704" s="1382">
        <v>1.1483333333333332E-2</v>
      </c>
      <c r="I704" s="1373">
        <f t="shared" si="10"/>
        <v>-2.5783333333333332E-2</v>
      </c>
      <c r="J704" s="1371">
        <v>30864</v>
      </c>
    </row>
    <row r="705" spans="1:10" x14ac:dyDescent="0.45">
      <c r="A705" s="1370">
        <v>17</v>
      </c>
      <c r="B705" s="1371">
        <v>30895</v>
      </c>
      <c r="C705" s="1370" t="s">
        <v>7149</v>
      </c>
      <c r="F705" s="1372">
        <v>0.1125</v>
      </c>
      <c r="H705" s="1382">
        <v>1.0975000000000002E-2</v>
      </c>
      <c r="I705" s="1373">
        <f t="shared" si="10"/>
        <v>0.101525</v>
      </c>
      <c r="J705" s="1371">
        <v>30895</v>
      </c>
    </row>
    <row r="706" spans="1:10" x14ac:dyDescent="0.45">
      <c r="A706" s="1370">
        <v>17</v>
      </c>
      <c r="B706" s="1371">
        <v>30926</v>
      </c>
      <c r="C706" s="1370" t="s">
        <v>7149</v>
      </c>
      <c r="F706" s="1372">
        <v>2.0000000000000001E-4</v>
      </c>
      <c r="H706" s="1382">
        <v>1.0804166666666665E-2</v>
      </c>
      <c r="I706" s="1373">
        <f t="shared" si="10"/>
        <v>-1.0604166666666665E-2</v>
      </c>
      <c r="J706" s="1371">
        <v>30926</v>
      </c>
    </row>
    <row r="707" spans="1:10" x14ac:dyDescent="0.45">
      <c r="A707" s="1370">
        <v>17</v>
      </c>
      <c r="B707" s="1371">
        <v>30956</v>
      </c>
      <c r="C707" s="1370" t="s">
        <v>7149</v>
      </c>
      <c r="F707" s="1372">
        <v>2.5999999999999999E-3</v>
      </c>
      <c r="H707" s="1382">
        <v>1.0725E-2</v>
      </c>
      <c r="I707" s="1373">
        <f t="shared" si="10"/>
        <v>-8.1250000000000003E-3</v>
      </c>
      <c r="J707" s="1371">
        <v>30956</v>
      </c>
    </row>
    <row r="708" spans="1:10" x14ac:dyDescent="0.45">
      <c r="A708" s="1370">
        <v>17</v>
      </c>
      <c r="B708" s="1371">
        <v>30987</v>
      </c>
      <c r="C708" s="1370" t="s">
        <v>7149</v>
      </c>
      <c r="F708" s="1372">
        <v>-1.01E-2</v>
      </c>
      <c r="H708" s="1382">
        <v>1.0395833333333333E-2</v>
      </c>
      <c r="I708" s="1373">
        <f t="shared" si="10"/>
        <v>-2.0495833333333331E-2</v>
      </c>
      <c r="J708" s="1371">
        <v>30987</v>
      </c>
    </row>
    <row r="709" spans="1:10" x14ac:dyDescent="0.45">
      <c r="A709" s="1370">
        <v>17</v>
      </c>
      <c r="B709" s="1371">
        <v>31017</v>
      </c>
      <c r="C709" s="1370" t="s">
        <v>7149</v>
      </c>
      <c r="F709" s="1372">
        <v>2.53E-2</v>
      </c>
      <c r="H709" s="1382">
        <v>1.0262500000000001E-2</v>
      </c>
      <c r="I709" s="1373">
        <f t="shared" si="10"/>
        <v>1.5037499999999999E-2</v>
      </c>
      <c r="J709" s="1371">
        <v>31017</v>
      </c>
    </row>
    <row r="710" spans="1:10" x14ac:dyDescent="0.45">
      <c r="A710" s="1370">
        <v>17</v>
      </c>
      <c r="B710" s="1371">
        <v>31048</v>
      </c>
      <c r="C710" s="1370" t="s">
        <v>7149</v>
      </c>
      <c r="F710" s="1372">
        <v>7.6799999999999993E-2</v>
      </c>
      <c r="H710" s="1382">
        <v>1.0212499999999999E-2</v>
      </c>
      <c r="I710" s="1373">
        <f t="shared" si="10"/>
        <v>6.6587499999999994E-2</v>
      </c>
      <c r="J710" s="1371">
        <v>31048</v>
      </c>
    </row>
    <row r="711" spans="1:10" x14ac:dyDescent="0.45">
      <c r="A711" s="1370">
        <v>17</v>
      </c>
      <c r="B711" s="1371">
        <v>31079</v>
      </c>
      <c r="C711" s="1370" t="s">
        <v>7149</v>
      </c>
      <c r="F711" s="1372">
        <v>1.37E-2</v>
      </c>
      <c r="H711" s="1382">
        <v>1.0258333333333335E-2</v>
      </c>
      <c r="I711" s="1373">
        <f t="shared" si="10"/>
        <v>3.4416666666666658E-3</v>
      </c>
      <c r="J711" s="1371">
        <v>31079</v>
      </c>
    </row>
    <row r="712" spans="1:10" x14ac:dyDescent="0.45">
      <c r="A712" s="1370">
        <v>17</v>
      </c>
      <c r="B712" s="1371">
        <v>31107</v>
      </c>
      <c r="C712" s="1370" t="s">
        <v>7149</v>
      </c>
      <c r="F712" s="1372">
        <v>1.8E-3</v>
      </c>
      <c r="H712" s="1382">
        <v>1.06125E-2</v>
      </c>
      <c r="I712" s="1373">
        <f t="shared" si="10"/>
        <v>-8.8125000000000009E-3</v>
      </c>
      <c r="J712" s="1371">
        <v>31107</v>
      </c>
    </row>
    <row r="713" spans="1:10" x14ac:dyDescent="0.45">
      <c r="A713" s="1370">
        <v>17</v>
      </c>
      <c r="B713" s="1371">
        <v>31138</v>
      </c>
      <c r="C713" s="1370" t="s">
        <v>7149</v>
      </c>
      <c r="F713" s="1372">
        <v>-3.2000000000000002E-3</v>
      </c>
      <c r="H713" s="1382">
        <v>1.0383333333333333E-2</v>
      </c>
      <c r="I713" s="1373">
        <f t="shared" si="10"/>
        <v>-1.3583333333333333E-2</v>
      </c>
      <c r="J713" s="1371">
        <v>31138</v>
      </c>
    </row>
    <row r="714" spans="1:10" x14ac:dyDescent="0.45">
      <c r="A714" s="1370">
        <v>17</v>
      </c>
      <c r="B714" s="1371">
        <v>31168</v>
      </c>
      <c r="C714" s="1370" t="s">
        <v>7149</v>
      </c>
      <c r="F714" s="1372">
        <v>6.1499999999999999E-2</v>
      </c>
      <c r="H714" s="1382">
        <v>1.0008333333333334E-2</v>
      </c>
      <c r="I714" s="1373">
        <f t="shared" si="10"/>
        <v>5.1491666666666665E-2</v>
      </c>
      <c r="J714" s="1371">
        <v>31168</v>
      </c>
    </row>
    <row r="715" spans="1:10" x14ac:dyDescent="0.45">
      <c r="A715" s="1370">
        <v>17</v>
      </c>
      <c r="B715" s="1371">
        <v>31199</v>
      </c>
      <c r="C715" s="1370" t="s">
        <v>7149</v>
      </c>
      <c r="F715" s="1372">
        <v>1.5900000000000001E-2</v>
      </c>
      <c r="H715" s="1382">
        <v>9.3333333333333341E-3</v>
      </c>
      <c r="I715" s="1373">
        <f t="shared" si="10"/>
        <v>6.5666666666666668E-3</v>
      </c>
      <c r="J715" s="1371">
        <v>31199</v>
      </c>
    </row>
    <row r="716" spans="1:10" x14ac:dyDescent="0.45">
      <c r="A716" s="1370">
        <v>17</v>
      </c>
      <c r="B716" s="1371">
        <v>31229</v>
      </c>
      <c r="C716" s="1370" t="s">
        <v>7149</v>
      </c>
      <c r="F716" s="1372">
        <v>-2.5999999999999999E-3</v>
      </c>
      <c r="H716" s="1382">
        <v>9.3291666666666662E-3</v>
      </c>
      <c r="I716" s="1373">
        <f t="shared" si="10"/>
        <v>-1.1929166666666666E-2</v>
      </c>
      <c r="J716" s="1371">
        <v>31229</v>
      </c>
    </row>
    <row r="717" spans="1:10" x14ac:dyDescent="0.45">
      <c r="A717" s="1370">
        <v>17</v>
      </c>
      <c r="B717" s="1371">
        <v>31260</v>
      </c>
      <c r="C717" s="1370" t="s">
        <v>7149</v>
      </c>
      <c r="F717" s="1372">
        <v>-6.1000000000000004E-3</v>
      </c>
      <c r="H717" s="1382">
        <v>9.3833333333333338E-3</v>
      </c>
      <c r="I717" s="1373">
        <f t="shared" si="10"/>
        <v>-1.5483333333333335E-2</v>
      </c>
      <c r="J717" s="1371">
        <v>31260</v>
      </c>
    </row>
    <row r="718" spans="1:10" x14ac:dyDescent="0.45">
      <c r="A718" s="1370">
        <v>17</v>
      </c>
      <c r="B718" s="1371">
        <v>31291</v>
      </c>
      <c r="C718" s="1370" t="s">
        <v>7149</v>
      </c>
      <c r="F718" s="1372">
        <v>-3.2099999999999997E-2</v>
      </c>
      <c r="H718" s="1382">
        <v>9.3875E-3</v>
      </c>
      <c r="I718" s="1373">
        <f t="shared" si="10"/>
        <v>-4.1487499999999997E-2</v>
      </c>
      <c r="J718" s="1371">
        <v>31291</v>
      </c>
    </row>
    <row r="719" spans="1:10" x14ac:dyDescent="0.45">
      <c r="A719" s="1370">
        <v>17</v>
      </c>
      <c r="B719" s="1371">
        <v>31321</v>
      </c>
      <c r="C719" s="1370" t="s">
        <v>7149</v>
      </c>
      <c r="F719" s="1372">
        <v>4.4699999999999997E-2</v>
      </c>
      <c r="H719" s="1382">
        <v>9.362500000000001E-3</v>
      </c>
      <c r="I719" s="1373">
        <f t="shared" si="10"/>
        <v>3.5337499999999994E-2</v>
      </c>
      <c r="J719" s="1371">
        <v>31321</v>
      </c>
    </row>
    <row r="720" spans="1:10" x14ac:dyDescent="0.45">
      <c r="A720" s="1370">
        <v>17</v>
      </c>
      <c r="B720" s="1371">
        <v>31352</v>
      </c>
      <c r="C720" s="1370" t="s">
        <v>7149</v>
      </c>
      <c r="F720" s="1372">
        <v>7.1599999999999997E-2</v>
      </c>
      <c r="H720" s="1382">
        <v>9.0083333333333335E-3</v>
      </c>
      <c r="I720" s="1373">
        <f t="shared" si="10"/>
        <v>6.2591666666666657E-2</v>
      </c>
      <c r="J720" s="1371">
        <v>31352</v>
      </c>
    </row>
    <row r="721" spans="1:10" x14ac:dyDescent="0.45">
      <c r="A721" s="1370">
        <v>17</v>
      </c>
      <c r="B721" s="1371">
        <v>31382</v>
      </c>
      <c r="C721" s="1370" t="s">
        <v>7149</v>
      </c>
      <c r="F721" s="1372">
        <v>4.6699999999999998E-2</v>
      </c>
      <c r="H721" s="1382">
        <v>8.6625000000000001E-3</v>
      </c>
      <c r="I721" s="1373">
        <f t="shared" si="10"/>
        <v>3.8037500000000002E-2</v>
      </c>
      <c r="J721" s="1371">
        <v>31382</v>
      </c>
    </row>
    <row r="722" spans="1:10" x14ac:dyDescent="0.45">
      <c r="A722" s="1370">
        <v>17</v>
      </c>
      <c r="B722" s="1371">
        <v>31413</v>
      </c>
      <c r="C722" s="1370" t="s">
        <v>7149</v>
      </c>
      <c r="F722" s="1372">
        <v>4.4000000000000003E-3</v>
      </c>
      <c r="H722" s="1382">
        <v>8.5458333333333341E-3</v>
      </c>
      <c r="I722" s="1373">
        <f t="shared" si="10"/>
        <v>-4.1458333333333338E-3</v>
      </c>
      <c r="J722" s="1371">
        <v>31413</v>
      </c>
    </row>
    <row r="723" spans="1:10" x14ac:dyDescent="0.45">
      <c r="A723" s="1370">
        <v>17</v>
      </c>
      <c r="B723" s="1371">
        <v>31444</v>
      </c>
      <c r="C723" s="1370" t="s">
        <v>7149</v>
      </c>
      <c r="F723" s="1372">
        <v>7.6100000000000001E-2</v>
      </c>
      <c r="H723" s="1382">
        <v>8.2500000000000004E-3</v>
      </c>
      <c r="I723" s="1373">
        <f t="shared" si="10"/>
        <v>6.7849999999999994E-2</v>
      </c>
      <c r="J723" s="1371">
        <v>31444</v>
      </c>
    </row>
    <row r="724" spans="1:10" x14ac:dyDescent="0.45">
      <c r="A724" s="1370">
        <v>17</v>
      </c>
      <c r="B724" s="1371">
        <v>31472</v>
      </c>
      <c r="C724" s="1370" t="s">
        <v>7149</v>
      </c>
      <c r="F724" s="1372">
        <v>5.5399999999999998E-2</v>
      </c>
      <c r="H724" s="1382">
        <v>7.7041666666666673E-3</v>
      </c>
      <c r="I724" s="1373">
        <f t="shared" si="10"/>
        <v>4.7695833333333333E-2</v>
      </c>
      <c r="J724" s="1371">
        <v>31472</v>
      </c>
    </row>
    <row r="725" spans="1:10" x14ac:dyDescent="0.45">
      <c r="A725" s="1370">
        <v>17</v>
      </c>
      <c r="B725" s="1371">
        <v>31503</v>
      </c>
      <c r="C725" s="1370" t="s">
        <v>7149</v>
      </c>
      <c r="F725" s="1372">
        <v>-1.24E-2</v>
      </c>
      <c r="H725" s="1382">
        <v>7.4999999999999997E-3</v>
      </c>
      <c r="I725" s="1373">
        <f t="shared" si="10"/>
        <v>-1.9900000000000001E-2</v>
      </c>
      <c r="J725" s="1371">
        <v>31503</v>
      </c>
    </row>
    <row r="726" spans="1:10" x14ac:dyDescent="0.45">
      <c r="A726" s="1370">
        <v>17</v>
      </c>
      <c r="B726" s="1371">
        <v>31533</v>
      </c>
      <c r="C726" s="1370" t="s">
        <v>7149</v>
      </c>
      <c r="F726" s="1372">
        <v>5.4899999999999997E-2</v>
      </c>
      <c r="H726" s="1382">
        <v>7.7166666666666659E-3</v>
      </c>
      <c r="I726" s="1373">
        <f t="shared" si="10"/>
        <v>4.7183333333333334E-2</v>
      </c>
      <c r="J726" s="1371">
        <v>31533</v>
      </c>
    </row>
    <row r="727" spans="1:10" x14ac:dyDescent="0.45">
      <c r="A727" s="1370">
        <v>17</v>
      </c>
      <c r="B727" s="1371">
        <v>31564</v>
      </c>
      <c r="C727" s="1370" t="s">
        <v>7149</v>
      </c>
      <c r="F727" s="1372">
        <v>1.66E-2</v>
      </c>
      <c r="H727" s="1382">
        <v>7.7583333333333341E-3</v>
      </c>
      <c r="I727" s="1373">
        <f t="shared" si="10"/>
        <v>8.8416666666666661E-3</v>
      </c>
      <c r="J727" s="1371">
        <v>31564</v>
      </c>
    </row>
    <row r="728" spans="1:10" x14ac:dyDescent="0.45">
      <c r="A728" s="1370">
        <v>17</v>
      </c>
      <c r="B728" s="1371">
        <v>31594</v>
      </c>
      <c r="C728" s="1370" t="s">
        <v>7149</v>
      </c>
      <c r="F728" s="1372">
        <v>-5.6899999999999999E-2</v>
      </c>
      <c r="H728" s="1382">
        <v>7.5666666666666669E-3</v>
      </c>
      <c r="I728" s="1373">
        <f t="shared" si="10"/>
        <v>-6.4466666666666672E-2</v>
      </c>
      <c r="J728" s="1371">
        <v>31594</v>
      </c>
    </row>
    <row r="729" spans="1:10" x14ac:dyDescent="0.45">
      <c r="A729" s="1370">
        <v>17</v>
      </c>
      <c r="B729" s="1371">
        <v>31625</v>
      </c>
      <c r="C729" s="1370" t="s">
        <v>7149</v>
      </c>
      <c r="F729" s="1372">
        <v>7.4800000000000005E-2</v>
      </c>
      <c r="H729" s="1382">
        <v>7.4750000000000007E-3</v>
      </c>
      <c r="I729" s="1373">
        <f t="shared" si="10"/>
        <v>6.732500000000001E-2</v>
      </c>
      <c r="J729" s="1371">
        <v>31625</v>
      </c>
    </row>
    <row r="730" spans="1:10" x14ac:dyDescent="0.45">
      <c r="A730" s="1370">
        <v>17</v>
      </c>
      <c r="B730" s="1371">
        <v>31656</v>
      </c>
      <c r="C730" s="1370" t="s">
        <v>7149</v>
      </c>
      <c r="F730" s="1372">
        <v>-8.2199999999999995E-2</v>
      </c>
      <c r="H730" s="1382">
        <v>7.6041666666666662E-3</v>
      </c>
      <c r="I730" s="1373">
        <f t="shared" ref="I730:I793" si="11">F730-H730</f>
        <v>-8.9804166666666657E-2</v>
      </c>
      <c r="J730" s="1371">
        <v>31656</v>
      </c>
    </row>
    <row r="731" spans="1:10" x14ac:dyDescent="0.45">
      <c r="A731" s="1370">
        <v>17</v>
      </c>
      <c r="B731" s="1371">
        <v>31686</v>
      </c>
      <c r="C731" s="1370" t="s">
        <v>7149</v>
      </c>
      <c r="F731" s="1372">
        <v>5.5599999999999997E-2</v>
      </c>
      <c r="H731" s="1382">
        <v>7.5791666666666655E-3</v>
      </c>
      <c r="I731" s="1373">
        <f t="shared" si="11"/>
        <v>4.8020833333333332E-2</v>
      </c>
      <c r="J731" s="1371">
        <v>31686</v>
      </c>
    </row>
    <row r="732" spans="1:10" x14ac:dyDescent="0.45">
      <c r="A732" s="1370">
        <v>17</v>
      </c>
      <c r="B732" s="1371">
        <v>31717</v>
      </c>
      <c r="C732" s="1370" t="s">
        <v>7149</v>
      </c>
      <c r="F732" s="1372">
        <v>2.5600000000000001E-2</v>
      </c>
      <c r="H732" s="1382">
        <v>7.4499999999999992E-3</v>
      </c>
      <c r="I732" s="1373">
        <f t="shared" si="11"/>
        <v>1.8150000000000003E-2</v>
      </c>
      <c r="J732" s="1371">
        <v>31717</v>
      </c>
    </row>
    <row r="733" spans="1:10" x14ac:dyDescent="0.45">
      <c r="A733" s="1370">
        <v>17</v>
      </c>
      <c r="B733" s="1371">
        <v>31747</v>
      </c>
      <c r="C733" s="1370" t="s">
        <v>7149</v>
      </c>
      <c r="F733" s="1372">
        <v>-2.64E-2</v>
      </c>
      <c r="H733" s="1382">
        <v>7.2958333333333321E-3</v>
      </c>
      <c r="I733" s="1373">
        <f t="shared" si="11"/>
        <v>-3.3695833333333335E-2</v>
      </c>
      <c r="J733" s="1371">
        <v>31747</v>
      </c>
    </row>
    <row r="734" spans="1:10" x14ac:dyDescent="0.45">
      <c r="A734" s="1370">
        <v>17</v>
      </c>
      <c r="B734" s="1371">
        <v>31778</v>
      </c>
      <c r="C734" s="1370" t="s">
        <v>7149</v>
      </c>
      <c r="F734" s="1372">
        <v>0.1343</v>
      </c>
      <c r="H734" s="1382">
        <v>7.175E-3</v>
      </c>
      <c r="I734" s="1373">
        <f t="shared" si="11"/>
        <v>0.12712500000000002</v>
      </c>
      <c r="J734" s="1371">
        <v>31778</v>
      </c>
    </row>
    <row r="735" spans="1:10" x14ac:dyDescent="0.45">
      <c r="A735" s="1370">
        <v>17</v>
      </c>
      <c r="B735" s="1371">
        <v>31809</v>
      </c>
      <c r="C735" s="1370" t="s">
        <v>7149</v>
      </c>
      <c r="F735" s="1372">
        <v>4.1300000000000003E-2</v>
      </c>
      <c r="H735" s="1382">
        <v>7.1916666666666674E-3</v>
      </c>
      <c r="I735" s="1373">
        <f t="shared" si="11"/>
        <v>3.4108333333333338E-2</v>
      </c>
      <c r="J735" s="1371">
        <v>31809</v>
      </c>
    </row>
    <row r="736" spans="1:10" x14ac:dyDescent="0.45">
      <c r="A736" s="1370">
        <v>17</v>
      </c>
      <c r="B736" s="1371">
        <v>31837</v>
      </c>
      <c r="C736" s="1370" t="s">
        <v>7149</v>
      </c>
      <c r="F736" s="1372">
        <v>2.7199999999999998E-2</v>
      </c>
      <c r="H736" s="1382">
        <v>7.1666666666666667E-3</v>
      </c>
      <c r="I736" s="1373">
        <f t="shared" si="11"/>
        <v>2.0033333333333334E-2</v>
      </c>
      <c r="J736" s="1371">
        <v>31837</v>
      </c>
    </row>
    <row r="737" spans="1:10" x14ac:dyDescent="0.45">
      <c r="A737" s="1370">
        <v>17</v>
      </c>
      <c r="B737" s="1371">
        <v>31868</v>
      </c>
      <c r="C737" s="1370" t="s">
        <v>7149</v>
      </c>
      <c r="F737" s="1372">
        <v>-8.8000000000000005E-3</v>
      </c>
      <c r="H737" s="1382">
        <v>7.4999999999999997E-3</v>
      </c>
      <c r="I737" s="1373">
        <f t="shared" si="11"/>
        <v>-1.6300000000000002E-2</v>
      </c>
      <c r="J737" s="1371">
        <v>31868</v>
      </c>
    </row>
    <row r="738" spans="1:10" x14ac:dyDescent="0.45">
      <c r="A738" s="1370">
        <v>17</v>
      </c>
      <c r="B738" s="1371">
        <v>31898</v>
      </c>
      <c r="C738" s="1370" t="s">
        <v>7149</v>
      </c>
      <c r="F738" s="1372">
        <v>1.03E-2</v>
      </c>
      <c r="H738" s="1382">
        <v>7.8833333333333325E-3</v>
      </c>
      <c r="I738" s="1373">
        <f t="shared" si="11"/>
        <v>2.4166666666666677E-3</v>
      </c>
      <c r="J738" s="1371">
        <v>31898</v>
      </c>
    </row>
    <row r="739" spans="1:10" x14ac:dyDescent="0.45">
      <c r="A739" s="1370">
        <v>17</v>
      </c>
      <c r="B739" s="1371">
        <v>31929</v>
      </c>
      <c r="C739" s="1370" t="s">
        <v>7149</v>
      </c>
      <c r="F739" s="1372">
        <v>4.99E-2</v>
      </c>
      <c r="H739" s="1382">
        <v>7.904166666666667E-3</v>
      </c>
      <c r="I739" s="1373">
        <f t="shared" si="11"/>
        <v>4.1995833333333329E-2</v>
      </c>
      <c r="J739" s="1371">
        <v>31929</v>
      </c>
    </row>
    <row r="740" spans="1:10" x14ac:dyDescent="0.45">
      <c r="A740" s="1370">
        <v>17</v>
      </c>
      <c r="B740" s="1371">
        <v>31959</v>
      </c>
      <c r="C740" s="1370" t="s">
        <v>7149</v>
      </c>
      <c r="F740" s="1372">
        <v>4.9799999999999997E-2</v>
      </c>
      <c r="H740" s="1382">
        <v>7.9458333333333343E-3</v>
      </c>
      <c r="I740" s="1373">
        <f t="shared" si="11"/>
        <v>4.1854166666666665E-2</v>
      </c>
      <c r="J740" s="1371">
        <v>31959</v>
      </c>
    </row>
    <row r="741" spans="1:10" x14ac:dyDescent="0.45">
      <c r="A741" s="1370">
        <v>17</v>
      </c>
      <c r="B741" s="1371">
        <v>31990</v>
      </c>
      <c r="C741" s="1370" t="s">
        <v>7149</v>
      </c>
      <c r="F741" s="1372">
        <v>3.85E-2</v>
      </c>
      <c r="H741" s="1382">
        <v>8.1374999999999989E-3</v>
      </c>
      <c r="I741" s="1373">
        <f t="shared" si="11"/>
        <v>3.0362500000000001E-2</v>
      </c>
      <c r="J741" s="1371">
        <v>31990</v>
      </c>
    </row>
    <row r="742" spans="1:10" x14ac:dyDescent="0.45">
      <c r="A742" s="1370">
        <v>17</v>
      </c>
      <c r="B742" s="1371">
        <v>32021</v>
      </c>
      <c r="C742" s="1370" t="s">
        <v>7149</v>
      </c>
      <c r="F742" s="1372">
        <v>-2.1999999999999999E-2</v>
      </c>
      <c r="H742" s="1382">
        <v>8.5541666666666665E-3</v>
      </c>
      <c r="I742" s="1373">
        <f t="shared" si="11"/>
        <v>-3.0554166666666667E-2</v>
      </c>
      <c r="J742" s="1371">
        <v>32021</v>
      </c>
    </row>
    <row r="743" spans="1:10" x14ac:dyDescent="0.45">
      <c r="A743" s="1370">
        <v>17</v>
      </c>
      <c r="B743" s="1371">
        <v>32051</v>
      </c>
      <c r="C743" s="1370" t="s">
        <v>7149</v>
      </c>
      <c r="F743" s="1372">
        <v>-0.2152</v>
      </c>
      <c r="H743" s="1382">
        <v>8.8583333333333326E-3</v>
      </c>
      <c r="I743" s="1373">
        <f t="shared" si="11"/>
        <v>-0.22405833333333333</v>
      </c>
      <c r="J743" s="1371">
        <v>32051</v>
      </c>
    </row>
    <row r="744" spans="1:10" x14ac:dyDescent="0.45">
      <c r="A744" s="1370">
        <v>17</v>
      </c>
      <c r="B744" s="1371">
        <v>32082</v>
      </c>
      <c r="C744" s="1370" t="s">
        <v>7149</v>
      </c>
      <c r="F744" s="1372">
        <v>-8.1900000000000001E-2</v>
      </c>
      <c r="H744" s="1382">
        <v>8.4499999999999992E-3</v>
      </c>
      <c r="I744" s="1373">
        <f t="shared" si="11"/>
        <v>-9.035E-2</v>
      </c>
      <c r="J744" s="1371">
        <v>32082</v>
      </c>
    </row>
    <row r="745" spans="1:10" x14ac:dyDescent="0.45">
      <c r="A745" s="1370">
        <v>17</v>
      </c>
      <c r="B745" s="1371">
        <v>32112</v>
      </c>
      <c r="C745" s="1370" t="s">
        <v>7149</v>
      </c>
      <c r="F745" s="1372">
        <v>7.3800000000000004E-2</v>
      </c>
      <c r="H745" s="1382">
        <v>8.5166666666666654E-3</v>
      </c>
      <c r="I745" s="1373">
        <f t="shared" si="11"/>
        <v>6.5283333333333332E-2</v>
      </c>
      <c r="J745" s="1371">
        <v>32112</v>
      </c>
    </row>
    <row r="746" spans="1:10" x14ac:dyDescent="0.45">
      <c r="A746" s="1370">
        <v>17</v>
      </c>
      <c r="B746" s="1371">
        <v>32143</v>
      </c>
      <c r="C746" s="1370" t="s">
        <v>7149</v>
      </c>
      <c r="F746" s="1372">
        <v>4.2700000000000002E-2</v>
      </c>
      <c r="H746" s="1382">
        <v>8.3208333333333329E-3</v>
      </c>
      <c r="I746" s="1373">
        <f t="shared" si="11"/>
        <v>3.4379166666666669E-2</v>
      </c>
      <c r="J746" s="1371">
        <v>32143</v>
      </c>
    </row>
    <row r="747" spans="1:10" x14ac:dyDescent="0.45">
      <c r="A747" s="1370">
        <v>17</v>
      </c>
      <c r="B747" s="1371">
        <v>32174</v>
      </c>
      <c r="C747" s="1370" t="s">
        <v>7149</v>
      </c>
      <c r="F747" s="1372">
        <v>4.7E-2</v>
      </c>
      <c r="H747" s="1382">
        <v>7.9166666666666656E-3</v>
      </c>
      <c r="I747" s="1373">
        <f t="shared" si="11"/>
        <v>3.9083333333333331E-2</v>
      </c>
      <c r="J747" s="1371">
        <v>32174</v>
      </c>
    </row>
    <row r="748" spans="1:10" x14ac:dyDescent="0.45">
      <c r="A748" s="1370">
        <v>17</v>
      </c>
      <c r="B748" s="1371">
        <v>32203</v>
      </c>
      <c r="C748" s="1370" t="s">
        <v>7149</v>
      </c>
      <c r="F748" s="1372">
        <v>-3.0200000000000001E-2</v>
      </c>
      <c r="H748" s="1382">
        <v>7.9083333333333332E-3</v>
      </c>
      <c r="I748" s="1373">
        <f t="shared" si="11"/>
        <v>-3.8108333333333334E-2</v>
      </c>
      <c r="J748" s="1371">
        <v>32203</v>
      </c>
    </row>
    <row r="749" spans="1:10" x14ac:dyDescent="0.45">
      <c r="A749" s="1370">
        <v>17</v>
      </c>
      <c r="B749" s="1371">
        <v>32234</v>
      </c>
      <c r="C749" s="1370" t="s">
        <v>7149</v>
      </c>
      <c r="F749" s="1372">
        <v>1.0800000000000001E-2</v>
      </c>
      <c r="H749" s="1382">
        <v>8.1374999999999989E-3</v>
      </c>
      <c r="I749" s="1373">
        <f t="shared" si="11"/>
        <v>2.6625000000000017E-3</v>
      </c>
      <c r="J749" s="1371">
        <v>32234</v>
      </c>
    </row>
    <row r="750" spans="1:10" x14ac:dyDescent="0.45">
      <c r="A750" s="1370">
        <v>17</v>
      </c>
      <c r="B750" s="1371">
        <v>32264</v>
      </c>
      <c r="C750" s="1370" t="s">
        <v>7149</v>
      </c>
      <c r="F750" s="1372">
        <v>7.7999999999999996E-3</v>
      </c>
      <c r="H750" s="1382">
        <v>8.3333333333333332E-3</v>
      </c>
      <c r="I750" s="1373">
        <f t="shared" si="11"/>
        <v>-5.3333333333333358E-4</v>
      </c>
      <c r="J750" s="1371">
        <v>32264</v>
      </c>
    </row>
    <row r="751" spans="1:10" x14ac:dyDescent="0.45">
      <c r="A751" s="1370">
        <v>17</v>
      </c>
      <c r="B751" s="1371">
        <v>32295</v>
      </c>
      <c r="C751" s="1370" t="s">
        <v>7149</v>
      </c>
      <c r="F751" s="1372">
        <v>4.6399999999999997E-2</v>
      </c>
      <c r="H751" s="1382">
        <v>8.329166666666667E-3</v>
      </c>
      <c r="I751" s="1373">
        <f t="shared" si="11"/>
        <v>3.8070833333333332E-2</v>
      </c>
      <c r="J751" s="1371">
        <v>32295</v>
      </c>
    </row>
    <row r="752" spans="1:10" x14ac:dyDescent="0.45">
      <c r="A752" s="1370">
        <v>17</v>
      </c>
      <c r="B752" s="1371">
        <v>32325</v>
      </c>
      <c r="C752" s="1370" t="s">
        <v>7149</v>
      </c>
      <c r="F752" s="1372">
        <v>-4.0000000000000001E-3</v>
      </c>
      <c r="H752" s="1382">
        <v>8.4250000000000002E-3</v>
      </c>
      <c r="I752" s="1373">
        <f t="shared" si="11"/>
        <v>-1.2425E-2</v>
      </c>
      <c r="J752" s="1371">
        <v>32325</v>
      </c>
    </row>
    <row r="753" spans="1:10" x14ac:dyDescent="0.45">
      <c r="A753" s="1370">
        <v>17</v>
      </c>
      <c r="B753" s="1371">
        <v>32356</v>
      </c>
      <c r="C753" s="1370" t="s">
        <v>7149</v>
      </c>
      <c r="F753" s="1372">
        <v>-3.3099999999999997E-2</v>
      </c>
      <c r="H753" s="1382">
        <v>8.533333333333332E-3</v>
      </c>
      <c r="I753" s="1373">
        <f t="shared" si="11"/>
        <v>-4.1633333333333328E-2</v>
      </c>
      <c r="J753" s="1371">
        <v>32356</v>
      </c>
    </row>
    <row r="754" spans="1:10" x14ac:dyDescent="0.45">
      <c r="A754" s="1370">
        <v>17</v>
      </c>
      <c r="B754" s="1371">
        <v>32387</v>
      </c>
      <c r="C754" s="1370" t="s">
        <v>7149</v>
      </c>
      <c r="F754" s="1372">
        <v>4.24E-2</v>
      </c>
      <c r="H754" s="1382">
        <v>8.2833333333333335E-3</v>
      </c>
      <c r="I754" s="1373">
        <f t="shared" si="11"/>
        <v>3.411666666666667E-2</v>
      </c>
      <c r="J754" s="1371">
        <v>32387</v>
      </c>
    </row>
    <row r="755" spans="1:10" x14ac:dyDescent="0.45">
      <c r="A755" s="1370">
        <v>17</v>
      </c>
      <c r="B755" s="1371">
        <v>32417</v>
      </c>
      <c r="C755" s="1370" t="s">
        <v>7149</v>
      </c>
      <c r="F755" s="1372">
        <v>2.7300000000000001E-2</v>
      </c>
      <c r="H755" s="1382">
        <v>8.0000000000000002E-3</v>
      </c>
      <c r="I755" s="1373">
        <f t="shared" si="11"/>
        <v>1.9300000000000001E-2</v>
      </c>
      <c r="J755" s="1371">
        <v>32417</v>
      </c>
    </row>
    <row r="756" spans="1:10" x14ac:dyDescent="0.45">
      <c r="A756" s="1370">
        <v>17</v>
      </c>
      <c r="B756" s="1371">
        <v>32448</v>
      </c>
      <c r="C756" s="1370" t="s">
        <v>7149</v>
      </c>
      <c r="F756" s="1372">
        <v>-1.4200000000000001E-2</v>
      </c>
      <c r="H756" s="1382">
        <v>7.9875000000000015E-3</v>
      </c>
      <c r="I756" s="1373">
        <f t="shared" si="11"/>
        <v>-2.2187500000000002E-2</v>
      </c>
      <c r="J756" s="1371">
        <v>32448</v>
      </c>
    </row>
    <row r="757" spans="1:10" x14ac:dyDescent="0.45">
      <c r="A757" s="1370">
        <v>17</v>
      </c>
      <c r="B757" s="1371">
        <v>32478</v>
      </c>
      <c r="C757" s="1370" t="s">
        <v>7149</v>
      </c>
      <c r="F757" s="1372">
        <v>1.8100000000000002E-2</v>
      </c>
      <c r="H757" s="1382">
        <v>8.0750000000000006E-3</v>
      </c>
      <c r="I757" s="1373">
        <f t="shared" si="11"/>
        <v>1.0025000000000001E-2</v>
      </c>
      <c r="J757" s="1371">
        <v>32478</v>
      </c>
    </row>
    <row r="758" spans="1:10" x14ac:dyDescent="0.45">
      <c r="A758" s="1370">
        <v>17</v>
      </c>
      <c r="B758" s="1371">
        <v>32509</v>
      </c>
      <c r="C758" s="1370" t="s">
        <v>7149</v>
      </c>
      <c r="F758" s="1372">
        <v>7.2300000000000003E-2</v>
      </c>
      <c r="H758" s="1382">
        <v>8.0958333333333334E-3</v>
      </c>
      <c r="I758" s="1373">
        <f t="shared" si="11"/>
        <v>6.4204166666666673E-2</v>
      </c>
      <c r="J758" s="1371">
        <v>32509</v>
      </c>
    </row>
    <row r="759" spans="1:10" x14ac:dyDescent="0.45">
      <c r="A759" s="1370">
        <v>17</v>
      </c>
      <c r="B759" s="1371">
        <v>32540</v>
      </c>
      <c r="C759" s="1370" t="s">
        <v>7149</v>
      </c>
      <c r="F759" s="1372">
        <v>-2.4899999999999999E-2</v>
      </c>
      <c r="H759" s="1382">
        <v>8.1124999999999999E-3</v>
      </c>
      <c r="I759" s="1373">
        <f t="shared" si="11"/>
        <v>-3.30125E-2</v>
      </c>
      <c r="J759" s="1371">
        <v>32540</v>
      </c>
    </row>
    <row r="760" spans="1:10" x14ac:dyDescent="0.45">
      <c r="A760" s="1370">
        <v>17</v>
      </c>
      <c r="B760" s="1371">
        <v>32568</v>
      </c>
      <c r="C760" s="1370" t="s">
        <v>7149</v>
      </c>
      <c r="F760" s="1372">
        <v>2.3599999999999999E-2</v>
      </c>
      <c r="H760" s="1382">
        <v>8.241666666666668E-3</v>
      </c>
      <c r="I760" s="1373">
        <f t="shared" si="11"/>
        <v>1.5358333333333331E-2</v>
      </c>
      <c r="J760" s="1371">
        <v>32568</v>
      </c>
    </row>
    <row r="761" spans="1:10" x14ac:dyDescent="0.45">
      <c r="A761" s="1370">
        <v>17</v>
      </c>
      <c r="B761" s="1371">
        <v>32599</v>
      </c>
      <c r="C761" s="1370" t="s">
        <v>7149</v>
      </c>
      <c r="F761" s="1372">
        <v>5.16E-2</v>
      </c>
      <c r="H761" s="1382">
        <v>8.2208333333333335E-3</v>
      </c>
      <c r="I761" s="1373">
        <f t="shared" si="11"/>
        <v>4.3379166666666663E-2</v>
      </c>
      <c r="J761" s="1371">
        <v>32599</v>
      </c>
    </row>
    <row r="762" spans="1:10" x14ac:dyDescent="0.45">
      <c r="A762" s="1370">
        <v>17</v>
      </c>
      <c r="B762" s="1371">
        <v>32629</v>
      </c>
      <c r="C762" s="1370" t="s">
        <v>7149</v>
      </c>
      <c r="F762" s="1372">
        <v>4.02E-2</v>
      </c>
      <c r="H762" s="1382">
        <v>8.0499999999999999E-3</v>
      </c>
      <c r="I762" s="1373">
        <f t="shared" si="11"/>
        <v>3.2149999999999998E-2</v>
      </c>
      <c r="J762" s="1371">
        <v>32629</v>
      </c>
    </row>
    <row r="763" spans="1:10" x14ac:dyDescent="0.45">
      <c r="A763" s="1370">
        <v>17</v>
      </c>
      <c r="B763" s="1371">
        <v>32660</v>
      </c>
      <c r="C763" s="1370" t="s">
        <v>7149</v>
      </c>
      <c r="F763" s="1372">
        <v>-5.4000000000000003E-3</v>
      </c>
      <c r="H763" s="1382">
        <v>7.6624999999999992E-3</v>
      </c>
      <c r="I763" s="1373">
        <f t="shared" si="11"/>
        <v>-1.3062499999999999E-2</v>
      </c>
      <c r="J763" s="1371">
        <v>32660</v>
      </c>
    </row>
    <row r="764" spans="1:10" x14ac:dyDescent="0.45">
      <c r="A764" s="1370">
        <v>17</v>
      </c>
      <c r="B764" s="1371">
        <v>32690</v>
      </c>
      <c r="C764" s="1370" t="s">
        <v>7149</v>
      </c>
      <c r="F764" s="1372">
        <v>8.9800000000000005E-2</v>
      </c>
      <c r="H764" s="1382">
        <v>7.5291666666666666E-3</v>
      </c>
      <c r="I764" s="1373">
        <f t="shared" si="11"/>
        <v>8.2270833333333335E-2</v>
      </c>
      <c r="J764" s="1371">
        <v>32690</v>
      </c>
    </row>
    <row r="765" spans="1:10" x14ac:dyDescent="0.45">
      <c r="A765" s="1370">
        <v>17</v>
      </c>
      <c r="B765" s="1371">
        <v>32721</v>
      </c>
      <c r="C765" s="1370" t="s">
        <v>7149</v>
      </c>
      <c r="F765" s="1372">
        <v>1.9300000000000001E-2</v>
      </c>
      <c r="H765" s="1382">
        <v>7.5416666666666661E-3</v>
      </c>
      <c r="I765" s="1373">
        <f t="shared" si="11"/>
        <v>1.1758333333333336E-2</v>
      </c>
      <c r="J765" s="1371">
        <v>32721</v>
      </c>
    </row>
    <row r="766" spans="1:10" x14ac:dyDescent="0.45">
      <c r="A766" s="1370">
        <v>17</v>
      </c>
      <c r="B766" s="1371">
        <v>32752</v>
      </c>
      <c r="C766" s="1370" t="s">
        <v>7149</v>
      </c>
      <c r="F766" s="1372">
        <v>-3.8999999999999998E-3</v>
      </c>
      <c r="H766" s="1382">
        <v>7.6E-3</v>
      </c>
      <c r="I766" s="1373">
        <f t="shared" si="11"/>
        <v>-1.15E-2</v>
      </c>
      <c r="J766" s="1371">
        <v>32752</v>
      </c>
    </row>
    <row r="767" spans="1:10" x14ac:dyDescent="0.45">
      <c r="A767" s="1370">
        <v>17</v>
      </c>
      <c r="B767" s="1371">
        <v>32782</v>
      </c>
      <c r="C767" s="1370" t="s">
        <v>7149</v>
      </c>
      <c r="F767" s="1372">
        <v>-2.3300000000000001E-2</v>
      </c>
      <c r="H767" s="1382">
        <v>7.5458333333333323E-3</v>
      </c>
      <c r="I767" s="1373">
        <f t="shared" si="11"/>
        <v>-3.0845833333333333E-2</v>
      </c>
      <c r="J767" s="1371">
        <v>32782</v>
      </c>
    </row>
    <row r="768" spans="1:10" x14ac:dyDescent="0.45">
      <c r="A768" s="1370">
        <v>17</v>
      </c>
      <c r="B768" s="1371">
        <v>32813</v>
      </c>
      <c r="C768" s="1370" t="s">
        <v>7149</v>
      </c>
      <c r="F768" s="1372">
        <v>2.0799999999999999E-2</v>
      </c>
      <c r="H768" s="1382">
        <v>7.5125000000000001E-3</v>
      </c>
      <c r="I768" s="1373">
        <f t="shared" si="11"/>
        <v>1.3287499999999999E-2</v>
      </c>
      <c r="J768" s="1371">
        <v>32813</v>
      </c>
    </row>
    <row r="769" spans="1:10" x14ac:dyDescent="0.45">
      <c r="A769" s="1370">
        <v>17</v>
      </c>
      <c r="B769" s="1371">
        <v>32843</v>
      </c>
      <c r="C769" s="1370" t="s">
        <v>7149</v>
      </c>
      <c r="F769" s="1372">
        <v>2.3599999999999999E-2</v>
      </c>
      <c r="H769" s="1382">
        <v>7.4875000000000002E-3</v>
      </c>
      <c r="I769" s="1373">
        <f t="shared" si="11"/>
        <v>1.6112499999999998E-2</v>
      </c>
      <c r="J769" s="1371">
        <v>32843</v>
      </c>
    </row>
    <row r="770" spans="1:10" x14ac:dyDescent="0.45">
      <c r="A770" s="1370">
        <v>17</v>
      </c>
      <c r="B770" s="1371">
        <v>32874</v>
      </c>
      <c r="C770" s="1370" t="s">
        <v>7149</v>
      </c>
      <c r="F770" s="1372">
        <v>-6.7100000000000007E-2</v>
      </c>
      <c r="H770" s="1382">
        <v>7.6083333333333324E-3</v>
      </c>
      <c r="I770" s="1373">
        <f t="shared" si="11"/>
        <v>-7.4708333333333335E-2</v>
      </c>
      <c r="J770" s="1371">
        <v>32874</v>
      </c>
    </row>
    <row r="771" spans="1:10" x14ac:dyDescent="0.45">
      <c r="A771" s="1370">
        <v>17</v>
      </c>
      <c r="B771" s="1371">
        <v>32905</v>
      </c>
      <c r="C771" s="1370" t="s">
        <v>7149</v>
      </c>
      <c r="F771" s="1372">
        <v>1.29E-2</v>
      </c>
      <c r="H771" s="1382">
        <v>7.7750000000000007E-3</v>
      </c>
      <c r="I771" s="1373">
        <f t="shared" si="11"/>
        <v>5.1249999999999993E-3</v>
      </c>
      <c r="J771" s="1371">
        <v>32905</v>
      </c>
    </row>
    <row r="772" spans="1:10" x14ac:dyDescent="0.45">
      <c r="A772" s="1370">
        <v>17</v>
      </c>
      <c r="B772" s="1371">
        <v>32933</v>
      </c>
      <c r="C772" s="1370" t="s">
        <v>7149</v>
      </c>
      <c r="F772" s="1372">
        <v>2.63E-2</v>
      </c>
      <c r="H772" s="1382">
        <v>7.8666666666666659E-3</v>
      </c>
      <c r="I772" s="1373">
        <f t="shared" si="11"/>
        <v>1.8433333333333336E-2</v>
      </c>
      <c r="J772" s="1371">
        <v>32933</v>
      </c>
    </row>
    <row r="773" spans="1:10" x14ac:dyDescent="0.45">
      <c r="A773" s="1370">
        <v>17</v>
      </c>
      <c r="B773" s="1371">
        <v>32964</v>
      </c>
      <c r="C773" s="1370" t="s">
        <v>7149</v>
      </c>
      <c r="F773" s="1372">
        <v>-2.47E-2</v>
      </c>
      <c r="H773" s="1382">
        <v>7.9583333333333346E-3</v>
      </c>
      <c r="I773" s="1373">
        <f t="shared" si="11"/>
        <v>-3.2658333333333331E-2</v>
      </c>
      <c r="J773" s="1371">
        <v>32964</v>
      </c>
    </row>
    <row r="774" spans="1:10" x14ac:dyDescent="0.45">
      <c r="A774" s="1370">
        <v>17</v>
      </c>
      <c r="B774" s="1371">
        <v>32994</v>
      </c>
      <c r="C774" s="1370" t="s">
        <v>7149</v>
      </c>
      <c r="F774" s="1372">
        <v>9.7500000000000003E-2</v>
      </c>
      <c r="H774" s="1382">
        <v>7.9874999999999998E-3</v>
      </c>
      <c r="I774" s="1373">
        <f t="shared" si="11"/>
        <v>8.9512500000000009E-2</v>
      </c>
      <c r="J774" s="1371">
        <v>32994</v>
      </c>
    </row>
    <row r="775" spans="1:10" x14ac:dyDescent="0.45">
      <c r="A775" s="1370">
        <v>17</v>
      </c>
      <c r="B775" s="1371">
        <v>33025</v>
      </c>
      <c r="C775" s="1370" t="s">
        <v>7149</v>
      </c>
      <c r="F775" s="1372">
        <v>-7.0000000000000001E-3</v>
      </c>
      <c r="H775" s="1382">
        <v>7.8125E-3</v>
      </c>
      <c r="I775" s="1373">
        <f t="shared" si="11"/>
        <v>-1.4812499999999999E-2</v>
      </c>
      <c r="J775" s="1371">
        <v>33025</v>
      </c>
    </row>
    <row r="776" spans="1:10" x14ac:dyDescent="0.45">
      <c r="A776" s="1370">
        <v>17</v>
      </c>
      <c r="B776" s="1371">
        <v>33055</v>
      </c>
      <c r="C776" s="1370" t="s">
        <v>7149</v>
      </c>
      <c r="F776" s="1372">
        <v>-3.2000000000000002E-3</v>
      </c>
      <c r="H776" s="1382">
        <v>7.7958333333333326E-3</v>
      </c>
      <c r="I776" s="1373">
        <f t="shared" si="11"/>
        <v>-1.0995833333333333E-2</v>
      </c>
      <c r="J776" s="1371">
        <v>33055</v>
      </c>
    </row>
    <row r="777" spans="1:10" x14ac:dyDescent="0.45">
      <c r="A777" s="1370">
        <v>17</v>
      </c>
      <c r="B777" s="1371">
        <v>33086</v>
      </c>
      <c r="C777" s="1370" t="s">
        <v>7149</v>
      </c>
      <c r="F777" s="1372">
        <v>-9.0300000000000005E-2</v>
      </c>
      <c r="H777" s="1382">
        <v>7.9333333333333339E-3</v>
      </c>
      <c r="I777" s="1373">
        <f t="shared" si="11"/>
        <v>-9.8233333333333339E-2</v>
      </c>
      <c r="J777" s="1371">
        <v>33086</v>
      </c>
    </row>
    <row r="778" spans="1:10" x14ac:dyDescent="0.45">
      <c r="A778" s="1370">
        <v>17</v>
      </c>
      <c r="B778" s="1371">
        <v>33117</v>
      </c>
      <c r="C778" s="1370" t="s">
        <v>7149</v>
      </c>
      <c r="F778" s="1372">
        <v>-4.9200000000000001E-2</v>
      </c>
      <c r="H778" s="1382">
        <v>8.0541666666666661E-3</v>
      </c>
      <c r="I778" s="1373">
        <f t="shared" si="11"/>
        <v>-5.7254166666666668E-2</v>
      </c>
      <c r="J778" s="1371">
        <v>33117</v>
      </c>
    </row>
    <row r="779" spans="1:10" x14ac:dyDescent="0.45">
      <c r="A779" s="1370">
        <v>17</v>
      </c>
      <c r="B779" s="1371">
        <v>33147</v>
      </c>
      <c r="C779" s="1370" t="s">
        <v>7149</v>
      </c>
      <c r="F779" s="1372">
        <v>-3.7000000000000002E-3</v>
      </c>
      <c r="H779" s="1382">
        <v>8.0416666666666657E-3</v>
      </c>
      <c r="I779" s="1373">
        <f t="shared" si="11"/>
        <v>-1.1741666666666666E-2</v>
      </c>
      <c r="J779" s="1371">
        <v>33147</v>
      </c>
    </row>
    <row r="780" spans="1:10" x14ac:dyDescent="0.45">
      <c r="A780" s="1370">
        <v>17</v>
      </c>
      <c r="B780" s="1371">
        <v>33178</v>
      </c>
      <c r="C780" s="1370" t="s">
        <v>7149</v>
      </c>
      <c r="F780" s="1372">
        <v>6.4399999999999999E-2</v>
      </c>
      <c r="H780" s="1382">
        <v>7.8708333333333338E-3</v>
      </c>
      <c r="I780" s="1373">
        <f t="shared" si="11"/>
        <v>5.6529166666666665E-2</v>
      </c>
      <c r="J780" s="1371">
        <v>33178</v>
      </c>
    </row>
    <row r="781" spans="1:10" x14ac:dyDescent="0.45">
      <c r="A781" s="1370">
        <v>17</v>
      </c>
      <c r="B781" s="1371">
        <v>33208</v>
      </c>
      <c r="C781" s="1370" t="s">
        <v>7149</v>
      </c>
      <c r="F781" s="1372">
        <v>2.7400000000000001E-2</v>
      </c>
      <c r="H781" s="1382">
        <v>7.6833333333333345E-3</v>
      </c>
      <c r="I781" s="1373">
        <f t="shared" si="11"/>
        <v>1.9716666666666667E-2</v>
      </c>
      <c r="J781" s="1371">
        <v>33208</v>
      </c>
    </row>
    <row r="782" spans="1:10" x14ac:dyDescent="0.45">
      <c r="A782" s="1370">
        <v>17</v>
      </c>
      <c r="B782" s="1371">
        <v>33239</v>
      </c>
      <c r="C782" s="1370" t="s">
        <v>7149</v>
      </c>
      <c r="F782" s="1372">
        <v>4.4200000000000003E-2</v>
      </c>
      <c r="H782" s="1382">
        <v>7.6708333333333333E-3</v>
      </c>
      <c r="I782" s="1373">
        <f t="shared" si="11"/>
        <v>3.6529166666666668E-2</v>
      </c>
      <c r="J782" s="1371">
        <v>33239</v>
      </c>
    </row>
    <row r="783" spans="1:10" x14ac:dyDescent="0.45">
      <c r="A783" s="1370">
        <v>17</v>
      </c>
      <c r="B783" s="1371">
        <v>33270</v>
      </c>
      <c r="C783" s="1370" t="s">
        <v>7149</v>
      </c>
      <c r="F783" s="1372">
        <v>7.1599999999999997E-2</v>
      </c>
      <c r="H783" s="1382">
        <v>7.4958333333333326E-3</v>
      </c>
      <c r="I783" s="1373">
        <f t="shared" si="11"/>
        <v>6.410416666666667E-2</v>
      </c>
      <c r="J783" s="1371">
        <v>33270</v>
      </c>
    </row>
    <row r="784" spans="1:10" x14ac:dyDescent="0.45">
      <c r="A784" s="1370">
        <v>17</v>
      </c>
      <c r="B784" s="1371">
        <v>33298</v>
      </c>
      <c r="C784" s="1370" t="s">
        <v>7149</v>
      </c>
      <c r="F784" s="1372">
        <v>2.3800000000000002E-2</v>
      </c>
      <c r="H784" s="1382">
        <v>7.5583333333333336E-3</v>
      </c>
      <c r="I784" s="1373">
        <f t="shared" si="11"/>
        <v>1.6241666666666668E-2</v>
      </c>
      <c r="J784" s="1371">
        <v>33298</v>
      </c>
    </row>
    <row r="785" spans="1:10" x14ac:dyDescent="0.45">
      <c r="A785" s="1370">
        <v>17</v>
      </c>
      <c r="B785" s="1371">
        <v>33329</v>
      </c>
      <c r="C785" s="1370" t="s">
        <v>7149</v>
      </c>
      <c r="F785" s="1372">
        <v>2.8E-3</v>
      </c>
      <c r="H785" s="1382">
        <v>7.4916666666666656E-3</v>
      </c>
      <c r="I785" s="1373">
        <f t="shared" si="11"/>
        <v>-4.6916666666666652E-3</v>
      </c>
      <c r="J785" s="1371">
        <v>33329</v>
      </c>
    </row>
    <row r="786" spans="1:10" x14ac:dyDescent="0.45">
      <c r="A786" s="1370">
        <v>17</v>
      </c>
      <c r="B786" s="1371">
        <v>33359</v>
      </c>
      <c r="C786" s="1370" t="s">
        <v>7149</v>
      </c>
      <c r="F786" s="1372">
        <v>4.2799999999999998E-2</v>
      </c>
      <c r="H786" s="1382">
        <v>7.5041666666666677E-3</v>
      </c>
      <c r="I786" s="1373">
        <f t="shared" si="11"/>
        <v>3.5295833333333332E-2</v>
      </c>
      <c r="J786" s="1371">
        <v>33359</v>
      </c>
    </row>
    <row r="787" spans="1:10" x14ac:dyDescent="0.45">
      <c r="A787" s="1370">
        <v>17</v>
      </c>
      <c r="B787" s="1371">
        <v>33390</v>
      </c>
      <c r="C787" s="1370" t="s">
        <v>7149</v>
      </c>
      <c r="F787" s="1372">
        <v>-4.5699999999999998E-2</v>
      </c>
      <c r="H787" s="1382">
        <v>7.6208333333333336E-3</v>
      </c>
      <c r="I787" s="1373">
        <f t="shared" si="11"/>
        <v>-5.3320833333333331E-2</v>
      </c>
      <c r="J787" s="1371">
        <v>33390</v>
      </c>
    </row>
    <row r="788" spans="1:10" x14ac:dyDescent="0.45">
      <c r="A788" s="1370">
        <v>17</v>
      </c>
      <c r="B788" s="1371">
        <v>33420</v>
      </c>
      <c r="C788" s="1370" t="s">
        <v>7149</v>
      </c>
      <c r="F788" s="1372">
        <v>4.6800000000000001E-2</v>
      </c>
      <c r="H788" s="1382">
        <v>7.6041666666666671E-3</v>
      </c>
      <c r="I788" s="1373">
        <f t="shared" si="11"/>
        <v>3.9195833333333333E-2</v>
      </c>
      <c r="J788" s="1371">
        <v>33420</v>
      </c>
    </row>
    <row r="789" spans="1:10" x14ac:dyDescent="0.45">
      <c r="A789" s="1370">
        <v>17</v>
      </c>
      <c r="B789" s="1371">
        <v>33451</v>
      </c>
      <c r="C789" s="1370" t="s">
        <v>7149</v>
      </c>
      <c r="F789" s="1372">
        <v>2.35E-2</v>
      </c>
      <c r="H789" s="1382">
        <v>7.3916666666666662E-3</v>
      </c>
      <c r="I789" s="1373">
        <f t="shared" si="11"/>
        <v>1.6108333333333336E-2</v>
      </c>
      <c r="J789" s="1371">
        <v>33451</v>
      </c>
    </row>
    <row r="790" spans="1:10" x14ac:dyDescent="0.45">
      <c r="A790" s="1370">
        <v>17</v>
      </c>
      <c r="B790" s="1371">
        <v>33482</v>
      </c>
      <c r="C790" s="1370" t="s">
        <v>7149</v>
      </c>
      <c r="F790" s="1372">
        <v>-1.6400000000000001E-2</v>
      </c>
      <c r="H790" s="1382">
        <v>7.2791666666666656E-3</v>
      </c>
      <c r="I790" s="1373">
        <f t="shared" si="11"/>
        <v>-2.3679166666666668E-2</v>
      </c>
      <c r="J790" s="1371">
        <v>33482</v>
      </c>
    </row>
    <row r="791" spans="1:10" x14ac:dyDescent="0.45">
      <c r="A791" s="1370">
        <v>17</v>
      </c>
      <c r="B791" s="1371">
        <v>33512</v>
      </c>
      <c r="C791" s="1370" t="s">
        <v>7149</v>
      </c>
      <c r="F791" s="1372">
        <v>1.34E-2</v>
      </c>
      <c r="H791" s="1382">
        <v>7.2416666666666662E-3</v>
      </c>
      <c r="I791" s="1373">
        <f t="shared" si="11"/>
        <v>6.1583333333333342E-3</v>
      </c>
      <c r="J791" s="1371">
        <v>33512</v>
      </c>
    </row>
    <row r="792" spans="1:10" x14ac:dyDescent="0.45">
      <c r="A792" s="1370">
        <v>17</v>
      </c>
      <c r="B792" s="1371">
        <v>33543</v>
      </c>
      <c r="C792" s="1370" t="s">
        <v>7149</v>
      </c>
      <c r="F792" s="1372">
        <v>-4.0399999999999998E-2</v>
      </c>
      <c r="H792" s="1382">
        <v>7.1916666666666665E-3</v>
      </c>
      <c r="I792" s="1373">
        <f t="shared" si="11"/>
        <v>-4.7591666666666664E-2</v>
      </c>
      <c r="J792" s="1371">
        <v>33543</v>
      </c>
    </row>
    <row r="793" spans="1:10" x14ac:dyDescent="0.45">
      <c r="A793" s="1370">
        <v>17</v>
      </c>
      <c r="B793" s="1371">
        <v>33573</v>
      </c>
      <c r="C793" s="1370" t="s">
        <v>7149</v>
      </c>
      <c r="F793" s="1372">
        <v>0.1143</v>
      </c>
      <c r="H793" s="1382">
        <v>7.0499999999999998E-3</v>
      </c>
      <c r="I793" s="1373">
        <f t="shared" si="11"/>
        <v>0.10725</v>
      </c>
      <c r="J793" s="1371">
        <v>33573</v>
      </c>
    </row>
    <row r="794" spans="1:10" x14ac:dyDescent="0.45">
      <c r="A794" s="1370">
        <v>17</v>
      </c>
      <c r="B794" s="1371">
        <v>33604</v>
      </c>
      <c r="C794" s="1370" t="s">
        <v>7149</v>
      </c>
      <c r="F794" s="1372">
        <v>-1.8599999999999998E-2</v>
      </c>
      <c r="H794" s="1382">
        <v>6.9624999999999991E-3</v>
      </c>
      <c r="I794" s="1373">
        <f t="shared" ref="I794:I857" si="12">F794-H794</f>
        <v>-2.5562499999999998E-2</v>
      </c>
      <c r="J794" s="1371">
        <v>33604</v>
      </c>
    </row>
    <row r="795" spans="1:10" x14ac:dyDescent="0.45">
      <c r="A795" s="1370">
        <v>17</v>
      </c>
      <c r="B795" s="1371">
        <v>33635</v>
      </c>
      <c r="C795" s="1370" t="s">
        <v>7149</v>
      </c>
      <c r="F795" s="1372">
        <v>1.2800000000000001E-2</v>
      </c>
      <c r="H795" s="1382">
        <v>7.0666666666666664E-3</v>
      </c>
      <c r="I795" s="1373">
        <f t="shared" si="12"/>
        <v>5.7333333333333342E-3</v>
      </c>
      <c r="J795" s="1371">
        <v>33635</v>
      </c>
    </row>
    <row r="796" spans="1:10" x14ac:dyDescent="0.45">
      <c r="A796" s="1370">
        <v>17</v>
      </c>
      <c r="B796" s="1371">
        <v>33664</v>
      </c>
      <c r="C796" s="1370" t="s">
        <v>7149</v>
      </c>
      <c r="F796" s="1372">
        <v>-1.9599999999999999E-2</v>
      </c>
      <c r="H796" s="1382">
        <v>7.116666666666667E-3</v>
      </c>
      <c r="I796" s="1373">
        <f t="shared" si="12"/>
        <v>-2.6716666666666666E-2</v>
      </c>
      <c r="J796" s="1371">
        <v>33664</v>
      </c>
    </row>
    <row r="797" spans="1:10" x14ac:dyDescent="0.45">
      <c r="A797" s="1370">
        <v>17</v>
      </c>
      <c r="B797" s="1371">
        <v>33695</v>
      </c>
      <c r="C797" s="1370" t="s">
        <v>7149</v>
      </c>
      <c r="F797" s="1372">
        <v>2.9100000000000001E-2</v>
      </c>
      <c r="H797" s="1382">
        <v>7.0916666666666671E-3</v>
      </c>
      <c r="I797" s="1373">
        <f t="shared" si="12"/>
        <v>2.2008333333333335E-2</v>
      </c>
      <c r="J797" s="1371">
        <v>33695</v>
      </c>
    </row>
    <row r="798" spans="1:10" x14ac:dyDescent="0.45">
      <c r="A798" s="1370">
        <v>17</v>
      </c>
      <c r="B798" s="1371">
        <v>33725</v>
      </c>
      <c r="C798" s="1370" t="s">
        <v>7149</v>
      </c>
      <c r="F798" s="1372">
        <v>5.4000000000000003E-3</v>
      </c>
      <c r="H798" s="1382">
        <v>7.0458333333333336E-3</v>
      </c>
      <c r="I798" s="1373">
        <f t="shared" si="12"/>
        <v>-1.6458333333333333E-3</v>
      </c>
      <c r="J798" s="1371">
        <v>33725</v>
      </c>
    </row>
    <row r="799" spans="1:10" x14ac:dyDescent="0.45">
      <c r="A799" s="1370">
        <v>17</v>
      </c>
      <c r="B799" s="1371">
        <v>33756</v>
      </c>
      <c r="C799" s="1370" t="s">
        <v>7149</v>
      </c>
      <c r="F799" s="1372">
        <v>-1.4500000000000001E-2</v>
      </c>
      <c r="H799" s="1382">
        <v>6.9916666666666669E-3</v>
      </c>
      <c r="I799" s="1373">
        <f t="shared" si="12"/>
        <v>-2.1491666666666666E-2</v>
      </c>
      <c r="J799" s="1371">
        <v>33756</v>
      </c>
    </row>
    <row r="800" spans="1:10" x14ac:dyDescent="0.45">
      <c r="A800" s="1370">
        <v>17</v>
      </c>
      <c r="B800" s="1371">
        <v>33786</v>
      </c>
      <c r="C800" s="1370" t="s">
        <v>7149</v>
      </c>
      <c r="F800" s="1372">
        <v>4.0300000000000002E-2</v>
      </c>
      <c r="H800" s="1382">
        <v>6.8499999999999993E-3</v>
      </c>
      <c r="I800" s="1373">
        <f t="shared" si="12"/>
        <v>3.3450000000000001E-2</v>
      </c>
      <c r="J800" s="1371">
        <v>33786</v>
      </c>
    </row>
    <row r="801" spans="1:10" x14ac:dyDescent="0.45">
      <c r="A801" s="1370">
        <v>17</v>
      </c>
      <c r="B801" s="1371">
        <v>33817</v>
      </c>
      <c r="C801" s="1370" t="s">
        <v>7149</v>
      </c>
      <c r="F801" s="1372">
        <v>-2.0199999999999999E-2</v>
      </c>
      <c r="H801" s="1382">
        <v>6.7333333333333334E-3</v>
      </c>
      <c r="I801" s="1373">
        <f t="shared" si="12"/>
        <v>-2.6933333333333333E-2</v>
      </c>
      <c r="J801" s="1371">
        <v>33817</v>
      </c>
    </row>
    <row r="802" spans="1:10" x14ac:dyDescent="0.45">
      <c r="A802" s="1370">
        <v>17</v>
      </c>
      <c r="B802" s="1371">
        <v>33848</v>
      </c>
      <c r="C802" s="1370" t="s">
        <v>7149</v>
      </c>
      <c r="F802" s="1372">
        <v>1.15E-2</v>
      </c>
      <c r="H802" s="1382">
        <v>6.7041666666666664E-3</v>
      </c>
      <c r="I802" s="1373">
        <f t="shared" si="12"/>
        <v>4.7958333333333334E-3</v>
      </c>
      <c r="J802" s="1371">
        <v>33848</v>
      </c>
    </row>
    <row r="803" spans="1:10" x14ac:dyDescent="0.45">
      <c r="A803" s="1370">
        <v>17</v>
      </c>
      <c r="B803" s="1371">
        <v>33878</v>
      </c>
      <c r="C803" s="1370" t="s">
        <v>7149</v>
      </c>
      <c r="F803" s="1372">
        <v>3.5999999999999999E-3</v>
      </c>
      <c r="H803" s="1382">
        <v>6.7958333333333343E-3</v>
      </c>
      <c r="I803" s="1373">
        <f t="shared" si="12"/>
        <v>-3.1958333333333344E-3</v>
      </c>
      <c r="J803" s="1371">
        <v>33878</v>
      </c>
    </row>
    <row r="804" spans="1:10" x14ac:dyDescent="0.45">
      <c r="A804" s="1370">
        <v>17</v>
      </c>
      <c r="B804" s="1371">
        <v>33909</v>
      </c>
      <c r="C804" s="1370" t="s">
        <v>7149</v>
      </c>
      <c r="F804" s="1372">
        <v>3.3700000000000001E-2</v>
      </c>
      <c r="H804" s="1382">
        <v>6.875E-3</v>
      </c>
      <c r="I804" s="1373">
        <f t="shared" si="12"/>
        <v>2.6825000000000002E-2</v>
      </c>
      <c r="J804" s="1371">
        <v>33909</v>
      </c>
    </row>
    <row r="805" spans="1:10" x14ac:dyDescent="0.45">
      <c r="A805" s="1370">
        <v>17</v>
      </c>
      <c r="B805" s="1371">
        <v>33939</v>
      </c>
      <c r="C805" s="1370" t="s">
        <v>7149</v>
      </c>
      <c r="F805" s="1372">
        <v>1.3100000000000001E-2</v>
      </c>
      <c r="H805" s="1382">
        <v>6.7583333333333332E-3</v>
      </c>
      <c r="I805" s="1373">
        <f t="shared" si="12"/>
        <v>6.3416666666666673E-3</v>
      </c>
      <c r="J805" s="1371">
        <v>33939</v>
      </c>
    </row>
    <row r="806" spans="1:10" x14ac:dyDescent="0.45">
      <c r="A806" s="1370">
        <v>17</v>
      </c>
      <c r="B806" s="1371">
        <v>33970</v>
      </c>
      <c r="C806" s="1370" t="s">
        <v>7149</v>
      </c>
      <c r="F806" s="1372">
        <v>7.3000000000000001E-3</v>
      </c>
      <c r="H806" s="1382">
        <v>6.6749999999999995E-3</v>
      </c>
      <c r="I806" s="1373">
        <f t="shared" si="12"/>
        <v>6.2500000000000056E-4</v>
      </c>
      <c r="J806" s="1371">
        <v>33970</v>
      </c>
    </row>
    <row r="807" spans="1:10" x14ac:dyDescent="0.45">
      <c r="A807" s="1370">
        <v>17</v>
      </c>
      <c r="B807" s="1371">
        <v>34001</v>
      </c>
      <c r="C807" s="1370" t="s">
        <v>7149</v>
      </c>
      <c r="F807" s="1372">
        <v>1.35E-2</v>
      </c>
      <c r="H807" s="1382">
        <v>6.5041666666666668E-3</v>
      </c>
      <c r="I807" s="1373">
        <f t="shared" si="12"/>
        <v>6.9958333333333331E-3</v>
      </c>
      <c r="J807" s="1371">
        <v>34001</v>
      </c>
    </row>
    <row r="808" spans="1:10" x14ac:dyDescent="0.45">
      <c r="A808" s="1370">
        <v>17</v>
      </c>
      <c r="B808" s="1371">
        <v>34029</v>
      </c>
      <c r="C808" s="1370" t="s">
        <v>7149</v>
      </c>
      <c r="F808" s="1372">
        <v>2.1499999999999998E-2</v>
      </c>
      <c r="H808" s="1382">
        <v>6.3749999999999996E-3</v>
      </c>
      <c r="I808" s="1373">
        <f t="shared" si="12"/>
        <v>1.5125E-2</v>
      </c>
      <c r="J808" s="1371">
        <v>34029</v>
      </c>
    </row>
    <row r="809" spans="1:10" x14ac:dyDescent="0.45">
      <c r="A809" s="1370">
        <v>17</v>
      </c>
      <c r="B809" s="1371">
        <v>34060</v>
      </c>
      <c r="C809" s="1370" t="s">
        <v>7149</v>
      </c>
      <c r="F809" s="1372">
        <v>-2.4500000000000001E-2</v>
      </c>
      <c r="H809" s="1382">
        <v>6.2833333333333343E-3</v>
      </c>
      <c r="I809" s="1373">
        <f t="shared" si="12"/>
        <v>-3.0783333333333336E-2</v>
      </c>
      <c r="J809" s="1371">
        <v>34060</v>
      </c>
    </row>
    <row r="810" spans="1:10" x14ac:dyDescent="0.45">
      <c r="A810" s="1370">
        <v>17</v>
      </c>
      <c r="B810" s="1371">
        <v>34090</v>
      </c>
      <c r="C810" s="1370" t="s">
        <v>7149</v>
      </c>
      <c r="F810" s="1372">
        <v>2.7E-2</v>
      </c>
      <c r="H810" s="1382">
        <v>6.2666666666666669E-3</v>
      </c>
      <c r="I810" s="1373">
        <f t="shared" si="12"/>
        <v>2.0733333333333333E-2</v>
      </c>
      <c r="J810" s="1371">
        <v>34090</v>
      </c>
    </row>
    <row r="811" spans="1:10" x14ac:dyDescent="0.45">
      <c r="A811" s="1370">
        <v>17</v>
      </c>
      <c r="B811" s="1371">
        <v>34121</v>
      </c>
      <c r="C811" s="1370" t="s">
        <v>7149</v>
      </c>
      <c r="F811" s="1372">
        <v>3.3E-3</v>
      </c>
      <c r="H811" s="1382">
        <v>6.1833333333333341E-3</v>
      </c>
      <c r="I811" s="1373">
        <f t="shared" si="12"/>
        <v>-2.8833333333333341E-3</v>
      </c>
      <c r="J811" s="1371">
        <v>34121</v>
      </c>
    </row>
    <row r="812" spans="1:10" x14ac:dyDescent="0.45">
      <c r="A812" s="1370">
        <v>17</v>
      </c>
      <c r="B812" s="1371">
        <v>34151</v>
      </c>
      <c r="C812" s="1370" t="s">
        <v>7149</v>
      </c>
      <c r="F812" s="1372">
        <v>-4.7000000000000002E-3</v>
      </c>
      <c r="H812" s="1382">
        <v>6.0499999999999998E-3</v>
      </c>
      <c r="I812" s="1373">
        <f t="shared" si="12"/>
        <v>-1.0749999999999999E-2</v>
      </c>
      <c r="J812" s="1371">
        <v>34151</v>
      </c>
    </row>
    <row r="813" spans="1:10" x14ac:dyDescent="0.45">
      <c r="A813" s="1370">
        <v>17</v>
      </c>
      <c r="B813" s="1371">
        <v>34182</v>
      </c>
      <c r="C813" s="1370" t="s">
        <v>7149</v>
      </c>
      <c r="F813" s="1372">
        <v>3.8100000000000002E-2</v>
      </c>
      <c r="H813" s="1382">
        <v>5.7958333333333334E-3</v>
      </c>
      <c r="I813" s="1373">
        <f t="shared" si="12"/>
        <v>3.2304166666666669E-2</v>
      </c>
      <c r="J813" s="1371">
        <v>34182</v>
      </c>
    </row>
    <row r="814" spans="1:10" x14ac:dyDescent="0.45">
      <c r="A814" s="1370">
        <v>17</v>
      </c>
      <c r="B814" s="1371">
        <v>34213</v>
      </c>
      <c r="C814" s="1370" t="s">
        <v>7149</v>
      </c>
      <c r="F814" s="1372">
        <v>-7.4000000000000003E-3</v>
      </c>
      <c r="H814" s="1382">
        <v>5.6291666666666677E-3</v>
      </c>
      <c r="I814" s="1373">
        <f t="shared" si="12"/>
        <v>-1.3029166666666668E-2</v>
      </c>
      <c r="J814" s="1371">
        <v>34213</v>
      </c>
    </row>
    <row r="815" spans="1:10" x14ac:dyDescent="0.45">
      <c r="A815" s="1370">
        <v>17</v>
      </c>
      <c r="B815" s="1371">
        <v>34243</v>
      </c>
      <c r="C815" s="1370" t="s">
        <v>7149</v>
      </c>
      <c r="F815" s="1372">
        <v>2.0299999999999999E-2</v>
      </c>
      <c r="H815" s="1382">
        <v>5.6416666666666672E-3</v>
      </c>
      <c r="I815" s="1373">
        <f t="shared" si="12"/>
        <v>1.4658333333333332E-2</v>
      </c>
      <c r="J815" s="1371">
        <v>34243</v>
      </c>
    </row>
    <row r="816" spans="1:10" x14ac:dyDescent="0.45">
      <c r="A816" s="1370">
        <v>17</v>
      </c>
      <c r="B816" s="1371">
        <v>34274</v>
      </c>
      <c r="C816" s="1370" t="s">
        <v>7149</v>
      </c>
      <c r="F816" s="1372">
        <v>-9.4000000000000004E-3</v>
      </c>
      <c r="H816" s="1382">
        <v>5.8541666666666672E-3</v>
      </c>
      <c r="I816" s="1373">
        <f t="shared" si="12"/>
        <v>-1.5254166666666668E-2</v>
      </c>
      <c r="J816" s="1371">
        <v>34274</v>
      </c>
    </row>
    <row r="817" spans="1:10" x14ac:dyDescent="0.45">
      <c r="A817" s="1370">
        <v>17</v>
      </c>
      <c r="B817" s="1371">
        <v>34304</v>
      </c>
      <c r="C817" s="1370" t="s">
        <v>7149</v>
      </c>
      <c r="F817" s="1372">
        <v>1.23E-2</v>
      </c>
      <c r="H817" s="1382">
        <v>5.8541666666666672E-3</v>
      </c>
      <c r="I817" s="1373">
        <f t="shared" si="12"/>
        <v>6.4458333333333329E-3</v>
      </c>
      <c r="J817" s="1371">
        <v>34304</v>
      </c>
    </row>
    <row r="818" spans="1:10" x14ac:dyDescent="0.45">
      <c r="A818" s="1370">
        <v>17</v>
      </c>
      <c r="B818" s="1371">
        <v>34335</v>
      </c>
      <c r="C818" s="1370" t="s">
        <v>7149</v>
      </c>
      <c r="F818" s="1372">
        <v>3.3500000000000002E-2</v>
      </c>
      <c r="H818" s="1382">
        <v>5.8499999999999993E-3</v>
      </c>
      <c r="I818" s="1373">
        <f t="shared" si="12"/>
        <v>2.7650000000000001E-2</v>
      </c>
      <c r="J818" s="1371">
        <v>34335</v>
      </c>
    </row>
    <row r="819" spans="1:10" x14ac:dyDescent="0.45">
      <c r="A819" s="1370">
        <v>17</v>
      </c>
      <c r="B819" s="1371">
        <v>34366</v>
      </c>
      <c r="C819" s="1370" t="s">
        <v>7149</v>
      </c>
      <c r="F819" s="1372">
        <v>-2.7E-2</v>
      </c>
      <c r="H819" s="1382">
        <v>5.9874999999999998E-3</v>
      </c>
      <c r="I819" s="1373">
        <f t="shared" si="12"/>
        <v>-3.2987500000000003E-2</v>
      </c>
      <c r="J819" s="1371">
        <v>34366</v>
      </c>
    </row>
    <row r="820" spans="1:10" x14ac:dyDescent="0.45">
      <c r="A820" s="1370">
        <v>17</v>
      </c>
      <c r="B820" s="1371">
        <v>34394</v>
      </c>
      <c r="C820" s="1370" t="s">
        <v>7149</v>
      </c>
      <c r="F820" s="1372">
        <v>-4.3499999999999997E-2</v>
      </c>
      <c r="H820" s="1382">
        <v>5.9874999999999998E-3</v>
      </c>
      <c r="I820" s="1373">
        <f t="shared" si="12"/>
        <v>-4.9487499999999997E-2</v>
      </c>
      <c r="J820" s="1371">
        <v>34394</v>
      </c>
    </row>
    <row r="821" spans="1:10" x14ac:dyDescent="0.45">
      <c r="A821" s="1370">
        <v>17</v>
      </c>
      <c r="B821" s="1371">
        <v>34425</v>
      </c>
      <c r="C821" s="1370" t="s">
        <v>7149</v>
      </c>
      <c r="F821" s="1372">
        <v>1.2999999999999999E-2</v>
      </c>
      <c r="H821" s="1382">
        <v>6.3208333333333337E-3</v>
      </c>
      <c r="I821" s="1373">
        <f t="shared" si="12"/>
        <v>6.6791666666666657E-3</v>
      </c>
      <c r="J821" s="1371">
        <v>34425</v>
      </c>
    </row>
    <row r="822" spans="1:10" x14ac:dyDescent="0.45">
      <c r="A822" s="1370">
        <v>17</v>
      </c>
      <c r="B822" s="1371">
        <v>34455</v>
      </c>
      <c r="C822" s="1370" t="s">
        <v>7149</v>
      </c>
      <c r="F822" s="1372">
        <v>1.6299999999999999E-2</v>
      </c>
      <c r="H822" s="1382">
        <v>6.7416666666666666E-3</v>
      </c>
      <c r="I822" s="1373">
        <f t="shared" si="12"/>
        <v>9.5583333333333319E-3</v>
      </c>
      <c r="J822" s="1371">
        <v>34455</v>
      </c>
    </row>
    <row r="823" spans="1:10" x14ac:dyDescent="0.45">
      <c r="A823" s="1370">
        <v>17</v>
      </c>
      <c r="B823" s="1371">
        <v>34486</v>
      </c>
      <c r="C823" s="1370" t="s">
        <v>7149</v>
      </c>
      <c r="F823" s="1372">
        <v>-2.47E-2</v>
      </c>
      <c r="H823" s="1382">
        <v>6.7250000000000001E-3</v>
      </c>
      <c r="I823" s="1373">
        <f t="shared" si="12"/>
        <v>-3.1425000000000002E-2</v>
      </c>
      <c r="J823" s="1371">
        <v>34486</v>
      </c>
    </row>
    <row r="824" spans="1:10" x14ac:dyDescent="0.45">
      <c r="A824" s="1370">
        <v>17</v>
      </c>
      <c r="B824" s="1371">
        <v>34516</v>
      </c>
      <c r="C824" s="1370" t="s">
        <v>7149</v>
      </c>
      <c r="F824" s="1372">
        <v>3.3099999999999997E-2</v>
      </c>
      <c r="H824" s="1382">
        <v>6.841666666666666E-3</v>
      </c>
      <c r="I824" s="1373">
        <f t="shared" si="12"/>
        <v>2.6258333333333331E-2</v>
      </c>
      <c r="J824" s="1371">
        <v>34516</v>
      </c>
    </row>
    <row r="825" spans="1:10" x14ac:dyDescent="0.45">
      <c r="A825" s="1370">
        <v>17</v>
      </c>
      <c r="B825" s="1371">
        <v>34547</v>
      </c>
      <c r="C825" s="1370" t="s">
        <v>7149</v>
      </c>
      <c r="F825" s="1372">
        <v>4.07E-2</v>
      </c>
      <c r="H825" s="1382">
        <v>6.7999999999999996E-3</v>
      </c>
      <c r="I825" s="1373">
        <f t="shared" si="12"/>
        <v>3.39E-2</v>
      </c>
      <c r="J825" s="1371">
        <v>34547</v>
      </c>
    </row>
    <row r="826" spans="1:10" x14ac:dyDescent="0.45">
      <c r="A826" s="1370">
        <v>17</v>
      </c>
      <c r="B826" s="1371">
        <v>34578</v>
      </c>
      <c r="C826" s="1370" t="s">
        <v>7149</v>
      </c>
      <c r="F826" s="1372">
        <v>-2.41E-2</v>
      </c>
      <c r="H826" s="1382">
        <v>7.0124999999999996E-3</v>
      </c>
      <c r="I826" s="1373">
        <f t="shared" si="12"/>
        <v>-3.1112500000000001E-2</v>
      </c>
      <c r="J826" s="1371">
        <v>34578</v>
      </c>
    </row>
    <row r="827" spans="1:10" x14ac:dyDescent="0.45">
      <c r="A827" s="1370">
        <v>17</v>
      </c>
      <c r="B827" s="1371">
        <v>34608</v>
      </c>
      <c r="C827" s="1370" t="s">
        <v>7149</v>
      </c>
      <c r="F827" s="1372">
        <v>2.29E-2</v>
      </c>
      <c r="H827" s="1382">
        <v>7.2000000000000007E-3</v>
      </c>
      <c r="I827" s="1373">
        <f t="shared" si="12"/>
        <v>1.5699999999999999E-2</v>
      </c>
      <c r="J827" s="1371">
        <v>34608</v>
      </c>
    </row>
    <row r="828" spans="1:10" x14ac:dyDescent="0.45">
      <c r="A828" s="1370">
        <v>17</v>
      </c>
      <c r="B828" s="1371">
        <v>34639</v>
      </c>
      <c r="C828" s="1370" t="s">
        <v>7149</v>
      </c>
      <c r="F828" s="1372">
        <v>-3.6700000000000003E-2</v>
      </c>
      <c r="H828" s="1382">
        <v>7.2958333333333321E-3</v>
      </c>
      <c r="I828" s="1373">
        <f t="shared" si="12"/>
        <v>-4.3995833333333338E-2</v>
      </c>
      <c r="J828" s="1371">
        <v>34639</v>
      </c>
    </row>
    <row r="829" spans="1:10" x14ac:dyDescent="0.45">
      <c r="A829" s="1370">
        <v>17</v>
      </c>
      <c r="B829" s="1371">
        <v>34669</v>
      </c>
      <c r="C829" s="1370" t="s">
        <v>7149</v>
      </c>
      <c r="F829" s="1372">
        <v>1.46E-2</v>
      </c>
      <c r="H829" s="1382">
        <v>7.116666666666667E-3</v>
      </c>
      <c r="I829" s="1373">
        <f t="shared" si="12"/>
        <v>7.4833333333333332E-3</v>
      </c>
      <c r="J829" s="1371">
        <v>34669</v>
      </c>
    </row>
    <row r="830" spans="1:10" x14ac:dyDescent="0.45">
      <c r="A830" s="1370">
        <v>17</v>
      </c>
      <c r="B830" s="1371">
        <v>34700</v>
      </c>
      <c r="C830" s="1370" t="s">
        <v>7149</v>
      </c>
      <c r="F830" s="1372">
        <v>2.5999999999999999E-2</v>
      </c>
      <c r="H830" s="1382">
        <v>7.1083333333333346E-3</v>
      </c>
      <c r="I830" s="1373">
        <f t="shared" si="12"/>
        <v>1.8891666666666664E-2</v>
      </c>
      <c r="J830" s="1371">
        <v>34700</v>
      </c>
    </row>
    <row r="831" spans="1:10" x14ac:dyDescent="0.45">
      <c r="A831" s="1370">
        <v>17</v>
      </c>
      <c r="B831" s="1371">
        <v>34731</v>
      </c>
      <c r="C831" s="1370" t="s">
        <v>7149</v>
      </c>
      <c r="F831" s="1372">
        <v>3.8800000000000001E-2</v>
      </c>
      <c r="H831" s="1382">
        <v>6.937500000000001E-3</v>
      </c>
      <c r="I831" s="1373">
        <f t="shared" si="12"/>
        <v>3.1862500000000002E-2</v>
      </c>
      <c r="J831" s="1371">
        <v>34731</v>
      </c>
    </row>
    <row r="832" spans="1:10" x14ac:dyDescent="0.45">
      <c r="A832" s="1370">
        <v>17</v>
      </c>
      <c r="B832" s="1371">
        <v>34759</v>
      </c>
      <c r="C832" s="1370" t="s">
        <v>7149</v>
      </c>
      <c r="F832" s="1372">
        <v>2.9600000000000001E-2</v>
      </c>
      <c r="H832" s="1382">
        <v>6.8166666666666662E-3</v>
      </c>
      <c r="I832" s="1373">
        <f t="shared" si="12"/>
        <v>2.2783333333333336E-2</v>
      </c>
      <c r="J832" s="1371">
        <v>34759</v>
      </c>
    </row>
    <row r="833" spans="1:10" x14ac:dyDescent="0.45">
      <c r="A833" s="1370">
        <v>17</v>
      </c>
      <c r="B833" s="1371">
        <v>34790</v>
      </c>
      <c r="C833" s="1370" t="s">
        <v>7149</v>
      </c>
      <c r="F833" s="1372">
        <v>2.9100000000000001E-2</v>
      </c>
      <c r="H833" s="1382">
        <v>6.7291666666666663E-3</v>
      </c>
      <c r="I833" s="1373">
        <f t="shared" si="12"/>
        <v>2.2370833333333333E-2</v>
      </c>
      <c r="J833" s="1371">
        <v>34790</v>
      </c>
    </row>
    <row r="834" spans="1:10" x14ac:dyDescent="0.45">
      <c r="A834" s="1370">
        <v>17</v>
      </c>
      <c r="B834" s="1371">
        <v>34820</v>
      </c>
      <c r="C834" s="1370" t="s">
        <v>7149</v>
      </c>
      <c r="F834" s="1372">
        <v>3.95E-2</v>
      </c>
      <c r="H834" s="1382">
        <v>6.4125000000000007E-3</v>
      </c>
      <c r="I834" s="1373">
        <f t="shared" si="12"/>
        <v>3.3087499999999999E-2</v>
      </c>
      <c r="J834" s="1371">
        <v>34820</v>
      </c>
    </row>
    <row r="835" spans="1:10" x14ac:dyDescent="0.45">
      <c r="A835" s="1370">
        <v>17</v>
      </c>
      <c r="B835" s="1371">
        <v>34851</v>
      </c>
      <c r="C835" s="1370" t="s">
        <v>7149</v>
      </c>
      <c r="F835" s="1372">
        <v>2.35E-2</v>
      </c>
      <c r="H835" s="1382">
        <v>6.1375000000000006E-3</v>
      </c>
      <c r="I835" s="1373">
        <f t="shared" si="12"/>
        <v>1.7362499999999999E-2</v>
      </c>
      <c r="J835" s="1371">
        <v>34851</v>
      </c>
    </row>
    <row r="836" spans="1:10" x14ac:dyDescent="0.45">
      <c r="A836" s="1370">
        <v>17</v>
      </c>
      <c r="B836" s="1371">
        <v>34881</v>
      </c>
      <c r="C836" s="1370" t="s">
        <v>7149</v>
      </c>
      <c r="F836" s="1372">
        <v>3.3300000000000003E-2</v>
      </c>
      <c r="H836" s="1382">
        <v>6.2291666666666667E-3</v>
      </c>
      <c r="I836" s="1373">
        <f t="shared" si="12"/>
        <v>2.7070833333333336E-2</v>
      </c>
      <c r="J836" s="1371">
        <v>34881</v>
      </c>
    </row>
    <row r="837" spans="1:10" x14ac:dyDescent="0.45">
      <c r="A837" s="1370">
        <v>17</v>
      </c>
      <c r="B837" s="1371">
        <v>34912</v>
      </c>
      <c r="C837" s="1370" t="s">
        <v>7149</v>
      </c>
      <c r="F837" s="1372">
        <v>2.7000000000000001E-3</v>
      </c>
      <c r="H837" s="1382">
        <v>6.3583333333333339E-3</v>
      </c>
      <c r="I837" s="1373">
        <f t="shared" si="12"/>
        <v>-3.6583333333333337E-3</v>
      </c>
      <c r="J837" s="1371">
        <v>34912</v>
      </c>
    </row>
    <row r="838" spans="1:10" x14ac:dyDescent="0.45">
      <c r="A838" s="1370">
        <v>17</v>
      </c>
      <c r="B838" s="1371">
        <v>34943</v>
      </c>
      <c r="C838" s="1370" t="s">
        <v>7149</v>
      </c>
      <c r="F838" s="1372">
        <v>4.19E-2</v>
      </c>
      <c r="H838" s="1382">
        <v>6.1541666666666672E-3</v>
      </c>
      <c r="I838" s="1373">
        <f t="shared" si="12"/>
        <v>3.5745833333333331E-2</v>
      </c>
      <c r="J838" s="1371">
        <v>34943</v>
      </c>
    </row>
    <row r="839" spans="1:10" x14ac:dyDescent="0.45">
      <c r="A839" s="1370">
        <v>17</v>
      </c>
      <c r="B839" s="1371">
        <v>34973</v>
      </c>
      <c r="C839" s="1370" t="s">
        <v>7149</v>
      </c>
      <c r="F839" s="1372">
        <v>-3.5000000000000001E-3</v>
      </c>
      <c r="H839" s="1382">
        <v>5.9958333333333339E-3</v>
      </c>
      <c r="I839" s="1373">
        <f t="shared" si="12"/>
        <v>-9.4958333333333336E-3</v>
      </c>
      <c r="J839" s="1371">
        <v>34973</v>
      </c>
    </row>
    <row r="840" spans="1:10" x14ac:dyDescent="0.45">
      <c r="A840" s="1370">
        <v>17</v>
      </c>
      <c r="B840" s="1371">
        <v>35004</v>
      </c>
      <c r="C840" s="1370" t="s">
        <v>7149</v>
      </c>
      <c r="F840" s="1372">
        <v>4.3999999999999997E-2</v>
      </c>
      <c r="H840" s="1382">
        <v>5.9166666666666656E-3</v>
      </c>
      <c r="I840" s="1373">
        <f t="shared" si="12"/>
        <v>3.808333333333333E-2</v>
      </c>
      <c r="J840" s="1371">
        <v>35004</v>
      </c>
    </row>
    <row r="841" spans="1:10" x14ac:dyDescent="0.45">
      <c r="A841" s="1370">
        <v>17</v>
      </c>
      <c r="B841" s="1371">
        <v>35034</v>
      </c>
      <c r="C841" s="1370" t="s">
        <v>7149</v>
      </c>
      <c r="F841" s="1372">
        <v>1.8499999999999999E-2</v>
      </c>
      <c r="H841" s="1382">
        <v>5.754166666666667E-3</v>
      </c>
      <c r="I841" s="1373">
        <f t="shared" si="12"/>
        <v>1.2745833333333331E-2</v>
      </c>
      <c r="J841" s="1371">
        <v>35034</v>
      </c>
    </row>
    <row r="842" spans="1:10" x14ac:dyDescent="0.45">
      <c r="A842" s="1370">
        <v>17</v>
      </c>
      <c r="B842" s="1371">
        <v>35065</v>
      </c>
      <c r="C842" s="1370" t="s">
        <v>7149</v>
      </c>
      <c r="F842" s="1372">
        <v>3.44E-2</v>
      </c>
      <c r="H842" s="1382">
        <v>5.7499999999999999E-3</v>
      </c>
      <c r="I842" s="1373">
        <f t="shared" si="12"/>
        <v>2.8650000000000002E-2</v>
      </c>
      <c r="J842" s="1371">
        <v>35065</v>
      </c>
    </row>
    <row r="843" spans="1:10" x14ac:dyDescent="0.45">
      <c r="A843" s="1370">
        <v>17</v>
      </c>
      <c r="B843" s="1371">
        <v>35096</v>
      </c>
      <c r="C843" s="1370" t="s">
        <v>7149</v>
      </c>
      <c r="F843" s="1372">
        <v>9.5999999999999992E-3</v>
      </c>
      <c r="H843" s="1382">
        <v>5.8958333333333337E-3</v>
      </c>
      <c r="I843" s="1373">
        <f t="shared" si="12"/>
        <v>3.7041666666666655E-3</v>
      </c>
      <c r="J843" s="1371">
        <v>35096</v>
      </c>
    </row>
    <row r="844" spans="1:10" x14ac:dyDescent="0.45">
      <c r="A844" s="1370">
        <v>17</v>
      </c>
      <c r="B844" s="1371">
        <v>35125</v>
      </c>
      <c r="C844" s="1370" t="s">
        <v>7149</v>
      </c>
      <c r="F844" s="1372">
        <v>9.5999999999999992E-3</v>
      </c>
      <c r="H844" s="1382">
        <v>6.1958333333333327E-3</v>
      </c>
      <c r="I844" s="1373">
        <f t="shared" si="12"/>
        <v>3.4041666666666665E-3</v>
      </c>
      <c r="J844" s="1371">
        <v>35125</v>
      </c>
    </row>
    <row r="845" spans="1:10" x14ac:dyDescent="0.45">
      <c r="A845" s="1370">
        <v>17</v>
      </c>
      <c r="B845" s="1371">
        <v>35156</v>
      </c>
      <c r="C845" s="1370" t="s">
        <v>7149</v>
      </c>
      <c r="F845" s="1372">
        <v>1.47E-2</v>
      </c>
      <c r="H845" s="1382">
        <v>6.3250000000000008E-3</v>
      </c>
      <c r="I845" s="1373">
        <f t="shared" si="12"/>
        <v>8.3749999999999988E-3</v>
      </c>
      <c r="J845" s="1371">
        <v>35156</v>
      </c>
    </row>
    <row r="846" spans="1:10" x14ac:dyDescent="0.45">
      <c r="A846" s="1370">
        <v>17</v>
      </c>
      <c r="B846" s="1371">
        <v>35186</v>
      </c>
      <c r="C846" s="1370" t="s">
        <v>7149</v>
      </c>
      <c r="F846" s="1372">
        <v>2.58E-2</v>
      </c>
      <c r="H846" s="1382">
        <v>6.4124999999999998E-3</v>
      </c>
      <c r="I846" s="1373">
        <f t="shared" si="12"/>
        <v>1.9387500000000002E-2</v>
      </c>
      <c r="J846" s="1371">
        <v>35186</v>
      </c>
    </row>
    <row r="847" spans="1:10" x14ac:dyDescent="0.45">
      <c r="A847" s="1370">
        <v>17</v>
      </c>
      <c r="B847" s="1371">
        <v>35217</v>
      </c>
      <c r="C847" s="1370" t="s">
        <v>7149</v>
      </c>
      <c r="F847" s="1372">
        <v>4.1000000000000003E-3</v>
      </c>
      <c r="H847" s="1382">
        <v>6.4916666666666664E-3</v>
      </c>
      <c r="I847" s="1373">
        <f t="shared" si="12"/>
        <v>-2.3916666666666661E-3</v>
      </c>
      <c r="J847" s="1371">
        <v>35217</v>
      </c>
    </row>
    <row r="848" spans="1:10" x14ac:dyDescent="0.45">
      <c r="A848" s="1370">
        <v>17</v>
      </c>
      <c r="B848" s="1371">
        <v>35247</v>
      </c>
      <c r="C848" s="1370" t="s">
        <v>7149</v>
      </c>
      <c r="F848" s="1372">
        <v>-4.4499999999999998E-2</v>
      </c>
      <c r="H848" s="1382">
        <v>6.4458333333333338E-3</v>
      </c>
      <c r="I848" s="1373">
        <f t="shared" si="12"/>
        <v>-5.0945833333333329E-2</v>
      </c>
      <c r="J848" s="1371">
        <v>35247</v>
      </c>
    </row>
    <row r="849" spans="1:10" x14ac:dyDescent="0.45">
      <c r="A849" s="1370">
        <v>17</v>
      </c>
      <c r="B849" s="1371">
        <v>35278</v>
      </c>
      <c r="C849" s="1370" t="s">
        <v>7149</v>
      </c>
      <c r="F849" s="1372">
        <v>2.12E-2</v>
      </c>
      <c r="H849" s="1382">
        <v>6.2875000000000006E-3</v>
      </c>
      <c r="I849" s="1373">
        <f t="shared" si="12"/>
        <v>1.4912499999999999E-2</v>
      </c>
      <c r="J849" s="1371">
        <v>35278</v>
      </c>
    </row>
    <row r="850" spans="1:10" x14ac:dyDescent="0.45">
      <c r="A850" s="1370">
        <v>17</v>
      </c>
      <c r="B850" s="1371">
        <v>35309</v>
      </c>
      <c r="C850" s="1370" t="s">
        <v>7149</v>
      </c>
      <c r="F850" s="1372">
        <v>5.62E-2</v>
      </c>
      <c r="H850" s="1382">
        <v>6.45E-3</v>
      </c>
      <c r="I850" s="1373">
        <f t="shared" si="12"/>
        <v>4.9750000000000003E-2</v>
      </c>
      <c r="J850" s="1371">
        <v>35309</v>
      </c>
    </row>
    <row r="851" spans="1:10" x14ac:dyDescent="0.45">
      <c r="A851" s="1370">
        <v>17</v>
      </c>
      <c r="B851" s="1371">
        <v>35339</v>
      </c>
      <c r="C851" s="1370" t="s">
        <v>7149</v>
      </c>
      <c r="F851" s="1372">
        <v>2.7400000000000001E-2</v>
      </c>
      <c r="H851" s="1382">
        <v>6.2375E-3</v>
      </c>
      <c r="I851" s="1373">
        <f t="shared" si="12"/>
        <v>2.1162500000000001E-2</v>
      </c>
      <c r="J851" s="1371">
        <v>35339</v>
      </c>
    </row>
    <row r="852" spans="1:10" x14ac:dyDescent="0.45">
      <c r="A852" s="1370">
        <v>17</v>
      </c>
      <c r="B852" s="1371">
        <v>35370</v>
      </c>
      <c r="C852" s="1370" t="s">
        <v>7149</v>
      </c>
      <c r="F852" s="1372">
        <v>7.5899999999999995E-2</v>
      </c>
      <c r="H852" s="1382">
        <v>6.0041666666666663E-3</v>
      </c>
      <c r="I852" s="1373">
        <f t="shared" si="12"/>
        <v>6.9895833333333324E-2</v>
      </c>
      <c r="J852" s="1371">
        <v>35370</v>
      </c>
    </row>
    <row r="853" spans="1:10" x14ac:dyDescent="0.45">
      <c r="A853" s="1370">
        <v>17</v>
      </c>
      <c r="B853" s="1371">
        <v>35400</v>
      </c>
      <c r="C853" s="1370" t="s">
        <v>7149</v>
      </c>
      <c r="F853" s="1372">
        <v>-1.9599999999999999E-2</v>
      </c>
      <c r="H853" s="1382">
        <v>6.0875E-3</v>
      </c>
      <c r="I853" s="1373">
        <f t="shared" si="12"/>
        <v>-2.5687499999999999E-2</v>
      </c>
      <c r="J853" s="1371">
        <v>35400</v>
      </c>
    </row>
    <row r="854" spans="1:10" x14ac:dyDescent="0.45">
      <c r="A854" s="1370">
        <v>17</v>
      </c>
      <c r="B854" s="1371">
        <v>35431</v>
      </c>
      <c r="C854" s="1370" t="s">
        <v>7149</v>
      </c>
      <c r="F854" s="1372">
        <v>6.2100000000000002E-2</v>
      </c>
      <c r="H854" s="1382">
        <v>6.2708333333333331E-3</v>
      </c>
      <c r="I854" s="1373">
        <f t="shared" si="12"/>
        <v>5.5829166666666666E-2</v>
      </c>
      <c r="J854" s="1371">
        <v>35431</v>
      </c>
    </row>
    <row r="855" spans="1:10" x14ac:dyDescent="0.45">
      <c r="A855" s="1370">
        <v>17</v>
      </c>
      <c r="B855" s="1371">
        <v>35462</v>
      </c>
      <c r="C855" s="1370" t="s">
        <v>7149</v>
      </c>
      <c r="F855" s="1372">
        <v>8.0999999999999996E-3</v>
      </c>
      <c r="H855" s="1382">
        <v>6.1874999999999994E-3</v>
      </c>
      <c r="I855" s="1373">
        <f t="shared" si="12"/>
        <v>1.9125000000000001E-3</v>
      </c>
      <c r="J855" s="1371">
        <v>35462</v>
      </c>
    </row>
    <row r="856" spans="1:10" x14ac:dyDescent="0.45">
      <c r="A856" s="1370">
        <v>17</v>
      </c>
      <c r="B856" s="1371">
        <v>35490</v>
      </c>
      <c r="C856" s="1370" t="s">
        <v>7149</v>
      </c>
      <c r="F856" s="1372">
        <v>-4.1599999999999998E-2</v>
      </c>
      <c r="H856" s="1382">
        <v>6.3833333333333329E-3</v>
      </c>
      <c r="I856" s="1373">
        <f t="shared" si="12"/>
        <v>-4.7983333333333329E-2</v>
      </c>
      <c r="J856" s="1371">
        <v>35490</v>
      </c>
    </row>
    <row r="857" spans="1:10" x14ac:dyDescent="0.45">
      <c r="A857" s="1370">
        <v>17</v>
      </c>
      <c r="B857" s="1371">
        <v>35521</v>
      </c>
      <c r="C857" s="1370" t="s">
        <v>7149</v>
      </c>
      <c r="F857" s="1372">
        <v>5.9700000000000003E-2</v>
      </c>
      <c r="H857" s="1382">
        <v>6.5249999999999996E-3</v>
      </c>
      <c r="I857" s="1373">
        <f t="shared" si="12"/>
        <v>5.3175E-2</v>
      </c>
      <c r="J857" s="1371">
        <v>35521</v>
      </c>
    </row>
    <row r="858" spans="1:10" x14ac:dyDescent="0.45">
      <c r="A858" s="1370">
        <v>17</v>
      </c>
      <c r="B858" s="1371">
        <v>35551</v>
      </c>
      <c r="C858" s="1370" t="s">
        <v>7149</v>
      </c>
      <c r="F858" s="1372">
        <v>6.1400000000000003E-2</v>
      </c>
      <c r="H858" s="1382">
        <v>6.4083333333333336E-3</v>
      </c>
      <c r="I858" s="1373">
        <f t="shared" ref="I858:I921" si="13">F858-H858</f>
        <v>5.4991666666666668E-2</v>
      </c>
      <c r="J858" s="1371">
        <v>35551</v>
      </c>
    </row>
    <row r="859" spans="1:10" x14ac:dyDescent="0.45">
      <c r="A859" s="1370">
        <v>17</v>
      </c>
      <c r="B859" s="1371">
        <v>35582</v>
      </c>
      <c r="C859" s="1370" t="s">
        <v>7149</v>
      </c>
      <c r="F859" s="1372">
        <v>4.4600000000000001E-2</v>
      </c>
      <c r="H859" s="1382">
        <v>6.2624999999999998E-3</v>
      </c>
      <c r="I859" s="1373">
        <f t="shared" si="13"/>
        <v>3.8337500000000004E-2</v>
      </c>
      <c r="J859" s="1371">
        <v>35582</v>
      </c>
    </row>
    <row r="860" spans="1:10" x14ac:dyDescent="0.45">
      <c r="A860" s="1370">
        <v>17</v>
      </c>
      <c r="B860" s="1371">
        <v>35612</v>
      </c>
      <c r="C860" s="1370" t="s">
        <v>7149</v>
      </c>
      <c r="F860" s="1372">
        <v>7.9399999999999998E-2</v>
      </c>
      <c r="H860" s="1382">
        <v>6.0416666666666674E-3</v>
      </c>
      <c r="I860" s="1373">
        <f t="shared" si="13"/>
        <v>7.3358333333333331E-2</v>
      </c>
      <c r="J860" s="1371">
        <v>35612</v>
      </c>
    </row>
    <row r="861" spans="1:10" x14ac:dyDescent="0.45">
      <c r="A861" s="1370">
        <v>17</v>
      </c>
      <c r="B861" s="1371">
        <v>35643</v>
      </c>
      <c r="C861" s="1370" t="s">
        <v>7149</v>
      </c>
      <c r="F861" s="1372">
        <v>-5.5599999999999997E-2</v>
      </c>
      <c r="H861" s="1382">
        <v>6.0916666666666662E-3</v>
      </c>
      <c r="I861" s="1373">
        <f t="shared" si="13"/>
        <v>-6.1691666666666665E-2</v>
      </c>
      <c r="J861" s="1371">
        <v>35643</v>
      </c>
    </row>
    <row r="862" spans="1:10" x14ac:dyDescent="0.45">
      <c r="A862" s="1370">
        <v>17</v>
      </c>
      <c r="B862" s="1371">
        <v>35674</v>
      </c>
      <c r="C862" s="1370" t="s">
        <v>7149</v>
      </c>
      <c r="F862" s="1372">
        <v>5.4800000000000001E-2</v>
      </c>
      <c r="H862" s="1382">
        <v>6.0333333333333324E-3</v>
      </c>
      <c r="I862" s="1373">
        <f t="shared" si="13"/>
        <v>4.8766666666666666E-2</v>
      </c>
      <c r="J862" s="1371">
        <v>35674</v>
      </c>
    </row>
    <row r="863" spans="1:10" x14ac:dyDescent="0.45">
      <c r="A863" s="1370">
        <v>17</v>
      </c>
      <c r="B863" s="1371">
        <v>35704</v>
      </c>
      <c r="C863" s="1370" t="s">
        <v>7149</v>
      </c>
      <c r="F863" s="1372">
        <v>-3.3399999999999999E-2</v>
      </c>
      <c r="H863" s="1382">
        <v>5.9166666666666664E-3</v>
      </c>
      <c r="I863" s="1373">
        <f t="shared" si="13"/>
        <v>-3.9316666666666666E-2</v>
      </c>
      <c r="J863" s="1371">
        <v>35704</v>
      </c>
    </row>
    <row r="864" spans="1:10" x14ac:dyDescent="0.45">
      <c r="A864" s="1370">
        <v>17</v>
      </c>
      <c r="B864" s="1371">
        <v>35735</v>
      </c>
      <c r="C864" s="1370" t="s">
        <v>7149</v>
      </c>
      <c r="F864" s="1372">
        <v>4.6300000000000001E-2</v>
      </c>
      <c r="H864" s="1382">
        <v>5.8083333333333329E-3</v>
      </c>
      <c r="I864" s="1373">
        <f t="shared" si="13"/>
        <v>4.0491666666666669E-2</v>
      </c>
      <c r="J864" s="1371">
        <v>35735</v>
      </c>
    </row>
    <row r="865" spans="1:10" x14ac:dyDescent="0.45">
      <c r="A865" s="1370">
        <v>17</v>
      </c>
      <c r="B865" s="1371">
        <v>35765</v>
      </c>
      <c r="C865" s="1370" t="s">
        <v>7149</v>
      </c>
      <c r="F865" s="1372">
        <v>1.72E-2</v>
      </c>
      <c r="H865" s="1382">
        <v>5.7291666666666671E-3</v>
      </c>
      <c r="I865" s="1373">
        <f t="shared" si="13"/>
        <v>1.1470833333333333E-2</v>
      </c>
      <c r="J865" s="1371">
        <v>35765</v>
      </c>
    </row>
    <row r="866" spans="1:10" x14ac:dyDescent="0.45">
      <c r="A866" s="1370">
        <v>17</v>
      </c>
      <c r="B866" s="1371">
        <v>35796</v>
      </c>
      <c r="C866" s="1370" t="s">
        <v>7149</v>
      </c>
      <c r="F866" s="1372">
        <v>1.11E-2</v>
      </c>
      <c r="H866" s="1382">
        <v>5.5958333333333329E-3</v>
      </c>
      <c r="I866" s="1373">
        <f t="shared" si="13"/>
        <v>5.5041666666666676E-3</v>
      </c>
      <c r="J866" s="1371">
        <v>35796</v>
      </c>
    </row>
    <row r="867" spans="1:10" x14ac:dyDescent="0.45">
      <c r="A867" s="1370">
        <v>17</v>
      </c>
      <c r="B867" s="1371">
        <v>35827</v>
      </c>
      <c r="C867" s="1370" t="s">
        <v>7149</v>
      </c>
      <c r="F867" s="1372">
        <v>7.2099999999999997E-2</v>
      </c>
      <c r="H867" s="1382">
        <v>5.6458333333333334E-3</v>
      </c>
      <c r="I867" s="1373">
        <f t="shared" si="13"/>
        <v>6.6454166666666661E-2</v>
      </c>
      <c r="J867" s="1371">
        <v>35827</v>
      </c>
    </row>
    <row r="868" spans="1:10" x14ac:dyDescent="0.45">
      <c r="A868" s="1370">
        <v>17</v>
      </c>
      <c r="B868" s="1371">
        <v>35855</v>
      </c>
      <c r="C868" s="1370" t="s">
        <v>7149</v>
      </c>
      <c r="F868" s="1372">
        <v>5.1200000000000002E-2</v>
      </c>
      <c r="H868" s="1382">
        <v>5.6833333333333336E-3</v>
      </c>
      <c r="I868" s="1373">
        <f t="shared" si="13"/>
        <v>4.5516666666666671E-2</v>
      </c>
      <c r="J868" s="1371">
        <v>35855</v>
      </c>
    </row>
    <row r="869" spans="1:10" x14ac:dyDescent="0.45">
      <c r="A869" s="1370">
        <v>17</v>
      </c>
      <c r="B869" s="1371">
        <v>35886</v>
      </c>
      <c r="C869" s="1370" t="s">
        <v>7149</v>
      </c>
      <c r="F869" s="1372">
        <v>1.01E-2</v>
      </c>
      <c r="H869" s="1382">
        <v>5.6625E-3</v>
      </c>
      <c r="I869" s="1373">
        <f t="shared" si="13"/>
        <v>4.4374999999999996E-3</v>
      </c>
      <c r="J869" s="1371">
        <v>35886</v>
      </c>
    </row>
    <row r="870" spans="1:10" x14ac:dyDescent="0.45">
      <c r="A870" s="1370">
        <v>17</v>
      </c>
      <c r="B870" s="1371">
        <v>35916</v>
      </c>
      <c r="C870" s="1370" t="s">
        <v>7149</v>
      </c>
      <c r="F870" s="1372">
        <v>-1.72E-2</v>
      </c>
      <c r="H870" s="1382">
        <v>5.6666666666666662E-3</v>
      </c>
      <c r="I870" s="1373">
        <f t="shared" si="13"/>
        <v>-2.2866666666666667E-2</v>
      </c>
      <c r="J870" s="1371">
        <v>35916</v>
      </c>
    </row>
    <row r="871" spans="1:10" x14ac:dyDescent="0.45">
      <c r="A871" s="1370">
        <v>17</v>
      </c>
      <c r="B871" s="1371">
        <v>35947</v>
      </c>
      <c r="C871" s="1370" t="s">
        <v>7149</v>
      </c>
      <c r="F871" s="1372">
        <v>4.0599999999999997E-2</v>
      </c>
      <c r="H871" s="1382">
        <v>5.545833333333334E-3</v>
      </c>
      <c r="I871" s="1373">
        <f t="shared" si="13"/>
        <v>3.5054166666666664E-2</v>
      </c>
      <c r="J871" s="1371">
        <v>35947</v>
      </c>
    </row>
    <row r="872" spans="1:10" x14ac:dyDescent="0.45">
      <c r="A872" s="1370">
        <v>17</v>
      </c>
      <c r="B872" s="1371">
        <v>35977</v>
      </c>
      <c r="C872" s="1370" t="s">
        <v>7149</v>
      </c>
      <c r="F872" s="1372">
        <v>-1.06E-2</v>
      </c>
      <c r="H872" s="1382">
        <v>5.5541666666666665E-3</v>
      </c>
      <c r="I872" s="1373">
        <f t="shared" si="13"/>
        <v>-1.6154166666666667E-2</v>
      </c>
      <c r="J872" s="1371">
        <v>35977</v>
      </c>
    </row>
    <row r="873" spans="1:10" x14ac:dyDescent="0.45">
      <c r="A873" s="1370">
        <v>17</v>
      </c>
      <c r="B873" s="1371">
        <v>36008</v>
      </c>
      <c r="C873" s="1370" t="s">
        <v>7149</v>
      </c>
      <c r="F873" s="1372">
        <v>-0.14460000000000001</v>
      </c>
      <c r="H873" s="1382">
        <v>5.5374999999999999E-3</v>
      </c>
      <c r="I873" s="1373">
        <f t="shared" si="13"/>
        <v>-0.15013750000000001</v>
      </c>
      <c r="J873" s="1371">
        <v>36008</v>
      </c>
    </row>
    <row r="874" spans="1:10" x14ac:dyDescent="0.45">
      <c r="A874" s="1370">
        <v>17</v>
      </c>
      <c r="B874" s="1371">
        <v>36039</v>
      </c>
      <c r="C874" s="1370" t="s">
        <v>7149</v>
      </c>
      <c r="F874" s="1372">
        <v>6.4100000000000004E-2</v>
      </c>
      <c r="H874" s="1382">
        <v>5.4499999999999991E-3</v>
      </c>
      <c r="I874" s="1373">
        <f t="shared" si="13"/>
        <v>5.8650000000000008E-2</v>
      </c>
      <c r="J874" s="1371">
        <v>36039</v>
      </c>
    </row>
    <row r="875" spans="1:10" x14ac:dyDescent="0.45">
      <c r="A875" s="1370">
        <v>17</v>
      </c>
      <c r="B875" s="1371">
        <v>36069</v>
      </c>
      <c r="C875" s="1370" t="s">
        <v>7149</v>
      </c>
      <c r="F875" s="1372">
        <v>8.1299999999999997E-2</v>
      </c>
      <c r="H875" s="1382">
        <v>5.4458333333333338E-3</v>
      </c>
      <c r="I875" s="1373">
        <f t="shared" si="13"/>
        <v>7.5854166666666667E-2</v>
      </c>
      <c r="J875" s="1371">
        <v>36069</v>
      </c>
    </row>
    <row r="876" spans="1:10" x14ac:dyDescent="0.45">
      <c r="A876" s="1370">
        <v>17</v>
      </c>
      <c r="B876" s="1371">
        <v>36100</v>
      </c>
      <c r="C876" s="1370" t="s">
        <v>7149</v>
      </c>
      <c r="F876" s="1372">
        <v>6.0600000000000001E-2</v>
      </c>
      <c r="H876" s="1382">
        <v>5.5000000000000005E-3</v>
      </c>
      <c r="I876" s="1373">
        <f t="shared" si="13"/>
        <v>5.5100000000000003E-2</v>
      </c>
      <c r="J876" s="1371">
        <v>36100</v>
      </c>
    </row>
    <row r="877" spans="1:10" x14ac:dyDescent="0.45">
      <c r="A877" s="1370">
        <v>17</v>
      </c>
      <c r="B877" s="1371">
        <v>36130</v>
      </c>
      <c r="C877" s="1370" t="s">
        <v>7149</v>
      </c>
      <c r="F877" s="1372">
        <v>5.7599999999999998E-2</v>
      </c>
      <c r="H877" s="1382">
        <v>5.3625000000000001E-3</v>
      </c>
      <c r="I877" s="1373">
        <f t="shared" si="13"/>
        <v>5.2237499999999999E-2</v>
      </c>
      <c r="J877" s="1371">
        <v>36130</v>
      </c>
    </row>
    <row r="878" spans="1:10" x14ac:dyDescent="0.45">
      <c r="A878" s="1370">
        <v>17</v>
      </c>
      <c r="B878" s="1371">
        <v>36161</v>
      </c>
      <c r="C878" s="1370" t="s">
        <v>7149</v>
      </c>
      <c r="F878" s="1372">
        <v>4.1799999999999997E-2</v>
      </c>
      <c r="H878" s="1382">
        <v>5.3833333333333337E-3</v>
      </c>
      <c r="I878" s="1373">
        <f t="shared" si="13"/>
        <v>3.6416666666666667E-2</v>
      </c>
      <c r="J878" s="1371">
        <v>36161</v>
      </c>
    </row>
    <row r="879" spans="1:10" x14ac:dyDescent="0.45">
      <c r="A879" s="1370">
        <v>17</v>
      </c>
      <c r="B879" s="1371">
        <v>36192</v>
      </c>
      <c r="C879" s="1370" t="s">
        <v>7149</v>
      </c>
      <c r="F879" s="1372">
        <v>-3.1099999999999999E-2</v>
      </c>
      <c r="H879" s="1382">
        <v>5.4958333333333335E-3</v>
      </c>
      <c r="I879" s="1373">
        <f t="shared" si="13"/>
        <v>-3.6595833333333334E-2</v>
      </c>
      <c r="J879" s="1371">
        <v>36192</v>
      </c>
    </row>
    <row r="880" spans="1:10" x14ac:dyDescent="0.45">
      <c r="A880" s="1370">
        <v>17</v>
      </c>
      <c r="B880" s="1371">
        <v>36220</v>
      </c>
      <c r="C880" s="1370" t="s">
        <v>7149</v>
      </c>
      <c r="F880" s="1372">
        <v>0.04</v>
      </c>
      <c r="H880" s="1382">
        <v>5.6666666666666662E-3</v>
      </c>
      <c r="I880" s="1373">
        <f t="shared" si="13"/>
        <v>3.4333333333333334E-2</v>
      </c>
      <c r="J880" s="1371">
        <v>36220</v>
      </c>
    </row>
    <row r="881" spans="1:10" x14ac:dyDescent="0.45">
      <c r="A881" s="1370">
        <v>17</v>
      </c>
      <c r="B881" s="1371">
        <v>36251</v>
      </c>
      <c r="C881" s="1370" t="s">
        <v>7149</v>
      </c>
      <c r="F881" s="1372">
        <v>3.8699999999999998E-2</v>
      </c>
      <c r="H881" s="1382">
        <v>5.6666666666666662E-3</v>
      </c>
      <c r="I881" s="1373">
        <f t="shared" si="13"/>
        <v>3.3033333333333331E-2</v>
      </c>
      <c r="J881" s="1371">
        <v>36251</v>
      </c>
    </row>
    <row r="882" spans="1:10" x14ac:dyDescent="0.45">
      <c r="A882" s="1370">
        <v>17</v>
      </c>
      <c r="B882" s="1371">
        <v>36281</v>
      </c>
      <c r="C882" s="1370" t="s">
        <v>7149</v>
      </c>
      <c r="F882" s="1372">
        <v>-2.3599999999999999E-2</v>
      </c>
      <c r="H882" s="1382">
        <v>5.9000000000000007E-3</v>
      </c>
      <c r="I882" s="1373">
        <f t="shared" si="13"/>
        <v>-2.9499999999999998E-2</v>
      </c>
      <c r="J882" s="1371">
        <v>36281</v>
      </c>
    </row>
    <row r="883" spans="1:10" x14ac:dyDescent="0.45">
      <c r="A883" s="1370">
        <v>17</v>
      </c>
      <c r="B883" s="1371">
        <v>36312</v>
      </c>
      <c r="C883" s="1370" t="s">
        <v>7149</v>
      </c>
      <c r="F883" s="1372">
        <v>5.5500000000000001E-2</v>
      </c>
      <c r="H883" s="1382">
        <v>6.145833333333333E-3</v>
      </c>
      <c r="I883" s="1373">
        <f t="shared" si="13"/>
        <v>4.9354166666666671E-2</v>
      </c>
      <c r="J883" s="1371">
        <v>36312</v>
      </c>
    </row>
    <row r="884" spans="1:10" x14ac:dyDescent="0.45">
      <c r="A884" s="1370">
        <v>17</v>
      </c>
      <c r="B884" s="1371">
        <v>36342</v>
      </c>
      <c r="C884" s="1370" t="s">
        <v>7149</v>
      </c>
      <c r="F884" s="1372">
        <v>-3.1199999999999999E-2</v>
      </c>
      <c r="H884" s="1382">
        <v>6.1125000000000007E-3</v>
      </c>
      <c r="I884" s="1373">
        <f t="shared" si="13"/>
        <v>-3.7312499999999998E-2</v>
      </c>
      <c r="J884" s="1371">
        <v>36342</v>
      </c>
    </row>
    <row r="885" spans="1:10" x14ac:dyDescent="0.45">
      <c r="A885" s="1370">
        <v>17</v>
      </c>
      <c r="B885" s="1371">
        <v>36373</v>
      </c>
      <c r="C885" s="1370" t="s">
        <v>7149</v>
      </c>
      <c r="F885" s="1372">
        <v>-5.0000000000000001E-3</v>
      </c>
      <c r="H885" s="1382">
        <v>6.2833333333333343E-3</v>
      </c>
      <c r="I885" s="1373">
        <f t="shared" si="13"/>
        <v>-1.1283333333333334E-2</v>
      </c>
      <c r="J885" s="1371">
        <v>36373</v>
      </c>
    </row>
    <row r="886" spans="1:10" x14ac:dyDescent="0.45">
      <c r="A886" s="1370">
        <v>17</v>
      </c>
      <c r="B886" s="1371">
        <v>36404</v>
      </c>
      <c r="C886" s="1370" t="s">
        <v>7149</v>
      </c>
      <c r="F886" s="1372">
        <v>-2.7400000000000001E-2</v>
      </c>
      <c r="H886" s="1382">
        <v>6.2791666666666664E-3</v>
      </c>
      <c r="I886" s="1373">
        <f t="shared" si="13"/>
        <v>-3.367916666666667E-2</v>
      </c>
      <c r="J886" s="1371">
        <v>36404</v>
      </c>
    </row>
    <row r="887" spans="1:10" x14ac:dyDescent="0.45">
      <c r="A887" s="1370">
        <v>17</v>
      </c>
      <c r="B887" s="1371">
        <v>36434</v>
      </c>
      <c r="C887" s="1370" t="s">
        <v>7149</v>
      </c>
      <c r="F887" s="1372">
        <v>6.3299999999999995E-2</v>
      </c>
      <c r="H887" s="1382">
        <v>6.391666666666667E-3</v>
      </c>
      <c r="I887" s="1373">
        <f t="shared" si="13"/>
        <v>5.6908333333333325E-2</v>
      </c>
      <c r="J887" s="1371">
        <v>36434</v>
      </c>
    </row>
    <row r="888" spans="1:10" x14ac:dyDescent="0.45">
      <c r="A888" s="1370">
        <v>17</v>
      </c>
      <c r="B888" s="1371">
        <v>36465</v>
      </c>
      <c r="C888" s="1370" t="s">
        <v>7149</v>
      </c>
      <c r="F888" s="1372">
        <v>2.0299999999999999E-2</v>
      </c>
      <c r="H888" s="1382">
        <v>6.2416666666666679E-3</v>
      </c>
      <c r="I888" s="1373">
        <f t="shared" si="13"/>
        <v>1.4058333333333331E-2</v>
      </c>
      <c r="J888" s="1371">
        <v>36465</v>
      </c>
    </row>
    <row r="889" spans="1:10" x14ac:dyDescent="0.45">
      <c r="A889" s="1370">
        <v>17</v>
      </c>
      <c r="B889" s="1371">
        <v>36495</v>
      </c>
      <c r="C889" s="1370" t="s">
        <v>7149</v>
      </c>
      <c r="F889" s="1372">
        <v>5.8900000000000001E-2</v>
      </c>
      <c r="H889" s="1382">
        <v>6.3874999999999991E-3</v>
      </c>
      <c r="I889" s="1373">
        <f t="shared" si="13"/>
        <v>5.2512500000000004E-2</v>
      </c>
      <c r="J889" s="1371">
        <v>36495</v>
      </c>
    </row>
    <row r="890" spans="1:10" x14ac:dyDescent="0.45">
      <c r="A890" s="1370">
        <v>17</v>
      </c>
      <c r="B890" s="1371">
        <v>36526</v>
      </c>
      <c r="C890" s="1370" t="s">
        <v>7149</v>
      </c>
      <c r="F890" s="1372">
        <v>-5.0200000000000002E-2</v>
      </c>
      <c r="H890" s="1382">
        <v>6.5583333333333327E-3</v>
      </c>
      <c r="I890" s="1373">
        <f t="shared" si="13"/>
        <v>-5.6758333333333334E-2</v>
      </c>
      <c r="J890" s="1371">
        <v>36526</v>
      </c>
    </row>
    <row r="891" spans="1:10" x14ac:dyDescent="0.45">
      <c r="A891" s="1370">
        <v>17</v>
      </c>
      <c r="B891" s="1371">
        <v>36557</v>
      </c>
      <c r="C891" s="1370" t="s">
        <v>7149</v>
      </c>
      <c r="F891" s="1372">
        <v>-1.89E-2</v>
      </c>
      <c r="H891" s="1382">
        <v>6.4583333333333333E-3</v>
      </c>
      <c r="I891" s="1373">
        <f t="shared" si="13"/>
        <v>-2.5358333333333333E-2</v>
      </c>
      <c r="J891" s="1371">
        <v>36557</v>
      </c>
    </row>
    <row r="892" spans="1:10" x14ac:dyDescent="0.45">
      <c r="A892" s="1370">
        <v>17</v>
      </c>
      <c r="B892" s="1371">
        <v>36586</v>
      </c>
      <c r="C892" s="1370" t="s">
        <v>7149</v>
      </c>
      <c r="F892" s="1372">
        <v>9.7799999999999998E-2</v>
      </c>
      <c r="H892" s="1382">
        <v>6.4624999999999995E-3</v>
      </c>
      <c r="I892" s="1373">
        <f t="shared" si="13"/>
        <v>9.1337500000000002E-2</v>
      </c>
      <c r="J892" s="1371">
        <v>36586</v>
      </c>
    </row>
    <row r="893" spans="1:10" x14ac:dyDescent="0.45">
      <c r="A893" s="1370">
        <v>17</v>
      </c>
      <c r="B893" s="1371">
        <v>36617</v>
      </c>
      <c r="C893" s="1370" t="s">
        <v>7149</v>
      </c>
      <c r="F893" s="1372">
        <v>-3.0099999999999998E-2</v>
      </c>
      <c r="H893" s="1382">
        <v>6.4416666666666667E-3</v>
      </c>
      <c r="I893" s="1373">
        <f t="shared" si="13"/>
        <v>-3.6541666666666667E-2</v>
      </c>
      <c r="J893" s="1371">
        <v>36617</v>
      </c>
    </row>
    <row r="894" spans="1:10" x14ac:dyDescent="0.45">
      <c r="A894" s="1370">
        <v>17</v>
      </c>
      <c r="B894" s="1371">
        <v>36647</v>
      </c>
      <c r="C894" s="1370" t="s">
        <v>7149</v>
      </c>
      <c r="F894" s="1372">
        <v>-2.0500000000000001E-2</v>
      </c>
      <c r="H894" s="1382">
        <v>6.7625000000000003E-3</v>
      </c>
      <c r="I894" s="1373">
        <f t="shared" si="13"/>
        <v>-2.7262500000000002E-2</v>
      </c>
      <c r="J894" s="1371">
        <v>36647</v>
      </c>
    </row>
    <row r="895" spans="1:10" x14ac:dyDescent="0.45">
      <c r="A895" s="1370">
        <v>17</v>
      </c>
      <c r="B895" s="1371">
        <v>36678</v>
      </c>
      <c r="C895" s="1370" t="s">
        <v>7149</v>
      </c>
      <c r="F895" s="1372">
        <v>2.46E-2</v>
      </c>
      <c r="H895" s="1382">
        <v>6.4749999999999999E-3</v>
      </c>
      <c r="I895" s="1373">
        <f t="shared" si="13"/>
        <v>1.8125000000000002E-2</v>
      </c>
      <c r="J895" s="1371">
        <v>36678</v>
      </c>
    </row>
    <row r="896" spans="1:10" x14ac:dyDescent="0.45">
      <c r="A896" s="1370">
        <v>17</v>
      </c>
      <c r="B896" s="1371">
        <v>36708</v>
      </c>
      <c r="C896" s="1370" t="s">
        <v>7149</v>
      </c>
      <c r="F896" s="1372">
        <v>-1.5599999999999999E-2</v>
      </c>
      <c r="H896" s="1382">
        <v>6.4416666666666667E-3</v>
      </c>
      <c r="I896" s="1373">
        <f t="shared" si="13"/>
        <v>-2.2041666666666668E-2</v>
      </c>
      <c r="J896" s="1371">
        <v>36708</v>
      </c>
    </row>
    <row r="897" spans="1:10" x14ac:dyDescent="0.45">
      <c r="A897" s="1370">
        <v>17</v>
      </c>
      <c r="B897" s="1371">
        <v>36739</v>
      </c>
      <c r="C897" s="1370" t="s">
        <v>7149</v>
      </c>
      <c r="F897" s="1372">
        <v>6.2100000000000002E-2</v>
      </c>
      <c r="H897" s="1382">
        <v>6.3541666666666677E-3</v>
      </c>
      <c r="I897" s="1373">
        <f t="shared" si="13"/>
        <v>5.5745833333333335E-2</v>
      </c>
      <c r="J897" s="1371">
        <v>36739</v>
      </c>
    </row>
    <row r="898" spans="1:10" x14ac:dyDescent="0.45">
      <c r="A898" s="1370">
        <v>17</v>
      </c>
      <c r="B898" s="1371">
        <v>36770</v>
      </c>
      <c r="C898" s="1370" t="s">
        <v>7149</v>
      </c>
      <c r="F898" s="1372">
        <v>-5.28E-2</v>
      </c>
      <c r="H898" s="1382">
        <v>6.4375000000000005E-3</v>
      </c>
      <c r="I898" s="1373">
        <f t="shared" si="13"/>
        <v>-5.9237499999999998E-2</v>
      </c>
      <c r="J898" s="1371">
        <v>36770</v>
      </c>
    </row>
    <row r="899" spans="1:10" x14ac:dyDescent="0.45">
      <c r="A899" s="1370">
        <v>17</v>
      </c>
      <c r="B899" s="1371">
        <v>36800</v>
      </c>
      <c r="C899" s="1370" t="s">
        <v>7149</v>
      </c>
      <c r="F899" s="1372">
        <v>-4.1999999999999997E-3</v>
      </c>
      <c r="H899" s="1382">
        <v>6.3999999999999994E-3</v>
      </c>
      <c r="I899" s="1373">
        <f t="shared" si="13"/>
        <v>-1.0599999999999998E-2</v>
      </c>
      <c r="J899" s="1371">
        <v>36800</v>
      </c>
    </row>
    <row r="900" spans="1:10" x14ac:dyDescent="0.45">
      <c r="A900" s="1370">
        <v>17</v>
      </c>
      <c r="B900" s="1371">
        <v>36831</v>
      </c>
      <c r="C900" s="1370" t="s">
        <v>7149</v>
      </c>
      <c r="F900" s="1372">
        <v>-7.8799999999999995E-2</v>
      </c>
      <c r="H900" s="1382">
        <v>6.3333333333333332E-3</v>
      </c>
      <c r="I900" s="1373">
        <f t="shared" si="13"/>
        <v>-8.5133333333333325E-2</v>
      </c>
      <c r="J900" s="1371">
        <v>36831</v>
      </c>
    </row>
    <row r="901" spans="1:10" x14ac:dyDescent="0.45">
      <c r="A901" s="1370">
        <v>17</v>
      </c>
      <c r="B901" s="1371">
        <v>36861</v>
      </c>
      <c r="C901" s="1370" t="s">
        <v>7149</v>
      </c>
      <c r="F901" s="1372">
        <v>4.8999999999999998E-3</v>
      </c>
      <c r="H901" s="1382">
        <v>6.1208333333333332E-3</v>
      </c>
      <c r="I901" s="1373">
        <f t="shared" si="13"/>
        <v>-1.2208333333333333E-3</v>
      </c>
      <c r="J901" s="1371">
        <v>36861</v>
      </c>
    </row>
    <row r="902" spans="1:10" x14ac:dyDescent="0.45">
      <c r="A902" s="1370">
        <v>17</v>
      </c>
      <c r="B902" s="1371">
        <v>36892</v>
      </c>
      <c r="C902" s="1370" t="s">
        <v>7149</v>
      </c>
      <c r="F902" s="1372">
        <v>3.5499999999999997E-2</v>
      </c>
      <c r="H902" s="1382">
        <v>6.0541666666666669E-3</v>
      </c>
      <c r="I902" s="1373">
        <f t="shared" si="13"/>
        <v>2.9445833333333331E-2</v>
      </c>
      <c r="J902" s="1371">
        <v>36892</v>
      </c>
    </row>
    <row r="903" spans="1:10" x14ac:dyDescent="0.45">
      <c r="A903" s="1370">
        <v>17</v>
      </c>
      <c r="B903" s="1371">
        <v>36923</v>
      </c>
      <c r="C903" s="1370" t="s">
        <v>7149</v>
      </c>
      <c r="F903" s="1372">
        <v>-9.1200000000000003E-2</v>
      </c>
      <c r="H903" s="1382">
        <v>6.0083333333333334E-3</v>
      </c>
      <c r="I903" s="1373">
        <f t="shared" si="13"/>
        <v>-9.7208333333333341E-2</v>
      </c>
      <c r="J903" s="1371">
        <v>36923</v>
      </c>
    </row>
    <row r="904" spans="1:10" x14ac:dyDescent="0.45">
      <c r="A904" s="1370">
        <v>17</v>
      </c>
      <c r="B904" s="1371">
        <v>36951</v>
      </c>
      <c r="C904" s="1370" t="s">
        <v>7149</v>
      </c>
      <c r="F904" s="1372">
        <v>-6.3399999999999998E-2</v>
      </c>
      <c r="H904" s="1382">
        <v>5.9166666666666664E-3</v>
      </c>
      <c r="I904" s="1373">
        <f t="shared" si="13"/>
        <v>-6.9316666666666665E-2</v>
      </c>
      <c r="J904" s="1371">
        <v>36951</v>
      </c>
    </row>
    <row r="905" spans="1:10" x14ac:dyDescent="0.45">
      <c r="A905" s="1370">
        <v>17</v>
      </c>
      <c r="B905" s="1371">
        <v>36982</v>
      </c>
      <c r="C905" s="1370" t="s">
        <v>7149</v>
      </c>
      <c r="F905" s="1372">
        <v>7.7700000000000005E-2</v>
      </c>
      <c r="H905" s="1382">
        <v>6.0958333333333333E-3</v>
      </c>
      <c r="I905" s="1373">
        <f t="shared" si="13"/>
        <v>7.1604166666666677E-2</v>
      </c>
      <c r="J905" s="1371">
        <v>36982</v>
      </c>
    </row>
    <row r="906" spans="1:10" x14ac:dyDescent="0.45">
      <c r="A906" s="1370">
        <v>17</v>
      </c>
      <c r="B906" s="1371">
        <v>37012</v>
      </c>
      <c r="C906" s="1370" t="s">
        <v>7149</v>
      </c>
      <c r="F906" s="1372">
        <v>6.7000000000000002E-3</v>
      </c>
      <c r="H906" s="1382">
        <v>6.1624999999999996E-3</v>
      </c>
      <c r="I906" s="1373">
        <f t="shared" si="13"/>
        <v>5.3750000000000065E-4</v>
      </c>
      <c r="J906" s="1371">
        <v>37012</v>
      </c>
    </row>
    <row r="907" spans="1:10" x14ac:dyDescent="0.45">
      <c r="A907" s="1370">
        <v>17</v>
      </c>
      <c r="B907" s="1371">
        <v>37043</v>
      </c>
      <c r="C907" s="1370" t="s">
        <v>7149</v>
      </c>
      <c r="F907" s="1372">
        <v>-2.4299999999999999E-2</v>
      </c>
      <c r="H907" s="1382">
        <v>6.0499999999999998E-3</v>
      </c>
      <c r="I907" s="1373">
        <f t="shared" si="13"/>
        <v>-3.0349999999999999E-2</v>
      </c>
      <c r="J907" s="1371">
        <v>37043</v>
      </c>
    </row>
    <row r="908" spans="1:10" x14ac:dyDescent="0.45">
      <c r="A908" s="1370">
        <v>17</v>
      </c>
      <c r="B908" s="1371">
        <v>37073</v>
      </c>
      <c r="C908" s="1370" t="s">
        <v>7149</v>
      </c>
      <c r="F908" s="1372">
        <v>-9.7999999999999997E-3</v>
      </c>
      <c r="H908" s="1382">
        <v>6.0000000000000001E-3</v>
      </c>
      <c r="I908" s="1373">
        <f t="shared" si="13"/>
        <v>-1.5800000000000002E-2</v>
      </c>
      <c r="J908" s="1371">
        <v>37073</v>
      </c>
    </row>
    <row r="909" spans="1:10" x14ac:dyDescent="0.45">
      <c r="A909" s="1370">
        <v>17</v>
      </c>
      <c r="B909" s="1371">
        <v>37104</v>
      </c>
      <c r="C909" s="1370" t="s">
        <v>7149</v>
      </c>
      <c r="F909" s="1372">
        <v>-6.2600000000000003E-2</v>
      </c>
      <c r="H909" s="1382">
        <v>5.9624999999999991E-3</v>
      </c>
      <c r="I909" s="1373">
        <f t="shared" si="13"/>
        <v>-6.8562499999999998E-2</v>
      </c>
      <c r="J909" s="1371">
        <v>37104</v>
      </c>
    </row>
    <row r="910" spans="1:10" x14ac:dyDescent="0.45">
      <c r="A910" s="1370">
        <v>17</v>
      </c>
      <c r="B910" s="1371">
        <v>37135</v>
      </c>
      <c r="C910" s="1370" t="s">
        <v>7149</v>
      </c>
      <c r="F910" s="1372">
        <v>-8.0799999999999997E-2</v>
      </c>
      <c r="H910" s="1382">
        <v>6.0166666666666667E-3</v>
      </c>
      <c r="I910" s="1373">
        <f t="shared" si="13"/>
        <v>-8.6816666666666667E-2</v>
      </c>
      <c r="J910" s="1371">
        <v>37135</v>
      </c>
    </row>
    <row r="911" spans="1:10" x14ac:dyDescent="0.45">
      <c r="A911" s="1370">
        <v>17</v>
      </c>
      <c r="B911" s="1371">
        <v>37165</v>
      </c>
      <c r="C911" s="1370" t="s">
        <v>7149</v>
      </c>
      <c r="F911" s="1372">
        <v>1.9099999999999999E-2</v>
      </c>
      <c r="H911" s="1382">
        <v>5.8999999999999999E-3</v>
      </c>
      <c r="I911" s="1373">
        <f t="shared" si="13"/>
        <v>1.32E-2</v>
      </c>
      <c r="J911" s="1371">
        <v>37165</v>
      </c>
    </row>
    <row r="912" spans="1:10" x14ac:dyDescent="0.45">
      <c r="A912" s="1370">
        <v>17</v>
      </c>
      <c r="B912" s="1371">
        <v>37196</v>
      </c>
      <c r="C912" s="1370" t="s">
        <v>7149</v>
      </c>
      <c r="F912" s="1372">
        <v>7.6700000000000004E-2</v>
      </c>
      <c r="H912" s="1382">
        <v>5.8250000000000003E-3</v>
      </c>
      <c r="I912" s="1373">
        <f t="shared" si="13"/>
        <v>7.0875000000000007E-2</v>
      </c>
      <c r="J912" s="1371">
        <v>37196</v>
      </c>
    </row>
    <row r="913" spans="1:10" x14ac:dyDescent="0.45">
      <c r="A913" s="1370">
        <v>17</v>
      </c>
      <c r="B913" s="1371">
        <v>37226</v>
      </c>
      <c r="C913" s="1370" t="s">
        <v>7149</v>
      </c>
      <c r="F913" s="1372">
        <v>8.8000000000000005E-3</v>
      </c>
      <c r="H913" s="1382">
        <v>5.8125000000000008E-3</v>
      </c>
      <c r="I913" s="1373">
        <f t="shared" si="13"/>
        <v>2.9874999999999997E-3</v>
      </c>
      <c r="J913" s="1371">
        <v>37226</v>
      </c>
    </row>
    <row r="914" spans="1:10" x14ac:dyDescent="0.45">
      <c r="A914" s="1370">
        <v>17</v>
      </c>
      <c r="B914" s="1371">
        <v>37257</v>
      </c>
      <c r="C914" s="1370" t="s">
        <v>7149</v>
      </c>
      <c r="F914" s="1372">
        <v>-1.46E-2</v>
      </c>
      <c r="H914" s="1382">
        <v>5.6583333333333329E-3</v>
      </c>
      <c r="I914" s="1373">
        <f t="shared" si="13"/>
        <v>-2.0258333333333333E-2</v>
      </c>
      <c r="J914" s="1371">
        <v>37257</v>
      </c>
    </row>
    <row r="915" spans="1:10" x14ac:dyDescent="0.45">
      <c r="A915" s="1370">
        <v>17</v>
      </c>
      <c r="B915" s="1371">
        <v>37288</v>
      </c>
      <c r="C915" s="1370" t="s">
        <v>7149</v>
      </c>
      <c r="F915" s="1372">
        <v>-1.9300000000000001E-2</v>
      </c>
      <c r="H915" s="1382">
        <v>5.6083333333333332E-3</v>
      </c>
      <c r="I915" s="1373">
        <f t="shared" si="13"/>
        <v>-2.4908333333333334E-2</v>
      </c>
      <c r="J915" s="1371">
        <v>37288</v>
      </c>
    </row>
    <row r="916" spans="1:10" x14ac:dyDescent="0.45">
      <c r="A916" s="1370">
        <v>17</v>
      </c>
      <c r="B916" s="1371">
        <v>37316</v>
      </c>
      <c r="C916" s="1370" t="s">
        <v>7149</v>
      </c>
      <c r="F916" s="1372">
        <v>3.7600000000000001E-2</v>
      </c>
      <c r="H916" s="1382">
        <v>5.8458333333333331E-3</v>
      </c>
      <c r="I916" s="1373">
        <f t="shared" si="13"/>
        <v>3.1754166666666667E-2</v>
      </c>
      <c r="J916" s="1371">
        <v>37316</v>
      </c>
    </row>
    <row r="917" spans="1:10" x14ac:dyDescent="0.45">
      <c r="A917" s="1370">
        <v>17</v>
      </c>
      <c r="B917" s="1371">
        <v>37347</v>
      </c>
      <c r="C917" s="1370" t="s">
        <v>7149</v>
      </c>
      <c r="F917" s="1372">
        <v>-6.0600000000000001E-2</v>
      </c>
      <c r="H917" s="1382">
        <v>5.8000000000000005E-3</v>
      </c>
      <c r="I917" s="1373">
        <f t="shared" si="13"/>
        <v>-6.6400000000000001E-2</v>
      </c>
      <c r="J917" s="1371">
        <v>37347</v>
      </c>
    </row>
    <row r="918" spans="1:10" x14ac:dyDescent="0.45">
      <c r="A918" s="1370">
        <v>17</v>
      </c>
      <c r="B918" s="1371">
        <v>37377</v>
      </c>
      <c r="C918" s="1370" t="s">
        <v>7149</v>
      </c>
      <c r="F918" s="1372">
        <v>-7.4000000000000003E-3</v>
      </c>
      <c r="H918" s="1382">
        <v>5.8125000000000008E-3</v>
      </c>
      <c r="I918" s="1373">
        <f t="shared" si="13"/>
        <v>-1.3212500000000002E-2</v>
      </c>
      <c r="J918" s="1371">
        <v>37377</v>
      </c>
    </row>
    <row r="919" spans="1:10" x14ac:dyDescent="0.45">
      <c r="A919" s="1370">
        <v>17</v>
      </c>
      <c r="B919" s="1371">
        <v>37408</v>
      </c>
      <c r="C919" s="1370" t="s">
        <v>7149</v>
      </c>
      <c r="F919" s="1372">
        <v>-7.1199999999999999E-2</v>
      </c>
      <c r="H919" s="1382">
        <v>5.7166666666666668E-3</v>
      </c>
      <c r="I919" s="1373">
        <f t="shared" si="13"/>
        <v>-7.6916666666666661E-2</v>
      </c>
      <c r="J919" s="1371">
        <v>37408</v>
      </c>
    </row>
    <row r="920" spans="1:10" x14ac:dyDescent="0.45">
      <c r="A920" s="1370">
        <v>17</v>
      </c>
      <c r="B920" s="1371">
        <v>37438</v>
      </c>
      <c r="C920" s="1370" t="s">
        <v>7149</v>
      </c>
      <c r="F920" s="1372">
        <v>-7.8E-2</v>
      </c>
      <c r="H920" s="1382">
        <v>5.6291666666666677E-3</v>
      </c>
      <c r="I920" s="1373">
        <f t="shared" si="13"/>
        <v>-8.3629166666666671E-2</v>
      </c>
      <c r="J920" s="1371">
        <v>37438</v>
      </c>
    </row>
    <row r="921" spans="1:10" x14ac:dyDescent="0.45">
      <c r="A921" s="1370">
        <v>17</v>
      </c>
      <c r="B921" s="1371">
        <v>37469</v>
      </c>
      <c r="C921" s="1370" t="s">
        <v>7149</v>
      </c>
      <c r="F921" s="1372">
        <v>6.6E-3</v>
      </c>
      <c r="H921" s="1382">
        <v>5.5041666666666668E-3</v>
      </c>
      <c r="I921" s="1373">
        <f t="shared" si="13"/>
        <v>1.0958333333333332E-3</v>
      </c>
      <c r="J921" s="1371">
        <v>37469</v>
      </c>
    </row>
    <row r="922" spans="1:10" x14ac:dyDescent="0.45">
      <c r="A922" s="1370">
        <v>17</v>
      </c>
      <c r="B922" s="1371">
        <v>37500</v>
      </c>
      <c r="C922" s="1370" t="s">
        <v>7149</v>
      </c>
      <c r="F922" s="1372">
        <v>-0.1087</v>
      </c>
      <c r="H922" s="1382">
        <v>5.3249999999999999E-3</v>
      </c>
      <c r="I922" s="1373">
        <f t="shared" ref="I922:I985" si="14">F922-H922</f>
        <v>-0.114025</v>
      </c>
      <c r="J922" s="1371">
        <v>37500</v>
      </c>
    </row>
    <row r="923" spans="1:10" x14ac:dyDescent="0.45">
      <c r="A923" s="1370">
        <v>17</v>
      </c>
      <c r="B923" s="1371">
        <v>37530</v>
      </c>
      <c r="C923" s="1370" t="s">
        <v>7149</v>
      </c>
      <c r="F923" s="1372">
        <v>8.7999999999999995E-2</v>
      </c>
      <c r="H923" s="1382">
        <v>5.4458333333333329E-3</v>
      </c>
      <c r="I923" s="1373">
        <f t="shared" si="14"/>
        <v>8.2554166666666665E-2</v>
      </c>
      <c r="J923" s="1371">
        <v>37530</v>
      </c>
    </row>
    <row r="924" spans="1:10" x14ac:dyDescent="0.45">
      <c r="A924" s="1370">
        <v>17</v>
      </c>
      <c r="B924" s="1371">
        <v>37561</v>
      </c>
      <c r="C924" s="1370" t="s">
        <v>7149</v>
      </c>
      <c r="F924" s="1372">
        <v>5.8900000000000001E-2</v>
      </c>
      <c r="H924" s="1382">
        <v>5.4250000000000001E-3</v>
      </c>
      <c r="I924" s="1373">
        <f t="shared" si="14"/>
        <v>5.3475000000000002E-2</v>
      </c>
      <c r="J924" s="1371">
        <v>37561</v>
      </c>
    </row>
    <row r="925" spans="1:10" x14ac:dyDescent="0.45">
      <c r="A925" s="1370">
        <v>17</v>
      </c>
      <c r="B925" s="1371">
        <v>37591</v>
      </c>
      <c r="C925" s="1370" t="s">
        <v>7149</v>
      </c>
      <c r="F925" s="1372">
        <v>-5.8799999999999998E-2</v>
      </c>
      <c r="H925" s="1382">
        <v>5.3499999999999989E-3</v>
      </c>
      <c r="I925" s="1373">
        <f t="shared" si="14"/>
        <v>-6.4149999999999999E-2</v>
      </c>
      <c r="J925" s="1371">
        <v>37591</v>
      </c>
    </row>
    <row r="926" spans="1:10" x14ac:dyDescent="0.45">
      <c r="A926" s="1370">
        <v>17</v>
      </c>
      <c r="B926" s="1371">
        <v>37622</v>
      </c>
      <c r="C926" s="1370" t="s">
        <v>7149</v>
      </c>
      <c r="F926" s="1372">
        <v>-2.6200000000000001E-2</v>
      </c>
      <c r="H926" s="1382">
        <v>5.3166666666666675E-3</v>
      </c>
      <c r="I926" s="1373">
        <f t="shared" si="14"/>
        <v>-3.1516666666666665E-2</v>
      </c>
      <c r="J926" s="1371">
        <v>37622</v>
      </c>
    </row>
    <row r="927" spans="1:10" x14ac:dyDescent="0.45">
      <c r="A927" s="1370">
        <v>17</v>
      </c>
      <c r="B927" s="1371">
        <v>37653</v>
      </c>
      <c r="C927" s="1370" t="s">
        <v>7149</v>
      </c>
      <c r="F927" s="1372">
        <v>-1.4999999999999999E-2</v>
      </c>
      <c r="H927" s="1382">
        <v>5.1208333333333331E-3</v>
      </c>
      <c r="I927" s="1373">
        <f t="shared" si="14"/>
        <v>-2.0120833333333331E-2</v>
      </c>
      <c r="J927" s="1371">
        <v>37653</v>
      </c>
    </row>
    <row r="928" spans="1:10" x14ac:dyDescent="0.45">
      <c r="A928" s="1370">
        <v>17</v>
      </c>
      <c r="B928" s="1371">
        <v>37681</v>
      </c>
      <c r="C928" s="1370" t="s">
        <v>7149</v>
      </c>
      <c r="F928" s="1372">
        <v>9.7000000000000003E-3</v>
      </c>
      <c r="H928" s="1382">
        <v>5.0708333333333334E-3</v>
      </c>
      <c r="I928" s="1373">
        <f t="shared" si="14"/>
        <v>4.6291666666666668E-3</v>
      </c>
      <c r="J928" s="1371">
        <v>37681</v>
      </c>
    </row>
    <row r="929" spans="1:10" x14ac:dyDescent="0.45">
      <c r="A929" s="1370">
        <v>17</v>
      </c>
      <c r="B929" s="1371">
        <v>37712</v>
      </c>
      <c r="C929" s="1370" t="s">
        <v>7149</v>
      </c>
      <c r="F929" s="1372">
        <v>8.2400000000000001E-2</v>
      </c>
      <c r="H929" s="1382">
        <v>4.9833333333333327E-3</v>
      </c>
      <c r="I929" s="1373">
        <f t="shared" si="14"/>
        <v>7.7416666666666661E-2</v>
      </c>
      <c r="J929" s="1371">
        <v>37712</v>
      </c>
    </row>
    <row r="930" spans="1:10" x14ac:dyDescent="0.45">
      <c r="A930" s="1370">
        <v>17</v>
      </c>
      <c r="B930" s="1371">
        <v>37742</v>
      </c>
      <c r="C930" s="1370" t="s">
        <v>7149</v>
      </c>
      <c r="F930" s="1372">
        <v>5.2699999999999997E-2</v>
      </c>
      <c r="H930" s="1382">
        <v>4.6125000000000003E-3</v>
      </c>
      <c r="I930" s="1373">
        <f t="shared" si="14"/>
        <v>4.8087499999999998E-2</v>
      </c>
      <c r="J930" s="1371">
        <v>37742</v>
      </c>
    </row>
    <row r="931" spans="1:10" x14ac:dyDescent="0.45">
      <c r="A931" s="1370">
        <v>17</v>
      </c>
      <c r="B931" s="1371">
        <v>37773</v>
      </c>
      <c r="C931" s="1370" t="s">
        <v>7149</v>
      </c>
      <c r="F931" s="1372">
        <v>1.2800000000000001E-2</v>
      </c>
      <c r="H931" s="1382">
        <v>4.4541666666666662E-3</v>
      </c>
      <c r="I931" s="1373">
        <f t="shared" si="14"/>
        <v>8.3458333333333336E-3</v>
      </c>
      <c r="J931" s="1371">
        <v>37773</v>
      </c>
    </row>
    <row r="932" spans="1:10" x14ac:dyDescent="0.45">
      <c r="A932" s="1370">
        <v>17</v>
      </c>
      <c r="B932" s="1371">
        <v>37803</v>
      </c>
      <c r="C932" s="1370" t="s">
        <v>7149</v>
      </c>
      <c r="F932" s="1372">
        <v>1.7600000000000001E-2</v>
      </c>
      <c r="H932" s="1382">
        <v>4.816666666666667E-3</v>
      </c>
      <c r="I932" s="1373">
        <f t="shared" si="14"/>
        <v>1.2783333333333334E-2</v>
      </c>
      <c r="J932" s="1371">
        <v>37803</v>
      </c>
    </row>
    <row r="933" spans="1:10" x14ac:dyDescent="0.45">
      <c r="A933" s="1370">
        <v>17</v>
      </c>
      <c r="B933" s="1371">
        <v>37834</v>
      </c>
      <c r="C933" s="1370" t="s">
        <v>7149</v>
      </c>
      <c r="F933" s="1372">
        <v>1.95E-2</v>
      </c>
      <c r="H933" s="1382">
        <v>5.0749999999999997E-3</v>
      </c>
      <c r="I933" s="1373">
        <f t="shared" si="14"/>
        <v>1.4425E-2</v>
      </c>
      <c r="J933" s="1371">
        <v>37834</v>
      </c>
    </row>
    <row r="934" spans="1:10" x14ac:dyDescent="0.45">
      <c r="A934" s="1370">
        <v>17</v>
      </c>
      <c r="B934" s="1371">
        <v>37865</v>
      </c>
      <c r="C934" s="1370" t="s">
        <v>7149</v>
      </c>
      <c r="F934" s="1372">
        <v>-1.06E-2</v>
      </c>
      <c r="H934" s="1382">
        <v>4.9375E-3</v>
      </c>
      <c r="I934" s="1373">
        <f t="shared" si="14"/>
        <v>-1.5537499999999999E-2</v>
      </c>
      <c r="J934" s="1371">
        <v>37865</v>
      </c>
    </row>
    <row r="935" spans="1:10" x14ac:dyDescent="0.45">
      <c r="A935" s="1370">
        <v>17</v>
      </c>
      <c r="B935" s="1371">
        <v>37895</v>
      </c>
      <c r="C935" s="1370" t="s">
        <v>7149</v>
      </c>
      <c r="F935" s="1372">
        <v>5.6599999999999998E-2</v>
      </c>
      <c r="H935" s="1382">
        <v>4.9208333333333335E-3</v>
      </c>
      <c r="I935" s="1373">
        <f t="shared" si="14"/>
        <v>5.1679166666666665E-2</v>
      </c>
      <c r="J935" s="1371">
        <v>37895</v>
      </c>
    </row>
    <row r="936" spans="1:10" x14ac:dyDescent="0.45">
      <c r="A936" s="1370">
        <v>17</v>
      </c>
      <c r="B936" s="1371">
        <v>37926</v>
      </c>
      <c r="C936" s="1370" t="s">
        <v>7149</v>
      </c>
      <c r="F936" s="1372">
        <v>8.8000000000000005E-3</v>
      </c>
      <c r="H936" s="1382">
        <v>4.8875000000000004E-3</v>
      </c>
      <c r="I936" s="1373">
        <f t="shared" si="14"/>
        <v>3.9125000000000002E-3</v>
      </c>
      <c r="J936" s="1371">
        <v>37926</v>
      </c>
    </row>
    <row r="937" spans="1:10" x14ac:dyDescent="0.45">
      <c r="A937" s="1370">
        <v>17</v>
      </c>
      <c r="B937" s="1371">
        <v>37956</v>
      </c>
      <c r="C937" s="1370" t="s">
        <v>7149</v>
      </c>
      <c r="F937" s="1372">
        <v>5.2400000000000002E-2</v>
      </c>
      <c r="H937" s="1382">
        <v>4.8624999999999996E-3</v>
      </c>
      <c r="I937" s="1373">
        <f t="shared" si="14"/>
        <v>4.7537500000000003E-2</v>
      </c>
      <c r="J937" s="1371">
        <v>37956</v>
      </c>
    </row>
    <row r="938" spans="1:10" x14ac:dyDescent="0.45">
      <c r="A938" s="1370">
        <v>17</v>
      </c>
      <c r="B938" s="1371">
        <v>37987</v>
      </c>
      <c r="C938" s="1370" t="s">
        <v>7149</v>
      </c>
      <c r="F938" s="1372">
        <v>1.84E-2</v>
      </c>
      <c r="H938" s="1382">
        <v>4.7708333333333327E-3</v>
      </c>
      <c r="I938" s="1373">
        <f t="shared" si="14"/>
        <v>1.3629166666666668E-2</v>
      </c>
      <c r="J938" s="1371">
        <v>37987</v>
      </c>
    </row>
    <row r="939" spans="1:10" x14ac:dyDescent="0.45">
      <c r="A939" s="1370">
        <v>17</v>
      </c>
      <c r="B939" s="1371">
        <v>38018</v>
      </c>
      <c r="C939" s="1370" t="s">
        <v>7149</v>
      </c>
      <c r="F939" s="1372">
        <v>1.3899999999999999E-2</v>
      </c>
      <c r="H939" s="1382">
        <v>4.7375000000000004E-3</v>
      </c>
      <c r="I939" s="1373">
        <f t="shared" si="14"/>
        <v>9.1624999999999988E-3</v>
      </c>
      <c r="J939" s="1371">
        <v>38018</v>
      </c>
    </row>
    <row r="940" spans="1:10" x14ac:dyDescent="0.45">
      <c r="A940" s="1370">
        <v>17</v>
      </c>
      <c r="B940" s="1371">
        <v>38047</v>
      </c>
      <c r="C940" s="1370" t="s">
        <v>7149</v>
      </c>
      <c r="F940" s="1372">
        <v>-1.5100000000000001E-2</v>
      </c>
      <c r="H940" s="1382">
        <v>4.5958333333333337E-3</v>
      </c>
      <c r="I940" s="1373">
        <f t="shared" si="14"/>
        <v>-1.9695833333333336E-2</v>
      </c>
      <c r="J940" s="1371">
        <v>38047</v>
      </c>
    </row>
    <row r="941" spans="1:10" x14ac:dyDescent="0.45">
      <c r="A941" s="1370">
        <v>17</v>
      </c>
      <c r="B941" s="1371">
        <v>38078</v>
      </c>
      <c r="C941" s="1370" t="s">
        <v>7149</v>
      </c>
      <c r="F941" s="1372">
        <v>-1.5699999999999999E-2</v>
      </c>
      <c r="H941" s="1382">
        <v>4.9291666666666668E-3</v>
      </c>
      <c r="I941" s="1373">
        <f t="shared" si="14"/>
        <v>-2.0629166666666664E-2</v>
      </c>
      <c r="J941" s="1371">
        <v>38078</v>
      </c>
    </row>
    <row r="942" spans="1:10" x14ac:dyDescent="0.45">
      <c r="A942" s="1370">
        <v>17</v>
      </c>
      <c r="B942" s="1371">
        <v>38108</v>
      </c>
      <c r="C942" s="1370" t="s">
        <v>7149</v>
      </c>
      <c r="F942" s="1372">
        <v>1.37E-2</v>
      </c>
      <c r="H942" s="1382">
        <v>5.1833333333333332E-3</v>
      </c>
      <c r="I942" s="1373">
        <f t="shared" si="14"/>
        <v>8.5166666666666672E-3</v>
      </c>
      <c r="J942" s="1371">
        <v>38108</v>
      </c>
    </row>
    <row r="943" spans="1:10" x14ac:dyDescent="0.45">
      <c r="A943" s="1370">
        <v>17</v>
      </c>
      <c r="B943" s="1371">
        <v>38139</v>
      </c>
      <c r="C943" s="1370" t="s">
        <v>7149</v>
      </c>
      <c r="F943" s="1372">
        <v>1.9400000000000001E-2</v>
      </c>
      <c r="H943" s="1382">
        <v>5.0916666666666662E-3</v>
      </c>
      <c r="I943" s="1373">
        <f t="shared" si="14"/>
        <v>1.4308333333333334E-2</v>
      </c>
      <c r="J943" s="1371">
        <v>38139</v>
      </c>
    </row>
    <row r="944" spans="1:10" x14ac:dyDescent="0.45">
      <c r="A944" s="1370">
        <v>17</v>
      </c>
      <c r="B944" s="1371">
        <v>38169</v>
      </c>
      <c r="C944" s="1370" t="s">
        <v>7149</v>
      </c>
      <c r="F944" s="1372">
        <v>-3.3099999999999997E-2</v>
      </c>
      <c r="H944" s="1382">
        <v>4.933333333333333E-3</v>
      </c>
      <c r="I944" s="1373">
        <f t="shared" si="14"/>
        <v>-3.8033333333333329E-2</v>
      </c>
      <c r="J944" s="1371">
        <v>38169</v>
      </c>
    </row>
    <row r="945" spans="1:10" x14ac:dyDescent="0.45">
      <c r="A945" s="1370">
        <v>17</v>
      </c>
      <c r="B945" s="1371">
        <v>38200</v>
      </c>
      <c r="C945" s="1370" t="s">
        <v>7149</v>
      </c>
      <c r="F945" s="1372">
        <v>4.0000000000000001E-3</v>
      </c>
      <c r="H945" s="1382">
        <v>4.8000000000000004E-3</v>
      </c>
      <c r="I945" s="1373">
        <f t="shared" si="14"/>
        <v>-8.0000000000000036E-4</v>
      </c>
      <c r="J945" s="1371">
        <v>38200</v>
      </c>
    </row>
    <row r="946" spans="1:10" x14ac:dyDescent="0.45">
      <c r="A946" s="1370">
        <v>17</v>
      </c>
      <c r="B946" s="1371">
        <v>38231</v>
      </c>
      <c r="C946" s="1370" t="s">
        <v>7149</v>
      </c>
      <c r="F946" s="1372">
        <v>1.0800000000000001E-2</v>
      </c>
      <c r="H946" s="1382">
        <v>4.6625000000000008E-3</v>
      </c>
      <c r="I946" s="1373">
        <f t="shared" si="14"/>
        <v>6.1374999999999997E-3</v>
      </c>
      <c r="J946" s="1371">
        <v>38231</v>
      </c>
    </row>
    <row r="947" spans="1:10" x14ac:dyDescent="0.45">
      <c r="A947" s="1370">
        <v>17</v>
      </c>
      <c r="B947" s="1371">
        <v>38261</v>
      </c>
      <c r="C947" s="1370" t="s">
        <v>7149</v>
      </c>
      <c r="F947" s="1372">
        <v>1.5299999999999999E-2</v>
      </c>
      <c r="H947" s="1382">
        <v>4.6499999999999996E-3</v>
      </c>
      <c r="I947" s="1373">
        <f t="shared" si="14"/>
        <v>1.065E-2</v>
      </c>
      <c r="J947" s="1371">
        <v>38261</v>
      </c>
    </row>
    <row r="948" spans="1:10" x14ac:dyDescent="0.45">
      <c r="A948" s="1370">
        <v>17</v>
      </c>
      <c r="B948" s="1371">
        <v>38292</v>
      </c>
      <c r="C948" s="1370" t="s">
        <v>7149</v>
      </c>
      <c r="F948" s="1372">
        <v>4.0500000000000001E-2</v>
      </c>
      <c r="H948" s="1382">
        <v>4.6833333333333328E-3</v>
      </c>
      <c r="I948" s="1373">
        <f t="shared" si="14"/>
        <v>3.581666666666667E-2</v>
      </c>
      <c r="J948" s="1371">
        <v>38292</v>
      </c>
    </row>
    <row r="949" spans="1:10" x14ac:dyDescent="0.45">
      <c r="A949" s="1370">
        <v>17</v>
      </c>
      <c r="B949" s="1371">
        <v>38322</v>
      </c>
      <c r="C949" s="1370" t="s">
        <v>7149</v>
      </c>
      <c r="F949" s="1372">
        <v>3.4000000000000002E-2</v>
      </c>
      <c r="H949" s="1382">
        <v>4.6499999999999996E-3</v>
      </c>
      <c r="I949" s="1373">
        <f t="shared" si="14"/>
        <v>2.9350000000000001E-2</v>
      </c>
      <c r="J949" s="1371">
        <v>38322</v>
      </c>
    </row>
    <row r="950" spans="1:10" x14ac:dyDescent="0.45">
      <c r="A950" s="1370">
        <v>17</v>
      </c>
      <c r="B950" s="1371">
        <v>38353</v>
      </c>
      <c r="C950" s="1370" t="s">
        <v>7149</v>
      </c>
      <c r="F950" s="1372">
        <v>-2.4400000000000002E-2</v>
      </c>
      <c r="H950" s="1382">
        <v>4.5583333333333335E-3</v>
      </c>
      <c r="I950" s="1373">
        <f t="shared" si="14"/>
        <v>-2.8958333333333336E-2</v>
      </c>
      <c r="J950" s="1371">
        <v>38353</v>
      </c>
    </row>
    <row r="951" spans="1:10" x14ac:dyDescent="0.45">
      <c r="A951" s="1370">
        <v>17</v>
      </c>
      <c r="B951" s="1371">
        <v>38384</v>
      </c>
      <c r="C951" s="1370" t="s">
        <v>7149</v>
      </c>
      <c r="F951" s="1372">
        <v>2.1000000000000001E-2</v>
      </c>
      <c r="H951" s="1382">
        <v>4.4333333333333334E-3</v>
      </c>
      <c r="I951" s="1373">
        <f t="shared" si="14"/>
        <v>1.6566666666666667E-2</v>
      </c>
      <c r="J951" s="1371">
        <v>38384</v>
      </c>
    </row>
    <row r="952" spans="1:10" x14ac:dyDescent="0.45">
      <c r="A952" s="1370">
        <v>17</v>
      </c>
      <c r="B952" s="1371">
        <v>38412</v>
      </c>
      <c r="C952" s="1370" t="s">
        <v>7149</v>
      </c>
      <c r="F952" s="1372">
        <v>-1.77E-2</v>
      </c>
      <c r="H952" s="1382">
        <v>4.5999999999999999E-3</v>
      </c>
      <c r="I952" s="1373">
        <f t="shared" si="14"/>
        <v>-2.23E-2</v>
      </c>
      <c r="J952" s="1371">
        <v>38412</v>
      </c>
    </row>
    <row r="953" spans="1:10" x14ac:dyDescent="0.45">
      <c r="A953" s="1370">
        <v>17</v>
      </c>
      <c r="B953" s="1371">
        <v>38443</v>
      </c>
      <c r="C953" s="1370" t="s">
        <v>7149</v>
      </c>
      <c r="F953" s="1372">
        <v>-1.9E-2</v>
      </c>
      <c r="H953" s="1382">
        <v>4.4875000000000002E-3</v>
      </c>
      <c r="I953" s="1373">
        <f t="shared" si="14"/>
        <v>-2.3487500000000001E-2</v>
      </c>
      <c r="J953" s="1371">
        <v>38443</v>
      </c>
    </row>
    <row r="954" spans="1:10" x14ac:dyDescent="0.45">
      <c r="A954" s="1370">
        <v>17</v>
      </c>
      <c r="B954" s="1371">
        <v>38473</v>
      </c>
      <c r="C954" s="1370" t="s">
        <v>7149</v>
      </c>
      <c r="F954" s="1372">
        <v>3.1800000000000002E-2</v>
      </c>
      <c r="H954" s="1382">
        <v>4.3500000000000006E-3</v>
      </c>
      <c r="I954" s="1373">
        <f t="shared" si="14"/>
        <v>2.7450000000000002E-2</v>
      </c>
      <c r="J954" s="1371">
        <v>38473</v>
      </c>
    </row>
    <row r="955" spans="1:10" x14ac:dyDescent="0.45">
      <c r="A955" s="1370">
        <v>17</v>
      </c>
      <c r="B955" s="1371">
        <v>38504</v>
      </c>
      <c r="C955" s="1370" t="s">
        <v>7149</v>
      </c>
      <c r="F955" s="1372">
        <v>1.4E-3</v>
      </c>
      <c r="H955" s="1382">
        <v>4.1583333333333325E-3</v>
      </c>
      <c r="I955" s="1373">
        <f t="shared" si="14"/>
        <v>-2.7583333333333323E-3</v>
      </c>
      <c r="J955" s="1371">
        <v>38504</v>
      </c>
    </row>
    <row r="956" spans="1:10" x14ac:dyDescent="0.45">
      <c r="A956" s="1370">
        <v>17</v>
      </c>
      <c r="B956" s="1371">
        <v>38534</v>
      </c>
      <c r="C956" s="1370" t="s">
        <v>7149</v>
      </c>
      <c r="F956" s="1372">
        <v>3.7199999999999997E-2</v>
      </c>
      <c r="H956" s="1382">
        <v>4.2499999999999994E-3</v>
      </c>
      <c r="I956" s="1373">
        <f t="shared" si="14"/>
        <v>3.295E-2</v>
      </c>
      <c r="J956" s="1371">
        <v>38534</v>
      </c>
    </row>
    <row r="957" spans="1:10" x14ac:dyDescent="0.45">
      <c r="A957" s="1370">
        <v>17</v>
      </c>
      <c r="B957" s="1371">
        <v>38565</v>
      </c>
      <c r="C957" s="1370" t="s">
        <v>7149</v>
      </c>
      <c r="F957" s="1372">
        <v>-9.1000000000000004E-3</v>
      </c>
      <c r="H957" s="1382">
        <v>4.2874999999999996E-3</v>
      </c>
      <c r="I957" s="1373">
        <f t="shared" si="14"/>
        <v>-1.33875E-2</v>
      </c>
      <c r="J957" s="1371">
        <v>38565</v>
      </c>
    </row>
    <row r="958" spans="1:10" x14ac:dyDescent="0.45">
      <c r="A958" s="1370">
        <v>17</v>
      </c>
      <c r="B958" s="1371">
        <v>38596</v>
      </c>
      <c r="C958" s="1370" t="s">
        <v>7149</v>
      </c>
      <c r="F958" s="1372">
        <v>8.0999999999999996E-3</v>
      </c>
      <c r="H958" s="1382">
        <v>4.3208333333333336E-3</v>
      </c>
      <c r="I958" s="1373">
        <f t="shared" si="14"/>
        <v>3.7791666666666659E-3</v>
      </c>
      <c r="J958" s="1371">
        <v>38596</v>
      </c>
    </row>
    <row r="959" spans="1:10" x14ac:dyDescent="0.45">
      <c r="A959" s="1370">
        <v>17</v>
      </c>
      <c r="B959" s="1371">
        <v>38626</v>
      </c>
      <c r="C959" s="1370" t="s">
        <v>7149</v>
      </c>
      <c r="F959" s="1372">
        <v>-1.67E-2</v>
      </c>
      <c r="H959" s="1382">
        <v>4.5000000000000005E-3</v>
      </c>
      <c r="I959" s="1373">
        <f t="shared" si="14"/>
        <v>-2.12E-2</v>
      </c>
      <c r="J959" s="1371">
        <v>38626</v>
      </c>
    </row>
    <row r="960" spans="1:10" x14ac:dyDescent="0.45">
      <c r="A960" s="1370">
        <v>17</v>
      </c>
      <c r="B960" s="1371">
        <v>38657</v>
      </c>
      <c r="C960" s="1370" t="s">
        <v>7149</v>
      </c>
      <c r="F960" s="1372">
        <v>3.78E-2</v>
      </c>
      <c r="H960" s="1382">
        <v>4.5729166666666661E-3</v>
      </c>
      <c r="I960" s="1373">
        <f t="shared" si="14"/>
        <v>3.3227083333333338E-2</v>
      </c>
      <c r="J960" s="1371">
        <v>38657</v>
      </c>
    </row>
    <row r="961" spans="1:10" x14ac:dyDescent="0.45">
      <c r="A961" s="1370">
        <v>17</v>
      </c>
      <c r="B961" s="1371">
        <v>38687</v>
      </c>
      <c r="C961" s="1370" t="s">
        <v>7149</v>
      </c>
      <c r="F961" s="1372">
        <v>2.9999999999999997E-4</v>
      </c>
      <c r="H961" s="1382">
        <v>4.5374999999999999E-3</v>
      </c>
      <c r="I961" s="1373">
        <f t="shared" si="14"/>
        <v>-4.2374999999999999E-3</v>
      </c>
      <c r="J961" s="1371">
        <v>38687</v>
      </c>
    </row>
    <row r="962" spans="1:10" x14ac:dyDescent="0.45">
      <c r="A962" s="1370">
        <v>17</v>
      </c>
      <c r="B962" s="1371">
        <v>38718</v>
      </c>
      <c r="C962" s="1370" t="s">
        <v>7149</v>
      </c>
      <c r="F962" s="1372">
        <v>2.6499999999999999E-2</v>
      </c>
      <c r="H962" s="1382">
        <v>4.4749999999999998E-3</v>
      </c>
      <c r="I962" s="1373">
        <f t="shared" si="14"/>
        <v>2.2024999999999999E-2</v>
      </c>
      <c r="J962" s="1371">
        <v>38718</v>
      </c>
    </row>
    <row r="963" spans="1:10" x14ac:dyDescent="0.45">
      <c r="A963" s="1370">
        <v>17</v>
      </c>
      <c r="B963" s="1371">
        <v>38749</v>
      </c>
      <c r="C963" s="1370" t="s">
        <v>7149</v>
      </c>
      <c r="F963" s="1372">
        <v>2.7000000000000001E-3</v>
      </c>
      <c r="H963" s="1382">
        <v>4.5250000000000004E-3</v>
      </c>
      <c r="I963" s="1373">
        <f t="shared" si="14"/>
        <v>-1.8250000000000002E-3</v>
      </c>
      <c r="J963" s="1371">
        <v>38749</v>
      </c>
    </row>
    <row r="964" spans="1:10" x14ac:dyDescent="0.45">
      <c r="A964" s="1370">
        <v>17</v>
      </c>
      <c r="B964" s="1371">
        <v>38777</v>
      </c>
      <c r="C964" s="1370" t="s">
        <v>7149</v>
      </c>
      <c r="F964" s="1372">
        <v>1.24E-2</v>
      </c>
      <c r="H964" s="1382">
        <v>4.6624999999999991E-3</v>
      </c>
      <c r="I964" s="1373">
        <f t="shared" si="14"/>
        <v>7.7375000000000005E-3</v>
      </c>
      <c r="J964" s="1371">
        <v>38777</v>
      </c>
    </row>
    <row r="965" spans="1:10" x14ac:dyDescent="0.45">
      <c r="A965" s="1370">
        <v>17</v>
      </c>
      <c r="B965" s="1371">
        <v>38808</v>
      </c>
      <c r="C965" s="1370" t="s">
        <v>7149</v>
      </c>
      <c r="F965" s="1372">
        <v>1.34E-2</v>
      </c>
      <c r="H965" s="1382">
        <v>4.933333333333333E-3</v>
      </c>
      <c r="I965" s="1373">
        <f t="shared" si="14"/>
        <v>8.4666666666666675E-3</v>
      </c>
      <c r="J965" s="1371">
        <v>38808</v>
      </c>
    </row>
    <row r="966" spans="1:10" x14ac:dyDescent="0.45">
      <c r="A966" s="1370">
        <v>17</v>
      </c>
      <c r="B966" s="1371">
        <v>38838</v>
      </c>
      <c r="C966" s="1370" t="s">
        <v>7149</v>
      </c>
      <c r="F966" s="1372">
        <v>-2.8799999999999999E-2</v>
      </c>
      <c r="H966" s="1382">
        <v>5.0333333333333341E-3</v>
      </c>
      <c r="I966" s="1373">
        <f t="shared" si="14"/>
        <v>-3.3833333333333333E-2</v>
      </c>
      <c r="J966" s="1371">
        <v>38838</v>
      </c>
    </row>
    <row r="967" spans="1:10" x14ac:dyDescent="0.45">
      <c r="A967" s="1370">
        <v>17</v>
      </c>
      <c r="B967" s="1371">
        <v>38869</v>
      </c>
      <c r="C967" s="1370" t="s">
        <v>7149</v>
      </c>
      <c r="F967" s="1372">
        <v>1.4E-3</v>
      </c>
      <c r="H967" s="1382">
        <v>5.0000000000000001E-3</v>
      </c>
      <c r="I967" s="1373">
        <f t="shared" si="14"/>
        <v>-3.5999999999999999E-3</v>
      </c>
      <c r="J967" s="1371">
        <v>38869</v>
      </c>
    </row>
    <row r="968" spans="1:10" x14ac:dyDescent="0.45">
      <c r="A968" s="1370">
        <v>17</v>
      </c>
      <c r="B968" s="1371">
        <v>38899</v>
      </c>
      <c r="C968" s="1370" t="s">
        <v>7149</v>
      </c>
      <c r="F968" s="1372">
        <v>6.1999999999999998E-3</v>
      </c>
      <c r="H968" s="1382">
        <v>4.9708333333333332E-3</v>
      </c>
      <c r="I968" s="1373">
        <f t="shared" si="14"/>
        <v>1.2291666666666666E-3</v>
      </c>
      <c r="J968" s="1371">
        <v>38899</v>
      </c>
    </row>
    <row r="969" spans="1:10" x14ac:dyDescent="0.45">
      <c r="A969" s="1370">
        <v>17</v>
      </c>
      <c r="B969" s="1371">
        <v>38930</v>
      </c>
      <c r="C969" s="1370" t="s">
        <v>7149</v>
      </c>
      <c r="F969" s="1372">
        <v>2.3800000000000002E-2</v>
      </c>
      <c r="H969" s="1382">
        <v>4.8291666666666665E-3</v>
      </c>
      <c r="I969" s="1373">
        <f t="shared" si="14"/>
        <v>1.8970833333333336E-2</v>
      </c>
      <c r="J969" s="1371">
        <v>38930</v>
      </c>
    </row>
    <row r="970" spans="1:10" x14ac:dyDescent="0.45">
      <c r="A970" s="1370">
        <v>17</v>
      </c>
      <c r="B970" s="1371">
        <v>38961</v>
      </c>
      <c r="C970" s="1370" t="s">
        <v>7149</v>
      </c>
      <c r="F970" s="1372">
        <v>2.58E-2</v>
      </c>
      <c r="H970" s="1382">
        <v>4.6916666666666669E-3</v>
      </c>
      <c r="I970" s="1373">
        <f t="shared" si="14"/>
        <v>2.1108333333333333E-2</v>
      </c>
      <c r="J970" s="1371">
        <v>38961</v>
      </c>
    </row>
    <row r="971" spans="1:10" x14ac:dyDescent="0.45">
      <c r="A971" s="1370">
        <v>17</v>
      </c>
      <c r="B971" s="1371">
        <v>38991</v>
      </c>
      <c r="C971" s="1370" t="s">
        <v>7149</v>
      </c>
      <c r="F971" s="1372">
        <v>3.2599999999999997E-2</v>
      </c>
      <c r="H971" s="1382">
        <v>4.6874999999999998E-3</v>
      </c>
      <c r="I971" s="1373">
        <f t="shared" si="14"/>
        <v>2.7912499999999996E-2</v>
      </c>
      <c r="J971" s="1371">
        <v>38991</v>
      </c>
    </row>
    <row r="972" spans="1:10" x14ac:dyDescent="0.45">
      <c r="A972" s="1370">
        <v>17</v>
      </c>
      <c r="B972" s="1371">
        <v>39022</v>
      </c>
      <c r="C972" s="1370" t="s">
        <v>7149</v>
      </c>
      <c r="F972" s="1372">
        <v>1.9E-2</v>
      </c>
      <c r="H972" s="1382">
        <v>4.5416666666666669E-3</v>
      </c>
      <c r="I972" s="1373">
        <f t="shared" si="14"/>
        <v>1.4458333333333333E-2</v>
      </c>
      <c r="J972" s="1371">
        <v>39022</v>
      </c>
    </row>
    <row r="973" spans="1:10" x14ac:dyDescent="0.45">
      <c r="A973" s="1370">
        <v>17</v>
      </c>
      <c r="B973" s="1371">
        <v>39052</v>
      </c>
      <c r="C973" s="1370" t="s">
        <v>7149</v>
      </c>
      <c r="F973" s="1372">
        <v>1.4E-2</v>
      </c>
      <c r="H973" s="1382">
        <v>4.5291666666666666E-3</v>
      </c>
      <c r="I973" s="1373">
        <f t="shared" si="14"/>
        <v>9.4708333333333346E-3</v>
      </c>
      <c r="J973" s="1371">
        <v>39052</v>
      </c>
    </row>
    <row r="974" spans="1:10" x14ac:dyDescent="0.45">
      <c r="A974" s="1370">
        <v>17</v>
      </c>
      <c r="B974" s="1371">
        <v>39083</v>
      </c>
      <c r="C974" s="1370" t="s">
        <v>7149</v>
      </c>
      <c r="F974" s="1372">
        <v>1.5100000000000001E-2</v>
      </c>
      <c r="H974" s="1382">
        <v>4.6458333333333334E-3</v>
      </c>
      <c r="I974" s="1373">
        <f t="shared" si="14"/>
        <v>1.0454166666666667E-2</v>
      </c>
      <c r="J974" s="1371">
        <v>39083</v>
      </c>
    </row>
    <row r="975" spans="1:10" x14ac:dyDescent="0.45">
      <c r="A975" s="1370">
        <v>17</v>
      </c>
      <c r="B975" s="1371">
        <v>39114</v>
      </c>
      <c r="C975" s="1370" t="s">
        <v>7149</v>
      </c>
      <c r="F975" s="1372">
        <v>-1.9599999999999999E-2</v>
      </c>
      <c r="H975" s="1382">
        <v>4.6291666666666668E-3</v>
      </c>
      <c r="I975" s="1373">
        <f t="shared" si="14"/>
        <v>-2.4229166666666666E-2</v>
      </c>
      <c r="J975" s="1371">
        <v>39114</v>
      </c>
    </row>
    <row r="976" spans="1:10" x14ac:dyDescent="0.45">
      <c r="A976" s="1370">
        <v>17</v>
      </c>
      <c r="B976" s="1371">
        <v>39142</v>
      </c>
      <c r="C976" s="1370" t="s">
        <v>7149</v>
      </c>
      <c r="F976" s="1372">
        <v>1.12E-2</v>
      </c>
      <c r="H976" s="1382">
        <v>4.5666666666666668E-3</v>
      </c>
      <c r="I976" s="1373">
        <f t="shared" si="14"/>
        <v>6.6333333333333331E-3</v>
      </c>
      <c r="J976" s="1371">
        <v>39142</v>
      </c>
    </row>
    <row r="977" spans="1:10" x14ac:dyDescent="0.45">
      <c r="A977" s="1370">
        <v>17</v>
      </c>
      <c r="B977" s="1371">
        <v>39173</v>
      </c>
      <c r="C977" s="1370" t="s">
        <v>7149</v>
      </c>
      <c r="F977" s="1372">
        <v>4.4299999999999999E-2</v>
      </c>
      <c r="H977" s="1382">
        <v>4.7083333333333335E-3</v>
      </c>
      <c r="I977" s="1373">
        <f t="shared" si="14"/>
        <v>3.9591666666666664E-2</v>
      </c>
      <c r="J977" s="1371">
        <v>39173</v>
      </c>
    </row>
    <row r="978" spans="1:10" x14ac:dyDescent="0.45">
      <c r="A978" s="1370">
        <v>17</v>
      </c>
      <c r="B978" s="1371">
        <v>39203</v>
      </c>
      <c r="C978" s="1370" t="s">
        <v>7149</v>
      </c>
      <c r="F978" s="1372">
        <v>3.49E-2</v>
      </c>
      <c r="H978" s="1382">
        <v>4.7166666666666668E-3</v>
      </c>
      <c r="I978" s="1373">
        <f t="shared" si="14"/>
        <v>3.0183333333333333E-2</v>
      </c>
      <c r="J978" s="1371">
        <v>39203</v>
      </c>
    </row>
    <row r="979" spans="1:10" x14ac:dyDescent="0.45">
      <c r="A979" s="1370">
        <v>17</v>
      </c>
      <c r="B979" s="1371">
        <v>39234</v>
      </c>
      <c r="C979" s="1370" t="s">
        <v>7149</v>
      </c>
      <c r="F979" s="1372">
        <v>-1.66E-2</v>
      </c>
      <c r="H979" s="1382">
        <v>2.8120833333333335E-3</v>
      </c>
      <c r="I979" s="1373">
        <f t="shared" si="14"/>
        <v>-1.9412083333333333E-2</v>
      </c>
      <c r="J979" s="1371">
        <v>39234</v>
      </c>
    </row>
    <row r="980" spans="1:10" x14ac:dyDescent="0.45">
      <c r="A980" s="1370">
        <v>17</v>
      </c>
      <c r="B980" s="1371">
        <v>39264</v>
      </c>
      <c r="C980" s="1370" t="s">
        <v>7149</v>
      </c>
      <c r="F980" s="1372">
        <v>-3.1E-2</v>
      </c>
      <c r="H980" s="1382">
        <v>4.9249999999999997E-3</v>
      </c>
      <c r="I980" s="1373">
        <f t="shared" si="14"/>
        <v>-3.5924999999999999E-2</v>
      </c>
      <c r="J980" s="1371">
        <v>39264</v>
      </c>
    </row>
    <row r="981" spans="1:10" x14ac:dyDescent="0.45">
      <c r="A981" s="1370">
        <v>17</v>
      </c>
      <c r="B981" s="1371">
        <v>39295</v>
      </c>
      <c r="C981" s="1370" t="s">
        <v>7149</v>
      </c>
      <c r="F981" s="1372">
        <v>1.4999999999999999E-2</v>
      </c>
      <c r="H981" s="1382">
        <v>4.9375E-3</v>
      </c>
      <c r="I981" s="1373">
        <f t="shared" si="14"/>
        <v>1.0062499999999999E-2</v>
      </c>
      <c r="J981" s="1371">
        <v>39295</v>
      </c>
    </row>
    <row r="982" spans="1:10" x14ac:dyDescent="0.45">
      <c r="A982" s="1370">
        <v>17</v>
      </c>
      <c r="B982" s="1371">
        <v>39326</v>
      </c>
      <c r="C982" s="1370" t="s">
        <v>7149</v>
      </c>
      <c r="F982" s="1372">
        <v>3.7499999999999999E-2</v>
      </c>
      <c r="H982" s="1382">
        <v>4.8999999999999998E-3</v>
      </c>
      <c r="I982" s="1373">
        <f t="shared" si="14"/>
        <v>3.2599999999999997E-2</v>
      </c>
      <c r="J982" s="1371">
        <v>39326</v>
      </c>
    </row>
    <row r="983" spans="1:10" x14ac:dyDescent="0.45">
      <c r="A983" s="1370">
        <v>17</v>
      </c>
      <c r="B983" s="1371">
        <v>39356</v>
      </c>
      <c r="C983" s="1370" t="s">
        <v>7149</v>
      </c>
      <c r="F983" s="1372">
        <v>1.5900000000000001E-2</v>
      </c>
      <c r="H983" s="1382">
        <v>4.8333333333333336E-3</v>
      </c>
      <c r="I983" s="1373">
        <f t="shared" si="14"/>
        <v>1.1066666666666667E-2</v>
      </c>
      <c r="J983" s="1371">
        <v>39356</v>
      </c>
    </row>
    <row r="984" spans="1:10" x14ac:dyDescent="0.45">
      <c r="A984" s="1370">
        <v>17</v>
      </c>
      <c r="B984" s="1371">
        <v>39387</v>
      </c>
      <c r="C984" s="1370" t="s">
        <v>7149</v>
      </c>
      <c r="F984" s="1372">
        <v>-4.1799999999999997E-2</v>
      </c>
      <c r="H984" s="1382">
        <v>4.6750000000000003E-3</v>
      </c>
      <c r="I984" s="1373">
        <f t="shared" si="14"/>
        <v>-4.6474999999999995E-2</v>
      </c>
      <c r="J984" s="1371">
        <v>39387</v>
      </c>
    </row>
    <row r="985" spans="1:10" x14ac:dyDescent="0.45">
      <c r="A985" s="1370">
        <v>17</v>
      </c>
      <c r="B985" s="1371">
        <v>39417</v>
      </c>
      <c r="C985" s="1370" t="s">
        <v>7149</v>
      </c>
      <c r="F985" s="1372">
        <v>-6.8999999999999999E-3</v>
      </c>
      <c r="H985" s="1382">
        <v>4.7499999999999999E-3</v>
      </c>
      <c r="I985" s="1373">
        <f t="shared" si="14"/>
        <v>-1.1650000000000001E-2</v>
      </c>
      <c r="J985" s="1371">
        <v>39417</v>
      </c>
    </row>
    <row r="986" spans="1:10" x14ac:dyDescent="0.45">
      <c r="A986" s="1370">
        <v>17</v>
      </c>
      <c r="B986" s="1371">
        <v>39448</v>
      </c>
      <c r="C986" s="1370" t="s">
        <v>7149</v>
      </c>
      <c r="F986" s="1372">
        <v>-0.06</v>
      </c>
      <c r="H986" s="1382">
        <v>4.6291666666666668E-3</v>
      </c>
      <c r="I986" s="1373">
        <f t="shared" ref="I986:I1049" si="15">F986-H986</f>
        <v>-6.4629166666666668E-2</v>
      </c>
      <c r="J986" s="1371">
        <v>39448</v>
      </c>
    </row>
    <row r="987" spans="1:10" x14ac:dyDescent="0.45">
      <c r="A987" s="1370">
        <v>17</v>
      </c>
      <c r="B987" s="1371">
        <v>39479</v>
      </c>
      <c r="C987" s="1370" t="s">
        <v>7149</v>
      </c>
      <c r="F987" s="1372">
        <v>-3.5200000000000002E-2</v>
      </c>
      <c r="H987" s="1382">
        <v>4.7916666666666672E-3</v>
      </c>
      <c r="I987" s="1373">
        <f t="shared" si="15"/>
        <v>-3.9991666666666668E-2</v>
      </c>
      <c r="J987" s="1371">
        <v>39479</v>
      </c>
    </row>
    <row r="988" spans="1:10" x14ac:dyDescent="0.45">
      <c r="A988" s="1370">
        <v>17</v>
      </c>
      <c r="B988" s="1371">
        <v>39508</v>
      </c>
      <c r="C988" s="1370" t="s">
        <v>7149</v>
      </c>
      <c r="F988" s="1372">
        <v>-4.3E-3</v>
      </c>
      <c r="H988" s="1382">
        <v>4.754166666666667E-3</v>
      </c>
      <c r="I988" s="1373">
        <f t="shared" si="15"/>
        <v>-9.054166666666667E-3</v>
      </c>
      <c r="J988" s="1371">
        <v>39508</v>
      </c>
    </row>
    <row r="989" spans="1:10" x14ac:dyDescent="0.45">
      <c r="A989" s="1370">
        <v>17</v>
      </c>
      <c r="B989" s="1371">
        <v>39539</v>
      </c>
      <c r="C989" s="1370" t="s">
        <v>7149</v>
      </c>
      <c r="F989" s="1372">
        <v>4.87E-2</v>
      </c>
      <c r="H989" s="1382">
        <v>4.783333333333333E-3</v>
      </c>
      <c r="I989" s="1373">
        <f t="shared" si="15"/>
        <v>4.3916666666666666E-2</v>
      </c>
      <c r="J989" s="1371">
        <v>39539</v>
      </c>
    </row>
    <row r="990" spans="1:10" x14ac:dyDescent="0.45">
      <c r="A990" s="1370">
        <v>17</v>
      </c>
      <c r="B990" s="1371">
        <v>39569</v>
      </c>
      <c r="C990" s="1370" t="s">
        <v>7149</v>
      </c>
      <c r="F990" s="1372">
        <v>1.2999999999999999E-2</v>
      </c>
      <c r="H990" s="1382">
        <v>4.8208333333333332E-3</v>
      </c>
      <c r="I990" s="1373">
        <f t="shared" si="15"/>
        <v>8.1791666666666662E-3</v>
      </c>
      <c r="J990" s="1371">
        <v>39569</v>
      </c>
    </row>
    <row r="991" spans="1:10" x14ac:dyDescent="0.45">
      <c r="A991" s="1370">
        <v>17</v>
      </c>
      <c r="B991" s="1371">
        <v>39600</v>
      </c>
      <c r="C991" s="1370" t="s">
        <v>7149</v>
      </c>
      <c r="F991" s="1372">
        <v>-8.43E-2</v>
      </c>
      <c r="H991" s="1382">
        <v>4.9124999999999993E-3</v>
      </c>
      <c r="I991" s="1373">
        <f t="shared" si="15"/>
        <v>-8.92125E-2</v>
      </c>
      <c r="J991" s="1371">
        <v>39600</v>
      </c>
    </row>
    <row r="992" spans="1:10" x14ac:dyDescent="0.45">
      <c r="A992" s="1370">
        <v>17</v>
      </c>
      <c r="B992" s="1371">
        <v>39630</v>
      </c>
      <c r="C992" s="1370" t="s">
        <v>7149</v>
      </c>
      <c r="F992" s="1372">
        <v>-8.3999999999999995E-3</v>
      </c>
      <c r="H992" s="1382">
        <v>4.8833333333333333E-3</v>
      </c>
      <c r="I992" s="1373">
        <f t="shared" si="15"/>
        <v>-1.3283333333333333E-2</v>
      </c>
      <c r="J992" s="1371">
        <v>39630</v>
      </c>
    </row>
    <row r="993" spans="1:10" x14ac:dyDescent="0.45">
      <c r="A993" s="1370">
        <v>17</v>
      </c>
      <c r="B993" s="1371">
        <v>39661</v>
      </c>
      <c r="C993" s="1370" t="s">
        <v>7149</v>
      </c>
      <c r="F993" s="1372">
        <v>1.4500000000000001E-2</v>
      </c>
      <c r="H993" s="1382">
        <v>4.8541666666666664E-3</v>
      </c>
      <c r="I993" s="1373">
        <f t="shared" si="15"/>
        <v>9.6458333333333344E-3</v>
      </c>
      <c r="J993" s="1371">
        <v>39661</v>
      </c>
    </row>
    <row r="994" spans="1:10" x14ac:dyDescent="0.45">
      <c r="A994" s="1370">
        <v>17</v>
      </c>
      <c r="B994" s="1371">
        <v>39692</v>
      </c>
      <c r="C994" s="1370" t="s">
        <v>7149</v>
      </c>
      <c r="F994" s="1372">
        <v>-8.9099999999999999E-2</v>
      </c>
      <c r="H994" s="1382">
        <v>4.8666666666666667E-3</v>
      </c>
      <c r="I994" s="1373">
        <f t="shared" si="15"/>
        <v>-9.3966666666666671E-2</v>
      </c>
      <c r="J994" s="1371">
        <v>39692</v>
      </c>
    </row>
    <row r="995" spans="1:10" x14ac:dyDescent="0.45">
      <c r="A995" s="1370">
        <v>17</v>
      </c>
      <c r="B995" s="1371">
        <v>39722</v>
      </c>
      <c r="C995" s="1370" t="s">
        <v>7149</v>
      </c>
      <c r="F995" s="1372">
        <v>-0.16789999999999999</v>
      </c>
      <c r="H995" s="1382">
        <v>5.4458333333333329E-3</v>
      </c>
      <c r="I995" s="1373">
        <f t="shared" si="15"/>
        <v>-0.17334583333333334</v>
      </c>
      <c r="J995" s="1371">
        <v>39722</v>
      </c>
    </row>
    <row r="996" spans="1:10" x14ac:dyDescent="0.45">
      <c r="A996" s="1370">
        <v>17</v>
      </c>
      <c r="B996" s="1371">
        <v>39753</v>
      </c>
      <c r="C996" s="1370" t="s">
        <v>7149</v>
      </c>
      <c r="F996" s="1372">
        <v>-7.1800000000000003E-2</v>
      </c>
      <c r="H996" s="1382">
        <v>5.3541666666666668E-3</v>
      </c>
      <c r="I996" s="1373">
        <f t="shared" si="15"/>
        <v>-7.7154166666666663E-2</v>
      </c>
      <c r="J996" s="1371">
        <v>39753</v>
      </c>
    </row>
    <row r="997" spans="1:10" x14ac:dyDescent="0.45">
      <c r="A997" s="1370">
        <v>17</v>
      </c>
      <c r="B997" s="1371">
        <v>39783</v>
      </c>
      <c r="C997" s="1370" t="s">
        <v>7149</v>
      </c>
      <c r="F997" s="1372">
        <v>1.06E-2</v>
      </c>
      <c r="H997" s="1382">
        <v>4.5291666666666666E-3</v>
      </c>
      <c r="I997" s="1373">
        <f t="shared" si="15"/>
        <v>6.0708333333333335E-3</v>
      </c>
      <c r="J997" s="1371">
        <v>39783</v>
      </c>
    </row>
    <row r="998" spans="1:10" x14ac:dyDescent="0.45">
      <c r="A998" s="1370">
        <v>17</v>
      </c>
      <c r="B998" s="1371">
        <v>39814</v>
      </c>
      <c r="C998" s="1370" t="s">
        <v>7149</v>
      </c>
      <c r="F998" s="1372">
        <v>-8.43E-2</v>
      </c>
      <c r="H998" s="1382">
        <v>4.5374999999999999E-3</v>
      </c>
      <c r="I998" s="1373">
        <f t="shared" si="15"/>
        <v>-8.88375E-2</v>
      </c>
      <c r="J998" s="1371">
        <v>39814</v>
      </c>
    </row>
    <row r="999" spans="1:10" x14ac:dyDescent="0.45">
      <c r="A999" s="1370">
        <v>17</v>
      </c>
      <c r="B999" s="1371">
        <v>39845</v>
      </c>
      <c r="C999" s="1370" t="s">
        <v>7149</v>
      </c>
      <c r="F999" s="1372">
        <v>-0.1065</v>
      </c>
      <c r="H999" s="1382">
        <v>4.7041666666666655E-3</v>
      </c>
      <c r="I999" s="1373">
        <f t="shared" si="15"/>
        <v>-0.11120416666666666</v>
      </c>
      <c r="J999" s="1371">
        <v>39845</v>
      </c>
    </row>
    <row r="1000" spans="1:10" x14ac:dyDescent="0.45">
      <c r="A1000" s="1370">
        <v>17</v>
      </c>
      <c r="B1000" s="1371">
        <v>39873</v>
      </c>
      <c r="C1000" s="1370" t="s">
        <v>7149</v>
      </c>
      <c r="F1000" s="1372">
        <v>8.7599999999999997E-2</v>
      </c>
      <c r="H1000" s="1382">
        <v>4.8374999999999998E-3</v>
      </c>
      <c r="I1000" s="1373">
        <f t="shared" si="15"/>
        <v>8.2762500000000003E-2</v>
      </c>
      <c r="J1000" s="1371">
        <v>39873</v>
      </c>
    </row>
    <row r="1001" spans="1:10" x14ac:dyDescent="0.45">
      <c r="A1001" s="1370">
        <v>17</v>
      </c>
      <c r="B1001" s="1371">
        <v>39904</v>
      </c>
      <c r="C1001" s="1370" t="s">
        <v>7149</v>
      </c>
      <c r="F1001" s="1372">
        <v>9.5699999999999993E-2</v>
      </c>
      <c r="H1001" s="1382">
        <v>4.816666666666667E-3</v>
      </c>
      <c r="I1001" s="1373">
        <f t="shared" si="15"/>
        <v>9.088333333333333E-2</v>
      </c>
      <c r="J1001" s="1371">
        <v>39904</v>
      </c>
    </row>
    <row r="1002" spans="1:10" x14ac:dyDescent="0.45">
      <c r="A1002" s="1370">
        <v>17</v>
      </c>
      <c r="B1002" s="1371">
        <v>39934</v>
      </c>
      <c r="C1002" s="1370" t="s">
        <v>7149</v>
      </c>
      <c r="F1002" s="1372">
        <v>5.5899999999999998E-2</v>
      </c>
      <c r="H1002" s="1382">
        <v>4.9083333333333331E-3</v>
      </c>
      <c r="I1002" s="1373">
        <f t="shared" si="15"/>
        <v>5.0991666666666664E-2</v>
      </c>
      <c r="J1002" s="1371">
        <v>39934</v>
      </c>
    </row>
    <row r="1003" spans="1:10" x14ac:dyDescent="0.45">
      <c r="A1003" s="1370">
        <v>17</v>
      </c>
      <c r="B1003" s="1371">
        <v>39965</v>
      </c>
      <c r="C1003" s="1370" t="s">
        <v>7149</v>
      </c>
      <c r="F1003" s="1372">
        <v>2E-3</v>
      </c>
      <c r="H1003" s="1382">
        <v>4.8875000000000004E-3</v>
      </c>
      <c r="I1003" s="1373">
        <f t="shared" si="15"/>
        <v>-2.8875000000000003E-3</v>
      </c>
      <c r="J1003" s="1371">
        <v>39965</v>
      </c>
    </row>
    <row r="1004" spans="1:10" x14ac:dyDescent="0.45">
      <c r="A1004" s="1370">
        <v>17</v>
      </c>
      <c r="B1004" s="1371">
        <v>39995</v>
      </c>
      <c r="C1004" s="1370" t="s">
        <v>7149</v>
      </c>
      <c r="F1004" s="1372">
        <v>7.5600000000000001E-2</v>
      </c>
      <c r="H1004" s="1382">
        <v>4.6333333333333339E-3</v>
      </c>
      <c r="I1004" s="1373">
        <f t="shared" si="15"/>
        <v>7.0966666666666664E-2</v>
      </c>
      <c r="J1004" s="1371">
        <v>39995</v>
      </c>
    </row>
    <row r="1005" spans="1:10" x14ac:dyDescent="0.45">
      <c r="A1005" s="1370">
        <v>17</v>
      </c>
      <c r="B1005" s="1371">
        <v>40026</v>
      </c>
      <c r="C1005" s="1370" t="s">
        <v>7149</v>
      </c>
      <c r="F1005" s="1372">
        <v>3.61E-2</v>
      </c>
      <c r="H1005" s="1382">
        <v>4.4624999999999995E-3</v>
      </c>
      <c r="I1005" s="1373">
        <f t="shared" si="15"/>
        <v>3.1637499999999999E-2</v>
      </c>
      <c r="J1005" s="1371">
        <v>40026</v>
      </c>
    </row>
    <row r="1006" spans="1:10" x14ac:dyDescent="0.45">
      <c r="A1006" s="1370">
        <v>17</v>
      </c>
      <c r="B1006" s="1371">
        <v>40057</v>
      </c>
      <c r="C1006" s="1370" t="s">
        <v>7149</v>
      </c>
      <c r="F1006" s="1372">
        <v>3.73E-2</v>
      </c>
      <c r="H1006" s="1382">
        <v>4.3083333333333333E-3</v>
      </c>
      <c r="I1006" s="1373">
        <f t="shared" si="15"/>
        <v>3.2991666666666669E-2</v>
      </c>
      <c r="J1006" s="1371">
        <v>40057</v>
      </c>
    </row>
    <row r="1007" spans="1:10" x14ac:dyDescent="0.45">
      <c r="A1007" s="1370">
        <v>17</v>
      </c>
      <c r="B1007" s="1371">
        <v>40087</v>
      </c>
      <c r="C1007" s="1370" t="s">
        <v>7149</v>
      </c>
      <c r="F1007" s="1372">
        <v>-1.8599999999999998E-2</v>
      </c>
      <c r="H1007" s="1382">
        <v>4.3291666666666669E-3</v>
      </c>
      <c r="I1007" s="1373">
        <f t="shared" si="15"/>
        <v>-2.2929166666666667E-2</v>
      </c>
      <c r="J1007" s="1371">
        <v>40087</v>
      </c>
    </row>
    <row r="1008" spans="1:10" x14ac:dyDescent="0.45">
      <c r="A1008" s="1370">
        <v>17</v>
      </c>
      <c r="B1008" s="1371">
        <v>40118</v>
      </c>
      <c r="C1008" s="1370" t="s">
        <v>7149</v>
      </c>
      <c r="F1008" s="1372">
        <v>0.06</v>
      </c>
      <c r="H1008" s="1382">
        <v>4.3666666666666671E-3</v>
      </c>
      <c r="I1008" s="1373">
        <f t="shared" si="15"/>
        <v>5.5633333333333333E-2</v>
      </c>
      <c r="J1008" s="1371">
        <v>40118</v>
      </c>
    </row>
    <row r="1009" spans="1:10" x14ac:dyDescent="0.45">
      <c r="A1009" s="1370">
        <v>17</v>
      </c>
      <c r="B1009" s="1371">
        <v>40148</v>
      </c>
      <c r="C1009" s="1370" t="s">
        <v>7149</v>
      </c>
      <c r="F1009" s="1372">
        <v>1.9300000000000001E-2</v>
      </c>
      <c r="H1009" s="1382">
        <v>4.4583333333333332E-3</v>
      </c>
      <c r="I1009" s="1373">
        <f t="shared" si="15"/>
        <v>1.4841666666666668E-2</v>
      </c>
      <c r="J1009" s="1371">
        <v>40148</v>
      </c>
    </row>
    <row r="1010" spans="1:10" x14ac:dyDescent="0.45">
      <c r="A1010" s="1370">
        <v>17</v>
      </c>
      <c r="B1010" s="1371">
        <v>40179</v>
      </c>
      <c r="C1010" s="1370" t="s">
        <v>7149</v>
      </c>
      <c r="F1010" s="1372">
        <v>-3.5999999999999997E-2</v>
      </c>
      <c r="H1010" s="1382">
        <v>4.4833333333333331E-3</v>
      </c>
      <c r="I1010" s="1373">
        <f t="shared" si="15"/>
        <v>-4.048333333333333E-2</v>
      </c>
      <c r="J1010" s="1371">
        <v>40179</v>
      </c>
    </row>
    <row r="1011" spans="1:10" x14ac:dyDescent="0.45">
      <c r="A1011" s="1370">
        <v>17</v>
      </c>
      <c r="B1011" s="1371">
        <v>40210</v>
      </c>
      <c r="C1011" s="1370" t="s">
        <v>7149</v>
      </c>
      <c r="F1011" s="1372">
        <v>3.1E-2</v>
      </c>
      <c r="H1011" s="1382">
        <v>4.570833333333333E-3</v>
      </c>
      <c r="I1011" s="1373">
        <f t="shared" si="15"/>
        <v>2.6429166666666667E-2</v>
      </c>
      <c r="J1011" s="1371">
        <v>40210</v>
      </c>
    </row>
    <row r="1012" spans="1:10" x14ac:dyDescent="0.45">
      <c r="A1012" s="1370">
        <v>17</v>
      </c>
      <c r="B1012" s="1371">
        <v>40238</v>
      </c>
      <c r="C1012" s="1370" t="s">
        <v>7149</v>
      </c>
      <c r="F1012" s="1372">
        <v>6.0299999999999999E-2</v>
      </c>
      <c r="H1012" s="1382">
        <v>4.5166666666666662E-3</v>
      </c>
      <c r="I1012" s="1373">
        <f t="shared" si="15"/>
        <v>5.5783333333333331E-2</v>
      </c>
      <c r="J1012" s="1371">
        <v>40238</v>
      </c>
    </row>
    <row r="1013" spans="1:10" x14ac:dyDescent="0.45">
      <c r="A1013" s="1370">
        <v>17</v>
      </c>
      <c r="B1013" s="1371">
        <v>40269</v>
      </c>
      <c r="C1013" s="1370" t="s">
        <v>7149</v>
      </c>
      <c r="F1013" s="1372">
        <v>1.5800000000000002E-2</v>
      </c>
      <c r="H1013" s="1382">
        <v>4.5250000000000004E-3</v>
      </c>
      <c r="I1013" s="1373">
        <f t="shared" si="15"/>
        <v>1.1275E-2</v>
      </c>
      <c r="J1013" s="1371">
        <v>40269</v>
      </c>
    </row>
    <row r="1014" spans="1:10" x14ac:dyDescent="0.45">
      <c r="A1014" s="1370">
        <v>17</v>
      </c>
      <c r="B1014" s="1371">
        <v>40299</v>
      </c>
      <c r="C1014" s="1370" t="s">
        <v>7149</v>
      </c>
      <c r="F1014" s="1372">
        <v>-7.9899999999999999E-2</v>
      </c>
      <c r="H1014" s="1382">
        <v>4.2541666666666665E-3</v>
      </c>
      <c r="I1014" s="1373">
        <f t="shared" si="15"/>
        <v>-8.4154166666666669E-2</v>
      </c>
      <c r="J1014" s="1371">
        <v>40299</v>
      </c>
    </row>
    <row r="1015" spans="1:10" x14ac:dyDescent="0.45">
      <c r="A1015" s="1370">
        <v>17</v>
      </c>
      <c r="B1015" s="1371">
        <v>40330</v>
      </c>
      <c r="C1015" s="1370" t="s">
        <v>7149</v>
      </c>
      <c r="F1015" s="1372">
        <v>-5.2299999999999999E-2</v>
      </c>
      <c r="H1015" s="1382">
        <v>4.1833333333333332E-3</v>
      </c>
      <c r="I1015" s="1373">
        <f t="shared" si="15"/>
        <v>-5.648333333333333E-2</v>
      </c>
      <c r="J1015" s="1371">
        <v>40330</v>
      </c>
    </row>
    <row r="1016" spans="1:10" x14ac:dyDescent="0.45">
      <c r="A1016" s="1370">
        <v>17</v>
      </c>
      <c r="B1016" s="1371">
        <v>40360</v>
      </c>
      <c r="C1016" s="1370" t="s">
        <v>7149</v>
      </c>
      <c r="F1016" s="1372">
        <v>7.0699999999999999E-2</v>
      </c>
      <c r="H1016" s="1382">
        <v>4.0333333333333332E-3</v>
      </c>
      <c r="I1016" s="1373">
        <f t="shared" si="15"/>
        <v>6.6666666666666666E-2</v>
      </c>
      <c r="J1016" s="1371">
        <v>40360</v>
      </c>
    </row>
    <row r="1017" spans="1:10" x14ac:dyDescent="0.45">
      <c r="A1017" s="1370">
        <v>17</v>
      </c>
      <c r="B1017" s="1371">
        <v>40391</v>
      </c>
      <c r="C1017" s="1370" t="s">
        <v>7149</v>
      </c>
      <c r="F1017" s="1372">
        <v>-4.5100000000000001E-2</v>
      </c>
      <c r="H1017" s="1382">
        <v>3.8375000000000002E-3</v>
      </c>
      <c r="I1017" s="1373">
        <f t="shared" si="15"/>
        <v>-4.8937500000000002E-2</v>
      </c>
      <c r="J1017" s="1371">
        <v>40391</v>
      </c>
    </row>
    <row r="1018" spans="1:10" x14ac:dyDescent="0.45">
      <c r="A1018" s="1370">
        <v>17</v>
      </c>
      <c r="B1018" s="1371">
        <v>40422</v>
      </c>
      <c r="C1018" s="1370" t="s">
        <v>7149</v>
      </c>
      <c r="F1018" s="1372">
        <v>8.9200000000000002E-2</v>
      </c>
      <c r="H1018" s="1382">
        <v>3.8541666666666663E-3</v>
      </c>
      <c r="I1018" s="1373">
        <f t="shared" si="15"/>
        <v>8.5345833333333329E-2</v>
      </c>
      <c r="J1018" s="1371">
        <v>40422</v>
      </c>
    </row>
    <row r="1019" spans="1:10" x14ac:dyDescent="0.45">
      <c r="A1019" s="1370">
        <v>17</v>
      </c>
      <c r="B1019" s="1371">
        <v>40452</v>
      </c>
      <c r="C1019" s="1370" t="s">
        <v>7149</v>
      </c>
      <c r="F1019" s="1372">
        <v>3.7999999999999999E-2</v>
      </c>
      <c r="H1019" s="1382">
        <v>3.9624999999999999E-3</v>
      </c>
      <c r="I1019" s="1373">
        <f t="shared" si="15"/>
        <v>3.4037499999999998E-2</v>
      </c>
      <c r="J1019" s="1371">
        <v>40452</v>
      </c>
    </row>
    <row r="1020" spans="1:10" x14ac:dyDescent="0.45">
      <c r="A1020" s="1370">
        <v>17</v>
      </c>
      <c r="B1020" s="1371">
        <v>40483</v>
      </c>
      <c r="C1020" s="1370" t="s">
        <v>7149</v>
      </c>
      <c r="F1020" s="1372">
        <v>1E-4</v>
      </c>
      <c r="H1020" s="1382">
        <v>4.1416666666666668E-3</v>
      </c>
      <c r="I1020" s="1373">
        <f t="shared" si="15"/>
        <v>-4.0416666666666665E-3</v>
      </c>
      <c r="J1020" s="1371">
        <v>40483</v>
      </c>
    </row>
    <row r="1021" spans="1:10" x14ac:dyDescent="0.45">
      <c r="A1021" s="1370">
        <v>17</v>
      </c>
      <c r="B1021" s="1371">
        <v>40513</v>
      </c>
      <c r="C1021" s="1370" t="s">
        <v>7149</v>
      </c>
      <c r="F1021" s="1372">
        <v>6.6799999999999998E-2</v>
      </c>
      <c r="H1021" s="1382">
        <v>4.2833333333333326E-3</v>
      </c>
      <c r="I1021" s="1373">
        <f t="shared" si="15"/>
        <v>6.2516666666666665E-2</v>
      </c>
      <c r="J1021" s="1371">
        <v>40513</v>
      </c>
    </row>
    <row r="1022" spans="1:10" x14ac:dyDescent="0.45">
      <c r="A1022" s="1370">
        <v>17</v>
      </c>
      <c r="B1022" s="1371">
        <v>40544</v>
      </c>
      <c r="C1022" s="1370" t="s">
        <v>7149</v>
      </c>
      <c r="F1022" s="1375">
        <v>2.3699999999999999E-2</v>
      </c>
      <c r="H1022" s="1382">
        <v>4.2916666666666667E-3</v>
      </c>
      <c r="I1022" s="1373">
        <f t="shared" si="15"/>
        <v>1.9408333333333333E-2</v>
      </c>
      <c r="J1022" s="1371">
        <v>40544</v>
      </c>
    </row>
    <row r="1023" spans="1:10" x14ac:dyDescent="0.45">
      <c r="A1023" s="1370">
        <v>17</v>
      </c>
      <c r="B1023" s="1371">
        <v>40575</v>
      </c>
      <c r="C1023" s="1370" t="s">
        <v>7149</v>
      </c>
      <c r="F1023" s="1375">
        <v>3.4299999999999997E-2</v>
      </c>
      <c r="H1023" s="1382">
        <v>4.4125000000000006E-3</v>
      </c>
      <c r="I1023" s="1373">
        <f t="shared" si="15"/>
        <v>2.9887499999999997E-2</v>
      </c>
      <c r="J1023" s="1371">
        <v>40575</v>
      </c>
    </row>
    <row r="1024" spans="1:10" x14ac:dyDescent="0.45">
      <c r="A1024" s="1370">
        <v>17</v>
      </c>
      <c r="B1024" s="1371">
        <v>40603</v>
      </c>
      <c r="C1024" s="1370" t="s">
        <v>7149</v>
      </c>
      <c r="F1024" s="1375">
        <v>4.0000000000000002E-4</v>
      </c>
      <c r="H1024" s="1382">
        <v>4.3374999999999993E-3</v>
      </c>
      <c r="I1024" s="1373">
        <f t="shared" si="15"/>
        <v>-3.9374999999999992E-3</v>
      </c>
      <c r="J1024" s="1371">
        <v>40603</v>
      </c>
    </row>
    <row r="1025" spans="1:10" x14ac:dyDescent="0.45">
      <c r="A1025" s="1370">
        <v>17</v>
      </c>
      <c r="B1025" s="1371">
        <v>40634</v>
      </c>
      <c r="C1025" s="1370" t="s">
        <v>7149</v>
      </c>
      <c r="F1025" s="1375">
        <v>2.9600000000000001E-2</v>
      </c>
      <c r="H1025" s="1382">
        <v>4.3541666666666668E-3</v>
      </c>
      <c r="I1025" s="1373">
        <f t="shared" si="15"/>
        <v>2.5245833333333335E-2</v>
      </c>
      <c r="J1025" s="1371">
        <v>40634</v>
      </c>
    </row>
    <row r="1026" spans="1:10" x14ac:dyDescent="0.45">
      <c r="A1026" s="1370">
        <v>17</v>
      </c>
      <c r="B1026" s="1371">
        <v>40664</v>
      </c>
      <c r="C1026" s="1370" t="s">
        <v>7149</v>
      </c>
      <c r="F1026" s="1375">
        <v>-1.1299999999999999E-2</v>
      </c>
      <c r="H1026" s="1382">
        <v>4.1749999999999999E-3</v>
      </c>
      <c r="I1026" s="1373">
        <f t="shared" si="15"/>
        <v>-1.5474999999999999E-2</v>
      </c>
      <c r="J1026" s="1371">
        <v>40664</v>
      </c>
    </row>
    <row r="1027" spans="1:10" x14ac:dyDescent="0.45">
      <c r="B1027" s="1371">
        <v>40695</v>
      </c>
      <c r="C1027" s="1370" t="s">
        <v>7149</v>
      </c>
      <c r="F1027" s="1375">
        <v>-1.67E-2</v>
      </c>
      <c r="H1027" s="1382">
        <v>4.179166666666667E-3</v>
      </c>
      <c r="I1027" s="1373">
        <f t="shared" si="15"/>
        <v>-2.0879166666666667E-2</v>
      </c>
      <c r="J1027" s="1371">
        <v>40695</v>
      </c>
    </row>
    <row r="1028" spans="1:10" x14ac:dyDescent="0.45">
      <c r="B1028" s="1371">
        <v>40725</v>
      </c>
      <c r="C1028" s="1370" t="s">
        <v>7149</v>
      </c>
      <c r="F1028" s="1375">
        <v>-2.0299999999999999E-2</v>
      </c>
      <c r="H1028" s="1382">
        <v>4.15E-3</v>
      </c>
      <c r="I1028" s="1373">
        <f t="shared" si="15"/>
        <v>-2.445E-2</v>
      </c>
      <c r="J1028" s="1371">
        <v>40725</v>
      </c>
    </row>
    <row r="1029" spans="1:10" x14ac:dyDescent="0.45">
      <c r="B1029" s="1371">
        <v>40756</v>
      </c>
      <c r="C1029" s="1370" t="s">
        <v>7149</v>
      </c>
      <c r="F1029" s="1375">
        <v>-5.4300000000000001E-2</v>
      </c>
      <c r="H1029" s="1382">
        <v>3.6833333333333336E-3</v>
      </c>
      <c r="I1029" s="1373">
        <f t="shared" si="15"/>
        <v>-5.7983333333333331E-2</v>
      </c>
      <c r="J1029" s="1371">
        <v>40756</v>
      </c>
    </row>
    <row r="1030" spans="1:10" x14ac:dyDescent="0.45">
      <c r="B1030" s="1371">
        <v>40787</v>
      </c>
      <c r="C1030" s="1370" t="s">
        <v>7149</v>
      </c>
      <c r="F1030" s="1375">
        <v>-7.0300000000000001E-2</v>
      </c>
      <c r="H1030" s="1382">
        <v>3.4666666666666669E-3</v>
      </c>
      <c r="I1030" s="1373">
        <f t="shared" si="15"/>
        <v>-7.3766666666666675E-2</v>
      </c>
      <c r="J1030" s="1371">
        <v>40787</v>
      </c>
    </row>
    <row r="1031" spans="1:10" x14ac:dyDescent="0.45">
      <c r="B1031" s="1371">
        <v>40817</v>
      </c>
      <c r="C1031" s="1370" t="s">
        <v>7149</v>
      </c>
      <c r="F1031" s="1375">
        <v>0.10929999999999999</v>
      </c>
      <c r="H1031" s="1382">
        <v>3.3916666666666665E-3</v>
      </c>
      <c r="I1031" s="1373">
        <f t="shared" si="15"/>
        <v>0.10590833333333333</v>
      </c>
      <c r="J1031" s="1371">
        <v>40817</v>
      </c>
    </row>
    <row r="1032" spans="1:10" x14ac:dyDescent="0.45">
      <c r="B1032" s="1371">
        <v>40848</v>
      </c>
      <c r="C1032" s="1370" t="s">
        <v>7149</v>
      </c>
      <c r="F1032" s="1375">
        <v>-2.2000000000000001E-3</v>
      </c>
      <c r="H1032" s="1382">
        <v>3.2666666666666664E-3</v>
      </c>
      <c r="I1032" s="1373">
        <f t="shared" si="15"/>
        <v>-5.4666666666666665E-3</v>
      </c>
      <c r="J1032" s="1371">
        <v>40848</v>
      </c>
    </row>
    <row r="1033" spans="1:10" x14ac:dyDescent="0.45">
      <c r="B1033" s="1371">
        <v>40878</v>
      </c>
      <c r="C1033" s="1370" t="s">
        <v>7149</v>
      </c>
      <c r="F1033" s="1375">
        <v>1.0200000000000001E-2</v>
      </c>
      <c r="H1033" s="1382">
        <v>3.3166666666666665E-3</v>
      </c>
      <c r="I1033" s="1373">
        <f t="shared" si="15"/>
        <v>6.8833333333333342E-3</v>
      </c>
      <c r="J1033" s="1371">
        <v>40878</v>
      </c>
    </row>
    <row r="1034" spans="1:10" x14ac:dyDescent="0.45">
      <c r="B1034" s="1371">
        <v>40909</v>
      </c>
      <c r="C1034" s="1370" t="s">
        <v>7149</v>
      </c>
      <c r="F1034" s="1372">
        <f>'PRPM WP2'!B1035</f>
        <v>4.48E-2</v>
      </c>
      <c r="H1034" s="1382">
        <v>3.3416666666666668E-3</v>
      </c>
      <c r="I1034" s="1373">
        <f t="shared" si="15"/>
        <v>4.1458333333333333E-2</v>
      </c>
      <c r="J1034" s="1371">
        <v>40909</v>
      </c>
    </row>
    <row r="1035" spans="1:10" x14ac:dyDescent="0.45">
      <c r="B1035" s="1371">
        <v>40940</v>
      </c>
      <c r="C1035" s="1370" t="s">
        <v>7149</v>
      </c>
      <c r="F1035" s="1372">
        <f>'PRPM WP2'!B1036</f>
        <v>4.3200000000000002E-2</v>
      </c>
      <c r="H1035" s="1382">
        <v>3.3250000000000003E-3</v>
      </c>
      <c r="I1035" s="1373">
        <f t="shared" si="15"/>
        <v>3.9875000000000001E-2</v>
      </c>
      <c r="J1035" s="1371">
        <v>40940</v>
      </c>
    </row>
    <row r="1036" spans="1:10" x14ac:dyDescent="0.45">
      <c r="B1036" s="1371">
        <v>40969</v>
      </c>
      <c r="C1036" s="1370" t="s">
        <v>7149</v>
      </c>
      <c r="F1036" s="1372">
        <f>'PRPM WP2'!B1037</f>
        <v>3.2899999999999999E-2</v>
      </c>
      <c r="H1036" s="1380">
        <v>3.3874999999999999E-3</v>
      </c>
      <c r="I1036" s="1373">
        <f t="shared" si="15"/>
        <v>2.9512499999999997E-2</v>
      </c>
      <c r="J1036" s="1371">
        <v>40969</v>
      </c>
    </row>
    <row r="1037" spans="1:10" x14ac:dyDescent="0.45">
      <c r="B1037" s="1371">
        <v>41000</v>
      </c>
      <c r="C1037" s="1370" t="s">
        <v>7149</v>
      </c>
      <c r="F1037" s="1372">
        <f>'PRPM WP2'!B1038</f>
        <v>-6.3E-3</v>
      </c>
      <c r="H1037" s="1380">
        <v>3.3500000000000005E-3</v>
      </c>
      <c r="I1037" s="1373">
        <f t="shared" si="15"/>
        <v>-9.6500000000000006E-3</v>
      </c>
      <c r="J1037" s="1371">
        <v>41000</v>
      </c>
    </row>
    <row r="1038" spans="1:10" x14ac:dyDescent="0.45">
      <c r="B1038" s="1371">
        <v>41030</v>
      </c>
      <c r="C1038" s="1370" t="s">
        <v>7149</v>
      </c>
      <c r="F1038" s="1372">
        <f>'PRPM WP2'!B1039</f>
        <v>-6.0100000000000001E-2</v>
      </c>
      <c r="H1038" s="1380">
        <v>3.2125000000000001E-3</v>
      </c>
      <c r="I1038" s="1373">
        <f t="shared" si="15"/>
        <v>-6.3312499999999994E-2</v>
      </c>
      <c r="J1038" s="1371">
        <v>41030</v>
      </c>
    </row>
    <row r="1039" spans="1:10" x14ac:dyDescent="0.45">
      <c r="B1039" s="1371">
        <v>41061</v>
      </c>
      <c r="C1039" s="1370" t="s">
        <v>7149</v>
      </c>
      <c r="F1039" s="1372">
        <f>'PRPM WP2'!B1040</f>
        <v>4.1200000000000001E-2</v>
      </c>
      <c r="H1039" s="1380">
        <v>3.091666666666667E-3</v>
      </c>
      <c r="I1039" s="1373">
        <f t="shared" si="15"/>
        <v>3.8108333333333334E-2</v>
      </c>
      <c r="J1039" s="1371">
        <v>41061</v>
      </c>
    </row>
    <row r="1040" spans="1:10" x14ac:dyDescent="0.45">
      <c r="B1040" s="1371">
        <v>41091</v>
      </c>
      <c r="C1040" s="1370" t="s">
        <v>7149</v>
      </c>
      <c r="F1040" s="1372">
        <f>'PRPM WP2'!B1041</f>
        <v>1.3899999999999999E-2</v>
      </c>
      <c r="H1040" s="1370">
        <f>'PRPM WP2'!G1041</f>
        <v>2.8916666666666665E-3</v>
      </c>
      <c r="I1040" s="1373">
        <f t="shared" si="15"/>
        <v>1.1008333333333332E-2</v>
      </c>
      <c r="J1040" s="1371">
        <v>41091</v>
      </c>
    </row>
    <row r="1041" spans="2:10" x14ac:dyDescent="0.45">
      <c r="B1041" s="1371">
        <v>41122</v>
      </c>
      <c r="C1041" s="1370" t="s">
        <v>7149</v>
      </c>
      <c r="F1041" s="1372">
        <f>'PRPM WP2'!B1042</f>
        <v>2.2499999999999999E-2</v>
      </c>
      <c r="H1041" s="1370">
        <f>'PRPM WP2'!G1042</f>
        <v>2.9541666666666666E-3</v>
      </c>
      <c r="I1041" s="1373">
        <f t="shared" si="15"/>
        <v>1.9545833333333332E-2</v>
      </c>
      <c r="J1041" s="1371">
        <v>41122</v>
      </c>
    </row>
    <row r="1042" spans="2:10" x14ac:dyDescent="0.45">
      <c r="B1042" s="1371">
        <v>41153</v>
      </c>
      <c r="C1042" s="1370" t="s">
        <v>7149</v>
      </c>
      <c r="F1042" s="1372">
        <f>'PRPM WP2'!B1043</f>
        <v>2.58E-2</v>
      </c>
      <c r="H1042" s="1370">
        <f>'PRPM WP2'!G1043</f>
        <v>2.9875000000000001E-3</v>
      </c>
      <c r="I1042" s="1373">
        <f t="shared" si="15"/>
        <v>2.2812499999999999E-2</v>
      </c>
      <c r="J1042" s="1371">
        <v>41153</v>
      </c>
    </row>
    <row r="1043" spans="2:10" x14ac:dyDescent="0.45">
      <c r="B1043" s="1371">
        <v>41183</v>
      </c>
      <c r="C1043" s="1370" t="s">
        <v>7149</v>
      </c>
      <c r="F1043" s="1372">
        <f>'PRPM WP2'!B1044</f>
        <v>-1.8499999999999999E-2</v>
      </c>
      <c r="H1043" s="1370">
        <f>'PRPM WP2'!G1044</f>
        <v>2.9583333333333336E-3</v>
      </c>
      <c r="I1043" s="1373">
        <f t="shared" si="15"/>
        <v>-2.1458333333333333E-2</v>
      </c>
      <c r="J1043" s="1371">
        <v>41183</v>
      </c>
    </row>
    <row r="1044" spans="2:10" x14ac:dyDescent="0.45">
      <c r="B1044" s="1371">
        <v>41214</v>
      </c>
      <c r="C1044" s="1370" t="s">
        <v>7149</v>
      </c>
      <c r="F1044" s="1372">
        <f>'PRPM WP2'!B1045</f>
        <v>5.7999999999999996E-3</v>
      </c>
      <c r="H1044" s="1370">
        <f>'PRPM WP2'!G1045</f>
        <v>2.9458333333333333E-3</v>
      </c>
      <c r="I1044" s="1373">
        <f t="shared" si="15"/>
        <v>2.8541666666666663E-3</v>
      </c>
      <c r="J1044" s="1371">
        <v>41214</v>
      </c>
    </row>
    <row r="1045" spans="2:10" x14ac:dyDescent="0.45">
      <c r="B1045" s="1371">
        <v>41244</v>
      </c>
      <c r="C1045" s="1370" t="s">
        <v>7149</v>
      </c>
      <c r="F1045" s="1372">
        <f>'PRPM WP2'!B1046</f>
        <v>9.1000000000000004E-3</v>
      </c>
      <c r="H1045" s="1370">
        <f>'PRPM WP2'!G1046</f>
        <v>3.0625000000000001E-3</v>
      </c>
      <c r="I1045" s="1373">
        <f t="shared" si="15"/>
        <v>6.0375000000000003E-3</v>
      </c>
      <c r="J1045" s="1371">
        <v>41244</v>
      </c>
    </row>
    <row r="1046" spans="2:10" x14ac:dyDescent="0.45">
      <c r="B1046" s="1371">
        <v>41275</v>
      </c>
      <c r="C1046" s="1370" t="s">
        <v>7149</v>
      </c>
      <c r="F1046" s="1372">
        <f>'PRPM WP2'!B1047</f>
        <v>5.1799999999999999E-2</v>
      </c>
      <c r="H1046" s="1370">
        <f>'PRPM WP2'!G1047</f>
        <v>3.1958333333333335E-3</v>
      </c>
      <c r="I1046" s="1373">
        <f t="shared" si="15"/>
        <v>4.8604166666666664E-2</v>
      </c>
      <c r="J1046" s="1371">
        <v>41275</v>
      </c>
    </row>
    <row r="1047" spans="2:10" x14ac:dyDescent="0.45">
      <c r="B1047" s="1371">
        <v>41306</v>
      </c>
      <c r="C1047" s="1370" t="s">
        <v>7149</v>
      </c>
      <c r="F1047" s="1372">
        <f>'PRPM WP2'!B1048</f>
        <v>1.3599999999999999E-2</v>
      </c>
      <c r="H1047" s="1370">
        <f>'PRPM WP2'!G1048</f>
        <v>3.2708333333333331E-3</v>
      </c>
      <c r="I1047" s="1373">
        <f t="shared" si="15"/>
        <v>1.0329166666666667E-2</v>
      </c>
      <c r="J1047" s="1371">
        <v>41306</v>
      </c>
    </row>
    <row r="1048" spans="2:10" x14ac:dyDescent="0.45">
      <c r="B1048" s="1371">
        <v>41334</v>
      </c>
      <c r="C1048" s="1370" t="s">
        <v>7149</v>
      </c>
      <c r="F1048" s="1372">
        <f>'PRPM WP2'!B1049</f>
        <v>3.7499999999999999E-2</v>
      </c>
      <c r="H1048" s="1370">
        <f>'PRPM WP2'!G1049</f>
        <v>3.1958333333333335E-3</v>
      </c>
      <c r="I1048" s="1373">
        <f t="shared" si="15"/>
        <v>3.4304166666666663E-2</v>
      </c>
      <c r="J1048" s="1371">
        <v>41334</v>
      </c>
    </row>
    <row r="1049" spans="2:10" x14ac:dyDescent="0.45">
      <c r="B1049" s="1371">
        <v>41365</v>
      </c>
      <c r="C1049" s="1370" t="s">
        <v>7149</v>
      </c>
      <c r="F1049" s="1372">
        <f>'PRPM WP2'!B1050</f>
        <v>1.9300000000000001E-2</v>
      </c>
      <c r="H1049" s="1370">
        <f>'PRPM WP2'!G1050</f>
        <v>3.1249999999999997E-3</v>
      </c>
      <c r="I1049" s="1373">
        <f t="shared" si="15"/>
        <v>1.6175000000000002E-2</v>
      </c>
      <c r="J1049" s="1371">
        <v>41365</v>
      </c>
    </row>
    <row r="1050" spans="2:10" x14ac:dyDescent="0.45">
      <c r="B1050" s="1371">
        <v>41395</v>
      </c>
      <c r="C1050" s="1370" t="s">
        <v>7149</v>
      </c>
      <c r="F1050" s="1372">
        <f>'PRPM WP2'!B1051</f>
        <v>2.3400000000000001E-2</v>
      </c>
      <c r="H1050" s="1370">
        <f>'PRPM WP2'!G1051</f>
        <v>3.2624999999999998E-3</v>
      </c>
      <c r="I1050" s="1373">
        <f t="shared" ref="I1050:I1113" si="16">F1050-H1050</f>
        <v>2.0137500000000003E-2</v>
      </c>
      <c r="J1050" s="1371">
        <v>41395</v>
      </c>
    </row>
    <row r="1051" spans="2:10" x14ac:dyDescent="0.45">
      <c r="B1051" s="1371">
        <v>41426</v>
      </c>
      <c r="C1051" s="1370" t="s">
        <v>7149</v>
      </c>
      <c r="F1051" s="1372">
        <f>'PRPM WP2'!B1052</f>
        <v>-1.34E-2</v>
      </c>
      <c r="H1051" s="1370">
        <f>'PRPM WP2'!G1052</f>
        <v>3.5791666666666671E-3</v>
      </c>
      <c r="I1051" s="1373">
        <f t="shared" si="16"/>
        <v>-1.6979166666666667E-2</v>
      </c>
      <c r="J1051" s="1371">
        <v>41426</v>
      </c>
    </row>
    <row r="1052" spans="2:10" x14ac:dyDescent="0.45">
      <c r="B1052" s="1371">
        <v>41456</v>
      </c>
      <c r="C1052" s="1370" t="s">
        <v>7149</v>
      </c>
      <c r="F1052" s="1372">
        <f>'PRPM WP2'!B1053</f>
        <v>5.0900000000000001E-2</v>
      </c>
      <c r="H1052" s="1370">
        <f>'PRPM WP2'!G1053</f>
        <v>3.666666666666667E-3</v>
      </c>
      <c r="I1052" s="1373">
        <f t="shared" si="16"/>
        <v>4.7233333333333336E-2</v>
      </c>
      <c r="J1052" s="1371">
        <v>41456</v>
      </c>
    </row>
    <row r="1053" spans="2:10" x14ac:dyDescent="0.45">
      <c r="B1053" s="1371">
        <v>41487</v>
      </c>
      <c r="C1053" s="1370" t="s">
        <v>7149</v>
      </c>
      <c r="F1053" s="1372">
        <f>'PRPM WP2'!B1054</f>
        <v>-2.9000000000000001E-2</v>
      </c>
      <c r="H1053" s="1370">
        <f>'PRPM WP2'!G1054</f>
        <v>3.8208333333333332E-3</v>
      </c>
      <c r="I1053" s="1373">
        <f t="shared" si="16"/>
        <v>-3.2820833333333334E-2</v>
      </c>
      <c r="J1053" s="1371">
        <v>41487</v>
      </c>
    </row>
    <row r="1054" spans="2:10" x14ac:dyDescent="0.45">
      <c r="B1054" s="1371">
        <v>41518</v>
      </c>
      <c r="C1054" s="1370" t="s">
        <v>7149</v>
      </c>
      <c r="F1054" s="1372">
        <f>'PRPM WP2'!B1055</f>
        <v>3.1399999999999997E-2</v>
      </c>
      <c r="H1054" s="1370">
        <f>'PRPM WP2'!G1055</f>
        <v>3.8874999999999995E-3</v>
      </c>
      <c r="I1054" s="1373">
        <f t="shared" si="16"/>
        <v>2.7512499999999999E-2</v>
      </c>
      <c r="J1054" s="1371">
        <v>41518</v>
      </c>
    </row>
    <row r="1055" spans="2:10" x14ac:dyDescent="0.45">
      <c r="B1055" s="1371">
        <v>41548</v>
      </c>
      <c r="C1055" s="1370" t="s">
        <v>7149</v>
      </c>
      <c r="F1055" s="1372">
        <f>'PRPM WP2'!B1056</f>
        <v>4.5999999999999999E-2</v>
      </c>
      <c r="H1055" s="1370">
        <f>'PRPM WP2'!G1056</f>
        <v>3.8000000000000004E-3</v>
      </c>
      <c r="I1055" s="1373">
        <f t="shared" si="16"/>
        <v>4.2200000000000001E-2</v>
      </c>
      <c r="J1055" s="1371">
        <v>41548</v>
      </c>
    </row>
    <row r="1056" spans="2:10" x14ac:dyDescent="0.45">
      <c r="B1056" s="1371">
        <v>41579</v>
      </c>
      <c r="C1056" s="1370" t="s">
        <v>7149</v>
      </c>
      <c r="F1056" s="1372">
        <f>'PRPM WP2'!B1057</f>
        <v>3.0499999999999999E-2</v>
      </c>
      <c r="H1056" s="1370">
        <f>'PRPM WP2'!G1057</f>
        <v>3.875E-3</v>
      </c>
      <c r="I1056" s="1373">
        <f t="shared" si="16"/>
        <v>2.6624999999999999E-2</v>
      </c>
      <c r="J1056" s="1371">
        <v>41579</v>
      </c>
    </row>
    <row r="1057" spans="2:10" x14ac:dyDescent="0.45">
      <c r="B1057" s="1371">
        <v>41609</v>
      </c>
      <c r="C1057" s="1370" t="s">
        <v>7149</v>
      </c>
      <c r="F1057" s="1372">
        <f>'PRPM WP2'!B1058</f>
        <v>2.53E-2</v>
      </c>
      <c r="H1057" s="1370">
        <f>'PRPM WP2'!G1058</f>
        <v>3.875E-3</v>
      </c>
      <c r="I1057" s="1373">
        <f t="shared" si="16"/>
        <v>2.1425E-2</v>
      </c>
      <c r="J1057" s="1371">
        <v>41609</v>
      </c>
    </row>
    <row r="1058" spans="2:10" x14ac:dyDescent="0.45">
      <c r="B1058" s="1371">
        <v>41640</v>
      </c>
      <c r="C1058" s="1370" t="s">
        <v>7149</v>
      </c>
      <c r="F1058" s="1372">
        <f>'PRPM WP2'!B1059</f>
        <v>-3.4599999999999999E-2</v>
      </c>
      <c r="H1058" s="1370">
        <f>'PRPM WP2'!G1059</f>
        <v>3.7583333333333336E-3</v>
      </c>
      <c r="I1058" s="1373">
        <f t="shared" si="16"/>
        <v>-3.8358333333333335E-2</v>
      </c>
      <c r="J1058" s="1371">
        <v>41640</v>
      </c>
    </row>
    <row r="1059" spans="2:10" x14ac:dyDescent="0.45">
      <c r="B1059" s="1371">
        <v>41671</v>
      </c>
      <c r="C1059" s="1370" t="s">
        <v>7149</v>
      </c>
      <c r="F1059" s="1372">
        <f>'PRPM WP2'!B1060</f>
        <v>4.5699999999999998E-2</v>
      </c>
      <c r="H1059" s="1370">
        <f>'PRPM WP2'!G1060</f>
        <v>3.7124999999999997E-3</v>
      </c>
      <c r="I1059" s="1373">
        <f t="shared" si="16"/>
        <v>4.1987499999999997E-2</v>
      </c>
      <c r="J1059" s="1371">
        <v>41671</v>
      </c>
    </row>
    <row r="1060" spans="2:10" x14ac:dyDescent="0.45">
      <c r="B1060" s="1371">
        <v>41699</v>
      </c>
      <c r="C1060" s="1370" t="s">
        <v>7149</v>
      </c>
      <c r="F1060" s="1372">
        <f>'PRPM WP2'!B1061</f>
        <v>8.3999999999999995E-3</v>
      </c>
      <c r="H1060" s="1370">
        <f>'PRPM WP2'!G1061</f>
        <v>3.6750000000000003E-3</v>
      </c>
      <c r="I1060" s="1373">
        <f t="shared" si="16"/>
        <v>4.7249999999999992E-3</v>
      </c>
      <c r="J1060" s="1371">
        <v>41699</v>
      </c>
    </row>
    <row r="1061" spans="2:10" x14ac:dyDescent="0.45">
      <c r="B1061" s="1371">
        <v>41730</v>
      </c>
      <c r="C1061" s="1370" t="s">
        <v>7149</v>
      </c>
      <c r="F1061" s="1372">
        <f>'PRPM WP2'!B1062</f>
        <v>7.4000000000000003E-3</v>
      </c>
      <c r="H1061" s="1370">
        <f>'PRPM WP2'!G1062</f>
        <v>3.570833333333333E-3</v>
      </c>
      <c r="I1061" s="1373">
        <f t="shared" si="16"/>
        <v>3.8291666666666673E-3</v>
      </c>
      <c r="J1061" s="1371">
        <v>41730</v>
      </c>
    </row>
    <row r="1062" spans="2:10" x14ac:dyDescent="0.45">
      <c r="B1062" s="1371">
        <v>41760</v>
      </c>
      <c r="C1062" s="1370" t="s">
        <v>7149</v>
      </c>
      <c r="F1062" s="1372">
        <f>'PRPM WP2'!B1063</f>
        <v>2.35E-2</v>
      </c>
      <c r="H1062" s="1370">
        <f>'PRPM WP2'!G1063</f>
        <v>3.4833333333333331E-3</v>
      </c>
      <c r="I1062" s="1373">
        <f t="shared" si="16"/>
        <v>2.0016666666666669E-2</v>
      </c>
      <c r="J1062" s="1371">
        <v>41760</v>
      </c>
    </row>
    <row r="1063" spans="2:10" x14ac:dyDescent="0.45">
      <c r="B1063" s="1371">
        <v>41791</v>
      </c>
      <c r="C1063" s="1370" t="s">
        <v>7149</v>
      </c>
      <c r="F1063" s="1372">
        <f>'PRPM WP2'!B1064</f>
        <v>2.07E-2</v>
      </c>
      <c r="H1063" s="1370">
        <f>'PRPM WP2'!G1064</f>
        <v>3.5458333333333331E-3</v>
      </c>
      <c r="I1063" s="1373">
        <f t="shared" si="16"/>
        <v>1.7154166666666665E-2</v>
      </c>
      <c r="J1063" s="1371">
        <v>41791</v>
      </c>
    </row>
    <row r="1064" spans="2:10" x14ac:dyDescent="0.45">
      <c r="B1064" s="1371">
        <v>41821</v>
      </c>
      <c r="C1064" s="1370" t="s">
        <v>7149</v>
      </c>
      <c r="F1064" s="1372">
        <f>'PRPM WP2'!B1065</f>
        <v>-1.38E-2</v>
      </c>
      <c r="H1064" s="1370">
        <f>'PRPM WP2'!G1065</f>
        <v>3.4833333333333331E-3</v>
      </c>
      <c r="I1064" s="1373">
        <f t="shared" si="16"/>
        <v>-1.7283333333333331E-2</v>
      </c>
      <c r="J1064" s="1371">
        <v>41821</v>
      </c>
    </row>
    <row r="1065" spans="2:10" x14ac:dyDescent="0.45">
      <c r="B1065" s="1371">
        <v>41852</v>
      </c>
      <c r="C1065" s="1370" t="s">
        <v>7149</v>
      </c>
      <c r="F1065" s="1372">
        <f>'PRPM WP2'!B1066</f>
        <v>0.04</v>
      </c>
      <c r="H1065" s="1370">
        <f>'PRPM WP2'!G1066</f>
        <v>3.4083333333333335E-3</v>
      </c>
      <c r="I1065" s="1373">
        <f t="shared" si="16"/>
        <v>3.6591666666666668E-2</v>
      </c>
      <c r="J1065" s="1371">
        <v>41852</v>
      </c>
    </row>
    <row r="1066" spans="2:10" x14ac:dyDescent="0.45">
      <c r="B1066" s="1371">
        <v>41883</v>
      </c>
      <c r="C1066" s="1370" t="s">
        <v>7149</v>
      </c>
      <c r="F1066" s="1372">
        <f>'PRPM WP2'!B1067</f>
        <v>-1.4E-2</v>
      </c>
      <c r="H1066" s="1370">
        <f>'PRPM WP2'!G1067</f>
        <v>3.4583333333333332E-3</v>
      </c>
      <c r="I1066" s="1373">
        <f t="shared" si="16"/>
        <v>-1.7458333333333333E-2</v>
      </c>
      <c r="J1066" s="1371">
        <v>41883</v>
      </c>
    </row>
    <row r="1067" spans="2:10" x14ac:dyDescent="0.45">
      <c r="B1067" s="1371">
        <v>41913</v>
      </c>
      <c r="C1067" s="1370" t="s">
        <v>7149</v>
      </c>
      <c r="F1067" s="1372">
        <f>'PRPM WP2'!B1068</f>
        <v>2.4400000000000002E-2</v>
      </c>
      <c r="H1067" s="1370">
        <f>'PRPM WP2'!G1068</f>
        <v>3.2958333333333329E-3</v>
      </c>
      <c r="I1067" s="1373">
        <f t="shared" si="16"/>
        <v>2.1104166666666667E-2</v>
      </c>
      <c r="J1067" s="1371">
        <v>41913</v>
      </c>
    </row>
    <row r="1068" spans="2:10" x14ac:dyDescent="0.45">
      <c r="B1068" s="1371">
        <v>41944</v>
      </c>
      <c r="C1068" s="1370" t="s">
        <v>7149</v>
      </c>
      <c r="F1068" s="1372">
        <f>'PRPM WP2'!B1069</f>
        <v>2.69E-2</v>
      </c>
      <c r="H1068" s="1370">
        <f>'PRPM WP2'!G1069</f>
        <v>3.3166666666666665E-3</v>
      </c>
      <c r="I1068" s="1373">
        <f t="shared" si="16"/>
        <v>2.3583333333333335E-2</v>
      </c>
      <c r="J1068" s="1371">
        <v>41944</v>
      </c>
    </row>
    <row r="1069" spans="2:10" x14ac:dyDescent="0.45">
      <c r="B1069" s="1371">
        <v>41974</v>
      </c>
      <c r="C1069" s="1370" t="s">
        <v>7149</v>
      </c>
      <c r="F1069" s="1372">
        <f>'PRPM WP2'!B1070</f>
        <v>-2.5000000000000001E-3</v>
      </c>
      <c r="H1069" s="1370">
        <f>'PRPM WP2'!G1070</f>
        <v>3.2000000000000002E-3</v>
      </c>
      <c r="I1069" s="1373">
        <f t="shared" si="16"/>
        <v>-5.7000000000000002E-3</v>
      </c>
      <c r="J1069" s="1371">
        <v>41974</v>
      </c>
    </row>
    <row r="1070" spans="2:10" x14ac:dyDescent="0.45">
      <c r="B1070" s="1371">
        <v>42005</v>
      </c>
      <c r="C1070" s="1370" t="s">
        <v>7149</v>
      </c>
      <c r="F1070" s="1372">
        <f>'PRPM WP2'!B1071</f>
        <v>-0.03</v>
      </c>
      <c r="H1070" s="1370">
        <f>'PRPM WP2'!G1071</f>
        <v>2.9166666666666664E-3</v>
      </c>
      <c r="I1070" s="1373">
        <f t="shared" si="16"/>
        <v>-3.2916666666666664E-2</v>
      </c>
      <c r="J1070" s="1371">
        <v>42005</v>
      </c>
    </row>
    <row r="1071" spans="2:10" x14ac:dyDescent="0.45">
      <c r="B1071" s="1371">
        <v>42036</v>
      </c>
      <c r="C1071" s="1370" t="s">
        <v>7149</v>
      </c>
      <c r="F1071" s="1372">
        <f>'PRPM WP2'!B1072</f>
        <v>5.7500000000000002E-2</v>
      </c>
      <c r="H1071" s="1370">
        <f>'PRPM WP2'!G1072</f>
        <v>3.0208333333333337E-3</v>
      </c>
      <c r="I1071" s="1373">
        <f t="shared" si="16"/>
        <v>5.4479166666666669E-2</v>
      </c>
      <c r="J1071" s="1371">
        <v>42036</v>
      </c>
    </row>
    <row r="1072" spans="2:10" x14ac:dyDescent="0.45">
      <c r="B1072" s="1371">
        <v>42064</v>
      </c>
      <c r="C1072" s="1370" t="s">
        <v>7149</v>
      </c>
      <c r="F1072" s="1372">
        <f>'PRPM WP2'!B1073</f>
        <v>-1.5800000000000002E-2</v>
      </c>
      <c r="H1072" s="1370">
        <f>'PRPM WP2'!G1073</f>
        <v>3.0583333333333335E-3</v>
      </c>
      <c r="I1072" s="1373">
        <f t="shared" si="16"/>
        <v>-1.8858333333333335E-2</v>
      </c>
      <c r="J1072" s="1371">
        <v>42064</v>
      </c>
    </row>
    <row r="1073" spans="2:10" x14ac:dyDescent="0.45">
      <c r="B1073" s="1371">
        <v>42095</v>
      </c>
      <c r="C1073" s="1370" t="s">
        <v>7149</v>
      </c>
      <c r="F1073" s="1372">
        <f>'PRPM WP2'!B1074</f>
        <v>9.5999999999999992E-3</v>
      </c>
      <c r="H1073" s="1370">
        <f>'PRPM WP2'!G1074</f>
        <v>2.9833333333333335E-3</v>
      </c>
      <c r="I1073" s="1373">
        <f t="shared" si="16"/>
        <v>6.6166666666666657E-3</v>
      </c>
      <c r="J1073" s="1371">
        <v>42095</v>
      </c>
    </row>
    <row r="1074" spans="2:10" x14ac:dyDescent="0.45">
      <c r="B1074" s="1371">
        <v>42125</v>
      </c>
      <c r="C1074" s="1370" t="s">
        <v>7149</v>
      </c>
      <c r="F1074" s="1372">
        <f>'PRPM WP2'!B1075</f>
        <v>1.29E-2</v>
      </c>
      <c r="H1074" s="1370">
        <f>'PRPM WP2'!G1075</f>
        <v>3.3583333333333338E-3</v>
      </c>
      <c r="I1074" s="1373">
        <f t="shared" si="16"/>
        <v>9.541666666666667E-3</v>
      </c>
      <c r="J1074" s="1371">
        <v>42125</v>
      </c>
    </row>
    <row r="1075" spans="2:10" x14ac:dyDescent="0.45">
      <c r="B1075" s="1371">
        <f t="shared" ref="B1075:B1106" si="17">DATE(YEAR(B1074),MONTH(B1074) + 1,1)</f>
        <v>42156</v>
      </c>
      <c r="C1075" s="1370" t="str">
        <f t="shared" ref="C1075:C1106" si="18">C1074</f>
        <v>MKT Minus Aaa and Aa Avg</v>
      </c>
      <c r="F1075" s="1372">
        <f>'PRPM WP2'!B1076</f>
        <v>-1.9400000000000001E-2</v>
      </c>
      <c r="H1075" s="1370">
        <f>'PRPM WP2'!G1076</f>
        <v>3.5249999999999995E-3</v>
      </c>
      <c r="I1075" s="1373">
        <f t="shared" si="16"/>
        <v>-2.2925000000000001E-2</v>
      </c>
      <c r="J1075" s="1371">
        <f t="shared" ref="J1075:J1106" si="19">B1075</f>
        <v>42156</v>
      </c>
    </row>
    <row r="1076" spans="2:10" x14ac:dyDescent="0.45">
      <c r="B1076" s="1371">
        <f t="shared" si="17"/>
        <v>42186</v>
      </c>
      <c r="C1076" s="1370" t="str">
        <f t="shared" si="18"/>
        <v>MKT Minus Aaa and Aa Avg</v>
      </c>
      <c r="F1076" s="1372">
        <f>'PRPM WP2'!B1077</f>
        <v>2.1000000000000001E-2</v>
      </c>
      <c r="H1076" s="1370">
        <f>'PRPM WP2'!G1077</f>
        <v>3.5000000000000005E-3</v>
      </c>
      <c r="I1076" s="1373">
        <f t="shared" si="16"/>
        <v>1.7500000000000002E-2</v>
      </c>
      <c r="J1076" s="1371">
        <f t="shared" si="19"/>
        <v>42186</v>
      </c>
    </row>
    <row r="1077" spans="2:10" x14ac:dyDescent="0.45">
      <c r="B1077" s="1371">
        <f t="shared" si="17"/>
        <v>42217</v>
      </c>
      <c r="C1077" s="1370" t="str">
        <f t="shared" si="18"/>
        <v>MKT Minus Aaa and Aa Avg</v>
      </c>
      <c r="F1077" s="1372">
        <f>'PRPM WP2'!B1078</f>
        <v>-6.0299999999999999E-2</v>
      </c>
      <c r="H1077" s="1370">
        <f>'PRPM WP2'!G1078</f>
        <v>3.4041666666666665E-3</v>
      </c>
      <c r="I1077" s="1373">
        <f t="shared" si="16"/>
        <v>-6.3704166666666673E-2</v>
      </c>
      <c r="J1077" s="1371">
        <f t="shared" si="19"/>
        <v>42217</v>
      </c>
    </row>
    <row r="1078" spans="2:10" x14ac:dyDescent="0.45">
      <c r="B1078" s="1371">
        <f t="shared" si="17"/>
        <v>42248</v>
      </c>
      <c r="C1078" s="1370" t="str">
        <f t="shared" si="18"/>
        <v>MKT Minus Aaa and Aa Avg</v>
      </c>
      <c r="F1078" s="1372">
        <f>'PRPM WP2'!B1079</f>
        <v>-2.47E-2</v>
      </c>
      <c r="H1078" s="1370">
        <f>'PRPM WP2'!G1079</f>
        <v>3.4499999999999999E-3</v>
      </c>
      <c r="I1078" s="1370">
        <f t="shared" si="16"/>
        <v>-2.8150000000000001E-2</v>
      </c>
      <c r="J1078" s="1371">
        <f t="shared" si="19"/>
        <v>42248</v>
      </c>
    </row>
    <row r="1079" spans="2:10" x14ac:dyDescent="0.45">
      <c r="B1079" s="1371">
        <f t="shared" si="17"/>
        <v>42278</v>
      </c>
      <c r="C1079" s="1370" t="str">
        <f t="shared" si="18"/>
        <v>MKT Minus Aaa and Aa Avg</v>
      </c>
      <c r="F1079" s="1372">
        <f>'PRPM WP2'!B1080</f>
        <v>8.4400000000000003E-2</v>
      </c>
      <c r="H1079" s="1370">
        <f>'PRPM WP2'!G1080</f>
        <v>3.3583333333333334E-3</v>
      </c>
      <c r="I1079" s="1370">
        <f t="shared" si="16"/>
        <v>8.1041666666666665E-2</v>
      </c>
      <c r="J1079" s="1371">
        <f t="shared" si="19"/>
        <v>42278</v>
      </c>
    </row>
    <row r="1080" spans="2:10" x14ac:dyDescent="0.45">
      <c r="B1080" s="1371">
        <f t="shared" si="17"/>
        <v>42309</v>
      </c>
      <c r="C1080" s="1370" t="str">
        <f t="shared" si="18"/>
        <v>MKT Minus Aaa and Aa Avg</v>
      </c>
      <c r="F1080" s="1372">
        <f>'PRPM WP2'!B1081</f>
        <v>3.0000000000000001E-3</v>
      </c>
      <c r="H1080" s="1370">
        <f>'PRPM WP2'!G1081</f>
        <v>3.4458333333333333E-3</v>
      </c>
      <c r="I1080" s="1370">
        <f t="shared" si="16"/>
        <v>-4.4583333333333324E-4</v>
      </c>
      <c r="J1080" s="1371">
        <f t="shared" si="19"/>
        <v>42309</v>
      </c>
    </row>
    <row r="1081" spans="2:10" x14ac:dyDescent="0.45">
      <c r="B1081" s="1371">
        <f t="shared" si="17"/>
        <v>42339</v>
      </c>
      <c r="C1081" s="1370" t="str">
        <f t="shared" si="18"/>
        <v>MKT Minus Aaa and Aa Avg</v>
      </c>
      <c r="F1081" s="1372">
        <f>'PRPM WP2'!B1082</f>
        <v>-1.5800000000000002E-2</v>
      </c>
      <c r="H1081" s="1370">
        <f>'PRPM WP2'!G1082</f>
        <v>3.3874999999999999E-3</v>
      </c>
      <c r="I1081" s="1370">
        <f t="shared" si="16"/>
        <v>-1.9187500000000003E-2</v>
      </c>
      <c r="J1081" s="1371">
        <f t="shared" si="19"/>
        <v>42339</v>
      </c>
    </row>
    <row r="1082" spans="2:10" x14ac:dyDescent="0.45">
      <c r="B1082" s="1371">
        <f t="shared" si="17"/>
        <v>42370</v>
      </c>
      <c r="C1082" s="1370" t="str">
        <f t="shared" si="18"/>
        <v>MKT Minus Aaa and Aa Avg</v>
      </c>
      <c r="F1082" s="1372">
        <f>'PRPM WP2'!B1083</f>
        <v>-4.9599999999999998E-2</v>
      </c>
      <c r="H1082" s="1370">
        <f>'PRPM WP2'!G1083</f>
        <v>3.3833333333333332E-3</v>
      </c>
      <c r="I1082" s="1370">
        <f t="shared" si="16"/>
        <v>-5.2983333333333334E-2</v>
      </c>
      <c r="J1082" s="1371">
        <f t="shared" si="19"/>
        <v>42370</v>
      </c>
    </row>
    <row r="1083" spans="2:10" x14ac:dyDescent="0.45">
      <c r="B1083" s="1371">
        <f t="shared" si="17"/>
        <v>42401</v>
      </c>
      <c r="C1083" s="1370" t="str">
        <f t="shared" si="18"/>
        <v>MKT Minus Aaa and Aa Avg</v>
      </c>
      <c r="F1083" s="1372">
        <f>'PRPM WP2'!B1084</f>
        <v>-1.2999999999999999E-3</v>
      </c>
      <c r="H1083" s="1370">
        <f>'PRPM WP2'!G1084</f>
        <v>3.3083333333333333E-3</v>
      </c>
      <c r="I1083" s="1370">
        <f t="shared" si="16"/>
        <v>-4.6083333333333332E-3</v>
      </c>
      <c r="J1083" s="1371">
        <f t="shared" si="19"/>
        <v>42401</v>
      </c>
    </row>
    <row r="1084" spans="2:10" x14ac:dyDescent="0.45">
      <c r="B1084" s="1371">
        <f t="shared" si="17"/>
        <v>42430</v>
      </c>
      <c r="C1084" s="1370" t="str">
        <f t="shared" si="18"/>
        <v>MKT Minus Aaa and Aa Avg</v>
      </c>
      <c r="F1084" s="1372">
        <f>'PRPM WP2'!B1085</f>
        <v>6.7799999999999999E-2</v>
      </c>
      <c r="H1084" s="1370">
        <f>'PRPM WP2'!G1085</f>
        <v>3.2208333333333334E-3</v>
      </c>
      <c r="I1084" s="1370">
        <f t="shared" si="16"/>
        <v>6.457916666666666E-2</v>
      </c>
      <c r="J1084" s="1371">
        <f t="shared" si="19"/>
        <v>42430</v>
      </c>
    </row>
    <row r="1085" spans="2:10" x14ac:dyDescent="0.45">
      <c r="B1085" s="1371">
        <f t="shared" si="17"/>
        <v>42461</v>
      </c>
      <c r="C1085" s="1370" t="str">
        <f t="shared" si="18"/>
        <v>MKT Minus Aaa and Aa Avg</v>
      </c>
      <c r="F1085" s="1372">
        <f>'PRPM WP2'!B1086</f>
        <v>3.8999999999999998E-3</v>
      </c>
      <c r="H1085" s="1370">
        <f>'PRPM WP2'!G1086</f>
        <v>3.2208333333333334E-3</v>
      </c>
      <c r="I1085" s="1370">
        <f t="shared" si="16"/>
        <v>6.7916666666666646E-4</v>
      </c>
      <c r="J1085" s="1371">
        <f t="shared" si="19"/>
        <v>42461</v>
      </c>
    </row>
    <row r="1086" spans="2:10" x14ac:dyDescent="0.45">
      <c r="B1086" s="1371">
        <f t="shared" si="17"/>
        <v>42491</v>
      </c>
      <c r="C1086" s="1370" t="str">
        <f t="shared" si="18"/>
        <v>MKT Minus Aaa and Aa Avg</v>
      </c>
      <c r="F1086" s="1372">
        <f>'PRPM WP2'!B1087</f>
        <v>1.7999999999999999E-2</v>
      </c>
      <c r="H1086" s="1370">
        <f>'PRPM WP2'!G1087</f>
        <v>3.0625000000000001E-3</v>
      </c>
      <c r="I1086" s="1370">
        <f t="shared" si="16"/>
        <v>1.4937499999999999E-2</v>
      </c>
      <c r="J1086" s="1371">
        <f t="shared" si="19"/>
        <v>42491</v>
      </c>
    </row>
    <row r="1087" spans="2:10" x14ac:dyDescent="0.45">
      <c r="B1087" s="1371">
        <f t="shared" si="17"/>
        <v>42522</v>
      </c>
      <c r="C1087" s="1370" t="str">
        <f t="shared" si="18"/>
        <v>MKT Minus Aaa and Aa Avg</v>
      </c>
      <c r="F1087" s="1372">
        <f>'PRPM WP2'!B1088</f>
        <v>2.5999999999999999E-3</v>
      </c>
      <c r="H1087" s="1370">
        <f>'PRPM WP2'!G1088</f>
        <v>2.9583333333333336E-3</v>
      </c>
      <c r="I1087" s="1370">
        <f t="shared" si="16"/>
        <v>-3.5833333333333377E-4</v>
      </c>
      <c r="J1087" s="1371">
        <f t="shared" si="19"/>
        <v>42522</v>
      </c>
    </row>
    <row r="1088" spans="2:10" x14ac:dyDescent="0.45">
      <c r="B1088" s="1371">
        <f t="shared" si="17"/>
        <v>42552</v>
      </c>
      <c r="C1088" s="1370" t="str">
        <f t="shared" si="18"/>
        <v>MKT Minus Aaa and Aa Avg</v>
      </c>
      <c r="F1088" s="1372">
        <f>'PRPM WP2'!B1089</f>
        <v>3.6900000000000002E-2</v>
      </c>
      <c r="H1088" s="1370">
        <f>'PRPM WP2'!G1089</f>
        <v>2.7791666666666668E-3</v>
      </c>
      <c r="I1088" s="1370">
        <f t="shared" si="16"/>
        <v>3.4120833333333336E-2</v>
      </c>
      <c r="J1088" s="1371">
        <f t="shared" si="19"/>
        <v>42552</v>
      </c>
    </row>
    <row r="1089" spans="2:10" x14ac:dyDescent="0.45">
      <c r="B1089" s="1371">
        <f t="shared" si="17"/>
        <v>42583</v>
      </c>
      <c r="C1089" s="1370" t="str">
        <f t="shared" si="18"/>
        <v>MKT Minus Aaa and Aa Avg</v>
      </c>
      <c r="F1089" s="1372">
        <f>'PRPM WP2'!B1090</f>
        <v>1.4E-3</v>
      </c>
      <c r="H1089" s="1370">
        <f>'PRPM WP2'!G1090</f>
        <v>2.8083333333333333E-3</v>
      </c>
      <c r="I1089" s="1370">
        <f t="shared" si="16"/>
        <v>-1.4083333333333333E-3</v>
      </c>
      <c r="J1089" s="1371">
        <f t="shared" si="19"/>
        <v>42583</v>
      </c>
    </row>
    <row r="1090" spans="2:10" x14ac:dyDescent="0.45">
      <c r="B1090" s="1371">
        <f t="shared" si="17"/>
        <v>42614</v>
      </c>
      <c r="C1090" s="1370" t="str">
        <f t="shared" si="18"/>
        <v>MKT Minus Aaa and Aa Avg</v>
      </c>
      <c r="F1090" s="1372">
        <f>'PRPM WP2'!B1091</f>
        <v>2.0000000000000001E-4</v>
      </c>
      <c r="H1090" s="1370">
        <f>'PRPM WP2'!G1091</f>
        <v>2.879166666666667E-3</v>
      </c>
      <c r="I1090" s="1370">
        <f t="shared" si="16"/>
        <v>-2.6791666666666669E-3</v>
      </c>
      <c r="J1090" s="1371">
        <f t="shared" si="19"/>
        <v>42614</v>
      </c>
    </row>
    <row r="1091" spans="2:10" x14ac:dyDescent="0.45">
      <c r="B1091" s="1371">
        <f t="shared" si="17"/>
        <v>42644</v>
      </c>
      <c r="C1091" s="1370" t="str">
        <f t="shared" si="18"/>
        <v>MKT Minus Aaa and Aa Avg</v>
      </c>
      <c r="F1091" s="1372">
        <f>'PRPM WP2'!B1092</f>
        <v>-1.8200000000000001E-2</v>
      </c>
      <c r="H1091" s="1370">
        <f>'PRPM WP2'!G1092</f>
        <v>2.879166666666667E-3</v>
      </c>
      <c r="I1091" s="1370">
        <f t="shared" si="16"/>
        <v>-2.107916666666667E-2</v>
      </c>
      <c r="J1091" s="1371">
        <f t="shared" si="19"/>
        <v>42644</v>
      </c>
    </row>
    <row r="1092" spans="2:10" x14ac:dyDescent="0.45">
      <c r="B1092" s="1371">
        <f t="shared" si="17"/>
        <v>42675</v>
      </c>
      <c r="C1092" s="1370" t="str">
        <f t="shared" si="18"/>
        <v>MKT Minus Aaa and Aa Avg</v>
      </c>
      <c r="F1092" s="1372">
        <f>'PRPM WP2'!B1093</f>
        <v>3.6999999999999998E-2</v>
      </c>
      <c r="H1092" s="1370">
        <f>'PRPM WP2'!G1093</f>
        <v>3.2458333333333332E-3</v>
      </c>
      <c r="I1092" s="1370">
        <f t="shared" si="16"/>
        <v>3.3754166666666668E-2</v>
      </c>
      <c r="J1092" s="1371">
        <f t="shared" si="19"/>
        <v>42675</v>
      </c>
    </row>
    <row r="1093" spans="2:10" x14ac:dyDescent="0.45">
      <c r="B1093" s="1371">
        <f t="shared" si="17"/>
        <v>42705</v>
      </c>
      <c r="C1093" s="1370" t="str">
        <f t="shared" si="18"/>
        <v>MKT Minus Aaa and Aa Avg</v>
      </c>
      <c r="F1093" s="1372">
        <f>'PRPM WP2'!B1094</f>
        <v>1.9800000000000002E-2</v>
      </c>
      <c r="H1093" s="1370">
        <f>'PRPM WP2'!G1094</f>
        <v>3.4083333333333335E-3</v>
      </c>
      <c r="I1093" s="1370">
        <f t="shared" si="16"/>
        <v>1.6391666666666669E-2</v>
      </c>
      <c r="J1093" s="1371">
        <f t="shared" si="19"/>
        <v>42705</v>
      </c>
    </row>
    <row r="1094" spans="2:10" x14ac:dyDescent="0.45">
      <c r="B1094" s="1371">
        <f t="shared" si="17"/>
        <v>42736</v>
      </c>
      <c r="C1094" s="1370" t="str">
        <f t="shared" si="18"/>
        <v>MKT Minus Aaa and Aa Avg</v>
      </c>
      <c r="F1094" s="1372">
        <f>'PRPM WP2'!B1095</f>
        <v>1.9E-2</v>
      </c>
      <c r="H1094" s="1370">
        <f>'PRPM WP2'!G1095</f>
        <v>3.2916666666666667E-3</v>
      </c>
      <c r="I1094" s="1370">
        <f t="shared" si="16"/>
        <v>1.5708333333333331E-2</v>
      </c>
      <c r="J1094" s="1371">
        <f t="shared" si="19"/>
        <v>42736</v>
      </c>
    </row>
    <row r="1095" spans="2:10" x14ac:dyDescent="0.45">
      <c r="B1095" s="1371">
        <f t="shared" si="17"/>
        <v>42767</v>
      </c>
      <c r="C1095" s="1370" t="str">
        <f t="shared" si="18"/>
        <v>MKT Minus Aaa and Aa Avg</v>
      </c>
      <c r="F1095" s="1372">
        <f>'PRPM WP2'!B1096</f>
        <v>3.9699999999999999E-2</v>
      </c>
      <c r="H1095" s="1370">
        <f>'PRPM WP2'!G1096</f>
        <v>3.3166666666666665E-3</v>
      </c>
      <c r="I1095" s="1370">
        <f t="shared" si="16"/>
        <v>3.638333333333333E-2</v>
      </c>
      <c r="J1095" s="1371">
        <f t="shared" si="19"/>
        <v>42767</v>
      </c>
    </row>
    <row r="1096" spans="2:10" x14ac:dyDescent="0.45">
      <c r="B1096" s="1371">
        <f t="shared" si="17"/>
        <v>42795</v>
      </c>
      <c r="C1096" s="1370" t="str">
        <f t="shared" si="18"/>
        <v>MKT Minus Aaa and Aa Avg</v>
      </c>
      <c r="F1096" s="1372">
        <f>'PRPM WP2'!B1097</f>
        <v>1.1999999999999999E-3</v>
      </c>
      <c r="H1096" s="1370">
        <f>'PRPM WP2'!G1097</f>
        <v>3.3166666666666665E-3</v>
      </c>
      <c r="I1096" s="1370">
        <f t="shared" si="16"/>
        <v>-2.1166666666666669E-3</v>
      </c>
      <c r="J1096" s="1371">
        <f t="shared" si="19"/>
        <v>42795</v>
      </c>
    </row>
    <row r="1097" spans="2:10" x14ac:dyDescent="0.45">
      <c r="B1097" s="1371">
        <f t="shared" si="17"/>
        <v>42826</v>
      </c>
      <c r="C1097" s="1370" t="str">
        <f t="shared" si="18"/>
        <v>MKT Minus Aaa and Aa Avg</v>
      </c>
      <c r="F1097" s="1372">
        <f>'PRPM WP2'!B1098</f>
        <v>1.03E-2</v>
      </c>
      <c r="H1097" s="1370">
        <f>'PRPM WP2'!G1098</f>
        <v>3.2500000000000003E-3</v>
      </c>
      <c r="I1097" s="1370">
        <f t="shared" si="16"/>
        <v>7.0499999999999998E-3</v>
      </c>
      <c r="J1097" s="1371">
        <f t="shared" si="19"/>
        <v>42826</v>
      </c>
    </row>
    <row r="1098" spans="2:10" x14ac:dyDescent="0.45">
      <c r="B1098" s="1371">
        <f t="shared" si="17"/>
        <v>42856</v>
      </c>
      <c r="C1098" s="1370" t="str">
        <f t="shared" si="18"/>
        <v>MKT Minus Aaa and Aa Avg</v>
      </c>
      <c r="F1098" s="1372">
        <f>'PRPM WP2'!B1099</f>
        <v>1.41E-2</v>
      </c>
      <c r="H1098" s="1370">
        <f>'PRPM WP2'!G1099</f>
        <v>3.241666666666667E-3</v>
      </c>
      <c r="I1098" s="1370">
        <f t="shared" si="16"/>
        <v>1.0858333333333333E-2</v>
      </c>
      <c r="J1098" s="1371">
        <f t="shared" si="19"/>
        <v>42856</v>
      </c>
    </row>
    <row r="1099" spans="2:10" x14ac:dyDescent="0.45">
      <c r="B1099" s="1371">
        <f t="shared" si="17"/>
        <v>42887</v>
      </c>
      <c r="C1099" s="1370" t="str">
        <f t="shared" si="18"/>
        <v>MKT Minus Aaa and Aa Avg</v>
      </c>
      <c r="F1099" s="1372">
        <f>'PRPM WP2'!B1100</f>
        <v>6.1999999999999998E-3</v>
      </c>
      <c r="H1099" s="1370">
        <f>'PRPM WP2'!G1100</f>
        <v>3.1041666666666665E-3</v>
      </c>
      <c r="I1099" s="1370">
        <f t="shared" si="16"/>
        <v>3.0958333333333332E-3</v>
      </c>
      <c r="J1099" s="1371">
        <f t="shared" si="19"/>
        <v>42887</v>
      </c>
    </row>
    <row r="1100" spans="2:10" x14ac:dyDescent="0.45">
      <c r="B1100" s="1371">
        <f t="shared" si="17"/>
        <v>42917</v>
      </c>
      <c r="C1100" s="1370" t="str">
        <f t="shared" si="18"/>
        <v>MKT Minus Aaa and Aa Avg</v>
      </c>
      <c r="F1100" s="1372">
        <f>'PRPM WP2'!B1101</f>
        <v>2.06E-2</v>
      </c>
      <c r="H1100" s="1370">
        <f>'PRPM WP2'!G1101</f>
        <v>3.1875000000000002E-3</v>
      </c>
      <c r="I1100" s="1370">
        <f t="shared" si="16"/>
        <v>1.7412500000000001E-2</v>
      </c>
      <c r="J1100" s="1371">
        <f t="shared" si="19"/>
        <v>42917</v>
      </c>
    </row>
    <row r="1101" spans="2:10" x14ac:dyDescent="0.45">
      <c r="B1101" s="1371">
        <f t="shared" si="17"/>
        <v>42948</v>
      </c>
      <c r="C1101" s="1370" t="str">
        <f t="shared" si="18"/>
        <v>MKT Minus Aaa and Aa Avg</v>
      </c>
      <c r="F1101" s="1372">
        <f>'PRPM WP2'!B1102</f>
        <v>3.0999999999999999E-3</v>
      </c>
      <c r="H1101" s="1370">
        <f>'PRPM WP2'!G1102</f>
        <v>3.1250000000000002E-3</v>
      </c>
      <c r="I1101" s="1370">
        <f t="shared" si="16"/>
        <v>-2.5000000000000282E-5</v>
      </c>
      <c r="J1101" s="1371">
        <f t="shared" si="19"/>
        <v>42948</v>
      </c>
    </row>
    <row r="1102" spans="2:10" x14ac:dyDescent="0.45">
      <c r="B1102" s="1371">
        <f t="shared" si="17"/>
        <v>42979</v>
      </c>
      <c r="C1102" s="1370" t="str">
        <f t="shared" si="18"/>
        <v>MKT Minus Aaa and Aa Avg</v>
      </c>
      <c r="F1102" s="1372">
        <f>'PRPM WP2'!B1103</f>
        <v>2.06E-2</v>
      </c>
      <c r="H1102" s="1370">
        <f>'PRPM WP2'!G1103</f>
        <v>3.0625000000000001E-3</v>
      </c>
      <c r="I1102" s="1370">
        <f t="shared" si="16"/>
        <v>1.7537500000000001E-2</v>
      </c>
      <c r="J1102" s="1371">
        <f t="shared" si="19"/>
        <v>42979</v>
      </c>
    </row>
    <row r="1103" spans="2:10" x14ac:dyDescent="0.45">
      <c r="B1103" s="1371">
        <f t="shared" si="17"/>
        <v>43009</v>
      </c>
      <c r="C1103" s="1370" t="str">
        <f t="shared" si="18"/>
        <v>MKT Minus Aaa and Aa Avg</v>
      </c>
      <c r="F1103" s="1372">
        <f>'PRPM WP2'!B1104</f>
        <v>2.3300000000000001E-2</v>
      </c>
      <c r="H1103" s="1370">
        <f>'PRPM WP2'!G1104</f>
        <v>3.0583333333333335E-3</v>
      </c>
      <c r="I1103" s="1370">
        <f t="shared" si="16"/>
        <v>2.0241666666666668E-2</v>
      </c>
      <c r="J1103" s="1371">
        <f t="shared" si="19"/>
        <v>43009</v>
      </c>
    </row>
    <row r="1104" spans="2:10" x14ac:dyDescent="0.45">
      <c r="B1104" s="1371">
        <f t="shared" si="17"/>
        <v>43040</v>
      </c>
      <c r="C1104" s="1370" t="str">
        <f t="shared" si="18"/>
        <v>MKT Minus Aaa and Aa Avg</v>
      </c>
      <c r="F1104" s="1372">
        <f>'PRPM WP2'!B1105</f>
        <v>3.0700000000000002E-2</v>
      </c>
      <c r="H1104" s="1370">
        <f>'PRPM WP2'!G1105</f>
        <v>3.0583333333333335E-3</v>
      </c>
      <c r="I1104" s="1370">
        <f t="shared" si="16"/>
        <v>2.7641666666666669E-2</v>
      </c>
      <c r="J1104" s="1371">
        <f t="shared" si="19"/>
        <v>43040</v>
      </c>
    </row>
    <row r="1105" spans="2:10" x14ac:dyDescent="0.45">
      <c r="B1105" s="1371">
        <f t="shared" si="17"/>
        <v>43070</v>
      </c>
      <c r="C1105" s="1370" t="str">
        <f t="shared" si="18"/>
        <v>MKT Minus Aaa and Aa Avg</v>
      </c>
      <c r="F1105" s="1372">
        <f>'PRPM WP2'!B1106</f>
        <v>1.11E-2</v>
      </c>
      <c r="H1105" s="1370">
        <f>'PRPM WP2'!G1106</f>
        <v>2.9666666666666665E-3</v>
      </c>
      <c r="I1105" s="1370">
        <f t="shared" si="16"/>
        <v>8.1333333333333344E-3</v>
      </c>
      <c r="J1105" s="1371">
        <f t="shared" si="19"/>
        <v>43070</v>
      </c>
    </row>
    <row r="1106" spans="2:10" x14ac:dyDescent="0.45">
      <c r="B1106" s="1371">
        <f t="shared" si="17"/>
        <v>43101</v>
      </c>
      <c r="C1106" s="1370" t="str">
        <f t="shared" si="18"/>
        <v>MKT Minus Aaa and Aa Avg</v>
      </c>
      <c r="F1106" s="1372">
        <f>'PRPM WP2'!B1107</f>
        <v>5.7299999999999997E-2</v>
      </c>
      <c r="H1106" s="1370">
        <f>'PRPM WP2'!G1107</f>
        <v>2.9666666666666665E-3</v>
      </c>
      <c r="I1106" s="1370">
        <f t="shared" si="16"/>
        <v>5.4333333333333331E-2</v>
      </c>
      <c r="J1106" s="1371">
        <f t="shared" si="19"/>
        <v>43101</v>
      </c>
    </row>
    <row r="1107" spans="2:10" x14ac:dyDescent="0.45">
      <c r="B1107" s="1371">
        <f t="shared" ref="B1107:B1138" si="20">DATE(YEAR(B1106),MONTH(B1106) + 1,1)</f>
        <v>43132</v>
      </c>
      <c r="C1107" s="1370" t="str">
        <f t="shared" ref="C1107:C1138" si="21">C1106</f>
        <v>MKT Minus Aaa and Aa Avg</v>
      </c>
      <c r="F1107" s="1372">
        <f>'PRPM WP2'!B1108</f>
        <v>-3.6900000000000002E-2</v>
      </c>
      <c r="H1107" s="1370">
        <f>'PRPM WP2'!G1108</f>
        <v>3.0125000000000004E-3</v>
      </c>
      <c r="I1107" s="1370">
        <f t="shared" si="16"/>
        <v>-3.9912500000000004E-2</v>
      </c>
      <c r="J1107" s="1371">
        <f t="shared" ref="J1107:J1138" si="22">B1107</f>
        <v>43132</v>
      </c>
    </row>
    <row r="1108" spans="2:10" x14ac:dyDescent="0.45">
      <c r="B1108" s="1371">
        <f t="shared" si="20"/>
        <v>43160</v>
      </c>
      <c r="C1108" s="1370" t="str">
        <f t="shared" si="21"/>
        <v>MKT Minus Aaa and Aa Avg</v>
      </c>
      <c r="F1108" s="1372">
        <f>'PRPM WP2'!B1109</f>
        <v>-2.5399999999999999E-2</v>
      </c>
      <c r="H1108" s="1370">
        <f>'PRPM WP2'!G1109</f>
        <v>3.2750000000000001E-3</v>
      </c>
      <c r="I1108" s="1370">
        <f t="shared" si="16"/>
        <v>-2.8674999999999999E-2</v>
      </c>
      <c r="J1108" s="1371">
        <f t="shared" si="22"/>
        <v>43160</v>
      </c>
    </row>
    <row r="1109" spans="2:10" x14ac:dyDescent="0.45">
      <c r="B1109" s="1371">
        <f t="shared" si="20"/>
        <v>43191</v>
      </c>
      <c r="C1109" s="1370" t="str">
        <f t="shared" si="21"/>
        <v>MKT Minus Aaa and Aa Avg</v>
      </c>
      <c r="F1109" s="1372">
        <f>'PRPM WP2'!B1110</f>
        <v>3.8E-3</v>
      </c>
      <c r="H1109" s="1370">
        <f>'PRPM WP2'!G1110</f>
        <v>3.2750000000000001E-3</v>
      </c>
      <c r="I1109" s="1370">
        <f t="shared" si="16"/>
        <v>5.2499999999999986E-4</v>
      </c>
      <c r="J1109" s="1371">
        <f t="shared" si="22"/>
        <v>43191</v>
      </c>
    </row>
    <row r="1110" spans="2:10" x14ac:dyDescent="0.45">
      <c r="B1110" s="1371">
        <f t="shared" si="20"/>
        <v>43221</v>
      </c>
      <c r="C1110" s="1370" t="str">
        <f t="shared" si="21"/>
        <v>MKT Minus Aaa and Aa Avg</v>
      </c>
      <c r="F1110" s="1372">
        <f>'PRPM WP2'!B1111</f>
        <v>2.41E-2</v>
      </c>
      <c r="H1110" s="1370">
        <f>'PRPM WP2'!G1111</f>
        <v>3.3791666666666666E-3</v>
      </c>
      <c r="I1110" s="1370">
        <f t="shared" si="16"/>
        <v>2.0720833333333334E-2</v>
      </c>
      <c r="J1110" s="1371">
        <f t="shared" si="22"/>
        <v>43221</v>
      </c>
    </row>
    <row r="1111" spans="2:10" x14ac:dyDescent="0.45">
      <c r="B1111" s="1371">
        <f t="shared" si="20"/>
        <v>43252</v>
      </c>
      <c r="C1111" s="1370" t="str">
        <f t="shared" si="21"/>
        <v>MKT Minus Aaa and Aa Avg</v>
      </c>
      <c r="F1111" s="1372">
        <f>'PRPM WP2'!B1112</f>
        <v>6.1999999999999998E-3</v>
      </c>
      <c r="H1111" s="1370">
        <f>'PRPM WP2'!G1112</f>
        <v>3.3625E-3</v>
      </c>
      <c r="I1111" s="1370">
        <f t="shared" si="16"/>
        <v>2.8374999999999997E-3</v>
      </c>
      <c r="J1111" s="1371">
        <f t="shared" si="22"/>
        <v>43252</v>
      </c>
    </row>
    <row r="1112" spans="2:10" x14ac:dyDescent="0.45">
      <c r="B1112" s="1371">
        <f t="shared" si="20"/>
        <v>43282</v>
      </c>
      <c r="C1112" s="1370" t="str">
        <f t="shared" si="21"/>
        <v>MKT Minus Aaa and Aa Avg</v>
      </c>
      <c r="F1112" s="1372">
        <f>'PRPM WP2'!B1113</f>
        <v>3.7199999999999997E-2</v>
      </c>
      <c r="H1112" s="1370">
        <f>'PRPM WP2'!G1113</f>
        <v>3.3083333333333333E-3</v>
      </c>
      <c r="I1112" s="1370">
        <f t="shared" si="16"/>
        <v>3.3891666666666667E-2</v>
      </c>
      <c r="J1112" s="1371">
        <f t="shared" si="22"/>
        <v>43282</v>
      </c>
    </row>
    <row r="1113" spans="2:10" x14ac:dyDescent="0.45">
      <c r="B1113" s="1371">
        <f t="shared" si="20"/>
        <v>43313</v>
      </c>
      <c r="C1113" s="1370" t="str">
        <f t="shared" si="21"/>
        <v>MKT Minus Aaa and Aa Avg</v>
      </c>
      <c r="F1113" s="1372">
        <f>'PRPM WP2'!B1114</f>
        <v>3.2599999999999997E-2</v>
      </c>
      <c r="H1113" s="1370">
        <f>'PRPM WP2'!G1114</f>
        <v>3.3041666666666662E-3</v>
      </c>
      <c r="I1113" s="1370">
        <f t="shared" si="16"/>
        <v>2.929583333333333E-2</v>
      </c>
      <c r="J1113" s="1371">
        <f t="shared" si="22"/>
        <v>43313</v>
      </c>
    </row>
    <row r="1114" spans="2:10" x14ac:dyDescent="0.45">
      <c r="B1114" s="1371">
        <f t="shared" si="20"/>
        <v>43344</v>
      </c>
      <c r="C1114" s="1370" t="str">
        <f t="shared" si="21"/>
        <v>MKT Minus Aaa and Aa Avg</v>
      </c>
      <c r="F1114" s="1372">
        <f>'PRPM WP2'!B1115</f>
        <v>5.7000000000000002E-3</v>
      </c>
      <c r="H1114" s="1370">
        <f>'PRPM WP2'!G1115</f>
        <v>3.3041666666666662E-3</v>
      </c>
      <c r="I1114" s="1370">
        <f t="shared" ref="I1114:I1177" si="23">F1114-H1114</f>
        <v>2.395833333333334E-3</v>
      </c>
      <c r="J1114" s="1371">
        <f t="shared" si="22"/>
        <v>43344</v>
      </c>
    </row>
    <row r="1115" spans="2:10" x14ac:dyDescent="0.45">
      <c r="B1115" s="1371">
        <f t="shared" si="20"/>
        <v>43374</v>
      </c>
      <c r="C1115" s="1370" t="str">
        <f t="shared" si="21"/>
        <v>MKT Minus Aaa and Aa Avg</v>
      </c>
      <c r="F1115" s="1372">
        <f>'PRPM WP2'!B1116</f>
        <v>-6.8400000000000002E-2</v>
      </c>
      <c r="H1115" s="1370">
        <f>'PRPM WP2'!G1116</f>
        <v>1.725E-3</v>
      </c>
      <c r="I1115" s="1370">
        <f t="shared" si="23"/>
        <v>-7.0125000000000007E-2</v>
      </c>
      <c r="J1115" s="1371">
        <f t="shared" si="22"/>
        <v>43374</v>
      </c>
    </row>
    <row r="1116" spans="2:10" x14ac:dyDescent="0.45">
      <c r="B1116" s="1371">
        <f t="shared" si="20"/>
        <v>43405</v>
      </c>
      <c r="C1116" s="1370" t="str">
        <f t="shared" si="21"/>
        <v>MKT Minus Aaa and Aa Avg</v>
      </c>
      <c r="F1116" s="1372">
        <f>'PRPM WP2'!B1117</f>
        <v>2.0400000000000001E-2</v>
      </c>
      <c r="H1116" s="1370">
        <f>'PRPM WP2'!G1117</f>
        <v>3.5791666666666663E-3</v>
      </c>
      <c r="I1116" s="1370">
        <f t="shared" si="23"/>
        <v>1.6820833333333333E-2</v>
      </c>
      <c r="J1116" s="1371">
        <f t="shared" si="22"/>
        <v>43405</v>
      </c>
    </row>
    <row r="1117" spans="2:10" x14ac:dyDescent="0.45">
      <c r="B1117" s="1371">
        <f t="shared" si="20"/>
        <v>43435</v>
      </c>
      <c r="C1117" s="1370" t="str">
        <f t="shared" si="21"/>
        <v>MKT Minus Aaa and Aa Avg</v>
      </c>
      <c r="F1117" s="1372">
        <f>'PRPM WP2'!B1118</f>
        <v>-9.0300000000000005E-2</v>
      </c>
      <c r="H1117" s="1370">
        <f>'PRPM WP2'!G1118</f>
        <v>3.4250000000000001E-3</v>
      </c>
      <c r="I1117" s="1370">
        <f t="shared" si="23"/>
        <v>-9.3725000000000003E-2</v>
      </c>
      <c r="J1117" s="1371">
        <f t="shared" si="22"/>
        <v>43435</v>
      </c>
    </row>
    <row r="1118" spans="2:10" x14ac:dyDescent="0.45">
      <c r="B1118" s="1371">
        <f t="shared" si="20"/>
        <v>43466</v>
      </c>
      <c r="C1118" s="1370" t="str">
        <f t="shared" si="21"/>
        <v>MKT Minus Aaa and Aa Avg</v>
      </c>
      <c r="F1118" s="1372">
        <f>'PRPM WP2'!B1119</f>
        <v>8.0100000000000005E-2</v>
      </c>
      <c r="H1118" s="1370">
        <f>'PRPM WP2'!G1119</f>
        <v>3.3625E-3</v>
      </c>
      <c r="I1118" s="1370">
        <f t="shared" si="23"/>
        <v>7.67375E-2</v>
      </c>
      <c r="J1118" s="1371">
        <f t="shared" si="22"/>
        <v>43466</v>
      </c>
    </row>
    <row r="1119" spans="2:10" x14ac:dyDescent="0.45">
      <c r="B1119" s="1371">
        <f t="shared" si="20"/>
        <v>43497</v>
      </c>
      <c r="C1119" s="1370" t="str">
        <f t="shared" si="21"/>
        <v>MKT Minus Aaa and Aa Avg</v>
      </c>
      <c r="F1119" s="1372">
        <f>'PRPM WP2'!B1120</f>
        <v>3.2099999999999997E-2</v>
      </c>
      <c r="H1119" s="1370">
        <f>'PRPM WP2'!G1120</f>
        <v>3.241666666666667E-3</v>
      </c>
      <c r="I1119" s="1370">
        <f t="shared" si="23"/>
        <v>2.885833333333333E-2</v>
      </c>
      <c r="J1119" s="1371">
        <f t="shared" si="22"/>
        <v>43497</v>
      </c>
    </row>
    <row r="1120" spans="2:10" x14ac:dyDescent="0.45">
      <c r="B1120" s="1371">
        <f t="shared" si="20"/>
        <v>43525</v>
      </c>
      <c r="C1120" s="1370" t="str">
        <f t="shared" si="21"/>
        <v>MKT Minus Aaa and Aa Avg</v>
      </c>
      <c r="F1120" s="1372">
        <f>'PRPM WP2'!B1121</f>
        <v>1.9400000000000001E-2</v>
      </c>
      <c r="H1120" s="1370">
        <f>'PRPM WP2'!G1121</f>
        <v>3.241666666666667E-3</v>
      </c>
      <c r="I1120" s="1370">
        <f t="shared" si="23"/>
        <v>1.6158333333333334E-2</v>
      </c>
      <c r="J1120" s="1371">
        <f t="shared" si="22"/>
        <v>43525</v>
      </c>
    </row>
    <row r="1121" spans="2:10" x14ac:dyDescent="0.45">
      <c r="B1121" s="1371">
        <f t="shared" si="20"/>
        <v>43556</v>
      </c>
      <c r="C1121" s="1370" t="str">
        <f t="shared" si="21"/>
        <v>MKT Minus Aaa and Aa Avg</v>
      </c>
      <c r="F1121" s="1372">
        <f>'PRPM WP2'!B1122</f>
        <v>4.0500000000000001E-2</v>
      </c>
      <c r="H1121" s="1370">
        <f>'PRPM WP2'!G1122</f>
        <v>3.1416666666666667E-3</v>
      </c>
      <c r="I1121" s="1370">
        <f t="shared" si="23"/>
        <v>3.7358333333333334E-2</v>
      </c>
      <c r="J1121" s="1371">
        <f t="shared" si="22"/>
        <v>43556</v>
      </c>
    </row>
    <row r="1122" spans="2:10" x14ac:dyDescent="0.45">
      <c r="B1122" s="1371">
        <f t="shared" si="20"/>
        <v>43586</v>
      </c>
      <c r="C1122" s="1370" t="str">
        <f t="shared" si="21"/>
        <v>MKT Minus Aaa and Aa Avg</v>
      </c>
      <c r="F1122" s="1372">
        <f>'PRPM WP2'!B1123</f>
        <v>-6.3500000000000001E-2</v>
      </c>
      <c r="H1122" s="1370">
        <f>'PRPM WP2'!G1123</f>
        <v>3.1124999999999998E-3</v>
      </c>
      <c r="I1122" s="1370">
        <f t="shared" si="23"/>
        <v>-6.6612500000000005E-2</v>
      </c>
      <c r="J1122" s="1371">
        <f t="shared" si="22"/>
        <v>43586</v>
      </c>
    </row>
    <row r="1123" spans="2:10" x14ac:dyDescent="0.45">
      <c r="B1123" s="1371">
        <f t="shared" si="20"/>
        <v>43617</v>
      </c>
      <c r="C1123" s="1370" t="str">
        <f t="shared" si="21"/>
        <v>MKT Minus Aaa and Aa Avg</v>
      </c>
      <c r="F1123" s="1372">
        <f>'PRPM WP2'!B1124</f>
        <v>7.0499999999999993E-2</v>
      </c>
      <c r="H1123" s="1370">
        <f>'PRPM WP2'!G1124</f>
        <v>3.1124999999999998E-3</v>
      </c>
      <c r="I1123" s="1370">
        <f t="shared" si="23"/>
        <v>6.7387499999999989E-2</v>
      </c>
      <c r="J1123" s="1371">
        <f t="shared" si="22"/>
        <v>43617</v>
      </c>
    </row>
    <row r="1124" spans="2:10" x14ac:dyDescent="0.45">
      <c r="B1124" s="1371">
        <f t="shared" si="20"/>
        <v>43647</v>
      </c>
      <c r="C1124" s="1370" t="str">
        <f t="shared" si="21"/>
        <v>MKT Minus Aaa and Aa Avg</v>
      </c>
      <c r="F1124" s="1372">
        <f>'PRPM WP2'!B1125</f>
        <v>1.44E-2</v>
      </c>
      <c r="H1124" s="1370">
        <f>'PRPM WP2'!G1125</f>
        <v>2.8124999999999999E-3</v>
      </c>
      <c r="I1124" s="1370">
        <f t="shared" si="23"/>
        <v>1.1587500000000001E-2</v>
      </c>
      <c r="J1124" s="1371">
        <f t="shared" si="22"/>
        <v>43647</v>
      </c>
    </row>
    <row r="1125" spans="2:10" x14ac:dyDescent="0.45">
      <c r="B1125" s="1371">
        <f t="shared" si="20"/>
        <v>43678</v>
      </c>
      <c r="C1125" s="1370" t="str">
        <f t="shared" si="21"/>
        <v>MKT Minus Aaa and Aa Avg</v>
      </c>
      <c r="F1125" s="1372">
        <f>'PRPM WP2'!B1126</f>
        <v>-1.5800000000000002E-2</v>
      </c>
      <c r="H1125" s="1370">
        <f>'PRPM WP2'!G1126</f>
        <v>2.8124999999999999E-3</v>
      </c>
      <c r="I1125" s="1370">
        <f t="shared" si="23"/>
        <v>-1.8612500000000001E-2</v>
      </c>
      <c r="J1125" s="1371">
        <f t="shared" si="22"/>
        <v>43678</v>
      </c>
    </row>
    <row r="1126" spans="2:10" x14ac:dyDescent="0.45">
      <c r="B1126" s="1371">
        <f t="shared" si="20"/>
        <v>43709</v>
      </c>
      <c r="C1126" s="1370" t="str">
        <f t="shared" si="21"/>
        <v>MKT Minus Aaa and Aa Avg</v>
      </c>
      <c r="F1126" s="1372">
        <f>'PRPM WP2'!B1127</f>
        <v>1.8700000000000001E-2</v>
      </c>
      <c r="H1126" s="1370">
        <f>'PRPM WP2'!G1127</f>
        <v>2.5249999999999999E-3</v>
      </c>
      <c r="I1126" s="1370">
        <f t="shared" si="23"/>
        <v>1.6175000000000002E-2</v>
      </c>
      <c r="J1126" s="1371">
        <f t="shared" si="22"/>
        <v>43709</v>
      </c>
    </row>
    <row r="1127" spans="2:10" x14ac:dyDescent="0.45">
      <c r="B1127" s="1371">
        <f t="shared" si="20"/>
        <v>43739</v>
      </c>
      <c r="C1127" s="1370" t="str">
        <f t="shared" si="21"/>
        <v>MKT Minus Aaa and Aa Avg</v>
      </c>
      <c r="F1127" s="1372">
        <f>'PRPM WP2'!B1128</f>
        <v>2.1700000000000001E-2</v>
      </c>
      <c r="H1127" s="1370">
        <f>'PRPM WP2'!G1128</f>
        <v>2.5666666666666667E-3</v>
      </c>
      <c r="I1127" s="1370">
        <f t="shared" si="23"/>
        <v>1.9133333333333336E-2</v>
      </c>
      <c r="J1127" s="1371">
        <f t="shared" si="22"/>
        <v>43739</v>
      </c>
    </row>
    <row r="1128" spans="2:10" x14ac:dyDescent="0.45">
      <c r="B1128" s="1371">
        <f t="shared" si="20"/>
        <v>43770</v>
      </c>
      <c r="C1128" s="1370" t="str">
        <f t="shared" si="21"/>
        <v>MKT Minus Aaa and Aa Avg</v>
      </c>
      <c r="F1128" s="1372">
        <f>'PRPM WP2'!B1129</f>
        <v>3.6299999999999999E-2</v>
      </c>
      <c r="H1128" s="1370">
        <f>'PRPM WP2'!G1129</f>
        <v>2.5999999999999999E-3</v>
      </c>
      <c r="I1128" s="1370">
        <f t="shared" si="23"/>
        <v>3.3700000000000001E-2</v>
      </c>
      <c r="J1128" s="1371">
        <f t="shared" si="22"/>
        <v>43770</v>
      </c>
    </row>
    <row r="1129" spans="2:10" x14ac:dyDescent="0.45">
      <c r="B1129" s="1371">
        <f t="shared" si="20"/>
        <v>43800</v>
      </c>
      <c r="C1129" s="1370" t="str">
        <f t="shared" si="21"/>
        <v>MKT Minus Aaa and Aa Avg</v>
      </c>
      <c r="F1129" s="1372">
        <f>'PRPM WP2'!B1130</f>
        <v>3.0200000000000001E-2</v>
      </c>
      <c r="H1129" s="1370">
        <f>'PRPM WP2'!G1130</f>
        <v>2.5499999999999997E-3</v>
      </c>
      <c r="I1129" s="1370">
        <f t="shared" si="23"/>
        <v>2.7650000000000001E-2</v>
      </c>
      <c r="J1129" s="1371">
        <f t="shared" si="22"/>
        <v>43800</v>
      </c>
    </row>
    <row r="1130" spans="2:10" x14ac:dyDescent="0.45">
      <c r="B1130" s="1371">
        <f t="shared" si="20"/>
        <v>43831</v>
      </c>
      <c r="C1130" s="1370" t="str">
        <f t="shared" si="21"/>
        <v>MKT Minus Aaa and Aa Avg</v>
      </c>
      <c r="F1130" s="1372">
        <f>'PRPM WP2'!B1131</f>
        <v>-4.0000000000000002E-4</v>
      </c>
      <c r="H1130" s="1370">
        <f>'PRPM WP2'!G1131</f>
        <v>2.3708333333333333E-3</v>
      </c>
      <c r="I1130" s="1370">
        <f t="shared" si="23"/>
        <v>-2.7708333333333335E-3</v>
      </c>
      <c r="J1130" s="1371">
        <f t="shared" si="22"/>
        <v>43831</v>
      </c>
    </row>
    <row r="1131" spans="2:10" x14ac:dyDescent="0.45">
      <c r="B1131" s="1371">
        <f t="shared" si="20"/>
        <v>43862</v>
      </c>
      <c r="C1131" s="1370" t="str">
        <f t="shared" si="21"/>
        <v>MKT Minus Aaa and Aa Avg</v>
      </c>
      <c r="F1131" s="1372">
        <f>'PRPM WP2'!B1132</f>
        <v>-8.2299999999999998E-2</v>
      </c>
      <c r="H1131" s="1370">
        <f>'PRPM WP2'!G1132</f>
        <v>2.4833333333333331E-3</v>
      </c>
      <c r="I1131" s="1370">
        <f t="shared" si="23"/>
        <v>-8.4783333333333336E-2</v>
      </c>
      <c r="J1131" s="1371">
        <f t="shared" si="22"/>
        <v>43862</v>
      </c>
    </row>
    <row r="1132" spans="2:10" x14ac:dyDescent="0.45">
      <c r="B1132" s="1371">
        <f t="shared" si="20"/>
        <v>43891</v>
      </c>
      <c r="C1132" s="1370" t="str">
        <f t="shared" si="21"/>
        <v>MKT Minus Aaa and Aa Avg</v>
      </c>
      <c r="F1132" s="1372">
        <f>'PRPM WP2'!B1133</f>
        <v>-0.1235</v>
      </c>
      <c r="H1132" s="1370">
        <f>'PRPM WP2'!G1133</f>
        <v>2.3458333333333335E-3</v>
      </c>
      <c r="I1132" s="1370">
        <f t="shared" si="23"/>
        <v>-0.12584583333333332</v>
      </c>
      <c r="J1132" s="1371">
        <f t="shared" si="22"/>
        <v>43891</v>
      </c>
    </row>
    <row r="1133" spans="2:10" x14ac:dyDescent="0.45">
      <c r="B1133" s="1371">
        <f t="shared" si="20"/>
        <v>43922</v>
      </c>
      <c r="C1133" s="1370" t="str">
        <f t="shared" si="21"/>
        <v>MKT Minus Aaa and Aa Avg</v>
      </c>
      <c r="F1133" s="1372">
        <f>'PRPM WP2'!B1134</f>
        <v>0.12820000000000001</v>
      </c>
      <c r="H1133" s="1370">
        <f>'PRPM WP2'!G1134</f>
        <v>2.1583333333333333E-3</v>
      </c>
      <c r="I1133" s="1370">
        <f t="shared" si="23"/>
        <v>0.12604166666666666</v>
      </c>
      <c r="J1133" s="1371">
        <f t="shared" si="22"/>
        <v>43922</v>
      </c>
    </row>
    <row r="1134" spans="2:10" x14ac:dyDescent="0.45">
      <c r="B1134" s="1371">
        <f t="shared" si="20"/>
        <v>43952</v>
      </c>
      <c r="C1134" s="1370" t="str">
        <f t="shared" si="21"/>
        <v>MKT Minus Aaa and Aa Avg</v>
      </c>
      <c r="F1134" s="1372">
        <f>'PRPM WP2'!B1135</f>
        <v>4.7600000000000003E-2</v>
      </c>
      <c r="H1134" s="1370">
        <f>'PRPM WP2'!G1135</f>
        <v>2.1708333333333336E-3</v>
      </c>
      <c r="I1134" s="1370">
        <f t="shared" si="23"/>
        <v>4.5429166666666673E-2</v>
      </c>
      <c r="J1134" s="1371">
        <f t="shared" si="22"/>
        <v>43952</v>
      </c>
    </row>
    <row r="1135" spans="2:10" x14ac:dyDescent="0.45">
      <c r="B1135" s="1371">
        <f t="shared" si="20"/>
        <v>43983</v>
      </c>
      <c r="C1135" s="1370" t="str">
        <f t="shared" si="21"/>
        <v>MKT Minus Aaa and Aa Avg</v>
      </c>
      <c r="F1135" s="1372">
        <f>'PRPM WP2'!B1136</f>
        <v>1.9900000000000001E-2</v>
      </c>
      <c r="H1135" s="1370">
        <f>'PRPM WP2'!G1136</f>
        <v>2.0999999999999999E-3</v>
      </c>
      <c r="I1135" s="1370">
        <f t="shared" si="23"/>
        <v>1.78E-2</v>
      </c>
      <c r="J1135" s="1371">
        <f t="shared" si="22"/>
        <v>43983</v>
      </c>
    </row>
    <row r="1136" spans="2:10" x14ac:dyDescent="0.45">
      <c r="B1136" s="1371">
        <f t="shared" si="20"/>
        <v>44013</v>
      </c>
      <c r="C1136" s="1370" t="str">
        <f t="shared" si="21"/>
        <v>MKT Minus Aaa and Aa Avg</v>
      </c>
      <c r="F1136" s="1372">
        <f>'PRPM WP2'!B1137</f>
        <v>5.6399999999999999E-2</v>
      </c>
      <c r="H1136" s="1370">
        <f>'PRPM WP2'!G1137</f>
        <v>1.7541666666666667E-3</v>
      </c>
      <c r="I1136" s="1370">
        <f t="shared" si="23"/>
        <v>5.4645833333333331E-2</v>
      </c>
      <c r="J1136" s="1371">
        <f t="shared" si="22"/>
        <v>44013</v>
      </c>
    </row>
    <row r="1137" spans="2:10" x14ac:dyDescent="0.45">
      <c r="B1137" s="1371">
        <f t="shared" si="20"/>
        <v>44044</v>
      </c>
      <c r="C1137" s="1370" t="str">
        <f t="shared" si="21"/>
        <v>MKT Minus Aaa and Aa Avg</v>
      </c>
      <c r="F1137" s="1372">
        <f>'PRPM WP2'!B1138</f>
        <v>7.1900000000000006E-2</v>
      </c>
      <c r="H1137" s="1370">
        <f>'PRPM WP2'!G1138</f>
        <v>1.9250000000000001E-3</v>
      </c>
      <c r="I1137" s="1370">
        <f t="shared" si="23"/>
        <v>6.9975000000000009E-2</v>
      </c>
      <c r="J1137" s="1371">
        <f t="shared" si="22"/>
        <v>44044</v>
      </c>
    </row>
    <row r="1138" spans="2:10" x14ac:dyDescent="0.45">
      <c r="B1138" s="1371">
        <f t="shared" si="20"/>
        <v>44075</v>
      </c>
      <c r="C1138" s="1370" t="str">
        <f t="shared" si="21"/>
        <v>MKT Minus Aaa and Aa Avg</v>
      </c>
      <c r="F1138" s="1372">
        <f>'PRPM WP2'!B1139</f>
        <v>-3.7999999999999999E-2</v>
      </c>
      <c r="H1138" s="1370">
        <f>'PRPM WP2'!G1139</f>
        <v>1.9916666666666668E-3</v>
      </c>
      <c r="I1138" s="1370">
        <f t="shared" si="23"/>
        <v>-3.9991666666666668E-2</v>
      </c>
      <c r="J1138" s="1371">
        <f t="shared" si="22"/>
        <v>44075</v>
      </c>
    </row>
    <row r="1139" spans="2:10" x14ac:dyDescent="0.45">
      <c r="B1139" s="1371">
        <f t="shared" ref="B1139:B1170" si="24">DATE(YEAR(B1138),MONTH(B1138) + 1,1)</f>
        <v>44105</v>
      </c>
      <c r="C1139" s="1370" t="str">
        <f t="shared" ref="C1139:C1170" si="25">C1138</f>
        <v>MKT Minus Aaa and Aa Avg</v>
      </c>
      <c r="F1139" s="1372">
        <f>'PRPM WP2'!B1140</f>
        <v>-2.6599999999999999E-2</v>
      </c>
      <c r="H1139" s="1370">
        <f>'PRPM WP2'!G1140</f>
        <v>2.0416666666666665E-3</v>
      </c>
      <c r="I1139" s="1370">
        <f t="shared" si="23"/>
        <v>-2.8641666666666666E-2</v>
      </c>
      <c r="J1139" s="1371">
        <f t="shared" ref="J1139:J1170" si="26">B1139</f>
        <v>44105</v>
      </c>
    </row>
    <row r="1140" spans="2:10" x14ac:dyDescent="0.45">
      <c r="B1140" s="1371">
        <f t="shared" si="24"/>
        <v>44136</v>
      </c>
      <c r="C1140" s="1370" t="str">
        <f t="shared" si="25"/>
        <v>MKT Minus Aaa and Aa Avg</v>
      </c>
      <c r="F1140" s="1372">
        <f>'PRPM WP2'!B1141</f>
        <v>0.1095</v>
      </c>
      <c r="H1140" s="1370">
        <f>'PRPM WP2'!G1141</f>
        <v>1.9875000000000001E-3</v>
      </c>
      <c r="I1140" s="1370">
        <f t="shared" si="23"/>
        <v>0.1075125</v>
      </c>
      <c r="J1140" s="1371">
        <f t="shared" si="26"/>
        <v>44136</v>
      </c>
    </row>
    <row r="1141" spans="2:10" x14ac:dyDescent="0.45">
      <c r="B1141" s="1371">
        <f t="shared" si="24"/>
        <v>44166</v>
      </c>
      <c r="C1141" s="1370" t="str">
        <f t="shared" si="25"/>
        <v>MKT Minus Aaa and Aa Avg</v>
      </c>
      <c r="F1141" s="1372">
        <f>'PRPM WP2'!B1142</f>
        <v>3.8399999999999997E-2</v>
      </c>
      <c r="H1141" s="1370">
        <f>'PRPM WP2'!G1142</f>
        <v>1.9583333333333332E-3</v>
      </c>
      <c r="I1141" s="1370">
        <f t="shared" si="23"/>
        <v>3.6441666666666664E-2</v>
      </c>
      <c r="J1141" s="1371">
        <f t="shared" si="26"/>
        <v>44166</v>
      </c>
    </row>
    <row r="1142" spans="2:10" x14ac:dyDescent="0.45">
      <c r="B1142" s="1371">
        <f t="shared" si="24"/>
        <v>44197</v>
      </c>
      <c r="C1142" s="1370" t="str">
        <f t="shared" si="25"/>
        <v>MKT Minus Aaa and Aa Avg</v>
      </c>
      <c r="F1142" s="1372">
        <f>'PRPM WP2'!B1143</f>
        <v>-1.01E-2</v>
      </c>
      <c r="H1142" s="1370">
        <f>'PRPM WP2'!G1143</f>
        <v>2.1083333333333336E-3</v>
      </c>
      <c r="I1142" s="1370">
        <f t="shared" si="23"/>
        <v>-1.2208333333333333E-2</v>
      </c>
      <c r="J1142" s="1371">
        <f t="shared" si="26"/>
        <v>44197</v>
      </c>
    </row>
    <row r="1143" spans="2:10" x14ac:dyDescent="0.45">
      <c r="B1143" s="1371">
        <f t="shared" si="24"/>
        <v>44228</v>
      </c>
      <c r="C1143" s="1370" t="str">
        <f t="shared" si="25"/>
        <v>MKT Minus Aaa and Aa Avg</v>
      </c>
      <c r="F1143" s="1372">
        <f>'PRPM WP2'!B1144</f>
        <v>2.76E-2</v>
      </c>
      <c r="H1143" s="1370">
        <f>'PRPM WP2'!G1144</f>
        <v>2.304166666666667E-3</v>
      </c>
      <c r="I1143" s="1370">
        <f t="shared" si="23"/>
        <v>2.5295833333333333E-2</v>
      </c>
      <c r="J1143" s="1371">
        <f t="shared" si="26"/>
        <v>44228</v>
      </c>
    </row>
    <row r="1144" spans="2:10" x14ac:dyDescent="0.45">
      <c r="B1144" s="1371">
        <f t="shared" si="24"/>
        <v>44256</v>
      </c>
      <c r="C1144" s="1370" t="str">
        <f t="shared" si="25"/>
        <v>MKT Minus Aaa and Aa Avg</v>
      </c>
      <c r="F1144" s="1372">
        <f>'PRPM WP2'!B1145</f>
        <v>4.3799999999999999E-2</v>
      </c>
      <c r="H1144" s="1370">
        <f>'PRPM WP2'!G1145</f>
        <v>2.5875000000000004E-3</v>
      </c>
      <c r="I1144" s="1370">
        <f t="shared" si="23"/>
        <v>4.1212499999999999E-2</v>
      </c>
      <c r="J1144" s="1371">
        <f t="shared" si="26"/>
        <v>44256</v>
      </c>
    </row>
    <row r="1145" spans="2:10" x14ac:dyDescent="0.45">
      <c r="B1145" s="1371">
        <f t="shared" si="24"/>
        <v>44287</v>
      </c>
      <c r="C1145" s="1370" t="str">
        <f t="shared" si="25"/>
        <v>MKT Minus Aaa and Aa Avg</v>
      </c>
      <c r="F1145" s="1372">
        <f>'PRPM WP2'!B1146</f>
        <v>5.3400000000000003E-2</v>
      </c>
      <c r="H1145" s="1370">
        <f>'PRPM WP2'!G1146</f>
        <v>2.4708333333333336E-3</v>
      </c>
      <c r="I1145" s="1370">
        <f t="shared" si="23"/>
        <v>5.0929166666666671E-2</v>
      </c>
      <c r="J1145" s="1371">
        <f t="shared" si="26"/>
        <v>44287</v>
      </c>
    </row>
    <row r="1146" spans="2:10" x14ac:dyDescent="0.45">
      <c r="B1146" s="1371">
        <f t="shared" si="24"/>
        <v>44317</v>
      </c>
      <c r="C1146" s="1370" t="str">
        <f t="shared" si="25"/>
        <v>MKT Minus Aaa and Aa Avg</v>
      </c>
      <c r="F1146" s="1372">
        <f>'PRPM WP2'!B1147</f>
        <v>7.0000000000000001E-3</v>
      </c>
      <c r="H1146" s="1370">
        <f>'PRPM WP2'!G1147</f>
        <v>2.5125E-3</v>
      </c>
      <c r="I1146" s="1370">
        <f t="shared" si="23"/>
        <v>4.4875000000000002E-3</v>
      </c>
      <c r="J1146" s="1371">
        <f t="shared" si="26"/>
        <v>44317</v>
      </c>
    </row>
    <row r="1147" spans="2:10" x14ac:dyDescent="0.45">
      <c r="B1147" s="1371">
        <f t="shared" si="24"/>
        <v>44348</v>
      </c>
      <c r="C1147" s="1370" t="str">
        <f t="shared" si="25"/>
        <v>MKT Minus Aaa and Aa Avg</v>
      </c>
      <c r="F1147" s="1372">
        <f>'PRPM WP2'!B1148</f>
        <v>2.3300000000000001E-2</v>
      </c>
      <c r="H1147" s="1370">
        <f>'PRPM WP2'!G1148</f>
        <v>2.3750000000000004E-3</v>
      </c>
      <c r="I1147" s="1370">
        <f t="shared" si="23"/>
        <v>2.0924999999999999E-2</v>
      </c>
      <c r="J1147" s="1371">
        <f t="shared" si="26"/>
        <v>44348</v>
      </c>
    </row>
    <row r="1148" spans="2:10" x14ac:dyDescent="0.45">
      <c r="B1148" s="1371">
        <f t="shared" si="24"/>
        <v>44378</v>
      </c>
      <c r="C1148" s="1370" t="str">
        <f t="shared" si="25"/>
        <v>MKT Minus Aaa and Aa Avg</v>
      </c>
      <c r="F1148" s="1372">
        <f>'PRPM WP2'!B1149</f>
        <v>2.3800000000000002E-2</v>
      </c>
      <c r="H1148" s="1370">
        <f>'PRPM WP2'!G1149</f>
        <v>2.1999999999999997E-3</v>
      </c>
      <c r="I1148" s="1370">
        <f t="shared" si="23"/>
        <v>2.1600000000000001E-2</v>
      </c>
      <c r="J1148" s="1371">
        <f t="shared" si="26"/>
        <v>44378</v>
      </c>
    </row>
    <row r="1149" spans="2:10" x14ac:dyDescent="0.45">
      <c r="B1149" s="1371">
        <f t="shared" si="24"/>
        <v>44409</v>
      </c>
      <c r="C1149" s="1370" t="str">
        <f t="shared" si="25"/>
        <v>MKT Minus Aaa and Aa Avg</v>
      </c>
      <c r="F1149" s="1372">
        <f>'PRPM WP2'!B1150</f>
        <v>3.04E-2</v>
      </c>
      <c r="H1149" s="1370">
        <f>'PRPM WP2'!G1150</f>
        <v>2.2000000000000001E-3</v>
      </c>
      <c r="I1149" s="1370">
        <f t="shared" si="23"/>
        <v>2.8199999999999999E-2</v>
      </c>
      <c r="J1149" s="1371">
        <f t="shared" si="26"/>
        <v>44409</v>
      </c>
    </row>
    <row r="1150" spans="2:10" x14ac:dyDescent="0.45">
      <c r="B1150" s="1371">
        <f t="shared" si="24"/>
        <v>44440</v>
      </c>
      <c r="C1150" s="1370" t="str">
        <f t="shared" si="25"/>
        <v>MKT Minus Aaa and Aa Avg</v>
      </c>
      <c r="F1150" s="1372">
        <f>'PRPM WP2'!B1151</f>
        <v>-4.65E-2</v>
      </c>
      <c r="H1150" s="1370">
        <f>'PRPM WP2'!G1151</f>
        <v>2.1916666666666664E-3</v>
      </c>
      <c r="I1150" s="1370">
        <f t="shared" si="23"/>
        <v>-4.8691666666666668E-2</v>
      </c>
      <c r="J1150" s="1371">
        <f t="shared" si="26"/>
        <v>44440</v>
      </c>
    </row>
    <row r="1151" spans="2:10" x14ac:dyDescent="0.45">
      <c r="B1151" s="1371">
        <f t="shared" si="24"/>
        <v>44470</v>
      </c>
      <c r="C1151" s="1370" t="str">
        <f t="shared" si="25"/>
        <v>MKT Minus Aaa and Aa Avg</v>
      </c>
      <c r="F1151" s="1372">
        <f>'PRPM WP2'!B1152</f>
        <v>7.0099999999999996E-2</v>
      </c>
      <c r="H1151" s="1370">
        <f>'PRPM WP2'!G1152</f>
        <v>2.3083333333333332E-3</v>
      </c>
      <c r="I1151" s="1370">
        <f t="shared" si="23"/>
        <v>6.7791666666666667E-2</v>
      </c>
      <c r="J1151" s="1371">
        <f t="shared" si="26"/>
        <v>44470</v>
      </c>
    </row>
    <row r="1152" spans="2:10" x14ac:dyDescent="0.45">
      <c r="B1152" s="1371">
        <f t="shared" si="24"/>
        <v>44501</v>
      </c>
      <c r="C1152" s="1370" t="str">
        <f t="shared" si="25"/>
        <v>MKT Minus Aaa and Aa Avg</v>
      </c>
      <c r="F1152" s="1372">
        <f>'PRPM WP2'!B1153</f>
        <v>-6.8999999999999999E-3</v>
      </c>
      <c r="H1152" s="1370">
        <f>'PRPM WP2'!G1153</f>
        <v>2.2458333333333332E-3</v>
      </c>
      <c r="I1152" s="1370">
        <f t="shared" si="23"/>
        <v>-9.1458333333333322E-3</v>
      </c>
      <c r="J1152" s="1371">
        <f t="shared" si="26"/>
        <v>44501</v>
      </c>
    </row>
    <row r="1153" spans="2:10" x14ac:dyDescent="0.45">
      <c r="B1153" s="1371">
        <f t="shared" si="24"/>
        <v>44531</v>
      </c>
      <c r="C1153" s="1370" t="str">
        <f t="shared" si="25"/>
        <v>MKT Minus Aaa and Aa Avg</v>
      </c>
      <c r="F1153" s="1372">
        <f>'PRPM WP2'!B1154</f>
        <v>4.48E-2</v>
      </c>
      <c r="H1153" s="1370">
        <f>'PRPM WP2'!G1154</f>
        <v>2.2541666666666665E-3</v>
      </c>
      <c r="I1153" s="1370">
        <f t="shared" si="23"/>
        <v>4.2545833333333331E-2</v>
      </c>
      <c r="J1153" s="1371">
        <f t="shared" si="26"/>
        <v>44531</v>
      </c>
    </row>
    <row r="1154" spans="2:10" x14ac:dyDescent="0.45">
      <c r="B1154" s="1371">
        <f t="shared" si="24"/>
        <v>44562</v>
      </c>
      <c r="C1154" s="1370" t="str">
        <f t="shared" si="25"/>
        <v>MKT Minus Aaa and Aa Avg</v>
      </c>
      <c r="F1154" s="1372">
        <f>'PRPM WP2'!B1155</f>
        <v>-5.1700000000000003E-2</v>
      </c>
      <c r="H1154" s="1370">
        <f>'PRPM WP2'!G1155</f>
        <v>2.4791666666666668E-3</v>
      </c>
      <c r="I1154" s="1370">
        <f t="shared" si="23"/>
        <v>-5.4179166666666667E-2</v>
      </c>
      <c r="J1154" s="1371">
        <f t="shared" si="26"/>
        <v>44562</v>
      </c>
    </row>
    <row r="1155" spans="2:10" x14ac:dyDescent="0.45">
      <c r="B1155" s="1371">
        <f t="shared" si="24"/>
        <v>44593</v>
      </c>
      <c r="C1155" s="1370" t="str">
        <f t="shared" si="25"/>
        <v>MKT Minus Aaa and Aa Avg</v>
      </c>
      <c r="F1155" s="1372">
        <f>'PRPM WP2'!B1156</f>
        <v>-2.9899999999999999E-2</v>
      </c>
      <c r="H1155" s="1370">
        <f>'PRPM WP2'!G1156</f>
        <v>2.754166666666666E-3</v>
      </c>
      <c r="I1155" s="1370">
        <f t="shared" si="23"/>
        <v>-3.2654166666666665E-2</v>
      </c>
      <c r="J1155" s="1371">
        <f t="shared" si="26"/>
        <v>44593</v>
      </c>
    </row>
    <row r="1156" spans="2:10" x14ac:dyDescent="0.45">
      <c r="B1156" s="1371">
        <f t="shared" si="24"/>
        <v>44621</v>
      </c>
      <c r="C1156" s="1370" t="str">
        <f t="shared" si="25"/>
        <v>MKT Minus Aaa and Aa Avg</v>
      </c>
      <c r="F1156" s="1372">
        <f>'PRPM WP2'!B1157</f>
        <v>3.7100000000000001E-2</v>
      </c>
      <c r="H1156" s="1370">
        <f>'PRPM WP2'!G1157</f>
        <v>2.9375E-3</v>
      </c>
      <c r="I1156" s="1370">
        <f t="shared" si="23"/>
        <v>3.4162499999999998E-2</v>
      </c>
      <c r="J1156" s="1371">
        <f t="shared" si="26"/>
        <v>44621</v>
      </c>
    </row>
    <row r="1157" spans="2:10" x14ac:dyDescent="0.45">
      <c r="B1157" s="1371">
        <f t="shared" si="24"/>
        <v>44652</v>
      </c>
      <c r="C1157" s="1370" t="str">
        <f t="shared" si="25"/>
        <v>MKT Minus Aaa and Aa Avg</v>
      </c>
      <c r="F1157" s="1372">
        <f>'PRPM WP2'!B1158</f>
        <v>-8.72E-2</v>
      </c>
      <c r="H1157" s="1370">
        <f>'PRPM WP2'!G1158</f>
        <v>3.1958333333333335E-3</v>
      </c>
      <c r="I1157" s="1370">
        <f t="shared" si="23"/>
        <v>-9.0395833333333328E-2</v>
      </c>
      <c r="J1157" s="1371">
        <f t="shared" si="26"/>
        <v>44652</v>
      </c>
    </row>
    <row r="1158" spans="2:10" x14ac:dyDescent="0.45">
      <c r="B1158" s="1371">
        <f t="shared" si="24"/>
        <v>44682</v>
      </c>
      <c r="C1158" s="1370" t="str">
        <f t="shared" si="25"/>
        <v>MKT Minus Aaa and Aa Avg</v>
      </c>
      <c r="F1158" s="1372">
        <f>'PRPM WP2'!B1159</f>
        <v>1.8E-3</v>
      </c>
      <c r="H1158" s="1370">
        <f>'PRPM WP2'!G1159</f>
        <v>3.5374999999999998E-3</v>
      </c>
      <c r="I1158" s="1370">
        <f t="shared" si="23"/>
        <v>-1.7374999999999999E-3</v>
      </c>
      <c r="J1158" s="1371">
        <f t="shared" si="26"/>
        <v>44682</v>
      </c>
    </row>
    <row r="1159" spans="2:10" x14ac:dyDescent="0.45">
      <c r="B1159" s="1371">
        <f t="shared" si="24"/>
        <v>44713</v>
      </c>
      <c r="C1159" s="1370" t="str">
        <f t="shared" si="25"/>
        <v>MKT Minus Aaa and Aa Avg</v>
      </c>
      <c r="F1159" s="1372">
        <f>'PRPM WP2'!B1160</f>
        <v>-8.2500000000000004E-2</v>
      </c>
      <c r="H1159" s="1370">
        <f>'PRPM WP2'!G1160</f>
        <v>3.6375000000000001E-3</v>
      </c>
      <c r="I1159" s="1370">
        <f t="shared" si="23"/>
        <v>-8.6137500000000006E-2</v>
      </c>
      <c r="J1159" s="1371">
        <f t="shared" si="26"/>
        <v>44713</v>
      </c>
    </row>
    <row r="1160" spans="2:10" x14ac:dyDescent="0.45">
      <c r="B1160" s="1371">
        <f t="shared" si="24"/>
        <v>44743</v>
      </c>
      <c r="C1160" s="1370" t="str">
        <f t="shared" si="25"/>
        <v>MKT Minus Aaa and Aa Avg</v>
      </c>
      <c r="F1160" s="1372">
        <f>'PRPM WP2'!B1161</f>
        <v>9.2200000000000004E-2</v>
      </c>
      <c r="H1160" s="1370">
        <f>'PRPM WP2'!G1161</f>
        <v>3.5125E-3</v>
      </c>
      <c r="I1160" s="1370">
        <f t="shared" si="23"/>
        <v>8.8687500000000002E-2</v>
      </c>
      <c r="J1160" s="1371">
        <f t="shared" si="26"/>
        <v>44743</v>
      </c>
    </row>
    <row r="1161" spans="2:10" x14ac:dyDescent="0.45">
      <c r="B1161" s="1371">
        <f t="shared" si="24"/>
        <v>44774</v>
      </c>
      <c r="C1161" s="1370" t="str">
        <f t="shared" si="25"/>
        <v>MKT Minus Aaa and Aa Avg</v>
      </c>
      <c r="F1161" s="1372">
        <f>'PRPM WP2'!B1162</f>
        <v>-4.0800000000000003E-2</v>
      </c>
      <c r="H1161" s="1370">
        <f>'PRPM WP2'!G1162</f>
        <v>3.5125E-3</v>
      </c>
      <c r="I1161" s="1370">
        <f t="shared" si="23"/>
        <v>-4.4312500000000005E-2</v>
      </c>
      <c r="J1161" s="1371">
        <f t="shared" si="26"/>
        <v>44774</v>
      </c>
    </row>
    <row r="1162" spans="2:10" x14ac:dyDescent="0.45">
      <c r="B1162" s="1371">
        <f t="shared" si="24"/>
        <v>44805</v>
      </c>
      <c r="C1162" s="1370" t="str">
        <f t="shared" si="25"/>
        <v>MKT Minus Aaa and Aa Avg</v>
      </c>
      <c r="F1162" s="1372">
        <f>'PRPM WP2'!B1163</f>
        <v>-9.2100000000000001E-2</v>
      </c>
      <c r="H1162" s="1370">
        <f>'PRPM WP2'!G1163</f>
        <v>3.9291666666666676E-3</v>
      </c>
      <c r="I1162" s="1370">
        <f t="shared" si="23"/>
        <v>-9.6029166666666665E-2</v>
      </c>
      <c r="J1162" s="1371">
        <f t="shared" si="26"/>
        <v>44805</v>
      </c>
    </row>
    <row r="1163" spans="2:10" x14ac:dyDescent="0.45">
      <c r="B1163" s="1371">
        <f t="shared" si="24"/>
        <v>44835</v>
      </c>
      <c r="C1163" s="1370" t="str">
        <f t="shared" si="25"/>
        <v>MKT Minus Aaa and Aa Avg</v>
      </c>
      <c r="F1163" s="1372">
        <f>'PRPM WP2'!B1164</f>
        <v>8.1000000000000003E-2</v>
      </c>
      <c r="H1163" s="1370">
        <f>'PRPM WP2'!G1164</f>
        <v>4.3750000000000004E-3</v>
      </c>
      <c r="I1163" s="1370">
        <f t="shared" si="23"/>
        <v>7.6624999999999999E-2</v>
      </c>
      <c r="J1163" s="1371">
        <f t="shared" si="26"/>
        <v>44835</v>
      </c>
    </row>
    <row r="1164" spans="2:10" x14ac:dyDescent="0.45">
      <c r="B1164" s="1371">
        <f t="shared" si="24"/>
        <v>44866</v>
      </c>
      <c r="C1164" s="1370" t="str">
        <f t="shared" si="25"/>
        <v>MKT Minus Aaa and Aa Avg</v>
      </c>
      <c r="F1164" s="1372">
        <f>'PRPM WP2'!B1165</f>
        <v>5.5899999999999998E-2</v>
      </c>
      <c r="H1164" s="1370">
        <f>'PRPM WP2'!G1165</f>
        <v>4.2208333333333334E-3</v>
      </c>
      <c r="I1164" s="1370">
        <f t="shared" si="23"/>
        <v>5.1679166666666665E-2</v>
      </c>
      <c r="J1164" s="1371">
        <f t="shared" si="26"/>
        <v>44866</v>
      </c>
    </row>
    <row r="1165" spans="2:10" x14ac:dyDescent="0.45">
      <c r="B1165" s="1371">
        <f t="shared" si="24"/>
        <v>44896</v>
      </c>
      <c r="C1165" s="1370" t="str">
        <f t="shared" si="25"/>
        <v>MKT Minus Aaa and Aa Avg</v>
      </c>
      <c r="F1165" s="1372">
        <f>'PRPM WP2'!B1166</f>
        <v>-5.7599999999999998E-2</v>
      </c>
      <c r="H1165" s="1370">
        <f>'PRPM WP2'!G1166</f>
        <v>3.8166666666666661E-3</v>
      </c>
      <c r="I1165" s="1370">
        <f t="shared" si="23"/>
        <v>-6.1416666666666661E-2</v>
      </c>
      <c r="J1165" s="1371">
        <f t="shared" si="26"/>
        <v>44896</v>
      </c>
    </row>
    <row r="1166" spans="2:10" x14ac:dyDescent="0.45">
      <c r="B1166" s="1371">
        <f t="shared" si="24"/>
        <v>44927</v>
      </c>
      <c r="C1166" s="1370" t="str">
        <f t="shared" si="25"/>
        <v>MKT Minus Aaa and Aa Avg</v>
      </c>
      <c r="F1166" s="1372">
        <f>'PRPM WP2'!B1167</f>
        <v>6.2834280180287985E-2</v>
      </c>
      <c r="H1166" s="1370">
        <f>'PRPM WP2'!G1167</f>
        <v>3.8E-3</v>
      </c>
      <c r="I1166" s="1370">
        <f t="shared" si="23"/>
        <v>5.9034280180287987E-2</v>
      </c>
      <c r="J1166" s="1371">
        <f t="shared" si="26"/>
        <v>44927</v>
      </c>
    </row>
    <row r="1167" spans="2:10" x14ac:dyDescent="0.45">
      <c r="B1167" s="1371">
        <f t="shared" si="24"/>
        <v>44958</v>
      </c>
      <c r="C1167" s="1370" t="str">
        <f t="shared" si="25"/>
        <v>MKT Minus Aaa and Aa Avg</v>
      </c>
      <c r="F1167" s="1372">
        <f>'PRPM WP2'!B1168</f>
        <v>-2.4399784626571001E-2</v>
      </c>
      <c r="H1167" s="1370">
        <f>'PRPM WP2'!G1168</f>
        <v>3.9166666666666664E-3</v>
      </c>
      <c r="I1167" s="1370">
        <f t="shared" si="23"/>
        <v>-2.8316451293237666E-2</v>
      </c>
      <c r="J1167" s="1371">
        <f t="shared" si="26"/>
        <v>44958</v>
      </c>
    </row>
    <row r="1168" spans="2:10" x14ac:dyDescent="0.45">
      <c r="B1168" s="1371">
        <f t="shared" si="24"/>
        <v>44986</v>
      </c>
      <c r="C1168" s="1370" t="str">
        <f t="shared" si="25"/>
        <v>MKT Minus Aaa and Aa Avg</v>
      </c>
      <c r="F1168" s="1372">
        <f>'PRPM WP2'!B1169</f>
        <v>3.671430929974763E-2</v>
      </c>
      <c r="H1168" s="1370">
        <f>'PRPM WP2'!G1169</f>
        <v>3.9750000000000002E-3</v>
      </c>
      <c r="I1168" s="1370">
        <f t="shared" si="23"/>
        <v>3.2739309299747631E-2</v>
      </c>
      <c r="J1168" s="1371">
        <f t="shared" si="26"/>
        <v>44986</v>
      </c>
    </row>
    <row r="1169" spans="2:10" x14ac:dyDescent="0.45">
      <c r="B1169" s="1371">
        <f t="shared" si="24"/>
        <v>45017</v>
      </c>
      <c r="C1169" s="1370" t="str">
        <f t="shared" si="25"/>
        <v>MKT Minus Aaa and Aa Avg</v>
      </c>
      <c r="F1169" s="1372">
        <f>'PRPM WP2'!B1170</f>
        <v>7.187926921795095E-3</v>
      </c>
      <c r="H1169" s="1370">
        <f>'PRPM WP2'!G1170</f>
        <v>3.8708333333333333E-3</v>
      </c>
      <c r="I1169" s="1370">
        <f t="shared" si="23"/>
        <v>3.3170935884617616E-3</v>
      </c>
      <c r="J1169" s="1371">
        <f t="shared" si="26"/>
        <v>45017</v>
      </c>
    </row>
    <row r="1170" spans="2:10" x14ac:dyDescent="0.45">
      <c r="B1170" s="1371">
        <f t="shared" si="24"/>
        <v>45047</v>
      </c>
      <c r="C1170" s="1370" t="str">
        <f t="shared" si="25"/>
        <v>MKT Minus Aaa and Aa Avg</v>
      </c>
      <c r="F1170" s="1372">
        <f>'PRPM WP2'!B1171</f>
        <v>4.3468278013294162E-3</v>
      </c>
      <c r="H1170" s="1370">
        <f>'PRPM WP2'!G1171</f>
        <v>4.054166666666666E-3</v>
      </c>
      <c r="I1170" s="1370">
        <f t="shared" si="23"/>
        <v>2.9266113466275018E-4</v>
      </c>
      <c r="J1170" s="1371">
        <f t="shared" si="26"/>
        <v>45047</v>
      </c>
    </row>
    <row r="1171" spans="2:10" x14ac:dyDescent="0.45">
      <c r="B1171" s="1371">
        <f t="shared" ref="B1171:B1190" si="27">DATE(YEAR(B1170),MONTH(B1170) + 1,1)</f>
        <v>45078</v>
      </c>
      <c r="C1171" s="1370" t="str">
        <f t="shared" ref="C1171:C1190" si="28">C1170</f>
        <v>MKT Minus Aaa and Aa Avg</v>
      </c>
      <c r="F1171" s="1372">
        <f>'PRPM WP2'!B1172</f>
        <v>6.6075546772891333E-2</v>
      </c>
      <c r="H1171" s="1370">
        <f>'PRPM WP2'!G1172</f>
        <v>4.029166666666667E-3</v>
      </c>
      <c r="I1171" s="1370">
        <f t="shared" si="23"/>
        <v>6.2046380106224666E-2</v>
      </c>
      <c r="J1171" s="1371">
        <f t="shared" ref="J1171:J1190" si="29">B1171</f>
        <v>45078</v>
      </c>
    </row>
    <row r="1172" spans="2:10" x14ac:dyDescent="0.45">
      <c r="B1172" s="1371">
        <f t="shared" si="27"/>
        <v>45108</v>
      </c>
      <c r="C1172" s="1370" t="str">
        <f t="shared" si="28"/>
        <v>MKT Minus Aaa and Aa Avg</v>
      </c>
      <c r="F1172" s="1372">
        <f>'PRPM WP2'!B1173</f>
        <v>3.2124539863823791E-2</v>
      </c>
      <c r="H1172" s="1370">
        <f>'PRPM WP2'!G1173</f>
        <v>4.0541666666666669E-3</v>
      </c>
      <c r="I1172" s="1370">
        <f t="shared" si="23"/>
        <v>2.8070373197157123E-2</v>
      </c>
      <c r="J1172" s="1371">
        <f t="shared" si="29"/>
        <v>45108</v>
      </c>
    </row>
    <row r="1173" spans="2:10" x14ac:dyDescent="0.45">
      <c r="B1173" s="1371">
        <f t="shared" si="27"/>
        <v>45139</v>
      </c>
      <c r="C1173" s="1370" t="str">
        <f t="shared" si="28"/>
        <v>MKT Minus Aaa and Aa Avg</v>
      </c>
      <c r="F1173" s="1372">
        <f>'PRPM WP2'!B1174</f>
        <v>-1.5921117042355312E-2</v>
      </c>
      <c r="H1173" s="1370">
        <f>'PRPM WP2'!G1174</f>
        <v>4.3041666666666662E-3</v>
      </c>
      <c r="I1173" s="1370">
        <f t="shared" si="23"/>
        <v>-2.0225283709021977E-2</v>
      </c>
      <c r="J1173" s="1371">
        <f t="shared" si="29"/>
        <v>45139</v>
      </c>
    </row>
    <row r="1174" spans="2:10" x14ac:dyDescent="0.45">
      <c r="B1174" s="1371">
        <f t="shared" si="27"/>
        <v>45170</v>
      </c>
      <c r="C1174" s="1370" t="str">
        <f t="shared" si="28"/>
        <v>MKT Minus Aaa and Aa Avg</v>
      </c>
      <c r="F1174" s="1372">
        <f>'PRPM WP2'!B1175</f>
        <v>-4.7678193308121432E-2</v>
      </c>
      <c r="H1174" s="1370">
        <f>'PRPM WP2'!G1175</f>
        <v>4.4333333333333334E-3</v>
      </c>
      <c r="I1174" s="1370">
        <f t="shared" si="23"/>
        <v>-5.2111526641454763E-2</v>
      </c>
      <c r="J1174" s="1371">
        <f t="shared" si="29"/>
        <v>45170</v>
      </c>
    </row>
    <row r="1175" spans="2:10" x14ac:dyDescent="0.45">
      <c r="B1175" s="1371">
        <f t="shared" si="27"/>
        <v>45200</v>
      </c>
      <c r="C1175" s="1370" t="str">
        <f t="shared" si="28"/>
        <v>MKT Minus Aaa and Aa Avg</v>
      </c>
      <c r="F1175" s="1372">
        <f>'PRPM WP2'!B1176</f>
        <v>-2.7391275195366223E-2</v>
      </c>
      <c r="H1175" s="1370">
        <f>'PRPM WP2'!G1176</f>
        <v>4.8250000000000003E-3</v>
      </c>
      <c r="I1175" s="1370">
        <f t="shared" si="23"/>
        <v>-3.2216275195366226E-2</v>
      </c>
      <c r="J1175" s="1371">
        <f t="shared" si="29"/>
        <v>45200</v>
      </c>
    </row>
    <row r="1176" spans="2:10" x14ac:dyDescent="0.45">
      <c r="B1176" s="1371">
        <f t="shared" si="27"/>
        <v>45231</v>
      </c>
      <c r="C1176" s="1370" t="str">
        <f t="shared" si="28"/>
        <v>MKT Minus Aaa and Aa Avg</v>
      </c>
      <c r="F1176" s="1372">
        <f>'PRPM WP2'!B1177</f>
        <v>8.6885005042911731E-2</v>
      </c>
      <c r="H1176" s="1370">
        <f>'PRPM WP2'!G1177</f>
        <v>4.5625000000000006E-3</v>
      </c>
      <c r="I1176" s="1370">
        <f t="shared" si="23"/>
        <v>8.2322505042911734E-2</v>
      </c>
      <c r="J1176" s="1371">
        <f t="shared" si="29"/>
        <v>45231</v>
      </c>
    </row>
    <row r="1177" spans="2:10" x14ac:dyDescent="0.45">
      <c r="B1177" s="1371">
        <f t="shared" si="27"/>
        <v>45261</v>
      </c>
      <c r="C1177" s="1370" t="str">
        <f t="shared" si="28"/>
        <v>MKT Minus Aaa and Aa Avg</v>
      </c>
      <c r="F1177" s="1372">
        <f>'PRPM WP2'!B1178</f>
        <v>4.5430619636360636E-2</v>
      </c>
      <c r="H1177" s="1370">
        <f>'PRPM WP2'!G1178</f>
        <v>4.0833333333333329E-3</v>
      </c>
      <c r="I1177" s="1370">
        <f t="shared" si="23"/>
        <v>4.1347286303027302E-2</v>
      </c>
      <c r="J1177" s="1371">
        <f t="shared" si="29"/>
        <v>45261</v>
      </c>
    </row>
    <row r="1178" spans="2:10" x14ac:dyDescent="0.45">
      <c r="B1178" s="1371">
        <f t="shared" si="27"/>
        <v>45292</v>
      </c>
      <c r="C1178" s="1370" t="str">
        <f t="shared" si="28"/>
        <v>MKT Minus Aaa and Aa Avg</v>
      </c>
      <c r="F1178" s="1372">
        <f>'PRPM WP2'!B1179</f>
        <v>3.3416506662096612E-2</v>
      </c>
      <c r="H1178" s="1370">
        <f>'PRPM WP2'!G1179</f>
        <v>4.1666666666666666E-3</v>
      </c>
      <c r="I1178" s="1370">
        <f t="shared" ref="I1178:I1241" si="30">F1178-H1178</f>
        <v>2.9249839995429947E-2</v>
      </c>
      <c r="J1178" s="1371">
        <f t="shared" si="29"/>
        <v>45292</v>
      </c>
    </row>
    <row r="1179" spans="2:10" x14ac:dyDescent="0.45">
      <c r="B1179" s="1371">
        <f t="shared" si="27"/>
        <v>45323</v>
      </c>
      <c r="C1179" s="1370" t="str">
        <f t="shared" si="28"/>
        <v>MKT Minus Aaa and Aa Avg</v>
      </c>
      <c r="F1179" s="1372">
        <f>'PRPM WP2'!B1180</f>
        <v>5.3395839403964196E-2</v>
      </c>
      <c r="H1179" s="1370">
        <f>'PRPM WP2'!G1180</f>
        <v>4.2833333333333334E-3</v>
      </c>
      <c r="I1179" s="1370">
        <f t="shared" si="30"/>
        <v>4.9112506070630862E-2</v>
      </c>
      <c r="J1179" s="1371">
        <f t="shared" si="29"/>
        <v>45323</v>
      </c>
    </row>
    <row r="1180" spans="2:10" x14ac:dyDescent="0.45">
      <c r="B1180" s="1371">
        <f t="shared" si="27"/>
        <v>45352</v>
      </c>
      <c r="C1180" s="1370" t="str">
        <f t="shared" si="28"/>
        <v>MKT Minus Aaa and Aa Avg</v>
      </c>
      <c r="F1180" s="1372">
        <f>'PRPM WP2'!B1181</f>
        <v>3.2174693616317418E-2</v>
      </c>
      <c r="H1180" s="1370">
        <f>'PRPM WP2'!G1181</f>
        <v>4.2791666666666664E-3</v>
      </c>
      <c r="I1180" s="1370">
        <f t="shared" si="30"/>
        <v>2.7895526949650751E-2</v>
      </c>
      <c r="J1180" s="1371">
        <f t="shared" si="29"/>
        <v>45352</v>
      </c>
    </row>
    <row r="1181" spans="2:10" x14ac:dyDescent="0.45">
      <c r="B1181" s="1371">
        <f t="shared" si="27"/>
        <v>45383</v>
      </c>
      <c r="C1181" s="1370" t="str">
        <f t="shared" si="28"/>
        <v>MKT Minus Aaa and Aa Avg</v>
      </c>
      <c r="F1181" s="1372">
        <f>'PRPM WP2'!B1182</f>
        <v>-4.0845049452488791E-2</v>
      </c>
      <c r="H1181" s="1370">
        <f>'PRPM WP2'!G1182</f>
        <v>4.4916666666666664E-3</v>
      </c>
      <c r="I1181" s="1370">
        <f t="shared" si="30"/>
        <v>-4.5336716119155455E-2</v>
      </c>
      <c r="J1181" s="1371">
        <f t="shared" si="29"/>
        <v>45383</v>
      </c>
    </row>
    <row r="1182" spans="2:10" x14ac:dyDescent="0.45">
      <c r="B1182" s="1371">
        <f t="shared" si="27"/>
        <v>45413</v>
      </c>
      <c r="C1182" s="1370" t="str">
        <f t="shared" si="28"/>
        <v>MKT Minus Aaa and Aa Avg</v>
      </c>
      <c r="F1182" s="1372">
        <f>'PRPM WP2'!B1183</f>
        <v>4.1129837851065609E-2</v>
      </c>
      <c r="H1182" s="1370">
        <f>'PRPM WP2'!G1183</f>
        <v>4.4583333333333332E-3</v>
      </c>
      <c r="I1182" s="1370">
        <f t="shared" si="30"/>
        <v>3.6671504517732274E-2</v>
      </c>
      <c r="J1182" s="1371">
        <f t="shared" si="29"/>
        <v>45413</v>
      </c>
    </row>
    <row r="1183" spans="2:10" x14ac:dyDescent="0.45">
      <c r="B1183" s="1371">
        <f t="shared" si="27"/>
        <v>45444</v>
      </c>
      <c r="C1183" s="1370" t="str">
        <f t="shared" si="28"/>
        <v>MKT Minus Aaa and Aa Avg</v>
      </c>
      <c r="F1183" s="1372">
        <f>'PRPM WP2'!B1184</f>
        <v>4.0001043959389859E-2</v>
      </c>
      <c r="H1183" s="1370">
        <f>'PRPM WP2'!G1184</f>
        <v>4.3666666666666663E-3</v>
      </c>
      <c r="I1183" s="1370">
        <f t="shared" si="30"/>
        <v>3.5634377292723195E-2</v>
      </c>
      <c r="J1183" s="1371">
        <f t="shared" si="29"/>
        <v>45444</v>
      </c>
    </row>
    <row r="1184" spans="2:10" x14ac:dyDescent="0.45">
      <c r="B1184" s="1371">
        <f t="shared" si="27"/>
        <v>45474</v>
      </c>
      <c r="C1184" s="1370" t="str">
        <f t="shared" si="28"/>
        <v>MKT Minus Aaa and Aa Avg</v>
      </c>
      <c r="F1184" s="1372">
        <f>'PRPM WP2'!B1185</f>
        <v>1.2172518192850479E-2</v>
      </c>
      <c r="H1184" s="1370">
        <f>'PRPM WP2'!G1185</f>
        <v>4.3083333333333333E-3</v>
      </c>
      <c r="I1184" s="1370">
        <f t="shared" si="30"/>
        <v>7.8641848595171447E-3</v>
      </c>
      <c r="J1184" s="1371">
        <f t="shared" si="29"/>
        <v>45474</v>
      </c>
    </row>
    <row r="1185" spans="2:10" x14ac:dyDescent="0.45">
      <c r="B1185" s="1371">
        <f t="shared" si="27"/>
        <v>45505</v>
      </c>
      <c r="C1185" s="1370" t="str">
        <f t="shared" si="28"/>
        <v>MKT Minus Aaa and Aa Avg</v>
      </c>
      <c r="F1185" s="1372">
        <f>'PRPM WP2'!B1186</f>
        <v>2.4256373790769947E-2</v>
      </c>
      <c r="H1185" s="1370">
        <f>'PRPM WP2'!G1186</f>
        <v>4.1624999999999995E-3</v>
      </c>
      <c r="I1185" s="1370">
        <f t="shared" si="30"/>
        <v>2.0093873790769948E-2</v>
      </c>
      <c r="J1185" s="1371">
        <f t="shared" si="29"/>
        <v>45505</v>
      </c>
    </row>
    <row r="1186" spans="2:10" x14ac:dyDescent="0.45">
      <c r="B1186" s="1371">
        <f t="shared" si="27"/>
        <v>45536</v>
      </c>
      <c r="C1186" s="1370" t="str">
        <f t="shared" si="28"/>
        <v>MKT Minus Aaa and Aa Avg</v>
      </c>
      <c r="F1186" s="1370">
        <f>VLOOKUP($B1186,'PRPM WP2'!$A:$K,2, FALSE)</f>
        <v>2.1357000687759534E-2</v>
      </c>
      <c r="H1186" s="1370">
        <f>'PRPM WP2'!G1187</f>
        <v>4.0083333333333334E-3</v>
      </c>
      <c r="I1186" s="1370">
        <f t="shared" si="30"/>
        <v>1.7348667354426202E-2</v>
      </c>
      <c r="J1186" s="1371">
        <f t="shared" si="29"/>
        <v>45536</v>
      </c>
    </row>
    <row r="1187" spans="2:10" x14ac:dyDescent="0.45">
      <c r="B1187" s="1371">
        <f t="shared" si="27"/>
        <v>45566</v>
      </c>
      <c r="C1187" s="1370" t="str">
        <f t="shared" si="28"/>
        <v>MKT Minus Aaa and Aa Avg</v>
      </c>
      <c r="F1187" s="1370">
        <f>VLOOKUP($B1187,'PRPM WP2'!$A:$K,2, FALSE)</f>
        <v>-9.0680016846352851E-3</v>
      </c>
      <c r="H1187" s="1370">
        <f>'PRPM WP2'!G1188</f>
        <v>4.2166666666666672E-3</v>
      </c>
      <c r="I1187" s="1370">
        <f t="shared" si="30"/>
        <v>-1.3284668351301952E-2</v>
      </c>
      <c r="J1187" s="1371">
        <f t="shared" si="29"/>
        <v>45566</v>
      </c>
    </row>
    <row r="1188" spans="2:10" x14ac:dyDescent="0.45">
      <c r="B1188" s="1371">
        <f t="shared" si="27"/>
        <v>45597</v>
      </c>
      <c r="C1188" s="1370" t="str">
        <f t="shared" si="28"/>
        <v>MKT Minus Aaa and Aa Avg</v>
      </c>
      <c r="F1188" s="1370">
        <f>VLOOKUP($B1188,'PRPM WP2'!$A:$K,2, FALSE)</f>
        <v>5.8700597259107257E-2</v>
      </c>
      <c r="H1188" s="1370">
        <f>'PRPM WP2'!G1189</f>
        <v>4.3625000000000001E-3</v>
      </c>
      <c r="I1188" s="1370">
        <f t="shared" si="30"/>
        <v>5.4338097259107258E-2</v>
      </c>
      <c r="J1188" s="1371">
        <f t="shared" si="29"/>
        <v>45597</v>
      </c>
    </row>
    <row r="1189" spans="2:10" x14ac:dyDescent="0.45">
      <c r="B1189" s="1371">
        <f t="shared" si="27"/>
        <v>45627</v>
      </c>
      <c r="C1189" s="1370" t="str">
        <f t="shared" si="28"/>
        <v>MKT Minus Aaa and Aa Avg</v>
      </c>
      <c r="F1189" s="1370">
        <f>VLOOKUP($B1189,'PRPM WP2'!$A:$K,2, FALSE)</f>
        <v>-1.9725367483346717E-2</v>
      </c>
      <c r="H1189" s="1370">
        <f>'PRPM WP2'!G1190</f>
        <v>4.4041666666666665E-3</v>
      </c>
      <c r="I1189" s="1370">
        <f t="shared" si="30"/>
        <v>-2.4129534150013385E-2</v>
      </c>
      <c r="J1189" s="1371">
        <f t="shared" si="29"/>
        <v>45627</v>
      </c>
    </row>
    <row r="1190" spans="2:10" x14ac:dyDescent="0.45">
      <c r="B1190" s="1371">
        <f t="shared" si="27"/>
        <v>45658</v>
      </c>
      <c r="C1190" s="1370" t="str">
        <f t="shared" si="28"/>
        <v>MKT Minus Aaa and Aa Avg</v>
      </c>
      <c r="F1190" s="1370">
        <f>VLOOKUP($B1190,'PRPM WP2'!$A:$K,2, FALSE)</f>
        <v>2.7847352271019865E-2</v>
      </c>
      <c r="H1190" s="1370">
        <f>'PRPM WP2'!G1191</f>
        <v>4.6458333333333334E-3</v>
      </c>
      <c r="I1190" s="1370">
        <f t="shared" si="30"/>
        <v>2.320151893768653E-2</v>
      </c>
      <c r="J1190" s="1371">
        <f t="shared" si="29"/>
        <v>45658</v>
      </c>
    </row>
  </sheetData>
  <conditionalFormatting sqref="E253:E1026">
    <cfRule type="cellIs" dxfId="1" priority="2" operator="lessThan">
      <formula>0</formula>
    </cfRule>
  </conditionalFormatting>
  <conditionalFormatting sqref="F253:F1026">
    <cfRule type="cellIs" dxfId="0" priority="1" operator="lessThan">
      <formula>-1</formula>
    </cfRule>
  </conditionalFormatting>
  <pageMargins left="0.7" right="0.7" top="0.75" bottom="0.75" header="0.3" footer="0.3"/>
  <pageSetup scale="90"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1C02-3831-4E42-88E2-ECACD14A7B61}">
  <sheetPr codeName="Sheet57">
    <pageSetUpPr fitToPage="1"/>
  </sheetPr>
  <dimension ref="A1:HO15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19.47265625" style="145" bestFit="1" customWidth="1"/>
    <col min="4" max="4" width="1.7890625" style="17" customWidth="1"/>
    <col min="5" max="5" width="19.47265625" style="145" bestFit="1" customWidth="1"/>
    <col min="6" max="6" width="1.7890625" style="17" customWidth="1"/>
    <col min="7" max="7" width="17.7890625" style="17" bestFit="1" customWidth="1"/>
    <col min="8" max="8" width="1.7890625" style="17" customWidth="1"/>
    <col min="9" max="9" width="18.5234375" style="17" customWidth="1"/>
    <col min="10" max="10" width="2.5234375" style="17" customWidth="1"/>
    <col min="11" max="11" width="18.5234375" style="17" customWidth="1"/>
    <col min="12" max="12" width="2" style="17" customWidth="1"/>
    <col min="13" max="13" width="18.5234375" style="17" customWidth="1"/>
    <col min="14" max="16" width="3.15625" style="17" customWidth="1"/>
    <col min="17" max="17" width="53.15625" style="17" bestFit="1" customWidth="1"/>
    <col min="18" max="18" width="3.15625" style="17" customWidth="1"/>
    <col min="19" max="19" width="14.7890625" style="17" customWidth="1"/>
    <col min="20" max="20" width="3.15625" style="17" customWidth="1"/>
    <col min="21" max="21" width="14.7890625" style="17" customWidth="1"/>
    <col min="22" max="22" width="3.15625" style="17" customWidth="1"/>
    <col min="23" max="23" width="13.15625" style="17" customWidth="1"/>
    <col min="24" max="24" width="2.7890625" style="17" customWidth="1"/>
    <col min="25" max="25" width="12.15625" style="17" customWidth="1"/>
    <col min="26" max="26" width="2.5234375" style="17" bestFit="1" customWidth="1"/>
    <col min="27" max="27" width="11.5234375" style="17" customWidth="1"/>
    <col min="28" max="28" width="2.5234375" style="17" customWidth="1"/>
    <col min="29" max="29" width="10.5234375" style="17" customWidth="1"/>
    <col min="30" max="30" width="2.5234375" style="17" customWidth="1"/>
    <col min="31" max="31" width="9.15625" style="17"/>
    <col min="32" max="32" width="4.47265625" style="17" customWidth="1"/>
    <col min="33" max="33" width="3.5234375" style="17" customWidth="1"/>
    <col min="34" max="34" width="22.15625" style="17" customWidth="1"/>
    <col min="35" max="16384" width="9.15625" style="17"/>
  </cols>
  <sheetData>
    <row r="1" spans="1:29" ht="16.5" customHeight="1" x14ac:dyDescent="0.4"/>
    <row r="2" spans="1:29" ht="16.5" customHeight="1" x14ac:dyDescent="0.4"/>
    <row r="3" spans="1:29" ht="16.5" customHeight="1" x14ac:dyDescent="0.4"/>
    <row r="4" spans="1:29" ht="16.5" customHeight="1" thickBot="1" x14ac:dyDescent="0.45"/>
    <row r="5" spans="1:29" ht="15" x14ac:dyDescent="0.85">
      <c r="A5" s="75" t="s">
        <v>75</v>
      </c>
    </row>
    <row r="6" spans="1:29" ht="13.5" customHeight="1" thickBot="1" x14ac:dyDescent="0.6">
      <c r="A6" s="76" t="s">
        <v>29</v>
      </c>
      <c r="G6" s="1483" t="s">
        <v>2884</v>
      </c>
      <c r="H6" s="1484"/>
      <c r="I6" s="1484"/>
      <c r="J6" s="1484"/>
      <c r="K6" s="1484"/>
      <c r="L6" s="1484"/>
      <c r="M6" s="1484"/>
      <c r="N6" s="43"/>
      <c r="O6" s="43"/>
      <c r="P6" s="43"/>
      <c r="Q6" s="43" t="str">
        <f>G6</f>
        <v xml:space="preserve">Atmos Energy        </v>
      </c>
      <c r="R6" s="43"/>
      <c r="S6" s="43"/>
      <c r="T6" s="43"/>
      <c r="U6" s="43"/>
      <c r="V6" s="43"/>
      <c r="W6" s="43"/>
      <c r="X6" s="34"/>
      <c r="Y6" s="34"/>
      <c r="Z6" s="44"/>
      <c r="AA6" s="34"/>
      <c r="AB6" s="34"/>
      <c r="AC6" s="34"/>
    </row>
    <row r="7" spans="1:29" ht="12.75" customHeight="1" x14ac:dyDescent="0.55000000000000004">
      <c r="G7" s="1483" t="s">
        <v>1282</v>
      </c>
      <c r="H7" s="1484"/>
      <c r="I7" s="1484"/>
      <c r="J7" s="1484"/>
      <c r="K7" s="1484"/>
      <c r="L7" s="1484"/>
      <c r="M7" s="1484"/>
      <c r="N7" s="34"/>
      <c r="O7" s="34"/>
      <c r="P7" s="34"/>
      <c r="Q7" s="34" t="str">
        <f>G7</f>
        <v>CAPITALIZATION AND FINANCIAL STATISTICS  (1)</v>
      </c>
      <c r="R7" s="34"/>
      <c r="S7" s="34"/>
      <c r="T7" s="34"/>
      <c r="U7" s="34"/>
      <c r="V7" s="34"/>
      <c r="W7" s="34"/>
      <c r="X7" s="34"/>
      <c r="Y7" s="34"/>
      <c r="Z7" s="34"/>
      <c r="AA7" s="34"/>
      <c r="AB7" s="34"/>
      <c r="AC7" s="34"/>
    </row>
    <row r="8" spans="1:29" ht="12.75" customHeight="1" x14ac:dyDescent="0.55000000000000004">
      <c r="G8" s="1483" t="s">
        <v>2885</v>
      </c>
      <c r="H8" s="1484"/>
      <c r="I8" s="1484"/>
      <c r="J8" s="1484"/>
      <c r="K8" s="1484"/>
      <c r="L8" s="1484"/>
      <c r="M8" s="1484"/>
      <c r="N8" s="44"/>
      <c r="O8" s="44"/>
      <c r="P8" s="44"/>
      <c r="Q8" s="44" t="str">
        <f>G8</f>
        <v>2018- 2023, Inclusive</v>
      </c>
      <c r="R8" s="44"/>
      <c r="S8" s="44"/>
      <c r="T8" s="44"/>
      <c r="U8" s="44"/>
      <c r="V8" s="44"/>
      <c r="W8" s="44"/>
      <c r="X8" s="34"/>
      <c r="Y8" s="34"/>
      <c r="Z8" s="44"/>
      <c r="AA8" s="34"/>
      <c r="AB8" s="34"/>
      <c r="AC8" s="34"/>
    </row>
    <row r="9" spans="1:29" x14ac:dyDescent="0.4">
      <c r="N9" s="34"/>
      <c r="O9" s="34"/>
      <c r="P9" s="34"/>
      <c r="Q9" s="34"/>
      <c r="R9" s="34"/>
      <c r="S9" s="34"/>
      <c r="T9" s="34"/>
      <c r="U9" s="34"/>
      <c r="V9" s="34"/>
      <c r="W9" s="34"/>
      <c r="X9" s="34"/>
      <c r="Y9" s="44"/>
      <c r="Z9" s="44"/>
      <c r="AA9" s="34"/>
      <c r="AB9" s="34"/>
      <c r="AC9" s="34"/>
    </row>
    <row r="10" spans="1:29" x14ac:dyDescent="0.4">
      <c r="B10" s="17" t="s">
        <v>2886</v>
      </c>
      <c r="C10" s="40">
        <v>2023</v>
      </c>
      <c r="E10" s="40">
        <v>2022</v>
      </c>
      <c r="G10" s="40">
        <v>2021</v>
      </c>
      <c r="I10" s="40">
        <v>2020</v>
      </c>
      <c r="K10" s="40">
        <v>2019</v>
      </c>
      <c r="M10" s="40">
        <v>2018</v>
      </c>
      <c r="Y10" s="44"/>
      <c r="Z10" s="44"/>
      <c r="AA10" s="34"/>
      <c r="AB10" s="34"/>
    </row>
    <row r="11" spans="1:29" x14ac:dyDescent="0.4">
      <c r="A11" s="17" t="s">
        <v>1288</v>
      </c>
    </row>
    <row r="12" spans="1:29" x14ac:dyDescent="0.4">
      <c r="A12" s="17" t="s">
        <v>1289</v>
      </c>
      <c r="B12" s="17" t="s">
        <v>1290</v>
      </c>
      <c r="C12" s="77">
        <f>(6554133+1568)*1000</f>
        <v>6555701000</v>
      </c>
      <c r="E12" s="77">
        <f>(5760647+2201457)*1000-2200000000</f>
        <v>5762104000</v>
      </c>
      <c r="G12" s="46">
        <f>4930205000+2400452000-2200000000</f>
        <v>5130657000</v>
      </c>
      <c r="I12" s="46">
        <f>4531779000+165000</f>
        <v>4531944000</v>
      </c>
      <c r="K12" s="46">
        <f>3529452000</f>
        <v>3529452000</v>
      </c>
      <c r="M12" s="46">
        <f>2493665000+575000000</f>
        <v>3068665000</v>
      </c>
      <c r="S12" s="40">
        <f>C10</f>
        <v>2023</v>
      </c>
      <c r="U12" s="40">
        <f>E10</f>
        <v>2022</v>
      </c>
      <c r="W12" s="40">
        <f>G10</f>
        <v>2021</v>
      </c>
      <c r="Y12" s="40">
        <f>I10</f>
        <v>2020</v>
      </c>
      <c r="Z12" s="40"/>
      <c r="AA12" s="40">
        <f>K10</f>
        <v>2019</v>
      </c>
      <c r="AB12" s="40"/>
    </row>
    <row r="13" spans="1:29" x14ac:dyDescent="0.4">
      <c r="A13" s="17" t="s">
        <v>1291</v>
      </c>
      <c r="B13" s="17" t="s">
        <v>1292</v>
      </c>
      <c r="C13" s="46">
        <v>0</v>
      </c>
      <c r="D13" s="46"/>
      <c r="E13" s="46">
        <v>0</v>
      </c>
      <c r="G13" s="46">
        <v>0</v>
      </c>
      <c r="I13" s="46">
        <v>0</v>
      </c>
      <c r="K13" s="46">
        <v>0</v>
      </c>
      <c r="M13" s="46">
        <v>0</v>
      </c>
      <c r="Y13" s="34" t="s">
        <v>1247</v>
      </c>
      <c r="Z13" s="34"/>
      <c r="AA13" s="34"/>
      <c r="AB13" s="34"/>
      <c r="AC13" s="34" t="s">
        <v>1091</v>
      </c>
    </row>
    <row r="14" spans="1:29" x14ac:dyDescent="0.4">
      <c r="G14" s="46"/>
      <c r="I14" s="46"/>
      <c r="K14" s="46"/>
      <c r="M14" s="46"/>
      <c r="N14" s="47"/>
      <c r="O14" s="47"/>
      <c r="P14" s="47"/>
      <c r="Q14" s="47" t="s">
        <v>1248</v>
      </c>
      <c r="R14" s="47"/>
      <c r="S14" s="47"/>
      <c r="T14" s="47"/>
      <c r="U14" s="47"/>
      <c r="V14" s="47"/>
      <c r="W14" s="47"/>
      <c r="X14" s="47"/>
    </row>
    <row r="15" spans="1:29" x14ac:dyDescent="0.4">
      <c r="A15" s="17" t="s">
        <v>1293</v>
      </c>
      <c r="B15" s="17" t="s">
        <v>1294</v>
      </c>
      <c r="C15" s="146">
        <v>148492783</v>
      </c>
      <c r="E15" s="146">
        <v>140896598</v>
      </c>
      <c r="G15" s="46">
        <v>132419754</v>
      </c>
      <c r="I15" s="46">
        <v>125882477</v>
      </c>
      <c r="K15" s="46">
        <v>119338925</v>
      </c>
      <c r="M15" s="46">
        <v>111273683</v>
      </c>
    </row>
    <row r="16" spans="1:29" x14ac:dyDescent="0.4">
      <c r="A16" s="17" t="s">
        <v>1239</v>
      </c>
      <c r="B16" s="17" t="s">
        <v>1295</v>
      </c>
      <c r="C16" s="147">
        <v>10870064000</v>
      </c>
      <c r="E16" s="147">
        <v>9419091000</v>
      </c>
      <c r="G16" s="46">
        <v>7906889000</v>
      </c>
      <c r="I16" s="46">
        <v>6791203000</v>
      </c>
      <c r="K16" s="46">
        <v>5750223000</v>
      </c>
      <c r="M16" s="46">
        <v>4769951000</v>
      </c>
      <c r="N16" s="47"/>
      <c r="O16" s="47"/>
      <c r="P16" s="47"/>
      <c r="Q16" s="47" t="s">
        <v>1249</v>
      </c>
      <c r="R16" s="47"/>
      <c r="S16" s="47"/>
      <c r="T16" s="47"/>
      <c r="U16" s="47"/>
      <c r="V16" s="47"/>
    </row>
    <row r="17" spans="1:30" x14ac:dyDescent="0.4">
      <c r="A17" s="17" t="s">
        <v>1296</v>
      </c>
      <c r="B17" s="17" t="s">
        <v>1294</v>
      </c>
      <c r="C17" s="46">
        <v>0</v>
      </c>
      <c r="D17" s="46"/>
      <c r="E17" s="46">
        <v>0</v>
      </c>
      <c r="G17" s="46">
        <v>0</v>
      </c>
      <c r="I17" s="46">
        <v>0</v>
      </c>
      <c r="K17" s="46">
        <v>0</v>
      </c>
      <c r="M17" s="46">
        <v>0</v>
      </c>
      <c r="Q17" s="17" t="s">
        <v>1297</v>
      </c>
      <c r="S17" s="35">
        <f>C50/1000000</f>
        <v>17425.764999999999</v>
      </c>
      <c r="U17" s="35">
        <f>E50/1000000</f>
        <v>15181.195</v>
      </c>
      <c r="W17" s="35">
        <f>G50/1000000</f>
        <v>13037.546</v>
      </c>
      <c r="X17" s="35"/>
      <c r="Y17" s="35">
        <f>I50/1000000</f>
        <v>11323.147000000001</v>
      </c>
      <c r="Z17" s="35"/>
      <c r="AA17" s="35">
        <f>K50/1000000</f>
        <v>9279.6749999999993</v>
      </c>
      <c r="AB17" s="35"/>
    </row>
    <row r="18" spans="1:30" x14ac:dyDescent="0.4">
      <c r="G18" s="46"/>
      <c r="I18" s="46"/>
      <c r="K18" s="46"/>
      <c r="M18" s="46"/>
      <c r="Q18" s="17" t="s">
        <v>1298</v>
      </c>
      <c r="S18" s="36">
        <f>C19/1000000</f>
        <v>241.93299999999999</v>
      </c>
      <c r="U18" s="36">
        <f>E19/1000000</f>
        <v>184.96700000000001</v>
      </c>
      <c r="W18" s="36">
        <f>G19/1000000</f>
        <v>0</v>
      </c>
      <c r="X18" s="35"/>
      <c r="Y18" s="36">
        <f>I19/1000000</f>
        <v>0</v>
      </c>
      <c r="Z18" s="35"/>
      <c r="AA18" s="36">
        <f>K19/1000000</f>
        <v>464.91500000000002</v>
      </c>
      <c r="AB18" s="35"/>
    </row>
    <row r="19" spans="1:30" x14ac:dyDescent="0.4">
      <c r="A19" s="17" t="s">
        <v>1299</v>
      </c>
      <c r="B19" s="17" t="s">
        <v>1300</v>
      </c>
      <c r="C19" s="77">
        <f>241933*1000</f>
        <v>241933000</v>
      </c>
      <c r="D19" s="77"/>
      <c r="E19" s="77">
        <v>184967000</v>
      </c>
      <c r="F19" s="77"/>
      <c r="G19" s="77">
        <v>0</v>
      </c>
      <c r="H19" s="77"/>
      <c r="I19" s="77">
        <v>0</v>
      </c>
      <c r="J19" s="77"/>
      <c r="K19" s="77">
        <v>464915000</v>
      </c>
      <c r="L19" s="77"/>
      <c r="M19" s="77">
        <v>575780000</v>
      </c>
      <c r="Q19" s="17" t="s">
        <v>1301</v>
      </c>
      <c r="S19" s="37">
        <f>SUM(S17:S18)</f>
        <v>17667.698</v>
      </c>
      <c r="U19" s="37">
        <f>SUM(U17:U18)</f>
        <v>15366.162</v>
      </c>
      <c r="W19" s="37">
        <f>SUM(W17:W18)</f>
        <v>13037.546</v>
      </c>
      <c r="X19" s="35"/>
      <c r="Y19" s="37">
        <f>SUM(Y17:Y18)</f>
        <v>11323.147000000001</v>
      </c>
      <c r="Z19" s="35"/>
      <c r="AA19" s="37">
        <f>SUM(AA17:AA18)</f>
        <v>9744.59</v>
      </c>
      <c r="AB19" s="35"/>
    </row>
    <row r="20" spans="1:30" x14ac:dyDescent="0.4">
      <c r="G20" s="46"/>
      <c r="I20" s="46"/>
      <c r="K20" s="46"/>
      <c r="M20" s="46"/>
    </row>
    <row r="21" spans="1:30" x14ac:dyDescent="0.4">
      <c r="A21" s="17" t="s">
        <v>1302</v>
      </c>
      <c r="B21" s="17" t="s">
        <v>1303</v>
      </c>
      <c r="C21" s="77">
        <v>6.1</v>
      </c>
      <c r="D21" s="77"/>
      <c r="E21" s="77">
        <v>5.61</v>
      </c>
      <c r="F21" s="77"/>
      <c r="G21" s="77">
        <v>5.12</v>
      </c>
      <c r="H21" s="77"/>
      <c r="I21" s="77">
        <v>4.8899999999999997</v>
      </c>
      <c r="J21" s="77"/>
      <c r="K21" s="77">
        <v>4.3499999999999996</v>
      </c>
      <c r="L21" s="77"/>
      <c r="M21" s="77">
        <v>5.43</v>
      </c>
      <c r="N21" s="47"/>
      <c r="O21" s="47"/>
      <c r="P21" s="47"/>
      <c r="Q21" s="47" t="s">
        <v>1304</v>
      </c>
      <c r="R21" s="47"/>
      <c r="T21" s="47"/>
      <c r="V21" s="47"/>
    </row>
    <row r="22" spans="1:30" x14ac:dyDescent="0.4">
      <c r="A22" s="17" t="s">
        <v>1305</v>
      </c>
      <c r="B22" s="17" t="s">
        <v>79</v>
      </c>
      <c r="C22" s="77">
        <v>124.41</v>
      </c>
      <c r="E22" s="77">
        <v>122.69</v>
      </c>
      <c r="G22" s="17">
        <v>104.83</v>
      </c>
      <c r="I22" s="46">
        <v>120.57</v>
      </c>
      <c r="K22" s="46">
        <v>114.65</v>
      </c>
      <c r="M22" s="46">
        <v>94.77</v>
      </c>
      <c r="Q22" s="17" t="s">
        <v>1306</v>
      </c>
      <c r="S22" s="38">
        <f>(ROUND((C30/(AVERAGE(C54,E54))*100),2))</f>
        <v>1.79</v>
      </c>
      <c r="T22" s="39" t="s">
        <v>1090</v>
      </c>
      <c r="U22" s="38">
        <f>(ROUND((E30/(AVERAGE(E54,G54))*100),2))</f>
        <v>1.86</v>
      </c>
      <c r="V22" s="39" t="s">
        <v>1090</v>
      </c>
      <c r="W22" s="38">
        <f>(ROUND((G30/(AVERAGE(G54,I54))*100),2))</f>
        <v>1.73</v>
      </c>
      <c r="X22" s="39" t="s">
        <v>1090</v>
      </c>
      <c r="Y22" s="38">
        <f>(ROUND((I30/(AVERAGE(I54,K54))*100),2))</f>
        <v>1.98</v>
      </c>
      <c r="Z22" s="39" t="s">
        <v>1090</v>
      </c>
      <c r="AA22" s="38">
        <f>(ROUND((K30/(AVERAGE(K54,M54))*100),2))</f>
        <v>2.7</v>
      </c>
      <c r="AB22" s="39" t="s">
        <v>1090</v>
      </c>
      <c r="AC22" s="18"/>
    </row>
    <row r="23" spans="1:30" x14ac:dyDescent="0.4">
      <c r="A23" s="17" t="s">
        <v>1307</v>
      </c>
      <c r="B23" s="17" t="s">
        <v>79</v>
      </c>
      <c r="C23" s="77">
        <v>102.76</v>
      </c>
      <c r="E23" s="77">
        <v>98.11</v>
      </c>
      <c r="G23" s="17">
        <v>84.61</v>
      </c>
      <c r="I23" s="46">
        <v>80.5</v>
      </c>
      <c r="K23" s="46">
        <v>89.33</v>
      </c>
      <c r="M23" s="46">
        <v>78.03</v>
      </c>
      <c r="Q23" s="17" t="s">
        <v>1308</v>
      </c>
      <c r="S23" s="38"/>
      <c r="T23" s="39"/>
      <c r="U23" s="38"/>
      <c r="V23" s="39"/>
      <c r="W23" s="38"/>
      <c r="X23" s="39"/>
      <c r="Y23" s="38"/>
      <c r="Z23" s="39"/>
      <c r="AA23" s="38"/>
      <c r="AB23" s="39"/>
    </row>
    <row r="24" spans="1:30" x14ac:dyDescent="0.4">
      <c r="G24" s="46"/>
      <c r="I24" s="46"/>
      <c r="K24" s="46"/>
      <c r="M24" s="46"/>
      <c r="AC24" s="1485" t="s">
        <v>1285</v>
      </c>
      <c r="AD24" s="1485"/>
    </row>
    <row r="25" spans="1:30" x14ac:dyDescent="0.4">
      <c r="G25" s="46"/>
      <c r="I25" s="46"/>
      <c r="K25" s="46"/>
      <c r="M25" s="46"/>
      <c r="N25" s="47"/>
      <c r="O25" s="47"/>
      <c r="P25" s="47"/>
      <c r="Q25" s="47" t="s">
        <v>1251</v>
      </c>
      <c r="R25" s="47"/>
      <c r="AC25" s="1485" t="s">
        <v>1286</v>
      </c>
      <c r="AD25" s="1485"/>
    </row>
    <row r="26" spans="1:30" x14ac:dyDescent="0.4">
      <c r="A26" s="17" t="s">
        <v>1309</v>
      </c>
      <c r="B26" s="17" t="s">
        <v>79</v>
      </c>
      <c r="C26" s="77">
        <v>2.96</v>
      </c>
      <c r="E26" s="77">
        <v>2.72</v>
      </c>
      <c r="G26" s="77">
        <v>2.5</v>
      </c>
      <c r="H26" s="77"/>
      <c r="I26" s="77">
        <v>2.2999999999999998</v>
      </c>
      <c r="J26" s="77"/>
      <c r="K26" s="77">
        <v>2.1</v>
      </c>
      <c r="L26" s="77"/>
      <c r="M26" s="77">
        <v>1.94</v>
      </c>
      <c r="Q26" s="17" t="s">
        <v>1310</v>
      </c>
    </row>
    <row r="27" spans="1:30" x14ac:dyDescent="0.4">
      <c r="G27" s="46"/>
      <c r="I27" s="46"/>
      <c r="K27" s="46"/>
      <c r="M27" s="46"/>
      <c r="Q27" s="17" t="s">
        <v>1311</v>
      </c>
      <c r="S27" s="38">
        <f>ROUND(((C12/C50)*100),2)</f>
        <v>37.619999999999997</v>
      </c>
      <c r="T27" s="39" t="s">
        <v>1090</v>
      </c>
      <c r="U27" s="38">
        <f>ROUND(((E12/E50)*100),2)</f>
        <v>37.96</v>
      </c>
      <c r="V27" s="39" t="s">
        <v>1090</v>
      </c>
      <c r="W27" s="38">
        <f>ROUND(((G12/G50)*100),2)</f>
        <v>39.35</v>
      </c>
      <c r="X27" s="39" t="s">
        <v>1090</v>
      </c>
      <c r="Y27" s="38">
        <f>ROUND(((I12/I50)*100),2)</f>
        <v>40.020000000000003</v>
      </c>
      <c r="Z27" s="39" t="s">
        <v>1090</v>
      </c>
      <c r="AA27" s="38">
        <f>ROUND(((K12/K50)*100),2)</f>
        <v>38.03</v>
      </c>
      <c r="AB27" s="39" t="s">
        <v>1090</v>
      </c>
      <c r="AC27" s="38">
        <f>ROUND(AVERAGE(S27:AB27),2)</f>
        <v>38.6</v>
      </c>
      <c r="AD27" s="39" t="s">
        <v>1090</v>
      </c>
    </row>
    <row r="28" spans="1:30" x14ac:dyDescent="0.4">
      <c r="A28" s="17" t="s">
        <v>1252</v>
      </c>
      <c r="B28" s="17" t="s">
        <v>1252</v>
      </c>
      <c r="C28" s="147">
        <f>79827*1000</f>
        <v>79827000</v>
      </c>
      <c r="E28" s="147">
        <v>57658000</v>
      </c>
      <c r="G28" s="77">
        <v>44163000</v>
      </c>
      <c r="I28" s="77">
        <v>31929000</v>
      </c>
      <c r="K28" s="77">
        <v>18808000</v>
      </c>
      <c r="M28" s="46">
        <v>6800000</v>
      </c>
      <c r="Q28" s="17" t="s">
        <v>1312</v>
      </c>
      <c r="S28" s="38">
        <f>ROUND(((SUM(C13,C17)/C50)*100),2)</f>
        <v>0</v>
      </c>
      <c r="T28" s="39"/>
      <c r="U28" s="38">
        <f>ROUND(((SUM(E13,E17)/E50)*100),2)</f>
        <v>0</v>
      </c>
      <c r="V28" s="39"/>
      <c r="W28" s="38">
        <f>ROUND(((SUM(G13,G17)/G50)*100),2)</f>
        <v>0</v>
      </c>
      <c r="X28" s="39"/>
      <c r="Y28" s="38">
        <f>ROUND(((SUM(I13,I17)/I50)*100),2)</f>
        <v>0</v>
      </c>
      <c r="Z28" s="39"/>
      <c r="AA28" s="38">
        <f>ROUND(((SUM(K13,K17)/K50)*100),2)</f>
        <v>0</v>
      </c>
      <c r="AB28" s="39"/>
      <c r="AC28" s="38">
        <f>ROUND(AVERAGE(S28:AB28),2)</f>
        <v>0</v>
      </c>
      <c r="AD28" s="39"/>
    </row>
    <row r="29" spans="1:30" x14ac:dyDescent="0.4">
      <c r="G29" s="46"/>
      <c r="I29" s="46"/>
      <c r="K29" s="46"/>
      <c r="M29" s="46"/>
      <c r="Q29" s="17" t="s">
        <v>1313</v>
      </c>
      <c r="S29" s="41">
        <f>ROUND(((C16/C50)*100),2)</f>
        <v>62.38</v>
      </c>
      <c r="T29" s="39"/>
      <c r="U29" s="41">
        <f>ROUND(((E16/E50)*100),2)</f>
        <v>62.04</v>
      </c>
      <c r="V29" s="39"/>
      <c r="W29" s="41">
        <f>ROUND(((G16/G50)*100),2)</f>
        <v>60.65</v>
      </c>
      <c r="X29" s="39"/>
      <c r="Y29" s="41">
        <f>ROUND(((I16/I50)*100),2)</f>
        <v>59.98</v>
      </c>
      <c r="Z29" s="39"/>
      <c r="AA29" s="41">
        <f>ROUND(((K16/K50)*100),2)</f>
        <v>61.97</v>
      </c>
      <c r="AB29" s="39"/>
      <c r="AC29" s="38">
        <f>ROUND(AVERAGE(S29:AB29),2)</f>
        <v>61.4</v>
      </c>
      <c r="AD29" s="39"/>
    </row>
    <row r="30" spans="1:30" x14ac:dyDescent="0.4">
      <c r="A30" s="17" t="s">
        <v>1314</v>
      </c>
      <c r="B30" s="17" t="s">
        <v>1315</v>
      </c>
      <c r="C30" s="147">
        <f>113779*1000</f>
        <v>113779000</v>
      </c>
      <c r="E30" s="147">
        <v>102811000</v>
      </c>
      <c r="G30" s="77">
        <v>83554000</v>
      </c>
      <c r="I30" s="77">
        <v>84474000</v>
      </c>
      <c r="K30" s="77">
        <v>103153000</v>
      </c>
      <c r="M30" s="46">
        <v>106646000</v>
      </c>
      <c r="Q30" s="17" t="s">
        <v>1316</v>
      </c>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G31" s="46"/>
      <c r="I31" s="46"/>
      <c r="K31" s="46"/>
      <c r="M31" s="46"/>
    </row>
    <row r="32" spans="1:30" x14ac:dyDescent="0.4">
      <c r="A32" s="17" t="s">
        <v>1317</v>
      </c>
      <c r="B32" s="17" t="s">
        <v>1318</v>
      </c>
      <c r="C32" s="77">
        <f>885862*1000</f>
        <v>885862000</v>
      </c>
      <c r="E32" s="77">
        <v>774398000</v>
      </c>
      <c r="G32" s="77">
        <v>665563000</v>
      </c>
      <c r="I32" s="77">
        <v>601443000</v>
      </c>
      <c r="K32" s="77">
        <v>511406000</v>
      </c>
      <c r="M32" s="46">
        <v>603064000</v>
      </c>
      <c r="Q32" s="17" t="s">
        <v>1319</v>
      </c>
    </row>
    <row r="33" spans="1:30" x14ac:dyDescent="0.4">
      <c r="A33" s="48"/>
      <c r="B33" s="48"/>
      <c r="C33" s="148"/>
      <c r="D33" s="48"/>
      <c r="E33" s="148"/>
      <c r="F33" s="48"/>
      <c r="G33" s="49"/>
      <c r="H33" s="48"/>
      <c r="I33" s="49"/>
      <c r="J33" s="48"/>
      <c r="K33" s="49"/>
      <c r="L33" s="48"/>
      <c r="M33" s="49"/>
      <c r="Q33" s="17" t="s">
        <v>1320</v>
      </c>
      <c r="S33" s="38">
        <f>ROUND((((C12+C19)/C56)*100),2)</f>
        <v>38.47</v>
      </c>
      <c r="T33" s="39" t="s">
        <v>1090</v>
      </c>
      <c r="U33" s="38">
        <f>ROUND((((E12+E19)/E56)*100),2)</f>
        <v>38.700000000000003</v>
      </c>
      <c r="V33" s="39" t="s">
        <v>1090</v>
      </c>
      <c r="W33" s="38">
        <f>ROUND((((G12+G19)/G56)*100),2)</f>
        <v>39.35</v>
      </c>
      <c r="X33" s="39" t="s">
        <v>1090</v>
      </c>
      <c r="Y33" s="38">
        <f>ROUND((((I12+I19)/I56)*100),2)</f>
        <v>40.020000000000003</v>
      </c>
      <c r="Z33" s="39" t="s">
        <v>1090</v>
      </c>
      <c r="AA33" s="38">
        <f>ROUND((((K12+K19)/K56)*100),2)</f>
        <v>40.99</v>
      </c>
      <c r="AB33" s="39" t="s">
        <v>1090</v>
      </c>
      <c r="AC33" s="38">
        <f>ROUND(AVERAGE(S33:AB33),2)</f>
        <v>39.51</v>
      </c>
      <c r="AD33" s="39" t="s">
        <v>1090</v>
      </c>
    </row>
    <row r="34" spans="1:30" x14ac:dyDescent="0.4">
      <c r="A34" s="17" t="s">
        <v>1321</v>
      </c>
      <c r="B34" s="17" t="s">
        <v>1322</v>
      </c>
      <c r="C34" s="77">
        <f>C32</f>
        <v>885862000</v>
      </c>
      <c r="E34" s="77">
        <f>E32</f>
        <v>774398000</v>
      </c>
      <c r="G34" s="77">
        <f>G32</f>
        <v>665563000</v>
      </c>
      <c r="I34" s="77">
        <f>I32</f>
        <v>601443000</v>
      </c>
      <c r="K34" s="77">
        <f>K32</f>
        <v>511406000</v>
      </c>
      <c r="M34" s="46">
        <f>M32</f>
        <v>603064000</v>
      </c>
      <c r="Q34" s="17" t="s">
        <v>1312</v>
      </c>
      <c r="S34" s="38">
        <f>ROUND((((SUM(C13,C17))/C56)*100),2)</f>
        <v>0</v>
      </c>
      <c r="T34" s="39"/>
      <c r="U34" s="38">
        <f>ROUND((((SUM(E13,E17))/E56)*100),2)</f>
        <v>0</v>
      </c>
      <c r="V34" s="39"/>
      <c r="W34" s="38">
        <f>ROUND((((SUM(G13,G17))/G56)*100),2)</f>
        <v>0</v>
      </c>
      <c r="X34" s="39"/>
      <c r="Y34" s="38">
        <f>ROUND((((SUM(I13,I17))/I56)*100),2)</f>
        <v>0</v>
      </c>
      <c r="Z34" s="39"/>
      <c r="AA34" s="38">
        <f>ROUND((((SUM(K13,K17))/K56)*100),2)</f>
        <v>0</v>
      </c>
      <c r="AB34" s="39"/>
      <c r="AC34" s="38">
        <f>ROUND(AVERAGE(S34:AB34),2)</f>
        <v>0</v>
      </c>
      <c r="AD34" s="39"/>
    </row>
    <row r="35" spans="1:30" x14ac:dyDescent="0.4">
      <c r="G35" s="46"/>
      <c r="I35" s="46"/>
      <c r="K35" s="46"/>
      <c r="M35" s="46"/>
      <c r="Q35" s="17" t="s">
        <v>1313</v>
      </c>
      <c r="S35" s="41">
        <f>ROUND((((C16)/C56)*100),2)</f>
        <v>61.53</v>
      </c>
      <c r="T35" s="39"/>
      <c r="U35" s="41">
        <f>ROUND((((E16)/E56)*100),2)</f>
        <v>61.3</v>
      </c>
      <c r="V35" s="39"/>
      <c r="W35" s="41">
        <f>ROUND((((G16)/G56)*100),2)</f>
        <v>60.65</v>
      </c>
      <c r="X35" s="39"/>
      <c r="Y35" s="41">
        <f>ROUND((((I16)/I56)*100),2)</f>
        <v>59.98</v>
      </c>
      <c r="Z35" s="39"/>
      <c r="AA35" s="41">
        <f>ROUND((((K16)/K56)*100),2)</f>
        <v>59.01</v>
      </c>
      <c r="AB35" s="39"/>
      <c r="AC35" s="38">
        <f>ROUND(AVERAGE(S35:AB35),2)</f>
        <v>60.49</v>
      </c>
      <c r="AD35" s="39"/>
    </row>
    <row r="36" spans="1:30" x14ac:dyDescent="0.4">
      <c r="A36" s="17" t="s">
        <v>1323</v>
      </c>
      <c r="B36" s="17" t="s">
        <v>1324</v>
      </c>
      <c r="C36" s="46">
        <v>0</v>
      </c>
      <c r="D36" s="46"/>
      <c r="E36" s="46">
        <v>0</v>
      </c>
      <c r="G36" s="46">
        <v>0</v>
      </c>
      <c r="I36" s="46">
        <v>0</v>
      </c>
      <c r="K36" s="46">
        <v>0</v>
      </c>
      <c r="M36" s="46">
        <v>0</v>
      </c>
      <c r="Q36" s="17" t="s">
        <v>1316</v>
      </c>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G37" s="46"/>
      <c r="I37" s="46"/>
      <c r="K37" s="46"/>
      <c r="M37" s="46"/>
    </row>
    <row r="38" spans="1:30" x14ac:dyDescent="0.4">
      <c r="A38" s="17" t="s">
        <v>1325</v>
      </c>
      <c r="B38" s="17" t="s">
        <v>1326</v>
      </c>
      <c r="C38" s="147">
        <f>430345*1000</f>
        <v>430345000</v>
      </c>
      <c r="E38" s="147">
        <v>375914000</v>
      </c>
      <c r="G38" s="46">
        <v>323904000</v>
      </c>
      <c r="I38" s="46">
        <v>282444000</v>
      </c>
      <c r="K38" s="46">
        <v>245717000</v>
      </c>
      <c r="M38" s="46">
        <v>214906000</v>
      </c>
    </row>
    <row r="39" spans="1:30" x14ac:dyDescent="0.4">
      <c r="G39" s="46"/>
      <c r="I39" s="46"/>
      <c r="K39" s="46"/>
      <c r="M39" s="46"/>
    </row>
    <row r="40" spans="1:30" x14ac:dyDescent="0.4">
      <c r="A40" s="17" t="s">
        <v>1327</v>
      </c>
      <c r="B40" s="17" t="s">
        <v>1328</v>
      </c>
      <c r="C40" s="77">
        <f>C32</f>
        <v>885862000</v>
      </c>
      <c r="E40" s="145">
        <f>E32</f>
        <v>774398000</v>
      </c>
      <c r="G40" s="46">
        <f>G32</f>
        <v>665563000</v>
      </c>
      <c r="I40" s="46">
        <f>I34</f>
        <v>601443000</v>
      </c>
      <c r="K40" s="46">
        <f>K34</f>
        <v>511406000</v>
      </c>
      <c r="M40" s="46">
        <f>M34</f>
        <v>603064000</v>
      </c>
      <c r="N40" s="47"/>
      <c r="O40" s="47"/>
      <c r="P40" s="47"/>
      <c r="Q40" s="47" t="s">
        <v>1329</v>
      </c>
      <c r="R40" s="47"/>
    </row>
    <row r="41" spans="1:30" x14ac:dyDescent="0.4">
      <c r="A41" s="17" t="s">
        <v>1330</v>
      </c>
      <c r="B41" s="17" t="s">
        <v>1331</v>
      </c>
      <c r="C41" s="77">
        <f>3459743*1000</f>
        <v>3459743000</v>
      </c>
      <c r="E41" s="145">
        <v>977584000</v>
      </c>
      <c r="G41" s="46">
        <f>-1084251000+2003659000+76652</f>
        <v>919484652</v>
      </c>
      <c r="I41" s="46">
        <v>1037999000</v>
      </c>
      <c r="K41" s="46">
        <v>968769000</v>
      </c>
      <c r="M41" s="46">
        <v>1124662000</v>
      </c>
      <c r="N41" s="47"/>
      <c r="O41" s="47"/>
      <c r="P41" s="47"/>
      <c r="Q41" s="47"/>
      <c r="R41" s="47"/>
    </row>
    <row r="42" spans="1:30" x14ac:dyDescent="0.4">
      <c r="A42" s="17" t="s">
        <v>1332</v>
      </c>
      <c r="B42" s="17" t="s">
        <v>1333</v>
      </c>
      <c r="C42" s="145">
        <f>(46859+112111+2021889-36041-172586-132575+30687+41788)*1000</f>
        <v>1912132000</v>
      </c>
      <c r="E42" s="145">
        <f>(-34325-179825-65979+13287+40394-152274+14958)*1000</f>
        <v>-363764000</v>
      </c>
      <c r="G42" s="46">
        <f>(-113665-66166-84705+136809+104242-166268-109349)*1000</f>
        <v>-299102000</v>
      </c>
      <c r="I42" s="46">
        <f>(7167+18188-35878-31935+7359-129543+30966)*1000</f>
        <v>-133676000</v>
      </c>
      <c r="K42" s="46">
        <f>(18724+35594-26590-58403+9908-103895+47976)*1000</f>
        <v>-76686000</v>
      </c>
      <c r="M42" s="46">
        <f>(-29208+18921+60424-10049-11857+74707+31923)*1000</f>
        <v>134861000</v>
      </c>
      <c r="N42" s="47"/>
      <c r="O42" s="47"/>
      <c r="P42" s="47"/>
      <c r="Q42" s="47" t="s">
        <v>1334</v>
      </c>
      <c r="R42" s="47"/>
    </row>
    <row r="43" spans="1:30" x14ac:dyDescent="0.4">
      <c r="A43" s="17" t="s">
        <v>1335</v>
      </c>
      <c r="B43" s="17" t="s">
        <v>1336</v>
      </c>
      <c r="C43" s="77">
        <f>604327*1000</f>
        <v>604327000</v>
      </c>
      <c r="E43" s="145">
        <v>535655000</v>
      </c>
      <c r="G43" s="46">
        <v>477977000</v>
      </c>
      <c r="I43" s="46">
        <v>429828000</v>
      </c>
      <c r="K43" s="46">
        <v>391456000</v>
      </c>
      <c r="M43" s="46">
        <v>361083000</v>
      </c>
      <c r="Q43" s="17" t="s">
        <v>1337</v>
      </c>
      <c r="S43" s="38">
        <f>ROUND(C21/C52,4)*100</f>
        <v>5.37</v>
      </c>
      <c r="T43" s="39" t="s">
        <v>1090</v>
      </c>
      <c r="U43" s="38">
        <f>ROUND(E21/E52,4)*100</f>
        <v>5.08</v>
      </c>
      <c r="V43" s="39" t="s">
        <v>1090</v>
      </c>
      <c r="W43" s="38">
        <f>ROUND(G21/G52,4)*100</f>
        <v>5.41</v>
      </c>
      <c r="X43" s="39" t="s">
        <v>1090</v>
      </c>
      <c r="Y43" s="38">
        <f>ROUND(I21/I52,4)*100</f>
        <v>4.8599999999999994</v>
      </c>
      <c r="Z43" s="39" t="s">
        <v>1090</v>
      </c>
      <c r="AA43" s="38">
        <f>ROUND(K21/K52,4)*100</f>
        <v>4.2700000000000005</v>
      </c>
      <c r="AB43" s="39" t="s">
        <v>1090</v>
      </c>
      <c r="AC43" s="38">
        <f>ROUND(AVERAGE(S43:AB43),2)</f>
        <v>5</v>
      </c>
      <c r="AD43" s="39" t="s">
        <v>1090</v>
      </c>
    </row>
    <row r="44" spans="1:30" x14ac:dyDescent="0.4">
      <c r="A44" s="17" t="s">
        <v>1338</v>
      </c>
      <c r="B44" s="17" t="s">
        <v>1339</v>
      </c>
      <c r="C44" s="77">
        <f>113779*1000</f>
        <v>113779000</v>
      </c>
      <c r="E44" s="147">
        <v>77510000</v>
      </c>
      <c r="G44" s="46">
        <v>153736000</v>
      </c>
      <c r="I44" s="46">
        <v>145353000</v>
      </c>
      <c r="K44" s="46">
        <v>138903000</v>
      </c>
      <c r="M44" s="46">
        <v>8080000</v>
      </c>
      <c r="Q44" s="17" t="s">
        <v>1340</v>
      </c>
      <c r="S44" s="38">
        <f>(ROUND((C52/(AVERAGE(C48,E48))*100),2))</f>
        <v>162.19999999999999</v>
      </c>
      <c r="U44" s="38">
        <f>(ROUND((E52/(AVERAGE(E48,G48))*100),2))</f>
        <v>174.46</v>
      </c>
      <c r="W44" s="38">
        <f>(ROUND((G52/(AVERAGE(G48,I48))*100),2))</f>
        <v>166.67</v>
      </c>
      <c r="Y44" s="38">
        <f>(ROUND((I52/(AVERAGE(I48,K48))*100),2))</f>
        <v>196.87</v>
      </c>
      <c r="AA44" s="38">
        <f>(ROUND((K52/(AVERAGE(K48,M48))*100),2))</f>
        <v>224.03</v>
      </c>
      <c r="AC44" s="38">
        <f>ROUND(AVERAGE(S44:AB44),2)</f>
        <v>184.85</v>
      </c>
    </row>
    <row r="45" spans="1:30" x14ac:dyDescent="0.4">
      <c r="G45" s="46"/>
      <c r="I45" s="46"/>
      <c r="K45" s="46"/>
      <c r="M45" s="46"/>
      <c r="Q45" s="17" t="s">
        <v>1341</v>
      </c>
      <c r="S45" s="38">
        <f>ROUND(((+C26/C52)*100),2)</f>
        <v>2.61</v>
      </c>
      <c r="U45" s="38">
        <f>ROUND(((+E26/E52)*100),2)</f>
        <v>2.46</v>
      </c>
      <c r="W45" s="38">
        <f>ROUND(((+G26/G52)*100),2)</f>
        <v>2.64</v>
      </c>
      <c r="Y45" s="38">
        <f>ROUND(((+I26/I52)*100),2)</f>
        <v>2.29</v>
      </c>
      <c r="AA45" s="38">
        <f>ROUND(((+K26/K52)*100),2)</f>
        <v>2.06</v>
      </c>
      <c r="AC45" s="38">
        <f>ROUND(AVERAGE(S45:AB45),2)</f>
        <v>2.41</v>
      </c>
    </row>
    <row r="46" spans="1:30" x14ac:dyDescent="0.4">
      <c r="A46" s="17" t="s">
        <v>1342</v>
      </c>
      <c r="G46" s="46"/>
      <c r="I46" s="46"/>
      <c r="K46" s="46"/>
      <c r="M46" s="46"/>
      <c r="Q46" s="17" t="s">
        <v>1343</v>
      </c>
      <c r="S46" s="38">
        <f>ROUND(((+C38/C34)*100),2)</f>
        <v>48.58</v>
      </c>
      <c r="U46" s="38">
        <f>ROUND(((+E38/E34)*100),2)</f>
        <v>48.54</v>
      </c>
      <c r="W46" s="38">
        <f>ROUND(((+G38/G34)*100),2)</f>
        <v>48.67</v>
      </c>
      <c r="Y46" s="38">
        <f>ROUND(((+I38/I34)*100),2)</f>
        <v>46.96</v>
      </c>
      <c r="AA46" s="38">
        <f>ROUND(((+K38/K34)*100),2)</f>
        <v>48.05</v>
      </c>
      <c r="AC46" s="38">
        <f>ROUND(AVERAGE(S46:AB46),2)</f>
        <v>48.16</v>
      </c>
    </row>
    <row r="47" spans="1:30" x14ac:dyDescent="0.4">
      <c r="G47" s="46"/>
      <c r="I47" s="46"/>
      <c r="K47" s="46"/>
      <c r="M47" s="46"/>
      <c r="S47" s="38"/>
      <c r="U47" s="38"/>
      <c r="W47" s="38"/>
      <c r="Y47" s="38"/>
      <c r="AA47" s="38"/>
      <c r="AC47" s="38"/>
    </row>
    <row r="48" spans="1:30" x14ac:dyDescent="0.4">
      <c r="A48" s="17" t="s">
        <v>1344</v>
      </c>
      <c r="B48" s="17" t="s">
        <v>1345</v>
      </c>
      <c r="C48" s="145">
        <f>C16/C15</f>
        <v>73.202641774179696</v>
      </c>
      <c r="E48" s="145">
        <f>E16/E15</f>
        <v>66.851088909896887</v>
      </c>
      <c r="G48" s="46">
        <f>G16/G15</f>
        <v>59.710796623289305</v>
      </c>
      <c r="I48" s="46">
        <f>I16/I15</f>
        <v>53.948755711249632</v>
      </c>
      <c r="K48" s="46">
        <f>K16/K15</f>
        <v>48.183968474661555</v>
      </c>
      <c r="M48" s="46">
        <f>M16/M15</f>
        <v>42.866838513829009</v>
      </c>
      <c r="N48" s="47"/>
      <c r="O48" s="47"/>
      <c r="P48" s="47"/>
      <c r="Q48" s="47" t="s">
        <v>1253</v>
      </c>
      <c r="R48" s="47"/>
      <c r="S48" s="38">
        <f>ROUND(((C34/AVERAGE(C16,E16))*100),2)</f>
        <v>8.73</v>
      </c>
      <c r="T48" s="17" t="s">
        <v>1090</v>
      </c>
      <c r="U48" s="38">
        <f>ROUND(((E34/AVERAGE(E16,G16))*100),2)</f>
        <v>8.94</v>
      </c>
      <c r="V48" s="17" t="s">
        <v>1090</v>
      </c>
      <c r="W48" s="38">
        <f>ROUND(((G34/AVERAGE(G16,I16))*100),2)</f>
        <v>9.06</v>
      </c>
      <c r="X48" s="17" t="s">
        <v>1090</v>
      </c>
      <c r="Y48" s="38">
        <f>ROUND(((I34/AVERAGE(I16,K16))*100),2)</f>
        <v>9.59</v>
      </c>
      <c r="Z48" s="17" t="s">
        <v>1090</v>
      </c>
      <c r="AA48" s="38">
        <f>ROUND(((K34/AVERAGE(K16,M16))*100),2)</f>
        <v>9.7200000000000006</v>
      </c>
      <c r="AB48" s="17" t="s">
        <v>1090</v>
      </c>
      <c r="AC48" s="38">
        <f>ROUND(AVERAGE(S48:AB48),2)</f>
        <v>9.2100000000000009</v>
      </c>
      <c r="AD48" s="17" t="s">
        <v>1090</v>
      </c>
    </row>
    <row r="49" spans="1:30" x14ac:dyDescent="0.4">
      <c r="G49" s="46"/>
      <c r="I49" s="46"/>
      <c r="K49" s="46"/>
      <c r="M49" s="46"/>
      <c r="S49" s="38"/>
      <c r="U49" s="38"/>
      <c r="W49" s="38"/>
      <c r="Y49" s="38"/>
      <c r="AA49" s="38"/>
      <c r="AC49" s="39"/>
    </row>
    <row r="50" spans="1:30" x14ac:dyDescent="0.4">
      <c r="A50" s="17" t="s">
        <v>1283</v>
      </c>
      <c r="B50" s="17" t="s">
        <v>1345</v>
      </c>
      <c r="C50" s="145">
        <f>SUM(C12:C13,C16:C17)</f>
        <v>17425765000</v>
      </c>
      <c r="E50" s="145">
        <f>SUM(E12:E13,E16:E17)</f>
        <v>15181195000</v>
      </c>
      <c r="G50" s="46">
        <f>SUM(G12:G13,G16:G17)</f>
        <v>13037546000</v>
      </c>
      <c r="I50" s="46">
        <f>SUM(I12:I13,I16:I17)</f>
        <v>11323147000</v>
      </c>
      <c r="K50" s="46">
        <f>SUM(K12:K13,K16:K17)</f>
        <v>9279675000</v>
      </c>
      <c r="M50" s="46">
        <f>SUM(M12:M13,M16:M17)</f>
        <v>7838616000</v>
      </c>
      <c r="N50" s="47"/>
      <c r="O50" s="47"/>
      <c r="P50" s="47"/>
      <c r="Q50" s="47" t="s">
        <v>1254</v>
      </c>
      <c r="R50" s="47"/>
      <c r="S50" s="38">
        <f>ROUND((C54/C62),2)</f>
        <v>3.96</v>
      </c>
      <c r="T50" s="39" t="s">
        <v>1255</v>
      </c>
      <c r="U50" s="38">
        <f>ROUND((E54/E62),2)</f>
        <v>3.99</v>
      </c>
      <c r="V50" s="39" t="s">
        <v>1255</v>
      </c>
      <c r="W50" s="38">
        <f>ROUND((G54/G62),2)</f>
        <v>3.72</v>
      </c>
      <c r="X50" s="39" t="s">
        <v>1255</v>
      </c>
      <c r="Y50" s="38">
        <f>ROUND((I54/I62),2)</f>
        <v>3.59</v>
      </c>
      <c r="Z50" s="39" t="s">
        <v>1255</v>
      </c>
      <c r="AA50" s="38">
        <f>ROUND((K54/K62),2)</f>
        <v>3.49</v>
      </c>
      <c r="AB50" s="39" t="s">
        <v>1255</v>
      </c>
      <c r="AC50" s="38">
        <f>ROUND(AVERAGE(S50:AB50),2)</f>
        <v>3.75</v>
      </c>
      <c r="AD50" s="17" t="s">
        <v>1255</v>
      </c>
    </row>
    <row r="51" spans="1:30" x14ac:dyDescent="0.4">
      <c r="G51" s="46"/>
      <c r="I51" s="46"/>
      <c r="K51" s="46"/>
      <c r="M51" s="46"/>
      <c r="N51" s="47"/>
      <c r="O51" s="47"/>
      <c r="P51" s="47"/>
      <c r="Q51" s="47"/>
      <c r="R51" s="47"/>
      <c r="S51" s="38"/>
      <c r="U51" s="38"/>
      <c r="W51" s="38"/>
      <c r="Y51" s="38"/>
      <c r="AA51" s="38"/>
      <c r="AC51" s="38"/>
    </row>
    <row r="52" spans="1:30" x14ac:dyDescent="0.4">
      <c r="A52" s="17" t="s">
        <v>121</v>
      </c>
      <c r="B52" s="17" t="s">
        <v>1345</v>
      </c>
      <c r="C52" s="145">
        <f>AVERAGE(C22:C23)</f>
        <v>113.58500000000001</v>
      </c>
      <c r="E52" s="145">
        <f>AVERAGE(E22:E23)</f>
        <v>110.4</v>
      </c>
      <c r="G52" s="46">
        <f>AVERAGE(G22:G23)</f>
        <v>94.72</v>
      </c>
      <c r="I52" s="46">
        <f>AVERAGE(I22:I23)</f>
        <v>100.535</v>
      </c>
      <c r="K52" s="46">
        <f>AVERAGE(K22:K23)</f>
        <v>101.99000000000001</v>
      </c>
      <c r="M52" s="46">
        <f>AVERAGE(M22:M23)</f>
        <v>86.4</v>
      </c>
      <c r="N52" s="47"/>
      <c r="O52" s="47"/>
      <c r="P52" s="47"/>
      <c r="Q52" s="47" t="s">
        <v>1256</v>
      </c>
      <c r="R52" s="47"/>
      <c r="S52" s="38">
        <f>ROUND(((C60/C54)*100),2)</f>
        <v>77.849999999999994</v>
      </c>
      <c r="T52" s="39" t="s">
        <v>1090</v>
      </c>
      <c r="U52" s="38">
        <f>ROUND(((E60/E54)*100),2)</f>
        <v>9.35</v>
      </c>
      <c r="V52" s="39" t="s">
        <v>1090</v>
      </c>
      <c r="W52" s="38">
        <f>ROUND(((G60/G54)*100),2)</f>
        <v>11.23</v>
      </c>
      <c r="X52" s="39" t="s">
        <v>1090</v>
      </c>
      <c r="Y52" s="38">
        <f>ROUND(((I60/I54)*100),2)</f>
        <v>19.25</v>
      </c>
      <c r="Z52" s="39" t="s">
        <v>1090</v>
      </c>
      <c r="AA52" s="38">
        <f>ROUND(((K60/K54)*100),2)</f>
        <v>21.86</v>
      </c>
      <c r="AB52" s="39" t="s">
        <v>1090</v>
      </c>
      <c r="AC52" s="38">
        <f>ROUND(AVERAGE(S52:AB52),2)</f>
        <v>27.91</v>
      </c>
      <c r="AD52" s="17" t="s">
        <v>1090</v>
      </c>
    </row>
    <row r="53" spans="1:30" x14ac:dyDescent="0.4">
      <c r="G53" s="46"/>
      <c r="I53" s="46"/>
      <c r="K53" s="46"/>
      <c r="M53" s="46"/>
      <c r="N53" s="50"/>
      <c r="O53" s="50"/>
      <c r="P53" s="50"/>
      <c r="Q53" s="50"/>
      <c r="R53" s="50"/>
      <c r="S53" s="38"/>
      <c r="U53" s="38"/>
      <c r="W53" s="38"/>
      <c r="Y53" s="38"/>
      <c r="AA53" s="38"/>
    </row>
    <row r="54" spans="1:30" x14ac:dyDescent="0.4">
      <c r="A54" s="17" t="s">
        <v>1250</v>
      </c>
      <c r="C54" s="149">
        <f>+C19+C12</f>
        <v>6797634000</v>
      </c>
      <c r="E54" s="149">
        <f>+E19+E12</f>
        <v>5947071000</v>
      </c>
      <c r="G54" s="78">
        <f>+G19+G12</f>
        <v>5130657000</v>
      </c>
      <c r="I54" s="78">
        <f>+I19+I12</f>
        <v>4531944000</v>
      </c>
      <c r="K54" s="78">
        <f>+K19+K12</f>
        <v>3994367000</v>
      </c>
      <c r="M54" s="78">
        <f>+M19+M12</f>
        <v>3644445000</v>
      </c>
      <c r="N54" s="50"/>
      <c r="O54" s="50"/>
      <c r="P54" s="50"/>
      <c r="Q54" s="50" t="s">
        <v>1257</v>
      </c>
      <c r="R54" s="50"/>
      <c r="S54" s="38">
        <f>S33</f>
        <v>38.47</v>
      </c>
      <c r="T54" s="39" t="s">
        <v>1090</v>
      </c>
      <c r="U54" s="38">
        <f>U33</f>
        <v>38.700000000000003</v>
      </c>
      <c r="V54" s="39" t="s">
        <v>1090</v>
      </c>
      <c r="W54" s="38">
        <f>W33</f>
        <v>39.35</v>
      </c>
      <c r="X54" s="39" t="s">
        <v>1090</v>
      </c>
      <c r="Y54" s="38">
        <f>Y33</f>
        <v>40.020000000000003</v>
      </c>
      <c r="Z54" s="39" t="s">
        <v>1090</v>
      </c>
      <c r="AA54" s="38">
        <f>AA33</f>
        <v>40.99</v>
      </c>
      <c r="AB54" s="39" t="s">
        <v>1090</v>
      </c>
      <c r="AC54" s="38">
        <f>ROUND(AVERAGE(S54:AB54),2)</f>
        <v>39.51</v>
      </c>
      <c r="AD54" s="39" t="s">
        <v>1090</v>
      </c>
    </row>
    <row r="55" spans="1:30" x14ac:dyDescent="0.4">
      <c r="G55" s="46"/>
      <c r="I55" s="46"/>
      <c r="K55" s="46"/>
      <c r="M55" s="46"/>
    </row>
    <row r="56" spans="1:30" x14ac:dyDescent="0.4">
      <c r="A56" s="17" t="s">
        <v>1346</v>
      </c>
      <c r="B56" s="17" t="s">
        <v>1345</v>
      </c>
      <c r="C56" s="145">
        <f>SUM(C50,C19)</f>
        <v>17667698000</v>
      </c>
      <c r="E56" s="145">
        <f>SUM(E50,E19)</f>
        <v>15366162000</v>
      </c>
      <c r="G56" s="46">
        <f>SUM(G50,G19)</f>
        <v>13037546000</v>
      </c>
      <c r="I56" s="46">
        <f>SUM(I50,I19)</f>
        <v>11323147000</v>
      </c>
      <c r="K56" s="46">
        <f>SUM(K50,K19)</f>
        <v>9744590000</v>
      </c>
      <c r="M56" s="46">
        <f>SUM(M50,M19)</f>
        <v>8414396000</v>
      </c>
    </row>
    <row r="57" spans="1:30" x14ac:dyDescent="0.4">
      <c r="G57" s="46"/>
      <c r="I57" s="46"/>
      <c r="K57" s="46"/>
      <c r="M57" s="46"/>
    </row>
    <row r="58" spans="1:30" x14ac:dyDescent="0.4">
      <c r="A58" s="17" t="s">
        <v>1347</v>
      </c>
      <c r="B58" s="17" t="s">
        <v>1345</v>
      </c>
      <c r="C58" s="145">
        <f>SUM(C13,C17)</f>
        <v>0</v>
      </c>
      <c r="E58" s="145">
        <f>SUM(E13,E17)</f>
        <v>0</v>
      </c>
      <c r="G58" s="46">
        <f>SUM(G13,G17)</f>
        <v>0</v>
      </c>
      <c r="I58" s="46">
        <f>SUM(I13,I17)</f>
        <v>0</v>
      </c>
      <c r="K58" s="46">
        <f>SUM(K13,K17)</f>
        <v>0</v>
      </c>
      <c r="M58" s="46">
        <f>SUM(M13,M17)</f>
        <v>0</v>
      </c>
    </row>
    <row r="59" spans="1:30" x14ac:dyDescent="0.4">
      <c r="G59" s="46"/>
      <c r="I59" s="46"/>
      <c r="K59" s="46"/>
      <c r="M59" s="46"/>
    </row>
    <row r="60" spans="1:30" x14ac:dyDescent="0.4">
      <c r="A60" s="19" t="s">
        <v>1258</v>
      </c>
      <c r="B60" s="17" t="s">
        <v>1345</v>
      </c>
      <c r="C60" s="145">
        <f>ROUND(C41+C42-C28,3)</f>
        <v>5292048000</v>
      </c>
      <c r="E60" s="145">
        <f>ROUND(E41+E42-E28,3)</f>
        <v>556162000</v>
      </c>
      <c r="G60" s="46">
        <f>ROUND(G41+G42-G28,3)</f>
        <v>576219652</v>
      </c>
      <c r="I60" s="46">
        <f>ROUND(I41+I42-I28,3)</f>
        <v>872394000</v>
      </c>
      <c r="K60" s="46">
        <f>ROUND(K41+K42-K28,3)</f>
        <v>873275000</v>
      </c>
      <c r="M60" s="46">
        <f>ROUND(M41+M42-M28,3)</f>
        <v>1252723000</v>
      </c>
    </row>
    <row r="61" spans="1:30" x14ac:dyDescent="0.4">
      <c r="A61" s="19"/>
      <c r="G61" s="46"/>
      <c r="I61" s="46"/>
      <c r="K61" s="46"/>
      <c r="M61" s="46"/>
    </row>
    <row r="62" spans="1:30" x14ac:dyDescent="0.4">
      <c r="A62" s="17" t="s">
        <v>1160</v>
      </c>
      <c r="B62" s="17" t="s">
        <v>1345</v>
      </c>
      <c r="C62" s="145">
        <f>C40+C44+C43+C30</f>
        <v>1717747000</v>
      </c>
      <c r="E62" s="145">
        <f>E40+E44+E43+E30</f>
        <v>1490374000</v>
      </c>
      <c r="G62" s="46">
        <f>G40+G44+G43+G30</f>
        <v>1380830000</v>
      </c>
      <c r="I62" s="46">
        <f>I40+I44+I43+I30</f>
        <v>1261098000</v>
      </c>
      <c r="K62" s="46">
        <f>K40+K44+K43+K30</f>
        <v>1144918000</v>
      </c>
      <c r="M62" s="46">
        <f>M40+M44+M43+M30</f>
        <v>1078873000</v>
      </c>
    </row>
    <row r="63" spans="1:30" x14ac:dyDescent="0.4">
      <c r="K63" s="45"/>
      <c r="L63" s="45"/>
      <c r="M63" s="45"/>
    </row>
    <row r="64" spans="1:30" x14ac:dyDescent="0.4">
      <c r="K64" s="45"/>
      <c r="L64" s="45"/>
      <c r="M64" s="45"/>
    </row>
    <row r="71" spans="11:13" x14ac:dyDescent="0.4">
      <c r="K71" s="45"/>
      <c r="L71" s="45"/>
      <c r="M71" s="45"/>
    </row>
    <row r="81" spans="11:223" x14ac:dyDescent="0.4">
      <c r="HK81" s="51"/>
      <c r="HL81" s="51"/>
      <c r="HO81" s="17" t="s">
        <v>1348</v>
      </c>
    </row>
    <row r="94" spans="11:223" x14ac:dyDescent="0.4">
      <c r="K94" s="45"/>
      <c r="L94" s="45"/>
      <c r="M94" s="45"/>
    </row>
    <row r="95" spans="11:223" x14ac:dyDescent="0.4">
      <c r="K95" s="45"/>
      <c r="L95" s="45"/>
      <c r="M95" s="45"/>
    </row>
    <row r="96" spans="11:223" x14ac:dyDescent="0.4">
      <c r="K96" s="45"/>
      <c r="L96" s="45"/>
      <c r="M96" s="45"/>
    </row>
    <row r="97" spans="11:13" x14ac:dyDescent="0.4">
      <c r="K97" s="45"/>
      <c r="L97" s="45"/>
      <c r="M97" s="45"/>
    </row>
    <row r="98" spans="11:13" x14ac:dyDescent="0.4">
      <c r="K98" s="45"/>
      <c r="L98" s="45"/>
      <c r="M98" s="45"/>
    </row>
    <row r="99" spans="11:13" x14ac:dyDescent="0.4">
      <c r="K99" s="45"/>
      <c r="L99" s="45"/>
      <c r="M99" s="45"/>
    </row>
    <row r="100" spans="11:13" x14ac:dyDescent="0.4">
      <c r="K100" s="45"/>
      <c r="L100" s="45"/>
      <c r="M100" s="45"/>
    </row>
    <row r="101" spans="11:13" x14ac:dyDescent="0.4">
      <c r="K101" s="45"/>
      <c r="L101" s="45"/>
      <c r="M101" s="45"/>
    </row>
    <row r="102" spans="11:13" x14ac:dyDescent="0.4">
      <c r="K102" s="45"/>
      <c r="L102" s="45"/>
      <c r="M102" s="45"/>
    </row>
    <row r="103" spans="11:13" x14ac:dyDescent="0.4">
      <c r="K103" s="45"/>
      <c r="L103" s="45"/>
      <c r="M103" s="45"/>
    </row>
    <row r="104" spans="11:13" x14ac:dyDescent="0.4">
      <c r="K104" s="45"/>
      <c r="L104" s="45"/>
      <c r="M104" s="45"/>
    </row>
    <row r="105" spans="11:13" x14ac:dyDescent="0.4">
      <c r="K105" s="45"/>
      <c r="L105" s="45"/>
      <c r="M105" s="45"/>
    </row>
    <row r="106" spans="11:13" x14ac:dyDescent="0.4">
      <c r="K106" s="45"/>
      <c r="L106" s="45"/>
      <c r="M106" s="45"/>
    </row>
    <row r="107" spans="11:13" x14ac:dyDescent="0.4">
      <c r="K107" s="45"/>
      <c r="L107" s="45"/>
      <c r="M107" s="45"/>
    </row>
    <row r="108" spans="11:13" x14ac:dyDescent="0.4">
      <c r="K108" s="45"/>
      <c r="L108" s="45"/>
      <c r="M108" s="45"/>
    </row>
    <row r="109" spans="11:13" x14ac:dyDescent="0.4">
      <c r="K109" s="45"/>
      <c r="L109" s="45"/>
      <c r="M109" s="45"/>
    </row>
    <row r="110" spans="11:13" x14ac:dyDescent="0.4">
      <c r="K110" s="45"/>
      <c r="L110" s="45"/>
      <c r="M110" s="45"/>
    </row>
    <row r="111" spans="11:13" x14ac:dyDescent="0.4">
      <c r="K111" s="45"/>
      <c r="L111" s="45"/>
      <c r="M111" s="45"/>
    </row>
    <row r="112" spans="11:13" x14ac:dyDescent="0.4">
      <c r="K112" s="45"/>
      <c r="L112" s="45"/>
      <c r="M112" s="45"/>
    </row>
    <row r="113" spans="11:13" x14ac:dyDescent="0.4">
      <c r="K113" s="45"/>
      <c r="L113" s="45"/>
      <c r="M113" s="45"/>
    </row>
    <row r="114" spans="11:13" x14ac:dyDescent="0.4">
      <c r="K114" s="45"/>
      <c r="L114" s="45"/>
      <c r="M114" s="45"/>
    </row>
    <row r="115" spans="11:13" x14ac:dyDescent="0.4">
      <c r="K115" s="45"/>
      <c r="L115" s="45"/>
      <c r="M115" s="45"/>
    </row>
    <row r="116" spans="11:13" x14ac:dyDescent="0.4">
      <c r="K116" s="45"/>
      <c r="L116" s="45"/>
      <c r="M116" s="45"/>
    </row>
    <row r="117" spans="11:13" x14ac:dyDescent="0.4">
      <c r="K117" s="45"/>
      <c r="L117" s="45"/>
      <c r="M117" s="45"/>
    </row>
    <row r="118" spans="11:13" x14ac:dyDescent="0.4">
      <c r="K118" s="45"/>
      <c r="L118" s="45"/>
      <c r="M118" s="45"/>
    </row>
    <row r="119" spans="11:13" x14ac:dyDescent="0.4">
      <c r="K119" s="45"/>
      <c r="L119" s="45"/>
      <c r="M119" s="45"/>
    </row>
    <row r="120" spans="11:13" x14ac:dyDescent="0.4">
      <c r="K120" s="45"/>
      <c r="L120" s="45"/>
      <c r="M120" s="45"/>
    </row>
    <row r="121" spans="11:13" x14ac:dyDescent="0.4">
      <c r="K121" s="45"/>
      <c r="L121" s="45"/>
      <c r="M121" s="45"/>
    </row>
    <row r="122" spans="11:13" x14ac:dyDescent="0.4">
      <c r="K122" s="45"/>
      <c r="L122" s="45"/>
      <c r="M122" s="45"/>
    </row>
    <row r="123" spans="11:13" x14ac:dyDescent="0.4">
      <c r="K123" s="45"/>
      <c r="L123" s="45"/>
      <c r="M123" s="45"/>
    </row>
    <row r="124" spans="11:13" x14ac:dyDescent="0.4">
      <c r="K124" s="45"/>
      <c r="L124" s="45"/>
      <c r="M124" s="45"/>
    </row>
    <row r="125" spans="11:13" x14ac:dyDescent="0.4">
      <c r="K125" s="45"/>
      <c r="L125" s="45"/>
      <c r="M125" s="45"/>
    </row>
    <row r="126" spans="11:13" x14ac:dyDescent="0.4">
      <c r="K126" s="45"/>
      <c r="L126" s="45"/>
      <c r="M126" s="45"/>
    </row>
    <row r="127" spans="11:13" x14ac:dyDescent="0.4">
      <c r="K127" s="45"/>
      <c r="L127" s="45"/>
      <c r="M127" s="45"/>
    </row>
    <row r="128" spans="11:13" x14ac:dyDescent="0.4">
      <c r="K128" s="45"/>
      <c r="L128" s="45"/>
      <c r="M128" s="45"/>
    </row>
    <row r="129" spans="11:13" x14ac:dyDescent="0.4">
      <c r="K129" s="45"/>
      <c r="L129" s="45"/>
      <c r="M129" s="45"/>
    </row>
    <row r="130" spans="11:13" x14ac:dyDescent="0.4">
      <c r="K130" s="45"/>
      <c r="L130" s="45"/>
      <c r="M130" s="45"/>
    </row>
    <row r="131" spans="11:13" x14ac:dyDescent="0.4">
      <c r="K131" s="45"/>
      <c r="L131" s="45"/>
      <c r="M131" s="45"/>
    </row>
    <row r="132" spans="11:13" x14ac:dyDescent="0.4">
      <c r="K132" s="45"/>
      <c r="L132" s="45"/>
      <c r="M132" s="45"/>
    </row>
    <row r="133" spans="11:13" x14ac:dyDescent="0.4">
      <c r="K133" s="45"/>
      <c r="L133" s="45"/>
      <c r="M133" s="45"/>
    </row>
    <row r="134" spans="11:13" x14ac:dyDescent="0.4">
      <c r="K134" s="45"/>
      <c r="L134" s="45"/>
      <c r="M134" s="45"/>
    </row>
    <row r="135" spans="11:13" x14ac:dyDescent="0.4">
      <c r="K135" s="45"/>
      <c r="L135" s="45"/>
      <c r="M135" s="45"/>
    </row>
    <row r="136" spans="11:13" x14ac:dyDescent="0.4">
      <c r="K136" s="45"/>
      <c r="L136" s="45"/>
      <c r="M136" s="45"/>
    </row>
    <row r="137" spans="11:13" x14ac:dyDescent="0.4">
      <c r="K137" s="45"/>
      <c r="L137" s="45"/>
      <c r="M137" s="45"/>
    </row>
    <row r="138" spans="11:13" x14ac:dyDescent="0.4">
      <c r="K138" s="45"/>
      <c r="L138" s="45"/>
      <c r="M138" s="45"/>
    </row>
    <row r="139" spans="11:13" x14ac:dyDescent="0.4">
      <c r="K139" s="45"/>
      <c r="L139" s="45"/>
      <c r="M139" s="45"/>
    </row>
    <row r="140" spans="11:13" x14ac:dyDescent="0.4">
      <c r="K140" s="45"/>
      <c r="L140" s="45"/>
      <c r="M140" s="45"/>
    </row>
    <row r="141" spans="11:13" x14ac:dyDescent="0.4">
      <c r="K141" s="45"/>
      <c r="L141" s="45"/>
      <c r="M141" s="45"/>
    </row>
    <row r="142" spans="11:13" x14ac:dyDescent="0.4">
      <c r="K142" s="45"/>
      <c r="L142" s="45"/>
      <c r="M142" s="45"/>
    </row>
    <row r="143" spans="11:13" x14ac:dyDescent="0.4">
      <c r="K143" s="45"/>
      <c r="L143" s="45"/>
      <c r="M143" s="45"/>
    </row>
    <row r="144" spans="11:13" x14ac:dyDescent="0.4">
      <c r="K144" s="45"/>
      <c r="L144" s="45"/>
      <c r="M144" s="45"/>
    </row>
    <row r="145" spans="11:13" x14ac:dyDescent="0.4">
      <c r="K145" s="45"/>
      <c r="L145" s="45"/>
      <c r="M145" s="45"/>
    </row>
    <row r="146" spans="11:13" x14ac:dyDescent="0.4">
      <c r="K146" s="45"/>
      <c r="L146" s="45"/>
      <c r="M146" s="45"/>
    </row>
    <row r="147" spans="11:13" x14ac:dyDescent="0.4">
      <c r="K147" s="45"/>
      <c r="L147" s="45"/>
      <c r="M147" s="45"/>
    </row>
    <row r="148" spans="11:13" x14ac:dyDescent="0.4">
      <c r="K148" s="45"/>
      <c r="L148" s="45"/>
      <c r="M148" s="45"/>
    </row>
    <row r="149" spans="11:13" x14ac:dyDescent="0.4">
      <c r="K149" s="45"/>
      <c r="L149" s="45"/>
      <c r="M149" s="45"/>
    </row>
    <row r="150" spans="11:13" x14ac:dyDescent="0.4">
      <c r="K150" s="45"/>
      <c r="L150" s="45"/>
      <c r="M150" s="45"/>
    </row>
    <row r="151" spans="11:13" x14ac:dyDescent="0.4">
      <c r="K151" s="45"/>
      <c r="L151" s="45"/>
      <c r="M151" s="45"/>
    </row>
    <row r="152" spans="11:13" x14ac:dyDescent="0.4">
      <c r="K152" s="45"/>
      <c r="L152" s="45"/>
      <c r="M152" s="45"/>
    </row>
    <row r="153" spans="11:13" x14ac:dyDescent="0.4">
      <c r="K153" s="45"/>
      <c r="L153" s="45"/>
      <c r="M153" s="45"/>
    </row>
    <row r="154" spans="11:13" x14ac:dyDescent="0.4">
      <c r="K154" s="45"/>
      <c r="L154" s="45"/>
      <c r="M154" s="45"/>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1ED2-9FE5-415A-A01D-E7DBDABFABB3}">
  <sheetPr codeName="Sheet64">
    <pageSetUpPr fitToPage="1"/>
  </sheetPr>
  <dimension ref="A1:HO15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16.15625" style="17" customWidth="1"/>
    <col min="4" max="4" width="2.15625" style="17" customWidth="1"/>
    <col min="5" max="5" width="16.15625" style="17" customWidth="1"/>
    <col min="6" max="6" width="2.15625" style="17" customWidth="1"/>
    <col min="7" max="7" width="17.7890625" style="17" customWidth="1"/>
    <col min="8" max="8" width="2.15625" style="17" customWidth="1"/>
    <col min="9" max="9" width="18.5234375" style="17" customWidth="1"/>
    <col min="10" max="10" width="1.7890625" style="17" customWidth="1"/>
    <col min="11" max="11" width="18.5234375" style="17" customWidth="1"/>
    <col min="12" max="12" width="2" style="17" customWidth="1"/>
    <col min="13" max="13" width="18.5234375" style="17" customWidth="1"/>
    <col min="14" max="16" width="3.15625" style="17" customWidth="1"/>
    <col min="17" max="17" width="53.15625" style="17" bestFit="1" customWidth="1"/>
    <col min="18" max="18" width="3.15625" style="17" customWidth="1"/>
    <col min="19" max="19" width="14.7890625" style="17" customWidth="1"/>
    <col min="20" max="20" width="3" style="17" customWidth="1"/>
    <col min="21" max="21" width="14.7890625" style="17" customWidth="1"/>
    <col min="22" max="22" width="3" style="17" customWidth="1"/>
    <col min="23" max="23" width="14.7890625" style="17" customWidth="1"/>
    <col min="24" max="24" width="3" style="17" customWidth="1"/>
    <col min="25" max="25" width="11" style="17" bestFit="1" customWidth="1"/>
    <col min="26" max="26" width="2.5234375" style="17" bestFit="1" customWidth="1"/>
    <col min="27" max="27" width="11" style="17" bestFit="1" customWidth="1"/>
    <col min="28" max="28" width="2.5234375" style="17" customWidth="1"/>
    <col min="29" max="29" width="10.5234375" style="17" customWidth="1"/>
    <col min="30" max="30" width="2.5234375" style="17" customWidth="1"/>
    <col min="31" max="31" width="9.15625" style="17"/>
    <col min="32" max="32" width="4.47265625" style="17" customWidth="1"/>
    <col min="33" max="33" width="3.5234375" style="17" customWidth="1"/>
    <col min="34" max="34" width="22.15625" style="17" customWidth="1"/>
    <col min="35" max="16384" width="9.15625" style="17"/>
  </cols>
  <sheetData>
    <row r="1" spans="1:29" ht="16.5" customHeight="1" x14ac:dyDescent="0.4">
      <c r="A1" s="33"/>
    </row>
    <row r="2" spans="1:29" ht="16.5" customHeight="1" x14ac:dyDescent="0.4">
      <c r="A2" s="33"/>
    </row>
    <row r="3" spans="1:29" ht="16.5" customHeight="1" x14ac:dyDescent="0.45">
      <c r="A3" s="33"/>
      <c r="G3" s="150"/>
    </row>
    <row r="4" spans="1:29" ht="16.5" customHeight="1" thickBot="1" x14ac:dyDescent="0.5">
      <c r="A4" s="33"/>
      <c r="G4" s="150"/>
    </row>
    <row r="5" spans="1:29" ht="15" x14ac:dyDescent="0.85">
      <c r="A5" s="151" t="s">
        <v>1287</v>
      </c>
    </row>
    <row r="6" spans="1:29" ht="14.7" thickBot="1" x14ac:dyDescent="0.6">
      <c r="A6" s="152" t="s">
        <v>2861</v>
      </c>
      <c r="G6" s="1483" t="s">
        <v>2887</v>
      </c>
      <c r="H6" s="1484"/>
      <c r="I6" s="1484"/>
      <c r="J6" s="1484"/>
      <c r="K6" s="1484"/>
      <c r="L6" s="1484"/>
      <c r="M6" s="1484"/>
      <c r="N6" s="43"/>
      <c r="O6" s="43"/>
      <c r="P6" s="43"/>
      <c r="Q6" s="43" t="str">
        <f>G6</f>
        <v>New Jersey Resources</v>
      </c>
      <c r="R6" s="43"/>
      <c r="S6" s="43"/>
      <c r="T6" s="34"/>
      <c r="U6" s="43"/>
      <c r="V6" s="34"/>
      <c r="W6" s="43"/>
      <c r="X6" s="34"/>
      <c r="Y6" s="34"/>
      <c r="Z6" s="44"/>
      <c r="AA6" s="34"/>
      <c r="AB6" s="34"/>
      <c r="AC6" s="34"/>
    </row>
    <row r="7" spans="1:29" ht="14.4" x14ac:dyDescent="0.55000000000000004">
      <c r="G7" s="1483" t="s">
        <v>1282</v>
      </c>
      <c r="H7" s="1484"/>
      <c r="I7" s="1484"/>
      <c r="J7" s="1484"/>
      <c r="K7" s="1484"/>
      <c r="L7" s="1484"/>
      <c r="M7" s="1484"/>
      <c r="N7" s="34"/>
      <c r="O7" s="34"/>
      <c r="P7" s="34"/>
      <c r="Q7" s="34" t="str">
        <f>G7</f>
        <v>CAPITALIZATION AND FINANCIAL STATISTICS  (1)</v>
      </c>
      <c r="R7" s="34"/>
      <c r="S7" s="34"/>
      <c r="T7" s="34"/>
      <c r="U7" s="34"/>
      <c r="V7" s="34"/>
      <c r="W7" s="34"/>
      <c r="X7" s="34"/>
      <c r="Y7" s="34"/>
      <c r="Z7" s="34"/>
      <c r="AA7" s="34"/>
      <c r="AB7" s="34"/>
      <c r="AC7" s="34"/>
    </row>
    <row r="8" spans="1:29" ht="14.4" x14ac:dyDescent="0.55000000000000004">
      <c r="G8" s="1483" t="s">
        <v>2888</v>
      </c>
      <c r="H8" s="1484"/>
      <c r="I8" s="1484"/>
      <c r="J8" s="1484"/>
      <c r="K8" s="1484"/>
      <c r="L8" s="1484"/>
      <c r="M8" s="1484"/>
      <c r="N8" s="44"/>
      <c r="O8" s="44"/>
      <c r="P8" s="44"/>
      <c r="Q8" s="44" t="str">
        <f>G8</f>
        <v>2018 - 2023, Inclusive</v>
      </c>
      <c r="R8" s="44"/>
      <c r="S8" s="44"/>
      <c r="T8" s="34"/>
      <c r="U8" s="44"/>
      <c r="V8" s="34"/>
      <c r="W8" s="44"/>
      <c r="X8" s="34"/>
      <c r="Y8" s="34"/>
      <c r="Z8" s="44"/>
      <c r="AA8" s="34"/>
      <c r="AB8" s="34"/>
      <c r="AC8" s="34"/>
    </row>
    <row r="9" spans="1:29" x14ac:dyDescent="0.4">
      <c r="N9" s="34"/>
      <c r="O9" s="34"/>
      <c r="P9" s="34"/>
      <c r="Q9" s="34"/>
      <c r="R9" s="34"/>
      <c r="S9" s="34"/>
      <c r="T9" s="34"/>
      <c r="U9" s="34"/>
      <c r="V9" s="34"/>
      <c r="W9" s="34"/>
      <c r="X9" s="34"/>
      <c r="Y9" s="44"/>
      <c r="Z9" s="44"/>
      <c r="AA9" s="34"/>
      <c r="AB9" s="34"/>
      <c r="AC9" s="34"/>
    </row>
    <row r="10" spans="1:29" x14ac:dyDescent="0.4">
      <c r="B10" s="17" t="s">
        <v>2889</v>
      </c>
      <c r="C10" s="40">
        <v>2023</v>
      </c>
      <c r="E10" s="40">
        <v>2022</v>
      </c>
      <c r="G10" s="40">
        <v>2021</v>
      </c>
      <c r="I10" s="40">
        <v>2020</v>
      </c>
      <c r="K10" s="40">
        <v>2019</v>
      </c>
      <c r="M10" s="40">
        <v>2018</v>
      </c>
      <c r="Y10" s="44"/>
      <c r="Z10" s="44"/>
      <c r="AA10" s="34"/>
      <c r="AB10" s="34"/>
    </row>
    <row r="11" spans="1:29" x14ac:dyDescent="0.4">
      <c r="A11" s="17" t="s">
        <v>1288</v>
      </c>
    </row>
    <row r="12" spans="1:29" x14ac:dyDescent="0.4">
      <c r="A12" s="17" t="s">
        <v>1289</v>
      </c>
      <c r="B12" s="17" t="s">
        <v>1290</v>
      </c>
      <c r="C12" s="147">
        <f>(2768017+116155)*1000</f>
        <v>2884172000</v>
      </c>
      <c r="E12" s="147">
        <f>2485402000+75069000</f>
        <v>2560471000</v>
      </c>
      <c r="G12" s="77">
        <f>2162164000+72840000</f>
        <v>2235004000</v>
      </c>
      <c r="I12" s="77">
        <f>2259466000+27236000</f>
        <v>2286702000</v>
      </c>
      <c r="K12" s="46">
        <f>1537177000+21419000</f>
        <v>1558596000</v>
      </c>
      <c r="M12" s="46">
        <f>1180619000+123545000</f>
        <v>1304164000</v>
      </c>
      <c r="S12" s="40">
        <f>C10</f>
        <v>2023</v>
      </c>
      <c r="U12" s="40">
        <f>E10</f>
        <v>2022</v>
      </c>
      <c r="W12" s="40">
        <f>G10</f>
        <v>2021</v>
      </c>
      <c r="Y12" s="40">
        <f>I10</f>
        <v>2020</v>
      </c>
      <c r="Z12" s="40"/>
      <c r="AA12" s="40">
        <f>K10</f>
        <v>2019</v>
      </c>
      <c r="AB12" s="40"/>
    </row>
    <row r="13" spans="1:29" ht="14.65" customHeight="1" x14ac:dyDescent="0.4">
      <c r="A13" s="17" t="s">
        <v>1291</v>
      </c>
      <c r="B13" s="17" t="s">
        <v>1292</v>
      </c>
      <c r="C13" s="46">
        <v>0</v>
      </c>
      <c r="E13" s="46">
        <v>0</v>
      </c>
      <c r="G13" s="46">
        <v>0</v>
      </c>
      <c r="I13" s="46">
        <v>0</v>
      </c>
      <c r="K13" s="46">
        <v>0</v>
      </c>
      <c r="M13" s="46">
        <v>0</v>
      </c>
      <c r="Y13" s="18" t="s">
        <v>1247</v>
      </c>
      <c r="Z13" s="18"/>
      <c r="AA13" s="18"/>
      <c r="AB13" s="34"/>
      <c r="AC13" s="34" t="s">
        <v>1091</v>
      </c>
    </row>
    <row r="14" spans="1:29" x14ac:dyDescent="0.4">
      <c r="G14" s="46"/>
      <c r="I14" s="46"/>
      <c r="K14" s="46"/>
      <c r="M14" s="46"/>
      <c r="N14" s="47"/>
      <c r="O14" s="47"/>
      <c r="P14" s="47"/>
      <c r="Q14" s="47" t="s">
        <v>1248</v>
      </c>
      <c r="R14" s="47"/>
      <c r="S14" s="47"/>
      <c r="T14" s="47"/>
      <c r="U14" s="47"/>
      <c r="V14" s="47"/>
      <c r="W14" s="47"/>
      <c r="X14" s="47"/>
    </row>
    <row r="15" spans="1:29" x14ac:dyDescent="0.4">
      <c r="A15" s="17" t="s">
        <v>1293</v>
      </c>
      <c r="B15" s="17" t="s">
        <v>1294</v>
      </c>
      <c r="C15" s="147">
        <v>97584455</v>
      </c>
      <c r="E15" s="147">
        <v>96249859</v>
      </c>
      <c r="G15" s="77">
        <v>95709662</v>
      </c>
      <c r="I15" s="77">
        <v>95949183</v>
      </c>
      <c r="K15" s="46">
        <f>89998788-660734</f>
        <v>89338054</v>
      </c>
      <c r="M15" s="46">
        <f>88292956-2185013</f>
        <v>86107943</v>
      </c>
    </row>
    <row r="16" spans="1:29" x14ac:dyDescent="0.4">
      <c r="A16" s="17" t="s">
        <v>1239</v>
      </c>
      <c r="B16" s="17" t="s">
        <v>1295</v>
      </c>
      <c r="C16" s="147">
        <f>1990735*1000</f>
        <v>1990735000</v>
      </c>
      <c r="E16" s="147">
        <v>1817210000</v>
      </c>
      <c r="G16" s="77">
        <v>1630862000</v>
      </c>
      <c r="I16" s="77">
        <v>1844692000</v>
      </c>
      <c r="K16" s="46">
        <v>1551717000</v>
      </c>
      <c r="M16" s="46">
        <v>1418978000</v>
      </c>
      <c r="N16" s="47"/>
      <c r="O16" s="47"/>
      <c r="P16" s="47"/>
      <c r="Q16" s="47" t="s">
        <v>1249</v>
      </c>
      <c r="R16" s="47"/>
      <c r="S16" s="47"/>
      <c r="T16" s="47"/>
      <c r="U16" s="47"/>
      <c r="V16" s="47"/>
      <c r="W16" s="47"/>
      <c r="X16" s="47"/>
    </row>
    <row r="17" spans="1:30" x14ac:dyDescent="0.4">
      <c r="A17" s="17" t="s">
        <v>1296</v>
      </c>
      <c r="B17" s="17" t="s">
        <v>1294</v>
      </c>
      <c r="C17" s="46">
        <v>0</v>
      </c>
      <c r="E17" s="46">
        <v>0</v>
      </c>
      <c r="G17" s="46">
        <v>0</v>
      </c>
      <c r="I17" s="46">
        <v>0</v>
      </c>
      <c r="K17" s="46">
        <v>0</v>
      </c>
      <c r="M17" s="46">
        <v>0</v>
      </c>
      <c r="Q17" s="17" t="s">
        <v>1297</v>
      </c>
      <c r="S17" s="35">
        <f>C50/1000000</f>
        <v>4874.9070000000002</v>
      </c>
      <c r="T17" s="35"/>
      <c r="U17" s="35">
        <f>E50/1000000</f>
        <v>4377.6809999999996</v>
      </c>
      <c r="V17" s="35"/>
      <c r="W17" s="35">
        <f>G50/1000000</f>
        <v>3865.866</v>
      </c>
      <c r="X17" s="35"/>
      <c r="Y17" s="35">
        <f>I50/1000000</f>
        <v>4131.3940000000002</v>
      </c>
      <c r="Z17" s="35"/>
      <c r="AA17" s="35">
        <f>K50/1000000</f>
        <v>3110.3130000000001</v>
      </c>
      <c r="AB17" s="35"/>
    </row>
    <row r="18" spans="1:30" x14ac:dyDescent="0.4">
      <c r="G18" s="46"/>
      <c r="I18" s="46"/>
      <c r="K18" s="46"/>
      <c r="M18" s="46"/>
      <c r="Q18" s="17" t="s">
        <v>1298</v>
      </c>
      <c r="S18" s="36">
        <f>C19/1000000</f>
        <v>252.1</v>
      </c>
      <c r="T18" s="35"/>
      <c r="U18" s="36">
        <f>E19/1000000</f>
        <v>423.95</v>
      </c>
      <c r="V18" s="35"/>
      <c r="W18" s="36">
        <f>G19/1000000</f>
        <v>377.3</v>
      </c>
      <c r="X18" s="35"/>
      <c r="Y18" s="36">
        <f>I19/1000000</f>
        <v>125.35</v>
      </c>
      <c r="Z18" s="35"/>
      <c r="AA18" s="36">
        <f>K19/1000000</f>
        <v>25.45</v>
      </c>
      <c r="AB18" s="35"/>
    </row>
    <row r="19" spans="1:30" x14ac:dyDescent="0.4">
      <c r="A19" s="17" t="s">
        <v>1299</v>
      </c>
      <c r="B19" s="17" t="s">
        <v>1300</v>
      </c>
      <c r="C19" s="77">
        <f>(252100)*1000</f>
        <v>252100000</v>
      </c>
      <c r="E19" s="77">
        <v>423950000</v>
      </c>
      <c r="G19" s="77">
        <v>377300000</v>
      </c>
      <c r="I19" s="77">
        <v>125350000</v>
      </c>
      <c r="K19" s="46">
        <v>25450000</v>
      </c>
      <c r="M19" s="46">
        <v>151950000</v>
      </c>
      <c r="Q19" s="17" t="s">
        <v>1301</v>
      </c>
      <c r="S19" s="37">
        <f>SUM(S17:S18)</f>
        <v>5127.0070000000005</v>
      </c>
      <c r="T19" s="35"/>
      <c r="U19" s="37">
        <f>SUM(U17:U18)</f>
        <v>4801.6309999999994</v>
      </c>
      <c r="V19" s="35"/>
      <c r="W19" s="37">
        <f>SUM(W17:W18)</f>
        <v>4243.1660000000002</v>
      </c>
      <c r="X19" s="35"/>
      <c r="Y19" s="37">
        <f>SUM(Y17:Y18)</f>
        <v>4256.7440000000006</v>
      </c>
      <c r="Z19" s="35"/>
      <c r="AA19" s="37">
        <f>SUM(AA17:AA18)</f>
        <v>3135.7629999999999</v>
      </c>
      <c r="AB19" s="35"/>
    </row>
    <row r="20" spans="1:30" x14ac:dyDescent="0.4">
      <c r="G20" s="46"/>
      <c r="I20" s="46"/>
      <c r="K20" s="46"/>
      <c r="M20" s="46"/>
    </row>
    <row r="21" spans="1:30" x14ac:dyDescent="0.4">
      <c r="A21" s="17" t="s">
        <v>1302</v>
      </c>
      <c r="B21" s="17" t="s">
        <v>1303</v>
      </c>
      <c r="C21" s="46">
        <v>2.71</v>
      </c>
      <c r="E21" s="46">
        <v>2.85</v>
      </c>
      <c r="G21" s="46">
        <v>1.22</v>
      </c>
      <c r="I21" s="46">
        <v>2.04</v>
      </c>
      <c r="K21" s="46">
        <v>1.89</v>
      </c>
      <c r="M21" s="46">
        <v>2.64</v>
      </c>
      <c r="N21" s="47"/>
      <c r="O21" s="47"/>
      <c r="P21" s="47"/>
      <c r="Q21" s="47" t="s">
        <v>1304</v>
      </c>
      <c r="R21" s="47"/>
    </row>
    <row r="22" spans="1:30" x14ac:dyDescent="0.4">
      <c r="A22" s="17" t="s">
        <v>1305</v>
      </c>
      <c r="B22" s="17" t="s">
        <v>79</v>
      </c>
      <c r="C22" s="17">
        <v>55.46</v>
      </c>
      <c r="E22" s="17">
        <v>50.71</v>
      </c>
      <c r="G22" s="17">
        <v>44.15</v>
      </c>
      <c r="I22" s="46">
        <v>45.46</v>
      </c>
      <c r="K22" s="46">
        <v>51.13</v>
      </c>
      <c r="M22" s="46">
        <v>47.55</v>
      </c>
      <c r="Q22" s="17" t="s">
        <v>1306</v>
      </c>
      <c r="S22" s="38">
        <f>(ROUND((C30/(AVERAGE(C54,E54))*100),2))</f>
        <v>4.0199999999999996</v>
      </c>
      <c r="T22" s="39" t="s">
        <v>1090</v>
      </c>
      <c r="U22" s="38">
        <f>(ROUND((E30/(AVERAGE(E54,G54))*100),2))</f>
        <v>3.07</v>
      </c>
      <c r="V22" s="39" t="s">
        <v>1090</v>
      </c>
      <c r="W22" s="38">
        <f>(ROUND((G30/(AVERAGE(G54,I54))*100),2))</f>
        <v>3.13</v>
      </c>
      <c r="X22" s="39" t="s">
        <v>1090</v>
      </c>
      <c r="Y22" s="38">
        <f>(ROUND((I30/(AVERAGE(I54,K54))*100),2))</f>
        <v>3.38</v>
      </c>
      <c r="Z22" s="39" t="s">
        <v>1090</v>
      </c>
      <c r="AA22" s="38">
        <f>(ROUND((K30/(AVERAGE(K54,M54))*100),2))</f>
        <v>3.1</v>
      </c>
      <c r="AB22" s="39" t="s">
        <v>1090</v>
      </c>
      <c r="AC22" s="18"/>
    </row>
    <row r="23" spans="1:30" x14ac:dyDescent="0.4">
      <c r="A23" s="17" t="s">
        <v>1307</v>
      </c>
      <c r="B23" s="17" t="s">
        <v>79</v>
      </c>
      <c r="C23" s="17">
        <v>39.340000000000003</v>
      </c>
      <c r="E23" s="17">
        <v>38.29</v>
      </c>
      <c r="G23" s="17">
        <v>33.67</v>
      </c>
      <c r="I23" s="46">
        <v>24.61</v>
      </c>
      <c r="K23" s="46">
        <v>43.82</v>
      </c>
      <c r="M23" s="46">
        <v>36.25</v>
      </c>
      <c r="Q23" s="17" t="s">
        <v>1308</v>
      </c>
      <c r="S23" s="38"/>
      <c r="T23" s="39"/>
      <c r="U23" s="38"/>
      <c r="V23" s="39"/>
      <c r="W23" s="38"/>
      <c r="X23" s="39"/>
      <c r="Y23" s="38"/>
      <c r="Z23" s="39"/>
      <c r="AA23" s="38"/>
      <c r="AB23" s="39"/>
    </row>
    <row r="24" spans="1:30" x14ac:dyDescent="0.4">
      <c r="G24" s="46"/>
      <c r="I24" s="46"/>
      <c r="K24" s="46"/>
      <c r="M24" s="46"/>
      <c r="AC24" s="1485" t="s">
        <v>1285</v>
      </c>
      <c r="AD24" s="1485"/>
    </row>
    <row r="25" spans="1:30" x14ac:dyDescent="0.4">
      <c r="G25" s="46"/>
      <c r="I25" s="46"/>
      <c r="K25" s="46"/>
      <c r="M25" s="46"/>
      <c r="N25" s="47"/>
      <c r="O25" s="47"/>
      <c r="P25" s="47"/>
      <c r="Q25" s="47" t="s">
        <v>1251</v>
      </c>
      <c r="R25" s="47"/>
      <c r="AC25" s="1485" t="s">
        <v>1286</v>
      </c>
      <c r="AD25" s="1485"/>
    </row>
    <row r="26" spans="1:30" x14ac:dyDescent="0.4">
      <c r="A26" s="17" t="s">
        <v>1309</v>
      </c>
      <c r="B26" s="17" t="s">
        <v>79</v>
      </c>
      <c r="C26" s="46">
        <f>(C38/C15)</f>
        <v>1.5471009188912312</v>
      </c>
      <c r="E26" s="46">
        <v>1.45</v>
      </c>
      <c r="G26" s="46">
        <v>1.33</v>
      </c>
      <c r="I26" s="46">
        <v>1.25</v>
      </c>
      <c r="K26" s="46">
        <v>1.17</v>
      </c>
      <c r="M26" s="46">
        <v>1.0900000000000001</v>
      </c>
      <c r="Q26" s="17" t="s">
        <v>1310</v>
      </c>
    </row>
    <row r="27" spans="1:30" x14ac:dyDescent="0.4">
      <c r="G27" s="46"/>
      <c r="I27" s="46"/>
      <c r="K27" s="46"/>
      <c r="M27" s="46"/>
      <c r="Q27" s="17" t="s">
        <v>1311</v>
      </c>
      <c r="S27" s="38">
        <f>ROUND(((C12/C50)*100),2)</f>
        <v>59.16</v>
      </c>
      <c r="T27" s="39" t="s">
        <v>1090</v>
      </c>
      <c r="U27" s="38">
        <f>ROUND(((E12/E50)*100),2)</f>
        <v>58.49</v>
      </c>
      <c r="V27" s="39" t="s">
        <v>1090</v>
      </c>
      <c r="W27" s="38">
        <f>ROUND(((G12/G50)*100),2)</f>
        <v>57.81</v>
      </c>
      <c r="X27" s="39" t="s">
        <v>1090</v>
      </c>
      <c r="Y27" s="38">
        <f>ROUND(((I12/I50)*100),2)</f>
        <v>55.35</v>
      </c>
      <c r="Z27" s="39" t="s">
        <v>1090</v>
      </c>
      <c r="AA27" s="38">
        <f>ROUND(((K12/K50)*100),2)</f>
        <v>50.11</v>
      </c>
      <c r="AB27" s="39" t="s">
        <v>1090</v>
      </c>
      <c r="AC27" s="38">
        <f>ROUND(AVERAGE(S27:AB27),2)</f>
        <v>56.18</v>
      </c>
      <c r="AD27" s="39" t="s">
        <v>1090</v>
      </c>
    </row>
    <row r="28" spans="1:30" x14ac:dyDescent="0.4">
      <c r="A28" s="17" t="s">
        <v>1252</v>
      </c>
      <c r="B28" s="17" t="s">
        <v>1252</v>
      </c>
      <c r="C28" s="147">
        <f>10525*1000</f>
        <v>10525000</v>
      </c>
      <c r="E28" s="147">
        <v>5817000</v>
      </c>
      <c r="G28" s="46">
        <v>22253000</v>
      </c>
      <c r="I28" s="46">
        <v>19733000</v>
      </c>
      <c r="K28" s="46">
        <v>10202000</v>
      </c>
      <c r="M28" s="46">
        <v>7510000</v>
      </c>
      <c r="Q28" s="17" t="s">
        <v>1312</v>
      </c>
      <c r="S28" s="38">
        <f>ROUND(((SUM(C13,C17)/C50)*100),2)</f>
        <v>0</v>
      </c>
      <c r="T28" s="39"/>
      <c r="U28" s="38">
        <f>ROUND(((SUM(E13,E17)/E50)*100),2)</f>
        <v>0</v>
      </c>
      <c r="V28" s="39"/>
      <c r="W28" s="38">
        <f>ROUND(((SUM(G13,G17)/G50)*100),2)</f>
        <v>0</v>
      </c>
      <c r="X28" s="39"/>
      <c r="Y28" s="38">
        <f>ROUND(((SUM(I13,I17)/I50)*100),2)</f>
        <v>0</v>
      </c>
      <c r="Z28" s="39"/>
      <c r="AA28" s="38">
        <f>ROUND(((SUM(K13,K17)/K50)*100),2)</f>
        <v>0</v>
      </c>
      <c r="AB28" s="39"/>
      <c r="AC28" s="38">
        <f>ROUND(AVERAGE(S28:AB28),2)</f>
        <v>0</v>
      </c>
      <c r="AD28" s="39"/>
    </row>
    <row r="29" spans="1:30" x14ac:dyDescent="0.4">
      <c r="G29" s="46"/>
      <c r="I29" s="46"/>
      <c r="K29" s="46"/>
      <c r="M29" s="46"/>
      <c r="Q29" s="17" t="s">
        <v>1313</v>
      </c>
      <c r="S29" s="41">
        <f>ROUND(((C16/C50)*100),2)</f>
        <v>40.840000000000003</v>
      </c>
      <c r="T29" s="39"/>
      <c r="U29" s="41">
        <f>ROUND(((E16/E50)*100),2)</f>
        <v>41.51</v>
      </c>
      <c r="V29" s="39"/>
      <c r="W29" s="41">
        <f>ROUND(((G16/G50)*100),2)</f>
        <v>42.19</v>
      </c>
      <c r="X29" s="39"/>
      <c r="Y29" s="41">
        <f>ROUND(((I16/I50)*100),2)</f>
        <v>44.65</v>
      </c>
      <c r="Z29" s="39"/>
      <c r="AA29" s="41">
        <f>ROUND(((K16/K50)*100),2)</f>
        <v>49.89</v>
      </c>
      <c r="AB29" s="39"/>
      <c r="AC29" s="38">
        <f>ROUND(AVERAGE(S29:AB29),2)</f>
        <v>43.82</v>
      </c>
      <c r="AD29" s="39"/>
    </row>
    <row r="30" spans="1:30" x14ac:dyDescent="0.4">
      <c r="A30" s="17" t="s">
        <v>1314</v>
      </c>
      <c r="B30" s="17" t="s">
        <v>1315</v>
      </c>
      <c r="C30" s="147">
        <f>123014*1000</f>
        <v>123014000</v>
      </c>
      <c r="E30" s="147">
        <v>85830000</v>
      </c>
      <c r="G30" s="46">
        <v>78559000</v>
      </c>
      <c r="I30" s="46">
        <v>67597000</v>
      </c>
      <c r="K30" s="46">
        <v>47082000</v>
      </c>
      <c r="M30" s="46">
        <v>46286000</v>
      </c>
      <c r="Q30" s="17" t="s">
        <v>1316</v>
      </c>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G31" s="46"/>
      <c r="I31" s="46"/>
      <c r="K31" s="46"/>
      <c r="M31" s="46"/>
    </row>
    <row r="32" spans="1:30" x14ac:dyDescent="0.4">
      <c r="A32" s="17" t="s">
        <v>1317</v>
      </c>
      <c r="B32" s="17" t="s">
        <v>1318</v>
      </c>
      <c r="C32" s="46">
        <f>264724*1000</f>
        <v>264724000</v>
      </c>
      <c r="E32" s="46">
        <v>274922000</v>
      </c>
      <c r="G32" s="46">
        <v>193919000</v>
      </c>
      <c r="I32" s="46">
        <v>193919000</v>
      </c>
      <c r="K32" s="46">
        <v>169505000</v>
      </c>
      <c r="M32" s="46">
        <v>233436000</v>
      </c>
      <c r="Q32" s="17" t="s">
        <v>1319</v>
      </c>
    </row>
    <row r="33" spans="1:30" x14ac:dyDescent="0.4">
      <c r="A33" s="48"/>
      <c r="B33" s="48"/>
      <c r="C33" s="48"/>
      <c r="D33" s="48"/>
      <c r="E33" s="48"/>
      <c r="F33" s="48"/>
      <c r="G33" s="49"/>
      <c r="H33" s="48"/>
      <c r="I33" s="49"/>
      <c r="J33" s="48"/>
      <c r="K33" s="49"/>
      <c r="L33" s="48"/>
      <c r="M33" s="49"/>
      <c r="Q33" s="17" t="s">
        <v>1320</v>
      </c>
      <c r="S33" s="38">
        <f>ROUND((((C12+C19)/C56)*100),2)</f>
        <v>61.17</v>
      </c>
      <c r="T33" s="39" t="s">
        <v>1090</v>
      </c>
      <c r="U33" s="38">
        <f>ROUND((((E12+E19)/E56)*100),2)</f>
        <v>62.15</v>
      </c>
      <c r="V33" s="39" t="s">
        <v>1090</v>
      </c>
      <c r="W33" s="38">
        <f>ROUND((((G12+G19)/G56)*100),2)</f>
        <v>61.56</v>
      </c>
      <c r="X33" s="39" t="s">
        <v>1090</v>
      </c>
      <c r="Y33" s="38">
        <f>ROUND((((I12+I19)/I56)*100),2)</f>
        <v>56.66</v>
      </c>
      <c r="Z33" s="39" t="s">
        <v>1090</v>
      </c>
      <c r="AA33" s="38">
        <f>ROUND((((K12+K19)/K56)*100),2)</f>
        <v>50.52</v>
      </c>
      <c r="AB33" s="39" t="s">
        <v>1090</v>
      </c>
      <c r="AC33" s="38">
        <f>ROUND(AVERAGE(S33:AB33),2)</f>
        <v>58.41</v>
      </c>
      <c r="AD33" s="39" t="s">
        <v>1090</v>
      </c>
    </row>
    <row r="34" spans="1:30" x14ac:dyDescent="0.4">
      <c r="A34" s="17" t="s">
        <v>1321</v>
      </c>
      <c r="B34" s="17" t="s">
        <v>1322</v>
      </c>
      <c r="C34" s="46">
        <f>C32</f>
        <v>264724000</v>
      </c>
      <c r="E34" s="46">
        <f>E32</f>
        <v>274922000</v>
      </c>
      <c r="G34" s="46">
        <v>193919000</v>
      </c>
      <c r="I34" s="46">
        <v>193919000</v>
      </c>
      <c r="K34" s="46">
        <v>169505000</v>
      </c>
      <c r="M34" s="46">
        <f>M32</f>
        <v>233436000</v>
      </c>
      <c r="Q34" s="17" t="s">
        <v>1312</v>
      </c>
      <c r="S34" s="38">
        <f>ROUND((((SUM(C13,C17))/C56)*100),2)</f>
        <v>0</v>
      </c>
      <c r="T34" s="39"/>
      <c r="U34" s="38">
        <f>ROUND((((SUM(E13,E17))/E56)*100),2)</f>
        <v>0</v>
      </c>
      <c r="V34" s="39"/>
      <c r="W34" s="38">
        <f>ROUND((((SUM(G13,G17))/G56)*100),2)</f>
        <v>0</v>
      </c>
      <c r="X34" s="39"/>
      <c r="Y34" s="38">
        <f>ROUND((((SUM(I13,I17))/I56)*100),2)</f>
        <v>0</v>
      </c>
      <c r="Z34" s="39"/>
      <c r="AA34" s="38">
        <f>ROUND((((SUM(K13,K17))/K56)*100),2)</f>
        <v>0</v>
      </c>
      <c r="AB34" s="39"/>
      <c r="AC34" s="38">
        <f>ROUND(AVERAGE(S34:AB34),2)</f>
        <v>0</v>
      </c>
      <c r="AD34" s="39"/>
    </row>
    <row r="35" spans="1:30" x14ac:dyDescent="0.4">
      <c r="G35" s="46"/>
      <c r="I35" s="46"/>
      <c r="K35" s="46"/>
      <c r="M35" s="46"/>
      <c r="Q35" s="17" t="s">
        <v>1313</v>
      </c>
      <c r="S35" s="41">
        <f>ROUND((((C16)/C56)*100),2)</f>
        <v>38.83</v>
      </c>
      <c r="T35" s="39"/>
      <c r="U35" s="41">
        <f>ROUND((((E16)/E56)*100),2)</f>
        <v>37.85</v>
      </c>
      <c r="V35" s="39"/>
      <c r="W35" s="41">
        <f>ROUND((((G16)/G56)*100),2)</f>
        <v>38.44</v>
      </c>
      <c r="X35" s="39"/>
      <c r="Y35" s="41">
        <f>ROUND((((I16)/I56)*100),2)</f>
        <v>43.34</v>
      </c>
      <c r="Z35" s="39"/>
      <c r="AA35" s="41">
        <f>ROUND((((K16)/K56)*100),2)</f>
        <v>49.48</v>
      </c>
      <c r="AB35" s="39"/>
      <c r="AC35" s="38">
        <f>ROUND(AVERAGE(S35:AB35),2)</f>
        <v>41.59</v>
      </c>
      <c r="AD35" s="39"/>
    </row>
    <row r="36" spans="1:30" x14ac:dyDescent="0.4">
      <c r="A36" s="17" t="s">
        <v>1323</v>
      </c>
      <c r="B36" s="17" t="s">
        <v>1324</v>
      </c>
      <c r="C36" s="46">
        <v>0</v>
      </c>
      <c r="E36" s="46">
        <v>0</v>
      </c>
      <c r="G36" s="46">
        <v>0</v>
      </c>
      <c r="I36" s="46">
        <v>0</v>
      </c>
      <c r="K36" s="46">
        <v>0</v>
      </c>
      <c r="M36" s="46">
        <v>0</v>
      </c>
      <c r="Q36" s="17" t="s">
        <v>1316</v>
      </c>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G37" s="46"/>
      <c r="I37" s="46"/>
      <c r="K37" s="46"/>
      <c r="M37" s="46"/>
    </row>
    <row r="38" spans="1:30" x14ac:dyDescent="0.4">
      <c r="A38" s="17" t="s">
        <v>1325</v>
      </c>
      <c r="B38" s="17" t="s">
        <v>1326</v>
      </c>
      <c r="C38" s="153">
        <f>150973*1000</f>
        <v>150973000</v>
      </c>
      <c r="E38" s="153">
        <v>127704000</v>
      </c>
      <c r="G38" s="46">
        <v>116960000</v>
      </c>
      <c r="I38" s="46">
        <v>117804000</v>
      </c>
      <c r="K38" s="46">
        <v>104059000</v>
      </c>
      <c r="M38" s="46">
        <v>95835000</v>
      </c>
    </row>
    <row r="39" spans="1:30" x14ac:dyDescent="0.4">
      <c r="G39" s="46"/>
      <c r="I39" s="46"/>
      <c r="K39" s="46"/>
      <c r="M39" s="46"/>
    </row>
    <row r="40" spans="1:30" x14ac:dyDescent="0.4">
      <c r="A40" s="17" t="s">
        <v>1327</v>
      </c>
      <c r="B40" s="17" t="s">
        <v>1328</v>
      </c>
      <c r="C40" s="46">
        <f>C32</f>
        <v>264724000</v>
      </c>
      <c r="E40" s="46">
        <f>E32</f>
        <v>274922000</v>
      </c>
      <c r="G40" s="46">
        <f>G32</f>
        <v>193919000</v>
      </c>
      <c r="I40" s="46">
        <v>193919000</v>
      </c>
      <c r="K40" s="46">
        <v>169505000</v>
      </c>
      <c r="M40" s="46">
        <f>M32</f>
        <v>233436000</v>
      </c>
      <c r="N40" s="47"/>
      <c r="O40" s="47"/>
      <c r="P40" s="47"/>
      <c r="Q40" s="47" t="s">
        <v>1329</v>
      </c>
      <c r="R40" s="47"/>
    </row>
    <row r="41" spans="1:30" x14ac:dyDescent="0.4">
      <c r="A41" s="17" t="s">
        <v>1330</v>
      </c>
      <c r="B41" s="17" t="s">
        <v>1331</v>
      </c>
      <c r="C41" s="147">
        <f>478993*1000</f>
        <v>478993000</v>
      </c>
      <c r="E41" s="147">
        <v>323480000</v>
      </c>
      <c r="G41" s="46">
        <v>390954000</v>
      </c>
      <c r="I41" s="46">
        <v>213481000</v>
      </c>
      <c r="K41" s="46">
        <v>189350000</v>
      </c>
      <c r="M41" s="46">
        <v>398286000</v>
      </c>
      <c r="N41" s="47"/>
      <c r="O41" s="47"/>
      <c r="P41" s="47"/>
      <c r="Q41" s="47"/>
      <c r="R41" s="47"/>
    </row>
    <row r="42" spans="1:30" x14ac:dyDescent="0.4">
      <c r="A42" s="17" t="s">
        <v>1332</v>
      </c>
      <c r="B42" s="17" t="s">
        <v>1333</v>
      </c>
      <c r="C42" s="153">
        <f>61525*1000</f>
        <v>61525000</v>
      </c>
      <c r="E42" s="153">
        <f>-77687000</f>
        <v>-77687000</v>
      </c>
      <c r="G42" s="46">
        <v>10254000</v>
      </c>
      <c r="I42" s="46">
        <v>-8096000</v>
      </c>
      <c r="K42" s="46">
        <v>-27759000</v>
      </c>
      <c r="M42" s="46">
        <v>97004000</v>
      </c>
      <c r="N42" s="47"/>
      <c r="O42" s="47"/>
      <c r="P42" s="47"/>
      <c r="Q42" s="47" t="s">
        <v>1334</v>
      </c>
      <c r="R42" s="47"/>
    </row>
    <row r="43" spans="1:30" x14ac:dyDescent="0.4">
      <c r="A43" s="17" t="s">
        <v>1335</v>
      </c>
      <c r="B43" s="17" t="s">
        <v>1336</v>
      </c>
      <c r="C43" s="147">
        <f>152941*1000</f>
        <v>152941000</v>
      </c>
      <c r="E43" s="147">
        <v>129249000</v>
      </c>
      <c r="G43" s="46">
        <v>111387000</v>
      </c>
      <c r="I43" s="46">
        <v>119894000</v>
      </c>
      <c r="K43" s="46">
        <v>91730000</v>
      </c>
      <c r="M43" s="46">
        <v>85701000</v>
      </c>
      <c r="Q43" s="17" t="s">
        <v>1337</v>
      </c>
      <c r="S43" s="38">
        <f>ROUND(C21/C52,4)*100</f>
        <v>5.72</v>
      </c>
      <c r="T43" s="39" t="s">
        <v>1090</v>
      </c>
      <c r="U43" s="38">
        <f>ROUND(E21/E52,4)*100</f>
        <v>6.4</v>
      </c>
      <c r="V43" s="39" t="s">
        <v>1090</v>
      </c>
      <c r="W43" s="38">
        <f>ROUND(G21/G52,4)*100</f>
        <v>3.1399999999999997</v>
      </c>
      <c r="X43" s="39" t="s">
        <v>1090</v>
      </c>
      <c r="Y43" s="38">
        <f>ROUND(I21/I52,4)*100</f>
        <v>5.82</v>
      </c>
      <c r="Z43" s="39" t="s">
        <v>1090</v>
      </c>
      <c r="AA43" s="38">
        <f>ROUND(K21/K52,4)*100</f>
        <v>3.9800000000000004</v>
      </c>
      <c r="AB43" s="39" t="s">
        <v>1090</v>
      </c>
      <c r="AC43" s="38">
        <f>ROUND(AVERAGE(S43:AB43),2)</f>
        <v>5.01</v>
      </c>
      <c r="AD43" s="39" t="s">
        <v>1090</v>
      </c>
    </row>
    <row r="44" spans="1:30" x14ac:dyDescent="0.4">
      <c r="A44" s="17" t="s">
        <v>1338</v>
      </c>
      <c r="B44" s="17" t="s">
        <v>1339</v>
      </c>
      <c r="C44" s="147">
        <f>49275*1000</f>
        <v>49275000</v>
      </c>
      <c r="E44" s="147">
        <v>76195000</v>
      </c>
      <c r="G44" s="46">
        <v>33286000</v>
      </c>
      <c r="I44" s="46">
        <v>-6944000</v>
      </c>
      <c r="K44" s="46">
        <v>-37751000</v>
      </c>
      <c r="M44" s="46">
        <v>-53785000</v>
      </c>
      <c r="Q44" s="17" t="s">
        <v>1340</v>
      </c>
      <c r="S44" s="38">
        <f>(ROUND((C52/(AVERAGE(C48,E48))*100),2))</f>
        <v>241.34</v>
      </c>
      <c r="U44" s="38">
        <f>(ROUND((E52/(AVERAGE(E48,G48))*100),2))</f>
        <v>247.77</v>
      </c>
      <c r="W44" s="38">
        <f>(ROUND((G52/(AVERAGE(G48,I48))*100),2))</f>
        <v>214.58</v>
      </c>
      <c r="Y44" s="38">
        <f>(ROUND((I52/(AVERAGE(I48,K48))*100),2))</f>
        <v>191.48</v>
      </c>
      <c r="AA44" s="38">
        <f>(ROUND((K52/(AVERAGE(K48,M48))*100),2))</f>
        <v>280.52</v>
      </c>
      <c r="AC44" s="38">
        <f>ROUND(AVERAGE(S44:AB44),2)</f>
        <v>235.14</v>
      </c>
    </row>
    <row r="45" spans="1:30" x14ac:dyDescent="0.4">
      <c r="G45" s="46"/>
      <c r="I45" s="46"/>
      <c r="K45" s="46"/>
      <c r="M45" s="46"/>
      <c r="Q45" s="17" t="s">
        <v>1341</v>
      </c>
      <c r="S45" s="38">
        <f>ROUND(((+C26/C52)*100),2)</f>
        <v>3.26</v>
      </c>
      <c r="U45" s="38">
        <f>ROUND(((+E26/E52)*100),2)</f>
        <v>3.26</v>
      </c>
      <c r="W45" s="38">
        <f>ROUND(((+G26/G52)*100),2)</f>
        <v>3.42</v>
      </c>
      <c r="Y45" s="38">
        <f>ROUND(((+I26/I52)*100),2)</f>
        <v>3.57</v>
      </c>
      <c r="AA45" s="38">
        <f>ROUND(((+K26/K52)*100),2)</f>
        <v>2.46</v>
      </c>
      <c r="AC45" s="38">
        <f>ROUND(AVERAGE(S45:AB45),2)</f>
        <v>3.19</v>
      </c>
    </row>
    <row r="46" spans="1:30" x14ac:dyDescent="0.4">
      <c r="A46" s="17" t="s">
        <v>1342</v>
      </c>
      <c r="G46" s="46"/>
      <c r="I46" s="46"/>
      <c r="K46" s="46"/>
      <c r="M46" s="46"/>
      <c r="Q46" s="17" t="s">
        <v>1343</v>
      </c>
      <c r="S46" s="38">
        <f>ROUND(((+C38/C34)*100),2)</f>
        <v>57.03</v>
      </c>
      <c r="U46" s="38">
        <f>ROUND(((+E38/E34)*100),2)</f>
        <v>46.45</v>
      </c>
      <c r="W46" s="38">
        <f>ROUND(((+G38/G34)*100),2)</f>
        <v>60.31</v>
      </c>
      <c r="Y46" s="38">
        <f>ROUND(((+I38/I34)*100),2)</f>
        <v>60.75</v>
      </c>
      <c r="AA46" s="38">
        <f>ROUND(((+K38/K34)*100),2)</f>
        <v>61.39</v>
      </c>
      <c r="AC46" s="38">
        <f>ROUND(AVERAGE(S46:AB46),2)</f>
        <v>57.19</v>
      </c>
    </row>
    <row r="47" spans="1:30" x14ac:dyDescent="0.4">
      <c r="G47" s="46"/>
      <c r="I47" s="46"/>
      <c r="K47" s="46"/>
      <c r="M47" s="46"/>
      <c r="S47" s="38"/>
      <c r="U47" s="38"/>
      <c r="W47" s="38"/>
      <c r="Y47" s="38"/>
      <c r="AA47" s="38"/>
      <c r="AC47" s="38"/>
    </row>
    <row r="48" spans="1:30" x14ac:dyDescent="0.4">
      <c r="A48" s="17" t="s">
        <v>1344</v>
      </c>
      <c r="B48" s="17" t="s">
        <v>1345</v>
      </c>
      <c r="C48" s="46">
        <f>C16/C15</f>
        <v>20.400124179614469</v>
      </c>
      <c r="E48" s="46">
        <f>E16/E15</f>
        <v>18.88013155427064</v>
      </c>
      <c r="G48" s="46">
        <f>G16/G15</f>
        <v>17.039679860116944</v>
      </c>
      <c r="I48" s="46">
        <f>I16/I15</f>
        <v>19.22571868068955</v>
      </c>
      <c r="K48" s="46">
        <f>K16/K15</f>
        <v>17.369048580350764</v>
      </c>
      <c r="M48" s="46">
        <f>M16/M15</f>
        <v>16.479060474130709</v>
      </c>
      <c r="N48" s="47"/>
      <c r="O48" s="47"/>
      <c r="P48" s="47"/>
      <c r="Q48" s="47" t="s">
        <v>1253</v>
      </c>
      <c r="R48" s="47"/>
      <c r="S48" s="38">
        <f>ROUND(((C34/AVERAGE(C16,E16))*100),2)</f>
        <v>13.9</v>
      </c>
      <c r="T48" s="17" t="s">
        <v>1090</v>
      </c>
      <c r="U48" s="38">
        <f>ROUND(((E34/AVERAGE(E16,G16))*100),2)</f>
        <v>15.95</v>
      </c>
      <c r="V48" s="17" t="s">
        <v>1090</v>
      </c>
      <c r="W48" s="38">
        <f>ROUND(((G34/AVERAGE(G16,I16))*100),2)</f>
        <v>11.16</v>
      </c>
      <c r="X48" s="17" t="s">
        <v>1090</v>
      </c>
      <c r="Y48" s="38">
        <f>ROUND(((I34/AVERAGE(I16,K16))*100),2)</f>
        <v>11.42</v>
      </c>
      <c r="Z48" s="17" t="s">
        <v>1090</v>
      </c>
      <c r="AA48" s="38">
        <f>ROUND(((K34/AVERAGE(K16,M16))*100),2)</f>
        <v>11.41</v>
      </c>
      <c r="AB48" s="17" t="s">
        <v>1090</v>
      </c>
      <c r="AC48" s="38">
        <f>ROUND(AVERAGE(S48:AB48),2)</f>
        <v>12.77</v>
      </c>
      <c r="AD48" s="17" t="s">
        <v>1090</v>
      </c>
    </row>
    <row r="49" spans="1:30" x14ac:dyDescent="0.4">
      <c r="C49" s="46"/>
      <c r="E49" s="46"/>
      <c r="G49" s="46"/>
      <c r="I49" s="46"/>
      <c r="K49" s="46"/>
      <c r="M49" s="46"/>
      <c r="S49" s="38"/>
      <c r="U49" s="38"/>
      <c r="W49" s="38"/>
      <c r="Y49" s="38"/>
      <c r="AA49" s="38"/>
      <c r="AC49" s="39"/>
    </row>
    <row r="50" spans="1:30" x14ac:dyDescent="0.4">
      <c r="A50" s="17" t="s">
        <v>1283</v>
      </c>
      <c r="B50" s="17" t="s">
        <v>1345</v>
      </c>
      <c r="C50" s="46">
        <f>SUM(C12:C13,C16:C17)</f>
        <v>4874907000</v>
      </c>
      <c r="E50" s="46">
        <f>SUM(E12:E13,E16:E17)</f>
        <v>4377681000</v>
      </c>
      <c r="G50" s="46">
        <f>SUM(G12:G13,G16:G17)</f>
        <v>3865866000</v>
      </c>
      <c r="I50" s="46">
        <f>SUM(I12:I13,I16:I17)</f>
        <v>4131394000</v>
      </c>
      <c r="K50" s="46">
        <f>SUM(K12:K13,K16:K17)</f>
        <v>3110313000</v>
      </c>
      <c r="M50" s="46">
        <f>SUM(M12:M13,M16:M17)</f>
        <v>2723142000</v>
      </c>
      <c r="N50" s="47"/>
      <c r="O50" s="47"/>
      <c r="P50" s="47"/>
      <c r="Q50" s="47" t="s">
        <v>1254</v>
      </c>
      <c r="R50" s="47"/>
      <c r="S50" s="38">
        <f>ROUND((C54/C62),2)</f>
        <v>5.32</v>
      </c>
      <c r="T50" s="39" t="s">
        <v>1255</v>
      </c>
      <c r="U50" s="38">
        <f>ROUND((E54/E62),2)</f>
        <v>5.27</v>
      </c>
      <c r="V50" s="39" t="s">
        <v>1255</v>
      </c>
      <c r="W50" s="38">
        <f>ROUND((G54/G62),2)</f>
        <v>6.26</v>
      </c>
      <c r="X50" s="39" t="s">
        <v>1255</v>
      </c>
      <c r="Y50" s="38">
        <f>ROUND((I54/I62),2)</f>
        <v>6.44</v>
      </c>
      <c r="Z50" s="39" t="s">
        <v>1255</v>
      </c>
      <c r="AA50" s="38">
        <f>ROUND((K54/K62),2)</f>
        <v>5.85</v>
      </c>
      <c r="AB50" s="39" t="s">
        <v>1255</v>
      </c>
      <c r="AC50" s="38">
        <f>ROUND(AVERAGE(S50:AB50),2)</f>
        <v>5.83</v>
      </c>
      <c r="AD50" s="17" t="s">
        <v>1255</v>
      </c>
    </row>
    <row r="51" spans="1:30" x14ac:dyDescent="0.4">
      <c r="C51" s="46"/>
      <c r="E51" s="46"/>
      <c r="G51" s="46"/>
      <c r="I51" s="46"/>
      <c r="K51" s="46"/>
      <c r="M51" s="46"/>
      <c r="N51" s="47"/>
      <c r="O51" s="47"/>
      <c r="P51" s="47"/>
      <c r="Q51" s="47"/>
      <c r="R51" s="47"/>
      <c r="S51" s="38"/>
      <c r="U51" s="38"/>
      <c r="W51" s="38"/>
      <c r="Y51" s="38"/>
      <c r="AA51" s="38"/>
      <c r="AC51" s="38"/>
    </row>
    <row r="52" spans="1:30" x14ac:dyDescent="0.4">
      <c r="A52" s="17" t="s">
        <v>121</v>
      </c>
      <c r="B52" s="17" t="s">
        <v>1345</v>
      </c>
      <c r="C52" s="46">
        <f>AVERAGE(C22:C23)</f>
        <v>47.400000000000006</v>
      </c>
      <c r="E52" s="46">
        <f>AVERAGE(E22:E23)</f>
        <v>44.5</v>
      </c>
      <c r="G52" s="46">
        <f>AVERAGE(G22:G23)</f>
        <v>38.909999999999997</v>
      </c>
      <c r="I52" s="46">
        <f>AVERAGE(I22:I23)</f>
        <v>35.034999999999997</v>
      </c>
      <c r="K52" s="46">
        <f>AVERAGE(K22:K23)</f>
        <v>47.475000000000001</v>
      </c>
      <c r="M52" s="46">
        <f>AVERAGE(M22:M23)</f>
        <v>41.9</v>
      </c>
      <c r="N52" s="47"/>
      <c r="O52" s="47"/>
      <c r="P52" s="47"/>
      <c r="Q52" s="47" t="s">
        <v>1256</v>
      </c>
      <c r="R52" s="47"/>
      <c r="S52" s="38">
        <f>ROUND(((C60/C54)*100),2)</f>
        <v>16.899999999999999</v>
      </c>
      <c r="T52" s="39" t="s">
        <v>1090</v>
      </c>
      <c r="U52" s="38">
        <f>ROUND(((E60/E54)*100),2)</f>
        <v>8.0399999999999991</v>
      </c>
      <c r="V52" s="39" t="s">
        <v>1090</v>
      </c>
      <c r="W52" s="38">
        <f>ROUND(((G60/G54)*100),2)</f>
        <v>14.51</v>
      </c>
      <c r="X52" s="39" t="s">
        <v>1090</v>
      </c>
      <c r="Y52" s="38">
        <f>ROUND(((I60/I54)*100),2)</f>
        <v>7.7</v>
      </c>
      <c r="Z52" s="39" t="s">
        <v>1090</v>
      </c>
      <c r="AA52" s="38">
        <f>ROUND(((K60/K54)*100),2)</f>
        <v>9.56</v>
      </c>
      <c r="AB52" s="39" t="s">
        <v>1090</v>
      </c>
      <c r="AC52" s="38">
        <f>ROUND(AVERAGE(S52:AB52),2)</f>
        <v>11.34</v>
      </c>
      <c r="AD52" s="17" t="s">
        <v>1090</v>
      </c>
    </row>
    <row r="53" spans="1:30" x14ac:dyDescent="0.4">
      <c r="C53" s="46"/>
      <c r="E53" s="46"/>
      <c r="G53" s="46"/>
      <c r="I53" s="46"/>
      <c r="K53" s="46"/>
      <c r="M53" s="46"/>
      <c r="N53" s="50"/>
      <c r="O53" s="50"/>
      <c r="P53" s="50"/>
      <c r="Q53" s="50"/>
      <c r="R53" s="50"/>
      <c r="S53" s="38"/>
      <c r="U53" s="38"/>
      <c r="W53" s="38"/>
      <c r="Y53" s="38"/>
      <c r="AA53" s="38"/>
    </row>
    <row r="54" spans="1:30" x14ac:dyDescent="0.4">
      <c r="A54" s="17" t="s">
        <v>1250</v>
      </c>
      <c r="C54" s="78">
        <f>+C19+C12</f>
        <v>3136272000</v>
      </c>
      <c r="E54" s="78">
        <f>+E19+E12</f>
        <v>2984421000</v>
      </c>
      <c r="G54" s="78">
        <f>+G19+G12</f>
        <v>2612304000</v>
      </c>
      <c r="I54" s="78">
        <f>+I19+I12</f>
        <v>2412052000</v>
      </c>
      <c r="K54" s="78">
        <f>+K19+K12</f>
        <v>1584046000</v>
      </c>
      <c r="M54" s="78">
        <f>+M19+M12</f>
        <v>1456114000</v>
      </c>
      <c r="N54" s="50"/>
      <c r="O54" s="50"/>
      <c r="P54" s="50"/>
      <c r="Q54" s="50" t="s">
        <v>1257</v>
      </c>
      <c r="R54" s="50"/>
      <c r="S54" s="38">
        <f>S33</f>
        <v>61.17</v>
      </c>
      <c r="T54" s="39" t="s">
        <v>1090</v>
      </c>
      <c r="U54" s="38">
        <f>U33</f>
        <v>62.15</v>
      </c>
      <c r="V54" s="39" t="s">
        <v>1090</v>
      </c>
      <c r="W54" s="38">
        <f>W33</f>
        <v>61.56</v>
      </c>
      <c r="X54" s="39" t="s">
        <v>1090</v>
      </c>
      <c r="Y54" s="38">
        <f>Y33</f>
        <v>56.66</v>
      </c>
      <c r="Z54" s="39" t="s">
        <v>1090</v>
      </c>
      <c r="AA54" s="38">
        <f>AA33</f>
        <v>50.52</v>
      </c>
      <c r="AB54" s="39" t="s">
        <v>1090</v>
      </c>
      <c r="AC54" s="38">
        <f>ROUND(AVERAGE(S54:AB54),2)</f>
        <v>58.41</v>
      </c>
      <c r="AD54" s="39" t="s">
        <v>1090</v>
      </c>
    </row>
    <row r="55" spans="1:30" x14ac:dyDescent="0.4">
      <c r="C55" s="46"/>
      <c r="E55" s="46"/>
      <c r="G55" s="46"/>
      <c r="I55" s="46"/>
      <c r="K55" s="46"/>
      <c r="M55" s="46"/>
    </row>
    <row r="56" spans="1:30" x14ac:dyDescent="0.4">
      <c r="A56" s="17" t="s">
        <v>1346</v>
      </c>
      <c r="B56" s="17" t="s">
        <v>1345</v>
      </c>
      <c r="C56" s="46">
        <f>SUM(C50,C19)</f>
        <v>5127007000</v>
      </c>
      <c r="E56" s="46">
        <f>SUM(E50,E19)</f>
        <v>4801631000</v>
      </c>
      <c r="G56" s="46">
        <f>SUM(G50,G19)</f>
        <v>4243166000</v>
      </c>
      <c r="I56" s="46">
        <f>SUM(I50,I19)</f>
        <v>4256744000</v>
      </c>
      <c r="K56" s="46">
        <f>SUM(K50,K19)</f>
        <v>3135763000</v>
      </c>
      <c r="M56" s="46">
        <f>SUM(M50,M19)</f>
        <v>2875092000</v>
      </c>
    </row>
    <row r="57" spans="1:30" x14ac:dyDescent="0.4">
      <c r="C57" s="46"/>
      <c r="E57" s="46"/>
      <c r="G57" s="46"/>
      <c r="I57" s="46"/>
      <c r="K57" s="46"/>
      <c r="M57" s="46"/>
    </row>
    <row r="58" spans="1:30" x14ac:dyDescent="0.4">
      <c r="A58" s="17" t="s">
        <v>1347</v>
      </c>
      <c r="B58" s="17" t="s">
        <v>1345</v>
      </c>
      <c r="C58" s="46">
        <f>SUM(C13,C17)</f>
        <v>0</v>
      </c>
      <c r="E58" s="46">
        <f>SUM(E13,E17)</f>
        <v>0</v>
      </c>
      <c r="G58" s="46">
        <f>SUM(G13,G17)</f>
        <v>0</v>
      </c>
      <c r="I58" s="46">
        <f>SUM(I13,I17)</f>
        <v>0</v>
      </c>
      <c r="K58" s="46">
        <f>SUM(K13,K17)</f>
        <v>0</v>
      </c>
      <c r="M58" s="46">
        <f>SUM(M13,M17)</f>
        <v>0</v>
      </c>
    </row>
    <row r="59" spans="1:30" x14ac:dyDescent="0.4">
      <c r="C59" s="46"/>
      <c r="E59" s="46"/>
      <c r="G59" s="46"/>
      <c r="I59" s="46"/>
      <c r="K59" s="46"/>
      <c r="M59" s="46"/>
    </row>
    <row r="60" spans="1:30" x14ac:dyDescent="0.4">
      <c r="A60" s="19" t="s">
        <v>1258</v>
      </c>
      <c r="B60" s="17" t="s">
        <v>1345</v>
      </c>
      <c r="C60" s="46">
        <f>ROUND(C41+C42-C28,3)</f>
        <v>529993000</v>
      </c>
      <c r="E60" s="46">
        <f>ROUND(E41+E42-E28,3)</f>
        <v>239976000</v>
      </c>
      <c r="G60" s="46">
        <f>ROUND(G41+G42-G28,3)</f>
        <v>378955000</v>
      </c>
      <c r="I60" s="46">
        <f>ROUND(I41+I42-I28,3)</f>
        <v>185652000</v>
      </c>
      <c r="K60" s="46">
        <f>ROUND(K41+K42-K28,3)</f>
        <v>151389000</v>
      </c>
      <c r="M60" s="46">
        <f>ROUND(M41+M42-M28,3)</f>
        <v>487780000</v>
      </c>
    </row>
    <row r="61" spans="1:30" x14ac:dyDescent="0.4">
      <c r="A61" s="19"/>
      <c r="C61" s="46"/>
      <c r="E61" s="46"/>
      <c r="G61" s="46"/>
      <c r="I61" s="46"/>
      <c r="K61" s="46"/>
      <c r="M61" s="46"/>
    </row>
    <row r="62" spans="1:30" x14ac:dyDescent="0.4">
      <c r="A62" s="17" t="s">
        <v>1160</v>
      </c>
      <c r="B62" s="17" t="s">
        <v>1345</v>
      </c>
      <c r="C62" s="46">
        <f>C40+C44+C43+C30</f>
        <v>589954000</v>
      </c>
      <c r="E62" s="46">
        <f>E40+E44+E43+E30</f>
        <v>566196000</v>
      </c>
      <c r="G62" s="46">
        <f>G40+G44+G43+G30</f>
        <v>417151000</v>
      </c>
      <c r="I62" s="46">
        <f>I40+I44+I43+I30</f>
        <v>374466000</v>
      </c>
      <c r="K62" s="46">
        <f>K40+K44+K43+K30</f>
        <v>270566000</v>
      </c>
      <c r="M62" s="46">
        <f>M40+M44+M43+M30</f>
        <v>311638000</v>
      </c>
    </row>
    <row r="63" spans="1:30" x14ac:dyDescent="0.4">
      <c r="K63" s="45"/>
      <c r="L63" s="45"/>
      <c r="M63" s="45"/>
    </row>
    <row r="64" spans="1:30" x14ac:dyDescent="0.4">
      <c r="K64" s="45"/>
      <c r="L64" s="45"/>
      <c r="M64" s="45"/>
    </row>
    <row r="71" spans="11:13" x14ac:dyDescent="0.4">
      <c r="K71" s="45"/>
      <c r="L71" s="45"/>
      <c r="M71" s="45"/>
    </row>
    <row r="81" spans="11:223" x14ac:dyDescent="0.4">
      <c r="HK81" s="51"/>
      <c r="HL81" s="51"/>
      <c r="HO81" s="17" t="s">
        <v>1348</v>
      </c>
    </row>
    <row r="94" spans="11:223" x14ac:dyDescent="0.4">
      <c r="K94" s="45"/>
      <c r="L94" s="45"/>
      <c r="M94" s="45"/>
    </row>
    <row r="95" spans="11:223" x14ac:dyDescent="0.4">
      <c r="K95" s="45"/>
      <c r="L95" s="45"/>
      <c r="M95" s="45"/>
    </row>
    <row r="96" spans="11:223" x14ac:dyDescent="0.4">
      <c r="K96" s="45"/>
      <c r="L96" s="45"/>
      <c r="M96" s="45"/>
    </row>
    <row r="97" spans="11:13" x14ac:dyDescent="0.4">
      <c r="K97" s="45"/>
      <c r="L97" s="45"/>
      <c r="M97" s="45"/>
    </row>
    <row r="98" spans="11:13" x14ac:dyDescent="0.4">
      <c r="K98" s="45"/>
      <c r="L98" s="45"/>
      <c r="M98" s="45"/>
    </row>
    <row r="99" spans="11:13" x14ac:dyDescent="0.4">
      <c r="K99" s="45"/>
      <c r="L99" s="45"/>
      <c r="M99" s="45"/>
    </row>
    <row r="100" spans="11:13" x14ac:dyDescent="0.4">
      <c r="K100" s="45"/>
      <c r="L100" s="45"/>
      <c r="M100" s="45"/>
    </row>
    <row r="101" spans="11:13" x14ac:dyDescent="0.4">
      <c r="K101" s="45"/>
      <c r="L101" s="45"/>
      <c r="M101" s="45"/>
    </row>
    <row r="102" spans="11:13" x14ac:dyDescent="0.4">
      <c r="K102" s="45"/>
      <c r="L102" s="45"/>
      <c r="M102" s="45"/>
    </row>
    <row r="103" spans="11:13" x14ac:dyDescent="0.4">
      <c r="K103" s="45"/>
      <c r="L103" s="45"/>
      <c r="M103" s="45"/>
    </row>
    <row r="104" spans="11:13" x14ac:dyDescent="0.4">
      <c r="K104" s="45"/>
      <c r="L104" s="45"/>
      <c r="M104" s="45"/>
    </row>
    <row r="105" spans="11:13" x14ac:dyDescent="0.4">
      <c r="K105" s="45"/>
      <c r="L105" s="45"/>
      <c r="M105" s="45"/>
    </row>
    <row r="106" spans="11:13" x14ac:dyDescent="0.4">
      <c r="K106" s="45"/>
      <c r="L106" s="45"/>
      <c r="M106" s="45"/>
    </row>
    <row r="107" spans="11:13" x14ac:dyDescent="0.4">
      <c r="K107" s="45"/>
      <c r="L107" s="45"/>
      <c r="M107" s="45"/>
    </row>
    <row r="108" spans="11:13" x14ac:dyDescent="0.4">
      <c r="K108" s="45"/>
      <c r="L108" s="45"/>
      <c r="M108" s="45"/>
    </row>
    <row r="109" spans="11:13" x14ac:dyDescent="0.4">
      <c r="K109" s="45"/>
      <c r="L109" s="45"/>
      <c r="M109" s="45"/>
    </row>
    <row r="110" spans="11:13" x14ac:dyDescent="0.4">
      <c r="K110" s="45"/>
      <c r="L110" s="45"/>
      <c r="M110" s="45"/>
    </row>
    <row r="111" spans="11:13" x14ac:dyDescent="0.4">
      <c r="K111" s="45"/>
      <c r="L111" s="45"/>
      <c r="M111" s="45"/>
    </row>
    <row r="112" spans="11:13" x14ac:dyDescent="0.4">
      <c r="K112" s="45"/>
      <c r="L112" s="45"/>
      <c r="M112" s="45"/>
    </row>
    <row r="113" spans="11:13" x14ac:dyDescent="0.4">
      <c r="K113" s="45"/>
      <c r="L113" s="45"/>
      <c r="M113" s="45"/>
    </row>
    <row r="114" spans="11:13" x14ac:dyDescent="0.4">
      <c r="K114" s="45"/>
      <c r="L114" s="45"/>
      <c r="M114" s="45"/>
    </row>
    <row r="115" spans="11:13" x14ac:dyDescent="0.4">
      <c r="K115" s="45"/>
      <c r="L115" s="45"/>
      <c r="M115" s="45"/>
    </row>
    <row r="116" spans="11:13" x14ac:dyDescent="0.4">
      <c r="K116" s="45"/>
      <c r="L116" s="45"/>
      <c r="M116" s="45"/>
    </row>
    <row r="117" spans="11:13" x14ac:dyDescent="0.4">
      <c r="K117" s="45"/>
      <c r="L117" s="45"/>
      <c r="M117" s="45"/>
    </row>
    <row r="118" spans="11:13" x14ac:dyDescent="0.4">
      <c r="K118" s="45"/>
      <c r="L118" s="45"/>
      <c r="M118" s="45"/>
    </row>
    <row r="119" spans="11:13" x14ac:dyDescent="0.4">
      <c r="K119" s="45"/>
      <c r="L119" s="45"/>
      <c r="M119" s="45"/>
    </row>
    <row r="120" spans="11:13" x14ac:dyDescent="0.4">
      <c r="K120" s="45"/>
      <c r="L120" s="45"/>
      <c r="M120" s="45"/>
    </row>
    <row r="121" spans="11:13" x14ac:dyDescent="0.4">
      <c r="K121" s="45"/>
      <c r="L121" s="45"/>
      <c r="M121" s="45"/>
    </row>
    <row r="122" spans="11:13" x14ac:dyDescent="0.4">
      <c r="K122" s="45"/>
      <c r="L122" s="45"/>
      <c r="M122" s="45"/>
    </row>
    <row r="123" spans="11:13" x14ac:dyDescent="0.4">
      <c r="K123" s="45"/>
      <c r="L123" s="45"/>
      <c r="M123" s="45"/>
    </row>
    <row r="124" spans="11:13" x14ac:dyDescent="0.4">
      <c r="K124" s="45"/>
      <c r="L124" s="45"/>
      <c r="M124" s="45"/>
    </row>
    <row r="125" spans="11:13" x14ac:dyDescent="0.4">
      <c r="K125" s="45"/>
      <c r="L125" s="45"/>
      <c r="M125" s="45"/>
    </row>
    <row r="126" spans="11:13" x14ac:dyDescent="0.4">
      <c r="K126" s="45"/>
      <c r="L126" s="45"/>
      <c r="M126" s="45"/>
    </row>
    <row r="127" spans="11:13" x14ac:dyDescent="0.4">
      <c r="K127" s="45"/>
      <c r="L127" s="45"/>
      <c r="M127" s="45"/>
    </row>
    <row r="128" spans="11:13" x14ac:dyDescent="0.4">
      <c r="K128" s="45"/>
      <c r="L128" s="45"/>
      <c r="M128" s="45"/>
    </row>
    <row r="129" spans="11:13" x14ac:dyDescent="0.4">
      <c r="K129" s="45"/>
      <c r="L129" s="45"/>
      <c r="M129" s="45"/>
    </row>
    <row r="130" spans="11:13" x14ac:dyDescent="0.4">
      <c r="K130" s="45"/>
      <c r="L130" s="45"/>
      <c r="M130" s="45"/>
    </row>
    <row r="131" spans="11:13" x14ac:dyDescent="0.4">
      <c r="K131" s="45"/>
      <c r="L131" s="45"/>
      <c r="M131" s="45"/>
    </row>
    <row r="132" spans="11:13" x14ac:dyDescent="0.4">
      <c r="K132" s="45"/>
      <c r="L132" s="45"/>
      <c r="M132" s="45"/>
    </row>
    <row r="133" spans="11:13" x14ac:dyDescent="0.4">
      <c r="K133" s="45"/>
      <c r="L133" s="45"/>
      <c r="M133" s="45"/>
    </row>
    <row r="134" spans="11:13" x14ac:dyDescent="0.4">
      <c r="K134" s="45"/>
      <c r="L134" s="45"/>
      <c r="M134" s="45"/>
    </row>
    <row r="135" spans="11:13" x14ac:dyDescent="0.4">
      <c r="K135" s="45"/>
      <c r="L135" s="45"/>
      <c r="M135" s="45"/>
    </row>
    <row r="136" spans="11:13" x14ac:dyDescent="0.4">
      <c r="K136" s="45"/>
      <c r="L136" s="45"/>
      <c r="M136" s="45"/>
    </row>
    <row r="137" spans="11:13" x14ac:dyDescent="0.4">
      <c r="K137" s="45"/>
      <c r="L137" s="45"/>
      <c r="M137" s="45"/>
    </row>
    <row r="138" spans="11:13" x14ac:dyDescent="0.4">
      <c r="K138" s="45"/>
      <c r="L138" s="45"/>
      <c r="M138" s="45"/>
    </row>
    <row r="139" spans="11:13" x14ac:dyDescent="0.4">
      <c r="K139" s="45"/>
      <c r="L139" s="45"/>
      <c r="M139" s="45"/>
    </row>
    <row r="140" spans="11:13" x14ac:dyDescent="0.4">
      <c r="K140" s="45"/>
      <c r="L140" s="45"/>
      <c r="M140" s="45"/>
    </row>
    <row r="141" spans="11:13" x14ac:dyDescent="0.4">
      <c r="K141" s="45"/>
      <c r="L141" s="45"/>
      <c r="M141" s="45"/>
    </row>
    <row r="142" spans="11:13" x14ac:dyDescent="0.4">
      <c r="K142" s="45"/>
      <c r="L142" s="45"/>
      <c r="M142" s="45"/>
    </row>
    <row r="143" spans="11:13" x14ac:dyDescent="0.4">
      <c r="K143" s="45"/>
      <c r="L143" s="45"/>
      <c r="M143" s="45"/>
    </row>
    <row r="144" spans="11:13" x14ac:dyDescent="0.4">
      <c r="K144" s="45"/>
      <c r="L144" s="45"/>
      <c r="M144" s="45"/>
    </row>
    <row r="145" spans="11:13" x14ac:dyDescent="0.4">
      <c r="K145" s="45"/>
      <c r="L145" s="45"/>
      <c r="M145" s="45"/>
    </row>
    <row r="146" spans="11:13" x14ac:dyDescent="0.4">
      <c r="K146" s="45"/>
      <c r="L146" s="45"/>
      <c r="M146" s="45"/>
    </row>
    <row r="147" spans="11:13" x14ac:dyDescent="0.4">
      <c r="K147" s="45"/>
      <c r="L147" s="45"/>
      <c r="M147" s="45"/>
    </row>
    <row r="148" spans="11:13" x14ac:dyDescent="0.4">
      <c r="K148" s="45"/>
      <c r="L148" s="45"/>
      <c r="M148" s="45"/>
    </row>
    <row r="149" spans="11:13" x14ac:dyDescent="0.4">
      <c r="K149" s="45"/>
      <c r="L149" s="45"/>
      <c r="M149" s="45"/>
    </row>
    <row r="150" spans="11:13" x14ac:dyDescent="0.4">
      <c r="K150" s="45"/>
      <c r="L150" s="45"/>
      <c r="M150" s="45"/>
    </row>
    <row r="151" spans="11:13" x14ac:dyDescent="0.4">
      <c r="K151" s="45"/>
      <c r="L151" s="45"/>
      <c r="M151" s="45"/>
    </row>
    <row r="152" spans="11:13" x14ac:dyDescent="0.4">
      <c r="K152" s="45"/>
      <c r="L152" s="45"/>
      <c r="M152" s="45"/>
    </row>
    <row r="153" spans="11:13" x14ac:dyDescent="0.4">
      <c r="K153" s="45"/>
      <c r="L153" s="45"/>
      <c r="M153" s="45"/>
    </row>
    <row r="154" spans="11:13" x14ac:dyDescent="0.4">
      <c r="K154" s="45"/>
      <c r="L154" s="45"/>
      <c r="M154" s="45"/>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A80C4-3A41-470B-BFD8-D52AF8F2A5BD}">
  <sheetPr codeName="Sheet65">
    <pageSetUpPr fitToPage="1"/>
  </sheetPr>
  <dimension ref="A1:HO15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19" style="17" customWidth="1"/>
    <col min="4" max="4" width="3.15625" style="17" customWidth="1"/>
    <col min="5" max="5" width="19" style="17" customWidth="1"/>
    <col min="6" max="6" width="3.15625" style="17" customWidth="1"/>
    <col min="7" max="7" width="18.7890625" style="17" customWidth="1"/>
    <col min="8" max="8" width="3.15625" style="17" customWidth="1"/>
    <col min="9" max="9" width="18.5234375" style="17" customWidth="1"/>
    <col min="10" max="10" width="2.5234375" style="17" customWidth="1"/>
    <col min="11" max="11" width="18.5234375" style="17" customWidth="1"/>
    <col min="12" max="12" width="2" style="17" customWidth="1"/>
    <col min="13" max="13" width="18.5234375" style="17" customWidth="1"/>
    <col min="14" max="16" width="3.15625" style="17" customWidth="1"/>
    <col min="17" max="17" width="53.15625" style="17" bestFit="1" customWidth="1"/>
    <col min="18" max="18" width="3.15625" style="17" customWidth="1"/>
    <col min="19" max="19" width="15.15625" style="17" customWidth="1"/>
    <col min="20" max="20" width="3.734375" style="17" customWidth="1"/>
    <col min="21" max="21" width="14.7890625" style="17" customWidth="1"/>
    <col min="22" max="22" width="3.5234375" style="17" customWidth="1"/>
    <col min="23" max="23" width="14.7890625" style="17" customWidth="1"/>
    <col min="24" max="24" width="3.5234375" style="17" customWidth="1"/>
    <col min="25" max="25" width="12.47265625" style="17" customWidth="1"/>
    <col min="26" max="26" width="2.5234375" style="17" bestFit="1" customWidth="1"/>
    <col min="27" max="27" width="12.15625" style="17" bestFit="1" customWidth="1"/>
    <col min="28" max="28" width="2.5234375" style="17" customWidth="1"/>
    <col min="29" max="29" width="10.5234375" style="17" customWidth="1"/>
    <col min="30" max="30" width="2.5234375" style="17" customWidth="1"/>
    <col min="31" max="31" width="9.15625" style="17"/>
    <col min="32" max="32" width="4.47265625" style="17" customWidth="1"/>
    <col min="33" max="33" width="3.5234375" style="17" customWidth="1"/>
    <col min="34" max="34" width="22.15625" style="17" customWidth="1"/>
    <col min="35" max="16384" width="9.15625" style="17"/>
  </cols>
  <sheetData>
    <row r="1" spans="1:29" ht="16.5" customHeight="1" x14ac:dyDescent="0.4">
      <c r="A1" s="33"/>
    </row>
    <row r="2" spans="1:29" ht="16.5" customHeight="1" x14ac:dyDescent="0.4">
      <c r="A2" s="33"/>
    </row>
    <row r="3" spans="1:29" ht="16.5" customHeight="1" x14ac:dyDescent="0.55000000000000004">
      <c r="A3" s="33"/>
      <c r="G3"/>
    </row>
    <row r="4" spans="1:29" ht="16.5" customHeight="1" thickBot="1" x14ac:dyDescent="0.6">
      <c r="A4" s="33"/>
      <c r="G4"/>
    </row>
    <row r="5" spans="1:29" ht="15" x14ac:dyDescent="0.85">
      <c r="A5" s="151" t="s">
        <v>1287</v>
      </c>
    </row>
    <row r="6" spans="1:29" ht="14.7" thickBot="1" x14ac:dyDescent="0.6">
      <c r="A6" s="152" t="s">
        <v>50</v>
      </c>
      <c r="G6" s="1483" t="s">
        <v>2630</v>
      </c>
      <c r="H6" s="1484"/>
      <c r="I6" s="1484"/>
      <c r="J6" s="1484"/>
      <c r="K6" s="1484"/>
      <c r="L6" s="1484"/>
      <c r="M6" s="1484"/>
      <c r="N6" s="52"/>
      <c r="O6" s="52"/>
      <c r="Q6" s="43" t="str">
        <f>G6</f>
        <v>NiSource Inc.</v>
      </c>
      <c r="S6" s="43"/>
      <c r="T6" s="43"/>
      <c r="U6" s="43"/>
      <c r="V6" s="34"/>
      <c r="W6" s="43"/>
      <c r="X6" s="34"/>
      <c r="Y6" s="34"/>
      <c r="Z6" s="44"/>
      <c r="AA6" s="34"/>
      <c r="AB6" s="34"/>
      <c r="AC6" s="34"/>
    </row>
    <row r="7" spans="1:29" ht="14.4" x14ac:dyDescent="0.55000000000000004">
      <c r="G7" s="1483" t="s">
        <v>1282</v>
      </c>
      <c r="H7" s="1484"/>
      <c r="I7" s="1484"/>
      <c r="J7" s="1484"/>
      <c r="K7" s="1484"/>
      <c r="L7" s="1484"/>
      <c r="M7" s="1484"/>
      <c r="N7" s="52"/>
      <c r="O7" s="52"/>
      <c r="Q7" s="34" t="str">
        <f>G7</f>
        <v>CAPITALIZATION AND FINANCIAL STATISTICS  (1)</v>
      </c>
      <c r="S7" s="34"/>
      <c r="T7" s="34"/>
      <c r="U7" s="34"/>
      <c r="V7" s="34"/>
      <c r="W7" s="34"/>
      <c r="X7" s="34"/>
      <c r="Y7" s="34"/>
      <c r="Z7" s="34"/>
      <c r="AA7" s="34"/>
      <c r="AB7" s="34"/>
      <c r="AC7" s="34"/>
    </row>
    <row r="8" spans="1:29" ht="14.4" x14ac:dyDescent="0.55000000000000004">
      <c r="G8" s="1483" t="s">
        <v>2888</v>
      </c>
      <c r="H8" s="1484"/>
      <c r="I8" s="1484"/>
      <c r="J8" s="1484"/>
      <c r="K8" s="1484"/>
      <c r="L8" s="1484"/>
      <c r="M8" s="1484"/>
      <c r="N8" s="52"/>
      <c r="O8" s="52"/>
      <c r="Q8" s="44" t="str">
        <f>G8</f>
        <v>2018 - 2023, Inclusive</v>
      </c>
      <c r="S8" s="44"/>
      <c r="T8" s="44"/>
      <c r="U8" s="44"/>
      <c r="V8" s="34"/>
      <c r="W8" s="44"/>
      <c r="X8" s="34"/>
      <c r="Y8" s="34"/>
      <c r="Z8" s="44"/>
      <c r="AA8" s="34"/>
      <c r="AB8" s="34"/>
      <c r="AC8" s="34"/>
    </row>
    <row r="9" spans="1:29" x14ac:dyDescent="0.4">
      <c r="Q9" s="34"/>
      <c r="S9" s="34"/>
      <c r="T9" s="34"/>
      <c r="U9" s="34"/>
      <c r="V9" s="34"/>
      <c r="W9" s="34"/>
      <c r="X9" s="34"/>
      <c r="Y9" s="44"/>
      <c r="Z9" s="44"/>
      <c r="AA9" s="34"/>
      <c r="AB9" s="34"/>
      <c r="AC9" s="34"/>
    </row>
    <row r="10" spans="1:29" x14ac:dyDescent="0.4">
      <c r="B10" s="17" t="s">
        <v>2889</v>
      </c>
      <c r="C10" s="40">
        <v>2023</v>
      </c>
      <c r="E10" s="40">
        <v>2022</v>
      </c>
      <c r="G10" s="40">
        <v>2021</v>
      </c>
      <c r="I10" s="40">
        <v>2020</v>
      </c>
      <c r="K10" s="40">
        <v>2019</v>
      </c>
      <c r="M10" s="40">
        <v>2018</v>
      </c>
      <c r="N10" s="40"/>
      <c r="O10" s="40"/>
      <c r="Y10" s="44"/>
      <c r="Z10" s="44"/>
      <c r="AA10" s="34"/>
      <c r="AB10" s="34"/>
    </row>
    <row r="11" spans="1:29" x14ac:dyDescent="0.4">
      <c r="A11" s="17" t="s">
        <v>1288</v>
      </c>
    </row>
    <row r="12" spans="1:29" x14ac:dyDescent="0.4">
      <c r="A12" s="17" t="s">
        <v>1289</v>
      </c>
      <c r="B12" s="17" t="s">
        <v>1290</v>
      </c>
      <c r="C12" s="46">
        <f>(11055.5+23.8)*1000000</f>
        <v>11079300000</v>
      </c>
      <c r="E12" s="46">
        <v>9553600000</v>
      </c>
      <c r="G12" s="46">
        <f>9183400000+58100000</f>
        <v>9241500000</v>
      </c>
      <c r="I12" s="46">
        <f>9219800000+23300000</f>
        <v>9243100000</v>
      </c>
      <c r="J12" s="154"/>
      <c r="K12" s="46">
        <f>7856200000+13400000</f>
        <v>7869600000</v>
      </c>
      <c r="L12" s="154"/>
      <c r="M12" s="46">
        <v>7155400000</v>
      </c>
      <c r="N12" s="46"/>
      <c r="O12" s="46"/>
      <c r="S12" s="40">
        <f>C10</f>
        <v>2023</v>
      </c>
      <c r="U12" s="40">
        <f>E10</f>
        <v>2022</v>
      </c>
      <c r="W12" s="40">
        <f>G10</f>
        <v>2021</v>
      </c>
      <c r="Y12" s="40">
        <f>I10</f>
        <v>2020</v>
      </c>
      <c r="Z12" s="40"/>
      <c r="AA12" s="40">
        <f>K10</f>
        <v>2019</v>
      </c>
      <c r="AB12" s="40"/>
    </row>
    <row r="13" spans="1:29" x14ac:dyDescent="0.4">
      <c r="A13" s="17" t="s">
        <v>1291</v>
      </c>
      <c r="B13" s="17" t="s">
        <v>1292</v>
      </c>
      <c r="C13" s="46">
        <f>486.1*1000000</f>
        <v>486100000</v>
      </c>
      <c r="E13" s="46">
        <v>1546500000</v>
      </c>
      <c r="G13" s="46">
        <v>1546500000</v>
      </c>
      <c r="I13" s="46">
        <v>880000000</v>
      </c>
      <c r="K13" s="46">
        <v>880000000</v>
      </c>
      <c r="M13" s="46">
        <v>880000000</v>
      </c>
      <c r="N13" s="46"/>
      <c r="O13" s="46"/>
      <c r="Y13" s="34" t="s">
        <v>1247</v>
      </c>
      <c r="Z13" s="34"/>
      <c r="AA13" s="34"/>
      <c r="AB13" s="34"/>
      <c r="AC13" s="34" t="s">
        <v>1091</v>
      </c>
    </row>
    <row r="14" spans="1:29" x14ac:dyDescent="0.4">
      <c r="C14" s="46"/>
      <c r="E14" s="46"/>
      <c r="G14" s="46"/>
      <c r="I14" s="46"/>
      <c r="K14" s="46"/>
      <c r="Q14" s="47" t="s">
        <v>1248</v>
      </c>
      <c r="S14" s="47"/>
      <c r="T14" s="47"/>
      <c r="U14" s="47"/>
      <c r="V14" s="47"/>
      <c r="W14" s="47"/>
      <c r="X14" s="47"/>
    </row>
    <row r="15" spans="1:29" x14ac:dyDescent="0.4">
      <c r="A15" s="17" t="s">
        <v>1293</v>
      </c>
      <c r="B15" s="17" t="s">
        <v>1294</v>
      </c>
      <c r="C15" s="147">
        <v>447381671</v>
      </c>
      <c r="E15" s="46">
        <v>412142602</v>
      </c>
      <c r="G15" s="46">
        <v>405303023</v>
      </c>
      <c r="I15" s="46">
        <v>391760051</v>
      </c>
      <c r="K15" s="46">
        <v>382135680</v>
      </c>
      <c r="M15" s="46">
        <v>372363656</v>
      </c>
      <c r="N15" s="46"/>
      <c r="O15" s="46"/>
    </row>
    <row r="16" spans="1:29" x14ac:dyDescent="0.4">
      <c r="A16" s="17" t="s">
        <v>1239</v>
      </c>
      <c r="B16" s="17" t="s">
        <v>1295</v>
      </c>
      <c r="C16" s="46">
        <f>((8269.6)*1000000)-C13</f>
        <v>7783500000</v>
      </c>
      <c r="E16" s="46">
        <f>((7575.4)*1000000)-E13</f>
        <v>6028900000</v>
      </c>
      <c r="G16" s="46">
        <f>6947300000-G13</f>
        <v>5400800000</v>
      </c>
      <c r="I16" s="46">
        <f>5752200000-I13</f>
        <v>4872200000</v>
      </c>
      <c r="J16" s="154"/>
      <c r="K16" s="46">
        <f>5986700000-K13</f>
        <v>5106700000</v>
      </c>
      <c r="L16" s="154"/>
      <c r="M16" s="46">
        <f>5750900000-M13</f>
        <v>4870900000</v>
      </c>
      <c r="N16" s="46"/>
      <c r="O16" s="46"/>
      <c r="Q16" s="47" t="s">
        <v>1249</v>
      </c>
      <c r="S16" s="47"/>
      <c r="T16" s="47"/>
      <c r="U16" s="47"/>
      <c r="V16" s="47"/>
      <c r="W16" s="47"/>
      <c r="X16" s="47"/>
    </row>
    <row r="17" spans="1:30" x14ac:dyDescent="0.4">
      <c r="A17" s="17" t="s">
        <v>1296</v>
      </c>
      <c r="B17" s="17" t="s">
        <v>1294</v>
      </c>
      <c r="C17" s="46">
        <v>0</v>
      </c>
      <c r="E17" s="46">
        <v>0</v>
      </c>
      <c r="G17" s="46">
        <v>0</v>
      </c>
      <c r="I17" s="46">
        <v>0</v>
      </c>
      <c r="J17" s="154"/>
      <c r="K17" s="46">
        <v>0</v>
      </c>
      <c r="L17" s="154"/>
      <c r="M17" s="155">
        <v>0</v>
      </c>
      <c r="N17" s="155"/>
      <c r="O17" s="155"/>
      <c r="Q17" s="17" t="s">
        <v>1297</v>
      </c>
      <c r="S17" s="35">
        <f>C50/1000000</f>
        <v>19348.900000000001</v>
      </c>
      <c r="T17" s="35"/>
      <c r="U17" s="35">
        <f>E50/1000000</f>
        <v>17129</v>
      </c>
      <c r="V17" s="35"/>
      <c r="W17" s="35">
        <f>G50/1000000</f>
        <v>16188.8</v>
      </c>
      <c r="X17" s="35"/>
      <c r="Y17" s="35">
        <f>I50/1000000</f>
        <v>14995.3</v>
      </c>
      <c r="Z17" s="35"/>
      <c r="AA17" s="35">
        <f>K50/1000000</f>
        <v>13856.3</v>
      </c>
      <c r="AB17" s="35"/>
    </row>
    <row r="18" spans="1:30" x14ac:dyDescent="0.4">
      <c r="C18" s="46"/>
      <c r="E18" s="46"/>
      <c r="G18" s="46"/>
      <c r="I18" s="46"/>
      <c r="J18" s="154"/>
      <c r="K18" s="46"/>
      <c r="L18" s="154"/>
      <c r="M18" s="154"/>
      <c r="N18" s="154"/>
      <c r="O18" s="154"/>
      <c r="Q18" s="17" t="s">
        <v>1298</v>
      </c>
      <c r="S18" s="36">
        <f>C19/1000000</f>
        <v>3048.6</v>
      </c>
      <c r="T18" s="35"/>
      <c r="U18" s="36">
        <f>E19/1000000</f>
        <v>1761.9</v>
      </c>
      <c r="V18" s="35"/>
      <c r="W18" s="36">
        <f>G19/1000000</f>
        <v>560</v>
      </c>
      <c r="X18" s="35"/>
      <c r="Y18" s="36">
        <f>I19/1000000</f>
        <v>503</v>
      </c>
      <c r="Z18" s="35"/>
      <c r="AA18" s="36">
        <f>K19/1000000</f>
        <v>1773.2</v>
      </c>
      <c r="AB18" s="35"/>
    </row>
    <row r="19" spans="1:30" x14ac:dyDescent="0.4">
      <c r="A19" s="17" t="s">
        <v>1299</v>
      </c>
      <c r="B19" s="17" t="s">
        <v>1300</v>
      </c>
      <c r="C19" s="46">
        <f>3048.6*1000000</f>
        <v>3048600000</v>
      </c>
      <c r="E19" s="46">
        <f>1761.9*1000000</f>
        <v>1761900000</v>
      </c>
      <c r="G19" s="46">
        <v>560000000</v>
      </c>
      <c r="I19" s="46">
        <v>503000000</v>
      </c>
      <c r="J19" s="154"/>
      <c r="K19" s="46">
        <v>1773200000</v>
      </c>
      <c r="L19" s="154"/>
      <c r="M19" s="46">
        <v>1977200000</v>
      </c>
      <c r="N19" s="46"/>
      <c r="O19" s="46"/>
      <c r="Q19" s="17" t="s">
        <v>1301</v>
      </c>
      <c r="S19" s="37">
        <f>SUM(S17:S18)</f>
        <v>22397.5</v>
      </c>
      <c r="T19" s="35"/>
      <c r="U19" s="37">
        <f>SUM(U17:U18)</f>
        <v>18890.900000000001</v>
      </c>
      <c r="V19" s="35"/>
      <c r="W19" s="37">
        <f>SUM(W17:W18)</f>
        <v>16748.8</v>
      </c>
      <c r="X19" s="35"/>
      <c r="Y19" s="37">
        <f>SUM(Y17:Y18)</f>
        <v>15498.3</v>
      </c>
      <c r="Z19" s="35"/>
      <c r="AA19" s="37">
        <f>SUM(AA17:AA18)</f>
        <v>15629.5</v>
      </c>
      <c r="AB19" s="35"/>
    </row>
    <row r="20" spans="1:30" x14ac:dyDescent="0.4">
      <c r="G20" s="46"/>
      <c r="I20" s="46"/>
      <c r="J20" s="154"/>
      <c r="K20" s="46"/>
      <c r="L20" s="154"/>
      <c r="M20" s="156"/>
      <c r="N20" s="156"/>
      <c r="O20" s="156"/>
    </row>
    <row r="21" spans="1:30" x14ac:dyDescent="0.4">
      <c r="A21" s="17" t="s">
        <v>1302</v>
      </c>
      <c r="B21" s="17" t="s">
        <v>1303</v>
      </c>
      <c r="C21" s="46">
        <v>1.48</v>
      </c>
      <c r="E21" s="46">
        <v>1.7</v>
      </c>
      <c r="G21" s="46">
        <v>1.27</v>
      </c>
      <c r="I21" s="46">
        <v>-0.19</v>
      </c>
      <c r="J21" s="154"/>
      <c r="K21" s="46">
        <v>0.87</v>
      </c>
      <c r="L21" s="154"/>
      <c r="M21" s="46">
        <v>-0.18</v>
      </c>
      <c r="N21" s="46"/>
      <c r="O21" s="46"/>
      <c r="Q21" s="47" t="s">
        <v>1304</v>
      </c>
    </row>
    <row r="22" spans="1:30" x14ac:dyDescent="0.4">
      <c r="A22" s="17" t="s">
        <v>1305</v>
      </c>
      <c r="B22" s="17" t="s">
        <v>79</v>
      </c>
      <c r="C22" s="17">
        <v>28.89</v>
      </c>
      <c r="E22" s="17">
        <v>32.46</v>
      </c>
      <c r="G22" s="17">
        <v>27.7</v>
      </c>
      <c r="I22" s="46">
        <v>30.21</v>
      </c>
      <c r="K22" s="46">
        <v>30.56</v>
      </c>
      <c r="M22" s="155">
        <v>28.08</v>
      </c>
      <c r="N22" s="155"/>
      <c r="O22" s="155"/>
      <c r="Q22" s="17" t="s">
        <v>1306</v>
      </c>
      <c r="S22" s="38">
        <f>(ROUND((C30/(AVERAGE(C54,E54))*100),2))</f>
        <v>3.85</v>
      </c>
      <c r="T22" s="39" t="s">
        <v>1090</v>
      </c>
      <c r="U22" s="38">
        <f>(ROUND((E30/(AVERAGE(E54,G54))*100),2))</f>
        <v>3.42</v>
      </c>
      <c r="V22" s="39" t="s">
        <v>1090</v>
      </c>
      <c r="W22" s="38">
        <f>(ROUND((G30/(AVERAGE(G54,I54))*100),2))</f>
        <v>3.49</v>
      </c>
      <c r="X22" s="39" t="s">
        <v>1090</v>
      </c>
      <c r="Y22" s="38">
        <f>(ROUND((I30/(AVERAGE(I54,K54))*100),2))</f>
        <v>3.82</v>
      </c>
      <c r="Z22" s="39" t="s">
        <v>1090</v>
      </c>
      <c r="AA22" s="38">
        <f>(ROUND((K30/(AVERAGE(K54,M54))*100),2))</f>
        <v>4.04</v>
      </c>
      <c r="AB22" s="39" t="s">
        <v>1090</v>
      </c>
      <c r="AC22" s="18"/>
    </row>
    <row r="23" spans="1:30" x14ac:dyDescent="0.4">
      <c r="A23" s="17" t="s">
        <v>1307</v>
      </c>
      <c r="B23" s="17" t="s">
        <v>79</v>
      </c>
      <c r="C23" s="17">
        <v>23.18</v>
      </c>
      <c r="E23" s="17">
        <v>24.15</v>
      </c>
      <c r="G23" s="17">
        <v>21.26</v>
      </c>
      <c r="I23" s="46">
        <v>20.86</v>
      </c>
      <c r="K23" s="46">
        <v>25.07</v>
      </c>
      <c r="M23" s="155">
        <v>22.51</v>
      </c>
      <c r="N23" s="155"/>
      <c r="O23" s="155"/>
      <c r="Q23" s="17" t="s">
        <v>1308</v>
      </c>
      <c r="S23" s="157">
        <f>(ROUND((C36/(AVERAGE(C58,E58))*100),2))</f>
        <v>4.3099999999999996</v>
      </c>
      <c r="T23" s="158"/>
      <c r="U23" s="157">
        <f>(ROUND((E36/(AVERAGE(E58,G58))*100),2))</f>
        <v>3.56</v>
      </c>
      <c r="V23" s="158"/>
      <c r="W23" s="157">
        <f>(ROUND((G36/(AVERAGE(G58,I58))*100),2))</f>
        <v>4.54</v>
      </c>
      <c r="X23" s="158"/>
      <c r="Y23" s="157">
        <f>(ROUND((I36/(AVERAGE(I58,K58))*100),2))</f>
        <v>6.26</v>
      </c>
      <c r="Z23" s="158"/>
      <c r="AA23" s="157">
        <f>(ROUND((K36/(AVERAGE(K58,M58))*100),2))</f>
        <v>6.38</v>
      </c>
      <c r="AB23" s="33"/>
    </row>
    <row r="24" spans="1:30" x14ac:dyDescent="0.4">
      <c r="G24" s="46"/>
      <c r="I24" s="46"/>
      <c r="K24" s="46"/>
      <c r="M24" s="154"/>
      <c r="N24" s="154"/>
      <c r="O24" s="154"/>
      <c r="AC24" s="1485" t="s">
        <v>1285</v>
      </c>
      <c r="AD24" s="1485"/>
    </row>
    <row r="25" spans="1:30" x14ac:dyDescent="0.4">
      <c r="G25" s="46"/>
      <c r="I25" s="46"/>
      <c r="K25" s="46"/>
      <c r="M25" s="156"/>
      <c r="N25" s="156"/>
      <c r="O25" s="156"/>
      <c r="Q25" s="47" t="s">
        <v>1251</v>
      </c>
      <c r="AC25" s="1485" t="s">
        <v>1286</v>
      </c>
      <c r="AD25" s="1485"/>
    </row>
    <row r="26" spans="1:30" x14ac:dyDescent="0.4">
      <c r="A26" s="17" t="s">
        <v>1309</v>
      </c>
      <c r="B26" s="17" t="s">
        <v>79</v>
      </c>
      <c r="C26" s="46">
        <v>1</v>
      </c>
      <c r="E26" s="46">
        <v>0.94</v>
      </c>
      <c r="G26" s="46">
        <v>0.88</v>
      </c>
      <c r="I26" s="46">
        <v>0.84</v>
      </c>
      <c r="K26" s="46">
        <v>0.8</v>
      </c>
      <c r="M26" s="155">
        <v>0.78</v>
      </c>
      <c r="N26" s="155"/>
      <c r="O26" s="155"/>
      <c r="Q26" s="17" t="s">
        <v>1310</v>
      </c>
    </row>
    <row r="27" spans="1:30" x14ac:dyDescent="0.4">
      <c r="G27" s="46"/>
      <c r="I27" s="46"/>
      <c r="J27" s="154"/>
      <c r="K27" s="46"/>
      <c r="L27" s="154"/>
      <c r="M27" s="156"/>
      <c r="N27" s="156"/>
      <c r="O27" s="156"/>
      <c r="Q27" s="17" t="s">
        <v>1311</v>
      </c>
      <c r="S27" s="38">
        <f>ROUND(((C12/C50)*100),2)</f>
        <v>57.26</v>
      </c>
      <c r="T27" s="39" t="s">
        <v>1090</v>
      </c>
      <c r="U27" s="38">
        <f>ROUND(((E12/E50)*100),2)</f>
        <v>55.77</v>
      </c>
      <c r="V27" s="39" t="s">
        <v>1090</v>
      </c>
      <c r="W27" s="38">
        <f>ROUND(((G12/G50)*100),2)</f>
        <v>57.09</v>
      </c>
      <c r="X27" s="39" t="s">
        <v>1090</v>
      </c>
      <c r="Y27" s="38">
        <f>ROUND(((I12/I50)*100),2)</f>
        <v>61.64</v>
      </c>
      <c r="Z27" s="39" t="s">
        <v>1090</v>
      </c>
      <c r="AA27" s="38">
        <f>ROUND(((K12/K50)*100),2)+0.01</f>
        <v>56.8</v>
      </c>
      <c r="AB27" s="39" t="s">
        <v>1090</v>
      </c>
      <c r="AC27" s="38">
        <f>ROUND(AVERAGE(S27:AB27),2)</f>
        <v>57.71</v>
      </c>
      <c r="AD27" s="39" t="s">
        <v>1090</v>
      </c>
    </row>
    <row r="28" spans="1:30" x14ac:dyDescent="0.4">
      <c r="A28" s="17" t="s">
        <v>1252</v>
      </c>
      <c r="B28" s="17" t="s">
        <v>1252</v>
      </c>
      <c r="C28" s="46">
        <f>(25.3+25.2)*1000000</f>
        <v>50500000</v>
      </c>
      <c r="E28" s="46">
        <f>(6.7+15.1)*1000000</f>
        <v>21800000</v>
      </c>
      <c r="G28" s="46">
        <f>4600000+13100000</f>
        <v>17700000</v>
      </c>
      <c r="I28" s="46">
        <f>9900000+7000000</f>
        <v>16900000</v>
      </c>
      <c r="J28" s="154"/>
      <c r="K28" s="46">
        <f>8000000+7500000</f>
        <v>15500000</v>
      </c>
      <c r="L28" s="154"/>
      <c r="M28" s="155">
        <f>14200000+3800000</f>
        <v>18000000</v>
      </c>
      <c r="N28" s="155"/>
      <c r="O28" s="155"/>
      <c r="Q28" s="17" t="s">
        <v>1312</v>
      </c>
      <c r="S28" s="38">
        <f>ROUND(((SUM(C13,C17)/C50)*100),2)</f>
        <v>2.5099999999999998</v>
      </c>
      <c r="T28" s="39"/>
      <c r="U28" s="38">
        <f>ROUND(((SUM(E13,E17)/E50)*100),2)</f>
        <v>9.0299999999999994</v>
      </c>
      <c r="V28" s="39"/>
      <c r="W28" s="38">
        <f>ROUND(((SUM(G13,G17)/G50)*100),2)</f>
        <v>9.5500000000000007</v>
      </c>
      <c r="X28" s="39"/>
      <c r="Y28" s="38">
        <f>ROUND(((SUM(I13,I17)/I50)*100),2)</f>
        <v>5.87</v>
      </c>
      <c r="Z28" s="39"/>
      <c r="AA28" s="38">
        <f>ROUND(((SUM(K13,K17)/K50)*100),2)</f>
        <v>6.35</v>
      </c>
      <c r="AB28" s="39"/>
      <c r="AC28" s="38">
        <f>ROUND(AVERAGE(S28:AB28),2)</f>
        <v>6.66</v>
      </c>
      <c r="AD28" s="39"/>
    </row>
    <row r="29" spans="1:30" x14ac:dyDescent="0.4">
      <c r="C29" s="46"/>
      <c r="E29" s="46"/>
      <c r="G29" s="46"/>
      <c r="I29" s="46"/>
      <c r="J29" s="154"/>
      <c r="K29" s="46"/>
      <c r="L29" s="154"/>
      <c r="M29" s="156"/>
      <c r="N29" s="156"/>
      <c r="O29" s="156"/>
      <c r="Q29" s="17" t="s">
        <v>1313</v>
      </c>
      <c r="S29" s="41">
        <f>ROUND(((C16/C50)*100),2)</f>
        <v>40.229999999999997</v>
      </c>
      <c r="T29" s="39"/>
      <c r="U29" s="41">
        <f>ROUND(((E16/E50)*100),2)</f>
        <v>35.200000000000003</v>
      </c>
      <c r="V29" s="39"/>
      <c r="W29" s="41">
        <f>ROUND(((G16/G50)*100),2)</f>
        <v>33.36</v>
      </c>
      <c r="X29" s="39"/>
      <c r="Y29" s="41">
        <f>ROUND(((I16/I50)*100),2)</f>
        <v>32.49</v>
      </c>
      <c r="Z29" s="39"/>
      <c r="AA29" s="41">
        <f>ROUND(((K16/K50)*100),2)</f>
        <v>36.85</v>
      </c>
      <c r="AB29" s="39"/>
      <c r="AC29" s="38">
        <f>ROUND(AVERAGE(S29:AB29),2)</f>
        <v>35.630000000000003</v>
      </c>
      <c r="AD29" s="39"/>
    </row>
    <row r="30" spans="1:30" x14ac:dyDescent="0.4">
      <c r="A30" s="17" t="s">
        <v>1314</v>
      </c>
      <c r="B30" s="17" t="s">
        <v>1315</v>
      </c>
      <c r="C30" s="46">
        <f>489.6*1000000</f>
        <v>489600000</v>
      </c>
      <c r="E30" s="46">
        <f>361.6*1000000</f>
        <v>361600000</v>
      </c>
      <c r="G30" s="46">
        <v>341100000</v>
      </c>
      <c r="I30" s="46">
        <v>370700000</v>
      </c>
      <c r="J30" s="154"/>
      <c r="K30" s="46">
        <v>378900000</v>
      </c>
      <c r="L30" s="154"/>
      <c r="M30" s="46">
        <v>353300000</v>
      </c>
      <c r="N30" s="46"/>
      <c r="O30" s="46"/>
      <c r="Q30" s="17" t="s">
        <v>1316</v>
      </c>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C31" s="46"/>
      <c r="E31" s="46"/>
      <c r="G31" s="46"/>
      <c r="I31" s="46"/>
      <c r="J31" s="154"/>
      <c r="K31" s="46"/>
      <c r="L31" s="154"/>
      <c r="M31" s="156"/>
      <c r="N31" s="156"/>
      <c r="O31" s="156"/>
    </row>
    <row r="32" spans="1:30" x14ac:dyDescent="0.4">
      <c r="A32" s="17" t="s">
        <v>1317</v>
      </c>
      <c r="B32" s="17" t="s">
        <v>1318</v>
      </c>
      <c r="C32" s="46">
        <f>714.3*1000000</f>
        <v>714300000</v>
      </c>
      <c r="E32" s="46">
        <f>804.1*1000000</f>
        <v>804100000</v>
      </c>
      <c r="G32" s="46">
        <v>584900000</v>
      </c>
      <c r="I32" s="46">
        <v>-17600000</v>
      </c>
      <c r="J32" s="154"/>
      <c r="K32" s="46">
        <v>383100000</v>
      </c>
      <c r="L32" s="154"/>
      <c r="M32" s="46">
        <v>-50600000</v>
      </c>
      <c r="N32" s="46"/>
      <c r="O32" s="46"/>
      <c r="Q32" s="17" t="s">
        <v>1319</v>
      </c>
    </row>
    <row r="33" spans="1:30" x14ac:dyDescent="0.4">
      <c r="A33" s="48"/>
      <c r="B33" s="48"/>
      <c r="C33" s="46"/>
      <c r="D33" s="48"/>
      <c r="E33" s="46"/>
      <c r="F33" s="48"/>
      <c r="G33" s="49"/>
      <c r="H33" s="48"/>
      <c r="I33" s="49"/>
      <c r="J33" s="159"/>
      <c r="K33" s="49"/>
      <c r="L33" s="159"/>
      <c r="M33" s="160"/>
      <c r="N33" s="160"/>
      <c r="O33" s="160"/>
      <c r="Q33" s="17" t="s">
        <v>1320</v>
      </c>
      <c r="S33" s="38">
        <f>ROUND((((C12+C19)/C56)*100),2)</f>
        <v>63.08</v>
      </c>
      <c r="T33" s="39" t="s">
        <v>1090</v>
      </c>
      <c r="U33" s="38">
        <f>ROUND((((E12+E19)/E56)*100),2)</f>
        <v>59.9</v>
      </c>
      <c r="V33" s="39" t="s">
        <v>1090</v>
      </c>
      <c r="W33" s="38">
        <f>ROUND((((G12+G19)/G56)*100),2)</f>
        <v>58.52</v>
      </c>
      <c r="X33" s="39" t="s">
        <v>1090</v>
      </c>
      <c r="Y33" s="38">
        <f>ROUND((((I12+I19)/I56)*100),2)</f>
        <v>62.88</v>
      </c>
      <c r="Z33" s="39" t="s">
        <v>1090</v>
      </c>
      <c r="AA33" s="38">
        <f>ROUND((((K12+K19)/K56)*100),2)</f>
        <v>61.7</v>
      </c>
      <c r="AB33" s="39" t="s">
        <v>1090</v>
      </c>
      <c r="AC33" s="38">
        <f>ROUND(AVERAGE(S33:AB33),2)</f>
        <v>61.22</v>
      </c>
      <c r="AD33" s="39" t="s">
        <v>1090</v>
      </c>
    </row>
    <row r="34" spans="1:30" x14ac:dyDescent="0.4">
      <c r="A34" s="17" t="s">
        <v>1321</v>
      </c>
      <c r="B34" s="17" t="s">
        <v>1322</v>
      </c>
      <c r="C34" s="46">
        <f>661.7*1000000</f>
        <v>661700000</v>
      </c>
      <c r="E34" s="46">
        <f>749000000</f>
        <v>749000000</v>
      </c>
      <c r="G34" s="46">
        <v>529800000</v>
      </c>
      <c r="I34" s="46">
        <v>-72700000</v>
      </c>
      <c r="J34" s="154"/>
      <c r="K34" s="46">
        <v>328000000</v>
      </c>
      <c r="L34" s="154"/>
      <c r="M34" s="155">
        <v>-65600000</v>
      </c>
      <c r="N34" s="155"/>
      <c r="O34" s="155"/>
      <c r="Q34" s="17" t="s">
        <v>1312</v>
      </c>
      <c r="S34" s="38">
        <f>ROUND((((SUM(C13,C17))/C56)*100),2)</f>
        <v>2.17</v>
      </c>
      <c r="T34" s="39"/>
      <c r="U34" s="38">
        <f>ROUND((((SUM(E13,E17))/E56)*100),2)</f>
        <v>8.19</v>
      </c>
      <c r="V34" s="39"/>
      <c r="W34" s="38">
        <f>ROUND((((SUM(G13,G17))/G56)*100),2)</f>
        <v>9.23</v>
      </c>
      <c r="X34" s="39"/>
      <c r="Y34" s="38">
        <f>ROUND((((SUM(I13,I17))/I56)*100),2)</f>
        <v>5.68</v>
      </c>
      <c r="Z34" s="39"/>
      <c r="AA34" s="38">
        <f>ROUND((((SUM(K13,K17))/K56)*100),2)</f>
        <v>5.63</v>
      </c>
      <c r="AB34" s="39"/>
      <c r="AC34" s="38">
        <f>ROUND(AVERAGE(S34:AB34),2)</f>
        <v>6.18</v>
      </c>
      <c r="AD34" s="39"/>
    </row>
    <row r="35" spans="1:30" x14ac:dyDescent="0.4">
      <c r="C35" s="46"/>
      <c r="E35" s="46"/>
      <c r="G35" s="46"/>
      <c r="I35" s="46"/>
      <c r="J35" s="154"/>
      <c r="K35" s="46"/>
      <c r="L35" s="154"/>
      <c r="M35" s="154"/>
      <c r="N35" s="154"/>
      <c r="O35" s="154"/>
      <c r="Q35" s="17" t="s">
        <v>1313</v>
      </c>
      <c r="S35" s="41">
        <f>ROUND((((C16)/C56)*100),2)</f>
        <v>34.75</v>
      </c>
      <c r="T35" s="39"/>
      <c r="U35" s="41">
        <f>ROUND((((E16)/E56)*100),2)</f>
        <v>31.91</v>
      </c>
      <c r="V35" s="39"/>
      <c r="W35" s="41">
        <f>ROUND((((G16)/G56)*100),2)</f>
        <v>32.25</v>
      </c>
      <c r="X35" s="39"/>
      <c r="Y35" s="41">
        <f>ROUND((((I16)/I56)*100),2)</f>
        <v>31.44</v>
      </c>
      <c r="Z35" s="39"/>
      <c r="AA35" s="41">
        <f>ROUND((((K16)/K56)*100),2)</f>
        <v>32.67</v>
      </c>
      <c r="AB35" s="39"/>
      <c r="AC35" s="38">
        <f>ROUND(AVERAGE(S35:AB35),2)</f>
        <v>32.6</v>
      </c>
      <c r="AD35" s="39"/>
    </row>
    <row r="36" spans="1:30" x14ac:dyDescent="0.4">
      <c r="A36" s="17" t="s">
        <v>1323</v>
      </c>
      <c r="B36" s="17" t="s">
        <v>1324</v>
      </c>
      <c r="C36" s="46">
        <f>43.8*1000000</f>
        <v>43800000</v>
      </c>
      <c r="E36" s="46">
        <v>55100000</v>
      </c>
      <c r="G36" s="46">
        <v>55100000</v>
      </c>
      <c r="I36" s="46">
        <v>55100000</v>
      </c>
      <c r="J36" s="154"/>
      <c r="K36" s="46">
        <v>56100000</v>
      </c>
      <c r="L36" s="154"/>
      <c r="M36" s="155">
        <v>11600000</v>
      </c>
      <c r="N36" s="155"/>
      <c r="O36" s="155"/>
      <c r="Q36" s="17" t="s">
        <v>1316</v>
      </c>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C37" s="46"/>
      <c r="E37" s="46"/>
      <c r="G37" s="46"/>
      <c r="I37" s="46"/>
      <c r="J37" s="154"/>
      <c r="K37" s="46"/>
      <c r="L37" s="154"/>
      <c r="M37" s="154"/>
      <c r="N37" s="154"/>
      <c r="O37" s="154"/>
    </row>
    <row r="38" spans="1:30" x14ac:dyDescent="0.4">
      <c r="A38" s="17" t="s">
        <v>1325</v>
      </c>
      <c r="B38" s="17" t="s">
        <v>1326</v>
      </c>
      <c r="C38" s="46">
        <f>413.5*1000000</f>
        <v>413500000</v>
      </c>
      <c r="E38" s="46">
        <f>381.5*1000000</f>
        <v>381500000</v>
      </c>
      <c r="G38" s="46">
        <v>345200000</v>
      </c>
      <c r="I38" s="46">
        <v>321600000</v>
      </c>
      <c r="J38" s="154"/>
      <c r="K38" s="46">
        <v>298500000</v>
      </c>
      <c r="L38" s="154"/>
      <c r="M38" s="46">
        <v>273300000</v>
      </c>
      <c r="N38" s="46"/>
      <c r="O38" s="46"/>
    </row>
    <row r="39" spans="1:30" x14ac:dyDescent="0.4">
      <c r="C39" s="46"/>
      <c r="E39" s="46"/>
      <c r="G39" s="46"/>
      <c r="I39" s="46"/>
      <c r="J39" s="154"/>
      <c r="K39" s="46"/>
      <c r="L39" s="154"/>
      <c r="M39" s="156"/>
      <c r="N39" s="156"/>
      <c r="O39" s="156"/>
    </row>
    <row r="40" spans="1:30" x14ac:dyDescent="0.4">
      <c r="A40" s="17" t="s">
        <v>1327</v>
      </c>
      <c r="B40" s="17" t="s">
        <v>1328</v>
      </c>
      <c r="C40" s="46">
        <f>C32</f>
        <v>714300000</v>
      </c>
      <c r="E40" s="46">
        <f>E32</f>
        <v>804100000</v>
      </c>
      <c r="G40" s="46">
        <f>G32</f>
        <v>584900000</v>
      </c>
      <c r="I40" s="46">
        <v>-14200000</v>
      </c>
      <c r="J40" s="154"/>
      <c r="K40" s="46">
        <f>K32</f>
        <v>383100000</v>
      </c>
      <c r="L40" s="154"/>
      <c r="M40" s="155">
        <f>M32</f>
        <v>-50600000</v>
      </c>
      <c r="N40" s="155"/>
      <c r="O40" s="155"/>
      <c r="Q40" s="47" t="s">
        <v>1329</v>
      </c>
    </row>
    <row r="41" spans="1:30" x14ac:dyDescent="0.4">
      <c r="A41" s="17" t="s">
        <v>1330</v>
      </c>
      <c r="B41" s="17" t="s">
        <v>1331</v>
      </c>
      <c r="C41" s="46">
        <f>1935.1*1000000</f>
        <v>1935100000</v>
      </c>
      <c r="E41" s="46">
        <f>1409.4*1000000</f>
        <v>1409400000</v>
      </c>
      <c r="G41" s="46">
        <v>1217900000</v>
      </c>
      <c r="I41" s="46">
        <v>1104000000</v>
      </c>
      <c r="J41" s="154"/>
      <c r="K41" s="46">
        <v>1583300000</v>
      </c>
      <c r="L41" s="154"/>
      <c r="M41" s="46">
        <v>540100000</v>
      </c>
      <c r="N41" s="46"/>
      <c r="O41" s="46"/>
      <c r="Q41" s="47"/>
    </row>
    <row r="42" spans="1:30" x14ac:dyDescent="0.4">
      <c r="A42" s="17" t="s">
        <v>1332</v>
      </c>
      <c r="B42" s="17" t="s">
        <v>1333</v>
      </c>
      <c r="C42" s="46">
        <f>(184.1+233.9-171.8+126.5-102.9+36.7-26.2-22-10.1-48.3)*1000000</f>
        <v>199899999.99999997</v>
      </c>
      <c r="E42" s="46">
        <f>(-216.3-258.9+165+57.8+73.4-9.8-129.4+84.7-4.1-47.8)*1000000</f>
        <v>-285400000</v>
      </c>
      <c r="G42" s="46">
        <f>(-40.3-112.9+54.9-114.2+43-36.6+76.8-96.4-4.7-30)*1000000</f>
        <v>-260399999.99999997</v>
      </c>
      <c r="I42" s="46">
        <f>(-3.9-1.5-29.7+10+28.4+5.3+-6.9+-218.8-5.9+70.8-103.6-15+21.7)*1000000</f>
        <v>-249100000.00000009</v>
      </c>
      <c r="J42" s="154"/>
      <c r="K42" s="46">
        <f>(187.8-2-299.9+16.9+7.3+8.8+55.5+105.3-33.6-85.6-21.2-76.1+61.6)*1000000</f>
        <v>-75199999.999999955</v>
      </c>
      <c r="L42" s="154"/>
      <c r="M42" s="46">
        <f>(-186.2+41.4+268.4-25.4+20.2-21.7-21.5+43.5-14.5-53.2+58.2+3.8-2.8)*1000000</f>
        <v>110199999.99999999</v>
      </c>
      <c r="N42" s="46"/>
      <c r="O42" s="46"/>
      <c r="Q42" s="47" t="s">
        <v>1334</v>
      </c>
    </row>
    <row r="43" spans="1:30" x14ac:dyDescent="0.4">
      <c r="A43" s="17" t="s">
        <v>1335</v>
      </c>
      <c r="B43" s="17" t="s">
        <v>1336</v>
      </c>
      <c r="C43" s="46">
        <f>908.2*1000000</f>
        <v>908200000</v>
      </c>
      <c r="E43" s="46">
        <f>820.8*1000000</f>
        <v>820800000</v>
      </c>
      <c r="G43" s="46">
        <v>748400000</v>
      </c>
      <c r="I43" s="46">
        <v>725900000</v>
      </c>
      <c r="J43" s="154"/>
      <c r="K43" s="46">
        <v>717400000</v>
      </c>
      <c r="L43" s="154"/>
      <c r="M43" s="46">
        <v>599600000</v>
      </c>
      <c r="N43" s="46"/>
      <c r="O43" s="46"/>
      <c r="Q43" s="17" t="s">
        <v>1337</v>
      </c>
      <c r="S43" s="38">
        <f>ROUND(C21/C52,4)*100</f>
        <v>5.6800000000000006</v>
      </c>
      <c r="T43" s="39" t="s">
        <v>1090</v>
      </c>
      <c r="U43" s="38">
        <f>ROUND(E21/E52,4)*100</f>
        <v>6.01</v>
      </c>
      <c r="V43" s="39" t="s">
        <v>1090</v>
      </c>
      <c r="W43" s="38">
        <f>ROUND(G21/G52,4)*100</f>
        <v>5.19</v>
      </c>
      <c r="X43" s="39" t="s">
        <v>1090</v>
      </c>
      <c r="Y43" s="38">
        <f>ROUND(I21/I52,4)*100</f>
        <v>-0.74</v>
      </c>
      <c r="Z43" s="39" t="s">
        <v>1090</v>
      </c>
      <c r="AA43" s="38">
        <f>ROUND(K21/K52,4)*100</f>
        <v>3.1300000000000003</v>
      </c>
      <c r="AB43" s="39" t="s">
        <v>1090</v>
      </c>
      <c r="AC43" s="38">
        <f>ROUND(AVERAGE(S43:AB43),2)</f>
        <v>3.85</v>
      </c>
      <c r="AD43" s="39" t="s">
        <v>1090</v>
      </c>
    </row>
    <row r="44" spans="1:30" x14ac:dyDescent="0.4">
      <c r="A44" s="17" t="s">
        <v>1338</v>
      </c>
      <c r="B44" s="17" t="s">
        <v>1339</v>
      </c>
      <c r="C44" s="46">
        <f>139.5*1000000</f>
        <v>139500000</v>
      </c>
      <c r="E44" s="46">
        <f>164.6*1000000</f>
        <v>164600000</v>
      </c>
      <c r="G44" s="46">
        <v>117800000</v>
      </c>
      <c r="I44" s="46">
        <v>-17100000</v>
      </c>
      <c r="J44" s="154"/>
      <c r="K44" s="46">
        <v>123500000</v>
      </c>
      <c r="L44" s="154"/>
      <c r="M44" s="155">
        <v>180000000</v>
      </c>
      <c r="N44" s="155"/>
      <c r="O44" s="155"/>
      <c r="Q44" s="17" t="s">
        <v>1340</v>
      </c>
      <c r="S44" s="38">
        <f>(ROUND((C52/(AVERAGE(C48,E48))*100),2))</f>
        <v>162.59</v>
      </c>
      <c r="U44" s="38">
        <f>(ROUND((E52/(AVERAGE(E48,G48))*100),2))</f>
        <v>202.51</v>
      </c>
      <c r="W44" s="38">
        <f>(ROUND((G52/(AVERAGE(G48,I48))*100),2))</f>
        <v>190.05</v>
      </c>
      <c r="Y44" s="38">
        <f>(ROUND((I52/(AVERAGE(I48,K48))*100),2))</f>
        <v>197.94</v>
      </c>
      <c r="AA44" s="38">
        <f>(ROUND((K52/(AVERAGE(K48,M48))*100),2))</f>
        <v>210.36</v>
      </c>
      <c r="AC44" s="38">
        <f>ROUND(AVERAGE(S44:AB44),2)</f>
        <v>192.69</v>
      </c>
    </row>
    <row r="45" spans="1:30" x14ac:dyDescent="0.4">
      <c r="G45" s="46"/>
      <c r="I45" s="46"/>
      <c r="K45" s="46"/>
      <c r="M45" s="46"/>
      <c r="N45" s="46"/>
      <c r="O45" s="46"/>
      <c r="Q45" s="17" t="s">
        <v>1341</v>
      </c>
      <c r="S45" s="38">
        <f>ROUND(((+C26/C52)*100),2)</f>
        <v>3.84</v>
      </c>
      <c r="U45" s="38">
        <f>ROUND(((+E26/E52)*100),2)</f>
        <v>3.32</v>
      </c>
      <c r="W45" s="38">
        <f>ROUND(((+G26/G52)*100),2)</f>
        <v>3.59</v>
      </c>
      <c r="Y45" s="38">
        <f>ROUND(((+I26/I52)*100),2)</f>
        <v>3.29</v>
      </c>
      <c r="AA45" s="38">
        <f>ROUND(((+K26/K52)*100),2)</f>
        <v>2.88</v>
      </c>
      <c r="AC45" s="38">
        <f>ROUND(AVERAGE(S45:AB45),2)</f>
        <v>3.38</v>
      </c>
    </row>
    <row r="46" spans="1:30" x14ac:dyDescent="0.4">
      <c r="A46" s="17" t="s">
        <v>1342</v>
      </c>
      <c r="G46" s="46"/>
      <c r="I46" s="46"/>
      <c r="K46" s="46"/>
      <c r="M46" s="46"/>
      <c r="N46" s="46"/>
      <c r="O46" s="46"/>
      <c r="Q46" s="17" t="s">
        <v>1343</v>
      </c>
      <c r="S46" s="38">
        <f>ROUND(((+C38/C34)*100),2)</f>
        <v>62.49</v>
      </c>
      <c r="U46" s="38">
        <f>ROUND(((+E38/E34)*100),2)</f>
        <v>50.93</v>
      </c>
      <c r="W46" s="38">
        <f>ROUND(((+G38/G34)*100),2)</f>
        <v>65.16</v>
      </c>
      <c r="Y46" s="161" t="s">
        <v>2890</v>
      </c>
      <c r="AA46" s="38">
        <f>ROUND(((+K38/K34)*100),2)</f>
        <v>91.01</v>
      </c>
      <c r="AC46" s="38">
        <f>ROUND(AVERAGE(S46:AB46),2)</f>
        <v>67.400000000000006</v>
      </c>
    </row>
    <row r="47" spans="1:30" x14ac:dyDescent="0.4">
      <c r="G47" s="46"/>
      <c r="I47" s="46"/>
      <c r="K47" s="46"/>
      <c r="M47" s="46"/>
      <c r="N47" s="46"/>
      <c r="O47" s="46"/>
      <c r="S47" s="38"/>
      <c r="U47" s="38"/>
      <c r="W47" s="38"/>
      <c r="Y47" s="38"/>
      <c r="AA47" s="38"/>
      <c r="AC47" s="38"/>
    </row>
    <row r="48" spans="1:30" x14ac:dyDescent="0.4">
      <c r="A48" s="17" t="s">
        <v>1344</v>
      </c>
      <c r="B48" s="17" t="s">
        <v>1345</v>
      </c>
      <c r="C48" s="46">
        <f>C16/C15</f>
        <v>17.397896481995122</v>
      </c>
      <c r="E48" s="46">
        <f>E16/E15</f>
        <v>14.628189298421521</v>
      </c>
      <c r="G48" s="46">
        <f>G16/G15</f>
        <v>13.325338557862175</v>
      </c>
      <c r="I48" s="46">
        <f>I16/I15</f>
        <v>12.436694317256968</v>
      </c>
      <c r="K48" s="46">
        <f>K16/K15</f>
        <v>13.363578088285292</v>
      </c>
      <c r="M48" s="46">
        <f>M16/M15</f>
        <v>13.08102958361758</v>
      </c>
      <c r="N48" s="46"/>
      <c r="O48" s="46"/>
      <c r="Q48" s="47" t="s">
        <v>1253</v>
      </c>
      <c r="S48" s="38">
        <f>ROUND(((C34/AVERAGE(C16,E16))*100),2)</f>
        <v>9.58</v>
      </c>
      <c r="T48" s="17" t="s">
        <v>1090</v>
      </c>
      <c r="U48" s="38">
        <f>ROUND(((E34/AVERAGE(E16,G16))*100),2)</f>
        <v>13.11</v>
      </c>
      <c r="V48" s="17" t="s">
        <v>1090</v>
      </c>
      <c r="W48" s="38">
        <f>ROUND(((G34/AVERAGE(G16,I16))*100),2)</f>
        <v>10.31</v>
      </c>
      <c r="X48" s="17" t="s">
        <v>1090</v>
      </c>
      <c r="Y48" s="38">
        <f>ROUND(((I34/AVERAGE(I16,K16))*100),2)</f>
        <v>-1.46</v>
      </c>
      <c r="Z48" s="17" t="s">
        <v>1090</v>
      </c>
      <c r="AA48" s="38">
        <f>ROUND(((K34/AVERAGE(K16,M16))*100),2)</f>
        <v>6.57</v>
      </c>
      <c r="AB48" s="17" t="s">
        <v>1090</v>
      </c>
      <c r="AC48" s="38">
        <f>ROUND(AVERAGE(S48:AB48),2)</f>
        <v>7.62</v>
      </c>
      <c r="AD48" s="17" t="s">
        <v>1090</v>
      </c>
    </row>
    <row r="49" spans="1:30" x14ac:dyDescent="0.4">
      <c r="C49" s="46"/>
      <c r="E49" s="46"/>
      <c r="G49" s="46"/>
      <c r="I49" s="46"/>
      <c r="K49" s="46"/>
      <c r="M49" s="46"/>
      <c r="N49" s="46"/>
      <c r="O49" s="46"/>
      <c r="S49" s="38"/>
      <c r="U49" s="38"/>
      <c r="W49" s="38"/>
      <c r="Y49" s="38"/>
      <c r="AA49" s="38"/>
      <c r="AC49" s="39"/>
    </row>
    <row r="50" spans="1:30" x14ac:dyDescent="0.4">
      <c r="A50" s="17" t="s">
        <v>1283</v>
      </c>
      <c r="B50" s="17" t="s">
        <v>1345</v>
      </c>
      <c r="C50" s="46">
        <f>SUM(C12:C13,C16:C17)</f>
        <v>19348900000</v>
      </c>
      <c r="E50" s="46">
        <f>SUM(E12:E13,E16:E17)</f>
        <v>17129000000</v>
      </c>
      <c r="G50" s="46">
        <f>SUM(G12:G13,G16:G17)</f>
        <v>16188800000</v>
      </c>
      <c r="I50" s="46">
        <f>SUM(I12:I13,I16:I17)</f>
        <v>14995300000</v>
      </c>
      <c r="K50" s="46">
        <f>SUM(K12:K13,K16:K17)</f>
        <v>13856300000</v>
      </c>
      <c r="M50" s="46">
        <f>SUM(M12:M13,M16:M17)</f>
        <v>12906300000</v>
      </c>
      <c r="N50" s="46"/>
      <c r="O50" s="46"/>
      <c r="Q50" s="47" t="s">
        <v>1254</v>
      </c>
      <c r="S50" s="38">
        <f>ROUND((C54/C62),2)</f>
        <v>6.27</v>
      </c>
      <c r="T50" s="39" t="s">
        <v>1255</v>
      </c>
      <c r="U50" s="38">
        <f>ROUND((E54/E62),2)</f>
        <v>5.26</v>
      </c>
      <c r="V50" s="39" t="s">
        <v>1255</v>
      </c>
      <c r="W50" s="38">
        <f>ROUND((G54/G62),2)</f>
        <v>5.47</v>
      </c>
      <c r="X50" s="39" t="s">
        <v>1255</v>
      </c>
      <c r="Y50" s="38">
        <f>ROUND((I54/I62),2)</f>
        <v>9.15</v>
      </c>
      <c r="Z50" s="39" t="s">
        <v>1255</v>
      </c>
      <c r="AA50" s="38">
        <f>ROUND((K54/K62),2)</f>
        <v>6.02</v>
      </c>
      <c r="AB50" s="39" t="s">
        <v>1255</v>
      </c>
      <c r="AC50" s="38">
        <f>ROUND(AVERAGE(S50:AB50),2)</f>
        <v>6.43</v>
      </c>
      <c r="AD50" s="17" t="s">
        <v>1255</v>
      </c>
    </row>
    <row r="51" spans="1:30" x14ac:dyDescent="0.4">
      <c r="C51" s="46"/>
      <c r="E51" s="46"/>
      <c r="G51" s="46"/>
      <c r="I51" s="46"/>
      <c r="K51" s="46"/>
      <c r="M51" s="46"/>
      <c r="N51" s="46"/>
      <c r="O51" s="46"/>
      <c r="Q51" s="47"/>
      <c r="S51" s="38"/>
      <c r="U51" s="38"/>
      <c r="W51" s="38"/>
      <c r="Y51" s="38"/>
      <c r="AA51" s="38"/>
      <c r="AC51" s="38"/>
    </row>
    <row r="52" spans="1:30" x14ac:dyDescent="0.4">
      <c r="A52" s="17" t="s">
        <v>121</v>
      </c>
      <c r="B52" s="17" t="s">
        <v>1345</v>
      </c>
      <c r="C52" s="46">
        <f>AVERAGE(C22:C23)</f>
        <v>26.035</v>
      </c>
      <c r="E52" s="46">
        <f>AVERAGE(E22:E23)</f>
        <v>28.305</v>
      </c>
      <c r="G52" s="46">
        <f>AVERAGE(G22:G23)</f>
        <v>24.48</v>
      </c>
      <c r="I52" s="46">
        <f>AVERAGE(I22:I23)</f>
        <v>25.535</v>
      </c>
      <c r="K52" s="46">
        <f>AVERAGE(K22:K23)</f>
        <v>27.814999999999998</v>
      </c>
      <c r="M52" s="46">
        <f>AVERAGE(M22:M23)</f>
        <v>25.295000000000002</v>
      </c>
      <c r="N52" s="46"/>
      <c r="O52" s="46"/>
      <c r="Q52" s="47" t="s">
        <v>1256</v>
      </c>
      <c r="S52" s="38">
        <f>ROUND(((C60/C54)*100),2)</f>
        <v>14.75</v>
      </c>
      <c r="T52" s="39" t="s">
        <v>1090</v>
      </c>
      <c r="U52" s="38">
        <f>ROUND(((E60/E54)*100),2)</f>
        <v>9.74</v>
      </c>
      <c r="V52" s="39" t="s">
        <v>1090</v>
      </c>
      <c r="W52" s="38">
        <f>ROUND(((G60/G54)*100),2)</f>
        <v>9.59</v>
      </c>
      <c r="X52" s="39" t="s">
        <v>1090</v>
      </c>
      <c r="Y52" s="38">
        <f>ROUND(((I60/I54)*100),2)</f>
        <v>8.6</v>
      </c>
      <c r="Z52" s="39" t="s">
        <v>1090</v>
      </c>
      <c r="AA52" s="38">
        <f>ROUND(((K60/K54)*100),2)</f>
        <v>15.48</v>
      </c>
      <c r="AB52" s="39" t="s">
        <v>1090</v>
      </c>
      <c r="AC52" s="38">
        <f>ROUND(AVERAGE(S52:AB52),2)</f>
        <v>11.63</v>
      </c>
      <c r="AD52" s="17" t="s">
        <v>1090</v>
      </c>
    </row>
    <row r="53" spans="1:30" x14ac:dyDescent="0.4">
      <c r="C53" s="46"/>
      <c r="E53" s="46"/>
      <c r="G53" s="46"/>
      <c r="I53" s="46"/>
      <c r="K53" s="46"/>
      <c r="M53" s="46"/>
      <c r="N53" s="46"/>
      <c r="O53" s="46"/>
      <c r="Q53" s="50"/>
      <c r="S53" s="38"/>
      <c r="U53" s="38"/>
      <c r="W53" s="38"/>
      <c r="Y53" s="38"/>
      <c r="AA53" s="38"/>
    </row>
    <row r="54" spans="1:30" x14ac:dyDescent="0.4">
      <c r="A54" s="17" t="s">
        <v>1250</v>
      </c>
      <c r="C54" s="78">
        <f>+C19+C12</f>
        <v>14127900000</v>
      </c>
      <c r="E54" s="78">
        <f>+E19+E12</f>
        <v>11315500000</v>
      </c>
      <c r="G54" s="78">
        <f>+G19+G12</f>
        <v>9801500000</v>
      </c>
      <c r="I54" s="78">
        <f>+I19+I12</f>
        <v>9746100000</v>
      </c>
      <c r="K54" s="78">
        <f>+K19+K12</f>
        <v>9642800000</v>
      </c>
      <c r="M54" s="78">
        <f>+M19+M12</f>
        <v>9132600000</v>
      </c>
      <c r="N54" s="78"/>
      <c r="O54" s="78"/>
      <c r="Q54" s="50" t="s">
        <v>1257</v>
      </c>
      <c r="S54" s="38">
        <f>S33</f>
        <v>63.08</v>
      </c>
      <c r="T54" s="39" t="s">
        <v>1090</v>
      </c>
      <c r="U54" s="38">
        <f>U33</f>
        <v>59.9</v>
      </c>
      <c r="V54" s="39" t="s">
        <v>1090</v>
      </c>
      <c r="W54" s="38">
        <f>W33</f>
        <v>58.52</v>
      </c>
      <c r="X54" s="39" t="s">
        <v>1090</v>
      </c>
      <c r="Y54" s="38">
        <f>Y33</f>
        <v>62.88</v>
      </c>
      <c r="Z54" s="39" t="s">
        <v>1090</v>
      </c>
      <c r="AA54" s="38">
        <f>AA33</f>
        <v>61.7</v>
      </c>
      <c r="AB54" s="39" t="s">
        <v>1090</v>
      </c>
      <c r="AC54" s="38">
        <f>ROUND(AVERAGE(S54:AB54),2)</f>
        <v>61.22</v>
      </c>
      <c r="AD54" s="39" t="s">
        <v>1090</v>
      </c>
    </row>
    <row r="55" spans="1:30" x14ac:dyDescent="0.4">
      <c r="C55" s="46"/>
      <c r="E55" s="46"/>
      <c r="G55" s="46"/>
      <c r="I55" s="46"/>
      <c r="K55" s="46"/>
      <c r="M55" s="46"/>
      <c r="N55" s="46"/>
      <c r="O55" s="46"/>
    </row>
    <row r="56" spans="1:30" x14ac:dyDescent="0.4">
      <c r="A56" s="17" t="s">
        <v>1346</v>
      </c>
      <c r="B56" s="17" t="s">
        <v>1345</v>
      </c>
      <c r="C56" s="46">
        <f>SUM(C50,C19)</f>
        <v>22397500000</v>
      </c>
      <c r="E56" s="46">
        <f>SUM(E50,E19)</f>
        <v>18890900000</v>
      </c>
      <c r="G56" s="46">
        <f>SUM(G50,G19)</f>
        <v>16748800000</v>
      </c>
      <c r="I56" s="46">
        <f>SUM(I50,I19)</f>
        <v>15498300000</v>
      </c>
      <c r="K56" s="46">
        <f>SUM(K50,K19)</f>
        <v>15629500000</v>
      </c>
      <c r="M56" s="46">
        <f>SUM(M50,M19)</f>
        <v>14883500000</v>
      </c>
      <c r="N56" s="46"/>
      <c r="O56" s="46"/>
    </row>
    <row r="57" spans="1:30" x14ac:dyDescent="0.4">
      <c r="C57" s="46"/>
      <c r="E57" s="46"/>
      <c r="G57" s="46"/>
      <c r="I57" s="46"/>
      <c r="K57" s="46"/>
      <c r="M57" s="46"/>
      <c r="N57" s="46"/>
      <c r="O57" s="46"/>
    </row>
    <row r="58" spans="1:30" x14ac:dyDescent="0.4">
      <c r="A58" s="17" t="s">
        <v>1347</v>
      </c>
      <c r="B58" s="17" t="s">
        <v>1345</v>
      </c>
      <c r="C58" s="46">
        <f>SUM(C13,C17)</f>
        <v>486100000</v>
      </c>
      <c r="E58" s="46">
        <f>SUM(E13,E17)</f>
        <v>1546500000</v>
      </c>
      <c r="G58" s="46">
        <f>SUM(G13,G17)</f>
        <v>1546500000</v>
      </c>
      <c r="I58" s="46">
        <f>SUM(I13,I17)</f>
        <v>880000000</v>
      </c>
      <c r="K58" s="46">
        <f>SUM(K13,K17)</f>
        <v>880000000</v>
      </c>
      <c r="M58" s="46">
        <f>SUM(M13,M17)</f>
        <v>880000000</v>
      </c>
      <c r="N58" s="46"/>
      <c r="O58" s="46"/>
    </row>
    <row r="59" spans="1:30" x14ac:dyDescent="0.4">
      <c r="C59" s="46"/>
      <c r="E59" s="46"/>
      <c r="G59" s="46"/>
      <c r="I59" s="46"/>
      <c r="K59" s="46"/>
      <c r="M59" s="46"/>
      <c r="N59" s="46"/>
      <c r="O59" s="46"/>
    </row>
    <row r="60" spans="1:30" x14ac:dyDescent="0.4">
      <c r="A60" s="19" t="s">
        <v>1258</v>
      </c>
      <c r="B60" s="17" t="s">
        <v>1345</v>
      </c>
      <c r="C60" s="46">
        <f>ROUND(C41+C42-C28,3)</f>
        <v>2084500000</v>
      </c>
      <c r="E60" s="46">
        <f>ROUND(E41+E42-E28,3)</f>
        <v>1102200000</v>
      </c>
      <c r="G60" s="46">
        <f>ROUND(G41+G42-G28,3)</f>
        <v>939800000</v>
      </c>
      <c r="I60" s="46">
        <f>ROUND(I41+I42-I28,3)</f>
        <v>838000000</v>
      </c>
      <c r="K60" s="46">
        <f>ROUND(K41+K42-K28,3)</f>
        <v>1492600000</v>
      </c>
      <c r="M60" s="46">
        <f>ROUND(M41+M42-M28,3)</f>
        <v>632300000</v>
      </c>
      <c r="N60" s="46"/>
      <c r="O60" s="46"/>
    </row>
    <row r="61" spans="1:30" x14ac:dyDescent="0.4">
      <c r="A61" s="19"/>
      <c r="C61" s="46"/>
      <c r="E61" s="46"/>
      <c r="G61" s="46"/>
      <c r="I61" s="46"/>
      <c r="K61" s="46"/>
      <c r="M61" s="46"/>
      <c r="N61" s="46"/>
      <c r="O61" s="46"/>
    </row>
    <row r="62" spans="1:30" x14ac:dyDescent="0.4">
      <c r="A62" s="17" t="s">
        <v>1160</v>
      </c>
      <c r="B62" s="17" t="s">
        <v>1345</v>
      </c>
      <c r="C62" s="46">
        <f>C40+C44+C43+C30</f>
        <v>2251600000</v>
      </c>
      <c r="E62" s="46">
        <f>E40+E44+E43+E30</f>
        <v>2151100000</v>
      </c>
      <c r="G62" s="46">
        <f>G40+G44+G43+G30</f>
        <v>1792200000</v>
      </c>
      <c r="I62" s="46">
        <f>I40+I44+I43+I30</f>
        <v>1065300000</v>
      </c>
      <c r="K62" s="46">
        <f>K40+K44+K43+K30</f>
        <v>1602900000</v>
      </c>
      <c r="M62" s="46">
        <f>M40+M44+M43+M30</f>
        <v>1082300000</v>
      </c>
      <c r="N62" s="46"/>
      <c r="O62" s="46"/>
    </row>
    <row r="63" spans="1:30" x14ac:dyDescent="0.4">
      <c r="K63" s="45"/>
      <c r="L63" s="45"/>
      <c r="M63" s="45"/>
      <c r="N63" s="45"/>
      <c r="O63" s="45"/>
    </row>
    <row r="64" spans="1:30" x14ac:dyDescent="0.4">
      <c r="L64" s="45"/>
    </row>
    <row r="71" spans="11:15" x14ac:dyDescent="0.4">
      <c r="K71" s="45"/>
      <c r="L71" s="45"/>
      <c r="M71" s="45"/>
      <c r="N71" s="45"/>
      <c r="O71" s="45"/>
    </row>
    <row r="81" spans="11:223" x14ac:dyDescent="0.4">
      <c r="HK81" s="51"/>
      <c r="HL81" s="51"/>
      <c r="HO81" s="17" t="s">
        <v>1348</v>
      </c>
    </row>
    <row r="94" spans="11:223" x14ac:dyDescent="0.4">
      <c r="K94" s="45"/>
      <c r="L94" s="45"/>
      <c r="M94" s="45"/>
      <c r="N94" s="45"/>
      <c r="O94" s="45"/>
    </row>
    <row r="95" spans="11:223" x14ac:dyDescent="0.4">
      <c r="K95" s="45"/>
      <c r="L95" s="45"/>
      <c r="M95" s="45"/>
      <c r="N95" s="45"/>
      <c r="O95" s="45"/>
    </row>
    <row r="96" spans="11:223" x14ac:dyDescent="0.4">
      <c r="K96" s="45"/>
      <c r="L96" s="45"/>
      <c r="M96" s="45"/>
      <c r="N96" s="45"/>
      <c r="O96" s="45"/>
    </row>
    <row r="97" spans="11:15" x14ac:dyDescent="0.4">
      <c r="K97" s="45"/>
      <c r="L97" s="45"/>
      <c r="M97" s="45"/>
      <c r="N97" s="45"/>
      <c r="O97" s="45"/>
    </row>
    <row r="98" spans="11:15" x14ac:dyDescent="0.4">
      <c r="K98" s="45"/>
      <c r="L98" s="45"/>
      <c r="M98" s="45"/>
      <c r="N98" s="45"/>
      <c r="O98" s="45"/>
    </row>
    <row r="99" spans="11:15" x14ac:dyDescent="0.4">
      <c r="K99" s="45"/>
      <c r="L99" s="45"/>
      <c r="M99" s="45"/>
      <c r="N99" s="45"/>
      <c r="O99" s="45"/>
    </row>
    <row r="100" spans="11:15" x14ac:dyDescent="0.4">
      <c r="K100" s="45"/>
      <c r="L100" s="45"/>
      <c r="M100" s="45"/>
      <c r="N100" s="45"/>
      <c r="O100" s="45"/>
    </row>
    <row r="101" spans="11:15" x14ac:dyDescent="0.4">
      <c r="K101" s="45"/>
      <c r="L101" s="45"/>
      <c r="M101" s="45"/>
      <c r="N101" s="45"/>
      <c r="O101" s="45"/>
    </row>
    <row r="102" spans="11:15" x14ac:dyDescent="0.4">
      <c r="K102" s="45"/>
      <c r="L102" s="45"/>
      <c r="M102" s="45"/>
      <c r="N102" s="45"/>
      <c r="O102" s="45"/>
    </row>
    <row r="103" spans="11:15" x14ac:dyDescent="0.4">
      <c r="K103" s="45"/>
      <c r="L103" s="45"/>
      <c r="M103" s="45"/>
      <c r="N103" s="45"/>
      <c r="O103" s="45"/>
    </row>
    <row r="104" spans="11:15" x14ac:dyDescent="0.4">
      <c r="K104" s="45"/>
      <c r="L104" s="45"/>
      <c r="M104" s="45"/>
      <c r="N104" s="45"/>
      <c r="O104" s="45"/>
    </row>
    <row r="105" spans="11:15" x14ac:dyDescent="0.4">
      <c r="K105" s="45"/>
      <c r="L105" s="45"/>
      <c r="M105" s="45"/>
      <c r="N105" s="45"/>
      <c r="O105" s="45"/>
    </row>
    <row r="106" spans="11:15" x14ac:dyDescent="0.4">
      <c r="K106" s="45"/>
      <c r="L106" s="45"/>
      <c r="M106" s="45"/>
      <c r="N106" s="45"/>
      <c r="O106" s="45"/>
    </row>
    <row r="107" spans="11:15" x14ac:dyDescent="0.4">
      <c r="K107" s="45"/>
      <c r="L107" s="45"/>
      <c r="M107" s="45"/>
      <c r="N107" s="45"/>
      <c r="O107" s="45"/>
    </row>
    <row r="108" spans="11:15" x14ac:dyDescent="0.4">
      <c r="K108" s="45"/>
      <c r="L108" s="45"/>
      <c r="M108" s="45"/>
      <c r="N108" s="45"/>
      <c r="O108" s="45"/>
    </row>
    <row r="109" spans="11:15" x14ac:dyDescent="0.4">
      <c r="K109" s="45"/>
      <c r="L109" s="45"/>
      <c r="M109" s="45"/>
      <c r="N109" s="45"/>
      <c r="O109" s="45"/>
    </row>
    <row r="110" spans="11:15" x14ac:dyDescent="0.4">
      <c r="K110" s="45"/>
      <c r="L110" s="45"/>
      <c r="M110" s="45"/>
      <c r="N110" s="45"/>
      <c r="O110" s="45"/>
    </row>
    <row r="111" spans="11:15" x14ac:dyDescent="0.4">
      <c r="K111" s="45"/>
      <c r="L111" s="45"/>
      <c r="M111" s="45"/>
      <c r="N111" s="45"/>
      <c r="O111" s="45"/>
    </row>
    <row r="112" spans="11:15" x14ac:dyDescent="0.4">
      <c r="K112" s="45"/>
      <c r="L112" s="45"/>
      <c r="M112" s="45"/>
      <c r="N112" s="45"/>
      <c r="O112" s="45"/>
    </row>
    <row r="113" spans="11:15" x14ac:dyDescent="0.4">
      <c r="K113" s="45"/>
      <c r="L113" s="45"/>
      <c r="M113" s="45"/>
      <c r="N113" s="45"/>
      <c r="O113" s="45"/>
    </row>
    <row r="114" spans="11:15" x14ac:dyDescent="0.4">
      <c r="K114" s="45"/>
      <c r="L114" s="45"/>
      <c r="M114" s="45"/>
      <c r="N114" s="45"/>
      <c r="O114" s="45"/>
    </row>
    <row r="115" spans="11:15" x14ac:dyDescent="0.4">
      <c r="K115" s="45"/>
      <c r="L115" s="45"/>
      <c r="M115" s="45"/>
      <c r="N115" s="45"/>
      <c r="O115" s="45"/>
    </row>
    <row r="116" spans="11:15" x14ac:dyDescent="0.4">
      <c r="K116" s="45"/>
      <c r="L116" s="45"/>
      <c r="M116" s="45"/>
      <c r="N116" s="45"/>
      <c r="O116" s="45"/>
    </row>
    <row r="117" spans="11:15" x14ac:dyDescent="0.4">
      <c r="K117" s="45"/>
      <c r="L117" s="45"/>
      <c r="M117" s="45"/>
      <c r="N117" s="45"/>
      <c r="O117" s="45"/>
    </row>
    <row r="118" spans="11:15" x14ac:dyDescent="0.4">
      <c r="K118" s="45"/>
      <c r="L118" s="45"/>
      <c r="M118" s="45"/>
      <c r="N118" s="45"/>
      <c r="O118" s="45"/>
    </row>
    <row r="119" spans="11:15" x14ac:dyDescent="0.4">
      <c r="K119" s="45"/>
      <c r="L119" s="45"/>
      <c r="M119" s="45"/>
      <c r="N119" s="45"/>
      <c r="O119" s="45"/>
    </row>
    <row r="120" spans="11:15" x14ac:dyDescent="0.4">
      <c r="K120" s="45"/>
      <c r="L120" s="45"/>
      <c r="M120" s="45"/>
      <c r="N120" s="45"/>
      <c r="O120" s="45"/>
    </row>
    <row r="121" spans="11:15" x14ac:dyDescent="0.4">
      <c r="K121" s="45"/>
      <c r="L121" s="45"/>
      <c r="M121" s="45"/>
      <c r="N121" s="45"/>
      <c r="O121" s="45"/>
    </row>
    <row r="122" spans="11:15" x14ac:dyDescent="0.4">
      <c r="K122" s="45"/>
      <c r="L122" s="45"/>
      <c r="M122" s="45"/>
      <c r="N122" s="45"/>
      <c r="O122" s="45"/>
    </row>
    <row r="123" spans="11:15" x14ac:dyDescent="0.4">
      <c r="K123" s="45"/>
      <c r="L123" s="45"/>
      <c r="M123" s="45"/>
      <c r="N123" s="45"/>
      <c r="O123" s="45"/>
    </row>
    <row r="124" spans="11:15" x14ac:dyDescent="0.4">
      <c r="K124" s="45"/>
      <c r="L124" s="45"/>
      <c r="M124" s="45"/>
      <c r="N124" s="45"/>
      <c r="O124" s="45"/>
    </row>
    <row r="125" spans="11:15" x14ac:dyDescent="0.4">
      <c r="K125" s="45"/>
      <c r="L125" s="45"/>
      <c r="M125" s="45"/>
      <c r="N125" s="45"/>
      <c r="O125" s="45"/>
    </row>
    <row r="126" spans="11:15" x14ac:dyDescent="0.4">
      <c r="K126" s="45"/>
      <c r="L126" s="45"/>
      <c r="M126" s="45"/>
      <c r="N126" s="45"/>
      <c r="O126" s="45"/>
    </row>
    <row r="127" spans="11:15" x14ac:dyDescent="0.4">
      <c r="K127" s="45"/>
      <c r="L127" s="45"/>
      <c r="M127" s="45"/>
      <c r="N127" s="45"/>
      <c r="O127" s="45"/>
    </row>
    <row r="128" spans="11:15" x14ac:dyDescent="0.4">
      <c r="K128" s="45"/>
      <c r="L128" s="45"/>
      <c r="M128" s="45"/>
      <c r="N128" s="45"/>
      <c r="O128" s="45"/>
    </row>
    <row r="129" spans="11:15" x14ac:dyDescent="0.4">
      <c r="K129" s="45"/>
      <c r="L129" s="45"/>
      <c r="M129" s="45"/>
      <c r="N129" s="45"/>
      <c r="O129" s="45"/>
    </row>
    <row r="130" spans="11:15" x14ac:dyDescent="0.4">
      <c r="K130" s="45"/>
      <c r="L130" s="45"/>
      <c r="M130" s="45"/>
      <c r="N130" s="45"/>
      <c r="O130" s="45"/>
    </row>
    <row r="131" spans="11:15" x14ac:dyDescent="0.4">
      <c r="K131" s="45"/>
      <c r="L131" s="45"/>
      <c r="M131" s="45"/>
      <c r="N131" s="45"/>
      <c r="O131" s="45"/>
    </row>
    <row r="132" spans="11:15" x14ac:dyDescent="0.4">
      <c r="K132" s="45"/>
      <c r="L132" s="45"/>
      <c r="M132" s="45"/>
      <c r="N132" s="45"/>
      <c r="O132" s="45"/>
    </row>
    <row r="133" spans="11:15" x14ac:dyDescent="0.4">
      <c r="K133" s="45"/>
      <c r="L133" s="45"/>
      <c r="M133" s="45"/>
      <c r="N133" s="45"/>
      <c r="O133" s="45"/>
    </row>
    <row r="134" spans="11:15" x14ac:dyDescent="0.4">
      <c r="K134" s="45"/>
      <c r="L134" s="45"/>
      <c r="M134" s="45"/>
      <c r="N134" s="45"/>
      <c r="O134" s="45"/>
    </row>
    <row r="135" spans="11:15" x14ac:dyDescent="0.4">
      <c r="K135" s="45"/>
      <c r="L135" s="45"/>
      <c r="M135" s="45"/>
      <c r="N135" s="45"/>
      <c r="O135" s="45"/>
    </row>
    <row r="136" spans="11:15" x14ac:dyDescent="0.4">
      <c r="K136" s="45"/>
      <c r="L136" s="45"/>
      <c r="M136" s="45"/>
      <c r="N136" s="45"/>
      <c r="O136" s="45"/>
    </row>
    <row r="137" spans="11:15" x14ac:dyDescent="0.4">
      <c r="K137" s="45"/>
      <c r="L137" s="45"/>
      <c r="M137" s="45"/>
      <c r="N137" s="45"/>
      <c r="O137" s="45"/>
    </row>
    <row r="138" spans="11:15" x14ac:dyDescent="0.4">
      <c r="K138" s="45"/>
      <c r="L138" s="45"/>
      <c r="M138" s="45"/>
      <c r="N138" s="45"/>
      <c r="O138" s="45"/>
    </row>
    <row r="139" spans="11:15" x14ac:dyDescent="0.4">
      <c r="K139" s="45"/>
      <c r="L139" s="45"/>
      <c r="M139" s="45"/>
      <c r="N139" s="45"/>
      <c r="O139" s="45"/>
    </row>
    <row r="140" spans="11:15" x14ac:dyDescent="0.4">
      <c r="K140" s="45"/>
      <c r="L140" s="45"/>
      <c r="M140" s="45"/>
      <c r="N140" s="45"/>
      <c r="O140" s="45"/>
    </row>
    <row r="141" spans="11:15" x14ac:dyDescent="0.4">
      <c r="K141" s="45"/>
      <c r="L141" s="45"/>
      <c r="M141" s="45"/>
      <c r="N141" s="45"/>
      <c r="O141" s="45"/>
    </row>
    <row r="142" spans="11:15" x14ac:dyDescent="0.4">
      <c r="K142" s="45"/>
      <c r="L142" s="45"/>
      <c r="M142" s="45"/>
      <c r="N142" s="45"/>
      <c r="O142" s="45"/>
    </row>
    <row r="143" spans="11:15" x14ac:dyDescent="0.4">
      <c r="K143" s="45"/>
      <c r="L143" s="45"/>
      <c r="M143" s="45"/>
      <c r="N143" s="45"/>
      <c r="O143" s="45"/>
    </row>
    <row r="144" spans="11:15" x14ac:dyDescent="0.4">
      <c r="K144" s="45"/>
      <c r="L144" s="45"/>
      <c r="M144" s="45"/>
      <c r="N144" s="45"/>
      <c r="O144" s="45"/>
    </row>
    <row r="145" spans="11:15" x14ac:dyDescent="0.4">
      <c r="K145" s="45"/>
      <c r="L145" s="45"/>
      <c r="M145" s="45"/>
      <c r="N145" s="45"/>
      <c r="O145" s="45"/>
    </row>
    <row r="146" spans="11:15" x14ac:dyDescent="0.4">
      <c r="K146" s="45"/>
      <c r="L146" s="45"/>
      <c r="M146" s="45"/>
      <c r="N146" s="45"/>
      <c r="O146" s="45"/>
    </row>
    <row r="147" spans="11:15" x14ac:dyDescent="0.4">
      <c r="K147" s="45"/>
      <c r="L147" s="45"/>
      <c r="M147" s="45"/>
      <c r="N147" s="45"/>
      <c r="O147" s="45"/>
    </row>
    <row r="148" spans="11:15" x14ac:dyDescent="0.4">
      <c r="K148" s="45"/>
      <c r="L148" s="45"/>
      <c r="M148" s="45"/>
      <c r="N148" s="45"/>
      <c r="O148" s="45"/>
    </row>
    <row r="149" spans="11:15" x14ac:dyDescent="0.4">
      <c r="K149" s="45"/>
      <c r="L149" s="45"/>
      <c r="M149" s="45"/>
      <c r="N149" s="45"/>
      <c r="O149" s="45"/>
    </row>
    <row r="150" spans="11:15" x14ac:dyDescent="0.4">
      <c r="K150" s="45"/>
      <c r="L150" s="45"/>
      <c r="M150" s="45"/>
      <c r="N150" s="45"/>
      <c r="O150" s="45"/>
    </row>
    <row r="151" spans="11:15" x14ac:dyDescent="0.4">
      <c r="K151" s="45"/>
      <c r="L151" s="45"/>
      <c r="M151" s="45"/>
      <c r="N151" s="45"/>
      <c r="O151" s="45"/>
    </row>
    <row r="152" spans="11:15" x14ac:dyDescent="0.4">
      <c r="K152" s="45"/>
      <c r="L152" s="45"/>
      <c r="M152" s="45"/>
      <c r="N152" s="45"/>
      <c r="O152" s="45"/>
    </row>
    <row r="153" spans="11:15" x14ac:dyDescent="0.4">
      <c r="K153" s="45"/>
      <c r="L153" s="45"/>
      <c r="M153" s="45"/>
      <c r="N153" s="45"/>
      <c r="O153" s="45"/>
    </row>
    <row r="154" spans="11:15" x14ac:dyDescent="0.4">
      <c r="K154" s="45"/>
      <c r="L154" s="45"/>
      <c r="M154" s="45"/>
      <c r="N154" s="45"/>
      <c r="O154" s="45"/>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R144"/>
  <sheetViews>
    <sheetView view="pageBreakPreview" zoomScale="80" zoomScaleNormal="100" zoomScaleSheetLayoutView="80" workbookViewId="0"/>
  </sheetViews>
  <sheetFormatPr defaultColWidth="8.7890625" defaultRowHeight="15.6" x14ac:dyDescent="0.6"/>
  <cols>
    <col min="1" max="1" width="8.7890625" style="110" customWidth="1"/>
    <col min="2" max="2" width="39.26171875" style="110" bestFit="1" customWidth="1"/>
    <col min="3" max="4" width="2.26171875" style="110" customWidth="1"/>
    <col min="5" max="5" width="19" style="110" customWidth="1"/>
    <col min="6" max="6" width="4.26171875" style="110" customWidth="1"/>
    <col min="7" max="7" width="15.734375" style="110" customWidth="1"/>
    <col min="8" max="8" width="4.26171875" style="110" customWidth="1"/>
    <col min="9" max="9" width="18.26171875" style="110" customWidth="1"/>
    <col min="10" max="10" width="4.26171875" style="110" customWidth="1"/>
    <col min="11" max="11" width="15.734375" style="110" customWidth="1"/>
    <col min="12" max="13" width="8.7890625" style="108"/>
    <col min="14" max="14" width="14" style="108" customWidth="1"/>
    <col min="15" max="15" width="13.734375" style="108" customWidth="1"/>
    <col min="16" max="16" width="12.5234375" style="108" customWidth="1"/>
    <col min="17" max="17" width="11.7890625" style="108" customWidth="1"/>
    <col min="18" max="18" width="8.7890625" style="184"/>
    <col min="19" max="16384" width="8.7890625" style="108"/>
  </cols>
  <sheetData>
    <row r="1" spans="1:11" x14ac:dyDescent="0.6">
      <c r="B1" s="1395" t="str">
        <f>Input!G28</f>
        <v>Atmos Energy Corporation</v>
      </c>
      <c r="C1" s="1395"/>
      <c r="D1" s="1395"/>
      <c r="E1" s="1395"/>
      <c r="F1" s="1395"/>
      <c r="G1" s="1395"/>
      <c r="H1" s="1395"/>
      <c r="I1" s="1395"/>
      <c r="J1" s="1395"/>
      <c r="K1" s="1395"/>
    </row>
    <row r="2" spans="1:11" x14ac:dyDescent="0.6">
      <c r="B2" s="1396" t="s">
        <v>2592</v>
      </c>
      <c r="C2" s="1396"/>
      <c r="D2" s="1396"/>
      <c r="E2" s="1396"/>
      <c r="F2" s="1396"/>
      <c r="G2" s="1396"/>
      <c r="H2" s="1396"/>
      <c r="I2" s="1396"/>
      <c r="J2" s="1396"/>
      <c r="K2" s="1396"/>
    </row>
    <row r="3" spans="1:11" x14ac:dyDescent="0.6">
      <c r="B3" s="1395" t="str">
        <f>Input!I32</f>
        <v>Proxy Group of Seven Natural Gas Companies</v>
      </c>
      <c r="C3" s="1396"/>
      <c r="D3" s="1396"/>
      <c r="E3" s="1396"/>
      <c r="F3" s="1396"/>
      <c r="G3" s="1396"/>
      <c r="H3" s="1396"/>
      <c r="I3" s="1396"/>
      <c r="J3" s="1396"/>
      <c r="K3" s="1396"/>
    </row>
    <row r="4" spans="1:11" x14ac:dyDescent="0.6">
      <c r="B4" s="109"/>
      <c r="C4" s="109"/>
      <c r="D4" s="109"/>
      <c r="E4" s="109"/>
      <c r="F4" s="109"/>
      <c r="G4" s="109"/>
      <c r="H4" s="109"/>
      <c r="I4" s="109"/>
      <c r="J4" s="109"/>
      <c r="K4" s="109"/>
    </row>
    <row r="6" spans="1:11" x14ac:dyDescent="0.6">
      <c r="E6" s="616" t="s">
        <v>81</v>
      </c>
      <c r="F6" s="616"/>
      <c r="G6" s="617"/>
      <c r="I6" s="1399" t="s">
        <v>1203</v>
      </c>
      <c r="J6" s="1399"/>
      <c r="K6" s="1399"/>
    </row>
    <row r="7" spans="1:11" x14ac:dyDescent="0.6">
      <c r="E7" s="616" t="s">
        <v>1204</v>
      </c>
      <c r="F7" s="616"/>
      <c r="G7" s="617"/>
      <c r="I7" s="616" t="s">
        <v>1204</v>
      </c>
      <c r="J7" s="616"/>
      <c r="K7" s="616"/>
    </row>
    <row r="8" spans="1:11" x14ac:dyDescent="0.6">
      <c r="C8" s="438"/>
      <c r="D8" s="438"/>
      <c r="E8" s="618" t="str">
        <f>TEXT(Input!E2,"mmmm yyyy")</f>
        <v>January 2025</v>
      </c>
      <c r="F8" s="616"/>
      <c r="G8" s="617"/>
      <c r="I8" s="618" t="str">
        <f>E8</f>
        <v>January 2025</v>
      </c>
      <c r="J8" s="616"/>
      <c r="K8" s="616"/>
    </row>
    <row r="9" spans="1:11" x14ac:dyDescent="0.6">
      <c r="B9" s="619"/>
      <c r="C9" s="619"/>
      <c r="D9" s="619"/>
      <c r="E9" s="619"/>
      <c r="F9" s="619"/>
      <c r="G9" s="109"/>
      <c r="H9" s="109"/>
      <c r="I9" s="205"/>
      <c r="J9" s="109"/>
      <c r="K9" s="109"/>
    </row>
    <row r="10" spans="1:11" ht="57" customHeight="1" x14ac:dyDescent="0.6">
      <c r="B10" s="424" t="str">
        <f>Input!I32</f>
        <v>Proxy Group of Seven Natural Gas Companies</v>
      </c>
      <c r="E10" s="182" t="s">
        <v>1205</v>
      </c>
      <c r="F10" s="620"/>
      <c r="G10" s="621" t="s">
        <v>1206</v>
      </c>
      <c r="H10" s="620"/>
      <c r="I10" s="182" t="str">
        <f>E10</f>
        <v>Long-Term Issuer
Rating</v>
      </c>
      <c r="J10" s="620"/>
      <c r="K10" s="621" t="s">
        <v>1206</v>
      </c>
    </row>
    <row r="11" spans="1:11" x14ac:dyDescent="0.6">
      <c r="E11" s="284"/>
      <c r="F11" s="620"/>
      <c r="G11" s="622"/>
      <c r="H11" s="620"/>
      <c r="I11" s="284"/>
      <c r="J11" s="620"/>
      <c r="K11" s="622"/>
    </row>
    <row r="12" spans="1:11" x14ac:dyDescent="0.6">
      <c r="A12" s="110" t="str">
        <f>Input!A2</f>
        <v>ATO</v>
      </c>
      <c r="B12" s="205" t="str">
        <f>VLOOKUP(A12,'Proxy Data Lookup'!A:B,2,FALSE)</f>
        <v>Atmos Energy Corporation</v>
      </c>
      <c r="E12" s="109" t="str">
        <f>VLOOKUP(A12,'Proxy Data Lookup'!A:P,16,FALSE)</f>
        <v>A1</v>
      </c>
      <c r="G12" s="623">
        <f>IFERROR(VLOOKUP(E12,'1.14 MOODY_S&amp;P numbericl_assign'!B:D, 3,FALSE), " - -")</f>
        <v>5</v>
      </c>
      <c r="I12" s="109" t="str">
        <f>VLOOKUP(A12,'Proxy Data Lookup'!A:P,15,FALSE)</f>
        <v>A-</v>
      </c>
      <c r="K12" s="623">
        <f>IFERROR(VLOOKUP(I12,'1.14 MOODY_S&amp;P numbericl_assign'!F:H, 3,FALSE), "- -")</f>
        <v>7</v>
      </c>
    </row>
    <row r="13" spans="1:11" x14ac:dyDescent="0.6">
      <c r="A13" s="110" t="str">
        <f>Input!A3</f>
        <v>NJR</v>
      </c>
      <c r="B13" s="205" t="str">
        <f>VLOOKUP(A13,'Proxy Data Lookup'!A:B,2,FALSE)</f>
        <v>New Jersey Resources Corporation</v>
      </c>
      <c r="E13" s="109" t="str">
        <f>VLOOKUP(A13,'Proxy Data Lookup'!A:P,16,FALSE)</f>
        <v>A1</v>
      </c>
      <c r="G13" s="623">
        <f>IFERROR(VLOOKUP(E13,'1.14 MOODY_S&amp;P numbericl_assign'!B:D, 3,FALSE), " - -")</f>
        <v>5</v>
      </c>
      <c r="I13" s="109" t="str">
        <f>VLOOKUP(A13,'Proxy Data Lookup'!A:P,15,FALSE)</f>
        <v>NR</v>
      </c>
      <c r="K13" s="623" t="str">
        <f>IFERROR(VLOOKUP(I13,'1.14 MOODY_S&amp;P numbericl_assign'!F:H, 3,FALSE), "- -")</f>
        <v>- -</v>
      </c>
    </row>
    <row r="14" spans="1:11" x14ac:dyDescent="0.6">
      <c r="A14" s="110" t="str">
        <f>Input!A4</f>
        <v>NI</v>
      </c>
      <c r="B14" s="205" t="str">
        <f>VLOOKUP(A14,'Proxy Data Lookup'!A:B,2,FALSE)</f>
        <v>NiSource Inc.</v>
      </c>
      <c r="E14" s="109" t="str">
        <f>VLOOKUP(A14,'Proxy Data Lookup'!A:P,16,FALSE)</f>
        <v>Baa1</v>
      </c>
      <c r="G14" s="623">
        <f>IFERROR(VLOOKUP(E14,'1.14 MOODY_S&amp;P numbericl_assign'!B:D, 3,FALSE), " - -")</f>
        <v>8</v>
      </c>
      <c r="I14" s="109" t="str">
        <f>VLOOKUP(A14,'Proxy Data Lookup'!A:P,15,FALSE)</f>
        <v>BBB+</v>
      </c>
      <c r="K14" s="623">
        <f>IFERROR(VLOOKUP(I14,'1.14 MOODY_S&amp;P numbericl_assign'!F:H, 3,FALSE), "- -")</f>
        <v>8</v>
      </c>
    </row>
    <row r="15" spans="1:11" x14ac:dyDescent="0.6">
      <c r="A15" s="110" t="str">
        <f>Input!A5</f>
        <v>NWN</v>
      </c>
      <c r="B15" s="205" t="str">
        <f>VLOOKUP(A15,'Proxy Data Lookup'!A:B,2,FALSE)</f>
        <v>Northwest Natural Holding Company</v>
      </c>
      <c r="E15" s="109" t="str">
        <f>VLOOKUP(A15,'Proxy Data Lookup'!A:P,16,FALSE)</f>
        <v>Baa1</v>
      </c>
      <c r="G15" s="623">
        <f>IFERROR(VLOOKUP(E15,'1.14 MOODY_S&amp;P numbericl_assign'!B:D, 3,FALSE), " - -")</f>
        <v>8</v>
      </c>
      <c r="I15" s="109" t="str">
        <f>VLOOKUP(A15,'Proxy Data Lookup'!A:P,15,FALSE)</f>
        <v>A+</v>
      </c>
      <c r="K15" s="623">
        <f>IFERROR(VLOOKUP(I15,'1.14 MOODY_S&amp;P numbericl_assign'!F:H, 3,FALSE), "- -")</f>
        <v>5</v>
      </c>
    </row>
    <row r="16" spans="1:11" x14ac:dyDescent="0.6">
      <c r="A16" s="110" t="str">
        <f>Input!A6</f>
        <v>OGS</v>
      </c>
      <c r="B16" s="205" t="str">
        <f>VLOOKUP(A16,'Proxy Data Lookup'!A:B,2,FALSE)</f>
        <v>ONE Gas, Inc.</v>
      </c>
      <c r="E16" s="109" t="str">
        <f>VLOOKUP(A16,'Proxy Data Lookup'!A:P,16,FALSE)</f>
        <v>A3</v>
      </c>
      <c r="G16" s="623">
        <f>IFERROR(VLOOKUP(E16,'1.14 MOODY_S&amp;P numbericl_assign'!B:D, 3,FALSE), " - -")</f>
        <v>7</v>
      </c>
      <c r="I16" s="109" t="str">
        <f>VLOOKUP(A16,'Proxy Data Lookup'!A:P,15,FALSE)</f>
        <v>A-</v>
      </c>
      <c r="K16" s="623">
        <f>IFERROR(VLOOKUP(I16,'1.14 MOODY_S&amp;P numbericl_assign'!F:H, 3,FALSE), "- -")</f>
        <v>7</v>
      </c>
    </row>
    <row r="17" spans="1:18" x14ac:dyDescent="0.6">
      <c r="A17" s="110" t="str">
        <f>Input!A7</f>
        <v>SWX</v>
      </c>
      <c r="B17" s="205" t="str">
        <f>VLOOKUP(A17,'Proxy Data Lookup'!A:B,2,FALSE)</f>
        <v>Southwest Gas Holdings, Inc.</v>
      </c>
      <c r="E17" s="109" t="str">
        <f>VLOOKUP(A17,'Proxy Data Lookup'!A:P,16,FALSE)</f>
        <v>Baa1</v>
      </c>
      <c r="G17" s="623">
        <f>IFERROR(VLOOKUP(E17,'1.14 MOODY_S&amp;P numbericl_assign'!B:D, 3,FALSE), " - -")</f>
        <v>8</v>
      </c>
      <c r="I17" s="109" t="str">
        <f>VLOOKUP(A17,'Proxy Data Lookup'!A:P,15,FALSE)</f>
        <v>BBB</v>
      </c>
      <c r="K17" s="623">
        <f>IFERROR(VLOOKUP(I17,'1.14 MOODY_S&amp;P numbericl_assign'!F:H, 3,FALSE), "- -")</f>
        <v>9</v>
      </c>
    </row>
    <row r="18" spans="1:18" x14ac:dyDescent="0.6">
      <c r="A18" s="110" t="str">
        <f>Input!A8</f>
        <v>SR</v>
      </c>
      <c r="B18" s="205" t="str">
        <f>VLOOKUP(A18,'Proxy Data Lookup'!A:B,2,FALSE)</f>
        <v>Spire Inc.</v>
      </c>
      <c r="E18" s="109" t="str">
        <f>VLOOKUP(A18,'Proxy Data Lookup'!A:P,16,FALSE)</f>
        <v>A1/A2</v>
      </c>
      <c r="G18" s="623">
        <f>IFERROR(VLOOKUP(E18,'1.14 MOODY_S&amp;P numbericl_assign'!B:D, 3,FALSE), " - -")</f>
        <v>5.5</v>
      </c>
      <c r="I18" s="109" t="str">
        <f>VLOOKUP(A18,'Proxy Data Lookup'!A:P,15,FALSE)</f>
        <v>BBB+</v>
      </c>
      <c r="K18" s="623">
        <f>IFERROR(VLOOKUP(I18,'1.14 MOODY_S&amp;P numbericl_assign'!F:H, 3,FALSE), "- -")</f>
        <v>8</v>
      </c>
    </row>
    <row r="19" spans="1:18" x14ac:dyDescent="0.6">
      <c r="E19" s="624"/>
      <c r="G19" s="625"/>
      <c r="H19" s="109"/>
      <c r="I19" s="626"/>
      <c r="J19" s="109"/>
      <c r="K19" s="625"/>
    </row>
    <row r="20" spans="1:18" ht="15.9" thickBot="1" x14ac:dyDescent="0.65">
      <c r="B20" s="627" t="s">
        <v>1082</v>
      </c>
      <c r="C20" s="108"/>
      <c r="D20" s="619"/>
      <c r="E20" s="628" t="str">
        <f>VLOOKUP((IF(MOD($G$20,1)&lt;=0.4, ROUNDDOWN($G$20,0), IF(MOD($G$20,1)=0.5, $G$20, ROUNDUP($G$20,0)))), $N$31:$O$63, 2,FALSE)</f>
        <v>A3</v>
      </c>
      <c r="F20" s="619"/>
      <c r="G20" s="629">
        <f>ROUND(AVERAGE(G12:G18),1)</f>
        <v>6.6</v>
      </c>
      <c r="H20" s="109"/>
      <c r="I20" s="628" t="str">
        <f>VLOOKUP((IF(MOD($K$20,1)&lt;=0.4, ROUNDDOWN($K$20,0), IF(MOD($K$20,1)=0.5, $K$20, ROUNDUP($K$20,0)))), $P$31:$Q$63, 2,FALSE)</f>
        <v>A-</v>
      </c>
      <c r="J20" s="109"/>
      <c r="K20" s="629">
        <f>ROUND(AVERAGE(K12:K18),1)</f>
        <v>7.3</v>
      </c>
    </row>
    <row r="21" spans="1:18" ht="15.3" thickTop="1" x14ac:dyDescent="0.5">
      <c r="B21" s="61"/>
      <c r="C21" s="60"/>
      <c r="E21" s="109"/>
      <c r="F21" s="59"/>
      <c r="G21" s="630"/>
      <c r="H21" s="59"/>
      <c r="I21" s="109"/>
      <c r="J21" s="59"/>
      <c r="K21" s="630"/>
      <c r="R21" s="108"/>
    </row>
    <row r="22" spans="1:18" ht="15" x14ac:dyDescent="0.5">
      <c r="B22" s="627" t="s">
        <v>17</v>
      </c>
      <c r="C22" s="619"/>
      <c r="D22" s="619"/>
      <c r="E22" s="619"/>
      <c r="F22" s="619"/>
      <c r="G22" s="109"/>
      <c r="H22" s="109"/>
      <c r="I22" s="205"/>
      <c r="J22" s="109"/>
      <c r="K22" s="109"/>
      <c r="R22" s="108"/>
    </row>
    <row r="23" spans="1:18" ht="15" x14ac:dyDescent="0.5">
      <c r="B23" s="631" t="s">
        <v>1146</v>
      </c>
      <c r="C23" s="632" t="s">
        <v>7120</v>
      </c>
      <c r="D23" s="632"/>
      <c r="E23" s="619"/>
      <c r="F23" s="619"/>
      <c r="G23" s="619"/>
      <c r="H23" s="619"/>
      <c r="I23" s="619"/>
      <c r="J23" s="619"/>
      <c r="K23" s="619"/>
      <c r="R23" s="108"/>
    </row>
    <row r="24" spans="1:18" ht="15" x14ac:dyDescent="0.5">
      <c r="R24" s="108"/>
    </row>
    <row r="25" spans="1:18" ht="15" x14ac:dyDescent="0.5">
      <c r="C25" s="112" t="s">
        <v>1208</v>
      </c>
      <c r="E25" s="110" t="s">
        <v>1209</v>
      </c>
      <c r="G25" s="109"/>
      <c r="H25" s="109"/>
      <c r="I25" s="205"/>
      <c r="J25" s="109"/>
      <c r="K25" s="109"/>
      <c r="R25" s="108"/>
    </row>
    <row r="26" spans="1:18" ht="15" x14ac:dyDescent="0.5">
      <c r="C26" s="112"/>
      <c r="E26" s="110" t="s">
        <v>1210</v>
      </c>
      <c r="G26" s="109"/>
      <c r="H26" s="109"/>
      <c r="I26" s="205"/>
      <c r="J26" s="109"/>
      <c r="K26" s="109"/>
      <c r="R26" s="108"/>
    </row>
    <row r="27" spans="1:18" ht="15" x14ac:dyDescent="0.5">
      <c r="C27" s="438"/>
      <c r="D27" s="438"/>
      <c r="E27" s="438"/>
      <c r="F27" s="438"/>
      <c r="G27" s="109"/>
      <c r="H27" s="109"/>
      <c r="I27" s="205"/>
      <c r="J27" s="109"/>
      <c r="K27" s="109"/>
      <c r="R27" s="108"/>
    </row>
    <row r="28" spans="1:18" ht="15" x14ac:dyDescent="0.5">
      <c r="C28" s="438"/>
      <c r="D28" s="438"/>
      <c r="E28" s="438"/>
      <c r="F28" s="438"/>
      <c r="G28" s="109"/>
      <c r="H28" s="109"/>
      <c r="I28" s="205"/>
      <c r="J28" s="109"/>
      <c r="K28" s="109"/>
      <c r="R28" s="108"/>
    </row>
    <row r="29" spans="1:18" ht="15" x14ac:dyDescent="0.5">
      <c r="C29" s="438"/>
      <c r="D29" s="438"/>
      <c r="E29" s="438"/>
      <c r="F29" s="438"/>
      <c r="G29" s="109"/>
      <c r="H29" s="109"/>
      <c r="I29" s="205"/>
      <c r="J29" s="109"/>
      <c r="K29" s="109"/>
      <c r="R29" s="108"/>
    </row>
    <row r="30" spans="1:18" ht="15" x14ac:dyDescent="0.5">
      <c r="C30" s="438"/>
      <c r="D30" s="438"/>
      <c r="E30" s="438"/>
      <c r="F30" s="438"/>
      <c r="G30" s="109"/>
      <c r="H30" s="109"/>
      <c r="I30" s="205"/>
      <c r="J30" s="109"/>
      <c r="K30" s="109"/>
      <c r="R30" s="108"/>
    </row>
    <row r="31" spans="1:18" ht="60" x14ac:dyDescent="0.5">
      <c r="C31" s="438"/>
      <c r="D31" s="438"/>
      <c r="F31" s="139"/>
      <c r="N31" s="181" t="s">
        <v>90</v>
      </c>
      <c r="O31" s="181" t="s">
        <v>89</v>
      </c>
      <c r="P31" s="181" t="s">
        <v>90</v>
      </c>
      <c r="Q31" s="181" t="s">
        <v>91</v>
      </c>
      <c r="R31" s="108"/>
    </row>
    <row r="32" spans="1:18" ht="15" x14ac:dyDescent="0.5">
      <c r="C32" s="438"/>
      <c r="D32" s="438"/>
      <c r="F32" s="139"/>
      <c r="N32" s="139"/>
      <c r="O32" s="139"/>
      <c r="P32" s="139"/>
      <c r="Q32" s="214"/>
      <c r="R32" s="108"/>
    </row>
    <row r="33" spans="3:18" ht="15" x14ac:dyDescent="0.5">
      <c r="C33" s="438"/>
      <c r="D33" s="438"/>
      <c r="F33" s="139"/>
      <c r="N33" s="214">
        <v>1</v>
      </c>
      <c r="O33" s="215" t="s">
        <v>92</v>
      </c>
      <c r="P33" s="214">
        <v>1</v>
      </c>
      <c r="Q33" s="215" t="s">
        <v>93</v>
      </c>
      <c r="R33" s="108"/>
    </row>
    <row r="34" spans="3:18" ht="15" x14ac:dyDescent="0.5">
      <c r="C34" s="438"/>
      <c r="D34" s="438"/>
      <c r="F34" s="139"/>
      <c r="N34" s="214">
        <v>1.5</v>
      </c>
      <c r="O34" s="215" t="s">
        <v>2646</v>
      </c>
      <c r="P34" s="214">
        <v>1.5</v>
      </c>
      <c r="Q34" s="215" t="s">
        <v>2631</v>
      </c>
      <c r="R34" s="108"/>
    </row>
    <row r="35" spans="3:18" ht="15" x14ac:dyDescent="0.5">
      <c r="C35" s="438"/>
      <c r="D35" s="438"/>
      <c r="F35" s="139"/>
      <c r="N35" s="214">
        <v>2</v>
      </c>
      <c r="O35" s="215" t="s">
        <v>94</v>
      </c>
      <c r="P35" s="214">
        <v>2</v>
      </c>
      <c r="Q35" s="215" t="s">
        <v>95</v>
      </c>
      <c r="R35" s="108"/>
    </row>
    <row r="36" spans="3:18" ht="15" x14ac:dyDescent="0.5">
      <c r="C36" s="112"/>
      <c r="D36" s="438"/>
      <c r="F36" s="139"/>
      <c r="N36" s="214">
        <v>2.5</v>
      </c>
      <c r="O36" s="215" t="s">
        <v>2647</v>
      </c>
      <c r="P36" s="214">
        <v>2.5</v>
      </c>
      <c r="Q36" s="215" t="s">
        <v>2632</v>
      </c>
      <c r="R36" s="108"/>
    </row>
    <row r="37" spans="3:18" ht="15" x14ac:dyDescent="0.5">
      <c r="C37" s="438"/>
      <c r="D37" s="438"/>
      <c r="F37" s="139"/>
      <c r="N37" s="214">
        <v>3</v>
      </c>
      <c r="O37" s="215" t="s">
        <v>96</v>
      </c>
      <c r="P37" s="214">
        <v>3</v>
      </c>
      <c r="Q37" s="215" t="s">
        <v>97</v>
      </c>
      <c r="R37" s="108"/>
    </row>
    <row r="38" spans="3:18" ht="15" x14ac:dyDescent="0.5">
      <c r="C38" s="438"/>
      <c r="D38" s="438"/>
      <c r="F38" s="139"/>
      <c r="N38" s="214">
        <v>3.5</v>
      </c>
      <c r="O38" s="215" t="s">
        <v>2648</v>
      </c>
      <c r="P38" s="214">
        <v>3.5</v>
      </c>
      <c r="Q38" s="215" t="s">
        <v>2633</v>
      </c>
      <c r="R38" s="108"/>
    </row>
    <row r="39" spans="3:18" ht="15" x14ac:dyDescent="0.5">
      <c r="C39" s="438"/>
      <c r="D39" s="438"/>
      <c r="F39" s="139"/>
      <c r="N39" s="214">
        <v>4</v>
      </c>
      <c r="O39" s="215" t="s">
        <v>98</v>
      </c>
      <c r="P39" s="214">
        <v>4</v>
      </c>
      <c r="Q39" s="215" t="s">
        <v>99</v>
      </c>
      <c r="R39" s="108"/>
    </row>
    <row r="40" spans="3:18" ht="15" x14ac:dyDescent="0.5">
      <c r="C40" s="438"/>
      <c r="D40" s="438"/>
      <c r="F40" s="139"/>
      <c r="N40" s="214">
        <v>4.5</v>
      </c>
      <c r="O40" s="215" t="s">
        <v>2649</v>
      </c>
      <c r="P40" s="214">
        <v>4.5</v>
      </c>
      <c r="Q40" s="215" t="s">
        <v>2634</v>
      </c>
      <c r="R40" s="108"/>
    </row>
    <row r="41" spans="3:18" ht="15" x14ac:dyDescent="0.5">
      <c r="C41" s="438"/>
      <c r="D41" s="438"/>
      <c r="F41" s="139"/>
      <c r="N41" s="214">
        <v>5</v>
      </c>
      <c r="O41" s="215" t="s">
        <v>100</v>
      </c>
      <c r="P41" s="214">
        <v>5</v>
      </c>
      <c r="Q41" s="215" t="s">
        <v>82</v>
      </c>
      <c r="R41" s="108"/>
    </row>
    <row r="42" spans="3:18" ht="15" x14ac:dyDescent="0.5">
      <c r="C42" s="438"/>
      <c r="D42" s="438"/>
      <c r="F42" s="139"/>
      <c r="N42" s="214">
        <v>5.5</v>
      </c>
      <c r="O42" s="215" t="s">
        <v>2650</v>
      </c>
      <c r="P42" s="214">
        <v>5.5</v>
      </c>
      <c r="Q42" s="215" t="s">
        <v>2635</v>
      </c>
      <c r="R42" s="108"/>
    </row>
    <row r="43" spans="3:18" ht="15" x14ac:dyDescent="0.5">
      <c r="C43" s="438"/>
      <c r="D43" s="438"/>
      <c r="F43" s="139"/>
      <c r="N43" s="214">
        <v>6</v>
      </c>
      <c r="O43" s="215" t="s">
        <v>83</v>
      </c>
      <c r="P43" s="214">
        <v>6</v>
      </c>
      <c r="Q43" s="215" t="s">
        <v>84</v>
      </c>
      <c r="R43" s="108"/>
    </row>
    <row r="44" spans="3:18" ht="15" x14ac:dyDescent="0.5">
      <c r="C44" s="438"/>
      <c r="D44" s="438"/>
      <c r="F44" s="139"/>
      <c r="N44" s="214">
        <v>6.5</v>
      </c>
      <c r="O44" s="215" t="s">
        <v>1207</v>
      </c>
      <c r="P44" s="214">
        <v>6.5</v>
      </c>
      <c r="Q44" s="215" t="s">
        <v>2636</v>
      </c>
      <c r="R44" s="108"/>
    </row>
    <row r="45" spans="3:18" ht="15" x14ac:dyDescent="0.5">
      <c r="C45" s="438"/>
      <c r="D45" s="438"/>
      <c r="F45" s="139"/>
      <c r="N45" s="214">
        <v>7</v>
      </c>
      <c r="O45" s="215" t="s">
        <v>85</v>
      </c>
      <c r="P45" s="214">
        <v>7</v>
      </c>
      <c r="Q45" s="215" t="s">
        <v>87</v>
      </c>
      <c r="R45" s="108"/>
    </row>
    <row r="46" spans="3:18" ht="15" x14ac:dyDescent="0.5">
      <c r="C46" s="438"/>
      <c r="D46" s="438"/>
      <c r="F46" s="139"/>
      <c r="N46" s="214">
        <v>7.5</v>
      </c>
      <c r="O46" s="215" t="s">
        <v>2651</v>
      </c>
      <c r="P46" s="214">
        <v>7.5</v>
      </c>
      <c r="Q46" s="215" t="s">
        <v>2637</v>
      </c>
      <c r="R46" s="108"/>
    </row>
    <row r="47" spans="3:18" ht="15" x14ac:dyDescent="0.5">
      <c r="C47" s="438"/>
      <c r="D47" s="438"/>
      <c r="F47" s="139"/>
      <c r="N47" s="214">
        <v>8</v>
      </c>
      <c r="O47" s="215" t="s">
        <v>88</v>
      </c>
      <c r="P47" s="214">
        <v>8</v>
      </c>
      <c r="Q47" s="215" t="s">
        <v>101</v>
      </c>
      <c r="R47" s="108"/>
    </row>
    <row r="48" spans="3:18" ht="15" x14ac:dyDescent="0.5">
      <c r="C48" s="438"/>
      <c r="D48" s="438"/>
      <c r="F48" s="139"/>
      <c r="N48" s="214">
        <v>8.5</v>
      </c>
      <c r="O48" s="215" t="s">
        <v>2652</v>
      </c>
      <c r="P48" s="214">
        <v>8.5</v>
      </c>
      <c r="Q48" s="215" t="s">
        <v>2638</v>
      </c>
      <c r="R48" s="108"/>
    </row>
    <row r="49" spans="3:18" ht="15" x14ac:dyDescent="0.5">
      <c r="C49" s="438"/>
      <c r="D49" s="438"/>
      <c r="F49" s="139"/>
      <c r="N49" s="214">
        <v>9</v>
      </c>
      <c r="O49" s="215" t="s">
        <v>102</v>
      </c>
      <c r="P49" s="214">
        <v>9</v>
      </c>
      <c r="Q49" s="215" t="s">
        <v>103</v>
      </c>
      <c r="R49" s="108"/>
    </row>
    <row r="50" spans="3:18" ht="15" x14ac:dyDescent="0.5">
      <c r="C50" s="438"/>
      <c r="D50" s="438"/>
      <c r="F50" s="139"/>
      <c r="N50" s="214">
        <v>9.5</v>
      </c>
      <c r="O50" s="215" t="s">
        <v>2653</v>
      </c>
      <c r="P50" s="214">
        <v>9.5</v>
      </c>
      <c r="Q50" s="215" t="s">
        <v>2639</v>
      </c>
      <c r="R50" s="108"/>
    </row>
    <row r="51" spans="3:18" ht="15" x14ac:dyDescent="0.5">
      <c r="C51" s="438"/>
      <c r="D51" s="438"/>
      <c r="F51" s="139"/>
      <c r="N51" s="214">
        <v>10</v>
      </c>
      <c r="O51" s="215" t="s">
        <v>104</v>
      </c>
      <c r="P51" s="214">
        <v>10</v>
      </c>
      <c r="Q51" s="215" t="s">
        <v>105</v>
      </c>
      <c r="R51" s="108"/>
    </row>
    <row r="52" spans="3:18" ht="15" x14ac:dyDescent="0.5">
      <c r="C52" s="438"/>
      <c r="D52" s="438"/>
      <c r="F52" s="139"/>
      <c r="N52" s="214">
        <v>10.5</v>
      </c>
      <c r="O52" s="215" t="s">
        <v>2654</v>
      </c>
      <c r="P52" s="214">
        <v>10.5</v>
      </c>
      <c r="Q52" s="215" t="s">
        <v>2640</v>
      </c>
      <c r="R52" s="108"/>
    </row>
    <row r="53" spans="3:18" ht="15" x14ac:dyDescent="0.5">
      <c r="C53" s="438"/>
      <c r="D53" s="438"/>
      <c r="F53" s="139"/>
      <c r="N53" s="214">
        <v>11</v>
      </c>
      <c r="O53" s="215" t="s">
        <v>106</v>
      </c>
      <c r="P53" s="214">
        <v>11</v>
      </c>
      <c r="Q53" s="215" t="s">
        <v>107</v>
      </c>
      <c r="R53" s="108"/>
    </row>
    <row r="54" spans="3:18" ht="15" x14ac:dyDescent="0.5">
      <c r="C54" s="438"/>
      <c r="D54" s="438"/>
      <c r="F54" s="139"/>
      <c r="N54" s="214">
        <v>11.5</v>
      </c>
      <c r="O54" s="215" t="s">
        <v>2655</v>
      </c>
      <c r="P54" s="214">
        <v>11.5</v>
      </c>
      <c r="Q54" s="215" t="s">
        <v>2641</v>
      </c>
      <c r="R54" s="108"/>
    </row>
    <row r="55" spans="3:18" ht="15" x14ac:dyDescent="0.5">
      <c r="C55" s="438"/>
      <c r="D55" s="438"/>
      <c r="F55" s="139"/>
      <c r="N55" s="214">
        <v>12</v>
      </c>
      <c r="O55" s="215" t="s">
        <v>108</v>
      </c>
      <c r="P55" s="214">
        <v>12</v>
      </c>
      <c r="Q55" s="215" t="s">
        <v>109</v>
      </c>
      <c r="R55" s="108"/>
    </row>
    <row r="56" spans="3:18" ht="15" x14ac:dyDescent="0.5">
      <c r="C56" s="438"/>
      <c r="D56" s="438"/>
      <c r="F56" s="139"/>
      <c r="N56" s="214">
        <v>12.5</v>
      </c>
      <c r="O56" s="215" t="s">
        <v>2656</v>
      </c>
      <c r="P56" s="214">
        <v>12.5</v>
      </c>
      <c r="Q56" s="215" t="s">
        <v>2642</v>
      </c>
      <c r="R56" s="108"/>
    </row>
    <row r="57" spans="3:18" ht="15" x14ac:dyDescent="0.5">
      <c r="F57" s="139"/>
      <c r="N57" s="214">
        <v>13</v>
      </c>
      <c r="O57" s="215" t="s">
        <v>110</v>
      </c>
      <c r="P57" s="214">
        <v>13</v>
      </c>
      <c r="Q57" s="215" t="s">
        <v>111</v>
      </c>
      <c r="R57" s="108"/>
    </row>
    <row r="58" spans="3:18" ht="15" x14ac:dyDescent="0.5">
      <c r="F58" s="139"/>
      <c r="N58" s="214">
        <v>13.5</v>
      </c>
      <c r="O58" s="215" t="s">
        <v>2657</v>
      </c>
      <c r="P58" s="214">
        <v>13.5</v>
      </c>
      <c r="Q58" s="215" t="s">
        <v>2643</v>
      </c>
      <c r="R58" s="108"/>
    </row>
    <row r="59" spans="3:18" ht="15" x14ac:dyDescent="0.5">
      <c r="F59" s="139"/>
      <c r="N59" s="214">
        <v>14</v>
      </c>
      <c r="O59" s="215" t="s">
        <v>112</v>
      </c>
      <c r="P59" s="214">
        <v>14</v>
      </c>
      <c r="Q59" s="215" t="s">
        <v>113</v>
      </c>
      <c r="R59" s="108"/>
    </row>
    <row r="60" spans="3:18" ht="15" x14ac:dyDescent="0.5">
      <c r="F60" s="139"/>
      <c r="N60" s="214">
        <v>14.5</v>
      </c>
      <c r="O60" s="215" t="s">
        <v>2658</v>
      </c>
      <c r="P60" s="214">
        <v>14.5</v>
      </c>
      <c r="Q60" s="215" t="s">
        <v>2644</v>
      </c>
      <c r="R60" s="108"/>
    </row>
    <row r="61" spans="3:18" ht="15" x14ac:dyDescent="0.5">
      <c r="F61" s="139"/>
      <c r="N61" s="214">
        <v>15</v>
      </c>
      <c r="O61" s="215" t="s">
        <v>114</v>
      </c>
      <c r="P61" s="214">
        <v>15</v>
      </c>
      <c r="Q61" s="215" t="s">
        <v>115</v>
      </c>
      <c r="R61" s="108"/>
    </row>
    <row r="62" spans="3:18" ht="15" x14ac:dyDescent="0.5">
      <c r="F62" s="139"/>
      <c r="N62" s="214">
        <v>15.5</v>
      </c>
      <c r="O62" s="215" t="s">
        <v>2659</v>
      </c>
      <c r="P62" s="214">
        <v>15.5</v>
      </c>
      <c r="Q62" s="215" t="s">
        <v>2645</v>
      </c>
      <c r="R62" s="108"/>
    </row>
    <row r="63" spans="3:18" ht="15" x14ac:dyDescent="0.5">
      <c r="F63" s="139"/>
      <c r="N63" s="214">
        <v>16</v>
      </c>
      <c r="O63" s="215" t="s">
        <v>116</v>
      </c>
      <c r="P63" s="214">
        <v>16</v>
      </c>
      <c r="Q63" s="215" t="s">
        <v>117</v>
      </c>
      <c r="R63" s="108"/>
    </row>
    <row r="64" spans="3:18" ht="15" x14ac:dyDescent="0.5">
      <c r="G64" s="109"/>
      <c r="H64" s="109"/>
      <c r="I64" s="205"/>
      <c r="J64" s="109"/>
      <c r="K64" s="109"/>
      <c r="R64" s="108"/>
    </row>
    <row r="65" spans="7:18" ht="15" x14ac:dyDescent="0.5">
      <c r="G65" s="109"/>
      <c r="H65" s="109"/>
      <c r="I65" s="205"/>
      <c r="J65" s="109"/>
      <c r="K65" s="109"/>
      <c r="R65" s="108"/>
    </row>
    <row r="66" spans="7:18" ht="15" x14ac:dyDescent="0.5">
      <c r="G66" s="109"/>
      <c r="H66" s="109"/>
      <c r="I66" s="205"/>
      <c r="J66" s="109"/>
      <c r="K66" s="109"/>
      <c r="R66" s="108"/>
    </row>
    <row r="67" spans="7:18" ht="15" x14ac:dyDescent="0.5">
      <c r="G67" s="109"/>
      <c r="H67" s="109"/>
      <c r="I67" s="205"/>
      <c r="J67" s="109"/>
      <c r="K67" s="109"/>
      <c r="R67" s="108"/>
    </row>
    <row r="68" spans="7:18" ht="15" x14ac:dyDescent="0.5">
      <c r="G68" s="109"/>
      <c r="H68" s="109"/>
      <c r="I68" s="205"/>
      <c r="J68" s="109"/>
      <c r="K68" s="109"/>
      <c r="R68" s="108"/>
    </row>
    <row r="69" spans="7:18" ht="15" x14ac:dyDescent="0.5">
      <c r="G69" s="109"/>
      <c r="H69" s="109"/>
      <c r="I69" s="205"/>
      <c r="J69" s="109"/>
      <c r="K69" s="109"/>
      <c r="R69" s="108"/>
    </row>
    <row r="70" spans="7:18" ht="15" x14ac:dyDescent="0.5">
      <c r="G70" s="109"/>
      <c r="H70" s="109"/>
      <c r="I70" s="205"/>
      <c r="J70" s="109"/>
      <c r="K70" s="109"/>
      <c r="R70" s="108"/>
    </row>
    <row r="71" spans="7:18" ht="15" x14ac:dyDescent="0.5">
      <c r="G71" s="109"/>
      <c r="H71" s="109"/>
      <c r="I71" s="205"/>
      <c r="J71" s="109"/>
      <c r="K71" s="109"/>
      <c r="R71" s="108"/>
    </row>
    <row r="72" spans="7:18" ht="15" x14ac:dyDescent="0.5">
      <c r="G72" s="109"/>
      <c r="H72" s="109"/>
      <c r="I72" s="205"/>
      <c r="J72" s="109"/>
      <c r="K72" s="109"/>
      <c r="R72" s="108"/>
    </row>
    <row r="73" spans="7:18" ht="15" x14ac:dyDescent="0.5">
      <c r="G73" s="109"/>
      <c r="H73" s="109"/>
      <c r="I73" s="205"/>
      <c r="J73" s="109"/>
      <c r="K73" s="109"/>
      <c r="R73" s="108"/>
    </row>
    <row r="74" spans="7:18" ht="15" x14ac:dyDescent="0.5">
      <c r="G74" s="109"/>
      <c r="H74" s="109"/>
      <c r="I74" s="205"/>
      <c r="J74" s="109"/>
      <c r="K74" s="109"/>
      <c r="R74" s="108"/>
    </row>
    <row r="75" spans="7:18" ht="15" x14ac:dyDescent="0.5">
      <c r="G75" s="109"/>
      <c r="H75" s="109"/>
      <c r="I75" s="205"/>
      <c r="J75" s="109"/>
      <c r="K75" s="109"/>
      <c r="R75" s="108"/>
    </row>
    <row r="76" spans="7:18" ht="15" x14ac:dyDescent="0.5">
      <c r="G76" s="109"/>
      <c r="H76" s="109"/>
      <c r="I76" s="205"/>
      <c r="J76" s="109"/>
      <c r="K76" s="109"/>
      <c r="R76" s="108"/>
    </row>
    <row r="77" spans="7:18" ht="15" x14ac:dyDescent="0.5">
      <c r="G77" s="109"/>
      <c r="H77" s="109"/>
      <c r="I77" s="205"/>
      <c r="J77" s="109"/>
      <c r="K77" s="109"/>
      <c r="R77" s="108"/>
    </row>
    <row r="78" spans="7:18" ht="15" x14ac:dyDescent="0.5">
      <c r="G78" s="109"/>
      <c r="H78" s="109"/>
      <c r="I78" s="205"/>
      <c r="J78" s="109"/>
      <c r="K78" s="109"/>
      <c r="R78" s="108"/>
    </row>
    <row r="79" spans="7:18" ht="15" x14ac:dyDescent="0.5">
      <c r="G79" s="109"/>
      <c r="H79" s="109"/>
      <c r="I79" s="205"/>
      <c r="J79" s="109"/>
      <c r="K79" s="109"/>
      <c r="R79" s="108"/>
    </row>
    <row r="80" spans="7:18" ht="15" x14ac:dyDescent="0.5">
      <c r="G80" s="109"/>
      <c r="H80" s="109"/>
      <c r="I80" s="205"/>
      <c r="J80" s="109"/>
      <c r="K80" s="109"/>
      <c r="R80" s="108"/>
    </row>
    <row r="81" spans="7:18" ht="15" x14ac:dyDescent="0.5">
      <c r="G81" s="109"/>
      <c r="H81" s="109"/>
      <c r="I81" s="205"/>
      <c r="J81" s="109"/>
      <c r="K81" s="109"/>
      <c r="R81" s="108"/>
    </row>
    <row r="82" spans="7:18" ht="15" x14ac:dyDescent="0.5">
      <c r="G82" s="109"/>
      <c r="H82" s="109"/>
      <c r="I82" s="205"/>
      <c r="J82" s="109"/>
      <c r="K82" s="109"/>
      <c r="R82" s="108"/>
    </row>
    <row r="83" spans="7:18" ht="15" x14ac:dyDescent="0.5">
      <c r="G83" s="109"/>
      <c r="H83" s="109"/>
      <c r="I83" s="205"/>
      <c r="J83" s="109"/>
      <c r="K83" s="109"/>
      <c r="R83" s="108"/>
    </row>
    <row r="84" spans="7:18" ht="15" x14ac:dyDescent="0.5">
      <c r="G84" s="109"/>
      <c r="H84" s="109"/>
      <c r="I84" s="205"/>
      <c r="J84" s="109"/>
      <c r="K84" s="109"/>
      <c r="R84" s="108"/>
    </row>
    <row r="85" spans="7:18" ht="15" x14ac:dyDescent="0.5">
      <c r="G85" s="109"/>
      <c r="H85" s="109"/>
      <c r="I85" s="205"/>
      <c r="J85" s="109"/>
      <c r="K85" s="109"/>
      <c r="R85" s="108"/>
    </row>
    <row r="86" spans="7:18" ht="15" x14ac:dyDescent="0.5">
      <c r="G86" s="109"/>
      <c r="H86" s="109"/>
      <c r="I86" s="205"/>
      <c r="J86" s="109"/>
      <c r="K86" s="109"/>
      <c r="R86" s="108"/>
    </row>
    <row r="87" spans="7:18" ht="15" x14ac:dyDescent="0.5">
      <c r="G87" s="109"/>
      <c r="H87" s="109"/>
      <c r="I87" s="205"/>
      <c r="J87" s="109"/>
      <c r="K87" s="109"/>
      <c r="R87" s="108"/>
    </row>
    <row r="88" spans="7:18" ht="15" x14ac:dyDescent="0.5">
      <c r="G88" s="109"/>
      <c r="H88" s="109"/>
      <c r="I88" s="205"/>
      <c r="J88" s="109"/>
      <c r="K88" s="109"/>
      <c r="R88" s="108"/>
    </row>
    <row r="89" spans="7:18" ht="15" x14ac:dyDescent="0.5">
      <c r="G89" s="109"/>
      <c r="H89" s="109"/>
      <c r="I89" s="205"/>
      <c r="J89" s="109"/>
      <c r="K89" s="109"/>
      <c r="R89" s="108"/>
    </row>
    <row r="90" spans="7:18" ht="15" x14ac:dyDescent="0.5">
      <c r="G90" s="109"/>
      <c r="H90" s="109"/>
      <c r="I90" s="205"/>
      <c r="J90" s="109"/>
      <c r="K90" s="109"/>
      <c r="R90" s="108"/>
    </row>
    <row r="91" spans="7:18" ht="15" x14ac:dyDescent="0.5">
      <c r="G91" s="109"/>
      <c r="H91" s="109"/>
      <c r="I91" s="205"/>
      <c r="J91" s="109"/>
      <c r="K91" s="109"/>
      <c r="R91" s="108"/>
    </row>
    <row r="92" spans="7:18" ht="15" x14ac:dyDescent="0.5">
      <c r="G92" s="109"/>
      <c r="H92" s="109"/>
      <c r="I92" s="205"/>
      <c r="J92" s="109"/>
      <c r="K92" s="109"/>
      <c r="R92" s="108"/>
    </row>
    <row r="93" spans="7:18" ht="15" x14ac:dyDescent="0.5">
      <c r="G93" s="109"/>
      <c r="H93" s="109"/>
      <c r="I93" s="205"/>
      <c r="J93" s="109"/>
      <c r="K93" s="109"/>
      <c r="R93" s="108"/>
    </row>
    <row r="94" spans="7:18" ht="15" x14ac:dyDescent="0.5">
      <c r="G94" s="109"/>
      <c r="H94" s="109"/>
      <c r="I94" s="205"/>
      <c r="J94" s="109"/>
      <c r="K94" s="109"/>
      <c r="R94" s="108"/>
    </row>
    <row r="95" spans="7:18" ht="15" x14ac:dyDescent="0.5">
      <c r="G95" s="109"/>
      <c r="H95" s="109"/>
      <c r="I95" s="205"/>
      <c r="J95" s="109"/>
      <c r="K95" s="109"/>
      <c r="R95" s="108"/>
    </row>
    <row r="96" spans="7:18" ht="15" x14ac:dyDescent="0.5">
      <c r="G96" s="109"/>
      <c r="H96" s="109"/>
      <c r="I96" s="205"/>
      <c r="J96" s="109"/>
      <c r="K96" s="109"/>
      <c r="R96" s="108"/>
    </row>
    <row r="97" spans="7:18" ht="15" x14ac:dyDescent="0.5">
      <c r="G97" s="109"/>
      <c r="H97" s="109"/>
      <c r="I97" s="205"/>
      <c r="J97" s="109"/>
      <c r="K97" s="109"/>
      <c r="R97" s="108"/>
    </row>
    <row r="98" spans="7:18" ht="15" x14ac:dyDescent="0.5">
      <c r="G98" s="109"/>
      <c r="H98" s="109"/>
      <c r="I98" s="205"/>
      <c r="J98" s="109"/>
      <c r="K98" s="109"/>
      <c r="R98" s="108"/>
    </row>
    <row r="99" spans="7:18" ht="15" x14ac:dyDescent="0.5">
      <c r="G99" s="109"/>
      <c r="H99" s="109"/>
      <c r="I99" s="205"/>
      <c r="J99" s="109"/>
      <c r="K99" s="109"/>
      <c r="R99" s="108"/>
    </row>
    <row r="100" spans="7:18" ht="15" x14ac:dyDescent="0.5">
      <c r="G100" s="109"/>
      <c r="H100" s="109"/>
      <c r="I100" s="205"/>
      <c r="J100" s="109"/>
      <c r="K100" s="109"/>
      <c r="R100" s="108"/>
    </row>
    <row r="101" spans="7:18" ht="15" x14ac:dyDescent="0.5">
      <c r="G101" s="109"/>
      <c r="H101" s="109"/>
      <c r="I101" s="205"/>
      <c r="J101" s="109"/>
      <c r="K101" s="109"/>
      <c r="R101" s="108"/>
    </row>
    <row r="102" spans="7:18" ht="15" x14ac:dyDescent="0.5">
      <c r="G102" s="109"/>
      <c r="H102" s="109"/>
      <c r="I102" s="205"/>
      <c r="J102" s="109"/>
      <c r="K102" s="109"/>
      <c r="R102" s="108"/>
    </row>
    <row r="103" spans="7:18" ht="15" x14ac:dyDescent="0.5">
      <c r="G103" s="109"/>
      <c r="H103" s="109"/>
      <c r="I103" s="205"/>
      <c r="J103" s="109"/>
      <c r="K103" s="109"/>
      <c r="R103" s="108"/>
    </row>
    <row r="104" spans="7:18" ht="15" x14ac:dyDescent="0.5">
      <c r="G104" s="109"/>
      <c r="H104" s="109"/>
      <c r="I104" s="205"/>
      <c r="J104" s="109"/>
      <c r="K104" s="109"/>
      <c r="R104" s="108"/>
    </row>
    <row r="105" spans="7:18" ht="15" x14ac:dyDescent="0.5">
      <c r="G105" s="109"/>
      <c r="H105" s="109"/>
      <c r="I105" s="205"/>
      <c r="J105" s="109"/>
      <c r="K105" s="109"/>
      <c r="R105" s="108"/>
    </row>
    <row r="106" spans="7:18" ht="15" x14ac:dyDescent="0.5">
      <c r="G106" s="109"/>
      <c r="H106" s="109"/>
      <c r="I106" s="205"/>
      <c r="J106" s="109"/>
      <c r="K106" s="109"/>
      <c r="R106" s="108"/>
    </row>
    <row r="107" spans="7:18" ht="15" x14ac:dyDescent="0.5">
      <c r="G107" s="109"/>
      <c r="H107" s="109"/>
      <c r="I107" s="205"/>
      <c r="J107" s="109"/>
      <c r="K107" s="109"/>
      <c r="R107" s="108"/>
    </row>
    <row r="108" spans="7:18" ht="15" x14ac:dyDescent="0.5">
      <c r="G108" s="109"/>
      <c r="H108" s="109"/>
      <c r="I108" s="205"/>
      <c r="J108" s="109"/>
      <c r="K108" s="109"/>
      <c r="R108" s="108"/>
    </row>
    <row r="109" spans="7:18" ht="15" x14ac:dyDescent="0.5">
      <c r="G109" s="109"/>
      <c r="H109" s="109"/>
      <c r="I109" s="205"/>
      <c r="J109" s="109"/>
      <c r="K109" s="109"/>
      <c r="R109" s="108"/>
    </row>
    <row r="110" spans="7:18" ht="15" x14ac:dyDescent="0.5">
      <c r="G110" s="109"/>
      <c r="H110" s="109"/>
      <c r="I110" s="205"/>
      <c r="J110" s="109"/>
      <c r="K110" s="109"/>
      <c r="R110" s="108"/>
    </row>
    <row r="111" spans="7:18" ht="15" x14ac:dyDescent="0.5">
      <c r="G111" s="109"/>
      <c r="H111" s="109"/>
      <c r="I111" s="205"/>
      <c r="J111" s="109"/>
      <c r="K111" s="109"/>
      <c r="R111" s="108"/>
    </row>
    <row r="112" spans="7:18" ht="15" x14ac:dyDescent="0.5">
      <c r="G112" s="109"/>
      <c r="H112" s="109"/>
      <c r="I112" s="205"/>
      <c r="J112" s="109"/>
      <c r="K112" s="109"/>
      <c r="R112" s="108"/>
    </row>
    <row r="113" spans="7:18" ht="15" x14ac:dyDescent="0.5">
      <c r="G113" s="109"/>
      <c r="H113" s="109"/>
      <c r="I113" s="205"/>
      <c r="J113" s="109"/>
      <c r="K113" s="109"/>
      <c r="R113" s="108"/>
    </row>
    <row r="114" spans="7:18" ht="15" x14ac:dyDescent="0.5">
      <c r="G114" s="109"/>
      <c r="H114" s="109"/>
      <c r="I114" s="205"/>
      <c r="J114" s="109"/>
      <c r="K114" s="109"/>
      <c r="R114" s="108"/>
    </row>
    <row r="115" spans="7:18" ht="15" x14ac:dyDescent="0.5">
      <c r="G115" s="109"/>
      <c r="H115" s="109"/>
      <c r="I115" s="205"/>
      <c r="J115" s="109"/>
      <c r="K115" s="109"/>
      <c r="R115" s="108"/>
    </row>
    <row r="116" spans="7:18" ht="15" x14ac:dyDescent="0.5">
      <c r="G116" s="109"/>
      <c r="H116" s="109"/>
      <c r="I116" s="205"/>
      <c r="J116" s="109"/>
      <c r="K116" s="109"/>
      <c r="R116" s="108"/>
    </row>
    <row r="117" spans="7:18" ht="15" x14ac:dyDescent="0.5">
      <c r="G117" s="109"/>
      <c r="H117" s="109"/>
      <c r="I117" s="205"/>
      <c r="J117" s="109"/>
      <c r="K117" s="109"/>
      <c r="R117" s="108"/>
    </row>
    <row r="118" spans="7:18" ht="15" x14ac:dyDescent="0.5">
      <c r="G118" s="109"/>
      <c r="H118" s="109"/>
      <c r="I118" s="205"/>
      <c r="J118" s="109"/>
      <c r="K118" s="109"/>
      <c r="R118" s="108"/>
    </row>
    <row r="119" spans="7:18" ht="15" x14ac:dyDescent="0.5">
      <c r="G119" s="109"/>
      <c r="H119" s="109"/>
      <c r="I119" s="205"/>
      <c r="J119" s="109"/>
      <c r="K119" s="109"/>
      <c r="R119" s="108"/>
    </row>
    <row r="120" spans="7:18" ht="15" x14ac:dyDescent="0.5">
      <c r="G120" s="109"/>
      <c r="H120" s="109"/>
      <c r="I120" s="205"/>
      <c r="J120" s="109"/>
      <c r="K120" s="109"/>
      <c r="R120" s="108"/>
    </row>
    <row r="121" spans="7:18" ht="15" x14ac:dyDescent="0.5">
      <c r="G121" s="109"/>
      <c r="H121" s="109"/>
      <c r="I121" s="205"/>
      <c r="J121" s="109"/>
      <c r="K121" s="109"/>
      <c r="R121" s="108"/>
    </row>
    <row r="122" spans="7:18" ht="15" x14ac:dyDescent="0.5">
      <c r="G122" s="109"/>
      <c r="H122" s="109"/>
      <c r="I122" s="205"/>
      <c r="J122" s="109"/>
      <c r="K122" s="109"/>
      <c r="R122" s="108"/>
    </row>
    <row r="123" spans="7:18" ht="15" x14ac:dyDescent="0.5">
      <c r="G123" s="109"/>
      <c r="H123" s="109"/>
      <c r="I123" s="205"/>
      <c r="J123" s="109"/>
      <c r="K123" s="109"/>
      <c r="R123" s="108"/>
    </row>
    <row r="124" spans="7:18" ht="15" x14ac:dyDescent="0.5">
      <c r="G124" s="109"/>
      <c r="H124" s="109"/>
      <c r="I124" s="205"/>
      <c r="J124" s="109"/>
      <c r="K124" s="109"/>
      <c r="R124" s="108"/>
    </row>
    <row r="125" spans="7:18" ht="15" x14ac:dyDescent="0.5">
      <c r="G125" s="109"/>
      <c r="H125" s="109"/>
      <c r="I125" s="205"/>
      <c r="J125" s="109"/>
      <c r="K125" s="109"/>
      <c r="R125" s="108"/>
    </row>
    <row r="126" spans="7:18" ht="15" x14ac:dyDescent="0.5">
      <c r="G126" s="109"/>
      <c r="H126" s="109"/>
      <c r="I126" s="205"/>
      <c r="J126" s="109"/>
      <c r="K126" s="109"/>
      <c r="R126" s="108"/>
    </row>
    <row r="127" spans="7:18" ht="15" x14ac:dyDescent="0.5">
      <c r="G127" s="109"/>
      <c r="H127" s="109"/>
      <c r="I127" s="205"/>
      <c r="J127" s="109"/>
      <c r="K127" s="109"/>
      <c r="R127" s="108"/>
    </row>
    <row r="128" spans="7:18" ht="15" x14ac:dyDescent="0.5">
      <c r="G128" s="109"/>
      <c r="H128" s="109"/>
      <c r="I128" s="205"/>
      <c r="J128" s="109"/>
      <c r="K128" s="109"/>
      <c r="R128" s="108"/>
    </row>
    <row r="129" spans="7:18" ht="15" x14ac:dyDescent="0.5">
      <c r="G129" s="109"/>
      <c r="H129" s="109"/>
      <c r="I129" s="205"/>
      <c r="J129" s="109"/>
      <c r="K129" s="109"/>
      <c r="R129" s="108"/>
    </row>
    <row r="130" spans="7:18" ht="15" x14ac:dyDescent="0.5">
      <c r="G130" s="109"/>
      <c r="H130" s="109"/>
      <c r="I130" s="205"/>
      <c r="J130" s="109"/>
      <c r="K130" s="109"/>
      <c r="R130" s="108"/>
    </row>
    <row r="131" spans="7:18" ht="15" x14ac:dyDescent="0.5">
      <c r="G131" s="109"/>
      <c r="H131" s="109"/>
      <c r="I131" s="205"/>
      <c r="J131" s="109"/>
      <c r="K131" s="109"/>
      <c r="R131" s="108"/>
    </row>
    <row r="132" spans="7:18" ht="15" x14ac:dyDescent="0.5">
      <c r="G132" s="109"/>
      <c r="H132" s="109"/>
      <c r="I132" s="205"/>
      <c r="J132" s="109"/>
      <c r="K132" s="109"/>
      <c r="R132" s="108"/>
    </row>
    <row r="133" spans="7:18" ht="15" x14ac:dyDescent="0.5">
      <c r="G133" s="109"/>
      <c r="H133" s="109"/>
      <c r="I133" s="205"/>
      <c r="J133" s="109"/>
      <c r="K133" s="109"/>
      <c r="R133" s="108"/>
    </row>
    <row r="134" spans="7:18" ht="15" x14ac:dyDescent="0.5">
      <c r="G134" s="109"/>
      <c r="H134" s="109"/>
      <c r="I134" s="205"/>
      <c r="J134" s="109"/>
      <c r="K134" s="109"/>
      <c r="R134" s="108"/>
    </row>
    <row r="135" spans="7:18" ht="15" x14ac:dyDescent="0.5">
      <c r="G135" s="109"/>
      <c r="H135" s="109"/>
      <c r="I135" s="205"/>
      <c r="J135" s="109"/>
      <c r="K135" s="109"/>
      <c r="R135" s="108"/>
    </row>
    <row r="136" spans="7:18" ht="15" x14ac:dyDescent="0.5">
      <c r="G136" s="109"/>
      <c r="H136" s="109"/>
      <c r="I136" s="205"/>
      <c r="J136" s="109"/>
      <c r="K136" s="109"/>
      <c r="R136" s="108"/>
    </row>
    <row r="137" spans="7:18" ht="15" x14ac:dyDescent="0.5">
      <c r="G137" s="109"/>
      <c r="H137" s="109"/>
      <c r="I137" s="205"/>
      <c r="J137" s="109"/>
      <c r="K137" s="109"/>
      <c r="R137" s="108"/>
    </row>
    <row r="138" spans="7:18" ht="15" x14ac:dyDescent="0.5">
      <c r="G138" s="109"/>
      <c r="H138" s="109"/>
      <c r="I138" s="205"/>
      <c r="J138" s="109"/>
      <c r="K138" s="109"/>
      <c r="R138" s="108"/>
    </row>
    <row r="139" spans="7:18" ht="15" x14ac:dyDescent="0.5">
      <c r="G139" s="109"/>
      <c r="H139" s="109"/>
      <c r="I139" s="205"/>
      <c r="J139" s="109"/>
      <c r="K139" s="109"/>
      <c r="R139" s="108"/>
    </row>
    <row r="140" spans="7:18" ht="15" x14ac:dyDescent="0.5">
      <c r="G140" s="109"/>
      <c r="H140" s="109"/>
      <c r="I140" s="205"/>
      <c r="J140" s="109"/>
      <c r="K140" s="109"/>
      <c r="R140" s="108"/>
    </row>
    <row r="141" spans="7:18" ht="15" x14ac:dyDescent="0.5">
      <c r="G141" s="109"/>
      <c r="H141" s="109"/>
      <c r="I141" s="205"/>
      <c r="J141" s="109"/>
      <c r="K141" s="109"/>
      <c r="R141" s="108"/>
    </row>
    <row r="142" spans="7:18" ht="15" x14ac:dyDescent="0.5">
      <c r="G142" s="109"/>
      <c r="H142" s="109"/>
      <c r="I142" s="205"/>
      <c r="J142" s="109"/>
      <c r="K142" s="109"/>
      <c r="R142" s="108"/>
    </row>
    <row r="143" spans="7:18" ht="15" x14ac:dyDescent="0.5">
      <c r="R143" s="108"/>
    </row>
    <row r="144" spans="7:18" ht="15" x14ac:dyDescent="0.5">
      <c r="R144" s="108"/>
    </row>
  </sheetData>
  <mergeCells count="4">
    <mergeCell ref="B1:K1"/>
    <mergeCell ref="B2:K2"/>
    <mergeCell ref="B3:K3"/>
    <mergeCell ref="I6:K6"/>
  </mergeCells>
  <pageMargins left="0.7" right="0.7" top="0.75" bottom="0.75" header="0.3" footer="0.3"/>
  <pageSetup scale="71"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F406-0F44-41C4-A0A3-0BC7ACAF2AFE}">
  <sheetPr codeName="Sheet66">
    <pageSetUpPr fitToPage="1"/>
  </sheetPr>
  <dimension ref="A1:HO13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16.15625" style="17" bestFit="1" customWidth="1"/>
    <col min="4" max="4" width="3.15625" style="17" customWidth="1"/>
    <col min="5" max="5" width="16.15625" style="17" bestFit="1" customWidth="1"/>
    <col min="6" max="6" width="3.15625" style="17" customWidth="1"/>
    <col min="7" max="7" width="17.15625" style="17" customWidth="1"/>
    <col min="8" max="8" width="3.15625" style="17" customWidth="1"/>
    <col min="9" max="9" width="18.5234375" style="17" customWidth="1"/>
    <col min="10" max="10" width="2.5234375" style="17" customWidth="1"/>
    <col min="11" max="11" width="18.5234375" style="17" customWidth="1"/>
    <col min="12" max="12" width="2" style="17" customWidth="1"/>
    <col min="13" max="13" width="18.5234375" style="17" customWidth="1"/>
    <col min="14" max="16" width="3.15625" style="17" customWidth="1"/>
    <col min="17" max="17" width="53.47265625" style="17" customWidth="1"/>
    <col min="18" max="18" width="3.15625" style="17" customWidth="1"/>
    <col min="19" max="19" width="13.47265625" style="17" customWidth="1"/>
    <col min="20" max="20" width="3.15625" style="17" customWidth="1"/>
    <col min="21" max="21" width="11.7890625" style="17" customWidth="1"/>
    <col min="22" max="22" width="2.7890625" style="17" customWidth="1"/>
    <col min="23" max="23" width="11.7890625" style="17" customWidth="1"/>
    <col min="24" max="24" width="2.7890625" style="17" customWidth="1"/>
    <col min="25" max="25" width="11" style="17" customWidth="1"/>
    <col min="26" max="26" width="2.5234375" style="17" bestFit="1" customWidth="1"/>
    <col min="27" max="27" width="11" style="17" bestFit="1" customWidth="1"/>
    <col min="28" max="28" width="2.5234375" style="17" customWidth="1"/>
    <col min="29" max="29" width="10.5234375" style="17" customWidth="1"/>
    <col min="30" max="30" width="2.5234375" style="17" customWidth="1"/>
    <col min="31" max="31" width="9.15625" style="17"/>
    <col min="32" max="32" width="4.47265625" style="17" customWidth="1"/>
    <col min="33" max="33" width="3.5234375" style="17" customWidth="1"/>
    <col min="34" max="34" width="22.15625" style="17" customWidth="1"/>
    <col min="35" max="16384" width="9.15625" style="17"/>
  </cols>
  <sheetData>
    <row r="1" spans="1:29" ht="16.5" customHeight="1" x14ac:dyDescent="0.4">
      <c r="A1" s="33"/>
    </row>
    <row r="2" spans="1:29" ht="16.5" customHeight="1" x14ac:dyDescent="0.55000000000000004">
      <c r="A2" s="33"/>
      <c r="G2"/>
    </row>
    <row r="3" spans="1:29" ht="16.5" customHeight="1" x14ac:dyDescent="0.55000000000000004">
      <c r="A3" s="33"/>
      <c r="G3"/>
    </row>
    <row r="4" spans="1:29" ht="16.5" customHeight="1" thickBot="1" x14ac:dyDescent="0.45">
      <c r="A4" s="33"/>
    </row>
    <row r="5" spans="1:29" ht="15" x14ac:dyDescent="0.85">
      <c r="A5" s="151" t="s">
        <v>1287</v>
      </c>
    </row>
    <row r="6" spans="1:29" ht="14.7" thickBot="1" x14ac:dyDescent="0.6">
      <c r="A6" s="152" t="s">
        <v>2862</v>
      </c>
      <c r="G6" s="1483" t="s">
        <v>2891</v>
      </c>
      <c r="H6" s="1484"/>
      <c r="I6" s="1484"/>
      <c r="J6" s="1484"/>
      <c r="K6" s="1484"/>
      <c r="L6" s="1484"/>
      <c r="M6" s="1484"/>
      <c r="N6" s="52"/>
      <c r="O6" s="52"/>
      <c r="Q6" s="43" t="str">
        <f>G6</f>
        <v xml:space="preserve">Northwest Nat. Gas  </v>
      </c>
      <c r="R6" s="43"/>
      <c r="S6" s="43"/>
      <c r="T6" s="43"/>
      <c r="U6" s="43"/>
      <c r="V6" s="34"/>
      <c r="W6" s="43"/>
      <c r="X6" s="34"/>
      <c r="Y6" s="34"/>
      <c r="Z6" s="44"/>
      <c r="AA6" s="34"/>
      <c r="AB6" s="34"/>
      <c r="AC6" s="34"/>
    </row>
    <row r="7" spans="1:29" ht="14.4" x14ac:dyDescent="0.55000000000000004">
      <c r="G7" s="1483" t="s">
        <v>1282</v>
      </c>
      <c r="H7" s="1484"/>
      <c r="I7" s="1484"/>
      <c r="J7" s="1484"/>
      <c r="K7" s="1484"/>
      <c r="L7" s="1484"/>
      <c r="M7" s="1484"/>
      <c r="N7" s="52"/>
      <c r="O7" s="52"/>
      <c r="Q7" s="34" t="str">
        <f>G7</f>
        <v>CAPITALIZATION AND FINANCIAL STATISTICS  (1)</v>
      </c>
      <c r="R7" s="34"/>
      <c r="S7" s="34"/>
      <c r="T7" s="34"/>
      <c r="U7" s="34"/>
      <c r="V7" s="34"/>
      <c r="W7" s="34"/>
      <c r="X7" s="34"/>
      <c r="Y7" s="34"/>
      <c r="Z7" s="34"/>
      <c r="AA7" s="34"/>
      <c r="AB7" s="34"/>
      <c r="AC7" s="34"/>
    </row>
    <row r="8" spans="1:29" ht="14.4" x14ac:dyDescent="0.55000000000000004">
      <c r="G8" s="1483" t="s">
        <v>2888</v>
      </c>
      <c r="H8" s="1484"/>
      <c r="I8" s="1484"/>
      <c r="J8" s="1484"/>
      <c r="K8" s="1484"/>
      <c r="L8" s="1484"/>
      <c r="M8" s="1484"/>
      <c r="N8" s="52"/>
      <c r="O8" s="52"/>
      <c r="Q8" s="44" t="str">
        <f>G8</f>
        <v>2018 - 2023, Inclusive</v>
      </c>
      <c r="R8" s="44"/>
      <c r="S8" s="44"/>
      <c r="T8" s="44"/>
      <c r="U8" s="44"/>
      <c r="V8" s="34"/>
      <c r="W8" s="44"/>
      <c r="X8" s="34"/>
      <c r="Y8" s="34"/>
      <c r="Z8" s="44"/>
      <c r="AA8" s="34"/>
      <c r="AB8" s="34"/>
      <c r="AC8" s="34"/>
    </row>
    <row r="9" spans="1:29" x14ac:dyDescent="0.4">
      <c r="Q9" s="34"/>
      <c r="R9" s="34"/>
      <c r="S9" s="34"/>
      <c r="T9" s="34"/>
      <c r="U9" s="34"/>
      <c r="V9" s="34"/>
      <c r="W9" s="34"/>
      <c r="X9" s="34"/>
      <c r="Y9" s="44"/>
      <c r="Z9" s="44"/>
      <c r="AA9" s="34"/>
      <c r="AB9" s="34"/>
      <c r="AC9" s="34"/>
    </row>
    <row r="10" spans="1:29" x14ac:dyDescent="0.4">
      <c r="B10" s="17" t="s">
        <v>2889</v>
      </c>
      <c r="C10" s="40">
        <v>2023</v>
      </c>
      <c r="E10" s="40">
        <v>2022</v>
      </c>
      <c r="G10" s="40">
        <v>2021</v>
      </c>
      <c r="I10" s="40">
        <v>2020</v>
      </c>
      <c r="K10" s="40">
        <v>2019</v>
      </c>
      <c r="M10" s="40">
        <v>2018</v>
      </c>
      <c r="N10" s="40"/>
      <c r="O10" s="40"/>
      <c r="Y10" s="44"/>
      <c r="Z10" s="44"/>
      <c r="AA10" s="34"/>
      <c r="AB10" s="34"/>
    </row>
    <row r="11" spans="1:29" x14ac:dyDescent="0.4">
      <c r="A11" s="17" t="s">
        <v>1288</v>
      </c>
    </row>
    <row r="12" spans="1:29" x14ac:dyDescent="0.4">
      <c r="A12" s="17" t="s">
        <v>1289</v>
      </c>
      <c r="B12" s="17" t="s">
        <v>1290</v>
      </c>
      <c r="C12" s="46">
        <f>(1425435+150865)*1000</f>
        <v>1576300000</v>
      </c>
      <c r="E12" s="46">
        <f>1246167000+90697000</f>
        <v>1336864000</v>
      </c>
      <c r="G12" s="46">
        <f>1044587000+345000-27000000</f>
        <v>1017932000</v>
      </c>
      <c r="I12" s="46">
        <f>860081000+95344000</f>
        <v>955425000</v>
      </c>
      <c r="K12" s="46">
        <f>805955000+75109000</f>
        <v>881064000</v>
      </c>
      <c r="M12" s="46">
        <f>706247000+29989000</f>
        <v>736236000</v>
      </c>
      <c r="N12" s="46"/>
      <c r="O12" s="46"/>
      <c r="S12" s="40">
        <f>C10</f>
        <v>2023</v>
      </c>
      <c r="U12" s="40">
        <f>E10</f>
        <v>2022</v>
      </c>
      <c r="W12" s="40">
        <f>G10</f>
        <v>2021</v>
      </c>
      <c r="Y12" s="40">
        <f>I10</f>
        <v>2020</v>
      </c>
      <c r="Z12" s="40"/>
      <c r="AA12" s="40">
        <f>K10</f>
        <v>2019</v>
      </c>
      <c r="AB12" s="40"/>
    </row>
    <row r="13" spans="1:29" x14ac:dyDescent="0.4">
      <c r="A13" s="17" t="s">
        <v>1291</v>
      </c>
      <c r="B13" s="17" t="s">
        <v>1292</v>
      </c>
      <c r="C13" s="46">
        <v>0</v>
      </c>
      <c r="E13" s="46">
        <v>0</v>
      </c>
      <c r="G13" s="46">
        <v>0</v>
      </c>
      <c r="I13" s="46">
        <v>0</v>
      </c>
      <c r="K13" s="46">
        <v>0</v>
      </c>
      <c r="M13" s="46">
        <v>0</v>
      </c>
      <c r="N13" s="46"/>
      <c r="O13" s="46"/>
      <c r="Y13" s="34" t="s">
        <v>1247</v>
      </c>
      <c r="Z13" s="34"/>
      <c r="AA13" s="34"/>
      <c r="AB13" s="34"/>
      <c r="AC13" s="34" t="s">
        <v>1091</v>
      </c>
    </row>
    <row r="14" spans="1:29" x14ac:dyDescent="0.4">
      <c r="C14" s="46"/>
      <c r="E14" s="46"/>
      <c r="G14" s="46"/>
      <c r="I14" s="46"/>
      <c r="K14" s="46"/>
      <c r="M14" s="46"/>
      <c r="N14" s="46"/>
      <c r="O14" s="46"/>
      <c r="Q14" s="47" t="s">
        <v>1248</v>
      </c>
      <c r="R14" s="47"/>
      <c r="S14" s="47"/>
      <c r="T14" s="47"/>
      <c r="U14" s="47"/>
      <c r="V14" s="47"/>
      <c r="W14" s="47"/>
      <c r="X14" s="47"/>
    </row>
    <row r="15" spans="1:29" x14ac:dyDescent="0.4">
      <c r="A15" s="17" t="s">
        <v>1293</v>
      </c>
      <c r="B15" s="17" t="s">
        <v>1294</v>
      </c>
      <c r="C15" s="46">
        <f>37631*1000</f>
        <v>37631000</v>
      </c>
      <c r="E15" s="46">
        <v>35525000</v>
      </c>
      <c r="G15" s="46">
        <v>31129000</v>
      </c>
      <c r="I15" s="46">
        <v>30589000</v>
      </c>
      <c r="K15" s="46">
        <v>30472000</v>
      </c>
      <c r="M15" s="46">
        <v>28880000</v>
      </c>
      <c r="N15" s="46"/>
      <c r="O15" s="46"/>
    </row>
    <row r="16" spans="1:29" x14ac:dyDescent="0.4">
      <c r="A16" s="17" t="s">
        <v>1239</v>
      </c>
      <c r="B16" s="17" t="s">
        <v>1295</v>
      </c>
      <c r="C16" s="46">
        <f>1283838*1000</f>
        <v>1283838000</v>
      </c>
      <c r="E16" s="46">
        <v>1175441000</v>
      </c>
      <c r="G16" s="46">
        <v>935146000</v>
      </c>
      <c r="I16" s="46">
        <v>888733000</v>
      </c>
      <c r="K16" s="46">
        <v>865999000</v>
      </c>
      <c r="M16" s="46">
        <v>762634000</v>
      </c>
      <c r="N16" s="46"/>
      <c r="O16" s="46"/>
      <c r="Q16" s="47" t="s">
        <v>1249</v>
      </c>
      <c r="R16" s="47"/>
      <c r="S16" s="47"/>
      <c r="T16" s="47"/>
      <c r="U16" s="47"/>
      <c r="V16" s="47"/>
      <c r="W16" s="47"/>
      <c r="X16" s="47"/>
    </row>
    <row r="17" spans="1:30" x14ac:dyDescent="0.4">
      <c r="A17" s="17" t="s">
        <v>1296</v>
      </c>
      <c r="B17" s="17" t="s">
        <v>1294</v>
      </c>
      <c r="C17" s="46">
        <v>0</v>
      </c>
      <c r="E17" s="46">
        <v>0</v>
      </c>
      <c r="G17" s="46">
        <v>0</v>
      </c>
      <c r="I17" s="46">
        <v>0</v>
      </c>
      <c r="K17" s="46">
        <v>0</v>
      </c>
      <c r="M17" s="46">
        <v>0</v>
      </c>
      <c r="N17" s="46"/>
      <c r="O17" s="46"/>
      <c r="Q17" s="17" t="s">
        <v>1297</v>
      </c>
      <c r="S17" s="35">
        <f>C50/1000000</f>
        <v>2860.1379999999999</v>
      </c>
      <c r="T17" s="35"/>
      <c r="U17" s="35">
        <f>E50/1000000</f>
        <v>2512.3049999999998</v>
      </c>
      <c r="V17" s="35"/>
      <c r="W17" s="35">
        <f>G50/1000000</f>
        <v>1953.078</v>
      </c>
      <c r="X17" s="35"/>
      <c r="Y17" s="35">
        <f>I50/1000000</f>
        <v>1844.1579999999999</v>
      </c>
      <c r="Z17" s="35"/>
      <c r="AA17" s="35">
        <f>K50/1000000</f>
        <v>1747.0630000000001</v>
      </c>
      <c r="AB17" s="35"/>
    </row>
    <row r="18" spans="1:30" x14ac:dyDescent="0.4">
      <c r="C18" s="46"/>
      <c r="E18" s="46"/>
      <c r="G18" s="46"/>
      <c r="I18" s="46"/>
      <c r="K18" s="46"/>
      <c r="M18" s="46"/>
      <c r="N18" s="46"/>
      <c r="O18" s="46"/>
      <c r="Q18" s="17" t="s">
        <v>1298</v>
      </c>
      <c r="S18" s="36">
        <f>C19/1000000</f>
        <v>89.78</v>
      </c>
      <c r="T18" s="35"/>
      <c r="U18" s="36">
        <f>E19/1000000</f>
        <v>258.2</v>
      </c>
      <c r="V18" s="35"/>
      <c r="W18" s="36">
        <f>G19/1000000</f>
        <v>389.5</v>
      </c>
      <c r="X18" s="35"/>
      <c r="Y18" s="36">
        <f>I19/1000000</f>
        <v>304.52499999999998</v>
      </c>
      <c r="Z18" s="35"/>
      <c r="AA18" s="36">
        <f>K19/1000000</f>
        <v>149.1</v>
      </c>
      <c r="AB18" s="35"/>
    </row>
    <row r="19" spans="1:30" x14ac:dyDescent="0.4">
      <c r="A19" s="17" t="s">
        <v>1299</v>
      </c>
      <c r="B19" s="17" t="s">
        <v>1300</v>
      </c>
      <c r="C19" s="46">
        <f>89780*1000</f>
        <v>89780000</v>
      </c>
      <c r="E19" s="46">
        <v>258200000</v>
      </c>
      <c r="G19" s="46">
        <v>389500000</v>
      </c>
      <c r="I19" s="46">
        <v>304525000</v>
      </c>
      <c r="K19" s="46">
        <v>149100000</v>
      </c>
      <c r="M19" s="46">
        <v>217620000</v>
      </c>
      <c r="N19" s="46"/>
      <c r="O19" s="46"/>
      <c r="Q19" s="17" t="s">
        <v>1301</v>
      </c>
      <c r="S19" s="37">
        <f>SUM(S17:S18)</f>
        <v>2949.9180000000001</v>
      </c>
      <c r="T19" s="35"/>
      <c r="U19" s="37">
        <f>SUM(U17:U18)</f>
        <v>2770.5049999999997</v>
      </c>
      <c r="V19" s="35"/>
      <c r="W19" s="37">
        <f>SUM(W17:W18)</f>
        <v>2342.578</v>
      </c>
      <c r="X19" s="35"/>
      <c r="Y19" s="37">
        <f>SUM(Y17:Y18)</f>
        <v>2148.683</v>
      </c>
      <c r="Z19" s="35"/>
      <c r="AA19" s="37">
        <f>SUM(AA17:AA18)</f>
        <v>1896.163</v>
      </c>
      <c r="AB19" s="35"/>
    </row>
    <row r="20" spans="1:30" x14ac:dyDescent="0.4">
      <c r="C20" s="46"/>
      <c r="E20" s="46"/>
      <c r="G20" s="46"/>
      <c r="I20" s="46"/>
      <c r="K20" s="46"/>
      <c r="M20" s="46"/>
      <c r="N20" s="46"/>
      <c r="O20" s="46"/>
    </row>
    <row r="21" spans="1:30" x14ac:dyDescent="0.4">
      <c r="A21" s="17" t="s">
        <v>1302</v>
      </c>
      <c r="B21" s="17" t="s">
        <v>1303</v>
      </c>
      <c r="C21" s="46">
        <v>2.59</v>
      </c>
      <c r="E21" s="46">
        <v>2.54</v>
      </c>
      <c r="G21" s="46">
        <v>2.56</v>
      </c>
      <c r="I21" s="46">
        <v>2.5099999999999998</v>
      </c>
      <c r="K21" s="46">
        <v>2.0699999999999998</v>
      </c>
      <c r="M21" s="46">
        <v>2.2400000000000002</v>
      </c>
      <c r="N21" s="46"/>
      <c r="O21" s="46"/>
      <c r="Q21" s="47" t="s">
        <v>1304</v>
      </c>
      <c r="R21" s="47"/>
    </row>
    <row r="22" spans="1:30" x14ac:dyDescent="0.4">
      <c r="A22" s="17" t="s">
        <v>1305</v>
      </c>
      <c r="B22" s="17" t="s">
        <v>79</v>
      </c>
      <c r="C22" s="38">
        <v>52.27</v>
      </c>
      <c r="E22" s="38">
        <v>56.4</v>
      </c>
      <c r="G22" s="17">
        <v>56.39</v>
      </c>
      <c r="I22" s="46">
        <v>76.900000000000006</v>
      </c>
      <c r="K22" s="46">
        <v>73.86</v>
      </c>
      <c r="M22" s="46">
        <v>70.709999999999994</v>
      </c>
      <c r="N22" s="46"/>
      <c r="O22" s="46"/>
      <c r="Q22" s="17" t="s">
        <v>1306</v>
      </c>
      <c r="S22" s="38">
        <f>(ROUND((C30/(AVERAGE(C54,E54))*100),2))</f>
        <v>4.7</v>
      </c>
      <c r="T22" s="39" t="s">
        <v>1090</v>
      </c>
      <c r="U22" s="38">
        <f>(ROUND((E30/(AVERAGE(E54,G54))*100),2))</f>
        <v>3.55</v>
      </c>
      <c r="V22" s="39" t="s">
        <v>1090</v>
      </c>
      <c r="W22" s="38">
        <f>(ROUND((G30/(AVERAGE(G54,I54))*100),2))</f>
        <v>3.34</v>
      </c>
      <c r="X22" s="39" t="s">
        <v>1090</v>
      </c>
      <c r="Y22" s="38">
        <f>(ROUND((I30/(AVERAGE(I54,K54))*100),2))</f>
        <v>3.76</v>
      </c>
      <c r="Z22" s="39" t="s">
        <v>1090</v>
      </c>
      <c r="AA22" s="38">
        <f>(ROUND((K30/(AVERAGE(K54,M54))*100),2))</f>
        <v>4.3</v>
      </c>
      <c r="AB22" s="39" t="s">
        <v>1090</v>
      </c>
      <c r="AC22" s="18"/>
    </row>
    <row r="23" spans="1:30" x14ac:dyDescent="0.4">
      <c r="A23" s="17" t="s">
        <v>1307</v>
      </c>
      <c r="B23" s="17" t="s">
        <v>79</v>
      </c>
      <c r="C23" s="38">
        <v>35.75</v>
      </c>
      <c r="E23" s="38">
        <v>42.73</v>
      </c>
      <c r="G23" s="17">
        <v>42.44</v>
      </c>
      <c r="I23" s="46">
        <v>43.41</v>
      </c>
      <c r="K23" s="46">
        <v>57.46</v>
      </c>
      <c r="M23" s="46">
        <v>51.95</v>
      </c>
      <c r="N23" s="46"/>
      <c r="O23" s="46"/>
      <c r="Q23" s="17" t="s">
        <v>1308</v>
      </c>
      <c r="S23" s="38"/>
      <c r="T23" s="39"/>
      <c r="U23" s="38"/>
      <c r="V23" s="39"/>
      <c r="W23" s="38"/>
      <c r="X23" s="39"/>
      <c r="Y23" s="38"/>
      <c r="Z23" s="39"/>
      <c r="AA23" s="38"/>
      <c r="AB23" s="39"/>
    </row>
    <row r="24" spans="1:30" x14ac:dyDescent="0.4">
      <c r="G24" s="46"/>
      <c r="I24" s="46"/>
      <c r="K24" s="46"/>
      <c r="M24" s="46"/>
      <c r="N24" s="46"/>
      <c r="O24" s="46"/>
      <c r="AC24" s="1485" t="s">
        <v>1285</v>
      </c>
      <c r="AD24" s="1485"/>
    </row>
    <row r="25" spans="1:30" x14ac:dyDescent="0.4">
      <c r="G25" s="46"/>
      <c r="I25" s="46"/>
      <c r="K25" s="46"/>
      <c r="M25" s="46"/>
      <c r="N25" s="46"/>
      <c r="O25" s="46"/>
      <c r="Q25" s="47" t="s">
        <v>1251</v>
      </c>
      <c r="R25" s="47"/>
      <c r="AC25" s="1485" t="s">
        <v>1286</v>
      </c>
      <c r="AD25" s="1485"/>
    </row>
    <row r="26" spans="1:30" x14ac:dyDescent="0.4">
      <c r="A26" s="17" t="s">
        <v>1309</v>
      </c>
      <c r="B26" s="17" t="s">
        <v>79</v>
      </c>
      <c r="C26" s="46">
        <v>1.95</v>
      </c>
      <c r="E26" s="46">
        <v>1.93</v>
      </c>
      <c r="G26" s="46">
        <v>1.92</v>
      </c>
      <c r="I26" s="46">
        <v>1.91</v>
      </c>
      <c r="K26" s="46">
        <v>1.9</v>
      </c>
      <c r="M26" s="46">
        <v>1.89</v>
      </c>
      <c r="N26" s="46"/>
      <c r="O26" s="46"/>
      <c r="Q26" s="17" t="s">
        <v>1310</v>
      </c>
    </row>
    <row r="27" spans="1:30" x14ac:dyDescent="0.4">
      <c r="G27" s="46"/>
      <c r="I27" s="46"/>
      <c r="K27" s="46"/>
      <c r="M27" s="46"/>
      <c r="N27" s="46"/>
      <c r="O27" s="46"/>
      <c r="Q27" s="17" t="s">
        <v>1311</v>
      </c>
      <c r="S27" s="38">
        <f>ROUND(((C12/C50)*100),2)</f>
        <v>55.11</v>
      </c>
      <c r="T27" s="39" t="s">
        <v>1090</v>
      </c>
      <c r="U27" s="38">
        <f>ROUND(((E12/E50)*100),2)</f>
        <v>53.21</v>
      </c>
      <c r="V27" s="39" t="s">
        <v>1090</v>
      </c>
      <c r="W27" s="38">
        <f>ROUND(((G12/G50)*100),2)</f>
        <v>52.12</v>
      </c>
      <c r="X27" s="39" t="s">
        <v>1090</v>
      </c>
      <c r="Y27" s="38">
        <f>ROUND(((I12/I50)*100),2)</f>
        <v>51.81</v>
      </c>
      <c r="Z27" s="39" t="s">
        <v>1090</v>
      </c>
      <c r="AA27" s="38">
        <f>ROUND(((K12/K50)*100),2)</f>
        <v>50.43</v>
      </c>
      <c r="AB27" s="39" t="s">
        <v>1090</v>
      </c>
      <c r="AC27" s="38">
        <f>ROUND(AVERAGE(S27:AB27),2)</f>
        <v>52.54</v>
      </c>
      <c r="AD27" s="39" t="s">
        <v>1090</v>
      </c>
    </row>
    <row r="28" spans="1:30" x14ac:dyDescent="0.4">
      <c r="A28" s="17" t="s">
        <v>1252</v>
      </c>
      <c r="B28" s="17" t="s">
        <v>1252</v>
      </c>
      <c r="C28" s="46">
        <v>0</v>
      </c>
      <c r="E28" s="46">
        <v>0</v>
      </c>
      <c r="G28" s="46">
        <v>0</v>
      </c>
      <c r="I28" s="46">
        <v>0</v>
      </c>
      <c r="K28" s="46">
        <f>700000</f>
        <v>700000</v>
      </c>
      <c r="M28" s="46">
        <f>4100000</f>
        <v>4100000</v>
      </c>
      <c r="N28" s="46"/>
      <c r="O28" s="46"/>
      <c r="Q28" s="17" t="s">
        <v>1312</v>
      </c>
      <c r="S28" s="38">
        <f>ROUND(((SUM(C13,C17)/C50)*100),2)</f>
        <v>0</v>
      </c>
      <c r="T28" s="39"/>
      <c r="U28" s="38">
        <f>ROUND(((SUM(E13,E17)/E50)*100),2)</f>
        <v>0</v>
      </c>
      <c r="V28" s="39"/>
      <c r="W28" s="38">
        <f>ROUND(((SUM(G13,G17)/G50)*100),2)</f>
        <v>0</v>
      </c>
      <c r="X28" s="39"/>
      <c r="Y28" s="38">
        <f>ROUND(((SUM(I13,I17)/I50)*100),2)</f>
        <v>0</v>
      </c>
      <c r="Z28" s="39"/>
      <c r="AA28" s="38">
        <f>ROUND(((SUM(K13,K17)/K50)*100),2)</f>
        <v>0</v>
      </c>
      <c r="AB28" s="39"/>
      <c r="AC28" s="38">
        <f>ROUND(AVERAGE(S28:AB28),2)</f>
        <v>0</v>
      </c>
      <c r="AD28" s="39"/>
    </row>
    <row r="29" spans="1:30" x14ac:dyDescent="0.4">
      <c r="G29" s="46"/>
      <c r="I29" s="46"/>
      <c r="K29" s="46"/>
      <c r="M29" s="46"/>
      <c r="N29" s="46"/>
      <c r="O29" s="46"/>
      <c r="Q29" s="17" t="s">
        <v>1313</v>
      </c>
      <c r="S29" s="41">
        <f>ROUND(((C16/C50)*100),2)</f>
        <v>44.89</v>
      </c>
      <c r="T29" s="39"/>
      <c r="U29" s="41">
        <f>ROUND(((E16/E50)*100),2)</f>
        <v>46.79</v>
      </c>
      <c r="V29" s="39"/>
      <c r="W29" s="41">
        <f>ROUND(((G16/G50)*100),2)</f>
        <v>47.88</v>
      </c>
      <c r="X29" s="39"/>
      <c r="Y29" s="41">
        <f>ROUND(((I16/I50)*100),2)</f>
        <v>48.19</v>
      </c>
      <c r="Z29" s="39"/>
      <c r="AA29" s="41">
        <f>ROUND(((K16/K50)*100),2)</f>
        <v>49.57</v>
      </c>
      <c r="AB29" s="39"/>
      <c r="AC29" s="38">
        <f>ROUND(AVERAGE(S29:AB29),2)</f>
        <v>47.46</v>
      </c>
      <c r="AD29" s="39"/>
    </row>
    <row r="30" spans="1:30" x14ac:dyDescent="0.4">
      <c r="A30" s="17" t="s">
        <v>1314</v>
      </c>
      <c r="B30" s="17" t="s">
        <v>1315</v>
      </c>
      <c r="C30" s="46">
        <f>76566*1000</f>
        <v>76566000</v>
      </c>
      <c r="E30" s="46">
        <v>53247000</v>
      </c>
      <c r="G30" s="46">
        <v>44486000</v>
      </c>
      <c r="I30" s="46">
        <v>43052000</v>
      </c>
      <c r="K30" s="46">
        <v>42685000</v>
      </c>
      <c r="M30" s="46">
        <v>37059000</v>
      </c>
      <c r="N30" s="46"/>
      <c r="O30" s="46"/>
      <c r="Q30" s="17" t="s">
        <v>1316</v>
      </c>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C31" s="46"/>
      <c r="E31" s="46"/>
      <c r="G31" s="46"/>
      <c r="I31" s="46"/>
      <c r="K31" s="46"/>
      <c r="M31" s="46"/>
      <c r="N31" s="46"/>
      <c r="O31" s="46"/>
    </row>
    <row r="32" spans="1:30" x14ac:dyDescent="0.4">
      <c r="A32" s="17" t="s">
        <v>1317</v>
      </c>
      <c r="B32" s="17" t="s">
        <v>1318</v>
      </c>
      <c r="C32" s="46">
        <f>93868*1000</f>
        <v>93868000</v>
      </c>
      <c r="E32" s="46">
        <v>86303000</v>
      </c>
      <c r="G32" s="46">
        <v>78666000</v>
      </c>
      <c r="I32" s="46">
        <v>76781000</v>
      </c>
      <c r="K32" s="46">
        <v>61735000</v>
      </c>
      <c r="M32" s="46">
        <v>64569000</v>
      </c>
      <c r="N32" s="46"/>
      <c r="O32" s="46"/>
      <c r="Q32" s="17" t="s">
        <v>1319</v>
      </c>
    </row>
    <row r="33" spans="1:30" x14ac:dyDescent="0.4">
      <c r="A33" s="48"/>
      <c r="B33" s="48"/>
      <c r="C33" s="46"/>
      <c r="D33" s="48"/>
      <c r="E33" s="46"/>
      <c r="F33" s="48"/>
      <c r="G33" s="49"/>
      <c r="H33" s="48"/>
      <c r="I33" s="49"/>
      <c r="J33" s="48"/>
      <c r="K33" s="49"/>
      <c r="L33" s="48"/>
      <c r="M33" s="49"/>
      <c r="N33" s="49"/>
      <c r="O33" s="49"/>
      <c r="Q33" s="17" t="s">
        <v>1320</v>
      </c>
      <c r="S33" s="38">
        <f>ROUND((((C12+C19)/C56)*100),2)</f>
        <v>56.48</v>
      </c>
      <c r="T33" s="39" t="s">
        <v>1090</v>
      </c>
      <c r="U33" s="38">
        <f>ROUND((((E12+E19)/E56)*100),2)</f>
        <v>57.57</v>
      </c>
      <c r="V33" s="39" t="s">
        <v>1090</v>
      </c>
      <c r="W33" s="38">
        <f>ROUND((((G12+G19)/G56)*100),2)</f>
        <v>60.08</v>
      </c>
      <c r="X33" s="39" t="s">
        <v>1090</v>
      </c>
      <c r="Y33" s="38">
        <f>ROUND((((I12+I19)/I56)*100),2)</f>
        <v>58.64</v>
      </c>
      <c r="Z33" s="39" t="s">
        <v>1090</v>
      </c>
      <c r="AA33" s="38">
        <f>ROUND((((K12+K19)/K56)*100),2)</f>
        <v>54.33</v>
      </c>
      <c r="AB33" s="39" t="s">
        <v>1090</v>
      </c>
      <c r="AC33" s="38">
        <f>ROUND(AVERAGE(S33:AB33),2)</f>
        <v>57.42</v>
      </c>
      <c r="AD33" s="39" t="s">
        <v>1090</v>
      </c>
    </row>
    <row r="34" spans="1:30" x14ac:dyDescent="0.4">
      <c r="A34" s="17" t="s">
        <v>1321</v>
      </c>
      <c r="B34" s="17" t="s">
        <v>1322</v>
      </c>
      <c r="C34" s="46">
        <f>C32</f>
        <v>93868000</v>
      </c>
      <c r="E34" s="46">
        <f>E32</f>
        <v>86303000</v>
      </c>
      <c r="G34" s="46">
        <f>G32</f>
        <v>78666000</v>
      </c>
      <c r="I34" s="46">
        <f>I32</f>
        <v>76781000</v>
      </c>
      <c r="K34" s="46">
        <f>K32</f>
        <v>61735000</v>
      </c>
      <c r="M34" s="46">
        <f>M32</f>
        <v>64569000</v>
      </c>
      <c r="N34" s="46"/>
      <c r="O34" s="46"/>
      <c r="Q34" s="17" t="s">
        <v>1312</v>
      </c>
      <c r="S34" s="38">
        <f>ROUND((((SUM(C13,C17))/C56)*100),2)</f>
        <v>0</v>
      </c>
      <c r="T34" s="39"/>
      <c r="U34" s="38">
        <f>ROUND((((SUM(E13,E17))/E56)*100),2)</f>
        <v>0</v>
      </c>
      <c r="V34" s="39"/>
      <c r="W34" s="38">
        <f>ROUND((((SUM(G13,G17))/G56)*100),2)</f>
        <v>0</v>
      </c>
      <c r="X34" s="39"/>
      <c r="Y34" s="38">
        <f>ROUND((((SUM(I13,I17))/I56)*100),2)</f>
        <v>0</v>
      </c>
      <c r="Z34" s="39"/>
      <c r="AA34" s="38">
        <f>ROUND((((SUM(K13,K17))/K56)*100),2)</f>
        <v>0</v>
      </c>
      <c r="AB34" s="39"/>
      <c r="AC34" s="38">
        <f>ROUND(AVERAGE(S34:AB34),2)</f>
        <v>0</v>
      </c>
      <c r="AD34" s="39"/>
    </row>
    <row r="35" spans="1:30" x14ac:dyDescent="0.4">
      <c r="C35" s="46"/>
      <c r="E35" s="46"/>
      <c r="G35" s="46"/>
      <c r="I35" s="46"/>
      <c r="K35" s="46"/>
      <c r="M35" s="46"/>
      <c r="N35" s="46"/>
      <c r="O35" s="46"/>
      <c r="Q35" s="17" t="s">
        <v>1313</v>
      </c>
      <c r="S35" s="41">
        <f>ROUND((((C16)/C56)*100),2)</f>
        <v>43.52</v>
      </c>
      <c r="T35" s="39"/>
      <c r="U35" s="41">
        <f>ROUND((((E16)/E56)*100),2)</f>
        <v>42.43</v>
      </c>
      <c r="V35" s="39"/>
      <c r="W35" s="41">
        <f>ROUND((((G16)/G56)*100),2)</f>
        <v>39.92</v>
      </c>
      <c r="X35" s="39"/>
      <c r="Y35" s="41">
        <f>ROUND((((I16)/I56)*100),2)</f>
        <v>41.36</v>
      </c>
      <c r="Z35" s="39"/>
      <c r="AA35" s="41">
        <f>ROUND((((K16)/K56)*100),2)</f>
        <v>45.67</v>
      </c>
      <c r="AB35" s="39"/>
      <c r="AC35" s="38">
        <f>ROUND(AVERAGE(S35:AB35),2)</f>
        <v>42.58</v>
      </c>
      <c r="AD35" s="39"/>
    </row>
    <row r="36" spans="1:30" x14ac:dyDescent="0.4">
      <c r="A36" s="17" t="s">
        <v>1323</v>
      </c>
      <c r="B36" s="17" t="s">
        <v>1324</v>
      </c>
      <c r="C36" s="46">
        <v>0</v>
      </c>
      <c r="E36" s="46">
        <v>0</v>
      </c>
      <c r="G36" s="46">
        <v>0</v>
      </c>
      <c r="I36" s="46">
        <v>0</v>
      </c>
      <c r="K36" s="46">
        <v>0</v>
      </c>
      <c r="M36" s="46">
        <v>0</v>
      </c>
      <c r="N36" s="46"/>
      <c r="O36" s="46"/>
      <c r="Q36" s="17" t="s">
        <v>1316</v>
      </c>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C37" s="46"/>
      <c r="E37" s="46"/>
      <c r="G37" s="46"/>
      <c r="I37" s="46"/>
      <c r="K37" s="46"/>
      <c r="M37" s="46"/>
      <c r="N37" s="46"/>
      <c r="O37" s="46"/>
    </row>
    <row r="38" spans="1:30" x14ac:dyDescent="0.4">
      <c r="A38" s="17" t="s">
        <v>1325</v>
      </c>
      <c r="B38" s="17" t="s">
        <v>1326</v>
      </c>
      <c r="C38" s="46">
        <f>70430*1000</f>
        <v>70430000</v>
      </c>
      <c r="E38" s="46">
        <v>65609000</v>
      </c>
      <c r="G38" s="46">
        <v>59410000</v>
      </c>
      <c r="I38" s="46">
        <v>58708000</v>
      </c>
      <c r="K38" s="46">
        <v>56833000</v>
      </c>
      <c r="M38" s="46">
        <v>54736000</v>
      </c>
      <c r="N38" s="46"/>
      <c r="O38" s="46"/>
    </row>
    <row r="39" spans="1:30" x14ac:dyDescent="0.4">
      <c r="C39" s="46"/>
      <c r="E39" s="46"/>
      <c r="G39" s="46"/>
      <c r="I39" s="46"/>
      <c r="K39" s="46"/>
      <c r="M39" s="46"/>
      <c r="N39" s="46"/>
      <c r="O39" s="46"/>
    </row>
    <row r="40" spans="1:30" x14ac:dyDescent="0.4">
      <c r="A40" s="17" t="s">
        <v>1327</v>
      </c>
      <c r="B40" s="17" t="s">
        <v>1328</v>
      </c>
      <c r="C40" s="46">
        <f>C34</f>
        <v>93868000</v>
      </c>
      <c r="E40" s="46">
        <f>E34</f>
        <v>86303000</v>
      </c>
      <c r="G40" s="46">
        <f>G34</f>
        <v>78666000</v>
      </c>
      <c r="I40" s="46">
        <f>I34</f>
        <v>76781000</v>
      </c>
      <c r="K40" s="46">
        <f>K34</f>
        <v>61735000</v>
      </c>
      <c r="M40" s="46">
        <f>M34</f>
        <v>64569000</v>
      </c>
      <c r="N40" s="46"/>
      <c r="O40" s="46"/>
      <c r="Q40" s="47" t="s">
        <v>1329</v>
      </c>
      <c r="R40" s="47"/>
    </row>
    <row r="41" spans="1:30" x14ac:dyDescent="0.4">
      <c r="A41" s="17" t="s">
        <v>1330</v>
      </c>
      <c r="B41" s="17" t="s">
        <v>1331</v>
      </c>
      <c r="C41" s="46">
        <f>279949*1000</f>
        <v>279949000</v>
      </c>
      <c r="E41" s="46">
        <v>147672000</v>
      </c>
      <c r="G41" s="46">
        <v>160353000</v>
      </c>
      <c r="I41" s="46">
        <v>143020000</v>
      </c>
      <c r="K41" s="46">
        <v>185298000</v>
      </c>
      <c r="M41" s="46">
        <v>168771000</v>
      </c>
      <c r="N41" s="46"/>
      <c r="O41" s="46"/>
      <c r="Q41" s="47"/>
      <c r="R41" s="47"/>
    </row>
    <row r="42" spans="1:30" x14ac:dyDescent="0.4">
      <c r="A42" s="17" t="s">
        <v>1332</v>
      </c>
      <c r="B42" s="17" t="s">
        <v>1333</v>
      </c>
      <c r="C42" s="46">
        <f>(50977-24105-1246-39958)*1000</f>
        <v>-14332000</v>
      </c>
      <c r="E42" s="46">
        <f>(-76454-29269+6908+24508)*1000</f>
        <v>-74307000</v>
      </c>
      <c r="G42" s="46">
        <f>(-44128-14571+3292+12118)*1000</f>
        <v>-43289000</v>
      </c>
      <c r="I42" s="46">
        <f>(-16799+1262-10710-15910+17590)*1000</f>
        <v>-24567000</v>
      </c>
      <c r="K42" s="46">
        <f>(5844-5969+4528-16485+145-23471)*1000</f>
        <v>-35408000</v>
      </c>
      <c r="M42" s="46">
        <f>(181+3207-16904+16792+526-14395+552)*1000</f>
        <v>-10041000</v>
      </c>
      <c r="N42" s="46"/>
      <c r="O42" s="46"/>
      <c r="Q42" s="47" t="s">
        <v>1334</v>
      </c>
      <c r="R42" s="47"/>
    </row>
    <row r="43" spans="1:30" x14ac:dyDescent="0.4">
      <c r="A43" s="17" t="s">
        <v>1335</v>
      </c>
      <c r="B43" s="17" t="s">
        <v>1336</v>
      </c>
      <c r="C43" s="46">
        <f>125581*1000</f>
        <v>125581000</v>
      </c>
      <c r="E43" s="46">
        <v>116707000</v>
      </c>
      <c r="G43" s="46">
        <v>113534000</v>
      </c>
      <c r="I43" s="46">
        <v>103683000</v>
      </c>
      <c r="K43" s="46">
        <v>91496000</v>
      </c>
      <c r="M43" s="46">
        <v>85156000</v>
      </c>
      <c r="N43" s="46"/>
      <c r="O43" s="46"/>
      <c r="Q43" s="17" t="s">
        <v>1337</v>
      </c>
      <c r="S43" s="38">
        <f>ROUND(C21/C52,4)*100</f>
        <v>5.89</v>
      </c>
      <c r="T43" s="39" t="s">
        <v>1090</v>
      </c>
      <c r="U43" s="38">
        <f>ROUND(E21/E52,4)*100</f>
        <v>5.12</v>
      </c>
      <c r="V43" s="39" t="s">
        <v>1090</v>
      </c>
      <c r="W43" s="38">
        <f>ROUND(G21/G52,4)*100</f>
        <v>5.18</v>
      </c>
      <c r="X43" s="39" t="s">
        <v>1090</v>
      </c>
      <c r="Y43" s="38">
        <f>ROUND(I21/I52,4)*100</f>
        <v>4.17</v>
      </c>
      <c r="Z43" s="39" t="s">
        <v>1090</v>
      </c>
      <c r="AA43" s="38">
        <f>ROUND(K21/K52,4)*100</f>
        <v>3.15</v>
      </c>
      <c r="AB43" s="39" t="s">
        <v>1090</v>
      </c>
      <c r="AC43" s="38">
        <f>ROUND(AVERAGE(S43:AB43),2)</f>
        <v>4.7</v>
      </c>
      <c r="AD43" s="39" t="s">
        <v>1090</v>
      </c>
    </row>
    <row r="44" spans="1:30" x14ac:dyDescent="0.4">
      <c r="A44" s="17" t="s">
        <v>1338</v>
      </c>
      <c r="B44" s="17" t="s">
        <v>1339</v>
      </c>
      <c r="C44" s="46">
        <f>32362*1000</f>
        <v>32362000</v>
      </c>
      <c r="E44" s="46">
        <v>29130000</v>
      </c>
      <c r="G44" s="46">
        <v>27406000</v>
      </c>
      <c r="I44" s="46">
        <v>21082000</v>
      </c>
      <c r="K44" s="46">
        <v>12642000</v>
      </c>
      <c r="M44" s="46">
        <v>24191000</v>
      </c>
      <c r="N44" s="46"/>
      <c r="O44" s="46"/>
      <c r="Q44" s="17" t="s">
        <v>1340</v>
      </c>
      <c r="S44" s="38">
        <f>(ROUND((C52/(AVERAGE(C48,E48))*100),2))</f>
        <v>130.97</v>
      </c>
      <c r="U44" s="38">
        <f>(ROUND((E52/(AVERAGE(E48,G48))*100),2))</f>
        <v>157.03</v>
      </c>
      <c r="W44" s="38">
        <f>(ROUND((G52/(AVERAGE(G48,I48))*100),2))</f>
        <v>167.24</v>
      </c>
      <c r="Y44" s="38">
        <f>(ROUND((I52/(AVERAGE(I48,K48))*100),2))</f>
        <v>209.33</v>
      </c>
      <c r="AA44" s="38">
        <f>(ROUND((K52/(AVERAGE(K48,M48))*100),2))</f>
        <v>239.52</v>
      </c>
      <c r="AC44" s="38">
        <f>ROUND(AVERAGE(S44:AB44),2)</f>
        <v>180.82</v>
      </c>
    </row>
    <row r="45" spans="1:30" x14ac:dyDescent="0.4">
      <c r="G45" s="46"/>
      <c r="I45" s="46"/>
      <c r="K45" s="46"/>
      <c r="M45" s="46"/>
      <c r="N45" s="46"/>
      <c r="O45" s="46"/>
      <c r="Q45" s="17" t="s">
        <v>1341</v>
      </c>
      <c r="S45" s="38">
        <f>ROUND(((+C26/C52)*100),2)</f>
        <v>4.43</v>
      </c>
      <c r="U45" s="38">
        <f>ROUND(((+E26/E52)*100),2)</f>
        <v>3.89</v>
      </c>
      <c r="W45" s="38">
        <f>ROUND(((+G26/G52)*100),2)</f>
        <v>3.89</v>
      </c>
      <c r="Y45" s="38">
        <f>ROUND(((+I26/I52)*100),2)</f>
        <v>3.18</v>
      </c>
      <c r="AA45" s="38">
        <f>ROUND(((+K26/K52)*100),2)</f>
        <v>2.89</v>
      </c>
      <c r="AC45" s="38">
        <f>ROUND(AVERAGE(S45:AB45),2)</f>
        <v>3.66</v>
      </c>
    </row>
    <row r="46" spans="1:30" x14ac:dyDescent="0.4">
      <c r="A46" s="17" t="s">
        <v>1342</v>
      </c>
      <c r="G46" s="46"/>
      <c r="I46" s="46"/>
      <c r="K46" s="46"/>
      <c r="M46" s="46"/>
      <c r="N46" s="46"/>
      <c r="O46" s="46"/>
      <c r="Q46" s="17" t="s">
        <v>1343</v>
      </c>
      <c r="S46" s="38">
        <f>ROUND(((+C38/C34)*100),2)</f>
        <v>75.03</v>
      </c>
      <c r="U46" s="38">
        <f>ROUND(((+E38/E34)*100),2)</f>
        <v>76.02</v>
      </c>
      <c r="W46" s="38">
        <f>ROUND(((+G38/G34)*100),2)</f>
        <v>75.52</v>
      </c>
      <c r="Y46" s="38">
        <f>ROUND(((+I38/I34)*100),2)</f>
        <v>76.459999999999994</v>
      </c>
      <c r="AA46" s="38">
        <f>ROUND(((+K38/K34)*100),2)</f>
        <v>92.06</v>
      </c>
      <c r="AC46" s="38">
        <f>ROUND(AVERAGE(S46:AB46),2)</f>
        <v>79.02</v>
      </c>
    </row>
    <row r="47" spans="1:30" x14ac:dyDescent="0.4">
      <c r="G47" s="46"/>
      <c r="I47" s="46"/>
      <c r="K47" s="46"/>
      <c r="M47" s="46"/>
      <c r="N47" s="46"/>
      <c r="O47" s="46"/>
      <c r="S47" s="38"/>
      <c r="U47" s="38"/>
      <c r="W47" s="38"/>
      <c r="Y47" s="38"/>
      <c r="AA47" s="38"/>
      <c r="AC47" s="38"/>
    </row>
    <row r="48" spans="1:30" x14ac:dyDescent="0.4">
      <c r="A48" s="17" t="s">
        <v>1344</v>
      </c>
      <c r="B48" s="17" t="s">
        <v>1345</v>
      </c>
      <c r="C48" s="46">
        <f>C16/C15</f>
        <v>34.116499694400893</v>
      </c>
      <c r="E48" s="46">
        <f>E16/E15</f>
        <v>33.087712878254749</v>
      </c>
      <c r="G48" s="46">
        <f>G16/G15</f>
        <v>30.040990716052555</v>
      </c>
      <c r="I48" s="46">
        <f>I16/I15</f>
        <v>29.05400634214914</v>
      </c>
      <c r="K48" s="46">
        <f>K16/K15</f>
        <v>28.41949986873195</v>
      </c>
      <c r="M48" s="46">
        <f>M16/M15</f>
        <v>26.406994459833793</v>
      </c>
      <c r="N48" s="46"/>
      <c r="O48" s="46"/>
      <c r="Q48" s="47" t="s">
        <v>1253</v>
      </c>
      <c r="R48" s="47"/>
      <c r="S48" s="38">
        <f>ROUND(((C34/AVERAGE(C16,E16))*100),2)</f>
        <v>7.63</v>
      </c>
      <c r="T48" s="17" t="s">
        <v>1090</v>
      </c>
      <c r="U48" s="38">
        <f>ROUND(((E34/AVERAGE(E16,G16))*100),2)</f>
        <v>8.18</v>
      </c>
      <c r="V48" s="17" t="s">
        <v>1090</v>
      </c>
      <c r="W48" s="38">
        <f>ROUND(((G34/AVERAGE(G16,I16))*100),2)</f>
        <v>8.6300000000000008</v>
      </c>
      <c r="X48" s="17" t="s">
        <v>1090</v>
      </c>
      <c r="Y48" s="38">
        <f>ROUND(((I34/AVERAGE(I16,K16))*100),2)</f>
        <v>8.75</v>
      </c>
      <c r="Z48" s="17" t="s">
        <v>1090</v>
      </c>
      <c r="AA48" s="38">
        <f>ROUND(((K34/AVERAGE(K16,M16))*100),2)</f>
        <v>7.58</v>
      </c>
      <c r="AB48" s="17" t="s">
        <v>1090</v>
      </c>
      <c r="AC48" s="38">
        <f>ROUND(AVERAGE(S48:AB48),2)</f>
        <v>8.15</v>
      </c>
      <c r="AD48" s="17" t="s">
        <v>1090</v>
      </c>
    </row>
    <row r="49" spans="1:30" x14ac:dyDescent="0.4">
      <c r="C49" s="46"/>
      <c r="E49" s="46"/>
      <c r="G49" s="46"/>
      <c r="I49" s="46"/>
      <c r="K49" s="46"/>
      <c r="M49" s="46"/>
      <c r="N49" s="46"/>
      <c r="O49" s="46"/>
      <c r="S49" s="38"/>
      <c r="U49" s="38"/>
      <c r="W49" s="38"/>
      <c r="Y49" s="38"/>
      <c r="AA49" s="38"/>
      <c r="AC49" s="39"/>
    </row>
    <row r="50" spans="1:30" x14ac:dyDescent="0.4">
      <c r="A50" s="17" t="s">
        <v>1283</v>
      </c>
      <c r="B50" s="17" t="s">
        <v>1345</v>
      </c>
      <c r="C50" s="46">
        <f>SUM(C12:C13,C16:C17)</f>
        <v>2860138000</v>
      </c>
      <c r="E50" s="46">
        <f>SUM(E12:E13,E16:E17)</f>
        <v>2512305000</v>
      </c>
      <c r="G50" s="46">
        <f>SUM(G12:G13,G16:G17)</f>
        <v>1953078000</v>
      </c>
      <c r="I50" s="46">
        <f>SUM(I12:I13,I16:I17)</f>
        <v>1844158000</v>
      </c>
      <c r="K50" s="46">
        <f>SUM(K12:K13,K16:K17)</f>
        <v>1747063000</v>
      </c>
      <c r="M50" s="46">
        <f>SUM(M12:M13,M16:M17)</f>
        <v>1498870000</v>
      </c>
      <c r="N50" s="46"/>
      <c r="O50" s="46"/>
      <c r="Q50" s="47" t="s">
        <v>1254</v>
      </c>
      <c r="R50" s="47"/>
      <c r="S50" s="38">
        <f>ROUND((C54/C62),2)</f>
        <v>5.07</v>
      </c>
      <c r="T50" s="39" t="s">
        <v>1255</v>
      </c>
      <c r="U50" s="38">
        <f>ROUND((E54/E62),2)</f>
        <v>5.59</v>
      </c>
      <c r="V50" s="39" t="s">
        <v>1255</v>
      </c>
      <c r="W50" s="38">
        <f>ROUND((G54/G62),2)</f>
        <v>5.33</v>
      </c>
      <c r="X50" s="39" t="s">
        <v>1255</v>
      </c>
      <c r="Y50" s="38">
        <f>ROUND((I54/I62),2)</f>
        <v>5.15</v>
      </c>
      <c r="Z50" s="39" t="s">
        <v>1255</v>
      </c>
      <c r="AA50" s="38">
        <f>ROUND((K54/K62),2)</f>
        <v>4.9400000000000004</v>
      </c>
      <c r="AB50" s="39" t="s">
        <v>1255</v>
      </c>
      <c r="AC50" s="38">
        <f>ROUND(AVERAGE(S50:AB50),2)</f>
        <v>5.22</v>
      </c>
      <c r="AD50" s="17" t="s">
        <v>1255</v>
      </c>
    </row>
    <row r="51" spans="1:30" x14ac:dyDescent="0.4">
      <c r="C51" s="46"/>
      <c r="E51" s="46"/>
      <c r="G51" s="46"/>
      <c r="I51" s="46"/>
      <c r="K51" s="46"/>
      <c r="M51" s="46"/>
      <c r="N51" s="46"/>
      <c r="O51" s="46"/>
      <c r="Q51" s="47"/>
      <c r="R51" s="47"/>
      <c r="S51" s="38"/>
      <c r="U51" s="38"/>
      <c r="W51" s="38"/>
      <c r="Y51" s="38"/>
      <c r="AA51" s="38"/>
      <c r="AC51" s="38"/>
    </row>
    <row r="52" spans="1:30" x14ac:dyDescent="0.4">
      <c r="A52" s="17" t="s">
        <v>121</v>
      </c>
      <c r="B52" s="17" t="s">
        <v>1345</v>
      </c>
      <c r="C52" s="46">
        <f>AVERAGE(C22:C23)</f>
        <v>44.010000000000005</v>
      </c>
      <c r="E52" s="46">
        <f>AVERAGE(E22:E23)</f>
        <v>49.564999999999998</v>
      </c>
      <c r="G52" s="46">
        <f>AVERAGE(G22:G23)</f>
        <v>49.414999999999999</v>
      </c>
      <c r="I52" s="46">
        <f>AVERAGE(I22:I23)</f>
        <v>60.155000000000001</v>
      </c>
      <c r="K52" s="46">
        <f>AVERAGE(K22:K23)</f>
        <v>65.66</v>
      </c>
      <c r="M52" s="46">
        <f>AVERAGE(M22:M23)</f>
        <v>61.33</v>
      </c>
      <c r="N52" s="46"/>
      <c r="O52" s="46"/>
      <c r="Q52" s="47" t="s">
        <v>1256</v>
      </c>
      <c r="R52" s="47"/>
      <c r="S52" s="38">
        <f>ROUND(((C60/C54)*100),2)</f>
        <v>15.94</v>
      </c>
      <c r="T52" s="39" t="s">
        <v>1090</v>
      </c>
      <c r="U52" s="38">
        <f>ROUND(((E60/E54)*100),2)</f>
        <v>4.5999999999999996</v>
      </c>
      <c r="V52" s="39" t="s">
        <v>1090</v>
      </c>
      <c r="W52" s="38">
        <f>ROUND(((G60/G54)*100),2)</f>
        <v>8.32</v>
      </c>
      <c r="X52" s="39" t="s">
        <v>1090</v>
      </c>
      <c r="Y52" s="38">
        <f>ROUND(((I60/I54)*100),2)</f>
        <v>9.4</v>
      </c>
      <c r="Z52" s="39" t="s">
        <v>1090</v>
      </c>
      <c r="AA52" s="38">
        <f>ROUND(((K60/K54)*100),2)</f>
        <v>14.48</v>
      </c>
      <c r="AB52" s="39" t="s">
        <v>1090</v>
      </c>
      <c r="AC52" s="38">
        <f>ROUND(AVERAGE(S52:AB52),2)</f>
        <v>10.55</v>
      </c>
      <c r="AD52" s="17" t="s">
        <v>1090</v>
      </c>
    </row>
    <row r="53" spans="1:30" x14ac:dyDescent="0.4">
      <c r="C53" s="46"/>
      <c r="E53" s="46"/>
      <c r="G53" s="46"/>
      <c r="I53" s="46"/>
      <c r="K53" s="46"/>
      <c r="M53" s="46"/>
      <c r="N53" s="46"/>
      <c r="O53" s="46"/>
      <c r="Q53" s="50"/>
      <c r="R53" s="50"/>
      <c r="S53" s="38"/>
      <c r="U53" s="38"/>
      <c r="W53" s="38"/>
      <c r="Y53" s="38"/>
      <c r="AA53" s="38"/>
    </row>
    <row r="54" spans="1:30" x14ac:dyDescent="0.4">
      <c r="A54" s="17" t="s">
        <v>1250</v>
      </c>
      <c r="C54" s="78">
        <f>+C19+C12</f>
        <v>1666080000</v>
      </c>
      <c r="E54" s="78">
        <f>+E19+E12</f>
        <v>1595064000</v>
      </c>
      <c r="G54" s="78">
        <f>+G19+G12</f>
        <v>1407432000</v>
      </c>
      <c r="I54" s="78">
        <f>+I19+I12</f>
        <v>1259950000</v>
      </c>
      <c r="K54" s="78">
        <f>+K19+K12</f>
        <v>1030164000</v>
      </c>
      <c r="M54" s="78">
        <f>+M19+M12</f>
        <v>953856000</v>
      </c>
      <c r="N54" s="78"/>
      <c r="O54" s="78"/>
      <c r="Q54" s="50" t="s">
        <v>1257</v>
      </c>
      <c r="R54" s="50"/>
      <c r="S54" s="38">
        <f>S33</f>
        <v>56.48</v>
      </c>
      <c r="T54" s="39" t="s">
        <v>1090</v>
      </c>
      <c r="U54" s="38">
        <f>U33</f>
        <v>57.57</v>
      </c>
      <c r="V54" s="39" t="s">
        <v>1090</v>
      </c>
      <c r="W54" s="38">
        <f>W33</f>
        <v>60.08</v>
      </c>
      <c r="X54" s="39" t="s">
        <v>1090</v>
      </c>
      <c r="Y54" s="38">
        <f>Y33</f>
        <v>58.64</v>
      </c>
      <c r="Z54" s="39" t="s">
        <v>1090</v>
      </c>
      <c r="AA54" s="38">
        <f>AA33</f>
        <v>54.33</v>
      </c>
      <c r="AB54" s="39" t="s">
        <v>1090</v>
      </c>
      <c r="AC54" s="38">
        <f>ROUND(AVERAGE(S54:AB54),2)</f>
        <v>57.42</v>
      </c>
      <c r="AD54" s="39" t="s">
        <v>1090</v>
      </c>
    </row>
    <row r="55" spans="1:30" x14ac:dyDescent="0.4">
      <c r="C55" s="46"/>
      <c r="E55" s="46"/>
      <c r="G55" s="46"/>
      <c r="I55" s="46"/>
      <c r="K55" s="46"/>
      <c r="M55" s="46"/>
      <c r="N55" s="46"/>
      <c r="O55" s="46"/>
    </row>
    <row r="56" spans="1:30" x14ac:dyDescent="0.4">
      <c r="A56" s="17" t="s">
        <v>1346</v>
      </c>
      <c r="B56" s="17" t="s">
        <v>1345</v>
      </c>
      <c r="C56" s="46">
        <f>SUM(C50,C19)</f>
        <v>2949918000</v>
      </c>
      <c r="E56" s="46">
        <f>SUM(E50,E19)</f>
        <v>2770505000</v>
      </c>
      <c r="G56" s="46">
        <f>SUM(G50,G19)</f>
        <v>2342578000</v>
      </c>
      <c r="I56" s="46">
        <f>SUM(I50,I19)</f>
        <v>2148683000</v>
      </c>
      <c r="K56" s="46">
        <f>SUM(K50,K19)</f>
        <v>1896163000</v>
      </c>
      <c r="M56" s="46">
        <f>SUM(M50,M19)</f>
        <v>1716490000</v>
      </c>
      <c r="N56" s="46"/>
      <c r="O56" s="46"/>
    </row>
    <row r="57" spans="1:30" x14ac:dyDescent="0.4">
      <c r="C57" s="46"/>
      <c r="E57" s="46"/>
      <c r="G57" s="46"/>
      <c r="I57" s="46"/>
      <c r="K57" s="46"/>
      <c r="M57" s="46"/>
      <c r="N57" s="46"/>
      <c r="O57" s="46"/>
    </row>
    <row r="58" spans="1:30" x14ac:dyDescent="0.4">
      <c r="A58" s="17" t="s">
        <v>1347</v>
      </c>
      <c r="B58" s="17" t="s">
        <v>1345</v>
      </c>
      <c r="C58" s="46">
        <f>SUM(C13,C17)</f>
        <v>0</v>
      </c>
      <c r="E58" s="46">
        <f>SUM(E13,E17)</f>
        <v>0</v>
      </c>
      <c r="G58" s="46">
        <f>SUM(G13,G17)</f>
        <v>0</v>
      </c>
      <c r="I58" s="46">
        <f>SUM(I13,I17)</f>
        <v>0</v>
      </c>
      <c r="K58" s="46">
        <f>SUM(K13,K17)</f>
        <v>0</v>
      </c>
      <c r="M58" s="46">
        <f>SUM(M13,M17)</f>
        <v>0</v>
      </c>
      <c r="N58" s="46"/>
      <c r="O58" s="46"/>
    </row>
    <row r="59" spans="1:30" x14ac:dyDescent="0.4">
      <c r="C59" s="46"/>
      <c r="E59" s="46"/>
      <c r="G59" s="46"/>
      <c r="I59" s="46"/>
      <c r="K59" s="46"/>
      <c r="M59" s="46"/>
      <c r="N59" s="46"/>
      <c r="O59" s="46"/>
    </row>
    <row r="60" spans="1:30" x14ac:dyDescent="0.4">
      <c r="A60" s="19" t="s">
        <v>1258</v>
      </c>
      <c r="B60" s="17" t="s">
        <v>1345</v>
      </c>
      <c r="C60" s="46">
        <f>ROUND(C41+C42-C28,3)</f>
        <v>265617000</v>
      </c>
      <c r="E60" s="46">
        <f>ROUND(E41+E42-E28,3)</f>
        <v>73365000</v>
      </c>
      <c r="G60" s="46">
        <f>ROUND(G41+G42-G28,3)</f>
        <v>117064000</v>
      </c>
      <c r="I60" s="46">
        <f>ROUND(I41+I42-I28,3)</f>
        <v>118453000</v>
      </c>
      <c r="K60" s="46">
        <f>ROUND(K41+K42-K28,3)</f>
        <v>149190000</v>
      </c>
      <c r="M60" s="46">
        <f>ROUND(M41+M42-M28,3)</f>
        <v>154630000</v>
      </c>
      <c r="N60" s="46"/>
      <c r="O60" s="46"/>
    </row>
    <row r="61" spans="1:30" x14ac:dyDescent="0.4">
      <c r="A61" s="19"/>
      <c r="C61" s="46"/>
      <c r="E61" s="46"/>
      <c r="G61" s="46"/>
      <c r="I61" s="46"/>
      <c r="K61" s="46"/>
      <c r="M61" s="46"/>
      <c r="N61" s="46"/>
      <c r="O61" s="46"/>
    </row>
    <row r="62" spans="1:30" x14ac:dyDescent="0.4">
      <c r="A62" s="17" t="s">
        <v>1160</v>
      </c>
      <c r="B62" s="17" t="s">
        <v>1345</v>
      </c>
      <c r="C62" s="46">
        <f>C40+C44+C43+C30</f>
        <v>328377000</v>
      </c>
      <c r="E62" s="46">
        <f>E40+E44+E43+E30</f>
        <v>285387000</v>
      </c>
      <c r="G62" s="46">
        <f>G40+G44+G43+G30</f>
        <v>264092000</v>
      </c>
      <c r="I62" s="46">
        <f>I40+I44+I43+I30</f>
        <v>244598000</v>
      </c>
      <c r="K62" s="46">
        <f>K40+K44+K43+K30</f>
        <v>208558000</v>
      </c>
      <c r="M62" s="46">
        <f>M40+M44+M43+M30</f>
        <v>210975000</v>
      </c>
      <c r="N62" s="46"/>
      <c r="O62" s="46"/>
    </row>
    <row r="63" spans="1:30" x14ac:dyDescent="0.4">
      <c r="K63" s="45"/>
      <c r="L63" s="45"/>
      <c r="M63" s="45"/>
      <c r="N63" s="45"/>
      <c r="O63" s="45"/>
    </row>
    <row r="64" spans="1:30" x14ac:dyDescent="0.4">
      <c r="K64" s="45"/>
      <c r="L64" s="45"/>
      <c r="M64" s="45"/>
      <c r="N64" s="45"/>
      <c r="O64" s="45"/>
    </row>
    <row r="74" spans="11:15" x14ac:dyDescent="0.4">
      <c r="K74" s="45"/>
      <c r="L74" s="45"/>
      <c r="M74" s="45"/>
      <c r="N74" s="45"/>
      <c r="O74" s="45"/>
    </row>
    <row r="75" spans="11:15" x14ac:dyDescent="0.4">
      <c r="K75" s="45"/>
      <c r="L75" s="45"/>
      <c r="M75" s="45"/>
      <c r="N75" s="45"/>
      <c r="O75" s="45"/>
    </row>
    <row r="76" spans="11:15" x14ac:dyDescent="0.4">
      <c r="K76" s="45"/>
      <c r="L76" s="45"/>
      <c r="M76" s="45"/>
      <c r="N76" s="45"/>
      <c r="O76" s="45"/>
    </row>
    <row r="77" spans="11:15" x14ac:dyDescent="0.4">
      <c r="K77" s="45"/>
      <c r="L77" s="45"/>
      <c r="M77" s="45"/>
      <c r="N77" s="45"/>
      <c r="O77" s="45"/>
    </row>
    <row r="78" spans="11:15" x14ac:dyDescent="0.4">
      <c r="K78" s="45"/>
      <c r="L78" s="45"/>
      <c r="M78" s="45"/>
      <c r="N78" s="45"/>
      <c r="O78" s="45"/>
    </row>
    <row r="79" spans="11:15" x14ac:dyDescent="0.4">
      <c r="K79" s="45"/>
      <c r="L79" s="45"/>
      <c r="M79" s="45"/>
      <c r="N79" s="45"/>
      <c r="O79" s="45"/>
    </row>
    <row r="80" spans="11:15" x14ac:dyDescent="0.4">
      <c r="K80" s="45"/>
      <c r="L80" s="45"/>
      <c r="M80" s="45"/>
      <c r="N80" s="45"/>
      <c r="O80" s="45"/>
    </row>
    <row r="81" spans="11:223" x14ac:dyDescent="0.4">
      <c r="K81" s="45"/>
      <c r="L81" s="45"/>
      <c r="M81" s="45"/>
      <c r="N81" s="45"/>
      <c r="O81" s="45"/>
      <c r="HK81" s="51"/>
      <c r="HL81" s="51"/>
      <c r="HO81" s="17" t="s">
        <v>1348</v>
      </c>
    </row>
    <row r="82" spans="11:223" x14ac:dyDescent="0.4">
      <c r="L82" s="45"/>
    </row>
    <row r="83" spans="11:223" x14ac:dyDescent="0.4">
      <c r="L83" s="45"/>
    </row>
    <row r="84" spans="11:223" x14ac:dyDescent="0.4">
      <c r="L84" s="45"/>
    </row>
    <row r="85" spans="11:223" x14ac:dyDescent="0.4">
      <c r="L85" s="45"/>
    </row>
    <row r="86" spans="11:223" x14ac:dyDescent="0.4">
      <c r="L86" s="45"/>
    </row>
    <row r="87" spans="11:223" x14ac:dyDescent="0.4">
      <c r="L87" s="45"/>
    </row>
    <row r="88" spans="11:223" x14ac:dyDescent="0.4">
      <c r="L88" s="45"/>
    </row>
    <row r="89" spans="11:223" x14ac:dyDescent="0.4">
      <c r="L89" s="45"/>
    </row>
    <row r="90" spans="11:223" x14ac:dyDescent="0.4">
      <c r="L90" s="45"/>
    </row>
    <row r="91" spans="11:223" x14ac:dyDescent="0.4">
      <c r="L91" s="45"/>
    </row>
    <row r="92" spans="11:223" x14ac:dyDescent="0.4">
      <c r="L92" s="45"/>
    </row>
    <row r="93" spans="11:223" x14ac:dyDescent="0.4">
      <c r="L93" s="45"/>
    </row>
    <row r="94" spans="11:223" x14ac:dyDescent="0.4">
      <c r="L94" s="45"/>
    </row>
    <row r="95" spans="11:223" x14ac:dyDescent="0.4">
      <c r="L95" s="45"/>
    </row>
    <row r="96" spans="11:223" x14ac:dyDescent="0.4">
      <c r="L96" s="45"/>
    </row>
    <row r="97" spans="11:15" x14ac:dyDescent="0.4">
      <c r="L97" s="45"/>
    </row>
    <row r="98" spans="11:15" x14ac:dyDescent="0.4">
      <c r="K98" s="45"/>
      <c r="L98" s="45"/>
      <c r="M98" s="45"/>
      <c r="N98" s="45"/>
      <c r="O98" s="45"/>
    </row>
    <row r="99" spans="11:15" x14ac:dyDescent="0.4">
      <c r="K99" s="45"/>
      <c r="L99" s="45"/>
      <c r="M99" s="45"/>
      <c r="N99" s="45"/>
      <c r="O99" s="45"/>
    </row>
    <row r="100" spans="11:15" x14ac:dyDescent="0.4">
      <c r="K100" s="45"/>
      <c r="L100" s="45"/>
      <c r="M100" s="45"/>
      <c r="N100" s="45"/>
      <c r="O100" s="45"/>
    </row>
    <row r="101" spans="11:15" x14ac:dyDescent="0.4">
      <c r="K101" s="45"/>
      <c r="L101" s="45"/>
      <c r="M101" s="45"/>
      <c r="N101" s="45"/>
      <c r="O101" s="45"/>
    </row>
    <row r="102" spans="11:15" x14ac:dyDescent="0.4">
      <c r="K102" s="45"/>
      <c r="L102" s="45"/>
      <c r="M102" s="45"/>
      <c r="N102" s="45"/>
      <c r="O102" s="45"/>
    </row>
    <row r="103" spans="11:15" x14ac:dyDescent="0.4">
      <c r="K103" s="45"/>
      <c r="L103" s="45"/>
      <c r="M103" s="45"/>
      <c r="N103" s="45"/>
      <c r="O103" s="45"/>
    </row>
    <row r="104" spans="11:15" x14ac:dyDescent="0.4">
      <c r="K104" s="45"/>
      <c r="L104" s="45"/>
      <c r="M104" s="45"/>
      <c r="N104" s="45"/>
      <c r="O104" s="45"/>
    </row>
    <row r="105" spans="11:15" x14ac:dyDescent="0.4">
      <c r="K105" s="45"/>
      <c r="L105" s="45"/>
      <c r="M105" s="45"/>
      <c r="N105" s="45"/>
      <c r="O105" s="45"/>
    </row>
    <row r="106" spans="11:15" x14ac:dyDescent="0.4">
      <c r="K106" s="45"/>
      <c r="L106" s="45"/>
      <c r="M106" s="45"/>
      <c r="N106" s="45"/>
      <c r="O106" s="45"/>
    </row>
    <row r="107" spans="11:15" x14ac:dyDescent="0.4">
      <c r="K107" s="45"/>
      <c r="L107" s="45"/>
      <c r="M107" s="45"/>
      <c r="N107" s="45"/>
      <c r="O107" s="45"/>
    </row>
    <row r="108" spans="11:15" x14ac:dyDescent="0.4">
      <c r="K108" s="45"/>
      <c r="L108" s="45"/>
      <c r="M108" s="45"/>
      <c r="N108" s="45"/>
      <c r="O108" s="45"/>
    </row>
    <row r="109" spans="11:15" x14ac:dyDescent="0.4">
      <c r="K109" s="45"/>
      <c r="L109" s="45"/>
      <c r="M109" s="45"/>
      <c r="N109" s="45"/>
      <c r="O109" s="45"/>
    </row>
    <row r="110" spans="11:15" x14ac:dyDescent="0.4">
      <c r="K110" s="45"/>
      <c r="L110" s="45"/>
      <c r="M110" s="45"/>
      <c r="N110" s="45"/>
      <c r="O110" s="45"/>
    </row>
    <row r="111" spans="11:15" x14ac:dyDescent="0.4">
      <c r="K111" s="45"/>
      <c r="L111" s="45"/>
      <c r="M111" s="45"/>
      <c r="N111" s="45"/>
      <c r="O111" s="45"/>
    </row>
    <row r="112" spans="11:15" x14ac:dyDescent="0.4">
      <c r="K112" s="45"/>
      <c r="L112" s="45"/>
      <c r="M112" s="45"/>
      <c r="N112" s="45"/>
      <c r="O112" s="45"/>
    </row>
    <row r="113" spans="11:15" x14ac:dyDescent="0.4">
      <c r="K113" s="45"/>
      <c r="L113" s="45"/>
      <c r="M113" s="45"/>
      <c r="N113" s="45"/>
      <c r="O113" s="45"/>
    </row>
    <row r="114" spans="11:15" x14ac:dyDescent="0.4">
      <c r="K114" s="45"/>
      <c r="L114" s="45"/>
      <c r="M114" s="45"/>
      <c r="N114" s="45"/>
      <c r="O114" s="45"/>
    </row>
    <row r="115" spans="11:15" x14ac:dyDescent="0.4">
      <c r="K115" s="45"/>
      <c r="L115" s="45"/>
      <c r="M115" s="45"/>
      <c r="N115" s="45"/>
      <c r="O115" s="45"/>
    </row>
    <row r="116" spans="11:15" x14ac:dyDescent="0.4">
      <c r="K116" s="45"/>
      <c r="L116" s="45"/>
      <c r="M116" s="45"/>
      <c r="N116" s="45"/>
      <c r="O116" s="45"/>
    </row>
    <row r="117" spans="11:15" x14ac:dyDescent="0.4">
      <c r="K117" s="45"/>
      <c r="L117" s="45"/>
      <c r="M117" s="45"/>
      <c r="N117" s="45"/>
      <c r="O117" s="45"/>
    </row>
    <row r="118" spans="11:15" x14ac:dyDescent="0.4">
      <c r="K118" s="45"/>
      <c r="L118" s="45"/>
      <c r="M118" s="45"/>
      <c r="N118" s="45"/>
      <c r="O118" s="45"/>
    </row>
    <row r="119" spans="11:15" x14ac:dyDescent="0.4">
      <c r="K119" s="45"/>
      <c r="L119" s="45"/>
      <c r="M119" s="45"/>
      <c r="N119" s="45"/>
      <c r="O119" s="45"/>
    </row>
    <row r="120" spans="11:15" x14ac:dyDescent="0.4">
      <c r="K120" s="45"/>
      <c r="L120" s="45"/>
      <c r="M120" s="45"/>
      <c r="N120" s="45"/>
      <c r="O120" s="45"/>
    </row>
    <row r="121" spans="11:15" x14ac:dyDescent="0.4">
      <c r="K121" s="45"/>
      <c r="L121" s="45"/>
      <c r="M121" s="45"/>
      <c r="N121" s="45"/>
      <c r="O121" s="45"/>
    </row>
    <row r="122" spans="11:15" x14ac:dyDescent="0.4">
      <c r="K122" s="45"/>
      <c r="L122" s="45"/>
      <c r="M122" s="45"/>
      <c r="N122" s="45"/>
      <c r="O122" s="45"/>
    </row>
    <row r="123" spans="11:15" x14ac:dyDescent="0.4">
      <c r="K123" s="45"/>
      <c r="L123" s="45"/>
      <c r="M123" s="45"/>
      <c r="N123" s="45"/>
      <c r="O123" s="45"/>
    </row>
    <row r="124" spans="11:15" x14ac:dyDescent="0.4">
      <c r="K124" s="45"/>
      <c r="L124" s="45"/>
      <c r="M124" s="45"/>
      <c r="N124" s="45"/>
      <c r="O124" s="45"/>
    </row>
    <row r="125" spans="11:15" x14ac:dyDescent="0.4">
      <c r="K125" s="45"/>
      <c r="L125" s="45"/>
      <c r="M125" s="45"/>
      <c r="N125" s="45"/>
      <c r="O125" s="45"/>
    </row>
    <row r="126" spans="11:15" x14ac:dyDescent="0.4">
      <c r="K126" s="45"/>
      <c r="L126" s="45"/>
      <c r="M126" s="45"/>
      <c r="N126" s="45"/>
      <c r="O126" s="45"/>
    </row>
    <row r="127" spans="11:15" x14ac:dyDescent="0.4">
      <c r="K127" s="45"/>
      <c r="L127" s="45"/>
      <c r="M127" s="45"/>
      <c r="N127" s="45"/>
      <c r="O127" s="45"/>
    </row>
    <row r="128" spans="11:15" x14ac:dyDescent="0.4">
      <c r="K128" s="45"/>
      <c r="L128" s="45"/>
      <c r="M128" s="45"/>
      <c r="N128" s="45"/>
      <c r="O128" s="45"/>
    </row>
    <row r="129" spans="11:15" x14ac:dyDescent="0.4">
      <c r="K129" s="45"/>
      <c r="L129" s="45"/>
      <c r="M129" s="45"/>
      <c r="N129" s="45"/>
      <c r="O129" s="45"/>
    </row>
    <row r="130" spans="11:15" x14ac:dyDescent="0.4">
      <c r="K130" s="45"/>
      <c r="L130" s="45"/>
      <c r="M130" s="45"/>
      <c r="N130" s="45"/>
      <c r="O130" s="45"/>
    </row>
    <row r="131" spans="11:15" x14ac:dyDescent="0.4">
      <c r="K131" s="45"/>
      <c r="L131" s="45"/>
      <c r="M131" s="45"/>
      <c r="N131" s="45"/>
      <c r="O131" s="45"/>
    </row>
    <row r="132" spans="11:15" x14ac:dyDescent="0.4">
      <c r="K132" s="45"/>
      <c r="L132" s="45"/>
      <c r="M132" s="45"/>
      <c r="N132" s="45"/>
      <c r="O132" s="45"/>
    </row>
    <row r="133" spans="11:15" x14ac:dyDescent="0.4">
      <c r="K133" s="45"/>
      <c r="L133" s="45"/>
      <c r="M133" s="45"/>
      <c r="N133" s="45"/>
      <c r="O133" s="45"/>
    </row>
    <row r="134" spans="11:15" x14ac:dyDescent="0.4">
      <c r="K134" s="45"/>
      <c r="L134" s="45"/>
      <c r="M134" s="45"/>
      <c r="N134" s="45"/>
      <c r="O134" s="45"/>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F7D5D-4127-4A59-83C8-BC5F27B9127E}">
  <sheetPr codeName="Sheet67">
    <pageSetUpPr fitToPage="1"/>
  </sheetPr>
  <dimension ref="A1:HO154"/>
  <sheetViews>
    <sheetView zoomScale="80" zoomScaleNormal="80" workbookViewId="0"/>
  </sheetViews>
  <sheetFormatPr defaultColWidth="9.15625" defaultRowHeight="12.3" x14ac:dyDescent="0.4"/>
  <cols>
    <col min="1" max="1" width="36.15625" style="154" customWidth="1"/>
    <col min="2" max="2" width="15.15625" style="154" bestFit="1" customWidth="1"/>
    <col min="3" max="3" width="16.47265625" style="154" customWidth="1"/>
    <col min="4" max="4" width="3.15625" style="154" customWidth="1"/>
    <col min="5" max="5" width="16.47265625" style="154" customWidth="1"/>
    <col min="6" max="6" width="3.15625" style="154" customWidth="1"/>
    <col min="7" max="7" width="20.15625" style="154" customWidth="1"/>
    <col min="8" max="8" width="3.15625" style="154" customWidth="1"/>
    <col min="9" max="9" width="18.5234375" style="154" customWidth="1"/>
    <col min="10" max="10" width="3.15625" style="154" customWidth="1"/>
    <col min="11" max="11" width="18.5234375" style="154" customWidth="1"/>
    <col min="12" max="12" width="2" style="154" customWidth="1"/>
    <col min="13" max="13" width="18.5234375" style="154" customWidth="1"/>
    <col min="14" max="16" width="3.15625" style="154" customWidth="1"/>
    <col min="17" max="17" width="53.15625" style="154" customWidth="1"/>
    <col min="18" max="18" width="3.15625" style="154" customWidth="1"/>
    <col min="19" max="19" width="14" style="154" customWidth="1"/>
    <col min="20" max="20" width="3.7890625" style="154" customWidth="1"/>
    <col min="21" max="21" width="14.5234375" style="154" customWidth="1"/>
    <col min="22" max="22" width="4.15625" style="154" customWidth="1"/>
    <col min="23" max="23" width="14.5234375" style="154" customWidth="1"/>
    <col min="24" max="24" width="4.15625" style="154" customWidth="1"/>
    <col min="25" max="25" width="11" style="154" bestFit="1" customWidth="1"/>
    <col min="26" max="26" width="2.5234375" style="154" bestFit="1" customWidth="1"/>
    <col min="27" max="27" width="11" style="154" bestFit="1" customWidth="1"/>
    <col min="28" max="28" width="2.5234375" style="154" customWidth="1"/>
    <col min="29" max="29" width="10.5234375" style="154" customWidth="1"/>
    <col min="30" max="30" width="2.5234375" style="154" customWidth="1"/>
    <col min="31" max="31" width="9.15625" style="154"/>
    <col min="32" max="32" width="4.47265625" style="154" customWidth="1"/>
    <col min="33" max="33" width="3.5234375" style="154" customWidth="1"/>
    <col min="34" max="34" width="22.15625" style="154" customWidth="1"/>
    <col min="35" max="16384" width="9.15625" style="154"/>
  </cols>
  <sheetData>
    <row r="1" spans="1:30" ht="16.5" customHeight="1" x14ac:dyDescent="0.4">
      <c r="A1" s="33"/>
    </row>
    <row r="2" spans="1:30" ht="16.5" customHeight="1" x14ac:dyDescent="0.4">
      <c r="A2" s="33"/>
    </row>
    <row r="3" spans="1:30" ht="16.5" customHeight="1" x14ac:dyDescent="0.55000000000000004">
      <c r="A3" s="33"/>
      <c r="G3"/>
    </row>
    <row r="4" spans="1:30" ht="16.5" customHeight="1" thickBot="1" x14ac:dyDescent="0.6">
      <c r="A4" s="33"/>
      <c r="G4"/>
    </row>
    <row r="5" spans="1:30" ht="15" x14ac:dyDescent="0.85">
      <c r="A5" s="151" t="s">
        <v>1287</v>
      </c>
      <c r="C5" s="162"/>
      <c r="I5" s="163"/>
    </row>
    <row r="6" spans="1:30" ht="14.7" thickBot="1" x14ac:dyDescent="0.6">
      <c r="A6" s="152" t="s">
        <v>2863</v>
      </c>
      <c r="G6" s="1486" t="s">
        <v>2868</v>
      </c>
      <c r="H6" s="1484"/>
      <c r="I6" s="1484"/>
      <c r="J6" s="1484"/>
      <c r="K6" s="1484"/>
      <c r="L6" s="1484"/>
      <c r="M6" s="1484"/>
      <c r="N6" s="52"/>
      <c r="O6" s="52"/>
      <c r="Q6" s="164" t="str">
        <f>G6</f>
        <v>ONE Gas, Inc.</v>
      </c>
      <c r="R6" s="164"/>
      <c r="S6" s="164"/>
      <c r="T6" s="164"/>
      <c r="U6" s="164"/>
      <c r="V6" s="165"/>
      <c r="W6" s="164"/>
      <c r="X6" s="165"/>
      <c r="Y6" s="165"/>
      <c r="Z6" s="166"/>
      <c r="AA6" s="165"/>
      <c r="AB6" s="165"/>
      <c r="AC6" s="165"/>
    </row>
    <row r="7" spans="1:30" ht="14.4" x14ac:dyDescent="0.55000000000000004">
      <c r="G7" s="1486" t="s">
        <v>1282</v>
      </c>
      <c r="H7" s="1484"/>
      <c r="I7" s="1484"/>
      <c r="J7" s="1484"/>
      <c r="K7" s="1484"/>
      <c r="L7" s="1484"/>
      <c r="M7" s="1484"/>
      <c r="N7" s="52"/>
      <c r="O7" s="52"/>
      <c r="Q7" s="165" t="str">
        <f>G7</f>
        <v>CAPITALIZATION AND FINANCIAL STATISTICS  (1)</v>
      </c>
      <c r="R7" s="165"/>
      <c r="S7" s="165"/>
      <c r="T7" s="165"/>
      <c r="U7" s="165"/>
      <c r="V7" s="165"/>
      <c r="W7" s="165"/>
      <c r="X7" s="165"/>
      <c r="Y7" s="165"/>
      <c r="Z7" s="165"/>
      <c r="AA7" s="165"/>
      <c r="AB7" s="165"/>
      <c r="AC7" s="165"/>
    </row>
    <row r="8" spans="1:30" ht="14.4" x14ac:dyDescent="0.55000000000000004">
      <c r="B8" s="17"/>
      <c r="C8" s="17"/>
      <c r="D8" s="17"/>
      <c r="E8" s="17"/>
      <c r="F8" s="17"/>
      <c r="G8" s="1483" t="s">
        <v>2888</v>
      </c>
      <c r="H8" s="1484"/>
      <c r="I8" s="1484"/>
      <c r="J8" s="1484"/>
      <c r="K8" s="1484"/>
      <c r="L8" s="1484"/>
      <c r="M8" s="1484"/>
      <c r="N8" s="52"/>
      <c r="O8" s="52"/>
      <c r="Q8" s="166" t="str">
        <f>G8</f>
        <v>2018 - 2023, Inclusive</v>
      </c>
      <c r="R8" s="166"/>
      <c r="S8" s="166"/>
      <c r="T8" s="166"/>
      <c r="U8" s="166"/>
      <c r="V8" s="165"/>
      <c r="W8" s="166"/>
      <c r="X8" s="165"/>
      <c r="Y8" s="165"/>
      <c r="Z8" s="166"/>
      <c r="AA8" s="165"/>
      <c r="AB8" s="165"/>
      <c r="AC8" s="165"/>
    </row>
    <row r="9" spans="1:30" x14ac:dyDescent="0.4">
      <c r="B9" s="17"/>
      <c r="C9" s="17"/>
      <c r="D9" s="17"/>
      <c r="E9" s="17"/>
      <c r="F9" s="17"/>
      <c r="G9" s="17"/>
      <c r="H9" s="17"/>
      <c r="I9" s="17"/>
      <c r="J9" s="17"/>
      <c r="K9" s="17"/>
      <c r="L9" s="17"/>
      <c r="M9" s="17"/>
      <c r="N9" s="17"/>
      <c r="O9" s="17"/>
      <c r="Q9" s="165"/>
      <c r="R9" s="165"/>
      <c r="S9" s="165"/>
      <c r="T9" s="165"/>
      <c r="U9" s="165"/>
      <c r="V9" s="165"/>
      <c r="W9" s="165"/>
      <c r="X9" s="165"/>
      <c r="Y9" s="166"/>
      <c r="Z9" s="166"/>
      <c r="AA9" s="165"/>
      <c r="AB9" s="165"/>
      <c r="AC9" s="165"/>
    </row>
    <row r="10" spans="1:30" x14ac:dyDescent="0.4">
      <c r="B10" s="17" t="s">
        <v>1349</v>
      </c>
      <c r="C10" s="40">
        <v>2023</v>
      </c>
      <c r="D10" s="17"/>
      <c r="E10" s="40">
        <v>2022</v>
      </c>
      <c r="F10" s="17"/>
      <c r="G10" s="40">
        <v>2021</v>
      </c>
      <c r="H10" s="17"/>
      <c r="I10" s="40">
        <v>2020</v>
      </c>
      <c r="J10" s="17"/>
      <c r="K10" s="40">
        <v>2019</v>
      </c>
      <c r="L10" s="17"/>
      <c r="M10" s="40">
        <v>2018</v>
      </c>
      <c r="N10" s="40"/>
      <c r="O10" s="40"/>
      <c r="Y10" s="166"/>
      <c r="Z10" s="166"/>
      <c r="AA10" s="165"/>
      <c r="AB10" s="165"/>
    </row>
    <row r="11" spans="1:30" x14ac:dyDescent="0.4">
      <c r="A11" s="154" t="s">
        <v>1288</v>
      </c>
    </row>
    <row r="12" spans="1:30" x14ac:dyDescent="0.4">
      <c r="A12" s="154" t="s">
        <v>1289</v>
      </c>
      <c r="B12" s="154" t="s">
        <v>1290</v>
      </c>
      <c r="C12" s="46">
        <f>1877895000+772984000-(473000000)</f>
        <v>2177879000</v>
      </c>
      <c r="E12" s="46">
        <f>2352400000-(700000000-150000000-77000000)</f>
        <v>1879400000</v>
      </c>
      <c r="G12" s="46">
        <f>3683378000-2000000000</f>
        <v>1683378000</v>
      </c>
      <c r="I12" s="46">
        <v>1601300000</v>
      </c>
      <c r="K12" s="46">
        <v>1286064000</v>
      </c>
      <c r="M12" s="46">
        <v>1285483000</v>
      </c>
      <c r="N12" s="46"/>
      <c r="O12" s="46"/>
      <c r="S12" s="40">
        <f>C10</f>
        <v>2023</v>
      </c>
      <c r="U12" s="40">
        <f>E10</f>
        <v>2022</v>
      </c>
      <c r="W12" s="40">
        <f>G10</f>
        <v>2021</v>
      </c>
      <c r="Y12" s="40">
        <f>I10</f>
        <v>2020</v>
      </c>
      <c r="Z12" s="40"/>
      <c r="AA12" s="40">
        <f>K10</f>
        <v>2019</v>
      </c>
      <c r="AB12" s="40"/>
      <c r="AC12" s="17"/>
      <c r="AD12" s="17"/>
    </row>
    <row r="13" spans="1:30" x14ac:dyDescent="0.4">
      <c r="A13" s="154" t="s">
        <v>1291</v>
      </c>
      <c r="B13" s="154" t="s">
        <v>1292</v>
      </c>
      <c r="C13" s="46">
        <v>0</v>
      </c>
      <c r="E13" s="46">
        <v>0</v>
      </c>
      <c r="G13" s="46">
        <v>0</v>
      </c>
      <c r="I13" s="46">
        <v>0</v>
      </c>
      <c r="K13" s="46">
        <v>0</v>
      </c>
      <c r="M13" s="46">
        <v>0</v>
      </c>
      <c r="N13" s="46"/>
      <c r="O13" s="46"/>
      <c r="Y13" s="34" t="s">
        <v>1247</v>
      </c>
      <c r="Z13" s="34"/>
      <c r="AA13" s="34"/>
      <c r="AB13" s="34"/>
      <c r="AC13" s="34" t="s">
        <v>1091</v>
      </c>
      <c r="AD13" s="17"/>
    </row>
    <row r="14" spans="1:30" x14ac:dyDescent="0.4">
      <c r="C14" s="46"/>
      <c r="E14" s="46"/>
      <c r="G14" s="46"/>
      <c r="I14" s="46"/>
      <c r="K14" s="46"/>
      <c r="M14" s="46"/>
      <c r="N14" s="46"/>
      <c r="O14" s="46"/>
      <c r="Q14" s="167" t="s">
        <v>1248</v>
      </c>
      <c r="R14" s="167"/>
      <c r="S14" s="167"/>
      <c r="T14" s="167"/>
      <c r="U14" s="167"/>
      <c r="V14" s="167"/>
      <c r="W14" s="167"/>
      <c r="X14" s="167"/>
      <c r="Y14" s="17"/>
      <c r="Z14" s="17"/>
      <c r="AA14" s="17"/>
      <c r="AB14" s="17"/>
      <c r="AC14" s="17"/>
      <c r="AD14" s="17"/>
    </row>
    <row r="15" spans="1:30" ht="14.4" x14ac:dyDescent="0.55000000000000004">
      <c r="A15" s="154" t="s">
        <v>1293</v>
      </c>
      <c r="B15" s="154" t="s">
        <v>1294</v>
      </c>
      <c r="C15" s="168">
        <v>56545924</v>
      </c>
      <c r="E15" s="46">
        <v>55349954</v>
      </c>
      <c r="G15" s="46">
        <v>53633210</v>
      </c>
      <c r="I15" s="46">
        <v>53166733</v>
      </c>
      <c r="K15" s="46">
        <f>52771749</f>
        <v>52771749</v>
      </c>
      <c r="M15" s="46">
        <f>52564902</f>
        <v>52564902</v>
      </c>
      <c r="N15" s="46"/>
      <c r="O15" s="46"/>
      <c r="Y15" s="17"/>
      <c r="Z15" s="17"/>
      <c r="AA15" s="17"/>
      <c r="AB15" s="17"/>
      <c r="AC15" s="17"/>
      <c r="AD15" s="17"/>
    </row>
    <row r="16" spans="1:30" x14ac:dyDescent="0.4">
      <c r="A16" s="154" t="s">
        <v>1239</v>
      </c>
      <c r="B16" s="154" t="s">
        <v>1295</v>
      </c>
      <c r="C16" s="46">
        <f>2765877*1000</f>
        <v>2765877000</v>
      </c>
      <c r="E16" s="46">
        <v>2584426000</v>
      </c>
      <c r="G16" s="46">
        <v>2349532000</v>
      </c>
      <c r="I16" s="46">
        <v>2233311000</v>
      </c>
      <c r="K16" s="46">
        <v>2129390000</v>
      </c>
      <c r="M16" s="46">
        <v>2042656000</v>
      </c>
      <c r="N16" s="46"/>
      <c r="O16" s="46"/>
      <c r="Q16" s="167" t="s">
        <v>1249</v>
      </c>
      <c r="R16" s="167"/>
      <c r="S16" s="167"/>
      <c r="T16" s="167"/>
      <c r="U16" s="167"/>
      <c r="V16" s="167"/>
      <c r="W16" s="167"/>
      <c r="X16" s="167"/>
      <c r="Y16" s="17"/>
      <c r="Z16" s="17"/>
      <c r="AA16" s="17"/>
      <c r="AB16" s="17"/>
      <c r="AC16" s="17"/>
      <c r="AD16" s="17"/>
    </row>
    <row r="17" spans="1:30" x14ac:dyDescent="0.4">
      <c r="A17" s="154" t="s">
        <v>1296</v>
      </c>
      <c r="B17" s="154" t="s">
        <v>1294</v>
      </c>
      <c r="C17" s="46">
        <v>0</v>
      </c>
      <c r="E17" s="46">
        <v>0</v>
      </c>
      <c r="G17" s="46">
        <v>0</v>
      </c>
      <c r="I17" s="46">
        <v>0</v>
      </c>
      <c r="K17" s="46">
        <v>0</v>
      </c>
      <c r="M17" s="46">
        <v>0</v>
      </c>
      <c r="N17" s="46"/>
      <c r="O17" s="46"/>
      <c r="Q17" s="154" t="s">
        <v>1297</v>
      </c>
      <c r="S17" s="35">
        <f>C50/1000000</f>
        <v>4943.7560000000003</v>
      </c>
      <c r="T17" s="35"/>
      <c r="U17" s="35">
        <f>E50/1000000</f>
        <v>4463.826</v>
      </c>
      <c r="V17" s="35"/>
      <c r="W17" s="35">
        <f>G50/1000000</f>
        <v>4032.91</v>
      </c>
      <c r="X17" s="35"/>
      <c r="Y17" s="35">
        <f>I50/1000000</f>
        <v>3834.6109999999999</v>
      </c>
      <c r="Z17" s="35"/>
      <c r="AA17" s="35">
        <f>K50/1000000</f>
        <v>3415.4540000000002</v>
      </c>
      <c r="AB17" s="35"/>
      <c r="AC17" s="17"/>
      <c r="AD17" s="17"/>
    </row>
    <row r="18" spans="1:30" x14ac:dyDescent="0.4">
      <c r="C18" s="46"/>
      <c r="E18" s="46"/>
      <c r="G18" s="46"/>
      <c r="I18" s="46"/>
      <c r="K18" s="46"/>
      <c r="M18" s="46"/>
      <c r="N18" s="46"/>
      <c r="O18" s="46"/>
      <c r="Q18" s="154" t="s">
        <v>1298</v>
      </c>
      <c r="S18" s="36">
        <f>C19/1000000</f>
        <v>8.8499999999999995E-2</v>
      </c>
      <c r="T18" s="35"/>
      <c r="U18" s="36">
        <f>E19/1000000</f>
        <v>552</v>
      </c>
      <c r="V18" s="35"/>
      <c r="W18" s="36">
        <f>G19/1000000</f>
        <v>494</v>
      </c>
      <c r="X18" s="35"/>
      <c r="Y18" s="36">
        <f>I19/1000000</f>
        <v>418.22500000000002</v>
      </c>
      <c r="Z18" s="35"/>
      <c r="AA18" s="36">
        <f>K19/1000000</f>
        <v>516.5</v>
      </c>
      <c r="AB18" s="35"/>
      <c r="AC18" s="17"/>
      <c r="AD18" s="17"/>
    </row>
    <row r="19" spans="1:30" x14ac:dyDescent="0.4">
      <c r="A19" s="154" t="s">
        <v>1299</v>
      </c>
      <c r="B19" s="154" t="s">
        <v>1300</v>
      </c>
      <c r="C19" s="46">
        <v>88500</v>
      </c>
      <c r="E19" s="46">
        <v>552000000</v>
      </c>
      <c r="G19" s="46">
        <v>494000000</v>
      </c>
      <c r="I19" s="46">
        <v>418225000</v>
      </c>
      <c r="K19" s="46">
        <v>516500000</v>
      </c>
      <c r="M19" s="46">
        <v>299500000</v>
      </c>
      <c r="N19" s="46"/>
      <c r="O19" s="46"/>
      <c r="Q19" s="154" t="s">
        <v>1301</v>
      </c>
      <c r="S19" s="37">
        <f>SUM(S17:S18)</f>
        <v>4943.8445000000002</v>
      </c>
      <c r="T19" s="35"/>
      <c r="U19" s="37">
        <f>SUM(U17:U18)</f>
        <v>5015.826</v>
      </c>
      <c r="V19" s="35"/>
      <c r="W19" s="37">
        <f>SUM(W17:W18)</f>
        <v>4526.91</v>
      </c>
      <c r="X19" s="35"/>
      <c r="Y19" s="37">
        <f>SUM(Y17:Y18)</f>
        <v>4252.8360000000002</v>
      </c>
      <c r="Z19" s="35"/>
      <c r="AA19" s="37">
        <f>SUM(AA17:AA18)</f>
        <v>3931.9540000000002</v>
      </c>
      <c r="AB19" s="35"/>
      <c r="AC19" s="17"/>
      <c r="AD19" s="17"/>
    </row>
    <row r="20" spans="1:30" x14ac:dyDescent="0.4">
      <c r="G20" s="46"/>
      <c r="I20" s="46"/>
      <c r="K20" s="46"/>
      <c r="M20" s="46"/>
      <c r="N20" s="46"/>
      <c r="O20" s="46"/>
      <c r="S20" s="17"/>
      <c r="T20" s="17"/>
      <c r="U20" s="17"/>
      <c r="V20" s="17"/>
      <c r="W20" s="17"/>
      <c r="X20" s="17"/>
      <c r="Y20" s="17"/>
      <c r="Z20" s="17"/>
      <c r="AA20" s="17"/>
      <c r="AB20" s="17"/>
      <c r="AC20" s="17"/>
      <c r="AD20" s="17"/>
    </row>
    <row r="21" spans="1:30" x14ac:dyDescent="0.4">
      <c r="A21" s="154" t="s">
        <v>1302</v>
      </c>
      <c r="B21" s="154" t="s">
        <v>1303</v>
      </c>
      <c r="C21" s="46">
        <v>4.1399999999999997</v>
      </c>
      <c r="E21" s="46">
        <v>4.08</v>
      </c>
      <c r="G21" s="46">
        <v>3.85</v>
      </c>
      <c r="I21" s="46">
        <v>3.68</v>
      </c>
      <c r="K21" s="46">
        <v>3.51</v>
      </c>
      <c r="M21" s="46">
        <v>3.25</v>
      </c>
      <c r="N21" s="46"/>
      <c r="O21" s="46"/>
      <c r="Q21" s="167" t="s">
        <v>1304</v>
      </c>
      <c r="R21" s="167"/>
      <c r="S21" s="17"/>
      <c r="T21" s="17"/>
      <c r="U21" s="17"/>
      <c r="V21" s="17"/>
      <c r="W21" s="17"/>
      <c r="X21" s="17"/>
      <c r="Y21" s="17"/>
      <c r="Z21" s="17"/>
      <c r="AA21" s="17"/>
      <c r="AB21" s="17"/>
      <c r="AC21" s="17"/>
      <c r="AD21" s="17"/>
    </row>
    <row r="22" spans="1:30" x14ac:dyDescent="0.4">
      <c r="A22" s="154" t="s">
        <v>1305</v>
      </c>
      <c r="B22" s="17" t="s">
        <v>79</v>
      </c>
      <c r="C22" s="38">
        <v>83.9</v>
      </c>
      <c r="D22" s="17"/>
      <c r="E22" s="38">
        <v>91.88</v>
      </c>
      <c r="F22" s="17"/>
      <c r="G22" s="154">
        <v>81.37</v>
      </c>
      <c r="H22" s="17"/>
      <c r="I22" s="46">
        <v>96.69</v>
      </c>
      <c r="J22" s="17"/>
      <c r="K22" s="46">
        <v>96.27</v>
      </c>
      <c r="L22" s="17"/>
      <c r="M22" s="46">
        <v>87.03</v>
      </c>
      <c r="N22" s="46"/>
      <c r="O22" s="46"/>
      <c r="Q22" s="154" t="s">
        <v>1306</v>
      </c>
      <c r="S22" s="38">
        <f>(ROUND((C30/(AVERAGE(C54,E54))*100),2))</f>
        <v>5</v>
      </c>
      <c r="T22" s="39" t="s">
        <v>1090</v>
      </c>
      <c r="U22" s="38">
        <f>(ROUND((E30/(AVERAGE(E54,G54))*100),2))</f>
        <v>3.36</v>
      </c>
      <c r="V22" s="39" t="s">
        <v>1090</v>
      </c>
      <c r="W22" s="38">
        <f>(ROUND((G30/(AVERAGE(G54,I54))*100),2))</f>
        <v>2.87</v>
      </c>
      <c r="X22" s="39" t="s">
        <v>1090</v>
      </c>
      <c r="Y22" s="38">
        <f>(ROUND((I30/(AVERAGE(I54,K54))*100),2))</f>
        <v>3.27</v>
      </c>
      <c r="Z22" s="39" t="s">
        <v>1090</v>
      </c>
      <c r="AA22" s="38">
        <f>(ROUND((K30/(AVERAGE(K54,M54))*100),2))</f>
        <v>3.7</v>
      </c>
      <c r="AB22" s="39" t="s">
        <v>1090</v>
      </c>
      <c r="AC22" s="18"/>
      <c r="AD22" s="17"/>
    </row>
    <row r="23" spans="1:30" x14ac:dyDescent="0.4">
      <c r="A23" s="154" t="s">
        <v>1307</v>
      </c>
      <c r="B23" s="17" t="s">
        <v>79</v>
      </c>
      <c r="C23" s="38">
        <v>57.63</v>
      </c>
      <c r="D23" s="17"/>
      <c r="E23" s="38">
        <v>70.03</v>
      </c>
      <c r="F23" s="17"/>
      <c r="G23" s="169">
        <v>63.3</v>
      </c>
      <c r="H23" s="17"/>
      <c r="I23" s="46">
        <v>66.55</v>
      </c>
      <c r="J23" s="17"/>
      <c r="K23" s="46">
        <v>76.13</v>
      </c>
      <c r="L23" s="17"/>
      <c r="M23" s="46">
        <v>62.75</v>
      </c>
      <c r="N23" s="46"/>
      <c r="O23" s="46"/>
      <c r="Q23" s="154" t="s">
        <v>1308</v>
      </c>
      <c r="S23" s="38"/>
      <c r="T23" s="39"/>
      <c r="U23" s="38"/>
      <c r="V23" s="39"/>
      <c r="W23" s="38"/>
      <c r="X23" s="39"/>
      <c r="Y23" s="38"/>
      <c r="Z23" s="39"/>
      <c r="AA23" s="38"/>
      <c r="AB23" s="39"/>
      <c r="AC23" s="17"/>
      <c r="AD23" s="17"/>
    </row>
    <row r="24" spans="1:30" x14ac:dyDescent="0.4">
      <c r="B24" s="17"/>
      <c r="C24" s="17"/>
      <c r="D24" s="17"/>
      <c r="E24" s="17"/>
      <c r="F24" s="17"/>
      <c r="G24" s="46"/>
      <c r="H24" s="17"/>
      <c r="I24" s="46"/>
      <c r="J24" s="17"/>
      <c r="K24" s="46"/>
      <c r="L24" s="17"/>
      <c r="M24" s="46"/>
      <c r="N24" s="46"/>
      <c r="O24" s="46"/>
      <c r="S24" s="17"/>
      <c r="T24" s="17"/>
      <c r="U24" s="17"/>
      <c r="V24" s="17"/>
      <c r="W24" s="17"/>
      <c r="X24" s="17"/>
      <c r="Y24" s="17"/>
      <c r="Z24" s="17"/>
      <c r="AA24" s="17"/>
      <c r="AB24" s="17"/>
      <c r="AC24" s="1485" t="s">
        <v>1285</v>
      </c>
      <c r="AD24" s="1485"/>
    </row>
    <row r="25" spans="1:30" x14ac:dyDescent="0.4">
      <c r="B25" s="17"/>
      <c r="C25" s="17"/>
      <c r="D25" s="17"/>
      <c r="E25" s="17"/>
      <c r="F25" s="17"/>
      <c r="G25" s="46"/>
      <c r="H25" s="17"/>
      <c r="I25" s="46"/>
      <c r="J25" s="17"/>
      <c r="K25" s="46"/>
      <c r="L25" s="17"/>
      <c r="M25" s="46"/>
      <c r="N25" s="46"/>
      <c r="O25" s="46"/>
      <c r="Q25" s="167" t="s">
        <v>1251</v>
      </c>
      <c r="R25" s="167"/>
      <c r="S25" s="17"/>
      <c r="T25" s="17"/>
      <c r="U25" s="17"/>
      <c r="V25" s="17"/>
      <c r="W25" s="17"/>
      <c r="X25" s="17"/>
      <c r="Y25" s="17"/>
      <c r="Z25" s="17"/>
      <c r="AA25" s="17"/>
      <c r="AB25" s="17"/>
      <c r="AC25" s="1485" t="s">
        <v>1286</v>
      </c>
      <c r="AD25" s="1485"/>
    </row>
    <row r="26" spans="1:30" x14ac:dyDescent="0.4">
      <c r="A26" s="154" t="s">
        <v>1309</v>
      </c>
      <c r="B26" s="17" t="s">
        <v>79</v>
      </c>
      <c r="C26" s="46">
        <v>2.6</v>
      </c>
      <c r="D26" s="17"/>
      <c r="E26" s="46">
        <v>2.48</v>
      </c>
      <c r="F26" s="17"/>
      <c r="G26" s="46">
        <v>2.3199999999999998</v>
      </c>
      <c r="H26" s="17"/>
      <c r="I26" s="46">
        <v>2.16</v>
      </c>
      <c r="J26" s="17"/>
      <c r="K26" s="46">
        <v>2</v>
      </c>
      <c r="L26" s="17"/>
      <c r="M26" s="46">
        <v>1.84</v>
      </c>
      <c r="N26" s="46"/>
      <c r="O26" s="46"/>
      <c r="Q26" s="154" t="s">
        <v>1310</v>
      </c>
      <c r="S26" s="17"/>
      <c r="T26" s="17"/>
      <c r="U26" s="17"/>
      <c r="V26" s="17"/>
      <c r="W26" s="17"/>
      <c r="X26" s="17"/>
      <c r="Y26" s="17"/>
      <c r="Z26" s="17"/>
      <c r="AA26" s="17"/>
      <c r="AB26" s="17"/>
      <c r="AC26" s="17"/>
      <c r="AD26" s="17"/>
    </row>
    <row r="27" spans="1:30" x14ac:dyDescent="0.4">
      <c r="G27" s="46"/>
      <c r="I27" s="46"/>
      <c r="K27" s="46"/>
      <c r="M27" s="46"/>
      <c r="N27" s="46"/>
      <c r="O27" s="46"/>
      <c r="Q27" s="154" t="s">
        <v>1311</v>
      </c>
      <c r="S27" s="38">
        <f>ROUND(((C12/C50)*100),2)</f>
        <v>44.05</v>
      </c>
      <c r="T27" s="39" t="s">
        <v>1090</v>
      </c>
      <c r="U27" s="38">
        <f>ROUND(((E12/E50)*100),2)</f>
        <v>42.1</v>
      </c>
      <c r="V27" s="39" t="s">
        <v>1090</v>
      </c>
      <c r="W27" s="38">
        <f>ROUND(((G12/G50)*100),2)</f>
        <v>41.74</v>
      </c>
      <c r="X27" s="39" t="s">
        <v>1090</v>
      </c>
      <c r="Y27" s="38">
        <f>ROUND(((I12/I50)*100),2)</f>
        <v>41.76</v>
      </c>
      <c r="Z27" s="39" t="s">
        <v>1090</v>
      </c>
      <c r="AA27" s="38">
        <f>ROUND(((K12/K50)*100),2)</f>
        <v>37.65</v>
      </c>
      <c r="AB27" s="39" t="s">
        <v>1090</v>
      </c>
      <c r="AC27" s="38">
        <f>ROUND(AVERAGE(S27:AB27),2)</f>
        <v>41.46</v>
      </c>
      <c r="AD27" s="39" t="s">
        <v>1090</v>
      </c>
    </row>
    <row r="28" spans="1:30" x14ac:dyDescent="0.4">
      <c r="A28" s="154" t="s">
        <v>1252</v>
      </c>
      <c r="B28" s="154" t="s">
        <v>1252</v>
      </c>
      <c r="C28" s="46">
        <v>5700000</v>
      </c>
      <c r="E28" s="46">
        <v>4500000</v>
      </c>
      <c r="G28" s="46">
        <v>4200000</v>
      </c>
      <c r="I28" s="46">
        <v>4200000</v>
      </c>
      <c r="K28" s="46">
        <v>4600000</v>
      </c>
      <c r="M28" s="46">
        <v>3400000</v>
      </c>
      <c r="N28" s="46"/>
      <c r="O28" s="46"/>
      <c r="Q28" s="154" t="s">
        <v>1312</v>
      </c>
      <c r="S28" s="38">
        <f>ROUND(((SUM(C13,C17)/C50)*100),2)</f>
        <v>0</v>
      </c>
      <c r="T28" s="39"/>
      <c r="U28" s="38">
        <f>ROUND(((SUM(E13,E17)/E50)*100),2)</f>
        <v>0</v>
      </c>
      <c r="V28" s="39"/>
      <c r="W28" s="38">
        <f>ROUND(((SUM(G13,G17)/G50)*100),2)</f>
        <v>0</v>
      </c>
      <c r="X28" s="39"/>
      <c r="Y28" s="38">
        <f>ROUND(((SUM(I13,I17)/I50)*100),2)</f>
        <v>0</v>
      </c>
      <c r="Z28" s="39"/>
      <c r="AA28" s="38">
        <f>ROUND(((SUM(K13,K17)/K50)*100),2)</f>
        <v>0</v>
      </c>
      <c r="AB28" s="39"/>
      <c r="AC28" s="38">
        <f>ROUND(AVERAGE(S28:AB28),2)</f>
        <v>0</v>
      </c>
      <c r="AD28" s="39"/>
    </row>
    <row r="29" spans="1:30" x14ac:dyDescent="0.4">
      <c r="C29" s="46"/>
      <c r="E29" s="46"/>
      <c r="G29" s="46"/>
      <c r="I29" s="46"/>
      <c r="K29" s="46"/>
      <c r="M29" s="46"/>
      <c r="N29" s="46"/>
      <c r="O29" s="46"/>
      <c r="Q29" s="154" t="s">
        <v>1313</v>
      </c>
      <c r="S29" s="41">
        <f>ROUND(((C16/C50)*100),2)</f>
        <v>55.95</v>
      </c>
      <c r="T29" s="39"/>
      <c r="U29" s="41">
        <f>ROUND(((E16/E50)*100),2)</f>
        <v>57.9</v>
      </c>
      <c r="V29" s="39"/>
      <c r="W29" s="41">
        <f>ROUND(((G16/G50)*100),2)</f>
        <v>58.26</v>
      </c>
      <c r="X29" s="39"/>
      <c r="Y29" s="41">
        <f>ROUND(((I16/I50)*100),2)</f>
        <v>58.24</v>
      </c>
      <c r="Z29" s="39"/>
      <c r="AA29" s="41">
        <f>ROUND(((K16/K50)*100),2)</f>
        <v>62.35</v>
      </c>
      <c r="AB29" s="39"/>
      <c r="AC29" s="38">
        <f>ROUND(AVERAGE(S29:AB29),2)</f>
        <v>58.54</v>
      </c>
      <c r="AD29" s="39"/>
    </row>
    <row r="30" spans="1:30" x14ac:dyDescent="0.4">
      <c r="A30" s="154" t="s">
        <v>1314</v>
      </c>
      <c r="B30" s="154" t="s">
        <v>1315</v>
      </c>
      <c r="C30" s="46">
        <v>115339000</v>
      </c>
      <c r="E30" s="46">
        <v>77506000</v>
      </c>
      <c r="G30" s="46">
        <v>60301000</v>
      </c>
      <c r="I30" s="46">
        <v>62505000</v>
      </c>
      <c r="K30" s="46">
        <v>62681000</v>
      </c>
      <c r="M30" s="46">
        <v>51305000</v>
      </c>
      <c r="N30" s="46"/>
      <c r="O30" s="46"/>
      <c r="Q30" s="154" t="s">
        <v>1316</v>
      </c>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C31" s="46"/>
      <c r="E31" s="46"/>
      <c r="G31" s="46"/>
      <c r="I31" s="46"/>
      <c r="K31" s="46"/>
      <c r="M31" s="46"/>
      <c r="N31" s="46"/>
      <c r="O31" s="46"/>
      <c r="S31" s="17"/>
      <c r="T31" s="17"/>
      <c r="U31" s="17"/>
      <c r="V31" s="17"/>
      <c r="W31" s="17"/>
      <c r="X31" s="17"/>
      <c r="Y31" s="17"/>
      <c r="Z31" s="17"/>
      <c r="AA31" s="17"/>
      <c r="AB31" s="17"/>
      <c r="AC31" s="17"/>
      <c r="AD31" s="17"/>
    </row>
    <row r="32" spans="1:30" x14ac:dyDescent="0.4">
      <c r="A32" s="154" t="s">
        <v>1317</v>
      </c>
      <c r="B32" s="154" t="s">
        <v>1318</v>
      </c>
      <c r="C32" s="46">
        <v>231232000</v>
      </c>
      <c r="E32" s="46">
        <v>221742000</v>
      </c>
      <c r="G32" s="46">
        <v>206434000</v>
      </c>
      <c r="I32" s="46">
        <v>196412000</v>
      </c>
      <c r="K32" s="46">
        <v>186749000</v>
      </c>
      <c r="M32" s="46">
        <v>172234000</v>
      </c>
      <c r="N32" s="46"/>
      <c r="O32" s="46"/>
      <c r="Q32" s="154" t="s">
        <v>1319</v>
      </c>
      <c r="S32" s="17"/>
      <c r="T32" s="17"/>
      <c r="U32" s="17"/>
      <c r="V32" s="17"/>
      <c r="W32" s="17"/>
      <c r="X32" s="17"/>
      <c r="Y32" s="17"/>
      <c r="Z32" s="17"/>
      <c r="AA32" s="17"/>
      <c r="AB32" s="17"/>
      <c r="AC32" s="17"/>
      <c r="AD32" s="17"/>
    </row>
    <row r="33" spans="1:30" x14ac:dyDescent="0.4">
      <c r="A33" s="159"/>
      <c r="B33" s="159"/>
      <c r="C33" s="46"/>
      <c r="D33" s="159"/>
      <c r="E33" s="46"/>
      <c r="F33" s="159"/>
      <c r="G33" s="49"/>
      <c r="H33" s="159"/>
      <c r="I33" s="49"/>
      <c r="J33" s="159"/>
      <c r="K33" s="49"/>
      <c r="L33" s="159"/>
      <c r="M33" s="49"/>
      <c r="N33" s="49"/>
      <c r="O33" s="49"/>
      <c r="Q33" s="154" t="s">
        <v>1320</v>
      </c>
      <c r="S33" s="38">
        <f>ROUND((((C12+C19)/C56)*100),2)</f>
        <v>44.05</v>
      </c>
      <c r="T33" s="39" t="s">
        <v>1090</v>
      </c>
      <c r="U33" s="38">
        <f>ROUND((((E12+E19)/E56)*100),2)</f>
        <v>48.47</v>
      </c>
      <c r="V33" s="39" t="s">
        <v>1090</v>
      </c>
      <c r="W33" s="38">
        <f>ROUND((((G12+G19)/G56)*100),2)</f>
        <v>48.1</v>
      </c>
      <c r="X33" s="39" t="s">
        <v>1090</v>
      </c>
      <c r="Y33" s="38">
        <f>ROUND((((I12+I19)/I56)*100),2)</f>
        <v>47.49</v>
      </c>
      <c r="Z33" s="39" t="s">
        <v>1090</v>
      </c>
      <c r="AA33" s="38">
        <f>ROUND((((K12+K19)/K56)*100),2)</f>
        <v>45.84</v>
      </c>
      <c r="AB33" s="39" t="s">
        <v>1090</v>
      </c>
      <c r="AC33" s="38">
        <f>ROUND(AVERAGE(S33:AB33),2)</f>
        <v>46.79</v>
      </c>
      <c r="AD33" s="39" t="s">
        <v>1090</v>
      </c>
    </row>
    <row r="34" spans="1:30" x14ac:dyDescent="0.4">
      <c r="A34" s="154" t="s">
        <v>1321</v>
      </c>
      <c r="B34" s="154" t="s">
        <v>1322</v>
      </c>
      <c r="C34" s="77">
        <v>231232000</v>
      </c>
      <c r="E34" s="77">
        <f>E32</f>
        <v>221742000</v>
      </c>
      <c r="G34" s="77">
        <f>G32</f>
        <v>206434000</v>
      </c>
      <c r="I34" s="77">
        <f>I32</f>
        <v>196412000</v>
      </c>
      <c r="K34" s="46">
        <f>K32</f>
        <v>186749000</v>
      </c>
      <c r="M34" s="46">
        <f>M32</f>
        <v>172234000</v>
      </c>
      <c r="N34" s="46"/>
      <c r="O34" s="46"/>
      <c r="Q34" s="154" t="s">
        <v>1312</v>
      </c>
      <c r="S34" s="38">
        <f>ROUND((((SUM(C13,C17))/C56)*100),2)</f>
        <v>0</v>
      </c>
      <c r="T34" s="39"/>
      <c r="U34" s="38">
        <f>ROUND((((SUM(E13,E17))/E56)*100),2)</f>
        <v>0</v>
      </c>
      <c r="V34" s="39"/>
      <c r="W34" s="38">
        <f>ROUND((((SUM(G13,G17))/G56)*100),2)</f>
        <v>0</v>
      </c>
      <c r="X34" s="39"/>
      <c r="Y34" s="38">
        <f>ROUND((((SUM(I13,I17))/I56)*100),2)</f>
        <v>0</v>
      </c>
      <c r="Z34" s="39"/>
      <c r="AA34" s="38">
        <f>ROUND((((SUM(K13,K17))/K56)*100),2)</f>
        <v>0</v>
      </c>
      <c r="AB34" s="39"/>
      <c r="AC34" s="38">
        <f>ROUND(AVERAGE(S34:AB34),2)</f>
        <v>0</v>
      </c>
      <c r="AD34" s="39"/>
    </row>
    <row r="35" spans="1:30" x14ac:dyDescent="0.4">
      <c r="C35" s="46"/>
      <c r="E35" s="46"/>
      <c r="G35" s="46"/>
      <c r="I35" s="46"/>
      <c r="K35" s="46"/>
      <c r="M35" s="46"/>
      <c r="N35" s="46"/>
      <c r="O35" s="46"/>
      <c r="Q35" s="154" t="s">
        <v>1313</v>
      </c>
      <c r="S35" s="41">
        <f>ROUND((((C16)/C56)*100),2)</f>
        <v>55.95</v>
      </c>
      <c r="T35" s="39"/>
      <c r="U35" s="41">
        <f>ROUND((((E16)/E56)*100),2)</f>
        <v>51.53</v>
      </c>
      <c r="V35" s="39"/>
      <c r="W35" s="41">
        <f>ROUND((((G16)/G56)*100),2)</f>
        <v>51.9</v>
      </c>
      <c r="X35" s="39"/>
      <c r="Y35" s="41">
        <f>ROUND((((I16)/I56)*100),2)</f>
        <v>52.51</v>
      </c>
      <c r="Z35" s="39"/>
      <c r="AA35" s="41">
        <f>ROUND((((K16)/K56)*100),2)</f>
        <v>54.16</v>
      </c>
      <c r="AB35" s="39"/>
      <c r="AC35" s="38">
        <f>ROUND(AVERAGE(S35:AB35),2)</f>
        <v>53.21</v>
      </c>
      <c r="AD35" s="39"/>
    </row>
    <row r="36" spans="1:30" x14ac:dyDescent="0.4">
      <c r="A36" s="154" t="s">
        <v>1323</v>
      </c>
      <c r="B36" s="154" t="s">
        <v>1324</v>
      </c>
      <c r="C36" s="77">
        <v>0</v>
      </c>
      <c r="E36" s="77">
        <v>0</v>
      </c>
      <c r="G36" s="77">
        <v>0</v>
      </c>
      <c r="I36" s="77">
        <v>0</v>
      </c>
      <c r="K36" s="46">
        <v>0</v>
      </c>
      <c r="M36" s="46">
        <v>0</v>
      </c>
      <c r="N36" s="46"/>
      <c r="O36" s="46"/>
      <c r="Q36" s="154" t="s">
        <v>1316</v>
      </c>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C37" s="46"/>
      <c r="E37" s="46"/>
      <c r="G37" s="46"/>
      <c r="I37" s="46"/>
      <c r="K37" s="46"/>
      <c r="M37" s="46"/>
      <c r="N37" s="46"/>
      <c r="O37" s="46"/>
      <c r="S37" s="17"/>
      <c r="T37" s="17"/>
      <c r="U37" s="17"/>
      <c r="V37" s="17"/>
      <c r="W37" s="17"/>
      <c r="X37" s="17"/>
      <c r="Y37" s="17"/>
      <c r="Z37" s="17"/>
      <c r="AA37" s="17"/>
      <c r="AB37" s="17"/>
      <c r="AC37" s="17"/>
      <c r="AD37" s="17"/>
    </row>
    <row r="38" spans="1:30" x14ac:dyDescent="0.4">
      <c r="A38" s="154" t="s">
        <v>1325</v>
      </c>
      <c r="B38" s="154" t="s">
        <v>1326</v>
      </c>
      <c r="C38" s="46">
        <v>144094000</v>
      </c>
      <c r="E38" s="46">
        <v>133954000</v>
      </c>
      <c r="G38" s="77">
        <v>123912000</v>
      </c>
      <c r="I38" s="77">
        <v>114372000</v>
      </c>
      <c r="K38" s="46">
        <v>105424000</v>
      </c>
      <c r="M38" s="46">
        <v>96594000</v>
      </c>
      <c r="N38" s="46"/>
      <c r="O38" s="46"/>
      <c r="S38" s="17"/>
      <c r="T38" s="17"/>
      <c r="U38" s="17"/>
      <c r="V38" s="17"/>
      <c r="W38" s="17"/>
      <c r="X38" s="17"/>
      <c r="Y38" s="17"/>
      <c r="Z38" s="17"/>
      <c r="AA38" s="17"/>
      <c r="AB38" s="17"/>
      <c r="AC38" s="17"/>
      <c r="AD38" s="17"/>
    </row>
    <row r="39" spans="1:30" x14ac:dyDescent="0.4">
      <c r="C39" s="46"/>
      <c r="E39" s="46"/>
      <c r="G39" s="46"/>
      <c r="I39" s="46"/>
      <c r="K39" s="46"/>
      <c r="M39" s="46"/>
      <c r="N39" s="46"/>
      <c r="O39" s="46"/>
      <c r="S39" s="17"/>
      <c r="T39" s="17"/>
      <c r="U39" s="17"/>
      <c r="V39" s="17"/>
      <c r="W39" s="17"/>
      <c r="X39" s="17"/>
      <c r="Y39" s="17"/>
      <c r="Z39" s="17"/>
      <c r="AA39" s="17"/>
      <c r="AB39" s="17"/>
      <c r="AC39" s="17"/>
      <c r="AD39" s="17"/>
    </row>
    <row r="40" spans="1:30" x14ac:dyDescent="0.4">
      <c r="A40" s="154" t="s">
        <v>1327</v>
      </c>
      <c r="B40" s="154" t="s">
        <v>1328</v>
      </c>
      <c r="C40" s="46">
        <f>C34</f>
        <v>231232000</v>
      </c>
      <c r="E40" s="46">
        <f>E32</f>
        <v>221742000</v>
      </c>
      <c r="G40" s="46">
        <f>G32</f>
        <v>206434000</v>
      </c>
      <c r="I40" s="46">
        <f>I32</f>
        <v>196412000</v>
      </c>
      <c r="K40" s="46">
        <f>K32</f>
        <v>186749000</v>
      </c>
      <c r="M40" s="46">
        <f>M32</f>
        <v>172234000</v>
      </c>
      <c r="N40" s="46"/>
      <c r="O40" s="46"/>
      <c r="Q40" s="167" t="s">
        <v>1329</v>
      </c>
      <c r="R40" s="167"/>
      <c r="S40" s="17"/>
      <c r="T40" s="17"/>
      <c r="U40" s="17"/>
      <c r="V40" s="17"/>
      <c r="W40" s="17"/>
      <c r="X40" s="17"/>
      <c r="Y40" s="17"/>
      <c r="Z40" s="17"/>
      <c r="AA40" s="17"/>
      <c r="AB40" s="17"/>
      <c r="AC40" s="17"/>
      <c r="AD40" s="17"/>
    </row>
    <row r="41" spans="1:30" x14ac:dyDescent="0.4">
      <c r="A41" s="154" t="s">
        <v>1330</v>
      </c>
      <c r="B41" s="154" t="s">
        <v>1331</v>
      </c>
      <c r="C41" s="46">
        <v>939532000</v>
      </c>
      <c r="E41" s="46">
        <v>1570842000</v>
      </c>
      <c r="G41" s="46">
        <f>-1535657000+1562574000+367210000</f>
        <v>394127000</v>
      </c>
      <c r="I41" s="46">
        <v>364500000</v>
      </c>
      <c r="K41" s="46">
        <v>310345000</v>
      </c>
      <c r="M41" s="46">
        <v>467694000</v>
      </c>
      <c r="N41" s="46"/>
      <c r="O41" s="46"/>
      <c r="Q41" s="167"/>
      <c r="R41" s="167"/>
      <c r="S41" s="17"/>
      <c r="T41" s="17"/>
      <c r="U41" s="17"/>
      <c r="V41" s="17"/>
      <c r="W41" s="17"/>
      <c r="X41" s="17"/>
      <c r="Y41" s="17"/>
      <c r="Z41" s="17"/>
      <c r="AA41" s="17"/>
      <c r="AB41" s="17"/>
      <c r="AC41" s="17"/>
      <c r="AD41" s="17"/>
    </row>
    <row r="42" spans="1:30" x14ac:dyDescent="0.4">
      <c r="A42" s="154" t="s">
        <v>1332</v>
      </c>
      <c r="B42" s="154" t="s">
        <v>1333</v>
      </c>
      <c r="C42" s="46">
        <f>(196272-6776+82108-62023-90046-9559+4333+7249+38869+26070-2048)*1000</f>
        <v>184449000</v>
      </c>
      <c r="E42" s="46">
        <f>(-213656-15981-89559-47032+85915+11317-4600+52417+53992-23377-14107)*1000</f>
        <v>-204671000</v>
      </c>
      <c r="G42" s="46">
        <f>(-57902-2126-85700-49029+107207+3235-5574+18461-11190)*1000</f>
        <v>-82618000</v>
      </c>
      <c r="I42" s="46">
        <f>(-58423+2966+10313-40833+28376+15844+10041-38773+23648-3109-12877-7704)*1000</f>
        <v>-70531000</v>
      </c>
      <c r="K42" s="46">
        <f>(26415-11399+3036-47784-59293+316-3196+28203-35401+10689)*1000</f>
        <v>-88414000</v>
      </c>
      <c r="M42" s="46">
        <f>(-5159-4661+22859-52855+36885+148+6316+236+372+109437-50100+1953)*1000</f>
        <v>65431000</v>
      </c>
      <c r="N42" s="46"/>
      <c r="O42" s="46"/>
      <c r="Q42" s="167" t="s">
        <v>1334</v>
      </c>
      <c r="R42" s="167"/>
      <c r="S42" s="17"/>
      <c r="T42" s="17"/>
      <c r="U42" s="17"/>
      <c r="V42" s="17"/>
      <c r="W42" s="17"/>
      <c r="X42" s="17"/>
      <c r="Y42" s="17"/>
      <c r="Z42" s="17"/>
      <c r="AA42" s="17"/>
      <c r="AB42" s="17"/>
      <c r="AC42" s="17"/>
      <c r="AD42" s="17"/>
    </row>
    <row r="43" spans="1:30" x14ac:dyDescent="0.4">
      <c r="A43" s="154" t="s">
        <v>1335</v>
      </c>
      <c r="B43" s="154" t="s">
        <v>1336</v>
      </c>
      <c r="C43" s="46">
        <v>279830000</v>
      </c>
      <c r="E43" s="46">
        <v>228479000</v>
      </c>
      <c r="G43" s="46">
        <v>207233000</v>
      </c>
      <c r="I43" s="46">
        <v>194881000</v>
      </c>
      <c r="K43" s="46">
        <v>180395000</v>
      </c>
      <c r="M43" s="46">
        <v>160086000</v>
      </c>
      <c r="N43" s="46"/>
      <c r="O43" s="46"/>
      <c r="Q43" s="154" t="s">
        <v>1337</v>
      </c>
      <c r="S43" s="38">
        <f>ROUND(C21/C52,4)*100</f>
        <v>5.8500000000000005</v>
      </c>
      <c r="T43" s="39" t="s">
        <v>1090</v>
      </c>
      <c r="U43" s="38">
        <f>ROUND(E21/E52,4)*100</f>
        <v>5.04</v>
      </c>
      <c r="V43" s="39" t="s">
        <v>1090</v>
      </c>
      <c r="W43" s="38">
        <f>ROUND(G21/G52,4)*100</f>
        <v>5.3199999999999994</v>
      </c>
      <c r="X43" s="39" t="s">
        <v>1090</v>
      </c>
      <c r="Y43" s="38">
        <f>ROUND(I21/I52,4)*100</f>
        <v>4.51</v>
      </c>
      <c r="Z43" s="39" t="s">
        <v>1090</v>
      </c>
      <c r="AA43" s="38">
        <f>ROUND(K21/K52,4)*100</f>
        <v>4.07</v>
      </c>
      <c r="AB43" s="39" t="s">
        <v>1090</v>
      </c>
      <c r="AC43" s="38">
        <f>ROUND(AVERAGE(S43:AB43),2)</f>
        <v>4.96</v>
      </c>
      <c r="AD43" s="39" t="s">
        <v>1090</v>
      </c>
    </row>
    <row r="44" spans="1:30" x14ac:dyDescent="0.4">
      <c r="A44" s="154" t="s">
        <v>1338</v>
      </c>
      <c r="B44" s="154" t="s">
        <v>1339</v>
      </c>
      <c r="C44" s="46">
        <v>40495000</v>
      </c>
      <c r="E44" s="46">
        <v>46526000</v>
      </c>
      <c r="G44" s="46">
        <v>40316000</v>
      </c>
      <c r="I44" s="46">
        <v>41579000</v>
      </c>
      <c r="K44" s="46">
        <v>42852000</v>
      </c>
      <c r="M44" s="46">
        <v>53531000</v>
      </c>
      <c r="N44" s="46"/>
      <c r="O44" s="46"/>
      <c r="Q44" s="154" t="s">
        <v>1340</v>
      </c>
      <c r="S44" s="38">
        <f>(ROUND((C52/(AVERAGE(C48,E48))*100),2))</f>
        <v>148.03</v>
      </c>
      <c r="T44" s="17"/>
      <c r="U44" s="38">
        <f>(ROUND((E52/(AVERAGE(E48,G48))*100),2))</f>
        <v>178.91</v>
      </c>
      <c r="V44" s="17"/>
      <c r="W44" s="38">
        <f>(ROUND((G52/(AVERAGE(G48,I48))*100),2))</f>
        <v>168.59</v>
      </c>
      <c r="X44" s="17"/>
      <c r="Y44" s="38">
        <f>(ROUND((I52/(AVERAGE(I48,K48))*100),2))</f>
        <v>198.21</v>
      </c>
      <c r="Z44" s="17"/>
      <c r="AA44" s="38">
        <f>(ROUND((K52/(AVERAGE(K48,M48))*100),2))</f>
        <v>217.65</v>
      </c>
      <c r="AB44" s="17"/>
      <c r="AC44" s="38">
        <f>ROUND(AVERAGE(S44:AB44),2)</f>
        <v>182.28</v>
      </c>
      <c r="AD44" s="17"/>
    </row>
    <row r="45" spans="1:30" x14ac:dyDescent="0.4">
      <c r="G45" s="155"/>
      <c r="I45" s="155"/>
      <c r="K45" s="155"/>
      <c r="M45" s="155"/>
      <c r="N45" s="155"/>
      <c r="O45" s="155"/>
      <c r="Q45" s="154" t="s">
        <v>1341</v>
      </c>
      <c r="S45" s="38">
        <f>ROUND(((+C26/C52)*100),2)</f>
        <v>3.67</v>
      </c>
      <c r="T45" s="17"/>
      <c r="U45" s="38">
        <f>ROUND(((+E26/E52)*100),2)</f>
        <v>3.06</v>
      </c>
      <c r="V45" s="17"/>
      <c r="W45" s="38">
        <f>ROUND(((+G26/G52)*100),2)</f>
        <v>3.21</v>
      </c>
      <c r="X45" s="17"/>
      <c r="Y45" s="38">
        <f>ROUND(((+I26/I52)*100),2)</f>
        <v>2.65</v>
      </c>
      <c r="Z45" s="17"/>
      <c r="AA45" s="38">
        <f>ROUND(((+K26/K52)*100),2)</f>
        <v>2.3199999999999998</v>
      </c>
      <c r="AB45" s="17"/>
      <c r="AC45" s="38">
        <f>ROUND(AVERAGE(S45:AB45),2)</f>
        <v>2.98</v>
      </c>
      <c r="AD45" s="17"/>
    </row>
    <row r="46" spans="1:30" x14ac:dyDescent="0.4">
      <c r="A46" s="154" t="s">
        <v>1342</v>
      </c>
      <c r="G46" s="155"/>
      <c r="I46" s="155"/>
      <c r="K46" s="155"/>
      <c r="M46" s="155"/>
      <c r="N46" s="155"/>
      <c r="O46" s="155"/>
      <c r="Q46" s="154" t="s">
        <v>1343</v>
      </c>
      <c r="S46" s="38">
        <f>ROUND(((+C38/C34)*100),2)</f>
        <v>62.32</v>
      </c>
      <c r="T46" s="17"/>
      <c r="U46" s="38">
        <f>ROUND(((+E38/E34)*100),2)</f>
        <v>60.41</v>
      </c>
      <c r="V46" s="17"/>
      <c r="W46" s="38">
        <f>ROUND(((+G38/G34)*100),2)</f>
        <v>60.02</v>
      </c>
      <c r="X46" s="17"/>
      <c r="Y46" s="38">
        <f>ROUND(((+I38/I34)*100),2)</f>
        <v>58.23</v>
      </c>
      <c r="Z46" s="17"/>
      <c r="AA46" s="38">
        <f>ROUND(((+K38/K34)*100),2)</f>
        <v>56.45</v>
      </c>
      <c r="AB46" s="17"/>
      <c r="AC46" s="38">
        <f>ROUND(AVERAGE(S46:AB46),2)</f>
        <v>59.49</v>
      </c>
      <c r="AD46" s="17"/>
    </row>
    <row r="47" spans="1:30" x14ac:dyDescent="0.4">
      <c r="G47" s="155"/>
      <c r="I47" s="155"/>
      <c r="K47" s="155"/>
      <c r="M47" s="155"/>
      <c r="N47" s="155"/>
      <c r="O47" s="155"/>
      <c r="S47" s="38"/>
      <c r="T47" s="17"/>
      <c r="U47" s="38"/>
      <c r="V47" s="17"/>
      <c r="W47" s="38"/>
      <c r="X47" s="17"/>
      <c r="Y47" s="38"/>
      <c r="Z47" s="17"/>
      <c r="AA47" s="38"/>
      <c r="AB47" s="17"/>
      <c r="AC47" s="38"/>
      <c r="AD47" s="17"/>
    </row>
    <row r="48" spans="1:30" x14ac:dyDescent="0.4">
      <c r="A48" s="154" t="s">
        <v>1344</v>
      </c>
      <c r="B48" s="154" t="s">
        <v>1345</v>
      </c>
      <c r="C48" s="46">
        <f>C16/C15</f>
        <v>48.913817377889167</v>
      </c>
      <c r="E48" s="46">
        <f>E16/E15</f>
        <v>46.692468795909029</v>
      </c>
      <c r="G48" s="46">
        <f>G16/G15</f>
        <v>43.807409625491367</v>
      </c>
      <c r="I48" s="46">
        <f>I16/I15</f>
        <v>42.005797121293874</v>
      </c>
      <c r="J48" s="17"/>
      <c r="K48" s="46">
        <f>K16/K15</f>
        <v>40.350946109442006</v>
      </c>
      <c r="L48" s="17"/>
      <c r="M48" s="46">
        <f>M16/M15</f>
        <v>38.859693869494897</v>
      </c>
      <c r="N48" s="46"/>
      <c r="O48" s="46"/>
      <c r="Q48" s="167" t="s">
        <v>1253</v>
      </c>
      <c r="R48" s="167"/>
      <c r="S48" s="38">
        <f>ROUND(((C34/AVERAGE(C16,E16))*100),2)</f>
        <v>8.64</v>
      </c>
      <c r="T48" s="17" t="s">
        <v>1090</v>
      </c>
      <c r="U48" s="38">
        <f>ROUND(((E34/AVERAGE(E16,G16))*100),2)</f>
        <v>8.99</v>
      </c>
      <c r="V48" s="17" t="s">
        <v>1090</v>
      </c>
      <c r="W48" s="38">
        <f>ROUND(((G34/AVERAGE(G16,I16))*100),2)</f>
        <v>9.01</v>
      </c>
      <c r="X48" s="17" t="s">
        <v>1090</v>
      </c>
      <c r="Y48" s="38">
        <f>ROUND(((I34/AVERAGE(I16,K16))*100),2)</f>
        <v>9</v>
      </c>
      <c r="Z48" s="17" t="s">
        <v>1090</v>
      </c>
      <c r="AA48" s="38">
        <f>ROUND(((K34/AVERAGE(K16,M16))*100),2)</f>
        <v>8.9499999999999993</v>
      </c>
      <c r="AB48" s="17" t="s">
        <v>1090</v>
      </c>
      <c r="AC48" s="38">
        <f>ROUND(AVERAGE(S48:AB48),2)</f>
        <v>8.92</v>
      </c>
      <c r="AD48" s="17" t="s">
        <v>1090</v>
      </c>
    </row>
    <row r="49" spans="1:30" x14ac:dyDescent="0.4">
      <c r="C49" s="46"/>
      <c r="E49" s="46"/>
      <c r="G49" s="46"/>
      <c r="I49" s="46"/>
      <c r="J49" s="17"/>
      <c r="K49" s="46"/>
      <c r="L49" s="17"/>
      <c r="M49" s="46"/>
      <c r="N49" s="46"/>
      <c r="O49" s="46"/>
      <c r="S49" s="38"/>
      <c r="T49" s="17"/>
      <c r="U49" s="38"/>
      <c r="V49" s="17"/>
      <c r="W49" s="38"/>
      <c r="X49" s="17"/>
      <c r="Y49" s="38"/>
      <c r="Z49" s="17"/>
      <c r="AA49" s="38"/>
      <c r="AB49" s="17"/>
      <c r="AC49" s="39"/>
      <c r="AD49" s="17"/>
    </row>
    <row r="50" spans="1:30" x14ac:dyDescent="0.4">
      <c r="A50" s="154" t="s">
        <v>1283</v>
      </c>
      <c r="B50" s="154" t="s">
        <v>1345</v>
      </c>
      <c r="C50" s="46">
        <f>SUM(C12:C13,C16:C17)</f>
        <v>4943756000</v>
      </c>
      <c r="E50" s="46">
        <f>SUM(E12:E13,E16:E17)</f>
        <v>4463826000</v>
      </c>
      <c r="G50" s="46">
        <f>SUM(G12:G13,G16:G17)</f>
        <v>4032910000</v>
      </c>
      <c r="I50" s="46">
        <f>SUM(I12:I13,I16:I17)</f>
        <v>3834611000</v>
      </c>
      <c r="J50" s="17"/>
      <c r="K50" s="46">
        <f>SUM(K12:K13,K16:K17)</f>
        <v>3415454000</v>
      </c>
      <c r="L50" s="17"/>
      <c r="M50" s="46">
        <f>SUM(M12:M13,M16:M17)</f>
        <v>3328139000</v>
      </c>
      <c r="N50" s="46"/>
      <c r="O50" s="46"/>
      <c r="Q50" s="167" t="s">
        <v>1254</v>
      </c>
      <c r="R50" s="167"/>
      <c r="S50" s="38">
        <f>ROUND((C54/C62),2)</f>
        <v>3.27</v>
      </c>
      <c r="T50" s="39" t="s">
        <v>1255</v>
      </c>
      <c r="U50" s="38">
        <f>ROUND((E54/E62),2)</f>
        <v>4.2300000000000004</v>
      </c>
      <c r="V50" s="39" t="s">
        <v>1255</v>
      </c>
      <c r="W50" s="38">
        <f>ROUND((G54/G62),2)</f>
        <v>4.2300000000000004</v>
      </c>
      <c r="X50" s="39" t="s">
        <v>1255</v>
      </c>
      <c r="Y50" s="38">
        <f>ROUND((I54/I62),2)</f>
        <v>4.08</v>
      </c>
      <c r="Z50" s="39" t="s">
        <v>1255</v>
      </c>
      <c r="AA50" s="38">
        <f>ROUND((K54/K62),2)</f>
        <v>3.81</v>
      </c>
      <c r="AB50" s="39" t="s">
        <v>1255</v>
      </c>
      <c r="AC50" s="38">
        <f>ROUND(AVERAGE(S50:AB50),2)</f>
        <v>3.92</v>
      </c>
      <c r="AD50" s="17" t="s">
        <v>1255</v>
      </c>
    </row>
    <row r="51" spans="1:30" x14ac:dyDescent="0.4">
      <c r="C51" s="46"/>
      <c r="E51" s="46"/>
      <c r="G51" s="46"/>
      <c r="I51" s="46"/>
      <c r="J51" s="17"/>
      <c r="K51" s="46"/>
      <c r="L51" s="17"/>
      <c r="M51" s="46"/>
      <c r="N51" s="46"/>
      <c r="O51" s="46"/>
      <c r="Q51" s="167"/>
      <c r="R51" s="167"/>
      <c r="S51" s="38"/>
      <c r="T51" s="17"/>
      <c r="U51" s="38"/>
      <c r="V51" s="17"/>
      <c r="W51" s="38"/>
      <c r="X51" s="17"/>
      <c r="Y51" s="38"/>
      <c r="Z51" s="17"/>
      <c r="AA51" s="38"/>
      <c r="AB51" s="17"/>
      <c r="AC51" s="38"/>
      <c r="AD51" s="17"/>
    </row>
    <row r="52" spans="1:30" x14ac:dyDescent="0.4">
      <c r="A52" s="154" t="s">
        <v>121</v>
      </c>
      <c r="B52" s="154" t="s">
        <v>1345</v>
      </c>
      <c r="C52" s="46">
        <f>AVERAGE(C22:C23)</f>
        <v>70.765000000000001</v>
      </c>
      <c r="E52" s="46">
        <f>AVERAGE(E22:E23)</f>
        <v>80.954999999999998</v>
      </c>
      <c r="G52" s="46">
        <f>AVERAGE(G22:G23)</f>
        <v>72.335000000000008</v>
      </c>
      <c r="I52" s="46">
        <f>AVERAGE(I22:I23)</f>
        <v>81.62</v>
      </c>
      <c r="J52" s="17"/>
      <c r="K52" s="46">
        <f>AVERAGE(K22:K23)</f>
        <v>86.199999999999989</v>
      </c>
      <c r="L52" s="17"/>
      <c r="M52" s="46">
        <f>AVERAGE(M22:M23)</f>
        <v>74.89</v>
      </c>
      <c r="N52" s="46"/>
      <c r="O52" s="46"/>
      <c r="Q52" s="167" t="s">
        <v>1256</v>
      </c>
      <c r="R52" s="167"/>
      <c r="S52" s="38">
        <f>ROUND(((C60/C54)*100),2)</f>
        <v>51.35</v>
      </c>
      <c r="T52" s="39" t="s">
        <v>1090</v>
      </c>
      <c r="U52" s="38">
        <f>ROUND(((E60/E54)*100),2)</f>
        <v>56</v>
      </c>
      <c r="V52" s="39" t="s">
        <v>1090</v>
      </c>
      <c r="W52" s="38">
        <f>ROUND(((G60/G54)*100),2)</f>
        <v>14.11</v>
      </c>
      <c r="X52" s="39" t="s">
        <v>1090</v>
      </c>
      <c r="Y52" s="38">
        <f>ROUND(((I60/I54)*100),2)</f>
        <v>14.35</v>
      </c>
      <c r="Z52" s="39" t="s">
        <v>1090</v>
      </c>
      <c r="AA52" s="38">
        <f>ROUND(((K60/K54)*100),2)</f>
        <v>12.06</v>
      </c>
      <c r="AB52" s="39" t="s">
        <v>1090</v>
      </c>
      <c r="AC52" s="38">
        <f>ROUND(AVERAGE(S52:AB52),2)</f>
        <v>29.57</v>
      </c>
      <c r="AD52" s="17" t="s">
        <v>1090</v>
      </c>
    </row>
    <row r="53" spans="1:30" x14ac:dyDescent="0.4">
      <c r="C53" s="46"/>
      <c r="E53" s="46"/>
      <c r="G53" s="46"/>
      <c r="I53" s="46"/>
      <c r="J53" s="17"/>
      <c r="K53" s="46"/>
      <c r="L53" s="17"/>
      <c r="M53" s="46"/>
      <c r="N53" s="46"/>
      <c r="O53" s="46"/>
      <c r="Q53" s="170"/>
      <c r="R53" s="170"/>
      <c r="S53" s="38"/>
      <c r="T53" s="17"/>
      <c r="U53" s="38"/>
      <c r="V53" s="17"/>
      <c r="W53" s="38"/>
      <c r="X53" s="17"/>
      <c r="Y53" s="38"/>
      <c r="Z53" s="17"/>
      <c r="AA53" s="38"/>
      <c r="AB53" s="17"/>
      <c r="AC53" s="17"/>
      <c r="AD53" s="17"/>
    </row>
    <row r="54" spans="1:30" x14ac:dyDescent="0.4">
      <c r="A54" s="154" t="s">
        <v>1250</v>
      </c>
      <c r="C54" s="78">
        <f>+C19+C12</f>
        <v>2177967500</v>
      </c>
      <c r="E54" s="78">
        <f>+E19+E12</f>
        <v>2431400000</v>
      </c>
      <c r="G54" s="78">
        <f>+G19+G12</f>
        <v>2177378000</v>
      </c>
      <c r="I54" s="78">
        <f>+I19+I12</f>
        <v>2019525000</v>
      </c>
      <c r="J54" s="17"/>
      <c r="K54" s="78">
        <f>+K19+K12</f>
        <v>1802564000</v>
      </c>
      <c r="L54" s="17"/>
      <c r="M54" s="78">
        <f>+M19+M12</f>
        <v>1584983000</v>
      </c>
      <c r="N54" s="78"/>
      <c r="O54" s="78"/>
      <c r="Q54" s="170" t="s">
        <v>1257</v>
      </c>
      <c r="R54" s="170"/>
      <c r="S54" s="38">
        <f>S33</f>
        <v>44.05</v>
      </c>
      <c r="T54" s="39" t="s">
        <v>1090</v>
      </c>
      <c r="U54" s="38">
        <f>U33</f>
        <v>48.47</v>
      </c>
      <c r="V54" s="39" t="s">
        <v>1090</v>
      </c>
      <c r="W54" s="38">
        <f>W33</f>
        <v>48.1</v>
      </c>
      <c r="X54" s="39" t="s">
        <v>1090</v>
      </c>
      <c r="Y54" s="38">
        <f>Y33</f>
        <v>47.49</v>
      </c>
      <c r="Z54" s="39" t="s">
        <v>1090</v>
      </c>
      <c r="AA54" s="38">
        <f>AA33</f>
        <v>45.84</v>
      </c>
      <c r="AB54" s="39" t="s">
        <v>1090</v>
      </c>
      <c r="AC54" s="38">
        <f>ROUND(AVERAGE(S54:AB54),2)</f>
        <v>46.79</v>
      </c>
      <c r="AD54" s="39" t="s">
        <v>1090</v>
      </c>
    </row>
    <row r="55" spans="1:30" x14ac:dyDescent="0.4">
      <c r="C55" s="46"/>
      <c r="E55" s="46"/>
      <c r="G55" s="46"/>
      <c r="I55" s="46"/>
      <c r="J55" s="17"/>
      <c r="K55" s="46"/>
      <c r="L55" s="17"/>
      <c r="M55" s="46"/>
      <c r="N55" s="46"/>
      <c r="O55" s="46"/>
      <c r="U55" s="17"/>
      <c r="V55" s="17"/>
      <c r="W55" s="17"/>
      <c r="X55" s="17"/>
      <c r="Y55" s="17"/>
      <c r="Z55" s="17"/>
      <c r="AA55" s="17"/>
      <c r="AB55" s="17"/>
      <c r="AC55" s="17"/>
      <c r="AD55" s="17"/>
    </row>
    <row r="56" spans="1:30" x14ac:dyDescent="0.4">
      <c r="A56" s="154" t="s">
        <v>1346</v>
      </c>
      <c r="B56" s="154" t="s">
        <v>1345</v>
      </c>
      <c r="C56" s="46">
        <f>SUM(C50,C19)</f>
        <v>4943844500</v>
      </c>
      <c r="E56" s="46">
        <f>SUM(E50,E19)</f>
        <v>5015826000</v>
      </c>
      <c r="G56" s="46">
        <f>SUM(G50,G19)</f>
        <v>4526910000</v>
      </c>
      <c r="I56" s="46">
        <f>SUM(I50,I19)</f>
        <v>4252836000</v>
      </c>
      <c r="J56" s="17"/>
      <c r="K56" s="46">
        <f>SUM(K50,K19)</f>
        <v>3931954000</v>
      </c>
      <c r="L56" s="17"/>
      <c r="M56" s="46">
        <f>SUM(M50,M19)</f>
        <v>3627639000</v>
      </c>
      <c r="N56" s="46"/>
      <c r="O56" s="46"/>
    </row>
    <row r="57" spans="1:30" x14ac:dyDescent="0.4">
      <c r="C57" s="46"/>
      <c r="E57" s="46"/>
      <c r="G57" s="46"/>
      <c r="I57" s="46"/>
      <c r="J57" s="17"/>
      <c r="K57" s="46"/>
      <c r="L57" s="17"/>
      <c r="M57" s="46"/>
      <c r="N57" s="46"/>
      <c r="O57" s="46"/>
    </row>
    <row r="58" spans="1:30" x14ac:dyDescent="0.4">
      <c r="A58" s="154" t="s">
        <v>1347</v>
      </c>
      <c r="B58" s="154" t="s">
        <v>1345</v>
      </c>
      <c r="C58" s="46">
        <f>SUM(C13,C17)</f>
        <v>0</v>
      </c>
      <c r="E58" s="46">
        <f>SUM(E13,E17)</f>
        <v>0</v>
      </c>
      <c r="G58" s="46">
        <f>SUM(G13,G17)</f>
        <v>0</v>
      </c>
      <c r="I58" s="46">
        <f>SUM(I13,I17)</f>
        <v>0</v>
      </c>
      <c r="J58" s="17"/>
      <c r="K58" s="46">
        <f>SUM(K13,K17)</f>
        <v>0</v>
      </c>
      <c r="L58" s="17"/>
      <c r="M58" s="46">
        <f>SUM(M13,M17)</f>
        <v>0</v>
      </c>
      <c r="N58" s="46"/>
      <c r="O58" s="46"/>
    </row>
    <row r="59" spans="1:30" x14ac:dyDescent="0.4">
      <c r="C59" s="46"/>
      <c r="E59" s="46"/>
      <c r="G59" s="46"/>
      <c r="I59" s="46"/>
      <c r="J59" s="17"/>
      <c r="K59" s="46"/>
      <c r="L59" s="17"/>
      <c r="M59" s="46"/>
      <c r="N59" s="46"/>
      <c r="O59" s="46"/>
    </row>
    <row r="60" spans="1:30" x14ac:dyDescent="0.4">
      <c r="A60" s="171" t="s">
        <v>1258</v>
      </c>
      <c r="B60" s="154" t="s">
        <v>1345</v>
      </c>
      <c r="C60" s="46">
        <f>ROUND(C41+C42-C28,3)</f>
        <v>1118281000</v>
      </c>
      <c r="E60" s="46">
        <f>ROUND(E41+E42-E28,3)</f>
        <v>1361671000</v>
      </c>
      <c r="G60" s="46">
        <f>ROUND(G41+G42-G28,3)</f>
        <v>307309000</v>
      </c>
      <c r="I60" s="46">
        <f>ROUND(I41+I42-I28,3)</f>
        <v>289769000</v>
      </c>
      <c r="J60" s="17"/>
      <c r="K60" s="46">
        <f>ROUND(K41+K42-K28,3)</f>
        <v>217331000</v>
      </c>
      <c r="L60" s="17"/>
      <c r="M60" s="46">
        <f>ROUND(M41+M42-M28,3)</f>
        <v>529725000</v>
      </c>
      <c r="N60" s="46"/>
      <c r="O60" s="46"/>
    </row>
    <row r="61" spans="1:30" x14ac:dyDescent="0.4">
      <c r="A61" s="171"/>
      <c r="C61" s="46"/>
      <c r="E61" s="46"/>
      <c r="G61" s="46"/>
      <c r="I61" s="46"/>
      <c r="J61" s="17"/>
      <c r="K61" s="46"/>
      <c r="L61" s="17"/>
      <c r="M61" s="46"/>
      <c r="N61" s="46"/>
      <c r="O61" s="46"/>
    </row>
    <row r="62" spans="1:30" x14ac:dyDescent="0.4">
      <c r="A62" s="154" t="s">
        <v>1160</v>
      </c>
      <c r="B62" s="154" t="s">
        <v>1345</v>
      </c>
      <c r="C62" s="46">
        <f>C40+C44+C43+C30</f>
        <v>666896000</v>
      </c>
      <c r="E62" s="46">
        <f>E40+E44+E43+E30</f>
        <v>574253000</v>
      </c>
      <c r="G62" s="46">
        <f>G40+G44+G43+G30</f>
        <v>514284000</v>
      </c>
      <c r="I62" s="46">
        <f>I40+I44+I43+I30</f>
        <v>495377000</v>
      </c>
      <c r="J62" s="17"/>
      <c r="K62" s="46">
        <f>K40+K44+K43+K30</f>
        <v>472677000</v>
      </c>
      <c r="L62" s="17"/>
      <c r="M62" s="46">
        <f>M40+M44+M43+M30</f>
        <v>437156000</v>
      </c>
      <c r="N62" s="46"/>
      <c r="O62" s="46"/>
    </row>
    <row r="63" spans="1:30" x14ac:dyDescent="0.4">
      <c r="K63" s="156"/>
      <c r="L63" s="156"/>
      <c r="M63" s="156"/>
      <c r="N63" s="156"/>
      <c r="O63" s="156"/>
    </row>
    <row r="64" spans="1:30" x14ac:dyDescent="0.4">
      <c r="K64" s="156"/>
      <c r="L64" s="156"/>
      <c r="M64" s="156"/>
      <c r="N64" s="156"/>
      <c r="O64" s="156"/>
    </row>
    <row r="71" spans="11:15" x14ac:dyDescent="0.4">
      <c r="K71" s="156"/>
      <c r="L71" s="156"/>
      <c r="M71" s="156"/>
      <c r="N71" s="156"/>
      <c r="O71" s="156"/>
    </row>
    <row r="81" spans="11:223" x14ac:dyDescent="0.4">
      <c r="HK81" s="172"/>
      <c r="HL81" s="172"/>
      <c r="HO81" s="154" t="s">
        <v>1348</v>
      </c>
    </row>
    <row r="94" spans="11:223" x14ac:dyDescent="0.4">
      <c r="K94" s="156"/>
      <c r="L94" s="156"/>
      <c r="M94" s="156"/>
      <c r="N94" s="156"/>
      <c r="O94" s="156"/>
    </row>
    <row r="95" spans="11:223" x14ac:dyDescent="0.4">
      <c r="K95" s="156"/>
      <c r="L95" s="156"/>
      <c r="M95" s="156"/>
      <c r="N95" s="156"/>
      <c r="O95" s="156"/>
    </row>
    <row r="96" spans="11:223" x14ac:dyDescent="0.4">
      <c r="K96" s="156"/>
      <c r="L96" s="156"/>
      <c r="M96" s="156"/>
      <c r="N96" s="156"/>
      <c r="O96" s="156"/>
    </row>
    <row r="97" spans="11:15" x14ac:dyDescent="0.4">
      <c r="K97" s="156"/>
      <c r="L97" s="156"/>
      <c r="M97" s="156"/>
      <c r="N97" s="156"/>
      <c r="O97" s="156"/>
    </row>
    <row r="98" spans="11:15" x14ac:dyDescent="0.4">
      <c r="K98" s="156"/>
      <c r="L98" s="156"/>
      <c r="M98" s="156"/>
      <c r="N98" s="156"/>
      <c r="O98" s="156"/>
    </row>
    <row r="99" spans="11:15" x14ac:dyDescent="0.4">
      <c r="K99" s="156"/>
      <c r="L99" s="156"/>
      <c r="M99" s="156"/>
      <c r="N99" s="156"/>
      <c r="O99" s="156"/>
    </row>
    <row r="100" spans="11:15" x14ac:dyDescent="0.4">
      <c r="K100" s="156"/>
      <c r="L100" s="156"/>
      <c r="M100" s="156"/>
      <c r="N100" s="156"/>
      <c r="O100" s="156"/>
    </row>
    <row r="101" spans="11:15" x14ac:dyDescent="0.4">
      <c r="K101" s="156"/>
      <c r="L101" s="156"/>
      <c r="M101" s="156"/>
      <c r="N101" s="156"/>
      <c r="O101" s="156"/>
    </row>
    <row r="102" spans="11:15" x14ac:dyDescent="0.4">
      <c r="K102" s="156"/>
      <c r="L102" s="156"/>
      <c r="M102" s="156"/>
      <c r="N102" s="156"/>
      <c r="O102" s="156"/>
    </row>
    <row r="103" spans="11:15" x14ac:dyDescent="0.4">
      <c r="K103" s="156"/>
      <c r="L103" s="156"/>
      <c r="M103" s="156"/>
      <c r="N103" s="156"/>
      <c r="O103" s="156"/>
    </row>
    <row r="104" spans="11:15" x14ac:dyDescent="0.4">
      <c r="K104" s="156"/>
      <c r="L104" s="156"/>
      <c r="M104" s="156"/>
      <c r="N104" s="156"/>
      <c r="O104" s="156"/>
    </row>
    <row r="105" spans="11:15" x14ac:dyDescent="0.4">
      <c r="K105" s="156"/>
      <c r="L105" s="156"/>
      <c r="M105" s="156"/>
      <c r="N105" s="156"/>
      <c r="O105" s="156"/>
    </row>
    <row r="106" spans="11:15" x14ac:dyDescent="0.4">
      <c r="K106" s="156"/>
      <c r="L106" s="156"/>
      <c r="M106" s="156"/>
      <c r="N106" s="156"/>
      <c r="O106" s="156"/>
    </row>
    <row r="107" spans="11:15" x14ac:dyDescent="0.4">
      <c r="K107" s="156"/>
      <c r="L107" s="156"/>
      <c r="M107" s="156"/>
      <c r="N107" s="156"/>
      <c r="O107" s="156"/>
    </row>
    <row r="108" spans="11:15" x14ac:dyDescent="0.4">
      <c r="K108" s="156"/>
      <c r="L108" s="156"/>
      <c r="M108" s="156"/>
      <c r="N108" s="156"/>
      <c r="O108" s="156"/>
    </row>
    <row r="109" spans="11:15" x14ac:dyDescent="0.4">
      <c r="K109" s="156"/>
      <c r="L109" s="156"/>
      <c r="M109" s="156"/>
      <c r="N109" s="156"/>
      <c r="O109" s="156"/>
    </row>
    <row r="110" spans="11:15" x14ac:dyDescent="0.4">
      <c r="K110" s="156"/>
      <c r="L110" s="156"/>
      <c r="M110" s="156"/>
      <c r="N110" s="156"/>
      <c r="O110" s="156"/>
    </row>
    <row r="111" spans="11:15" x14ac:dyDescent="0.4">
      <c r="K111" s="156"/>
      <c r="L111" s="156"/>
      <c r="M111" s="156"/>
      <c r="N111" s="156"/>
      <c r="O111" s="156"/>
    </row>
    <row r="112" spans="11:15" x14ac:dyDescent="0.4">
      <c r="K112" s="156"/>
      <c r="L112" s="156"/>
      <c r="M112" s="156"/>
      <c r="N112" s="156"/>
      <c r="O112" s="156"/>
    </row>
    <row r="113" spans="11:15" x14ac:dyDescent="0.4">
      <c r="K113" s="156"/>
      <c r="L113" s="156"/>
      <c r="M113" s="156"/>
      <c r="N113" s="156"/>
      <c r="O113" s="156"/>
    </row>
    <row r="114" spans="11:15" x14ac:dyDescent="0.4">
      <c r="K114" s="156"/>
      <c r="L114" s="156"/>
      <c r="M114" s="156"/>
      <c r="N114" s="156"/>
      <c r="O114" s="156"/>
    </row>
    <row r="115" spans="11:15" x14ac:dyDescent="0.4">
      <c r="K115" s="156"/>
      <c r="L115" s="156"/>
      <c r="M115" s="156"/>
      <c r="N115" s="156"/>
      <c r="O115" s="156"/>
    </row>
    <row r="116" spans="11:15" x14ac:dyDescent="0.4">
      <c r="K116" s="156"/>
      <c r="L116" s="156"/>
      <c r="M116" s="156"/>
      <c r="N116" s="156"/>
      <c r="O116" s="156"/>
    </row>
    <row r="117" spans="11:15" x14ac:dyDescent="0.4">
      <c r="K117" s="156"/>
      <c r="L117" s="156"/>
      <c r="M117" s="156"/>
      <c r="N117" s="156"/>
      <c r="O117" s="156"/>
    </row>
    <row r="118" spans="11:15" x14ac:dyDescent="0.4">
      <c r="K118" s="156"/>
      <c r="L118" s="156"/>
      <c r="M118" s="156"/>
      <c r="N118" s="156"/>
      <c r="O118" s="156"/>
    </row>
    <row r="119" spans="11:15" x14ac:dyDescent="0.4">
      <c r="K119" s="156"/>
      <c r="L119" s="156"/>
      <c r="M119" s="156"/>
      <c r="N119" s="156"/>
      <c r="O119" s="156"/>
    </row>
    <row r="120" spans="11:15" x14ac:dyDescent="0.4">
      <c r="K120" s="156"/>
      <c r="L120" s="156"/>
      <c r="M120" s="156"/>
      <c r="N120" s="156"/>
      <c r="O120" s="156"/>
    </row>
    <row r="121" spans="11:15" x14ac:dyDescent="0.4">
      <c r="K121" s="156"/>
      <c r="L121" s="156"/>
      <c r="M121" s="156"/>
      <c r="N121" s="156"/>
      <c r="O121" s="156"/>
    </row>
    <row r="122" spans="11:15" x14ac:dyDescent="0.4">
      <c r="K122" s="156"/>
      <c r="L122" s="156"/>
      <c r="M122" s="156"/>
      <c r="N122" s="156"/>
      <c r="O122" s="156"/>
    </row>
    <row r="123" spans="11:15" x14ac:dyDescent="0.4">
      <c r="K123" s="156"/>
      <c r="L123" s="156"/>
      <c r="M123" s="156"/>
      <c r="N123" s="156"/>
      <c r="O123" s="156"/>
    </row>
    <row r="124" spans="11:15" x14ac:dyDescent="0.4">
      <c r="K124" s="156"/>
      <c r="L124" s="156"/>
      <c r="M124" s="156"/>
      <c r="N124" s="156"/>
      <c r="O124" s="156"/>
    </row>
    <row r="125" spans="11:15" x14ac:dyDescent="0.4">
      <c r="K125" s="156"/>
      <c r="L125" s="156"/>
      <c r="M125" s="156"/>
      <c r="N125" s="156"/>
      <c r="O125" s="156"/>
    </row>
    <row r="126" spans="11:15" x14ac:dyDescent="0.4">
      <c r="K126" s="156"/>
      <c r="L126" s="156"/>
      <c r="M126" s="156"/>
      <c r="N126" s="156"/>
      <c r="O126" s="156"/>
    </row>
    <row r="127" spans="11:15" x14ac:dyDescent="0.4">
      <c r="K127" s="156"/>
      <c r="L127" s="156"/>
      <c r="M127" s="156"/>
      <c r="N127" s="156"/>
      <c r="O127" s="156"/>
    </row>
    <row r="128" spans="11:15" x14ac:dyDescent="0.4">
      <c r="K128" s="156"/>
      <c r="L128" s="156"/>
      <c r="M128" s="156"/>
      <c r="N128" s="156"/>
      <c r="O128" s="156"/>
    </row>
    <row r="129" spans="11:15" x14ac:dyDescent="0.4">
      <c r="K129" s="156"/>
      <c r="L129" s="156"/>
      <c r="M129" s="156"/>
      <c r="N129" s="156"/>
      <c r="O129" s="156"/>
    </row>
    <row r="130" spans="11:15" x14ac:dyDescent="0.4">
      <c r="K130" s="156"/>
      <c r="L130" s="156"/>
      <c r="M130" s="156"/>
      <c r="N130" s="156"/>
      <c r="O130" s="156"/>
    </row>
    <row r="131" spans="11:15" x14ac:dyDescent="0.4">
      <c r="K131" s="156"/>
      <c r="L131" s="156"/>
      <c r="M131" s="156"/>
      <c r="N131" s="156"/>
      <c r="O131" s="156"/>
    </row>
    <row r="132" spans="11:15" x14ac:dyDescent="0.4">
      <c r="K132" s="156"/>
      <c r="L132" s="156"/>
      <c r="M132" s="156"/>
      <c r="N132" s="156"/>
      <c r="O132" s="156"/>
    </row>
    <row r="133" spans="11:15" x14ac:dyDescent="0.4">
      <c r="K133" s="156"/>
      <c r="L133" s="156"/>
      <c r="M133" s="156"/>
      <c r="N133" s="156"/>
      <c r="O133" s="156"/>
    </row>
    <row r="134" spans="11:15" x14ac:dyDescent="0.4">
      <c r="K134" s="156"/>
      <c r="L134" s="156"/>
      <c r="M134" s="156"/>
      <c r="N134" s="156"/>
      <c r="O134" s="156"/>
    </row>
    <row r="135" spans="11:15" x14ac:dyDescent="0.4">
      <c r="K135" s="156"/>
      <c r="L135" s="156"/>
      <c r="M135" s="156"/>
      <c r="N135" s="156"/>
      <c r="O135" s="156"/>
    </row>
    <row r="136" spans="11:15" x14ac:dyDescent="0.4">
      <c r="K136" s="156"/>
      <c r="L136" s="156"/>
      <c r="M136" s="156"/>
      <c r="N136" s="156"/>
      <c r="O136" s="156"/>
    </row>
    <row r="137" spans="11:15" x14ac:dyDescent="0.4">
      <c r="K137" s="156"/>
      <c r="L137" s="156"/>
      <c r="M137" s="156"/>
      <c r="N137" s="156"/>
      <c r="O137" s="156"/>
    </row>
    <row r="138" spans="11:15" x14ac:dyDescent="0.4">
      <c r="K138" s="156"/>
      <c r="L138" s="156"/>
      <c r="M138" s="156"/>
      <c r="N138" s="156"/>
      <c r="O138" s="156"/>
    </row>
    <row r="139" spans="11:15" x14ac:dyDescent="0.4">
      <c r="K139" s="156"/>
      <c r="L139" s="156"/>
      <c r="M139" s="156"/>
      <c r="N139" s="156"/>
      <c r="O139" s="156"/>
    </row>
    <row r="140" spans="11:15" x14ac:dyDescent="0.4">
      <c r="K140" s="156"/>
      <c r="L140" s="156"/>
      <c r="M140" s="156"/>
      <c r="N140" s="156"/>
      <c r="O140" s="156"/>
    </row>
    <row r="141" spans="11:15" x14ac:dyDescent="0.4">
      <c r="K141" s="156"/>
      <c r="L141" s="156"/>
      <c r="M141" s="156"/>
      <c r="N141" s="156"/>
      <c r="O141" s="156"/>
    </row>
    <row r="142" spans="11:15" x14ac:dyDescent="0.4">
      <c r="K142" s="156"/>
      <c r="L142" s="156"/>
      <c r="M142" s="156"/>
      <c r="N142" s="156"/>
      <c r="O142" s="156"/>
    </row>
    <row r="143" spans="11:15" x14ac:dyDescent="0.4">
      <c r="K143" s="156"/>
      <c r="L143" s="156"/>
      <c r="M143" s="156"/>
      <c r="N143" s="156"/>
      <c r="O143" s="156"/>
    </row>
    <row r="144" spans="11:15" x14ac:dyDescent="0.4">
      <c r="K144" s="156"/>
      <c r="L144" s="156"/>
      <c r="M144" s="156"/>
      <c r="N144" s="156"/>
      <c r="O144" s="156"/>
    </row>
    <row r="145" spans="11:15" x14ac:dyDescent="0.4">
      <c r="K145" s="156"/>
      <c r="L145" s="156"/>
      <c r="M145" s="156"/>
      <c r="N145" s="156"/>
      <c r="O145" s="156"/>
    </row>
    <row r="146" spans="11:15" x14ac:dyDescent="0.4">
      <c r="K146" s="156"/>
      <c r="L146" s="156"/>
      <c r="M146" s="156"/>
      <c r="N146" s="156"/>
      <c r="O146" s="156"/>
    </row>
    <row r="147" spans="11:15" x14ac:dyDescent="0.4">
      <c r="K147" s="156"/>
      <c r="L147" s="156"/>
      <c r="M147" s="156"/>
      <c r="N147" s="156"/>
      <c r="O147" s="156"/>
    </row>
    <row r="148" spans="11:15" x14ac:dyDescent="0.4">
      <c r="K148" s="156"/>
      <c r="L148" s="156"/>
      <c r="M148" s="156"/>
      <c r="N148" s="156"/>
      <c r="O148" s="156"/>
    </row>
    <row r="149" spans="11:15" x14ac:dyDescent="0.4">
      <c r="K149" s="156"/>
      <c r="L149" s="156"/>
      <c r="M149" s="156"/>
      <c r="N149" s="156"/>
      <c r="O149" s="156"/>
    </row>
    <row r="150" spans="11:15" x14ac:dyDescent="0.4">
      <c r="K150" s="156"/>
      <c r="L150" s="156"/>
      <c r="M150" s="156"/>
      <c r="N150" s="156"/>
      <c r="O150" s="156"/>
    </row>
    <row r="151" spans="11:15" x14ac:dyDescent="0.4">
      <c r="K151" s="156"/>
      <c r="L151" s="156"/>
      <c r="M151" s="156"/>
      <c r="N151" s="156"/>
      <c r="O151" s="156"/>
    </row>
    <row r="152" spans="11:15" x14ac:dyDescent="0.4">
      <c r="K152" s="156"/>
      <c r="L152" s="156"/>
      <c r="M152" s="156"/>
      <c r="N152" s="156"/>
      <c r="O152" s="156"/>
    </row>
    <row r="153" spans="11:15" x14ac:dyDescent="0.4">
      <c r="K153" s="156"/>
      <c r="L153" s="156"/>
      <c r="M153" s="156"/>
      <c r="N153" s="156"/>
      <c r="O153" s="156"/>
    </row>
    <row r="154" spans="11:15" x14ac:dyDescent="0.4">
      <c r="K154" s="156"/>
      <c r="L154" s="156"/>
      <c r="M154" s="156"/>
      <c r="N154" s="156"/>
      <c r="O154" s="156"/>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933F-9D3D-413A-B8B6-D5BA347FC8E2}">
  <sheetPr codeName="Sheet68">
    <pageSetUpPr fitToPage="1"/>
  </sheetPr>
  <dimension ref="A1:HO15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18.5234375" style="17" customWidth="1"/>
    <col min="4" max="4" width="2.15625" style="17" customWidth="1"/>
    <col min="5" max="5" width="18.5234375" style="17" customWidth="1"/>
    <col min="6" max="6" width="2.15625" style="17" customWidth="1"/>
    <col min="7" max="7" width="17.5234375" style="17" customWidth="1"/>
    <col min="8" max="8" width="2.15625" style="17" customWidth="1"/>
    <col min="9" max="9" width="18.734375" style="17" customWidth="1"/>
    <col min="10" max="10" width="2" style="17" customWidth="1"/>
    <col min="11" max="11" width="18.734375" style="17" customWidth="1"/>
    <col min="12" max="12" width="2" style="17" customWidth="1"/>
    <col min="13" max="13" width="18.734375" style="17" customWidth="1"/>
    <col min="14" max="16" width="1.5234375" style="17" customWidth="1"/>
    <col min="17" max="17" width="53.15625" style="17" bestFit="1" customWidth="1"/>
    <col min="18" max="18" width="2.5234375" style="17" customWidth="1"/>
    <col min="19" max="19" width="13.7890625" style="17" customWidth="1"/>
    <col min="20" max="20" width="2.5234375" style="17" customWidth="1"/>
    <col min="21" max="21" width="13.7890625" style="17" customWidth="1"/>
    <col min="22" max="22" width="2.5234375" style="17" customWidth="1"/>
    <col min="23" max="23" width="13.7890625" style="17" customWidth="1"/>
    <col min="24" max="24" width="2.5234375" style="17" customWidth="1"/>
    <col min="25" max="25" width="10.734375" style="17" bestFit="1" customWidth="1"/>
    <col min="26" max="26" width="2.734375" style="17" bestFit="1" customWidth="1"/>
    <col min="27" max="27" width="10.734375" style="17" bestFit="1" customWidth="1"/>
    <col min="28" max="28" width="2.734375" style="17" customWidth="1"/>
    <col min="29" max="29" width="10.5234375" style="17" customWidth="1"/>
    <col min="30" max="30" width="2.734375" style="17" customWidth="1"/>
    <col min="31" max="31" width="9.15625" style="17"/>
    <col min="32" max="32" width="4.47265625" style="17" customWidth="1"/>
    <col min="33" max="33" width="3.734375" style="17" customWidth="1"/>
    <col min="34" max="34" width="22.15625" style="17" customWidth="1"/>
    <col min="35" max="16384" width="9.15625" style="17"/>
  </cols>
  <sheetData>
    <row r="1" spans="1:29" ht="16.5" customHeight="1" x14ac:dyDescent="0.4">
      <c r="A1" s="33"/>
    </row>
    <row r="2" spans="1:29" ht="16.5" customHeight="1" x14ac:dyDescent="0.4">
      <c r="A2" s="33"/>
    </row>
    <row r="3" spans="1:29" ht="16.5" customHeight="1" x14ac:dyDescent="0.55000000000000004">
      <c r="A3" s="33"/>
      <c r="G3"/>
    </row>
    <row r="4" spans="1:29" ht="16.5" customHeight="1" thickBot="1" x14ac:dyDescent="0.6">
      <c r="A4" s="33"/>
      <c r="G4"/>
    </row>
    <row r="5" spans="1:29" ht="15" x14ac:dyDescent="0.85">
      <c r="A5" s="151" t="s">
        <v>1287</v>
      </c>
    </row>
    <row r="6" spans="1:29" ht="12.6" thickBot="1" x14ac:dyDescent="0.45">
      <c r="A6" s="152" t="s">
        <v>3809</v>
      </c>
      <c r="G6" s="1483" t="s">
        <v>3870</v>
      </c>
      <c r="H6" s="1483"/>
      <c r="I6" s="1483"/>
      <c r="J6" s="1483"/>
      <c r="K6" s="1483"/>
      <c r="L6" s="1483"/>
      <c r="M6" s="1483"/>
      <c r="N6" s="1483"/>
      <c r="O6" s="1483"/>
      <c r="Q6" s="43" t="str">
        <f>G6</f>
        <v xml:space="preserve">Southwest Gas       </v>
      </c>
      <c r="R6" s="34"/>
      <c r="S6" s="43"/>
      <c r="T6" s="34"/>
      <c r="U6" s="43"/>
      <c r="V6" s="34"/>
      <c r="W6" s="43"/>
      <c r="X6" s="34"/>
      <c r="Y6" s="34"/>
      <c r="Z6" s="44"/>
      <c r="AA6" s="34"/>
      <c r="AB6" s="34"/>
      <c r="AC6" s="34"/>
    </row>
    <row r="7" spans="1:29" x14ac:dyDescent="0.4">
      <c r="G7" s="1483" t="s">
        <v>1282</v>
      </c>
      <c r="H7" s="1483"/>
      <c r="I7" s="1483"/>
      <c r="J7" s="1483"/>
      <c r="K7" s="1483"/>
      <c r="L7" s="1483"/>
      <c r="M7" s="1483"/>
      <c r="N7" s="1483"/>
      <c r="O7" s="1483"/>
      <c r="Q7" s="34" t="str">
        <f>G7</f>
        <v>CAPITALIZATION AND FINANCIAL STATISTICS  (1)</v>
      </c>
      <c r="R7" s="34"/>
      <c r="S7" s="34"/>
      <c r="T7" s="34"/>
      <c r="U7" s="34"/>
      <c r="V7" s="34"/>
      <c r="W7" s="34"/>
      <c r="X7" s="34"/>
      <c r="Y7" s="34"/>
      <c r="Z7" s="34"/>
      <c r="AA7" s="34"/>
      <c r="AB7" s="34"/>
      <c r="AC7" s="34"/>
    </row>
    <row r="8" spans="1:29" x14ac:dyDescent="0.4">
      <c r="G8" s="1483" t="s">
        <v>3871</v>
      </c>
      <c r="H8" s="1483"/>
      <c r="I8" s="1483"/>
      <c r="J8" s="1483"/>
      <c r="K8" s="1483"/>
      <c r="L8" s="1483"/>
      <c r="M8" s="1483"/>
      <c r="N8" s="1483"/>
      <c r="O8" s="1483"/>
      <c r="Q8" s="44" t="str">
        <f>G8</f>
        <v>2018 - 2022, Inclusive</v>
      </c>
      <c r="R8" s="34"/>
      <c r="S8" s="44"/>
      <c r="T8" s="34"/>
      <c r="U8" s="44"/>
      <c r="V8" s="34"/>
      <c r="W8" s="44"/>
      <c r="X8" s="34"/>
      <c r="Y8" s="34"/>
      <c r="Z8" s="44"/>
      <c r="AA8" s="34"/>
      <c r="AB8" s="34"/>
      <c r="AC8" s="34"/>
    </row>
    <row r="9" spans="1:29" x14ac:dyDescent="0.4">
      <c r="K9" s="46"/>
      <c r="Q9" s="34"/>
      <c r="R9" s="34"/>
      <c r="S9" s="34"/>
      <c r="T9" s="34"/>
      <c r="U9" s="34"/>
      <c r="V9" s="34"/>
      <c r="W9" s="34"/>
      <c r="X9" s="34"/>
      <c r="Y9" s="44"/>
      <c r="Z9" s="44"/>
      <c r="AA9" s="34"/>
      <c r="AB9" s="34"/>
      <c r="AC9" s="34"/>
    </row>
    <row r="10" spans="1:29" x14ac:dyDescent="0.4">
      <c r="B10" s="17" t="s">
        <v>1349</v>
      </c>
      <c r="C10" s="40">
        <v>2023</v>
      </c>
      <c r="E10" s="40">
        <v>2022</v>
      </c>
      <c r="G10" s="40">
        <v>2021</v>
      </c>
      <c r="I10" s="40">
        <v>2020</v>
      </c>
      <c r="K10" s="40">
        <v>2019</v>
      </c>
      <c r="M10" s="40">
        <v>2018</v>
      </c>
      <c r="O10" s="40"/>
      <c r="Y10" s="44"/>
      <c r="Z10" s="44"/>
      <c r="AA10" s="34"/>
      <c r="AB10" s="34"/>
    </row>
    <row r="11" spans="1:29" x14ac:dyDescent="0.4">
      <c r="A11" s="17" t="s">
        <v>1288</v>
      </c>
    </row>
    <row r="12" spans="1:29" x14ac:dyDescent="0.4">
      <c r="A12" s="17" t="s">
        <v>1289</v>
      </c>
      <c r="B12" s="17" t="s">
        <v>1290</v>
      </c>
      <c r="C12" s="77">
        <f>4609838000 + 42552000</f>
        <v>4652390000</v>
      </c>
      <c r="E12" s="77">
        <f>4403299000+44557000</f>
        <v>4447856000</v>
      </c>
      <c r="G12" s="77">
        <f>4115684000+297324000</f>
        <v>4413008000</v>
      </c>
      <c r="I12" s="77">
        <f>2732200000+40433000</f>
        <v>2772633000</v>
      </c>
      <c r="K12" s="46">
        <f>2300482000+163512000</f>
        <v>2463994000</v>
      </c>
      <c r="M12" s="46">
        <f>2107258000+33060000</f>
        <v>2140318000</v>
      </c>
      <c r="O12" s="46"/>
      <c r="S12" s="40">
        <f>C10</f>
        <v>2023</v>
      </c>
      <c r="U12" s="40">
        <f>E10</f>
        <v>2022</v>
      </c>
      <c r="W12" s="40">
        <f>G10</f>
        <v>2021</v>
      </c>
      <c r="Y12" s="40">
        <f>I10</f>
        <v>2020</v>
      </c>
      <c r="Z12" s="40"/>
      <c r="AA12" s="40">
        <f>K10</f>
        <v>2019</v>
      </c>
      <c r="AB12" s="40"/>
    </row>
    <row r="13" spans="1:29" x14ac:dyDescent="0.4">
      <c r="A13" s="17" t="s">
        <v>1291</v>
      </c>
      <c r="B13" s="17" t="s">
        <v>1292</v>
      </c>
      <c r="C13" s="46">
        <v>0</v>
      </c>
      <c r="E13" s="46">
        <v>0</v>
      </c>
      <c r="G13" s="46">
        <v>0</v>
      </c>
      <c r="I13" s="46">
        <v>0</v>
      </c>
      <c r="K13" s="46">
        <v>0</v>
      </c>
      <c r="M13" s="46">
        <v>0</v>
      </c>
      <c r="O13" s="46"/>
      <c r="Y13" s="34" t="s">
        <v>1247</v>
      </c>
      <c r="Z13" s="34"/>
      <c r="AA13" s="34"/>
      <c r="AB13" s="34"/>
      <c r="AC13" s="34" t="s">
        <v>1091</v>
      </c>
    </row>
    <row r="14" spans="1:29" x14ac:dyDescent="0.4">
      <c r="C14" s="77"/>
      <c r="E14" s="77"/>
      <c r="G14" s="46"/>
      <c r="I14" s="46"/>
      <c r="K14" s="46"/>
      <c r="M14" s="46"/>
      <c r="Q14" s="47" t="s">
        <v>1248</v>
      </c>
      <c r="R14" s="47"/>
      <c r="S14" s="47"/>
      <c r="T14" s="47"/>
      <c r="U14" s="47"/>
      <c r="V14" s="47"/>
      <c r="W14" s="47"/>
      <c r="X14" s="47"/>
    </row>
    <row r="15" spans="1:29" x14ac:dyDescent="0.4">
      <c r="A15" s="17" t="s">
        <v>1293</v>
      </c>
      <c r="B15" s="17" t="s">
        <v>1294</v>
      </c>
      <c r="C15" s="77">
        <v>71563750</v>
      </c>
      <c r="E15" s="77">
        <v>67119143</v>
      </c>
      <c r="G15" s="77">
        <v>60422081</v>
      </c>
      <c r="I15" s="77">
        <v>57192925</v>
      </c>
      <c r="K15" s="46">
        <v>55007433</v>
      </c>
      <c r="M15" s="46">
        <v>53026848</v>
      </c>
      <c r="O15" s="46"/>
    </row>
    <row r="16" spans="1:29" x14ac:dyDescent="0.4">
      <c r="A16" s="17" t="s">
        <v>1239</v>
      </c>
      <c r="B16" s="17" t="s">
        <v>1295</v>
      </c>
      <c r="C16" s="77">
        <v>3310036000</v>
      </c>
      <c r="E16" s="77">
        <v>3058759000</v>
      </c>
      <c r="G16" s="77">
        <v>2953820000</v>
      </c>
      <c r="I16" s="77">
        <v>2674953000</v>
      </c>
      <c r="K16" s="46">
        <v>2505914000</v>
      </c>
      <c r="M16" s="46">
        <v>2251590000</v>
      </c>
      <c r="O16" s="46"/>
      <c r="Q16" s="47" t="s">
        <v>1249</v>
      </c>
      <c r="R16" s="47"/>
      <c r="S16" s="47"/>
      <c r="T16" s="47"/>
      <c r="U16" s="47"/>
      <c r="V16" s="47"/>
      <c r="W16" s="47"/>
      <c r="X16" s="47"/>
    </row>
    <row r="17" spans="1:30" x14ac:dyDescent="0.4">
      <c r="A17" s="17" t="s">
        <v>1296</v>
      </c>
      <c r="B17" s="17" t="s">
        <v>1294</v>
      </c>
      <c r="C17" s="46">
        <v>0</v>
      </c>
      <c r="E17" s="46">
        <v>0</v>
      </c>
      <c r="G17" s="46">
        <v>0</v>
      </c>
      <c r="I17" s="46">
        <v>0</v>
      </c>
      <c r="K17" s="46">
        <v>0</v>
      </c>
      <c r="M17" s="46">
        <v>0</v>
      </c>
      <c r="O17" s="46"/>
      <c r="Q17" s="17" t="s">
        <v>1297</v>
      </c>
      <c r="R17" s="35"/>
      <c r="S17" s="35">
        <f>C50/1000000</f>
        <v>7962.4260000000004</v>
      </c>
      <c r="T17" s="35"/>
      <c r="U17" s="35">
        <f>E50/1000000</f>
        <v>7506.6149999999998</v>
      </c>
      <c r="V17" s="35"/>
      <c r="W17" s="35">
        <f>G50/1000000</f>
        <v>7366.8280000000004</v>
      </c>
      <c r="X17" s="35"/>
      <c r="Y17" s="35">
        <f>I50/1000000</f>
        <v>5447.5860000000002</v>
      </c>
      <c r="Z17" s="35"/>
      <c r="AA17" s="35">
        <f>K50/1000000</f>
        <v>4969.9080000000004</v>
      </c>
      <c r="AB17" s="35"/>
    </row>
    <row r="18" spans="1:30" x14ac:dyDescent="0.4">
      <c r="C18" s="77"/>
      <c r="E18" s="77"/>
      <c r="G18" s="46"/>
      <c r="I18" s="46"/>
      <c r="K18" s="46"/>
      <c r="M18" s="46"/>
      <c r="Q18" s="17" t="s">
        <v>1298</v>
      </c>
      <c r="R18" s="35"/>
      <c r="S18" s="36">
        <f>C19/1000000</f>
        <v>628.5</v>
      </c>
      <c r="T18" s="35"/>
      <c r="U18" s="36">
        <f>E19/1000000</f>
        <v>1542.806</v>
      </c>
      <c r="V18" s="35"/>
      <c r="W18" s="36">
        <f>G19/1000000</f>
        <v>1909</v>
      </c>
      <c r="X18" s="35"/>
      <c r="Y18" s="36">
        <f>I19/1000000</f>
        <v>107</v>
      </c>
      <c r="Z18" s="35"/>
      <c r="AA18" s="36">
        <f>K19/1000000</f>
        <v>211</v>
      </c>
      <c r="AB18" s="35"/>
    </row>
    <row r="19" spans="1:30" x14ac:dyDescent="0.4">
      <c r="A19" s="17" t="s">
        <v>1299</v>
      </c>
      <c r="B19" s="17" t="s">
        <v>1300</v>
      </c>
      <c r="C19" s="77">
        <v>628500000</v>
      </c>
      <c r="E19" s="77">
        <v>1542806000</v>
      </c>
      <c r="G19" s="77">
        <v>1909000000</v>
      </c>
      <c r="I19" s="77">
        <v>107000000</v>
      </c>
      <c r="K19" s="46">
        <v>211000000</v>
      </c>
      <c r="M19" s="46">
        <v>152000000</v>
      </c>
      <c r="O19" s="46"/>
      <c r="Q19" s="17" t="s">
        <v>1301</v>
      </c>
      <c r="R19" s="35"/>
      <c r="S19" s="37">
        <f>SUM(S17:S18)</f>
        <v>8590.9259999999995</v>
      </c>
      <c r="T19" s="35"/>
      <c r="U19" s="37">
        <f>SUM(U17:U18)</f>
        <v>9049.4210000000003</v>
      </c>
      <c r="V19" s="35"/>
      <c r="W19" s="37">
        <f>SUM(W17:W18)</f>
        <v>9275.8280000000013</v>
      </c>
      <c r="X19" s="35"/>
      <c r="Y19" s="37">
        <f>SUM(Y17:Y18)</f>
        <v>5554.5860000000002</v>
      </c>
      <c r="Z19" s="35"/>
      <c r="AA19" s="37">
        <f>SUM(AA17:AA18)</f>
        <v>5180.9080000000004</v>
      </c>
      <c r="AB19" s="35"/>
    </row>
    <row r="20" spans="1:30" x14ac:dyDescent="0.4">
      <c r="G20" s="46"/>
      <c r="I20" s="46"/>
      <c r="K20" s="46"/>
      <c r="M20" s="46"/>
      <c r="O20" s="45"/>
    </row>
    <row r="21" spans="1:30" x14ac:dyDescent="0.4">
      <c r="A21" s="17" t="s">
        <v>1302</v>
      </c>
      <c r="B21" s="17" t="s">
        <v>1303</v>
      </c>
      <c r="C21" s="45">
        <v>2.13</v>
      </c>
      <c r="E21" s="45">
        <v>-3.1</v>
      </c>
      <c r="G21" s="46">
        <v>3.39</v>
      </c>
      <c r="I21" s="46">
        <v>4.1399999999999997</v>
      </c>
      <c r="K21" s="46">
        <v>3.94</v>
      </c>
      <c r="M21" s="46">
        <v>3.68</v>
      </c>
      <c r="O21" s="46"/>
      <c r="Q21" s="47" t="s">
        <v>1304</v>
      </c>
    </row>
    <row r="22" spans="1:30" x14ac:dyDescent="0.4">
      <c r="A22" s="17" t="s">
        <v>1305</v>
      </c>
      <c r="B22" s="17" t="s">
        <v>79</v>
      </c>
      <c r="C22" s="38">
        <v>67.459999999999994</v>
      </c>
      <c r="E22" s="38">
        <v>94.14</v>
      </c>
      <c r="G22" s="17">
        <v>72.959999999999994</v>
      </c>
      <c r="I22" s="77">
        <v>79.95</v>
      </c>
      <c r="J22" s="77"/>
      <c r="K22" s="77">
        <v>92.14</v>
      </c>
      <c r="L22" s="77"/>
      <c r="M22" s="77">
        <v>84.77</v>
      </c>
      <c r="O22" s="46"/>
      <c r="Q22" s="17" t="s">
        <v>1306</v>
      </c>
      <c r="R22" s="39"/>
      <c r="S22" s="38">
        <f>(ROUND((C30/(AVERAGE(C54,E54))*100),2))</f>
        <v>5.19</v>
      </c>
      <c r="T22" s="39" t="s">
        <v>1090</v>
      </c>
      <c r="U22" s="38">
        <f>(ROUND((E30/(AVERAGE(E54,G54))*100),2))</f>
        <v>3.94</v>
      </c>
      <c r="V22" s="39" t="s">
        <v>1090</v>
      </c>
      <c r="W22" s="38">
        <f>(ROUND((G30/(AVERAGE(G54,I54))*100),2))</f>
        <v>2.59</v>
      </c>
      <c r="X22" s="39" t="s">
        <v>1090</v>
      </c>
      <c r="Y22" s="38">
        <f>(ROUND((I30/(AVERAGE(I54,K54))*100),2))</f>
        <v>4.01</v>
      </c>
      <c r="Z22" s="39" t="s">
        <v>1090</v>
      </c>
      <c r="AA22" s="38">
        <f>(ROUND((K30/(AVERAGE(K54,M54))*100),2))</f>
        <v>4.4000000000000004</v>
      </c>
      <c r="AB22" s="39" t="s">
        <v>1090</v>
      </c>
      <c r="AC22" s="18"/>
    </row>
    <row r="23" spans="1:30" x14ac:dyDescent="0.4">
      <c r="A23" s="17" t="s">
        <v>1307</v>
      </c>
      <c r="B23" s="17" t="s">
        <v>79</v>
      </c>
      <c r="C23" s="38">
        <v>54.02</v>
      </c>
      <c r="E23" s="38">
        <v>61.62</v>
      </c>
      <c r="G23" s="17">
        <v>57.55</v>
      </c>
      <c r="I23" s="77">
        <v>52.27</v>
      </c>
      <c r="J23" s="77"/>
      <c r="K23" s="77">
        <v>73.92</v>
      </c>
      <c r="L23" s="77"/>
      <c r="M23" s="77">
        <v>64.14</v>
      </c>
      <c r="O23" s="46"/>
      <c r="Q23" s="17" t="s">
        <v>1308</v>
      </c>
      <c r="R23" s="39"/>
      <c r="S23" s="38"/>
      <c r="T23" s="39"/>
      <c r="U23" s="38"/>
      <c r="V23" s="39"/>
      <c r="W23" s="38"/>
      <c r="X23" s="39"/>
      <c r="Y23" s="38"/>
      <c r="Z23" s="39"/>
      <c r="AA23" s="38"/>
      <c r="AB23" s="39"/>
    </row>
    <row r="24" spans="1:30" x14ac:dyDescent="0.4">
      <c r="G24" s="46"/>
      <c r="I24" s="46"/>
      <c r="K24" s="46"/>
      <c r="M24" s="46"/>
      <c r="AC24" s="1485" t="s">
        <v>1285</v>
      </c>
      <c r="AD24" s="1485"/>
    </row>
    <row r="25" spans="1:30" x14ac:dyDescent="0.4">
      <c r="G25" s="46"/>
      <c r="I25" s="46"/>
      <c r="K25" s="46"/>
      <c r="M25" s="46"/>
      <c r="O25" s="45"/>
      <c r="Q25" s="47" t="s">
        <v>1251</v>
      </c>
      <c r="AC25" s="1485" t="s">
        <v>1286</v>
      </c>
      <c r="AD25" s="1485"/>
    </row>
    <row r="26" spans="1:30" x14ac:dyDescent="0.4">
      <c r="A26" s="17" t="s">
        <v>1309</v>
      </c>
      <c r="B26" s="17" t="s">
        <v>79</v>
      </c>
      <c r="C26" s="46">
        <v>2.48</v>
      </c>
      <c r="E26" s="46">
        <v>2.48</v>
      </c>
      <c r="G26" s="46">
        <v>2.38</v>
      </c>
      <c r="I26" s="46">
        <v>2.2799999999999998</v>
      </c>
      <c r="K26" s="46">
        <v>2.1800000000000002</v>
      </c>
      <c r="M26" s="46">
        <v>2.08</v>
      </c>
      <c r="O26" s="46"/>
      <c r="Q26" s="17" t="s">
        <v>1310</v>
      </c>
    </row>
    <row r="27" spans="1:30" x14ac:dyDescent="0.4">
      <c r="G27" s="46"/>
      <c r="I27" s="46"/>
      <c r="K27" s="46"/>
      <c r="M27" s="46"/>
      <c r="O27" s="45"/>
      <c r="Q27" s="17" t="s">
        <v>1311</v>
      </c>
      <c r="R27" s="39"/>
      <c r="S27" s="38">
        <f>ROUND(((C12/C50)*100),2)</f>
        <v>58.43</v>
      </c>
      <c r="T27" s="39" t="s">
        <v>1090</v>
      </c>
      <c r="U27" s="38">
        <f>ROUND(((E12/E50)*100),2)</f>
        <v>59.25</v>
      </c>
      <c r="V27" s="39" t="s">
        <v>1090</v>
      </c>
      <c r="W27" s="38">
        <f>ROUND(((G12/G50)*100),2)</f>
        <v>59.9</v>
      </c>
      <c r="X27" s="39" t="s">
        <v>1090</v>
      </c>
      <c r="Y27" s="38">
        <f>ROUND(((I12/I50)*100),2)</f>
        <v>50.9</v>
      </c>
      <c r="Z27" s="39" t="s">
        <v>1090</v>
      </c>
      <c r="AA27" s="38">
        <f>ROUND(((K12/K50)*100),2)</f>
        <v>49.58</v>
      </c>
      <c r="AB27" s="39" t="s">
        <v>1090</v>
      </c>
      <c r="AC27" s="38">
        <f>ROUND(AVERAGE(U27:AB27),2)</f>
        <v>54.91</v>
      </c>
      <c r="AD27" s="39" t="s">
        <v>1090</v>
      </c>
    </row>
    <row r="28" spans="1:30" x14ac:dyDescent="0.4">
      <c r="A28" s="17" t="s">
        <v>1252</v>
      </c>
      <c r="B28" s="17" t="s">
        <v>1252</v>
      </c>
      <c r="C28" s="77">
        <v>6851000</v>
      </c>
      <c r="E28" s="77">
        <v>3535000</v>
      </c>
      <c r="G28" s="77">
        <v>1046000</v>
      </c>
      <c r="I28" s="46">
        <v>7926000</v>
      </c>
      <c r="K28" s="46">
        <v>8719000</v>
      </c>
      <c r="M28" s="46">
        <v>6891000</v>
      </c>
      <c r="O28" s="46"/>
      <c r="Q28" s="17" t="s">
        <v>1312</v>
      </c>
      <c r="R28" s="39"/>
      <c r="S28" s="38">
        <f>ROUND(((SUM(C13,C17)/C50)*100),2)</f>
        <v>0</v>
      </c>
      <c r="T28" s="39"/>
      <c r="U28" s="38">
        <f>ROUND(((SUM(E13,E17)/E50)*100),2)</f>
        <v>0</v>
      </c>
      <c r="V28" s="39"/>
      <c r="W28" s="38">
        <f>ROUND(((SUM(G13,G17)/G50)*100),2)</f>
        <v>0</v>
      </c>
      <c r="X28" s="39"/>
      <c r="Y28" s="38">
        <f>ROUND(((SUM(I13,I17)/I50)*100),2)</f>
        <v>0</v>
      </c>
      <c r="Z28" s="39"/>
      <c r="AA28" s="38">
        <f>ROUND(((SUM(K13,K17)/K50)*100),2)</f>
        <v>0</v>
      </c>
      <c r="AB28" s="39"/>
      <c r="AC28" s="38">
        <f>ROUND(AVERAGE(U28:AB28),2)</f>
        <v>0</v>
      </c>
      <c r="AD28" s="39"/>
    </row>
    <row r="29" spans="1:30" x14ac:dyDescent="0.4">
      <c r="C29" s="77"/>
      <c r="E29" s="77"/>
      <c r="G29" s="77"/>
      <c r="I29" s="46"/>
      <c r="K29" s="46"/>
      <c r="M29" s="46"/>
      <c r="O29" s="45"/>
      <c r="Q29" s="17" t="s">
        <v>1313</v>
      </c>
      <c r="R29" s="39"/>
      <c r="S29" s="41">
        <f>ROUND(((C16/C50)*100),2)</f>
        <v>41.57</v>
      </c>
      <c r="T29" s="39"/>
      <c r="U29" s="41">
        <f>ROUND(((E16/E50)*100),2)</f>
        <v>40.75</v>
      </c>
      <c r="V29" s="39"/>
      <c r="W29" s="41">
        <f>ROUND(((G16/G50)*100),2)</f>
        <v>40.1</v>
      </c>
      <c r="X29" s="39"/>
      <c r="Y29" s="41">
        <f>ROUND(((I16/I50)*100),2)</f>
        <v>49.1</v>
      </c>
      <c r="Z29" s="39"/>
      <c r="AA29" s="41">
        <f>ROUND(((K16/K50)*100),2)</f>
        <v>50.42</v>
      </c>
      <c r="AB29" s="39"/>
      <c r="AC29" s="38">
        <f>ROUND(AVERAGE(U29:AB29),2)</f>
        <v>45.09</v>
      </c>
      <c r="AD29" s="39"/>
    </row>
    <row r="30" spans="1:30" x14ac:dyDescent="0.4">
      <c r="A30" s="17" t="s">
        <v>1314</v>
      </c>
      <c r="B30" s="17" t="s">
        <v>1315</v>
      </c>
      <c r="C30" s="77">
        <v>292286000</v>
      </c>
      <c r="E30" s="77">
        <v>242750000</v>
      </c>
      <c r="G30" s="77">
        <v>119198000</v>
      </c>
      <c r="I30" s="46">
        <v>111477000</v>
      </c>
      <c r="K30" s="46">
        <v>109226000</v>
      </c>
      <c r="M30" s="46">
        <v>96671000</v>
      </c>
      <c r="O30" s="46"/>
      <c r="Q30" s="17" t="s">
        <v>1316</v>
      </c>
      <c r="R30" s="39"/>
      <c r="S30" s="42">
        <f>SUM(S27:S29)</f>
        <v>100</v>
      </c>
      <c r="T30" s="39" t="s">
        <v>1090</v>
      </c>
      <c r="U30" s="42">
        <f>SUM(U27:U29)</f>
        <v>100</v>
      </c>
      <c r="V30" s="39" t="s">
        <v>1090</v>
      </c>
      <c r="W30" s="42">
        <f>SUM(W27:W29)</f>
        <v>100</v>
      </c>
      <c r="X30" s="39" t="s">
        <v>1090</v>
      </c>
      <c r="Y30" s="42">
        <f>SUM(Y27:Y29)</f>
        <v>100</v>
      </c>
      <c r="Z30" s="39" t="s">
        <v>1090</v>
      </c>
      <c r="AA30" s="42">
        <f>SUM(AA27:AA29)</f>
        <v>100</v>
      </c>
      <c r="AB30" s="39" t="s">
        <v>1090</v>
      </c>
      <c r="AC30" s="42">
        <f>SUM(AC27:AC29)</f>
        <v>100</v>
      </c>
      <c r="AD30" s="39" t="s">
        <v>1090</v>
      </c>
    </row>
    <row r="31" spans="1:30" x14ac:dyDescent="0.4">
      <c r="C31" s="77"/>
      <c r="E31" s="77"/>
      <c r="G31" s="77"/>
      <c r="I31" s="46"/>
      <c r="K31" s="46"/>
      <c r="M31" s="46"/>
      <c r="O31" s="45"/>
    </row>
    <row r="32" spans="1:30" x14ac:dyDescent="0.4">
      <c r="A32" s="17" t="s">
        <v>1317</v>
      </c>
      <c r="B32" s="17" t="s">
        <v>1318</v>
      </c>
      <c r="C32" s="77">
        <v>155517000</v>
      </c>
      <c r="E32" s="77">
        <v>-197684000</v>
      </c>
      <c r="G32" s="77">
        <v>207202000</v>
      </c>
      <c r="I32" s="46">
        <v>238985000</v>
      </c>
      <c r="K32" s="46">
        <v>216647000</v>
      </c>
      <c r="M32" s="46">
        <v>181652000</v>
      </c>
      <c r="O32" s="46"/>
      <c r="Q32" s="17" t="s">
        <v>1319</v>
      </c>
    </row>
    <row r="33" spans="1:30" x14ac:dyDescent="0.4">
      <c r="A33" s="48"/>
      <c r="B33" s="48"/>
      <c r="C33" s="77"/>
      <c r="D33" s="48"/>
      <c r="E33" s="77"/>
      <c r="F33" s="48"/>
      <c r="G33" s="49"/>
      <c r="H33" s="48"/>
      <c r="I33" s="49"/>
      <c r="J33" s="48"/>
      <c r="K33" s="49"/>
      <c r="L33" s="48"/>
      <c r="M33" s="49"/>
      <c r="N33" s="48"/>
      <c r="O33" s="282"/>
      <c r="Q33" s="17" t="s">
        <v>1320</v>
      </c>
      <c r="R33" s="39"/>
      <c r="S33" s="38">
        <f>ROUND((((C12+C19)/C56)*100),2)</f>
        <v>61.47</v>
      </c>
      <c r="T33" s="39" t="s">
        <v>1090</v>
      </c>
      <c r="U33" s="38">
        <f>ROUND((((E12+E19)/E56)*100),2)</f>
        <v>66.2</v>
      </c>
      <c r="V33" s="39" t="s">
        <v>1090</v>
      </c>
      <c r="W33" s="38">
        <f>ROUND((((G12+G19)/G56)*100),2)</f>
        <v>68.16</v>
      </c>
      <c r="X33" s="39" t="s">
        <v>1090</v>
      </c>
      <c r="Y33" s="38">
        <f>ROUND((((I12+I19)/I56)*100),2)</f>
        <v>51.84</v>
      </c>
      <c r="Z33" s="39" t="s">
        <v>1090</v>
      </c>
      <c r="AA33" s="38">
        <f>ROUND((((K12+K19)/K56)*100),2)</f>
        <v>51.63</v>
      </c>
      <c r="AB33" s="39" t="s">
        <v>1090</v>
      </c>
      <c r="AC33" s="38">
        <f>ROUND(AVERAGE(U33:AB33),2)</f>
        <v>59.46</v>
      </c>
      <c r="AD33" s="39" t="s">
        <v>1090</v>
      </c>
    </row>
    <row r="34" spans="1:30" x14ac:dyDescent="0.4">
      <c r="A34" s="17" t="s">
        <v>1321</v>
      </c>
      <c r="B34" s="17" t="s">
        <v>1322</v>
      </c>
      <c r="C34" s="77">
        <f>C32</f>
        <v>155517000</v>
      </c>
      <c r="E34" s="77">
        <f>E32</f>
        <v>-197684000</v>
      </c>
      <c r="F34" s="77"/>
      <c r="G34" s="77">
        <f>G32</f>
        <v>207202000</v>
      </c>
      <c r="I34" s="46">
        <f>I32</f>
        <v>238985000</v>
      </c>
      <c r="K34" s="46">
        <v>216647000</v>
      </c>
      <c r="M34" s="46">
        <v>182277000</v>
      </c>
      <c r="O34" s="46"/>
      <c r="Q34" s="17" t="s">
        <v>1312</v>
      </c>
      <c r="R34" s="39"/>
      <c r="S34" s="38">
        <f>ROUND((((SUM(C13,C17))/C56)*100),2)</f>
        <v>0</v>
      </c>
      <c r="T34" s="39"/>
      <c r="U34" s="38">
        <f>ROUND((((SUM(E13,E17))/E56)*100),2)</f>
        <v>0</v>
      </c>
      <c r="V34" s="39"/>
      <c r="W34" s="38">
        <f>ROUND((((SUM(G13,G17))/G56)*100),2)</f>
        <v>0</v>
      </c>
      <c r="X34" s="39"/>
      <c r="Y34" s="38">
        <f>ROUND((((SUM(I13,I17))/I56)*100),2)</f>
        <v>0</v>
      </c>
      <c r="Z34" s="39"/>
      <c r="AA34" s="38">
        <f>ROUND((((SUM(K13,K17))/K56)*100),2)</f>
        <v>0</v>
      </c>
      <c r="AB34" s="39"/>
      <c r="AC34" s="38">
        <f>ROUND(AVERAGE(U34:AB34),2)</f>
        <v>0</v>
      </c>
      <c r="AD34" s="39"/>
    </row>
    <row r="35" spans="1:30" x14ac:dyDescent="0.4">
      <c r="C35" s="77"/>
      <c r="E35" s="77"/>
      <c r="G35" s="46"/>
      <c r="I35" s="46"/>
      <c r="K35" s="46"/>
      <c r="M35" s="46"/>
      <c r="Q35" s="17" t="s">
        <v>1313</v>
      </c>
      <c r="R35" s="39"/>
      <c r="S35" s="41">
        <f>ROUND((((C16)/C56)*100),2)</f>
        <v>38.53</v>
      </c>
      <c r="T35" s="39"/>
      <c r="U35" s="41">
        <f>ROUND((((E16)/E56)*100),2)</f>
        <v>33.799999999999997</v>
      </c>
      <c r="V35" s="39"/>
      <c r="W35" s="41">
        <f>ROUND((((G16)/G56)*100),2)</f>
        <v>31.84</v>
      </c>
      <c r="X35" s="39"/>
      <c r="Y35" s="41">
        <f>ROUND((((I16)/I56)*100),2)</f>
        <v>48.16</v>
      </c>
      <c r="Z35" s="39"/>
      <c r="AA35" s="41">
        <f>ROUND((((K16)/K56)*100),2)</f>
        <v>48.37</v>
      </c>
      <c r="AB35" s="39"/>
      <c r="AC35" s="38">
        <f>ROUND(AVERAGE(U35:AB35),2)</f>
        <v>40.54</v>
      </c>
      <c r="AD35" s="39"/>
    </row>
    <row r="36" spans="1:30" x14ac:dyDescent="0.4">
      <c r="A36" s="17" t="s">
        <v>1323</v>
      </c>
      <c r="B36" s="17" t="s">
        <v>1324</v>
      </c>
      <c r="C36" s="46">
        <v>0</v>
      </c>
      <c r="E36" s="46">
        <v>0</v>
      </c>
      <c r="G36" s="46">
        <v>0</v>
      </c>
      <c r="I36" s="46">
        <v>0</v>
      </c>
      <c r="K36" s="46">
        <v>0</v>
      </c>
      <c r="M36" s="46">
        <v>0</v>
      </c>
      <c r="O36" s="46"/>
      <c r="Q36" s="17" t="s">
        <v>1316</v>
      </c>
      <c r="R36" s="39"/>
      <c r="S36" s="42">
        <f>SUM(S33:S35)</f>
        <v>100</v>
      </c>
      <c r="T36" s="39" t="s">
        <v>1090</v>
      </c>
      <c r="U36" s="42">
        <f>SUM(U33:U35)</f>
        <v>100</v>
      </c>
      <c r="V36" s="39" t="s">
        <v>1090</v>
      </c>
      <c r="W36" s="42">
        <f>SUM(W33:W35)</f>
        <v>100</v>
      </c>
      <c r="X36" s="39" t="s">
        <v>1090</v>
      </c>
      <c r="Y36" s="42">
        <f>SUM(Y33:Y35)</f>
        <v>100</v>
      </c>
      <c r="Z36" s="39" t="s">
        <v>1090</v>
      </c>
      <c r="AA36" s="42">
        <f>SUM(AA33:AA35)</f>
        <v>100</v>
      </c>
      <c r="AB36" s="39" t="s">
        <v>1090</v>
      </c>
      <c r="AC36" s="42">
        <f>SUM(AC33:AC35)</f>
        <v>100</v>
      </c>
      <c r="AD36" s="39" t="s">
        <v>1090</v>
      </c>
    </row>
    <row r="37" spans="1:30" x14ac:dyDescent="0.4">
      <c r="C37" s="77"/>
      <c r="E37" s="77"/>
      <c r="G37" s="46"/>
      <c r="I37" s="46"/>
      <c r="K37" s="46"/>
      <c r="M37" s="46"/>
    </row>
    <row r="38" spans="1:30" x14ac:dyDescent="0.4">
      <c r="A38" s="17" t="s">
        <v>1325</v>
      </c>
      <c r="B38" s="17" t="s">
        <v>1326</v>
      </c>
      <c r="C38" s="77">
        <v>174574000</v>
      </c>
      <c r="E38" s="77">
        <v>160563000</v>
      </c>
      <c r="G38" s="77">
        <v>138222000</v>
      </c>
      <c r="I38" s="77">
        <v>125504000</v>
      </c>
      <c r="K38" s="46">
        <v>116127000</v>
      </c>
      <c r="M38" s="46">
        <v>100240000</v>
      </c>
      <c r="O38" s="46"/>
    </row>
    <row r="39" spans="1:30" x14ac:dyDescent="0.4">
      <c r="C39" s="77"/>
      <c r="E39" s="77"/>
      <c r="G39" s="46"/>
      <c r="I39" s="46"/>
      <c r="K39" s="46"/>
      <c r="M39" s="46"/>
      <c r="O39" s="45"/>
    </row>
    <row r="40" spans="1:30" x14ac:dyDescent="0.4">
      <c r="A40" s="17" t="s">
        <v>1327</v>
      </c>
      <c r="B40" s="17" t="s">
        <v>1328</v>
      </c>
      <c r="C40" s="46">
        <f>C32+455425</f>
        <v>155972425</v>
      </c>
      <c r="E40" s="46">
        <f>E32+455425000</f>
        <v>257741000</v>
      </c>
      <c r="G40" s="46">
        <f>G32</f>
        <v>207202000</v>
      </c>
      <c r="I40" s="46">
        <f>I32</f>
        <v>238985000</v>
      </c>
      <c r="K40" s="46">
        <v>216647000</v>
      </c>
      <c r="M40" s="46">
        <f>M34</f>
        <v>182277000</v>
      </c>
      <c r="O40" s="46"/>
      <c r="Q40" s="47" t="s">
        <v>1329</v>
      </c>
    </row>
    <row r="41" spans="1:30" x14ac:dyDescent="0.4">
      <c r="A41" s="17" t="s">
        <v>1330</v>
      </c>
      <c r="B41" s="17" t="s">
        <v>1331</v>
      </c>
      <c r="C41" s="77">
        <v>509211000</v>
      </c>
      <c r="E41" s="77">
        <v>407460000</v>
      </c>
      <c r="G41" s="46">
        <v>111383000</v>
      </c>
      <c r="I41" s="46">
        <v>626080000</v>
      </c>
      <c r="K41" s="46">
        <v>500372000</v>
      </c>
      <c r="M41" s="46">
        <v>528856000</v>
      </c>
      <c r="O41" s="46"/>
      <c r="Q41" s="47"/>
    </row>
    <row r="42" spans="1:30" x14ac:dyDescent="0.4">
      <c r="A42" s="17" t="s">
        <v>1332</v>
      </c>
      <c r="B42" s="17" t="s">
        <v>1333</v>
      </c>
      <c r="C42" s="46">
        <f>(-22583-4900-117770-286161-2302+304110)*1000</f>
        <v>-129606000</v>
      </c>
      <c r="E42" s="46">
        <f>(-193775-3200-147215+293909+17929-207853)*1000</f>
        <v>-240205000</v>
      </c>
      <c r="G42" s="46">
        <f>(-51554-2600-343728+50426-6725-89209)*1000</f>
        <v>-443390000</v>
      </c>
      <c r="I42" s="46">
        <f>(-48772-3300+36239-7694+15171+107427)*1000</f>
        <v>99071000</v>
      </c>
      <c r="K42" s="46">
        <f>(-54245-1900-58491-1865+5243+74137)*1000</f>
        <v>-37121000</v>
      </c>
      <c r="M42" s="46">
        <f>(-15862+1000+82574+11778-11955-54073)*1000</f>
        <v>13462000</v>
      </c>
      <c r="O42" s="46"/>
      <c r="Q42" s="47" t="s">
        <v>1334</v>
      </c>
    </row>
    <row r="43" spans="1:30" x14ac:dyDescent="0.4">
      <c r="A43" s="17" t="s">
        <v>1335</v>
      </c>
      <c r="B43" s="17" t="s">
        <v>1336</v>
      </c>
      <c r="C43" s="77">
        <v>440908000</v>
      </c>
      <c r="E43" s="77">
        <v>470455000</v>
      </c>
      <c r="G43" s="46">
        <v>371041000</v>
      </c>
      <c r="I43" s="46">
        <v>332027000</v>
      </c>
      <c r="K43" s="46">
        <v>303237000</v>
      </c>
      <c r="M43" s="46">
        <v>249212000</v>
      </c>
      <c r="O43" s="46"/>
      <c r="Q43" s="17" t="s">
        <v>1337</v>
      </c>
      <c r="R43" s="39"/>
      <c r="S43" s="38">
        <f>ROUND(C21/C52,4)*100</f>
        <v>3.51</v>
      </c>
      <c r="T43" s="39" t="s">
        <v>1090</v>
      </c>
      <c r="U43" s="38">
        <f>ROUND(E21/E52,4)*100</f>
        <v>-3.9800000000000004</v>
      </c>
      <c r="V43" s="39" t="s">
        <v>1090</v>
      </c>
      <c r="W43" s="38">
        <f>ROUND(G21/G52,4)*100</f>
        <v>5.2</v>
      </c>
      <c r="X43" s="39" t="s">
        <v>1090</v>
      </c>
      <c r="Y43" s="38">
        <f>ROUND(I21/I52,4)*100</f>
        <v>6.2600000000000007</v>
      </c>
      <c r="Z43" s="39" t="s">
        <v>1090</v>
      </c>
      <c r="AA43" s="38">
        <f>ROUND(K21/K52,4)*100</f>
        <v>4.75</v>
      </c>
      <c r="AB43" s="39" t="s">
        <v>1090</v>
      </c>
      <c r="AC43" s="38">
        <f>ROUND(AVERAGE(U43:AB43),2)</f>
        <v>3.06</v>
      </c>
      <c r="AD43" s="39" t="s">
        <v>1090</v>
      </c>
    </row>
    <row r="44" spans="1:30" x14ac:dyDescent="0.4">
      <c r="A44" s="17" t="s">
        <v>1338</v>
      </c>
      <c r="B44" s="17" t="s">
        <v>1339</v>
      </c>
      <c r="C44" s="77">
        <v>41832000</v>
      </c>
      <c r="E44" s="77">
        <v>-75653000</v>
      </c>
      <c r="G44" s="46">
        <v>39648000</v>
      </c>
      <c r="I44" s="46">
        <v>65753000</v>
      </c>
      <c r="K44" s="46">
        <v>56023000</v>
      </c>
      <c r="M44" s="46">
        <v>61684000</v>
      </c>
      <c r="O44" s="46"/>
      <c r="Q44" s="17" t="s">
        <v>1340</v>
      </c>
      <c r="S44" s="38">
        <f>(ROUND((C52/(AVERAGE(C48,E48))*100),2))</f>
        <v>132.30000000000001</v>
      </c>
      <c r="U44" s="38">
        <f>(ROUND((E52/(AVERAGE(E48,G48))*100),2))</f>
        <v>164.9</v>
      </c>
      <c r="W44" s="38">
        <f>(ROUND((G52/(AVERAGE(G48,I48))*100),2))</f>
        <v>136.44</v>
      </c>
      <c r="Y44" s="38">
        <f>(ROUND((I52/(AVERAGE(I48,K48))*100),2))</f>
        <v>143.21</v>
      </c>
      <c r="AA44" s="38">
        <f>(ROUND((K52/(AVERAGE(K48,M48))*100),2))</f>
        <v>188.67</v>
      </c>
      <c r="AC44" s="38">
        <f>ROUND(AVERAGE(U44:AB44),2)</f>
        <v>158.31</v>
      </c>
    </row>
    <row r="45" spans="1:30" x14ac:dyDescent="0.4">
      <c r="G45" s="46"/>
      <c r="I45" s="46"/>
      <c r="K45" s="46"/>
      <c r="M45" s="46"/>
      <c r="Q45" s="17" t="s">
        <v>1341</v>
      </c>
      <c r="S45" s="38">
        <f>ROUND(((+C26/C52)*100),2)</f>
        <v>4.08</v>
      </c>
      <c r="U45" s="38">
        <f>ROUND(((+E26/E52)*100),2)</f>
        <v>3.18</v>
      </c>
      <c r="W45" s="38">
        <f>ROUND(((+G26/G52)*100),2)</f>
        <v>3.65</v>
      </c>
      <c r="Y45" s="38">
        <f>ROUND(((+I26/I52)*100),2)</f>
        <v>3.45</v>
      </c>
      <c r="AA45" s="38">
        <f>ROUND(((+K26/K52)*100),2)</f>
        <v>2.63</v>
      </c>
      <c r="AC45" s="38">
        <f>ROUND(AVERAGE(U45:AB45),2)</f>
        <v>3.23</v>
      </c>
    </row>
    <row r="46" spans="1:30" x14ac:dyDescent="0.4">
      <c r="A46" s="17" t="s">
        <v>1342</v>
      </c>
      <c r="G46" s="46"/>
      <c r="I46" s="46"/>
      <c r="K46" s="46"/>
      <c r="M46" s="46"/>
      <c r="O46" s="45"/>
      <c r="Q46" s="17" t="s">
        <v>1343</v>
      </c>
      <c r="S46" s="38">
        <f>ROUND(((+C38/C34)*100),2)</f>
        <v>112.25</v>
      </c>
      <c r="U46" s="161" t="s">
        <v>2890</v>
      </c>
      <c r="W46" s="38">
        <f>ROUND(((+G38/G34)*100),2)</f>
        <v>66.709999999999994</v>
      </c>
      <c r="Y46" s="38">
        <f>ROUND(((+I38/I34)*100),2)</f>
        <v>52.52</v>
      </c>
      <c r="AA46" s="38">
        <f>ROUND(((+K38/K34)*100),2)</f>
        <v>53.6</v>
      </c>
      <c r="AC46" s="38">
        <f>ROUND(AVERAGE(U46:AB46),2)</f>
        <v>57.61</v>
      </c>
    </row>
    <row r="47" spans="1:30" x14ac:dyDescent="0.4">
      <c r="G47" s="46"/>
      <c r="I47" s="46"/>
      <c r="K47" s="46"/>
      <c r="M47" s="46"/>
      <c r="O47" s="45"/>
      <c r="S47" s="38"/>
      <c r="U47" s="38"/>
      <c r="W47" s="38"/>
      <c r="Y47" s="38"/>
      <c r="AA47" s="38"/>
      <c r="AC47" s="38"/>
    </row>
    <row r="48" spans="1:30" x14ac:dyDescent="0.4">
      <c r="A48" s="17" t="s">
        <v>1344</v>
      </c>
      <c r="B48" s="17" t="s">
        <v>1345</v>
      </c>
      <c r="C48" s="46">
        <f>C16/C15</f>
        <v>46.252970253794693</v>
      </c>
      <c r="E48" s="46">
        <f>E16/E15</f>
        <v>45.572080680469952</v>
      </c>
      <c r="G48" s="46">
        <f>G16/G15</f>
        <v>48.886432759573438</v>
      </c>
      <c r="I48" s="46">
        <f>I16/I15</f>
        <v>46.770697599397131</v>
      </c>
      <c r="K48" s="46">
        <f>K16/K15</f>
        <v>45.555916052290605</v>
      </c>
      <c r="M48" s="46">
        <f>M16/M15</f>
        <v>42.461320725682207</v>
      </c>
      <c r="O48" s="46"/>
      <c r="Q48" s="47" t="s">
        <v>1253</v>
      </c>
      <c r="S48" s="38">
        <f>ROUND(((C34/AVERAGE(C16,E16))*100),2)</f>
        <v>4.88</v>
      </c>
      <c r="T48" s="17" t="s">
        <v>1090</v>
      </c>
      <c r="U48" s="38">
        <f>ROUND(((E34/AVERAGE(E16,G16))*100),2)</f>
        <v>-6.58</v>
      </c>
      <c r="V48" s="17" t="s">
        <v>1090</v>
      </c>
      <c r="W48" s="38">
        <f>ROUND(((G34/AVERAGE(G16,I16))*100),2)</f>
        <v>7.36</v>
      </c>
      <c r="X48" s="17" t="s">
        <v>1090</v>
      </c>
      <c r="Y48" s="38">
        <f>ROUND(((I34/AVERAGE(I16,K16))*100),2)</f>
        <v>9.23</v>
      </c>
      <c r="Z48" s="17" t="s">
        <v>1090</v>
      </c>
      <c r="AA48" s="38">
        <f>ROUND(((K34/AVERAGE(K16,M16))*100),2)</f>
        <v>9.11</v>
      </c>
      <c r="AB48" s="17" t="s">
        <v>1090</v>
      </c>
      <c r="AC48" s="38">
        <f>ROUND(AVERAGE(U48:AB48),2)</f>
        <v>4.78</v>
      </c>
      <c r="AD48" s="17" t="s">
        <v>1090</v>
      </c>
    </row>
    <row r="49" spans="1:30" x14ac:dyDescent="0.4">
      <c r="C49" s="46"/>
      <c r="E49" s="46"/>
      <c r="G49" s="46"/>
      <c r="I49" s="46"/>
      <c r="K49" s="46"/>
      <c r="M49" s="46"/>
      <c r="O49" s="46"/>
      <c r="S49" s="38"/>
      <c r="U49" s="38"/>
      <c r="W49" s="38"/>
      <c r="Y49" s="38"/>
      <c r="AA49" s="38"/>
      <c r="AC49" s="39"/>
    </row>
    <row r="50" spans="1:30" x14ac:dyDescent="0.4">
      <c r="A50" s="17" t="s">
        <v>1283</v>
      </c>
      <c r="B50" s="17" t="s">
        <v>1345</v>
      </c>
      <c r="C50" s="46">
        <f>SUM(C12:C13,C16:C17)</f>
        <v>7962426000</v>
      </c>
      <c r="E50" s="46">
        <f>SUM(E12:E13,E16:E17)</f>
        <v>7506615000</v>
      </c>
      <c r="G50" s="46">
        <f>SUM(G12:G13,G16:G17)</f>
        <v>7366828000</v>
      </c>
      <c r="I50" s="46">
        <f>SUM(I12:I13,I16:I17)</f>
        <v>5447586000</v>
      </c>
      <c r="K50" s="46">
        <f>SUM(K12:K13,K16:K17)</f>
        <v>4969908000</v>
      </c>
      <c r="M50" s="46">
        <f>SUM(M12:M13,M16:M17)</f>
        <v>4391908000</v>
      </c>
      <c r="O50" s="46"/>
      <c r="Q50" s="47" t="s">
        <v>1254</v>
      </c>
      <c r="R50" s="39"/>
      <c r="S50" s="38">
        <f>ROUND((C54/C62),2)</f>
        <v>5.67</v>
      </c>
      <c r="T50" s="39" t="s">
        <v>1255</v>
      </c>
      <c r="U50" s="38">
        <f>ROUND((E54/E62),2)</f>
        <v>6.69</v>
      </c>
      <c r="V50" s="39" t="s">
        <v>1255</v>
      </c>
      <c r="W50" s="38">
        <f>ROUND((G54/G62),2)</f>
        <v>8.58</v>
      </c>
      <c r="X50" s="39" t="s">
        <v>1255</v>
      </c>
      <c r="Y50" s="38">
        <f>ROUND((I54/I62),2)</f>
        <v>3.85</v>
      </c>
      <c r="Z50" s="39" t="s">
        <v>1255</v>
      </c>
      <c r="AA50" s="38">
        <f>ROUND((K54/K62),2)</f>
        <v>3.9</v>
      </c>
      <c r="AB50" s="39" t="s">
        <v>1255</v>
      </c>
      <c r="AC50" s="38">
        <f>ROUND(AVERAGE(U50:AB50),2)</f>
        <v>5.76</v>
      </c>
      <c r="AD50" s="17" t="s">
        <v>1255</v>
      </c>
    </row>
    <row r="51" spans="1:30" x14ac:dyDescent="0.4">
      <c r="C51" s="46"/>
      <c r="E51" s="46"/>
      <c r="G51" s="46"/>
      <c r="I51" s="46"/>
      <c r="K51" s="46"/>
      <c r="M51" s="46"/>
      <c r="O51" s="46"/>
      <c r="Q51" s="47"/>
      <c r="S51" s="38"/>
      <c r="U51" s="38"/>
      <c r="W51" s="38"/>
      <c r="Y51" s="38"/>
      <c r="AA51" s="38"/>
      <c r="AC51" s="38"/>
    </row>
    <row r="52" spans="1:30" x14ac:dyDescent="0.4">
      <c r="A52" s="17" t="s">
        <v>121</v>
      </c>
      <c r="B52" s="17" t="s">
        <v>1345</v>
      </c>
      <c r="C52" s="46">
        <f>AVERAGE(C22:C23)</f>
        <v>60.739999999999995</v>
      </c>
      <c r="E52" s="46">
        <f>AVERAGE(E22:E23)</f>
        <v>77.88</v>
      </c>
      <c r="G52" s="46">
        <f>AVERAGE(G22:G23)</f>
        <v>65.254999999999995</v>
      </c>
      <c r="I52" s="46">
        <f>AVERAGE(I22:I23)</f>
        <v>66.11</v>
      </c>
      <c r="K52" s="46">
        <f>AVERAGE(K22:K23)</f>
        <v>83.03</v>
      </c>
      <c r="M52" s="46">
        <f>AVERAGE(M22:M23)</f>
        <v>74.454999999999998</v>
      </c>
      <c r="O52" s="46"/>
      <c r="Q52" s="47" t="s">
        <v>1256</v>
      </c>
      <c r="R52" s="39"/>
      <c r="S52" s="38">
        <f>ROUND(((C60/C54)*100),2)</f>
        <v>7.06</v>
      </c>
      <c r="T52" s="39" t="s">
        <v>1090</v>
      </c>
      <c r="U52" s="38">
        <f>ROUND(((E60/E54)*100),2)</f>
        <v>2.73</v>
      </c>
      <c r="V52" s="39" t="s">
        <v>1090</v>
      </c>
      <c r="W52" s="38">
        <f>ROUND(((G60/G54)*100),2)</f>
        <v>-5.27</v>
      </c>
      <c r="X52" s="39" t="s">
        <v>1090</v>
      </c>
      <c r="Y52" s="38">
        <f>ROUND(((I60/I54)*100),2)</f>
        <v>24.91</v>
      </c>
      <c r="Z52" s="39" t="s">
        <v>1090</v>
      </c>
      <c r="AA52" s="38">
        <f>ROUND(((K60/K54)*100),2)</f>
        <v>16.989999999999998</v>
      </c>
      <c r="AB52" s="39" t="s">
        <v>1090</v>
      </c>
      <c r="AC52" s="38">
        <f>ROUND(AVERAGE(U52:AB52),2)</f>
        <v>9.84</v>
      </c>
      <c r="AD52" s="17" t="s">
        <v>1090</v>
      </c>
    </row>
    <row r="53" spans="1:30" x14ac:dyDescent="0.4">
      <c r="C53" s="46"/>
      <c r="E53" s="46"/>
      <c r="G53" s="46"/>
      <c r="I53" s="46"/>
      <c r="K53" s="46"/>
      <c r="M53" s="46"/>
      <c r="O53" s="46"/>
      <c r="Q53" s="50"/>
      <c r="S53" s="38"/>
      <c r="U53" s="38"/>
      <c r="W53" s="38"/>
      <c r="Y53" s="38"/>
      <c r="AA53" s="38"/>
    </row>
    <row r="54" spans="1:30" x14ac:dyDescent="0.4">
      <c r="A54" s="17" t="s">
        <v>1250</v>
      </c>
      <c r="C54" s="78">
        <f>+C19+C12</f>
        <v>5280890000</v>
      </c>
      <c r="E54" s="78">
        <f>+E19+E12</f>
        <v>5990662000</v>
      </c>
      <c r="G54" s="78">
        <f>+G19+G12</f>
        <v>6322008000</v>
      </c>
      <c r="I54" s="78">
        <f>+I19+I12</f>
        <v>2879633000</v>
      </c>
      <c r="K54" s="78">
        <f>+K19+K12</f>
        <v>2674994000</v>
      </c>
      <c r="M54" s="78">
        <f>+M19+M12</f>
        <v>2292318000</v>
      </c>
      <c r="O54" s="78"/>
      <c r="Q54" s="50" t="s">
        <v>1257</v>
      </c>
      <c r="R54" s="39"/>
      <c r="S54" s="38">
        <f>S33</f>
        <v>61.47</v>
      </c>
      <c r="T54" s="39" t="s">
        <v>1090</v>
      </c>
      <c r="U54" s="38">
        <f>U33</f>
        <v>66.2</v>
      </c>
      <c r="V54" s="39" t="s">
        <v>1090</v>
      </c>
      <c r="W54" s="38">
        <f>W33</f>
        <v>68.16</v>
      </c>
      <c r="X54" s="39" t="s">
        <v>1090</v>
      </c>
      <c r="Y54" s="38">
        <f>Y33</f>
        <v>51.84</v>
      </c>
      <c r="Z54" s="39" t="s">
        <v>1090</v>
      </c>
      <c r="AA54" s="38">
        <f>AA33</f>
        <v>51.63</v>
      </c>
      <c r="AB54" s="39" t="s">
        <v>1090</v>
      </c>
      <c r="AC54" s="38">
        <f>ROUND(AVERAGE(U54:AB54),2)</f>
        <v>59.46</v>
      </c>
      <c r="AD54" s="39" t="s">
        <v>1090</v>
      </c>
    </row>
    <row r="55" spans="1:30" x14ac:dyDescent="0.4">
      <c r="C55" s="46"/>
      <c r="E55" s="46"/>
      <c r="G55" s="46"/>
      <c r="I55" s="46"/>
      <c r="K55" s="46"/>
      <c r="M55" s="46"/>
      <c r="O55" s="46"/>
    </row>
    <row r="56" spans="1:30" x14ac:dyDescent="0.4">
      <c r="A56" s="17" t="s">
        <v>1346</v>
      </c>
      <c r="B56" s="17" t="s">
        <v>1345</v>
      </c>
      <c r="C56" s="46">
        <f>SUM(C50,C19)</f>
        <v>8590926000</v>
      </c>
      <c r="E56" s="46">
        <f>SUM(E50,E19)</f>
        <v>9049421000</v>
      </c>
      <c r="G56" s="46">
        <f>SUM(G50,G19)</f>
        <v>9275828000</v>
      </c>
      <c r="I56" s="46">
        <f>SUM(I50,I19)</f>
        <v>5554586000</v>
      </c>
      <c r="K56" s="46">
        <f>SUM(K50,K19)</f>
        <v>5180908000</v>
      </c>
      <c r="M56" s="46">
        <f>SUM(M50,M19)</f>
        <v>4543908000</v>
      </c>
      <c r="O56" s="46"/>
    </row>
    <row r="57" spans="1:30" x14ac:dyDescent="0.4">
      <c r="C57" s="46"/>
      <c r="E57" s="46"/>
      <c r="G57" s="46"/>
      <c r="I57" s="46"/>
      <c r="K57" s="46"/>
      <c r="M57" s="46"/>
      <c r="O57" s="46"/>
    </row>
    <row r="58" spans="1:30" x14ac:dyDescent="0.4">
      <c r="A58" s="17" t="s">
        <v>1347</v>
      </c>
      <c r="B58" s="17" t="s">
        <v>1345</v>
      </c>
      <c r="C58" s="46">
        <f>SUM(C13,C17)</f>
        <v>0</v>
      </c>
      <c r="E58" s="46">
        <f>SUM(E13,E17)</f>
        <v>0</v>
      </c>
      <c r="G58" s="46">
        <f>SUM(G13,G17)</f>
        <v>0</v>
      </c>
      <c r="I58" s="46">
        <f>SUM(I13,I17)</f>
        <v>0</v>
      </c>
      <c r="K58" s="46">
        <f>SUM(K13,K17)</f>
        <v>0</v>
      </c>
      <c r="M58" s="46">
        <f>SUM(M13,M17)</f>
        <v>0</v>
      </c>
      <c r="O58" s="46"/>
    </row>
    <row r="59" spans="1:30" x14ac:dyDescent="0.4">
      <c r="C59" s="46"/>
      <c r="E59" s="46"/>
      <c r="G59" s="46"/>
      <c r="I59" s="46"/>
      <c r="K59" s="46"/>
      <c r="M59" s="46"/>
      <c r="O59" s="46"/>
    </row>
    <row r="60" spans="1:30" x14ac:dyDescent="0.4">
      <c r="A60" s="19" t="s">
        <v>1258</v>
      </c>
      <c r="B60" s="17" t="s">
        <v>1345</v>
      </c>
      <c r="C60" s="46">
        <f>ROUND(C41+C42-C28,3)</f>
        <v>372754000</v>
      </c>
      <c r="E60" s="46">
        <f>ROUND(E41+E42-E28,3)</f>
        <v>163720000</v>
      </c>
      <c r="G60" s="46">
        <f>ROUND(G41+G42-G28,3)</f>
        <v>-333053000</v>
      </c>
      <c r="I60" s="46">
        <f>ROUND(I41+I42-I28,3)</f>
        <v>717225000</v>
      </c>
      <c r="K60" s="46">
        <f>ROUND(K41+K42-K28,3)</f>
        <v>454532000</v>
      </c>
      <c r="M60" s="46">
        <f>ROUND(M41+M42-M28,3)</f>
        <v>535427000</v>
      </c>
      <c r="O60" s="46"/>
    </row>
    <row r="61" spans="1:30" x14ac:dyDescent="0.4">
      <c r="A61" s="19"/>
      <c r="C61" s="46"/>
      <c r="E61" s="46"/>
      <c r="G61" s="46"/>
      <c r="I61" s="46"/>
      <c r="K61" s="46"/>
      <c r="M61" s="46"/>
      <c r="O61" s="46"/>
    </row>
    <row r="62" spans="1:30" x14ac:dyDescent="0.4">
      <c r="A62" s="17" t="s">
        <v>1160</v>
      </c>
      <c r="B62" s="17" t="s">
        <v>1345</v>
      </c>
      <c r="C62" s="46">
        <f>C40+C44+C43+C30</f>
        <v>930998425</v>
      </c>
      <c r="E62" s="46">
        <f>E40+E44+E43+E30</f>
        <v>895293000</v>
      </c>
      <c r="G62" s="46">
        <f>G40+G44+G43+G30</f>
        <v>737089000</v>
      </c>
      <c r="I62" s="46">
        <f>I40+I44+I43+I30</f>
        <v>748242000</v>
      </c>
      <c r="K62" s="46">
        <f>K40+K44+K43+K30</f>
        <v>685133000</v>
      </c>
      <c r="M62" s="46">
        <f>M40+M44+M43+M30</f>
        <v>589844000</v>
      </c>
      <c r="O62" s="46"/>
    </row>
    <row r="63" spans="1:30" x14ac:dyDescent="0.4">
      <c r="K63" s="45"/>
      <c r="L63" s="45"/>
      <c r="M63" s="45"/>
      <c r="N63" s="45"/>
      <c r="O63" s="45"/>
    </row>
    <row r="64" spans="1:30" x14ac:dyDescent="0.4">
      <c r="K64" s="45"/>
      <c r="L64" s="45"/>
      <c r="M64" s="45"/>
      <c r="N64" s="45"/>
      <c r="O64" s="45"/>
    </row>
    <row r="71" spans="11:15" x14ac:dyDescent="0.4">
      <c r="K71" s="45"/>
      <c r="L71" s="45"/>
      <c r="M71" s="45"/>
      <c r="N71" s="45"/>
      <c r="O71" s="45"/>
    </row>
    <row r="81" spans="11:223" x14ac:dyDescent="0.4">
      <c r="HK81" s="51"/>
      <c r="HL81" s="51"/>
      <c r="HO81" s="17" t="s">
        <v>1348</v>
      </c>
    </row>
    <row r="94" spans="11:223" x14ac:dyDescent="0.4">
      <c r="K94" s="45"/>
      <c r="L94" s="45"/>
      <c r="M94" s="45"/>
      <c r="N94" s="45"/>
      <c r="O94" s="45"/>
    </row>
    <row r="95" spans="11:223" x14ac:dyDescent="0.4">
      <c r="K95" s="45"/>
      <c r="L95" s="45"/>
      <c r="M95" s="45"/>
      <c r="N95" s="45"/>
      <c r="O95" s="45"/>
    </row>
    <row r="96" spans="11:223" x14ac:dyDescent="0.4">
      <c r="K96" s="45"/>
      <c r="L96" s="45"/>
      <c r="M96" s="45"/>
      <c r="N96" s="45"/>
      <c r="O96" s="45"/>
    </row>
    <row r="97" spans="11:15" x14ac:dyDescent="0.4">
      <c r="K97" s="45"/>
      <c r="L97" s="45"/>
      <c r="M97" s="45"/>
      <c r="N97" s="45"/>
      <c r="O97" s="45"/>
    </row>
    <row r="98" spans="11:15" x14ac:dyDescent="0.4">
      <c r="K98" s="45"/>
      <c r="L98" s="45"/>
      <c r="M98" s="45"/>
      <c r="N98" s="45"/>
      <c r="O98" s="45"/>
    </row>
    <row r="99" spans="11:15" x14ac:dyDescent="0.4">
      <c r="K99" s="45"/>
      <c r="L99" s="45"/>
      <c r="M99" s="45"/>
      <c r="N99" s="45"/>
      <c r="O99" s="45"/>
    </row>
    <row r="100" spans="11:15" x14ac:dyDescent="0.4">
      <c r="K100" s="45"/>
      <c r="L100" s="45"/>
      <c r="M100" s="45"/>
      <c r="N100" s="45"/>
      <c r="O100" s="45"/>
    </row>
    <row r="101" spans="11:15" x14ac:dyDescent="0.4">
      <c r="K101" s="45"/>
      <c r="L101" s="45"/>
      <c r="M101" s="45"/>
      <c r="N101" s="45"/>
      <c r="O101" s="45"/>
    </row>
    <row r="102" spans="11:15" x14ac:dyDescent="0.4">
      <c r="K102" s="45"/>
      <c r="L102" s="45"/>
      <c r="M102" s="45"/>
      <c r="N102" s="45"/>
      <c r="O102" s="45"/>
    </row>
    <row r="103" spans="11:15" x14ac:dyDescent="0.4">
      <c r="K103" s="45"/>
      <c r="L103" s="45"/>
      <c r="M103" s="45"/>
      <c r="N103" s="45"/>
      <c r="O103" s="45"/>
    </row>
    <row r="104" spans="11:15" x14ac:dyDescent="0.4">
      <c r="K104" s="45"/>
      <c r="L104" s="45"/>
      <c r="M104" s="45"/>
      <c r="N104" s="45"/>
      <c r="O104" s="45"/>
    </row>
    <row r="105" spans="11:15" x14ac:dyDescent="0.4">
      <c r="K105" s="45"/>
      <c r="L105" s="45"/>
      <c r="M105" s="45"/>
      <c r="N105" s="45"/>
      <c r="O105" s="45"/>
    </row>
    <row r="106" spans="11:15" x14ac:dyDescent="0.4">
      <c r="K106" s="45"/>
      <c r="L106" s="45"/>
      <c r="M106" s="45"/>
      <c r="N106" s="45"/>
      <c r="O106" s="45"/>
    </row>
    <row r="107" spans="11:15" x14ac:dyDescent="0.4">
      <c r="K107" s="45"/>
      <c r="L107" s="45"/>
      <c r="M107" s="45"/>
      <c r="N107" s="45"/>
      <c r="O107" s="45"/>
    </row>
    <row r="108" spans="11:15" x14ac:dyDescent="0.4">
      <c r="K108" s="45"/>
      <c r="L108" s="45"/>
      <c r="M108" s="45"/>
      <c r="N108" s="45"/>
      <c r="O108" s="45"/>
    </row>
    <row r="109" spans="11:15" x14ac:dyDescent="0.4">
      <c r="K109" s="45"/>
      <c r="L109" s="45"/>
      <c r="M109" s="45"/>
      <c r="N109" s="45"/>
      <c r="O109" s="45"/>
    </row>
    <row r="110" spans="11:15" x14ac:dyDescent="0.4">
      <c r="K110" s="45"/>
      <c r="L110" s="45"/>
      <c r="M110" s="45"/>
      <c r="N110" s="45"/>
      <c r="O110" s="45"/>
    </row>
    <row r="111" spans="11:15" x14ac:dyDescent="0.4">
      <c r="K111" s="45"/>
      <c r="L111" s="45"/>
      <c r="M111" s="45"/>
      <c r="N111" s="45"/>
      <c r="O111" s="45"/>
    </row>
    <row r="112" spans="11:15" x14ac:dyDescent="0.4">
      <c r="K112" s="45"/>
      <c r="L112" s="45"/>
      <c r="M112" s="45"/>
      <c r="N112" s="45"/>
      <c r="O112" s="45"/>
    </row>
    <row r="113" spans="11:15" x14ac:dyDescent="0.4">
      <c r="K113" s="45"/>
      <c r="L113" s="45"/>
      <c r="M113" s="45"/>
      <c r="N113" s="45"/>
      <c r="O113" s="45"/>
    </row>
    <row r="114" spans="11:15" x14ac:dyDescent="0.4">
      <c r="K114" s="45"/>
      <c r="L114" s="45"/>
      <c r="M114" s="45"/>
      <c r="N114" s="45"/>
      <c r="O114" s="45"/>
    </row>
    <row r="115" spans="11:15" x14ac:dyDescent="0.4">
      <c r="K115" s="45"/>
      <c r="L115" s="45"/>
      <c r="M115" s="45"/>
      <c r="N115" s="45"/>
      <c r="O115" s="45"/>
    </row>
    <row r="116" spans="11:15" x14ac:dyDescent="0.4">
      <c r="K116" s="45"/>
      <c r="L116" s="45"/>
      <c r="M116" s="45"/>
      <c r="N116" s="45"/>
      <c r="O116" s="45"/>
    </row>
    <row r="117" spans="11:15" x14ac:dyDescent="0.4">
      <c r="K117" s="45"/>
      <c r="L117" s="45"/>
      <c r="M117" s="45"/>
      <c r="N117" s="45"/>
      <c r="O117" s="45"/>
    </row>
    <row r="118" spans="11:15" x14ac:dyDescent="0.4">
      <c r="K118" s="45"/>
      <c r="L118" s="45"/>
      <c r="M118" s="45"/>
      <c r="N118" s="45"/>
      <c r="O118" s="45"/>
    </row>
    <row r="119" spans="11:15" x14ac:dyDescent="0.4">
      <c r="K119" s="45"/>
      <c r="L119" s="45"/>
      <c r="M119" s="45"/>
      <c r="N119" s="45"/>
      <c r="O119" s="45"/>
    </row>
    <row r="120" spans="11:15" x14ac:dyDescent="0.4">
      <c r="K120" s="45"/>
      <c r="L120" s="45"/>
      <c r="M120" s="45"/>
      <c r="N120" s="45"/>
      <c r="O120" s="45"/>
    </row>
    <row r="121" spans="11:15" x14ac:dyDescent="0.4">
      <c r="K121" s="45"/>
      <c r="L121" s="45"/>
      <c r="M121" s="45"/>
      <c r="N121" s="45"/>
      <c r="O121" s="45"/>
    </row>
    <row r="122" spans="11:15" x14ac:dyDescent="0.4">
      <c r="K122" s="45"/>
      <c r="L122" s="45"/>
      <c r="M122" s="45"/>
      <c r="N122" s="45"/>
      <c r="O122" s="45"/>
    </row>
    <row r="123" spans="11:15" x14ac:dyDescent="0.4">
      <c r="K123" s="45"/>
      <c r="L123" s="45"/>
      <c r="M123" s="45"/>
      <c r="N123" s="45"/>
      <c r="O123" s="45"/>
    </row>
    <row r="124" spans="11:15" x14ac:dyDescent="0.4">
      <c r="K124" s="45"/>
      <c r="L124" s="45"/>
      <c r="M124" s="45"/>
      <c r="N124" s="45"/>
      <c r="O124" s="45"/>
    </row>
    <row r="125" spans="11:15" x14ac:dyDescent="0.4">
      <c r="K125" s="45"/>
      <c r="L125" s="45"/>
      <c r="M125" s="45"/>
      <c r="N125" s="45"/>
      <c r="O125" s="45"/>
    </row>
    <row r="126" spans="11:15" x14ac:dyDescent="0.4">
      <c r="K126" s="45"/>
      <c r="L126" s="45"/>
      <c r="M126" s="45"/>
      <c r="N126" s="45"/>
      <c r="O126" s="45"/>
    </row>
    <row r="127" spans="11:15" x14ac:dyDescent="0.4">
      <c r="K127" s="45"/>
      <c r="L127" s="45"/>
      <c r="M127" s="45"/>
      <c r="N127" s="45"/>
      <c r="O127" s="45"/>
    </row>
    <row r="128" spans="11:15" x14ac:dyDescent="0.4">
      <c r="K128" s="45"/>
      <c r="L128" s="45"/>
      <c r="M128" s="45"/>
      <c r="N128" s="45"/>
      <c r="O128" s="45"/>
    </row>
    <row r="129" spans="11:15" x14ac:dyDescent="0.4">
      <c r="K129" s="45"/>
      <c r="L129" s="45"/>
      <c r="M129" s="45"/>
      <c r="N129" s="45"/>
      <c r="O129" s="45"/>
    </row>
    <row r="130" spans="11:15" x14ac:dyDescent="0.4">
      <c r="K130" s="45"/>
      <c r="L130" s="45"/>
      <c r="M130" s="45"/>
      <c r="N130" s="45"/>
      <c r="O130" s="45"/>
    </row>
    <row r="131" spans="11:15" x14ac:dyDescent="0.4">
      <c r="K131" s="45"/>
      <c r="L131" s="45"/>
      <c r="M131" s="45"/>
      <c r="N131" s="45"/>
      <c r="O131" s="45"/>
    </row>
    <row r="132" spans="11:15" x14ac:dyDescent="0.4">
      <c r="K132" s="45"/>
      <c r="L132" s="45"/>
      <c r="M132" s="45"/>
      <c r="N132" s="45"/>
      <c r="O132" s="45"/>
    </row>
    <row r="133" spans="11:15" x14ac:dyDescent="0.4">
      <c r="K133" s="45"/>
      <c r="L133" s="45"/>
      <c r="M133" s="45"/>
      <c r="N133" s="45"/>
      <c r="O133" s="45"/>
    </row>
    <row r="134" spans="11:15" x14ac:dyDescent="0.4">
      <c r="K134" s="45"/>
      <c r="L134" s="45"/>
      <c r="M134" s="45"/>
      <c r="N134" s="45"/>
      <c r="O134" s="45"/>
    </row>
    <row r="135" spans="11:15" x14ac:dyDescent="0.4">
      <c r="K135" s="45"/>
      <c r="L135" s="45"/>
      <c r="M135" s="45"/>
      <c r="N135" s="45"/>
      <c r="O135" s="45"/>
    </row>
    <row r="136" spans="11:15" x14ac:dyDescent="0.4">
      <c r="K136" s="45"/>
      <c r="L136" s="45"/>
      <c r="M136" s="45"/>
      <c r="N136" s="45"/>
      <c r="O136" s="45"/>
    </row>
    <row r="137" spans="11:15" x14ac:dyDescent="0.4">
      <c r="K137" s="45"/>
      <c r="L137" s="45"/>
      <c r="M137" s="45"/>
      <c r="N137" s="45"/>
      <c r="O137" s="45"/>
    </row>
    <row r="138" spans="11:15" x14ac:dyDescent="0.4">
      <c r="K138" s="45"/>
      <c r="L138" s="45"/>
      <c r="M138" s="45"/>
      <c r="N138" s="45"/>
      <c r="O138" s="45"/>
    </row>
    <row r="139" spans="11:15" x14ac:dyDescent="0.4">
      <c r="K139" s="45"/>
      <c r="L139" s="45"/>
      <c r="M139" s="45"/>
      <c r="N139" s="45"/>
      <c r="O139" s="45"/>
    </row>
    <row r="140" spans="11:15" x14ac:dyDescent="0.4">
      <c r="K140" s="45"/>
      <c r="L140" s="45"/>
      <c r="M140" s="45"/>
      <c r="N140" s="45"/>
      <c r="O140" s="45"/>
    </row>
    <row r="141" spans="11:15" x14ac:dyDescent="0.4">
      <c r="K141" s="45"/>
      <c r="L141" s="45"/>
      <c r="M141" s="45"/>
      <c r="N141" s="45"/>
      <c r="O141" s="45"/>
    </row>
    <row r="142" spans="11:15" x14ac:dyDescent="0.4">
      <c r="K142" s="45"/>
      <c r="L142" s="45"/>
      <c r="M142" s="45"/>
      <c r="N142" s="45"/>
      <c r="O142" s="45"/>
    </row>
    <row r="143" spans="11:15" x14ac:dyDescent="0.4">
      <c r="K143" s="45"/>
      <c r="L143" s="45"/>
      <c r="M143" s="45"/>
      <c r="N143" s="45"/>
      <c r="O143" s="45"/>
    </row>
    <row r="144" spans="11:15" x14ac:dyDescent="0.4">
      <c r="K144" s="45"/>
      <c r="L144" s="45"/>
      <c r="M144" s="45"/>
      <c r="N144" s="45"/>
      <c r="O144" s="45"/>
    </row>
    <row r="145" spans="11:15" x14ac:dyDescent="0.4">
      <c r="K145" s="45"/>
      <c r="L145" s="45"/>
      <c r="M145" s="45"/>
      <c r="N145" s="45"/>
      <c r="O145" s="45"/>
    </row>
    <row r="146" spans="11:15" x14ac:dyDescent="0.4">
      <c r="K146" s="45"/>
      <c r="L146" s="45"/>
      <c r="M146" s="45"/>
      <c r="N146" s="45"/>
      <c r="O146" s="45"/>
    </row>
    <row r="147" spans="11:15" x14ac:dyDescent="0.4">
      <c r="K147" s="45"/>
      <c r="L147" s="45"/>
      <c r="M147" s="45"/>
      <c r="N147" s="45"/>
      <c r="O147" s="45"/>
    </row>
    <row r="148" spans="11:15" x14ac:dyDescent="0.4">
      <c r="K148" s="45"/>
      <c r="L148" s="45"/>
      <c r="M148" s="45"/>
      <c r="N148" s="45"/>
      <c r="O148" s="45"/>
    </row>
    <row r="149" spans="11:15" x14ac:dyDescent="0.4">
      <c r="K149" s="45"/>
      <c r="L149" s="45"/>
      <c r="M149" s="45"/>
      <c r="N149" s="45"/>
      <c r="O149" s="45"/>
    </row>
    <row r="150" spans="11:15" x14ac:dyDescent="0.4">
      <c r="K150" s="45"/>
      <c r="L150" s="45"/>
      <c r="M150" s="45"/>
      <c r="N150" s="45"/>
      <c r="O150" s="45"/>
    </row>
    <row r="151" spans="11:15" x14ac:dyDescent="0.4">
      <c r="K151" s="45"/>
      <c r="L151" s="45"/>
      <c r="M151" s="45"/>
      <c r="N151" s="45"/>
      <c r="O151" s="45"/>
    </row>
    <row r="152" spans="11:15" x14ac:dyDescent="0.4">
      <c r="K152" s="45"/>
      <c r="L152" s="45"/>
      <c r="M152" s="45"/>
      <c r="N152" s="45"/>
      <c r="O152" s="45"/>
    </row>
    <row r="153" spans="11:15" x14ac:dyDescent="0.4">
      <c r="K153" s="45"/>
      <c r="L153" s="45"/>
      <c r="M153" s="45"/>
      <c r="N153" s="45"/>
      <c r="O153" s="45"/>
    </row>
    <row r="154" spans="11:15" x14ac:dyDescent="0.4">
      <c r="K154" s="45"/>
      <c r="L154" s="45"/>
      <c r="M154" s="45"/>
      <c r="N154" s="45"/>
      <c r="O154" s="45"/>
    </row>
  </sheetData>
  <mergeCells count="5">
    <mergeCell ref="G6:O6"/>
    <mergeCell ref="G7:O7"/>
    <mergeCell ref="G8:O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6D1D-22ED-438D-A354-EDC0E65994C3}">
  <sheetPr codeName="Sheet69">
    <pageSetUpPr fitToPage="1"/>
  </sheetPr>
  <dimension ref="A1:HO154"/>
  <sheetViews>
    <sheetView zoomScale="80" zoomScaleNormal="80" workbookViewId="0"/>
  </sheetViews>
  <sheetFormatPr defaultColWidth="9.15625" defaultRowHeight="12.3" x14ac:dyDescent="0.4"/>
  <cols>
    <col min="1" max="1" width="36.15625" style="17" customWidth="1"/>
    <col min="2" max="2" width="15.15625" style="17" bestFit="1" customWidth="1"/>
    <col min="3" max="3" width="20.15625" style="17" customWidth="1"/>
    <col min="4" max="4" width="2.47265625" style="17" customWidth="1"/>
    <col min="5" max="5" width="16.15625" style="17" customWidth="1"/>
    <col min="6" max="6" width="2.47265625" style="17" customWidth="1"/>
    <col min="7" max="7" width="19.734375" style="17" customWidth="1"/>
    <col min="8" max="8" width="2.47265625" style="17" customWidth="1"/>
    <col min="9" max="9" width="18.5234375" style="17" customWidth="1"/>
    <col min="10" max="10" width="2.5234375" style="17" customWidth="1"/>
    <col min="11" max="11" width="18.5234375" style="17" customWidth="1"/>
    <col min="12" max="12" width="2" style="17" customWidth="1"/>
    <col min="13" max="13" width="18.5234375" style="17" customWidth="1"/>
    <col min="14" max="16" width="3.15625" style="17" customWidth="1"/>
    <col min="17" max="17" width="53.15625" style="17" bestFit="1" customWidth="1"/>
    <col min="18" max="18" width="3.15625" style="17" customWidth="1"/>
    <col min="19" max="19" width="13.734375" style="17" customWidth="1"/>
    <col min="20" max="20" width="2.7890625" style="17" customWidth="1"/>
    <col min="21" max="21" width="11.734375" style="17" customWidth="1"/>
    <col min="22" max="22" width="2.5234375" style="17" customWidth="1"/>
    <col min="23" max="23" width="11.734375" style="17" customWidth="1"/>
    <col min="24" max="24" width="2.5234375" style="17" customWidth="1"/>
    <col min="25" max="25" width="11" style="17" bestFit="1" customWidth="1"/>
    <col min="26" max="26" width="2.5234375" style="17" bestFit="1" customWidth="1"/>
    <col min="27" max="27" width="11" style="17" bestFit="1" customWidth="1"/>
    <col min="28" max="28" width="2.5234375" style="17" customWidth="1"/>
    <col min="29" max="29" width="10.5234375" style="17" customWidth="1"/>
    <col min="30" max="30" width="2.5234375" style="17" customWidth="1"/>
    <col min="31" max="31" width="9.15625" style="17"/>
    <col min="32" max="32" width="4.47265625" style="17" customWidth="1"/>
    <col min="33" max="33" width="3.5234375" style="17" customWidth="1"/>
    <col min="34" max="34" width="22.15625" style="17" customWidth="1"/>
    <col min="35" max="16384" width="9.15625" style="17"/>
  </cols>
  <sheetData>
    <row r="1" spans="1:29" ht="16.5" customHeight="1" x14ac:dyDescent="0.4">
      <c r="A1" s="33"/>
    </row>
    <row r="2" spans="1:29" ht="16.5" customHeight="1" x14ac:dyDescent="0.4">
      <c r="A2" s="33"/>
    </row>
    <row r="3" spans="1:29" ht="16.5" customHeight="1" x14ac:dyDescent="0.55000000000000004">
      <c r="A3" s="33"/>
      <c r="G3"/>
    </row>
    <row r="4" spans="1:29" ht="16.5" customHeight="1" thickBot="1" x14ac:dyDescent="0.6">
      <c r="A4" s="33"/>
      <c r="G4"/>
    </row>
    <row r="5" spans="1:29" ht="15" x14ac:dyDescent="0.85">
      <c r="A5" s="151" t="s">
        <v>1287</v>
      </c>
    </row>
    <row r="6" spans="1:29" ht="14.7" thickBot="1" x14ac:dyDescent="0.6">
      <c r="A6" s="152" t="s">
        <v>2864</v>
      </c>
      <c r="G6" s="1483" t="s">
        <v>2869</v>
      </c>
      <c r="H6" s="1484"/>
      <c r="I6" s="1484"/>
      <c r="J6" s="1484"/>
      <c r="K6" s="1484"/>
      <c r="L6" s="1484"/>
      <c r="M6" s="1484"/>
      <c r="N6" s="52"/>
      <c r="O6" s="52"/>
      <c r="Q6" s="43" t="str">
        <f>G6</f>
        <v>Spire Inc.</v>
      </c>
      <c r="R6" s="43"/>
      <c r="S6" s="43"/>
      <c r="T6" s="43"/>
      <c r="U6" s="43"/>
      <c r="V6" s="34"/>
      <c r="W6" s="43"/>
      <c r="X6" s="34"/>
      <c r="Y6" s="34"/>
      <c r="Z6" s="44"/>
      <c r="AA6" s="34"/>
      <c r="AB6" s="34"/>
      <c r="AC6" s="34"/>
    </row>
    <row r="7" spans="1:29" ht="14.4" x14ac:dyDescent="0.55000000000000004">
      <c r="G7" s="1483" t="s">
        <v>1282</v>
      </c>
      <c r="H7" s="1484"/>
      <c r="I7" s="1484"/>
      <c r="J7" s="1484"/>
      <c r="K7" s="1484"/>
      <c r="L7" s="1484"/>
      <c r="M7" s="1484"/>
      <c r="N7" s="52"/>
      <c r="O7" s="52"/>
      <c r="Q7" s="34" t="str">
        <f>G7</f>
        <v>CAPITALIZATION AND FINANCIAL STATISTICS  (1)</v>
      </c>
      <c r="R7" s="34"/>
      <c r="S7" s="34"/>
      <c r="T7" s="34"/>
      <c r="U7" s="34"/>
      <c r="V7" s="34"/>
      <c r="W7" s="34"/>
      <c r="X7" s="34"/>
      <c r="Y7" s="34"/>
      <c r="Z7" s="34"/>
      <c r="AA7" s="34"/>
      <c r="AB7" s="34"/>
      <c r="AC7" s="34"/>
    </row>
    <row r="8" spans="1:29" ht="14.4" x14ac:dyDescent="0.55000000000000004">
      <c r="G8" s="1483" t="s">
        <v>2888</v>
      </c>
      <c r="H8" s="1484"/>
      <c r="I8" s="1484"/>
      <c r="J8" s="1484"/>
      <c r="K8" s="1484"/>
      <c r="L8" s="1484"/>
      <c r="M8" s="1484"/>
      <c r="N8" s="52"/>
      <c r="O8" s="52"/>
      <c r="Q8" s="44" t="str">
        <f>G8</f>
        <v>2018 - 2023, Inclusive</v>
      </c>
      <c r="R8" s="44"/>
      <c r="S8" s="44"/>
      <c r="T8" s="44"/>
      <c r="U8" s="44"/>
      <c r="V8" s="34"/>
      <c r="W8" s="44"/>
      <c r="X8" s="34"/>
      <c r="Y8" s="34"/>
      <c r="Z8" s="44"/>
      <c r="AA8" s="34"/>
      <c r="AB8" s="34"/>
      <c r="AC8" s="34"/>
    </row>
    <row r="9" spans="1:29" x14ac:dyDescent="0.4">
      <c r="Q9" s="34"/>
      <c r="R9" s="34"/>
      <c r="S9" s="34"/>
      <c r="T9" s="34"/>
      <c r="U9" s="34"/>
      <c r="V9" s="34"/>
      <c r="W9" s="34"/>
      <c r="X9" s="34"/>
      <c r="Y9" s="44"/>
      <c r="Z9" s="44"/>
      <c r="AA9" s="34"/>
      <c r="AB9" s="34"/>
      <c r="AC9" s="34"/>
    </row>
    <row r="10" spans="1:29" x14ac:dyDescent="0.4">
      <c r="B10" s="17" t="s">
        <v>2886</v>
      </c>
      <c r="C10" s="40">
        <v>2023</v>
      </c>
      <c r="E10" s="40">
        <v>2022</v>
      </c>
      <c r="G10" s="40">
        <v>2021</v>
      </c>
      <c r="I10" s="40">
        <v>2020</v>
      </c>
      <c r="K10" s="40">
        <v>2019</v>
      </c>
      <c r="M10" s="40">
        <v>2018</v>
      </c>
      <c r="N10" s="40"/>
      <c r="O10" s="40"/>
      <c r="Y10" s="44"/>
      <c r="Z10" s="44"/>
      <c r="AA10" s="34"/>
      <c r="AB10" s="34"/>
    </row>
    <row r="11" spans="1:29" x14ac:dyDescent="0.4">
      <c r="A11" s="17" t="s">
        <v>1288</v>
      </c>
    </row>
    <row r="12" spans="1:29" x14ac:dyDescent="0.4">
      <c r="A12" s="17" t="s">
        <v>1289</v>
      </c>
      <c r="B12" s="17" t="s">
        <v>1290</v>
      </c>
      <c r="C12" s="46">
        <f>3710.6*1000000</f>
        <v>3710600000</v>
      </c>
      <c r="E12" s="46">
        <f>3239.7*1000000</f>
        <v>3239700000</v>
      </c>
      <c r="G12" s="46">
        <f>2939100000+55800000</f>
        <v>2994900000</v>
      </c>
      <c r="I12" s="46">
        <f>2423700000+60400000</f>
        <v>2484100000</v>
      </c>
      <c r="K12" s="46">
        <f>2082600000+40000000</f>
        <v>2122600000</v>
      </c>
      <c r="M12" s="46">
        <f>1900100000+17500000</f>
        <v>1917600000</v>
      </c>
      <c r="N12" s="46"/>
      <c r="O12" s="46"/>
      <c r="S12" s="40">
        <f>C10</f>
        <v>2023</v>
      </c>
      <c r="U12" s="40">
        <f>E10</f>
        <v>2022</v>
      </c>
      <c r="W12" s="40">
        <f>G10</f>
        <v>2021</v>
      </c>
      <c r="Y12" s="40">
        <f>I10</f>
        <v>2020</v>
      </c>
      <c r="Z12" s="40"/>
      <c r="AA12" s="40">
        <f>K10</f>
        <v>2019</v>
      </c>
      <c r="AB12" s="40"/>
    </row>
    <row r="13" spans="1:29" x14ac:dyDescent="0.4">
      <c r="A13" s="17" t="s">
        <v>1291</v>
      </c>
      <c r="B13" s="17" t="s">
        <v>1292</v>
      </c>
      <c r="C13" s="46">
        <v>242000000</v>
      </c>
      <c r="E13" s="46">
        <v>242000000</v>
      </c>
      <c r="G13" s="46">
        <v>242000000</v>
      </c>
      <c r="I13" s="46">
        <v>242000000</v>
      </c>
      <c r="K13" s="46">
        <v>242000000</v>
      </c>
      <c r="M13" s="46">
        <v>0</v>
      </c>
      <c r="N13" s="46"/>
      <c r="O13" s="46"/>
      <c r="Y13" s="34" t="s">
        <v>1247</v>
      </c>
      <c r="Z13" s="34"/>
      <c r="AA13" s="34"/>
      <c r="AB13" s="34"/>
      <c r="AC13" s="34" t="s">
        <v>1091</v>
      </c>
    </row>
    <row r="14" spans="1:29" x14ac:dyDescent="0.4">
      <c r="C14" s="46"/>
      <c r="E14" s="46"/>
      <c r="G14" s="46"/>
      <c r="I14" s="46"/>
      <c r="K14" s="46"/>
      <c r="M14" s="46"/>
      <c r="N14" s="46"/>
      <c r="O14" s="46"/>
      <c r="Q14" s="47" t="s">
        <v>1248</v>
      </c>
      <c r="R14" s="47"/>
      <c r="S14" s="47"/>
      <c r="T14" s="47"/>
      <c r="U14" s="47"/>
      <c r="V14" s="47"/>
      <c r="W14" s="47"/>
      <c r="X14" s="47"/>
    </row>
    <row r="15" spans="1:29" x14ac:dyDescent="0.4">
      <c r="A15" s="17" t="s">
        <v>1293</v>
      </c>
      <c r="B15" s="17" t="s">
        <v>1294</v>
      </c>
      <c r="C15" s="46">
        <v>53170224</v>
      </c>
      <c r="E15" s="46">
        <v>52494543</v>
      </c>
      <c r="G15" s="173">
        <v>51684883</v>
      </c>
      <c r="I15" s="173">
        <v>51611789</v>
      </c>
      <c r="K15" s="46">
        <v>50973515</v>
      </c>
      <c r="M15" s="46">
        <v>50671903</v>
      </c>
      <c r="N15" s="46"/>
      <c r="O15" s="46"/>
    </row>
    <row r="16" spans="1:29" x14ac:dyDescent="0.4">
      <c r="A16" s="17" t="s">
        <v>1239</v>
      </c>
      <c r="B16" s="17" t="s">
        <v>1295</v>
      </c>
      <c r="C16" s="46">
        <f>2917.3*1000000</f>
        <v>2917300000</v>
      </c>
      <c r="E16" s="46">
        <f>2818.5*1000000</f>
        <v>2818500000</v>
      </c>
      <c r="G16" s="46">
        <f>2658200000-G13</f>
        <v>2416200000</v>
      </c>
      <c r="I16" s="46">
        <f>2522300000-I13</f>
        <v>2280300000</v>
      </c>
      <c r="K16" s="46">
        <f>2543000000-K13</f>
        <v>2301000000</v>
      </c>
      <c r="M16" s="46">
        <v>2255400000</v>
      </c>
      <c r="N16" s="46"/>
      <c r="O16" s="46"/>
      <c r="Q16" s="47" t="s">
        <v>1249</v>
      </c>
      <c r="R16" s="47"/>
      <c r="S16" s="47"/>
      <c r="T16" s="47"/>
      <c r="U16" s="47"/>
      <c r="V16" s="47"/>
      <c r="W16" s="47"/>
      <c r="X16" s="47"/>
    </row>
    <row r="17" spans="1:30" x14ac:dyDescent="0.4">
      <c r="A17" s="17" t="s">
        <v>1296</v>
      </c>
      <c r="B17" s="17" t="s">
        <v>1294</v>
      </c>
      <c r="C17" s="46">
        <v>0</v>
      </c>
      <c r="E17" s="46">
        <v>0</v>
      </c>
      <c r="G17" s="46">
        <v>0</v>
      </c>
      <c r="I17" s="46">
        <v>0</v>
      </c>
      <c r="K17" s="46">
        <v>0</v>
      </c>
      <c r="M17" s="46">
        <v>0</v>
      </c>
      <c r="N17" s="46"/>
      <c r="O17" s="46"/>
      <c r="Q17" s="17" t="s">
        <v>1297</v>
      </c>
      <c r="S17" s="35">
        <f>C50/1000000</f>
        <v>6869.9</v>
      </c>
      <c r="T17" s="35"/>
      <c r="U17" s="35">
        <f>E50/1000000</f>
        <v>6300.2</v>
      </c>
      <c r="V17" s="35"/>
      <c r="W17" s="35">
        <f>G50/1000000</f>
        <v>5653.1</v>
      </c>
      <c r="X17" s="35"/>
      <c r="Y17" s="35">
        <f>I50/1000000</f>
        <v>5006.3999999999996</v>
      </c>
      <c r="Z17" s="35"/>
      <c r="AA17" s="35">
        <f>K50/1000000</f>
        <v>4665.6000000000004</v>
      </c>
      <c r="AB17" s="35"/>
    </row>
    <row r="18" spans="1:30" x14ac:dyDescent="0.4">
      <c r="C18" s="46"/>
      <c r="E18" s="46"/>
      <c r="G18" s="46"/>
      <c r="I18" s="46"/>
      <c r="K18" s="46"/>
      <c r="M18" s="46"/>
      <c r="N18" s="46"/>
      <c r="O18" s="46"/>
      <c r="Q18" s="17" t="s">
        <v>1298</v>
      </c>
      <c r="S18" s="36">
        <f>C19/1000000</f>
        <v>955.5</v>
      </c>
      <c r="T18" s="35"/>
      <c r="U18" s="36">
        <f>E19/1000000</f>
        <v>1037.5</v>
      </c>
      <c r="V18" s="35"/>
      <c r="W18" s="36">
        <f>G19/1000000</f>
        <v>672</v>
      </c>
      <c r="X18" s="35"/>
      <c r="Y18" s="36">
        <f>I19/1000000</f>
        <v>648</v>
      </c>
      <c r="Z18" s="35"/>
      <c r="AA18" s="36">
        <f>K19/1000000</f>
        <v>743.2</v>
      </c>
      <c r="AB18" s="35"/>
    </row>
    <row r="19" spans="1:30" x14ac:dyDescent="0.4">
      <c r="A19" s="17" t="s">
        <v>1299</v>
      </c>
      <c r="B19" s="17" t="s">
        <v>1300</v>
      </c>
      <c r="C19" s="46">
        <f>955.5*1000000</f>
        <v>955500000</v>
      </c>
      <c r="E19" s="46">
        <f>1037.5*1000000</f>
        <v>1037500000</v>
      </c>
      <c r="G19" s="46">
        <v>672000000</v>
      </c>
      <c r="I19" s="46">
        <v>648000000</v>
      </c>
      <c r="K19" s="46">
        <v>743200000</v>
      </c>
      <c r="M19" s="46">
        <v>553600000</v>
      </c>
      <c r="N19" s="46"/>
      <c r="O19" s="46"/>
      <c r="Q19" s="17" t="s">
        <v>1301</v>
      </c>
      <c r="S19" s="37">
        <f>SUM(S17:S18)</f>
        <v>7825.4</v>
      </c>
      <c r="T19" s="35"/>
      <c r="U19" s="37">
        <f>SUM(U17:U18)</f>
        <v>7337.7</v>
      </c>
      <c r="V19" s="35"/>
      <c r="W19" s="37">
        <f>SUM(W17:W18)</f>
        <v>6325.1</v>
      </c>
      <c r="X19" s="35"/>
      <c r="Y19" s="37">
        <f>SUM(Y17:Y18)</f>
        <v>5654.4</v>
      </c>
      <c r="Z19" s="35"/>
      <c r="AA19" s="37">
        <f>SUM(AA17:AA18)</f>
        <v>5408.8</v>
      </c>
      <c r="AB19" s="35"/>
    </row>
    <row r="20" spans="1:30" x14ac:dyDescent="0.4">
      <c r="C20" s="153"/>
      <c r="E20" s="153"/>
      <c r="G20" s="46"/>
      <c r="I20" s="46"/>
      <c r="K20" s="46"/>
      <c r="M20" s="46"/>
      <c r="N20" s="46"/>
      <c r="O20" s="46"/>
    </row>
    <row r="21" spans="1:30" x14ac:dyDescent="0.4">
      <c r="A21" s="17" t="s">
        <v>1302</v>
      </c>
      <c r="B21" s="17" t="s">
        <v>1303</v>
      </c>
      <c r="C21" s="153">
        <v>3.86</v>
      </c>
      <c r="E21" s="153">
        <v>3.96</v>
      </c>
      <c r="G21" s="46">
        <v>4.96</v>
      </c>
      <c r="I21" s="46">
        <v>1.44</v>
      </c>
      <c r="K21" s="46">
        <v>3.52</v>
      </c>
      <c r="M21" s="46">
        <v>4.33</v>
      </c>
      <c r="N21" s="46"/>
      <c r="O21" s="46"/>
      <c r="Q21" s="47" t="s">
        <v>1304</v>
      </c>
      <c r="R21" s="47"/>
    </row>
    <row r="22" spans="1:30" x14ac:dyDescent="0.4">
      <c r="A22" s="17" t="s">
        <v>1305</v>
      </c>
      <c r="B22" s="17" t="s">
        <v>79</v>
      </c>
      <c r="C22" s="153">
        <v>75.59</v>
      </c>
      <c r="E22" s="153">
        <v>78.84</v>
      </c>
      <c r="G22" s="17">
        <v>77.48</v>
      </c>
      <c r="I22" s="46">
        <v>87.6</v>
      </c>
      <c r="K22" s="46">
        <v>87.24</v>
      </c>
      <c r="M22" s="46">
        <v>82.25</v>
      </c>
      <c r="N22" s="46"/>
      <c r="O22" s="46"/>
      <c r="Q22" s="17" t="s">
        <v>1306</v>
      </c>
      <c r="S22" s="38">
        <f>(ROUND((C30/(AVERAGE(C54,E54))*100),2))</f>
        <v>4.1500000000000004</v>
      </c>
      <c r="T22" s="39" t="s">
        <v>1090</v>
      </c>
      <c r="U22" s="38">
        <f>(ROUND((E30/(AVERAGE(E54,G54))*100),2))</f>
        <v>3.02</v>
      </c>
      <c r="V22" s="39" t="s">
        <v>1090</v>
      </c>
      <c r="W22" s="38">
        <f>(ROUND((G30/(AVERAGE(G54,I54))*100),2))</f>
        <v>3.14</v>
      </c>
      <c r="X22" s="39" t="s">
        <v>1090</v>
      </c>
      <c r="Y22" s="38">
        <f>(ROUND((I30/(AVERAGE(I54,K54))*100),2))</f>
        <v>3.52</v>
      </c>
      <c r="Z22" s="39" t="s">
        <v>1090</v>
      </c>
      <c r="AA22" s="38">
        <f>(ROUND((K30/(AVERAGE(K54,M54))*100),2))</f>
        <v>3.91</v>
      </c>
      <c r="AB22" s="39" t="s">
        <v>1090</v>
      </c>
      <c r="AC22" s="18"/>
    </row>
    <row r="23" spans="1:30" x14ac:dyDescent="0.4">
      <c r="A23" s="17" t="s">
        <v>1307</v>
      </c>
      <c r="B23" s="17" t="s">
        <v>79</v>
      </c>
      <c r="C23" s="153">
        <v>54.75</v>
      </c>
      <c r="E23" s="153">
        <v>62</v>
      </c>
      <c r="G23" s="17">
        <v>59.64</v>
      </c>
      <c r="I23" s="46">
        <v>51.52</v>
      </c>
      <c r="K23" s="46">
        <v>71.150000000000006</v>
      </c>
      <c r="M23" s="46">
        <v>61.3</v>
      </c>
      <c r="N23" s="46"/>
      <c r="O23" s="46"/>
      <c r="Q23" s="17" t="s">
        <v>1308</v>
      </c>
      <c r="S23" s="157">
        <f>(ROUND((C36/(AVERAGE(C58,E58))*100),2))</f>
        <v>6.12</v>
      </c>
      <c r="T23" s="39"/>
      <c r="U23" s="157">
        <f>(ROUND((E36/(AVERAGE(E58,G58))*100),2))</f>
        <v>6.12</v>
      </c>
      <c r="V23" s="39"/>
      <c r="W23" s="157">
        <f>(ROUND((G36/(AVERAGE(G58,I58))*100),2))</f>
        <v>6.12</v>
      </c>
      <c r="X23" s="39"/>
      <c r="Y23" s="157">
        <f>(ROUND((I36/(AVERAGE(I58,K58))*100),2))</f>
        <v>6.12</v>
      </c>
      <c r="Z23" s="39"/>
      <c r="AA23" s="157">
        <f>(ROUND((K36/(AVERAGE(K58,M58))*100),2))</f>
        <v>2.81</v>
      </c>
      <c r="AB23" s="39"/>
    </row>
    <row r="24" spans="1:30" x14ac:dyDescent="0.4">
      <c r="C24" s="153"/>
      <c r="E24" s="153"/>
      <c r="G24" s="46"/>
      <c r="I24" s="46"/>
      <c r="K24" s="46"/>
      <c r="M24" s="46"/>
      <c r="N24" s="46"/>
      <c r="O24" s="46"/>
      <c r="AC24" s="1485" t="s">
        <v>1285</v>
      </c>
      <c r="AD24" s="1485"/>
    </row>
    <row r="25" spans="1:30" x14ac:dyDescent="0.4">
      <c r="C25" s="153"/>
      <c r="E25" s="153"/>
      <c r="G25" s="46"/>
      <c r="I25" s="46"/>
      <c r="K25" s="46"/>
      <c r="M25" s="46"/>
      <c r="N25" s="46"/>
      <c r="O25" s="46"/>
      <c r="Q25" s="47" t="s">
        <v>1251</v>
      </c>
      <c r="R25" s="47"/>
      <c r="AC25" s="1485" t="s">
        <v>1286</v>
      </c>
      <c r="AD25" s="1485"/>
    </row>
    <row r="26" spans="1:30" x14ac:dyDescent="0.4">
      <c r="A26" s="17" t="s">
        <v>1309</v>
      </c>
      <c r="B26" s="17" t="s">
        <v>79</v>
      </c>
      <c r="C26" s="153">
        <v>3.02</v>
      </c>
      <c r="E26" s="153">
        <v>2.74</v>
      </c>
      <c r="G26" s="46">
        <v>2.6</v>
      </c>
      <c r="I26" s="46">
        <v>2.4900000000000002</v>
      </c>
      <c r="K26" s="46">
        <v>2.37</v>
      </c>
      <c r="M26" s="46">
        <v>2.25</v>
      </c>
      <c r="N26" s="46"/>
      <c r="O26" s="46"/>
      <c r="Q26" s="17" t="s">
        <v>1310</v>
      </c>
    </row>
    <row r="27" spans="1:30" x14ac:dyDescent="0.4">
      <c r="C27" s="153"/>
      <c r="E27" s="153"/>
      <c r="G27" s="46"/>
      <c r="I27" s="46"/>
      <c r="K27" s="46"/>
      <c r="M27" s="46"/>
      <c r="N27" s="46"/>
      <c r="O27" s="46"/>
      <c r="Q27" s="17" t="s">
        <v>1311</v>
      </c>
      <c r="S27" s="38">
        <f>ROUND(((C12/C50)*100),2)</f>
        <v>54.01</v>
      </c>
      <c r="T27" s="39" t="s">
        <v>1090</v>
      </c>
      <c r="U27" s="38">
        <f>ROUND(((E12/E50)*100),2)</f>
        <v>51.42</v>
      </c>
      <c r="V27" s="39" t="s">
        <v>1090</v>
      </c>
      <c r="W27" s="38">
        <f>ROUND(((G12/G50)*100),2)</f>
        <v>52.98</v>
      </c>
      <c r="X27" s="39" t="s">
        <v>1090</v>
      </c>
      <c r="Y27" s="38">
        <f>ROUND(((I12/I50)*100),2)</f>
        <v>49.62</v>
      </c>
      <c r="Z27" s="39" t="s">
        <v>1090</v>
      </c>
      <c r="AA27" s="38">
        <f>ROUND(((K12/K50)*100),2)</f>
        <v>45.49</v>
      </c>
      <c r="AB27" s="39" t="s">
        <v>1090</v>
      </c>
      <c r="AC27" s="38">
        <f>ROUND(AVERAGE(S27:AB27),2)</f>
        <v>50.7</v>
      </c>
      <c r="AD27" s="39" t="s">
        <v>1090</v>
      </c>
    </row>
    <row r="28" spans="1:30" x14ac:dyDescent="0.4">
      <c r="A28" s="17" t="s">
        <v>1252</v>
      </c>
      <c r="B28" s="17" t="s">
        <v>1252</v>
      </c>
      <c r="C28" s="46">
        <f>(8.6+3.1+2.3)*1000000</f>
        <v>14000000</v>
      </c>
      <c r="E28" s="46">
        <f>(4.5+0.6+3.2)*1000000</f>
        <v>8300000.0000000009</v>
      </c>
      <c r="G28" s="46">
        <f>(4.4+0.2+3.2)*1000000</f>
        <v>7800000.0000000009</v>
      </c>
      <c r="I28" s="46">
        <f>(5.8+0.8+1.9)*1000000</f>
        <v>8500000</v>
      </c>
      <c r="K28" s="46">
        <f>(6.8+1.9)*1000000</f>
        <v>8700000</v>
      </c>
      <c r="M28" s="46">
        <f>(2.6+0.9)*1000000</f>
        <v>3500000</v>
      </c>
      <c r="N28" s="46"/>
      <c r="O28" s="46"/>
      <c r="Q28" s="17" t="s">
        <v>1312</v>
      </c>
      <c r="S28" s="38">
        <f>ROUND(((SUM(C13,C17)/C50)*100),2)</f>
        <v>3.52</v>
      </c>
      <c r="T28" s="39"/>
      <c r="U28" s="38">
        <f>ROUND(((SUM(E13,E17)/E50)*100),2)</f>
        <v>3.84</v>
      </c>
      <c r="V28" s="39"/>
      <c r="W28" s="38">
        <f>ROUND(((SUM(G13,G17)/G50)*100),2)</f>
        <v>4.28</v>
      </c>
      <c r="X28" s="39"/>
      <c r="Y28" s="38">
        <f>ROUND(((SUM(I13,I17)/I50)*100),2)</f>
        <v>4.83</v>
      </c>
      <c r="Z28" s="39"/>
      <c r="AA28" s="38">
        <f>ROUND(((SUM(K13,K17)/K50)*100),2)</f>
        <v>5.19</v>
      </c>
      <c r="AB28" s="39"/>
      <c r="AC28" s="38">
        <f>ROUND(AVERAGE(S28:AB28),2)</f>
        <v>4.33</v>
      </c>
      <c r="AD28" s="39"/>
    </row>
    <row r="29" spans="1:30" x14ac:dyDescent="0.4">
      <c r="C29" s="153"/>
      <c r="E29" s="153"/>
      <c r="G29" s="46"/>
      <c r="I29" s="46"/>
      <c r="K29" s="46"/>
      <c r="M29" s="46"/>
      <c r="N29" s="46"/>
      <c r="O29" s="46"/>
      <c r="Q29" s="17" t="s">
        <v>1313</v>
      </c>
      <c r="S29" s="41">
        <f>ROUND(((C16/C50)*100),2)</f>
        <v>42.46</v>
      </c>
      <c r="T29" s="39"/>
      <c r="U29" s="41">
        <f>ROUND(((E16/E50)*100),2)</f>
        <v>44.74</v>
      </c>
      <c r="V29" s="39"/>
      <c r="W29" s="41">
        <f>ROUND(((G16/G50)*100),2)</f>
        <v>42.74</v>
      </c>
      <c r="X29" s="39"/>
      <c r="Y29" s="41">
        <f>ROUND(((I16/I50)*100),2)</f>
        <v>45.55</v>
      </c>
      <c r="Z29" s="39"/>
      <c r="AA29" s="41">
        <f>ROUND(((K16/K50)*100),2)</f>
        <v>49.32</v>
      </c>
      <c r="AB29" s="39"/>
      <c r="AC29" s="38">
        <f>ROUND(AVERAGE(S29:AB29),2)-0.01</f>
        <v>44.95</v>
      </c>
      <c r="AD29" s="39"/>
    </row>
    <row r="30" spans="1:30" x14ac:dyDescent="0.4">
      <c r="A30" s="17" t="s">
        <v>1314</v>
      </c>
      <c r="B30" s="17" t="s">
        <v>1315</v>
      </c>
      <c r="C30" s="46">
        <f>(185.7)*1000000</f>
        <v>185700000</v>
      </c>
      <c r="E30" s="46">
        <f>119.8*1000000</f>
        <v>119800000</v>
      </c>
      <c r="G30" s="46">
        <v>106600000</v>
      </c>
      <c r="I30" s="46">
        <v>105500000</v>
      </c>
      <c r="K30" s="46">
        <v>104400000</v>
      </c>
      <c r="M30" s="46">
        <v>98400000</v>
      </c>
      <c r="N30" s="46"/>
      <c r="O30" s="46"/>
      <c r="Q30" s="17" t="s">
        <v>1316</v>
      </c>
      <c r="S30" s="42">
        <f>SUM(S27:S29)</f>
        <v>99.990000000000009</v>
      </c>
      <c r="T30" s="39" t="s">
        <v>1090</v>
      </c>
      <c r="U30" s="42">
        <f>SUM(U27:U29)</f>
        <v>100</v>
      </c>
      <c r="V30" s="39" t="s">
        <v>1090</v>
      </c>
      <c r="W30" s="42">
        <f>SUM(W27:W29)</f>
        <v>100</v>
      </c>
      <c r="X30" s="39" t="s">
        <v>1090</v>
      </c>
      <c r="Y30" s="42">
        <f>SUM(Y27:Y29)</f>
        <v>100</v>
      </c>
      <c r="Z30" s="39" t="s">
        <v>1090</v>
      </c>
      <c r="AA30" s="42">
        <f>SUM(AA27:AA29)</f>
        <v>100</v>
      </c>
      <c r="AB30" s="39" t="s">
        <v>1090</v>
      </c>
      <c r="AC30" s="42">
        <f>SUM(AC27:AC29)</f>
        <v>99.98</v>
      </c>
      <c r="AD30" s="39" t="s">
        <v>1090</v>
      </c>
    </row>
    <row r="31" spans="1:30" x14ac:dyDescent="0.4">
      <c r="C31" s="46"/>
      <c r="E31" s="46"/>
      <c r="G31" s="46"/>
      <c r="I31" s="46"/>
      <c r="K31" s="46"/>
      <c r="M31" s="46"/>
      <c r="N31" s="46"/>
      <c r="O31" s="46"/>
      <c r="AC31" s="174"/>
    </row>
    <row r="32" spans="1:30" x14ac:dyDescent="0.4">
      <c r="A32" s="17" t="s">
        <v>1317</v>
      </c>
      <c r="B32" s="17" t="s">
        <v>1318</v>
      </c>
      <c r="C32" s="46">
        <f>(217.5)*1000000</f>
        <v>217500000</v>
      </c>
      <c r="E32" s="46">
        <f>220.8*1000000</f>
        <v>220800000</v>
      </c>
      <c r="G32" s="46">
        <v>271700000</v>
      </c>
      <c r="I32" s="46">
        <v>88600000</v>
      </c>
      <c r="K32" s="46">
        <v>184600000</v>
      </c>
      <c r="M32" s="46">
        <v>214200000</v>
      </c>
      <c r="N32" s="46"/>
      <c r="O32" s="46"/>
      <c r="Q32" s="17" t="s">
        <v>1319</v>
      </c>
    </row>
    <row r="33" spans="1:30" x14ac:dyDescent="0.4">
      <c r="A33" s="48"/>
      <c r="B33" s="48"/>
      <c r="C33" s="46"/>
      <c r="D33" s="48"/>
      <c r="E33" s="46"/>
      <c r="F33" s="48"/>
      <c r="G33" s="49"/>
      <c r="H33" s="48"/>
      <c r="I33" s="49"/>
      <c r="J33" s="48"/>
      <c r="K33" s="49"/>
      <c r="L33" s="48"/>
      <c r="M33" s="49"/>
      <c r="N33" s="49"/>
      <c r="O33" s="49"/>
      <c r="Q33" s="17" t="s">
        <v>1320</v>
      </c>
      <c r="S33" s="38">
        <f>ROUND((((C12+C19)/C56)*100),2)</f>
        <v>59.63</v>
      </c>
      <c r="T33" s="39" t="s">
        <v>1090</v>
      </c>
      <c r="U33" s="38">
        <f>ROUND((((E12+E19)/E56)*100),2)</f>
        <v>58.29</v>
      </c>
      <c r="V33" s="39" t="s">
        <v>1090</v>
      </c>
      <c r="W33" s="38">
        <f>ROUND((((G12+G19)/G56)*100),2)</f>
        <v>57.97</v>
      </c>
      <c r="X33" s="39" t="s">
        <v>1090</v>
      </c>
      <c r="Y33" s="38">
        <f>ROUND((((I12+I19)/I56)*100),2)</f>
        <v>55.39</v>
      </c>
      <c r="Z33" s="39" t="s">
        <v>1090</v>
      </c>
      <c r="AA33" s="38">
        <f>ROUND((((K12+K19)/K56)*100),2)+0.01</f>
        <v>52.989999999999995</v>
      </c>
      <c r="AB33" s="38" t="s">
        <v>1090</v>
      </c>
      <c r="AC33" s="38">
        <f>ROUND(AVERAGE(S33:AB33),2)</f>
        <v>56.85</v>
      </c>
      <c r="AD33" s="39" t="s">
        <v>1090</v>
      </c>
    </row>
    <row r="34" spans="1:30" x14ac:dyDescent="0.4">
      <c r="A34" s="17" t="s">
        <v>1321</v>
      </c>
      <c r="B34" s="17" t="s">
        <v>1322</v>
      </c>
      <c r="C34" s="46">
        <f>202.4*1000000</f>
        <v>202400000</v>
      </c>
      <c r="E34" s="46">
        <f>205.7*1000000</f>
        <v>205700000</v>
      </c>
      <c r="G34" s="46">
        <v>256500000</v>
      </c>
      <c r="I34" s="46">
        <v>73700000</v>
      </c>
      <c r="K34" s="46">
        <v>178900000</v>
      </c>
      <c r="M34" s="46">
        <v>213700000</v>
      </c>
      <c r="N34" s="46"/>
      <c r="O34" s="46"/>
      <c r="Q34" s="17" t="s">
        <v>1312</v>
      </c>
      <c r="S34" s="38">
        <f>ROUND((((SUM(C13,C17))/C56)*100),2)</f>
        <v>3.09</v>
      </c>
      <c r="T34" s="39"/>
      <c r="U34" s="38">
        <f>ROUND((((SUM(E13,E17))/E56)*100),2)</f>
        <v>3.3</v>
      </c>
      <c r="V34" s="39"/>
      <c r="W34" s="38">
        <f>ROUND((((SUM(G13,G17))/G56)*100),2)</f>
        <v>3.83</v>
      </c>
      <c r="X34" s="39"/>
      <c r="Y34" s="38">
        <f>ROUND((((SUM(I13,I17))/I56)*100),2)</f>
        <v>4.28</v>
      </c>
      <c r="Z34" s="39"/>
      <c r="AA34" s="38">
        <f>ROUND((((SUM(K13,K17))/K56)*100),2)</f>
        <v>4.47</v>
      </c>
      <c r="AB34" s="38"/>
      <c r="AC34" s="38">
        <f>ROUND(AVERAGE(S34:AB34),2)</f>
        <v>3.79</v>
      </c>
      <c r="AD34" s="39"/>
    </row>
    <row r="35" spans="1:30" x14ac:dyDescent="0.4">
      <c r="C35" s="46"/>
      <c r="E35" s="46"/>
      <c r="G35" s="46"/>
      <c r="I35" s="46"/>
      <c r="K35" s="46"/>
      <c r="M35" s="46"/>
      <c r="N35" s="46"/>
      <c r="O35" s="46"/>
      <c r="Q35" s="17" t="s">
        <v>1313</v>
      </c>
      <c r="S35" s="41">
        <f>ROUND((((C16)/C56)*100),2)</f>
        <v>37.28</v>
      </c>
      <c r="T35" s="39"/>
      <c r="U35" s="41">
        <f>ROUND((((E16)/E56)*100),2)</f>
        <v>38.409999999999997</v>
      </c>
      <c r="V35" s="39"/>
      <c r="W35" s="41">
        <f>ROUND((((G16)/G56)*100),2)</f>
        <v>38.200000000000003</v>
      </c>
      <c r="X35" s="39"/>
      <c r="Y35" s="41">
        <f>ROUND((((I16)/I56)*100),2)</f>
        <v>40.33</v>
      </c>
      <c r="Z35" s="39"/>
      <c r="AA35" s="41">
        <f>ROUND((((K16)/K56)*100),2)</f>
        <v>42.54</v>
      </c>
      <c r="AB35" s="38"/>
      <c r="AC35" s="38">
        <f>ROUND(AVERAGE(S35:AB35),2)</f>
        <v>39.35</v>
      </c>
      <c r="AD35" s="39"/>
    </row>
    <row r="36" spans="1:30" x14ac:dyDescent="0.4">
      <c r="A36" s="17" t="s">
        <v>1323</v>
      </c>
      <c r="B36" s="17" t="s">
        <v>1324</v>
      </c>
      <c r="C36" s="46">
        <v>14800000</v>
      </c>
      <c r="E36" s="46">
        <v>14800000</v>
      </c>
      <c r="G36" s="46">
        <v>14800000</v>
      </c>
      <c r="I36" s="46">
        <v>14800000</v>
      </c>
      <c r="K36" s="46">
        <v>3400000</v>
      </c>
      <c r="M36" s="46">
        <v>0</v>
      </c>
      <c r="N36" s="46"/>
      <c r="O36" s="46"/>
      <c r="Q36" s="17" t="s">
        <v>1316</v>
      </c>
      <c r="S36" s="42">
        <f>SUM(S33:S35)</f>
        <v>100</v>
      </c>
      <c r="T36" s="39" t="s">
        <v>1090</v>
      </c>
      <c r="U36" s="42">
        <f>SUM(U33:U35)</f>
        <v>100</v>
      </c>
      <c r="V36" s="39" t="s">
        <v>1090</v>
      </c>
      <c r="W36" s="42">
        <f>SUM(W33:W35)</f>
        <v>100</v>
      </c>
      <c r="X36" s="39" t="s">
        <v>1090</v>
      </c>
      <c r="Y36" s="42">
        <f>SUM(Y33:Y35)</f>
        <v>100</v>
      </c>
      <c r="Z36" s="39" t="s">
        <v>1090</v>
      </c>
      <c r="AA36" s="42">
        <f>SUM(AA33:AA35)</f>
        <v>100</v>
      </c>
      <c r="AB36" s="38" t="s">
        <v>1090</v>
      </c>
      <c r="AC36" s="42">
        <f>SUM(AC33:AC35)</f>
        <v>99.990000000000009</v>
      </c>
      <c r="AD36" s="39" t="s">
        <v>1090</v>
      </c>
    </row>
    <row r="37" spans="1:30" x14ac:dyDescent="0.4">
      <c r="C37" s="46"/>
      <c r="E37" s="46"/>
      <c r="G37" s="46"/>
      <c r="I37" s="46"/>
      <c r="K37" s="46"/>
      <c r="M37" s="46"/>
      <c r="N37" s="46"/>
      <c r="O37" s="46"/>
    </row>
    <row r="38" spans="1:30" x14ac:dyDescent="0.4">
      <c r="A38" s="17" t="s">
        <v>1325</v>
      </c>
      <c r="B38" s="17" t="s">
        <v>1326</v>
      </c>
      <c r="C38" s="46">
        <f>150.7*1000000</f>
        <v>150700000</v>
      </c>
      <c r="E38" s="46">
        <f>141.9*1000000</f>
        <v>141900000</v>
      </c>
      <c r="G38" s="46">
        <f>133200000</f>
        <v>133200000</v>
      </c>
      <c r="I38" s="46">
        <f>128000000</f>
        <v>128000000</v>
      </c>
      <c r="K38" s="46">
        <v>119000000</v>
      </c>
      <c r="M38" s="46">
        <v>112100000</v>
      </c>
      <c r="N38" s="46"/>
      <c r="O38" s="46"/>
    </row>
    <row r="39" spans="1:30" x14ac:dyDescent="0.4">
      <c r="C39" s="46"/>
      <c r="E39" s="46"/>
      <c r="G39" s="46"/>
      <c r="I39" s="46"/>
      <c r="K39" s="46"/>
      <c r="M39" s="46"/>
      <c r="N39" s="46"/>
      <c r="O39" s="46"/>
    </row>
    <row r="40" spans="1:30" x14ac:dyDescent="0.4">
      <c r="A40" s="17" t="s">
        <v>1327</v>
      </c>
      <c r="B40" s="17" t="s">
        <v>1328</v>
      </c>
      <c r="C40" s="46">
        <f>C32</f>
        <v>217500000</v>
      </c>
      <c r="E40" s="46">
        <f>E32</f>
        <v>220800000</v>
      </c>
      <c r="G40" s="46">
        <f>G32</f>
        <v>271700000</v>
      </c>
      <c r="I40" s="46">
        <f>I32</f>
        <v>88600000</v>
      </c>
      <c r="K40" s="46">
        <f>K32</f>
        <v>184600000</v>
      </c>
      <c r="M40" s="46">
        <f>M32</f>
        <v>214200000</v>
      </c>
      <c r="N40" s="46"/>
      <c r="O40" s="46"/>
      <c r="Q40" s="47" t="s">
        <v>1329</v>
      </c>
      <c r="R40" s="47"/>
    </row>
    <row r="41" spans="1:30" x14ac:dyDescent="0.4">
      <c r="A41" s="17" t="s">
        <v>1330</v>
      </c>
      <c r="B41" s="17" t="s">
        <v>1331</v>
      </c>
      <c r="C41" s="46">
        <f>440.2*1000000</f>
        <v>440200000</v>
      </c>
      <c r="E41" s="46">
        <v>55000000</v>
      </c>
      <c r="G41" s="46">
        <f>249800000+(195.8*1000000)</f>
        <v>445600000</v>
      </c>
      <c r="I41" s="46">
        <v>469900000</v>
      </c>
      <c r="K41" s="46">
        <v>450900000</v>
      </c>
      <c r="M41" s="46">
        <v>456600000</v>
      </c>
      <c r="N41" s="46"/>
      <c r="O41" s="46"/>
      <c r="Q41" s="47"/>
      <c r="R41" s="47"/>
    </row>
    <row r="42" spans="1:30" x14ac:dyDescent="0.4">
      <c r="A42" s="17" t="s">
        <v>1332</v>
      </c>
      <c r="B42" s="17" t="s">
        <v>1333</v>
      </c>
      <c r="C42" s="46">
        <f>(334.2+142.8-68.7-389.2+1.5+15-117.6)*1000000</f>
        <v>-81999999.99999997</v>
      </c>
      <c r="E42" s="46">
        <f>(-26.5-117.2-409+190.7-25.5+11.2-93.5)*1000000</f>
        <v>-469800000.00000006</v>
      </c>
      <c r="G42" s="46">
        <f>((-343+195.8)-111+76.6+177.7-12.4+8.9+17.3)*1000000</f>
        <v>9899999.9999999963</v>
      </c>
      <c r="I42" s="46">
        <f>(36.2+2.6+0.6+-43.1+7+2.9+8.2)*1000000</f>
        <v>14400000.000000004</v>
      </c>
      <c r="K42" s="46">
        <f>(2.7+13.6+12.4-6.4+3.5-4)*1000000</f>
        <v>21800000.000000004</v>
      </c>
      <c r="M42" s="46">
        <f>(-32.7+15.5+109+12.6-12.8+6.4-39.5)*1000000</f>
        <v>58500000</v>
      </c>
      <c r="N42" s="46"/>
      <c r="O42" s="46"/>
      <c r="Q42" s="47" t="s">
        <v>1334</v>
      </c>
      <c r="R42" s="47"/>
    </row>
    <row r="43" spans="1:30" x14ac:dyDescent="0.4">
      <c r="A43" s="17" t="s">
        <v>1335</v>
      </c>
      <c r="B43" s="17" t="s">
        <v>1336</v>
      </c>
      <c r="C43" s="46">
        <f>254.8*1000000</f>
        <v>254800000</v>
      </c>
      <c r="E43" s="46">
        <f>237.3*1000000</f>
        <v>237300000</v>
      </c>
      <c r="G43" s="46">
        <v>213100000</v>
      </c>
      <c r="I43" s="46">
        <v>197300000</v>
      </c>
      <c r="K43" s="46">
        <v>181700000</v>
      </c>
      <c r="M43" s="46">
        <v>168400000</v>
      </c>
      <c r="N43" s="46"/>
      <c r="O43" s="46"/>
      <c r="Q43" s="17" t="s">
        <v>1337</v>
      </c>
      <c r="S43" s="38">
        <f>ROUND(C21/C52,4)*100</f>
        <v>5.92</v>
      </c>
      <c r="T43" s="39" t="s">
        <v>1090</v>
      </c>
      <c r="U43" s="38">
        <f>ROUND(E21/E52,4)*100</f>
        <v>5.62</v>
      </c>
      <c r="V43" s="39" t="s">
        <v>1090</v>
      </c>
      <c r="W43" s="38">
        <f>ROUND(G21/G52,4)*100</f>
        <v>7.23</v>
      </c>
      <c r="X43" s="39" t="s">
        <v>1090</v>
      </c>
      <c r="Y43" s="38">
        <f>ROUND(I21/I52,4)*100</f>
        <v>2.0699999999999998</v>
      </c>
      <c r="Z43" s="39" t="s">
        <v>1090</v>
      </c>
      <c r="AA43" s="38">
        <f>ROUND(K21/K52,4)*100</f>
        <v>4.4400000000000004</v>
      </c>
      <c r="AB43" s="39" t="s">
        <v>1090</v>
      </c>
      <c r="AC43" s="38">
        <f>ROUND(AVERAGE(S43:AB43),2)</f>
        <v>5.0599999999999996</v>
      </c>
      <c r="AD43" s="39" t="s">
        <v>1090</v>
      </c>
    </row>
    <row r="44" spans="1:30" x14ac:dyDescent="0.4">
      <c r="A44" s="17" t="s">
        <v>1338</v>
      </c>
      <c r="B44" s="17" t="s">
        <v>1339</v>
      </c>
      <c r="C44" s="46">
        <f>38.8*1000000</f>
        <v>38800000</v>
      </c>
      <c r="E44" s="46">
        <f>58.9*1000000</f>
        <v>58900000</v>
      </c>
      <c r="G44" s="46">
        <v>68500000</v>
      </c>
      <c r="I44" s="46">
        <v>12400000</v>
      </c>
      <c r="K44" s="46">
        <v>34500000</v>
      </c>
      <c r="M44" s="46">
        <v>-26500000</v>
      </c>
      <c r="N44" s="46"/>
      <c r="O44" s="46"/>
      <c r="Q44" s="17" t="s">
        <v>1340</v>
      </c>
      <c r="S44" s="38">
        <f>(ROUND((C52/(AVERAGE(C48,E48))*100),2))</f>
        <v>120.06</v>
      </c>
      <c r="U44" s="38">
        <f>(ROUND((E52/(AVERAGE(E48,G48))*100),2))</f>
        <v>140.22</v>
      </c>
      <c r="W44" s="38">
        <f>(ROUND((G52/(AVERAGE(G48,I48))*100),2))</f>
        <v>150.80000000000001</v>
      </c>
      <c r="Y44" s="38">
        <f>(ROUND((I52/(AVERAGE(I48,K48))*100),2))</f>
        <v>155.75</v>
      </c>
      <c r="AA44" s="38">
        <f>(ROUND((K52/(AVERAGE(K48,M48))*100),2))</f>
        <v>176.67</v>
      </c>
      <c r="AC44" s="38">
        <f>ROUND(AVERAGE(S44:AB44),2)</f>
        <v>148.69999999999999</v>
      </c>
    </row>
    <row r="45" spans="1:30" x14ac:dyDescent="0.4">
      <c r="C45" s="153"/>
      <c r="E45" s="153"/>
      <c r="G45" s="46"/>
      <c r="I45" s="46"/>
      <c r="K45" s="46"/>
      <c r="M45" s="46"/>
      <c r="N45" s="46"/>
      <c r="O45" s="46"/>
      <c r="Q45" s="17" t="s">
        <v>1341</v>
      </c>
      <c r="S45" s="38">
        <f>ROUND(((+C26/C52)*100),2)</f>
        <v>4.63</v>
      </c>
      <c r="U45" s="38">
        <f>ROUND(((+E26/E52)*100),2)</f>
        <v>3.89</v>
      </c>
      <c r="W45" s="38">
        <f>ROUND(((+G26/G52)*100),2)</f>
        <v>3.79</v>
      </c>
      <c r="Y45" s="38">
        <f>ROUND(((+I26/I52)*100),2)</f>
        <v>3.58</v>
      </c>
      <c r="AA45" s="38">
        <f>ROUND(((+K26/K52)*100),2)</f>
        <v>2.99</v>
      </c>
      <c r="AC45" s="38">
        <f>ROUND(AVERAGE(S45:AB45),2)</f>
        <v>3.78</v>
      </c>
    </row>
    <row r="46" spans="1:30" x14ac:dyDescent="0.4">
      <c r="A46" s="17" t="s">
        <v>1342</v>
      </c>
      <c r="C46" s="153"/>
      <c r="E46" s="153"/>
      <c r="G46" s="46"/>
      <c r="I46" s="46"/>
      <c r="K46" s="46"/>
      <c r="M46" s="46"/>
      <c r="N46" s="46"/>
      <c r="O46" s="46"/>
      <c r="Q46" s="17" t="s">
        <v>1343</v>
      </c>
      <c r="S46" s="38">
        <f>ROUND(((+C38/C34)*100),2)</f>
        <v>74.459999999999994</v>
      </c>
      <c r="U46" s="38">
        <f>ROUND(((+E38/E34)*100),2)</f>
        <v>68.98</v>
      </c>
      <c r="W46" s="38">
        <f>ROUND(((+G38/G34)*100),2)</f>
        <v>51.93</v>
      </c>
      <c r="Y46" s="38">
        <f>ROUND(((+I38/I34)*100),2)</f>
        <v>173.68</v>
      </c>
      <c r="AA46" s="38">
        <f>ROUND(((+K38/K34)*100),2)</f>
        <v>66.52</v>
      </c>
      <c r="AC46" s="38">
        <f>ROUND(AVERAGE(S46:AB46),2)</f>
        <v>87.11</v>
      </c>
    </row>
    <row r="47" spans="1:30" x14ac:dyDescent="0.4">
      <c r="C47" s="153"/>
      <c r="E47" s="153"/>
      <c r="G47" s="46"/>
      <c r="I47" s="46"/>
      <c r="K47" s="46"/>
      <c r="M47" s="46"/>
      <c r="N47" s="46"/>
      <c r="O47" s="46"/>
      <c r="S47" s="38"/>
      <c r="U47" s="38"/>
      <c r="W47" s="38"/>
      <c r="Y47" s="38"/>
      <c r="AA47" s="38"/>
      <c r="AC47" s="38"/>
    </row>
    <row r="48" spans="1:30" x14ac:dyDescent="0.4">
      <c r="A48" s="17" t="s">
        <v>1344</v>
      </c>
      <c r="B48" s="17" t="s">
        <v>1345</v>
      </c>
      <c r="C48" s="46">
        <f>C16/C15</f>
        <v>54.867175282165448</v>
      </c>
      <c r="E48" s="46">
        <f>E16/E15</f>
        <v>53.691295112331964</v>
      </c>
      <c r="G48" s="46">
        <f>G16/G15</f>
        <v>46.748678912555533</v>
      </c>
      <c r="I48" s="46">
        <f>I16/I15</f>
        <v>44.181766301493639</v>
      </c>
      <c r="K48" s="46">
        <f>K16/K15</f>
        <v>45.141089446156499</v>
      </c>
      <c r="M48" s="46">
        <f>M16/M15</f>
        <v>44.5098736473347</v>
      </c>
      <c r="N48" s="46"/>
      <c r="O48" s="46"/>
      <c r="Q48" s="47" t="s">
        <v>1253</v>
      </c>
      <c r="R48" s="47"/>
      <c r="S48" s="38">
        <f>ROUND(((C34/AVERAGE(C16,E16))*100),2)</f>
        <v>7.06</v>
      </c>
      <c r="T48" s="17" t="s">
        <v>1090</v>
      </c>
      <c r="U48" s="38">
        <f>ROUND(((E34/AVERAGE(E16,G16))*100),2)</f>
        <v>7.86</v>
      </c>
      <c r="V48" s="17" t="s">
        <v>1090</v>
      </c>
      <c r="W48" s="38">
        <f>ROUND(((G34/AVERAGE(G16,I16))*100),2)</f>
        <v>10.92</v>
      </c>
      <c r="X48" s="17" t="s">
        <v>1090</v>
      </c>
      <c r="Y48" s="38">
        <f>ROUND(((I34/AVERAGE(I16,K16))*100),2)</f>
        <v>3.22</v>
      </c>
      <c r="Z48" s="17" t="s">
        <v>1090</v>
      </c>
      <c r="AA48" s="38">
        <f>ROUND(((K34/AVERAGE(K16,M16))*100),2)</f>
        <v>7.85</v>
      </c>
      <c r="AB48" s="17" t="s">
        <v>1090</v>
      </c>
      <c r="AC48" s="38">
        <f>ROUND(AVERAGE(S48:AB48),2)</f>
        <v>7.38</v>
      </c>
      <c r="AD48" s="17" t="s">
        <v>1090</v>
      </c>
    </row>
    <row r="49" spans="1:30" x14ac:dyDescent="0.4">
      <c r="C49" s="46"/>
      <c r="E49" s="46"/>
      <c r="G49" s="46"/>
      <c r="I49" s="46"/>
      <c r="K49" s="46"/>
      <c r="M49" s="46"/>
      <c r="N49" s="46"/>
      <c r="O49" s="46"/>
      <c r="S49" s="38"/>
      <c r="U49" s="38"/>
      <c r="W49" s="38"/>
      <c r="Y49" s="38"/>
      <c r="AA49" s="38"/>
      <c r="AC49" s="39"/>
    </row>
    <row r="50" spans="1:30" x14ac:dyDescent="0.4">
      <c r="A50" s="17" t="s">
        <v>1283</v>
      </c>
      <c r="B50" s="17" t="s">
        <v>1345</v>
      </c>
      <c r="C50" s="46">
        <f>SUM(C12:C13,C16:C17)</f>
        <v>6869900000</v>
      </c>
      <c r="E50" s="46">
        <f>SUM(E12:E13,E16:E17)</f>
        <v>6300200000</v>
      </c>
      <c r="G50" s="46">
        <f>SUM(G12:G13,G16:G17)</f>
        <v>5653100000</v>
      </c>
      <c r="I50" s="46">
        <f>SUM(I12:I13,I16:I17)</f>
        <v>5006400000</v>
      </c>
      <c r="K50" s="46">
        <f>SUM(K12:K13,K16:K17)</f>
        <v>4665600000</v>
      </c>
      <c r="M50" s="46">
        <f>SUM(M12:M13,M16:M17)</f>
        <v>4173000000</v>
      </c>
      <c r="N50" s="46"/>
      <c r="O50" s="46"/>
      <c r="Q50" s="47" t="s">
        <v>1254</v>
      </c>
      <c r="R50" s="47"/>
      <c r="S50" s="38">
        <f>ROUND((C54/C62),2)</f>
        <v>6.7</v>
      </c>
      <c r="T50" s="39" t="s">
        <v>1255</v>
      </c>
      <c r="U50" s="38">
        <f>ROUND((E54/E62),2)</f>
        <v>6.72</v>
      </c>
      <c r="V50" s="39" t="s">
        <v>1255</v>
      </c>
      <c r="W50" s="38">
        <f>ROUND((G54/G62),2)</f>
        <v>5.56</v>
      </c>
      <c r="X50" s="39" t="s">
        <v>1255</v>
      </c>
      <c r="Y50" s="38">
        <f>ROUND((I54/I62),2)</f>
        <v>7.76</v>
      </c>
      <c r="Z50" s="39" t="s">
        <v>1255</v>
      </c>
      <c r="AA50" s="38">
        <f>ROUND((K54/K62),2)</f>
        <v>5.67</v>
      </c>
      <c r="AB50" s="39" t="s">
        <v>1255</v>
      </c>
      <c r="AC50" s="38">
        <f>ROUND(AVERAGE(S50:AB50),2)</f>
        <v>6.48</v>
      </c>
      <c r="AD50" s="17" t="s">
        <v>1255</v>
      </c>
    </row>
    <row r="51" spans="1:30" x14ac:dyDescent="0.4">
      <c r="C51" s="46"/>
      <c r="E51" s="46"/>
      <c r="G51" s="46"/>
      <c r="I51" s="46"/>
      <c r="K51" s="46"/>
      <c r="M51" s="46"/>
      <c r="N51" s="46"/>
      <c r="O51" s="46"/>
      <c r="Q51" s="47"/>
      <c r="R51" s="47"/>
      <c r="S51" s="38"/>
      <c r="U51" s="38"/>
      <c r="W51" s="38"/>
      <c r="Y51" s="38"/>
      <c r="AA51" s="38"/>
      <c r="AC51" s="38"/>
    </row>
    <row r="52" spans="1:30" x14ac:dyDescent="0.4">
      <c r="A52" s="17" t="s">
        <v>121</v>
      </c>
      <c r="B52" s="17" t="s">
        <v>1345</v>
      </c>
      <c r="C52" s="46">
        <f>AVERAGE(C22:C23)</f>
        <v>65.17</v>
      </c>
      <c r="E52" s="46">
        <f>AVERAGE(E22:E23)</f>
        <v>70.42</v>
      </c>
      <c r="G52" s="46">
        <f>AVERAGE(G22:G23)</f>
        <v>68.56</v>
      </c>
      <c r="I52" s="46">
        <f>AVERAGE(I22:I23)</f>
        <v>69.56</v>
      </c>
      <c r="K52" s="46">
        <f>AVERAGE(K22:K23)</f>
        <v>79.194999999999993</v>
      </c>
      <c r="M52" s="46">
        <f>AVERAGE(M22:M23)</f>
        <v>71.775000000000006</v>
      </c>
      <c r="N52" s="46"/>
      <c r="O52" s="46"/>
      <c r="Q52" s="47" t="s">
        <v>1256</v>
      </c>
      <c r="R52" s="47"/>
      <c r="S52" s="38">
        <f>ROUND(((C60/C54)*100),2)</f>
        <v>7.38</v>
      </c>
      <c r="T52" s="39" t="s">
        <v>1090</v>
      </c>
      <c r="U52" s="38">
        <f>ROUND(((E60/E54)*100),2)</f>
        <v>-9.89</v>
      </c>
      <c r="V52" s="39" t="s">
        <v>1090</v>
      </c>
      <c r="W52" s="38">
        <f>ROUND(((G60/G54)*100),2)</f>
        <v>12.21</v>
      </c>
      <c r="X52" s="39" t="s">
        <v>1090</v>
      </c>
      <c r="Y52" s="38">
        <f>ROUND(((I60/I54)*100),2)</f>
        <v>15.19</v>
      </c>
      <c r="Z52" s="39" t="s">
        <v>1090</v>
      </c>
      <c r="AA52" s="38">
        <f>ROUND(((K60/K54)*100),2)</f>
        <v>16.190000000000001</v>
      </c>
      <c r="AB52" s="39" t="s">
        <v>1090</v>
      </c>
      <c r="AC52" s="38">
        <f>ROUND(AVERAGE(S52:AB52),2)</f>
        <v>8.2200000000000006</v>
      </c>
      <c r="AD52" s="17" t="s">
        <v>1090</v>
      </c>
    </row>
    <row r="53" spans="1:30" x14ac:dyDescent="0.4">
      <c r="C53" s="46"/>
      <c r="E53" s="46"/>
      <c r="G53" s="46"/>
      <c r="I53" s="46"/>
      <c r="K53" s="46"/>
      <c r="M53" s="46"/>
      <c r="N53" s="46"/>
      <c r="O53" s="46"/>
      <c r="Q53" s="50"/>
      <c r="R53" s="50"/>
      <c r="S53" s="38"/>
      <c r="U53" s="38"/>
      <c r="W53" s="38"/>
      <c r="Y53" s="38"/>
      <c r="AA53" s="38"/>
    </row>
    <row r="54" spans="1:30" x14ac:dyDescent="0.4">
      <c r="A54" s="17" t="s">
        <v>1250</v>
      </c>
      <c r="C54" s="78">
        <f>+C19+C12</f>
        <v>4666100000</v>
      </c>
      <c r="E54" s="78">
        <f>+E19+E12</f>
        <v>4277200000</v>
      </c>
      <c r="G54" s="78">
        <f>+G19+G12</f>
        <v>3666900000</v>
      </c>
      <c r="I54" s="78">
        <f>+I19+I12</f>
        <v>3132100000</v>
      </c>
      <c r="K54" s="78">
        <f>+K19+K12</f>
        <v>2865800000</v>
      </c>
      <c r="M54" s="78">
        <f>+M19+M12</f>
        <v>2471200000</v>
      </c>
      <c r="N54" s="78"/>
      <c r="O54" s="78"/>
      <c r="Q54" s="50" t="s">
        <v>1257</v>
      </c>
      <c r="R54" s="50"/>
      <c r="S54" s="38">
        <f>S33</f>
        <v>59.63</v>
      </c>
      <c r="T54" s="39" t="s">
        <v>1090</v>
      </c>
      <c r="U54" s="38">
        <f>U33</f>
        <v>58.29</v>
      </c>
      <c r="V54" s="39" t="s">
        <v>1090</v>
      </c>
      <c r="W54" s="38">
        <f>W33</f>
        <v>57.97</v>
      </c>
      <c r="X54" s="39" t="s">
        <v>1090</v>
      </c>
      <c r="Y54" s="38">
        <f>Y33</f>
        <v>55.39</v>
      </c>
      <c r="Z54" s="39" t="s">
        <v>1090</v>
      </c>
      <c r="AA54" s="38">
        <f>AA33</f>
        <v>52.989999999999995</v>
      </c>
      <c r="AB54" s="39" t="s">
        <v>1090</v>
      </c>
      <c r="AC54" s="38">
        <f>ROUND(AVERAGE(S54:AB54),2)</f>
        <v>56.85</v>
      </c>
      <c r="AD54" s="39" t="s">
        <v>1090</v>
      </c>
    </row>
    <row r="55" spans="1:30" x14ac:dyDescent="0.4">
      <c r="C55" s="46"/>
      <c r="E55" s="46"/>
      <c r="G55" s="46"/>
      <c r="I55" s="46"/>
      <c r="K55" s="46"/>
      <c r="M55" s="46"/>
      <c r="N55" s="46"/>
      <c r="O55" s="46"/>
    </row>
    <row r="56" spans="1:30" x14ac:dyDescent="0.4">
      <c r="A56" s="17" t="s">
        <v>1346</v>
      </c>
      <c r="B56" s="17" t="s">
        <v>1345</v>
      </c>
      <c r="C56" s="46">
        <f>SUM(C50,C19)</f>
        <v>7825400000</v>
      </c>
      <c r="E56" s="46">
        <f>SUM(E50,E19)</f>
        <v>7337700000</v>
      </c>
      <c r="G56" s="46">
        <f>SUM(G50,G19)</f>
        <v>6325100000</v>
      </c>
      <c r="I56" s="46">
        <f>SUM(I50,I19)</f>
        <v>5654400000</v>
      </c>
      <c r="K56" s="46">
        <f>SUM(K50,K19)</f>
        <v>5408800000</v>
      </c>
      <c r="M56" s="46">
        <f>SUM(M50,M19)</f>
        <v>4726600000</v>
      </c>
      <c r="N56" s="46"/>
      <c r="O56" s="46"/>
    </row>
    <row r="57" spans="1:30" x14ac:dyDescent="0.4">
      <c r="C57" s="46"/>
      <c r="E57" s="46"/>
      <c r="G57" s="46"/>
      <c r="I57" s="46"/>
      <c r="K57" s="46"/>
      <c r="M57" s="46"/>
      <c r="N57" s="46"/>
      <c r="O57" s="46"/>
    </row>
    <row r="58" spans="1:30" x14ac:dyDescent="0.4">
      <c r="A58" s="17" t="s">
        <v>1347</v>
      </c>
      <c r="B58" s="17" t="s">
        <v>1345</v>
      </c>
      <c r="C58" s="46">
        <f>SUM(C13,C17)</f>
        <v>242000000</v>
      </c>
      <c r="E58" s="46">
        <f>SUM(E13,E17)</f>
        <v>242000000</v>
      </c>
      <c r="G58" s="46">
        <f>SUM(G13,G17)</f>
        <v>242000000</v>
      </c>
      <c r="I58" s="46">
        <f>SUM(I13,I17)</f>
        <v>242000000</v>
      </c>
      <c r="K58" s="46">
        <f>SUM(K13,K17)</f>
        <v>242000000</v>
      </c>
      <c r="M58" s="46">
        <f>SUM(M13,M17)</f>
        <v>0</v>
      </c>
      <c r="N58" s="46"/>
      <c r="O58" s="46"/>
    </row>
    <row r="59" spans="1:30" x14ac:dyDescent="0.4">
      <c r="C59" s="46"/>
      <c r="E59" s="46"/>
      <c r="G59" s="46"/>
      <c r="I59" s="46"/>
      <c r="K59" s="46"/>
      <c r="M59" s="46"/>
      <c r="N59" s="46"/>
      <c r="O59" s="46"/>
    </row>
    <row r="60" spans="1:30" x14ac:dyDescent="0.4">
      <c r="A60" s="19" t="s">
        <v>1258</v>
      </c>
      <c r="B60" s="17" t="s">
        <v>1345</v>
      </c>
      <c r="C60" s="46">
        <f>ROUND(C41+C42-C28,3)</f>
        <v>344200000</v>
      </c>
      <c r="E60" s="46">
        <f>ROUND(E41+E42-E28,3)</f>
        <v>-423100000</v>
      </c>
      <c r="G60" s="46">
        <f>ROUND(G41+G42-G28,3)</f>
        <v>447700000</v>
      </c>
      <c r="I60" s="46">
        <f>ROUND(I41+I42-I28,3)</f>
        <v>475800000</v>
      </c>
      <c r="K60" s="46">
        <f>ROUND(K41+K42-K28,3)</f>
        <v>464000000</v>
      </c>
      <c r="M60" s="46">
        <f>ROUND(M41+M42-M28,3)</f>
        <v>511600000</v>
      </c>
      <c r="N60" s="46"/>
      <c r="O60" s="46"/>
    </row>
    <row r="61" spans="1:30" x14ac:dyDescent="0.4">
      <c r="A61" s="19"/>
      <c r="C61" s="46"/>
      <c r="E61" s="46"/>
      <c r="G61" s="46"/>
      <c r="I61" s="46"/>
      <c r="K61" s="46"/>
      <c r="M61" s="46"/>
      <c r="N61" s="46"/>
      <c r="O61" s="46"/>
    </row>
    <row r="62" spans="1:30" x14ac:dyDescent="0.4">
      <c r="A62" s="17" t="s">
        <v>1160</v>
      </c>
      <c r="B62" s="17" t="s">
        <v>1345</v>
      </c>
      <c r="C62" s="46">
        <f>C40+C44+C43+C30</f>
        <v>696800000</v>
      </c>
      <c r="E62" s="46">
        <f>E40+E44+E43+E30</f>
        <v>636800000</v>
      </c>
      <c r="G62" s="46">
        <f>G40+G44+G43+G30</f>
        <v>659900000</v>
      </c>
      <c r="I62" s="46">
        <f>I40+I44+I43+I30</f>
        <v>403800000</v>
      </c>
      <c r="K62" s="46">
        <f>K40+K44+K43+K30</f>
        <v>505200000</v>
      </c>
      <c r="M62" s="46">
        <f>M40+M44+M43+M30</f>
        <v>454500000</v>
      </c>
      <c r="N62" s="46"/>
      <c r="O62" s="46"/>
    </row>
    <row r="63" spans="1:30" x14ac:dyDescent="0.4">
      <c r="K63" s="45"/>
      <c r="L63" s="45"/>
      <c r="M63" s="45"/>
      <c r="N63" s="45"/>
      <c r="O63" s="45"/>
    </row>
    <row r="64" spans="1:30" x14ac:dyDescent="0.4">
      <c r="K64" s="45"/>
      <c r="L64" s="45"/>
      <c r="M64" s="45"/>
      <c r="N64" s="45"/>
      <c r="O64" s="45"/>
    </row>
    <row r="71" spans="11:15" x14ac:dyDescent="0.4">
      <c r="K71" s="45"/>
      <c r="L71" s="45"/>
      <c r="M71" s="45"/>
      <c r="N71" s="45"/>
      <c r="O71" s="45"/>
    </row>
    <row r="81" spans="11:223" x14ac:dyDescent="0.4">
      <c r="HK81" s="51"/>
      <c r="HL81" s="51"/>
      <c r="HO81" s="17" t="s">
        <v>1348</v>
      </c>
    </row>
    <row r="94" spans="11:223" x14ac:dyDescent="0.4">
      <c r="K94" s="45"/>
      <c r="L94" s="45"/>
      <c r="M94" s="45"/>
      <c r="N94" s="45"/>
      <c r="O94" s="45"/>
    </row>
    <row r="95" spans="11:223" x14ac:dyDescent="0.4">
      <c r="K95" s="45"/>
      <c r="L95" s="45"/>
      <c r="M95" s="45"/>
      <c r="N95" s="45"/>
      <c r="O95" s="45"/>
    </row>
    <row r="96" spans="11:223" x14ac:dyDescent="0.4">
      <c r="K96" s="45"/>
      <c r="L96" s="45"/>
      <c r="M96" s="45"/>
      <c r="N96" s="45"/>
      <c r="O96" s="45"/>
    </row>
    <row r="97" spans="11:15" x14ac:dyDescent="0.4">
      <c r="K97" s="45"/>
      <c r="L97" s="45"/>
      <c r="M97" s="45"/>
      <c r="N97" s="45"/>
      <c r="O97" s="45"/>
    </row>
    <row r="98" spans="11:15" x14ac:dyDescent="0.4">
      <c r="K98" s="45"/>
      <c r="L98" s="45"/>
      <c r="M98" s="45"/>
      <c r="N98" s="45"/>
      <c r="O98" s="45"/>
    </row>
    <row r="99" spans="11:15" x14ac:dyDescent="0.4">
      <c r="K99" s="45"/>
      <c r="L99" s="45"/>
      <c r="M99" s="45"/>
      <c r="N99" s="45"/>
      <c r="O99" s="45"/>
    </row>
    <row r="100" spans="11:15" x14ac:dyDescent="0.4">
      <c r="K100" s="45"/>
      <c r="L100" s="45"/>
      <c r="M100" s="45"/>
      <c r="N100" s="45"/>
      <c r="O100" s="45"/>
    </row>
    <row r="101" spans="11:15" x14ac:dyDescent="0.4">
      <c r="K101" s="45"/>
      <c r="L101" s="45"/>
      <c r="M101" s="45"/>
      <c r="N101" s="45"/>
      <c r="O101" s="45"/>
    </row>
    <row r="102" spans="11:15" x14ac:dyDescent="0.4">
      <c r="K102" s="45"/>
      <c r="L102" s="45"/>
      <c r="M102" s="45"/>
      <c r="N102" s="45"/>
      <c r="O102" s="45"/>
    </row>
    <row r="103" spans="11:15" x14ac:dyDescent="0.4">
      <c r="K103" s="45"/>
      <c r="L103" s="45"/>
      <c r="M103" s="45"/>
      <c r="N103" s="45"/>
      <c r="O103" s="45"/>
    </row>
    <row r="104" spans="11:15" x14ac:dyDescent="0.4">
      <c r="K104" s="45"/>
      <c r="L104" s="45"/>
      <c r="M104" s="45"/>
      <c r="N104" s="45"/>
      <c r="O104" s="45"/>
    </row>
    <row r="105" spans="11:15" x14ac:dyDescent="0.4">
      <c r="K105" s="45"/>
      <c r="L105" s="45"/>
      <c r="M105" s="45"/>
      <c r="N105" s="45"/>
      <c r="O105" s="45"/>
    </row>
    <row r="106" spans="11:15" x14ac:dyDescent="0.4">
      <c r="K106" s="45"/>
      <c r="L106" s="45"/>
      <c r="M106" s="45"/>
      <c r="N106" s="45"/>
      <c r="O106" s="45"/>
    </row>
    <row r="107" spans="11:15" x14ac:dyDescent="0.4">
      <c r="K107" s="45"/>
      <c r="L107" s="45"/>
      <c r="M107" s="45"/>
      <c r="N107" s="45"/>
      <c r="O107" s="45"/>
    </row>
    <row r="108" spans="11:15" x14ac:dyDescent="0.4">
      <c r="K108" s="45"/>
      <c r="L108" s="45"/>
      <c r="M108" s="45"/>
      <c r="N108" s="45"/>
      <c r="O108" s="45"/>
    </row>
    <row r="109" spans="11:15" x14ac:dyDescent="0.4">
      <c r="K109" s="45"/>
      <c r="L109" s="45"/>
      <c r="M109" s="45"/>
      <c r="N109" s="45"/>
      <c r="O109" s="45"/>
    </row>
    <row r="110" spans="11:15" x14ac:dyDescent="0.4">
      <c r="K110" s="45"/>
      <c r="L110" s="45"/>
      <c r="M110" s="45"/>
      <c r="N110" s="45"/>
      <c r="O110" s="45"/>
    </row>
    <row r="111" spans="11:15" x14ac:dyDescent="0.4">
      <c r="K111" s="45"/>
      <c r="L111" s="45"/>
      <c r="M111" s="45"/>
      <c r="N111" s="45"/>
      <c r="O111" s="45"/>
    </row>
    <row r="112" spans="11:15" x14ac:dyDescent="0.4">
      <c r="K112" s="45"/>
      <c r="L112" s="45"/>
      <c r="M112" s="45"/>
      <c r="N112" s="45"/>
      <c r="O112" s="45"/>
    </row>
    <row r="113" spans="11:15" x14ac:dyDescent="0.4">
      <c r="K113" s="45"/>
      <c r="L113" s="45"/>
      <c r="M113" s="45"/>
      <c r="N113" s="45"/>
      <c r="O113" s="45"/>
    </row>
    <row r="114" spans="11:15" x14ac:dyDescent="0.4">
      <c r="K114" s="45"/>
      <c r="L114" s="45"/>
      <c r="M114" s="45"/>
      <c r="N114" s="45"/>
      <c r="O114" s="45"/>
    </row>
    <row r="115" spans="11:15" x14ac:dyDescent="0.4">
      <c r="K115" s="45"/>
      <c r="L115" s="45"/>
      <c r="M115" s="45"/>
      <c r="N115" s="45"/>
      <c r="O115" s="45"/>
    </row>
    <row r="116" spans="11:15" x14ac:dyDescent="0.4">
      <c r="K116" s="45"/>
      <c r="L116" s="45"/>
      <c r="M116" s="45"/>
      <c r="N116" s="45"/>
      <c r="O116" s="45"/>
    </row>
    <row r="117" spans="11:15" x14ac:dyDescent="0.4">
      <c r="K117" s="45"/>
      <c r="L117" s="45"/>
      <c r="M117" s="45"/>
      <c r="N117" s="45"/>
      <c r="O117" s="45"/>
    </row>
    <row r="118" spans="11:15" x14ac:dyDescent="0.4">
      <c r="K118" s="45"/>
      <c r="L118" s="45"/>
      <c r="M118" s="45"/>
      <c r="N118" s="45"/>
      <c r="O118" s="45"/>
    </row>
    <row r="119" spans="11:15" x14ac:dyDescent="0.4">
      <c r="K119" s="45"/>
      <c r="L119" s="45"/>
      <c r="M119" s="45"/>
      <c r="N119" s="45"/>
      <c r="O119" s="45"/>
    </row>
    <row r="120" spans="11:15" x14ac:dyDescent="0.4">
      <c r="K120" s="45"/>
      <c r="L120" s="45"/>
      <c r="M120" s="45"/>
      <c r="N120" s="45"/>
      <c r="O120" s="45"/>
    </row>
    <row r="121" spans="11:15" x14ac:dyDescent="0.4">
      <c r="K121" s="45"/>
      <c r="L121" s="45"/>
      <c r="M121" s="45"/>
      <c r="N121" s="45"/>
      <c r="O121" s="45"/>
    </row>
    <row r="122" spans="11:15" x14ac:dyDescent="0.4">
      <c r="K122" s="45"/>
      <c r="L122" s="45"/>
      <c r="M122" s="45"/>
      <c r="N122" s="45"/>
      <c r="O122" s="45"/>
    </row>
    <row r="123" spans="11:15" x14ac:dyDescent="0.4">
      <c r="K123" s="45"/>
      <c r="L123" s="45"/>
      <c r="M123" s="45"/>
      <c r="N123" s="45"/>
      <c r="O123" s="45"/>
    </row>
    <row r="124" spans="11:15" x14ac:dyDescent="0.4">
      <c r="K124" s="45"/>
      <c r="L124" s="45"/>
      <c r="M124" s="45"/>
      <c r="N124" s="45"/>
      <c r="O124" s="45"/>
    </row>
    <row r="125" spans="11:15" x14ac:dyDescent="0.4">
      <c r="K125" s="45"/>
      <c r="L125" s="45"/>
      <c r="M125" s="45"/>
      <c r="N125" s="45"/>
      <c r="O125" s="45"/>
    </row>
    <row r="126" spans="11:15" x14ac:dyDescent="0.4">
      <c r="K126" s="45"/>
      <c r="L126" s="45"/>
      <c r="M126" s="45"/>
      <c r="N126" s="45"/>
      <c r="O126" s="45"/>
    </row>
    <row r="127" spans="11:15" x14ac:dyDescent="0.4">
      <c r="K127" s="45"/>
      <c r="L127" s="45"/>
      <c r="M127" s="45"/>
      <c r="N127" s="45"/>
      <c r="O127" s="45"/>
    </row>
    <row r="128" spans="11:15" x14ac:dyDescent="0.4">
      <c r="K128" s="45"/>
      <c r="L128" s="45"/>
      <c r="M128" s="45"/>
      <c r="N128" s="45"/>
      <c r="O128" s="45"/>
    </row>
    <row r="129" spans="11:15" x14ac:dyDescent="0.4">
      <c r="K129" s="45"/>
      <c r="L129" s="45"/>
      <c r="M129" s="45"/>
      <c r="N129" s="45"/>
      <c r="O129" s="45"/>
    </row>
    <row r="130" spans="11:15" x14ac:dyDescent="0.4">
      <c r="K130" s="45"/>
      <c r="L130" s="45"/>
      <c r="M130" s="45"/>
      <c r="N130" s="45"/>
      <c r="O130" s="45"/>
    </row>
    <row r="131" spans="11:15" x14ac:dyDescent="0.4">
      <c r="K131" s="45"/>
      <c r="L131" s="45"/>
      <c r="M131" s="45"/>
      <c r="N131" s="45"/>
      <c r="O131" s="45"/>
    </row>
    <row r="132" spans="11:15" x14ac:dyDescent="0.4">
      <c r="K132" s="45"/>
      <c r="L132" s="45"/>
      <c r="M132" s="45"/>
      <c r="N132" s="45"/>
      <c r="O132" s="45"/>
    </row>
    <row r="133" spans="11:15" x14ac:dyDescent="0.4">
      <c r="K133" s="45"/>
      <c r="L133" s="45"/>
      <c r="M133" s="45"/>
      <c r="N133" s="45"/>
      <c r="O133" s="45"/>
    </row>
    <row r="134" spans="11:15" x14ac:dyDescent="0.4">
      <c r="K134" s="45"/>
      <c r="L134" s="45"/>
      <c r="M134" s="45"/>
      <c r="N134" s="45"/>
      <c r="O134" s="45"/>
    </row>
    <row r="135" spans="11:15" x14ac:dyDescent="0.4">
      <c r="K135" s="45"/>
      <c r="L135" s="45"/>
      <c r="M135" s="45"/>
      <c r="N135" s="45"/>
      <c r="O135" s="45"/>
    </row>
    <row r="136" spans="11:15" x14ac:dyDescent="0.4">
      <c r="K136" s="45"/>
      <c r="L136" s="45"/>
      <c r="M136" s="45"/>
      <c r="N136" s="45"/>
      <c r="O136" s="45"/>
    </row>
    <row r="137" spans="11:15" x14ac:dyDescent="0.4">
      <c r="K137" s="45"/>
      <c r="L137" s="45"/>
      <c r="M137" s="45"/>
      <c r="N137" s="45"/>
      <c r="O137" s="45"/>
    </row>
    <row r="138" spans="11:15" x14ac:dyDescent="0.4">
      <c r="K138" s="45"/>
      <c r="L138" s="45"/>
      <c r="M138" s="45"/>
      <c r="N138" s="45"/>
      <c r="O138" s="45"/>
    </row>
    <row r="139" spans="11:15" x14ac:dyDescent="0.4">
      <c r="K139" s="45"/>
      <c r="L139" s="45"/>
      <c r="M139" s="45"/>
      <c r="N139" s="45"/>
      <c r="O139" s="45"/>
    </row>
    <row r="140" spans="11:15" x14ac:dyDescent="0.4">
      <c r="K140" s="45"/>
      <c r="L140" s="45"/>
      <c r="M140" s="45"/>
      <c r="N140" s="45"/>
      <c r="O140" s="45"/>
    </row>
    <row r="141" spans="11:15" x14ac:dyDescent="0.4">
      <c r="K141" s="45"/>
      <c r="L141" s="45"/>
      <c r="M141" s="45"/>
      <c r="N141" s="45"/>
      <c r="O141" s="45"/>
    </row>
    <row r="142" spans="11:15" x14ac:dyDescent="0.4">
      <c r="K142" s="45"/>
      <c r="L142" s="45"/>
      <c r="M142" s="45"/>
      <c r="N142" s="45"/>
      <c r="O142" s="45"/>
    </row>
    <row r="143" spans="11:15" x14ac:dyDescent="0.4">
      <c r="K143" s="45"/>
      <c r="L143" s="45"/>
      <c r="M143" s="45"/>
      <c r="N143" s="45"/>
      <c r="O143" s="45"/>
    </row>
    <row r="144" spans="11:15" x14ac:dyDescent="0.4">
      <c r="K144" s="45"/>
      <c r="L144" s="45"/>
      <c r="M144" s="45"/>
      <c r="N144" s="45"/>
      <c r="O144" s="45"/>
    </row>
    <row r="145" spans="11:15" x14ac:dyDescent="0.4">
      <c r="K145" s="45"/>
      <c r="L145" s="45"/>
      <c r="M145" s="45"/>
      <c r="N145" s="45"/>
      <c r="O145" s="45"/>
    </row>
    <row r="146" spans="11:15" x14ac:dyDescent="0.4">
      <c r="K146" s="45"/>
      <c r="L146" s="45"/>
      <c r="M146" s="45"/>
      <c r="N146" s="45"/>
      <c r="O146" s="45"/>
    </row>
    <row r="147" spans="11:15" x14ac:dyDescent="0.4">
      <c r="K147" s="45"/>
      <c r="L147" s="45"/>
      <c r="M147" s="45"/>
      <c r="N147" s="45"/>
      <c r="O147" s="45"/>
    </row>
    <row r="148" spans="11:15" x14ac:dyDescent="0.4">
      <c r="K148" s="45"/>
      <c r="L148" s="45"/>
      <c r="M148" s="45"/>
      <c r="N148" s="45"/>
      <c r="O148" s="45"/>
    </row>
    <row r="149" spans="11:15" x14ac:dyDescent="0.4">
      <c r="K149" s="45"/>
      <c r="L149" s="45"/>
      <c r="M149" s="45"/>
      <c r="N149" s="45"/>
      <c r="O149" s="45"/>
    </row>
    <row r="150" spans="11:15" x14ac:dyDescent="0.4">
      <c r="K150" s="45"/>
      <c r="L150" s="45"/>
      <c r="M150" s="45"/>
      <c r="N150" s="45"/>
      <c r="O150" s="45"/>
    </row>
    <row r="151" spans="11:15" x14ac:dyDescent="0.4">
      <c r="K151" s="45"/>
      <c r="L151" s="45"/>
      <c r="M151" s="45"/>
      <c r="N151" s="45"/>
      <c r="O151" s="45"/>
    </row>
    <row r="152" spans="11:15" x14ac:dyDescent="0.4">
      <c r="K152" s="45"/>
      <c r="L152" s="45"/>
      <c r="M152" s="45"/>
      <c r="N152" s="45"/>
      <c r="O152" s="45"/>
    </row>
    <row r="153" spans="11:15" x14ac:dyDescent="0.4">
      <c r="K153" s="45"/>
      <c r="L153" s="45"/>
      <c r="M153" s="45"/>
      <c r="N153" s="45"/>
      <c r="O153" s="45"/>
    </row>
    <row r="154" spans="11:15" x14ac:dyDescent="0.4">
      <c r="K154" s="45"/>
      <c r="L154" s="45"/>
      <c r="M154" s="45"/>
      <c r="N154" s="45"/>
      <c r="O154" s="45"/>
    </row>
  </sheetData>
  <mergeCells count="5">
    <mergeCell ref="G6:M6"/>
    <mergeCell ref="G7:M7"/>
    <mergeCell ref="G8:M8"/>
    <mergeCell ref="AC24:AD24"/>
    <mergeCell ref="AC25:AD25"/>
  </mergeCells>
  <printOptions horizontalCentered="1"/>
  <pageMargins left="0.75" right="0.75" top="1" bottom="1" header="0.5" footer="0.5"/>
  <pageSetup scale="10"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63"/>
  <sheetViews>
    <sheetView view="pageBreakPreview" zoomScale="80" zoomScaleNormal="100" zoomScaleSheetLayoutView="80" workbookViewId="0"/>
  </sheetViews>
  <sheetFormatPr defaultColWidth="9" defaultRowHeight="15.6" x14ac:dyDescent="0.6"/>
  <cols>
    <col min="1" max="1" width="8.7890625" style="139"/>
    <col min="2" max="2" width="14.7890625" style="139" customWidth="1"/>
    <col min="3" max="3" width="7.5234375" style="139" customWidth="1"/>
    <col min="4" max="4" width="15" style="139" customWidth="1"/>
    <col min="5" max="5" width="7.5234375" style="139" customWidth="1"/>
    <col min="6" max="6" width="14.7890625" style="139" customWidth="1"/>
    <col min="7" max="7" width="8.26171875" style="139"/>
    <col min="8" max="8" width="13.5234375" style="139" customWidth="1"/>
    <col min="9" max="16384" width="9" style="184"/>
  </cols>
  <sheetData>
    <row r="1" spans="1:8" x14ac:dyDescent="0.6">
      <c r="B1" s="1400" t="s">
        <v>1201</v>
      </c>
      <c r="C1" s="1400"/>
      <c r="D1" s="1400"/>
      <c r="E1" s="1400"/>
      <c r="F1" s="1400"/>
    </row>
    <row r="2" spans="1:8" x14ac:dyDescent="0.6">
      <c r="B2" s="1400" t="s">
        <v>1202</v>
      </c>
      <c r="C2" s="1400"/>
      <c r="D2" s="1400"/>
      <c r="E2" s="1400"/>
      <c r="F2" s="1400"/>
    </row>
    <row r="3" spans="1:8" x14ac:dyDescent="0.6">
      <c r="A3" s="177"/>
      <c r="B3" s="177"/>
      <c r="C3" s="177"/>
      <c r="D3" s="177"/>
      <c r="E3" s="177"/>
      <c r="F3" s="177"/>
    </row>
    <row r="4" spans="1:8" ht="45.6" x14ac:dyDescent="0.6">
      <c r="B4" s="181" t="s">
        <v>89</v>
      </c>
      <c r="D4" s="181" t="s">
        <v>90</v>
      </c>
      <c r="F4" s="181" t="s">
        <v>91</v>
      </c>
      <c r="H4" s="181" t="str">
        <f>D4</f>
        <v>Numerical Bond Weighting</v>
      </c>
    </row>
    <row r="5" spans="1:8" x14ac:dyDescent="0.6">
      <c r="F5" s="214"/>
    </row>
    <row r="6" spans="1:8" x14ac:dyDescent="0.6">
      <c r="B6" s="214" t="s">
        <v>92</v>
      </c>
      <c r="D6" s="214">
        <v>1</v>
      </c>
      <c r="F6" s="214" t="s">
        <v>93</v>
      </c>
      <c r="H6" s="214">
        <f>IF(D6="","",D6)</f>
        <v>1</v>
      </c>
    </row>
    <row r="7" spans="1:8" x14ac:dyDescent="0.6">
      <c r="B7" s="214"/>
      <c r="D7" s="214"/>
      <c r="F7" s="214"/>
      <c r="H7" s="214" t="str">
        <f t="shared" ref="H7:H26" si="0">IF(D7="","",D7)</f>
        <v/>
      </c>
    </row>
    <row r="8" spans="1:8" x14ac:dyDescent="0.6">
      <c r="B8" s="214" t="s">
        <v>94</v>
      </c>
      <c r="D8" s="214">
        <v>2</v>
      </c>
      <c r="F8" s="214" t="s">
        <v>95</v>
      </c>
      <c r="H8" s="214">
        <f t="shared" si="0"/>
        <v>2</v>
      </c>
    </row>
    <row r="9" spans="1:8" x14ac:dyDescent="0.6">
      <c r="B9" s="214" t="s">
        <v>96</v>
      </c>
      <c r="D9" s="214">
        <v>3</v>
      </c>
      <c r="F9" s="214" t="s">
        <v>97</v>
      </c>
      <c r="H9" s="214">
        <f t="shared" si="0"/>
        <v>3</v>
      </c>
    </row>
    <row r="10" spans="1:8" x14ac:dyDescent="0.6">
      <c r="B10" s="214" t="s">
        <v>98</v>
      </c>
      <c r="D10" s="214">
        <v>4</v>
      </c>
      <c r="F10" s="214" t="s">
        <v>99</v>
      </c>
      <c r="H10" s="214">
        <f t="shared" si="0"/>
        <v>4</v>
      </c>
    </row>
    <row r="11" spans="1:8" x14ac:dyDescent="0.6">
      <c r="B11" s="214"/>
      <c r="D11" s="214"/>
      <c r="F11" s="214"/>
      <c r="H11" s="214" t="str">
        <f t="shared" si="0"/>
        <v/>
      </c>
    </row>
    <row r="12" spans="1:8" x14ac:dyDescent="0.6">
      <c r="B12" s="214" t="s">
        <v>100</v>
      </c>
      <c r="D12" s="214">
        <v>5</v>
      </c>
      <c r="F12" s="214" t="s">
        <v>82</v>
      </c>
      <c r="H12" s="214">
        <f t="shared" si="0"/>
        <v>5</v>
      </c>
    </row>
    <row r="13" spans="1:8" x14ac:dyDescent="0.6">
      <c r="B13" s="214" t="s">
        <v>83</v>
      </c>
      <c r="D13" s="214">
        <v>6</v>
      </c>
      <c r="F13" s="214" t="s">
        <v>84</v>
      </c>
      <c r="H13" s="214">
        <f t="shared" si="0"/>
        <v>6</v>
      </c>
    </row>
    <row r="14" spans="1:8" x14ac:dyDescent="0.6">
      <c r="B14" s="214" t="s">
        <v>85</v>
      </c>
      <c r="D14" s="214">
        <v>7</v>
      </c>
      <c r="F14" s="214" t="s">
        <v>87</v>
      </c>
      <c r="H14" s="214">
        <f t="shared" si="0"/>
        <v>7</v>
      </c>
    </row>
    <row r="15" spans="1:8" x14ac:dyDescent="0.6">
      <c r="B15" s="214"/>
      <c r="D15" s="214"/>
      <c r="F15" s="214"/>
      <c r="H15" s="214" t="str">
        <f t="shared" si="0"/>
        <v/>
      </c>
    </row>
    <row r="16" spans="1:8" x14ac:dyDescent="0.6">
      <c r="B16" s="214" t="s">
        <v>88</v>
      </c>
      <c r="D16" s="214">
        <v>8</v>
      </c>
      <c r="F16" s="214" t="s">
        <v>101</v>
      </c>
      <c r="H16" s="214">
        <f t="shared" si="0"/>
        <v>8</v>
      </c>
    </row>
    <row r="17" spans="2:8" x14ac:dyDescent="0.6">
      <c r="B17" s="214" t="s">
        <v>102</v>
      </c>
      <c r="D17" s="214">
        <v>9</v>
      </c>
      <c r="F17" s="214" t="s">
        <v>103</v>
      </c>
      <c r="H17" s="214">
        <f t="shared" si="0"/>
        <v>9</v>
      </c>
    </row>
    <row r="18" spans="2:8" x14ac:dyDescent="0.6">
      <c r="B18" s="214" t="s">
        <v>104</v>
      </c>
      <c r="D18" s="214">
        <v>10</v>
      </c>
      <c r="F18" s="214" t="s">
        <v>105</v>
      </c>
      <c r="H18" s="214">
        <f t="shared" si="0"/>
        <v>10</v>
      </c>
    </row>
    <row r="19" spans="2:8" x14ac:dyDescent="0.6">
      <c r="B19" s="214"/>
      <c r="D19" s="214"/>
      <c r="F19" s="214"/>
      <c r="H19" s="214" t="str">
        <f t="shared" si="0"/>
        <v/>
      </c>
    </row>
    <row r="20" spans="2:8" x14ac:dyDescent="0.6">
      <c r="B20" s="214" t="s">
        <v>106</v>
      </c>
      <c r="D20" s="214">
        <v>11</v>
      </c>
      <c r="F20" s="214" t="s">
        <v>107</v>
      </c>
      <c r="H20" s="214">
        <f t="shared" si="0"/>
        <v>11</v>
      </c>
    </row>
    <row r="21" spans="2:8" x14ac:dyDescent="0.6">
      <c r="B21" s="214" t="s">
        <v>108</v>
      </c>
      <c r="D21" s="214">
        <v>12</v>
      </c>
      <c r="F21" s="214" t="s">
        <v>109</v>
      </c>
      <c r="H21" s="214">
        <f t="shared" si="0"/>
        <v>12</v>
      </c>
    </row>
    <row r="22" spans="2:8" x14ac:dyDescent="0.6">
      <c r="B22" s="214" t="s">
        <v>110</v>
      </c>
      <c r="D22" s="214">
        <v>13</v>
      </c>
      <c r="F22" s="214" t="s">
        <v>111</v>
      </c>
      <c r="H22" s="214">
        <f t="shared" si="0"/>
        <v>13</v>
      </c>
    </row>
    <row r="23" spans="2:8" x14ac:dyDescent="0.6">
      <c r="B23" s="214"/>
      <c r="D23" s="214"/>
      <c r="F23" s="214"/>
      <c r="H23" s="214" t="str">
        <f t="shared" si="0"/>
        <v/>
      </c>
    </row>
    <row r="24" spans="2:8" x14ac:dyDescent="0.6">
      <c r="B24" s="214" t="s">
        <v>112</v>
      </c>
      <c r="D24" s="214">
        <v>14</v>
      </c>
      <c r="F24" s="214" t="s">
        <v>113</v>
      </c>
      <c r="H24" s="214">
        <f t="shared" si="0"/>
        <v>14</v>
      </c>
    </row>
    <row r="25" spans="2:8" x14ac:dyDescent="0.6">
      <c r="B25" s="214" t="s">
        <v>114</v>
      </c>
      <c r="D25" s="214">
        <v>15</v>
      </c>
      <c r="F25" s="214" t="s">
        <v>115</v>
      </c>
      <c r="H25" s="214">
        <f t="shared" si="0"/>
        <v>15</v>
      </c>
    </row>
    <row r="26" spans="2:8" x14ac:dyDescent="0.6">
      <c r="B26" s="214" t="s">
        <v>116</v>
      </c>
      <c r="D26" s="214">
        <v>16</v>
      </c>
      <c r="F26" s="214" t="s">
        <v>117</v>
      </c>
      <c r="H26" s="214">
        <f t="shared" si="0"/>
        <v>16</v>
      </c>
    </row>
    <row r="31" spans="2:8" ht="45.6" x14ac:dyDescent="0.6">
      <c r="B31" s="181" t="s">
        <v>89</v>
      </c>
      <c r="D31" s="181" t="s">
        <v>90</v>
      </c>
      <c r="F31" s="181" t="s">
        <v>91</v>
      </c>
      <c r="H31" s="181" t="s">
        <v>90</v>
      </c>
    </row>
    <row r="32" spans="2:8" x14ac:dyDescent="0.6">
      <c r="F32" s="214"/>
    </row>
    <row r="33" spans="2:11" x14ac:dyDescent="0.6">
      <c r="B33" s="215" t="s">
        <v>92</v>
      </c>
      <c r="D33" s="214">
        <v>1</v>
      </c>
      <c r="F33" s="215" t="s">
        <v>93</v>
      </c>
      <c r="H33" s="214">
        <v>1</v>
      </c>
      <c r="I33" s="215"/>
      <c r="K33" s="214"/>
    </row>
    <row r="34" spans="2:11" x14ac:dyDescent="0.6">
      <c r="B34" s="215" t="s">
        <v>2646</v>
      </c>
      <c r="D34" s="214">
        <v>1.5</v>
      </c>
      <c r="F34" s="215" t="s">
        <v>2631</v>
      </c>
      <c r="H34" s="214">
        <v>1.5</v>
      </c>
      <c r="I34" s="215"/>
      <c r="K34" s="214"/>
    </row>
    <row r="35" spans="2:11" x14ac:dyDescent="0.6">
      <c r="B35" s="215" t="s">
        <v>94</v>
      </c>
      <c r="D35" s="214">
        <v>2</v>
      </c>
      <c r="F35" s="215" t="s">
        <v>95</v>
      </c>
      <c r="H35" s="214">
        <v>2</v>
      </c>
      <c r="I35" s="215"/>
      <c r="K35" s="214"/>
    </row>
    <row r="36" spans="2:11" x14ac:dyDescent="0.6">
      <c r="B36" s="215" t="s">
        <v>2647</v>
      </c>
      <c r="D36" s="214">
        <v>2.5</v>
      </c>
      <c r="F36" s="215" t="s">
        <v>2632</v>
      </c>
      <c r="H36" s="214">
        <v>2.5</v>
      </c>
      <c r="I36" s="215"/>
      <c r="K36" s="214"/>
    </row>
    <row r="37" spans="2:11" x14ac:dyDescent="0.6">
      <c r="B37" s="215" t="s">
        <v>96</v>
      </c>
      <c r="D37" s="214">
        <v>3</v>
      </c>
      <c r="F37" s="215" t="s">
        <v>97</v>
      </c>
      <c r="H37" s="214">
        <v>3</v>
      </c>
      <c r="I37" s="215"/>
      <c r="K37" s="214"/>
    </row>
    <row r="38" spans="2:11" x14ac:dyDescent="0.6">
      <c r="B38" s="215" t="s">
        <v>2648</v>
      </c>
      <c r="D38" s="214">
        <v>3.5</v>
      </c>
      <c r="F38" s="215" t="s">
        <v>2633</v>
      </c>
      <c r="H38" s="214">
        <v>3.5</v>
      </c>
      <c r="I38" s="215"/>
      <c r="K38" s="214"/>
    </row>
    <row r="39" spans="2:11" x14ac:dyDescent="0.6">
      <c r="B39" s="215" t="s">
        <v>98</v>
      </c>
      <c r="D39" s="214">
        <v>4</v>
      </c>
      <c r="F39" s="215" t="s">
        <v>99</v>
      </c>
      <c r="H39" s="214">
        <v>4</v>
      </c>
      <c r="I39" s="215"/>
      <c r="K39" s="214"/>
    </row>
    <row r="40" spans="2:11" x14ac:dyDescent="0.6">
      <c r="B40" s="215" t="s">
        <v>2649</v>
      </c>
      <c r="D40" s="214">
        <v>4.5</v>
      </c>
      <c r="F40" s="215" t="s">
        <v>2634</v>
      </c>
      <c r="H40" s="214">
        <v>4.5</v>
      </c>
      <c r="I40" s="215"/>
      <c r="K40" s="214"/>
    </row>
    <row r="41" spans="2:11" x14ac:dyDescent="0.6">
      <c r="B41" s="215" t="s">
        <v>100</v>
      </c>
      <c r="D41" s="214">
        <v>5</v>
      </c>
      <c r="F41" s="215" t="s">
        <v>82</v>
      </c>
      <c r="H41" s="214">
        <v>5</v>
      </c>
      <c r="I41" s="215"/>
      <c r="K41" s="214"/>
    </row>
    <row r="42" spans="2:11" x14ac:dyDescent="0.6">
      <c r="B42" s="215" t="s">
        <v>2650</v>
      </c>
      <c r="D42" s="214">
        <v>5.5</v>
      </c>
      <c r="F42" s="215" t="s">
        <v>2635</v>
      </c>
      <c r="H42" s="214">
        <v>5.5</v>
      </c>
      <c r="I42" s="215"/>
      <c r="K42" s="214"/>
    </row>
    <row r="43" spans="2:11" x14ac:dyDescent="0.6">
      <c r="B43" s="215" t="s">
        <v>83</v>
      </c>
      <c r="D43" s="214">
        <v>6</v>
      </c>
      <c r="F43" s="215" t="s">
        <v>84</v>
      </c>
      <c r="H43" s="214">
        <v>6</v>
      </c>
      <c r="I43" s="215"/>
      <c r="K43" s="214"/>
    </row>
    <row r="44" spans="2:11" x14ac:dyDescent="0.6">
      <c r="B44" s="215" t="s">
        <v>1207</v>
      </c>
      <c r="D44" s="214">
        <v>6.5</v>
      </c>
      <c r="F44" s="215" t="s">
        <v>2636</v>
      </c>
      <c r="H44" s="214">
        <v>6.5</v>
      </c>
      <c r="I44" s="215"/>
      <c r="K44" s="214"/>
    </row>
    <row r="45" spans="2:11" x14ac:dyDescent="0.6">
      <c r="B45" s="215" t="s">
        <v>85</v>
      </c>
      <c r="D45" s="214">
        <v>7</v>
      </c>
      <c r="F45" s="215" t="s">
        <v>87</v>
      </c>
      <c r="H45" s="214">
        <v>7</v>
      </c>
      <c r="I45" s="215"/>
      <c r="K45" s="214"/>
    </row>
    <row r="46" spans="2:11" x14ac:dyDescent="0.6">
      <c r="B46" s="215" t="s">
        <v>2651</v>
      </c>
      <c r="D46" s="214">
        <v>7.5</v>
      </c>
      <c r="F46" s="215" t="s">
        <v>2637</v>
      </c>
      <c r="H46" s="214">
        <v>7.5</v>
      </c>
      <c r="I46" s="215"/>
      <c r="K46" s="214"/>
    </row>
    <row r="47" spans="2:11" x14ac:dyDescent="0.6">
      <c r="B47" s="215" t="s">
        <v>88</v>
      </c>
      <c r="D47" s="214">
        <v>8</v>
      </c>
      <c r="F47" s="215" t="s">
        <v>101</v>
      </c>
      <c r="H47" s="214">
        <v>8</v>
      </c>
      <c r="I47" s="215"/>
      <c r="K47" s="214"/>
    </row>
    <row r="48" spans="2:11" x14ac:dyDescent="0.6">
      <c r="B48" s="215" t="s">
        <v>2652</v>
      </c>
      <c r="D48" s="214">
        <v>8.5</v>
      </c>
      <c r="F48" s="215" t="s">
        <v>2638</v>
      </c>
      <c r="H48" s="214">
        <v>8.5</v>
      </c>
      <c r="I48" s="215"/>
      <c r="K48" s="214"/>
    </row>
    <row r="49" spans="2:11" x14ac:dyDescent="0.6">
      <c r="B49" s="215" t="s">
        <v>102</v>
      </c>
      <c r="D49" s="214">
        <v>9</v>
      </c>
      <c r="F49" s="215" t="s">
        <v>103</v>
      </c>
      <c r="H49" s="214">
        <v>9</v>
      </c>
      <c r="I49" s="215"/>
      <c r="K49" s="214"/>
    </row>
    <row r="50" spans="2:11" x14ac:dyDescent="0.6">
      <c r="B50" s="215" t="s">
        <v>2653</v>
      </c>
      <c r="D50" s="214">
        <v>9.5</v>
      </c>
      <c r="F50" s="215" t="s">
        <v>2639</v>
      </c>
      <c r="H50" s="214">
        <v>9.5</v>
      </c>
      <c r="I50" s="215"/>
      <c r="K50" s="214"/>
    </row>
    <row r="51" spans="2:11" x14ac:dyDescent="0.6">
      <c r="B51" s="215" t="s">
        <v>104</v>
      </c>
      <c r="D51" s="214">
        <v>10</v>
      </c>
      <c r="F51" s="215" t="s">
        <v>105</v>
      </c>
      <c r="H51" s="214">
        <v>10</v>
      </c>
      <c r="I51" s="215"/>
      <c r="K51" s="214"/>
    </row>
    <row r="52" spans="2:11" x14ac:dyDescent="0.6">
      <c r="B52" s="215" t="s">
        <v>2654</v>
      </c>
      <c r="D52" s="214">
        <v>10.5</v>
      </c>
      <c r="F52" s="215" t="s">
        <v>2640</v>
      </c>
      <c r="H52" s="214">
        <v>10.5</v>
      </c>
      <c r="I52" s="215"/>
      <c r="K52" s="214"/>
    </row>
    <row r="53" spans="2:11" x14ac:dyDescent="0.6">
      <c r="B53" s="215" t="s">
        <v>106</v>
      </c>
      <c r="D53" s="214">
        <v>11</v>
      </c>
      <c r="F53" s="215" t="s">
        <v>107</v>
      </c>
      <c r="H53" s="214">
        <v>11</v>
      </c>
      <c r="I53" s="215"/>
      <c r="K53" s="214"/>
    </row>
    <row r="54" spans="2:11" x14ac:dyDescent="0.6">
      <c r="B54" s="215" t="s">
        <v>2655</v>
      </c>
      <c r="D54" s="214">
        <v>11.5</v>
      </c>
      <c r="F54" s="215" t="s">
        <v>2641</v>
      </c>
      <c r="H54" s="214">
        <v>11.5</v>
      </c>
      <c r="I54" s="215"/>
      <c r="K54" s="214"/>
    </row>
    <row r="55" spans="2:11" x14ac:dyDescent="0.6">
      <c r="B55" s="215" t="s">
        <v>108</v>
      </c>
      <c r="D55" s="214">
        <v>12</v>
      </c>
      <c r="F55" s="215" t="s">
        <v>109</v>
      </c>
      <c r="H55" s="214">
        <v>12</v>
      </c>
      <c r="I55" s="215"/>
      <c r="K55" s="214"/>
    </row>
    <row r="56" spans="2:11" x14ac:dyDescent="0.6">
      <c r="B56" s="215" t="s">
        <v>2656</v>
      </c>
      <c r="D56" s="214">
        <v>12.5</v>
      </c>
      <c r="F56" s="215" t="s">
        <v>2642</v>
      </c>
      <c r="H56" s="214">
        <v>12.5</v>
      </c>
      <c r="I56" s="215"/>
      <c r="K56" s="214"/>
    </row>
    <row r="57" spans="2:11" x14ac:dyDescent="0.6">
      <c r="B57" s="215" t="s">
        <v>110</v>
      </c>
      <c r="D57" s="214">
        <v>13</v>
      </c>
      <c r="F57" s="215" t="s">
        <v>111</v>
      </c>
      <c r="H57" s="214">
        <v>13</v>
      </c>
      <c r="I57" s="215"/>
      <c r="K57" s="214"/>
    </row>
    <row r="58" spans="2:11" x14ac:dyDescent="0.6">
      <c r="B58" s="215" t="s">
        <v>2657</v>
      </c>
      <c r="D58" s="214">
        <v>13.5</v>
      </c>
      <c r="F58" s="215" t="s">
        <v>2643</v>
      </c>
      <c r="H58" s="214">
        <v>13.5</v>
      </c>
      <c r="I58" s="215"/>
      <c r="K58" s="214"/>
    </row>
    <row r="59" spans="2:11" x14ac:dyDescent="0.6">
      <c r="B59" s="215" t="s">
        <v>112</v>
      </c>
      <c r="D59" s="214">
        <v>14</v>
      </c>
      <c r="F59" s="215" t="s">
        <v>113</v>
      </c>
      <c r="H59" s="214">
        <v>14</v>
      </c>
      <c r="I59" s="215"/>
      <c r="K59" s="214"/>
    </row>
    <row r="60" spans="2:11" x14ac:dyDescent="0.6">
      <c r="B60" s="215" t="s">
        <v>2658</v>
      </c>
      <c r="D60" s="214">
        <v>14.5</v>
      </c>
      <c r="F60" s="215" t="s">
        <v>2644</v>
      </c>
      <c r="H60" s="214">
        <v>14.5</v>
      </c>
      <c r="I60" s="215"/>
      <c r="K60" s="214"/>
    </row>
    <row r="61" spans="2:11" x14ac:dyDescent="0.6">
      <c r="B61" s="215" t="s">
        <v>114</v>
      </c>
      <c r="D61" s="214">
        <v>15</v>
      </c>
      <c r="F61" s="215" t="s">
        <v>115</v>
      </c>
      <c r="H61" s="214">
        <v>15</v>
      </c>
      <c r="I61" s="215"/>
      <c r="K61" s="214"/>
    </row>
    <row r="62" spans="2:11" x14ac:dyDescent="0.6">
      <c r="B62" s="215" t="s">
        <v>2659</v>
      </c>
      <c r="D62" s="214">
        <v>15.5</v>
      </c>
      <c r="F62" s="215" t="s">
        <v>2645</v>
      </c>
      <c r="H62" s="214">
        <v>15.5</v>
      </c>
      <c r="I62" s="215"/>
      <c r="K62" s="214"/>
    </row>
    <row r="63" spans="2:11" x14ac:dyDescent="0.6">
      <c r="B63" s="215" t="s">
        <v>116</v>
      </c>
      <c r="D63" s="214">
        <v>16</v>
      </c>
      <c r="F63" s="215" t="s">
        <v>117</v>
      </c>
      <c r="H63" s="214">
        <v>16</v>
      </c>
      <c r="I63" s="215"/>
      <c r="K63" s="214"/>
    </row>
  </sheetData>
  <mergeCells count="2">
    <mergeCell ref="B1:F1"/>
    <mergeCell ref="B2:F2"/>
  </mergeCells>
  <printOptions horizontalCentered="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A1:H31"/>
  <sheetViews>
    <sheetView view="pageBreakPreview" zoomScale="80" zoomScaleNormal="100" zoomScaleSheetLayoutView="80" workbookViewId="0"/>
  </sheetViews>
  <sheetFormatPr defaultColWidth="9" defaultRowHeight="15.6" x14ac:dyDescent="0.6"/>
  <cols>
    <col min="1" max="1" width="9.7890625" style="184" customWidth="1"/>
    <col min="2" max="2" width="3.5234375" style="184" customWidth="1"/>
    <col min="3" max="3" width="50.26171875" style="184" customWidth="1"/>
    <col min="4" max="4" width="2.26171875" style="184" customWidth="1"/>
    <col min="5" max="5" width="16.5234375" style="184" customWidth="1"/>
    <col min="6" max="6" width="3.26171875" style="184" customWidth="1"/>
    <col min="7" max="7" width="16.5234375" style="184" customWidth="1"/>
    <col min="8" max="8" width="3.26171875" style="184" customWidth="1"/>
    <col min="9" max="16384" width="9" style="184"/>
  </cols>
  <sheetData>
    <row r="1" spans="1:8" x14ac:dyDescent="0.6">
      <c r="A1" s="283" t="str">
        <f>Input!G28</f>
        <v>Atmos Energy Corporation</v>
      </c>
      <c r="B1" s="283"/>
      <c r="C1" s="283"/>
      <c r="D1" s="283"/>
      <c r="E1" s="283"/>
      <c r="F1" s="283"/>
      <c r="G1" s="775"/>
      <c r="H1" s="775"/>
    </row>
    <row r="2" spans="1:8" x14ac:dyDescent="0.6">
      <c r="A2" s="420" t="s">
        <v>1196</v>
      </c>
      <c r="B2" s="420"/>
      <c r="C2" s="420"/>
      <c r="D2" s="420"/>
      <c r="E2" s="420"/>
      <c r="F2" s="420"/>
      <c r="G2" s="775"/>
      <c r="H2" s="775"/>
    </row>
    <row r="3" spans="1:8" x14ac:dyDescent="0.6">
      <c r="A3" s="283" t="str">
        <f>Input!I32</f>
        <v>Proxy Group of Seven Natural Gas Companies</v>
      </c>
      <c r="B3" s="283"/>
      <c r="C3" s="283"/>
      <c r="D3" s="283"/>
      <c r="E3" s="283"/>
      <c r="F3" s="283"/>
      <c r="G3" s="775"/>
      <c r="H3" s="775"/>
    </row>
    <row r="4" spans="1:8" x14ac:dyDescent="0.6">
      <c r="A4" s="109"/>
      <c r="B4" s="109"/>
      <c r="C4" s="109"/>
      <c r="D4" s="109"/>
      <c r="E4" s="109"/>
      <c r="F4" s="109"/>
    </row>
    <row r="5" spans="1:8" ht="61.5" customHeight="1" x14ac:dyDescent="0.6">
      <c r="A5" s="284" t="s">
        <v>1197</v>
      </c>
      <c r="B5" s="109"/>
      <c r="C5" s="110"/>
      <c r="D5" s="190"/>
      <c r="E5" s="1393" t="str">
        <f>CONCATENATE(Input!$I$32)</f>
        <v>Proxy Group of Seven Natural Gas Companies</v>
      </c>
      <c r="F5" s="1393"/>
      <c r="G5" s="425" t="str">
        <f>E5&amp;" (excl. PRPM)"</f>
        <v>Proxy Group of Seven Natural Gas Companies (excl. PRPM)</v>
      </c>
      <c r="H5" s="776"/>
    </row>
    <row r="6" spans="1:8" x14ac:dyDescent="0.6">
      <c r="A6" s="777"/>
      <c r="B6" s="109"/>
      <c r="C6" s="110"/>
      <c r="D6" s="190"/>
      <c r="E6" s="190"/>
      <c r="F6" s="190"/>
    </row>
    <row r="7" spans="1:8" x14ac:dyDescent="0.6">
      <c r="A7" s="110"/>
      <c r="B7" s="109"/>
      <c r="C7" s="110"/>
      <c r="D7" s="190"/>
      <c r="E7" s="190"/>
      <c r="F7" s="190"/>
    </row>
    <row r="8" spans="1:8" x14ac:dyDescent="0.6">
      <c r="A8" s="109" t="s">
        <v>1145</v>
      </c>
      <c r="B8" s="109"/>
      <c r="C8" s="110" t="s">
        <v>2800</v>
      </c>
      <c r="D8" s="190"/>
      <c r="E8" s="190"/>
      <c r="F8" s="190"/>
    </row>
    <row r="9" spans="1:8" x14ac:dyDescent="0.6">
      <c r="A9" s="110"/>
      <c r="B9" s="109"/>
      <c r="C9" s="110" t="s">
        <v>2801</v>
      </c>
      <c r="D9" s="190"/>
      <c r="E9" s="190"/>
      <c r="F9" s="190"/>
    </row>
    <row r="10" spans="1:8" x14ac:dyDescent="0.6">
      <c r="A10" s="110"/>
      <c r="B10" s="109"/>
      <c r="C10" s="110" t="s">
        <v>1198</v>
      </c>
      <c r="D10" s="190"/>
      <c r="E10" s="436">
        <f>'1.16 Beta Adjusted ERP'!E22</f>
        <v>5.78</v>
      </c>
      <c r="F10" s="427" t="s">
        <v>1090</v>
      </c>
      <c r="G10" s="436">
        <f>'1.16 Beta Adjusted ERP'!G22</f>
        <v>5.75</v>
      </c>
      <c r="H10" s="427" t="s">
        <v>1090</v>
      </c>
    </row>
    <row r="11" spans="1:8" x14ac:dyDescent="0.6">
      <c r="A11" s="110"/>
      <c r="B11" s="109"/>
      <c r="D11" s="190"/>
    </row>
    <row r="12" spans="1:8" x14ac:dyDescent="0.6">
      <c r="A12" s="110"/>
      <c r="B12" s="109"/>
      <c r="C12" s="110"/>
      <c r="D12" s="190"/>
      <c r="E12" s="426"/>
      <c r="F12" s="426"/>
      <c r="G12" s="426"/>
    </row>
    <row r="13" spans="1:8" x14ac:dyDescent="0.6">
      <c r="A13" s="109" t="s">
        <v>1148</v>
      </c>
      <c r="B13" s="109"/>
      <c r="C13" s="110" t="s">
        <v>1199</v>
      </c>
      <c r="D13" s="190"/>
      <c r="E13" s="426"/>
      <c r="F13" s="426"/>
      <c r="G13" s="426"/>
    </row>
    <row r="14" spans="1:8" x14ac:dyDescent="0.6">
      <c r="A14" s="110"/>
      <c r="B14" s="109"/>
      <c r="C14" s="110" t="s">
        <v>2797</v>
      </c>
      <c r="D14" s="190"/>
      <c r="E14" s="426"/>
      <c r="F14" s="426"/>
      <c r="G14" s="426"/>
    </row>
    <row r="15" spans="1:8" x14ac:dyDescent="0.6">
      <c r="A15" s="110"/>
      <c r="B15" s="109"/>
      <c r="C15" s="110" t="s">
        <v>2798</v>
      </c>
      <c r="D15" s="190"/>
      <c r="E15" s="426"/>
      <c r="F15" s="426"/>
      <c r="G15" s="426"/>
    </row>
    <row r="16" spans="1:8" x14ac:dyDescent="0.6">
      <c r="A16" s="110"/>
      <c r="B16" s="109"/>
      <c r="C16" s="110" t="s">
        <v>2799</v>
      </c>
      <c r="D16" s="190"/>
      <c r="E16" s="426">
        <f>'1.19 S&amp;P RPM Study Returns'!E16</f>
        <v>5.12</v>
      </c>
      <c r="F16" s="426"/>
      <c r="G16" s="426">
        <f>'1.19 S&amp;P RPM Study Returns'!G16</f>
        <v>5.0599999999999996</v>
      </c>
    </row>
    <row r="17" spans="1:8" x14ac:dyDescent="0.6">
      <c r="A17" s="110"/>
      <c r="B17" s="109"/>
      <c r="D17" s="190"/>
      <c r="F17" s="427"/>
    </row>
    <row r="18" spans="1:8" x14ac:dyDescent="0.6">
      <c r="A18" s="110"/>
      <c r="B18" s="109"/>
      <c r="C18" s="110"/>
      <c r="D18" s="190"/>
      <c r="E18" s="426"/>
      <c r="F18" s="426"/>
      <c r="G18" s="426"/>
    </row>
    <row r="19" spans="1:8" x14ac:dyDescent="0.6">
      <c r="A19" s="432" t="s">
        <v>1150</v>
      </c>
      <c r="B19" s="109"/>
      <c r="C19" s="110" t="s">
        <v>2783</v>
      </c>
      <c r="D19" s="190"/>
      <c r="E19" s="426"/>
      <c r="F19" s="426"/>
      <c r="G19" s="426"/>
    </row>
    <row r="20" spans="1:8" x14ac:dyDescent="0.6">
      <c r="A20" s="110"/>
      <c r="B20" s="109"/>
      <c r="C20" s="437" t="s">
        <v>2784</v>
      </c>
      <c r="D20" s="190"/>
      <c r="E20" s="426"/>
      <c r="F20" s="426"/>
      <c r="G20" s="426"/>
    </row>
    <row r="21" spans="1:8" x14ac:dyDescent="0.6">
      <c r="A21" s="110"/>
      <c r="B21" s="109"/>
      <c r="C21" s="437" t="str">
        <f>"of " &amp;TEXT('1.20 Past Rate Cases Gas'!P8,"#,##0")&amp; " Fully-Litigated " &amp;TEXT(Input!G34, "Word") &amp; " Cases (3)"</f>
        <v>of 848 Fully-Litigated Natural Gas Cases (3)</v>
      </c>
      <c r="D21" s="190"/>
      <c r="E21" s="778">
        <f>'1.20 Past Rate Cases Gas'!AF21</f>
        <v>4.7219626218592801</v>
      </c>
      <c r="F21" s="426"/>
      <c r="G21" s="778">
        <f>E21</f>
        <v>4.7219626218592801</v>
      </c>
    </row>
    <row r="22" spans="1:8" x14ac:dyDescent="0.6">
      <c r="A22" s="110"/>
      <c r="B22" s="109"/>
      <c r="C22" s="110"/>
      <c r="D22" s="190"/>
      <c r="E22" s="426"/>
      <c r="F22" s="426"/>
      <c r="G22" s="426"/>
    </row>
    <row r="23" spans="1:8" x14ac:dyDescent="0.6">
      <c r="A23" s="110"/>
      <c r="B23" s="109"/>
      <c r="C23" s="110"/>
      <c r="D23" s="190"/>
      <c r="E23" s="426"/>
      <c r="F23" s="426"/>
      <c r="G23" s="426"/>
    </row>
    <row r="24" spans="1:8" ht="15.9" thickBot="1" x14ac:dyDescent="0.65">
      <c r="A24" s="432" t="s">
        <v>1152</v>
      </c>
      <c r="B24" s="109"/>
      <c r="C24" s="110" t="s">
        <v>1200</v>
      </c>
      <c r="D24" s="190"/>
      <c r="E24" s="433">
        <f>ROUND(AVERAGE(E10:E21),2)</f>
        <v>5.21</v>
      </c>
      <c r="F24" s="426" t="s">
        <v>1090</v>
      </c>
      <c r="G24" s="433">
        <f>ROUND(AVERAGE(G10:G21),2)</f>
        <v>5.18</v>
      </c>
      <c r="H24" s="426" t="s">
        <v>1090</v>
      </c>
    </row>
    <row r="25" spans="1:8" ht="15.9" thickTop="1" x14ac:dyDescent="0.6">
      <c r="A25" s="110"/>
      <c r="B25" s="109"/>
      <c r="C25" s="110"/>
      <c r="D25" s="190"/>
      <c r="E25" s="124"/>
      <c r="F25" s="190"/>
    </row>
    <row r="26" spans="1:8" x14ac:dyDescent="0.6">
      <c r="A26" s="110"/>
      <c r="B26" s="109"/>
      <c r="C26" s="110"/>
      <c r="D26" s="190"/>
      <c r="E26" s="190"/>
      <c r="F26" s="190"/>
    </row>
    <row r="27" spans="1:8" x14ac:dyDescent="0.6">
      <c r="A27" s="112" t="s">
        <v>1159</v>
      </c>
      <c r="B27" s="109" t="s">
        <v>1146</v>
      </c>
      <c r="C27" s="110" t="s">
        <v>7108</v>
      </c>
      <c r="D27" s="190"/>
      <c r="E27" s="190"/>
      <c r="F27" s="190"/>
    </row>
    <row r="28" spans="1:8" x14ac:dyDescent="0.6">
      <c r="A28" s="112"/>
      <c r="B28" s="109" t="s">
        <v>1147</v>
      </c>
      <c r="C28" s="110" t="s">
        <v>7126</v>
      </c>
      <c r="D28" s="190"/>
      <c r="E28" s="190"/>
      <c r="F28" s="190"/>
    </row>
    <row r="29" spans="1:8" x14ac:dyDescent="0.6">
      <c r="A29" s="108"/>
      <c r="B29" s="432" t="s">
        <v>1149</v>
      </c>
      <c r="C29" s="110" t="s">
        <v>7109</v>
      </c>
      <c r="D29" s="108"/>
      <c r="E29" s="108"/>
      <c r="F29" s="108"/>
    </row>
    <row r="30" spans="1:8" x14ac:dyDescent="0.6">
      <c r="A30" s="108"/>
      <c r="B30" s="108"/>
      <c r="C30" s="108"/>
      <c r="D30" s="108"/>
      <c r="E30" s="108"/>
      <c r="F30" s="108"/>
    </row>
    <row r="31" spans="1:8" x14ac:dyDescent="0.6">
      <c r="A31" s="108"/>
      <c r="B31" s="108"/>
      <c r="C31" s="108"/>
      <c r="D31" s="108"/>
      <c r="E31" s="108"/>
      <c r="F31" s="108"/>
    </row>
  </sheetData>
  <mergeCells count="1">
    <mergeCell ref="E5:F5"/>
  </mergeCells>
  <printOptions horizontalCentered="1"/>
  <pageMargins left="0.7" right="0.7" top="0.75" bottom="0.7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63</vt:i4>
      </vt:variant>
    </vt:vector>
  </HeadingPairs>
  <TitlesOfParts>
    <vt:vector size="135" baseType="lpstr">
      <vt:lpstr>1.1 Recommended Cap Structure</vt:lpstr>
      <vt:lpstr>1.2 Summary of CE Models</vt:lpstr>
      <vt:lpstr>1.3 DCF Summary</vt:lpstr>
      <vt:lpstr>1.11 Risk Premium Summary</vt:lpstr>
      <vt:lpstr>1.12 Moody's Bond Yields</vt:lpstr>
      <vt:lpstr>1.13 Bond Ratings</vt:lpstr>
      <vt:lpstr>1.14 MOODY_S&amp;P numbericl_assign</vt:lpstr>
      <vt:lpstr>1.15 ERP Determination</vt:lpstr>
      <vt:lpstr>1.16 Beta Adjusted ERP</vt:lpstr>
      <vt:lpstr>1.19 S&amp;P RPM Study Returns</vt:lpstr>
      <vt:lpstr>1.20 Past Rate Cases Gas</vt:lpstr>
      <vt:lpstr>1.21 CAPM</vt:lpstr>
      <vt:lpstr>1.22 CAPM Notes</vt:lpstr>
      <vt:lpstr>1.23 CEM Notes Gas</vt:lpstr>
      <vt:lpstr>1.24 Comp Earnings Criteria Gas</vt:lpstr>
      <vt:lpstr>1.25 Proxy Group Equivalent Gas</vt:lpstr>
      <vt:lpstr>1.26 CEM Summary</vt:lpstr>
      <vt:lpstr>1.27 CEM DCF</vt:lpstr>
      <vt:lpstr>1.28 CEM RPM Summary</vt:lpstr>
      <vt:lpstr>1.29 CEM RPM Bond Ratings</vt:lpstr>
      <vt:lpstr>1.30 CEM Beta Adjusted RP</vt:lpstr>
      <vt:lpstr>1.31 CEM CAPM Backup</vt:lpstr>
      <vt:lpstr>1.32 CEM CAPM Backup</vt:lpstr>
      <vt:lpstr>1.33 Risk Adjustment</vt:lpstr>
      <vt:lpstr>1.34 Market Cap</vt:lpstr>
      <vt:lpstr>1.35 Equity Contributions</vt:lpstr>
      <vt:lpstr>2.1-2.2 Cap Str</vt:lpstr>
      <vt:lpstr>2.3 VL Cap Str</vt:lpstr>
      <vt:lpstr>2.4-2.6 Auth. NG CEs</vt:lpstr>
      <vt:lpstr>3.1 Past Rate Cases Regression</vt:lpstr>
      <vt:lpstr>4.1 Proxy Ann. Vol</vt:lpstr>
      <vt:lpstr>5.1 Growth Rate Regression</vt:lpstr>
      <vt:lpstr>6.1 RAB-3 pg 2 Corr</vt:lpstr>
      <vt:lpstr>7.1 Baudino Corrected CAPM</vt:lpstr>
      <vt:lpstr>8.1 Forecast Bias</vt:lpstr>
      <vt:lpstr>9.1 ERP Freq Dis</vt:lpstr>
      <vt:lpstr>10.1 MKT Rtns Freq</vt:lpstr>
      <vt:lpstr>10.2 MRP Rtns Freq</vt:lpstr>
      <vt:lpstr>11.1 GDP_MKT Returns</vt:lpstr>
      <vt:lpstr>Chart 1</vt:lpstr>
      <vt:lpstr>Table 6 - Safety Ranking CEM</vt:lpstr>
      <vt:lpstr>WP Chart 1</vt:lpstr>
      <vt:lpstr>WP 3.1 Rate Case Regress.</vt:lpstr>
      <vt:lpstr>WP 6.1 RAB-2 Corr Divs</vt:lpstr>
      <vt:lpstr>WP 7.1 RAB-4 Corr</vt:lpstr>
      <vt:lpstr>WP 30-Yr Treasury Data</vt:lpstr>
      <vt:lpstr>WP Kroll</vt:lpstr>
      <vt:lpstr>WP MRP Comparison</vt:lpstr>
      <vt:lpstr>WP Ibbotson Chen</vt:lpstr>
      <vt:lpstr>WP Damadoran Survey</vt:lpstr>
      <vt:lpstr>WP Historical GDP</vt:lpstr>
      <vt:lpstr>Input</vt:lpstr>
      <vt:lpstr>Proxy Data Lookup</vt:lpstr>
      <vt:lpstr>Proxy Prices</vt:lpstr>
      <vt:lpstr>CEM Data Lookup</vt:lpstr>
      <vt:lpstr>CEM PricesDivs</vt:lpstr>
      <vt:lpstr>MRP WP1</vt:lpstr>
      <vt:lpstr>MRP WP2 Combined</vt:lpstr>
      <vt:lpstr>ERP WP1 Combined</vt:lpstr>
      <vt:lpstr>MRP ERP WP</vt:lpstr>
      <vt:lpstr>PRPM WP1</vt:lpstr>
      <vt:lpstr>PRPM WP2</vt:lpstr>
      <vt:lpstr>PRPM WP3</vt:lpstr>
      <vt:lpstr>PRPM WP4</vt:lpstr>
      <vt:lpstr>PRPM WP5</vt:lpstr>
      <vt:lpstr>3. ATO</vt:lpstr>
      <vt:lpstr>3. NJR</vt:lpstr>
      <vt:lpstr>3. NI</vt:lpstr>
      <vt:lpstr>3. NWN</vt:lpstr>
      <vt:lpstr>3. OGS</vt:lpstr>
      <vt:lpstr>3. SWX</vt:lpstr>
      <vt:lpstr>3. SR</vt:lpstr>
      <vt:lpstr>'1.11 Risk Premium Summary'!Print_Area</vt:lpstr>
      <vt:lpstr>'1.12 Moody''s Bond Yields'!Print_Area</vt:lpstr>
      <vt:lpstr>'1.13 Bond Ratings'!Print_Area</vt:lpstr>
      <vt:lpstr>'1.14 MOODY_S&amp;P numbericl_assign'!Print_Area</vt:lpstr>
      <vt:lpstr>'1.15 ERP Determination'!Print_Area</vt:lpstr>
      <vt:lpstr>'1.16 Beta Adjusted ERP'!Print_Area</vt:lpstr>
      <vt:lpstr>'1.19 S&amp;P RPM Study Returns'!Print_Area</vt:lpstr>
      <vt:lpstr>'1.2 Summary of CE Models'!Print_Area</vt:lpstr>
      <vt:lpstr>'1.20 Past Rate Cases Gas'!Print_Area</vt:lpstr>
      <vt:lpstr>'1.21 CAPM'!Print_Area</vt:lpstr>
      <vt:lpstr>'1.22 CAPM Notes'!Print_Area</vt:lpstr>
      <vt:lpstr>'1.24 Comp Earnings Criteria Gas'!Print_Area</vt:lpstr>
      <vt:lpstr>'1.25 Proxy Group Equivalent Gas'!Print_Area</vt:lpstr>
      <vt:lpstr>'1.26 CEM Summary'!Print_Area</vt:lpstr>
      <vt:lpstr>'1.27 CEM DCF'!Print_Area</vt:lpstr>
      <vt:lpstr>'1.28 CEM RPM Summary'!Print_Area</vt:lpstr>
      <vt:lpstr>'1.29 CEM RPM Bond Ratings'!Print_Area</vt:lpstr>
      <vt:lpstr>'1.3 DCF Summary'!Print_Area</vt:lpstr>
      <vt:lpstr>'1.30 CEM Beta Adjusted RP'!Print_Area</vt:lpstr>
      <vt:lpstr>'1.31 CEM CAPM Backup'!Print_Area</vt:lpstr>
      <vt:lpstr>'1.32 CEM CAPM Backup'!Print_Area</vt:lpstr>
      <vt:lpstr>'1.33 Risk Adjustment'!Print_Area</vt:lpstr>
      <vt:lpstr>'1.34 Market Cap'!Print_Area</vt:lpstr>
      <vt:lpstr>'1.35 Equity Contributions'!Print_Area</vt:lpstr>
      <vt:lpstr>'10.1 MKT Rtns Freq'!Print_Area</vt:lpstr>
      <vt:lpstr>'10.2 MRP Rtns Freq'!Print_Area</vt:lpstr>
      <vt:lpstr>'11.1 GDP_MKT Returns'!Print_Area</vt:lpstr>
      <vt:lpstr>'2.1-2.2 Cap Str'!Print_Area</vt:lpstr>
      <vt:lpstr>'2.3 VL Cap Str'!Print_Area</vt:lpstr>
      <vt:lpstr>'2.4-2.6 Auth. NG CEs'!Print_Area</vt:lpstr>
      <vt:lpstr>'3.1 Past Rate Cases Regression'!Print_Area</vt:lpstr>
      <vt:lpstr>'4.1 Proxy Ann. Vol'!Print_Area</vt:lpstr>
      <vt:lpstr>'5.1 Growth Rate Regression'!Print_Area</vt:lpstr>
      <vt:lpstr>'6.1 RAB-3 pg 2 Corr'!Print_Area</vt:lpstr>
      <vt:lpstr>'7.1 Baudino Corrected CAPM'!Print_Area</vt:lpstr>
      <vt:lpstr>'8.1 Forecast Bias'!Print_Area</vt:lpstr>
      <vt:lpstr>'9.1 ERP Freq Dis'!Print_Area</vt:lpstr>
      <vt:lpstr>'PRPM WP1'!Print_Area</vt:lpstr>
      <vt:lpstr>'PRPM WP3'!Print_Area</vt:lpstr>
      <vt:lpstr>'PRPM WP4'!Print_Area</vt:lpstr>
      <vt:lpstr>'PRPM WP5'!Print_Area</vt:lpstr>
      <vt:lpstr>'WP 6.1 RAB-2 Corr Divs'!Print_Area</vt:lpstr>
      <vt:lpstr>'WP 7.1 RAB-4 Corr'!Print_Area</vt:lpstr>
      <vt:lpstr>'WP Damadoran Survey'!Print_Area</vt:lpstr>
      <vt:lpstr>'WP Kroll'!Print_Area</vt:lpstr>
      <vt:lpstr>'WP MRP Comparison'!Print_Area</vt:lpstr>
      <vt:lpstr>'1.21 CAPM'!Print_Titles</vt:lpstr>
      <vt:lpstr>'1.25 Proxy Group Equivalent Gas'!Print_Titles</vt:lpstr>
      <vt:lpstr>'1.27 CEM DCF'!Print_Titles</vt:lpstr>
      <vt:lpstr>'1.29 CEM RPM Bond Ratings'!Print_Titles</vt:lpstr>
      <vt:lpstr>'1.31 CEM CAPM Backup'!Print_Titles</vt:lpstr>
      <vt:lpstr>'1.32 CEM CAPM Backup'!Print_Titles</vt:lpstr>
      <vt:lpstr>'10.1 MKT Rtns Freq'!Print_Titles</vt:lpstr>
      <vt:lpstr>'10.2 MRP Rtns Freq'!Print_Titles</vt:lpstr>
      <vt:lpstr>'2.4-2.6 Auth. NG CEs'!Print_Titles</vt:lpstr>
      <vt:lpstr>'3.1 Past Rate Cases Regression'!Print_Titles</vt:lpstr>
      <vt:lpstr>'5.1 Growth Rate Regression'!Print_Titles</vt:lpstr>
      <vt:lpstr>'9.1 ERP Freq Dis'!Print_Titles</vt:lpstr>
      <vt:lpstr>'PRPM WP2'!Print_Titles</vt:lpstr>
      <vt:lpstr>'PRPM WP3'!Print_Titles</vt:lpstr>
      <vt:lpstr>'PRPM WP4'!Print_Titles</vt:lpstr>
      <vt:lpstr>'PRPM WP5'!Print_Titles</vt:lpstr>
      <vt:lpstr>'WP 6.1 RAB-2 Corr Divs'!Print_Titles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2025-03-07T15:13:31Z</dcterms:created>
  <dcterms:modified xsi:type="dcterms:W3CDTF">2025-03-07T15:13:42Z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{BB9926BE-3FB7-4350-85FF-6529359D83E8}</vt:lpwstr>
  </property>
</Properties>
</file>